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CE8B418F-5051-44CA-BE3F-C924AEEC6221}" xr6:coauthVersionLast="47" xr6:coauthVersionMax="47" xr10:uidLastSave="{00000000-0000-0000-0000-000000000000}"/>
  <bookViews>
    <workbookView xWindow="-120" yWindow="-120" windowWidth="20730" windowHeight="11160" tabRatio="522" activeTab="3" xr2:uid="{A61864FB-0D73-4CAE-B0F9-5E09FA5662AD}"/>
  </bookViews>
  <sheets>
    <sheet name="argentina_gral" sheetId="1" r:id="rId1"/>
    <sheet name="casos_provincias" sheetId="3" r:id="rId2"/>
    <sheet name="indic" sheetId="12" r:id="rId3"/>
    <sheet name="UTI" sheetId="5" r:id="rId4"/>
    <sheet name="argentina_gral (2)" sheetId="23" r:id="rId5"/>
    <sheet name="Hoja2" sheetId="33" r:id="rId6"/>
    <sheet name="Hoja3" sheetId="34" r:id="rId7"/>
    <sheet name="POBLA" sheetId="16" r:id="rId8"/>
    <sheet name="caba_ind" sheetId="20" r:id="rId9"/>
    <sheet name="Hoja1" sheetId="35" r:id="rId10"/>
    <sheet name="DNUS" sheetId="18" r:id="rId11"/>
    <sheet name="POBL" sheetId="15" r:id="rId12"/>
    <sheet name="POBLAC_AMBA" sheetId="9" r:id="rId13"/>
    <sheet name="SEPI" sheetId="31" r:id="rId14"/>
  </sheets>
  <definedNames>
    <definedName name="_xlnm._FilterDatabase" localSheetId="0" hidden="1">argentina_gral!$A$1:$R$388</definedName>
    <definedName name="_xlnm._FilterDatabase" localSheetId="4" hidden="1">'argentina_gral (2)'!$A$1:$S$388</definedName>
    <definedName name="_xlnm._FilterDatabase" localSheetId="1" hidden="1">casos_provincias!$A$1:$H$11809</definedName>
    <definedName name="_xlnm._FilterDatabase" localSheetId="12" hidden="1">POBLAC_AMBA!$A$1:$G$43</definedName>
  </definedNames>
  <calcPr calcId="181029"/>
  <pivotCaches>
    <pivotCache cacheId="10" r:id="rId15"/>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530" i="1" l="1"/>
  <c r="M531" i="1"/>
  <c r="M532" i="1"/>
  <c r="M533" i="1"/>
  <c r="M12793" i="3"/>
  <c r="L12793" i="3"/>
  <c r="J12793" i="3"/>
  <c r="K12793" i="3" s="1"/>
  <c r="H12793" i="3"/>
  <c r="G12793" i="3"/>
  <c r="I12793" i="3" s="1"/>
  <c r="F12793" i="3"/>
  <c r="D12793" i="3"/>
  <c r="M12792" i="3"/>
  <c r="L12792" i="3"/>
  <c r="J12792" i="3"/>
  <c r="K12792" i="3" s="1"/>
  <c r="H12792" i="3"/>
  <c r="G12792" i="3"/>
  <c r="F12792" i="3"/>
  <c r="D12792" i="3"/>
  <c r="M12791" i="3"/>
  <c r="L12791" i="3"/>
  <c r="K12791" i="3"/>
  <c r="J12791" i="3"/>
  <c r="H12791" i="3"/>
  <c r="G12791" i="3"/>
  <c r="F12791" i="3"/>
  <c r="D12791" i="3"/>
  <c r="M12790" i="3"/>
  <c r="L12790" i="3"/>
  <c r="K12790" i="3"/>
  <c r="J12790" i="3"/>
  <c r="H12790" i="3"/>
  <c r="G12790" i="3"/>
  <c r="F12790" i="3"/>
  <c r="D12790" i="3"/>
  <c r="M12789" i="3"/>
  <c r="L12789" i="3"/>
  <c r="J12789" i="3"/>
  <c r="K12789" i="3" s="1"/>
  <c r="H12789" i="3"/>
  <c r="G12789" i="3"/>
  <c r="I12789" i="3" s="1"/>
  <c r="F12789" i="3"/>
  <c r="D12789" i="3"/>
  <c r="M12788" i="3"/>
  <c r="L12788" i="3"/>
  <c r="J12788" i="3"/>
  <c r="K12788" i="3" s="1"/>
  <c r="H12788" i="3"/>
  <c r="G12788" i="3"/>
  <c r="F12788" i="3"/>
  <c r="D12788" i="3"/>
  <c r="M12787" i="3"/>
  <c r="L12787" i="3"/>
  <c r="K12787" i="3"/>
  <c r="J12787" i="3"/>
  <c r="H12787" i="3"/>
  <c r="G12787" i="3"/>
  <c r="F12787" i="3"/>
  <c r="D12787" i="3"/>
  <c r="M12786" i="3"/>
  <c r="L12786" i="3"/>
  <c r="J12786" i="3"/>
  <c r="K12786" i="3" s="1"/>
  <c r="H12786" i="3"/>
  <c r="G12786" i="3"/>
  <c r="F12786" i="3"/>
  <c r="D12786" i="3"/>
  <c r="M12785" i="3"/>
  <c r="L12785" i="3"/>
  <c r="J12785" i="3"/>
  <c r="K12785" i="3" s="1"/>
  <c r="H12785" i="3"/>
  <c r="G12785" i="3"/>
  <c r="I12785" i="3" s="1"/>
  <c r="F12785" i="3"/>
  <c r="D12785" i="3"/>
  <c r="M12784" i="3"/>
  <c r="L12784" i="3"/>
  <c r="J12784" i="3"/>
  <c r="K12784" i="3" s="1"/>
  <c r="H12784" i="3"/>
  <c r="G12784" i="3"/>
  <c r="I12784" i="3" s="1"/>
  <c r="F12784" i="3"/>
  <c r="D12784" i="3"/>
  <c r="M12783" i="3"/>
  <c r="L12783" i="3"/>
  <c r="K12783" i="3"/>
  <c r="J12783" i="3"/>
  <c r="H12783" i="3"/>
  <c r="G12783" i="3"/>
  <c r="F12783" i="3"/>
  <c r="D12783" i="3"/>
  <c r="M12782" i="3"/>
  <c r="L12782" i="3"/>
  <c r="J12782" i="3"/>
  <c r="K12782" i="3" s="1"/>
  <c r="H12782" i="3"/>
  <c r="G12782" i="3"/>
  <c r="F12782" i="3"/>
  <c r="D12782" i="3"/>
  <c r="M12781" i="3"/>
  <c r="L12781" i="3"/>
  <c r="J12781" i="3"/>
  <c r="K12781" i="3" s="1"/>
  <c r="I12781" i="3"/>
  <c r="H12781" i="3"/>
  <c r="G12781" i="3"/>
  <c r="F12781" i="3"/>
  <c r="D12781" i="3"/>
  <c r="M12780" i="3"/>
  <c r="L12780" i="3"/>
  <c r="J12780" i="3"/>
  <c r="K12780" i="3" s="1"/>
  <c r="H12780" i="3"/>
  <c r="G12780" i="3"/>
  <c r="F12780" i="3"/>
  <c r="D12780" i="3"/>
  <c r="M12779" i="3"/>
  <c r="L12779" i="3"/>
  <c r="J12779" i="3"/>
  <c r="K12779" i="3" s="1"/>
  <c r="H12779" i="3"/>
  <c r="G12779" i="3"/>
  <c r="F12779" i="3"/>
  <c r="D12779" i="3"/>
  <c r="M12778" i="3"/>
  <c r="L12778" i="3"/>
  <c r="J12778" i="3"/>
  <c r="K12778" i="3" s="1"/>
  <c r="H12778" i="3"/>
  <c r="G12778" i="3"/>
  <c r="F12778" i="3"/>
  <c r="D12778" i="3"/>
  <c r="M12777" i="3"/>
  <c r="L12777" i="3"/>
  <c r="J12777" i="3"/>
  <c r="K12777" i="3" s="1"/>
  <c r="H12777" i="3"/>
  <c r="G12777" i="3"/>
  <c r="I12777" i="3" s="1"/>
  <c r="F12777" i="3"/>
  <c r="D12777" i="3"/>
  <c r="M12776" i="3"/>
  <c r="L12776" i="3"/>
  <c r="J12776" i="3"/>
  <c r="K12776" i="3" s="1"/>
  <c r="H12776" i="3"/>
  <c r="G12776" i="3"/>
  <c r="F12776" i="3"/>
  <c r="D12776" i="3"/>
  <c r="M12775" i="3"/>
  <c r="L12775" i="3"/>
  <c r="K12775" i="3"/>
  <c r="J12775" i="3"/>
  <c r="H12775" i="3"/>
  <c r="G12775" i="3"/>
  <c r="F12775" i="3"/>
  <c r="D12775" i="3"/>
  <c r="M12774" i="3"/>
  <c r="L12774" i="3"/>
  <c r="J12774" i="3"/>
  <c r="K12774" i="3" s="1"/>
  <c r="H12774" i="3"/>
  <c r="G12774" i="3"/>
  <c r="F12774" i="3"/>
  <c r="D12774" i="3"/>
  <c r="M12773" i="3"/>
  <c r="L12773" i="3"/>
  <c r="J12773" i="3"/>
  <c r="K12773" i="3" s="1"/>
  <c r="H12773" i="3"/>
  <c r="G12773" i="3"/>
  <c r="I12773" i="3" s="1"/>
  <c r="F12773" i="3"/>
  <c r="D12773" i="3"/>
  <c r="M12772" i="3"/>
  <c r="L12772" i="3"/>
  <c r="J12772" i="3"/>
  <c r="K12772" i="3" s="1"/>
  <c r="H12772" i="3"/>
  <c r="G12772" i="3"/>
  <c r="F12772" i="3"/>
  <c r="D12772" i="3"/>
  <c r="M12771" i="3"/>
  <c r="L12771" i="3"/>
  <c r="K12771" i="3"/>
  <c r="J12771" i="3"/>
  <c r="H12771" i="3"/>
  <c r="G12771" i="3"/>
  <c r="F12771" i="3"/>
  <c r="D12771" i="3"/>
  <c r="M12770" i="3"/>
  <c r="L12770" i="3"/>
  <c r="J12770" i="3"/>
  <c r="K12770" i="3" s="1"/>
  <c r="H12770" i="3"/>
  <c r="G12770" i="3"/>
  <c r="F12770" i="3"/>
  <c r="D12770" i="3"/>
  <c r="S534" i="1"/>
  <c r="J534" i="1"/>
  <c r="E534" i="1"/>
  <c r="R534" i="1" s="1"/>
  <c r="F534" i="1"/>
  <c r="C534" i="1"/>
  <c r="M12769" i="3"/>
  <c r="L12769" i="3"/>
  <c r="J12769" i="3"/>
  <c r="K12769" i="3" s="1"/>
  <c r="H12769" i="3"/>
  <c r="G12769" i="3"/>
  <c r="F12769" i="3"/>
  <c r="M12768" i="3"/>
  <c r="L12768" i="3"/>
  <c r="K12768" i="3"/>
  <c r="J12768" i="3"/>
  <c r="H12768" i="3"/>
  <c r="G12768" i="3"/>
  <c r="I12768" i="3" s="1"/>
  <c r="F12768" i="3"/>
  <c r="M12767" i="3"/>
  <c r="L12767" i="3"/>
  <c r="K12767" i="3"/>
  <c r="J12767" i="3"/>
  <c r="H12767" i="3"/>
  <c r="G12767" i="3"/>
  <c r="I12767" i="3" s="1"/>
  <c r="F12767" i="3"/>
  <c r="M12766" i="3"/>
  <c r="L12766" i="3"/>
  <c r="J12766" i="3"/>
  <c r="K12766" i="3" s="1"/>
  <c r="H12766" i="3"/>
  <c r="G12766" i="3"/>
  <c r="I12766" i="3" s="1"/>
  <c r="F12766" i="3"/>
  <c r="M12765" i="3"/>
  <c r="L12765" i="3"/>
  <c r="J12765" i="3"/>
  <c r="K12765" i="3" s="1"/>
  <c r="H12765" i="3"/>
  <c r="G12765" i="3"/>
  <c r="F12765" i="3"/>
  <c r="M12764" i="3"/>
  <c r="L12764" i="3"/>
  <c r="J12764" i="3"/>
  <c r="K12764" i="3" s="1"/>
  <c r="H12764" i="3"/>
  <c r="G12764" i="3"/>
  <c r="I12764" i="3" s="1"/>
  <c r="F12764" i="3"/>
  <c r="M12763" i="3"/>
  <c r="L12763" i="3"/>
  <c r="K12763" i="3"/>
  <c r="J12763" i="3"/>
  <c r="H12763" i="3"/>
  <c r="G12763" i="3"/>
  <c r="F12763" i="3"/>
  <c r="M12762" i="3"/>
  <c r="L12762" i="3"/>
  <c r="J12762" i="3"/>
  <c r="K12762" i="3" s="1"/>
  <c r="H12762" i="3"/>
  <c r="G12762" i="3"/>
  <c r="I12762" i="3" s="1"/>
  <c r="F12762" i="3"/>
  <c r="M12761" i="3"/>
  <c r="L12761" i="3"/>
  <c r="K12761" i="3"/>
  <c r="J12761" i="3"/>
  <c r="H12761" i="3"/>
  <c r="G12761" i="3"/>
  <c r="F12761" i="3"/>
  <c r="M12760" i="3"/>
  <c r="L12760" i="3"/>
  <c r="J12760" i="3"/>
  <c r="K12760" i="3" s="1"/>
  <c r="H12760" i="3"/>
  <c r="G12760" i="3"/>
  <c r="I12760" i="3" s="1"/>
  <c r="F12760" i="3"/>
  <c r="M12759" i="3"/>
  <c r="L12759" i="3"/>
  <c r="K12759" i="3"/>
  <c r="J12759" i="3"/>
  <c r="H12759" i="3"/>
  <c r="G12759" i="3"/>
  <c r="F12759" i="3"/>
  <c r="M12758" i="3"/>
  <c r="L12758" i="3"/>
  <c r="J12758" i="3"/>
  <c r="K12758" i="3" s="1"/>
  <c r="H12758" i="3"/>
  <c r="G12758" i="3"/>
  <c r="I12758" i="3" s="1"/>
  <c r="F12758" i="3"/>
  <c r="M12757" i="3"/>
  <c r="L12757" i="3"/>
  <c r="K12757" i="3"/>
  <c r="J12757" i="3"/>
  <c r="H12757" i="3"/>
  <c r="G12757" i="3"/>
  <c r="F12757" i="3"/>
  <c r="M12756" i="3"/>
  <c r="L12756" i="3"/>
  <c r="J12756" i="3"/>
  <c r="K12756" i="3" s="1"/>
  <c r="H12756" i="3"/>
  <c r="G12756" i="3"/>
  <c r="I12756" i="3" s="1"/>
  <c r="F12756" i="3"/>
  <c r="M12755" i="3"/>
  <c r="L12755" i="3"/>
  <c r="K12755" i="3"/>
  <c r="J12755" i="3"/>
  <c r="H12755" i="3"/>
  <c r="G12755" i="3"/>
  <c r="F12755" i="3"/>
  <c r="M12754" i="3"/>
  <c r="L12754" i="3"/>
  <c r="J12754" i="3"/>
  <c r="K12754" i="3" s="1"/>
  <c r="H12754" i="3"/>
  <c r="G12754" i="3"/>
  <c r="I12754" i="3" s="1"/>
  <c r="F12754" i="3"/>
  <c r="M12753" i="3"/>
  <c r="L12753" i="3"/>
  <c r="K12753" i="3"/>
  <c r="J12753" i="3"/>
  <c r="H12753" i="3"/>
  <c r="G12753" i="3"/>
  <c r="F12753" i="3"/>
  <c r="M12752" i="3"/>
  <c r="L12752" i="3"/>
  <c r="J12752" i="3"/>
  <c r="K12752" i="3" s="1"/>
  <c r="H12752" i="3"/>
  <c r="G12752" i="3"/>
  <c r="I12752" i="3" s="1"/>
  <c r="F12752" i="3"/>
  <c r="M12751" i="3"/>
  <c r="L12751" i="3"/>
  <c r="K12751" i="3"/>
  <c r="J12751" i="3"/>
  <c r="H12751" i="3"/>
  <c r="G12751" i="3"/>
  <c r="F12751" i="3"/>
  <c r="M12750" i="3"/>
  <c r="L12750" i="3"/>
  <c r="J12750" i="3"/>
  <c r="K12750" i="3" s="1"/>
  <c r="H12750" i="3"/>
  <c r="G12750" i="3"/>
  <c r="I12750" i="3" s="1"/>
  <c r="F12750" i="3"/>
  <c r="M12749" i="3"/>
  <c r="L12749" i="3"/>
  <c r="K12749" i="3"/>
  <c r="J12749" i="3"/>
  <c r="H12749" i="3"/>
  <c r="G12749" i="3"/>
  <c r="F12749" i="3"/>
  <c r="M12748" i="3"/>
  <c r="L12748" i="3"/>
  <c r="J12748" i="3"/>
  <c r="K12748" i="3" s="1"/>
  <c r="H12748" i="3"/>
  <c r="G12748" i="3"/>
  <c r="I12748" i="3" s="1"/>
  <c r="F12748" i="3"/>
  <c r="M12747" i="3"/>
  <c r="L12747" i="3"/>
  <c r="K12747" i="3"/>
  <c r="J12747" i="3"/>
  <c r="H12747" i="3"/>
  <c r="G12747" i="3"/>
  <c r="I12747" i="3" s="1"/>
  <c r="F12747" i="3"/>
  <c r="M12746" i="3"/>
  <c r="L12746" i="3"/>
  <c r="J12746" i="3"/>
  <c r="K12746" i="3" s="1"/>
  <c r="H12746" i="3"/>
  <c r="G12746" i="3"/>
  <c r="I12746" i="3" s="1"/>
  <c r="F12746" i="3"/>
  <c r="F12741" i="3"/>
  <c r="D12769" i="3"/>
  <c r="D12768" i="3"/>
  <c r="D12767" i="3"/>
  <c r="D12766" i="3"/>
  <c r="D12765" i="3"/>
  <c r="D12764" i="3"/>
  <c r="D12763" i="3"/>
  <c r="D12762" i="3"/>
  <c r="D12761" i="3"/>
  <c r="D12760" i="3"/>
  <c r="D12759" i="3"/>
  <c r="D12758" i="3"/>
  <c r="D12757" i="3"/>
  <c r="D12756" i="3"/>
  <c r="D12755" i="3"/>
  <c r="D12754" i="3"/>
  <c r="D12753" i="3"/>
  <c r="D12752" i="3"/>
  <c r="D12751" i="3"/>
  <c r="D12750" i="3"/>
  <c r="D12749" i="3"/>
  <c r="D12748" i="3"/>
  <c r="D12747" i="3"/>
  <c r="D12746" i="3"/>
  <c r="S533" i="1"/>
  <c r="J533" i="1"/>
  <c r="E533" i="1"/>
  <c r="F533" i="1"/>
  <c r="C533" i="1"/>
  <c r="M12745" i="3"/>
  <c r="L12745" i="3"/>
  <c r="J12745" i="3"/>
  <c r="K12745" i="3" s="1"/>
  <c r="H12745" i="3"/>
  <c r="G12745" i="3"/>
  <c r="D12745" i="3"/>
  <c r="M12744" i="3"/>
  <c r="L12744" i="3"/>
  <c r="J12744" i="3"/>
  <c r="K12744" i="3" s="1"/>
  <c r="H12744" i="3"/>
  <c r="G12744" i="3"/>
  <c r="I12744" i="3" s="1"/>
  <c r="F12744" i="3"/>
  <c r="D12744" i="3"/>
  <c r="M12743" i="3"/>
  <c r="L12743" i="3"/>
  <c r="J12743" i="3"/>
  <c r="K12743" i="3" s="1"/>
  <c r="H12743" i="3"/>
  <c r="G12743" i="3"/>
  <c r="I12743" i="3" s="1"/>
  <c r="F12743" i="3"/>
  <c r="D12743" i="3"/>
  <c r="M12742" i="3"/>
  <c r="L12742" i="3"/>
  <c r="J12742" i="3"/>
  <c r="K12742" i="3" s="1"/>
  <c r="H12742" i="3"/>
  <c r="G12742" i="3"/>
  <c r="I12742" i="3" s="1"/>
  <c r="F12742" i="3"/>
  <c r="D12742" i="3"/>
  <c r="M12741" i="3"/>
  <c r="L12741" i="3"/>
  <c r="J12741" i="3"/>
  <c r="K12741" i="3" s="1"/>
  <c r="H12741" i="3"/>
  <c r="G12741" i="3"/>
  <c r="I12741" i="3" s="1"/>
  <c r="D12741" i="3"/>
  <c r="M12740" i="3"/>
  <c r="L12740" i="3"/>
  <c r="J12740" i="3"/>
  <c r="K12740" i="3" s="1"/>
  <c r="H12740" i="3"/>
  <c r="G12740" i="3"/>
  <c r="I12740" i="3" s="1"/>
  <c r="F12740" i="3"/>
  <c r="D12740" i="3"/>
  <c r="M12739" i="3"/>
  <c r="L12739" i="3"/>
  <c r="J12739" i="3"/>
  <c r="K12739" i="3" s="1"/>
  <c r="H12739" i="3"/>
  <c r="G12739" i="3"/>
  <c r="F12739" i="3"/>
  <c r="D12739" i="3"/>
  <c r="M12738" i="3"/>
  <c r="L12738" i="3"/>
  <c r="J12738" i="3"/>
  <c r="K12738" i="3" s="1"/>
  <c r="H12738" i="3"/>
  <c r="G12738" i="3"/>
  <c r="I12738" i="3" s="1"/>
  <c r="F12738" i="3"/>
  <c r="D12738" i="3"/>
  <c r="M12737" i="3"/>
  <c r="L12737" i="3"/>
  <c r="J12737" i="3"/>
  <c r="K12737" i="3" s="1"/>
  <c r="H12737" i="3"/>
  <c r="G12737" i="3"/>
  <c r="I12737" i="3" s="1"/>
  <c r="F12737" i="3"/>
  <c r="D12737" i="3"/>
  <c r="M12736" i="3"/>
  <c r="L12736" i="3"/>
  <c r="J12736" i="3"/>
  <c r="K12736" i="3" s="1"/>
  <c r="H12736" i="3"/>
  <c r="G12736" i="3"/>
  <c r="F12736" i="3"/>
  <c r="D12736" i="3"/>
  <c r="M12735" i="3"/>
  <c r="L12735" i="3"/>
  <c r="J12735" i="3"/>
  <c r="K12735" i="3" s="1"/>
  <c r="H12735" i="3"/>
  <c r="G12735" i="3"/>
  <c r="F12735" i="3"/>
  <c r="D12735" i="3"/>
  <c r="M12734" i="3"/>
  <c r="L12734" i="3"/>
  <c r="J12734" i="3"/>
  <c r="K12734" i="3" s="1"/>
  <c r="H12734" i="3"/>
  <c r="G12734" i="3"/>
  <c r="I12734" i="3" s="1"/>
  <c r="F12734" i="3"/>
  <c r="D12734" i="3"/>
  <c r="M12733" i="3"/>
  <c r="L12733" i="3"/>
  <c r="J12733" i="3"/>
  <c r="K12733" i="3" s="1"/>
  <c r="H12733" i="3"/>
  <c r="G12733" i="3"/>
  <c r="F12733" i="3"/>
  <c r="D12733" i="3"/>
  <c r="M12732" i="3"/>
  <c r="L12732" i="3"/>
  <c r="J12732" i="3"/>
  <c r="K12732" i="3" s="1"/>
  <c r="H12732" i="3"/>
  <c r="G12732" i="3"/>
  <c r="I12732" i="3" s="1"/>
  <c r="F12732" i="3"/>
  <c r="D12732" i="3"/>
  <c r="M12731" i="3"/>
  <c r="L12731" i="3"/>
  <c r="J12731" i="3"/>
  <c r="K12731" i="3" s="1"/>
  <c r="H12731" i="3"/>
  <c r="G12731" i="3"/>
  <c r="F12731" i="3"/>
  <c r="D12731" i="3"/>
  <c r="M12730" i="3"/>
  <c r="L12730" i="3"/>
  <c r="J12730" i="3"/>
  <c r="K12730" i="3" s="1"/>
  <c r="H12730" i="3"/>
  <c r="G12730" i="3"/>
  <c r="I12730" i="3" s="1"/>
  <c r="F12730" i="3"/>
  <c r="D12730" i="3"/>
  <c r="M12729" i="3"/>
  <c r="L12729" i="3"/>
  <c r="J12729" i="3"/>
  <c r="K12729" i="3" s="1"/>
  <c r="H12729" i="3"/>
  <c r="G12729" i="3"/>
  <c r="F12729" i="3"/>
  <c r="D12729" i="3"/>
  <c r="M12728" i="3"/>
  <c r="L12728" i="3"/>
  <c r="J12728" i="3"/>
  <c r="K12728" i="3" s="1"/>
  <c r="H12728" i="3"/>
  <c r="G12728" i="3"/>
  <c r="I12728" i="3" s="1"/>
  <c r="F12728" i="3"/>
  <c r="D12728" i="3"/>
  <c r="M12727" i="3"/>
  <c r="L12727" i="3"/>
  <c r="J12727" i="3"/>
  <c r="K12727" i="3" s="1"/>
  <c r="H12727" i="3"/>
  <c r="G12727" i="3"/>
  <c r="F12727" i="3"/>
  <c r="D12727" i="3"/>
  <c r="M12726" i="3"/>
  <c r="L12726" i="3"/>
  <c r="K12726" i="3"/>
  <c r="J12726" i="3"/>
  <c r="H12726" i="3"/>
  <c r="G12726" i="3"/>
  <c r="F12726" i="3"/>
  <c r="D12726" i="3"/>
  <c r="M12725" i="3"/>
  <c r="L12725" i="3"/>
  <c r="K12725" i="3"/>
  <c r="J12725" i="3"/>
  <c r="H12725" i="3"/>
  <c r="G12725" i="3"/>
  <c r="F12725" i="3"/>
  <c r="D12725" i="3"/>
  <c r="M12724" i="3"/>
  <c r="L12724" i="3"/>
  <c r="J12724" i="3"/>
  <c r="K12724" i="3" s="1"/>
  <c r="H12724" i="3"/>
  <c r="G12724" i="3"/>
  <c r="I12724" i="3" s="1"/>
  <c r="F12724" i="3"/>
  <c r="D12724" i="3"/>
  <c r="M12723" i="3"/>
  <c r="L12723" i="3"/>
  <c r="J12723" i="3"/>
  <c r="K12723" i="3" s="1"/>
  <c r="H12723" i="3"/>
  <c r="G12723" i="3"/>
  <c r="F12723" i="3"/>
  <c r="D12723" i="3"/>
  <c r="M12722" i="3"/>
  <c r="L12722" i="3"/>
  <c r="K12722" i="3"/>
  <c r="J12722" i="3"/>
  <c r="H12722" i="3"/>
  <c r="G12722" i="3"/>
  <c r="F12722" i="3"/>
  <c r="D12722" i="3"/>
  <c r="R532" i="1"/>
  <c r="S532" i="1"/>
  <c r="J532" i="1"/>
  <c r="E532" i="1"/>
  <c r="F532" i="1"/>
  <c r="C532" i="1"/>
  <c r="S531" i="1"/>
  <c r="J531" i="1"/>
  <c r="F531" i="1"/>
  <c r="E531" i="1"/>
  <c r="M12721" i="3"/>
  <c r="L12721" i="3"/>
  <c r="J12721" i="3"/>
  <c r="K12721" i="3" s="1"/>
  <c r="I12721" i="3"/>
  <c r="H12721" i="3"/>
  <c r="G12721" i="3"/>
  <c r="F12721" i="3"/>
  <c r="F12745" i="3" s="1"/>
  <c r="D12721" i="3"/>
  <c r="M12720" i="3"/>
  <c r="L12720" i="3"/>
  <c r="J12720" i="3"/>
  <c r="K12720" i="3" s="1"/>
  <c r="H12720" i="3"/>
  <c r="G12720" i="3"/>
  <c r="F12720" i="3"/>
  <c r="D12720" i="3"/>
  <c r="M12719" i="3"/>
  <c r="L12719" i="3"/>
  <c r="J12719" i="3"/>
  <c r="K12719" i="3" s="1"/>
  <c r="H12719" i="3"/>
  <c r="G12719" i="3"/>
  <c r="F12719" i="3"/>
  <c r="D12719" i="3"/>
  <c r="M12718" i="3"/>
  <c r="L12718" i="3"/>
  <c r="J12718" i="3"/>
  <c r="K12718" i="3" s="1"/>
  <c r="H12718" i="3"/>
  <c r="G12718" i="3"/>
  <c r="F12718" i="3"/>
  <c r="D12718" i="3"/>
  <c r="M12717" i="3"/>
  <c r="L12717" i="3"/>
  <c r="K12717" i="3"/>
  <c r="J12717" i="3"/>
  <c r="H12717" i="3"/>
  <c r="G12717" i="3"/>
  <c r="I12717" i="3" s="1"/>
  <c r="F12717" i="3"/>
  <c r="D12717" i="3"/>
  <c r="M12716" i="3"/>
  <c r="L12716" i="3"/>
  <c r="J12716" i="3"/>
  <c r="K12716" i="3" s="1"/>
  <c r="H12716" i="3"/>
  <c r="G12716" i="3"/>
  <c r="F12716" i="3"/>
  <c r="D12716" i="3"/>
  <c r="M12715" i="3"/>
  <c r="L12715" i="3"/>
  <c r="J12715" i="3"/>
  <c r="K12715" i="3" s="1"/>
  <c r="H12715" i="3"/>
  <c r="G12715" i="3"/>
  <c r="I12715" i="3" s="1"/>
  <c r="F12715" i="3"/>
  <c r="D12715" i="3"/>
  <c r="M12714" i="3"/>
  <c r="L12714" i="3"/>
  <c r="J12714" i="3"/>
  <c r="K12714" i="3" s="1"/>
  <c r="H12714" i="3"/>
  <c r="G12714" i="3"/>
  <c r="F12714" i="3"/>
  <c r="D12714" i="3"/>
  <c r="M12713" i="3"/>
  <c r="L12713" i="3"/>
  <c r="J12713" i="3"/>
  <c r="K12713" i="3" s="1"/>
  <c r="H12713" i="3"/>
  <c r="G12713" i="3"/>
  <c r="F12713" i="3"/>
  <c r="D12713" i="3"/>
  <c r="M12712" i="3"/>
  <c r="L12712" i="3"/>
  <c r="J12712" i="3"/>
  <c r="K12712" i="3" s="1"/>
  <c r="H12712" i="3"/>
  <c r="G12712" i="3"/>
  <c r="F12712" i="3"/>
  <c r="D12712" i="3"/>
  <c r="M12711" i="3"/>
  <c r="L12711" i="3"/>
  <c r="K12711" i="3"/>
  <c r="J12711" i="3"/>
  <c r="H12711" i="3"/>
  <c r="G12711" i="3"/>
  <c r="I12711" i="3" s="1"/>
  <c r="F12711" i="3"/>
  <c r="D12711" i="3"/>
  <c r="M12710" i="3"/>
  <c r="L12710" i="3"/>
  <c r="J12710" i="3"/>
  <c r="K12710" i="3" s="1"/>
  <c r="H12710" i="3"/>
  <c r="G12710" i="3"/>
  <c r="F12710" i="3"/>
  <c r="D12710" i="3"/>
  <c r="M12709" i="3"/>
  <c r="L12709" i="3"/>
  <c r="J12709" i="3"/>
  <c r="K12709" i="3" s="1"/>
  <c r="H12709" i="3"/>
  <c r="G12709" i="3"/>
  <c r="F12709" i="3"/>
  <c r="D12709" i="3"/>
  <c r="M12708" i="3"/>
  <c r="L12708" i="3"/>
  <c r="J12708" i="3"/>
  <c r="K12708" i="3" s="1"/>
  <c r="H12708" i="3"/>
  <c r="G12708" i="3"/>
  <c r="F12708" i="3"/>
  <c r="D12708" i="3"/>
  <c r="M12707" i="3"/>
  <c r="L12707" i="3"/>
  <c r="J12707" i="3"/>
  <c r="K12707" i="3" s="1"/>
  <c r="H12707" i="3"/>
  <c r="G12707" i="3"/>
  <c r="F12707" i="3"/>
  <c r="D12707" i="3"/>
  <c r="M12706" i="3"/>
  <c r="L12706" i="3"/>
  <c r="J12706" i="3"/>
  <c r="K12706" i="3" s="1"/>
  <c r="H12706" i="3"/>
  <c r="G12706" i="3"/>
  <c r="F12706" i="3"/>
  <c r="D12706" i="3"/>
  <c r="M12705" i="3"/>
  <c r="L12705" i="3"/>
  <c r="K12705" i="3"/>
  <c r="J12705" i="3"/>
  <c r="H12705" i="3"/>
  <c r="G12705" i="3"/>
  <c r="I12705" i="3" s="1"/>
  <c r="F12705" i="3"/>
  <c r="D12705" i="3"/>
  <c r="M12704" i="3"/>
  <c r="L12704" i="3"/>
  <c r="J12704" i="3"/>
  <c r="K12704" i="3" s="1"/>
  <c r="H12704" i="3"/>
  <c r="G12704" i="3"/>
  <c r="F12704" i="3"/>
  <c r="D12704" i="3"/>
  <c r="M12703" i="3"/>
  <c r="L12703" i="3"/>
  <c r="K12703" i="3"/>
  <c r="J12703" i="3"/>
  <c r="H12703" i="3"/>
  <c r="G12703" i="3"/>
  <c r="F12703" i="3"/>
  <c r="D12703" i="3"/>
  <c r="M12702" i="3"/>
  <c r="L12702" i="3"/>
  <c r="J12702" i="3"/>
  <c r="K12702" i="3" s="1"/>
  <c r="H12702" i="3"/>
  <c r="G12702" i="3"/>
  <c r="F12702" i="3"/>
  <c r="D12702" i="3"/>
  <c r="M12701" i="3"/>
  <c r="L12701" i="3"/>
  <c r="J12701" i="3"/>
  <c r="K12701" i="3" s="1"/>
  <c r="H12701" i="3"/>
  <c r="G12701" i="3"/>
  <c r="I12701" i="3" s="1"/>
  <c r="F12701" i="3"/>
  <c r="D12701" i="3"/>
  <c r="M12700" i="3"/>
  <c r="L12700" i="3"/>
  <c r="J12700" i="3"/>
  <c r="K12700" i="3" s="1"/>
  <c r="H12700" i="3"/>
  <c r="G12700" i="3"/>
  <c r="F12700" i="3"/>
  <c r="D12700" i="3"/>
  <c r="M12699" i="3"/>
  <c r="L12699" i="3"/>
  <c r="J12699" i="3"/>
  <c r="K12699" i="3" s="1"/>
  <c r="H12699" i="3"/>
  <c r="G12699" i="3"/>
  <c r="F12699" i="3"/>
  <c r="D12699" i="3"/>
  <c r="M12698" i="3"/>
  <c r="L12698" i="3"/>
  <c r="J12698" i="3"/>
  <c r="K12698" i="3" s="1"/>
  <c r="H12698" i="3"/>
  <c r="G12698" i="3"/>
  <c r="F12698" i="3"/>
  <c r="D12698" i="3"/>
  <c r="BZ2" i="34"/>
  <c r="BZ1" i="34"/>
  <c r="CA1" i="34"/>
  <c r="CB1" i="34"/>
  <c r="CC1" i="34"/>
  <c r="CD1" i="34"/>
  <c r="CG1" i="34"/>
  <c r="M526" i="1"/>
  <c r="M527" i="1"/>
  <c r="M528" i="1"/>
  <c r="M529" i="1"/>
  <c r="S530" i="1"/>
  <c r="J530" i="1"/>
  <c r="F530" i="1"/>
  <c r="C530" i="1"/>
  <c r="C531" i="1" s="1"/>
  <c r="M12697" i="3"/>
  <c r="L12697" i="3"/>
  <c r="J12697" i="3"/>
  <c r="K12697" i="3" s="1"/>
  <c r="H12697" i="3"/>
  <c r="I12697" i="3" s="1"/>
  <c r="G12697" i="3"/>
  <c r="F12697" i="3"/>
  <c r="D12697" i="3"/>
  <c r="M12696" i="3"/>
  <c r="L12696" i="3"/>
  <c r="J12696" i="3"/>
  <c r="K12696" i="3" s="1"/>
  <c r="H12696" i="3"/>
  <c r="G12696" i="3"/>
  <c r="F12696" i="3"/>
  <c r="D12696" i="3"/>
  <c r="M12695" i="3"/>
  <c r="L12695" i="3"/>
  <c r="J12695" i="3"/>
  <c r="K12695" i="3" s="1"/>
  <c r="H12695" i="3"/>
  <c r="G12695" i="3"/>
  <c r="F12695" i="3"/>
  <c r="D12695" i="3"/>
  <c r="M12694" i="3"/>
  <c r="L12694" i="3"/>
  <c r="J12694" i="3"/>
  <c r="K12694" i="3" s="1"/>
  <c r="H12694" i="3"/>
  <c r="G12694" i="3"/>
  <c r="I12694" i="3" s="1"/>
  <c r="F12694" i="3"/>
  <c r="D12694" i="3"/>
  <c r="M12693" i="3"/>
  <c r="L12693" i="3"/>
  <c r="J12693" i="3"/>
  <c r="K12693" i="3" s="1"/>
  <c r="H12693" i="3"/>
  <c r="G12693" i="3"/>
  <c r="F12693" i="3"/>
  <c r="D12693" i="3"/>
  <c r="M12692" i="3"/>
  <c r="L12692" i="3"/>
  <c r="K12692" i="3"/>
  <c r="J12692" i="3"/>
  <c r="H12692" i="3"/>
  <c r="G12692" i="3"/>
  <c r="F12692" i="3"/>
  <c r="D12692" i="3"/>
  <c r="M12691" i="3"/>
  <c r="L12691" i="3"/>
  <c r="J12691" i="3"/>
  <c r="K12691" i="3" s="1"/>
  <c r="H12691" i="3"/>
  <c r="G12691" i="3"/>
  <c r="F12691" i="3"/>
  <c r="D12691" i="3"/>
  <c r="M12690" i="3"/>
  <c r="L12690" i="3"/>
  <c r="J12690" i="3"/>
  <c r="K12690" i="3" s="1"/>
  <c r="H12690" i="3"/>
  <c r="G12690" i="3"/>
  <c r="I12690" i="3" s="1"/>
  <c r="F12690" i="3"/>
  <c r="D12690" i="3"/>
  <c r="M12689" i="3"/>
  <c r="L12689" i="3"/>
  <c r="J12689" i="3"/>
  <c r="K12689" i="3" s="1"/>
  <c r="H12689" i="3"/>
  <c r="G12689" i="3"/>
  <c r="F12689" i="3"/>
  <c r="D12689" i="3"/>
  <c r="M12688" i="3"/>
  <c r="L12688" i="3"/>
  <c r="J12688" i="3"/>
  <c r="K12688" i="3" s="1"/>
  <c r="H12688" i="3"/>
  <c r="G12688" i="3"/>
  <c r="F12688" i="3"/>
  <c r="D12688" i="3"/>
  <c r="M12687" i="3"/>
  <c r="L12687" i="3"/>
  <c r="J12687" i="3"/>
  <c r="K12687" i="3" s="1"/>
  <c r="H12687" i="3"/>
  <c r="I12687" i="3" s="1"/>
  <c r="G12687" i="3"/>
  <c r="F12687" i="3"/>
  <c r="D12687" i="3"/>
  <c r="M12686" i="3"/>
  <c r="L12686" i="3"/>
  <c r="J12686" i="3"/>
  <c r="K12686" i="3" s="1"/>
  <c r="H12686" i="3"/>
  <c r="G12686" i="3"/>
  <c r="F12686" i="3"/>
  <c r="D12686" i="3"/>
  <c r="M12685" i="3"/>
  <c r="L12685" i="3"/>
  <c r="J12685" i="3"/>
  <c r="K12685" i="3" s="1"/>
  <c r="H12685" i="3"/>
  <c r="G12685" i="3"/>
  <c r="I12685" i="3" s="1"/>
  <c r="F12685" i="3"/>
  <c r="D12685" i="3"/>
  <c r="M12684" i="3"/>
  <c r="L12684" i="3"/>
  <c r="J12684" i="3"/>
  <c r="K12684" i="3" s="1"/>
  <c r="H12684" i="3"/>
  <c r="G12684" i="3"/>
  <c r="I12684" i="3" s="1"/>
  <c r="F12684" i="3"/>
  <c r="D12684" i="3"/>
  <c r="M12683" i="3"/>
  <c r="L12683" i="3"/>
  <c r="J12683" i="3"/>
  <c r="K12683" i="3" s="1"/>
  <c r="H12683" i="3"/>
  <c r="G12683" i="3"/>
  <c r="F12683" i="3"/>
  <c r="D12683" i="3"/>
  <c r="M12682" i="3"/>
  <c r="L12682" i="3"/>
  <c r="J12682" i="3"/>
  <c r="K12682" i="3" s="1"/>
  <c r="H12682" i="3"/>
  <c r="G12682" i="3"/>
  <c r="I12682" i="3" s="1"/>
  <c r="F12682" i="3"/>
  <c r="D12682" i="3"/>
  <c r="M12681" i="3"/>
  <c r="L12681" i="3"/>
  <c r="J12681" i="3"/>
  <c r="K12681" i="3" s="1"/>
  <c r="H12681" i="3"/>
  <c r="G12681" i="3"/>
  <c r="I12681" i="3" s="1"/>
  <c r="F12681" i="3"/>
  <c r="D12681" i="3"/>
  <c r="M12680" i="3"/>
  <c r="L12680" i="3"/>
  <c r="J12680" i="3"/>
  <c r="K12680" i="3" s="1"/>
  <c r="H12680" i="3"/>
  <c r="G12680" i="3"/>
  <c r="I12680" i="3" s="1"/>
  <c r="F12680" i="3"/>
  <c r="D12680" i="3"/>
  <c r="M12679" i="3"/>
  <c r="L12679" i="3"/>
  <c r="J12679" i="3"/>
  <c r="K12679" i="3" s="1"/>
  <c r="H12679" i="3"/>
  <c r="I12679" i="3" s="1"/>
  <c r="G12679" i="3"/>
  <c r="F12679" i="3"/>
  <c r="D12679" i="3"/>
  <c r="M12678" i="3"/>
  <c r="L12678" i="3"/>
  <c r="J12678" i="3"/>
  <c r="K12678" i="3" s="1"/>
  <c r="H12678" i="3"/>
  <c r="G12678" i="3"/>
  <c r="F12678" i="3"/>
  <c r="D12678" i="3"/>
  <c r="M12677" i="3"/>
  <c r="L12677" i="3"/>
  <c r="J12677" i="3"/>
  <c r="K12677" i="3" s="1"/>
  <c r="H12677" i="3"/>
  <c r="G12677" i="3"/>
  <c r="F12677" i="3"/>
  <c r="D12677" i="3"/>
  <c r="M12676" i="3"/>
  <c r="L12676" i="3"/>
  <c r="K12676" i="3"/>
  <c r="J12676" i="3"/>
  <c r="H12676" i="3"/>
  <c r="G12676" i="3"/>
  <c r="F12676" i="3"/>
  <c r="D12676" i="3"/>
  <c r="M12675" i="3"/>
  <c r="L12675" i="3"/>
  <c r="J12675" i="3"/>
  <c r="K12675" i="3" s="1"/>
  <c r="H12675" i="3"/>
  <c r="G12675" i="3"/>
  <c r="F12675" i="3"/>
  <c r="D12675" i="3"/>
  <c r="M12674" i="3"/>
  <c r="L12674" i="3"/>
  <c r="J12674" i="3"/>
  <c r="K12674" i="3" s="1"/>
  <c r="H12674" i="3"/>
  <c r="G12674" i="3"/>
  <c r="F12674" i="3"/>
  <c r="D12674" i="3"/>
  <c r="M12673" i="3"/>
  <c r="L12673" i="3"/>
  <c r="J12673" i="3"/>
  <c r="K12673" i="3" s="1"/>
  <c r="H12673" i="3"/>
  <c r="I12673" i="3" s="1"/>
  <c r="G12673" i="3"/>
  <c r="F12673" i="3"/>
  <c r="D12673" i="3"/>
  <c r="M12672" i="3"/>
  <c r="L12672" i="3"/>
  <c r="J12672" i="3"/>
  <c r="K12672" i="3" s="1"/>
  <c r="H12672" i="3"/>
  <c r="G12672" i="3"/>
  <c r="F12672" i="3"/>
  <c r="D12672" i="3"/>
  <c r="M12671" i="3"/>
  <c r="L12671" i="3"/>
  <c r="J12671" i="3"/>
  <c r="K12671" i="3" s="1"/>
  <c r="H12671" i="3"/>
  <c r="G12671" i="3"/>
  <c r="F12671" i="3"/>
  <c r="D12671" i="3"/>
  <c r="M12670" i="3"/>
  <c r="L12670" i="3"/>
  <c r="J12670" i="3"/>
  <c r="K12670" i="3" s="1"/>
  <c r="H12670" i="3"/>
  <c r="G12670" i="3"/>
  <c r="I12670" i="3" s="1"/>
  <c r="F12670" i="3"/>
  <c r="D12670" i="3"/>
  <c r="M12669" i="3"/>
  <c r="L12669" i="3"/>
  <c r="J12669" i="3"/>
  <c r="K12669" i="3" s="1"/>
  <c r="H12669" i="3"/>
  <c r="G12669" i="3"/>
  <c r="I12669" i="3" s="1"/>
  <c r="F12669" i="3"/>
  <c r="D12669" i="3"/>
  <c r="M12668" i="3"/>
  <c r="L12668" i="3"/>
  <c r="J12668" i="3"/>
  <c r="K12668" i="3" s="1"/>
  <c r="H12668" i="3"/>
  <c r="G12668" i="3"/>
  <c r="F12668" i="3"/>
  <c r="D12668" i="3"/>
  <c r="M12667" i="3"/>
  <c r="L12667" i="3"/>
  <c r="J12667" i="3"/>
  <c r="K12667" i="3" s="1"/>
  <c r="H12667" i="3"/>
  <c r="G12667" i="3"/>
  <c r="F12667" i="3"/>
  <c r="D12667" i="3"/>
  <c r="M12666" i="3"/>
  <c r="L12666" i="3"/>
  <c r="J12666" i="3"/>
  <c r="K12666" i="3" s="1"/>
  <c r="H12666" i="3"/>
  <c r="G12666" i="3"/>
  <c r="I12666" i="3" s="1"/>
  <c r="F12666" i="3"/>
  <c r="D12666" i="3"/>
  <c r="M12665" i="3"/>
  <c r="L12665" i="3"/>
  <c r="J12665" i="3"/>
  <c r="K12665" i="3" s="1"/>
  <c r="H12665" i="3"/>
  <c r="G12665" i="3"/>
  <c r="I12665" i="3" s="1"/>
  <c r="F12665" i="3"/>
  <c r="D12665" i="3"/>
  <c r="M12664" i="3"/>
  <c r="L12664" i="3"/>
  <c r="J12664" i="3"/>
  <c r="K12664" i="3" s="1"/>
  <c r="H12664" i="3"/>
  <c r="G12664" i="3"/>
  <c r="F12664" i="3"/>
  <c r="D12664" i="3"/>
  <c r="M12663" i="3"/>
  <c r="L12663" i="3"/>
  <c r="J12663" i="3"/>
  <c r="K12663" i="3" s="1"/>
  <c r="H12663" i="3"/>
  <c r="G12663" i="3"/>
  <c r="F12663" i="3"/>
  <c r="D12663" i="3"/>
  <c r="M12662" i="3"/>
  <c r="L12662" i="3"/>
  <c r="J12662" i="3"/>
  <c r="K12662" i="3" s="1"/>
  <c r="H12662" i="3"/>
  <c r="G12662" i="3"/>
  <c r="I12662" i="3" s="1"/>
  <c r="F12662" i="3"/>
  <c r="D12662" i="3"/>
  <c r="M12661" i="3"/>
  <c r="L12661" i="3"/>
  <c r="J12661" i="3"/>
  <c r="K12661" i="3" s="1"/>
  <c r="H12661" i="3"/>
  <c r="G12661" i="3"/>
  <c r="I12661" i="3" s="1"/>
  <c r="F12661" i="3"/>
  <c r="D12661" i="3"/>
  <c r="M12660" i="3"/>
  <c r="L12660" i="3"/>
  <c r="J12660" i="3"/>
  <c r="K12660" i="3" s="1"/>
  <c r="H12660" i="3"/>
  <c r="G12660" i="3"/>
  <c r="F12660" i="3"/>
  <c r="D12660" i="3"/>
  <c r="M12659" i="3"/>
  <c r="L12659" i="3"/>
  <c r="J12659" i="3"/>
  <c r="K12659" i="3" s="1"/>
  <c r="H12659" i="3"/>
  <c r="G12659" i="3"/>
  <c r="F12659" i="3"/>
  <c r="D12659" i="3"/>
  <c r="M12658" i="3"/>
  <c r="L12658" i="3"/>
  <c r="J12658" i="3"/>
  <c r="K12658" i="3" s="1"/>
  <c r="H12658" i="3"/>
  <c r="G12658" i="3"/>
  <c r="F12658" i="3"/>
  <c r="D12658" i="3"/>
  <c r="M12657" i="3"/>
  <c r="L12657" i="3"/>
  <c r="J12657" i="3"/>
  <c r="K12657" i="3" s="1"/>
  <c r="H12657" i="3"/>
  <c r="I12657" i="3" s="1"/>
  <c r="G12657" i="3"/>
  <c r="F12657" i="3"/>
  <c r="D12657" i="3"/>
  <c r="M12656" i="3"/>
  <c r="L12656" i="3"/>
  <c r="J12656" i="3"/>
  <c r="K12656" i="3" s="1"/>
  <c r="H12656" i="3"/>
  <c r="G12656" i="3"/>
  <c r="F12656" i="3"/>
  <c r="D12656" i="3"/>
  <c r="M12655" i="3"/>
  <c r="L12655" i="3"/>
  <c r="J12655" i="3"/>
  <c r="K12655" i="3" s="1"/>
  <c r="H12655" i="3"/>
  <c r="G12655" i="3"/>
  <c r="F12655" i="3"/>
  <c r="D12655" i="3"/>
  <c r="M12654" i="3"/>
  <c r="L12654" i="3"/>
  <c r="J12654" i="3"/>
  <c r="K12654" i="3" s="1"/>
  <c r="H12654" i="3"/>
  <c r="G12654" i="3"/>
  <c r="I12654" i="3" s="1"/>
  <c r="F12654" i="3"/>
  <c r="D12654" i="3"/>
  <c r="M12653" i="3"/>
  <c r="L12653" i="3"/>
  <c r="J12653" i="3"/>
  <c r="K12653" i="3" s="1"/>
  <c r="H12653" i="3"/>
  <c r="G12653" i="3"/>
  <c r="I12653" i="3" s="1"/>
  <c r="F12653" i="3"/>
  <c r="D12653" i="3"/>
  <c r="M12652" i="3"/>
  <c r="L12652" i="3"/>
  <c r="J12652" i="3"/>
  <c r="K12652" i="3" s="1"/>
  <c r="H12652" i="3"/>
  <c r="G12652" i="3"/>
  <c r="F12652" i="3"/>
  <c r="D12652" i="3"/>
  <c r="M12651" i="3"/>
  <c r="L12651" i="3"/>
  <c r="J12651" i="3"/>
  <c r="K12651" i="3" s="1"/>
  <c r="H12651" i="3"/>
  <c r="G12651" i="3"/>
  <c r="F12651" i="3"/>
  <c r="D12651" i="3"/>
  <c r="M12650" i="3"/>
  <c r="L12650" i="3"/>
  <c r="J12650" i="3"/>
  <c r="K12650" i="3" s="1"/>
  <c r="H12650" i="3"/>
  <c r="G12650" i="3"/>
  <c r="I12650" i="3" s="1"/>
  <c r="F12650" i="3"/>
  <c r="D12650" i="3"/>
  <c r="S529" i="1"/>
  <c r="J529" i="1"/>
  <c r="F529" i="1"/>
  <c r="C529" i="1"/>
  <c r="K24" i="33"/>
  <c r="AJ528" i="23"/>
  <c r="M527" i="23"/>
  <c r="O527" i="23"/>
  <c r="P527" i="23"/>
  <c r="S527" i="23"/>
  <c r="V527" i="23"/>
  <c r="W527" i="23"/>
  <c r="X527" i="23"/>
  <c r="Y527" i="23"/>
  <c r="Z527" i="23"/>
  <c r="AA527" i="23"/>
  <c r="AB527" i="23"/>
  <c r="AC527" i="23"/>
  <c r="AD527" i="23" s="1"/>
  <c r="AE527" i="23"/>
  <c r="AF527" i="23"/>
  <c r="AG527" i="23"/>
  <c r="AH527" i="23"/>
  <c r="AI527" i="23"/>
  <c r="AJ527" i="23"/>
  <c r="AK527" i="23"/>
  <c r="AL527" i="23"/>
  <c r="AM527" i="23"/>
  <c r="AN527" i="23"/>
  <c r="AO527" i="23"/>
  <c r="AP527" i="23"/>
  <c r="AQ527" i="23"/>
  <c r="AR527" i="23"/>
  <c r="M528" i="23"/>
  <c r="O528" i="23"/>
  <c r="P528" i="23"/>
  <c r="S528" i="23"/>
  <c r="V528" i="23"/>
  <c r="W528" i="23"/>
  <c r="X528" i="23"/>
  <c r="Y528" i="23"/>
  <c r="Z528" i="23"/>
  <c r="AA528" i="23"/>
  <c r="AB528" i="23"/>
  <c r="AI528" i="23" s="1"/>
  <c r="AC528" i="23"/>
  <c r="AE528" i="23"/>
  <c r="AF528" i="23"/>
  <c r="AG528" i="23"/>
  <c r="AH528" i="23"/>
  <c r="AL528" i="23"/>
  <c r="AM528" i="23"/>
  <c r="AO528" i="23"/>
  <c r="AP528" i="23"/>
  <c r="AQ528" i="23"/>
  <c r="AR528" i="23"/>
  <c r="F528" i="23"/>
  <c r="J527" i="23"/>
  <c r="J528" i="23" s="1"/>
  <c r="F527" i="23"/>
  <c r="E527" i="23"/>
  <c r="E528" i="23" s="1"/>
  <c r="C527" i="23"/>
  <c r="C528" i="23" s="1"/>
  <c r="E322" i="5"/>
  <c r="E323" i="5"/>
  <c r="E324" i="5"/>
  <c r="E325" i="5"/>
  <c r="M12649" i="3"/>
  <c r="L12649" i="3"/>
  <c r="J12649" i="3"/>
  <c r="K12649" i="3" s="1"/>
  <c r="H12649" i="3"/>
  <c r="G12649" i="3"/>
  <c r="F12649" i="3"/>
  <c r="D12649" i="3"/>
  <c r="M12648" i="3"/>
  <c r="L12648" i="3"/>
  <c r="J12648" i="3"/>
  <c r="K12648" i="3" s="1"/>
  <c r="H12648" i="3"/>
  <c r="G12648" i="3"/>
  <c r="I12648" i="3" s="1"/>
  <c r="F12648" i="3"/>
  <c r="D12648" i="3"/>
  <c r="M12647" i="3"/>
  <c r="L12647" i="3"/>
  <c r="J12647" i="3"/>
  <c r="K12647" i="3" s="1"/>
  <c r="H12647" i="3"/>
  <c r="G12647" i="3"/>
  <c r="F12647" i="3"/>
  <c r="D12647" i="3"/>
  <c r="M12646" i="3"/>
  <c r="L12646" i="3"/>
  <c r="K12646" i="3"/>
  <c r="J12646" i="3"/>
  <c r="H12646" i="3"/>
  <c r="G12646" i="3"/>
  <c r="I12646" i="3" s="1"/>
  <c r="F12646" i="3"/>
  <c r="D12646" i="3"/>
  <c r="M12645" i="3"/>
  <c r="L12645" i="3"/>
  <c r="J12645" i="3"/>
  <c r="K12645" i="3" s="1"/>
  <c r="H12645" i="3"/>
  <c r="G12645" i="3"/>
  <c r="I12645" i="3" s="1"/>
  <c r="F12645" i="3"/>
  <c r="D12645" i="3"/>
  <c r="M12644" i="3"/>
  <c r="L12644" i="3"/>
  <c r="J12644" i="3"/>
  <c r="K12644" i="3" s="1"/>
  <c r="I12644" i="3"/>
  <c r="H12644" i="3"/>
  <c r="G12644" i="3"/>
  <c r="F12644" i="3"/>
  <c r="D12644" i="3"/>
  <c r="M12643" i="3"/>
  <c r="L12643" i="3"/>
  <c r="J12643" i="3"/>
  <c r="K12643" i="3" s="1"/>
  <c r="H12643" i="3"/>
  <c r="I12643" i="3" s="1"/>
  <c r="G12643" i="3"/>
  <c r="F12643" i="3"/>
  <c r="D12643" i="3"/>
  <c r="M12642" i="3"/>
  <c r="L12642" i="3"/>
  <c r="J12642" i="3"/>
  <c r="K12642" i="3" s="1"/>
  <c r="H12642" i="3"/>
  <c r="G12642" i="3"/>
  <c r="F12642" i="3"/>
  <c r="D12642" i="3"/>
  <c r="M12641" i="3"/>
  <c r="L12641" i="3"/>
  <c r="J12641" i="3"/>
  <c r="K12641" i="3" s="1"/>
  <c r="H12641" i="3"/>
  <c r="G12641" i="3"/>
  <c r="I12641" i="3" s="1"/>
  <c r="F12641" i="3"/>
  <c r="D12641" i="3"/>
  <c r="M12640" i="3"/>
  <c r="L12640" i="3"/>
  <c r="J12640" i="3"/>
  <c r="K12640" i="3" s="1"/>
  <c r="H12640" i="3"/>
  <c r="G12640" i="3"/>
  <c r="F12640" i="3"/>
  <c r="D12640" i="3"/>
  <c r="M12639" i="3"/>
  <c r="L12639" i="3"/>
  <c r="J12639" i="3"/>
  <c r="K12639" i="3" s="1"/>
  <c r="H12639" i="3"/>
  <c r="G12639" i="3"/>
  <c r="F12639" i="3"/>
  <c r="D12639" i="3"/>
  <c r="M12638" i="3"/>
  <c r="L12638" i="3"/>
  <c r="J12638" i="3"/>
  <c r="K12638" i="3" s="1"/>
  <c r="H12638" i="3"/>
  <c r="G12638" i="3"/>
  <c r="F12638" i="3"/>
  <c r="D12638" i="3"/>
  <c r="M12637" i="3"/>
  <c r="L12637" i="3"/>
  <c r="J12637" i="3"/>
  <c r="K12637" i="3" s="1"/>
  <c r="H12637" i="3"/>
  <c r="G12637" i="3"/>
  <c r="F12637" i="3"/>
  <c r="D12637" i="3"/>
  <c r="M12636" i="3"/>
  <c r="L12636" i="3"/>
  <c r="J12636" i="3"/>
  <c r="K12636" i="3" s="1"/>
  <c r="H12636" i="3"/>
  <c r="G12636" i="3"/>
  <c r="F12636" i="3"/>
  <c r="D12636" i="3"/>
  <c r="M12635" i="3"/>
  <c r="L12635" i="3"/>
  <c r="J12635" i="3"/>
  <c r="K12635" i="3" s="1"/>
  <c r="H12635" i="3"/>
  <c r="G12635" i="3"/>
  <c r="F12635" i="3"/>
  <c r="D12635" i="3"/>
  <c r="M12634" i="3"/>
  <c r="L12634" i="3"/>
  <c r="J12634" i="3"/>
  <c r="K12634" i="3" s="1"/>
  <c r="H12634" i="3"/>
  <c r="G12634" i="3"/>
  <c r="I12634" i="3" s="1"/>
  <c r="F12634" i="3"/>
  <c r="D12634" i="3"/>
  <c r="M12633" i="3"/>
  <c r="L12633" i="3"/>
  <c r="J12633" i="3"/>
  <c r="K12633" i="3" s="1"/>
  <c r="H12633" i="3"/>
  <c r="G12633" i="3"/>
  <c r="F12633" i="3"/>
  <c r="D12633" i="3"/>
  <c r="M12632" i="3"/>
  <c r="L12632" i="3"/>
  <c r="J12632" i="3"/>
  <c r="K12632" i="3" s="1"/>
  <c r="H12632" i="3"/>
  <c r="I12632" i="3" s="1"/>
  <c r="G12632" i="3"/>
  <c r="F12632" i="3"/>
  <c r="D12632" i="3"/>
  <c r="M12631" i="3"/>
  <c r="L12631" i="3"/>
  <c r="J12631" i="3"/>
  <c r="K12631" i="3" s="1"/>
  <c r="H12631" i="3"/>
  <c r="I12631" i="3" s="1"/>
  <c r="G12631" i="3"/>
  <c r="F12631" i="3"/>
  <c r="D12631" i="3"/>
  <c r="M12630" i="3"/>
  <c r="L12630" i="3"/>
  <c r="J12630" i="3"/>
  <c r="K12630" i="3" s="1"/>
  <c r="H12630" i="3"/>
  <c r="G12630" i="3"/>
  <c r="I12630" i="3" s="1"/>
  <c r="F12630" i="3"/>
  <c r="D12630" i="3"/>
  <c r="M12629" i="3"/>
  <c r="L12629" i="3"/>
  <c r="J12629" i="3"/>
  <c r="K12629" i="3" s="1"/>
  <c r="H12629" i="3"/>
  <c r="G12629" i="3"/>
  <c r="I12629" i="3" s="1"/>
  <c r="F12629" i="3"/>
  <c r="D12629" i="3"/>
  <c r="M12628" i="3"/>
  <c r="L12628" i="3"/>
  <c r="J12628" i="3"/>
  <c r="K12628" i="3" s="1"/>
  <c r="H12628" i="3"/>
  <c r="G12628" i="3"/>
  <c r="F12628" i="3"/>
  <c r="D12628" i="3"/>
  <c r="M12627" i="3"/>
  <c r="L12627" i="3"/>
  <c r="J12627" i="3"/>
  <c r="K12627" i="3" s="1"/>
  <c r="H12627" i="3"/>
  <c r="G12627" i="3"/>
  <c r="I12627" i="3" s="1"/>
  <c r="F12627" i="3"/>
  <c r="D12627" i="3"/>
  <c r="M12626" i="3"/>
  <c r="L12626" i="3"/>
  <c r="J12626" i="3"/>
  <c r="K12626" i="3" s="1"/>
  <c r="H12626" i="3"/>
  <c r="G12626" i="3"/>
  <c r="F12626" i="3"/>
  <c r="D12626" i="3"/>
  <c r="S528" i="1"/>
  <c r="J528" i="1"/>
  <c r="F528" i="1"/>
  <c r="C528" i="1"/>
  <c r="M526" i="23"/>
  <c r="O526" i="23"/>
  <c r="P526" i="23"/>
  <c r="S526" i="23"/>
  <c r="V526" i="23"/>
  <c r="W526" i="23"/>
  <c r="X526" i="23"/>
  <c r="Y526" i="23"/>
  <c r="Z526" i="23"/>
  <c r="AA526" i="23"/>
  <c r="AB526" i="23"/>
  <c r="AI526" i="23" s="1"/>
  <c r="AC526" i="23"/>
  <c r="AD526" i="23" s="1"/>
  <c r="AE526" i="23"/>
  <c r="AP526" i="23" s="1"/>
  <c r="AF526" i="23"/>
  <c r="AG526" i="23"/>
  <c r="AH526" i="23"/>
  <c r="AJ526" i="23"/>
  <c r="AK526" i="23"/>
  <c r="AL526" i="23"/>
  <c r="AM526" i="23"/>
  <c r="AN526" i="23"/>
  <c r="AO526" i="23"/>
  <c r="AQ526" i="23"/>
  <c r="AR526" i="23"/>
  <c r="J526" i="23"/>
  <c r="F526" i="23"/>
  <c r="E526" i="23"/>
  <c r="C526" i="23"/>
  <c r="M12625" i="3"/>
  <c r="L12625" i="3"/>
  <c r="J12625" i="3"/>
  <c r="K12625" i="3" s="1"/>
  <c r="H12625" i="3"/>
  <c r="G12625" i="3"/>
  <c r="I12625" i="3" s="1"/>
  <c r="F12625" i="3"/>
  <c r="D12625" i="3"/>
  <c r="M12624" i="3"/>
  <c r="L12624" i="3"/>
  <c r="J12624" i="3"/>
  <c r="K12624" i="3" s="1"/>
  <c r="H12624" i="3"/>
  <c r="G12624" i="3"/>
  <c r="F12624" i="3"/>
  <c r="D12624" i="3"/>
  <c r="M12623" i="3"/>
  <c r="L12623" i="3"/>
  <c r="J12623" i="3"/>
  <c r="K12623" i="3" s="1"/>
  <c r="H12623" i="3"/>
  <c r="I12623" i="3" s="1"/>
  <c r="G12623" i="3"/>
  <c r="F12623" i="3"/>
  <c r="D12623" i="3"/>
  <c r="M12622" i="3"/>
  <c r="L12622" i="3"/>
  <c r="J12622" i="3"/>
  <c r="K12622" i="3" s="1"/>
  <c r="H12622" i="3"/>
  <c r="G12622" i="3"/>
  <c r="I12622" i="3" s="1"/>
  <c r="F12622" i="3"/>
  <c r="D12622" i="3"/>
  <c r="M12621" i="3"/>
  <c r="L12621" i="3"/>
  <c r="J12621" i="3"/>
  <c r="K12621" i="3" s="1"/>
  <c r="H12621" i="3"/>
  <c r="G12621" i="3"/>
  <c r="I12621" i="3" s="1"/>
  <c r="F12621" i="3"/>
  <c r="D12621" i="3"/>
  <c r="M12620" i="3"/>
  <c r="L12620" i="3"/>
  <c r="J12620" i="3"/>
  <c r="K12620" i="3" s="1"/>
  <c r="H12620" i="3"/>
  <c r="G12620" i="3"/>
  <c r="I12620" i="3" s="1"/>
  <c r="F12620" i="3"/>
  <c r="D12620" i="3"/>
  <c r="M12619" i="3"/>
  <c r="L12619" i="3"/>
  <c r="J12619" i="3"/>
  <c r="K12619" i="3" s="1"/>
  <c r="H12619" i="3"/>
  <c r="I12619" i="3" s="1"/>
  <c r="G12619" i="3"/>
  <c r="F12619" i="3"/>
  <c r="D12619" i="3"/>
  <c r="M12618" i="3"/>
  <c r="L12618" i="3"/>
  <c r="J12618" i="3"/>
  <c r="K12618" i="3" s="1"/>
  <c r="H12618" i="3"/>
  <c r="G12618" i="3"/>
  <c r="I12618" i="3" s="1"/>
  <c r="F12618" i="3"/>
  <c r="D12618" i="3"/>
  <c r="M12617" i="3"/>
  <c r="L12617" i="3"/>
  <c r="J12617" i="3"/>
  <c r="K12617" i="3" s="1"/>
  <c r="H12617" i="3"/>
  <c r="G12617" i="3"/>
  <c r="I12617" i="3" s="1"/>
  <c r="F12617" i="3"/>
  <c r="D12617" i="3"/>
  <c r="M12616" i="3"/>
  <c r="L12616" i="3"/>
  <c r="J12616" i="3"/>
  <c r="K12616" i="3" s="1"/>
  <c r="H12616" i="3"/>
  <c r="G12616" i="3"/>
  <c r="I12616" i="3" s="1"/>
  <c r="F12616" i="3"/>
  <c r="D12616" i="3"/>
  <c r="M12615" i="3"/>
  <c r="L12615" i="3"/>
  <c r="J12615" i="3"/>
  <c r="K12615" i="3" s="1"/>
  <c r="H12615" i="3"/>
  <c r="I12615" i="3" s="1"/>
  <c r="G12615" i="3"/>
  <c r="F12615" i="3"/>
  <c r="D12615" i="3"/>
  <c r="M12614" i="3"/>
  <c r="L12614" i="3"/>
  <c r="J12614" i="3"/>
  <c r="K12614" i="3" s="1"/>
  <c r="H12614" i="3"/>
  <c r="G12614" i="3"/>
  <c r="I12614" i="3" s="1"/>
  <c r="F12614" i="3"/>
  <c r="D12614" i="3"/>
  <c r="M12613" i="3"/>
  <c r="L12613" i="3"/>
  <c r="J12613" i="3"/>
  <c r="K12613" i="3" s="1"/>
  <c r="H12613" i="3"/>
  <c r="G12613" i="3"/>
  <c r="I12613" i="3" s="1"/>
  <c r="F12613" i="3"/>
  <c r="D12613" i="3"/>
  <c r="M12612" i="3"/>
  <c r="L12612" i="3"/>
  <c r="J12612" i="3"/>
  <c r="K12612" i="3" s="1"/>
  <c r="H12612" i="3"/>
  <c r="G12612" i="3"/>
  <c r="I12612" i="3" s="1"/>
  <c r="F12612" i="3"/>
  <c r="D12612" i="3"/>
  <c r="M12611" i="3"/>
  <c r="L12611" i="3"/>
  <c r="J12611" i="3"/>
  <c r="K12611" i="3" s="1"/>
  <c r="H12611" i="3"/>
  <c r="I12611" i="3" s="1"/>
  <c r="G12611" i="3"/>
  <c r="F12611" i="3"/>
  <c r="D12611" i="3"/>
  <c r="M12610" i="3"/>
  <c r="L12610" i="3"/>
  <c r="J12610" i="3"/>
  <c r="K12610" i="3" s="1"/>
  <c r="H12610" i="3"/>
  <c r="G12610" i="3"/>
  <c r="I12610" i="3" s="1"/>
  <c r="F12610" i="3"/>
  <c r="D12610" i="3"/>
  <c r="M12609" i="3"/>
  <c r="L12609" i="3"/>
  <c r="J12609" i="3"/>
  <c r="K12609" i="3" s="1"/>
  <c r="H12609" i="3"/>
  <c r="G12609" i="3"/>
  <c r="I12609" i="3" s="1"/>
  <c r="F12609" i="3"/>
  <c r="D12609" i="3"/>
  <c r="M12608" i="3"/>
  <c r="L12608" i="3"/>
  <c r="J12608" i="3"/>
  <c r="K12608" i="3" s="1"/>
  <c r="H12608" i="3"/>
  <c r="G12608" i="3"/>
  <c r="I12608" i="3" s="1"/>
  <c r="F12608" i="3"/>
  <c r="D12608" i="3"/>
  <c r="M12607" i="3"/>
  <c r="L12607" i="3"/>
  <c r="J12607" i="3"/>
  <c r="K12607" i="3" s="1"/>
  <c r="H12607" i="3"/>
  <c r="I12607" i="3" s="1"/>
  <c r="G12607" i="3"/>
  <c r="F12607" i="3"/>
  <c r="D12607" i="3"/>
  <c r="M12606" i="3"/>
  <c r="L12606" i="3"/>
  <c r="J12606" i="3"/>
  <c r="K12606" i="3" s="1"/>
  <c r="H12606" i="3"/>
  <c r="G12606" i="3"/>
  <c r="I12606" i="3" s="1"/>
  <c r="F12606" i="3"/>
  <c r="D12606" i="3"/>
  <c r="M12605" i="3"/>
  <c r="L12605" i="3"/>
  <c r="J12605" i="3"/>
  <c r="K12605" i="3" s="1"/>
  <c r="H12605" i="3"/>
  <c r="G12605" i="3"/>
  <c r="I12605" i="3" s="1"/>
  <c r="F12605" i="3"/>
  <c r="D12605" i="3"/>
  <c r="M12604" i="3"/>
  <c r="L12604" i="3"/>
  <c r="J12604" i="3"/>
  <c r="K12604" i="3" s="1"/>
  <c r="H12604" i="3"/>
  <c r="G12604" i="3"/>
  <c r="I12604" i="3" s="1"/>
  <c r="F12604" i="3"/>
  <c r="D12604" i="3"/>
  <c r="M12603" i="3"/>
  <c r="L12603" i="3"/>
  <c r="J12603" i="3"/>
  <c r="K12603" i="3" s="1"/>
  <c r="H12603" i="3"/>
  <c r="I12603" i="3" s="1"/>
  <c r="G12603" i="3"/>
  <c r="F12603" i="3"/>
  <c r="D12603" i="3"/>
  <c r="M12602" i="3"/>
  <c r="L12602" i="3"/>
  <c r="K12602" i="3"/>
  <c r="J12602" i="3"/>
  <c r="H12602" i="3"/>
  <c r="G12602" i="3"/>
  <c r="I12602" i="3" s="1"/>
  <c r="F12602" i="3"/>
  <c r="D12602" i="3"/>
  <c r="S527" i="1"/>
  <c r="J527" i="1"/>
  <c r="F527" i="1"/>
  <c r="C527" i="1"/>
  <c r="S526" i="1"/>
  <c r="O523" i="23"/>
  <c r="P523" i="23"/>
  <c r="V523" i="23"/>
  <c r="W523" i="23"/>
  <c r="X523" i="23"/>
  <c r="Z523" i="23"/>
  <c r="AA523" i="23"/>
  <c r="AB523" i="23"/>
  <c r="AE523" i="23"/>
  <c r="AF523" i="23"/>
  <c r="AH523" i="23"/>
  <c r="AI523" i="23"/>
  <c r="AJ523" i="23"/>
  <c r="AK523" i="23"/>
  <c r="AM523" i="23"/>
  <c r="AN523" i="23"/>
  <c r="AO523" i="23"/>
  <c r="AP523" i="23"/>
  <c r="AR523" i="23"/>
  <c r="O524" i="23"/>
  <c r="P524" i="23"/>
  <c r="V524" i="23"/>
  <c r="W524" i="23"/>
  <c r="X524" i="23"/>
  <c r="Z524" i="23"/>
  <c r="AA524" i="23"/>
  <c r="AB524" i="23"/>
  <c r="AK524" i="23" s="1"/>
  <c r="AE524" i="23"/>
  <c r="AP524" i="23" s="1"/>
  <c r="AF524" i="23"/>
  <c r="AH524" i="23"/>
  <c r="AJ524" i="23"/>
  <c r="AM524" i="23"/>
  <c r="AN524" i="23"/>
  <c r="AO524" i="23"/>
  <c r="AR524" i="23"/>
  <c r="O525" i="23"/>
  <c r="P525" i="23"/>
  <c r="V525" i="23"/>
  <c r="W525" i="23"/>
  <c r="X525" i="23"/>
  <c r="Z525" i="23"/>
  <c r="AA525" i="23"/>
  <c r="AB525" i="23"/>
  <c r="AE525" i="23"/>
  <c r="AH525" i="23"/>
  <c r="AI525" i="23"/>
  <c r="AK525" i="23"/>
  <c r="AM525" i="23"/>
  <c r="AN525" i="23"/>
  <c r="AO525" i="23"/>
  <c r="AP525" i="23"/>
  <c r="AR525" i="23"/>
  <c r="I12783" i="3" l="1"/>
  <c r="I12790" i="3"/>
  <c r="I12775" i="3"/>
  <c r="I12776" i="3"/>
  <c r="I12782" i="3"/>
  <c r="I12787" i="3"/>
  <c r="I12788" i="3"/>
  <c r="T534" i="1"/>
  <c r="I12770" i="3"/>
  <c r="I12778" i="3"/>
  <c r="I12786" i="3"/>
  <c r="I12771" i="3"/>
  <c r="I12772" i="3"/>
  <c r="I12774" i="3"/>
  <c r="I12779" i="3"/>
  <c r="I12780" i="3"/>
  <c r="I12791" i="3"/>
  <c r="I12792" i="3"/>
  <c r="R533" i="1"/>
  <c r="T533" i="1"/>
  <c r="I12751" i="3"/>
  <c r="I12755" i="3"/>
  <c r="I12759" i="3"/>
  <c r="I12763" i="3"/>
  <c r="I12749" i="3"/>
  <c r="I12753" i="3"/>
  <c r="I12757" i="3"/>
  <c r="I12761" i="3"/>
  <c r="I12765" i="3"/>
  <c r="I12769" i="3"/>
  <c r="I12725" i="3"/>
  <c r="I12726" i="3"/>
  <c r="I12727" i="3"/>
  <c r="I12736" i="3"/>
  <c r="I12722" i="3"/>
  <c r="I12723" i="3"/>
  <c r="I12729" i="3"/>
  <c r="I12739" i="3"/>
  <c r="T532" i="1"/>
  <c r="I12735" i="3"/>
  <c r="I12731" i="3"/>
  <c r="I12733" i="3"/>
  <c r="I12745" i="3"/>
  <c r="I12704" i="3"/>
  <c r="I12709" i="3"/>
  <c r="I12699" i="3"/>
  <c r="I12713" i="3"/>
  <c r="I12714" i="3"/>
  <c r="R531" i="1"/>
  <c r="T531" i="1"/>
  <c r="I12700" i="3"/>
  <c r="I12702" i="3"/>
  <c r="I12716" i="3"/>
  <c r="I12718" i="3"/>
  <c r="I12698" i="3"/>
  <c r="I12707" i="3"/>
  <c r="I12710" i="3"/>
  <c r="I12712" i="3"/>
  <c r="I12703" i="3"/>
  <c r="I12706" i="3"/>
  <c r="I12708" i="3"/>
  <c r="I12719" i="3"/>
  <c r="I12720" i="3"/>
  <c r="I12676" i="3"/>
  <c r="I12677" i="3"/>
  <c r="I12678" i="3"/>
  <c r="I12686" i="3"/>
  <c r="I12674" i="3"/>
  <c r="I12692" i="3"/>
  <c r="I12693" i="3"/>
  <c r="I12695" i="3"/>
  <c r="I12675" i="3"/>
  <c r="I12683" i="3"/>
  <c r="I12688" i="3"/>
  <c r="I12689" i="3"/>
  <c r="I12691" i="3"/>
  <c r="I12696" i="3"/>
  <c r="I12658" i="3"/>
  <c r="I12651" i="3"/>
  <c r="I12652" i="3"/>
  <c r="I12655" i="3"/>
  <c r="I12656" i="3"/>
  <c r="I12659" i="3"/>
  <c r="I12660" i="3"/>
  <c r="I12663" i="3"/>
  <c r="I12664" i="3"/>
  <c r="I12667" i="3"/>
  <c r="I12668" i="3"/>
  <c r="I12671" i="3"/>
  <c r="I12672" i="3"/>
  <c r="AD528" i="23"/>
  <c r="AK528" i="23"/>
  <c r="AN528" i="23"/>
  <c r="I12640" i="3"/>
  <c r="I12626" i="3"/>
  <c r="I12635" i="3"/>
  <c r="I12649" i="3"/>
  <c r="I12636" i="3"/>
  <c r="I12628" i="3"/>
  <c r="I12633" i="3"/>
  <c r="I12638" i="3"/>
  <c r="I12639" i="3"/>
  <c r="I12647" i="3"/>
  <c r="I12637" i="3"/>
  <c r="I12642" i="3"/>
  <c r="I12624" i="3"/>
  <c r="AI524" i="23"/>
  <c r="AF525" i="23"/>
  <c r="AJ525" i="23" s="1"/>
  <c r="M12601" i="3" l="1"/>
  <c r="L12601" i="3"/>
  <c r="J12601" i="3"/>
  <c r="K12601" i="3" s="1"/>
  <c r="H12601" i="3"/>
  <c r="G12601" i="3"/>
  <c r="F12601" i="3"/>
  <c r="D12601" i="3"/>
  <c r="M12600" i="3"/>
  <c r="L12600" i="3"/>
  <c r="J12600" i="3"/>
  <c r="K12600" i="3" s="1"/>
  <c r="H12600" i="3"/>
  <c r="G12600" i="3"/>
  <c r="F12600" i="3"/>
  <c r="D12600" i="3"/>
  <c r="M12599" i="3"/>
  <c r="L12599" i="3"/>
  <c r="K12599" i="3"/>
  <c r="J12599" i="3"/>
  <c r="H12599" i="3"/>
  <c r="G12599" i="3"/>
  <c r="F12599" i="3"/>
  <c r="D12599" i="3"/>
  <c r="M12598" i="3"/>
  <c r="L12598" i="3"/>
  <c r="J12598" i="3"/>
  <c r="K12598" i="3" s="1"/>
  <c r="H12598" i="3"/>
  <c r="G12598" i="3"/>
  <c r="F12598" i="3"/>
  <c r="D12598" i="3"/>
  <c r="M12597" i="3"/>
  <c r="L12597" i="3"/>
  <c r="J12597" i="3"/>
  <c r="K12597" i="3" s="1"/>
  <c r="H12597" i="3"/>
  <c r="G12597" i="3"/>
  <c r="F12597" i="3"/>
  <c r="D12597" i="3"/>
  <c r="M12596" i="3"/>
  <c r="L12596" i="3"/>
  <c r="J12596" i="3"/>
  <c r="K12596" i="3" s="1"/>
  <c r="H12596" i="3"/>
  <c r="G12596" i="3"/>
  <c r="I12596" i="3" s="1"/>
  <c r="F12596" i="3"/>
  <c r="D12596" i="3"/>
  <c r="M12595" i="3"/>
  <c r="L12595" i="3"/>
  <c r="J12595" i="3"/>
  <c r="K12595" i="3" s="1"/>
  <c r="H12595" i="3"/>
  <c r="G12595" i="3"/>
  <c r="I12595" i="3" s="1"/>
  <c r="F12595" i="3"/>
  <c r="D12595" i="3"/>
  <c r="M12594" i="3"/>
  <c r="L12594" i="3"/>
  <c r="J12594" i="3"/>
  <c r="K12594" i="3" s="1"/>
  <c r="H12594" i="3"/>
  <c r="G12594" i="3"/>
  <c r="F12594" i="3"/>
  <c r="D12594" i="3"/>
  <c r="M12593" i="3"/>
  <c r="L12593" i="3"/>
  <c r="J12593" i="3"/>
  <c r="K12593" i="3" s="1"/>
  <c r="H12593" i="3"/>
  <c r="G12593" i="3"/>
  <c r="F12593" i="3"/>
  <c r="D12593" i="3"/>
  <c r="M12592" i="3"/>
  <c r="L12592" i="3"/>
  <c r="J12592" i="3"/>
  <c r="K12592" i="3" s="1"/>
  <c r="H12592" i="3"/>
  <c r="G12592" i="3"/>
  <c r="I12592" i="3" s="1"/>
  <c r="F12592" i="3"/>
  <c r="D12592" i="3"/>
  <c r="M12591" i="3"/>
  <c r="L12591" i="3"/>
  <c r="J12591" i="3"/>
  <c r="K12591" i="3" s="1"/>
  <c r="H12591" i="3"/>
  <c r="G12591" i="3"/>
  <c r="F12591" i="3"/>
  <c r="D12591" i="3"/>
  <c r="M12590" i="3"/>
  <c r="L12590" i="3"/>
  <c r="J12590" i="3"/>
  <c r="K12590" i="3" s="1"/>
  <c r="H12590" i="3"/>
  <c r="G12590" i="3"/>
  <c r="F12590" i="3"/>
  <c r="D12590" i="3"/>
  <c r="M12589" i="3"/>
  <c r="L12589" i="3"/>
  <c r="J12589" i="3"/>
  <c r="K12589" i="3" s="1"/>
  <c r="H12589" i="3"/>
  <c r="I12589" i="3" s="1"/>
  <c r="G12589" i="3"/>
  <c r="F12589" i="3"/>
  <c r="D12589" i="3"/>
  <c r="M12588" i="3"/>
  <c r="L12588" i="3"/>
  <c r="J12588" i="3"/>
  <c r="K12588" i="3" s="1"/>
  <c r="H12588" i="3"/>
  <c r="G12588" i="3"/>
  <c r="F12588" i="3"/>
  <c r="D12588" i="3"/>
  <c r="M12587" i="3"/>
  <c r="L12587" i="3"/>
  <c r="K12587" i="3"/>
  <c r="J12587" i="3"/>
  <c r="H12587" i="3"/>
  <c r="G12587" i="3"/>
  <c r="F12587" i="3"/>
  <c r="D12587" i="3"/>
  <c r="M12586" i="3"/>
  <c r="L12586" i="3"/>
  <c r="K12586" i="3"/>
  <c r="J12586" i="3"/>
  <c r="H12586" i="3"/>
  <c r="I12586" i="3" s="1"/>
  <c r="G12586" i="3"/>
  <c r="F12586" i="3"/>
  <c r="D12586" i="3"/>
  <c r="M12585" i="3"/>
  <c r="L12585" i="3"/>
  <c r="J12585" i="3"/>
  <c r="K12585" i="3" s="1"/>
  <c r="H12585" i="3"/>
  <c r="G12585" i="3"/>
  <c r="I12585" i="3" s="1"/>
  <c r="F12585" i="3"/>
  <c r="D12585" i="3"/>
  <c r="M12584" i="3"/>
  <c r="L12584" i="3"/>
  <c r="J12584" i="3"/>
  <c r="K12584" i="3" s="1"/>
  <c r="H12584" i="3"/>
  <c r="G12584" i="3"/>
  <c r="F12584" i="3"/>
  <c r="D12584" i="3"/>
  <c r="M12583" i="3"/>
  <c r="L12583" i="3"/>
  <c r="J12583" i="3"/>
  <c r="K12583" i="3" s="1"/>
  <c r="H12583" i="3"/>
  <c r="G12583" i="3"/>
  <c r="F12583" i="3"/>
  <c r="D12583" i="3"/>
  <c r="M12582" i="3"/>
  <c r="L12582" i="3"/>
  <c r="J12582" i="3"/>
  <c r="K12582" i="3" s="1"/>
  <c r="H12582" i="3"/>
  <c r="G12582" i="3"/>
  <c r="F12582" i="3"/>
  <c r="D12582" i="3"/>
  <c r="M12581" i="3"/>
  <c r="L12581" i="3"/>
  <c r="J12581" i="3"/>
  <c r="K12581" i="3" s="1"/>
  <c r="H12581" i="3"/>
  <c r="G12581" i="3"/>
  <c r="F12581" i="3"/>
  <c r="D12581" i="3"/>
  <c r="M12580" i="3"/>
  <c r="L12580" i="3"/>
  <c r="J12580" i="3"/>
  <c r="K12580" i="3" s="1"/>
  <c r="H12580" i="3"/>
  <c r="G12580" i="3"/>
  <c r="F12580" i="3"/>
  <c r="D12580" i="3"/>
  <c r="M12579" i="3"/>
  <c r="L12579" i="3"/>
  <c r="J12579" i="3"/>
  <c r="K12579" i="3" s="1"/>
  <c r="H12579" i="3"/>
  <c r="G12579" i="3"/>
  <c r="F12579" i="3"/>
  <c r="D12579" i="3"/>
  <c r="M12578" i="3"/>
  <c r="L12578" i="3"/>
  <c r="J12578" i="3"/>
  <c r="K12578" i="3" s="1"/>
  <c r="H12578" i="3"/>
  <c r="G12578" i="3"/>
  <c r="F12578" i="3"/>
  <c r="D12578" i="3"/>
  <c r="J526" i="1"/>
  <c r="F526" i="1"/>
  <c r="C526" i="1"/>
  <c r="M525" i="23"/>
  <c r="M524" i="23"/>
  <c r="M523" i="23"/>
  <c r="F525" i="23"/>
  <c r="F524" i="23"/>
  <c r="F523" i="23"/>
  <c r="S525" i="1"/>
  <c r="M519" i="1"/>
  <c r="M520" i="1"/>
  <c r="M521" i="1"/>
  <c r="M522" i="1"/>
  <c r="M523" i="1"/>
  <c r="M524" i="1"/>
  <c r="M525" i="1"/>
  <c r="S12572" i="3"/>
  <c r="S12573" i="3"/>
  <c r="S12574" i="3"/>
  <c r="S12575" i="3"/>
  <c r="S12576" i="3"/>
  <c r="S12577" i="3"/>
  <c r="S12563" i="3"/>
  <c r="S12564" i="3"/>
  <c r="S12565" i="3"/>
  <c r="S12566" i="3"/>
  <c r="S12567" i="3"/>
  <c r="S12568" i="3"/>
  <c r="S12569" i="3"/>
  <c r="S12570" i="3"/>
  <c r="S12571" i="3"/>
  <c r="S12556" i="3"/>
  <c r="S12557" i="3"/>
  <c r="S12558" i="3"/>
  <c r="S12559" i="3"/>
  <c r="S12560" i="3"/>
  <c r="S12561" i="3"/>
  <c r="S12562" i="3"/>
  <c r="S12554" i="3"/>
  <c r="S12555"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M12577" i="3"/>
  <c r="L12577" i="3"/>
  <c r="J12577" i="3"/>
  <c r="K12577" i="3" s="1"/>
  <c r="H12577" i="3"/>
  <c r="G12577" i="3"/>
  <c r="D12577" i="3"/>
  <c r="M12576" i="3"/>
  <c r="L12576" i="3"/>
  <c r="J12576" i="3"/>
  <c r="K12576" i="3" s="1"/>
  <c r="H12576" i="3"/>
  <c r="G12576" i="3"/>
  <c r="D12576" i="3"/>
  <c r="M12575" i="3"/>
  <c r="L12575" i="3"/>
  <c r="J12575" i="3"/>
  <c r="K12575" i="3" s="1"/>
  <c r="H12575" i="3"/>
  <c r="I12575" i="3" s="1"/>
  <c r="G12575" i="3"/>
  <c r="D12575" i="3"/>
  <c r="M12574" i="3"/>
  <c r="L12574" i="3"/>
  <c r="J12574" i="3"/>
  <c r="K12574" i="3" s="1"/>
  <c r="H12574" i="3"/>
  <c r="G12574" i="3"/>
  <c r="D12574" i="3"/>
  <c r="M12573" i="3"/>
  <c r="L12573" i="3"/>
  <c r="J12573" i="3"/>
  <c r="K12573" i="3" s="1"/>
  <c r="H12573" i="3"/>
  <c r="G12573" i="3"/>
  <c r="D12573" i="3"/>
  <c r="M12572" i="3"/>
  <c r="L12572" i="3"/>
  <c r="J12572" i="3"/>
  <c r="K12572" i="3" s="1"/>
  <c r="H12572" i="3"/>
  <c r="G12572" i="3"/>
  <c r="D12572" i="3"/>
  <c r="M12571" i="3"/>
  <c r="L12571" i="3"/>
  <c r="J12571" i="3"/>
  <c r="K12571" i="3" s="1"/>
  <c r="H12571" i="3"/>
  <c r="I12571" i="3" s="1"/>
  <c r="G12571" i="3"/>
  <c r="D12571" i="3"/>
  <c r="M12570" i="3"/>
  <c r="L12570" i="3"/>
  <c r="J12570" i="3"/>
  <c r="K12570" i="3" s="1"/>
  <c r="H12570" i="3"/>
  <c r="I12570" i="3" s="1"/>
  <c r="G12570" i="3"/>
  <c r="D12570" i="3"/>
  <c r="M12569" i="3"/>
  <c r="L12569" i="3"/>
  <c r="J12569" i="3"/>
  <c r="K12569" i="3" s="1"/>
  <c r="H12569" i="3"/>
  <c r="G12569" i="3"/>
  <c r="D12569" i="3"/>
  <c r="M12568" i="3"/>
  <c r="L12568" i="3"/>
  <c r="J12568" i="3"/>
  <c r="K12568" i="3" s="1"/>
  <c r="H12568" i="3"/>
  <c r="G12568" i="3"/>
  <c r="D12568" i="3"/>
  <c r="M12567" i="3"/>
  <c r="L12567" i="3"/>
  <c r="J12567" i="3"/>
  <c r="K12567" i="3" s="1"/>
  <c r="H12567" i="3"/>
  <c r="G12567" i="3"/>
  <c r="D12567" i="3"/>
  <c r="M12566" i="3"/>
  <c r="L12566" i="3"/>
  <c r="K12566" i="3"/>
  <c r="J12566" i="3"/>
  <c r="H12566" i="3"/>
  <c r="G12566" i="3"/>
  <c r="D12566" i="3"/>
  <c r="M12565" i="3"/>
  <c r="L12565" i="3"/>
  <c r="J12565" i="3"/>
  <c r="K12565" i="3" s="1"/>
  <c r="H12565" i="3"/>
  <c r="G12565" i="3"/>
  <c r="D12565" i="3"/>
  <c r="M12564" i="3"/>
  <c r="L12564" i="3"/>
  <c r="J12564" i="3"/>
  <c r="K12564" i="3" s="1"/>
  <c r="H12564" i="3"/>
  <c r="G12564" i="3"/>
  <c r="I12564" i="3" s="1"/>
  <c r="D12564" i="3"/>
  <c r="M12563" i="3"/>
  <c r="L12563" i="3"/>
  <c r="J12563" i="3"/>
  <c r="K12563" i="3" s="1"/>
  <c r="H12563" i="3"/>
  <c r="G12563" i="3"/>
  <c r="D12563" i="3"/>
  <c r="M12562" i="3"/>
  <c r="L12562" i="3"/>
  <c r="K12562" i="3"/>
  <c r="J12562" i="3"/>
  <c r="H12562" i="3"/>
  <c r="G12562" i="3"/>
  <c r="D12562" i="3"/>
  <c r="M12561" i="3"/>
  <c r="L12561" i="3"/>
  <c r="J12561" i="3"/>
  <c r="K12561" i="3" s="1"/>
  <c r="H12561" i="3"/>
  <c r="G12561" i="3"/>
  <c r="D12561" i="3"/>
  <c r="M12560" i="3"/>
  <c r="L12560" i="3"/>
  <c r="J12560" i="3"/>
  <c r="K12560" i="3" s="1"/>
  <c r="H12560" i="3"/>
  <c r="G12560" i="3"/>
  <c r="I12560" i="3" s="1"/>
  <c r="D12560" i="3"/>
  <c r="M12559" i="3"/>
  <c r="L12559" i="3"/>
  <c r="J12559" i="3"/>
  <c r="K12559" i="3" s="1"/>
  <c r="H12559" i="3"/>
  <c r="G12559" i="3"/>
  <c r="D12559" i="3"/>
  <c r="M12558" i="3"/>
  <c r="L12558" i="3"/>
  <c r="J12558" i="3"/>
  <c r="K12558" i="3" s="1"/>
  <c r="H12558" i="3"/>
  <c r="G12558" i="3"/>
  <c r="I12558" i="3" s="1"/>
  <c r="D12558" i="3"/>
  <c r="M12557" i="3"/>
  <c r="L12557" i="3"/>
  <c r="J12557" i="3"/>
  <c r="K12557" i="3" s="1"/>
  <c r="H12557" i="3"/>
  <c r="G12557" i="3"/>
  <c r="I12557" i="3" s="1"/>
  <c r="D12557" i="3"/>
  <c r="M12556" i="3"/>
  <c r="L12556" i="3"/>
  <c r="J12556" i="3"/>
  <c r="K12556" i="3" s="1"/>
  <c r="H12556" i="3"/>
  <c r="G12556" i="3"/>
  <c r="I12556" i="3" s="1"/>
  <c r="D12556" i="3"/>
  <c r="M12555" i="3"/>
  <c r="L12555" i="3"/>
  <c r="J12555" i="3"/>
  <c r="K12555" i="3" s="1"/>
  <c r="H12555" i="3"/>
  <c r="G12555" i="3"/>
  <c r="D12555" i="3"/>
  <c r="M12554" i="3"/>
  <c r="L12554" i="3"/>
  <c r="K12554" i="3"/>
  <c r="J12554" i="3"/>
  <c r="H12554" i="3"/>
  <c r="G12554" i="3"/>
  <c r="I12554" i="3" s="1"/>
  <c r="D12554" i="3"/>
  <c r="J525" i="1"/>
  <c r="F525" i="1"/>
  <c r="C525" i="1"/>
  <c r="L12530" i="3"/>
  <c r="M12553" i="3"/>
  <c r="L12553" i="3"/>
  <c r="J12553" i="3"/>
  <c r="K12553" i="3" s="1"/>
  <c r="H12553" i="3"/>
  <c r="G12553" i="3"/>
  <c r="F12553" i="3"/>
  <c r="D12553" i="3"/>
  <c r="M12552" i="3"/>
  <c r="L12552" i="3"/>
  <c r="J12552" i="3"/>
  <c r="K12552" i="3" s="1"/>
  <c r="H12552" i="3"/>
  <c r="G12552" i="3"/>
  <c r="F12552" i="3"/>
  <c r="D12552" i="3"/>
  <c r="M12551" i="3"/>
  <c r="L12551" i="3"/>
  <c r="J12551" i="3"/>
  <c r="K12551" i="3" s="1"/>
  <c r="H12551" i="3"/>
  <c r="G12551" i="3"/>
  <c r="F12551" i="3"/>
  <c r="D12551" i="3"/>
  <c r="M12550" i="3"/>
  <c r="L12550" i="3"/>
  <c r="J12550" i="3"/>
  <c r="K12550" i="3" s="1"/>
  <c r="H12550" i="3"/>
  <c r="G12550" i="3"/>
  <c r="I12550" i="3" s="1"/>
  <c r="F12550" i="3"/>
  <c r="D12550" i="3"/>
  <c r="M12549" i="3"/>
  <c r="L12549" i="3"/>
  <c r="J12549" i="3"/>
  <c r="K12549" i="3" s="1"/>
  <c r="H12549" i="3"/>
  <c r="G12549" i="3"/>
  <c r="F12549" i="3"/>
  <c r="D12549" i="3"/>
  <c r="M12548" i="3"/>
  <c r="L12548" i="3"/>
  <c r="K12548" i="3"/>
  <c r="J12548" i="3"/>
  <c r="H12548" i="3"/>
  <c r="G12548" i="3"/>
  <c r="F12548" i="3"/>
  <c r="D12548" i="3"/>
  <c r="M12547" i="3"/>
  <c r="L12547" i="3"/>
  <c r="J12547" i="3"/>
  <c r="K12547" i="3" s="1"/>
  <c r="H12547" i="3"/>
  <c r="G12547" i="3"/>
  <c r="F12547" i="3"/>
  <c r="D12547" i="3"/>
  <c r="M12546" i="3"/>
  <c r="L12546" i="3"/>
  <c r="J12546" i="3"/>
  <c r="K12546" i="3" s="1"/>
  <c r="H12546" i="3"/>
  <c r="G12546" i="3"/>
  <c r="I12546" i="3" s="1"/>
  <c r="F12546" i="3"/>
  <c r="D12546" i="3"/>
  <c r="M12545" i="3"/>
  <c r="L12545" i="3"/>
  <c r="J12545" i="3"/>
  <c r="K12545" i="3" s="1"/>
  <c r="H12545" i="3"/>
  <c r="G12545" i="3"/>
  <c r="F12545" i="3"/>
  <c r="D12545" i="3"/>
  <c r="M12544" i="3"/>
  <c r="L12544" i="3"/>
  <c r="K12544" i="3"/>
  <c r="J12544" i="3"/>
  <c r="H12544" i="3"/>
  <c r="G12544" i="3"/>
  <c r="F12544" i="3"/>
  <c r="D12544" i="3"/>
  <c r="M12543" i="3"/>
  <c r="L12543" i="3"/>
  <c r="J12543" i="3"/>
  <c r="K12543" i="3" s="1"/>
  <c r="H12543" i="3"/>
  <c r="G12543" i="3"/>
  <c r="F12543" i="3"/>
  <c r="D12543" i="3"/>
  <c r="M12542" i="3"/>
  <c r="L12542" i="3"/>
  <c r="J12542" i="3"/>
  <c r="K12542" i="3" s="1"/>
  <c r="H12542" i="3"/>
  <c r="G12542" i="3"/>
  <c r="F12542" i="3"/>
  <c r="D12542" i="3"/>
  <c r="M12541" i="3"/>
  <c r="L12541" i="3"/>
  <c r="J12541" i="3"/>
  <c r="K12541" i="3" s="1"/>
  <c r="H12541" i="3"/>
  <c r="G12541" i="3"/>
  <c r="F12541" i="3"/>
  <c r="D12541" i="3"/>
  <c r="M12540" i="3"/>
  <c r="L12540" i="3"/>
  <c r="J12540" i="3"/>
  <c r="K12540" i="3" s="1"/>
  <c r="H12540" i="3"/>
  <c r="G12540" i="3"/>
  <c r="I12540" i="3" s="1"/>
  <c r="F12540" i="3"/>
  <c r="D12540" i="3"/>
  <c r="M12539" i="3"/>
  <c r="L12539" i="3"/>
  <c r="J12539" i="3"/>
  <c r="K12539" i="3" s="1"/>
  <c r="H12539" i="3"/>
  <c r="G12539" i="3"/>
  <c r="F12539" i="3"/>
  <c r="D12539" i="3"/>
  <c r="M12538" i="3"/>
  <c r="L12538" i="3"/>
  <c r="J12538" i="3"/>
  <c r="K12538" i="3" s="1"/>
  <c r="H12538" i="3"/>
  <c r="G12538" i="3"/>
  <c r="I12538" i="3" s="1"/>
  <c r="F12538" i="3"/>
  <c r="D12538" i="3"/>
  <c r="M12537" i="3"/>
  <c r="L12537" i="3"/>
  <c r="J12537" i="3"/>
  <c r="K12537" i="3" s="1"/>
  <c r="H12537" i="3"/>
  <c r="G12537" i="3"/>
  <c r="F12537" i="3"/>
  <c r="D12537" i="3"/>
  <c r="M12536" i="3"/>
  <c r="L12536" i="3"/>
  <c r="J12536" i="3"/>
  <c r="K12536" i="3" s="1"/>
  <c r="H12536" i="3"/>
  <c r="G12536" i="3"/>
  <c r="F12536" i="3"/>
  <c r="D12536" i="3"/>
  <c r="M12535" i="3"/>
  <c r="L12535" i="3"/>
  <c r="J12535" i="3"/>
  <c r="K12535" i="3" s="1"/>
  <c r="H12535" i="3"/>
  <c r="G12535" i="3"/>
  <c r="F12535" i="3"/>
  <c r="D12535" i="3"/>
  <c r="M12534" i="3"/>
  <c r="L12534" i="3"/>
  <c r="J12534" i="3"/>
  <c r="K12534" i="3" s="1"/>
  <c r="H12534" i="3"/>
  <c r="G12534" i="3"/>
  <c r="I12534" i="3" s="1"/>
  <c r="F12534" i="3"/>
  <c r="D12534" i="3"/>
  <c r="M12533" i="3"/>
  <c r="L12533" i="3"/>
  <c r="J12533" i="3"/>
  <c r="K12533" i="3" s="1"/>
  <c r="H12533" i="3"/>
  <c r="G12533" i="3"/>
  <c r="F12533" i="3"/>
  <c r="D12533" i="3"/>
  <c r="M12532" i="3"/>
  <c r="L12532" i="3"/>
  <c r="K12532" i="3"/>
  <c r="J12532" i="3"/>
  <c r="H12532" i="3"/>
  <c r="G12532" i="3"/>
  <c r="F12532" i="3"/>
  <c r="D12532" i="3"/>
  <c r="M12531" i="3"/>
  <c r="L12531" i="3"/>
  <c r="J12531" i="3"/>
  <c r="K12531" i="3" s="1"/>
  <c r="H12531" i="3"/>
  <c r="G12531" i="3"/>
  <c r="F12531" i="3"/>
  <c r="D12531" i="3"/>
  <c r="M12530" i="3"/>
  <c r="J12530" i="3"/>
  <c r="K12530" i="3" s="1"/>
  <c r="H12530" i="3"/>
  <c r="G12530" i="3"/>
  <c r="F12530" i="3"/>
  <c r="D12530" i="3"/>
  <c r="S524" i="1"/>
  <c r="J524" i="1"/>
  <c r="F524" i="1"/>
  <c r="C524" i="1"/>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K522" i="23"/>
  <c r="O522" i="23"/>
  <c r="P522" i="23"/>
  <c r="V522" i="23"/>
  <c r="W522" i="23"/>
  <c r="X522" i="23"/>
  <c r="Z522" i="23"/>
  <c r="AA522" i="23"/>
  <c r="AF522" i="23" s="1"/>
  <c r="AJ522" i="23" s="1"/>
  <c r="AB522" i="23"/>
  <c r="AE522" i="23"/>
  <c r="AP522" i="23" s="1"/>
  <c r="AH522" i="23"/>
  <c r="AI522" i="23"/>
  <c r="AK522" i="23"/>
  <c r="AM522" i="23"/>
  <c r="AN522" i="23"/>
  <c r="AO522" i="23"/>
  <c r="AR522" i="23"/>
  <c r="F522" i="23"/>
  <c r="S523" i="1"/>
  <c r="J523" i="1"/>
  <c r="F523" i="1"/>
  <c r="C523" i="1"/>
  <c r="M12529" i="3"/>
  <c r="L12529" i="3"/>
  <c r="J12529" i="3"/>
  <c r="K12529" i="3" s="1"/>
  <c r="H12529" i="3"/>
  <c r="G12529" i="3"/>
  <c r="F12529" i="3"/>
  <c r="D12529" i="3"/>
  <c r="M12528" i="3"/>
  <c r="L12528" i="3"/>
  <c r="J12528" i="3"/>
  <c r="K12528" i="3" s="1"/>
  <c r="H12528" i="3"/>
  <c r="G12528" i="3"/>
  <c r="F12528" i="3"/>
  <c r="D12528" i="3"/>
  <c r="M12527" i="3"/>
  <c r="L12527" i="3"/>
  <c r="J12527" i="3"/>
  <c r="K12527" i="3" s="1"/>
  <c r="H12527" i="3"/>
  <c r="G12527" i="3"/>
  <c r="F12527" i="3"/>
  <c r="D12527" i="3"/>
  <c r="M12526" i="3"/>
  <c r="L12526" i="3"/>
  <c r="J12526" i="3"/>
  <c r="K12526" i="3" s="1"/>
  <c r="H12526" i="3"/>
  <c r="G12526" i="3"/>
  <c r="F12526" i="3"/>
  <c r="D12526" i="3"/>
  <c r="M12525" i="3"/>
  <c r="L12525" i="3"/>
  <c r="J12525" i="3"/>
  <c r="K12525" i="3" s="1"/>
  <c r="H12525" i="3"/>
  <c r="G12525" i="3"/>
  <c r="I12525" i="3" s="1"/>
  <c r="F12525" i="3"/>
  <c r="D12525" i="3"/>
  <c r="M12524" i="3"/>
  <c r="L12524" i="3"/>
  <c r="J12524" i="3"/>
  <c r="K12524" i="3" s="1"/>
  <c r="H12524" i="3"/>
  <c r="G12524" i="3"/>
  <c r="F12524" i="3"/>
  <c r="D12524" i="3"/>
  <c r="M12523" i="3"/>
  <c r="L12523" i="3"/>
  <c r="K12523" i="3"/>
  <c r="J12523" i="3"/>
  <c r="H12523" i="3"/>
  <c r="G12523" i="3"/>
  <c r="F12523" i="3"/>
  <c r="D12523" i="3"/>
  <c r="M12522" i="3"/>
  <c r="L12522" i="3"/>
  <c r="J12522" i="3"/>
  <c r="K12522" i="3" s="1"/>
  <c r="H12522" i="3"/>
  <c r="G12522" i="3"/>
  <c r="F12522" i="3"/>
  <c r="D12522" i="3"/>
  <c r="M12521" i="3"/>
  <c r="L12521" i="3"/>
  <c r="K12521" i="3"/>
  <c r="J12521" i="3"/>
  <c r="H12521" i="3"/>
  <c r="G12521" i="3"/>
  <c r="I12521" i="3" s="1"/>
  <c r="F12521" i="3"/>
  <c r="D12521" i="3"/>
  <c r="M12520" i="3"/>
  <c r="L12520" i="3"/>
  <c r="J12520" i="3"/>
  <c r="K12520" i="3" s="1"/>
  <c r="H12520" i="3"/>
  <c r="G12520" i="3"/>
  <c r="I12520" i="3" s="1"/>
  <c r="F12520" i="3"/>
  <c r="D12520" i="3"/>
  <c r="M12519" i="3"/>
  <c r="L12519" i="3"/>
  <c r="J12519" i="3"/>
  <c r="K12519" i="3" s="1"/>
  <c r="H12519" i="3"/>
  <c r="G12519" i="3"/>
  <c r="F12519" i="3"/>
  <c r="D12519" i="3"/>
  <c r="M12518" i="3"/>
  <c r="L12518" i="3"/>
  <c r="J12518" i="3"/>
  <c r="K12518" i="3" s="1"/>
  <c r="H12518" i="3"/>
  <c r="G12518" i="3"/>
  <c r="F12518" i="3"/>
  <c r="D12518" i="3"/>
  <c r="M12517" i="3"/>
  <c r="L12517" i="3"/>
  <c r="J12517" i="3"/>
  <c r="K12517" i="3" s="1"/>
  <c r="H12517" i="3"/>
  <c r="G12517" i="3"/>
  <c r="F12517" i="3"/>
  <c r="D12517" i="3"/>
  <c r="M12516" i="3"/>
  <c r="L12516" i="3"/>
  <c r="J12516" i="3"/>
  <c r="K12516" i="3" s="1"/>
  <c r="H12516" i="3"/>
  <c r="G12516" i="3"/>
  <c r="F12516" i="3"/>
  <c r="D12516" i="3"/>
  <c r="M12515" i="3"/>
  <c r="L12515" i="3"/>
  <c r="J12515" i="3"/>
  <c r="K12515" i="3" s="1"/>
  <c r="H12515" i="3"/>
  <c r="G12515" i="3"/>
  <c r="F12515" i="3"/>
  <c r="D12515" i="3"/>
  <c r="M12514" i="3"/>
  <c r="L12514" i="3"/>
  <c r="J12514" i="3"/>
  <c r="K12514" i="3" s="1"/>
  <c r="H12514" i="3"/>
  <c r="G12514" i="3"/>
  <c r="I12514" i="3" s="1"/>
  <c r="F12514" i="3"/>
  <c r="D12514" i="3"/>
  <c r="M12513" i="3"/>
  <c r="L12513" i="3"/>
  <c r="J12513" i="3"/>
  <c r="K12513" i="3" s="1"/>
  <c r="H12513" i="3"/>
  <c r="G12513" i="3"/>
  <c r="I12513" i="3" s="1"/>
  <c r="F12513" i="3"/>
  <c r="D12513" i="3"/>
  <c r="M12512" i="3"/>
  <c r="L12512" i="3"/>
  <c r="J12512" i="3"/>
  <c r="K12512" i="3" s="1"/>
  <c r="H12512" i="3"/>
  <c r="G12512" i="3"/>
  <c r="F12512" i="3"/>
  <c r="D12512" i="3"/>
  <c r="M12511" i="3"/>
  <c r="L12511" i="3"/>
  <c r="J12511" i="3"/>
  <c r="K12511" i="3" s="1"/>
  <c r="H12511" i="3"/>
  <c r="I12511" i="3" s="1"/>
  <c r="G12511" i="3"/>
  <c r="F12511" i="3"/>
  <c r="D12511" i="3"/>
  <c r="M12510" i="3"/>
  <c r="L12510" i="3"/>
  <c r="J12510" i="3"/>
  <c r="K12510" i="3" s="1"/>
  <c r="H12510" i="3"/>
  <c r="G12510" i="3"/>
  <c r="F12510" i="3"/>
  <c r="D12510" i="3"/>
  <c r="M12509" i="3"/>
  <c r="L12509" i="3"/>
  <c r="J12509" i="3"/>
  <c r="K12509" i="3" s="1"/>
  <c r="H12509" i="3"/>
  <c r="G12509" i="3"/>
  <c r="F12509" i="3"/>
  <c r="D12509" i="3"/>
  <c r="M12508" i="3"/>
  <c r="L12508" i="3"/>
  <c r="J12508" i="3"/>
  <c r="K12508" i="3" s="1"/>
  <c r="H12508" i="3"/>
  <c r="G12508" i="3"/>
  <c r="F12508" i="3"/>
  <c r="D12508" i="3"/>
  <c r="M12507" i="3"/>
  <c r="L12507" i="3"/>
  <c r="J12507" i="3"/>
  <c r="K12507" i="3" s="1"/>
  <c r="H12507" i="3"/>
  <c r="I12507" i="3" s="1"/>
  <c r="G12507" i="3"/>
  <c r="F12507" i="3"/>
  <c r="D12507" i="3"/>
  <c r="M12506" i="3"/>
  <c r="L12506" i="3"/>
  <c r="J12506" i="3"/>
  <c r="K12506" i="3" s="1"/>
  <c r="H12506" i="3"/>
  <c r="I12506" i="3" s="1"/>
  <c r="G12506" i="3"/>
  <c r="F12506" i="3"/>
  <c r="D12506" i="3"/>
  <c r="K521" i="23"/>
  <c r="O521" i="23"/>
  <c r="P521" i="23"/>
  <c r="V521" i="23"/>
  <c r="W521" i="23"/>
  <c r="X521" i="23"/>
  <c r="Z521" i="23"/>
  <c r="AA521" i="23"/>
  <c r="AB521" i="23"/>
  <c r="AI521" i="23" s="1"/>
  <c r="AE521" i="23"/>
  <c r="AF521" i="23"/>
  <c r="AJ521" i="23" s="1"/>
  <c r="AH521" i="23"/>
  <c r="AK521" i="23"/>
  <c r="AM521" i="23"/>
  <c r="AN521" i="23"/>
  <c r="AO521" i="23"/>
  <c r="AP521" i="23"/>
  <c r="AR521" i="23"/>
  <c r="F521" i="23"/>
  <c r="M12505" i="3"/>
  <c r="L12505" i="3"/>
  <c r="J12505" i="3"/>
  <c r="K12505" i="3" s="1"/>
  <c r="H12505" i="3"/>
  <c r="G12505" i="3"/>
  <c r="D12505" i="3"/>
  <c r="M12504" i="3"/>
  <c r="L12504" i="3"/>
  <c r="J12504" i="3"/>
  <c r="K12504" i="3" s="1"/>
  <c r="H12504" i="3"/>
  <c r="G12504" i="3"/>
  <c r="I12504" i="3" s="1"/>
  <c r="F12504" i="3"/>
  <c r="D12504" i="3"/>
  <c r="M12503" i="3"/>
  <c r="L12503" i="3"/>
  <c r="J12503" i="3"/>
  <c r="K12503" i="3" s="1"/>
  <c r="H12503" i="3"/>
  <c r="G12503" i="3"/>
  <c r="F12503" i="3"/>
  <c r="D12503" i="3"/>
  <c r="M12502" i="3"/>
  <c r="L12502" i="3"/>
  <c r="K12502" i="3"/>
  <c r="J12502" i="3"/>
  <c r="H12502" i="3"/>
  <c r="G12502" i="3"/>
  <c r="I12502" i="3" s="1"/>
  <c r="F12502" i="3"/>
  <c r="D12502" i="3"/>
  <c r="M12501" i="3"/>
  <c r="L12501" i="3"/>
  <c r="J12501" i="3"/>
  <c r="K12501" i="3" s="1"/>
  <c r="H12501" i="3"/>
  <c r="G12501" i="3"/>
  <c r="F12501" i="3"/>
  <c r="D12501" i="3"/>
  <c r="M12500" i="3"/>
  <c r="L12500" i="3"/>
  <c r="K12500" i="3"/>
  <c r="J12500" i="3"/>
  <c r="H12500" i="3"/>
  <c r="G12500" i="3"/>
  <c r="I12500" i="3" s="1"/>
  <c r="F12500" i="3"/>
  <c r="D12500" i="3"/>
  <c r="M12499" i="3"/>
  <c r="L12499" i="3"/>
  <c r="J12499" i="3"/>
  <c r="K12499" i="3" s="1"/>
  <c r="H12499" i="3"/>
  <c r="G12499" i="3"/>
  <c r="F12499" i="3"/>
  <c r="D12499" i="3"/>
  <c r="M12498" i="3"/>
  <c r="L12498" i="3"/>
  <c r="J12498" i="3"/>
  <c r="K12498" i="3" s="1"/>
  <c r="H12498" i="3"/>
  <c r="G12498" i="3"/>
  <c r="I12498" i="3" s="1"/>
  <c r="F12498" i="3"/>
  <c r="D12498" i="3"/>
  <c r="M12497" i="3"/>
  <c r="L12497" i="3"/>
  <c r="J12497" i="3"/>
  <c r="K12497" i="3" s="1"/>
  <c r="H12497" i="3"/>
  <c r="G12497" i="3"/>
  <c r="F12497" i="3"/>
  <c r="D12497" i="3"/>
  <c r="M12496" i="3"/>
  <c r="L12496" i="3"/>
  <c r="J12496" i="3"/>
  <c r="K12496" i="3" s="1"/>
  <c r="H12496" i="3"/>
  <c r="G12496" i="3"/>
  <c r="I12496" i="3" s="1"/>
  <c r="F12496" i="3"/>
  <c r="D12496" i="3"/>
  <c r="M12495" i="3"/>
  <c r="L12495" i="3"/>
  <c r="J12495" i="3"/>
  <c r="K12495" i="3" s="1"/>
  <c r="H12495" i="3"/>
  <c r="I12495" i="3" s="1"/>
  <c r="G12495" i="3"/>
  <c r="F12495" i="3"/>
  <c r="D12495" i="3"/>
  <c r="M12494" i="3"/>
  <c r="L12494" i="3"/>
  <c r="J12494" i="3"/>
  <c r="K12494" i="3" s="1"/>
  <c r="I12494" i="3"/>
  <c r="H12494" i="3"/>
  <c r="G12494" i="3"/>
  <c r="F12494" i="3"/>
  <c r="D12494" i="3"/>
  <c r="M12493" i="3"/>
  <c r="L12493" i="3"/>
  <c r="J12493" i="3"/>
  <c r="K12493" i="3" s="1"/>
  <c r="H12493" i="3"/>
  <c r="I12493" i="3" s="1"/>
  <c r="G12493" i="3"/>
  <c r="F12493" i="3"/>
  <c r="D12493" i="3"/>
  <c r="M12492" i="3"/>
  <c r="L12492" i="3"/>
  <c r="J12492" i="3"/>
  <c r="K12492" i="3" s="1"/>
  <c r="H12492" i="3"/>
  <c r="G12492" i="3"/>
  <c r="F12492" i="3"/>
  <c r="D12492" i="3"/>
  <c r="M12491" i="3"/>
  <c r="L12491" i="3"/>
  <c r="J12491" i="3"/>
  <c r="K12491" i="3" s="1"/>
  <c r="H12491" i="3"/>
  <c r="G12491" i="3"/>
  <c r="F12491" i="3"/>
  <c r="D12491" i="3"/>
  <c r="M12490" i="3"/>
  <c r="L12490" i="3"/>
  <c r="J12490" i="3"/>
  <c r="K12490" i="3" s="1"/>
  <c r="H12490" i="3"/>
  <c r="I12490" i="3" s="1"/>
  <c r="G12490" i="3"/>
  <c r="F12490" i="3"/>
  <c r="D12490" i="3"/>
  <c r="M12489" i="3"/>
  <c r="L12489" i="3"/>
  <c r="J12489" i="3"/>
  <c r="K12489" i="3" s="1"/>
  <c r="H12489" i="3"/>
  <c r="G12489" i="3"/>
  <c r="F12489" i="3"/>
  <c r="D12489" i="3"/>
  <c r="M12488" i="3"/>
  <c r="L12488" i="3"/>
  <c r="J12488" i="3"/>
  <c r="K12488" i="3" s="1"/>
  <c r="H12488" i="3"/>
  <c r="G12488" i="3"/>
  <c r="I12488" i="3" s="1"/>
  <c r="F12488" i="3"/>
  <c r="D12488" i="3"/>
  <c r="M12487" i="3"/>
  <c r="L12487" i="3"/>
  <c r="J12487" i="3"/>
  <c r="K12487" i="3" s="1"/>
  <c r="H12487" i="3"/>
  <c r="G12487" i="3"/>
  <c r="F12487" i="3"/>
  <c r="D12487" i="3"/>
  <c r="M12486" i="3"/>
  <c r="L12486" i="3"/>
  <c r="K12486" i="3"/>
  <c r="J12486" i="3"/>
  <c r="H12486" i="3"/>
  <c r="G12486" i="3"/>
  <c r="I12486" i="3" s="1"/>
  <c r="F12486" i="3"/>
  <c r="D12486" i="3"/>
  <c r="M12485" i="3"/>
  <c r="L12485" i="3"/>
  <c r="J12485" i="3"/>
  <c r="K12485" i="3" s="1"/>
  <c r="H12485" i="3"/>
  <c r="G12485" i="3"/>
  <c r="F12485" i="3"/>
  <c r="D12485" i="3"/>
  <c r="M12484" i="3"/>
  <c r="L12484" i="3"/>
  <c r="K12484" i="3"/>
  <c r="J12484" i="3"/>
  <c r="H12484" i="3"/>
  <c r="G12484" i="3"/>
  <c r="I12484" i="3" s="1"/>
  <c r="F12484" i="3"/>
  <c r="D12484" i="3"/>
  <c r="M12483" i="3"/>
  <c r="L12483" i="3"/>
  <c r="J12483" i="3"/>
  <c r="K12483" i="3" s="1"/>
  <c r="H12483" i="3"/>
  <c r="G12483" i="3"/>
  <c r="F12483" i="3"/>
  <c r="D12483" i="3"/>
  <c r="M12482" i="3"/>
  <c r="L12482" i="3"/>
  <c r="J12482" i="3"/>
  <c r="K12482" i="3" s="1"/>
  <c r="H12482" i="3"/>
  <c r="G12482" i="3"/>
  <c r="I12482" i="3" s="1"/>
  <c r="F12482" i="3"/>
  <c r="D12482" i="3"/>
  <c r="S522" i="1"/>
  <c r="J522" i="1"/>
  <c r="F522" i="1"/>
  <c r="C522" i="1"/>
  <c r="K518" i="23"/>
  <c r="O518" i="23"/>
  <c r="P518" i="23"/>
  <c r="V518" i="23"/>
  <c r="W518" i="23"/>
  <c r="X518" i="23"/>
  <c r="Z518" i="23"/>
  <c r="AA518" i="23"/>
  <c r="AB518" i="23"/>
  <c r="AE518" i="23"/>
  <c r="AF518" i="23"/>
  <c r="AH518" i="23"/>
  <c r="AI518" i="23"/>
  <c r="AJ518" i="23"/>
  <c r="AK518" i="23"/>
  <c r="AM518" i="23"/>
  <c r="AN518" i="23"/>
  <c r="AO518" i="23"/>
  <c r="K519" i="23"/>
  <c r="O519" i="23"/>
  <c r="P519" i="23"/>
  <c r="V519" i="23"/>
  <c r="W519" i="23"/>
  <c r="X519" i="23"/>
  <c r="Z519" i="23"/>
  <c r="AA519" i="23"/>
  <c r="AB519" i="23"/>
  <c r="AI519" i="23" s="1"/>
  <c r="AE519" i="23"/>
  <c r="AF519" i="23"/>
  <c r="AH519" i="23"/>
  <c r="AJ519" i="23"/>
  <c r="AM519" i="23"/>
  <c r="AN519" i="23"/>
  <c r="AO519" i="23"/>
  <c r="K520" i="23"/>
  <c r="O520" i="23"/>
  <c r="P520" i="23"/>
  <c r="V520" i="23"/>
  <c r="W520" i="23"/>
  <c r="X520" i="23"/>
  <c r="Z520" i="23"/>
  <c r="AA520" i="23"/>
  <c r="AB520" i="23"/>
  <c r="AE520" i="23"/>
  <c r="AH520" i="23"/>
  <c r="AI520" i="23"/>
  <c r="AK520" i="23"/>
  <c r="AM520" i="23"/>
  <c r="AN520" i="23"/>
  <c r="AO520" i="23"/>
  <c r="F520" i="23"/>
  <c r="F519" i="23"/>
  <c r="F518" i="23"/>
  <c r="M12481" i="3"/>
  <c r="L12481" i="3"/>
  <c r="J12481" i="3"/>
  <c r="K12481" i="3" s="1"/>
  <c r="H12481" i="3"/>
  <c r="G12481" i="3"/>
  <c r="F12481" i="3"/>
  <c r="F12505" i="3" s="1"/>
  <c r="D12481" i="3"/>
  <c r="M12480" i="3"/>
  <c r="L12480" i="3"/>
  <c r="J12480" i="3"/>
  <c r="K12480" i="3" s="1"/>
  <c r="H12480" i="3"/>
  <c r="G12480" i="3"/>
  <c r="I12480" i="3" s="1"/>
  <c r="F12480" i="3"/>
  <c r="D12480" i="3"/>
  <c r="M12479" i="3"/>
  <c r="L12479" i="3"/>
  <c r="J12479" i="3"/>
  <c r="K12479" i="3" s="1"/>
  <c r="H12479" i="3"/>
  <c r="G12479" i="3"/>
  <c r="F12479" i="3"/>
  <c r="D12479" i="3"/>
  <c r="M12478" i="3"/>
  <c r="L12478" i="3"/>
  <c r="J12478" i="3"/>
  <c r="K12478" i="3" s="1"/>
  <c r="H12478" i="3"/>
  <c r="G12478" i="3"/>
  <c r="F12478" i="3"/>
  <c r="D12478" i="3"/>
  <c r="M12477" i="3"/>
  <c r="L12477" i="3"/>
  <c r="J12477" i="3"/>
  <c r="K12477" i="3" s="1"/>
  <c r="H12477" i="3"/>
  <c r="G12477" i="3"/>
  <c r="F12477" i="3"/>
  <c r="D12477" i="3"/>
  <c r="M12476" i="3"/>
  <c r="L12476" i="3"/>
  <c r="J12476" i="3"/>
  <c r="K12476" i="3" s="1"/>
  <c r="H12476" i="3"/>
  <c r="G12476" i="3"/>
  <c r="F12476" i="3"/>
  <c r="D12476" i="3"/>
  <c r="M12475" i="3"/>
  <c r="L12475" i="3"/>
  <c r="J12475" i="3"/>
  <c r="K12475" i="3" s="1"/>
  <c r="H12475" i="3"/>
  <c r="G12475" i="3"/>
  <c r="I12475" i="3" s="1"/>
  <c r="F12475" i="3"/>
  <c r="D12475" i="3"/>
  <c r="M12474" i="3"/>
  <c r="L12474" i="3"/>
  <c r="J12474" i="3"/>
  <c r="K12474" i="3" s="1"/>
  <c r="H12474" i="3"/>
  <c r="G12474" i="3"/>
  <c r="I12474" i="3" s="1"/>
  <c r="F12474" i="3"/>
  <c r="D12474" i="3"/>
  <c r="M12473" i="3"/>
  <c r="L12473" i="3"/>
  <c r="J12473" i="3"/>
  <c r="K12473" i="3" s="1"/>
  <c r="H12473" i="3"/>
  <c r="G12473" i="3"/>
  <c r="F12473" i="3"/>
  <c r="D12473" i="3"/>
  <c r="M12472" i="3"/>
  <c r="L12472" i="3"/>
  <c r="J12472" i="3"/>
  <c r="K12472" i="3" s="1"/>
  <c r="H12472" i="3"/>
  <c r="G12472" i="3"/>
  <c r="F12472" i="3"/>
  <c r="D12472" i="3"/>
  <c r="M12471" i="3"/>
  <c r="L12471" i="3"/>
  <c r="J12471" i="3"/>
  <c r="K12471" i="3" s="1"/>
  <c r="H12471" i="3"/>
  <c r="G12471" i="3"/>
  <c r="F12471" i="3"/>
  <c r="D12471" i="3"/>
  <c r="M12470" i="3"/>
  <c r="L12470" i="3"/>
  <c r="J12470" i="3"/>
  <c r="K12470" i="3" s="1"/>
  <c r="H12470" i="3"/>
  <c r="G12470" i="3"/>
  <c r="I12470" i="3" s="1"/>
  <c r="F12470" i="3"/>
  <c r="D12470" i="3"/>
  <c r="M12469" i="3"/>
  <c r="L12469" i="3"/>
  <c r="K12469" i="3"/>
  <c r="J12469" i="3"/>
  <c r="H12469" i="3"/>
  <c r="G12469" i="3"/>
  <c r="I12469" i="3" s="1"/>
  <c r="F12469" i="3"/>
  <c r="D12469" i="3"/>
  <c r="M12468" i="3"/>
  <c r="L12468" i="3"/>
  <c r="K12468" i="3"/>
  <c r="J12468" i="3"/>
  <c r="H12468" i="3"/>
  <c r="G12468" i="3"/>
  <c r="I12468" i="3" s="1"/>
  <c r="F12468" i="3"/>
  <c r="D12468" i="3"/>
  <c r="M12467" i="3"/>
  <c r="L12467" i="3"/>
  <c r="J12467" i="3"/>
  <c r="K12467" i="3" s="1"/>
  <c r="H12467" i="3"/>
  <c r="G12467" i="3"/>
  <c r="I12467" i="3" s="1"/>
  <c r="F12467" i="3"/>
  <c r="D12467" i="3"/>
  <c r="M12466" i="3"/>
  <c r="L12466" i="3"/>
  <c r="J12466" i="3"/>
  <c r="K12466" i="3" s="1"/>
  <c r="H12466" i="3"/>
  <c r="G12466" i="3"/>
  <c r="I12466" i="3" s="1"/>
  <c r="F12466" i="3"/>
  <c r="D12466" i="3"/>
  <c r="M12465" i="3"/>
  <c r="L12465" i="3"/>
  <c r="J12465" i="3"/>
  <c r="K12465" i="3" s="1"/>
  <c r="H12465" i="3"/>
  <c r="G12465" i="3"/>
  <c r="F12465" i="3"/>
  <c r="D12465" i="3"/>
  <c r="M12464" i="3"/>
  <c r="L12464" i="3"/>
  <c r="J12464" i="3"/>
  <c r="K12464" i="3" s="1"/>
  <c r="H12464" i="3"/>
  <c r="G12464" i="3"/>
  <c r="F12464" i="3"/>
  <c r="D12464" i="3"/>
  <c r="M12463" i="3"/>
  <c r="L12463" i="3"/>
  <c r="J12463" i="3"/>
  <c r="K12463" i="3" s="1"/>
  <c r="H12463" i="3"/>
  <c r="G12463" i="3"/>
  <c r="F12463" i="3"/>
  <c r="D12463" i="3"/>
  <c r="M12462" i="3"/>
  <c r="L12462" i="3"/>
  <c r="J12462" i="3"/>
  <c r="K12462" i="3" s="1"/>
  <c r="H12462" i="3"/>
  <c r="G12462" i="3"/>
  <c r="F12462" i="3"/>
  <c r="D12462" i="3"/>
  <c r="M12461" i="3"/>
  <c r="L12461" i="3"/>
  <c r="J12461" i="3"/>
  <c r="K12461" i="3" s="1"/>
  <c r="H12461" i="3"/>
  <c r="G12461" i="3"/>
  <c r="I12461" i="3" s="1"/>
  <c r="F12461" i="3"/>
  <c r="D12461" i="3"/>
  <c r="M12460" i="3"/>
  <c r="L12460" i="3"/>
  <c r="J12460" i="3"/>
  <c r="K12460" i="3" s="1"/>
  <c r="H12460" i="3"/>
  <c r="G12460" i="3"/>
  <c r="I12460" i="3" s="1"/>
  <c r="F12460" i="3"/>
  <c r="D12460" i="3"/>
  <c r="M12459" i="3"/>
  <c r="L12459" i="3"/>
  <c r="J12459" i="3"/>
  <c r="K12459" i="3" s="1"/>
  <c r="H12459" i="3"/>
  <c r="I12459" i="3" s="1"/>
  <c r="G12459" i="3"/>
  <c r="F12459" i="3"/>
  <c r="D12459" i="3"/>
  <c r="M12458" i="3"/>
  <c r="L12458" i="3"/>
  <c r="J12458" i="3"/>
  <c r="K12458" i="3" s="1"/>
  <c r="H12458" i="3"/>
  <c r="I12458" i="3" s="1"/>
  <c r="G12458" i="3"/>
  <c r="F12458" i="3"/>
  <c r="D12458" i="3"/>
  <c r="S521" i="1"/>
  <c r="J521" i="1"/>
  <c r="F521" i="1"/>
  <c r="C521" i="1"/>
  <c r="S520" i="1"/>
  <c r="J520" i="1"/>
  <c r="F520" i="1"/>
  <c r="C520" i="1"/>
  <c r="M12457" i="3"/>
  <c r="L12457" i="3"/>
  <c r="J12457" i="3"/>
  <c r="K12457" i="3" s="1"/>
  <c r="H12457" i="3"/>
  <c r="G12457" i="3"/>
  <c r="F12457" i="3"/>
  <c r="D12457" i="3"/>
  <c r="M12456" i="3"/>
  <c r="L12456" i="3"/>
  <c r="J12456" i="3"/>
  <c r="K12456" i="3" s="1"/>
  <c r="H12456" i="3"/>
  <c r="I12456" i="3" s="1"/>
  <c r="G12456" i="3"/>
  <c r="F12456" i="3"/>
  <c r="D12456" i="3"/>
  <c r="M12455" i="3"/>
  <c r="L12455" i="3"/>
  <c r="J12455" i="3"/>
  <c r="K12455" i="3" s="1"/>
  <c r="H12455" i="3"/>
  <c r="G12455" i="3"/>
  <c r="F12455" i="3"/>
  <c r="D12455" i="3"/>
  <c r="M12454" i="3"/>
  <c r="L12454" i="3"/>
  <c r="J12454" i="3"/>
  <c r="K12454" i="3" s="1"/>
  <c r="H12454" i="3"/>
  <c r="G12454" i="3"/>
  <c r="I12454" i="3" s="1"/>
  <c r="F12454" i="3"/>
  <c r="D12454" i="3"/>
  <c r="M12453" i="3"/>
  <c r="L12453" i="3"/>
  <c r="J12453" i="3"/>
  <c r="K12453" i="3" s="1"/>
  <c r="H12453" i="3"/>
  <c r="G12453" i="3"/>
  <c r="I12453" i="3" s="1"/>
  <c r="F12453" i="3"/>
  <c r="D12453" i="3"/>
  <c r="M12452" i="3"/>
  <c r="L12452" i="3"/>
  <c r="K12452" i="3"/>
  <c r="J12452" i="3"/>
  <c r="H12452" i="3"/>
  <c r="G12452" i="3"/>
  <c r="I12452" i="3" s="1"/>
  <c r="F12452" i="3"/>
  <c r="D12452" i="3"/>
  <c r="M12451" i="3"/>
  <c r="L12451" i="3"/>
  <c r="J12451" i="3"/>
  <c r="K12451" i="3" s="1"/>
  <c r="H12451" i="3"/>
  <c r="G12451" i="3"/>
  <c r="F12451" i="3"/>
  <c r="D12451" i="3"/>
  <c r="M12450" i="3"/>
  <c r="L12450" i="3"/>
  <c r="J12450" i="3"/>
  <c r="K12450" i="3" s="1"/>
  <c r="H12450" i="3"/>
  <c r="G12450" i="3"/>
  <c r="I12450" i="3" s="1"/>
  <c r="F12450" i="3"/>
  <c r="D12450" i="3"/>
  <c r="M12449" i="3"/>
  <c r="L12449" i="3"/>
  <c r="J12449" i="3"/>
  <c r="K12449" i="3" s="1"/>
  <c r="H12449" i="3"/>
  <c r="G12449" i="3"/>
  <c r="F12449" i="3"/>
  <c r="D12449" i="3"/>
  <c r="M12448" i="3"/>
  <c r="L12448" i="3"/>
  <c r="J12448" i="3"/>
  <c r="K12448" i="3" s="1"/>
  <c r="H12448" i="3"/>
  <c r="G12448" i="3"/>
  <c r="I12448" i="3" s="1"/>
  <c r="F12448" i="3"/>
  <c r="D12448" i="3"/>
  <c r="M12447" i="3"/>
  <c r="L12447" i="3"/>
  <c r="J12447" i="3"/>
  <c r="K12447" i="3" s="1"/>
  <c r="H12447" i="3"/>
  <c r="G12447" i="3"/>
  <c r="F12447" i="3"/>
  <c r="D12447" i="3"/>
  <c r="M12446" i="3"/>
  <c r="L12446" i="3"/>
  <c r="J12446" i="3"/>
  <c r="K12446" i="3" s="1"/>
  <c r="H12446" i="3"/>
  <c r="G12446" i="3"/>
  <c r="F12446" i="3"/>
  <c r="D12446" i="3"/>
  <c r="M12445" i="3"/>
  <c r="L12445" i="3"/>
  <c r="J12445" i="3"/>
  <c r="K12445" i="3" s="1"/>
  <c r="H12445" i="3"/>
  <c r="I12445" i="3" s="1"/>
  <c r="G12445" i="3"/>
  <c r="F12445" i="3"/>
  <c r="D12445" i="3"/>
  <c r="M12444" i="3"/>
  <c r="L12444" i="3"/>
  <c r="J12444" i="3"/>
  <c r="K12444" i="3" s="1"/>
  <c r="H12444" i="3"/>
  <c r="G12444" i="3"/>
  <c r="F12444" i="3"/>
  <c r="D12444" i="3"/>
  <c r="M12443" i="3"/>
  <c r="L12443" i="3"/>
  <c r="J12443" i="3"/>
  <c r="K12443" i="3" s="1"/>
  <c r="H12443" i="3"/>
  <c r="G12443" i="3"/>
  <c r="F12443" i="3"/>
  <c r="D12443" i="3"/>
  <c r="M12442" i="3"/>
  <c r="L12442" i="3"/>
  <c r="J12442" i="3"/>
  <c r="K12442" i="3" s="1"/>
  <c r="H12442" i="3"/>
  <c r="G12442" i="3"/>
  <c r="F12442" i="3"/>
  <c r="D12442" i="3"/>
  <c r="M12441" i="3"/>
  <c r="L12441" i="3"/>
  <c r="J12441" i="3"/>
  <c r="K12441" i="3" s="1"/>
  <c r="H12441" i="3"/>
  <c r="G12441" i="3"/>
  <c r="F12441" i="3"/>
  <c r="D12441" i="3"/>
  <c r="M12440" i="3"/>
  <c r="L12440" i="3"/>
  <c r="J12440" i="3"/>
  <c r="K12440" i="3" s="1"/>
  <c r="H12440" i="3"/>
  <c r="G12440" i="3"/>
  <c r="I12440" i="3" s="1"/>
  <c r="F12440" i="3"/>
  <c r="D12440" i="3"/>
  <c r="M12439" i="3"/>
  <c r="L12439" i="3"/>
  <c r="J12439" i="3"/>
  <c r="K12439" i="3" s="1"/>
  <c r="H12439" i="3"/>
  <c r="G12439" i="3"/>
  <c r="F12439" i="3"/>
  <c r="D12439" i="3"/>
  <c r="M12438" i="3"/>
  <c r="L12438" i="3"/>
  <c r="J12438" i="3"/>
  <c r="K12438" i="3" s="1"/>
  <c r="H12438" i="3"/>
  <c r="G12438" i="3"/>
  <c r="I12438" i="3" s="1"/>
  <c r="F12438" i="3"/>
  <c r="D12438" i="3"/>
  <c r="M12437" i="3"/>
  <c r="L12437" i="3"/>
  <c r="J12437" i="3"/>
  <c r="K12437" i="3" s="1"/>
  <c r="H12437" i="3"/>
  <c r="I12437" i="3" s="1"/>
  <c r="G12437" i="3"/>
  <c r="F12437" i="3"/>
  <c r="D12437" i="3"/>
  <c r="M12436" i="3"/>
  <c r="L12436" i="3"/>
  <c r="J12436" i="3"/>
  <c r="K12436" i="3" s="1"/>
  <c r="H12436" i="3"/>
  <c r="G12436" i="3"/>
  <c r="F12436" i="3"/>
  <c r="D12436" i="3"/>
  <c r="M12435" i="3"/>
  <c r="L12435" i="3"/>
  <c r="J12435" i="3"/>
  <c r="K12435" i="3" s="1"/>
  <c r="H12435" i="3"/>
  <c r="G12435" i="3"/>
  <c r="F12435" i="3"/>
  <c r="D12435" i="3"/>
  <c r="M12434" i="3"/>
  <c r="L12434" i="3"/>
  <c r="J12434" i="3"/>
  <c r="K12434" i="3" s="1"/>
  <c r="H12434" i="3"/>
  <c r="G12434" i="3"/>
  <c r="I12434" i="3" s="1"/>
  <c r="F12434" i="3"/>
  <c r="D12434" i="3"/>
  <c r="I12593" i="3" l="1"/>
  <c r="I12599" i="3"/>
  <c r="I12600" i="3"/>
  <c r="I12580" i="3"/>
  <c r="I12584" i="3"/>
  <c r="I12591" i="3"/>
  <c r="I12597" i="3"/>
  <c r="I12583" i="3"/>
  <c r="I12581" i="3"/>
  <c r="I12579" i="3"/>
  <c r="I12582" i="3"/>
  <c r="I12598" i="3"/>
  <c r="I12578" i="3"/>
  <c r="I12594" i="3"/>
  <c r="I12587" i="3"/>
  <c r="I12588" i="3"/>
  <c r="I12590" i="3"/>
  <c r="I12601" i="3"/>
  <c r="I12555" i="3"/>
  <c r="I12561" i="3"/>
  <c r="I12566" i="3"/>
  <c r="I12572" i="3"/>
  <c r="I12574" i="3"/>
  <c r="I12576" i="3"/>
  <c r="I12562" i="3"/>
  <c r="I12565" i="3"/>
  <c r="I12573" i="3"/>
  <c r="I12577" i="3"/>
  <c r="I12567" i="3"/>
  <c r="I12563" i="3"/>
  <c r="I12559" i="3"/>
  <c r="I12568" i="3"/>
  <c r="I12569" i="3"/>
  <c r="I12532" i="3"/>
  <c r="I12545" i="3"/>
  <c r="I12530" i="3"/>
  <c r="I12537" i="3"/>
  <c r="I12542" i="3"/>
  <c r="I12548" i="3"/>
  <c r="I12535" i="3"/>
  <c r="I12543" i="3"/>
  <c r="I12551" i="3"/>
  <c r="I12533" i="3"/>
  <c r="I12541" i="3"/>
  <c r="I12549" i="3"/>
  <c r="I12531" i="3"/>
  <c r="I12536" i="3"/>
  <c r="I12539" i="3"/>
  <c r="I12544" i="3"/>
  <c r="I12547" i="3"/>
  <c r="I12552" i="3"/>
  <c r="I12553" i="3"/>
  <c r="I12510" i="3"/>
  <c r="I12527" i="3"/>
  <c r="I12512" i="3"/>
  <c r="I12519" i="3"/>
  <c r="I12515" i="3"/>
  <c r="I12516" i="3"/>
  <c r="I12517" i="3"/>
  <c r="I12518" i="3"/>
  <c r="I12523" i="3"/>
  <c r="I12524" i="3"/>
  <c r="I12528" i="3"/>
  <c r="I12526" i="3"/>
  <c r="I12522" i="3"/>
  <c r="I12508" i="3"/>
  <c r="I12509" i="3"/>
  <c r="I12529" i="3"/>
  <c r="I12489" i="3"/>
  <c r="I12491" i="3"/>
  <c r="I12505" i="3"/>
  <c r="I12485" i="3"/>
  <c r="I12487" i="3"/>
  <c r="I12501" i="3"/>
  <c r="I12503" i="3"/>
  <c r="I12483" i="3"/>
  <c r="I12492" i="3"/>
  <c r="I12497" i="3"/>
  <c r="I12499" i="3"/>
  <c r="I12463" i="3"/>
  <c r="I12464" i="3"/>
  <c r="I12465" i="3"/>
  <c r="I12479" i="3"/>
  <c r="I12462" i="3"/>
  <c r="I12471" i="3"/>
  <c r="I12478" i="3"/>
  <c r="AK519" i="23"/>
  <c r="AF520" i="23"/>
  <c r="AJ520" i="23" s="1"/>
  <c r="I12472" i="3"/>
  <c r="I12473" i="3"/>
  <c r="I12476" i="3"/>
  <c r="I12477" i="3"/>
  <c r="I12481" i="3"/>
  <c r="I12435" i="3"/>
  <c r="I12436" i="3"/>
  <c r="I12439" i="3"/>
  <c r="I12443" i="3"/>
  <c r="I12444" i="3"/>
  <c r="I12442" i="3"/>
  <c r="I12446" i="3"/>
  <c r="I12449" i="3"/>
  <c r="I12455" i="3"/>
  <c r="I12441" i="3"/>
  <c r="I12451" i="3"/>
  <c r="I12447" i="3"/>
  <c r="I12457" i="3"/>
  <c r="S519" i="1"/>
  <c r="J519" i="1"/>
  <c r="Q3" i="12"/>
  <c r="F519" i="1"/>
  <c r="C519" i="1"/>
  <c r="M12433" i="3"/>
  <c r="L12433" i="3"/>
  <c r="J12433" i="3"/>
  <c r="K12433" i="3" s="1"/>
  <c r="H12433" i="3"/>
  <c r="G12433" i="3"/>
  <c r="F12433" i="3"/>
  <c r="D12433" i="3"/>
  <c r="M12432" i="3"/>
  <c r="L12432" i="3"/>
  <c r="J12432" i="3"/>
  <c r="K12432" i="3" s="1"/>
  <c r="H12432" i="3"/>
  <c r="G12432" i="3"/>
  <c r="F12432" i="3"/>
  <c r="D12432" i="3"/>
  <c r="M12431" i="3"/>
  <c r="L12431" i="3"/>
  <c r="J12431" i="3"/>
  <c r="K12431" i="3" s="1"/>
  <c r="H12431" i="3"/>
  <c r="G12431" i="3"/>
  <c r="F12431" i="3"/>
  <c r="D12431" i="3"/>
  <c r="M12430" i="3"/>
  <c r="L12430" i="3"/>
  <c r="J12430" i="3"/>
  <c r="K12430" i="3" s="1"/>
  <c r="H12430" i="3"/>
  <c r="G12430" i="3"/>
  <c r="F12430" i="3"/>
  <c r="D12430" i="3"/>
  <c r="M12429" i="3"/>
  <c r="L12429" i="3"/>
  <c r="J12429" i="3"/>
  <c r="K12429" i="3" s="1"/>
  <c r="H12429" i="3"/>
  <c r="G12429" i="3"/>
  <c r="I12429" i="3" s="1"/>
  <c r="F12429" i="3"/>
  <c r="D12429" i="3"/>
  <c r="M12428" i="3"/>
  <c r="L12428" i="3"/>
  <c r="K12428" i="3"/>
  <c r="J12428" i="3"/>
  <c r="H12428" i="3"/>
  <c r="G12428" i="3"/>
  <c r="I12428" i="3" s="1"/>
  <c r="F12428" i="3"/>
  <c r="D12428" i="3"/>
  <c r="M12427" i="3"/>
  <c r="L12427" i="3"/>
  <c r="J12427" i="3"/>
  <c r="K12427" i="3" s="1"/>
  <c r="H12427" i="3"/>
  <c r="G12427" i="3"/>
  <c r="F12427" i="3"/>
  <c r="D12427" i="3"/>
  <c r="M12426" i="3"/>
  <c r="L12426" i="3"/>
  <c r="J12426" i="3"/>
  <c r="K12426" i="3" s="1"/>
  <c r="H12426" i="3"/>
  <c r="G12426" i="3"/>
  <c r="I12426" i="3" s="1"/>
  <c r="F12426" i="3"/>
  <c r="D12426" i="3"/>
  <c r="M12425" i="3"/>
  <c r="L12425" i="3"/>
  <c r="J12425" i="3"/>
  <c r="K12425" i="3" s="1"/>
  <c r="H12425" i="3"/>
  <c r="G12425" i="3"/>
  <c r="F12425" i="3"/>
  <c r="D12425" i="3"/>
  <c r="M12424" i="3"/>
  <c r="L12424" i="3"/>
  <c r="J12424" i="3"/>
  <c r="K12424" i="3" s="1"/>
  <c r="H12424" i="3"/>
  <c r="G12424" i="3"/>
  <c r="F12424" i="3"/>
  <c r="D12424" i="3"/>
  <c r="M12423" i="3"/>
  <c r="L12423" i="3"/>
  <c r="J12423" i="3"/>
  <c r="K12423" i="3" s="1"/>
  <c r="H12423" i="3"/>
  <c r="G12423" i="3"/>
  <c r="F12423" i="3"/>
  <c r="D12423" i="3"/>
  <c r="M12422" i="3"/>
  <c r="L12422" i="3"/>
  <c r="J12422" i="3"/>
  <c r="K12422" i="3" s="1"/>
  <c r="H12422" i="3"/>
  <c r="G12422" i="3"/>
  <c r="I12422" i="3" s="1"/>
  <c r="F12422" i="3"/>
  <c r="D12422" i="3"/>
  <c r="M12421" i="3"/>
  <c r="L12421" i="3"/>
  <c r="J12421" i="3"/>
  <c r="K12421" i="3" s="1"/>
  <c r="H12421" i="3"/>
  <c r="G12421" i="3"/>
  <c r="I12421" i="3" s="1"/>
  <c r="F12421" i="3"/>
  <c r="D12421" i="3"/>
  <c r="M12420" i="3"/>
  <c r="L12420" i="3"/>
  <c r="J12420" i="3"/>
  <c r="K12420" i="3" s="1"/>
  <c r="H12420" i="3"/>
  <c r="G12420" i="3"/>
  <c r="F12420" i="3"/>
  <c r="D12420" i="3"/>
  <c r="M12419" i="3"/>
  <c r="L12419" i="3"/>
  <c r="J12419" i="3"/>
  <c r="K12419" i="3" s="1"/>
  <c r="H12419" i="3"/>
  <c r="I12419" i="3" s="1"/>
  <c r="G12419" i="3"/>
  <c r="F12419" i="3"/>
  <c r="D12419" i="3"/>
  <c r="M12418" i="3"/>
  <c r="L12418" i="3"/>
  <c r="J12418" i="3"/>
  <c r="K12418" i="3" s="1"/>
  <c r="H12418" i="3"/>
  <c r="G12418" i="3"/>
  <c r="I12418" i="3" s="1"/>
  <c r="F12418" i="3"/>
  <c r="D12418" i="3"/>
  <c r="M12417" i="3"/>
  <c r="L12417" i="3"/>
  <c r="J12417" i="3"/>
  <c r="K12417" i="3" s="1"/>
  <c r="H12417" i="3"/>
  <c r="G12417" i="3"/>
  <c r="F12417" i="3"/>
  <c r="D12417" i="3"/>
  <c r="M12416" i="3"/>
  <c r="L12416" i="3"/>
  <c r="J12416" i="3"/>
  <c r="K12416" i="3" s="1"/>
  <c r="H12416" i="3"/>
  <c r="G12416" i="3"/>
  <c r="F12416" i="3"/>
  <c r="D12416" i="3"/>
  <c r="M12415" i="3"/>
  <c r="L12415" i="3"/>
  <c r="J12415" i="3"/>
  <c r="K12415" i="3" s="1"/>
  <c r="H12415" i="3"/>
  <c r="G12415" i="3"/>
  <c r="F12415" i="3"/>
  <c r="D12415" i="3"/>
  <c r="M12414" i="3"/>
  <c r="L12414" i="3"/>
  <c r="J12414" i="3"/>
  <c r="K12414" i="3" s="1"/>
  <c r="H12414" i="3"/>
  <c r="G12414" i="3"/>
  <c r="F12414" i="3"/>
  <c r="D12414" i="3"/>
  <c r="M12413" i="3"/>
  <c r="L12413" i="3"/>
  <c r="J12413" i="3"/>
  <c r="K12413" i="3" s="1"/>
  <c r="H12413" i="3"/>
  <c r="G12413" i="3"/>
  <c r="I12413" i="3" s="1"/>
  <c r="F12413" i="3"/>
  <c r="D12413" i="3"/>
  <c r="M12412" i="3"/>
  <c r="L12412" i="3"/>
  <c r="J12412" i="3"/>
  <c r="K12412" i="3" s="1"/>
  <c r="H12412" i="3"/>
  <c r="G12412" i="3"/>
  <c r="I12412" i="3" s="1"/>
  <c r="F12412" i="3"/>
  <c r="D12412" i="3"/>
  <c r="M12411" i="3"/>
  <c r="L12411" i="3"/>
  <c r="J12411" i="3"/>
  <c r="K12411" i="3" s="1"/>
  <c r="H12411" i="3"/>
  <c r="I12411" i="3" s="1"/>
  <c r="G12411" i="3"/>
  <c r="F12411" i="3"/>
  <c r="D12411" i="3"/>
  <c r="M12410" i="3"/>
  <c r="L12410" i="3"/>
  <c r="J12410" i="3"/>
  <c r="K12410" i="3" s="1"/>
  <c r="H12410" i="3"/>
  <c r="G12410" i="3"/>
  <c r="I12410" i="3" s="1"/>
  <c r="F12410" i="3"/>
  <c r="D12410" i="3"/>
  <c r="M516" i="1"/>
  <c r="M517" i="1"/>
  <c r="M518" i="1"/>
  <c r="J516" i="1"/>
  <c r="J517" i="1" s="1"/>
  <c r="J518" i="1" s="1"/>
  <c r="K516" i="23"/>
  <c r="O516" i="23"/>
  <c r="P516" i="23"/>
  <c r="V516" i="23"/>
  <c r="W516" i="23"/>
  <c r="X516" i="23"/>
  <c r="Z516" i="23"/>
  <c r="AA516" i="23"/>
  <c r="AB516" i="23"/>
  <c r="AK516" i="23" s="1"/>
  <c r="AE516" i="23"/>
  <c r="AF516" i="23"/>
  <c r="AH516" i="23"/>
  <c r="AJ516" i="23"/>
  <c r="AM516" i="23"/>
  <c r="AN516" i="23"/>
  <c r="AO516" i="23"/>
  <c r="K517" i="23"/>
  <c r="O517" i="23"/>
  <c r="P517" i="23"/>
  <c r="V517" i="23"/>
  <c r="W517" i="23"/>
  <c r="X517" i="23"/>
  <c r="Z517" i="23"/>
  <c r="AA517" i="23"/>
  <c r="AB517" i="23"/>
  <c r="AK517" i="23" s="1"/>
  <c r="AE517" i="23"/>
  <c r="AF517" i="23"/>
  <c r="AH517" i="23"/>
  <c r="AJ517" i="23"/>
  <c r="AM517" i="23"/>
  <c r="AN517" i="23"/>
  <c r="AO517" i="23"/>
  <c r="F517" i="23"/>
  <c r="V27" i="12"/>
  <c r="AC27" i="12" s="1"/>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3" i="12"/>
  <c r="AC4" i="12"/>
  <c r="AC5" i="12"/>
  <c r="AC6" i="12"/>
  <c r="AC7" i="12"/>
  <c r="AC8" i="12"/>
  <c r="AC9" i="12"/>
  <c r="AC10" i="12"/>
  <c r="AC11" i="12"/>
  <c r="AC12" i="12"/>
  <c r="AC13" i="12"/>
  <c r="AC14" i="12"/>
  <c r="AC15" i="12"/>
  <c r="AC16" i="12"/>
  <c r="AC17" i="12"/>
  <c r="AC18" i="12"/>
  <c r="AC19" i="12"/>
  <c r="AC20" i="12"/>
  <c r="AC21" i="12"/>
  <c r="AC22" i="12"/>
  <c r="AC23" i="12"/>
  <c r="AC24" i="12"/>
  <c r="AC25" i="12"/>
  <c r="AC26" i="12"/>
  <c r="AC3" i="12"/>
  <c r="S518" i="1"/>
  <c r="F518" i="1"/>
  <c r="C518" i="1"/>
  <c r="M12409" i="3"/>
  <c r="L12409" i="3"/>
  <c r="J12409" i="3"/>
  <c r="K12409" i="3" s="1"/>
  <c r="H12409" i="3"/>
  <c r="G12409" i="3"/>
  <c r="F12409" i="3"/>
  <c r="D12409" i="3"/>
  <c r="M12408" i="3"/>
  <c r="L12408" i="3"/>
  <c r="J12408" i="3"/>
  <c r="K12408" i="3" s="1"/>
  <c r="H12408" i="3"/>
  <c r="G12408" i="3"/>
  <c r="I12408" i="3" s="1"/>
  <c r="F12408" i="3"/>
  <c r="D12408" i="3"/>
  <c r="M12407" i="3"/>
  <c r="L12407" i="3"/>
  <c r="K12407" i="3"/>
  <c r="J12407" i="3"/>
  <c r="H12407" i="3"/>
  <c r="G12407" i="3"/>
  <c r="F12407" i="3"/>
  <c r="D12407" i="3"/>
  <c r="M12406" i="3"/>
  <c r="L12406" i="3"/>
  <c r="J12406" i="3"/>
  <c r="K12406" i="3" s="1"/>
  <c r="H12406" i="3"/>
  <c r="G12406" i="3"/>
  <c r="I12406" i="3" s="1"/>
  <c r="F12406" i="3"/>
  <c r="D12406" i="3"/>
  <c r="M12405" i="3"/>
  <c r="L12405" i="3"/>
  <c r="J12405" i="3"/>
  <c r="K12405" i="3" s="1"/>
  <c r="H12405" i="3"/>
  <c r="G12405" i="3"/>
  <c r="F12405" i="3"/>
  <c r="D12405" i="3"/>
  <c r="M12404" i="3"/>
  <c r="L12404" i="3"/>
  <c r="J12404" i="3"/>
  <c r="K12404" i="3" s="1"/>
  <c r="H12404" i="3"/>
  <c r="G12404" i="3"/>
  <c r="F12404" i="3"/>
  <c r="D12404" i="3"/>
  <c r="M12403" i="3"/>
  <c r="L12403" i="3"/>
  <c r="J12403" i="3"/>
  <c r="K12403" i="3" s="1"/>
  <c r="H12403" i="3"/>
  <c r="G12403" i="3"/>
  <c r="F12403" i="3"/>
  <c r="D12403" i="3"/>
  <c r="M12402" i="3"/>
  <c r="L12402" i="3"/>
  <c r="J12402" i="3"/>
  <c r="K12402" i="3" s="1"/>
  <c r="H12402" i="3"/>
  <c r="G12402" i="3"/>
  <c r="F12402" i="3"/>
  <c r="D12402" i="3"/>
  <c r="M12401" i="3"/>
  <c r="L12401" i="3"/>
  <c r="J12401" i="3"/>
  <c r="K12401" i="3" s="1"/>
  <c r="H12401" i="3"/>
  <c r="G12401" i="3"/>
  <c r="I12401" i="3" s="1"/>
  <c r="F12401" i="3"/>
  <c r="D12401" i="3"/>
  <c r="M12400" i="3"/>
  <c r="L12400" i="3"/>
  <c r="J12400" i="3"/>
  <c r="K12400" i="3" s="1"/>
  <c r="H12400" i="3"/>
  <c r="G12400" i="3"/>
  <c r="F12400" i="3"/>
  <c r="D12400" i="3"/>
  <c r="M12399" i="3"/>
  <c r="L12399" i="3"/>
  <c r="J12399" i="3"/>
  <c r="K12399" i="3" s="1"/>
  <c r="H12399" i="3"/>
  <c r="G12399" i="3"/>
  <c r="F12399" i="3"/>
  <c r="D12399" i="3"/>
  <c r="M12398" i="3"/>
  <c r="L12398" i="3"/>
  <c r="J12398" i="3"/>
  <c r="K12398" i="3" s="1"/>
  <c r="I12398" i="3"/>
  <c r="H12398" i="3"/>
  <c r="G12398" i="3"/>
  <c r="F12398" i="3"/>
  <c r="D12398" i="3"/>
  <c r="M12397" i="3"/>
  <c r="L12397" i="3"/>
  <c r="J12397" i="3"/>
  <c r="K12397" i="3" s="1"/>
  <c r="H12397" i="3"/>
  <c r="G12397" i="3"/>
  <c r="F12397" i="3"/>
  <c r="D12397" i="3"/>
  <c r="M12396" i="3"/>
  <c r="L12396" i="3"/>
  <c r="J12396" i="3"/>
  <c r="K12396" i="3" s="1"/>
  <c r="H12396" i="3"/>
  <c r="G12396" i="3"/>
  <c r="F12396" i="3"/>
  <c r="D12396" i="3"/>
  <c r="M12395" i="3"/>
  <c r="L12395" i="3"/>
  <c r="J12395" i="3"/>
  <c r="K12395" i="3" s="1"/>
  <c r="H12395" i="3"/>
  <c r="G12395" i="3"/>
  <c r="F12395" i="3"/>
  <c r="D12395" i="3"/>
  <c r="M12394" i="3"/>
  <c r="L12394" i="3"/>
  <c r="J12394" i="3"/>
  <c r="K12394" i="3" s="1"/>
  <c r="H12394" i="3"/>
  <c r="G12394" i="3"/>
  <c r="F12394" i="3"/>
  <c r="D12394" i="3"/>
  <c r="M12393" i="3"/>
  <c r="L12393" i="3"/>
  <c r="J12393" i="3"/>
  <c r="K12393" i="3" s="1"/>
  <c r="H12393" i="3"/>
  <c r="G12393" i="3"/>
  <c r="F12393" i="3"/>
  <c r="D12393" i="3"/>
  <c r="M12392" i="3"/>
  <c r="L12392" i="3"/>
  <c r="K12392" i="3"/>
  <c r="J12392" i="3"/>
  <c r="H12392" i="3"/>
  <c r="G12392" i="3"/>
  <c r="F12392" i="3"/>
  <c r="D12392" i="3"/>
  <c r="M12391" i="3"/>
  <c r="L12391" i="3"/>
  <c r="J12391" i="3"/>
  <c r="K12391" i="3" s="1"/>
  <c r="H12391" i="3"/>
  <c r="G12391" i="3"/>
  <c r="F12391" i="3"/>
  <c r="D12391" i="3"/>
  <c r="M12390" i="3"/>
  <c r="L12390" i="3"/>
  <c r="J12390" i="3"/>
  <c r="K12390" i="3" s="1"/>
  <c r="H12390" i="3"/>
  <c r="G12390" i="3"/>
  <c r="I12390" i="3" s="1"/>
  <c r="F12390" i="3"/>
  <c r="D12390" i="3"/>
  <c r="M12389" i="3"/>
  <c r="L12389" i="3"/>
  <c r="J12389" i="3"/>
  <c r="K12389" i="3" s="1"/>
  <c r="H12389" i="3"/>
  <c r="G12389" i="3"/>
  <c r="F12389" i="3"/>
  <c r="D12389" i="3"/>
  <c r="M12388" i="3"/>
  <c r="L12388" i="3"/>
  <c r="J12388" i="3"/>
  <c r="K12388" i="3" s="1"/>
  <c r="H12388" i="3"/>
  <c r="G12388" i="3"/>
  <c r="F12388" i="3"/>
  <c r="D12388" i="3"/>
  <c r="M12387" i="3"/>
  <c r="L12387" i="3"/>
  <c r="J12387" i="3"/>
  <c r="K12387" i="3" s="1"/>
  <c r="H12387" i="3"/>
  <c r="G12387" i="3"/>
  <c r="F12387" i="3"/>
  <c r="D12387" i="3"/>
  <c r="M12386" i="3"/>
  <c r="L12386" i="3"/>
  <c r="J12386" i="3"/>
  <c r="K12386" i="3" s="1"/>
  <c r="H12386" i="3"/>
  <c r="G12386" i="3"/>
  <c r="F12386" i="3"/>
  <c r="D12386" i="3"/>
  <c r="M12385" i="3"/>
  <c r="L12385" i="3"/>
  <c r="J12385" i="3"/>
  <c r="K12385" i="3" s="1"/>
  <c r="H12385" i="3"/>
  <c r="G12385" i="3"/>
  <c r="F12385" i="3"/>
  <c r="D12385" i="3"/>
  <c r="M12384" i="3"/>
  <c r="L12384" i="3"/>
  <c r="J12384" i="3"/>
  <c r="K12384" i="3" s="1"/>
  <c r="H12384" i="3"/>
  <c r="G12384" i="3"/>
  <c r="I12384" i="3" s="1"/>
  <c r="F12384" i="3"/>
  <c r="D12384" i="3"/>
  <c r="M12383" i="3"/>
  <c r="L12383" i="3"/>
  <c r="J12383" i="3"/>
  <c r="K12383" i="3" s="1"/>
  <c r="H12383" i="3"/>
  <c r="G12383" i="3"/>
  <c r="I12383" i="3" s="1"/>
  <c r="F12383" i="3"/>
  <c r="D12383" i="3"/>
  <c r="M12382" i="3"/>
  <c r="L12382" i="3"/>
  <c r="J12382" i="3"/>
  <c r="K12382" i="3" s="1"/>
  <c r="H12382" i="3"/>
  <c r="G12382" i="3"/>
  <c r="I12382" i="3" s="1"/>
  <c r="F12382" i="3"/>
  <c r="D12382" i="3"/>
  <c r="M12381" i="3"/>
  <c r="L12381" i="3"/>
  <c r="J12381" i="3"/>
  <c r="K12381" i="3" s="1"/>
  <c r="H12381" i="3"/>
  <c r="G12381" i="3"/>
  <c r="I12381" i="3" s="1"/>
  <c r="F12381" i="3"/>
  <c r="D12381" i="3"/>
  <c r="M12380" i="3"/>
  <c r="L12380" i="3"/>
  <c r="J12380" i="3"/>
  <c r="K12380" i="3" s="1"/>
  <c r="H12380" i="3"/>
  <c r="G12380" i="3"/>
  <c r="I12380" i="3" s="1"/>
  <c r="F12380" i="3"/>
  <c r="D12380" i="3"/>
  <c r="M12379" i="3"/>
  <c r="L12379" i="3"/>
  <c r="J12379" i="3"/>
  <c r="K12379" i="3" s="1"/>
  <c r="H12379" i="3"/>
  <c r="G12379" i="3"/>
  <c r="F12379" i="3"/>
  <c r="D12379" i="3"/>
  <c r="M12378" i="3"/>
  <c r="L12378" i="3"/>
  <c r="J12378" i="3"/>
  <c r="K12378" i="3" s="1"/>
  <c r="H12378" i="3"/>
  <c r="G12378" i="3"/>
  <c r="I12378" i="3" s="1"/>
  <c r="F12378" i="3"/>
  <c r="D12378" i="3"/>
  <c r="M12377" i="3"/>
  <c r="L12377" i="3"/>
  <c r="J12377" i="3"/>
  <c r="K12377" i="3" s="1"/>
  <c r="H12377" i="3"/>
  <c r="G12377" i="3"/>
  <c r="I12377" i="3" s="1"/>
  <c r="F12377" i="3"/>
  <c r="D12377" i="3"/>
  <c r="M12376" i="3"/>
  <c r="L12376" i="3"/>
  <c r="J12376" i="3"/>
  <c r="K12376" i="3" s="1"/>
  <c r="H12376" i="3"/>
  <c r="G12376" i="3"/>
  <c r="I12376" i="3" s="1"/>
  <c r="F12376" i="3"/>
  <c r="D12376" i="3"/>
  <c r="M12375" i="3"/>
  <c r="L12375" i="3"/>
  <c r="J12375" i="3"/>
  <c r="K12375" i="3" s="1"/>
  <c r="H12375" i="3"/>
  <c r="G12375" i="3"/>
  <c r="F12375" i="3"/>
  <c r="D12375" i="3"/>
  <c r="M12374" i="3"/>
  <c r="L12374" i="3"/>
  <c r="J12374" i="3"/>
  <c r="K12374" i="3" s="1"/>
  <c r="H12374" i="3"/>
  <c r="G12374" i="3"/>
  <c r="I12374" i="3" s="1"/>
  <c r="F12374" i="3"/>
  <c r="D12374" i="3"/>
  <c r="M12373" i="3"/>
  <c r="L12373" i="3"/>
  <c r="J12373" i="3"/>
  <c r="K12373" i="3" s="1"/>
  <c r="H12373" i="3"/>
  <c r="G12373" i="3"/>
  <c r="I12373" i="3" s="1"/>
  <c r="F12373" i="3"/>
  <c r="D12373" i="3"/>
  <c r="M12372" i="3"/>
  <c r="L12372" i="3"/>
  <c r="J12372" i="3"/>
  <c r="K12372" i="3" s="1"/>
  <c r="H12372" i="3"/>
  <c r="G12372" i="3"/>
  <c r="I12372" i="3" s="1"/>
  <c r="F12372" i="3"/>
  <c r="D12372" i="3"/>
  <c r="M12371" i="3"/>
  <c r="L12371" i="3"/>
  <c r="J12371" i="3"/>
  <c r="K12371" i="3" s="1"/>
  <c r="H12371" i="3"/>
  <c r="G12371" i="3"/>
  <c r="F12371" i="3"/>
  <c r="D12371" i="3"/>
  <c r="M12370" i="3"/>
  <c r="L12370" i="3"/>
  <c r="J12370" i="3"/>
  <c r="K12370" i="3" s="1"/>
  <c r="H12370" i="3"/>
  <c r="G12370" i="3"/>
  <c r="I12370" i="3" s="1"/>
  <c r="F12370" i="3"/>
  <c r="D12370" i="3"/>
  <c r="M12369" i="3"/>
  <c r="L12369" i="3"/>
  <c r="J12369" i="3"/>
  <c r="K12369" i="3" s="1"/>
  <c r="H12369" i="3"/>
  <c r="G12369" i="3"/>
  <c r="I12369" i="3" s="1"/>
  <c r="F12369" i="3"/>
  <c r="D12369" i="3"/>
  <c r="M12368" i="3"/>
  <c r="L12368" i="3"/>
  <c r="J12368" i="3"/>
  <c r="K12368" i="3" s="1"/>
  <c r="H12368" i="3"/>
  <c r="G12368" i="3"/>
  <c r="I12368" i="3" s="1"/>
  <c r="F12368" i="3"/>
  <c r="D12368" i="3"/>
  <c r="M12367" i="3"/>
  <c r="L12367" i="3"/>
  <c r="J12367" i="3"/>
  <c r="K12367" i="3" s="1"/>
  <c r="H12367" i="3"/>
  <c r="G12367" i="3"/>
  <c r="F12367" i="3"/>
  <c r="D12367" i="3"/>
  <c r="M12366" i="3"/>
  <c r="L12366" i="3"/>
  <c r="J12366" i="3"/>
  <c r="K12366" i="3" s="1"/>
  <c r="H12366" i="3"/>
  <c r="I12366" i="3" s="1"/>
  <c r="G12366" i="3"/>
  <c r="F12366" i="3"/>
  <c r="D12366" i="3"/>
  <c r="M12365" i="3"/>
  <c r="L12365" i="3"/>
  <c r="J12365" i="3"/>
  <c r="K12365" i="3" s="1"/>
  <c r="H12365" i="3"/>
  <c r="G12365" i="3"/>
  <c r="F12365" i="3"/>
  <c r="D12365" i="3"/>
  <c r="M12364" i="3"/>
  <c r="L12364" i="3"/>
  <c r="J12364" i="3"/>
  <c r="K12364" i="3" s="1"/>
  <c r="H12364" i="3"/>
  <c r="G12364" i="3"/>
  <c r="F12364" i="3"/>
  <c r="D12364" i="3"/>
  <c r="M12363" i="3"/>
  <c r="L12363" i="3"/>
  <c r="J12363" i="3"/>
  <c r="K12363" i="3" s="1"/>
  <c r="H12363" i="3"/>
  <c r="I12363" i="3" s="1"/>
  <c r="G12363" i="3"/>
  <c r="F12363" i="3"/>
  <c r="D12363" i="3"/>
  <c r="M12362" i="3"/>
  <c r="L12362" i="3"/>
  <c r="J12362" i="3"/>
  <c r="K12362" i="3" s="1"/>
  <c r="H12362" i="3"/>
  <c r="G12362" i="3"/>
  <c r="I12362" i="3" s="1"/>
  <c r="F12362" i="3"/>
  <c r="D12362" i="3"/>
  <c r="S517" i="1"/>
  <c r="F517" i="1"/>
  <c r="C517" i="1"/>
  <c r="AF515" i="23"/>
  <c r="AE515" i="23"/>
  <c r="AA488" i="23"/>
  <c r="AA487" i="23"/>
  <c r="F516" i="23"/>
  <c r="M12361" i="3"/>
  <c r="L12361" i="3"/>
  <c r="J12361" i="3"/>
  <c r="K12361" i="3" s="1"/>
  <c r="H12361" i="3"/>
  <c r="I12361" i="3" s="1"/>
  <c r="G12361" i="3"/>
  <c r="F12361" i="3"/>
  <c r="D12361" i="3"/>
  <c r="M12360" i="3"/>
  <c r="L12360" i="3"/>
  <c r="J12360" i="3"/>
  <c r="K12360" i="3" s="1"/>
  <c r="H12360" i="3"/>
  <c r="G12360" i="3"/>
  <c r="I12360" i="3" s="1"/>
  <c r="F12360" i="3"/>
  <c r="D12360" i="3"/>
  <c r="M12359" i="3"/>
  <c r="L12359" i="3"/>
  <c r="J12359" i="3"/>
  <c r="K12359" i="3" s="1"/>
  <c r="H12359" i="3"/>
  <c r="G12359" i="3"/>
  <c r="I12359" i="3" s="1"/>
  <c r="F12359" i="3"/>
  <c r="D12359" i="3"/>
  <c r="M12358" i="3"/>
  <c r="L12358" i="3"/>
  <c r="K12358" i="3"/>
  <c r="J12358" i="3"/>
  <c r="H12358" i="3"/>
  <c r="G12358" i="3"/>
  <c r="F12358" i="3"/>
  <c r="D12358" i="3"/>
  <c r="M12357" i="3"/>
  <c r="L12357" i="3"/>
  <c r="J12357" i="3"/>
  <c r="K12357" i="3" s="1"/>
  <c r="H12357" i="3"/>
  <c r="G12357" i="3"/>
  <c r="F12357" i="3"/>
  <c r="D12357" i="3"/>
  <c r="M12356" i="3"/>
  <c r="L12356" i="3"/>
  <c r="J12356" i="3"/>
  <c r="K12356" i="3" s="1"/>
  <c r="H12356" i="3"/>
  <c r="G12356" i="3"/>
  <c r="I12356" i="3" s="1"/>
  <c r="F12356" i="3"/>
  <c r="D12356" i="3"/>
  <c r="M12355" i="3"/>
  <c r="L12355" i="3"/>
  <c r="J12355" i="3"/>
  <c r="K12355" i="3" s="1"/>
  <c r="H12355" i="3"/>
  <c r="G12355" i="3"/>
  <c r="F12355" i="3"/>
  <c r="D12355" i="3"/>
  <c r="M12354" i="3"/>
  <c r="L12354" i="3"/>
  <c r="J12354" i="3"/>
  <c r="K12354" i="3" s="1"/>
  <c r="H12354" i="3"/>
  <c r="G12354" i="3"/>
  <c r="I12354" i="3" s="1"/>
  <c r="F12354" i="3"/>
  <c r="D12354" i="3"/>
  <c r="M12353" i="3"/>
  <c r="L12353" i="3"/>
  <c r="J12353" i="3"/>
  <c r="K12353" i="3" s="1"/>
  <c r="H12353" i="3"/>
  <c r="G12353" i="3"/>
  <c r="F12353" i="3"/>
  <c r="D12353" i="3"/>
  <c r="M12352" i="3"/>
  <c r="L12352" i="3"/>
  <c r="J12352" i="3"/>
  <c r="K12352" i="3" s="1"/>
  <c r="H12352" i="3"/>
  <c r="G12352" i="3"/>
  <c r="I12352" i="3" s="1"/>
  <c r="F12352" i="3"/>
  <c r="D12352" i="3"/>
  <c r="M12351" i="3"/>
  <c r="L12351" i="3"/>
  <c r="J12351" i="3"/>
  <c r="K12351" i="3" s="1"/>
  <c r="H12351" i="3"/>
  <c r="G12351" i="3"/>
  <c r="F12351" i="3"/>
  <c r="D12351" i="3"/>
  <c r="M12350" i="3"/>
  <c r="L12350" i="3"/>
  <c r="K12350" i="3"/>
  <c r="J12350" i="3"/>
  <c r="I12350" i="3"/>
  <c r="H12350" i="3"/>
  <c r="G12350" i="3"/>
  <c r="F12350" i="3"/>
  <c r="D12350" i="3"/>
  <c r="M12349" i="3"/>
  <c r="L12349" i="3"/>
  <c r="J12349" i="3"/>
  <c r="K12349" i="3" s="1"/>
  <c r="H12349" i="3"/>
  <c r="I12349" i="3" s="1"/>
  <c r="G12349" i="3"/>
  <c r="F12349" i="3"/>
  <c r="D12349" i="3"/>
  <c r="M12348" i="3"/>
  <c r="L12348" i="3"/>
  <c r="K12348" i="3"/>
  <c r="J12348" i="3"/>
  <c r="H12348" i="3"/>
  <c r="G12348" i="3"/>
  <c r="F12348" i="3"/>
  <c r="D12348" i="3"/>
  <c r="M12347" i="3"/>
  <c r="L12347" i="3"/>
  <c r="J12347" i="3"/>
  <c r="K12347" i="3" s="1"/>
  <c r="H12347" i="3"/>
  <c r="G12347" i="3"/>
  <c r="I12347" i="3" s="1"/>
  <c r="F12347" i="3"/>
  <c r="D12347" i="3"/>
  <c r="M12346" i="3"/>
  <c r="L12346" i="3"/>
  <c r="J12346" i="3"/>
  <c r="K12346" i="3" s="1"/>
  <c r="H12346" i="3"/>
  <c r="G12346" i="3"/>
  <c r="F12346" i="3"/>
  <c r="D12346" i="3"/>
  <c r="M12345" i="3"/>
  <c r="L12345" i="3"/>
  <c r="J12345" i="3"/>
  <c r="K12345" i="3" s="1"/>
  <c r="H12345" i="3"/>
  <c r="G12345" i="3"/>
  <c r="F12345" i="3"/>
  <c r="D12345" i="3"/>
  <c r="M12344" i="3"/>
  <c r="L12344" i="3"/>
  <c r="J12344" i="3"/>
  <c r="K12344" i="3" s="1"/>
  <c r="H12344" i="3"/>
  <c r="G12344" i="3"/>
  <c r="F12344" i="3"/>
  <c r="D12344" i="3"/>
  <c r="M12343" i="3"/>
  <c r="L12343" i="3"/>
  <c r="J12343" i="3"/>
  <c r="K12343" i="3" s="1"/>
  <c r="H12343" i="3"/>
  <c r="G12343" i="3"/>
  <c r="F12343" i="3"/>
  <c r="D12343" i="3"/>
  <c r="M12342" i="3"/>
  <c r="L12342" i="3"/>
  <c r="K12342" i="3"/>
  <c r="J12342" i="3"/>
  <c r="H12342" i="3"/>
  <c r="G12342" i="3"/>
  <c r="I12342" i="3" s="1"/>
  <c r="F12342" i="3"/>
  <c r="D12342" i="3"/>
  <c r="M12341" i="3"/>
  <c r="L12341" i="3"/>
  <c r="J12341" i="3"/>
  <c r="K12341" i="3" s="1"/>
  <c r="H12341" i="3"/>
  <c r="I12341" i="3" s="1"/>
  <c r="G12341" i="3"/>
  <c r="F12341" i="3"/>
  <c r="D12341" i="3"/>
  <c r="M12340" i="3"/>
  <c r="L12340" i="3"/>
  <c r="K12340" i="3"/>
  <c r="J12340" i="3"/>
  <c r="H12340" i="3"/>
  <c r="G12340" i="3"/>
  <c r="F12340" i="3"/>
  <c r="D12340" i="3"/>
  <c r="M12339" i="3"/>
  <c r="L12339" i="3"/>
  <c r="J12339" i="3"/>
  <c r="K12339" i="3" s="1"/>
  <c r="H12339" i="3"/>
  <c r="G12339" i="3"/>
  <c r="I12339" i="3" s="1"/>
  <c r="F12339" i="3"/>
  <c r="D12339" i="3"/>
  <c r="M12338" i="3"/>
  <c r="L12338" i="3"/>
  <c r="J12338" i="3"/>
  <c r="K12338" i="3" s="1"/>
  <c r="H12338" i="3"/>
  <c r="G12338" i="3"/>
  <c r="F12338" i="3"/>
  <c r="D12338" i="3"/>
  <c r="S516" i="1"/>
  <c r="F516" i="1"/>
  <c r="C516" i="1"/>
  <c r="P458" i="23"/>
  <c r="P459" i="23"/>
  <c r="P460" i="23"/>
  <c r="P461" i="23"/>
  <c r="P462" i="23"/>
  <c r="P463" i="23"/>
  <c r="P464" i="23"/>
  <c r="P465" i="23"/>
  <c r="P466" i="23"/>
  <c r="P467" i="23"/>
  <c r="P468" i="23"/>
  <c r="P469" i="23"/>
  <c r="P470" i="23"/>
  <c r="P471" i="23"/>
  <c r="P472" i="23"/>
  <c r="P473" i="23"/>
  <c r="P474" i="23"/>
  <c r="P475" i="23"/>
  <c r="P476" i="23"/>
  <c r="P477" i="23"/>
  <c r="P478" i="23"/>
  <c r="P479" i="23"/>
  <c r="P480" i="23"/>
  <c r="P481" i="23"/>
  <c r="P482" i="23"/>
  <c r="P483" i="23"/>
  <c r="P484" i="23"/>
  <c r="P485" i="23"/>
  <c r="P486" i="23"/>
  <c r="P487" i="23"/>
  <c r="P488" i="23"/>
  <c r="P489" i="23"/>
  <c r="P490" i="23"/>
  <c r="P491" i="23"/>
  <c r="P492" i="23"/>
  <c r="P493" i="23"/>
  <c r="P494" i="23"/>
  <c r="P495" i="23"/>
  <c r="P496" i="23"/>
  <c r="P497" i="23"/>
  <c r="P498" i="23"/>
  <c r="P499" i="23"/>
  <c r="P500" i="23"/>
  <c r="P501" i="23"/>
  <c r="P502" i="23"/>
  <c r="P503" i="23"/>
  <c r="P504" i="23"/>
  <c r="P505" i="23"/>
  <c r="P506" i="23"/>
  <c r="P507" i="23"/>
  <c r="P508" i="23"/>
  <c r="P509" i="23"/>
  <c r="P510" i="23"/>
  <c r="P511" i="23"/>
  <c r="P512" i="23"/>
  <c r="P513" i="23"/>
  <c r="P514" i="23"/>
  <c r="P51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465" i="23"/>
  <c r="O466" i="23"/>
  <c r="O467" i="23"/>
  <c r="O468" i="23"/>
  <c r="O469" i="23"/>
  <c r="O470" i="23"/>
  <c r="O471" i="23"/>
  <c r="O472" i="23"/>
  <c r="O473" i="23"/>
  <c r="O474" i="23"/>
  <c r="O475" i="23"/>
  <c r="O476" i="23"/>
  <c r="O477" i="23"/>
  <c r="O478" i="23"/>
  <c r="O479" i="23"/>
  <c r="O480" i="23"/>
  <c r="O481" i="23"/>
  <c r="O482" i="23"/>
  <c r="O483" i="23"/>
  <c r="O484" i="23"/>
  <c r="O485" i="23"/>
  <c r="O464" i="23"/>
  <c r="O462" i="23"/>
  <c r="M498" i="1"/>
  <c r="M499" i="1"/>
  <c r="M514" i="1"/>
  <c r="M515" i="1"/>
  <c r="AF514" i="23"/>
  <c r="K514" i="23"/>
  <c r="V514" i="23"/>
  <c r="W514" i="23"/>
  <c r="X514" i="23"/>
  <c r="Z514" i="23"/>
  <c r="AA514" i="23"/>
  <c r="AJ514" i="23" s="1"/>
  <c r="AB514" i="23"/>
  <c r="AK514" i="23" s="1"/>
  <c r="AE514" i="23"/>
  <c r="AH514" i="23"/>
  <c r="AI514" i="23"/>
  <c r="AM514" i="23"/>
  <c r="AN514" i="23"/>
  <c r="AO514" i="23"/>
  <c r="K515" i="23"/>
  <c r="V515" i="23"/>
  <c r="W515" i="23"/>
  <c r="X515" i="23"/>
  <c r="Z515" i="23"/>
  <c r="AA515" i="23"/>
  <c r="AB515" i="23"/>
  <c r="AI515" i="23" s="1"/>
  <c r="AH515" i="23"/>
  <c r="AJ515" i="23"/>
  <c r="AK515" i="23"/>
  <c r="AM515" i="23"/>
  <c r="AN515" i="23"/>
  <c r="AO515" i="23"/>
  <c r="F515" i="23"/>
  <c r="F514" i="23"/>
  <c r="S515" i="1"/>
  <c r="F515" i="1"/>
  <c r="M12337" i="3"/>
  <c r="L12337" i="3"/>
  <c r="J12337" i="3"/>
  <c r="K12337" i="3" s="1"/>
  <c r="H12337" i="3"/>
  <c r="G12337" i="3"/>
  <c r="F12337" i="3"/>
  <c r="D12337" i="3"/>
  <c r="M12336" i="3"/>
  <c r="L12336" i="3"/>
  <c r="J12336" i="3"/>
  <c r="K12336" i="3" s="1"/>
  <c r="H12336" i="3"/>
  <c r="G12336" i="3"/>
  <c r="F12336" i="3"/>
  <c r="D12336" i="3"/>
  <c r="M12335" i="3"/>
  <c r="L12335" i="3"/>
  <c r="J12335" i="3"/>
  <c r="K12335" i="3" s="1"/>
  <c r="H12335" i="3"/>
  <c r="G12335" i="3"/>
  <c r="F12335" i="3"/>
  <c r="D12335" i="3"/>
  <c r="M12334" i="3"/>
  <c r="L12334" i="3"/>
  <c r="J12334" i="3"/>
  <c r="K12334" i="3" s="1"/>
  <c r="H12334" i="3"/>
  <c r="G12334" i="3"/>
  <c r="I12334" i="3" s="1"/>
  <c r="F12334" i="3"/>
  <c r="D12334" i="3"/>
  <c r="M12333" i="3"/>
  <c r="L12333" i="3"/>
  <c r="J12333" i="3"/>
  <c r="K12333" i="3" s="1"/>
  <c r="H12333" i="3"/>
  <c r="G12333" i="3"/>
  <c r="F12333" i="3"/>
  <c r="D12333" i="3"/>
  <c r="M12332" i="3"/>
  <c r="L12332" i="3"/>
  <c r="J12332" i="3"/>
  <c r="K12332" i="3" s="1"/>
  <c r="H12332" i="3"/>
  <c r="G12332" i="3"/>
  <c r="I12332" i="3" s="1"/>
  <c r="F12332" i="3"/>
  <c r="D12332" i="3"/>
  <c r="M12331" i="3"/>
  <c r="L12331" i="3"/>
  <c r="J12331" i="3"/>
  <c r="K12331" i="3" s="1"/>
  <c r="H12331" i="3"/>
  <c r="G12331" i="3"/>
  <c r="F12331" i="3"/>
  <c r="D12331" i="3"/>
  <c r="M12330" i="3"/>
  <c r="L12330" i="3"/>
  <c r="J12330" i="3"/>
  <c r="K12330" i="3" s="1"/>
  <c r="H12330" i="3"/>
  <c r="G12330" i="3"/>
  <c r="F12330" i="3"/>
  <c r="D12330" i="3"/>
  <c r="M12329" i="3"/>
  <c r="L12329" i="3"/>
  <c r="J12329" i="3"/>
  <c r="K12329" i="3" s="1"/>
  <c r="H12329" i="3"/>
  <c r="G12329" i="3"/>
  <c r="I12329" i="3" s="1"/>
  <c r="F12329" i="3"/>
  <c r="D12329" i="3"/>
  <c r="M12328" i="3"/>
  <c r="L12328" i="3"/>
  <c r="K12328" i="3"/>
  <c r="J12328" i="3"/>
  <c r="H12328" i="3"/>
  <c r="G12328" i="3"/>
  <c r="I12328" i="3" s="1"/>
  <c r="F12328" i="3"/>
  <c r="D12328" i="3"/>
  <c r="M12327" i="3"/>
  <c r="L12327" i="3"/>
  <c r="K12327" i="3"/>
  <c r="J12327" i="3"/>
  <c r="H12327" i="3"/>
  <c r="G12327" i="3"/>
  <c r="F12327" i="3"/>
  <c r="D12327" i="3"/>
  <c r="M12326" i="3"/>
  <c r="L12326" i="3"/>
  <c r="J12326" i="3"/>
  <c r="K12326" i="3" s="1"/>
  <c r="H12326" i="3"/>
  <c r="G12326" i="3"/>
  <c r="I12326" i="3" s="1"/>
  <c r="F12326" i="3"/>
  <c r="D12326" i="3"/>
  <c r="M12325" i="3"/>
  <c r="L12325" i="3"/>
  <c r="J12325" i="3"/>
  <c r="K12325" i="3" s="1"/>
  <c r="H12325" i="3"/>
  <c r="G12325" i="3"/>
  <c r="F12325" i="3"/>
  <c r="D12325" i="3"/>
  <c r="M12324" i="3"/>
  <c r="L12324" i="3"/>
  <c r="J12324" i="3"/>
  <c r="K12324" i="3" s="1"/>
  <c r="H12324" i="3"/>
  <c r="G12324" i="3"/>
  <c r="F12324" i="3"/>
  <c r="D12324" i="3"/>
  <c r="M12323" i="3"/>
  <c r="L12323" i="3"/>
  <c r="J12323" i="3"/>
  <c r="K12323" i="3" s="1"/>
  <c r="H12323" i="3"/>
  <c r="G12323" i="3"/>
  <c r="F12323" i="3"/>
  <c r="D12323" i="3"/>
  <c r="M12322" i="3"/>
  <c r="L12322" i="3"/>
  <c r="J12322" i="3"/>
  <c r="K12322" i="3" s="1"/>
  <c r="H12322" i="3"/>
  <c r="G12322" i="3"/>
  <c r="I12322" i="3" s="1"/>
  <c r="F12322" i="3"/>
  <c r="D12322" i="3"/>
  <c r="M12321" i="3"/>
  <c r="L12321" i="3"/>
  <c r="J12321" i="3"/>
  <c r="K12321" i="3" s="1"/>
  <c r="H12321" i="3"/>
  <c r="G12321" i="3"/>
  <c r="F12321" i="3"/>
  <c r="D12321" i="3"/>
  <c r="M12320" i="3"/>
  <c r="L12320" i="3"/>
  <c r="K12320" i="3"/>
  <c r="J12320" i="3"/>
  <c r="H12320" i="3"/>
  <c r="G12320" i="3"/>
  <c r="F12320" i="3"/>
  <c r="D12320" i="3"/>
  <c r="M12319" i="3"/>
  <c r="L12319" i="3"/>
  <c r="K12319" i="3"/>
  <c r="J12319" i="3"/>
  <c r="H12319" i="3"/>
  <c r="I12319" i="3" s="1"/>
  <c r="G12319" i="3"/>
  <c r="F12319" i="3"/>
  <c r="D12319" i="3"/>
  <c r="M12318" i="3"/>
  <c r="L12318" i="3"/>
  <c r="J12318" i="3"/>
  <c r="K12318" i="3" s="1"/>
  <c r="H12318" i="3"/>
  <c r="G12318" i="3"/>
  <c r="I12318" i="3" s="1"/>
  <c r="F12318" i="3"/>
  <c r="D12318" i="3"/>
  <c r="M12317" i="3"/>
  <c r="L12317" i="3"/>
  <c r="J12317" i="3"/>
  <c r="K12317" i="3" s="1"/>
  <c r="H12317" i="3"/>
  <c r="G12317" i="3"/>
  <c r="F12317" i="3"/>
  <c r="D12317" i="3"/>
  <c r="M12316" i="3"/>
  <c r="L12316" i="3"/>
  <c r="K12316" i="3"/>
  <c r="J12316" i="3"/>
  <c r="H12316" i="3"/>
  <c r="G12316" i="3"/>
  <c r="F12316" i="3"/>
  <c r="D12316" i="3"/>
  <c r="M12315" i="3"/>
  <c r="L12315" i="3"/>
  <c r="J12315" i="3"/>
  <c r="K12315" i="3" s="1"/>
  <c r="H12315" i="3"/>
  <c r="G12315" i="3"/>
  <c r="F12315" i="3"/>
  <c r="D12315" i="3"/>
  <c r="M12314" i="3"/>
  <c r="L12314" i="3"/>
  <c r="J12314" i="3"/>
  <c r="K12314" i="3" s="1"/>
  <c r="H12314" i="3"/>
  <c r="G12314" i="3"/>
  <c r="F12314" i="3"/>
  <c r="D12314" i="3"/>
  <c r="Q4" i="12"/>
  <c r="Q5" i="12"/>
  <c r="Q6" i="12"/>
  <c r="Q7" i="12"/>
  <c r="Q8" i="12"/>
  <c r="Q9" i="12"/>
  <c r="Q10" i="12"/>
  <c r="Q11" i="12"/>
  <c r="Q12" i="12"/>
  <c r="Q13" i="12"/>
  <c r="Q14" i="12"/>
  <c r="Q15" i="12"/>
  <c r="Q16" i="12"/>
  <c r="Q17" i="12"/>
  <c r="Q18" i="12"/>
  <c r="Q19" i="12"/>
  <c r="Q20" i="12"/>
  <c r="Q21" i="12"/>
  <c r="Q22" i="12"/>
  <c r="Q23" i="12"/>
  <c r="Q24" i="12"/>
  <c r="Q25" i="12"/>
  <c r="Q26" i="12"/>
  <c r="M12313" i="3"/>
  <c r="L12313" i="3"/>
  <c r="J12313" i="3"/>
  <c r="K12313" i="3" s="1"/>
  <c r="H12313" i="3"/>
  <c r="G12313" i="3"/>
  <c r="F12313" i="3"/>
  <c r="D12313" i="3"/>
  <c r="M12312" i="3"/>
  <c r="L12312" i="3"/>
  <c r="J12312" i="3"/>
  <c r="K12312" i="3" s="1"/>
  <c r="H12312" i="3"/>
  <c r="G12312" i="3"/>
  <c r="I12312" i="3" s="1"/>
  <c r="F12312" i="3"/>
  <c r="D12312" i="3"/>
  <c r="M12311" i="3"/>
  <c r="L12311" i="3"/>
  <c r="J12311" i="3"/>
  <c r="K12311" i="3" s="1"/>
  <c r="H12311" i="3"/>
  <c r="G12311" i="3"/>
  <c r="F12311" i="3"/>
  <c r="D12311" i="3"/>
  <c r="M12310" i="3"/>
  <c r="L12310" i="3"/>
  <c r="K12310" i="3"/>
  <c r="J12310" i="3"/>
  <c r="H12310" i="3"/>
  <c r="G12310" i="3"/>
  <c r="F12310" i="3"/>
  <c r="D12310" i="3"/>
  <c r="M12309" i="3"/>
  <c r="L12309" i="3"/>
  <c r="J12309" i="3"/>
  <c r="K12309" i="3" s="1"/>
  <c r="H12309" i="3"/>
  <c r="G12309" i="3"/>
  <c r="F12309" i="3"/>
  <c r="D12309" i="3"/>
  <c r="M12308" i="3"/>
  <c r="L12308" i="3"/>
  <c r="J12308" i="3"/>
  <c r="K12308" i="3" s="1"/>
  <c r="H12308" i="3"/>
  <c r="G12308" i="3"/>
  <c r="F12308" i="3"/>
  <c r="D12308" i="3"/>
  <c r="M12307" i="3"/>
  <c r="L12307" i="3"/>
  <c r="J12307" i="3"/>
  <c r="K12307" i="3" s="1"/>
  <c r="H12307" i="3"/>
  <c r="G12307" i="3"/>
  <c r="F12307" i="3"/>
  <c r="D12307" i="3"/>
  <c r="M12306" i="3"/>
  <c r="L12306" i="3"/>
  <c r="J12306" i="3"/>
  <c r="K12306" i="3" s="1"/>
  <c r="H12306" i="3"/>
  <c r="G12306" i="3"/>
  <c r="I12306" i="3" s="1"/>
  <c r="F12306" i="3"/>
  <c r="D12306" i="3"/>
  <c r="M12305" i="3"/>
  <c r="L12305" i="3"/>
  <c r="J12305" i="3"/>
  <c r="K12305" i="3" s="1"/>
  <c r="H12305" i="3"/>
  <c r="G12305" i="3"/>
  <c r="F12305" i="3"/>
  <c r="D12305" i="3"/>
  <c r="M12304" i="3"/>
  <c r="L12304" i="3"/>
  <c r="J12304" i="3"/>
  <c r="K12304" i="3" s="1"/>
  <c r="H12304" i="3"/>
  <c r="G12304" i="3"/>
  <c r="F12304" i="3"/>
  <c r="D12304" i="3"/>
  <c r="M12303" i="3"/>
  <c r="L12303" i="3"/>
  <c r="J12303" i="3"/>
  <c r="K12303" i="3" s="1"/>
  <c r="H12303" i="3"/>
  <c r="I12303" i="3" s="1"/>
  <c r="G12303" i="3"/>
  <c r="F12303" i="3"/>
  <c r="D12303" i="3"/>
  <c r="M12302" i="3"/>
  <c r="L12302" i="3"/>
  <c r="K12302" i="3"/>
  <c r="J12302" i="3"/>
  <c r="I12302" i="3"/>
  <c r="H12302" i="3"/>
  <c r="G12302" i="3"/>
  <c r="F12302" i="3"/>
  <c r="D12302" i="3"/>
  <c r="M12301" i="3"/>
  <c r="L12301" i="3"/>
  <c r="J12301" i="3"/>
  <c r="K12301" i="3" s="1"/>
  <c r="H12301" i="3"/>
  <c r="I12301" i="3" s="1"/>
  <c r="G12301" i="3"/>
  <c r="F12301" i="3"/>
  <c r="D12301" i="3"/>
  <c r="M12300" i="3"/>
  <c r="L12300" i="3"/>
  <c r="K12300" i="3"/>
  <c r="J12300" i="3"/>
  <c r="H12300" i="3"/>
  <c r="G12300" i="3"/>
  <c r="F12300" i="3"/>
  <c r="D12300" i="3"/>
  <c r="M12299" i="3"/>
  <c r="L12299" i="3"/>
  <c r="J12299" i="3"/>
  <c r="K12299" i="3" s="1"/>
  <c r="H12299" i="3"/>
  <c r="G12299" i="3"/>
  <c r="I12299" i="3" s="1"/>
  <c r="F12299" i="3"/>
  <c r="D12299" i="3"/>
  <c r="M12298" i="3"/>
  <c r="L12298" i="3"/>
  <c r="J12298" i="3"/>
  <c r="K12298" i="3" s="1"/>
  <c r="H12298" i="3"/>
  <c r="G12298" i="3"/>
  <c r="I12298" i="3" s="1"/>
  <c r="F12298" i="3"/>
  <c r="D12298" i="3"/>
  <c r="M12297" i="3"/>
  <c r="L12297" i="3"/>
  <c r="J12297" i="3"/>
  <c r="K12297" i="3" s="1"/>
  <c r="H12297" i="3"/>
  <c r="G12297" i="3"/>
  <c r="F12297" i="3"/>
  <c r="D12297" i="3"/>
  <c r="M12296" i="3"/>
  <c r="L12296" i="3"/>
  <c r="J12296" i="3"/>
  <c r="K12296" i="3" s="1"/>
  <c r="H12296" i="3"/>
  <c r="G12296" i="3"/>
  <c r="F12296" i="3"/>
  <c r="D12296" i="3"/>
  <c r="M12295" i="3"/>
  <c r="L12295" i="3"/>
  <c r="J12295" i="3"/>
  <c r="K12295" i="3" s="1"/>
  <c r="H12295" i="3"/>
  <c r="G12295" i="3"/>
  <c r="I12295" i="3" s="1"/>
  <c r="F12295" i="3"/>
  <c r="D12295" i="3"/>
  <c r="M12294" i="3"/>
  <c r="L12294" i="3"/>
  <c r="K12294" i="3"/>
  <c r="J12294" i="3"/>
  <c r="H12294" i="3"/>
  <c r="G12294" i="3"/>
  <c r="I12294" i="3" s="1"/>
  <c r="F12294" i="3"/>
  <c r="D12294" i="3"/>
  <c r="M12293" i="3"/>
  <c r="L12293" i="3"/>
  <c r="J12293" i="3"/>
  <c r="K12293" i="3" s="1"/>
  <c r="H12293" i="3"/>
  <c r="G12293" i="3"/>
  <c r="F12293" i="3"/>
  <c r="D12293" i="3"/>
  <c r="M12292" i="3"/>
  <c r="L12292" i="3"/>
  <c r="K12292" i="3"/>
  <c r="J12292" i="3"/>
  <c r="H12292" i="3"/>
  <c r="G12292" i="3"/>
  <c r="I12292" i="3" s="1"/>
  <c r="F12292" i="3"/>
  <c r="D12292" i="3"/>
  <c r="M12291" i="3"/>
  <c r="L12291" i="3"/>
  <c r="J12291" i="3"/>
  <c r="K12291" i="3" s="1"/>
  <c r="H12291" i="3"/>
  <c r="G12291" i="3"/>
  <c r="F12291" i="3"/>
  <c r="D12291" i="3"/>
  <c r="M12290" i="3"/>
  <c r="L12290" i="3"/>
  <c r="J12290" i="3"/>
  <c r="K12290" i="3" s="1"/>
  <c r="H12290" i="3"/>
  <c r="G12290" i="3"/>
  <c r="F12290" i="3"/>
  <c r="D12290" i="3"/>
  <c r="M509" i="1"/>
  <c r="M510" i="1"/>
  <c r="M511" i="1"/>
  <c r="M512" i="1"/>
  <c r="M513" i="1"/>
  <c r="S514" i="1"/>
  <c r="F514" i="1"/>
  <c r="I12420" i="3" l="1"/>
  <c r="I12414" i="3"/>
  <c r="I12430" i="3"/>
  <c r="I12415" i="3"/>
  <c r="I12423" i="3"/>
  <c r="I12431" i="3"/>
  <c r="I12416" i="3"/>
  <c r="I12417" i="3"/>
  <c r="I12424" i="3"/>
  <c r="I12425" i="3"/>
  <c r="I12427" i="3"/>
  <c r="I12432" i="3"/>
  <c r="I12433" i="3"/>
  <c r="I12386" i="3"/>
  <c r="I12400" i="3"/>
  <c r="I12394" i="3"/>
  <c r="I12404" i="3"/>
  <c r="I12405" i="3"/>
  <c r="I12392" i="3"/>
  <c r="I12393" i="3"/>
  <c r="I12402" i="3"/>
  <c r="AI517" i="23"/>
  <c r="AI516" i="23"/>
  <c r="I12387" i="3"/>
  <c r="I12395" i="3"/>
  <c r="I12407" i="3"/>
  <c r="I12403" i="3"/>
  <c r="I12388" i="3"/>
  <c r="I12389" i="3"/>
  <c r="I12391" i="3"/>
  <c r="I12396" i="3"/>
  <c r="I12397" i="3"/>
  <c r="I12399" i="3"/>
  <c r="I12409" i="3"/>
  <c r="I12367" i="3"/>
  <c r="I12375" i="3"/>
  <c r="I12371" i="3"/>
  <c r="I12379" i="3"/>
  <c r="I12364" i="3"/>
  <c r="I12365" i="3"/>
  <c r="I12385" i="3"/>
  <c r="I12346" i="3"/>
  <c r="I12358" i="3"/>
  <c r="I12338" i="3"/>
  <c r="I12344" i="3"/>
  <c r="I12355" i="3"/>
  <c r="I12340" i="3"/>
  <c r="I12343" i="3"/>
  <c r="I12345" i="3"/>
  <c r="I12357" i="3"/>
  <c r="I12348" i="3"/>
  <c r="I12351" i="3"/>
  <c r="I12353" i="3"/>
  <c r="I12314" i="3"/>
  <c r="I12315" i="3"/>
  <c r="I12335" i="3"/>
  <c r="I12325" i="3"/>
  <c r="I12333" i="3"/>
  <c r="I12316" i="3"/>
  <c r="I12317" i="3"/>
  <c r="I12324" i="3"/>
  <c r="I12330" i="3"/>
  <c r="I12331" i="3"/>
  <c r="I12327" i="3"/>
  <c r="I12320" i="3"/>
  <c r="I12321" i="3"/>
  <c r="I12323" i="3"/>
  <c r="I12336" i="3"/>
  <c r="I12337" i="3"/>
  <c r="I12310" i="3"/>
  <c r="I12297" i="3"/>
  <c r="I12304" i="3"/>
  <c r="I12311" i="3"/>
  <c r="I12290" i="3"/>
  <c r="I12296" i="3"/>
  <c r="I12308" i="3"/>
  <c r="I12309" i="3"/>
  <c r="I12293" i="3"/>
  <c r="I12291" i="3"/>
  <c r="I12300" i="3"/>
  <c r="I12305" i="3"/>
  <c r="I12307" i="3"/>
  <c r="I12313" i="3"/>
  <c r="K513" i="23" l="1"/>
  <c r="V513" i="23"/>
  <c r="W513" i="23"/>
  <c r="X513" i="23"/>
  <c r="Z513" i="23"/>
  <c r="AA513" i="23"/>
  <c r="AF513" i="23" s="1"/>
  <c r="AJ513" i="23" s="1"/>
  <c r="AB513" i="23"/>
  <c r="AK513" i="23" s="1"/>
  <c r="AE513" i="23"/>
  <c r="AH513" i="23"/>
  <c r="AI513" i="23"/>
  <c r="AM513" i="23"/>
  <c r="AN513" i="23"/>
  <c r="AO513" i="23"/>
  <c r="F513" i="23"/>
  <c r="X3" i="12"/>
  <c r="AN3" i="12"/>
  <c r="S513" i="1"/>
  <c r="F513" i="1"/>
  <c r="M12289" i="3"/>
  <c r="L12289" i="3"/>
  <c r="J12289" i="3"/>
  <c r="K12289" i="3" s="1"/>
  <c r="H12289" i="3"/>
  <c r="G12289" i="3"/>
  <c r="I12289" i="3" s="1"/>
  <c r="F12289" i="3"/>
  <c r="D12289" i="3"/>
  <c r="M12288" i="3"/>
  <c r="L12288" i="3"/>
  <c r="J12288" i="3"/>
  <c r="K12288" i="3" s="1"/>
  <c r="H12288" i="3"/>
  <c r="G12288" i="3"/>
  <c r="F12288" i="3"/>
  <c r="D12288" i="3"/>
  <c r="M12287" i="3"/>
  <c r="L12287" i="3"/>
  <c r="J12287" i="3"/>
  <c r="K12287" i="3" s="1"/>
  <c r="H12287" i="3"/>
  <c r="G12287" i="3"/>
  <c r="F12287" i="3"/>
  <c r="D12287" i="3"/>
  <c r="M12286" i="3"/>
  <c r="L12286" i="3"/>
  <c r="J12286" i="3"/>
  <c r="K12286" i="3" s="1"/>
  <c r="H12286" i="3"/>
  <c r="G12286" i="3"/>
  <c r="I12286" i="3" s="1"/>
  <c r="F12286" i="3"/>
  <c r="D12286" i="3"/>
  <c r="M12285" i="3"/>
  <c r="L12285" i="3"/>
  <c r="J12285" i="3"/>
  <c r="K12285" i="3" s="1"/>
  <c r="H12285" i="3"/>
  <c r="G12285" i="3"/>
  <c r="I12285" i="3" s="1"/>
  <c r="F12285" i="3"/>
  <c r="D12285" i="3"/>
  <c r="M12284" i="3"/>
  <c r="L12284" i="3"/>
  <c r="K12284" i="3"/>
  <c r="J12284" i="3"/>
  <c r="H12284" i="3"/>
  <c r="G12284" i="3"/>
  <c r="I12284" i="3" s="1"/>
  <c r="F12284" i="3"/>
  <c r="D12284" i="3"/>
  <c r="M12283" i="3"/>
  <c r="L12283" i="3"/>
  <c r="J12283" i="3"/>
  <c r="K12283" i="3" s="1"/>
  <c r="H12283" i="3"/>
  <c r="I12283" i="3" s="1"/>
  <c r="G12283" i="3"/>
  <c r="F12283" i="3"/>
  <c r="D12283" i="3"/>
  <c r="M12282" i="3"/>
  <c r="L12282" i="3"/>
  <c r="J12282" i="3"/>
  <c r="K12282" i="3" s="1"/>
  <c r="H12282" i="3"/>
  <c r="G12282" i="3"/>
  <c r="I12282" i="3" s="1"/>
  <c r="F12282" i="3"/>
  <c r="D12282" i="3"/>
  <c r="M12281" i="3"/>
  <c r="L12281" i="3"/>
  <c r="J12281" i="3"/>
  <c r="K12281" i="3" s="1"/>
  <c r="H12281" i="3"/>
  <c r="G12281" i="3"/>
  <c r="I12281" i="3" s="1"/>
  <c r="F12281" i="3"/>
  <c r="D12281" i="3"/>
  <c r="M12280" i="3"/>
  <c r="L12280" i="3"/>
  <c r="J12280" i="3"/>
  <c r="K12280" i="3" s="1"/>
  <c r="H12280" i="3"/>
  <c r="G12280" i="3"/>
  <c r="I12280" i="3" s="1"/>
  <c r="F12280" i="3"/>
  <c r="D12280" i="3"/>
  <c r="M12279" i="3"/>
  <c r="L12279" i="3"/>
  <c r="J12279" i="3"/>
  <c r="K12279" i="3" s="1"/>
  <c r="H12279" i="3"/>
  <c r="I12279" i="3" s="1"/>
  <c r="G12279" i="3"/>
  <c r="F12279" i="3"/>
  <c r="D12279" i="3"/>
  <c r="M12278" i="3"/>
  <c r="L12278" i="3"/>
  <c r="J12278" i="3"/>
  <c r="K12278" i="3" s="1"/>
  <c r="H12278" i="3"/>
  <c r="G12278" i="3"/>
  <c r="I12278" i="3" s="1"/>
  <c r="F12278" i="3"/>
  <c r="D12278" i="3"/>
  <c r="M12277" i="3"/>
  <c r="L12277" i="3"/>
  <c r="J12277" i="3"/>
  <c r="K12277" i="3" s="1"/>
  <c r="H12277" i="3"/>
  <c r="G12277" i="3"/>
  <c r="I12277" i="3" s="1"/>
  <c r="F12277" i="3"/>
  <c r="D12277" i="3"/>
  <c r="M12276" i="3"/>
  <c r="L12276" i="3"/>
  <c r="K12276" i="3"/>
  <c r="J12276" i="3"/>
  <c r="H12276" i="3"/>
  <c r="G12276" i="3"/>
  <c r="I12276" i="3" s="1"/>
  <c r="F12276" i="3"/>
  <c r="D12276" i="3"/>
  <c r="M12275" i="3"/>
  <c r="L12275" i="3"/>
  <c r="K12275" i="3"/>
  <c r="J12275" i="3"/>
  <c r="H12275" i="3"/>
  <c r="G12275" i="3"/>
  <c r="I12275" i="3" s="1"/>
  <c r="F12275" i="3"/>
  <c r="D12275" i="3"/>
  <c r="M12274" i="3"/>
  <c r="L12274" i="3"/>
  <c r="J12274" i="3"/>
  <c r="K12274" i="3" s="1"/>
  <c r="H12274" i="3"/>
  <c r="G12274" i="3"/>
  <c r="I12274" i="3" s="1"/>
  <c r="F12274" i="3"/>
  <c r="D12274" i="3"/>
  <c r="M12273" i="3"/>
  <c r="L12273" i="3"/>
  <c r="J12273" i="3"/>
  <c r="K12273" i="3" s="1"/>
  <c r="H12273" i="3"/>
  <c r="G12273" i="3"/>
  <c r="I12273" i="3" s="1"/>
  <c r="F12273" i="3"/>
  <c r="D12273" i="3"/>
  <c r="M12272" i="3"/>
  <c r="L12272" i="3"/>
  <c r="K12272" i="3"/>
  <c r="J12272" i="3"/>
  <c r="H12272" i="3"/>
  <c r="G12272" i="3"/>
  <c r="I12272" i="3" s="1"/>
  <c r="F12272" i="3"/>
  <c r="D12272" i="3"/>
  <c r="M12271" i="3"/>
  <c r="L12271" i="3"/>
  <c r="K12271" i="3"/>
  <c r="J12271" i="3"/>
  <c r="H12271" i="3"/>
  <c r="G12271" i="3"/>
  <c r="I12271" i="3" s="1"/>
  <c r="F12271" i="3"/>
  <c r="D12271" i="3"/>
  <c r="M12270" i="3"/>
  <c r="L12270" i="3"/>
  <c r="J12270" i="3"/>
  <c r="K12270" i="3" s="1"/>
  <c r="H12270" i="3"/>
  <c r="G12270" i="3"/>
  <c r="F12270" i="3"/>
  <c r="D12270" i="3"/>
  <c r="M12269" i="3"/>
  <c r="L12269" i="3"/>
  <c r="J12269" i="3"/>
  <c r="K12269" i="3" s="1"/>
  <c r="H12269" i="3"/>
  <c r="G12269" i="3"/>
  <c r="I12269" i="3" s="1"/>
  <c r="F12269" i="3"/>
  <c r="D12269" i="3"/>
  <c r="M12268" i="3"/>
  <c r="L12268" i="3"/>
  <c r="J12268" i="3"/>
  <c r="K12268" i="3" s="1"/>
  <c r="H12268" i="3"/>
  <c r="G12268" i="3"/>
  <c r="I12268" i="3" s="1"/>
  <c r="F12268" i="3"/>
  <c r="D12268" i="3"/>
  <c r="M12267" i="3"/>
  <c r="L12267" i="3"/>
  <c r="J12267" i="3"/>
  <c r="K12267" i="3" s="1"/>
  <c r="H12267" i="3"/>
  <c r="G12267" i="3"/>
  <c r="I12267" i="3" s="1"/>
  <c r="F12267" i="3"/>
  <c r="D12267" i="3"/>
  <c r="M12266" i="3"/>
  <c r="L12266" i="3"/>
  <c r="J12266" i="3"/>
  <c r="K12266" i="3" s="1"/>
  <c r="H12266" i="3"/>
  <c r="I12266" i="3" s="1"/>
  <c r="G12266" i="3"/>
  <c r="F12266" i="3"/>
  <c r="D12266" i="3"/>
  <c r="I12287" i="3" l="1"/>
  <c r="I12270" i="3"/>
  <c r="I12288" i="3"/>
  <c r="AF512" i="23" l="1"/>
  <c r="K510" i="23"/>
  <c r="V510" i="23"/>
  <c r="W510" i="23"/>
  <c r="X510" i="23"/>
  <c r="Z510" i="23"/>
  <c r="AA510" i="23"/>
  <c r="AF510" i="23" s="1"/>
  <c r="AJ510" i="23" s="1"/>
  <c r="AB510" i="23"/>
  <c r="AE510" i="23"/>
  <c r="AH510" i="23"/>
  <c r="AI510" i="23"/>
  <c r="AM510" i="23"/>
  <c r="AN510" i="23"/>
  <c r="AO510" i="23"/>
  <c r="K511" i="23"/>
  <c r="V511" i="23"/>
  <c r="W511" i="23"/>
  <c r="X511" i="23"/>
  <c r="Z511" i="23"/>
  <c r="AA511" i="23"/>
  <c r="AB511" i="23"/>
  <c r="AI511" i="23" s="1"/>
  <c r="AE511" i="23"/>
  <c r="AF511" i="23"/>
  <c r="AH511" i="23"/>
  <c r="AJ511" i="23"/>
  <c r="AM511" i="23"/>
  <c r="AN511" i="23"/>
  <c r="AO511" i="23"/>
  <c r="K512" i="23"/>
  <c r="V512" i="23"/>
  <c r="W512" i="23"/>
  <c r="X512" i="23"/>
  <c r="Z512" i="23"/>
  <c r="AA512" i="23"/>
  <c r="AJ512" i="23" s="1"/>
  <c r="AB512" i="23"/>
  <c r="AE512" i="23"/>
  <c r="AH512" i="23"/>
  <c r="AI512" i="23"/>
  <c r="AM512" i="23"/>
  <c r="AN512" i="23"/>
  <c r="AO512" i="23"/>
  <c r="F512" i="23"/>
  <c r="F511" i="23"/>
  <c r="F510" i="23"/>
  <c r="S512" i="1" l="1"/>
  <c r="F512" i="1"/>
  <c r="M12265" i="3"/>
  <c r="L12265" i="3"/>
  <c r="J12265" i="3"/>
  <c r="K12265" i="3" s="1"/>
  <c r="H12265" i="3"/>
  <c r="G12265" i="3"/>
  <c r="I12265" i="3" s="1"/>
  <c r="F12265" i="3"/>
  <c r="D12265" i="3"/>
  <c r="M12264" i="3"/>
  <c r="L12264" i="3"/>
  <c r="J12264" i="3"/>
  <c r="K12264" i="3" s="1"/>
  <c r="H12264" i="3"/>
  <c r="G12264" i="3"/>
  <c r="F12264" i="3"/>
  <c r="D12264" i="3"/>
  <c r="M12263" i="3"/>
  <c r="L12263" i="3"/>
  <c r="J12263" i="3"/>
  <c r="K12263" i="3" s="1"/>
  <c r="H12263" i="3"/>
  <c r="G12263" i="3"/>
  <c r="F12263" i="3"/>
  <c r="D12263" i="3"/>
  <c r="M12262" i="3"/>
  <c r="L12262" i="3"/>
  <c r="J12262" i="3"/>
  <c r="K12262" i="3" s="1"/>
  <c r="H12262" i="3"/>
  <c r="I12262" i="3" s="1"/>
  <c r="G12262" i="3"/>
  <c r="F12262" i="3"/>
  <c r="D12262" i="3"/>
  <c r="M12261" i="3"/>
  <c r="L12261" i="3"/>
  <c r="J12261" i="3"/>
  <c r="K12261" i="3" s="1"/>
  <c r="H12261" i="3"/>
  <c r="G12261" i="3"/>
  <c r="I12261" i="3" s="1"/>
  <c r="F12261" i="3"/>
  <c r="D12261" i="3"/>
  <c r="M12260" i="3"/>
  <c r="L12260" i="3"/>
  <c r="J12260" i="3"/>
  <c r="K12260" i="3" s="1"/>
  <c r="H12260" i="3"/>
  <c r="G12260" i="3"/>
  <c r="I12260" i="3" s="1"/>
  <c r="F12260" i="3"/>
  <c r="D12260" i="3"/>
  <c r="M12259" i="3"/>
  <c r="L12259" i="3"/>
  <c r="K12259" i="3"/>
  <c r="J12259" i="3"/>
  <c r="H12259" i="3"/>
  <c r="G12259" i="3"/>
  <c r="I12259" i="3" s="1"/>
  <c r="F12259" i="3"/>
  <c r="D12259" i="3"/>
  <c r="M12258" i="3"/>
  <c r="L12258" i="3"/>
  <c r="J12258" i="3"/>
  <c r="K12258" i="3" s="1"/>
  <c r="H12258" i="3"/>
  <c r="G12258" i="3"/>
  <c r="F12258" i="3"/>
  <c r="D12258" i="3"/>
  <c r="M12257" i="3"/>
  <c r="L12257" i="3"/>
  <c r="J12257" i="3"/>
  <c r="K12257" i="3" s="1"/>
  <c r="I12257" i="3"/>
  <c r="H12257" i="3"/>
  <c r="G12257" i="3"/>
  <c r="F12257" i="3"/>
  <c r="D12257" i="3"/>
  <c r="M12256" i="3"/>
  <c r="L12256" i="3"/>
  <c r="J12256" i="3"/>
  <c r="K12256" i="3" s="1"/>
  <c r="H12256" i="3"/>
  <c r="G12256" i="3"/>
  <c r="F12256" i="3"/>
  <c r="D12256" i="3"/>
  <c r="M12255" i="3"/>
  <c r="L12255" i="3"/>
  <c r="J12255" i="3"/>
  <c r="K12255" i="3" s="1"/>
  <c r="H12255" i="3"/>
  <c r="G12255" i="3"/>
  <c r="F12255" i="3"/>
  <c r="D12255" i="3"/>
  <c r="M12254" i="3"/>
  <c r="L12254" i="3"/>
  <c r="J12254" i="3"/>
  <c r="K12254" i="3" s="1"/>
  <c r="H12254" i="3"/>
  <c r="I12254" i="3" s="1"/>
  <c r="G12254" i="3"/>
  <c r="F12254" i="3"/>
  <c r="D12254" i="3"/>
  <c r="M12253" i="3"/>
  <c r="L12253" i="3"/>
  <c r="J12253" i="3"/>
  <c r="K12253" i="3" s="1"/>
  <c r="H12253" i="3"/>
  <c r="G12253" i="3"/>
  <c r="F12253" i="3"/>
  <c r="D12253" i="3"/>
  <c r="M12252" i="3"/>
  <c r="L12252" i="3"/>
  <c r="J12252" i="3"/>
  <c r="K12252" i="3" s="1"/>
  <c r="H12252" i="3"/>
  <c r="G12252" i="3"/>
  <c r="F12252" i="3"/>
  <c r="D12252" i="3"/>
  <c r="M12251" i="3"/>
  <c r="L12251" i="3"/>
  <c r="K12251" i="3"/>
  <c r="J12251" i="3"/>
  <c r="H12251" i="3"/>
  <c r="G12251" i="3"/>
  <c r="F12251" i="3"/>
  <c r="D12251" i="3"/>
  <c r="M12250" i="3"/>
  <c r="L12250" i="3"/>
  <c r="J12250" i="3"/>
  <c r="K12250" i="3" s="1"/>
  <c r="H12250" i="3"/>
  <c r="G12250" i="3"/>
  <c r="F12250" i="3"/>
  <c r="D12250" i="3"/>
  <c r="M12249" i="3"/>
  <c r="L12249" i="3"/>
  <c r="J12249" i="3"/>
  <c r="K12249" i="3" s="1"/>
  <c r="H12249" i="3"/>
  <c r="G12249" i="3"/>
  <c r="I12249" i="3" s="1"/>
  <c r="F12249" i="3"/>
  <c r="D12249" i="3"/>
  <c r="M12248" i="3"/>
  <c r="L12248" i="3"/>
  <c r="J12248" i="3"/>
  <c r="K12248" i="3" s="1"/>
  <c r="H12248" i="3"/>
  <c r="G12248" i="3"/>
  <c r="F12248" i="3"/>
  <c r="D12248" i="3"/>
  <c r="M12247" i="3"/>
  <c r="L12247" i="3"/>
  <c r="J12247" i="3"/>
  <c r="K12247" i="3" s="1"/>
  <c r="H12247" i="3"/>
  <c r="G12247" i="3"/>
  <c r="F12247" i="3"/>
  <c r="D12247" i="3"/>
  <c r="M12246" i="3"/>
  <c r="L12246" i="3"/>
  <c r="J12246" i="3"/>
  <c r="K12246" i="3" s="1"/>
  <c r="H12246" i="3"/>
  <c r="I12246" i="3" s="1"/>
  <c r="G12246" i="3"/>
  <c r="F12246" i="3"/>
  <c r="D12246" i="3"/>
  <c r="M12245" i="3"/>
  <c r="L12245" i="3"/>
  <c r="J12245" i="3"/>
  <c r="K12245" i="3" s="1"/>
  <c r="H12245" i="3"/>
  <c r="G12245" i="3"/>
  <c r="I12245" i="3" s="1"/>
  <c r="F12245" i="3"/>
  <c r="D12245" i="3"/>
  <c r="M12244" i="3"/>
  <c r="L12244" i="3"/>
  <c r="J12244" i="3"/>
  <c r="K12244" i="3" s="1"/>
  <c r="H12244" i="3"/>
  <c r="G12244" i="3"/>
  <c r="F12244" i="3"/>
  <c r="D12244" i="3"/>
  <c r="M12243" i="3"/>
  <c r="L12243" i="3"/>
  <c r="K12243" i="3"/>
  <c r="J12243" i="3"/>
  <c r="H12243" i="3"/>
  <c r="G12243" i="3"/>
  <c r="F12243" i="3"/>
  <c r="D12243" i="3"/>
  <c r="M12242" i="3"/>
  <c r="L12242" i="3"/>
  <c r="J12242" i="3"/>
  <c r="K12242" i="3" s="1"/>
  <c r="H12242" i="3"/>
  <c r="G12242" i="3"/>
  <c r="F12242" i="3"/>
  <c r="D12242" i="3"/>
  <c r="S511" i="1"/>
  <c r="F511" i="1"/>
  <c r="M12241" i="3"/>
  <c r="L12241" i="3"/>
  <c r="J12241" i="3"/>
  <c r="K12241" i="3" s="1"/>
  <c r="H12241" i="3"/>
  <c r="G12241" i="3"/>
  <c r="F12241" i="3"/>
  <c r="D12241" i="3"/>
  <c r="M12240" i="3"/>
  <c r="L12240" i="3"/>
  <c r="J12240" i="3"/>
  <c r="K12240" i="3" s="1"/>
  <c r="H12240" i="3"/>
  <c r="G12240" i="3"/>
  <c r="F12240" i="3"/>
  <c r="D12240" i="3"/>
  <c r="M12239" i="3"/>
  <c r="L12239" i="3"/>
  <c r="J12239" i="3"/>
  <c r="K12239" i="3" s="1"/>
  <c r="H12239" i="3"/>
  <c r="G12239" i="3"/>
  <c r="F12239" i="3"/>
  <c r="D12239" i="3"/>
  <c r="M12238" i="3"/>
  <c r="L12238" i="3"/>
  <c r="J12238" i="3"/>
  <c r="K12238" i="3" s="1"/>
  <c r="H12238" i="3"/>
  <c r="G12238" i="3"/>
  <c r="I12238" i="3" s="1"/>
  <c r="F12238" i="3"/>
  <c r="D12238" i="3"/>
  <c r="M12237" i="3"/>
  <c r="L12237" i="3"/>
  <c r="J12237" i="3"/>
  <c r="K12237" i="3" s="1"/>
  <c r="H12237" i="3"/>
  <c r="G12237" i="3"/>
  <c r="F12237" i="3"/>
  <c r="D12237" i="3"/>
  <c r="M12236" i="3"/>
  <c r="L12236" i="3"/>
  <c r="K12236" i="3"/>
  <c r="J12236" i="3"/>
  <c r="H12236" i="3"/>
  <c r="G12236" i="3"/>
  <c r="F12236" i="3"/>
  <c r="D12236" i="3"/>
  <c r="M12235" i="3"/>
  <c r="L12235" i="3"/>
  <c r="J12235" i="3"/>
  <c r="K12235" i="3" s="1"/>
  <c r="H12235" i="3"/>
  <c r="G12235" i="3"/>
  <c r="F12235" i="3"/>
  <c r="D12235" i="3"/>
  <c r="M12234" i="3"/>
  <c r="L12234" i="3"/>
  <c r="J12234" i="3"/>
  <c r="K12234" i="3" s="1"/>
  <c r="I12234" i="3"/>
  <c r="H12234" i="3"/>
  <c r="G12234" i="3"/>
  <c r="F12234" i="3"/>
  <c r="D12234" i="3"/>
  <c r="M12233" i="3"/>
  <c r="L12233" i="3"/>
  <c r="J12233" i="3"/>
  <c r="K12233" i="3" s="1"/>
  <c r="H12233" i="3"/>
  <c r="G12233" i="3"/>
  <c r="F12233" i="3"/>
  <c r="D12233" i="3"/>
  <c r="M12232" i="3"/>
  <c r="L12232" i="3"/>
  <c r="J12232" i="3"/>
  <c r="K12232" i="3" s="1"/>
  <c r="H12232" i="3"/>
  <c r="G12232" i="3"/>
  <c r="F12232" i="3"/>
  <c r="D12232" i="3"/>
  <c r="M12231" i="3"/>
  <c r="L12231" i="3"/>
  <c r="J12231" i="3"/>
  <c r="K12231" i="3" s="1"/>
  <c r="H12231" i="3"/>
  <c r="G12231" i="3"/>
  <c r="F12231" i="3"/>
  <c r="D12231" i="3"/>
  <c r="M12230" i="3"/>
  <c r="L12230" i="3"/>
  <c r="J12230" i="3"/>
  <c r="K12230" i="3" s="1"/>
  <c r="H12230" i="3"/>
  <c r="G12230" i="3"/>
  <c r="I12230" i="3" s="1"/>
  <c r="F12230" i="3"/>
  <c r="D12230" i="3"/>
  <c r="M12229" i="3"/>
  <c r="L12229" i="3"/>
  <c r="J12229" i="3"/>
  <c r="K12229" i="3" s="1"/>
  <c r="H12229" i="3"/>
  <c r="G12229" i="3"/>
  <c r="F12229" i="3"/>
  <c r="D12229" i="3"/>
  <c r="M12228" i="3"/>
  <c r="L12228" i="3"/>
  <c r="K12228" i="3"/>
  <c r="J12228" i="3"/>
  <c r="H12228" i="3"/>
  <c r="G12228" i="3"/>
  <c r="F12228" i="3"/>
  <c r="D12228" i="3"/>
  <c r="M12227" i="3"/>
  <c r="L12227" i="3"/>
  <c r="J12227" i="3"/>
  <c r="K12227" i="3" s="1"/>
  <c r="H12227" i="3"/>
  <c r="G12227" i="3"/>
  <c r="F12227" i="3"/>
  <c r="D12227" i="3"/>
  <c r="M12226" i="3"/>
  <c r="L12226" i="3"/>
  <c r="J12226" i="3"/>
  <c r="K12226" i="3" s="1"/>
  <c r="H12226" i="3"/>
  <c r="G12226" i="3"/>
  <c r="I12226" i="3" s="1"/>
  <c r="F12226" i="3"/>
  <c r="D12226" i="3"/>
  <c r="M12225" i="3"/>
  <c r="L12225" i="3"/>
  <c r="J12225" i="3"/>
  <c r="K12225" i="3" s="1"/>
  <c r="H12225" i="3"/>
  <c r="G12225" i="3"/>
  <c r="F12225" i="3"/>
  <c r="D12225" i="3"/>
  <c r="M12224" i="3"/>
  <c r="L12224" i="3"/>
  <c r="J12224" i="3"/>
  <c r="K12224" i="3" s="1"/>
  <c r="H12224" i="3"/>
  <c r="G12224" i="3"/>
  <c r="F12224" i="3"/>
  <c r="D12224" i="3"/>
  <c r="M12223" i="3"/>
  <c r="L12223" i="3"/>
  <c r="J12223" i="3"/>
  <c r="K12223" i="3" s="1"/>
  <c r="H12223" i="3"/>
  <c r="I12223" i="3" s="1"/>
  <c r="G12223" i="3"/>
  <c r="F12223" i="3"/>
  <c r="D12223" i="3"/>
  <c r="M12222" i="3"/>
  <c r="L12222" i="3"/>
  <c r="J12222" i="3"/>
  <c r="K12222" i="3" s="1"/>
  <c r="H12222" i="3"/>
  <c r="G12222" i="3"/>
  <c r="F12222" i="3"/>
  <c r="D12222" i="3"/>
  <c r="M12221" i="3"/>
  <c r="L12221" i="3"/>
  <c r="J12221" i="3"/>
  <c r="K12221" i="3" s="1"/>
  <c r="H12221" i="3"/>
  <c r="G12221" i="3"/>
  <c r="F12221" i="3"/>
  <c r="D12221" i="3"/>
  <c r="M12220" i="3"/>
  <c r="L12220" i="3"/>
  <c r="K12220" i="3"/>
  <c r="J12220" i="3"/>
  <c r="H12220" i="3"/>
  <c r="G12220" i="3"/>
  <c r="F12220" i="3"/>
  <c r="D12220" i="3"/>
  <c r="M12219" i="3"/>
  <c r="L12219" i="3"/>
  <c r="J12219" i="3"/>
  <c r="K12219" i="3" s="1"/>
  <c r="H12219" i="3"/>
  <c r="G12219" i="3"/>
  <c r="F12219" i="3"/>
  <c r="D12219" i="3"/>
  <c r="M12218" i="3"/>
  <c r="L12218" i="3"/>
  <c r="J12218" i="3"/>
  <c r="K12218" i="3" s="1"/>
  <c r="H12218" i="3"/>
  <c r="G12218" i="3"/>
  <c r="F12218" i="3"/>
  <c r="D12218" i="3"/>
  <c r="M12217" i="3"/>
  <c r="L12217" i="3"/>
  <c r="J12217" i="3"/>
  <c r="K12217" i="3" s="1"/>
  <c r="H12217" i="3"/>
  <c r="I12217" i="3" s="1"/>
  <c r="G12217" i="3"/>
  <c r="F12217" i="3"/>
  <c r="M12216" i="3"/>
  <c r="L12216" i="3"/>
  <c r="J12216" i="3"/>
  <c r="K12216" i="3" s="1"/>
  <c r="H12216" i="3"/>
  <c r="I12216" i="3" s="1"/>
  <c r="G12216" i="3"/>
  <c r="F12216" i="3"/>
  <c r="M12215" i="3"/>
  <c r="L12215" i="3"/>
  <c r="J12215" i="3"/>
  <c r="K12215" i="3" s="1"/>
  <c r="H12215" i="3"/>
  <c r="G12215" i="3"/>
  <c r="I12215" i="3" s="1"/>
  <c r="F12215" i="3"/>
  <c r="M12214" i="3"/>
  <c r="L12214" i="3"/>
  <c r="J12214" i="3"/>
  <c r="K12214" i="3" s="1"/>
  <c r="H12214" i="3"/>
  <c r="G12214" i="3"/>
  <c r="I12214" i="3" s="1"/>
  <c r="F12214" i="3"/>
  <c r="M12213" i="3"/>
  <c r="L12213" i="3"/>
  <c r="J12213" i="3"/>
  <c r="K12213" i="3" s="1"/>
  <c r="H12213" i="3"/>
  <c r="G12213" i="3"/>
  <c r="I12213" i="3" s="1"/>
  <c r="F12213" i="3"/>
  <c r="M12212" i="3"/>
  <c r="L12212" i="3"/>
  <c r="J12212" i="3"/>
  <c r="K12212" i="3" s="1"/>
  <c r="H12212" i="3"/>
  <c r="G12212" i="3"/>
  <c r="I12212" i="3" s="1"/>
  <c r="F12212" i="3"/>
  <c r="M12211" i="3"/>
  <c r="L12211" i="3"/>
  <c r="J12211" i="3"/>
  <c r="K12211" i="3" s="1"/>
  <c r="H12211" i="3"/>
  <c r="G12211" i="3"/>
  <c r="I12211" i="3" s="1"/>
  <c r="F12211" i="3"/>
  <c r="M12210" i="3"/>
  <c r="L12210" i="3"/>
  <c r="J12210" i="3"/>
  <c r="K12210" i="3" s="1"/>
  <c r="H12210" i="3"/>
  <c r="G12210" i="3"/>
  <c r="I12210" i="3" s="1"/>
  <c r="F12210" i="3"/>
  <c r="M12209" i="3"/>
  <c r="L12209" i="3"/>
  <c r="J12209" i="3"/>
  <c r="K12209" i="3" s="1"/>
  <c r="H12209" i="3"/>
  <c r="G12209" i="3"/>
  <c r="I12209" i="3" s="1"/>
  <c r="F12209" i="3"/>
  <c r="M12208" i="3"/>
  <c r="L12208" i="3"/>
  <c r="J12208" i="3"/>
  <c r="K12208" i="3" s="1"/>
  <c r="H12208" i="3"/>
  <c r="G12208" i="3"/>
  <c r="I12208" i="3" s="1"/>
  <c r="F12208" i="3"/>
  <c r="M12207" i="3"/>
  <c r="L12207" i="3"/>
  <c r="J12207" i="3"/>
  <c r="K12207" i="3" s="1"/>
  <c r="H12207" i="3"/>
  <c r="G12207" i="3"/>
  <c r="I12207" i="3" s="1"/>
  <c r="F12207" i="3"/>
  <c r="M12206" i="3"/>
  <c r="L12206" i="3"/>
  <c r="J12206" i="3"/>
  <c r="K12206" i="3" s="1"/>
  <c r="H12206" i="3"/>
  <c r="G12206" i="3"/>
  <c r="I12206" i="3" s="1"/>
  <c r="F12206" i="3"/>
  <c r="M12205" i="3"/>
  <c r="L12205" i="3"/>
  <c r="J12205" i="3"/>
  <c r="K12205" i="3" s="1"/>
  <c r="H12205" i="3"/>
  <c r="G12205" i="3"/>
  <c r="I12205" i="3" s="1"/>
  <c r="F12205" i="3"/>
  <c r="M12204" i="3"/>
  <c r="L12204" i="3"/>
  <c r="J12204" i="3"/>
  <c r="K12204" i="3" s="1"/>
  <c r="H12204" i="3"/>
  <c r="G12204" i="3"/>
  <c r="I12204" i="3" s="1"/>
  <c r="F12204" i="3"/>
  <c r="M12203" i="3"/>
  <c r="L12203" i="3"/>
  <c r="J12203" i="3"/>
  <c r="K12203" i="3" s="1"/>
  <c r="H12203" i="3"/>
  <c r="G12203" i="3"/>
  <c r="I12203" i="3" s="1"/>
  <c r="F12203" i="3"/>
  <c r="M12202" i="3"/>
  <c r="L12202" i="3"/>
  <c r="J12202" i="3"/>
  <c r="K12202" i="3" s="1"/>
  <c r="H12202" i="3"/>
  <c r="G12202" i="3"/>
  <c r="I12202" i="3" s="1"/>
  <c r="F12202" i="3"/>
  <c r="M12201" i="3"/>
  <c r="L12201" i="3"/>
  <c r="J12201" i="3"/>
  <c r="K12201" i="3" s="1"/>
  <c r="H12201" i="3"/>
  <c r="G12201" i="3"/>
  <c r="I12201" i="3" s="1"/>
  <c r="F12201" i="3"/>
  <c r="M12200" i="3"/>
  <c r="L12200" i="3"/>
  <c r="J12200" i="3"/>
  <c r="K12200" i="3" s="1"/>
  <c r="H12200" i="3"/>
  <c r="G12200" i="3"/>
  <c r="I12200" i="3" s="1"/>
  <c r="F12200" i="3"/>
  <c r="M12199" i="3"/>
  <c r="L12199" i="3"/>
  <c r="J12199" i="3"/>
  <c r="K12199" i="3" s="1"/>
  <c r="H12199" i="3"/>
  <c r="G12199" i="3"/>
  <c r="I12199" i="3" s="1"/>
  <c r="F12199" i="3"/>
  <c r="M12198" i="3"/>
  <c r="L12198" i="3"/>
  <c r="J12198" i="3"/>
  <c r="K12198" i="3" s="1"/>
  <c r="H12198" i="3"/>
  <c r="G12198" i="3"/>
  <c r="I12198" i="3" s="1"/>
  <c r="F12198" i="3"/>
  <c r="M12197" i="3"/>
  <c r="L12197" i="3"/>
  <c r="J12197" i="3"/>
  <c r="K12197" i="3" s="1"/>
  <c r="H12197" i="3"/>
  <c r="G12197" i="3"/>
  <c r="I12197" i="3" s="1"/>
  <c r="F12197" i="3"/>
  <c r="M12196" i="3"/>
  <c r="L12196" i="3"/>
  <c r="J12196" i="3"/>
  <c r="K12196" i="3" s="1"/>
  <c r="H12196" i="3"/>
  <c r="G12196" i="3"/>
  <c r="I12196" i="3" s="1"/>
  <c r="F12196" i="3"/>
  <c r="M12195" i="3"/>
  <c r="L12195" i="3"/>
  <c r="J12195" i="3"/>
  <c r="K12195" i="3" s="1"/>
  <c r="H12195" i="3"/>
  <c r="G12195" i="3"/>
  <c r="I12195" i="3" s="1"/>
  <c r="F12195" i="3"/>
  <c r="M12194" i="3"/>
  <c r="L12194" i="3"/>
  <c r="J12194" i="3"/>
  <c r="K12194" i="3" s="1"/>
  <c r="H12194" i="3"/>
  <c r="G12194" i="3"/>
  <c r="I12194" i="3" s="1"/>
  <c r="F12194" i="3"/>
  <c r="D12217" i="3"/>
  <c r="D12216" i="3"/>
  <c r="D12215" i="3"/>
  <c r="D12214" i="3"/>
  <c r="D12213" i="3"/>
  <c r="D12212" i="3"/>
  <c r="D12211" i="3"/>
  <c r="D12210" i="3"/>
  <c r="D12209" i="3"/>
  <c r="D12208" i="3"/>
  <c r="D12207" i="3"/>
  <c r="D12206" i="3"/>
  <c r="D12205" i="3"/>
  <c r="D12204" i="3"/>
  <c r="D12203" i="3"/>
  <c r="D12202" i="3"/>
  <c r="D12201" i="3"/>
  <c r="D12200" i="3"/>
  <c r="D12199" i="3"/>
  <c r="D12198" i="3"/>
  <c r="D12197" i="3"/>
  <c r="D12196" i="3"/>
  <c r="D12195" i="3"/>
  <c r="D12194" i="3"/>
  <c r="S510" i="1"/>
  <c r="F510" i="1"/>
  <c r="K509" i="23"/>
  <c r="V509" i="23"/>
  <c r="W509" i="23"/>
  <c r="X509" i="23"/>
  <c r="Z509" i="23"/>
  <c r="AA509" i="23"/>
  <c r="AB509" i="23"/>
  <c r="AI509" i="23" s="1"/>
  <c r="AE509" i="23"/>
  <c r="AF509" i="23"/>
  <c r="AH509" i="23"/>
  <c r="AJ509" i="23"/>
  <c r="AM509" i="23"/>
  <c r="AN509" i="23"/>
  <c r="AO509" i="23"/>
  <c r="F509" i="23"/>
  <c r="M506" i="1"/>
  <c r="M507" i="1"/>
  <c r="M508" i="1"/>
  <c r="M12193" i="3"/>
  <c r="L12193" i="3"/>
  <c r="J12193" i="3"/>
  <c r="K12193" i="3" s="1"/>
  <c r="H12193" i="3"/>
  <c r="I12193" i="3" s="1"/>
  <c r="G12193" i="3"/>
  <c r="F12193" i="3"/>
  <c r="D12193" i="3"/>
  <c r="M12192" i="3"/>
  <c r="L12192" i="3"/>
  <c r="J12192" i="3"/>
  <c r="K12192" i="3" s="1"/>
  <c r="H12192" i="3"/>
  <c r="G12192" i="3"/>
  <c r="F12192" i="3"/>
  <c r="D12192" i="3"/>
  <c r="M12191" i="3"/>
  <c r="L12191" i="3"/>
  <c r="J12191" i="3"/>
  <c r="K12191" i="3" s="1"/>
  <c r="H12191" i="3"/>
  <c r="G12191" i="3"/>
  <c r="F12191" i="3"/>
  <c r="D12191" i="3"/>
  <c r="M12190" i="3"/>
  <c r="L12190" i="3"/>
  <c r="K12190" i="3"/>
  <c r="J12190" i="3"/>
  <c r="H12190" i="3"/>
  <c r="I12190" i="3" s="1"/>
  <c r="G12190" i="3"/>
  <c r="F12190" i="3"/>
  <c r="D12190" i="3"/>
  <c r="M12189" i="3"/>
  <c r="L12189" i="3"/>
  <c r="J12189" i="3"/>
  <c r="K12189" i="3" s="1"/>
  <c r="H12189" i="3"/>
  <c r="G12189" i="3"/>
  <c r="I12189" i="3" s="1"/>
  <c r="F12189" i="3"/>
  <c r="D12189" i="3"/>
  <c r="M12188" i="3"/>
  <c r="L12188" i="3"/>
  <c r="J12188" i="3"/>
  <c r="K12188" i="3" s="1"/>
  <c r="H12188" i="3"/>
  <c r="G12188" i="3"/>
  <c r="I12188" i="3" s="1"/>
  <c r="F12188" i="3"/>
  <c r="D12188" i="3"/>
  <c r="M12187" i="3"/>
  <c r="L12187" i="3"/>
  <c r="J12187" i="3"/>
  <c r="K12187" i="3" s="1"/>
  <c r="H12187" i="3"/>
  <c r="G12187" i="3"/>
  <c r="F12187" i="3"/>
  <c r="D12187" i="3"/>
  <c r="M12186" i="3"/>
  <c r="L12186" i="3"/>
  <c r="K12186" i="3"/>
  <c r="J12186" i="3"/>
  <c r="H12186" i="3"/>
  <c r="G12186" i="3"/>
  <c r="F12186" i="3"/>
  <c r="D12186" i="3"/>
  <c r="M12185" i="3"/>
  <c r="L12185" i="3"/>
  <c r="J12185" i="3"/>
  <c r="K12185" i="3" s="1"/>
  <c r="H12185" i="3"/>
  <c r="G12185" i="3"/>
  <c r="I12185" i="3" s="1"/>
  <c r="F12185" i="3"/>
  <c r="D12185" i="3"/>
  <c r="M12184" i="3"/>
  <c r="L12184" i="3"/>
  <c r="J12184" i="3"/>
  <c r="K12184" i="3" s="1"/>
  <c r="H12184" i="3"/>
  <c r="G12184" i="3"/>
  <c r="I12184" i="3" s="1"/>
  <c r="F12184" i="3"/>
  <c r="D12184" i="3"/>
  <c r="M12183" i="3"/>
  <c r="L12183" i="3"/>
  <c r="J12183" i="3"/>
  <c r="K12183" i="3" s="1"/>
  <c r="H12183" i="3"/>
  <c r="G12183" i="3"/>
  <c r="F12183" i="3"/>
  <c r="D12183" i="3"/>
  <c r="M12182" i="3"/>
  <c r="L12182" i="3"/>
  <c r="J12182" i="3"/>
  <c r="K12182" i="3" s="1"/>
  <c r="H12182" i="3"/>
  <c r="G12182" i="3"/>
  <c r="I12182" i="3" s="1"/>
  <c r="F12182" i="3"/>
  <c r="D12182" i="3"/>
  <c r="M12181" i="3"/>
  <c r="L12181" i="3"/>
  <c r="J12181" i="3"/>
  <c r="K12181" i="3" s="1"/>
  <c r="H12181" i="3"/>
  <c r="G12181" i="3"/>
  <c r="F12181" i="3"/>
  <c r="D12181" i="3"/>
  <c r="M12180" i="3"/>
  <c r="L12180" i="3"/>
  <c r="J12180" i="3"/>
  <c r="K12180" i="3" s="1"/>
  <c r="H12180" i="3"/>
  <c r="G12180" i="3"/>
  <c r="I12180" i="3" s="1"/>
  <c r="F12180" i="3"/>
  <c r="D12180" i="3"/>
  <c r="M12179" i="3"/>
  <c r="L12179" i="3"/>
  <c r="J12179" i="3"/>
  <c r="K12179" i="3" s="1"/>
  <c r="H12179" i="3"/>
  <c r="I12179" i="3" s="1"/>
  <c r="G12179" i="3"/>
  <c r="F12179" i="3"/>
  <c r="D12179" i="3"/>
  <c r="M12178" i="3"/>
  <c r="L12178" i="3"/>
  <c r="J12178" i="3"/>
  <c r="K12178" i="3" s="1"/>
  <c r="H12178" i="3"/>
  <c r="G12178" i="3"/>
  <c r="I12178" i="3" s="1"/>
  <c r="F12178" i="3"/>
  <c r="D12178" i="3"/>
  <c r="M12177" i="3"/>
  <c r="L12177" i="3"/>
  <c r="J12177" i="3"/>
  <c r="K12177" i="3" s="1"/>
  <c r="H12177" i="3"/>
  <c r="G12177" i="3"/>
  <c r="F12177" i="3"/>
  <c r="D12177" i="3"/>
  <c r="M12176" i="3"/>
  <c r="L12176" i="3"/>
  <c r="J12176" i="3"/>
  <c r="K12176" i="3" s="1"/>
  <c r="H12176" i="3"/>
  <c r="G12176" i="3"/>
  <c r="F12176" i="3"/>
  <c r="D12176" i="3"/>
  <c r="M12175" i="3"/>
  <c r="L12175" i="3"/>
  <c r="J12175" i="3"/>
  <c r="K12175" i="3" s="1"/>
  <c r="H12175" i="3"/>
  <c r="G12175" i="3"/>
  <c r="F12175" i="3"/>
  <c r="D12175" i="3"/>
  <c r="M12174" i="3"/>
  <c r="L12174" i="3"/>
  <c r="J12174" i="3"/>
  <c r="K12174" i="3" s="1"/>
  <c r="H12174" i="3"/>
  <c r="G12174" i="3"/>
  <c r="I12174" i="3" s="1"/>
  <c r="F12174" i="3"/>
  <c r="D12174" i="3"/>
  <c r="M12173" i="3"/>
  <c r="L12173" i="3"/>
  <c r="J12173" i="3"/>
  <c r="K12173" i="3" s="1"/>
  <c r="H12173" i="3"/>
  <c r="G12173" i="3"/>
  <c r="F12173" i="3"/>
  <c r="D12173" i="3"/>
  <c r="M12172" i="3"/>
  <c r="L12172" i="3"/>
  <c r="K12172" i="3"/>
  <c r="J12172" i="3"/>
  <c r="H12172" i="3"/>
  <c r="G12172" i="3"/>
  <c r="F12172" i="3"/>
  <c r="D12172" i="3"/>
  <c r="M12171" i="3"/>
  <c r="L12171" i="3"/>
  <c r="J12171" i="3"/>
  <c r="K12171" i="3" s="1"/>
  <c r="H12171" i="3"/>
  <c r="G12171" i="3"/>
  <c r="F12171" i="3"/>
  <c r="D12171" i="3"/>
  <c r="M12170" i="3"/>
  <c r="L12170" i="3"/>
  <c r="J12170" i="3"/>
  <c r="K12170" i="3" s="1"/>
  <c r="H12170" i="3"/>
  <c r="G12170" i="3"/>
  <c r="I12170" i="3" s="1"/>
  <c r="F12170" i="3"/>
  <c r="D12170" i="3"/>
  <c r="S509" i="1"/>
  <c r="J509" i="1"/>
  <c r="J510" i="1" s="1"/>
  <c r="J511" i="1" s="1"/>
  <c r="J512" i="1" s="1"/>
  <c r="J513" i="1" s="1"/>
  <c r="J514" i="1" s="1"/>
  <c r="J515" i="1" s="1"/>
  <c r="F509" i="1"/>
  <c r="K508" i="23"/>
  <c r="V508" i="23"/>
  <c r="W508" i="23"/>
  <c r="X508" i="23"/>
  <c r="Z508" i="23"/>
  <c r="AA508" i="23"/>
  <c r="AF508" i="23" s="1"/>
  <c r="AB508" i="23"/>
  <c r="AE508" i="23"/>
  <c r="AH508" i="23"/>
  <c r="AI508" i="23"/>
  <c r="AM508" i="23"/>
  <c r="AN508" i="23"/>
  <c r="AO508" i="23"/>
  <c r="F508" i="23"/>
  <c r="F252" i="5"/>
  <c r="F249" i="5"/>
  <c r="H290" i="5"/>
  <c r="I12243" i="3" l="1"/>
  <c r="I12244" i="3"/>
  <c r="I12253" i="3"/>
  <c r="I12251" i="3"/>
  <c r="I12252" i="3"/>
  <c r="I12242" i="3"/>
  <c r="I12247" i="3"/>
  <c r="I12248" i="3"/>
  <c r="I12250" i="3"/>
  <c r="I12255" i="3"/>
  <c r="I12256" i="3"/>
  <c r="I12258" i="3"/>
  <c r="I12263" i="3"/>
  <c r="I12264" i="3"/>
  <c r="I12220" i="3"/>
  <c r="I12221" i="3"/>
  <c r="I12222" i="3"/>
  <c r="I12227" i="3"/>
  <c r="I12236" i="3"/>
  <c r="I12237" i="3"/>
  <c r="I12218" i="3"/>
  <c r="I12228" i="3"/>
  <c r="I12229" i="3"/>
  <c r="I12239" i="3"/>
  <c r="I12219" i="3"/>
  <c r="I12231" i="3"/>
  <c r="I12224" i="3"/>
  <c r="I12225" i="3"/>
  <c r="I12232" i="3"/>
  <c r="I12233" i="3"/>
  <c r="I12235" i="3"/>
  <c r="I12240" i="3"/>
  <c r="I12241" i="3"/>
  <c r="I12172" i="3"/>
  <c r="I12181" i="3"/>
  <c r="I12186" i="3"/>
  <c r="I12173" i="3"/>
  <c r="I12175" i="3"/>
  <c r="I12191" i="3"/>
  <c r="I12171" i="3"/>
  <c r="I12187" i="3"/>
  <c r="I12176" i="3"/>
  <c r="I12177" i="3"/>
  <c r="I12183" i="3"/>
  <c r="I12192" i="3"/>
  <c r="AJ508" i="23"/>
  <c r="M12169" i="3"/>
  <c r="L12169" i="3"/>
  <c r="J12169" i="3"/>
  <c r="K12169" i="3" s="1"/>
  <c r="H12169" i="3"/>
  <c r="G12169" i="3"/>
  <c r="F12169" i="3"/>
  <c r="D12169" i="3"/>
  <c r="M12168" i="3"/>
  <c r="L12168" i="3"/>
  <c r="J12168" i="3"/>
  <c r="K12168" i="3" s="1"/>
  <c r="H12168" i="3"/>
  <c r="G12168" i="3"/>
  <c r="F12168" i="3"/>
  <c r="D12168" i="3"/>
  <c r="M12167" i="3"/>
  <c r="L12167" i="3"/>
  <c r="J12167" i="3"/>
  <c r="K12167" i="3" s="1"/>
  <c r="H12167" i="3"/>
  <c r="G12167" i="3"/>
  <c r="F12167" i="3"/>
  <c r="D12167" i="3"/>
  <c r="M12166" i="3"/>
  <c r="L12166" i="3"/>
  <c r="J12166" i="3"/>
  <c r="K12166" i="3" s="1"/>
  <c r="H12166" i="3"/>
  <c r="G12166" i="3"/>
  <c r="I12166" i="3" s="1"/>
  <c r="F12166" i="3"/>
  <c r="D12166" i="3"/>
  <c r="M12165" i="3"/>
  <c r="L12165" i="3"/>
  <c r="K12165" i="3"/>
  <c r="J12165" i="3"/>
  <c r="H12165" i="3"/>
  <c r="G12165" i="3"/>
  <c r="I12165" i="3" s="1"/>
  <c r="F12165" i="3"/>
  <c r="D12165" i="3"/>
  <c r="M12164" i="3"/>
  <c r="L12164" i="3"/>
  <c r="J12164" i="3"/>
  <c r="K12164" i="3" s="1"/>
  <c r="H12164" i="3"/>
  <c r="G12164" i="3"/>
  <c r="F12164" i="3"/>
  <c r="D12164" i="3"/>
  <c r="M12163" i="3"/>
  <c r="L12163" i="3"/>
  <c r="J12163" i="3"/>
  <c r="K12163" i="3" s="1"/>
  <c r="H12163" i="3"/>
  <c r="G12163" i="3"/>
  <c r="I12163" i="3" s="1"/>
  <c r="F12163" i="3"/>
  <c r="D12163" i="3"/>
  <c r="M12162" i="3"/>
  <c r="L12162" i="3"/>
  <c r="J12162" i="3"/>
  <c r="K12162" i="3" s="1"/>
  <c r="H12162" i="3"/>
  <c r="G12162" i="3"/>
  <c r="F12162" i="3"/>
  <c r="D12162" i="3"/>
  <c r="M12161" i="3"/>
  <c r="L12161" i="3"/>
  <c r="J12161" i="3"/>
  <c r="K12161" i="3" s="1"/>
  <c r="H12161" i="3"/>
  <c r="G12161" i="3"/>
  <c r="F12161" i="3"/>
  <c r="D12161" i="3"/>
  <c r="M12160" i="3"/>
  <c r="L12160" i="3"/>
  <c r="J12160" i="3"/>
  <c r="K12160" i="3" s="1"/>
  <c r="H12160" i="3"/>
  <c r="G12160" i="3"/>
  <c r="F12160" i="3"/>
  <c r="D12160" i="3"/>
  <c r="M12159" i="3"/>
  <c r="L12159" i="3"/>
  <c r="K12159" i="3"/>
  <c r="J12159" i="3"/>
  <c r="H12159" i="3"/>
  <c r="G12159" i="3"/>
  <c r="I12159" i="3" s="1"/>
  <c r="F12159" i="3"/>
  <c r="D12159" i="3"/>
  <c r="M12158" i="3"/>
  <c r="L12158" i="3"/>
  <c r="J12158" i="3"/>
  <c r="K12158" i="3" s="1"/>
  <c r="H12158" i="3"/>
  <c r="G12158" i="3"/>
  <c r="F12158" i="3"/>
  <c r="D12158" i="3"/>
  <c r="M12157" i="3"/>
  <c r="L12157" i="3"/>
  <c r="J12157" i="3"/>
  <c r="K12157" i="3" s="1"/>
  <c r="H12157" i="3"/>
  <c r="G12157" i="3"/>
  <c r="I12157" i="3" s="1"/>
  <c r="F12157" i="3"/>
  <c r="D12157" i="3"/>
  <c r="M12156" i="3"/>
  <c r="L12156" i="3"/>
  <c r="J12156" i="3"/>
  <c r="K12156" i="3" s="1"/>
  <c r="H12156" i="3"/>
  <c r="G12156" i="3"/>
  <c r="F12156" i="3"/>
  <c r="D12156" i="3"/>
  <c r="M12155" i="3"/>
  <c r="L12155" i="3"/>
  <c r="J12155" i="3"/>
  <c r="K12155" i="3" s="1"/>
  <c r="H12155" i="3"/>
  <c r="G12155" i="3"/>
  <c r="I12155" i="3" s="1"/>
  <c r="F12155" i="3"/>
  <c r="D12155" i="3"/>
  <c r="M12154" i="3"/>
  <c r="L12154" i="3"/>
  <c r="J12154" i="3"/>
  <c r="K12154" i="3" s="1"/>
  <c r="H12154" i="3"/>
  <c r="G12154" i="3"/>
  <c r="I12154" i="3" s="1"/>
  <c r="F12154" i="3"/>
  <c r="D12154" i="3"/>
  <c r="M12153" i="3"/>
  <c r="L12153" i="3"/>
  <c r="J12153" i="3"/>
  <c r="K12153" i="3" s="1"/>
  <c r="H12153" i="3"/>
  <c r="G12153" i="3"/>
  <c r="I12153" i="3" s="1"/>
  <c r="F12153" i="3"/>
  <c r="D12153" i="3"/>
  <c r="M12152" i="3"/>
  <c r="L12152" i="3"/>
  <c r="J12152" i="3"/>
  <c r="K12152" i="3" s="1"/>
  <c r="H12152" i="3"/>
  <c r="G12152" i="3"/>
  <c r="F12152" i="3"/>
  <c r="D12152" i="3"/>
  <c r="M12151" i="3"/>
  <c r="L12151" i="3"/>
  <c r="J12151" i="3"/>
  <c r="K12151" i="3" s="1"/>
  <c r="H12151" i="3"/>
  <c r="G12151" i="3"/>
  <c r="I12151" i="3" s="1"/>
  <c r="F12151" i="3"/>
  <c r="D12151" i="3"/>
  <c r="M12150" i="3"/>
  <c r="L12150" i="3"/>
  <c r="J12150" i="3"/>
  <c r="K12150" i="3" s="1"/>
  <c r="H12150" i="3"/>
  <c r="G12150" i="3"/>
  <c r="F12150" i="3"/>
  <c r="D12150" i="3"/>
  <c r="M12149" i="3"/>
  <c r="L12149" i="3"/>
  <c r="K12149" i="3"/>
  <c r="J12149" i="3"/>
  <c r="H12149" i="3"/>
  <c r="G12149" i="3"/>
  <c r="I12149" i="3" s="1"/>
  <c r="F12149" i="3"/>
  <c r="D12149" i="3"/>
  <c r="M12148" i="3"/>
  <c r="L12148" i="3"/>
  <c r="J12148" i="3"/>
  <c r="K12148" i="3" s="1"/>
  <c r="H12148" i="3"/>
  <c r="G12148" i="3"/>
  <c r="F12148" i="3"/>
  <c r="D12148" i="3"/>
  <c r="M12147" i="3"/>
  <c r="L12147" i="3"/>
  <c r="K12147" i="3"/>
  <c r="J12147" i="3"/>
  <c r="H12147" i="3"/>
  <c r="G12147" i="3"/>
  <c r="F12147" i="3"/>
  <c r="D12147" i="3"/>
  <c r="M12146" i="3"/>
  <c r="L12146" i="3"/>
  <c r="J12146" i="3"/>
  <c r="K12146" i="3" s="1"/>
  <c r="H12146" i="3"/>
  <c r="G12146" i="3"/>
  <c r="F12146" i="3"/>
  <c r="D12146" i="3"/>
  <c r="S508" i="1"/>
  <c r="F508" i="1"/>
  <c r="AB507" i="23"/>
  <c r="AI507" i="23" s="1"/>
  <c r="AA507" i="23"/>
  <c r="AA506" i="23"/>
  <c r="K507" i="23"/>
  <c r="K505" i="23"/>
  <c r="V505" i="23"/>
  <c r="W505" i="23"/>
  <c r="X505" i="23"/>
  <c r="Z505" i="23"/>
  <c r="AA505" i="23"/>
  <c r="AB505" i="23"/>
  <c r="AE505" i="23"/>
  <c r="AP519" i="23" s="1"/>
  <c r="AH505" i="23"/>
  <c r="AM505" i="23"/>
  <c r="AO505" i="23"/>
  <c r="K506" i="23"/>
  <c r="V506" i="23"/>
  <c r="W506" i="23"/>
  <c r="X506" i="23"/>
  <c r="Z506" i="23"/>
  <c r="AB506" i="23"/>
  <c r="AE506" i="23"/>
  <c r="AP520" i="23" s="1"/>
  <c r="AH506" i="23"/>
  <c r="AM506" i="23"/>
  <c r="AO506" i="23"/>
  <c r="V507" i="23"/>
  <c r="W507" i="23"/>
  <c r="X507" i="23"/>
  <c r="Z507" i="23"/>
  <c r="AF507" i="23"/>
  <c r="AJ507" i="23" s="1"/>
  <c r="AE507" i="23"/>
  <c r="AH507" i="23"/>
  <c r="AM507" i="23"/>
  <c r="AN507" i="23"/>
  <c r="AO507" i="23"/>
  <c r="F507" i="23"/>
  <c r="F506" i="23"/>
  <c r="F505" i="23"/>
  <c r="S507" i="1"/>
  <c r="F507" i="1"/>
  <c r="M12145" i="3"/>
  <c r="L12145" i="3"/>
  <c r="J12145" i="3"/>
  <c r="K12145" i="3" s="1"/>
  <c r="H12145" i="3"/>
  <c r="G12145" i="3"/>
  <c r="F12145" i="3"/>
  <c r="D12145" i="3"/>
  <c r="M12144" i="3"/>
  <c r="L12144" i="3"/>
  <c r="J12144" i="3"/>
  <c r="K12144" i="3" s="1"/>
  <c r="H12144" i="3"/>
  <c r="G12144" i="3"/>
  <c r="I12144" i="3" s="1"/>
  <c r="F12144" i="3"/>
  <c r="D12144" i="3"/>
  <c r="M12143" i="3"/>
  <c r="L12143" i="3"/>
  <c r="J12143" i="3"/>
  <c r="K12143" i="3" s="1"/>
  <c r="H12143" i="3"/>
  <c r="G12143" i="3"/>
  <c r="I12143" i="3" s="1"/>
  <c r="F12143" i="3"/>
  <c r="D12143" i="3"/>
  <c r="M12142" i="3"/>
  <c r="L12142" i="3"/>
  <c r="K12142" i="3"/>
  <c r="J12142" i="3"/>
  <c r="H12142" i="3"/>
  <c r="G12142" i="3"/>
  <c r="I12142" i="3" s="1"/>
  <c r="F12142" i="3"/>
  <c r="D12142" i="3"/>
  <c r="M12141" i="3"/>
  <c r="L12141" i="3"/>
  <c r="K12141" i="3"/>
  <c r="J12141" i="3"/>
  <c r="H12141" i="3"/>
  <c r="I12141" i="3" s="1"/>
  <c r="G12141" i="3"/>
  <c r="F12141" i="3"/>
  <c r="D12141" i="3"/>
  <c r="M12140" i="3"/>
  <c r="L12140" i="3"/>
  <c r="J12140" i="3"/>
  <c r="K12140" i="3" s="1"/>
  <c r="H12140" i="3"/>
  <c r="G12140" i="3"/>
  <c r="I12140" i="3" s="1"/>
  <c r="F12140" i="3"/>
  <c r="D12140" i="3"/>
  <c r="M12139" i="3"/>
  <c r="L12139" i="3"/>
  <c r="J12139" i="3"/>
  <c r="K12139" i="3" s="1"/>
  <c r="H12139" i="3"/>
  <c r="G12139" i="3"/>
  <c r="F12139" i="3"/>
  <c r="D12139" i="3"/>
  <c r="M12138" i="3"/>
  <c r="L12138" i="3"/>
  <c r="J12138" i="3"/>
  <c r="K12138" i="3" s="1"/>
  <c r="H12138" i="3"/>
  <c r="G12138" i="3"/>
  <c r="I12138" i="3" s="1"/>
  <c r="F12138" i="3"/>
  <c r="D12138" i="3"/>
  <c r="M12137" i="3"/>
  <c r="L12137" i="3"/>
  <c r="J12137" i="3"/>
  <c r="K12137" i="3" s="1"/>
  <c r="H12137" i="3"/>
  <c r="G12137" i="3"/>
  <c r="F12137" i="3"/>
  <c r="D12137" i="3"/>
  <c r="M12136" i="3"/>
  <c r="L12136" i="3"/>
  <c r="J12136" i="3"/>
  <c r="K12136" i="3" s="1"/>
  <c r="H12136" i="3"/>
  <c r="G12136" i="3"/>
  <c r="F12136" i="3"/>
  <c r="D12136" i="3"/>
  <c r="M12135" i="3"/>
  <c r="L12135" i="3"/>
  <c r="J12135" i="3"/>
  <c r="K12135" i="3" s="1"/>
  <c r="H12135" i="3"/>
  <c r="G12135" i="3"/>
  <c r="F12135" i="3"/>
  <c r="D12135" i="3"/>
  <c r="M12134" i="3"/>
  <c r="L12134" i="3"/>
  <c r="J12134" i="3"/>
  <c r="K12134" i="3" s="1"/>
  <c r="H12134" i="3"/>
  <c r="G12134" i="3"/>
  <c r="I12134" i="3" s="1"/>
  <c r="F12134" i="3"/>
  <c r="D12134" i="3"/>
  <c r="M12133" i="3"/>
  <c r="L12133" i="3"/>
  <c r="J12133" i="3"/>
  <c r="K12133" i="3" s="1"/>
  <c r="H12133" i="3"/>
  <c r="G12133" i="3"/>
  <c r="I12133" i="3" s="1"/>
  <c r="F12133" i="3"/>
  <c r="D12133" i="3"/>
  <c r="M12132" i="3"/>
  <c r="L12132" i="3"/>
  <c r="J12132" i="3"/>
  <c r="K12132" i="3" s="1"/>
  <c r="H12132" i="3"/>
  <c r="G12132" i="3"/>
  <c r="F12132" i="3"/>
  <c r="D12132" i="3"/>
  <c r="M12131" i="3"/>
  <c r="L12131" i="3"/>
  <c r="J12131" i="3"/>
  <c r="K12131" i="3" s="1"/>
  <c r="H12131" i="3"/>
  <c r="G12131" i="3"/>
  <c r="I12131" i="3" s="1"/>
  <c r="F12131" i="3"/>
  <c r="D12131" i="3"/>
  <c r="M12130" i="3"/>
  <c r="L12130" i="3"/>
  <c r="J12130" i="3"/>
  <c r="K12130" i="3" s="1"/>
  <c r="H12130" i="3"/>
  <c r="G12130" i="3"/>
  <c r="F12130" i="3"/>
  <c r="D12130" i="3"/>
  <c r="M12129" i="3"/>
  <c r="L12129" i="3"/>
  <c r="J12129" i="3"/>
  <c r="K12129" i="3" s="1"/>
  <c r="H12129" i="3"/>
  <c r="G12129" i="3"/>
  <c r="F12129" i="3"/>
  <c r="D12129" i="3"/>
  <c r="M12128" i="3"/>
  <c r="L12128" i="3"/>
  <c r="J12128" i="3"/>
  <c r="K12128" i="3" s="1"/>
  <c r="H12128" i="3"/>
  <c r="I12128" i="3" s="1"/>
  <c r="G12128" i="3"/>
  <c r="F12128" i="3"/>
  <c r="D12128" i="3"/>
  <c r="M12127" i="3"/>
  <c r="L12127" i="3"/>
  <c r="J12127" i="3"/>
  <c r="K12127" i="3" s="1"/>
  <c r="H12127" i="3"/>
  <c r="G12127" i="3"/>
  <c r="I12127" i="3" s="1"/>
  <c r="F12127" i="3"/>
  <c r="D12127" i="3"/>
  <c r="M12126" i="3"/>
  <c r="L12126" i="3"/>
  <c r="J12126" i="3"/>
  <c r="K12126" i="3" s="1"/>
  <c r="H12126" i="3"/>
  <c r="G12126" i="3"/>
  <c r="F12126" i="3"/>
  <c r="D12126" i="3"/>
  <c r="M12125" i="3"/>
  <c r="L12125" i="3"/>
  <c r="K12125" i="3"/>
  <c r="J12125" i="3"/>
  <c r="H12125" i="3"/>
  <c r="G12125" i="3"/>
  <c r="F12125" i="3"/>
  <c r="D12125" i="3"/>
  <c r="M12124" i="3"/>
  <c r="L12124" i="3"/>
  <c r="J12124" i="3"/>
  <c r="K12124" i="3" s="1"/>
  <c r="H12124" i="3"/>
  <c r="G12124" i="3"/>
  <c r="F12124" i="3"/>
  <c r="D12124" i="3"/>
  <c r="M12123" i="3"/>
  <c r="L12123" i="3"/>
  <c r="J12123" i="3"/>
  <c r="K12123" i="3" s="1"/>
  <c r="H12123" i="3"/>
  <c r="I12123" i="3" s="1"/>
  <c r="G12123" i="3"/>
  <c r="F12123" i="3"/>
  <c r="D12123" i="3"/>
  <c r="M12122" i="3"/>
  <c r="L12122" i="3"/>
  <c r="J12122" i="3"/>
  <c r="K12122" i="3" s="1"/>
  <c r="H12122" i="3"/>
  <c r="G12122" i="3"/>
  <c r="F12122" i="3"/>
  <c r="D12122" i="3"/>
  <c r="I12146" i="3" l="1"/>
  <c r="I12148" i="3"/>
  <c r="I12161" i="3"/>
  <c r="I12162" i="3"/>
  <c r="I12164" i="3"/>
  <c r="I12158" i="3"/>
  <c r="I12160" i="3"/>
  <c r="I12169" i="3"/>
  <c r="I12147" i="3"/>
  <c r="I12150" i="3"/>
  <c r="I12152" i="3"/>
  <c r="I12156" i="3"/>
  <c r="I12167" i="3"/>
  <c r="I12168" i="3"/>
  <c r="I12124" i="3"/>
  <c r="I12137" i="3"/>
  <c r="I12132" i="3"/>
  <c r="I12125" i="3"/>
  <c r="I12126" i="3"/>
  <c r="I12135" i="3"/>
  <c r="I12136" i="3"/>
  <c r="I12139" i="3"/>
  <c r="I12122" i="3"/>
  <c r="I12129" i="3"/>
  <c r="I12130" i="3"/>
  <c r="I12145" i="3"/>
  <c r="M12121" i="3"/>
  <c r="L12121" i="3"/>
  <c r="J12121" i="3"/>
  <c r="K12121" i="3" s="1"/>
  <c r="H12121" i="3"/>
  <c r="G12121" i="3"/>
  <c r="F12121" i="3"/>
  <c r="D12121" i="3"/>
  <c r="M12120" i="3"/>
  <c r="L12120" i="3"/>
  <c r="J12120" i="3"/>
  <c r="K12120" i="3" s="1"/>
  <c r="H12120" i="3"/>
  <c r="G12120" i="3"/>
  <c r="F12120" i="3"/>
  <c r="D12120" i="3"/>
  <c r="M12119" i="3"/>
  <c r="L12119" i="3"/>
  <c r="J12119" i="3"/>
  <c r="K12119" i="3" s="1"/>
  <c r="H12119" i="3"/>
  <c r="G12119" i="3"/>
  <c r="F12119" i="3"/>
  <c r="D12119" i="3"/>
  <c r="M12118" i="3"/>
  <c r="L12118" i="3"/>
  <c r="J12118" i="3"/>
  <c r="K12118" i="3" s="1"/>
  <c r="H12118" i="3"/>
  <c r="G12118" i="3"/>
  <c r="F12118" i="3"/>
  <c r="D12118" i="3"/>
  <c r="M12117" i="3"/>
  <c r="L12117" i="3"/>
  <c r="K12117" i="3"/>
  <c r="J12117" i="3"/>
  <c r="H12117" i="3"/>
  <c r="G12117" i="3"/>
  <c r="I12117" i="3" s="1"/>
  <c r="F12117" i="3"/>
  <c r="D12117" i="3"/>
  <c r="M12116" i="3"/>
  <c r="L12116" i="3"/>
  <c r="J12116" i="3"/>
  <c r="K12116" i="3" s="1"/>
  <c r="H12116" i="3"/>
  <c r="G12116" i="3"/>
  <c r="F12116" i="3"/>
  <c r="D12116" i="3"/>
  <c r="M12115" i="3"/>
  <c r="L12115" i="3"/>
  <c r="J12115" i="3"/>
  <c r="K12115" i="3" s="1"/>
  <c r="H12115" i="3"/>
  <c r="G12115" i="3"/>
  <c r="I12115" i="3" s="1"/>
  <c r="F12115" i="3"/>
  <c r="D12115" i="3"/>
  <c r="M12114" i="3"/>
  <c r="L12114" i="3"/>
  <c r="J12114" i="3"/>
  <c r="K12114" i="3" s="1"/>
  <c r="H12114" i="3"/>
  <c r="G12114" i="3"/>
  <c r="F12114" i="3"/>
  <c r="D12114" i="3"/>
  <c r="M12113" i="3"/>
  <c r="L12113" i="3"/>
  <c r="K12113" i="3"/>
  <c r="J12113" i="3"/>
  <c r="H12113" i="3"/>
  <c r="G12113" i="3"/>
  <c r="F12113" i="3"/>
  <c r="D12113" i="3"/>
  <c r="M12112" i="3"/>
  <c r="L12112" i="3"/>
  <c r="J12112" i="3"/>
  <c r="K12112" i="3" s="1"/>
  <c r="H12112" i="3"/>
  <c r="G12112" i="3"/>
  <c r="I12112" i="3" s="1"/>
  <c r="F12112" i="3"/>
  <c r="D12112" i="3"/>
  <c r="M12111" i="3"/>
  <c r="L12111" i="3"/>
  <c r="J12111" i="3"/>
  <c r="K12111" i="3" s="1"/>
  <c r="H12111" i="3"/>
  <c r="G12111" i="3"/>
  <c r="F12111" i="3"/>
  <c r="D12111" i="3"/>
  <c r="M12110" i="3"/>
  <c r="L12110" i="3"/>
  <c r="K12110" i="3"/>
  <c r="J12110" i="3"/>
  <c r="H12110" i="3"/>
  <c r="G12110" i="3"/>
  <c r="F12110" i="3"/>
  <c r="D12110" i="3"/>
  <c r="M12109" i="3"/>
  <c r="L12109" i="3"/>
  <c r="K12109" i="3"/>
  <c r="J12109" i="3"/>
  <c r="H12109" i="3"/>
  <c r="G12109" i="3"/>
  <c r="F12109" i="3"/>
  <c r="D12109" i="3"/>
  <c r="M12108" i="3"/>
  <c r="L12108" i="3"/>
  <c r="J12108" i="3"/>
  <c r="K12108" i="3" s="1"/>
  <c r="H12108" i="3"/>
  <c r="G12108" i="3"/>
  <c r="I12108" i="3" s="1"/>
  <c r="F12108" i="3"/>
  <c r="D12108" i="3"/>
  <c r="M12107" i="3"/>
  <c r="L12107" i="3"/>
  <c r="J12107" i="3"/>
  <c r="K12107" i="3" s="1"/>
  <c r="H12107" i="3"/>
  <c r="G12107" i="3"/>
  <c r="F12107" i="3"/>
  <c r="D12107" i="3"/>
  <c r="M12106" i="3"/>
  <c r="L12106" i="3"/>
  <c r="J12106" i="3"/>
  <c r="K12106" i="3" s="1"/>
  <c r="H12106" i="3"/>
  <c r="G12106" i="3"/>
  <c r="I12106" i="3" s="1"/>
  <c r="F12106" i="3"/>
  <c r="D12106" i="3"/>
  <c r="M12105" i="3"/>
  <c r="L12105" i="3"/>
  <c r="J12105" i="3"/>
  <c r="K12105" i="3" s="1"/>
  <c r="H12105" i="3"/>
  <c r="I12105" i="3" s="1"/>
  <c r="G12105" i="3"/>
  <c r="F12105" i="3"/>
  <c r="D12105" i="3"/>
  <c r="M12104" i="3"/>
  <c r="L12104" i="3"/>
  <c r="J12104" i="3"/>
  <c r="K12104" i="3" s="1"/>
  <c r="H12104" i="3"/>
  <c r="G12104" i="3"/>
  <c r="F12104" i="3"/>
  <c r="D12104" i="3"/>
  <c r="M12103" i="3"/>
  <c r="L12103" i="3"/>
  <c r="J12103" i="3"/>
  <c r="K12103" i="3" s="1"/>
  <c r="H12103" i="3"/>
  <c r="G12103" i="3"/>
  <c r="F12103" i="3"/>
  <c r="D12103" i="3"/>
  <c r="M12102" i="3"/>
  <c r="L12102" i="3"/>
  <c r="J12102" i="3"/>
  <c r="K12102" i="3" s="1"/>
  <c r="H12102" i="3"/>
  <c r="G12102" i="3"/>
  <c r="I12102" i="3" s="1"/>
  <c r="F12102" i="3"/>
  <c r="D12102" i="3"/>
  <c r="M12101" i="3"/>
  <c r="L12101" i="3"/>
  <c r="J12101" i="3"/>
  <c r="K12101" i="3" s="1"/>
  <c r="H12101" i="3"/>
  <c r="G12101" i="3"/>
  <c r="F12101" i="3"/>
  <c r="D12101" i="3"/>
  <c r="M12100" i="3"/>
  <c r="L12100" i="3"/>
  <c r="J12100" i="3"/>
  <c r="K12100" i="3" s="1"/>
  <c r="H12100" i="3"/>
  <c r="G12100" i="3"/>
  <c r="I12100" i="3" s="1"/>
  <c r="F12100" i="3"/>
  <c r="D12100" i="3"/>
  <c r="M12099" i="3"/>
  <c r="L12099" i="3"/>
  <c r="J12099" i="3"/>
  <c r="K12099" i="3" s="1"/>
  <c r="H12099" i="3"/>
  <c r="G12099" i="3"/>
  <c r="F12099" i="3"/>
  <c r="D12099" i="3"/>
  <c r="M12098" i="3"/>
  <c r="L12098" i="3"/>
  <c r="J12098" i="3"/>
  <c r="K12098" i="3" s="1"/>
  <c r="H12098" i="3"/>
  <c r="G12098" i="3"/>
  <c r="I12098" i="3" s="1"/>
  <c r="F12098" i="3"/>
  <c r="D12098" i="3"/>
  <c r="S506" i="1"/>
  <c r="F506" i="1"/>
  <c r="F505" i="1"/>
  <c r="M501" i="1"/>
  <c r="M502" i="1"/>
  <c r="M503" i="1"/>
  <c r="M504" i="1"/>
  <c r="M505" i="1"/>
  <c r="M12097" i="3"/>
  <c r="L12097" i="3"/>
  <c r="J12097" i="3"/>
  <c r="K12097" i="3" s="1"/>
  <c r="H12097" i="3"/>
  <c r="G12097" i="3"/>
  <c r="F12097" i="3"/>
  <c r="D12097" i="3"/>
  <c r="M12096" i="3"/>
  <c r="L12096" i="3"/>
  <c r="J12096" i="3"/>
  <c r="K12096" i="3" s="1"/>
  <c r="H12096" i="3"/>
  <c r="G12096" i="3"/>
  <c r="F12096" i="3"/>
  <c r="D12096" i="3"/>
  <c r="M12095" i="3"/>
  <c r="L12095" i="3"/>
  <c r="J12095" i="3"/>
  <c r="K12095" i="3" s="1"/>
  <c r="H12095" i="3"/>
  <c r="G12095" i="3"/>
  <c r="I12095" i="3" s="1"/>
  <c r="F12095" i="3"/>
  <c r="D12095" i="3"/>
  <c r="M12094" i="3"/>
  <c r="L12094" i="3"/>
  <c r="J12094" i="3"/>
  <c r="K12094" i="3" s="1"/>
  <c r="H12094" i="3"/>
  <c r="G12094" i="3"/>
  <c r="F12094" i="3"/>
  <c r="D12094" i="3"/>
  <c r="M12093" i="3"/>
  <c r="L12093" i="3"/>
  <c r="J12093" i="3"/>
  <c r="K12093" i="3" s="1"/>
  <c r="H12093" i="3"/>
  <c r="G12093" i="3"/>
  <c r="F12093" i="3"/>
  <c r="D12093" i="3"/>
  <c r="M12092" i="3"/>
  <c r="L12092" i="3"/>
  <c r="J12092" i="3"/>
  <c r="K12092" i="3" s="1"/>
  <c r="H12092" i="3"/>
  <c r="G12092" i="3"/>
  <c r="F12092" i="3"/>
  <c r="D12092" i="3"/>
  <c r="M12091" i="3"/>
  <c r="L12091" i="3"/>
  <c r="J12091" i="3"/>
  <c r="K12091" i="3" s="1"/>
  <c r="H12091" i="3"/>
  <c r="G12091" i="3"/>
  <c r="I12091" i="3" s="1"/>
  <c r="F12091" i="3"/>
  <c r="D12091" i="3"/>
  <c r="M12090" i="3"/>
  <c r="L12090" i="3"/>
  <c r="J12090" i="3"/>
  <c r="K12090" i="3" s="1"/>
  <c r="H12090" i="3"/>
  <c r="G12090" i="3"/>
  <c r="F12090" i="3"/>
  <c r="D12090" i="3"/>
  <c r="M12089" i="3"/>
  <c r="L12089" i="3"/>
  <c r="J12089" i="3"/>
  <c r="K12089" i="3" s="1"/>
  <c r="H12089" i="3"/>
  <c r="G12089" i="3"/>
  <c r="I12089" i="3" s="1"/>
  <c r="F12089" i="3"/>
  <c r="D12089" i="3"/>
  <c r="M12088" i="3"/>
  <c r="L12088" i="3"/>
  <c r="J12088" i="3"/>
  <c r="K12088" i="3" s="1"/>
  <c r="H12088" i="3"/>
  <c r="G12088" i="3"/>
  <c r="F12088" i="3"/>
  <c r="D12088" i="3"/>
  <c r="M12087" i="3"/>
  <c r="L12087" i="3"/>
  <c r="J12087" i="3"/>
  <c r="K12087" i="3" s="1"/>
  <c r="H12087" i="3"/>
  <c r="G12087" i="3"/>
  <c r="F12087" i="3"/>
  <c r="D12087" i="3"/>
  <c r="M12086" i="3"/>
  <c r="L12086" i="3"/>
  <c r="J12086" i="3"/>
  <c r="K12086" i="3" s="1"/>
  <c r="H12086" i="3"/>
  <c r="G12086" i="3"/>
  <c r="F12086" i="3"/>
  <c r="D12086" i="3"/>
  <c r="M12085" i="3"/>
  <c r="L12085" i="3"/>
  <c r="J12085" i="3"/>
  <c r="K12085" i="3" s="1"/>
  <c r="H12085" i="3"/>
  <c r="G12085" i="3"/>
  <c r="I12085" i="3" s="1"/>
  <c r="F12085" i="3"/>
  <c r="D12085" i="3"/>
  <c r="M12084" i="3"/>
  <c r="L12084" i="3"/>
  <c r="J12084" i="3"/>
  <c r="K12084" i="3" s="1"/>
  <c r="H12084" i="3"/>
  <c r="G12084" i="3"/>
  <c r="F12084" i="3"/>
  <c r="D12084" i="3"/>
  <c r="M12083" i="3"/>
  <c r="L12083" i="3"/>
  <c r="J12083" i="3"/>
  <c r="K12083" i="3" s="1"/>
  <c r="H12083" i="3"/>
  <c r="G12083" i="3"/>
  <c r="F12083" i="3"/>
  <c r="D12083" i="3"/>
  <c r="M12082" i="3"/>
  <c r="L12082" i="3"/>
  <c r="J12082" i="3"/>
  <c r="K12082" i="3" s="1"/>
  <c r="H12082" i="3"/>
  <c r="G12082" i="3"/>
  <c r="I12082" i="3" s="1"/>
  <c r="F12082" i="3"/>
  <c r="D12082" i="3"/>
  <c r="M12081" i="3"/>
  <c r="L12081" i="3"/>
  <c r="J12081" i="3"/>
  <c r="K12081" i="3" s="1"/>
  <c r="H12081" i="3"/>
  <c r="G12081" i="3"/>
  <c r="F12081" i="3"/>
  <c r="D12081" i="3"/>
  <c r="M12080" i="3"/>
  <c r="L12080" i="3"/>
  <c r="J12080" i="3"/>
  <c r="K12080" i="3" s="1"/>
  <c r="H12080" i="3"/>
  <c r="G12080" i="3"/>
  <c r="F12080" i="3"/>
  <c r="D12080" i="3"/>
  <c r="M12079" i="3"/>
  <c r="L12079" i="3"/>
  <c r="J12079" i="3"/>
  <c r="K12079" i="3" s="1"/>
  <c r="H12079" i="3"/>
  <c r="G12079" i="3"/>
  <c r="F12079" i="3"/>
  <c r="D12079" i="3"/>
  <c r="M12078" i="3"/>
  <c r="L12078" i="3"/>
  <c r="J12078" i="3"/>
  <c r="K12078" i="3" s="1"/>
  <c r="H12078" i="3"/>
  <c r="G12078" i="3"/>
  <c r="I12078" i="3" s="1"/>
  <c r="F12078" i="3"/>
  <c r="D12078" i="3"/>
  <c r="M12077" i="3"/>
  <c r="L12077" i="3"/>
  <c r="J12077" i="3"/>
  <c r="K12077" i="3" s="1"/>
  <c r="H12077" i="3"/>
  <c r="G12077" i="3"/>
  <c r="I12077" i="3" s="1"/>
  <c r="F12077" i="3"/>
  <c r="D12077" i="3"/>
  <c r="M12076" i="3"/>
  <c r="L12076" i="3"/>
  <c r="K12076" i="3"/>
  <c r="J12076" i="3"/>
  <c r="H12076" i="3"/>
  <c r="G12076" i="3"/>
  <c r="I12076" i="3" s="1"/>
  <c r="F12076" i="3"/>
  <c r="D12076" i="3"/>
  <c r="M12075" i="3"/>
  <c r="L12075" i="3"/>
  <c r="J12075" i="3"/>
  <c r="K12075" i="3" s="1"/>
  <c r="H12075" i="3"/>
  <c r="G12075" i="3"/>
  <c r="I12075" i="3" s="1"/>
  <c r="F12075" i="3"/>
  <c r="D12075" i="3"/>
  <c r="M12074" i="3"/>
  <c r="L12074" i="3"/>
  <c r="J12074" i="3"/>
  <c r="K12074" i="3" s="1"/>
  <c r="H12074" i="3"/>
  <c r="G12074" i="3"/>
  <c r="F12074" i="3"/>
  <c r="D12074" i="3"/>
  <c r="S505" i="1"/>
  <c r="I12110" i="3" l="1"/>
  <c r="I12111" i="3"/>
  <c r="I12119" i="3"/>
  <c r="I12099" i="3"/>
  <c r="I12103" i="3"/>
  <c r="I12104" i="3"/>
  <c r="I12107" i="3"/>
  <c r="I12113" i="3"/>
  <c r="I12118" i="3"/>
  <c r="I12120" i="3"/>
  <c r="I12101" i="3"/>
  <c r="I12109" i="3"/>
  <c r="I12114" i="3"/>
  <c r="I12116" i="3"/>
  <c r="I12121" i="3"/>
  <c r="I12096" i="3"/>
  <c r="I12086" i="3"/>
  <c r="I12094" i="3"/>
  <c r="I12084" i="3"/>
  <c r="I12093" i="3"/>
  <c r="I12079" i="3"/>
  <c r="I12087" i="3"/>
  <c r="I12092" i="3"/>
  <c r="I12074" i="3"/>
  <c r="I12080" i="3"/>
  <c r="I12081" i="3"/>
  <c r="I12083" i="3"/>
  <c r="I12088" i="3"/>
  <c r="I12090" i="3"/>
  <c r="I12097" i="3"/>
  <c r="AA504" i="23"/>
  <c r="K493" i="23"/>
  <c r="V493" i="23"/>
  <c r="W493" i="23"/>
  <c r="X493" i="23"/>
  <c r="Z493" i="23"/>
  <c r="AA493" i="23"/>
  <c r="AB493" i="23"/>
  <c r="AE493" i="23"/>
  <c r="AH493" i="23"/>
  <c r="AM493" i="23"/>
  <c r="AO493" i="23"/>
  <c r="K494" i="23"/>
  <c r="V494" i="23"/>
  <c r="W494" i="23"/>
  <c r="X494" i="23"/>
  <c r="Z494" i="23"/>
  <c r="AA494" i="23"/>
  <c r="AB494" i="23"/>
  <c r="AE494" i="23"/>
  <c r="AP508" i="23" s="1"/>
  <c r="AH494" i="23"/>
  <c r="AM494" i="23"/>
  <c r="AO494" i="23"/>
  <c r="K495" i="23"/>
  <c r="V495" i="23"/>
  <c r="W495" i="23"/>
  <c r="X495" i="23"/>
  <c r="Z495" i="23"/>
  <c r="AA495" i="23"/>
  <c r="AB495" i="23"/>
  <c r="AE495" i="23"/>
  <c r="AH495" i="23"/>
  <c r="AM495" i="23"/>
  <c r="AO495" i="23"/>
  <c r="K496" i="23"/>
  <c r="V496" i="23"/>
  <c r="W496" i="23"/>
  <c r="X496" i="23"/>
  <c r="Z496" i="23"/>
  <c r="AA496" i="23"/>
  <c r="AB496" i="23"/>
  <c r="AE496" i="23"/>
  <c r="AP510" i="23" s="1"/>
  <c r="AH496" i="23"/>
  <c r="AM496" i="23"/>
  <c r="AO496" i="23"/>
  <c r="K497" i="23"/>
  <c r="V497" i="23"/>
  <c r="W497" i="23"/>
  <c r="X497" i="23"/>
  <c r="Z497" i="23"/>
  <c r="AA497" i="23"/>
  <c r="AB497" i="23"/>
  <c r="AE497" i="23"/>
  <c r="AH497" i="23"/>
  <c r="AM497" i="23"/>
  <c r="AO497" i="23"/>
  <c r="K498" i="23"/>
  <c r="V498" i="23"/>
  <c r="W498" i="23"/>
  <c r="X498" i="23"/>
  <c r="Z498" i="23"/>
  <c r="AA498" i="23"/>
  <c r="AB498" i="23"/>
  <c r="AE498" i="23"/>
  <c r="AP512" i="23" s="1"/>
  <c r="AH498" i="23"/>
  <c r="AM498" i="23"/>
  <c r="AO498" i="23"/>
  <c r="K499" i="23"/>
  <c r="V499" i="23"/>
  <c r="W499" i="23"/>
  <c r="X499" i="23"/>
  <c r="Z499" i="23"/>
  <c r="AA499" i="23"/>
  <c r="AB499" i="23"/>
  <c r="AE499" i="23"/>
  <c r="AH499" i="23"/>
  <c r="AM499" i="23"/>
  <c r="AO499" i="23"/>
  <c r="K500" i="23"/>
  <c r="V500" i="23"/>
  <c r="W500" i="23"/>
  <c r="X500" i="23"/>
  <c r="Z500" i="23"/>
  <c r="AA500" i="23"/>
  <c r="AB500" i="23"/>
  <c r="AI500" i="23" s="1"/>
  <c r="AE500" i="23"/>
  <c r="AP514" i="23" s="1"/>
  <c r="AF500" i="23"/>
  <c r="AH500" i="23"/>
  <c r="AJ500" i="23"/>
  <c r="AM500" i="23"/>
  <c r="AN500" i="23"/>
  <c r="AO500" i="23"/>
  <c r="K501" i="23"/>
  <c r="V501" i="23"/>
  <c r="W501" i="23"/>
  <c r="X501" i="23"/>
  <c r="Z501" i="23"/>
  <c r="AA501" i="23"/>
  <c r="AB501" i="23"/>
  <c r="AI501" i="23" s="1"/>
  <c r="AE501" i="23"/>
  <c r="AP515" i="23" s="1"/>
  <c r="AF501" i="23"/>
  <c r="AJ501" i="23" s="1"/>
  <c r="AH501" i="23"/>
  <c r="AM501" i="23"/>
  <c r="AO501" i="23"/>
  <c r="K502" i="23"/>
  <c r="V502" i="23"/>
  <c r="W502" i="23"/>
  <c r="X502" i="23"/>
  <c r="Z502" i="23"/>
  <c r="AA502" i="23"/>
  <c r="AB502" i="23"/>
  <c r="AI502" i="23" s="1"/>
  <c r="AE502" i="23"/>
  <c r="AP516" i="23" s="1"/>
  <c r="AF502" i="23"/>
  <c r="AJ502" i="23" s="1"/>
  <c r="AH502" i="23"/>
  <c r="AM502" i="23"/>
  <c r="AN502" i="23"/>
  <c r="AO502" i="23"/>
  <c r="K503" i="23"/>
  <c r="V503" i="23"/>
  <c r="W503" i="23"/>
  <c r="X503" i="23"/>
  <c r="Z503" i="23"/>
  <c r="AA503" i="23"/>
  <c r="AB503" i="23"/>
  <c r="AE503" i="23"/>
  <c r="AP517" i="23" s="1"/>
  <c r="AH503" i="23"/>
  <c r="AI503" i="23"/>
  <c r="AM503" i="23"/>
  <c r="AN503" i="23"/>
  <c r="AO503" i="23"/>
  <c r="K504" i="23"/>
  <c r="V504" i="23"/>
  <c r="W504" i="23"/>
  <c r="X504" i="23"/>
  <c r="Z504" i="23"/>
  <c r="AB504" i="23"/>
  <c r="AE504" i="23"/>
  <c r="AP518" i="23" s="1"/>
  <c r="AH504" i="23"/>
  <c r="AM504" i="23"/>
  <c r="AN504" i="23"/>
  <c r="AO504" i="23"/>
  <c r="F504" i="23"/>
  <c r="F503" i="23"/>
  <c r="F502" i="23"/>
  <c r="F501" i="23"/>
  <c r="F500" i="23"/>
  <c r="F499" i="23"/>
  <c r="F498" i="23"/>
  <c r="F497" i="23"/>
  <c r="F496" i="23"/>
  <c r="F495" i="23"/>
  <c r="F494" i="23"/>
  <c r="F493" i="23"/>
  <c r="M12073" i="3"/>
  <c r="L12073" i="3"/>
  <c r="J12073" i="3"/>
  <c r="K12073" i="3" s="1"/>
  <c r="H12073" i="3"/>
  <c r="G12073" i="3"/>
  <c r="F12073" i="3"/>
  <c r="M12072" i="3"/>
  <c r="L12072" i="3"/>
  <c r="K12072" i="3"/>
  <c r="J12072" i="3"/>
  <c r="H12072" i="3"/>
  <c r="I12072" i="3" s="1"/>
  <c r="G12072" i="3"/>
  <c r="F12072" i="3"/>
  <c r="M12071" i="3"/>
  <c r="L12071" i="3"/>
  <c r="K12071" i="3"/>
  <c r="J12071" i="3"/>
  <c r="H12071" i="3"/>
  <c r="I12071" i="3" s="1"/>
  <c r="G12071" i="3"/>
  <c r="F12071" i="3"/>
  <c r="M12070" i="3"/>
  <c r="L12070" i="3"/>
  <c r="K12070" i="3"/>
  <c r="J12070" i="3"/>
  <c r="H12070" i="3"/>
  <c r="I12070" i="3" s="1"/>
  <c r="G12070" i="3"/>
  <c r="F12070" i="3"/>
  <c r="M12069" i="3"/>
  <c r="L12069" i="3"/>
  <c r="K12069" i="3"/>
  <c r="J12069" i="3"/>
  <c r="H12069" i="3"/>
  <c r="I12069" i="3" s="1"/>
  <c r="G12069" i="3"/>
  <c r="F12069" i="3"/>
  <c r="M12068" i="3"/>
  <c r="L12068" i="3"/>
  <c r="K12068" i="3"/>
  <c r="J12068" i="3"/>
  <c r="H12068" i="3"/>
  <c r="I12068" i="3" s="1"/>
  <c r="G12068" i="3"/>
  <c r="F12068" i="3"/>
  <c r="M12067" i="3"/>
  <c r="L12067" i="3"/>
  <c r="K12067" i="3"/>
  <c r="J12067" i="3"/>
  <c r="H12067" i="3"/>
  <c r="I12067" i="3" s="1"/>
  <c r="G12067" i="3"/>
  <c r="F12067" i="3"/>
  <c r="M12066" i="3"/>
  <c r="L12066" i="3"/>
  <c r="K12066" i="3"/>
  <c r="J12066" i="3"/>
  <c r="H12066" i="3"/>
  <c r="I12066" i="3" s="1"/>
  <c r="G12066" i="3"/>
  <c r="F12066" i="3"/>
  <c r="M12065" i="3"/>
  <c r="L12065" i="3"/>
  <c r="K12065" i="3"/>
  <c r="J12065" i="3"/>
  <c r="H12065" i="3"/>
  <c r="I12065" i="3" s="1"/>
  <c r="G12065" i="3"/>
  <c r="F12065" i="3"/>
  <c r="M12064" i="3"/>
  <c r="L12064" i="3"/>
  <c r="K12064" i="3"/>
  <c r="J12064" i="3"/>
  <c r="H12064" i="3"/>
  <c r="I12064" i="3" s="1"/>
  <c r="G12064" i="3"/>
  <c r="F12064" i="3"/>
  <c r="M12063" i="3"/>
  <c r="L12063" i="3"/>
  <c r="K12063" i="3"/>
  <c r="J12063" i="3"/>
  <c r="H12063" i="3"/>
  <c r="I12063" i="3" s="1"/>
  <c r="G12063" i="3"/>
  <c r="F12063" i="3"/>
  <c r="M12062" i="3"/>
  <c r="L12062" i="3"/>
  <c r="K12062" i="3"/>
  <c r="J12062" i="3"/>
  <c r="H12062" i="3"/>
  <c r="I12062" i="3" s="1"/>
  <c r="G12062" i="3"/>
  <c r="F12062" i="3"/>
  <c r="M12061" i="3"/>
  <c r="L12061" i="3"/>
  <c r="K12061" i="3"/>
  <c r="J12061" i="3"/>
  <c r="H12061" i="3"/>
  <c r="I12061" i="3" s="1"/>
  <c r="G12061" i="3"/>
  <c r="F12061" i="3"/>
  <c r="M12060" i="3"/>
  <c r="L12060" i="3"/>
  <c r="K12060" i="3"/>
  <c r="J12060" i="3"/>
  <c r="H12060" i="3"/>
  <c r="I12060" i="3" s="1"/>
  <c r="G12060" i="3"/>
  <c r="F12060" i="3"/>
  <c r="M12059" i="3"/>
  <c r="L12059" i="3"/>
  <c r="K12059" i="3"/>
  <c r="J12059" i="3"/>
  <c r="H12059" i="3"/>
  <c r="I12059" i="3" s="1"/>
  <c r="G12059" i="3"/>
  <c r="F12059" i="3"/>
  <c r="M12058" i="3"/>
  <c r="L12058" i="3"/>
  <c r="K12058" i="3"/>
  <c r="J12058" i="3"/>
  <c r="H12058" i="3"/>
  <c r="I12058" i="3" s="1"/>
  <c r="G12058" i="3"/>
  <c r="F12058" i="3"/>
  <c r="M12057" i="3"/>
  <c r="L12057" i="3"/>
  <c r="K12057" i="3"/>
  <c r="J12057" i="3"/>
  <c r="H12057" i="3"/>
  <c r="I12057" i="3" s="1"/>
  <c r="G12057" i="3"/>
  <c r="F12057" i="3"/>
  <c r="M12056" i="3"/>
  <c r="L12056" i="3"/>
  <c r="K12056" i="3"/>
  <c r="J12056" i="3"/>
  <c r="H12056" i="3"/>
  <c r="I12056" i="3" s="1"/>
  <c r="G12056" i="3"/>
  <c r="F12056" i="3"/>
  <c r="M12055" i="3"/>
  <c r="L12055" i="3"/>
  <c r="K12055" i="3"/>
  <c r="J12055" i="3"/>
  <c r="H12055" i="3"/>
  <c r="I12055" i="3" s="1"/>
  <c r="G12055" i="3"/>
  <c r="F12055" i="3"/>
  <c r="M12054" i="3"/>
  <c r="L12054" i="3"/>
  <c r="K12054" i="3"/>
  <c r="J12054" i="3"/>
  <c r="H12054" i="3"/>
  <c r="I12054" i="3" s="1"/>
  <c r="G12054" i="3"/>
  <c r="F12054" i="3"/>
  <c r="M12053" i="3"/>
  <c r="L12053" i="3"/>
  <c r="K12053" i="3"/>
  <c r="J12053" i="3"/>
  <c r="H12053" i="3"/>
  <c r="I12053" i="3" s="1"/>
  <c r="G12053" i="3"/>
  <c r="F12053" i="3"/>
  <c r="M12052" i="3"/>
  <c r="L12052" i="3"/>
  <c r="K12052" i="3"/>
  <c r="J12052" i="3"/>
  <c r="H12052" i="3"/>
  <c r="I12052" i="3" s="1"/>
  <c r="G12052" i="3"/>
  <c r="F12052" i="3"/>
  <c r="M12051" i="3"/>
  <c r="L12051" i="3"/>
  <c r="K12051" i="3"/>
  <c r="J12051" i="3"/>
  <c r="H12051" i="3"/>
  <c r="I12051" i="3" s="1"/>
  <c r="G12051" i="3"/>
  <c r="F12051" i="3"/>
  <c r="M12050" i="3"/>
  <c r="L12050" i="3"/>
  <c r="K12050" i="3"/>
  <c r="J12050" i="3"/>
  <c r="H12050" i="3"/>
  <c r="I12050" i="3" s="1"/>
  <c r="G12050" i="3"/>
  <c r="F12050"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F504" i="1"/>
  <c r="S504" i="1"/>
  <c r="M12049" i="3"/>
  <c r="L12049" i="3"/>
  <c r="J12049" i="3"/>
  <c r="K12049" i="3" s="1"/>
  <c r="H12049" i="3"/>
  <c r="G12049" i="3"/>
  <c r="F12049" i="3"/>
  <c r="D12049" i="3"/>
  <c r="M12048" i="3"/>
  <c r="L12048" i="3"/>
  <c r="J12048" i="3"/>
  <c r="K12048" i="3" s="1"/>
  <c r="H12048" i="3"/>
  <c r="G12048" i="3"/>
  <c r="F12048" i="3"/>
  <c r="D12048" i="3"/>
  <c r="M12047" i="3"/>
  <c r="L12047" i="3"/>
  <c r="J12047" i="3"/>
  <c r="K12047" i="3" s="1"/>
  <c r="H12047" i="3"/>
  <c r="G12047" i="3"/>
  <c r="F12047" i="3"/>
  <c r="D12047" i="3"/>
  <c r="M12046" i="3"/>
  <c r="L12046" i="3"/>
  <c r="K12046" i="3"/>
  <c r="J12046" i="3"/>
  <c r="H12046" i="3"/>
  <c r="G12046" i="3"/>
  <c r="F12046" i="3"/>
  <c r="D12046" i="3"/>
  <c r="M12045" i="3"/>
  <c r="L12045" i="3"/>
  <c r="J12045" i="3"/>
  <c r="K12045" i="3" s="1"/>
  <c r="H12045" i="3"/>
  <c r="G12045" i="3"/>
  <c r="I12045" i="3" s="1"/>
  <c r="F12045" i="3"/>
  <c r="D12045" i="3"/>
  <c r="M12044" i="3"/>
  <c r="L12044" i="3"/>
  <c r="J12044" i="3"/>
  <c r="K12044" i="3" s="1"/>
  <c r="H12044" i="3"/>
  <c r="I12044" i="3" s="1"/>
  <c r="G12044" i="3"/>
  <c r="F12044" i="3"/>
  <c r="D12044" i="3"/>
  <c r="M12043" i="3"/>
  <c r="L12043" i="3"/>
  <c r="J12043" i="3"/>
  <c r="K12043" i="3" s="1"/>
  <c r="H12043" i="3"/>
  <c r="G12043" i="3"/>
  <c r="F12043" i="3"/>
  <c r="D12043" i="3"/>
  <c r="M12042" i="3"/>
  <c r="L12042" i="3"/>
  <c r="J12042" i="3"/>
  <c r="K12042" i="3" s="1"/>
  <c r="H12042" i="3"/>
  <c r="G12042" i="3"/>
  <c r="I12042" i="3" s="1"/>
  <c r="F12042" i="3"/>
  <c r="D12042" i="3"/>
  <c r="M12041" i="3"/>
  <c r="L12041" i="3"/>
  <c r="J12041" i="3"/>
  <c r="K12041" i="3" s="1"/>
  <c r="H12041" i="3"/>
  <c r="G12041" i="3"/>
  <c r="F12041" i="3"/>
  <c r="D12041" i="3"/>
  <c r="M12040" i="3"/>
  <c r="L12040" i="3"/>
  <c r="J12040" i="3"/>
  <c r="K12040" i="3" s="1"/>
  <c r="H12040" i="3"/>
  <c r="G12040" i="3"/>
  <c r="F12040" i="3"/>
  <c r="D12040" i="3"/>
  <c r="M12039" i="3"/>
  <c r="L12039" i="3"/>
  <c r="J12039" i="3"/>
  <c r="K12039" i="3" s="1"/>
  <c r="H12039" i="3"/>
  <c r="G12039" i="3"/>
  <c r="I12039" i="3" s="1"/>
  <c r="F12039" i="3"/>
  <c r="D12039" i="3"/>
  <c r="M12038" i="3"/>
  <c r="L12038" i="3"/>
  <c r="J12038" i="3"/>
  <c r="K12038" i="3" s="1"/>
  <c r="H12038" i="3"/>
  <c r="G12038" i="3"/>
  <c r="F12038" i="3"/>
  <c r="D12038" i="3"/>
  <c r="M12037" i="3"/>
  <c r="L12037" i="3"/>
  <c r="J12037" i="3"/>
  <c r="K12037" i="3" s="1"/>
  <c r="H12037" i="3"/>
  <c r="G12037" i="3"/>
  <c r="I12037" i="3" s="1"/>
  <c r="F12037" i="3"/>
  <c r="D12037" i="3"/>
  <c r="M12036" i="3"/>
  <c r="L12036" i="3"/>
  <c r="J12036" i="3"/>
  <c r="K12036" i="3" s="1"/>
  <c r="H12036" i="3"/>
  <c r="G12036" i="3"/>
  <c r="F12036" i="3"/>
  <c r="D12036" i="3"/>
  <c r="M12035" i="3"/>
  <c r="L12035" i="3"/>
  <c r="J12035" i="3"/>
  <c r="K12035" i="3" s="1"/>
  <c r="H12035" i="3"/>
  <c r="G12035" i="3"/>
  <c r="I12035" i="3" s="1"/>
  <c r="F12035" i="3"/>
  <c r="D12035" i="3"/>
  <c r="M12034" i="3"/>
  <c r="L12034" i="3"/>
  <c r="J12034" i="3"/>
  <c r="K12034" i="3" s="1"/>
  <c r="H12034" i="3"/>
  <c r="G12034" i="3"/>
  <c r="I12034" i="3" s="1"/>
  <c r="F12034" i="3"/>
  <c r="D12034" i="3"/>
  <c r="M12033" i="3"/>
  <c r="L12033" i="3"/>
  <c r="K12033" i="3"/>
  <c r="J12033" i="3"/>
  <c r="H12033" i="3"/>
  <c r="G12033" i="3"/>
  <c r="I12033" i="3" s="1"/>
  <c r="F12033" i="3"/>
  <c r="D12033" i="3"/>
  <c r="M12032" i="3"/>
  <c r="L12032" i="3"/>
  <c r="K12032" i="3"/>
  <c r="J12032" i="3"/>
  <c r="H12032" i="3"/>
  <c r="G12032" i="3"/>
  <c r="F12032" i="3"/>
  <c r="D12032" i="3"/>
  <c r="M12031" i="3"/>
  <c r="L12031" i="3"/>
  <c r="J12031" i="3"/>
  <c r="K12031" i="3" s="1"/>
  <c r="H12031" i="3"/>
  <c r="G12031" i="3"/>
  <c r="F12031" i="3"/>
  <c r="D12031" i="3"/>
  <c r="M12030" i="3"/>
  <c r="L12030" i="3"/>
  <c r="J12030" i="3"/>
  <c r="K12030" i="3" s="1"/>
  <c r="H12030" i="3"/>
  <c r="G12030" i="3"/>
  <c r="F12030" i="3"/>
  <c r="D12030" i="3"/>
  <c r="M12029" i="3"/>
  <c r="L12029" i="3"/>
  <c r="J12029" i="3"/>
  <c r="K12029" i="3" s="1"/>
  <c r="H12029" i="3"/>
  <c r="G12029" i="3"/>
  <c r="I12029" i="3" s="1"/>
  <c r="F12029" i="3"/>
  <c r="D12029" i="3"/>
  <c r="M12028" i="3"/>
  <c r="L12028" i="3"/>
  <c r="J12028" i="3"/>
  <c r="K12028" i="3" s="1"/>
  <c r="H12028" i="3"/>
  <c r="I12028" i="3" s="1"/>
  <c r="G12028" i="3"/>
  <c r="F12028" i="3"/>
  <c r="D12028" i="3"/>
  <c r="M12027" i="3"/>
  <c r="L12027" i="3"/>
  <c r="J12027" i="3"/>
  <c r="K12027" i="3" s="1"/>
  <c r="H12027" i="3"/>
  <c r="I12027" i="3" s="1"/>
  <c r="G12027" i="3"/>
  <c r="F12027" i="3"/>
  <c r="D12027" i="3"/>
  <c r="M12026" i="3"/>
  <c r="L12026" i="3"/>
  <c r="J12026" i="3"/>
  <c r="K12026" i="3" s="1"/>
  <c r="H12026" i="3"/>
  <c r="G12026" i="3"/>
  <c r="F12026" i="3"/>
  <c r="D12026" i="3"/>
  <c r="S503" i="1"/>
  <c r="F503" i="1"/>
  <c r="M12025" i="3"/>
  <c r="L12025" i="3"/>
  <c r="J12025" i="3"/>
  <c r="K12025" i="3" s="1"/>
  <c r="H12025" i="3"/>
  <c r="G12025" i="3"/>
  <c r="F12025" i="3"/>
  <c r="D12025" i="3"/>
  <c r="M12024" i="3"/>
  <c r="L12024" i="3"/>
  <c r="J12024" i="3"/>
  <c r="K12024" i="3" s="1"/>
  <c r="H12024" i="3"/>
  <c r="G12024" i="3"/>
  <c r="F12024" i="3"/>
  <c r="D12024" i="3"/>
  <c r="M12023" i="3"/>
  <c r="L12023" i="3"/>
  <c r="K12023" i="3"/>
  <c r="J12023" i="3"/>
  <c r="H12023" i="3"/>
  <c r="G12023" i="3"/>
  <c r="I12023" i="3" s="1"/>
  <c r="F12023" i="3"/>
  <c r="D12023" i="3"/>
  <c r="M12022" i="3"/>
  <c r="L12022" i="3"/>
  <c r="J12022" i="3"/>
  <c r="K12022" i="3" s="1"/>
  <c r="H12022" i="3"/>
  <c r="G12022" i="3"/>
  <c r="I12022" i="3" s="1"/>
  <c r="F12022" i="3"/>
  <c r="D12022" i="3"/>
  <c r="M12021" i="3"/>
  <c r="L12021" i="3"/>
  <c r="J12021" i="3"/>
  <c r="K12021" i="3" s="1"/>
  <c r="H12021" i="3"/>
  <c r="G12021" i="3"/>
  <c r="I12021" i="3" s="1"/>
  <c r="F12021" i="3"/>
  <c r="D12021" i="3"/>
  <c r="M12020" i="3"/>
  <c r="L12020" i="3"/>
  <c r="K12020" i="3"/>
  <c r="J12020" i="3"/>
  <c r="H12020" i="3"/>
  <c r="G12020" i="3"/>
  <c r="I12020" i="3" s="1"/>
  <c r="F12020" i="3"/>
  <c r="D12020" i="3"/>
  <c r="M12019" i="3"/>
  <c r="L12019" i="3"/>
  <c r="K12019" i="3"/>
  <c r="J12019" i="3"/>
  <c r="H12019" i="3"/>
  <c r="G12019" i="3"/>
  <c r="F12019" i="3"/>
  <c r="D12019" i="3"/>
  <c r="M12018" i="3"/>
  <c r="L12018" i="3"/>
  <c r="J12018" i="3"/>
  <c r="K12018" i="3" s="1"/>
  <c r="H12018" i="3"/>
  <c r="G12018" i="3"/>
  <c r="F12018" i="3"/>
  <c r="D12018" i="3"/>
  <c r="M12017" i="3"/>
  <c r="L12017" i="3"/>
  <c r="J12017" i="3"/>
  <c r="K12017" i="3" s="1"/>
  <c r="H12017" i="3"/>
  <c r="G12017" i="3"/>
  <c r="I12017" i="3" s="1"/>
  <c r="F12017" i="3"/>
  <c r="D12017" i="3"/>
  <c r="M12016" i="3"/>
  <c r="L12016" i="3"/>
  <c r="J12016" i="3"/>
  <c r="K12016" i="3" s="1"/>
  <c r="H12016" i="3"/>
  <c r="G12016" i="3"/>
  <c r="F12016" i="3"/>
  <c r="D12016" i="3"/>
  <c r="M12015" i="3"/>
  <c r="L12015" i="3"/>
  <c r="J12015" i="3"/>
  <c r="K12015" i="3" s="1"/>
  <c r="H12015" i="3"/>
  <c r="G12015" i="3"/>
  <c r="F12015" i="3"/>
  <c r="D12015" i="3"/>
  <c r="M12014" i="3"/>
  <c r="L12014" i="3"/>
  <c r="J12014" i="3"/>
  <c r="K12014" i="3" s="1"/>
  <c r="H12014" i="3"/>
  <c r="G12014" i="3"/>
  <c r="I12014" i="3" s="1"/>
  <c r="F12014" i="3"/>
  <c r="D12014" i="3"/>
  <c r="M12013" i="3"/>
  <c r="L12013" i="3"/>
  <c r="J12013" i="3"/>
  <c r="K12013" i="3" s="1"/>
  <c r="H12013" i="3"/>
  <c r="G12013" i="3"/>
  <c r="I12013" i="3" s="1"/>
  <c r="F12013" i="3"/>
  <c r="D12013" i="3"/>
  <c r="M12012" i="3"/>
  <c r="L12012" i="3"/>
  <c r="K12012" i="3"/>
  <c r="J12012" i="3"/>
  <c r="H12012" i="3"/>
  <c r="G12012" i="3"/>
  <c r="I12012" i="3" s="1"/>
  <c r="F12012" i="3"/>
  <c r="D12012" i="3"/>
  <c r="M12011" i="3"/>
  <c r="L12011" i="3"/>
  <c r="K12011" i="3"/>
  <c r="J12011" i="3"/>
  <c r="H12011" i="3"/>
  <c r="G12011" i="3"/>
  <c r="F12011" i="3"/>
  <c r="D12011" i="3"/>
  <c r="M12010" i="3"/>
  <c r="L12010" i="3"/>
  <c r="J12010" i="3"/>
  <c r="K12010" i="3" s="1"/>
  <c r="H12010" i="3"/>
  <c r="G12010" i="3"/>
  <c r="F12010" i="3"/>
  <c r="D12010" i="3"/>
  <c r="M12009" i="3"/>
  <c r="L12009" i="3"/>
  <c r="J12009" i="3"/>
  <c r="K12009" i="3" s="1"/>
  <c r="H12009" i="3"/>
  <c r="G12009" i="3"/>
  <c r="F12009" i="3"/>
  <c r="D12009" i="3"/>
  <c r="M12008" i="3"/>
  <c r="L12008" i="3"/>
  <c r="J12008" i="3"/>
  <c r="K12008" i="3" s="1"/>
  <c r="H12008" i="3"/>
  <c r="G12008" i="3"/>
  <c r="F12008" i="3"/>
  <c r="D12008" i="3"/>
  <c r="M12007" i="3"/>
  <c r="L12007" i="3"/>
  <c r="J12007" i="3"/>
  <c r="K12007" i="3" s="1"/>
  <c r="H12007" i="3"/>
  <c r="G12007" i="3"/>
  <c r="F12007" i="3"/>
  <c r="D12007" i="3"/>
  <c r="M12006" i="3"/>
  <c r="L12006" i="3"/>
  <c r="J12006" i="3"/>
  <c r="K12006" i="3" s="1"/>
  <c r="H12006" i="3"/>
  <c r="I12006" i="3" s="1"/>
  <c r="G12006" i="3"/>
  <c r="F12006" i="3"/>
  <c r="D12006" i="3"/>
  <c r="M12005" i="3"/>
  <c r="L12005" i="3"/>
  <c r="J12005" i="3"/>
  <c r="K12005" i="3" s="1"/>
  <c r="H12005" i="3"/>
  <c r="I12005" i="3" s="1"/>
  <c r="G12005" i="3"/>
  <c r="F12005" i="3"/>
  <c r="D12005" i="3"/>
  <c r="M12004" i="3"/>
  <c r="L12004" i="3"/>
  <c r="J12004" i="3"/>
  <c r="K12004" i="3" s="1"/>
  <c r="H12004" i="3"/>
  <c r="G12004" i="3"/>
  <c r="I12004" i="3" s="1"/>
  <c r="F12004" i="3"/>
  <c r="D12004" i="3"/>
  <c r="M12003" i="3"/>
  <c r="L12003" i="3"/>
  <c r="K12003" i="3"/>
  <c r="J12003" i="3"/>
  <c r="H12003" i="3"/>
  <c r="G12003" i="3"/>
  <c r="I12003" i="3" s="1"/>
  <c r="F12003" i="3"/>
  <c r="D12003" i="3"/>
  <c r="M12002" i="3"/>
  <c r="L12002" i="3"/>
  <c r="J12002" i="3"/>
  <c r="K12002" i="3" s="1"/>
  <c r="H12002" i="3"/>
  <c r="G12002" i="3"/>
  <c r="F12002" i="3"/>
  <c r="D12002" i="3"/>
  <c r="S502" i="1"/>
  <c r="F502" i="1"/>
  <c r="M12001" i="3"/>
  <c r="L12001" i="3"/>
  <c r="J12001" i="3"/>
  <c r="K12001" i="3" s="1"/>
  <c r="H12001" i="3"/>
  <c r="G12001" i="3"/>
  <c r="F12001" i="3"/>
  <c r="D12001" i="3"/>
  <c r="M12000" i="3"/>
  <c r="L12000" i="3"/>
  <c r="J12000" i="3"/>
  <c r="K12000" i="3" s="1"/>
  <c r="H12000" i="3"/>
  <c r="I12000" i="3" s="1"/>
  <c r="G12000" i="3"/>
  <c r="F12000" i="3"/>
  <c r="D12000" i="3"/>
  <c r="M11999" i="3"/>
  <c r="L11999" i="3"/>
  <c r="J11999" i="3"/>
  <c r="K11999" i="3" s="1"/>
  <c r="H11999" i="3"/>
  <c r="G11999" i="3"/>
  <c r="F11999" i="3"/>
  <c r="D11999" i="3"/>
  <c r="M11998" i="3"/>
  <c r="L11998" i="3"/>
  <c r="K11998" i="3"/>
  <c r="J11998" i="3"/>
  <c r="H11998" i="3"/>
  <c r="G11998" i="3"/>
  <c r="F11998" i="3"/>
  <c r="D11998" i="3"/>
  <c r="M11997" i="3"/>
  <c r="L11997" i="3"/>
  <c r="J11997" i="3"/>
  <c r="K11997" i="3" s="1"/>
  <c r="H11997" i="3"/>
  <c r="G11997" i="3"/>
  <c r="I11997" i="3" s="1"/>
  <c r="F11997" i="3"/>
  <c r="D11997" i="3"/>
  <c r="M11996" i="3"/>
  <c r="L11996" i="3"/>
  <c r="K11996" i="3"/>
  <c r="J11996" i="3"/>
  <c r="H11996" i="3"/>
  <c r="G11996" i="3"/>
  <c r="I11996" i="3" s="1"/>
  <c r="F11996" i="3"/>
  <c r="D11996" i="3"/>
  <c r="M11995" i="3"/>
  <c r="L11995" i="3"/>
  <c r="J11995" i="3"/>
  <c r="K11995" i="3" s="1"/>
  <c r="H11995" i="3"/>
  <c r="G11995" i="3"/>
  <c r="F11995" i="3"/>
  <c r="D11995" i="3"/>
  <c r="M11994" i="3"/>
  <c r="L11994" i="3"/>
  <c r="J11994" i="3"/>
  <c r="K11994" i="3" s="1"/>
  <c r="H11994" i="3"/>
  <c r="G11994" i="3"/>
  <c r="F11994" i="3"/>
  <c r="D11994" i="3"/>
  <c r="M11993" i="3"/>
  <c r="L11993" i="3"/>
  <c r="J11993" i="3"/>
  <c r="K11993" i="3" s="1"/>
  <c r="H11993" i="3"/>
  <c r="G11993" i="3"/>
  <c r="F11993" i="3"/>
  <c r="D11993" i="3"/>
  <c r="M11992" i="3"/>
  <c r="L11992" i="3"/>
  <c r="J11992" i="3"/>
  <c r="K11992" i="3" s="1"/>
  <c r="H11992" i="3"/>
  <c r="I11992" i="3" s="1"/>
  <c r="G11992" i="3"/>
  <c r="F11992" i="3"/>
  <c r="D11992" i="3"/>
  <c r="M11991" i="3"/>
  <c r="L11991" i="3"/>
  <c r="J11991" i="3"/>
  <c r="K11991" i="3" s="1"/>
  <c r="H11991" i="3"/>
  <c r="G11991" i="3"/>
  <c r="F11991" i="3"/>
  <c r="D11991" i="3"/>
  <c r="M11990" i="3"/>
  <c r="L11990" i="3"/>
  <c r="J11990" i="3"/>
  <c r="K11990" i="3" s="1"/>
  <c r="H11990" i="3"/>
  <c r="G11990" i="3"/>
  <c r="F11990" i="3"/>
  <c r="D11990" i="3"/>
  <c r="M11989" i="3"/>
  <c r="L11989" i="3"/>
  <c r="J11989" i="3"/>
  <c r="K11989" i="3" s="1"/>
  <c r="H11989" i="3"/>
  <c r="I11989" i="3" s="1"/>
  <c r="G11989" i="3"/>
  <c r="F11989" i="3"/>
  <c r="D11989" i="3"/>
  <c r="M11988" i="3"/>
  <c r="L11988" i="3"/>
  <c r="J11988" i="3"/>
  <c r="K11988" i="3" s="1"/>
  <c r="H11988" i="3"/>
  <c r="G11988" i="3"/>
  <c r="F11988" i="3"/>
  <c r="D11988" i="3"/>
  <c r="M11987" i="3"/>
  <c r="L11987" i="3"/>
  <c r="J11987" i="3"/>
  <c r="K11987" i="3" s="1"/>
  <c r="H11987" i="3"/>
  <c r="G11987" i="3"/>
  <c r="I11987" i="3" s="1"/>
  <c r="F11987" i="3"/>
  <c r="D11987" i="3"/>
  <c r="M11986" i="3"/>
  <c r="L11986" i="3"/>
  <c r="K11986" i="3"/>
  <c r="J11986" i="3"/>
  <c r="H11986" i="3"/>
  <c r="G11986" i="3"/>
  <c r="I11986" i="3" s="1"/>
  <c r="F11986" i="3"/>
  <c r="D11986" i="3"/>
  <c r="M11985" i="3"/>
  <c r="L11985" i="3"/>
  <c r="J11985" i="3"/>
  <c r="K11985" i="3" s="1"/>
  <c r="H11985" i="3"/>
  <c r="G11985" i="3"/>
  <c r="F11985" i="3"/>
  <c r="D11985" i="3"/>
  <c r="M11984" i="3"/>
  <c r="L11984" i="3"/>
  <c r="J11984" i="3"/>
  <c r="K11984" i="3" s="1"/>
  <c r="H11984" i="3"/>
  <c r="G11984" i="3"/>
  <c r="I11984" i="3" s="1"/>
  <c r="F11984" i="3"/>
  <c r="D11984" i="3"/>
  <c r="M11983" i="3"/>
  <c r="L11983" i="3"/>
  <c r="J11983" i="3"/>
  <c r="K11983" i="3" s="1"/>
  <c r="H11983" i="3"/>
  <c r="G11983" i="3"/>
  <c r="F11983" i="3"/>
  <c r="D11983" i="3"/>
  <c r="M11982" i="3"/>
  <c r="L11982" i="3"/>
  <c r="J11982" i="3"/>
  <c r="K11982" i="3" s="1"/>
  <c r="H11982" i="3"/>
  <c r="G11982" i="3"/>
  <c r="F11982" i="3"/>
  <c r="D11982" i="3"/>
  <c r="M11981" i="3"/>
  <c r="L11981" i="3"/>
  <c r="J11981" i="3"/>
  <c r="K11981" i="3" s="1"/>
  <c r="H11981" i="3"/>
  <c r="G11981" i="3"/>
  <c r="F11981" i="3"/>
  <c r="D11981" i="3"/>
  <c r="M11980" i="3"/>
  <c r="L11980" i="3"/>
  <c r="J11980" i="3"/>
  <c r="K11980" i="3" s="1"/>
  <c r="H11980" i="3"/>
  <c r="G11980" i="3"/>
  <c r="I11980" i="3" s="1"/>
  <c r="F11980" i="3"/>
  <c r="D11980" i="3"/>
  <c r="M11979" i="3"/>
  <c r="L11979" i="3"/>
  <c r="J11979" i="3"/>
  <c r="K11979" i="3" s="1"/>
  <c r="H11979" i="3"/>
  <c r="G11979" i="3"/>
  <c r="F11979" i="3"/>
  <c r="D11979" i="3"/>
  <c r="M11978" i="3"/>
  <c r="L11978" i="3"/>
  <c r="J11978" i="3"/>
  <c r="K11978" i="3" s="1"/>
  <c r="H11978" i="3"/>
  <c r="G11978" i="3"/>
  <c r="F11978" i="3"/>
  <c r="D11978" i="3"/>
  <c r="S501" i="1"/>
  <c r="F501" i="1"/>
  <c r="F254" i="5"/>
  <c r="M500" i="1"/>
  <c r="M11977" i="3"/>
  <c r="L11977" i="3"/>
  <c r="J11977" i="3"/>
  <c r="K11977" i="3" s="1"/>
  <c r="H11977" i="3"/>
  <c r="G11977" i="3"/>
  <c r="M11976" i="3"/>
  <c r="L11976" i="3"/>
  <c r="J11976" i="3"/>
  <c r="K11976" i="3" s="1"/>
  <c r="H11976" i="3"/>
  <c r="G11976" i="3"/>
  <c r="M11975" i="3"/>
  <c r="L11975" i="3"/>
  <c r="J11975" i="3"/>
  <c r="K11975" i="3" s="1"/>
  <c r="H11975" i="3"/>
  <c r="G11975" i="3"/>
  <c r="M11974" i="3"/>
  <c r="L11974" i="3"/>
  <c r="J11974" i="3"/>
  <c r="K11974" i="3" s="1"/>
  <c r="H11974" i="3"/>
  <c r="G11974" i="3"/>
  <c r="I11974" i="3" s="1"/>
  <c r="M11973" i="3"/>
  <c r="L11973" i="3"/>
  <c r="J11973" i="3"/>
  <c r="K11973" i="3" s="1"/>
  <c r="H11973" i="3"/>
  <c r="G11973" i="3"/>
  <c r="I11973" i="3" s="1"/>
  <c r="M11972" i="3"/>
  <c r="L11972" i="3"/>
  <c r="J11972" i="3"/>
  <c r="K11972" i="3" s="1"/>
  <c r="H11972" i="3"/>
  <c r="G11972" i="3"/>
  <c r="M11971" i="3"/>
  <c r="L11971" i="3"/>
  <c r="J11971" i="3"/>
  <c r="K11971" i="3" s="1"/>
  <c r="H11971" i="3"/>
  <c r="G11971" i="3"/>
  <c r="M11970" i="3"/>
  <c r="L11970" i="3"/>
  <c r="J11970" i="3"/>
  <c r="K11970" i="3" s="1"/>
  <c r="H11970" i="3"/>
  <c r="G11970" i="3"/>
  <c r="I11970" i="3" s="1"/>
  <c r="M11969" i="3"/>
  <c r="L11969" i="3"/>
  <c r="J11969" i="3"/>
  <c r="K11969" i="3" s="1"/>
  <c r="H11969" i="3"/>
  <c r="G11969" i="3"/>
  <c r="M11968" i="3"/>
  <c r="L11968" i="3"/>
  <c r="J11968" i="3"/>
  <c r="K11968" i="3" s="1"/>
  <c r="H11968" i="3"/>
  <c r="G11968" i="3"/>
  <c r="M11967" i="3"/>
  <c r="L11967" i="3"/>
  <c r="J11967" i="3"/>
  <c r="K11967" i="3" s="1"/>
  <c r="H11967" i="3"/>
  <c r="G11967" i="3"/>
  <c r="M11966" i="3"/>
  <c r="L11966" i="3"/>
  <c r="J11966" i="3"/>
  <c r="K11966" i="3" s="1"/>
  <c r="H11966" i="3"/>
  <c r="G11966" i="3"/>
  <c r="I11966" i="3" s="1"/>
  <c r="M11965" i="3"/>
  <c r="L11965" i="3"/>
  <c r="J11965" i="3"/>
  <c r="K11965" i="3" s="1"/>
  <c r="H11965" i="3"/>
  <c r="G11965" i="3"/>
  <c r="M11964" i="3"/>
  <c r="L11964" i="3"/>
  <c r="J11964" i="3"/>
  <c r="K11964" i="3" s="1"/>
  <c r="H11964" i="3"/>
  <c r="G11964" i="3"/>
  <c r="I11964" i="3" s="1"/>
  <c r="M11963" i="3"/>
  <c r="L11963" i="3"/>
  <c r="J11963" i="3"/>
  <c r="K11963" i="3" s="1"/>
  <c r="H11963" i="3"/>
  <c r="G11963" i="3"/>
  <c r="M11962" i="3"/>
  <c r="L11962" i="3"/>
  <c r="J11962" i="3"/>
  <c r="K11962" i="3" s="1"/>
  <c r="H11962" i="3"/>
  <c r="G11962" i="3"/>
  <c r="M11961" i="3"/>
  <c r="L11961" i="3"/>
  <c r="J11961" i="3"/>
  <c r="K11961" i="3" s="1"/>
  <c r="H11961" i="3"/>
  <c r="G11961" i="3"/>
  <c r="I11961" i="3" s="1"/>
  <c r="M11960" i="3"/>
  <c r="L11960" i="3"/>
  <c r="J11960" i="3"/>
  <c r="K11960" i="3" s="1"/>
  <c r="H11960" i="3"/>
  <c r="I11960" i="3" s="1"/>
  <c r="G11960" i="3"/>
  <c r="M11959" i="3"/>
  <c r="L11959" i="3"/>
  <c r="J11959" i="3"/>
  <c r="K11959" i="3" s="1"/>
  <c r="H11959" i="3"/>
  <c r="G11959" i="3"/>
  <c r="M11958" i="3"/>
  <c r="L11958" i="3"/>
  <c r="J11958" i="3"/>
  <c r="K11958" i="3" s="1"/>
  <c r="H11958" i="3"/>
  <c r="G11958" i="3"/>
  <c r="M11957" i="3"/>
  <c r="L11957" i="3"/>
  <c r="J11957" i="3"/>
  <c r="K11957" i="3" s="1"/>
  <c r="H11957" i="3"/>
  <c r="G11957" i="3"/>
  <c r="M11956" i="3"/>
  <c r="L11956" i="3"/>
  <c r="J11956" i="3"/>
  <c r="K11956" i="3" s="1"/>
  <c r="H11956" i="3"/>
  <c r="G11956" i="3"/>
  <c r="M11955" i="3"/>
  <c r="L11955" i="3"/>
  <c r="J11955" i="3"/>
  <c r="K11955" i="3" s="1"/>
  <c r="H11955" i="3"/>
  <c r="G11955" i="3"/>
  <c r="I11955" i="3" s="1"/>
  <c r="M11954" i="3"/>
  <c r="L11954" i="3"/>
  <c r="J11954" i="3"/>
  <c r="K11954" i="3" s="1"/>
  <c r="H11954" i="3"/>
  <c r="G11954" i="3"/>
  <c r="S500" i="1"/>
  <c r="F500" i="1"/>
  <c r="AN505" i="23" l="1"/>
  <c r="AI505" i="23"/>
  <c r="AR518" i="23"/>
  <c r="AK510" i="23"/>
  <c r="AR514" i="23"/>
  <c r="AK506" i="23"/>
  <c r="AN506" i="23"/>
  <c r="AI506" i="23"/>
  <c r="AR519" i="23"/>
  <c r="AK511" i="23"/>
  <c r="AF505" i="23"/>
  <c r="AJ505" i="23" s="1"/>
  <c r="AR515" i="23"/>
  <c r="AK507" i="23"/>
  <c r="AR520" i="23"/>
  <c r="AK512" i="23"/>
  <c r="AF506" i="23"/>
  <c r="AJ506" i="23" s="1"/>
  <c r="AR516" i="23"/>
  <c r="AK508" i="23"/>
  <c r="AR517" i="23"/>
  <c r="AK509" i="23"/>
  <c r="AF504" i="23"/>
  <c r="AJ504" i="23" s="1"/>
  <c r="AP513" i="23"/>
  <c r="AP509" i="23"/>
  <c r="AP511" i="23"/>
  <c r="AP507" i="23"/>
  <c r="AI504" i="23"/>
  <c r="AF503" i="23"/>
  <c r="AJ503" i="23" s="1"/>
  <c r="AN501" i="23"/>
  <c r="I12073" i="3"/>
  <c r="I12048" i="3"/>
  <c r="I12038" i="3"/>
  <c r="I12031" i="3"/>
  <c r="I12047" i="3"/>
  <c r="I12026" i="3"/>
  <c r="I12030" i="3"/>
  <c r="I12036" i="3"/>
  <c r="I12040" i="3"/>
  <c r="I12046" i="3"/>
  <c r="I12032" i="3"/>
  <c r="I12041" i="3"/>
  <c r="I12043" i="3"/>
  <c r="I12049" i="3"/>
  <c r="I12009" i="3"/>
  <c r="I12015" i="3"/>
  <c r="I12016" i="3"/>
  <c r="I12024" i="3"/>
  <c r="I12011" i="3"/>
  <c r="I12019" i="3"/>
  <c r="I12018" i="3"/>
  <c r="I12002" i="3"/>
  <c r="I12007" i="3"/>
  <c r="I12008" i="3"/>
  <c r="I12010" i="3"/>
  <c r="I12025" i="3"/>
  <c r="I11981" i="3"/>
  <c r="I11999" i="3"/>
  <c r="I11978" i="3"/>
  <c r="I11979" i="3"/>
  <c r="I11994" i="3"/>
  <c r="I11988" i="3"/>
  <c r="I11995" i="3"/>
  <c r="I11982" i="3"/>
  <c r="I11983" i="3"/>
  <c r="I11985" i="3"/>
  <c r="I11990" i="3"/>
  <c r="I11991" i="3"/>
  <c r="I11993" i="3"/>
  <c r="I11998" i="3"/>
  <c r="I12001" i="3"/>
  <c r="I11956" i="3"/>
  <c r="I11969" i="3"/>
  <c r="I11968" i="3"/>
  <c r="I11954" i="3"/>
  <c r="I11958" i="3"/>
  <c r="I11963" i="3"/>
  <c r="I11957" i="3"/>
  <c r="I11971" i="3"/>
  <c r="I11972" i="3"/>
  <c r="I11959" i="3"/>
  <c r="I11962" i="3"/>
  <c r="I11965" i="3"/>
  <c r="I11967" i="3"/>
  <c r="I11975" i="3"/>
  <c r="I11976" i="3"/>
  <c r="I11977" i="3"/>
  <c r="M11953" i="3" l="1"/>
  <c r="L11953" i="3"/>
  <c r="J11953" i="3"/>
  <c r="K11953" i="3" s="1"/>
  <c r="H11953" i="3"/>
  <c r="G11953" i="3"/>
  <c r="F11953" i="3"/>
  <c r="D11953" i="3"/>
  <c r="M11952" i="3"/>
  <c r="L11952" i="3"/>
  <c r="J11952" i="3"/>
  <c r="K11952" i="3" s="1"/>
  <c r="H11952" i="3"/>
  <c r="G11952" i="3"/>
  <c r="F11952" i="3"/>
  <c r="D11952" i="3"/>
  <c r="M11951" i="3"/>
  <c r="L11951" i="3"/>
  <c r="J11951" i="3"/>
  <c r="K11951" i="3" s="1"/>
  <c r="H11951" i="3"/>
  <c r="G11951" i="3"/>
  <c r="F11951" i="3"/>
  <c r="D11951" i="3"/>
  <c r="M11950" i="3"/>
  <c r="L11950" i="3"/>
  <c r="J11950" i="3"/>
  <c r="K11950" i="3" s="1"/>
  <c r="H11950" i="3"/>
  <c r="G11950" i="3"/>
  <c r="F11950" i="3"/>
  <c r="D11950" i="3"/>
  <c r="M11949" i="3"/>
  <c r="L11949" i="3"/>
  <c r="J11949" i="3"/>
  <c r="K11949" i="3" s="1"/>
  <c r="H11949" i="3"/>
  <c r="G11949" i="3"/>
  <c r="F11949" i="3"/>
  <c r="D11949" i="3"/>
  <c r="M11948" i="3"/>
  <c r="L11948" i="3"/>
  <c r="J11948" i="3"/>
  <c r="K11948" i="3" s="1"/>
  <c r="H11948" i="3"/>
  <c r="G11948" i="3"/>
  <c r="F11948" i="3"/>
  <c r="D11948" i="3"/>
  <c r="M11947" i="3"/>
  <c r="L11947" i="3"/>
  <c r="J11947" i="3"/>
  <c r="K11947" i="3" s="1"/>
  <c r="H11947" i="3"/>
  <c r="G11947" i="3"/>
  <c r="F11947" i="3"/>
  <c r="D11947" i="3"/>
  <c r="M11946" i="3"/>
  <c r="L11946" i="3"/>
  <c r="J11946" i="3"/>
  <c r="K11946" i="3" s="1"/>
  <c r="H11946" i="3"/>
  <c r="G11946" i="3"/>
  <c r="F11946" i="3"/>
  <c r="D11946" i="3"/>
  <c r="M11945" i="3"/>
  <c r="L11945" i="3"/>
  <c r="J11945" i="3"/>
  <c r="K11945" i="3" s="1"/>
  <c r="H11945" i="3"/>
  <c r="G11945" i="3"/>
  <c r="F11945" i="3"/>
  <c r="D11945" i="3"/>
  <c r="M11944" i="3"/>
  <c r="L11944" i="3"/>
  <c r="J11944" i="3"/>
  <c r="K11944" i="3" s="1"/>
  <c r="H11944" i="3"/>
  <c r="G11944" i="3"/>
  <c r="F11944" i="3"/>
  <c r="D11944" i="3"/>
  <c r="M11943" i="3"/>
  <c r="L11943" i="3"/>
  <c r="J11943" i="3"/>
  <c r="K11943" i="3" s="1"/>
  <c r="H11943" i="3"/>
  <c r="G11943" i="3"/>
  <c r="F11943" i="3"/>
  <c r="D11943" i="3"/>
  <c r="M11942" i="3"/>
  <c r="L11942" i="3"/>
  <c r="J11942" i="3"/>
  <c r="K11942" i="3" s="1"/>
  <c r="H11942" i="3"/>
  <c r="G11942" i="3"/>
  <c r="F11942" i="3"/>
  <c r="D11942" i="3"/>
  <c r="M11941" i="3"/>
  <c r="L11941" i="3"/>
  <c r="J11941" i="3"/>
  <c r="K11941" i="3" s="1"/>
  <c r="H11941" i="3"/>
  <c r="G11941" i="3"/>
  <c r="F11941" i="3"/>
  <c r="D11941" i="3"/>
  <c r="M11940" i="3"/>
  <c r="L11940" i="3"/>
  <c r="J11940" i="3"/>
  <c r="K11940" i="3" s="1"/>
  <c r="H11940" i="3"/>
  <c r="G11940" i="3"/>
  <c r="F11940" i="3"/>
  <c r="D11940" i="3"/>
  <c r="M11939" i="3"/>
  <c r="L11939" i="3"/>
  <c r="J11939" i="3"/>
  <c r="K11939" i="3" s="1"/>
  <c r="H11939" i="3"/>
  <c r="G11939" i="3"/>
  <c r="F11939" i="3"/>
  <c r="D11939" i="3"/>
  <c r="M11938" i="3"/>
  <c r="L11938" i="3"/>
  <c r="J11938" i="3"/>
  <c r="K11938" i="3" s="1"/>
  <c r="H11938" i="3"/>
  <c r="G11938" i="3"/>
  <c r="F11938" i="3"/>
  <c r="D11938" i="3"/>
  <c r="M11937" i="3"/>
  <c r="L11937" i="3"/>
  <c r="J11937" i="3"/>
  <c r="K11937" i="3" s="1"/>
  <c r="H11937" i="3"/>
  <c r="G11937" i="3"/>
  <c r="F11937" i="3"/>
  <c r="D11937" i="3"/>
  <c r="M11936" i="3"/>
  <c r="L11936" i="3"/>
  <c r="J11936" i="3"/>
  <c r="K11936" i="3" s="1"/>
  <c r="H11936" i="3"/>
  <c r="G11936" i="3"/>
  <c r="F11936" i="3"/>
  <c r="D11936" i="3"/>
  <c r="M11935" i="3"/>
  <c r="L11935" i="3"/>
  <c r="J11935" i="3"/>
  <c r="K11935" i="3" s="1"/>
  <c r="H11935" i="3"/>
  <c r="G11935" i="3"/>
  <c r="F11935" i="3"/>
  <c r="D11935" i="3"/>
  <c r="M11934" i="3"/>
  <c r="L11934" i="3"/>
  <c r="J11934" i="3"/>
  <c r="K11934" i="3" s="1"/>
  <c r="H11934" i="3"/>
  <c r="G11934" i="3"/>
  <c r="F11934" i="3"/>
  <c r="D11934" i="3"/>
  <c r="M11933" i="3"/>
  <c r="L11933" i="3"/>
  <c r="J11933" i="3"/>
  <c r="K11933" i="3" s="1"/>
  <c r="H11933" i="3"/>
  <c r="G11933" i="3"/>
  <c r="F11933" i="3"/>
  <c r="D11933" i="3"/>
  <c r="M11932" i="3"/>
  <c r="L11932" i="3"/>
  <c r="J11932" i="3"/>
  <c r="K11932" i="3" s="1"/>
  <c r="H11932" i="3"/>
  <c r="G11932" i="3"/>
  <c r="F11932" i="3"/>
  <c r="D11932" i="3"/>
  <c r="M11931" i="3"/>
  <c r="L11931" i="3"/>
  <c r="J11931" i="3"/>
  <c r="K11931" i="3" s="1"/>
  <c r="H11931" i="3"/>
  <c r="G11931" i="3"/>
  <c r="F11931" i="3"/>
  <c r="D11931" i="3"/>
  <c r="M11930" i="3"/>
  <c r="L11930" i="3"/>
  <c r="J11930" i="3"/>
  <c r="K11930" i="3" s="1"/>
  <c r="H11930" i="3"/>
  <c r="G11930" i="3"/>
  <c r="F11930" i="3"/>
  <c r="D11930" i="3"/>
  <c r="S499" i="1"/>
  <c r="F499" i="1"/>
  <c r="I11933" i="3" l="1"/>
  <c r="I11937" i="3"/>
  <c r="I11941" i="3"/>
  <c r="I11945" i="3"/>
  <c r="I11949" i="3"/>
  <c r="I11953" i="3"/>
  <c r="I11932" i="3"/>
  <c r="I11936" i="3"/>
  <c r="I11940" i="3"/>
  <c r="I11944" i="3"/>
  <c r="I11948" i="3"/>
  <c r="I11952" i="3"/>
  <c r="I11930" i="3"/>
  <c r="I11931" i="3"/>
  <c r="I11934" i="3"/>
  <c r="I11935" i="3"/>
  <c r="I11938" i="3"/>
  <c r="I11939" i="3"/>
  <c r="I11942" i="3"/>
  <c r="I11943" i="3"/>
  <c r="I11946" i="3"/>
  <c r="I11947" i="3"/>
  <c r="I11950" i="3"/>
  <c r="I11951" i="3"/>
  <c r="K11882" i="3" l="1"/>
  <c r="M11929" i="3" l="1"/>
  <c r="L11929" i="3"/>
  <c r="J11929" i="3"/>
  <c r="K11929" i="3" s="1"/>
  <c r="H11929" i="3"/>
  <c r="G11929" i="3"/>
  <c r="F11929" i="3"/>
  <c r="D11929" i="3"/>
  <c r="M11928" i="3"/>
  <c r="L11928" i="3"/>
  <c r="J11928" i="3"/>
  <c r="K11928" i="3" s="1"/>
  <c r="H11928" i="3"/>
  <c r="G11928" i="3"/>
  <c r="F11928" i="3"/>
  <c r="D11928" i="3"/>
  <c r="M11927" i="3"/>
  <c r="L11927" i="3"/>
  <c r="J11927" i="3"/>
  <c r="K11927" i="3" s="1"/>
  <c r="H11927" i="3"/>
  <c r="G11927" i="3"/>
  <c r="F11927" i="3"/>
  <c r="D11927" i="3"/>
  <c r="M11926" i="3"/>
  <c r="L11926" i="3"/>
  <c r="J11926" i="3"/>
  <c r="K11926" i="3" s="1"/>
  <c r="H11926" i="3"/>
  <c r="G11926" i="3"/>
  <c r="F11926" i="3"/>
  <c r="D11926" i="3"/>
  <c r="M11925" i="3"/>
  <c r="L11925" i="3"/>
  <c r="J11925" i="3"/>
  <c r="K11925" i="3" s="1"/>
  <c r="H11925" i="3"/>
  <c r="G11925" i="3"/>
  <c r="F11925" i="3"/>
  <c r="D11925" i="3"/>
  <c r="M11924" i="3"/>
  <c r="L11924" i="3"/>
  <c r="K11924" i="3"/>
  <c r="J11924" i="3"/>
  <c r="H11924" i="3"/>
  <c r="G11924" i="3"/>
  <c r="F11924" i="3"/>
  <c r="D11924" i="3"/>
  <c r="M11923" i="3"/>
  <c r="L11923" i="3"/>
  <c r="J11923" i="3"/>
  <c r="K11923" i="3" s="1"/>
  <c r="H11923" i="3"/>
  <c r="G11923" i="3"/>
  <c r="F11923" i="3"/>
  <c r="D11923" i="3"/>
  <c r="M11922" i="3"/>
  <c r="L11922" i="3"/>
  <c r="J11922" i="3"/>
  <c r="K11922" i="3" s="1"/>
  <c r="H11922" i="3"/>
  <c r="G11922" i="3"/>
  <c r="I11922" i="3" s="1"/>
  <c r="F11922" i="3"/>
  <c r="D11922" i="3"/>
  <c r="M11921" i="3"/>
  <c r="L11921" i="3"/>
  <c r="J11921" i="3"/>
  <c r="K11921" i="3" s="1"/>
  <c r="H11921" i="3"/>
  <c r="G11921" i="3"/>
  <c r="F11921" i="3"/>
  <c r="D11921" i="3"/>
  <c r="M11920" i="3"/>
  <c r="L11920" i="3"/>
  <c r="K11920" i="3"/>
  <c r="J11920" i="3"/>
  <c r="H11920" i="3"/>
  <c r="G11920" i="3"/>
  <c r="F11920" i="3"/>
  <c r="D11920" i="3"/>
  <c r="M11919" i="3"/>
  <c r="L11919" i="3"/>
  <c r="J11919" i="3"/>
  <c r="K11919" i="3" s="1"/>
  <c r="H11919" i="3"/>
  <c r="G11919" i="3"/>
  <c r="F11919" i="3"/>
  <c r="D11919" i="3"/>
  <c r="M11918" i="3"/>
  <c r="L11918" i="3"/>
  <c r="J11918" i="3"/>
  <c r="K11918" i="3" s="1"/>
  <c r="H11918" i="3"/>
  <c r="G11918" i="3"/>
  <c r="F11918" i="3"/>
  <c r="D11918" i="3"/>
  <c r="M11917" i="3"/>
  <c r="L11917" i="3"/>
  <c r="J11917" i="3"/>
  <c r="K11917" i="3" s="1"/>
  <c r="H11917" i="3"/>
  <c r="G11917" i="3"/>
  <c r="I11917" i="3" s="1"/>
  <c r="F11917" i="3"/>
  <c r="D11917" i="3"/>
  <c r="M11916" i="3"/>
  <c r="L11916" i="3"/>
  <c r="J11916" i="3"/>
  <c r="K11916" i="3" s="1"/>
  <c r="H11916" i="3"/>
  <c r="G11916" i="3"/>
  <c r="F11916" i="3"/>
  <c r="D11916" i="3"/>
  <c r="M11915" i="3"/>
  <c r="L11915" i="3"/>
  <c r="J11915" i="3"/>
  <c r="K11915" i="3" s="1"/>
  <c r="H11915" i="3"/>
  <c r="G11915" i="3"/>
  <c r="F11915" i="3"/>
  <c r="D11915" i="3"/>
  <c r="M11914" i="3"/>
  <c r="L11914" i="3"/>
  <c r="J11914" i="3"/>
  <c r="K11914" i="3" s="1"/>
  <c r="H11914" i="3"/>
  <c r="I11914" i="3" s="1"/>
  <c r="G11914" i="3"/>
  <c r="F11914" i="3"/>
  <c r="D11914" i="3"/>
  <c r="M11913" i="3"/>
  <c r="L11913" i="3"/>
  <c r="J11913" i="3"/>
  <c r="K11913" i="3" s="1"/>
  <c r="H11913" i="3"/>
  <c r="G11913" i="3"/>
  <c r="F11913" i="3"/>
  <c r="D11913" i="3"/>
  <c r="M11912" i="3"/>
  <c r="L11912" i="3"/>
  <c r="J11912" i="3"/>
  <c r="K11912" i="3" s="1"/>
  <c r="H11912" i="3"/>
  <c r="G11912" i="3"/>
  <c r="F11912" i="3"/>
  <c r="D11912" i="3"/>
  <c r="M11911" i="3"/>
  <c r="L11911" i="3"/>
  <c r="J11911" i="3"/>
  <c r="K11911" i="3" s="1"/>
  <c r="H11911" i="3"/>
  <c r="G11911" i="3"/>
  <c r="F11911" i="3"/>
  <c r="D11911" i="3"/>
  <c r="M11910" i="3"/>
  <c r="L11910" i="3"/>
  <c r="J11910" i="3"/>
  <c r="K11910" i="3" s="1"/>
  <c r="H11910" i="3"/>
  <c r="G11910" i="3"/>
  <c r="I11910" i="3" s="1"/>
  <c r="F11910" i="3"/>
  <c r="D11910" i="3"/>
  <c r="M11909" i="3"/>
  <c r="L11909" i="3"/>
  <c r="J11909" i="3"/>
  <c r="K11909" i="3" s="1"/>
  <c r="H11909" i="3"/>
  <c r="G11909" i="3"/>
  <c r="F11909" i="3"/>
  <c r="D11909" i="3"/>
  <c r="M11908" i="3"/>
  <c r="L11908" i="3"/>
  <c r="J11908" i="3"/>
  <c r="K11908" i="3" s="1"/>
  <c r="H11908" i="3"/>
  <c r="G11908" i="3"/>
  <c r="I11908" i="3" s="1"/>
  <c r="F11908" i="3"/>
  <c r="D11908" i="3"/>
  <c r="M11907" i="3"/>
  <c r="L11907" i="3"/>
  <c r="J11907" i="3"/>
  <c r="K11907" i="3" s="1"/>
  <c r="H11907" i="3"/>
  <c r="I11907" i="3" s="1"/>
  <c r="G11907" i="3"/>
  <c r="F11907" i="3"/>
  <c r="D11907" i="3"/>
  <c r="M11906" i="3"/>
  <c r="L11906" i="3"/>
  <c r="K11906" i="3"/>
  <c r="J11906" i="3"/>
  <c r="H11906" i="3"/>
  <c r="G11906" i="3"/>
  <c r="F11906" i="3"/>
  <c r="D11906" i="3"/>
  <c r="S498" i="1"/>
  <c r="F498" i="1"/>
  <c r="I11906" i="3" l="1"/>
  <c r="I11913" i="3"/>
  <c r="I11915" i="3"/>
  <c r="I11918" i="3"/>
  <c r="I11924" i="3"/>
  <c r="I11925" i="3"/>
  <c r="I11926" i="3"/>
  <c r="I11916" i="3"/>
  <c r="I11920" i="3"/>
  <c r="I11921" i="3"/>
  <c r="I11909" i="3"/>
  <c r="I11911" i="3"/>
  <c r="I11927" i="3"/>
  <c r="I11923" i="3"/>
  <c r="I11912" i="3"/>
  <c r="I11919" i="3"/>
  <c r="I11928" i="3"/>
  <c r="I11929" i="3"/>
  <c r="M492" i="1" l="1"/>
  <c r="M493" i="1"/>
  <c r="M494" i="1"/>
  <c r="S497" i="1"/>
  <c r="F497" i="1"/>
  <c r="M11905" i="3"/>
  <c r="L11905" i="3"/>
  <c r="J11905" i="3"/>
  <c r="K11905" i="3" s="1"/>
  <c r="H11905" i="3"/>
  <c r="I11905" i="3" s="1"/>
  <c r="G11905" i="3"/>
  <c r="F11905" i="3"/>
  <c r="D11905" i="3"/>
  <c r="M11904" i="3"/>
  <c r="L11904" i="3"/>
  <c r="J11904" i="3"/>
  <c r="K11904" i="3" s="1"/>
  <c r="H11904" i="3"/>
  <c r="G11904" i="3"/>
  <c r="I11904" i="3" s="1"/>
  <c r="F11904" i="3"/>
  <c r="D11904" i="3"/>
  <c r="M11903" i="3"/>
  <c r="L11903" i="3"/>
  <c r="J11903" i="3"/>
  <c r="K11903" i="3" s="1"/>
  <c r="H11903" i="3"/>
  <c r="G11903" i="3"/>
  <c r="I11903" i="3" s="1"/>
  <c r="F11903" i="3"/>
  <c r="D11903" i="3"/>
  <c r="M11902" i="3"/>
  <c r="L11902" i="3"/>
  <c r="J11902" i="3"/>
  <c r="K11902" i="3" s="1"/>
  <c r="H11902" i="3"/>
  <c r="G11902" i="3"/>
  <c r="I11902" i="3" s="1"/>
  <c r="F11902" i="3"/>
  <c r="D11902" i="3"/>
  <c r="M11901" i="3"/>
  <c r="L11901" i="3"/>
  <c r="J11901" i="3"/>
  <c r="K11901" i="3" s="1"/>
  <c r="H11901" i="3"/>
  <c r="I11901" i="3" s="1"/>
  <c r="G11901" i="3"/>
  <c r="F11901" i="3"/>
  <c r="D11901" i="3"/>
  <c r="M11900" i="3"/>
  <c r="L11900" i="3"/>
  <c r="J11900" i="3"/>
  <c r="K11900" i="3" s="1"/>
  <c r="H11900" i="3"/>
  <c r="G11900" i="3"/>
  <c r="I11900" i="3" s="1"/>
  <c r="F11900" i="3"/>
  <c r="D11900" i="3"/>
  <c r="M11899" i="3"/>
  <c r="L11899" i="3"/>
  <c r="J11899" i="3"/>
  <c r="K11899" i="3" s="1"/>
  <c r="H11899" i="3"/>
  <c r="G11899" i="3"/>
  <c r="I11899" i="3" s="1"/>
  <c r="F11899" i="3"/>
  <c r="D11899" i="3"/>
  <c r="M11898" i="3"/>
  <c r="L11898" i="3"/>
  <c r="J11898" i="3"/>
  <c r="K11898" i="3" s="1"/>
  <c r="H11898" i="3"/>
  <c r="G11898" i="3"/>
  <c r="I11898" i="3" s="1"/>
  <c r="F11898" i="3"/>
  <c r="D11898" i="3"/>
  <c r="M11897" i="3"/>
  <c r="L11897" i="3"/>
  <c r="J11897" i="3"/>
  <c r="K11897" i="3" s="1"/>
  <c r="H11897" i="3"/>
  <c r="I11897" i="3" s="1"/>
  <c r="G11897" i="3"/>
  <c r="F11897" i="3"/>
  <c r="D11897" i="3"/>
  <c r="M11896" i="3"/>
  <c r="L11896" i="3"/>
  <c r="J11896" i="3"/>
  <c r="K11896" i="3" s="1"/>
  <c r="H11896" i="3"/>
  <c r="G11896" i="3"/>
  <c r="I11896" i="3" s="1"/>
  <c r="F11896" i="3"/>
  <c r="D11896" i="3"/>
  <c r="M11895" i="3"/>
  <c r="L11895" i="3"/>
  <c r="J11895" i="3"/>
  <c r="K11895" i="3" s="1"/>
  <c r="H11895" i="3"/>
  <c r="G11895" i="3"/>
  <c r="I11895" i="3" s="1"/>
  <c r="F11895" i="3"/>
  <c r="D11895" i="3"/>
  <c r="M11894" i="3"/>
  <c r="L11894" i="3"/>
  <c r="J11894" i="3"/>
  <c r="K11894" i="3" s="1"/>
  <c r="H11894" i="3"/>
  <c r="G11894" i="3"/>
  <c r="I11894" i="3" s="1"/>
  <c r="F11894" i="3"/>
  <c r="D11894" i="3"/>
  <c r="M11893" i="3"/>
  <c r="L11893" i="3"/>
  <c r="J11893" i="3"/>
  <c r="K11893" i="3" s="1"/>
  <c r="H11893" i="3"/>
  <c r="I11893" i="3" s="1"/>
  <c r="G11893" i="3"/>
  <c r="F11893" i="3"/>
  <c r="D11893" i="3"/>
  <c r="M11892" i="3"/>
  <c r="L11892" i="3"/>
  <c r="J11892" i="3"/>
  <c r="K11892" i="3" s="1"/>
  <c r="H11892" i="3"/>
  <c r="G11892" i="3"/>
  <c r="I11892" i="3" s="1"/>
  <c r="F11892" i="3"/>
  <c r="D11892" i="3"/>
  <c r="M11891" i="3"/>
  <c r="L11891" i="3"/>
  <c r="J11891" i="3"/>
  <c r="K11891" i="3" s="1"/>
  <c r="H11891" i="3"/>
  <c r="G11891" i="3"/>
  <c r="I11891" i="3" s="1"/>
  <c r="F11891" i="3"/>
  <c r="D11891" i="3"/>
  <c r="M11890" i="3"/>
  <c r="L11890" i="3"/>
  <c r="J11890" i="3"/>
  <c r="K11890" i="3" s="1"/>
  <c r="H11890" i="3"/>
  <c r="G11890" i="3"/>
  <c r="I11890" i="3" s="1"/>
  <c r="F11890" i="3"/>
  <c r="D11890" i="3"/>
  <c r="M11889" i="3"/>
  <c r="L11889" i="3"/>
  <c r="J11889" i="3"/>
  <c r="K11889" i="3" s="1"/>
  <c r="H11889" i="3"/>
  <c r="I11889" i="3" s="1"/>
  <c r="G11889" i="3"/>
  <c r="F11889" i="3"/>
  <c r="D11889" i="3"/>
  <c r="M11888" i="3"/>
  <c r="L11888" i="3"/>
  <c r="J11888" i="3"/>
  <c r="K11888" i="3" s="1"/>
  <c r="H11888" i="3"/>
  <c r="G11888" i="3"/>
  <c r="I11888" i="3" s="1"/>
  <c r="F11888" i="3"/>
  <c r="D11888" i="3"/>
  <c r="M11887" i="3"/>
  <c r="L11887" i="3"/>
  <c r="J11887" i="3"/>
  <c r="K11887" i="3" s="1"/>
  <c r="H11887" i="3"/>
  <c r="G11887" i="3"/>
  <c r="I11887" i="3" s="1"/>
  <c r="F11887" i="3"/>
  <c r="D11887" i="3"/>
  <c r="M11886" i="3"/>
  <c r="L11886" i="3"/>
  <c r="J11886" i="3"/>
  <c r="K11886" i="3" s="1"/>
  <c r="H11886" i="3"/>
  <c r="G11886" i="3"/>
  <c r="I11886" i="3" s="1"/>
  <c r="F11886" i="3"/>
  <c r="D11886" i="3"/>
  <c r="M11885" i="3"/>
  <c r="L11885" i="3"/>
  <c r="J11885" i="3"/>
  <c r="K11885" i="3" s="1"/>
  <c r="H11885" i="3"/>
  <c r="I11885" i="3" s="1"/>
  <c r="G11885" i="3"/>
  <c r="F11885" i="3"/>
  <c r="D11885" i="3"/>
  <c r="M11884" i="3"/>
  <c r="L11884" i="3"/>
  <c r="J11884" i="3"/>
  <c r="K11884" i="3" s="1"/>
  <c r="H11884" i="3"/>
  <c r="G11884" i="3"/>
  <c r="I11884" i="3" s="1"/>
  <c r="F11884" i="3"/>
  <c r="D11884" i="3"/>
  <c r="M11883" i="3"/>
  <c r="L11883" i="3"/>
  <c r="J11883" i="3"/>
  <c r="K11883" i="3" s="1"/>
  <c r="H11883" i="3"/>
  <c r="G11883" i="3"/>
  <c r="I11883" i="3" s="1"/>
  <c r="F11883" i="3"/>
  <c r="D11883" i="3"/>
  <c r="M11882" i="3"/>
  <c r="L11882" i="3"/>
  <c r="J11882" i="3"/>
  <c r="H11882" i="3"/>
  <c r="G11882" i="3"/>
  <c r="I11882" i="3" s="1"/>
  <c r="F11882" i="3"/>
  <c r="D11882" i="3"/>
  <c r="M11881" i="3"/>
  <c r="L11881" i="3"/>
  <c r="J11881" i="3"/>
  <c r="K11881" i="3" s="1"/>
  <c r="H11881" i="3"/>
  <c r="G11881" i="3"/>
  <c r="F11881" i="3"/>
  <c r="D11881" i="3"/>
  <c r="M11880" i="3"/>
  <c r="L11880" i="3"/>
  <c r="J11880" i="3"/>
  <c r="K11880" i="3" s="1"/>
  <c r="H11880" i="3"/>
  <c r="G11880" i="3"/>
  <c r="F11880" i="3"/>
  <c r="D11880" i="3"/>
  <c r="M11879" i="3"/>
  <c r="L11879" i="3"/>
  <c r="J11879" i="3"/>
  <c r="K11879" i="3" s="1"/>
  <c r="H11879" i="3"/>
  <c r="G11879" i="3"/>
  <c r="F11879" i="3"/>
  <c r="D11879" i="3"/>
  <c r="M11878" i="3"/>
  <c r="L11878" i="3"/>
  <c r="J11878" i="3"/>
  <c r="K11878" i="3" s="1"/>
  <c r="H11878" i="3"/>
  <c r="G11878" i="3"/>
  <c r="I11878" i="3" s="1"/>
  <c r="F11878" i="3"/>
  <c r="D11878" i="3"/>
  <c r="M11877" i="3"/>
  <c r="L11877" i="3"/>
  <c r="J11877" i="3"/>
  <c r="K11877" i="3" s="1"/>
  <c r="H11877" i="3"/>
  <c r="G11877" i="3"/>
  <c r="I11877" i="3" s="1"/>
  <c r="F11877" i="3"/>
  <c r="D11877" i="3"/>
  <c r="M11876" i="3"/>
  <c r="L11876" i="3"/>
  <c r="K11876" i="3"/>
  <c r="J11876" i="3"/>
  <c r="H11876" i="3"/>
  <c r="G11876" i="3"/>
  <c r="I11876" i="3" s="1"/>
  <c r="F11876" i="3"/>
  <c r="D11876" i="3"/>
  <c r="M11875" i="3"/>
  <c r="L11875" i="3"/>
  <c r="J11875" i="3"/>
  <c r="K11875" i="3" s="1"/>
  <c r="H11875" i="3"/>
  <c r="G11875" i="3"/>
  <c r="F11875" i="3"/>
  <c r="D11875" i="3"/>
  <c r="M11874" i="3"/>
  <c r="L11874" i="3"/>
  <c r="J11874" i="3"/>
  <c r="K11874" i="3" s="1"/>
  <c r="I11874" i="3"/>
  <c r="H11874" i="3"/>
  <c r="G11874" i="3"/>
  <c r="F11874" i="3"/>
  <c r="D11874" i="3"/>
  <c r="M11873" i="3"/>
  <c r="L11873" i="3"/>
  <c r="J11873" i="3"/>
  <c r="K11873" i="3" s="1"/>
  <c r="H11873" i="3"/>
  <c r="G11873" i="3"/>
  <c r="F11873" i="3"/>
  <c r="D11873" i="3"/>
  <c r="M11872" i="3"/>
  <c r="L11872" i="3"/>
  <c r="J11872" i="3"/>
  <c r="K11872" i="3" s="1"/>
  <c r="H11872" i="3"/>
  <c r="G11872" i="3"/>
  <c r="F11872" i="3"/>
  <c r="D11872" i="3"/>
  <c r="M11871" i="3"/>
  <c r="L11871" i="3"/>
  <c r="J11871" i="3"/>
  <c r="K11871" i="3" s="1"/>
  <c r="H11871" i="3"/>
  <c r="G11871" i="3"/>
  <c r="F11871" i="3"/>
  <c r="D11871" i="3"/>
  <c r="M11870" i="3"/>
  <c r="L11870" i="3"/>
  <c r="J11870" i="3"/>
  <c r="K11870" i="3" s="1"/>
  <c r="H11870" i="3"/>
  <c r="G11870" i="3"/>
  <c r="I11870" i="3" s="1"/>
  <c r="F11870" i="3"/>
  <c r="D11870" i="3"/>
  <c r="M11869" i="3"/>
  <c r="L11869" i="3"/>
  <c r="J11869" i="3"/>
  <c r="K11869" i="3" s="1"/>
  <c r="H11869" i="3"/>
  <c r="G11869" i="3"/>
  <c r="I11869" i="3" s="1"/>
  <c r="F11869" i="3"/>
  <c r="D11869" i="3"/>
  <c r="M11868" i="3"/>
  <c r="L11868" i="3"/>
  <c r="K11868" i="3"/>
  <c r="J11868" i="3"/>
  <c r="H11868" i="3"/>
  <c r="G11868" i="3"/>
  <c r="I11868" i="3" s="1"/>
  <c r="F11868" i="3"/>
  <c r="D11868" i="3"/>
  <c r="M11867" i="3"/>
  <c r="L11867" i="3"/>
  <c r="J11867" i="3"/>
  <c r="K11867" i="3" s="1"/>
  <c r="H11867" i="3"/>
  <c r="G11867" i="3"/>
  <c r="F11867" i="3"/>
  <c r="D11867" i="3"/>
  <c r="M11866" i="3"/>
  <c r="L11866" i="3"/>
  <c r="J11866" i="3"/>
  <c r="K11866" i="3" s="1"/>
  <c r="H11866" i="3"/>
  <c r="G11866" i="3"/>
  <c r="I11866" i="3" s="1"/>
  <c r="F11866" i="3"/>
  <c r="D11866" i="3"/>
  <c r="M11865" i="3"/>
  <c r="L11865" i="3"/>
  <c r="J11865" i="3"/>
  <c r="K11865" i="3" s="1"/>
  <c r="H11865" i="3"/>
  <c r="G11865" i="3"/>
  <c r="I11865" i="3" s="1"/>
  <c r="F11865" i="3"/>
  <c r="D11865" i="3"/>
  <c r="M11864" i="3"/>
  <c r="L11864" i="3"/>
  <c r="J11864" i="3"/>
  <c r="K11864" i="3" s="1"/>
  <c r="H11864" i="3"/>
  <c r="G11864" i="3"/>
  <c r="I11864" i="3" s="1"/>
  <c r="F11864" i="3"/>
  <c r="D11864" i="3"/>
  <c r="M11863" i="3"/>
  <c r="L11863" i="3"/>
  <c r="J11863" i="3"/>
  <c r="K11863" i="3" s="1"/>
  <c r="H11863" i="3"/>
  <c r="I11863" i="3" s="1"/>
  <c r="G11863" i="3"/>
  <c r="F11863" i="3"/>
  <c r="D11863" i="3"/>
  <c r="M11862" i="3"/>
  <c r="L11862" i="3"/>
  <c r="J11862" i="3"/>
  <c r="K11862" i="3" s="1"/>
  <c r="I11862" i="3"/>
  <c r="H11862" i="3"/>
  <c r="G11862" i="3"/>
  <c r="F11862" i="3"/>
  <c r="D11862" i="3"/>
  <c r="M11861" i="3"/>
  <c r="L11861" i="3"/>
  <c r="J11861" i="3"/>
  <c r="K11861" i="3" s="1"/>
  <c r="H11861" i="3"/>
  <c r="G11861" i="3"/>
  <c r="F11861" i="3"/>
  <c r="D11861" i="3"/>
  <c r="M11860" i="3"/>
  <c r="L11860" i="3"/>
  <c r="J11860" i="3"/>
  <c r="K11860" i="3" s="1"/>
  <c r="H11860" i="3"/>
  <c r="G11860" i="3"/>
  <c r="F11860" i="3"/>
  <c r="D11860" i="3"/>
  <c r="M11859" i="3"/>
  <c r="L11859" i="3"/>
  <c r="J11859" i="3"/>
  <c r="K11859" i="3" s="1"/>
  <c r="H11859" i="3"/>
  <c r="G11859" i="3"/>
  <c r="F11859" i="3"/>
  <c r="D11859" i="3"/>
  <c r="M11858" i="3"/>
  <c r="L11858" i="3"/>
  <c r="K11858" i="3"/>
  <c r="J11858" i="3"/>
  <c r="H11858" i="3"/>
  <c r="I11858" i="3" s="1"/>
  <c r="G11858" i="3"/>
  <c r="F11858" i="3"/>
  <c r="D11858" i="3"/>
  <c r="S496" i="1"/>
  <c r="S495" i="1"/>
  <c r="F496" i="1"/>
  <c r="M11857" i="3"/>
  <c r="L11857" i="3"/>
  <c r="J11857" i="3"/>
  <c r="K11857" i="3" s="1"/>
  <c r="H11857" i="3"/>
  <c r="G11857" i="3"/>
  <c r="F11857" i="3"/>
  <c r="M11856" i="3"/>
  <c r="L11856" i="3"/>
  <c r="K11856" i="3"/>
  <c r="J11856" i="3"/>
  <c r="H11856" i="3"/>
  <c r="G11856" i="3"/>
  <c r="I11856" i="3" s="1"/>
  <c r="F11856" i="3"/>
  <c r="M11855" i="3"/>
  <c r="L11855" i="3"/>
  <c r="K11855" i="3"/>
  <c r="J11855" i="3"/>
  <c r="H11855" i="3"/>
  <c r="G11855" i="3"/>
  <c r="I11855" i="3" s="1"/>
  <c r="F11855" i="3"/>
  <c r="M11854" i="3"/>
  <c r="L11854" i="3"/>
  <c r="J11854" i="3"/>
  <c r="K11854" i="3" s="1"/>
  <c r="H11854" i="3"/>
  <c r="G11854" i="3"/>
  <c r="I11854" i="3" s="1"/>
  <c r="F11854" i="3"/>
  <c r="M11853" i="3"/>
  <c r="L11853" i="3"/>
  <c r="K11853" i="3"/>
  <c r="J11853" i="3"/>
  <c r="H11853" i="3"/>
  <c r="G11853" i="3"/>
  <c r="F11853" i="3"/>
  <c r="M11852" i="3"/>
  <c r="L11852" i="3"/>
  <c r="J11852" i="3"/>
  <c r="K11852" i="3" s="1"/>
  <c r="H11852" i="3"/>
  <c r="G11852" i="3"/>
  <c r="I11852" i="3" s="1"/>
  <c r="F11852" i="3"/>
  <c r="M11851" i="3"/>
  <c r="L11851" i="3"/>
  <c r="K11851" i="3"/>
  <c r="J11851" i="3"/>
  <c r="H11851" i="3"/>
  <c r="G11851" i="3"/>
  <c r="I11851" i="3" s="1"/>
  <c r="F11851" i="3"/>
  <c r="M11850" i="3"/>
  <c r="L11850" i="3"/>
  <c r="J11850" i="3"/>
  <c r="K11850" i="3" s="1"/>
  <c r="H11850" i="3"/>
  <c r="G11850" i="3"/>
  <c r="I11850" i="3" s="1"/>
  <c r="F11850" i="3"/>
  <c r="M11849" i="3"/>
  <c r="L11849" i="3"/>
  <c r="K11849" i="3"/>
  <c r="J11849" i="3"/>
  <c r="H11849" i="3"/>
  <c r="G11849" i="3"/>
  <c r="F11849" i="3"/>
  <c r="M11848" i="3"/>
  <c r="L11848" i="3"/>
  <c r="J11848" i="3"/>
  <c r="K11848" i="3" s="1"/>
  <c r="H11848" i="3"/>
  <c r="G11848" i="3"/>
  <c r="I11848" i="3" s="1"/>
  <c r="F11848" i="3"/>
  <c r="M11847" i="3"/>
  <c r="L11847" i="3"/>
  <c r="K11847" i="3"/>
  <c r="J11847" i="3"/>
  <c r="H11847" i="3"/>
  <c r="G11847" i="3"/>
  <c r="F11847" i="3"/>
  <c r="M11846" i="3"/>
  <c r="L11846" i="3"/>
  <c r="J11846" i="3"/>
  <c r="K11846" i="3" s="1"/>
  <c r="H11846" i="3"/>
  <c r="G11846" i="3"/>
  <c r="I11846" i="3" s="1"/>
  <c r="F11846" i="3"/>
  <c r="M11845" i="3"/>
  <c r="L11845" i="3"/>
  <c r="K11845" i="3"/>
  <c r="J11845" i="3"/>
  <c r="H11845" i="3"/>
  <c r="G11845" i="3"/>
  <c r="F11845" i="3"/>
  <c r="M11844" i="3"/>
  <c r="L11844" i="3"/>
  <c r="J11844" i="3"/>
  <c r="K11844" i="3" s="1"/>
  <c r="H11844" i="3"/>
  <c r="G11844" i="3"/>
  <c r="I11844" i="3" s="1"/>
  <c r="F11844" i="3"/>
  <c r="M11843" i="3"/>
  <c r="L11843" i="3"/>
  <c r="K11843" i="3"/>
  <c r="J11843" i="3"/>
  <c r="H11843" i="3"/>
  <c r="G11843" i="3"/>
  <c r="F11843" i="3"/>
  <c r="M11842" i="3"/>
  <c r="L11842" i="3"/>
  <c r="J11842" i="3"/>
  <c r="K11842" i="3" s="1"/>
  <c r="H11842" i="3"/>
  <c r="G11842" i="3"/>
  <c r="I11842" i="3" s="1"/>
  <c r="F11842" i="3"/>
  <c r="M11841" i="3"/>
  <c r="L11841" i="3"/>
  <c r="K11841" i="3"/>
  <c r="J11841" i="3"/>
  <c r="H11841" i="3"/>
  <c r="G11841" i="3"/>
  <c r="F11841" i="3"/>
  <c r="M11840" i="3"/>
  <c r="L11840" i="3"/>
  <c r="J11840" i="3"/>
  <c r="K11840" i="3" s="1"/>
  <c r="H11840" i="3"/>
  <c r="G11840" i="3"/>
  <c r="I11840" i="3" s="1"/>
  <c r="F11840" i="3"/>
  <c r="M11839" i="3"/>
  <c r="L11839" i="3"/>
  <c r="K11839" i="3"/>
  <c r="J11839" i="3"/>
  <c r="H11839" i="3"/>
  <c r="G11839" i="3"/>
  <c r="F11839" i="3"/>
  <c r="M11838" i="3"/>
  <c r="L11838" i="3"/>
  <c r="J11838" i="3"/>
  <c r="K11838" i="3" s="1"/>
  <c r="H11838" i="3"/>
  <c r="G11838" i="3"/>
  <c r="I11838" i="3" s="1"/>
  <c r="F11838" i="3"/>
  <c r="M11837" i="3"/>
  <c r="L11837" i="3"/>
  <c r="K11837" i="3"/>
  <c r="J11837" i="3"/>
  <c r="H11837" i="3"/>
  <c r="G11837" i="3"/>
  <c r="F11837" i="3"/>
  <c r="M11836" i="3"/>
  <c r="L11836" i="3"/>
  <c r="J11836" i="3"/>
  <c r="K11836" i="3" s="1"/>
  <c r="H11836" i="3"/>
  <c r="G11836" i="3"/>
  <c r="I11836" i="3" s="1"/>
  <c r="F11836" i="3"/>
  <c r="M11835" i="3"/>
  <c r="L11835" i="3"/>
  <c r="K11835" i="3"/>
  <c r="J11835" i="3"/>
  <c r="H11835" i="3"/>
  <c r="G11835" i="3"/>
  <c r="F11835" i="3"/>
  <c r="M11834" i="3"/>
  <c r="L11834" i="3"/>
  <c r="J11834" i="3"/>
  <c r="K11834" i="3" s="1"/>
  <c r="H11834" i="3"/>
  <c r="G11834" i="3"/>
  <c r="I11834" i="3" s="1"/>
  <c r="F11834"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F495" i="1"/>
  <c r="H11816" i="3"/>
  <c r="M11833" i="3"/>
  <c r="L11833" i="3"/>
  <c r="J11833" i="3"/>
  <c r="K11833" i="3" s="1"/>
  <c r="H11833" i="3"/>
  <c r="G11833" i="3"/>
  <c r="F11833" i="3"/>
  <c r="M11832" i="3"/>
  <c r="L11832" i="3"/>
  <c r="J11832" i="3"/>
  <c r="K11832" i="3" s="1"/>
  <c r="H11832" i="3"/>
  <c r="G11832" i="3"/>
  <c r="F11832" i="3"/>
  <c r="M11831" i="3"/>
  <c r="L11831" i="3"/>
  <c r="J11831" i="3"/>
  <c r="K11831" i="3" s="1"/>
  <c r="H11831" i="3"/>
  <c r="G11831" i="3"/>
  <c r="F11831" i="3"/>
  <c r="M11830" i="3"/>
  <c r="L11830" i="3"/>
  <c r="J11830" i="3"/>
  <c r="K11830" i="3" s="1"/>
  <c r="H11830" i="3"/>
  <c r="G11830" i="3"/>
  <c r="F11830" i="3"/>
  <c r="M11829" i="3"/>
  <c r="L11829" i="3"/>
  <c r="J11829" i="3"/>
  <c r="K11829" i="3" s="1"/>
  <c r="H11829" i="3"/>
  <c r="G11829" i="3"/>
  <c r="F11829" i="3"/>
  <c r="M11828" i="3"/>
  <c r="L11828" i="3"/>
  <c r="J11828" i="3"/>
  <c r="K11828" i="3" s="1"/>
  <c r="H11828" i="3"/>
  <c r="G11828" i="3"/>
  <c r="F11828" i="3"/>
  <c r="M11827" i="3"/>
  <c r="L11827" i="3"/>
  <c r="J11827" i="3"/>
  <c r="K11827" i="3" s="1"/>
  <c r="H11827" i="3"/>
  <c r="G11827" i="3"/>
  <c r="F11827" i="3"/>
  <c r="M11826" i="3"/>
  <c r="L11826" i="3"/>
  <c r="J11826" i="3"/>
  <c r="K11826" i="3" s="1"/>
  <c r="H11826" i="3"/>
  <c r="G11826" i="3"/>
  <c r="F11826" i="3"/>
  <c r="M11825" i="3"/>
  <c r="L11825" i="3"/>
  <c r="J11825" i="3"/>
  <c r="K11825" i="3" s="1"/>
  <c r="H11825" i="3"/>
  <c r="G11825" i="3"/>
  <c r="F11825" i="3"/>
  <c r="M11824" i="3"/>
  <c r="L11824" i="3"/>
  <c r="J11824" i="3"/>
  <c r="K11824" i="3" s="1"/>
  <c r="H11824" i="3"/>
  <c r="G11824" i="3"/>
  <c r="F11824" i="3"/>
  <c r="M11823" i="3"/>
  <c r="L11823" i="3"/>
  <c r="J11823" i="3"/>
  <c r="K11823" i="3" s="1"/>
  <c r="H11823" i="3"/>
  <c r="G11823" i="3"/>
  <c r="F11823" i="3"/>
  <c r="M11822" i="3"/>
  <c r="L11822" i="3"/>
  <c r="J11822" i="3"/>
  <c r="K11822" i="3" s="1"/>
  <c r="H11822" i="3"/>
  <c r="G11822" i="3"/>
  <c r="F11822" i="3"/>
  <c r="M11821" i="3"/>
  <c r="L11821" i="3"/>
  <c r="J11821" i="3"/>
  <c r="K11821" i="3" s="1"/>
  <c r="H11821" i="3"/>
  <c r="G11821" i="3"/>
  <c r="F11821" i="3"/>
  <c r="M11820" i="3"/>
  <c r="L11820" i="3"/>
  <c r="J11820" i="3"/>
  <c r="K11820" i="3" s="1"/>
  <c r="H11820" i="3"/>
  <c r="G11820" i="3"/>
  <c r="F11820" i="3"/>
  <c r="M11819" i="3"/>
  <c r="L11819" i="3"/>
  <c r="J11819" i="3"/>
  <c r="K11819" i="3" s="1"/>
  <c r="H11819" i="3"/>
  <c r="G11819" i="3"/>
  <c r="F11819" i="3"/>
  <c r="M11818" i="3"/>
  <c r="L11818" i="3"/>
  <c r="J11818" i="3"/>
  <c r="K11818" i="3" s="1"/>
  <c r="H11818" i="3"/>
  <c r="G11818" i="3"/>
  <c r="F11818" i="3"/>
  <c r="M11817" i="3"/>
  <c r="L11817" i="3"/>
  <c r="J11817" i="3"/>
  <c r="K11817" i="3" s="1"/>
  <c r="H11817" i="3"/>
  <c r="G11817" i="3"/>
  <c r="F11817" i="3"/>
  <c r="M11816" i="3"/>
  <c r="L11816" i="3"/>
  <c r="J11816" i="3"/>
  <c r="K11816" i="3" s="1"/>
  <c r="G11816" i="3"/>
  <c r="F11816" i="3"/>
  <c r="M11815" i="3"/>
  <c r="L11815" i="3"/>
  <c r="J11815" i="3"/>
  <c r="K11815" i="3" s="1"/>
  <c r="H11815" i="3"/>
  <c r="G11815" i="3"/>
  <c r="F11815" i="3"/>
  <c r="M11814" i="3"/>
  <c r="L11814" i="3"/>
  <c r="J11814" i="3"/>
  <c r="K11814" i="3" s="1"/>
  <c r="H11814" i="3"/>
  <c r="G11814" i="3"/>
  <c r="F11814" i="3"/>
  <c r="M11813" i="3"/>
  <c r="L11813" i="3"/>
  <c r="J11813" i="3"/>
  <c r="K11813" i="3" s="1"/>
  <c r="H11813" i="3"/>
  <c r="G11813" i="3"/>
  <c r="F11813" i="3"/>
  <c r="M11812" i="3"/>
  <c r="L11812" i="3"/>
  <c r="J11812" i="3"/>
  <c r="K11812" i="3" s="1"/>
  <c r="H11812" i="3"/>
  <c r="G11812" i="3"/>
  <c r="F11812" i="3"/>
  <c r="M11811" i="3"/>
  <c r="L11811" i="3"/>
  <c r="J11811" i="3"/>
  <c r="K11811" i="3" s="1"/>
  <c r="H11811" i="3"/>
  <c r="G11811" i="3"/>
  <c r="F11811" i="3"/>
  <c r="M11810" i="3"/>
  <c r="L11810" i="3"/>
  <c r="J11810" i="3"/>
  <c r="K11810" i="3" s="1"/>
  <c r="H11810" i="3"/>
  <c r="G11810" i="3"/>
  <c r="F11810"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S494" i="1"/>
  <c r="F494" i="1"/>
  <c r="M11721" i="3"/>
  <c r="M491" i="1"/>
  <c r="S493" i="1"/>
  <c r="F493" i="1"/>
  <c r="M11809" i="3"/>
  <c r="L11809" i="3"/>
  <c r="J11809" i="3"/>
  <c r="K11809" i="3" s="1"/>
  <c r="H11809" i="3"/>
  <c r="G11809" i="3"/>
  <c r="M11808" i="3"/>
  <c r="L11808" i="3"/>
  <c r="J11808" i="3"/>
  <c r="K11808" i="3" s="1"/>
  <c r="H11808" i="3"/>
  <c r="G11808" i="3"/>
  <c r="M11807" i="3"/>
  <c r="L11807" i="3"/>
  <c r="J11807" i="3"/>
  <c r="K11807" i="3" s="1"/>
  <c r="H11807" i="3"/>
  <c r="G11807" i="3"/>
  <c r="M11806" i="3"/>
  <c r="L11806" i="3"/>
  <c r="J11806" i="3"/>
  <c r="K11806" i="3" s="1"/>
  <c r="H11806" i="3"/>
  <c r="G11806" i="3"/>
  <c r="M11805" i="3"/>
  <c r="L11805" i="3"/>
  <c r="J11805" i="3"/>
  <c r="K11805" i="3" s="1"/>
  <c r="H11805" i="3"/>
  <c r="G11805" i="3"/>
  <c r="I11805" i="3" s="1"/>
  <c r="M11804" i="3"/>
  <c r="L11804" i="3"/>
  <c r="K11804" i="3"/>
  <c r="J11804" i="3"/>
  <c r="H11804" i="3"/>
  <c r="G11804" i="3"/>
  <c r="I11804" i="3" s="1"/>
  <c r="M11803" i="3"/>
  <c r="L11803" i="3"/>
  <c r="J11803" i="3"/>
  <c r="K11803" i="3" s="1"/>
  <c r="H11803" i="3"/>
  <c r="G11803" i="3"/>
  <c r="M11802" i="3"/>
  <c r="L11802" i="3"/>
  <c r="J11802" i="3"/>
  <c r="K11802" i="3" s="1"/>
  <c r="H11802" i="3"/>
  <c r="G11802" i="3"/>
  <c r="M11801" i="3"/>
  <c r="L11801" i="3"/>
  <c r="J11801" i="3"/>
  <c r="K11801" i="3" s="1"/>
  <c r="H11801" i="3"/>
  <c r="G11801" i="3"/>
  <c r="M11800" i="3"/>
  <c r="L11800" i="3"/>
  <c r="J11800" i="3"/>
  <c r="K11800" i="3" s="1"/>
  <c r="H11800" i="3"/>
  <c r="G11800" i="3"/>
  <c r="M11799" i="3"/>
  <c r="L11799" i="3"/>
  <c r="J11799" i="3"/>
  <c r="K11799" i="3" s="1"/>
  <c r="H11799" i="3"/>
  <c r="G11799" i="3"/>
  <c r="M11798" i="3"/>
  <c r="L11798" i="3"/>
  <c r="J11798" i="3"/>
  <c r="K11798" i="3" s="1"/>
  <c r="H11798" i="3"/>
  <c r="G11798" i="3"/>
  <c r="M11797" i="3"/>
  <c r="L11797" i="3"/>
  <c r="J11797" i="3"/>
  <c r="K11797" i="3" s="1"/>
  <c r="H11797" i="3"/>
  <c r="G11797" i="3"/>
  <c r="M11796" i="3"/>
  <c r="L11796" i="3"/>
  <c r="K11796" i="3"/>
  <c r="J11796" i="3"/>
  <c r="H11796" i="3"/>
  <c r="G11796" i="3"/>
  <c r="M11795" i="3"/>
  <c r="L11795" i="3"/>
  <c r="J11795" i="3"/>
  <c r="K11795" i="3" s="1"/>
  <c r="H11795" i="3"/>
  <c r="G11795" i="3"/>
  <c r="M11794" i="3"/>
  <c r="L11794" i="3"/>
  <c r="J11794" i="3"/>
  <c r="K11794" i="3" s="1"/>
  <c r="H11794" i="3"/>
  <c r="G11794" i="3"/>
  <c r="I11794" i="3" s="1"/>
  <c r="M11793" i="3"/>
  <c r="L11793" i="3"/>
  <c r="J11793" i="3"/>
  <c r="K11793" i="3" s="1"/>
  <c r="H11793" i="3"/>
  <c r="G11793" i="3"/>
  <c r="M11792" i="3"/>
  <c r="L11792" i="3"/>
  <c r="J11792" i="3"/>
  <c r="K11792" i="3" s="1"/>
  <c r="H11792" i="3"/>
  <c r="G11792" i="3"/>
  <c r="M11791" i="3"/>
  <c r="L11791" i="3"/>
  <c r="J11791" i="3"/>
  <c r="K11791" i="3" s="1"/>
  <c r="H11791" i="3"/>
  <c r="G11791" i="3"/>
  <c r="M11790" i="3"/>
  <c r="L11790" i="3"/>
  <c r="J11790" i="3"/>
  <c r="K11790" i="3" s="1"/>
  <c r="H11790" i="3"/>
  <c r="G11790" i="3"/>
  <c r="M11789" i="3"/>
  <c r="L11789" i="3"/>
  <c r="J11789" i="3"/>
  <c r="K11789" i="3" s="1"/>
  <c r="H11789" i="3"/>
  <c r="G11789" i="3"/>
  <c r="M11788" i="3"/>
  <c r="L11788" i="3"/>
  <c r="J11788" i="3"/>
  <c r="K11788" i="3" s="1"/>
  <c r="H11788" i="3"/>
  <c r="G11788" i="3"/>
  <c r="M11787" i="3"/>
  <c r="L11787" i="3"/>
  <c r="J11787" i="3"/>
  <c r="K11787" i="3" s="1"/>
  <c r="H11787" i="3"/>
  <c r="G11787" i="3"/>
  <c r="M11786" i="3"/>
  <c r="L11786" i="3"/>
  <c r="J11786" i="3"/>
  <c r="K11786" i="3" s="1"/>
  <c r="H11786" i="3"/>
  <c r="G11786" i="3"/>
  <c r="I11786" i="3" s="1"/>
  <c r="V488" i="23"/>
  <c r="W488" i="23"/>
  <c r="X488" i="23"/>
  <c r="Z488" i="23"/>
  <c r="AB488" i="23"/>
  <c r="AE488" i="23"/>
  <c r="AH488" i="23"/>
  <c r="AM488" i="23"/>
  <c r="AO488" i="23"/>
  <c r="V489" i="23"/>
  <c r="W489" i="23"/>
  <c r="X489" i="23"/>
  <c r="Z489" i="23"/>
  <c r="AA489" i="23"/>
  <c r="AB489" i="23"/>
  <c r="AE489" i="23"/>
  <c r="AH489" i="23"/>
  <c r="AL489" i="23"/>
  <c r="AM489" i="23"/>
  <c r="AO489" i="23"/>
  <c r="V490" i="23"/>
  <c r="W490" i="23"/>
  <c r="X490" i="23"/>
  <c r="Z490" i="23"/>
  <c r="AA490" i="23"/>
  <c r="AB490" i="23"/>
  <c r="AE490" i="23"/>
  <c r="AH490" i="23"/>
  <c r="AM490" i="23"/>
  <c r="AO490" i="23"/>
  <c r="V491" i="23"/>
  <c r="W491" i="23"/>
  <c r="X491" i="23"/>
  <c r="Z491" i="23"/>
  <c r="AA491" i="23"/>
  <c r="AB491" i="23"/>
  <c r="AE491" i="23"/>
  <c r="AH491" i="23"/>
  <c r="AM491" i="23"/>
  <c r="AO491" i="23"/>
  <c r="V492" i="23"/>
  <c r="W492" i="23"/>
  <c r="X492" i="23"/>
  <c r="Z492" i="23"/>
  <c r="AA492" i="23"/>
  <c r="AB492" i="23"/>
  <c r="AE492" i="23"/>
  <c r="AH492" i="23"/>
  <c r="AM492" i="23"/>
  <c r="AO492" i="23"/>
  <c r="K488" i="23"/>
  <c r="K489" i="23"/>
  <c r="K490" i="23"/>
  <c r="K491" i="23"/>
  <c r="K492" i="23"/>
  <c r="F492" i="23"/>
  <c r="F491" i="23"/>
  <c r="F490" i="23"/>
  <c r="F489" i="23"/>
  <c r="F488" i="23"/>
  <c r="M11785" i="3"/>
  <c r="L11785" i="3"/>
  <c r="J11785" i="3"/>
  <c r="K11785" i="3" s="1"/>
  <c r="I11785" i="3"/>
  <c r="H11785" i="3"/>
  <c r="G11785" i="3"/>
  <c r="M11784" i="3"/>
  <c r="L11784" i="3"/>
  <c r="J11784" i="3"/>
  <c r="K11784" i="3" s="1"/>
  <c r="H11784" i="3"/>
  <c r="I11784" i="3" s="1"/>
  <c r="G11784" i="3"/>
  <c r="M11783" i="3"/>
  <c r="L11783" i="3"/>
  <c r="J11783" i="3"/>
  <c r="K11783" i="3" s="1"/>
  <c r="H11783" i="3"/>
  <c r="G11783" i="3"/>
  <c r="M11782" i="3"/>
  <c r="L11782" i="3"/>
  <c r="J11782" i="3"/>
  <c r="K11782" i="3" s="1"/>
  <c r="H11782" i="3"/>
  <c r="G11782" i="3"/>
  <c r="I11782" i="3" s="1"/>
  <c r="M11781" i="3"/>
  <c r="L11781" i="3"/>
  <c r="J11781" i="3"/>
  <c r="K11781" i="3" s="1"/>
  <c r="H11781" i="3"/>
  <c r="I11781" i="3" s="1"/>
  <c r="G11781" i="3"/>
  <c r="M11780" i="3"/>
  <c r="L11780" i="3"/>
  <c r="J11780" i="3"/>
  <c r="K11780" i="3" s="1"/>
  <c r="H11780" i="3"/>
  <c r="G11780" i="3"/>
  <c r="M11779" i="3"/>
  <c r="L11779" i="3"/>
  <c r="J11779" i="3"/>
  <c r="K11779" i="3" s="1"/>
  <c r="H11779" i="3"/>
  <c r="G11779" i="3"/>
  <c r="I11779" i="3" s="1"/>
  <c r="M11778" i="3"/>
  <c r="L11778" i="3"/>
  <c r="J11778" i="3"/>
  <c r="K11778" i="3" s="1"/>
  <c r="H11778" i="3"/>
  <c r="G11778" i="3"/>
  <c r="I11778" i="3" s="1"/>
  <c r="M11777" i="3"/>
  <c r="L11777" i="3"/>
  <c r="K11777" i="3"/>
  <c r="J11777" i="3"/>
  <c r="H11777" i="3"/>
  <c r="G11777" i="3"/>
  <c r="I11777" i="3" s="1"/>
  <c r="M11776" i="3"/>
  <c r="L11776" i="3"/>
  <c r="J11776" i="3"/>
  <c r="K11776" i="3" s="1"/>
  <c r="H11776" i="3"/>
  <c r="G11776" i="3"/>
  <c r="M11775" i="3"/>
  <c r="L11775" i="3"/>
  <c r="J11775" i="3"/>
  <c r="K11775" i="3" s="1"/>
  <c r="H11775" i="3"/>
  <c r="G11775" i="3"/>
  <c r="I11775" i="3" s="1"/>
  <c r="M11774" i="3"/>
  <c r="L11774" i="3"/>
  <c r="J11774" i="3"/>
  <c r="K11774" i="3" s="1"/>
  <c r="H11774" i="3"/>
  <c r="G11774" i="3"/>
  <c r="M11773" i="3"/>
  <c r="L11773" i="3"/>
  <c r="J11773" i="3"/>
  <c r="K11773" i="3" s="1"/>
  <c r="H11773" i="3"/>
  <c r="G11773" i="3"/>
  <c r="M11772" i="3"/>
  <c r="L11772" i="3"/>
  <c r="J11772" i="3"/>
  <c r="K11772" i="3" s="1"/>
  <c r="H11772" i="3"/>
  <c r="G11772" i="3"/>
  <c r="M11771" i="3"/>
  <c r="L11771" i="3"/>
  <c r="J11771" i="3"/>
  <c r="K11771" i="3" s="1"/>
  <c r="H11771" i="3"/>
  <c r="G11771" i="3"/>
  <c r="M11770" i="3"/>
  <c r="L11770" i="3"/>
  <c r="J11770" i="3"/>
  <c r="K11770" i="3" s="1"/>
  <c r="H11770" i="3"/>
  <c r="G11770" i="3"/>
  <c r="M11769" i="3"/>
  <c r="L11769" i="3"/>
  <c r="J11769" i="3"/>
  <c r="K11769" i="3" s="1"/>
  <c r="H11769" i="3"/>
  <c r="G11769" i="3"/>
  <c r="M11768" i="3"/>
  <c r="L11768" i="3"/>
  <c r="J11768" i="3"/>
  <c r="K11768" i="3" s="1"/>
  <c r="H11768" i="3"/>
  <c r="G11768" i="3"/>
  <c r="I11768" i="3" s="1"/>
  <c r="M11767" i="3"/>
  <c r="L11767" i="3"/>
  <c r="K11767" i="3"/>
  <c r="J11767" i="3"/>
  <c r="H11767" i="3"/>
  <c r="G11767" i="3"/>
  <c r="I11767" i="3" s="1"/>
  <c r="M11766" i="3"/>
  <c r="L11766" i="3"/>
  <c r="K11766" i="3"/>
  <c r="J11766" i="3"/>
  <c r="H11766" i="3"/>
  <c r="G11766" i="3"/>
  <c r="M11765" i="3"/>
  <c r="L11765" i="3"/>
  <c r="J11765" i="3"/>
  <c r="K11765" i="3" s="1"/>
  <c r="H11765" i="3"/>
  <c r="G11765" i="3"/>
  <c r="I11765" i="3" s="1"/>
  <c r="M11764" i="3"/>
  <c r="L11764" i="3"/>
  <c r="J11764" i="3"/>
  <c r="K11764" i="3" s="1"/>
  <c r="H11764" i="3"/>
  <c r="G11764" i="3"/>
  <c r="M11763" i="3"/>
  <c r="L11763" i="3"/>
  <c r="J11763" i="3"/>
  <c r="K11763" i="3" s="1"/>
  <c r="H11763" i="3"/>
  <c r="G11763" i="3"/>
  <c r="M11762" i="3"/>
  <c r="L11762" i="3"/>
  <c r="J11762" i="3"/>
  <c r="K11762" i="3" s="1"/>
  <c r="H11762" i="3"/>
  <c r="G11762" i="3"/>
  <c r="S492" i="1"/>
  <c r="F492" i="1"/>
  <c r="S491" i="1"/>
  <c r="F491" i="1"/>
  <c r="M11761" i="3"/>
  <c r="L11761" i="3"/>
  <c r="J11761" i="3"/>
  <c r="K11761" i="3" s="1"/>
  <c r="H11761" i="3"/>
  <c r="G11761" i="3"/>
  <c r="I11761" i="3" s="1"/>
  <c r="M11760" i="3"/>
  <c r="L11760" i="3"/>
  <c r="J11760" i="3"/>
  <c r="K11760" i="3" s="1"/>
  <c r="H11760" i="3"/>
  <c r="G11760" i="3"/>
  <c r="M11759" i="3"/>
  <c r="L11759" i="3"/>
  <c r="J11759" i="3"/>
  <c r="K11759" i="3" s="1"/>
  <c r="H11759" i="3"/>
  <c r="G11759" i="3"/>
  <c r="I11759" i="3" s="1"/>
  <c r="M11758" i="3"/>
  <c r="L11758" i="3"/>
  <c r="J11758" i="3"/>
  <c r="K11758" i="3" s="1"/>
  <c r="H11758" i="3"/>
  <c r="G11758" i="3"/>
  <c r="M11757" i="3"/>
  <c r="L11757" i="3"/>
  <c r="J11757" i="3"/>
  <c r="K11757" i="3" s="1"/>
  <c r="H11757" i="3"/>
  <c r="G11757" i="3"/>
  <c r="I11757" i="3" s="1"/>
  <c r="M11756" i="3"/>
  <c r="L11756" i="3"/>
  <c r="J11756" i="3"/>
  <c r="K11756" i="3" s="1"/>
  <c r="H11756" i="3"/>
  <c r="G11756" i="3"/>
  <c r="M11755" i="3"/>
  <c r="L11755" i="3"/>
  <c r="J11755" i="3"/>
  <c r="K11755" i="3" s="1"/>
  <c r="H11755" i="3"/>
  <c r="G11755" i="3"/>
  <c r="I11755" i="3" s="1"/>
  <c r="M11754" i="3"/>
  <c r="L11754" i="3"/>
  <c r="J11754" i="3"/>
  <c r="K11754" i="3" s="1"/>
  <c r="H11754" i="3"/>
  <c r="G11754" i="3"/>
  <c r="M11753" i="3"/>
  <c r="L11753" i="3"/>
  <c r="J11753" i="3"/>
  <c r="K11753" i="3" s="1"/>
  <c r="H11753" i="3"/>
  <c r="G11753" i="3"/>
  <c r="I11753" i="3" s="1"/>
  <c r="M11752" i="3"/>
  <c r="L11752" i="3"/>
  <c r="J11752" i="3"/>
  <c r="K11752" i="3" s="1"/>
  <c r="H11752" i="3"/>
  <c r="G11752" i="3"/>
  <c r="M11751" i="3"/>
  <c r="L11751" i="3"/>
  <c r="J11751" i="3"/>
  <c r="K11751" i="3" s="1"/>
  <c r="H11751" i="3"/>
  <c r="G11751" i="3"/>
  <c r="I11751" i="3" s="1"/>
  <c r="M11750" i="3"/>
  <c r="L11750" i="3"/>
  <c r="J11750" i="3"/>
  <c r="K11750" i="3" s="1"/>
  <c r="H11750" i="3"/>
  <c r="G11750" i="3"/>
  <c r="M11749" i="3"/>
  <c r="L11749" i="3"/>
  <c r="J11749" i="3"/>
  <c r="K11749" i="3" s="1"/>
  <c r="H11749" i="3"/>
  <c r="G11749" i="3"/>
  <c r="I11749" i="3" s="1"/>
  <c r="M11748" i="3"/>
  <c r="L11748" i="3"/>
  <c r="J11748" i="3"/>
  <c r="K11748" i="3" s="1"/>
  <c r="H11748" i="3"/>
  <c r="G11748" i="3"/>
  <c r="M11747" i="3"/>
  <c r="L11747" i="3"/>
  <c r="J11747" i="3"/>
  <c r="K11747" i="3" s="1"/>
  <c r="H11747" i="3"/>
  <c r="G11747" i="3"/>
  <c r="I11747" i="3" s="1"/>
  <c r="M11746" i="3"/>
  <c r="L11746" i="3"/>
  <c r="J11746" i="3"/>
  <c r="K11746" i="3" s="1"/>
  <c r="H11746" i="3"/>
  <c r="G11746" i="3"/>
  <c r="M11745" i="3"/>
  <c r="L11745" i="3"/>
  <c r="J11745" i="3"/>
  <c r="K11745" i="3" s="1"/>
  <c r="H11745" i="3"/>
  <c r="G11745" i="3"/>
  <c r="I11745" i="3" s="1"/>
  <c r="M11744" i="3"/>
  <c r="L11744" i="3"/>
  <c r="J11744" i="3"/>
  <c r="K11744" i="3" s="1"/>
  <c r="H11744" i="3"/>
  <c r="G11744" i="3"/>
  <c r="M11743" i="3"/>
  <c r="L11743" i="3"/>
  <c r="J11743" i="3"/>
  <c r="K11743" i="3" s="1"/>
  <c r="H11743" i="3"/>
  <c r="G11743" i="3"/>
  <c r="I11743" i="3" s="1"/>
  <c r="M11742" i="3"/>
  <c r="L11742" i="3"/>
  <c r="J11742" i="3"/>
  <c r="K11742" i="3" s="1"/>
  <c r="H11742" i="3"/>
  <c r="G11742" i="3"/>
  <c r="M11741" i="3"/>
  <c r="L11741" i="3"/>
  <c r="J11741" i="3"/>
  <c r="K11741" i="3" s="1"/>
  <c r="H11741" i="3"/>
  <c r="G11741" i="3"/>
  <c r="I11741" i="3" s="1"/>
  <c r="M11740" i="3"/>
  <c r="L11740" i="3"/>
  <c r="J11740" i="3"/>
  <c r="K11740" i="3" s="1"/>
  <c r="H11740" i="3"/>
  <c r="G11740" i="3"/>
  <c r="M11739" i="3"/>
  <c r="L11739" i="3"/>
  <c r="J11739" i="3"/>
  <c r="K11739" i="3" s="1"/>
  <c r="H11739" i="3"/>
  <c r="G11739" i="3"/>
  <c r="I11739" i="3" s="1"/>
  <c r="M11738" i="3"/>
  <c r="L11738" i="3"/>
  <c r="J11738" i="3"/>
  <c r="K11738" i="3" s="1"/>
  <c r="H11738" i="3"/>
  <c r="G11738" i="3"/>
  <c r="M490" i="1"/>
  <c r="M11737" i="3"/>
  <c r="L11737" i="3"/>
  <c r="J11737" i="3"/>
  <c r="K11737" i="3" s="1"/>
  <c r="H11737" i="3"/>
  <c r="G11737" i="3"/>
  <c r="M11736" i="3"/>
  <c r="L11736" i="3"/>
  <c r="J11736" i="3"/>
  <c r="K11736" i="3" s="1"/>
  <c r="H11736" i="3"/>
  <c r="G11736" i="3"/>
  <c r="M11735" i="3"/>
  <c r="L11735" i="3"/>
  <c r="J11735" i="3"/>
  <c r="K11735" i="3" s="1"/>
  <c r="H11735" i="3"/>
  <c r="G11735" i="3"/>
  <c r="M11734" i="3"/>
  <c r="L11734" i="3"/>
  <c r="J11734" i="3"/>
  <c r="K11734" i="3" s="1"/>
  <c r="H11734" i="3"/>
  <c r="G11734" i="3"/>
  <c r="M11733" i="3"/>
  <c r="L11733" i="3"/>
  <c r="J11733" i="3"/>
  <c r="K11733" i="3" s="1"/>
  <c r="H11733" i="3"/>
  <c r="G11733" i="3"/>
  <c r="M11732" i="3"/>
  <c r="L11732" i="3"/>
  <c r="J11732" i="3"/>
  <c r="K11732" i="3" s="1"/>
  <c r="H11732" i="3"/>
  <c r="G11732" i="3"/>
  <c r="M11731" i="3"/>
  <c r="L11731" i="3"/>
  <c r="J11731" i="3"/>
  <c r="K11731" i="3" s="1"/>
  <c r="H11731" i="3"/>
  <c r="G11731" i="3"/>
  <c r="M11730" i="3"/>
  <c r="L11730" i="3"/>
  <c r="J11730" i="3"/>
  <c r="K11730" i="3" s="1"/>
  <c r="H11730" i="3"/>
  <c r="G11730" i="3"/>
  <c r="M11729" i="3"/>
  <c r="L11729" i="3"/>
  <c r="J11729" i="3"/>
  <c r="K11729" i="3" s="1"/>
  <c r="H11729" i="3"/>
  <c r="G11729" i="3"/>
  <c r="M11728" i="3"/>
  <c r="L11728" i="3"/>
  <c r="J11728" i="3"/>
  <c r="K11728" i="3" s="1"/>
  <c r="H11728" i="3"/>
  <c r="G11728" i="3"/>
  <c r="M11727" i="3"/>
  <c r="L11727" i="3"/>
  <c r="J11727" i="3"/>
  <c r="K11727" i="3" s="1"/>
  <c r="H11727" i="3"/>
  <c r="G11727" i="3"/>
  <c r="M11726" i="3"/>
  <c r="L11726" i="3"/>
  <c r="J11726" i="3"/>
  <c r="K11726" i="3" s="1"/>
  <c r="H11726" i="3"/>
  <c r="G11726" i="3"/>
  <c r="M11725" i="3"/>
  <c r="L11725" i="3"/>
  <c r="J11725" i="3"/>
  <c r="K11725" i="3" s="1"/>
  <c r="H11725" i="3"/>
  <c r="G11725" i="3"/>
  <c r="M11724" i="3"/>
  <c r="L11724" i="3"/>
  <c r="J11724" i="3"/>
  <c r="K11724" i="3" s="1"/>
  <c r="H11724" i="3"/>
  <c r="G11724" i="3"/>
  <c r="M11723" i="3"/>
  <c r="L11723" i="3"/>
  <c r="J11723" i="3"/>
  <c r="K11723" i="3" s="1"/>
  <c r="H11723" i="3"/>
  <c r="G11723" i="3"/>
  <c r="M11722" i="3"/>
  <c r="L11722" i="3"/>
  <c r="J11722" i="3"/>
  <c r="K11722" i="3" s="1"/>
  <c r="H11722" i="3"/>
  <c r="G11722" i="3"/>
  <c r="L11721" i="3"/>
  <c r="J11721" i="3"/>
  <c r="K11721" i="3" s="1"/>
  <c r="H11721" i="3"/>
  <c r="G11721" i="3"/>
  <c r="M11720" i="3"/>
  <c r="L11720" i="3"/>
  <c r="J11720" i="3"/>
  <c r="K11720" i="3" s="1"/>
  <c r="H11720" i="3"/>
  <c r="G11720" i="3"/>
  <c r="M11719" i="3"/>
  <c r="L11719" i="3"/>
  <c r="J11719" i="3"/>
  <c r="K11719" i="3" s="1"/>
  <c r="H11719" i="3"/>
  <c r="G11719" i="3"/>
  <c r="M11718" i="3"/>
  <c r="L11718" i="3"/>
  <c r="J11718" i="3"/>
  <c r="K11718" i="3" s="1"/>
  <c r="H11718" i="3"/>
  <c r="G11718" i="3"/>
  <c r="M11717" i="3"/>
  <c r="L11717" i="3"/>
  <c r="J11717" i="3"/>
  <c r="K11717" i="3" s="1"/>
  <c r="H11717" i="3"/>
  <c r="G11717" i="3"/>
  <c r="M11716" i="3"/>
  <c r="L11716" i="3"/>
  <c r="J11716" i="3"/>
  <c r="K11716" i="3" s="1"/>
  <c r="H11716" i="3"/>
  <c r="G11716" i="3"/>
  <c r="M11715" i="3"/>
  <c r="L11715" i="3"/>
  <c r="J11715" i="3"/>
  <c r="K11715" i="3" s="1"/>
  <c r="H11715" i="3"/>
  <c r="G11715" i="3"/>
  <c r="M11714" i="3"/>
  <c r="L11714" i="3"/>
  <c r="J11714" i="3"/>
  <c r="K11714" i="3" s="1"/>
  <c r="H11714" i="3"/>
  <c r="G11714" i="3"/>
  <c r="S490" i="1"/>
  <c r="F490" i="1"/>
  <c r="M484" i="1"/>
  <c r="M486" i="1"/>
  <c r="M487" i="1"/>
  <c r="M488" i="1"/>
  <c r="M11713" i="3"/>
  <c r="L11713" i="3"/>
  <c r="J11713" i="3"/>
  <c r="K11713" i="3" s="1"/>
  <c r="H11713" i="3"/>
  <c r="G11713" i="3"/>
  <c r="M11712" i="3"/>
  <c r="L11712" i="3"/>
  <c r="J11712" i="3"/>
  <c r="K11712" i="3" s="1"/>
  <c r="H11712" i="3"/>
  <c r="G11712" i="3"/>
  <c r="M11711" i="3"/>
  <c r="L11711" i="3"/>
  <c r="J11711" i="3"/>
  <c r="K11711" i="3" s="1"/>
  <c r="H11711" i="3"/>
  <c r="G11711" i="3"/>
  <c r="M11710" i="3"/>
  <c r="L11710" i="3"/>
  <c r="J11710" i="3"/>
  <c r="K11710" i="3" s="1"/>
  <c r="H11710" i="3"/>
  <c r="G11710" i="3"/>
  <c r="M11709" i="3"/>
  <c r="L11709" i="3"/>
  <c r="J11709" i="3"/>
  <c r="K11709" i="3" s="1"/>
  <c r="H11709" i="3"/>
  <c r="G11709" i="3"/>
  <c r="M11708" i="3"/>
  <c r="L11708" i="3"/>
  <c r="J11708" i="3"/>
  <c r="K11708" i="3" s="1"/>
  <c r="H11708" i="3"/>
  <c r="G11708" i="3"/>
  <c r="M11707" i="3"/>
  <c r="L11707" i="3"/>
  <c r="J11707" i="3"/>
  <c r="K11707" i="3" s="1"/>
  <c r="H11707" i="3"/>
  <c r="G11707" i="3"/>
  <c r="M11706" i="3"/>
  <c r="L11706" i="3"/>
  <c r="J11706" i="3"/>
  <c r="K11706" i="3" s="1"/>
  <c r="H11706" i="3"/>
  <c r="G11706" i="3"/>
  <c r="M11705" i="3"/>
  <c r="L11705" i="3"/>
  <c r="J11705" i="3"/>
  <c r="K11705" i="3" s="1"/>
  <c r="H11705" i="3"/>
  <c r="G11705" i="3"/>
  <c r="M11704" i="3"/>
  <c r="L11704" i="3"/>
  <c r="J11704" i="3"/>
  <c r="K11704" i="3" s="1"/>
  <c r="H11704" i="3"/>
  <c r="G11704" i="3"/>
  <c r="M11703" i="3"/>
  <c r="L11703" i="3"/>
  <c r="J11703" i="3"/>
  <c r="K11703" i="3" s="1"/>
  <c r="H11703" i="3"/>
  <c r="G11703" i="3"/>
  <c r="M11702" i="3"/>
  <c r="L11702" i="3"/>
  <c r="J11702" i="3"/>
  <c r="K11702" i="3" s="1"/>
  <c r="H11702" i="3"/>
  <c r="G11702" i="3"/>
  <c r="M11701" i="3"/>
  <c r="L11701" i="3"/>
  <c r="J11701" i="3"/>
  <c r="K11701" i="3" s="1"/>
  <c r="H11701" i="3"/>
  <c r="G11701" i="3"/>
  <c r="M11700" i="3"/>
  <c r="L11700" i="3"/>
  <c r="J11700" i="3"/>
  <c r="K11700" i="3" s="1"/>
  <c r="H11700" i="3"/>
  <c r="G11700" i="3"/>
  <c r="M11699" i="3"/>
  <c r="L11699" i="3"/>
  <c r="J11699" i="3"/>
  <c r="K11699" i="3" s="1"/>
  <c r="H11699" i="3"/>
  <c r="G11699" i="3"/>
  <c r="M11698" i="3"/>
  <c r="L11698" i="3"/>
  <c r="J11698" i="3"/>
  <c r="K11698" i="3" s="1"/>
  <c r="H11698" i="3"/>
  <c r="G11698" i="3"/>
  <c r="M11697" i="3"/>
  <c r="L11697" i="3"/>
  <c r="J11697" i="3"/>
  <c r="K11697" i="3" s="1"/>
  <c r="H11697" i="3"/>
  <c r="G11697" i="3"/>
  <c r="M11696" i="3"/>
  <c r="L11696" i="3"/>
  <c r="J11696" i="3"/>
  <c r="K11696" i="3" s="1"/>
  <c r="H11696" i="3"/>
  <c r="G11696" i="3"/>
  <c r="M11695" i="3"/>
  <c r="L11695" i="3"/>
  <c r="J11695" i="3"/>
  <c r="K11695" i="3" s="1"/>
  <c r="H11695" i="3"/>
  <c r="G11695" i="3"/>
  <c r="M11694" i="3"/>
  <c r="L11694" i="3"/>
  <c r="J11694" i="3"/>
  <c r="K11694" i="3" s="1"/>
  <c r="H11694" i="3"/>
  <c r="G11694" i="3"/>
  <c r="M11693" i="3"/>
  <c r="L11693" i="3"/>
  <c r="J11693" i="3"/>
  <c r="K11693" i="3" s="1"/>
  <c r="H11693" i="3"/>
  <c r="G11693" i="3"/>
  <c r="M11692" i="3"/>
  <c r="L11692" i="3"/>
  <c r="J11692" i="3"/>
  <c r="K11692" i="3" s="1"/>
  <c r="H11692" i="3"/>
  <c r="G11692" i="3"/>
  <c r="M11691" i="3"/>
  <c r="L11691" i="3"/>
  <c r="J11691" i="3"/>
  <c r="K11691" i="3" s="1"/>
  <c r="H11691" i="3"/>
  <c r="G11691" i="3"/>
  <c r="M11690" i="3"/>
  <c r="L11690" i="3"/>
  <c r="J11690" i="3"/>
  <c r="K11690" i="3" s="1"/>
  <c r="H11690" i="3"/>
  <c r="G11690" i="3"/>
  <c r="S489" i="1"/>
  <c r="F489" i="1"/>
  <c r="M11689" i="3"/>
  <c r="L11689" i="3"/>
  <c r="J11689" i="3"/>
  <c r="K11689" i="3" s="1"/>
  <c r="I11689" i="3"/>
  <c r="H11689" i="3"/>
  <c r="G11689" i="3"/>
  <c r="M11688" i="3"/>
  <c r="L11688" i="3"/>
  <c r="J11688" i="3"/>
  <c r="K11688" i="3" s="1"/>
  <c r="H11688" i="3"/>
  <c r="G11688" i="3"/>
  <c r="I11688" i="3" s="1"/>
  <c r="M11687" i="3"/>
  <c r="L11687" i="3"/>
  <c r="J11687" i="3"/>
  <c r="K11687" i="3" s="1"/>
  <c r="H11687" i="3"/>
  <c r="G11687" i="3"/>
  <c r="M11686" i="3"/>
  <c r="L11686" i="3"/>
  <c r="K11686" i="3"/>
  <c r="J11686" i="3"/>
  <c r="H11686" i="3"/>
  <c r="G11686" i="3"/>
  <c r="M11685" i="3"/>
  <c r="L11685" i="3"/>
  <c r="J11685" i="3"/>
  <c r="K11685" i="3" s="1"/>
  <c r="H11685" i="3"/>
  <c r="G11685" i="3"/>
  <c r="I11685" i="3" s="1"/>
  <c r="M11684" i="3"/>
  <c r="L11684" i="3"/>
  <c r="K11684" i="3"/>
  <c r="J11684" i="3"/>
  <c r="H11684" i="3"/>
  <c r="G11684" i="3"/>
  <c r="M11683" i="3"/>
  <c r="L11683" i="3"/>
  <c r="J11683" i="3"/>
  <c r="K11683" i="3" s="1"/>
  <c r="H11683" i="3"/>
  <c r="G11683" i="3"/>
  <c r="M11682" i="3"/>
  <c r="L11682" i="3"/>
  <c r="K11682" i="3"/>
  <c r="J11682" i="3"/>
  <c r="H11682" i="3"/>
  <c r="G11682" i="3"/>
  <c r="M11681" i="3"/>
  <c r="L11681" i="3"/>
  <c r="J11681" i="3"/>
  <c r="K11681" i="3" s="1"/>
  <c r="H11681" i="3"/>
  <c r="G11681" i="3"/>
  <c r="I11681" i="3" s="1"/>
  <c r="M11680" i="3"/>
  <c r="L11680" i="3"/>
  <c r="K11680" i="3"/>
  <c r="J11680" i="3"/>
  <c r="H11680" i="3"/>
  <c r="G11680" i="3"/>
  <c r="M11679" i="3"/>
  <c r="L11679" i="3"/>
  <c r="J11679" i="3"/>
  <c r="K11679" i="3" s="1"/>
  <c r="H11679" i="3"/>
  <c r="G11679" i="3"/>
  <c r="M11678" i="3"/>
  <c r="L11678" i="3"/>
  <c r="J11678" i="3"/>
  <c r="K11678" i="3" s="1"/>
  <c r="H11678" i="3"/>
  <c r="G11678" i="3"/>
  <c r="I11678" i="3" s="1"/>
  <c r="M11677" i="3"/>
  <c r="L11677" i="3"/>
  <c r="J11677" i="3"/>
  <c r="K11677" i="3" s="1"/>
  <c r="H11677" i="3"/>
  <c r="G11677" i="3"/>
  <c r="M11676" i="3"/>
  <c r="L11676" i="3"/>
  <c r="K11676" i="3"/>
  <c r="J11676" i="3"/>
  <c r="H11676" i="3"/>
  <c r="G11676" i="3"/>
  <c r="M11675" i="3"/>
  <c r="L11675" i="3"/>
  <c r="J11675" i="3"/>
  <c r="K11675" i="3" s="1"/>
  <c r="H11675" i="3"/>
  <c r="G11675" i="3"/>
  <c r="M11674" i="3"/>
  <c r="L11674" i="3"/>
  <c r="K11674" i="3"/>
  <c r="J11674" i="3"/>
  <c r="H11674" i="3"/>
  <c r="I11674" i="3" s="1"/>
  <c r="G11674" i="3"/>
  <c r="M11673" i="3"/>
  <c r="L11673" i="3"/>
  <c r="J11673" i="3"/>
  <c r="K11673" i="3" s="1"/>
  <c r="H11673" i="3"/>
  <c r="G11673" i="3"/>
  <c r="M11672" i="3"/>
  <c r="L11672" i="3"/>
  <c r="J11672" i="3"/>
  <c r="K11672" i="3" s="1"/>
  <c r="H11672" i="3"/>
  <c r="I11672" i="3" s="1"/>
  <c r="G11672" i="3"/>
  <c r="M11671" i="3"/>
  <c r="L11671" i="3"/>
  <c r="J11671" i="3"/>
  <c r="K11671" i="3" s="1"/>
  <c r="H11671" i="3"/>
  <c r="G11671" i="3"/>
  <c r="M11670" i="3"/>
  <c r="L11670" i="3"/>
  <c r="K11670" i="3"/>
  <c r="J11670" i="3"/>
  <c r="H11670" i="3"/>
  <c r="I11670" i="3" s="1"/>
  <c r="G11670" i="3"/>
  <c r="M11669" i="3"/>
  <c r="L11669" i="3"/>
  <c r="J11669" i="3"/>
  <c r="K11669" i="3" s="1"/>
  <c r="H11669" i="3"/>
  <c r="G11669" i="3"/>
  <c r="M11668" i="3"/>
  <c r="L11668" i="3"/>
  <c r="K11668" i="3"/>
  <c r="J11668" i="3"/>
  <c r="H11668" i="3"/>
  <c r="G11668" i="3"/>
  <c r="M11667" i="3"/>
  <c r="L11667" i="3"/>
  <c r="J11667" i="3"/>
  <c r="K11667" i="3" s="1"/>
  <c r="H11667" i="3"/>
  <c r="G11667" i="3"/>
  <c r="M11666" i="3"/>
  <c r="L11666" i="3"/>
  <c r="K11666" i="3"/>
  <c r="J11666" i="3"/>
  <c r="H11666" i="3"/>
  <c r="G11666" i="3"/>
  <c r="S488" i="1"/>
  <c r="F488" i="1"/>
  <c r="AQ517" i="23" l="1"/>
  <c r="AQ518" i="23"/>
  <c r="AQ523" i="23"/>
  <c r="AQ522" i="23"/>
  <c r="AQ524" i="23"/>
  <c r="AQ516" i="23"/>
  <c r="AQ521" i="23"/>
  <c r="AQ525" i="23"/>
  <c r="AQ520" i="23"/>
  <c r="AQ519" i="23"/>
  <c r="AP504" i="23"/>
  <c r="AN498" i="23"/>
  <c r="AI498" i="23"/>
  <c r="AR513" i="23"/>
  <c r="AK505" i="23"/>
  <c r="AF499" i="23"/>
  <c r="AJ499" i="23" s="1"/>
  <c r="AR512" i="23"/>
  <c r="AF498" i="23"/>
  <c r="AJ498" i="23" s="1"/>
  <c r="AK504" i="23"/>
  <c r="AR511" i="23"/>
  <c r="AK503" i="23"/>
  <c r="AF497" i="23"/>
  <c r="AJ497" i="23" s="1"/>
  <c r="AR510" i="23"/>
  <c r="AF496" i="23"/>
  <c r="AJ496" i="23" s="1"/>
  <c r="AK502" i="23"/>
  <c r="AP502" i="23"/>
  <c r="AP506" i="23"/>
  <c r="AP505" i="23"/>
  <c r="AP503" i="23"/>
  <c r="AR509" i="23"/>
  <c r="AK501" i="23"/>
  <c r="AF495" i="23"/>
  <c r="AJ495" i="23" s="1"/>
  <c r="AI499" i="23"/>
  <c r="AN499" i="23"/>
  <c r="AN497" i="23"/>
  <c r="AI497" i="23"/>
  <c r="AN496" i="23"/>
  <c r="AI496" i="23"/>
  <c r="AI495" i="23"/>
  <c r="AN495" i="23"/>
  <c r="I11859" i="3"/>
  <c r="I11871" i="3"/>
  <c r="I11879" i="3"/>
  <c r="I11860" i="3"/>
  <c r="I11861" i="3"/>
  <c r="I11867" i="3"/>
  <c r="I11872" i="3"/>
  <c r="I11873" i="3"/>
  <c r="I11875" i="3"/>
  <c r="I11880" i="3"/>
  <c r="I11881" i="3"/>
  <c r="I11835" i="3"/>
  <c r="I11839" i="3"/>
  <c r="I11843" i="3"/>
  <c r="I11847" i="3"/>
  <c r="I11837" i="3"/>
  <c r="I11841" i="3"/>
  <c r="I11845" i="3"/>
  <c r="I11849" i="3"/>
  <c r="I11853" i="3"/>
  <c r="I11857" i="3"/>
  <c r="I11810" i="3"/>
  <c r="I11812" i="3"/>
  <c r="I11814" i="3"/>
  <c r="I11816" i="3"/>
  <c r="I11818" i="3"/>
  <c r="I11820" i="3"/>
  <c r="I11822" i="3"/>
  <c r="I11824" i="3"/>
  <c r="I11826" i="3"/>
  <c r="I11828" i="3"/>
  <c r="I11830" i="3"/>
  <c r="I11832" i="3"/>
  <c r="I11811" i="3"/>
  <c r="I11813" i="3"/>
  <c r="I11815" i="3"/>
  <c r="I11817" i="3"/>
  <c r="I11819" i="3"/>
  <c r="I11821" i="3"/>
  <c r="I11823" i="3"/>
  <c r="I11825" i="3"/>
  <c r="I11827" i="3"/>
  <c r="I11829" i="3"/>
  <c r="I11831" i="3"/>
  <c r="I11833" i="3"/>
  <c r="I11679" i="3"/>
  <c r="I11682" i="3"/>
  <c r="I11773" i="3"/>
  <c r="I11668" i="3"/>
  <c r="I11676" i="3"/>
  <c r="I11680" i="3"/>
  <c r="I11683" i="3"/>
  <c r="I11686" i="3"/>
  <c r="I11687" i="3"/>
  <c r="I11738" i="3"/>
  <c r="I11740" i="3"/>
  <c r="I11742" i="3"/>
  <c r="I11744" i="3"/>
  <c r="I11746" i="3"/>
  <c r="I11748" i="3"/>
  <c r="I11750" i="3"/>
  <c r="I11752" i="3"/>
  <c r="I11754" i="3"/>
  <c r="I11756" i="3"/>
  <c r="I11758" i="3"/>
  <c r="I11760" i="3"/>
  <c r="I11763" i="3"/>
  <c r="I11769" i="3"/>
  <c r="I11798" i="3"/>
  <c r="I11802" i="3"/>
  <c r="I11684" i="3"/>
  <c r="I11690" i="3"/>
  <c r="I11692" i="3"/>
  <c r="I11694" i="3"/>
  <c r="I11696" i="3"/>
  <c r="I11698" i="3"/>
  <c r="I11700" i="3"/>
  <c r="I11702" i="3"/>
  <c r="I11704" i="3"/>
  <c r="I11706" i="3"/>
  <c r="I11708" i="3"/>
  <c r="I11710" i="3"/>
  <c r="I11712" i="3"/>
  <c r="I11764" i="3"/>
  <c r="I11796" i="3"/>
  <c r="I11797" i="3"/>
  <c r="I11790" i="3"/>
  <c r="I11788" i="3"/>
  <c r="I11789" i="3"/>
  <c r="I11806" i="3"/>
  <c r="I11791" i="3"/>
  <c r="I11799" i="3"/>
  <c r="I11807" i="3"/>
  <c r="I11787" i="3"/>
  <c r="I11792" i="3"/>
  <c r="I11793" i="3"/>
  <c r="I11795" i="3"/>
  <c r="I11800" i="3"/>
  <c r="I11801" i="3"/>
  <c r="I11803" i="3"/>
  <c r="I11808" i="3"/>
  <c r="I11809" i="3"/>
  <c r="I11766" i="3"/>
  <c r="I11776" i="3"/>
  <c r="I11770" i="3"/>
  <c r="I11780" i="3"/>
  <c r="I11762" i="3"/>
  <c r="I11771" i="3"/>
  <c r="I11772" i="3"/>
  <c r="I11774" i="3"/>
  <c r="I11783" i="3"/>
  <c r="I11714" i="3"/>
  <c r="I11716" i="3"/>
  <c r="I11718" i="3"/>
  <c r="I11720" i="3"/>
  <c r="I11722" i="3"/>
  <c r="I11724" i="3"/>
  <c r="I11726" i="3"/>
  <c r="I11728" i="3"/>
  <c r="I11730" i="3"/>
  <c r="I11732" i="3"/>
  <c r="I11734" i="3"/>
  <c r="I11736" i="3"/>
  <c r="I11715" i="3"/>
  <c r="I11717" i="3"/>
  <c r="I11719" i="3"/>
  <c r="I11721" i="3"/>
  <c r="I11723" i="3"/>
  <c r="I11725" i="3"/>
  <c r="I11727" i="3"/>
  <c r="I11729" i="3"/>
  <c r="I11731" i="3"/>
  <c r="I11733" i="3"/>
  <c r="I11735" i="3"/>
  <c r="I11737" i="3"/>
  <c r="I11691" i="3"/>
  <c r="I11693" i="3"/>
  <c r="I11695" i="3"/>
  <c r="I11697" i="3"/>
  <c r="I11699" i="3"/>
  <c r="I11701" i="3"/>
  <c r="I11703" i="3"/>
  <c r="I11705" i="3"/>
  <c r="I11707" i="3"/>
  <c r="I11709" i="3"/>
  <c r="I11711" i="3"/>
  <c r="I11713" i="3"/>
  <c r="I11667" i="3"/>
  <c r="I11671" i="3"/>
  <c r="I11675" i="3"/>
  <c r="I11666" i="3"/>
  <c r="I11669" i="3"/>
  <c r="I11673" i="3"/>
  <c r="I11677" i="3"/>
  <c r="K487" i="23"/>
  <c r="V487" i="23"/>
  <c r="W487" i="23"/>
  <c r="X487" i="23"/>
  <c r="Z487" i="23"/>
  <c r="AB487" i="23"/>
  <c r="AE487" i="23"/>
  <c r="AH487" i="23"/>
  <c r="AL487" i="23"/>
  <c r="AM487" i="23"/>
  <c r="AO487" i="23"/>
  <c r="F487" i="23"/>
  <c r="S487" i="1"/>
  <c r="F487" i="1"/>
  <c r="M11665" i="3"/>
  <c r="L11665" i="3"/>
  <c r="J11665" i="3"/>
  <c r="K11665" i="3" s="1"/>
  <c r="H11665" i="3"/>
  <c r="G11665" i="3"/>
  <c r="M11664" i="3"/>
  <c r="L11664" i="3"/>
  <c r="J11664" i="3"/>
  <c r="K11664" i="3" s="1"/>
  <c r="H11664" i="3"/>
  <c r="G11664" i="3"/>
  <c r="M11663" i="3"/>
  <c r="L11663" i="3"/>
  <c r="J11663" i="3"/>
  <c r="K11663" i="3" s="1"/>
  <c r="H11663" i="3"/>
  <c r="G11663" i="3"/>
  <c r="M11662" i="3"/>
  <c r="L11662" i="3"/>
  <c r="J11662" i="3"/>
  <c r="K11662" i="3" s="1"/>
  <c r="H11662" i="3"/>
  <c r="G11662" i="3"/>
  <c r="M11661" i="3"/>
  <c r="L11661" i="3"/>
  <c r="J11661" i="3"/>
  <c r="K11661" i="3" s="1"/>
  <c r="H11661" i="3"/>
  <c r="G11661" i="3"/>
  <c r="M11660" i="3"/>
  <c r="L11660" i="3"/>
  <c r="J11660" i="3"/>
  <c r="K11660" i="3" s="1"/>
  <c r="H11660" i="3"/>
  <c r="G11660" i="3"/>
  <c r="M11659" i="3"/>
  <c r="L11659" i="3"/>
  <c r="J11659" i="3"/>
  <c r="K11659" i="3" s="1"/>
  <c r="H11659" i="3"/>
  <c r="G11659" i="3"/>
  <c r="M11658" i="3"/>
  <c r="L11658" i="3"/>
  <c r="J11658" i="3"/>
  <c r="K11658" i="3" s="1"/>
  <c r="H11658" i="3"/>
  <c r="G11658" i="3"/>
  <c r="M11657" i="3"/>
  <c r="L11657" i="3"/>
  <c r="J11657" i="3"/>
  <c r="K11657" i="3" s="1"/>
  <c r="H11657" i="3"/>
  <c r="G11657" i="3"/>
  <c r="M11656" i="3"/>
  <c r="L11656" i="3"/>
  <c r="J11656" i="3"/>
  <c r="K11656" i="3" s="1"/>
  <c r="H11656" i="3"/>
  <c r="G11656" i="3"/>
  <c r="M11655" i="3"/>
  <c r="L11655" i="3"/>
  <c r="J11655" i="3"/>
  <c r="K11655" i="3" s="1"/>
  <c r="H11655" i="3"/>
  <c r="G11655" i="3"/>
  <c r="M11654" i="3"/>
  <c r="L11654" i="3"/>
  <c r="J11654" i="3"/>
  <c r="K11654" i="3" s="1"/>
  <c r="H11654" i="3"/>
  <c r="G11654" i="3"/>
  <c r="I11654" i="3" s="1"/>
  <c r="M11653" i="3"/>
  <c r="L11653" i="3"/>
  <c r="J11653" i="3"/>
  <c r="K11653" i="3" s="1"/>
  <c r="H11653" i="3"/>
  <c r="G11653" i="3"/>
  <c r="M11652" i="3"/>
  <c r="L11652" i="3"/>
  <c r="J11652" i="3"/>
  <c r="K11652" i="3" s="1"/>
  <c r="H11652" i="3"/>
  <c r="G11652" i="3"/>
  <c r="M11651" i="3"/>
  <c r="L11651" i="3"/>
  <c r="J11651" i="3"/>
  <c r="K11651" i="3" s="1"/>
  <c r="H11651" i="3"/>
  <c r="G11651" i="3"/>
  <c r="M11650" i="3"/>
  <c r="L11650" i="3"/>
  <c r="J11650" i="3"/>
  <c r="K11650" i="3" s="1"/>
  <c r="H11650" i="3"/>
  <c r="G11650" i="3"/>
  <c r="I11650" i="3" s="1"/>
  <c r="M11649" i="3"/>
  <c r="L11649" i="3"/>
  <c r="J11649" i="3"/>
  <c r="K11649" i="3" s="1"/>
  <c r="H11649" i="3"/>
  <c r="G11649" i="3"/>
  <c r="M11648" i="3"/>
  <c r="L11648" i="3"/>
  <c r="J11648" i="3"/>
  <c r="K11648" i="3" s="1"/>
  <c r="H11648" i="3"/>
  <c r="G11648" i="3"/>
  <c r="M11647" i="3"/>
  <c r="L11647" i="3"/>
  <c r="J11647" i="3"/>
  <c r="K11647" i="3" s="1"/>
  <c r="H11647" i="3"/>
  <c r="G11647" i="3"/>
  <c r="M11646" i="3"/>
  <c r="L11646" i="3"/>
  <c r="J11646" i="3"/>
  <c r="K11646" i="3" s="1"/>
  <c r="H11646" i="3"/>
  <c r="G11646" i="3"/>
  <c r="I11646" i="3" s="1"/>
  <c r="M11645" i="3"/>
  <c r="L11645" i="3"/>
  <c r="J11645" i="3"/>
  <c r="K11645" i="3" s="1"/>
  <c r="H11645" i="3"/>
  <c r="G11645" i="3"/>
  <c r="M11644" i="3"/>
  <c r="L11644" i="3"/>
  <c r="J11644" i="3"/>
  <c r="K11644" i="3" s="1"/>
  <c r="H11644" i="3"/>
  <c r="G11644" i="3"/>
  <c r="M11643" i="3"/>
  <c r="L11643" i="3"/>
  <c r="J11643" i="3"/>
  <c r="K11643" i="3" s="1"/>
  <c r="H11643" i="3"/>
  <c r="G11643" i="3"/>
  <c r="M11642" i="3"/>
  <c r="L11642" i="3"/>
  <c r="J11642" i="3"/>
  <c r="K11642" i="3" s="1"/>
  <c r="H11642" i="3"/>
  <c r="G11642" i="3"/>
  <c r="AR508" i="23" l="1"/>
  <c r="AK500" i="23"/>
  <c r="AF494" i="23"/>
  <c r="AJ494" i="23" s="1"/>
  <c r="AP501" i="23"/>
  <c r="AN494" i="23"/>
  <c r="AI494" i="23"/>
  <c r="I11652" i="3"/>
  <c r="I11655" i="3"/>
  <c r="I11656" i="3"/>
  <c r="I11660" i="3"/>
  <c r="I11664" i="3"/>
  <c r="I11653" i="3"/>
  <c r="I11657" i="3"/>
  <c r="I11661" i="3"/>
  <c r="I11665" i="3"/>
  <c r="I11645" i="3"/>
  <c r="I11649" i="3"/>
  <c r="I11644" i="3"/>
  <c r="I11648" i="3"/>
  <c r="I11642" i="3"/>
  <c r="I11643" i="3"/>
  <c r="I11647" i="3"/>
  <c r="I11651" i="3"/>
  <c r="I11658" i="3"/>
  <c r="I11659" i="3"/>
  <c r="I11662" i="3"/>
  <c r="I11663" i="3"/>
  <c r="K486" i="23" l="1"/>
  <c r="V486" i="23"/>
  <c r="W486" i="23"/>
  <c r="X486" i="23"/>
  <c r="Z486" i="23"/>
  <c r="AA486" i="23"/>
  <c r="AB486" i="23"/>
  <c r="AE486" i="23"/>
  <c r="AH486" i="23"/>
  <c r="AM486" i="23"/>
  <c r="AO486" i="23"/>
  <c r="F486" i="23"/>
  <c r="S486" i="1"/>
  <c r="F486" i="1"/>
  <c r="M11641" i="3"/>
  <c r="L11641" i="3"/>
  <c r="J11641" i="3"/>
  <c r="K11641" i="3" s="1"/>
  <c r="H11641" i="3"/>
  <c r="I11641" i="3" s="1"/>
  <c r="G11641" i="3"/>
  <c r="M11640" i="3"/>
  <c r="L11640" i="3"/>
  <c r="J11640" i="3"/>
  <c r="K11640" i="3" s="1"/>
  <c r="H11640" i="3"/>
  <c r="G11640" i="3"/>
  <c r="I11640" i="3" s="1"/>
  <c r="M11639" i="3"/>
  <c r="L11639" i="3"/>
  <c r="J11639" i="3"/>
  <c r="K11639" i="3" s="1"/>
  <c r="H11639" i="3"/>
  <c r="G11639" i="3"/>
  <c r="M11638" i="3"/>
  <c r="L11638" i="3"/>
  <c r="J11638" i="3"/>
  <c r="K11638" i="3" s="1"/>
  <c r="H11638" i="3"/>
  <c r="G11638" i="3"/>
  <c r="I11638" i="3" s="1"/>
  <c r="M11637" i="3"/>
  <c r="L11637" i="3"/>
  <c r="J11637" i="3"/>
  <c r="K11637" i="3" s="1"/>
  <c r="H11637" i="3"/>
  <c r="G11637" i="3"/>
  <c r="M11636" i="3"/>
  <c r="L11636" i="3"/>
  <c r="J11636" i="3"/>
  <c r="K11636" i="3" s="1"/>
  <c r="H11636" i="3"/>
  <c r="G11636" i="3"/>
  <c r="I11636" i="3" s="1"/>
  <c r="M11635" i="3"/>
  <c r="L11635" i="3"/>
  <c r="J11635" i="3"/>
  <c r="K11635" i="3" s="1"/>
  <c r="H11635" i="3"/>
  <c r="G11635" i="3"/>
  <c r="M11634" i="3"/>
  <c r="L11634" i="3"/>
  <c r="J11634" i="3"/>
  <c r="K11634" i="3" s="1"/>
  <c r="H11634" i="3"/>
  <c r="G11634" i="3"/>
  <c r="I11634" i="3" s="1"/>
  <c r="M11633" i="3"/>
  <c r="L11633" i="3"/>
  <c r="J11633" i="3"/>
  <c r="K11633" i="3" s="1"/>
  <c r="H11633" i="3"/>
  <c r="G11633" i="3"/>
  <c r="M11632" i="3"/>
  <c r="L11632" i="3"/>
  <c r="J11632" i="3"/>
  <c r="K11632" i="3" s="1"/>
  <c r="H11632" i="3"/>
  <c r="G11632" i="3"/>
  <c r="I11632" i="3" s="1"/>
  <c r="M11631" i="3"/>
  <c r="L11631" i="3"/>
  <c r="J11631" i="3"/>
  <c r="K11631" i="3" s="1"/>
  <c r="H11631" i="3"/>
  <c r="G11631" i="3"/>
  <c r="M11630" i="3"/>
  <c r="L11630" i="3"/>
  <c r="J11630" i="3"/>
  <c r="K11630" i="3" s="1"/>
  <c r="H11630" i="3"/>
  <c r="G11630" i="3"/>
  <c r="I11630" i="3" s="1"/>
  <c r="M11629" i="3"/>
  <c r="L11629" i="3"/>
  <c r="J11629" i="3"/>
  <c r="K11629" i="3" s="1"/>
  <c r="H11629" i="3"/>
  <c r="G11629" i="3"/>
  <c r="M11628" i="3"/>
  <c r="L11628" i="3"/>
  <c r="J11628" i="3"/>
  <c r="K11628" i="3" s="1"/>
  <c r="H11628" i="3"/>
  <c r="G11628" i="3"/>
  <c r="I11628" i="3" s="1"/>
  <c r="M11627" i="3"/>
  <c r="L11627" i="3"/>
  <c r="J11627" i="3"/>
  <c r="K11627" i="3" s="1"/>
  <c r="H11627" i="3"/>
  <c r="G11627" i="3"/>
  <c r="M11626" i="3"/>
  <c r="L11626" i="3"/>
  <c r="J11626" i="3"/>
  <c r="K11626" i="3" s="1"/>
  <c r="H11626" i="3"/>
  <c r="G11626" i="3"/>
  <c r="I11626" i="3" s="1"/>
  <c r="M11625" i="3"/>
  <c r="L11625" i="3"/>
  <c r="J11625" i="3"/>
  <c r="K11625" i="3" s="1"/>
  <c r="H11625" i="3"/>
  <c r="G11625" i="3"/>
  <c r="M11624" i="3"/>
  <c r="L11624" i="3"/>
  <c r="J11624" i="3"/>
  <c r="K11624" i="3" s="1"/>
  <c r="H11624" i="3"/>
  <c r="G11624" i="3"/>
  <c r="I11624" i="3" s="1"/>
  <c r="M11623" i="3"/>
  <c r="L11623" i="3"/>
  <c r="J11623" i="3"/>
  <c r="K11623" i="3" s="1"/>
  <c r="H11623" i="3"/>
  <c r="G11623" i="3"/>
  <c r="M11622" i="3"/>
  <c r="L11622" i="3"/>
  <c r="J11622" i="3"/>
  <c r="K11622" i="3" s="1"/>
  <c r="H11622" i="3"/>
  <c r="G11622" i="3"/>
  <c r="I11622" i="3" s="1"/>
  <c r="M11621" i="3"/>
  <c r="L11621" i="3"/>
  <c r="J11621" i="3"/>
  <c r="K11621" i="3" s="1"/>
  <c r="H11621" i="3"/>
  <c r="G11621" i="3"/>
  <c r="M11620" i="3"/>
  <c r="L11620" i="3"/>
  <c r="J11620" i="3"/>
  <c r="K11620" i="3" s="1"/>
  <c r="H11620" i="3"/>
  <c r="G11620" i="3"/>
  <c r="I11620" i="3" s="1"/>
  <c r="M11619" i="3"/>
  <c r="L11619" i="3"/>
  <c r="J11619" i="3"/>
  <c r="K11619" i="3" s="1"/>
  <c r="H11619" i="3"/>
  <c r="G11619" i="3"/>
  <c r="M11618" i="3"/>
  <c r="L11618" i="3"/>
  <c r="J11618" i="3"/>
  <c r="K11618" i="3" s="1"/>
  <c r="H11618" i="3"/>
  <c r="G11618" i="3"/>
  <c r="I11618" i="3" s="1"/>
  <c r="L11595" i="3"/>
  <c r="AN493" i="23" l="1"/>
  <c r="AI493" i="23"/>
  <c r="AR507" i="23"/>
  <c r="AF493" i="23"/>
  <c r="AJ493" i="23" s="1"/>
  <c r="AK499" i="23"/>
  <c r="AP500" i="23"/>
  <c r="I11619" i="3"/>
  <c r="I11621" i="3"/>
  <c r="I11623" i="3"/>
  <c r="I11625" i="3"/>
  <c r="I11627" i="3"/>
  <c r="I11629" i="3"/>
  <c r="I11631" i="3"/>
  <c r="I11633" i="3"/>
  <c r="I11635" i="3"/>
  <c r="I11637" i="3"/>
  <c r="I11639" i="3"/>
  <c r="L11594" i="3"/>
  <c r="M11594" i="3"/>
  <c r="M11617" i="3"/>
  <c r="L11617" i="3"/>
  <c r="J11617" i="3"/>
  <c r="K11617" i="3" s="1"/>
  <c r="M11616" i="3"/>
  <c r="L11616" i="3"/>
  <c r="J11616" i="3"/>
  <c r="K11616" i="3" s="1"/>
  <c r="M11615" i="3"/>
  <c r="L11615" i="3"/>
  <c r="J11615" i="3"/>
  <c r="K11615" i="3" s="1"/>
  <c r="M11614" i="3"/>
  <c r="L11614" i="3"/>
  <c r="J11614" i="3"/>
  <c r="K11614" i="3" s="1"/>
  <c r="M11613" i="3"/>
  <c r="L11613" i="3"/>
  <c r="J11613" i="3"/>
  <c r="K11613" i="3" s="1"/>
  <c r="M11612" i="3"/>
  <c r="L11612" i="3"/>
  <c r="J11612" i="3"/>
  <c r="K11612" i="3" s="1"/>
  <c r="M11611" i="3"/>
  <c r="L11611" i="3"/>
  <c r="J11611" i="3"/>
  <c r="K11611" i="3" s="1"/>
  <c r="M11610" i="3"/>
  <c r="L11610" i="3"/>
  <c r="J11610" i="3"/>
  <c r="K11610" i="3" s="1"/>
  <c r="M11609" i="3"/>
  <c r="L11609" i="3"/>
  <c r="J11609" i="3"/>
  <c r="K11609" i="3" s="1"/>
  <c r="M11608" i="3"/>
  <c r="L11608" i="3"/>
  <c r="J11608" i="3"/>
  <c r="K11608" i="3" s="1"/>
  <c r="M11607" i="3"/>
  <c r="L11607" i="3"/>
  <c r="J11607" i="3"/>
  <c r="K11607" i="3" s="1"/>
  <c r="M11606" i="3"/>
  <c r="L11606" i="3"/>
  <c r="J11606" i="3"/>
  <c r="K11606" i="3" s="1"/>
  <c r="M11605" i="3"/>
  <c r="L11605" i="3"/>
  <c r="J11605" i="3"/>
  <c r="K11605" i="3" s="1"/>
  <c r="M11604" i="3"/>
  <c r="L11604" i="3"/>
  <c r="J11604" i="3"/>
  <c r="K11604" i="3" s="1"/>
  <c r="M11603" i="3"/>
  <c r="L11603" i="3"/>
  <c r="J11603" i="3"/>
  <c r="K11603" i="3" s="1"/>
  <c r="M11602" i="3"/>
  <c r="L11602" i="3"/>
  <c r="J11602" i="3"/>
  <c r="K11602" i="3" s="1"/>
  <c r="M11601" i="3"/>
  <c r="L11601" i="3"/>
  <c r="J11601" i="3"/>
  <c r="K11601" i="3" s="1"/>
  <c r="M11600" i="3"/>
  <c r="L11600" i="3"/>
  <c r="J11600" i="3"/>
  <c r="K11600" i="3" s="1"/>
  <c r="M11599" i="3"/>
  <c r="L11599" i="3"/>
  <c r="J11599" i="3"/>
  <c r="K11599" i="3" s="1"/>
  <c r="M11598" i="3"/>
  <c r="L11598" i="3"/>
  <c r="J11598" i="3"/>
  <c r="K11598" i="3" s="1"/>
  <c r="M11597" i="3"/>
  <c r="L11597" i="3"/>
  <c r="J11597" i="3"/>
  <c r="K11597" i="3" s="1"/>
  <c r="M11596" i="3"/>
  <c r="L11596" i="3"/>
  <c r="J11596" i="3"/>
  <c r="K11596" i="3" s="1"/>
  <c r="M11595" i="3"/>
  <c r="J11595" i="3"/>
  <c r="K11595" i="3" s="1"/>
  <c r="J11594" i="3"/>
  <c r="K11594" i="3" s="1"/>
  <c r="M11593" i="3"/>
  <c r="L11593" i="3"/>
  <c r="J11593" i="3"/>
  <c r="K11593" i="3" s="1"/>
  <c r="M11592" i="3"/>
  <c r="L11592" i="3"/>
  <c r="J11592" i="3"/>
  <c r="K11592" i="3" s="1"/>
  <c r="M11591" i="3"/>
  <c r="L11591" i="3"/>
  <c r="J11591" i="3"/>
  <c r="K11591" i="3" s="1"/>
  <c r="M11590" i="3"/>
  <c r="L11590" i="3"/>
  <c r="J11590" i="3"/>
  <c r="K11590" i="3" s="1"/>
  <c r="M11589" i="3"/>
  <c r="L11589" i="3"/>
  <c r="J11589" i="3"/>
  <c r="K11589" i="3" s="1"/>
  <c r="M11588" i="3"/>
  <c r="L11588" i="3"/>
  <c r="J11588" i="3"/>
  <c r="K11588" i="3" s="1"/>
  <c r="M11587" i="3"/>
  <c r="L11587" i="3"/>
  <c r="J11587" i="3"/>
  <c r="K11587" i="3" s="1"/>
  <c r="M11586" i="3"/>
  <c r="L11586" i="3"/>
  <c r="J11586" i="3"/>
  <c r="K11586" i="3" s="1"/>
  <c r="M11585" i="3"/>
  <c r="L11585" i="3"/>
  <c r="J11585" i="3"/>
  <c r="K11585" i="3" s="1"/>
  <c r="M11584" i="3"/>
  <c r="L11584" i="3"/>
  <c r="J11584" i="3"/>
  <c r="K11584" i="3" s="1"/>
  <c r="M11583" i="3"/>
  <c r="L11583" i="3"/>
  <c r="J11583" i="3"/>
  <c r="K11583" i="3" s="1"/>
  <c r="M11582" i="3"/>
  <c r="L11582" i="3"/>
  <c r="J11582" i="3"/>
  <c r="K11582" i="3" s="1"/>
  <c r="M11581" i="3"/>
  <c r="L11581" i="3"/>
  <c r="J11581" i="3"/>
  <c r="K11581" i="3" s="1"/>
  <c r="M11580" i="3"/>
  <c r="L11580" i="3"/>
  <c r="J11580" i="3"/>
  <c r="K11580" i="3" s="1"/>
  <c r="M11579" i="3"/>
  <c r="L11579" i="3"/>
  <c r="J11579" i="3"/>
  <c r="K11579" i="3" s="1"/>
  <c r="M11578" i="3"/>
  <c r="L11578" i="3"/>
  <c r="J11578" i="3"/>
  <c r="K11578" i="3" s="1"/>
  <c r="M11577" i="3"/>
  <c r="L11577" i="3"/>
  <c r="J11577" i="3"/>
  <c r="K11577" i="3" s="1"/>
  <c r="M11576" i="3"/>
  <c r="L11576" i="3"/>
  <c r="J11576" i="3"/>
  <c r="K11576" i="3" s="1"/>
  <c r="M11575" i="3"/>
  <c r="L11575" i="3"/>
  <c r="J11575" i="3"/>
  <c r="K11575" i="3" s="1"/>
  <c r="M11574" i="3"/>
  <c r="L11574" i="3"/>
  <c r="J11574" i="3"/>
  <c r="K11574" i="3" s="1"/>
  <c r="M11573" i="3"/>
  <c r="L11573" i="3"/>
  <c r="J11573" i="3"/>
  <c r="K11573" i="3" s="1"/>
  <c r="M11572" i="3"/>
  <c r="L11572" i="3"/>
  <c r="J11572" i="3"/>
  <c r="K11572" i="3" s="1"/>
  <c r="M11571" i="3"/>
  <c r="L11571" i="3"/>
  <c r="J11571" i="3"/>
  <c r="K11571" i="3" s="1"/>
  <c r="M11570" i="3"/>
  <c r="L11570" i="3"/>
  <c r="J11570" i="3"/>
  <c r="K11570" i="3" s="1"/>
  <c r="M11569" i="3"/>
  <c r="L11569" i="3"/>
  <c r="J11569" i="3"/>
  <c r="K11569" i="3" s="1"/>
  <c r="M11568" i="3"/>
  <c r="L11568" i="3"/>
  <c r="J11568" i="3"/>
  <c r="K11568" i="3" s="1"/>
  <c r="M11567" i="3"/>
  <c r="L11567" i="3"/>
  <c r="J11567" i="3"/>
  <c r="K11567" i="3" s="1"/>
  <c r="M11566" i="3"/>
  <c r="L11566" i="3"/>
  <c r="J11566" i="3"/>
  <c r="K11566" i="3" s="1"/>
  <c r="M11565" i="3"/>
  <c r="L11565" i="3"/>
  <c r="J11565" i="3"/>
  <c r="K11565" i="3" s="1"/>
  <c r="M11564" i="3"/>
  <c r="L11564" i="3"/>
  <c r="J11564" i="3"/>
  <c r="K11564" i="3" s="1"/>
  <c r="M11563" i="3"/>
  <c r="L11563" i="3"/>
  <c r="J11563" i="3"/>
  <c r="K11563" i="3" s="1"/>
  <c r="M11562" i="3"/>
  <c r="L11562" i="3"/>
  <c r="J11562" i="3"/>
  <c r="K11562" i="3" s="1"/>
  <c r="M11561" i="3"/>
  <c r="L11561" i="3"/>
  <c r="J11561" i="3"/>
  <c r="K11561" i="3" s="1"/>
  <c r="M11560" i="3"/>
  <c r="L11560" i="3"/>
  <c r="J11560" i="3"/>
  <c r="K11560" i="3" s="1"/>
  <c r="M11559" i="3"/>
  <c r="L11559" i="3"/>
  <c r="J11559" i="3"/>
  <c r="K11559" i="3" s="1"/>
  <c r="M11558" i="3"/>
  <c r="L11558" i="3"/>
  <c r="J11558" i="3"/>
  <c r="K11558" i="3" s="1"/>
  <c r="M11557" i="3"/>
  <c r="L11557" i="3"/>
  <c r="J11557" i="3"/>
  <c r="K11557" i="3" s="1"/>
  <c r="M11556" i="3"/>
  <c r="L11556" i="3"/>
  <c r="J11556" i="3"/>
  <c r="K11556" i="3" s="1"/>
  <c r="M11555" i="3"/>
  <c r="L11555" i="3"/>
  <c r="J11555" i="3"/>
  <c r="K11555" i="3" s="1"/>
  <c r="M11554" i="3"/>
  <c r="L11554" i="3"/>
  <c r="J11554" i="3"/>
  <c r="K11554" i="3" s="1"/>
  <c r="M11553" i="3"/>
  <c r="L11553" i="3"/>
  <c r="J11553" i="3"/>
  <c r="K11553" i="3" s="1"/>
  <c r="M11552" i="3"/>
  <c r="L11552" i="3"/>
  <c r="J11552" i="3"/>
  <c r="K11552" i="3" s="1"/>
  <c r="M11551" i="3"/>
  <c r="L11551" i="3"/>
  <c r="J11551" i="3"/>
  <c r="K11551" i="3" s="1"/>
  <c r="M11550" i="3"/>
  <c r="L11550" i="3"/>
  <c r="J11550" i="3"/>
  <c r="K11550" i="3" s="1"/>
  <c r="M11549" i="3"/>
  <c r="L11549" i="3"/>
  <c r="J11549" i="3"/>
  <c r="K11549" i="3" s="1"/>
  <c r="M11548" i="3"/>
  <c r="L11548" i="3"/>
  <c r="J11548" i="3"/>
  <c r="K11548" i="3" s="1"/>
  <c r="M11547" i="3"/>
  <c r="L11547" i="3"/>
  <c r="J11547" i="3"/>
  <c r="K11547" i="3" s="1"/>
  <c r="M11546" i="3"/>
  <c r="L11546" i="3"/>
  <c r="J11546" i="3"/>
  <c r="K11546" i="3" s="1"/>
  <c r="M11545" i="3"/>
  <c r="L11545" i="3"/>
  <c r="J11545" i="3"/>
  <c r="K11545" i="3" s="1"/>
  <c r="M11544" i="3"/>
  <c r="L11544" i="3"/>
  <c r="J11544" i="3"/>
  <c r="K11544" i="3" s="1"/>
  <c r="M11543" i="3"/>
  <c r="L11543" i="3"/>
  <c r="J11543" i="3"/>
  <c r="K11543" i="3" s="1"/>
  <c r="M11542" i="3"/>
  <c r="L11542" i="3"/>
  <c r="J11542" i="3"/>
  <c r="K11542" i="3" s="1"/>
  <c r="M11541" i="3"/>
  <c r="L11541" i="3"/>
  <c r="J11541" i="3"/>
  <c r="K11541" i="3" s="1"/>
  <c r="M11540" i="3"/>
  <c r="L11540" i="3"/>
  <c r="J11540" i="3"/>
  <c r="K11540" i="3" s="1"/>
  <c r="M11539" i="3"/>
  <c r="L11539" i="3"/>
  <c r="J11539" i="3"/>
  <c r="K11539" i="3" s="1"/>
  <c r="M11538" i="3"/>
  <c r="L11538" i="3"/>
  <c r="J11538" i="3"/>
  <c r="K11538" i="3" s="1"/>
  <c r="M11537" i="3"/>
  <c r="L11537" i="3"/>
  <c r="J11537" i="3"/>
  <c r="K11537" i="3" s="1"/>
  <c r="M11536" i="3"/>
  <c r="L11536" i="3"/>
  <c r="J11536" i="3"/>
  <c r="K11536" i="3" s="1"/>
  <c r="M11535" i="3"/>
  <c r="L11535" i="3"/>
  <c r="J11535" i="3"/>
  <c r="K11535" i="3" s="1"/>
  <c r="M11534" i="3"/>
  <c r="L11534" i="3"/>
  <c r="J11534" i="3"/>
  <c r="K11534" i="3" s="1"/>
  <c r="M11533" i="3"/>
  <c r="L11533" i="3"/>
  <c r="J11533" i="3"/>
  <c r="K11533" i="3" s="1"/>
  <c r="M11532" i="3"/>
  <c r="L11532" i="3"/>
  <c r="J11532" i="3"/>
  <c r="K11532" i="3" s="1"/>
  <c r="M11531" i="3"/>
  <c r="L11531" i="3"/>
  <c r="J11531" i="3"/>
  <c r="K11531" i="3" s="1"/>
  <c r="M11530" i="3"/>
  <c r="L11530" i="3"/>
  <c r="J11530" i="3"/>
  <c r="K11530" i="3" s="1"/>
  <c r="M11529" i="3"/>
  <c r="L11529" i="3"/>
  <c r="J11529" i="3"/>
  <c r="K11529" i="3" s="1"/>
  <c r="M11528" i="3"/>
  <c r="L11528" i="3"/>
  <c r="J11528" i="3"/>
  <c r="K11528" i="3" s="1"/>
  <c r="M11527" i="3"/>
  <c r="L11527" i="3"/>
  <c r="J11527" i="3"/>
  <c r="K11527" i="3" s="1"/>
  <c r="M11526" i="3"/>
  <c r="L11526" i="3"/>
  <c r="J11526" i="3"/>
  <c r="K11526" i="3" s="1"/>
  <c r="M11525" i="3"/>
  <c r="L11525" i="3"/>
  <c r="J11525" i="3"/>
  <c r="K11525" i="3" s="1"/>
  <c r="M11524" i="3"/>
  <c r="L11524" i="3"/>
  <c r="J11524" i="3"/>
  <c r="K11524" i="3" s="1"/>
  <c r="M11523" i="3"/>
  <c r="L11523" i="3"/>
  <c r="J11523" i="3"/>
  <c r="K11523" i="3" s="1"/>
  <c r="M11522" i="3"/>
  <c r="L11522" i="3"/>
  <c r="J11522" i="3"/>
  <c r="K11522" i="3" s="1"/>
  <c r="M11521" i="3"/>
  <c r="L11521" i="3"/>
  <c r="J11521" i="3"/>
  <c r="K11521" i="3" s="1"/>
  <c r="M11520" i="3"/>
  <c r="L11520" i="3"/>
  <c r="J11520" i="3"/>
  <c r="K11520" i="3" s="1"/>
  <c r="M11519" i="3"/>
  <c r="L11519" i="3"/>
  <c r="J11519" i="3"/>
  <c r="K11519" i="3" s="1"/>
  <c r="M11518" i="3"/>
  <c r="L11518" i="3"/>
  <c r="J11518" i="3"/>
  <c r="K11518" i="3" s="1"/>
  <c r="M11517" i="3"/>
  <c r="L11517" i="3"/>
  <c r="J11517" i="3"/>
  <c r="K11517" i="3" s="1"/>
  <c r="M11516" i="3"/>
  <c r="L11516" i="3"/>
  <c r="J11516" i="3"/>
  <c r="K11516" i="3" s="1"/>
  <c r="M11515" i="3"/>
  <c r="L11515" i="3"/>
  <c r="J11515" i="3"/>
  <c r="K11515" i="3" s="1"/>
  <c r="M11514" i="3"/>
  <c r="L11514" i="3"/>
  <c r="J11514" i="3"/>
  <c r="K11514" i="3" s="1"/>
  <c r="M11513" i="3"/>
  <c r="L11513" i="3"/>
  <c r="J11513" i="3"/>
  <c r="K11513" i="3" s="1"/>
  <c r="M11512" i="3"/>
  <c r="L11512" i="3"/>
  <c r="J11512" i="3"/>
  <c r="K11512" i="3" s="1"/>
  <c r="M11511" i="3"/>
  <c r="L11511" i="3"/>
  <c r="J11511" i="3"/>
  <c r="K11511" i="3" s="1"/>
  <c r="M11510" i="3"/>
  <c r="L11510" i="3"/>
  <c r="J11510" i="3"/>
  <c r="K11510" i="3" s="1"/>
  <c r="M11509" i="3"/>
  <c r="L11509" i="3"/>
  <c r="J11509" i="3"/>
  <c r="K11509" i="3" s="1"/>
  <c r="M11508" i="3"/>
  <c r="L11508" i="3"/>
  <c r="J11508" i="3"/>
  <c r="K11508" i="3" s="1"/>
  <c r="M11507" i="3"/>
  <c r="L11507" i="3"/>
  <c r="J11507" i="3"/>
  <c r="K11507" i="3" s="1"/>
  <c r="M11506" i="3"/>
  <c r="L11506" i="3"/>
  <c r="J11506" i="3"/>
  <c r="K11506" i="3" s="1"/>
  <c r="M11505" i="3"/>
  <c r="L11505" i="3"/>
  <c r="J11505" i="3"/>
  <c r="K11505" i="3" s="1"/>
  <c r="M11504" i="3"/>
  <c r="L11504" i="3"/>
  <c r="J11504" i="3"/>
  <c r="K11504" i="3" s="1"/>
  <c r="M11503" i="3"/>
  <c r="L11503" i="3"/>
  <c r="J11503" i="3"/>
  <c r="K11503" i="3" s="1"/>
  <c r="M11502" i="3"/>
  <c r="L11502" i="3"/>
  <c r="J11502" i="3"/>
  <c r="K11502" i="3" s="1"/>
  <c r="M11501" i="3"/>
  <c r="L11501" i="3"/>
  <c r="J11501" i="3"/>
  <c r="K11501" i="3" s="1"/>
  <c r="M11500" i="3"/>
  <c r="L11500" i="3"/>
  <c r="J11500" i="3"/>
  <c r="K11500" i="3" s="1"/>
  <c r="M11499" i="3"/>
  <c r="L11499" i="3"/>
  <c r="J11499" i="3"/>
  <c r="K11499" i="3" s="1"/>
  <c r="M11498" i="3"/>
  <c r="L11498" i="3"/>
  <c r="J11498" i="3"/>
  <c r="K11498" i="3" s="1"/>
  <c r="M11497" i="3"/>
  <c r="L11497" i="3"/>
  <c r="J11497" i="3"/>
  <c r="K11497" i="3" s="1"/>
  <c r="M11496" i="3"/>
  <c r="L11496" i="3"/>
  <c r="J11496" i="3"/>
  <c r="K11496" i="3" s="1"/>
  <c r="M11495" i="3"/>
  <c r="L11495" i="3"/>
  <c r="J11495" i="3"/>
  <c r="K11495" i="3" s="1"/>
  <c r="M11494" i="3"/>
  <c r="L11494" i="3"/>
  <c r="J11494" i="3"/>
  <c r="K11494" i="3" s="1"/>
  <c r="M11493" i="3"/>
  <c r="L11493" i="3"/>
  <c r="J11493" i="3"/>
  <c r="K11493" i="3" s="1"/>
  <c r="M11492" i="3"/>
  <c r="L11492" i="3"/>
  <c r="J11492" i="3"/>
  <c r="K11492" i="3" s="1"/>
  <c r="M11491" i="3"/>
  <c r="L11491" i="3"/>
  <c r="J11491" i="3"/>
  <c r="K11491" i="3" s="1"/>
  <c r="M11490" i="3"/>
  <c r="L11490" i="3"/>
  <c r="J11490" i="3"/>
  <c r="K11490" i="3" s="1"/>
  <c r="M11489" i="3"/>
  <c r="L11489" i="3"/>
  <c r="J11489" i="3"/>
  <c r="K11489" i="3" s="1"/>
  <c r="M11488" i="3"/>
  <c r="L11488" i="3"/>
  <c r="J11488" i="3"/>
  <c r="K11488" i="3" s="1"/>
  <c r="M11487" i="3"/>
  <c r="L11487" i="3"/>
  <c r="J11487" i="3"/>
  <c r="K11487" i="3" s="1"/>
  <c r="M11486" i="3"/>
  <c r="L11486" i="3"/>
  <c r="J11486" i="3"/>
  <c r="K11486" i="3" s="1"/>
  <c r="M11485" i="3"/>
  <c r="L11485" i="3"/>
  <c r="J11485" i="3"/>
  <c r="K11485" i="3" s="1"/>
  <c r="M11484" i="3"/>
  <c r="L11484" i="3"/>
  <c r="J11484" i="3"/>
  <c r="K11484" i="3" s="1"/>
  <c r="M11483" i="3"/>
  <c r="L11483" i="3"/>
  <c r="J11483" i="3"/>
  <c r="K11483" i="3" s="1"/>
  <c r="M11482" i="3"/>
  <c r="L11482" i="3"/>
  <c r="J11482" i="3"/>
  <c r="K11482" i="3" s="1"/>
  <c r="M11481" i="3"/>
  <c r="L11481" i="3"/>
  <c r="J11481" i="3"/>
  <c r="K11481" i="3" s="1"/>
  <c r="M11480" i="3"/>
  <c r="L11480" i="3"/>
  <c r="J11480" i="3"/>
  <c r="K11480" i="3" s="1"/>
  <c r="M11479" i="3"/>
  <c r="L11479" i="3"/>
  <c r="J11479" i="3"/>
  <c r="K11479" i="3" s="1"/>
  <c r="M11478" i="3"/>
  <c r="L11478" i="3"/>
  <c r="J11478" i="3"/>
  <c r="K11478" i="3" s="1"/>
  <c r="M11477" i="3"/>
  <c r="L11477" i="3"/>
  <c r="J11477" i="3"/>
  <c r="K11477" i="3" s="1"/>
  <c r="M11476" i="3"/>
  <c r="L11476" i="3"/>
  <c r="J11476" i="3"/>
  <c r="K11476" i="3" s="1"/>
  <c r="M11475" i="3"/>
  <c r="L11475" i="3"/>
  <c r="J11475" i="3"/>
  <c r="K11475" i="3" s="1"/>
  <c r="M11474" i="3"/>
  <c r="L11474" i="3"/>
  <c r="J11474" i="3"/>
  <c r="K11474" i="3" s="1"/>
  <c r="M11473" i="3"/>
  <c r="L11473" i="3"/>
  <c r="J11473" i="3"/>
  <c r="K11473" i="3" s="1"/>
  <c r="M11472" i="3"/>
  <c r="L11472" i="3"/>
  <c r="J11472" i="3"/>
  <c r="K11472" i="3" s="1"/>
  <c r="M11471" i="3"/>
  <c r="L11471" i="3"/>
  <c r="J11471" i="3"/>
  <c r="K11471" i="3" s="1"/>
  <c r="M11470" i="3"/>
  <c r="L11470" i="3"/>
  <c r="J11470" i="3"/>
  <c r="K11470" i="3" s="1"/>
  <c r="M11469" i="3"/>
  <c r="L11469" i="3"/>
  <c r="J11469" i="3"/>
  <c r="K11469" i="3" s="1"/>
  <c r="M11468" i="3"/>
  <c r="L11468" i="3"/>
  <c r="J11468" i="3"/>
  <c r="K11468" i="3" s="1"/>
  <c r="M11467" i="3"/>
  <c r="L11467" i="3"/>
  <c r="J11467" i="3"/>
  <c r="K11467" i="3" s="1"/>
  <c r="M11466" i="3"/>
  <c r="L11466" i="3"/>
  <c r="J11466" i="3"/>
  <c r="K11466" i="3" s="1"/>
  <c r="M11465" i="3"/>
  <c r="L11465" i="3"/>
  <c r="J11465" i="3"/>
  <c r="K11465" i="3" s="1"/>
  <c r="M11464" i="3"/>
  <c r="L11464" i="3"/>
  <c r="J11464" i="3"/>
  <c r="K11464" i="3" s="1"/>
  <c r="M11463" i="3"/>
  <c r="L11463" i="3"/>
  <c r="J11463" i="3"/>
  <c r="K11463" i="3" s="1"/>
  <c r="M11462" i="3"/>
  <c r="L11462" i="3"/>
  <c r="J11462" i="3"/>
  <c r="K11462" i="3" s="1"/>
  <c r="M11461" i="3"/>
  <c r="L11461" i="3"/>
  <c r="J11461" i="3"/>
  <c r="K11461" i="3" s="1"/>
  <c r="M11460" i="3"/>
  <c r="L11460" i="3"/>
  <c r="J11460" i="3"/>
  <c r="K11460" i="3" s="1"/>
  <c r="M11459" i="3"/>
  <c r="L11459" i="3"/>
  <c r="J11459" i="3"/>
  <c r="K11459" i="3" s="1"/>
  <c r="M11458" i="3"/>
  <c r="L11458" i="3"/>
  <c r="J11458" i="3"/>
  <c r="K11458" i="3" s="1"/>
  <c r="M11457" i="3"/>
  <c r="L11457" i="3"/>
  <c r="J11457" i="3"/>
  <c r="K11457" i="3" s="1"/>
  <c r="M11456" i="3"/>
  <c r="L11456" i="3"/>
  <c r="J11456" i="3"/>
  <c r="K11456" i="3" s="1"/>
  <c r="M11455" i="3"/>
  <c r="L11455" i="3"/>
  <c r="J11455" i="3"/>
  <c r="K11455" i="3" s="1"/>
  <c r="M11454" i="3"/>
  <c r="L11454" i="3"/>
  <c r="J11454" i="3"/>
  <c r="K11454" i="3" s="1"/>
  <c r="M11453" i="3"/>
  <c r="L11453" i="3"/>
  <c r="J11453" i="3"/>
  <c r="K11453" i="3" s="1"/>
  <c r="M11452" i="3"/>
  <c r="L11452" i="3"/>
  <c r="J11452" i="3"/>
  <c r="K11452" i="3" s="1"/>
  <c r="M11451" i="3"/>
  <c r="L11451" i="3"/>
  <c r="J11451" i="3"/>
  <c r="K11451" i="3" s="1"/>
  <c r="M11450" i="3"/>
  <c r="L11450" i="3"/>
  <c r="J11450" i="3"/>
  <c r="K11450" i="3" s="1"/>
  <c r="M11449" i="3"/>
  <c r="L11449" i="3"/>
  <c r="J11449" i="3"/>
  <c r="K11449" i="3" s="1"/>
  <c r="M11448" i="3"/>
  <c r="L11448" i="3"/>
  <c r="J11448" i="3"/>
  <c r="K11448" i="3" s="1"/>
  <c r="M11447" i="3"/>
  <c r="L11447" i="3"/>
  <c r="J11447" i="3"/>
  <c r="K11447" i="3" s="1"/>
  <c r="M11446" i="3"/>
  <c r="L11446" i="3"/>
  <c r="J11446" i="3"/>
  <c r="K11446" i="3" s="1"/>
  <c r="M11445" i="3"/>
  <c r="L11445" i="3"/>
  <c r="J11445" i="3"/>
  <c r="K11445" i="3" s="1"/>
  <c r="M11444" i="3"/>
  <c r="L11444" i="3"/>
  <c r="J11444" i="3"/>
  <c r="K11444" i="3" s="1"/>
  <c r="M11443" i="3"/>
  <c r="L11443" i="3"/>
  <c r="J11443" i="3"/>
  <c r="K11443" i="3" s="1"/>
  <c r="M11442" i="3"/>
  <c r="L11442" i="3"/>
  <c r="J11442" i="3"/>
  <c r="K11442" i="3" s="1"/>
  <c r="M11441" i="3"/>
  <c r="L11441" i="3"/>
  <c r="J11441" i="3"/>
  <c r="K11441" i="3" s="1"/>
  <c r="M11440" i="3"/>
  <c r="L11440" i="3"/>
  <c r="J11440" i="3"/>
  <c r="K11440" i="3" s="1"/>
  <c r="M11439" i="3"/>
  <c r="L11439" i="3"/>
  <c r="J11439" i="3"/>
  <c r="K11439" i="3" s="1"/>
  <c r="M11438" i="3"/>
  <c r="L11438" i="3"/>
  <c r="J11438" i="3"/>
  <c r="K11438" i="3" s="1"/>
  <c r="M11437" i="3"/>
  <c r="L11437" i="3"/>
  <c r="J11437" i="3"/>
  <c r="K11437" i="3" s="1"/>
  <c r="M11436" i="3"/>
  <c r="L11436" i="3"/>
  <c r="J11436" i="3"/>
  <c r="K11436" i="3" s="1"/>
  <c r="M11435" i="3"/>
  <c r="L11435" i="3"/>
  <c r="J11435" i="3"/>
  <c r="K11435" i="3" s="1"/>
  <c r="M11434" i="3"/>
  <c r="L11434" i="3"/>
  <c r="J11434" i="3"/>
  <c r="K11434" i="3" s="1"/>
  <c r="M11433" i="3"/>
  <c r="L11433" i="3"/>
  <c r="J11433" i="3"/>
  <c r="K11433" i="3" s="1"/>
  <c r="M11432" i="3"/>
  <c r="L11432" i="3"/>
  <c r="J11432" i="3"/>
  <c r="K11432" i="3" s="1"/>
  <c r="M11431" i="3"/>
  <c r="L11431" i="3"/>
  <c r="J11431" i="3"/>
  <c r="K11431" i="3" s="1"/>
  <c r="M11430" i="3"/>
  <c r="L11430" i="3"/>
  <c r="J11430" i="3"/>
  <c r="K11430" i="3" s="1"/>
  <c r="M11429" i="3"/>
  <c r="L11429" i="3"/>
  <c r="J11429" i="3"/>
  <c r="K11429" i="3" s="1"/>
  <c r="M11428" i="3"/>
  <c r="L11428" i="3"/>
  <c r="J11428" i="3"/>
  <c r="K11428" i="3" s="1"/>
  <c r="M11427" i="3"/>
  <c r="L11427" i="3"/>
  <c r="J11427" i="3"/>
  <c r="K11427" i="3" s="1"/>
  <c r="M11426" i="3"/>
  <c r="L11426" i="3"/>
  <c r="J11426" i="3"/>
  <c r="K11426" i="3" s="1"/>
  <c r="M11425" i="3"/>
  <c r="L11425" i="3"/>
  <c r="J11425" i="3"/>
  <c r="K11425" i="3" s="1"/>
  <c r="M11424" i="3"/>
  <c r="L11424" i="3"/>
  <c r="J11424" i="3"/>
  <c r="K11424" i="3" s="1"/>
  <c r="M11423" i="3"/>
  <c r="L11423" i="3"/>
  <c r="J11423" i="3"/>
  <c r="K11423" i="3" s="1"/>
  <c r="M11422" i="3"/>
  <c r="L11422" i="3"/>
  <c r="J11422" i="3"/>
  <c r="K11422" i="3" s="1"/>
  <c r="M11421" i="3"/>
  <c r="L11421" i="3"/>
  <c r="J11421" i="3"/>
  <c r="K11421" i="3" s="1"/>
  <c r="M11420" i="3"/>
  <c r="L11420" i="3"/>
  <c r="J11420" i="3"/>
  <c r="K11420" i="3" s="1"/>
  <c r="M11419" i="3"/>
  <c r="L11419" i="3"/>
  <c r="J11419" i="3"/>
  <c r="K11419" i="3" s="1"/>
  <c r="M11418" i="3"/>
  <c r="L11418" i="3"/>
  <c r="J11418" i="3"/>
  <c r="K11418" i="3" s="1"/>
  <c r="M11417" i="3"/>
  <c r="L11417" i="3"/>
  <c r="J11417" i="3"/>
  <c r="K11417" i="3" s="1"/>
  <c r="M11416" i="3"/>
  <c r="L11416" i="3"/>
  <c r="J11416" i="3"/>
  <c r="K11416" i="3" s="1"/>
  <c r="M11415" i="3"/>
  <c r="L11415" i="3"/>
  <c r="J11415" i="3"/>
  <c r="K11415" i="3" s="1"/>
  <c r="M11414" i="3"/>
  <c r="L11414" i="3"/>
  <c r="J11414" i="3"/>
  <c r="K11414" i="3" s="1"/>
  <c r="M11413" i="3"/>
  <c r="L11413" i="3"/>
  <c r="J11413" i="3"/>
  <c r="K11413" i="3" s="1"/>
  <c r="M11412" i="3"/>
  <c r="L11412" i="3"/>
  <c r="J11412" i="3"/>
  <c r="K11412" i="3" s="1"/>
  <c r="M11411" i="3"/>
  <c r="L11411" i="3"/>
  <c r="J11411" i="3"/>
  <c r="K11411" i="3" s="1"/>
  <c r="M11410" i="3"/>
  <c r="L11410" i="3"/>
  <c r="J11410" i="3"/>
  <c r="K11410" i="3" s="1"/>
  <c r="M11409" i="3"/>
  <c r="L11409" i="3"/>
  <c r="J11409" i="3"/>
  <c r="K11409" i="3" s="1"/>
  <c r="M11408" i="3"/>
  <c r="L11408" i="3"/>
  <c r="J11408" i="3"/>
  <c r="K11408" i="3" s="1"/>
  <c r="M11407" i="3"/>
  <c r="L11407" i="3"/>
  <c r="J11407" i="3"/>
  <c r="K11407" i="3" s="1"/>
  <c r="M11406" i="3"/>
  <c r="L11406" i="3"/>
  <c r="J11406" i="3"/>
  <c r="K11406" i="3" s="1"/>
  <c r="M11405" i="3"/>
  <c r="L11405" i="3"/>
  <c r="J11405" i="3"/>
  <c r="K11405" i="3" s="1"/>
  <c r="M11404" i="3"/>
  <c r="L11404" i="3"/>
  <c r="J11404" i="3"/>
  <c r="K11404" i="3" s="1"/>
  <c r="M11403" i="3"/>
  <c r="L11403" i="3"/>
  <c r="J11403" i="3"/>
  <c r="K11403" i="3" s="1"/>
  <c r="M11402" i="3"/>
  <c r="L11402" i="3"/>
  <c r="J11402" i="3"/>
  <c r="K11402" i="3" s="1"/>
  <c r="M11401" i="3"/>
  <c r="L11401" i="3"/>
  <c r="J11401" i="3"/>
  <c r="K11401" i="3" s="1"/>
  <c r="M11400" i="3"/>
  <c r="L11400" i="3"/>
  <c r="J11400" i="3"/>
  <c r="K11400" i="3" s="1"/>
  <c r="M11399" i="3"/>
  <c r="L11399" i="3"/>
  <c r="J11399" i="3"/>
  <c r="K11399" i="3" s="1"/>
  <c r="M11398" i="3"/>
  <c r="L11398" i="3"/>
  <c r="J11398" i="3"/>
  <c r="K11398" i="3" s="1"/>
  <c r="M11397" i="3"/>
  <c r="L11397" i="3"/>
  <c r="J11397" i="3"/>
  <c r="K11397" i="3" s="1"/>
  <c r="M11396" i="3"/>
  <c r="L11396" i="3"/>
  <c r="J11396" i="3"/>
  <c r="K11396" i="3" s="1"/>
  <c r="M11395" i="3"/>
  <c r="L11395" i="3"/>
  <c r="J11395" i="3"/>
  <c r="K11395" i="3" s="1"/>
  <c r="M11394" i="3"/>
  <c r="L11394" i="3"/>
  <c r="J11394" i="3"/>
  <c r="K11394" i="3" s="1"/>
  <c r="M11393" i="3"/>
  <c r="L11393" i="3"/>
  <c r="J11393" i="3"/>
  <c r="K11393" i="3" s="1"/>
  <c r="M11392" i="3"/>
  <c r="L11392" i="3"/>
  <c r="J11392" i="3"/>
  <c r="K11392" i="3" s="1"/>
  <c r="M11391" i="3"/>
  <c r="L11391" i="3"/>
  <c r="J11391" i="3"/>
  <c r="K11391" i="3" s="1"/>
  <c r="M11390" i="3"/>
  <c r="L11390" i="3"/>
  <c r="J11390" i="3"/>
  <c r="K11390" i="3" s="1"/>
  <c r="M11389" i="3"/>
  <c r="L11389" i="3"/>
  <c r="J11389" i="3"/>
  <c r="K11389" i="3" s="1"/>
  <c r="M11388" i="3"/>
  <c r="L11388" i="3"/>
  <c r="J11388" i="3"/>
  <c r="K11388" i="3" s="1"/>
  <c r="M11387" i="3"/>
  <c r="L11387" i="3"/>
  <c r="J11387" i="3"/>
  <c r="K11387" i="3" s="1"/>
  <c r="M11386" i="3"/>
  <c r="L11386" i="3"/>
  <c r="J11386" i="3"/>
  <c r="K11386" i="3" s="1"/>
  <c r="M11385" i="3"/>
  <c r="L11385" i="3"/>
  <c r="J11385" i="3"/>
  <c r="K11385" i="3" s="1"/>
  <c r="M11384" i="3"/>
  <c r="L11384" i="3"/>
  <c r="J11384" i="3"/>
  <c r="K11384" i="3" s="1"/>
  <c r="M11383" i="3"/>
  <c r="L11383" i="3"/>
  <c r="J11383" i="3"/>
  <c r="K11383" i="3" s="1"/>
  <c r="M11382" i="3"/>
  <c r="L11382" i="3"/>
  <c r="J11382" i="3"/>
  <c r="K11382" i="3" s="1"/>
  <c r="M11381" i="3"/>
  <c r="L11381" i="3"/>
  <c r="J11381" i="3"/>
  <c r="K11381" i="3" s="1"/>
  <c r="M11380" i="3"/>
  <c r="L11380" i="3"/>
  <c r="J11380" i="3"/>
  <c r="K11380" i="3" s="1"/>
  <c r="M11379" i="3"/>
  <c r="L11379" i="3"/>
  <c r="J11379" i="3"/>
  <c r="K11379" i="3" s="1"/>
  <c r="M11378" i="3"/>
  <c r="L11378" i="3"/>
  <c r="J11378" i="3"/>
  <c r="K11378" i="3" s="1"/>
  <c r="M11377" i="3"/>
  <c r="L11377" i="3"/>
  <c r="J11377" i="3"/>
  <c r="K11377" i="3" s="1"/>
  <c r="M11376" i="3"/>
  <c r="L11376" i="3"/>
  <c r="J11376" i="3"/>
  <c r="K11376" i="3" s="1"/>
  <c r="M11375" i="3"/>
  <c r="L11375" i="3"/>
  <c r="J11375" i="3"/>
  <c r="K11375" i="3" s="1"/>
  <c r="M11374" i="3"/>
  <c r="L11374" i="3"/>
  <c r="J11374" i="3"/>
  <c r="K11374" i="3" s="1"/>
  <c r="M11373" i="3"/>
  <c r="L11373" i="3"/>
  <c r="J11373" i="3"/>
  <c r="K11373" i="3" s="1"/>
  <c r="M11372" i="3"/>
  <c r="L11372" i="3"/>
  <c r="J11372" i="3"/>
  <c r="K11372" i="3" s="1"/>
  <c r="M11371" i="3"/>
  <c r="L11371" i="3"/>
  <c r="J11371" i="3"/>
  <c r="K11371" i="3" s="1"/>
  <c r="M11370" i="3"/>
  <c r="L11370" i="3"/>
  <c r="J11370" i="3"/>
  <c r="K11370" i="3" s="1"/>
  <c r="M11369" i="3"/>
  <c r="L11369" i="3"/>
  <c r="J11369" i="3"/>
  <c r="K11369" i="3" s="1"/>
  <c r="M11368" i="3"/>
  <c r="L11368" i="3"/>
  <c r="J11368" i="3"/>
  <c r="K11368" i="3" s="1"/>
  <c r="M11367" i="3"/>
  <c r="L11367" i="3"/>
  <c r="J11367" i="3"/>
  <c r="K11367" i="3" s="1"/>
  <c r="M11366" i="3"/>
  <c r="L11366" i="3"/>
  <c r="J11366" i="3"/>
  <c r="K11366" i="3" s="1"/>
  <c r="M11365" i="3"/>
  <c r="L11365" i="3"/>
  <c r="J11365" i="3"/>
  <c r="K11365" i="3" s="1"/>
  <c r="M11364" i="3"/>
  <c r="L11364" i="3"/>
  <c r="J11364" i="3"/>
  <c r="K11364" i="3" s="1"/>
  <c r="M11363" i="3"/>
  <c r="L11363" i="3"/>
  <c r="J11363" i="3"/>
  <c r="K11363" i="3" s="1"/>
  <c r="M11362" i="3"/>
  <c r="L11362" i="3"/>
  <c r="J11362" i="3"/>
  <c r="K11362" i="3" s="1"/>
  <c r="M11361" i="3"/>
  <c r="L11361" i="3"/>
  <c r="J11361" i="3"/>
  <c r="K11361" i="3" s="1"/>
  <c r="M11360" i="3"/>
  <c r="L11360" i="3"/>
  <c r="J11360" i="3"/>
  <c r="K11360" i="3" s="1"/>
  <c r="M11359" i="3"/>
  <c r="L11359" i="3"/>
  <c r="J11359" i="3"/>
  <c r="K11359" i="3" s="1"/>
  <c r="M11358" i="3"/>
  <c r="L11358" i="3"/>
  <c r="J11358" i="3"/>
  <c r="K11358" i="3" s="1"/>
  <c r="M11357" i="3"/>
  <c r="L11357" i="3"/>
  <c r="J11357" i="3"/>
  <c r="K11357" i="3" s="1"/>
  <c r="M11356" i="3"/>
  <c r="L11356" i="3"/>
  <c r="J11356" i="3"/>
  <c r="K11356" i="3" s="1"/>
  <c r="M11355" i="3"/>
  <c r="L11355" i="3"/>
  <c r="J11355" i="3"/>
  <c r="K11355" i="3" s="1"/>
  <c r="M11354" i="3"/>
  <c r="L11354" i="3"/>
  <c r="J11354" i="3"/>
  <c r="K11354" i="3" s="1"/>
  <c r="M11353" i="3"/>
  <c r="L11353" i="3"/>
  <c r="J11353" i="3"/>
  <c r="K11353" i="3" s="1"/>
  <c r="M11352" i="3"/>
  <c r="L11352" i="3"/>
  <c r="J11352" i="3"/>
  <c r="K11352" i="3" s="1"/>
  <c r="M11351" i="3"/>
  <c r="L11351" i="3"/>
  <c r="J11351" i="3"/>
  <c r="K11351" i="3" s="1"/>
  <c r="M11350" i="3"/>
  <c r="L11350" i="3"/>
  <c r="J11350" i="3"/>
  <c r="K11350" i="3" s="1"/>
  <c r="M11349" i="3"/>
  <c r="L11349" i="3"/>
  <c r="J11349" i="3"/>
  <c r="K11349" i="3" s="1"/>
  <c r="M11348" i="3"/>
  <c r="L11348" i="3"/>
  <c r="J11348" i="3"/>
  <c r="K11348" i="3" s="1"/>
  <c r="M11347" i="3"/>
  <c r="L11347" i="3"/>
  <c r="J11347" i="3"/>
  <c r="K11347" i="3" s="1"/>
  <c r="M11346" i="3"/>
  <c r="L11346" i="3"/>
  <c r="J11346" i="3"/>
  <c r="K11346" i="3" s="1"/>
  <c r="M11345" i="3"/>
  <c r="L11345" i="3"/>
  <c r="J11345" i="3"/>
  <c r="K11345" i="3" s="1"/>
  <c r="M11344" i="3"/>
  <c r="L11344" i="3"/>
  <c r="J11344" i="3"/>
  <c r="K11344" i="3" s="1"/>
  <c r="M11343" i="3"/>
  <c r="L11343" i="3"/>
  <c r="J11343" i="3"/>
  <c r="K11343" i="3" s="1"/>
  <c r="M11342" i="3"/>
  <c r="L11342" i="3"/>
  <c r="J11342" i="3"/>
  <c r="K11342" i="3" s="1"/>
  <c r="M11341" i="3"/>
  <c r="L11341" i="3"/>
  <c r="J11341" i="3"/>
  <c r="K11341" i="3" s="1"/>
  <c r="M11340" i="3"/>
  <c r="L11340" i="3"/>
  <c r="J11340" i="3"/>
  <c r="K11340" i="3" s="1"/>
  <c r="M11339" i="3"/>
  <c r="L11339" i="3"/>
  <c r="J11339" i="3"/>
  <c r="K11339" i="3" s="1"/>
  <c r="M11338" i="3"/>
  <c r="L11338" i="3"/>
  <c r="J11338" i="3"/>
  <c r="K11338" i="3" s="1"/>
  <c r="M11337" i="3"/>
  <c r="L11337" i="3"/>
  <c r="J11337" i="3"/>
  <c r="K11337" i="3" s="1"/>
  <c r="M11336" i="3"/>
  <c r="L11336" i="3"/>
  <c r="J11336" i="3"/>
  <c r="K11336" i="3" s="1"/>
  <c r="M11335" i="3"/>
  <c r="L11335" i="3"/>
  <c r="J11335" i="3"/>
  <c r="K11335" i="3" s="1"/>
  <c r="M11334" i="3"/>
  <c r="L11334" i="3"/>
  <c r="J11334" i="3"/>
  <c r="K11334" i="3" s="1"/>
  <c r="M11333" i="3"/>
  <c r="L11333" i="3"/>
  <c r="J11333" i="3"/>
  <c r="K11333" i="3" s="1"/>
  <c r="M11332" i="3"/>
  <c r="L11332" i="3"/>
  <c r="J11332" i="3"/>
  <c r="K11332" i="3" s="1"/>
  <c r="M11331" i="3"/>
  <c r="L11331" i="3"/>
  <c r="J11331" i="3"/>
  <c r="K11331" i="3" s="1"/>
  <c r="M11330" i="3"/>
  <c r="L11330" i="3"/>
  <c r="J11330" i="3"/>
  <c r="K11330" i="3" s="1"/>
  <c r="M11329" i="3"/>
  <c r="L11329" i="3"/>
  <c r="J11329" i="3"/>
  <c r="K11329" i="3" s="1"/>
  <c r="M11328" i="3"/>
  <c r="L11328" i="3"/>
  <c r="J11328" i="3"/>
  <c r="K11328" i="3" s="1"/>
  <c r="M11327" i="3"/>
  <c r="L11327" i="3"/>
  <c r="J11327" i="3"/>
  <c r="K11327" i="3" s="1"/>
  <c r="M11326" i="3"/>
  <c r="L11326" i="3"/>
  <c r="J11326" i="3"/>
  <c r="K11326" i="3" s="1"/>
  <c r="M11325" i="3"/>
  <c r="L11325" i="3"/>
  <c r="J11325" i="3"/>
  <c r="K11325" i="3" s="1"/>
  <c r="M11324" i="3"/>
  <c r="L11324" i="3"/>
  <c r="J11324" i="3"/>
  <c r="K11324" i="3" s="1"/>
  <c r="M11323" i="3"/>
  <c r="L11323" i="3"/>
  <c r="J11323" i="3"/>
  <c r="K11323" i="3" s="1"/>
  <c r="M11322" i="3"/>
  <c r="L11322" i="3"/>
  <c r="J11322" i="3"/>
  <c r="K11322" i="3" s="1"/>
  <c r="M11321" i="3"/>
  <c r="L11321" i="3"/>
  <c r="J11321" i="3"/>
  <c r="K11321" i="3" s="1"/>
  <c r="M11320" i="3"/>
  <c r="L11320" i="3"/>
  <c r="J11320" i="3"/>
  <c r="K11320" i="3" s="1"/>
  <c r="M11319" i="3"/>
  <c r="L11319" i="3"/>
  <c r="J11319" i="3"/>
  <c r="K11319" i="3" s="1"/>
  <c r="M11318" i="3"/>
  <c r="L11318" i="3"/>
  <c r="J11318" i="3"/>
  <c r="K11318" i="3" s="1"/>
  <c r="M11317" i="3"/>
  <c r="L11317" i="3"/>
  <c r="J11317" i="3"/>
  <c r="K11317" i="3" s="1"/>
  <c r="M11316" i="3"/>
  <c r="L11316" i="3"/>
  <c r="J11316" i="3"/>
  <c r="K11316" i="3" s="1"/>
  <c r="M11315" i="3"/>
  <c r="L11315" i="3"/>
  <c r="J11315" i="3"/>
  <c r="K11315" i="3" s="1"/>
  <c r="M11314" i="3"/>
  <c r="L11314" i="3"/>
  <c r="J11314" i="3"/>
  <c r="K11314" i="3" s="1"/>
  <c r="M11313" i="3"/>
  <c r="L11313" i="3"/>
  <c r="J11313" i="3"/>
  <c r="K11313" i="3" s="1"/>
  <c r="M11312" i="3"/>
  <c r="L11312" i="3"/>
  <c r="J11312" i="3"/>
  <c r="K11312" i="3" s="1"/>
  <c r="M11311" i="3"/>
  <c r="L11311" i="3"/>
  <c r="J11311" i="3"/>
  <c r="K11311" i="3" s="1"/>
  <c r="M11310" i="3"/>
  <c r="L11310" i="3"/>
  <c r="J11310" i="3"/>
  <c r="K11310" i="3" s="1"/>
  <c r="M11309" i="3"/>
  <c r="L11309" i="3"/>
  <c r="J11309" i="3"/>
  <c r="K11309" i="3" s="1"/>
  <c r="M11308" i="3"/>
  <c r="L11308" i="3"/>
  <c r="J11308" i="3"/>
  <c r="K11308" i="3" s="1"/>
  <c r="M11307" i="3"/>
  <c r="L11307" i="3"/>
  <c r="J11307" i="3"/>
  <c r="K11307" i="3" s="1"/>
  <c r="M11306" i="3"/>
  <c r="L11306" i="3"/>
  <c r="J11306" i="3"/>
  <c r="K11306" i="3" s="1"/>
  <c r="M11305" i="3"/>
  <c r="L11305" i="3"/>
  <c r="J11305" i="3"/>
  <c r="K11305" i="3" s="1"/>
  <c r="M11304" i="3"/>
  <c r="L11304" i="3"/>
  <c r="J11304" i="3"/>
  <c r="K11304" i="3" s="1"/>
  <c r="M11303" i="3"/>
  <c r="L11303" i="3"/>
  <c r="J11303" i="3"/>
  <c r="K11303" i="3" s="1"/>
  <c r="M11302" i="3"/>
  <c r="L11302" i="3"/>
  <c r="J11302" i="3"/>
  <c r="K11302" i="3" s="1"/>
  <c r="M11301" i="3"/>
  <c r="L11301" i="3"/>
  <c r="J11301" i="3"/>
  <c r="K11301" i="3" s="1"/>
  <c r="M11300" i="3"/>
  <c r="L11300" i="3"/>
  <c r="J11300" i="3"/>
  <c r="K11300" i="3" s="1"/>
  <c r="M11299" i="3"/>
  <c r="L11299" i="3"/>
  <c r="J11299" i="3"/>
  <c r="K11299" i="3" s="1"/>
  <c r="M11298" i="3"/>
  <c r="L11298" i="3"/>
  <c r="J11298" i="3"/>
  <c r="K11298" i="3" s="1"/>
  <c r="M11297" i="3"/>
  <c r="L11297" i="3"/>
  <c r="J11297" i="3"/>
  <c r="K11297" i="3" s="1"/>
  <c r="M11296" i="3"/>
  <c r="L11296" i="3"/>
  <c r="J11296" i="3"/>
  <c r="K11296" i="3" s="1"/>
  <c r="M11295" i="3"/>
  <c r="L11295" i="3"/>
  <c r="J11295" i="3"/>
  <c r="K11295" i="3" s="1"/>
  <c r="M11294" i="3"/>
  <c r="L11294" i="3"/>
  <c r="J11294" i="3"/>
  <c r="K11294" i="3" s="1"/>
  <c r="M11293" i="3"/>
  <c r="L11293" i="3"/>
  <c r="J11293" i="3"/>
  <c r="K11293" i="3" s="1"/>
  <c r="M11292" i="3"/>
  <c r="L11292" i="3"/>
  <c r="J11292" i="3"/>
  <c r="K11292" i="3" s="1"/>
  <c r="M11291" i="3"/>
  <c r="L11291" i="3"/>
  <c r="J11291" i="3"/>
  <c r="K11291" i="3" s="1"/>
  <c r="M11290" i="3"/>
  <c r="L11290" i="3"/>
  <c r="J11290" i="3"/>
  <c r="K11290" i="3" s="1"/>
  <c r="M11289" i="3"/>
  <c r="L11289" i="3"/>
  <c r="J11289" i="3"/>
  <c r="K11289" i="3" s="1"/>
  <c r="M11288" i="3"/>
  <c r="L11288" i="3"/>
  <c r="J11288" i="3"/>
  <c r="K11288" i="3" s="1"/>
  <c r="M11287" i="3"/>
  <c r="L11287" i="3"/>
  <c r="J11287" i="3"/>
  <c r="K11287" i="3" s="1"/>
  <c r="M11286" i="3"/>
  <c r="L11286" i="3"/>
  <c r="J11286" i="3"/>
  <c r="K11286" i="3" s="1"/>
  <c r="M11285" i="3"/>
  <c r="L11285" i="3"/>
  <c r="J11285" i="3"/>
  <c r="K11285" i="3" s="1"/>
  <c r="M11284" i="3"/>
  <c r="L11284" i="3"/>
  <c r="J11284" i="3"/>
  <c r="K11284" i="3" s="1"/>
  <c r="M11283" i="3"/>
  <c r="L11283" i="3"/>
  <c r="J11283" i="3"/>
  <c r="K11283" i="3" s="1"/>
  <c r="M11282" i="3"/>
  <c r="L11282" i="3"/>
  <c r="J11282" i="3"/>
  <c r="K11282" i="3" s="1"/>
  <c r="M11281" i="3"/>
  <c r="L11281" i="3"/>
  <c r="J11281" i="3"/>
  <c r="K11281" i="3" s="1"/>
  <c r="M11280" i="3"/>
  <c r="L11280" i="3"/>
  <c r="J11280" i="3"/>
  <c r="K11280" i="3" s="1"/>
  <c r="M11279" i="3"/>
  <c r="L11279" i="3"/>
  <c r="J11279" i="3"/>
  <c r="K11279" i="3" s="1"/>
  <c r="M11278" i="3"/>
  <c r="L11278" i="3"/>
  <c r="J11278" i="3"/>
  <c r="K11278" i="3" s="1"/>
  <c r="M11277" i="3"/>
  <c r="L11277" i="3"/>
  <c r="J11277" i="3"/>
  <c r="K11277" i="3" s="1"/>
  <c r="M11276" i="3"/>
  <c r="L11276" i="3"/>
  <c r="J11276" i="3"/>
  <c r="K11276" i="3" s="1"/>
  <c r="M11275" i="3"/>
  <c r="L11275" i="3"/>
  <c r="J11275" i="3"/>
  <c r="K11275" i="3" s="1"/>
  <c r="M11274" i="3"/>
  <c r="L11274" i="3"/>
  <c r="J11274" i="3"/>
  <c r="K11274" i="3" s="1"/>
  <c r="M11273" i="3"/>
  <c r="L11273" i="3"/>
  <c r="J11273" i="3"/>
  <c r="K11273" i="3" s="1"/>
  <c r="M11272" i="3"/>
  <c r="L11272" i="3"/>
  <c r="J11272" i="3"/>
  <c r="K11272" i="3" s="1"/>
  <c r="M11271" i="3"/>
  <c r="L11271" i="3"/>
  <c r="J11271" i="3"/>
  <c r="K11271" i="3" s="1"/>
  <c r="M11270" i="3"/>
  <c r="L11270" i="3"/>
  <c r="J11270" i="3"/>
  <c r="K11270" i="3" s="1"/>
  <c r="M11269" i="3"/>
  <c r="L11269" i="3"/>
  <c r="J11269" i="3"/>
  <c r="K11269" i="3" s="1"/>
  <c r="M11268" i="3"/>
  <c r="L11268" i="3"/>
  <c r="J11268" i="3"/>
  <c r="K11268" i="3" s="1"/>
  <c r="M11267" i="3"/>
  <c r="L11267" i="3"/>
  <c r="J11267" i="3"/>
  <c r="K11267" i="3" s="1"/>
  <c r="M11266" i="3"/>
  <c r="L11266" i="3"/>
  <c r="J11266" i="3"/>
  <c r="K11266" i="3" s="1"/>
  <c r="M11265" i="3"/>
  <c r="L11265" i="3"/>
  <c r="J11265" i="3"/>
  <c r="K11265" i="3" s="1"/>
  <c r="M11264" i="3"/>
  <c r="L11264" i="3"/>
  <c r="J11264" i="3"/>
  <c r="K11264" i="3" s="1"/>
  <c r="M11263" i="3"/>
  <c r="L11263" i="3"/>
  <c r="J11263" i="3"/>
  <c r="K11263" i="3" s="1"/>
  <c r="M11262" i="3"/>
  <c r="L11262" i="3"/>
  <c r="J11262" i="3"/>
  <c r="K11262" i="3" s="1"/>
  <c r="M11261" i="3"/>
  <c r="L11261" i="3"/>
  <c r="J11261" i="3"/>
  <c r="K11261" i="3" s="1"/>
  <c r="M11260" i="3"/>
  <c r="L11260" i="3"/>
  <c r="J11260" i="3"/>
  <c r="K11260" i="3" s="1"/>
  <c r="M11259" i="3"/>
  <c r="L11259" i="3"/>
  <c r="J11259" i="3"/>
  <c r="K11259" i="3" s="1"/>
  <c r="M11258" i="3"/>
  <c r="L11258" i="3"/>
  <c r="J11258" i="3"/>
  <c r="K11258" i="3" s="1"/>
  <c r="L11235" i="3"/>
  <c r="J11235" i="3"/>
  <c r="AM485" i="23"/>
  <c r="AA485" i="23"/>
  <c r="AP2" i="23"/>
  <c r="AP3" i="23"/>
  <c r="AP4" i="23"/>
  <c r="AP5" i="23"/>
  <c r="AP6" i="23"/>
  <c r="AP7" i="23"/>
  <c r="AP8" i="23"/>
  <c r="AP9" i="23"/>
  <c r="AP10" i="23"/>
  <c r="AP11" i="23"/>
  <c r="AP12" i="23"/>
  <c r="AP13" i="23"/>
  <c r="AP14" i="23"/>
  <c r="AP15" i="23"/>
  <c r="AP16" i="23"/>
  <c r="AP17" i="23"/>
  <c r="AP18" i="23"/>
  <c r="AP19" i="23"/>
  <c r="AP20" i="23"/>
  <c r="AP21" i="23"/>
  <c r="AO485" i="23"/>
  <c r="AH485" i="23"/>
  <c r="AH484" i="23"/>
  <c r="AE485" i="23"/>
  <c r="AP499" i="23" s="1"/>
  <c r="K485" i="23"/>
  <c r="V485" i="23"/>
  <c r="W485" i="23"/>
  <c r="X485" i="23"/>
  <c r="Z485" i="23"/>
  <c r="AB485" i="23"/>
  <c r="F485" i="23"/>
  <c r="H11617" i="3"/>
  <c r="G11617" i="3"/>
  <c r="H11616" i="3"/>
  <c r="G11616" i="3"/>
  <c r="H11615" i="3"/>
  <c r="G11615" i="3"/>
  <c r="H11614" i="3"/>
  <c r="G11614" i="3"/>
  <c r="H11613" i="3"/>
  <c r="G11613" i="3"/>
  <c r="H11612" i="3"/>
  <c r="G11612" i="3"/>
  <c r="H11611" i="3"/>
  <c r="G11611" i="3"/>
  <c r="I11611" i="3" s="1"/>
  <c r="H11610" i="3"/>
  <c r="G11610" i="3"/>
  <c r="H11609" i="3"/>
  <c r="G11609" i="3"/>
  <c r="I11609" i="3" s="1"/>
  <c r="H11608" i="3"/>
  <c r="G11608" i="3"/>
  <c r="H11607" i="3"/>
  <c r="G11607" i="3"/>
  <c r="H11606" i="3"/>
  <c r="G11606" i="3"/>
  <c r="H11605" i="3"/>
  <c r="G11605" i="3"/>
  <c r="H11604" i="3"/>
  <c r="G11604" i="3"/>
  <c r="H11603" i="3"/>
  <c r="G11603" i="3"/>
  <c r="H11602" i="3"/>
  <c r="G11602" i="3"/>
  <c r="H11601" i="3"/>
  <c r="G11601" i="3"/>
  <c r="H11600" i="3"/>
  <c r="G11600" i="3"/>
  <c r="H11599" i="3"/>
  <c r="G11599" i="3"/>
  <c r="H11598" i="3"/>
  <c r="G11598" i="3"/>
  <c r="H11597" i="3"/>
  <c r="G11597" i="3"/>
  <c r="H11596" i="3"/>
  <c r="G11596" i="3"/>
  <c r="H11595" i="3"/>
  <c r="G11595" i="3"/>
  <c r="H11594" i="3"/>
  <c r="G11594" i="3"/>
  <c r="S485" i="1"/>
  <c r="F485" i="1"/>
  <c r="X484" i="23"/>
  <c r="K484" i="23"/>
  <c r="V484" i="23"/>
  <c r="W484" i="23"/>
  <c r="Z484" i="23"/>
  <c r="AA484" i="23"/>
  <c r="AB484" i="23"/>
  <c r="AE484" i="23"/>
  <c r="AP498" i="23" s="1"/>
  <c r="AM484" i="23"/>
  <c r="AO484" i="23"/>
  <c r="F484" i="23"/>
  <c r="M475" i="1"/>
  <c r="M476" i="1"/>
  <c r="M477" i="1"/>
  <c r="M478" i="1"/>
  <c r="M479" i="1"/>
  <c r="M480" i="1"/>
  <c r="M481" i="1"/>
  <c r="M482" i="1"/>
  <c r="M483" i="1"/>
  <c r="M472" i="1"/>
  <c r="AI491" i="23" l="1"/>
  <c r="AN491" i="23"/>
  <c r="AR506" i="23"/>
  <c r="AK498" i="23"/>
  <c r="AF492" i="23"/>
  <c r="AJ492" i="23" s="1"/>
  <c r="AI492" i="23"/>
  <c r="AN492" i="23"/>
  <c r="AR505" i="23"/>
  <c r="AK497" i="23"/>
  <c r="AF491" i="23"/>
  <c r="AJ491" i="23" s="1"/>
  <c r="I11600" i="3"/>
  <c r="I11602" i="3"/>
  <c r="I11608" i="3"/>
  <c r="I11610" i="3"/>
  <c r="I11612" i="3"/>
  <c r="I11614" i="3"/>
  <c r="I11616" i="3"/>
  <c r="I11595" i="3"/>
  <c r="I11604" i="3"/>
  <c r="I11594" i="3"/>
  <c r="I11617" i="3"/>
  <c r="I11596" i="3"/>
  <c r="I11597" i="3"/>
  <c r="I11607" i="3"/>
  <c r="I11599" i="3"/>
  <c r="I11613" i="3"/>
  <c r="I11598" i="3"/>
  <c r="I11603" i="3"/>
  <c r="I11605" i="3"/>
  <c r="I11601" i="3"/>
  <c r="I11606" i="3"/>
  <c r="I11615" i="3"/>
  <c r="H11593" i="3" l="1"/>
  <c r="G11593" i="3"/>
  <c r="H11592" i="3"/>
  <c r="G11592" i="3"/>
  <c r="H11591" i="3"/>
  <c r="G11591" i="3"/>
  <c r="H11590" i="3"/>
  <c r="G11590" i="3"/>
  <c r="H11589" i="3"/>
  <c r="G11589" i="3"/>
  <c r="H11588" i="3"/>
  <c r="G11588" i="3"/>
  <c r="H11587" i="3"/>
  <c r="G11587" i="3"/>
  <c r="H11586" i="3"/>
  <c r="G11586" i="3"/>
  <c r="H11585" i="3"/>
  <c r="G11585" i="3"/>
  <c r="H11584" i="3"/>
  <c r="G11584" i="3"/>
  <c r="H11583" i="3"/>
  <c r="G11583" i="3"/>
  <c r="H11582" i="3"/>
  <c r="G11582" i="3"/>
  <c r="H11581" i="3"/>
  <c r="G11581" i="3"/>
  <c r="H11580" i="3"/>
  <c r="G11580" i="3"/>
  <c r="H11579" i="3"/>
  <c r="G11579" i="3"/>
  <c r="H11578" i="3"/>
  <c r="G11578" i="3"/>
  <c r="H11577" i="3"/>
  <c r="G11577" i="3"/>
  <c r="H11576" i="3"/>
  <c r="G11576" i="3"/>
  <c r="H11575" i="3"/>
  <c r="G11575" i="3"/>
  <c r="H11574" i="3"/>
  <c r="G11574" i="3"/>
  <c r="H11573" i="3"/>
  <c r="G11573" i="3"/>
  <c r="H11572" i="3"/>
  <c r="G11572" i="3"/>
  <c r="H11571" i="3"/>
  <c r="G11571" i="3"/>
  <c r="H11570" i="3"/>
  <c r="G11570" i="3"/>
  <c r="S484" i="1"/>
  <c r="F484" i="1"/>
  <c r="I11593" i="3" l="1"/>
  <c r="I11570" i="3"/>
  <c r="I11572" i="3"/>
  <c r="I11574" i="3"/>
  <c r="I11576" i="3"/>
  <c r="I11578" i="3"/>
  <c r="I11580" i="3"/>
  <c r="I11582" i="3"/>
  <c r="I11584" i="3"/>
  <c r="I11586" i="3"/>
  <c r="I11588" i="3"/>
  <c r="I11590" i="3"/>
  <c r="I11592" i="3"/>
  <c r="I11571" i="3"/>
  <c r="I11573" i="3"/>
  <c r="I11575" i="3"/>
  <c r="I11577" i="3"/>
  <c r="I11579" i="3"/>
  <c r="I11581" i="3"/>
  <c r="I11583" i="3"/>
  <c r="I11585" i="3"/>
  <c r="I11587" i="3"/>
  <c r="I11589" i="3"/>
  <c r="I11591" i="3"/>
  <c r="G11551" i="3" l="1"/>
  <c r="K482" i="23"/>
  <c r="V482" i="23"/>
  <c r="W482" i="23"/>
  <c r="X482" i="23"/>
  <c r="Y482" i="23"/>
  <c r="Z482" i="23"/>
  <c r="AA482" i="23"/>
  <c r="AB482" i="23"/>
  <c r="AE482" i="23"/>
  <c r="AH482" i="23"/>
  <c r="AM482" i="23"/>
  <c r="AO482" i="23"/>
  <c r="K483" i="23"/>
  <c r="V483" i="23"/>
  <c r="W483" i="23"/>
  <c r="X483" i="23"/>
  <c r="Z483" i="23"/>
  <c r="AA483" i="23"/>
  <c r="AB483" i="23"/>
  <c r="AE483" i="23"/>
  <c r="AH483" i="23"/>
  <c r="AM483" i="23"/>
  <c r="AO483" i="23"/>
  <c r="F483" i="23"/>
  <c r="H11569" i="3"/>
  <c r="G11569" i="3"/>
  <c r="H11568" i="3"/>
  <c r="G11568" i="3"/>
  <c r="H11567" i="3"/>
  <c r="G11567" i="3"/>
  <c r="H11566" i="3"/>
  <c r="G11566" i="3"/>
  <c r="H11565" i="3"/>
  <c r="G11565" i="3"/>
  <c r="H11564" i="3"/>
  <c r="G11564" i="3"/>
  <c r="H11563" i="3"/>
  <c r="G11563" i="3"/>
  <c r="H11562" i="3"/>
  <c r="G11562" i="3"/>
  <c r="H11561" i="3"/>
  <c r="G11561" i="3"/>
  <c r="H11560" i="3"/>
  <c r="G11560" i="3"/>
  <c r="H11559" i="3"/>
  <c r="G11559" i="3"/>
  <c r="H11558" i="3"/>
  <c r="G11558" i="3"/>
  <c r="H11557" i="3"/>
  <c r="G11557" i="3"/>
  <c r="H11556" i="3"/>
  <c r="G11556" i="3"/>
  <c r="H11555" i="3"/>
  <c r="G11555" i="3"/>
  <c r="H11554" i="3"/>
  <c r="G11554" i="3"/>
  <c r="H11553" i="3"/>
  <c r="G11553" i="3"/>
  <c r="H11552" i="3"/>
  <c r="G11552" i="3"/>
  <c r="H11551" i="3"/>
  <c r="H11550" i="3"/>
  <c r="G11550" i="3"/>
  <c r="H11549" i="3"/>
  <c r="G11549" i="3"/>
  <c r="H11548" i="3"/>
  <c r="G11548" i="3"/>
  <c r="H11547" i="3"/>
  <c r="G11547" i="3"/>
  <c r="H11546" i="3"/>
  <c r="G11546" i="3"/>
  <c r="S483" i="1"/>
  <c r="F483" i="1"/>
  <c r="J482" i="23"/>
  <c r="J483" i="23" s="1"/>
  <c r="J484" i="23" s="1"/>
  <c r="J485" i="23" s="1"/>
  <c r="J486" i="23" s="1"/>
  <c r="J487" i="23" s="1"/>
  <c r="J488" i="23" s="1"/>
  <c r="J489" i="23" s="1"/>
  <c r="J490" i="23" s="1"/>
  <c r="J491" i="23" s="1"/>
  <c r="J492" i="23" s="1"/>
  <c r="J493" i="23" s="1"/>
  <c r="J494" i="23" s="1"/>
  <c r="J495" i="23" s="1"/>
  <c r="J496" i="23" s="1"/>
  <c r="J497" i="23" s="1"/>
  <c r="J498" i="23" s="1"/>
  <c r="J499" i="23" s="1"/>
  <c r="J500" i="23" s="1"/>
  <c r="J501" i="23" s="1"/>
  <c r="J502" i="23" s="1"/>
  <c r="J503" i="23" s="1"/>
  <c r="J504" i="23" s="1"/>
  <c r="J505" i="23" s="1"/>
  <c r="J506" i="23" s="1"/>
  <c r="J507" i="23" s="1"/>
  <c r="J508" i="23" s="1"/>
  <c r="J509" i="23" s="1"/>
  <c r="J510" i="23" s="1"/>
  <c r="J511" i="23" s="1"/>
  <c r="J512" i="23" s="1"/>
  <c r="J513" i="23" s="1"/>
  <c r="J514" i="23" s="1"/>
  <c r="J515" i="23" s="1"/>
  <c r="J516" i="23" s="1"/>
  <c r="J517" i="23" s="1"/>
  <c r="J518" i="23" s="1"/>
  <c r="J519" i="23" s="1"/>
  <c r="J520" i="23" s="1"/>
  <c r="J521" i="23" s="1"/>
  <c r="J522" i="23" s="1"/>
  <c r="J523" i="23" s="1"/>
  <c r="J524" i="23" s="1"/>
  <c r="J525" i="23" s="1"/>
  <c r="F482" i="23"/>
  <c r="K462" i="23"/>
  <c r="K463" i="23"/>
  <c r="K464" i="23"/>
  <c r="K465" i="23"/>
  <c r="K466" i="23"/>
  <c r="K467" i="23"/>
  <c r="K468" i="23"/>
  <c r="K469" i="23"/>
  <c r="K470" i="23"/>
  <c r="K471" i="23"/>
  <c r="K472" i="23"/>
  <c r="K473" i="23"/>
  <c r="K474" i="23"/>
  <c r="K475" i="23"/>
  <c r="K476" i="23"/>
  <c r="K477" i="23"/>
  <c r="K478" i="23"/>
  <c r="K479" i="23"/>
  <c r="K480" i="23"/>
  <c r="K481" i="23"/>
  <c r="H11545" i="3"/>
  <c r="G11545" i="3"/>
  <c r="H11544" i="3"/>
  <c r="G11544" i="3"/>
  <c r="H11543" i="3"/>
  <c r="G11543" i="3"/>
  <c r="H11542" i="3"/>
  <c r="G11542" i="3"/>
  <c r="H11541" i="3"/>
  <c r="G11541" i="3"/>
  <c r="H11540" i="3"/>
  <c r="G11540" i="3"/>
  <c r="H11539" i="3"/>
  <c r="G11539" i="3"/>
  <c r="H11538" i="3"/>
  <c r="G11538" i="3"/>
  <c r="H11537" i="3"/>
  <c r="G11537" i="3"/>
  <c r="H11536" i="3"/>
  <c r="G11536" i="3"/>
  <c r="H11535" i="3"/>
  <c r="G11535" i="3"/>
  <c r="H11534" i="3"/>
  <c r="G11534" i="3"/>
  <c r="H11533" i="3"/>
  <c r="G11533" i="3"/>
  <c r="H11532" i="3"/>
  <c r="G11532" i="3"/>
  <c r="H11531" i="3"/>
  <c r="G11531" i="3"/>
  <c r="H11530" i="3"/>
  <c r="G11530" i="3"/>
  <c r="H11529" i="3"/>
  <c r="G11529" i="3"/>
  <c r="H11528" i="3"/>
  <c r="G11528" i="3"/>
  <c r="H11527" i="3"/>
  <c r="G11527" i="3"/>
  <c r="H11526" i="3"/>
  <c r="G11526" i="3"/>
  <c r="H11525" i="3"/>
  <c r="G11525" i="3"/>
  <c r="H11524" i="3"/>
  <c r="G11524" i="3"/>
  <c r="H11523" i="3"/>
  <c r="G11523" i="3"/>
  <c r="H11522" i="3"/>
  <c r="G11522" i="3"/>
  <c r="F482" i="1"/>
  <c r="S482" i="1"/>
  <c r="V481" i="23"/>
  <c r="W481" i="23"/>
  <c r="X481" i="23"/>
  <c r="Z481" i="23"/>
  <c r="AA481" i="23"/>
  <c r="AB481" i="23"/>
  <c r="AE481" i="23"/>
  <c r="AH481" i="23"/>
  <c r="AM481" i="23"/>
  <c r="AO481" i="23"/>
  <c r="T481" i="23"/>
  <c r="J481" i="23"/>
  <c r="F481" i="23"/>
  <c r="E481" i="23"/>
  <c r="E482" i="23" s="1"/>
  <c r="E483" i="23" s="1"/>
  <c r="E484" i="23" s="1"/>
  <c r="C481" i="23"/>
  <c r="C482" i="23" s="1"/>
  <c r="C483" i="23" s="1"/>
  <c r="C484" i="23" l="1"/>
  <c r="S483" i="23"/>
  <c r="E485" i="23"/>
  <c r="AI488" i="23"/>
  <c r="AN488" i="23"/>
  <c r="AC497" i="23"/>
  <c r="AD497" i="23" s="1"/>
  <c r="AR504" i="23"/>
  <c r="AK496" i="23"/>
  <c r="AF490" i="23"/>
  <c r="AJ490" i="23" s="1"/>
  <c r="AC495" i="23"/>
  <c r="AD495" i="23" s="1"/>
  <c r="AR502" i="23"/>
  <c r="AK494" i="23"/>
  <c r="AF488" i="23"/>
  <c r="AJ488" i="23" s="1"/>
  <c r="AP497" i="23"/>
  <c r="AP495" i="23"/>
  <c r="AI490" i="23"/>
  <c r="AN490" i="23"/>
  <c r="AC496" i="23"/>
  <c r="AD496" i="23" s="1"/>
  <c r="AK495" i="23"/>
  <c r="AR503" i="23"/>
  <c r="AF489" i="23"/>
  <c r="AJ489" i="23" s="1"/>
  <c r="AP496" i="23"/>
  <c r="AI489" i="23"/>
  <c r="AN489" i="23"/>
  <c r="I11523" i="3"/>
  <c r="I11525" i="3"/>
  <c r="I11527" i="3"/>
  <c r="I11529" i="3"/>
  <c r="I11531" i="3"/>
  <c r="I11533" i="3"/>
  <c r="I11535" i="3"/>
  <c r="I11537" i="3"/>
  <c r="I11539" i="3"/>
  <c r="I11541" i="3"/>
  <c r="I11543" i="3"/>
  <c r="I11545" i="3"/>
  <c r="I11524" i="3"/>
  <c r="I11528" i="3"/>
  <c r="I11532" i="3"/>
  <c r="I11536" i="3"/>
  <c r="I11540" i="3"/>
  <c r="I11544" i="3"/>
  <c r="I11522" i="3"/>
  <c r="I11526" i="3"/>
  <c r="I11530" i="3"/>
  <c r="I11534" i="3"/>
  <c r="I11538" i="3"/>
  <c r="I11542" i="3"/>
  <c r="I11546" i="3"/>
  <c r="I11548" i="3"/>
  <c r="I11550" i="3"/>
  <c r="I11552" i="3"/>
  <c r="I11554" i="3"/>
  <c r="I11556" i="3"/>
  <c r="I11558" i="3"/>
  <c r="I11560" i="3"/>
  <c r="I11562" i="3"/>
  <c r="I11564" i="3"/>
  <c r="I11566" i="3"/>
  <c r="I11568" i="3"/>
  <c r="I11547" i="3"/>
  <c r="I11549" i="3"/>
  <c r="I11551" i="3"/>
  <c r="I11553" i="3"/>
  <c r="I11555" i="3"/>
  <c r="I11557" i="3"/>
  <c r="I11559" i="3"/>
  <c r="I11561" i="3"/>
  <c r="I11563" i="3"/>
  <c r="I11565" i="3"/>
  <c r="I11567" i="3"/>
  <c r="I11569" i="3"/>
  <c r="U481" i="23"/>
  <c r="S481" i="23"/>
  <c r="AL488" i="23" s="1"/>
  <c r="S484" i="23" l="1"/>
  <c r="C485" i="23"/>
  <c r="AC498" i="23"/>
  <c r="AD498" i="23" s="1"/>
  <c r="Y483" i="23"/>
  <c r="AL490" i="23"/>
  <c r="E486" i="23"/>
  <c r="AC499" i="23"/>
  <c r="AD499" i="23" s="1"/>
  <c r="Y481" i="23"/>
  <c r="Y484" i="23" l="1"/>
  <c r="AL491" i="23"/>
  <c r="E487" i="23"/>
  <c r="S485" i="23"/>
  <c r="C486" i="23"/>
  <c r="AC500" i="23" s="1"/>
  <c r="AD500" i="23" s="1"/>
  <c r="H11521" i="3"/>
  <c r="G11521" i="3"/>
  <c r="H11520" i="3"/>
  <c r="G11520" i="3"/>
  <c r="H11519" i="3"/>
  <c r="G11519" i="3"/>
  <c r="I11519" i="3" s="1"/>
  <c r="H11518" i="3"/>
  <c r="G11518" i="3"/>
  <c r="H11517" i="3"/>
  <c r="G11517" i="3"/>
  <c r="I11517" i="3" s="1"/>
  <c r="H11516" i="3"/>
  <c r="G11516" i="3"/>
  <c r="H11515" i="3"/>
  <c r="G11515" i="3"/>
  <c r="H11514" i="3"/>
  <c r="G11514" i="3"/>
  <c r="H11513" i="3"/>
  <c r="G11513" i="3"/>
  <c r="I11513" i="3" s="1"/>
  <c r="H11512" i="3"/>
  <c r="G11512" i="3"/>
  <c r="H11511" i="3"/>
  <c r="G11511" i="3"/>
  <c r="H11510" i="3"/>
  <c r="G11510" i="3"/>
  <c r="H11509" i="3"/>
  <c r="G11509" i="3"/>
  <c r="H11508" i="3"/>
  <c r="G11508" i="3"/>
  <c r="H11507" i="3"/>
  <c r="G11507" i="3"/>
  <c r="H11506" i="3"/>
  <c r="G11506" i="3"/>
  <c r="H11505" i="3"/>
  <c r="G11505" i="3"/>
  <c r="H11504" i="3"/>
  <c r="G11504" i="3"/>
  <c r="H11503" i="3"/>
  <c r="G11503" i="3"/>
  <c r="H11502" i="3"/>
  <c r="G11502" i="3"/>
  <c r="H11501" i="3"/>
  <c r="G11501" i="3"/>
  <c r="H11500" i="3"/>
  <c r="G11500" i="3"/>
  <c r="H11499" i="3"/>
  <c r="G11499" i="3"/>
  <c r="H11498" i="3"/>
  <c r="G11498" i="3"/>
  <c r="S481" i="1"/>
  <c r="F481" i="1"/>
  <c r="AW480" i="23"/>
  <c r="AE480" i="23"/>
  <c r="V480" i="23"/>
  <c r="W480" i="23"/>
  <c r="X480" i="23"/>
  <c r="Y480" i="23"/>
  <c r="Z480" i="23"/>
  <c r="AA480" i="23"/>
  <c r="AB480" i="23"/>
  <c r="AH480" i="23"/>
  <c r="AM480" i="23"/>
  <c r="AO480" i="23"/>
  <c r="AA479" i="23"/>
  <c r="H11497" i="3"/>
  <c r="G11497" i="3"/>
  <c r="H11496" i="3"/>
  <c r="G11496" i="3"/>
  <c r="H11495" i="3"/>
  <c r="G11495" i="3"/>
  <c r="I11495" i="3" s="1"/>
  <c r="H11494" i="3"/>
  <c r="G11494" i="3"/>
  <c r="I11494" i="3" s="1"/>
  <c r="H11493" i="3"/>
  <c r="G11493" i="3"/>
  <c r="H11492" i="3"/>
  <c r="G11492" i="3"/>
  <c r="H11491" i="3"/>
  <c r="G11491" i="3"/>
  <c r="H11490" i="3"/>
  <c r="G11490" i="3"/>
  <c r="H11489" i="3"/>
  <c r="G11489" i="3"/>
  <c r="H11488" i="3"/>
  <c r="G11488" i="3"/>
  <c r="H11487" i="3"/>
  <c r="G11487" i="3"/>
  <c r="H11486" i="3"/>
  <c r="G11486" i="3"/>
  <c r="H11485" i="3"/>
  <c r="G11485" i="3"/>
  <c r="H11484" i="3"/>
  <c r="G11484" i="3"/>
  <c r="H11483" i="3"/>
  <c r="G11483" i="3"/>
  <c r="H11482" i="3"/>
  <c r="G11482" i="3"/>
  <c r="H11481" i="3"/>
  <c r="G11481" i="3"/>
  <c r="H11480" i="3"/>
  <c r="G11480" i="3"/>
  <c r="H11479" i="3"/>
  <c r="G11479" i="3"/>
  <c r="H11478" i="3"/>
  <c r="G11478" i="3"/>
  <c r="H11477" i="3"/>
  <c r="G11477" i="3"/>
  <c r="H11476" i="3"/>
  <c r="G11476" i="3"/>
  <c r="H11475" i="3"/>
  <c r="G11475" i="3"/>
  <c r="H11474" i="3"/>
  <c r="G11474" i="3"/>
  <c r="S480" i="1"/>
  <c r="F480" i="1"/>
  <c r="T479" i="23"/>
  <c r="V479" i="23"/>
  <c r="W479" i="23"/>
  <c r="X479" i="23"/>
  <c r="Z479" i="23"/>
  <c r="AB479" i="23"/>
  <c r="AE479" i="23"/>
  <c r="AH479" i="23"/>
  <c r="AM479" i="23"/>
  <c r="AO479" i="23"/>
  <c r="F479" i="23"/>
  <c r="S479" i="1"/>
  <c r="F479" i="1"/>
  <c r="H11473" i="3"/>
  <c r="G11473" i="3"/>
  <c r="H11472" i="3"/>
  <c r="G11472" i="3"/>
  <c r="H11471" i="3"/>
  <c r="G11471" i="3"/>
  <c r="H11470" i="3"/>
  <c r="G11470" i="3"/>
  <c r="H11469" i="3"/>
  <c r="G11469" i="3"/>
  <c r="H11468" i="3"/>
  <c r="G11468" i="3"/>
  <c r="H11467" i="3"/>
  <c r="G11467" i="3"/>
  <c r="H11466" i="3"/>
  <c r="G11466" i="3"/>
  <c r="H11465" i="3"/>
  <c r="G11465" i="3"/>
  <c r="H11464" i="3"/>
  <c r="G11464" i="3"/>
  <c r="H11463" i="3"/>
  <c r="G11463" i="3"/>
  <c r="H11462" i="3"/>
  <c r="G11462" i="3"/>
  <c r="H11461" i="3"/>
  <c r="G11461" i="3"/>
  <c r="H11460" i="3"/>
  <c r="G11460" i="3"/>
  <c r="H11459" i="3"/>
  <c r="G11459" i="3"/>
  <c r="H11458" i="3"/>
  <c r="G11458" i="3"/>
  <c r="H11457" i="3"/>
  <c r="G11457" i="3"/>
  <c r="H11456" i="3"/>
  <c r="G11456" i="3"/>
  <c r="H11455" i="3"/>
  <c r="G11455" i="3"/>
  <c r="H11454" i="3"/>
  <c r="G11454" i="3"/>
  <c r="H11453" i="3"/>
  <c r="G11453" i="3"/>
  <c r="H11452" i="3"/>
  <c r="G11452" i="3"/>
  <c r="H11451" i="3"/>
  <c r="G11451" i="3"/>
  <c r="H11450" i="3"/>
  <c r="G11450" i="3"/>
  <c r="H4195" i="3"/>
  <c r="AC494" i="23" l="1"/>
  <c r="AD494" i="23" s="1"/>
  <c r="AR501" i="23"/>
  <c r="AK493" i="23"/>
  <c r="AF487" i="23"/>
  <c r="AJ487" i="23" s="1"/>
  <c r="E488" i="23"/>
  <c r="AP493" i="23"/>
  <c r="AP494" i="23"/>
  <c r="S486" i="23"/>
  <c r="C487" i="23"/>
  <c r="AC501" i="23" s="1"/>
  <c r="AD501" i="23" s="1"/>
  <c r="AI486" i="23"/>
  <c r="AN486" i="23"/>
  <c r="AR500" i="23"/>
  <c r="AK492" i="23"/>
  <c r="AF486" i="23"/>
  <c r="AJ486" i="23" s="1"/>
  <c r="AI487" i="23"/>
  <c r="AN487" i="23"/>
  <c r="AL492" i="23"/>
  <c r="Y485" i="23"/>
  <c r="I11518" i="3"/>
  <c r="I11501" i="3"/>
  <c r="I11505" i="3"/>
  <c r="I11509" i="3"/>
  <c r="I11450" i="3"/>
  <c r="I11454" i="3"/>
  <c r="I11457" i="3"/>
  <c r="I11458" i="3"/>
  <c r="I11462" i="3"/>
  <c r="I11463" i="3"/>
  <c r="I11464" i="3"/>
  <c r="I11465" i="3"/>
  <c r="I11466" i="3"/>
  <c r="I11468" i="3"/>
  <c r="I11469" i="3"/>
  <c r="I11470" i="3"/>
  <c r="I11471" i="3"/>
  <c r="I11497" i="3"/>
  <c r="I11500" i="3"/>
  <c r="I11504" i="3"/>
  <c r="I11508" i="3"/>
  <c r="I11512" i="3"/>
  <c r="I11516" i="3"/>
  <c r="I11499" i="3"/>
  <c r="I11503" i="3"/>
  <c r="I11507" i="3"/>
  <c r="I11511" i="3"/>
  <c r="I11515" i="3"/>
  <c r="I11521" i="3"/>
  <c r="I11498" i="3"/>
  <c r="I11502" i="3"/>
  <c r="I11506" i="3"/>
  <c r="I11510" i="3"/>
  <c r="I11514" i="3"/>
  <c r="I11520" i="3"/>
  <c r="I11475" i="3"/>
  <c r="I11477" i="3"/>
  <c r="I11479" i="3"/>
  <c r="I11481" i="3"/>
  <c r="I11483" i="3"/>
  <c r="I11485" i="3"/>
  <c r="I11487" i="3"/>
  <c r="I11489" i="3"/>
  <c r="I11491" i="3"/>
  <c r="I11493" i="3"/>
  <c r="I11496" i="3"/>
  <c r="I11474" i="3"/>
  <c r="I11476" i="3"/>
  <c r="I11478" i="3"/>
  <c r="I11480" i="3"/>
  <c r="I11482" i="3"/>
  <c r="I11484" i="3"/>
  <c r="I11486" i="3"/>
  <c r="I11488" i="3"/>
  <c r="I11490" i="3"/>
  <c r="I11492" i="3"/>
  <c r="I11453" i="3"/>
  <c r="I11460" i="3"/>
  <c r="I11461" i="3"/>
  <c r="I11467" i="3"/>
  <c r="I11473" i="3"/>
  <c r="I11451" i="3"/>
  <c r="I11452" i="3"/>
  <c r="I11455" i="3"/>
  <c r="I11456" i="3"/>
  <c r="I11459" i="3"/>
  <c r="I11472" i="3"/>
  <c r="H4203" i="3"/>
  <c r="H4225" i="3"/>
  <c r="H4224" i="3"/>
  <c r="H4223" i="3"/>
  <c r="H4222" i="3"/>
  <c r="H4221" i="3"/>
  <c r="H4220" i="3"/>
  <c r="H4219" i="3"/>
  <c r="H4218" i="3"/>
  <c r="H4217" i="3"/>
  <c r="H4216" i="3"/>
  <c r="H4215" i="3"/>
  <c r="H4214" i="3"/>
  <c r="H4213" i="3"/>
  <c r="H4212" i="3"/>
  <c r="H4211" i="3"/>
  <c r="H4210" i="3"/>
  <c r="H4209" i="3"/>
  <c r="H4208" i="3"/>
  <c r="H4207" i="3"/>
  <c r="H4206" i="3"/>
  <c r="H4205" i="3"/>
  <c r="H4204" i="3"/>
  <c r="H4202" i="3"/>
  <c r="H4201" i="3"/>
  <c r="H4200" i="3"/>
  <c r="H4199" i="3"/>
  <c r="H4198" i="3"/>
  <c r="H4197" i="3"/>
  <c r="H4196"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63" i="3"/>
  <c r="M3985" i="3"/>
  <c r="L3985" i="3"/>
  <c r="J3985" i="3"/>
  <c r="K3985" i="3" s="1"/>
  <c r="H3985" i="3"/>
  <c r="G3985" i="3"/>
  <c r="M3984" i="3"/>
  <c r="L3984" i="3"/>
  <c r="J3984" i="3"/>
  <c r="K3984" i="3" s="1"/>
  <c r="H3984" i="3"/>
  <c r="G3984" i="3"/>
  <c r="M3983" i="3"/>
  <c r="L3983" i="3"/>
  <c r="J3983" i="3"/>
  <c r="K3983" i="3" s="1"/>
  <c r="H3983" i="3"/>
  <c r="G3983" i="3"/>
  <c r="I3983" i="3" s="1"/>
  <c r="M3982" i="3"/>
  <c r="L3982" i="3"/>
  <c r="J3982" i="3"/>
  <c r="K3982" i="3" s="1"/>
  <c r="H3982" i="3"/>
  <c r="I3982" i="3" s="1"/>
  <c r="G3982" i="3"/>
  <c r="M3981" i="3"/>
  <c r="L3981" i="3"/>
  <c r="J3981" i="3"/>
  <c r="K3981" i="3" s="1"/>
  <c r="H3981" i="3"/>
  <c r="I3981" i="3" s="1"/>
  <c r="G3981" i="3"/>
  <c r="M3980" i="3"/>
  <c r="L3980" i="3"/>
  <c r="K3980" i="3"/>
  <c r="J3980" i="3"/>
  <c r="H3980" i="3"/>
  <c r="G3980" i="3"/>
  <c r="I3980" i="3" s="1"/>
  <c r="M3979" i="3"/>
  <c r="L3979" i="3"/>
  <c r="J3979" i="3"/>
  <c r="K3979" i="3" s="1"/>
  <c r="H3979" i="3"/>
  <c r="G3979" i="3"/>
  <c r="M3978" i="3"/>
  <c r="L3978" i="3"/>
  <c r="J3978" i="3"/>
  <c r="K3978" i="3" s="1"/>
  <c r="H3978" i="3"/>
  <c r="G3978" i="3"/>
  <c r="M3977" i="3"/>
  <c r="L3977" i="3"/>
  <c r="J3977" i="3"/>
  <c r="K3977" i="3" s="1"/>
  <c r="H3977" i="3"/>
  <c r="G3977" i="3"/>
  <c r="I3977" i="3" s="1"/>
  <c r="M3976" i="3"/>
  <c r="L3976" i="3"/>
  <c r="J3976" i="3"/>
  <c r="K3976" i="3" s="1"/>
  <c r="H3976" i="3"/>
  <c r="G3976" i="3"/>
  <c r="M3975" i="3"/>
  <c r="L3975" i="3"/>
  <c r="J3975" i="3"/>
  <c r="K3975" i="3" s="1"/>
  <c r="H3975" i="3"/>
  <c r="G3975" i="3"/>
  <c r="M3974" i="3"/>
  <c r="L3974" i="3"/>
  <c r="J3974" i="3"/>
  <c r="K3974" i="3" s="1"/>
  <c r="H3974" i="3"/>
  <c r="G3974" i="3"/>
  <c r="I3974" i="3" s="1"/>
  <c r="M3973" i="3"/>
  <c r="L3973" i="3"/>
  <c r="J3973" i="3"/>
  <c r="K3973" i="3" s="1"/>
  <c r="H3973" i="3"/>
  <c r="G3973" i="3"/>
  <c r="M3972" i="3"/>
  <c r="L3972" i="3"/>
  <c r="J3972" i="3"/>
  <c r="K3972" i="3" s="1"/>
  <c r="H3972" i="3"/>
  <c r="G3972" i="3"/>
  <c r="M3971" i="3"/>
  <c r="L3971" i="3"/>
  <c r="J3971" i="3"/>
  <c r="K3971" i="3" s="1"/>
  <c r="H3971" i="3"/>
  <c r="G3971" i="3"/>
  <c r="M3970" i="3"/>
  <c r="L3970" i="3"/>
  <c r="J3970" i="3"/>
  <c r="K3970" i="3" s="1"/>
  <c r="H3970" i="3"/>
  <c r="G3970" i="3"/>
  <c r="M3969" i="3"/>
  <c r="L3969" i="3"/>
  <c r="J3969" i="3"/>
  <c r="K3969" i="3" s="1"/>
  <c r="H3969" i="3"/>
  <c r="G3969" i="3"/>
  <c r="M3968" i="3"/>
  <c r="L3968" i="3"/>
  <c r="J3968" i="3"/>
  <c r="K3968" i="3" s="1"/>
  <c r="H3968" i="3"/>
  <c r="G3968" i="3"/>
  <c r="M3967" i="3"/>
  <c r="L3967" i="3"/>
  <c r="K3967" i="3"/>
  <c r="J3967" i="3"/>
  <c r="H3967" i="3"/>
  <c r="G3967" i="3"/>
  <c r="I3967" i="3" s="1"/>
  <c r="M3966" i="3"/>
  <c r="L3966" i="3"/>
  <c r="J3966" i="3"/>
  <c r="K3966" i="3" s="1"/>
  <c r="H3966" i="3"/>
  <c r="G3966" i="3"/>
  <c r="M3965" i="3"/>
  <c r="L3965" i="3"/>
  <c r="J3965" i="3"/>
  <c r="K3965" i="3" s="1"/>
  <c r="H3965" i="3"/>
  <c r="I3965" i="3" s="1"/>
  <c r="G3965" i="3"/>
  <c r="M3964" i="3"/>
  <c r="L3964" i="3"/>
  <c r="K3964" i="3"/>
  <c r="J3964" i="3"/>
  <c r="H3964" i="3"/>
  <c r="G3964" i="3"/>
  <c r="I3964" i="3" s="1"/>
  <c r="M3963" i="3"/>
  <c r="L3963" i="3"/>
  <c r="J3963" i="3"/>
  <c r="K3963" i="3" s="1"/>
  <c r="G3963" i="3"/>
  <c r="M3962" i="3"/>
  <c r="L3962" i="3"/>
  <c r="J3962" i="3"/>
  <c r="K3962" i="3" s="1"/>
  <c r="H3962" i="3"/>
  <c r="G3962" i="3"/>
  <c r="M4009" i="3"/>
  <c r="L4009" i="3"/>
  <c r="J4009" i="3"/>
  <c r="K4009" i="3" s="1"/>
  <c r="I4009" i="3"/>
  <c r="G4009" i="3"/>
  <c r="M4008" i="3"/>
  <c r="L4008" i="3"/>
  <c r="K4008" i="3"/>
  <c r="J4008" i="3"/>
  <c r="G4008" i="3"/>
  <c r="I4008" i="3" s="1"/>
  <c r="M4007" i="3"/>
  <c r="L4007" i="3"/>
  <c r="J4007" i="3"/>
  <c r="K4007" i="3" s="1"/>
  <c r="G4007" i="3"/>
  <c r="I4007" i="3" s="1"/>
  <c r="M4006" i="3"/>
  <c r="L4006" i="3"/>
  <c r="J4006" i="3"/>
  <c r="K4006" i="3" s="1"/>
  <c r="G4006" i="3"/>
  <c r="I4006" i="3" s="1"/>
  <c r="M4005" i="3"/>
  <c r="L4005" i="3"/>
  <c r="J4005" i="3"/>
  <c r="K4005" i="3" s="1"/>
  <c r="G4005" i="3"/>
  <c r="I4005" i="3" s="1"/>
  <c r="M4004" i="3"/>
  <c r="L4004" i="3"/>
  <c r="J4004" i="3"/>
  <c r="K4004" i="3" s="1"/>
  <c r="I4004" i="3"/>
  <c r="G4004" i="3"/>
  <c r="M4003" i="3"/>
  <c r="L4003" i="3"/>
  <c r="K4003" i="3"/>
  <c r="J4003" i="3"/>
  <c r="G4003" i="3"/>
  <c r="M4002" i="3"/>
  <c r="L4002" i="3"/>
  <c r="K4002" i="3"/>
  <c r="J4002" i="3"/>
  <c r="G4002" i="3"/>
  <c r="M4001" i="3"/>
  <c r="L4001" i="3"/>
  <c r="J4001" i="3"/>
  <c r="K4001" i="3" s="1"/>
  <c r="G4001" i="3"/>
  <c r="I4001" i="3" s="1"/>
  <c r="M4000" i="3"/>
  <c r="L4000" i="3"/>
  <c r="J4000" i="3"/>
  <c r="K4000" i="3" s="1"/>
  <c r="G4000" i="3"/>
  <c r="I4000" i="3" s="1"/>
  <c r="M3999" i="3"/>
  <c r="L3999" i="3"/>
  <c r="J3999" i="3"/>
  <c r="K3999" i="3" s="1"/>
  <c r="G3999" i="3"/>
  <c r="I3999" i="3" s="1"/>
  <c r="M3998" i="3"/>
  <c r="L3998" i="3"/>
  <c r="J3998" i="3"/>
  <c r="K3998" i="3" s="1"/>
  <c r="G3998" i="3"/>
  <c r="M3997" i="3"/>
  <c r="L3997" i="3"/>
  <c r="J3997" i="3"/>
  <c r="K3997" i="3" s="1"/>
  <c r="G3997" i="3"/>
  <c r="I3997" i="3" s="1"/>
  <c r="M3996" i="3"/>
  <c r="L3996" i="3"/>
  <c r="J3996" i="3"/>
  <c r="K3996" i="3" s="1"/>
  <c r="G3996" i="3"/>
  <c r="I3996" i="3" s="1"/>
  <c r="M3995" i="3"/>
  <c r="L3995" i="3"/>
  <c r="J3995" i="3"/>
  <c r="K3995" i="3" s="1"/>
  <c r="G3995" i="3"/>
  <c r="I3995" i="3" s="1"/>
  <c r="M3994" i="3"/>
  <c r="L3994" i="3"/>
  <c r="J3994" i="3"/>
  <c r="K3994" i="3" s="1"/>
  <c r="G3994" i="3"/>
  <c r="M3993" i="3"/>
  <c r="L3993" i="3"/>
  <c r="J3993" i="3"/>
  <c r="K3993" i="3" s="1"/>
  <c r="G3993" i="3"/>
  <c r="I3993" i="3" s="1"/>
  <c r="M3992" i="3"/>
  <c r="L3992" i="3"/>
  <c r="J3992" i="3"/>
  <c r="K3992" i="3" s="1"/>
  <c r="G3992" i="3"/>
  <c r="I3992" i="3" s="1"/>
  <c r="M3991" i="3"/>
  <c r="L3991" i="3"/>
  <c r="J3991" i="3"/>
  <c r="K3991" i="3" s="1"/>
  <c r="G3991" i="3"/>
  <c r="I3991" i="3" s="1"/>
  <c r="M3990" i="3"/>
  <c r="L3990" i="3"/>
  <c r="J3990" i="3"/>
  <c r="K3990" i="3" s="1"/>
  <c r="G3990" i="3"/>
  <c r="M3989" i="3"/>
  <c r="L3989" i="3"/>
  <c r="J3989" i="3"/>
  <c r="K3989" i="3" s="1"/>
  <c r="I3989" i="3"/>
  <c r="G3989" i="3"/>
  <c r="M3988" i="3"/>
  <c r="L3988" i="3"/>
  <c r="J3988" i="3"/>
  <c r="K3988" i="3" s="1"/>
  <c r="G3988" i="3"/>
  <c r="I3988" i="3" s="1"/>
  <c r="M3987" i="3"/>
  <c r="L3987" i="3"/>
  <c r="J3987" i="3"/>
  <c r="K3987" i="3" s="1"/>
  <c r="G3987" i="3"/>
  <c r="I3987" i="3" s="1"/>
  <c r="M3986" i="3"/>
  <c r="L3986" i="3"/>
  <c r="J3986" i="3"/>
  <c r="K3986" i="3" s="1"/>
  <c r="G3986" i="3"/>
  <c r="M4033" i="3"/>
  <c r="L4033" i="3"/>
  <c r="J4033" i="3"/>
  <c r="K4033" i="3" s="1"/>
  <c r="G4033" i="3"/>
  <c r="M4032" i="3"/>
  <c r="L4032" i="3"/>
  <c r="K4032" i="3"/>
  <c r="J4032" i="3"/>
  <c r="G4032" i="3"/>
  <c r="I4032" i="3" s="1"/>
  <c r="M4031" i="3"/>
  <c r="L4031" i="3"/>
  <c r="J4031" i="3"/>
  <c r="K4031" i="3" s="1"/>
  <c r="G4031" i="3"/>
  <c r="I4031" i="3" s="1"/>
  <c r="M4030" i="3"/>
  <c r="L4030" i="3"/>
  <c r="J4030" i="3"/>
  <c r="K4030" i="3" s="1"/>
  <c r="G4030" i="3"/>
  <c r="M4029" i="3"/>
  <c r="L4029" i="3"/>
  <c r="J4029" i="3"/>
  <c r="K4029" i="3" s="1"/>
  <c r="G4029" i="3"/>
  <c r="M4028" i="3"/>
  <c r="L4028" i="3"/>
  <c r="J4028" i="3"/>
  <c r="K4028" i="3" s="1"/>
  <c r="I4028" i="3"/>
  <c r="G4028" i="3"/>
  <c r="M4027" i="3"/>
  <c r="L4027" i="3"/>
  <c r="J4027" i="3"/>
  <c r="K4027" i="3" s="1"/>
  <c r="G4027" i="3"/>
  <c r="I4027" i="3" s="1"/>
  <c r="M4026" i="3"/>
  <c r="L4026" i="3"/>
  <c r="K4026" i="3"/>
  <c r="J4026" i="3"/>
  <c r="G4026" i="3"/>
  <c r="M4025" i="3"/>
  <c r="L4025" i="3"/>
  <c r="J4025" i="3"/>
  <c r="K4025" i="3" s="1"/>
  <c r="G4025" i="3"/>
  <c r="M4024" i="3"/>
  <c r="L4024" i="3"/>
  <c r="J4024" i="3"/>
  <c r="K4024" i="3" s="1"/>
  <c r="I4024" i="3"/>
  <c r="G4024" i="3"/>
  <c r="M4023" i="3"/>
  <c r="L4023" i="3"/>
  <c r="J4023" i="3"/>
  <c r="K4023" i="3" s="1"/>
  <c r="G4023" i="3"/>
  <c r="I4023" i="3" s="1"/>
  <c r="M4022" i="3"/>
  <c r="L4022" i="3"/>
  <c r="K4022" i="3"/>
  <c r="J4022" i="3"/>
  <c r="G4022" i="3"/>
  <c r="M4021" i="3"/>
  <c r="L4021" i="3"/>
  <c r="J4021" i="3"/>
  <c r="K4021" i="3" s="1"/>
  <c r="G4021" i="3"/>
  <c r="M4020" i="3"/>
  <c r="L4020" i="3"/>
  <c r="J4020" i="3"/>
  <c r="K4020" i="3" s="1"/>
  <c r="G4020" i="3"/>
  <c r="M4019" i="3"/>
  <c r="L4019" i="3"/>
  <c r="J4019" i="3"/>
  <c r="K4019" i="3" s="1"/>
  <c r="G4019" i="3"/>
  <c r="I4019" i="3" s="1"/>
  <c r="M4018" i="3"/>
  <c r="L4018" i="3"/>
  <c r="J4018" i="3"/>
  <c r="K4018" i="3" s="1"/>
  <c r="G4018" i="3"/>
  <c r="M4017" i="3"/>
  <c r="L4017" i="3"/>
  <c r="J4017" i="3"/>
  <c r="K4017" i="3" s="1"/>
  <c r="G4017" i="3"/>
  <c r="M4016" i="3"/>
  <c r="L4016" i="3"/>
  <c r="J4016" i="3"/>
  <c r="K4016" i="3" s="1"/>
  <c r="G4016" i="3"/>
  <c r="M4015" i="3"/>
  <c r="L4015" i="3"/>
  <c r="J4015" i="3"/>
  <c r="K4015" i="3" s="1"/>
  <c r="G4015" i="3"/>
  <c r="I4015" i="3" s="1"/>
  <c r="M4014" i="3"/>
  <c r="L4014" i="3"/>
  <c r="K4014" i="3"/>
  <c r="J4014" i="3"/>
  <c r="G4014" i="3"/>
  <c r="M4013" i="3"/>
  <c r="L4013" i="3"/>
  <c r="J4013" i="3"/>
  <c r="K4013" i="3" s="1"/>
  <c r="G4013" i="3"/>
  <c r="M4012" i="3"/>
  <c r="L4012" i="3"/>
  <c r="J4012" i="3"/>
  <c r="K4012" i="3" s="1"/>
  <c r="G4012" i="3"/>
  <c r="M4011" i="3"/>
  <c r="L4011" i="3"/>
  <c r="J4011" i="3"/>
  <c r="K4011" i="3" s="1"/>
  <c r="G4011" i="3"/>
  <c r="I4011" i="3" s="1"/>
  <c r="M4010" i="3"/>
  <c r="L4010" i="3"/>
  <c r="J4010" i="3"/>
  <c r="K4010" i="3" s="1"/>
  <c r="G4010" i="3"/>
  <c r="M4057" i="3"/>
  <c r="L4057" i="3"/>
  <c r="J4057" i="3"/>
  <c r="K4057" i="3" s="1"/>
  <c r="G4057" i="3"/>
  <c r="I4057" i="3" s="1"/>
  <c r="M4056" i="3"/>
  <c r="L4056" i="3"/>
  <c r="J4056" i="3"/>
  <c r="K4056" i="3" s="1"/>
  <c r="G4056" i="3"/>
  <c r="I4056" i="3" s="1"/>
  <c r="M4055" i="3"/>
  <c r="L4055" i="3"/>
  <c r="J4055" i="3"/>
  <c r="K4055" i="3" s="1"/>
  <c r="G4055" i="3"/>
  <c r="I4055" i="3" s="1"/>
  <c r="M4054" i="3"/>
  <c r="L4054" i="3"/>
  <c r="J4054" i="3"/>
  <c r="K4054" i="3" s="1"/>
  <c r="G4054" i="3"/>
  <c r="M4053" i="3"/>
  <c r="L4053" i="3"/>
  <c r="J4053" i="3"/>
  <c r="K4053" i="3" s="1"/>
  <c r="G4053" i="3"/>
  <c r="I4053" i="3" s="1"/>
  <c r="M4052" i="3"/>
  <c r="L4052" i="3"/>
  <c r="J4052" i="3"/>
  <c r="K4052" i="3" s="1"/>
  <c r="G4052" i="3"/>
  <c r="I4052" i="3" s="1"/>
  <c r="M4051" i="3"/>
  <c r="L4051" i="3"/>
  <c r="J4051" i="3"/>
  <c r="K4051" i="3" s="1"/>
  <c r="G4051" i="3"/>
  <c r="I4051" i="3" s="1"/>
  <c r="M4050" i="3"/>
  <c r="L4050" i="3"/>
  <c r="J4050" i="3"/>
  <c r="K4050" i="3" s="1"/>
  <c r="G4050" i="3"/>
  <c r="M4049" i="3"/>
  <c r="L4049" i="3"/>
  <c r="J4049" i="3"/>
  <c r="K4049" i="3" s="1"/>
  <c r="G4049" i="3"/>
  <c r="I4049" i="3" s="1"/>
  <c r="M4048" i="3"/>
  <c r="L4048" i="3"/>
  <c r="J4048" i="3"/>
  <c r="K4048" i="3" s="1"/>
  <c r="G4048" i="3"/>
  <c r="I4048" i="3" s="1"/>
  <c r="M4047" i="3"/>
  <c r="L4047" i="3"/>
  <c r="J4047" i="3"/>
  <c r="K4047" i="3" s="1"/>
  <c r="G4047" i="3"/>
  <c r="I4047" i="3" s="1"/>
  <c r="M4046" i="3"/>
  <c r="L4046" i="3"/>
  <c r="J4046" i="3"/>
  <c r="K4046" i="3" s="1"/>
  <c r="G4046" i="3"/>
  <c r="M4045" i="3"/>
  <c r="L4045" i="3"/>
  <c r="J4045" i="3"/>
  <c r="K4045" i="3" s="1"/>
  <c r="G4045" i="3"/>
  <c r="I4045" i="3" s="1"/>
  <c r="M4044" i="3"/>
  <c r="L4044" i="3"/>
  <c r="J4044" i="3"/>
  <c r="K4044" i="3" s="1"/>
  <c r="G4044" i="3"/>
  <c r="I4044" i="3" s="1"/>
  <c r="M4043" i="3"/>
  <c r="L4043" i="3"/>
  <c r="J4043" i="3"/>
  <c r="K4043" i="3" s="1"/>
  <c r="G4043" i="3"/>
  <c r="I4043" i="3" s="1"/>
  <c r="M4042" i="3"/>
  <c r="L4042" i="3"/>
  <c r="J4042" i="3"/>
  <c r="K4042" i="3" s="1"/>
  <c r="G4042" i="3"/>
  <c r="M4041" i="3"/>
  <c r="L4041" i="3"/>
  <c r="J4041" i="3"/>
  <c r="K4041" i="3" s="1"/>
  <c r="G4041" i="3"/>
  <c r="I4041" i="3" s="1"/>
  <c r="M4040" i="3"/>
  <c r="L4040" i="3"/>
  <c r="J4040" i="3"/>
  <c r="K4040" i="3" s="1"/>
  <c r="G4040" i="3"/>
  <c r="M4039" i="3"/>
  <c r="L4039" i="3"/>
  <c r="J4039" i="3"/>
  <c r="K4039" i="3" s="1"/>
  <c r="G4039" i="3"/>
  <c r="I4039" i="3" s="1"/>
  <c r="M4038" i="3"/>
  <c r="L4038" i="3"/>
  <c r="K4038" i="3"/>
  <c r="J4038" i="3"/>
  <c r="G4038" i="3"/>
  <c r="M4037" i="3"/>
  <c r="L4037" i="3"/>
  <c r="J4037" i="3"/>
  <c r="K4037" i="3" s="1"/>
  <c r="G4037" i="3"/>
  <c r="I4037" i="3" s="1"/>
  <c r="M4036" i="3"/>
  <c r="L4036" i="3"/>
  <c r="J4036" i="3"/>
  <c r="K4036" i="3" s="1"/>
  <c r="G4036" i="3"/>
  <c r="I4036" i="3" s="1"/>
  <c r="M4035" i="3"/>
  <c r="L4035" i="3"/>
  <c r="J4035" i="3"/>
  <c r="K4035" i="3" s="1"/>
  <c r="G4035" i="3"/>
  <c r="I4035" i="3" s="1"/>
  <c r="M4034" i="3"/>
  <c r="L4034" i="3"/>
  <c r="J4034" i="3"/>
  <c r="K4034" i="3" s="1"/>
  <c r="G4034" i="3"/>
  <c r="I4034" i="3" s="1"/>
  <c r="M4081" i="3"/>
  <c r="L4081" i="3"/>
  <c r="J4081" i="3"/>
  <c r="K4081" i="3" s="1"/>
  <c r="G4081" i="3"/>
  <c r="I4081" i="3" s="1"/>
  <c r="M4080" i="3"/>
  <c r="L4080" i="3"/>
  <c r="J4080" i="3"/>
  <c r="K4080" i="3" s="1"/>
  <c r="G4080" i="3"/>
  <c r="I4080" i="3" s="1"/>
  <c r="M4079" i="3"/>
  <c r="L4079" i="3"/>
  <c r="J4079" i="3"/>
  <c r="K4079" i="3" s="1"/>
  <c r="G4079" i="3"/>
  <c r="I4079" i="3" s="1"/>
  <c r="M4078" i="3"/>
  <c r="L4078" i="3"/>
  <c r="J4078" i="3"/>
  <c r="K4078" i="3" s="1"/>
  <c r="G4078" i="3"/>
  <c r="M4077" i="3"/>
  <c r="L4077" i="3"/>
  <c r="J4077" i="3"/>
  <c r="K4077" i="3" s="1"/>
  <c r="G4077" i="3"/>
  <c r="I4077" i="3" s="1"/>
  <c r="M4076" i="3"/>
  <c r="L4076" i="3"/>
  <c r="J4076" i="3"/>
  <c r="K4076" i="3" s="1"/>
  <c r="G4076" i="3"/>
  <c r="I4076" i="3" s="1"/>
  <c r="M4075" i="3"/>
  <c r="L4075" i="3"/>
  <c r="J4075" i="3"/>
  <c r="K4075" i="3" s="1"/>
  <c r="G4075" i="3"/>
  <c r="I4075" i="3" s="1"/>
  <c r="M4074" i="3"/>
  <c r="L4074" i="3"/>
  <c r="J4074" i="3"/>
  <c r="K4074" i="3" s="1"/>
  <c r="G4074" i="3"/>
  <c r="M4073" i="3"/>
  <c r="L4073" i="3"/>
  <c r="J4073" i="3"/>
  <c r="K4073" i="3" s="1"/>
  <c r="G4073" i="3"/>
  <c r="I4073" i="3" s="1"/>
  <c r="M4072" i="3"/>
  <c r="L4072" i="3"/>
  <c r="J4072" i="3"/>
  <c r="K4072" i="3" s="1"/>
  <c r="G4072" i="3"/>
  <c r="I4072" i="3" s="1"/>
  <c r="M4071" i="3"/>
  <c r="L4071" i="3"/>
  <c r="J4071" i="3"/>
  <c r="K4071" i="3" s="1"/>
  <c r="G4071" i="3"/>
  <c r="I4071" i="3" s="1"/>
  <c r="M4070" i="3"/>
  <c r="L4070" i="3"/>
  <c r="J4070" i="3"/>
  <c r="K4070" i="3" s="1"/>
  <c r="G4070" i="3"/>
  <c r="M4069" i="3"/>
  <c r="L4069" i="3"/>
  <c r="J4069" i="3"/>
  <c r="K4069" i="3" s="1"/>
  <c r="G4069" i="3"/>
  <c r="I4069" i="3" s="1"/>
  <c r="M4068" i="3"/>
  <c r="L4068" i="3"/>
  <c r="J4068" i="3"/>
  <c r="K4068" i="3" s="1"/>
  <c r="G4068" i="3"/>
  <c r="I4068" i="3" s="1"/>
  <c r="M4067" i="3"/>
  <c r="L4067" i="3"/>
  <c r="J4067" i="3"/>
  <c r="K4067" i="3" s="1"/>
  <c r="G4067" i="3"/>
  <c r="I4067" i="3" s="1"/>
  <c r="M4066" i="3"/>
  <c r="L4066" i="3"/>
  <c r="J4066" i="3"/>
  <c r="K4066" i="3" s="1"/>
  <c r="G4066" i="3"/>
  <c r="M4065" i="3"/>
  <c r="L4065" i="3"/>
  <c r="J4065" i="3"/>
  <c r="K4065" i="3" s="1"/>
  <c r="G4065" i="3"/>
  <c r="I4065" i="3" s="1"/>
  <c r="M4064" i="3"/>
  <c r="L4064" i="3"/>
  <c r="J4064" i="3"/>
  <c r="K4064" i="3" s="1"/>
  <c r="G4064" i="3"/>
  <c r="I4064" i="3" s="1"/>
  <c r="M4063" i="3"/>
  <c r="L4063" i="3"/>
  <c r="J4063" i="3"/>
  <c r="K4063" i="3" s="1"/>
  <c r="G4063" i="3"/>
  <c r="I4063" i="3" s="1"/>
  <c r="M4062" i="3"/>
  <c r="L4062" i="3"/>
  <c r="J4062" i="3"/>
  <c r="K4062" i="3" s="1"/>
  <c r="G4062" i="3"/>
  <c r="M4061" i="3"/>
  <c r="L4061" i="3"/>
  <c r="J4061" i="3"/>
  <c r="K4061" i="3" s="1"/>
  <c r="G4061" i="3"/>
  <c r="I4061" i="3" s="1"/>
  <c r="M4060" i="3"/>
  <c r="L4060" i="3"/>
  <c r="J4060" i="3"/>
  <c r="K4060" i="3" s="1"/>
  <c r="G4060" i="3"/>
  <c r="I4060" i="3" s="1"/>
  <c r="M4059" i="3"/>
  <c r="L4059" i="3"/>
  <c r="J4059" i="3"/>
  <c r="K4059" i="3" s="1"/>
  <c r="G4059" i="3"/>
  <c r="I4059" i="3" s="1"/>
  <c r="M4058" i="3"/>
  <c r="L4058" i="3"/>
  <c r="J4058" i="3"/>
  <c r="K4058" i="3" s="1"/>
  <c r="G4058" i="3"/>
  <c r="M4105" i="3"/>
  <c r="L4105" i="3"/>
  <c r="J4105" i="3"/>
  <c r="K4105" i="3" s="1"/>
  <c r="G4105" i="3"/>
  <c r="I4105" i="3" s="1"/>
  <c r="M4104" i="3"/>
  <c r="L4104" i="3"/>
  <c r="J4104" i="3"/>
  <c r="K4104" i="3" s="1"/>
  <c r="G4104" i="3"/>
  <c r="I4104" i="3" s="1"/>
  <c r="M4103" i="3"/>
  <c r="L4103" i="3"/>
  <c r="J4103" i="3"/>
  <c r="K4103" i="3" s="1"/>
  <c r="G4103" i="3"/>
  <c r="M4102" i="3"/>
  <c r="L4102" i="3"/>
  <c r="J4102" i="3"/>
  <c r="K4102" i="3" s="1"/>
  <c r="G4102" i="3"/>
  <c r="M4101" i="3"/>
  <c r="L4101" i="3"/>
  <c r="J4101" i="3"/>
  <c r="K4101" i="3" s="1"/>
  <c r="G4101" i="3"/>
  <c r="I4101" i="3" s="1"/>
  <c r="M4100" i="3"/>
  <c r="L4100" i="3"/>
  <c r="J4100" i="3"/>
  <c r="K4100" i="3" s="1"/>
  <c r="G4100" i="3"/>
  <c r="I4100" i="3" s="1"/>
  <c r="M4099" i="3"/>
  <c r="L4099" i="3"/>
  <c r="J4099" i="3"/>
  <c r="K4099" i="3" s="1"/>
  <c r="G4099" i="3"/>
  <c r="M4098" i="3"/>
  <c r="L4098" i="3"/>
  <c r="J4098" i="3"/>
  <c r="K4098" i="3" s="1"/>
  <c r="G4098" i="3"/>
  <c r="M4097" i="3"/>
  <c r="L4097" i="3"/>
  <c r="J4097" i="3"/>
  <c r="K4097" i="3" s="1"/>
  <c r="G4097" i="3"/>
  <c r="I4097" i="3" s="1"/>
  <c r="M4096" i="3"/>
  <c r="L4096" i="3"/>
  <c r="J4096" i="3"/>
  <c r="K4096" i="3" s="1"/>
  <c r="G4096" i="3"/>
  <c r="I4096" i="3" s="1"/>
  <c r="M4095" i="3"/>
  <c r="L4095" i="3"/>
  <c r="J4095" i="3"/>
  <c r="K4095" i="3" s="1"/>
  <c r="G4095" i="3"/>
  <c r="M4094" i="3"/>
  <c r="L4094" i="3"/>
  <c r="J4094" i="3"/>
  <c r="K4094" i="3" s="1"/>
  <c r="G4094" i="3"/>
  <c r="M4093" i="3"/>
  <c r="L4093" i="3"/>
  <c r="J4093" i="3"/>
  <c r="K4093" i="3" s="1"/>
  <c r="G4093" i="3"/>
  <c r="I4093" i="3" s="1"/>
  <c r="M4092" i="3"/>
  <c r="L4092" i="3"/>
  <c r="J4092" i="3"/>
  <c r="K4092" i="3" s="1"/>
  <c r="I4092" i="3"/>
  <c r="G4092" i="3"/>
  <c r="M4091" i="3"/>
  <c r="L4091" i="3"/>
  <c r="J4091" i="3"/>
  <c r="K4091" i="3" s="1"/>
  <c r="G4091" i="3"/>
  <c r="I4091" i="3" s="1"/>
  <c r="M4090" i="3"/>
  <c r="L4090" i="3"/>
  <c r="K4090" i="3"/>
  <c r="J4090" i="3"/>
  <c r="G4090" i="3"/>
  <c r="M4089" i="3"/>
  <c r="L4089" i="3"/>
  <c r="J4089" i="3"/>
  <c r="K4089" i="3" s="1"/>
  <c r="G4089" i="3"/>
  <c r="I4089" i="3" s="1"/>
  <c r="M4088" i="3"/>
  <c r="L4088" i="3"/>
  <c r="J4088" i="3"/>
  <c r="K4088" i="3" s="1"/>
  <c r="G4088" i="3"/>
  <c r="I4088" i="3" s="1"/>
  <c r="M4087" i="3"/>
  <c r="L4087" i="3"/>
  <c r="J4087" i="3"/>
  <c r="K4087" i="3" s="1"/>
  <c r="G4087" i="3"/>
  <c r="M4086" i="3"/>
  <c r="L4086" i="3"/>
  <c r="J4086" i="3"/>
  <c r="K4086" i="3" s="1"/>
  <c r="G4086" i="3"/>
  <c r="I4086" i="3" s="1"/>
  <c r="M4085" i="3"/>
  <c r="L4085" i="3"/>
  <c r="J4085" i="3"/>
  <c r="K4085" i="3" s="1"/>
  <c r="G4085" i="3"/>
  <c r="I4085" i="3" s="1"/>
  <c r="M4084" i="3"/>
  <c r="L4084" i="3"/>
  <c r="J4084" i="3"/>
  <c r="K4084" i="3" s="1"/>
  <c r="G4084" i="3"/>
  <c r="I4084" i="3" s="1"/>
  <c r="M4083" i="3"/>
  <c r="L4083" i="3"/>
  <c r="J4083" i="3"/>
  <c r="K4083" i="3" s="1"/>
  <c r="G4083" i="3"/>
  <c r="M4082" i="3"/>
  <c r="L4082" i="3"/>
  <c r="J4082" i="3"/>
  <c r="K4082" i="3" s="1"/>
  <c r="G4082" i="3"/>
  <c r="M4129" i="3"/>
  <c r="L4129" i="3"/>
  <c r="J4129" i="3"/>
  <c r="K4129" i="3" s="1"/>
  <c r="G4129" i="3"/>
  <c r="I4129" i="3" s="1"/>
  <c r="M4128" i="3"/>
  <c r="L4128" i="3"/>
  <c r="J4128" i="3"/>
  <c r="K4128" i="3" s="1"/>
  <c r="G4128" i="3"/>
  <c r="I4128" i="3" s="1"/>
  <c r="M4127" i="3"/>
  <c r="L4127" i="3"/>
  <c r="J4127" i="3"/>
  <c r="K4127" i="3" s="1"/>
  <c r="G4127" i="3"/>
  <c r="I4127" i="3" s="1"/>
  <c r="M4126" i="3"/>
  <c r="L4126" i="3"/>
  <c r="J4126" i="3"/>
  <c r="K4126" i="3" s="1"/>
  <c r="G4126" i="3"/>
  <c r="M4125" i="3"/>
  <c r="L4125" i="3"/>
  <c r="J4125" i="3"/>
  <c r="K4125" i="3" s="1"/>
  <c r="I4125" i="3"/>
  <c r="G4125" i="3"/>
  <c r="M4124" i="3"/>
  <c r="L4124" i="3"/>
  <c r="K4124" i="3"/>
  <c r="J4124" i="3"/>
  <c r="G4124" i="3"/>
  <c r="I4124" i="3" s="1"/>
  <c r="M4123" i="3"/>
  <c r="L4123" i="3"/>
  <c r="J4123" i="3"/>
  <c r="K4123" i="3" s="1"/>
  <c r="G4123" i="3"/>
  <c r="M4122" i="3"/>
  <c r="L4122" i="3"/>
  <c r="J4122" i="3"/>
  <c r="K4122" i="3" s="1"/>
  <c r="G4122" i="3"/>
  <c r="M4121" i="3"/>
  <c r="L4121" i="3"/>
  <c r="J4121" i="3"/>
  <c r="K4121" i="3" s="1"/>
  <c r="G4121" i="3"/>
  <c r="I4121" i="3" s="1"/>
  <c r="M4120" i="3"/>
  <c r="L4120" i="3"/>
  <c r="J4120" i="3"/>
  <c r="K4120" i="3" s="1"/>
  <c r="G4120" i="3"/>
  <c r="I4120" i="3" s="1"/>
  <c r="M4119" i="3"/>
  <c r="L4119" i="3"/>
  <c r="J4119" i="3"/>
  <c r="K4119" i="3" s="1"/>
  <c r="G4119" i="3"/>
  <c r="M4118" i="3"/>
  <c r="L4118" i="3"/>
  <c r="J4118" i="3"/>
  <c r="K4118" i="3" s="1"/>
  <c r="G4118" i="3"/>
  <c r="M4117" i="3"/>
  <c r="L4117" i="3"/>
  <c r="J4117" i="3"/>
  <c r="K4117" i="3" s="1"/>
  <c r="G4117" i="3"/>
  <c r="I4117" i="3" s="1"/>
  <c r="M4116" i="3"/>
  <c r="L4116" i="3"/>
  <c r="J4116" i="3"/>
  <c r="K4116" i="3" s="1"/>
  <c r="G4116" i="3"/>
  <c r="I4116" i="3" s="1"/>
  <c r="M4115" i="3"/>
  <c r="L4115" i="3"/>
  <c r="J4115" i="3"/>
  <c r="K4115" i="3" s="1"/>
  <c r="G4115" i="3"/>
  <c r="I4115" i="3" s="1"/>
  <c r="M4114" i="3"/>
  <c r="L4114" i="3"/>
  <c r="J4114" i="3"/>
  <c r="K4114" i="3" s="1"/>
  <c r="G4114" i="3"/>
  <c r="M4113" i="3"/>
  <c r="L4113" i="3"/>
  <c r="J4113" i="3"/>
  <c r="K4113" i="3" s="1"/>
  <c r="G4113" i="3"/>
  <c r="I4113" i="3" s="1"/>
  <c r="M4112" i="3"/>
  <c r="L4112" i="3"/>
  <c r="J4112" i="3"/>
  <c r="K4112" i="3" s="1"/>
  <c r="G4112" i="3"/>
  <c r="I4112" i="3" s="1"/>
  <c r="M4111" i="3"/>
  <c r="L4111" i="3"/>
  <c r="J4111" i="3"/>
  <c r="K4111" i="3" s="1"/>
  <c r="G4111" i="3"/>
  <c r="I4111" i="3" s="1"/>
  <c r="M4110" i="3"/>
  <c r="L4110" i="3"/>
  <c r="J4110" i="3"/>
  <c r="K4110" i="3" s="1"/>
  <c r="G4110" i="3"/>
  <c r="I4110" i="3" s="1"/>
  <c r="M4109" i="3"/>
  <c r="L4109" i="3"/>
  <c r="J4109" i="3"/>
  <c r="K4109" i="3" s="1"/>
  <c r="G4109" i="3"/>
  <c r="I4109" i="3" s="1"/>
  <c r="M4108" i="3"/>
  <c r="L4108" i="3"/>
  <c r="J4108" i="3"/>
  <c r="K4108" i="3" s="1"/>
  <c r="G4108" i="3"/>
  <c r="I4108" i="3" s="1"/>
  <c r="M4107" i="3"/>
  <c r="L4107" i="3"/>
  <c r="J4107" i="3"/>
  <c r="K4107" i="3" s="1"/>
  <c r="G4107" i="3"/>
  <c r="M4106" i="3"/>
  <c r="L4106" i="3"/>
  <c r="J4106" i="3"/>
  <c r="K4106" i="3" s="1"/>
  <c r="G4106" i="3"/>
  <c r="M4153" i="3"/>
  <c r="L4153" i="3"/>
  <c r="J4153" i="3"/>
  <c r="K4153" i="3" s="1"/>
  <c r="G4153" i="3"/>
  <c r="I4153" i="3" s="1"/>
  <c r="M4152" i="3"/>
  <c r="L4152" i="3"/>
  <c r="J4152" i="3"/>
  <c r="K4152" i="3" s="1"/>
  <c r="I4152" i="3"/>
  <c r="G4152" i="3"/>
  <c r="M4151" i="3"/>
  <c r="L4151" i="3"/>
  <c r="J4151" i="3"/>
  <c r="K4151" i="3" s="1"/>
  <c r="G4151" i="3"/>
  <c r="I4151" i="3" s="1"/>
  <c r="M4150" i="3"/>
  <c r="L4150" i="3"/>
  <c r="K4150" i="3"/>
  <c r="J4150" i="3"/>
  <c r="G4150" i="3"/>
  <c r="M4149" i="3"/>
  <c r="L4149" i="3"/>
  <c r="J4149" i="3"/>
  <c r="K4149" i="3" s="1"/>
  <c r="G4149" i="3"/>
  <c r="I4149" i="3" s="1"/>
  <c r="M4148" i="3"/>
  <c r="L4148" i="3"/>
  <c r="J4148" i="3"/>
  <c r="K4148" i="3" s="1"/>
  <c r="G4148" i="3"/>
  <c r="I4148" i="3" s="1"/>
  <c r="M4147" i="3"/>
  <c r="L4147" i="3"/>
  <c r="J4147" i="3"/>
  <c r="K4147" i="3" s="1"/>
  <c r="G4147" i="3"/>
  <c r="I4147" i="3" s="1"/>
  <c r="M4146" i="3"/>
  <c r="L4146" i="3"/>
  <c r="J4146" i="3"/>
  <c r="K4146" i="3" s="1"/>
  <c r="G4146" i="3"/>
  <c r="I4146" i="3" s="1"/>
  <c r="M4145" i="3"/>
  <c r="L4145" i="3"/>
  <c r="J4145" i="3"/>
  <c r="K4145" i="3" s="1"/>
  <c r="G4145" i="3"/>
  <c r="I4145" i="3" s="1"/>
  <c r="M4144" i="3"/>
  <c r="L4144" i="3"/>
  <c r="J4144" i="3"/>
  <c r="K4144" i="3" s="1"/>
  <c r="G4144" i="3"/>
  <c r="I4144" i="3" s="1"/>
  <c r="M4143" i="3"/>
  <c r="L4143" i="3"/>
  <c r="J4143" i="3"/>
  <c r="K4143" i="3" s="1"/>
  <c r="G4143" i="3"/>
  <c r="M4142" i="3"/>
  <c r="L4142" i="3"/>
  <c r="J4142" i="3"/>
  <c r="K4142" i="3" s="1"/>
  <c r="G4142" i="3"/>
  <c r="M4141" i="3"/>
  <c r="L4141" i="3"/>
  <c r="J4141" i="3"/>
  <c r="K4141" i="3" s="1"/>
  <c r="G4141" i="3"/>
  <c r="I4141" i="3" s="1"/>
  <c r="M4140" i="3"/>
  <c r="L4140" i="3"/>
  <c r="J4140" i="3"/>
  <c r="K4140" i="3" s="1"/>
  <c r="I4140" i="3"/>
  <c r="G4140" i="3"/>
  <c r="M4139" i="3"/>
  <c r="L4139" i="3"/>
  <c r="J4139" i="3"/>
  <c r="K4139" i="3" s="1"/>
  <c r="G4139" i="3"/>
  <c r="I4139" i="3" s="1"/>
  <c r="M4138" i="3"/>
  <c r="L4138" i="3"/>
  <c r="K4138" i="3"/>
  <c r="J4138" i="3"/>
  <c r="G4138" i="3"/>
  <c r="I4138" i="3" s="1"/>
  <c r="M4137" i="3"/>
  <c r="L4137" i="3"/>
  <c r="J4137" i="3"/>
  <c r="K4137" i="3" s="1"/>
  <c r="G4137" i="3"/>
  <c r="I4137" i="3" s="1"/>
  <c r="M4136" i="3"/>
  <c r="L4136" i="3"/>
  <c r="J4136" i="3"/>
  <c r="K4136" i="3" s="1"/>
  <c r="G4136" i="3"/>
  <c r="I4136" i="3" s="1"/>
  <c r="M4135" i="3"/>
  <c r="L4135" i="3"/>
  <c r="J4135" i="3"/>
  <c r="K4135" i="3" s="1"/>
  <c r="G4135" i="3"/>
  <c r="M4134" i="3"/>
  <c r="L4134" i="3"/>
  <c r="J4134" i="3"/>
  <c r="K4134" i="3" s="1"/>
  <c r="G4134" i="3"/>
  <c r="M4133" i="3"/>
  <c r="L4133" i="3"/>
  <c r="J4133" i="3"/>
  <c r="K4133" i="3" s="1"/>
  <c r="G4133" i="3"/>
  <c r="I4133" i="3" s="1"/>
  <c r="M4132" i="3"/>
  <c r="L4132" i="3"/>
  <c r="J4132" i="3"/>
  <c r="K4132" i="3" s="1"/>
  <c r="G4132" i="3"/>
  <c r="I4132" i="3" s="1"/>
  <c r="M4131" i="3"/>
  <c r="L4131" i="3"/>
  <c r="J4131" i="3"/>
  <c r="K4131" i="3" s="1"/>
  <c r="G4131" i="3"/>
  <c r="I4131" i="3" s="1"/>
  <c r="M4130" i="3"/>
  <c r="L4130" i="3"/>
  <c r="J4130" i="3"/>
  <c r="K4130" i="3" s="1"/>
  <c r="G4130" i="3"/>
  <c r="M4177" i="3"/>
  <c r="L4177" i="3"/>
  <c r="J4177" i="3"/>
  <c r="K4177" i="3" s="1"/>
  <c r="G4177" i="3"/>
  <c r="I4177" i="3" s="1"/>
  <c r="M4176" i="3"/>
  <c r="L4176" i="3"/>
  <c r="J4176" i="3"/>
  <c r="K4176" i="3" s="1"/>
  <c r="G4176" i="3"/>
  <c r="I4176" i="3" s="1"/>
  <c r="M4175" i="3"/>
  <c r="L4175" i="3"/>
  <c r="J4175" i="3"/>
  <c r="K4175" i="3" s="1"/>
  <c r="G4175" i="3"/>
  <c r="I4175" i="3" s="1"/>
  <c r="M4174" i="3"/>
  <c r="L4174" i="3"/>
  <c r="J4174" i="3"/>
  <c r="K4174" i="3" s="1"/>
  <c r="G4174" i="3"/>
  <c r="M4173" i="3"/>
  <c r="L4173" i="3"/>
  <c r="J4173" i="3"/>
  <c r="K4173" i="3" s="1"/>
  <c r="G4173" i="3"/>
  <c r="I4173" i="3" s="1"/>
  <c r="M4172" i="3"/>
  <c r="L4172" i="3"/>
  <c r="J4172" i="3"/>
  <c r="K4172" i="3" s="1"/>
  <c r="G4172" i="3"/>
  <c r="I4172" i="3" s="1"/>
  <c r="M4171" i="3"/>
  <c r="L4171" i="3"/>
  <c r="J4171" i="3"/>
  <c r="K4171" i="3" s="1"/>
  <c r="G4171" i="3"/>
  <c r="I4171" i="3" s="1"/>
  <c r="M4170" i="3"/>
  <c r="L4170" i="3"/>
  <c r="J4170" i="3"/>
  <c r="K4170" i="3" s="1"/>
  <c r="G4170" i="3"/>
  <c r="M4169" i="3"/>
  <c r="L4169" i="3"/>
  <c r="J4169" i="3"/>
  <c r="K4169" i="3" s="1"/>
  <c r="G4169" i="3"/>
  <c r="I4169" i="3" s="1"/>
  <c r="M4168" i="3"/>
  <c r="L4168" i="3"/>
  <c r="J4168" i="3"/>
  <c r="K4168" i="3" s="1"/>
  <c r="G4168" i="3"/>
  <c r="I4168" i="3" s="1"/>
  <c r="M4167" i="3"/>
  <c r="L4167" i="3"/>
  <c r="J4167" i="3"/>
  <c r="K4167" i="3" s="1"/>
  <c r="G4167" i="3"/>
  <c r="I4167" i="3" s="1"/>
  <c r="M4166" i="3"/>
  <c r="L4166" i="3"/>
  <c r="J4166" i="3"/>
  <c r="K4166" i="3" s="1"/>
  <c r="G4166" i="3"/>
  <c r="M4165" i="3"/>
  <c r="L4165" i="3"/>
  <c r="J4165" i="3"/>
  <c r="K4165" i="3" s="1"/>
  <c r="G4165" i="3"/>
  <c r="I4165" i="3" s="1"/>
  <c r="M4164" i="3"/>
  <c r="L4164" i="3"/>
  <c r="J4164" i="3"/>
  <c r="K4164" i="3" s="1"/>
  <c r="I4164" i="3"/>
  <c r="G4164" i="3"/>
  <c r="M4163" i="3"/>
  <c r="L4163" i="3"/>
  <c r="K4163" i="3"/>
  <c r="J4163" i="3"/>
  <c r="G4163" i="3"/>
  <c r="I4163" i="3" s="1"/>
  <c r="M4162" i="3"/>
  <c r="L4162" i="3"/>
  <c r="J4162" i="3"/>
  <c r="K4162" i="3" s="1"/>
  <c r="G4162" i="3"/>
  <c r="M4161" i="3"/>
  <c r="L4161" i="3"/>
  <c r="J4161" i="3"/>
  <c r="K4161" i="3" s="1"/>
  <c r="G4161" i="3"/>
  <c r="I4161" i="3" s="1"/>
  <c r="M4160" i="3"/>
  <c r="L4160" i="3"/>
  <c r="J4160" i="3"/>
  <c r="K4160" i="3" s="1"/>
  <c r="G4160" i="3"/>
  <c r="I4160" i="3" s="1"/>
  <c r="M4159" i="3"/>
  <c r="L4159" i="3"/>
  <c r="J4159" i="3"/>
  <c r="K4159" i="3" s="1"/>
  <c r="G4159" i="3"/>
  <c r="I4159" i="3" s="1"/>
  <c r="M4158" i="3"/>
  <c r="L4158" i="3"/>
  <c r="J4158" i="3"/>
  <c r="K4158" i="3" s="1"/>
  <c r="G4158" i="3"/>
  <c r="M4157" i="3"/>
  <c r="L4157" i="3"/>
  <c r="J4157" i="3"/>
  <c r="K4157" i="3" s="1"/>
  <c r="G4157" i="3"/>
  <c r="I4157" i="3" s="1"/>
  <c r="M4156" i="3"/>
  <c r="L4156" i="3"/>
  <c r="J4156" i="3"/>
  <c r="K4156" i="3" s="1"/>
  <c r="G4156" i="3"/>
  <c r="I4156" i="3" s="1"/>
  <c r="M4155" i="3"/>
  <c r="L4155" i="3"/>
  <c r="J4155" i="3"/>
  <c r="K4155" i="3" s="1"/>
  <c r="G4155" i="3"/>
  <c r="I4155" i="3" s="1"/>
  <c r="M4154" i="3"/>
  <c r="L4154" i="3"/>
  <c r="J4154" i="3"/>
  <c r="K4154" i="3" s="1"/>
  <c r="G4154" i="3"/>
  <c r="M4201" i="3"/>
  <c r="L4201" i="3"/>
  <c r="J4201" i="3"/>
  <c r="K4201" i="3" s="1"/>
  <c r="G4201" i="3"/>
  <c r="I4201" i="3" s="1"/>
  <c r="M4200" i="3"/>
  <c r="L4200" i="3"/>
  <c r="J4200" i="3"/>
  <c r="K4200" i="3" s="1"/>
  <c r="G4200" i="3"/>
  <c r="I4200" i="3" s="1"/>
  <c r="M4199" i="3"/>
  <c r="L4199" i="3"/>
  <c r="J4199" i="3"/>
  <c r="K4199" i="3" s="1"/>
  <c r="G4199" i="3"/>
  <c r="M4198" i="3"/>
  <c r="L4198" i="3"/>
  <c r="J4198" i="3"/>
  <c r="K4198" i="3" s="1"/>
  <c r="G4198" i="3"/>
  <c r="I4198" i="3" s="1"/>
  <c r="M4197" i="3"/>
  <c r="L4197" i="3"/>
  <c r="J4197" i="3"/>
  <c r="K4197" i="3" s="1"/>
  <c r="G4197" i="3"/>
  <c r="I4197" i="3" s="1"/>
  <c r="M4196" i="3"/>
  <c r="L4196" i="3"/>
  <c r="J4196" i="3"/>
  <c r="K4196" i="3" s="1"/>
  <c r="I4196" i="3"/>
  <c r="G4196" i="3"/>
  <c r="M4195" i="3"/>
  <c r="L4195" i="3"/>
  <c r="K4195" i="3"/>
  <c r="J4195" i="3"/>
  <c r="G4195" i="3"/>
  <c r="I4195" i="3" s="1"/>
  <c r="M4194" i="3"/>
  <c r="L4194" i="3"/>
  <c r="J4194" i="3"/>
  <c r="K4194" i="3" s="1"/>
  <c r="G4194" i="3"/>
  <c r="M4193" i="3"/>
  <c r="L4193" i="3"/>
  <c r="J4193" i="3"/>
  <c r="K4193" i="3" s="1"/>
  <c r="G4193" i="3"/>
  <c r="I4193" i="3" s="1"/>
  <c r="M4192" i="3"/>
  <c r="L4192" i="3"/>
  <c r="J4192" i="3"/>
  <c r="K4192" i="3" s="1"/>
  <c r="G4192" i="3"/>
  <c r="I4192" i="3" s="1"/>
  <c r="M4191" i="3"/>
  <c r="L4191" i="3"/>
  <c r="J4191" i="3"/>
  <c r="K4191" i="3" s="1"/>
  <c r="G4191" i="3"/>
  <c r="M4190" i="3"/>
  <c r="L4190" i="3"/>
  <c r="J4190" i="3"/>
  <c r="K4190" i="3" s="1"/>
  <c r="G4190" i="3"/>
  <c r="M4189" i="3"/>
  <c r="L4189" i="3"/>
  <c r="J4189" i="3"/>
  <c r="K4189" i="3" s="1"/>
  <c r="G4189" i="3"/>
  <c r="I4189" i="3" s="1"/>
  <c r="M4188" i="3"/>
  <c r="L4188" i="3"/>
  <c r="J4188" i="3"/>
  <c r="K4188" i="3" s="1"/>
  <c r="G4188" i="3"/>
  <c r="I4188" i="3" s="1"/>
  <c r="M4187" i="3"/>
  <c r="L4187" i="3"/>
  <c r="J4187" i="3"/>
  <c r="K4187" i="3" s="1"/>
  <c r="G4187" i="3"/>
  <c r="M4186" i="3"/>
  <c r="L4186" i="3"/>
  <c r="J4186" i="3"/>
  <c r="K4186" i="3" s="1"/>
  <c r="G4186" i="3"/>
  <c r="M4185" i="3"/>
  <c r="L4185" i="3"/>
  <c r="J4185" i="3"/>
  <c r="K4185" i="3" s="1"/>
  <c r="G4185" i="3"/>
  <c r="I4185" i="3" s="1"/>
  <c r="M4184" i="3"/>
  <c r="L4184" i="3"/>
  <c r="J4184" i="3"/>
  <c r="K4184" i="3" s="1"/>
  <c r="G4184" i="3"/>
  <c r="I4184" i="3" s="1"/>
  <c r="M4183" i="3"/>
  <c r="L4183" i="3"/>
  <c r="J4183" i="3"/>
  <c r="K4183" i="3" s="1"/>
  <c r="G4183" i="3"/>
  <c r="M4182" i="3"/>
  <c r="L4182" i="3"/>
  <c r="J4182" i="3"/>
  <c r="K4182" i="3" s="1"/>
  <c r="G4182" i="3"/>
  <c r="M4181" i="3"/>
  <c r="L4181" i="3"/>
  <c r="J4181" i="3"/>
  <c r="K4181" i="3" s="1"/>
  <c r="I4181" i="3"/>
  <c r="G4181" i="3"/>
  <c r="M4180" i="3"/>
  <c r="L4180" i="3"/>
  <c r="J4180" i="3"/>
  <c r="K4180" i="3" s="1"/>
  <c r="G4180" i="3"/>
  <c r="I4180" i="3" s="1"/>
  <c r="M4179" i="3"/>
  <c r="L4179" i="3"/>
  <c r="J4179" i="3"/>
  <c r="K4179" i="3" s="1"/>
  <c r="G4179" i="3"/>
  <c r="M4178" i="3"/>
  <c r="L4178" i="3"/>
  <c r="J4178" i="3"/>
  <c r="K4178" i="3" s="1"/>
  <c r="G4178" i="3"/>
  <c r="M4225" i="3"/>
  <c r="L4225" i="3"/>
  <c r="J4225" i="3"/>
  <c r="K4225" i="3" s="1"/>
  <c r="G4225" i="3"/>
  <c r="I4225" i="3" s="1"/>
  <c r="M4224" i="3"/>
  <c r="L4224" i="3"/>
  <c r="J4224" i="3"/>
  <c r="K4224" i="3" s="1"/>
  <c r="G4224" i="3"/>
  <c r="I4224" i="3" s="1"/>
  <c r="M4223" i="3"/>
  <c r="L4223" i="3"/>
  <c r="J4223" i="3"/>
  <c r="K4223" i="3" s="1"/>
  <c r="G4223" i="3"/>
  <c r="M4222" i="3"/>
  <c r="L4222" i="3"/>
  <c r="J4222" i="3"/>
  <c r="K4222" i="3" s="1"/>
  <c r="G4222" i="3"/>
  <c r="M4221" i="3"/>
  <c r="L4221" i="3"/>
  <c r="J4221" i="3"/>
  <c r="K4221" i="3" s="1"/>
  <c r="G4221" i="3"/>
  <c r="I4221" i="3" s="1"/>
  <c r="M4220" i="3"/>
  <c r="L4220" i="3"/>
  <c r="J4220" i="3"/>
  <c r="K4220" i="3" s="1"/>
  <c r="G4220" i="3"/>
  <c r="I4220" i="3" s="1"/>
  <c r="M4219" i="3"/>
  <c r="L4219" i="3"/>
  <c r="J4219" i="3"/>
  <c r="K4219" i="3" s="1"/>
  <c r="G4219" i="3"/>
  <c r="M4218" i="3"/>
  <c r="L4218" i="3"/>
  <c r="J4218" i="3"/>
  <c r="K4218" i="3" s="1"/>
  <c r="G4218" i="3"/>
  <c r="M4217" i="3"/>
  <c r="L4217" i="3"/>
  <c r="J4217" i="3"/>
  <c r="K4217" i="3" s="1"/>
  <c r="G4217" i="3"/>
  <c r="I4217" i="3" s="1"/>
  <c r="M4216" i="3"/>
  <c r="L4216" i="3"/>
  <c r="J4216" i="3"/>
  <c r="K4216" i="3" s="1"/>
  <c r="G4216" i="3"/>
  <c r="I4216" i="3" s="1"/>
  <c r="M4215" i="3"/>
  <c r="L4215" i="3"/>
  <c r="J4215" i="3"/>
  <c r="K4215" i="3" s="1"/>
  <c r="G4215" i="3"/>
  <c r="M4214" i="3"/>
  <c r="L4214" i="3"/>
  <c r="J4214" i="3"/>
  <c r="K4214" i="3" s="1"/>
  <c r="G4214" i="3"/>
  <c r="M4213" i="3"/>
  <c r="L4213" i="3"/>
  <c r="J4213" i="3"/>
  <c r="K4213" i="3" s="1"/>
  <c r="G4213" i="3"/>
  <c r="I4213" i="3" s="1"/>
  <c r="M4212" i="3"/>
  <c r="L4212" i="3"/>
  <c r="J4212" i="3"/>
  <c r="K4212" i="3" s="1"/>
  <c r="G4212" i="3"/>
  <c r="I4212" i="3" s="1"/>
  <c r="M4211" i="3"/>
  <c r="L4211" i="3"/>
  <c r="J4211" i="3"/>
  <c r="K4211" i="3" s="1"/>
  <c r="G4211" i="3"/>
  <c r="M4210" i="3"/>
  <c r="L4210" i="3"/>
  <c r="J4210" i="3"/>
  <c r="K4210" i="3" s="1"/>
  <c r="G4210" i="3"/>
  <c r="M4209" i="3"/>
  <c r="L4209" i="3"/>
  <c r="J4209" i="3"/>
  <c r="K4209" i="3" s="1"/>
  <c r="G4209" i="3"/>
  <c r="I4209" i="3" s="1"/>
  <c r="M4208" i="3"/>
  <c r="L4208" i="3"/>
  <c r="J4208" i="3"/>
  <c r="K4208" i="3" s="1"/>
  <c r="G4208" i="3"/>
  <c r="I4208" i="3" s="1"/>
  <c r="M4207" i="3"/>
  <c r="L4207" i="3"/>
  <c r="J4207" i="3"/>
  <c r="K4207" i="3" s="1"/>
  <c r="G4207" i="3"/>
  <c r="M4206" i="3"/>
  <c r="L4206" i="3"/>
  <c r="J4206" i="3"/>
  <c r="K4206" i="3" s="1"/>
  <c r="G4206" i="3"/>
  <c r="M4205" i="3"/>
  <c r="L4205" i="3"/>
  <c r="J4205" i="3"/>
  <c r="K4205" i="3" s="1"/>
  <c r="G4205" i="3"/>
  <c r="I4205" i="3" s="1"/>
  <c r="M4204" i="3"/>
  <c r="L4204" i="3"/>
  <c r="J4204" i="3"/>
  <c r="K4204" i="3" s="1"/>
  <c r="G4204" i="3"/>
  <c r="I4204" i="3" s="1"/>
  <c r="M4203" i="3"/>
  <c r="L4203" i="3"/>
  <c r="J4203" i="3"/>
  <c r="K4203" i="3" s="1"/>
  <c r="G4203" i="3"/>
  <c r="M4202" i="3"/>
  <c r="L4202" i="3"/>
  <c r="J4202" i="3"/>
  <c r="K4202" i="3" s="1"/>
  <c r="G4202" i="3"/>
  <c r="M4249" i="3"/>
  <c r="L4249" i="3"/>
  <c r="J4249" i="3"/>
  <c r="K4249" i="3" s="1"/>
  <c r="H4249" i="3"/>
  <c r="I4249" i="3" s="1"/>
  <c r="G4249" i="3"/>
  <c r="M4248" i="3"/>
  <c r="L4248" i="3"/>
  <c r="K4248" i="3"/>
  <c r="J4248" i="3"/>
  <c r="H4248" i="3"/>
  <c r="G4248" i="3"/>
  <c r="I4248" i="3" s="1"/>
  <c r="M4247" i="3"/>
  <c r="L4247" i="3"/>
  <c r="J4247" i="3"/>
  <c r="K4247" i="3" s="1"/>
  <c r="H4247" i="3"/>
  <c r="G4247" i="3"/>
  <c r="M4246" i="3"/>
  <c r="L4246" i="3"/>
  <c r="J4246" i="3"/>
  <c r="K4246" i="3" s="1"/>
  <c r="H4246" i="3"/>
  <c r="G4246" i="3"/>
  <c r="M4245" i="3"/>
  <c r="L4245" i="3"/>
  <c r="J4245" i="3"/>
  <c r="K4245" i="3" s="1"/>
  <c r="H4245" i="3"/>
  <c r="G4245" i="3"/>
  <c r="M4244" i="3"/>
  <c r="L4244" i="3"/>
  <c r="J4244" i="3"/>
  <c r="K4244" i="3" s="1"/>
  <c r="H4244" i="3"/>
  <c r="G4244" i="3"/>
  <c r="M4243" i="3"/>
  <c r="L4243" i="3"/>
  <c r="K4243" i="3"/>
  <c r="J4243" i="3"/>
  <c r="H4243" i="3"/>
  <c r="G4243" i="3"/>
  <c r="I4243" i="3" s="1"/>
  <c r="M4242" i="3"/>
  <c r="L4242" i="3"/>
  <c r="J4242" i="3"/>
  <c r="K4242" i="3" s="1"/>
  <c r="H4242" i="3"/>
  <c r="G4242" i="3"/>
  <c r="M4241" i="3"/>
  <c r="L4241" i="3"/>
  <c r="J4241" i="3"/>
  <c r="K4241" i="3" s="1"/>
  <c r="H4241" i="3"/>
  <c r="I4241" i="3" s="1"/>
  <c r="G4241" i="3"/>
  <c r="M4240" i="3"/>
  <c r="L4240" i="3"/>
  <c r="K4240" i="3"/>
  <c r="J4240" i="3"/>
  <c r="H4240" i="3"/>
  <c r="G4240" i="3"/>
  <c r="I4240" i="3" s="1"/>
  <c r="M4239" i="3"/>
  <c r="L4239" i="3"/>
  <c r="J4239" i="3"/>
  <c r="K4239" i="3" s="1"/>
  <c r="H4239" i="3"/>
  <c r="G4239" i="3"/>
  <c r="M4238" i="3"/>
  <c r="L4238" i="3"/>
  <c r="J4238" i="3"/>
  <c r="K4238" i="3" s="1"/>
  <c r="H4238" i="3"/>
  <c r="G4238" i="3"/>
  <c r="M4237" i="3"/>
  <c r="L4237" i="3"/>
  <c r="J4237" i="3"/>
  <c r="K4237" i="3" s="1"/>
  <c r="H4237" i="3"/>
  <c r="G4237" i="3"/>
  <c r="M4236" i="3"/>
  <c r="L4236" i="3"/>
  <c r="J4236" i="3"/>
  <c r="K4236" i="3" s="1"/>
  <c r="H4236" i="3"/>
  <c r="G4236" i="3"/>
  <c r="M4235" i="3"/>
  <c r="L4235" i="3"/>
  <c r="J4235" i="3"/>
  <c r="K4235" i="3" s="1"/>
  <c r="H4235" i="3"/>
  <c r="G4235" i="3"/>
  <c r="M4234" i="3"/>
  <c r="L4234" i="3"/>
  <c r="J4234" i="3"/>
  <c r="K4234" i="3" s="1"/>
  <c r="H4234" i="3"/>
  <c r="G4234" i="3"/>
  <c r="I4234" i="3" s="1"/>
  <c r="M4233" i="3"/>
  <c r="L4233" i="3"/>
  <c r="J4233" i="3"/>
  <c r="K4233" i="3" s="1"/>
  <c r="H4233" i="3"/>
  <c r="G4233" i="3"/>
  <c r="M4232" i="3"/>
  <c r="L4232" i="3"/>
  <c r="J4232" i="3"/>
  <c r="K4232" i="3" s="1"/>
  <c r="H4232" i="3"/>
  <c r="G4232" i="3"/>
  <c r="M4231" i="3"/>
  <c r="L4231" i="3"/>
  <c r="J4231" i="3"/>
  <c r="K4231" i="3" s="1"/>
  <c r="H4231" i="3"/>
  <c r="G4231" i="3"/>
  <c r="I4231" i="3" s="1"/>
  <c r="M4230" i="3"/>
  <c r="L4230" i="3"/>
  <c r="J4230" i="3"/>
  <c r="K4230" i="3" s="1"/>
  <c r="H4230" i="3"/>
  <c r="G4230" i="3"/>
  <c r="M4229" i="3"/>
  <c r="L4229" i="3"/>
  <c r="J4229" i="3"/>
  <c r="K4229" i="3" s="1"/>
  <c r="H4229" i="3"/>
  <c r="G4229" i="3"/>
  <c r="M4228" i="3"/>
  <c r="L4228" i="3"/>
  <c r="J4228" i="3"/>
  <c r="K4228" i="3" s="1"/>
  <c r="H4228" i="3"/>
  <c r="G4228" i="3"/>
  <c r="M4227" i="3"/>
  <c r="L4227" i="3"/>
  <c r="J4227" i="3"/>
  <c r="K4227" i="3" s="1"/>
  <c r="H4227" i="3"/>
  <c r="G4227" i="3"/>
  <c r="M4226" i="3"/>
  <c r="L4226" i="3"/>
  <c r="J4226" i="3"/>
  <c r="K4226" i="3" s="1"/>
  <c r="H4226" i="3"/>
  <c r="G4226" i="3"/>
  <c r="M4273" i="3"/>
  <c r="L4273" i="3"/>
  <c r="J4273" i="3"/>
  <c r="K4273" i="3" s="1"/>
  <c r="H4273" i="3"/>
  <c r="G4273" i="3"/>
  <c r="I4273" i="3" s="1"/>
  <c r="M4272" i="3"/>
  <c r="L4272" i="3"/>
  <c r="J4272" i="3"/>
  <c r="K4272" i="3" s="1"/>
  <c r="H4272" i="3"/>
  <c r="I4272" i="3" s="1"/>
  <c r="G4272" i="3"/>
  <c r="M4271" i="3"/>
  <c r="L4271" i="3"/>
  <c r="J4271" i="3"/>
  <c r="K4271" i="3" s="1"/>
  <c r="H4271" i="3"/>
  <c r="G4271" i="3"/>
  <c r="M4270" i="3"/>
  <c r="L4270" i="3"/>
  <c r="J4270" i="3"/>
  <c r="K4270" i="3" s="1"/>
  <c r="H4270" i="3"/>
  <c r="G4270" i="3"/>
  <c r="M4269" i="3"/>
  <c r="L4269" i="3"/>
  <c r="J4269" i="3"/>
  <c r="K4269" i="3" s="1"/>
  <c r="H4269" i="3"/>
  <c r="G4269" i="3"/>
  <c r="M4268" i="3"/>
  <c r="L4268" i="3"/>
  <c r="J4268" i="3"/>
  <c r="K4268" i="3" s="1"/>
  <c r="H4268" i="3"/>
  <c r="G4268" i="3"/>
  <c r="M4267" i="3"/>
  <c r="L4267" i="3"/>
  <c r="J4267" i="3"/>
  <c r="K4267" i="3" s="1"/>
  <c r="H4267" i="3"/>
  <c r="G4267" i="3"/>
  <c r="M4266" i="3"/>
  <c r="L4266" i="3"/>
  <c r="J4266" i="3"/>
  <c r="K4266" i="3" s="1"/>
  <c r="H4266" i="3"/>
  <c r="G4266" i="3"/>
  <c r="M4265" i="3"/>
  <c r="L4265" i="3"/>
  <c r="J4265" i="3"/>
  <c r="K4265" i="3" s="1"/>
  <c r="H4265" i="3"/>
  <c r="G4265" i="3"/>
  <c r="M4264" i="3"/>
  <c r="L4264" i="3"/>
  <c r="J4264" i="3"/>
  <c r="K4264" i="3" s="1"/>
  <c r="H4264" i="3"/>
  <c r="I4264" i="3" s="1"/>
  <c r="G4264" i="3"/>
  <c r="M4263" i="3"/>
  <c r="L4263" i="3"/>
  <c r="J4263" i="3"/>
  <c r="K4263" i="3" s="1"/>
  <c r="H4263" i="3"/>
  <c r="G4263" i="3"/>
  <c r="M4262" i="3"/>
  <c r="L4262" i="3"/>
  <c r="J4262" i="3"/>
  <c r="K4262" i="3" s="1"/>
  <c r="H4262" i="3"/>
  <c r="G4262" i="3"/>
  <c r="M4261" i="3"/>
  <c r="L4261" i="3"/>
  <c r="J4261" i="3"/>
  <c r="K4261" i="3" s="1"/>
  <c r="H4261" i="3"/>
  <c r="G4261" i="3"/>
  <c r="M4260" i="3"/>
  <c r="L4260" i="3"/>
  <c r="J4260" i="3"/>
  <c r="K4260" i="3" s="1"/>
  <c r="H4260" i="3"/>
  <c r="G4260" i="3"/>
  <c r="M4259" i="3"/>
  <c r="L4259" i="3"/>
  <c r="J4259" i="3"/>
  <c r="K4259" i="3" s="1"/>
  <c r="H4259" i="3"/>
  <c r="G4259" i="3"/>
  <c r="M4258" i="3"/>
  <c r="L4258" i="3"/>
  <c r="J4258" i="3"/>
  <c r="K4258" i="3" s="1"/>
  <c r="H4258" i="3"/>
  <c r="G4258" i="3"/>
  <c r="M4257" i="3"/>
  <c r="L4257" i="3"/>
  <c r="J4257" i="3"/>
  <c r="K4257" i="3" s="1"/>
  <c r="H4257" i="3"/>
  <c r="G4257" i="3"/>
  <c r="I4257" i="3" s="1"/>
  <c r="M4256" i="3"/>
  <c r="L4256" i="3"/>
  <c r="J4256" i="3"/>
  <c r="K4256" i="3" s="1"/>
  <c r="H4256" i="3"/>
  <c r="I4256" i="3" s="1"/>
  <c r="G4256" i="3"/>
  <c r="M4255" i="3"/>
  <c r="L4255" i="3"/>
  <c r="J4255" i="3"/>
  <c r="K4255" i="3" s="1"/>
  <c r="H4255" i="3"/>
  <c r="G4255" i="3"/>
  <c r="M4254" i="3"/>
  <c r="L4254" i="3"/>
  <c r="J4254" i="3"/>
  <c r="K4254" i="3" s="1"/>
  <c r="H4254" i="3"/>
  <c r="G4254" i="3"/>
  <c r="M4253" i="3"/>
  <c r="L4253" i="3"/>
  <c r="J4253" i="3"/>
  <c r="K4253" i="3" s="1"/>
  <c r="H4253" i="3"/>
  <c r="G4253" i="3"/>
  <c r="M4252" i="3"/>
  <c r="L4252" i="3"/>
  <c r="J4252" i="3"/>
  <c r="K4252" i="3" s="1"/>
  <c r="H4252" i="3"/>
  <c r="G4252" i="3"/>
  <c r="M4251" i="3"/>
  <c r="L4251" i="3"/>
  <c r="J4251" i="3"/>
  <c r="K4251" i="3" s="1"/>
  <c r="H4251" i="3"/>
  <c r="G4251" i="3"/>
  <c r="M4250" i="3"/>
  <c r="L4250" i="3"/>
  <c r="J4250" i="3"/>
  <c r="K4250" i="3" s="1"/>
  <c r="H4250" i="3"/>
  <c r="G4250" i="3"/>
  <c r="M4297" i="3"/>
  <c r="L4297" i="3"/>
  <c r="J4297" i="3"/>
  <c r="K4297" i="3" s="1"/>
  <c r="H4297" i="3"/>
  <c r="G4297" i="3"/>
  <c r="M4296" i="3"/>
  <c r="L4296" i="3"/>
  <c r="J4296" i="3"/>
  <c r="K4296" i="3" s="1"/>
  <c r="H4296" i="3"/>
  <c r="G4296" i="3"/>
  <c r="I4296" i="3" s="1"/>
  <c r="M4295" i="3"/>
  <c r="L4295" i="3"/>
  <c r="J4295" i="3"/>
  <c r="K4295" i="3" s="1"/>
  <c r="H4295" i="3"/>
  <c r="G4295" i="3"/>
  <c r="M4294" i="3"/>
  <c r="L4294" i="3"/>
  <c r="J4294" i="3"/>
  <c r="K4294" i="3" s="1"/>
  <c r="H4294" i="3"/>
  <c r="G4294" i="3"/>
  <c r="M4293" i="3"/>
  <c r="L4293" i="3"/>
  <c r="J4293" i="3"/>
  <c r="K4293" i="3" s="1"/>
  <c r="H4293" i="3"/>
  <c r="G4293" i="3"/>
  <c r="M4292" i="3"/>
  <c r="L4292" i="3"/>
  <c r="J4292" i="3"/>
  <c r="K4292" i="3" s="1"/>
  <c r="H4292" i="3"/>
  <c r="G4292" i="3"/>
  <c r="M4291" i="3"/>
  <c r="L4291" i="3"/>
  <c r="J4291" i="3"/>
  <c r="K4291" i="3" s="1"/>
  <c r="H4291" i="3"/>
  <c r="G4291" i="3"/>
  <c r="M4290" i="3"/>
  <c r="L4290" i="3"/>
  <c r="J4290" i="3"/>
  <c r="K4290" i="3" s="1"/>
  <c r="H4290" i="3"/>
  <c r="G4290" i="3"/>
  <c r="I4290" i="3" s="1"/>
  <c r="M4289" i="3"/>
  <c r="L4289" i="3"/>
  <c r="J4289" i="3"/>
  <c r="K4289" i="3" s="1"/>
  <c r="H4289" i="3"/>
  <c r="G4289" i="3"/>
  <c r="M4288" i="3"/>
  <c r="L4288" i="3"/>
  <c r="J4288" i="3"/>
  <c r="K4288" i="3" s="1"/>
  <c r="H4288" i="3"/>
  <c r="G4288" i="3"/>
  <c r="I4288" i="3" s="1"/>
  <c r="M4287" i="3"/>
  <c r="L4287" i="3"/>
  <c r="J4287" i="3"/>
  <c r="K4287" i="3" s="1"/>
  <c r="H4287" i="3"/>
  <c r="G4287" i="3"/>
  <c r="M4286" i="3"/>
  <c r="L4286" i="3"/>
  <c r="J4286" i="3"/>
  <c r="K4286" i="3" s="1"/>
  <c r="H4286" i="3"/>
  <c r="G4286" i="3"/>
  <c r="I4286" i="3" s="1"/>
  <c r="M4285" i="3"/>
  <c r="L4285" i="3"/>
  <c r="J4285" i="3"/>
  <c r="K4285" i="3" s="1"/>
  <c r="H4285" i="3"/>
  <c r="G4285" i="3"/>
  <c r="M4284" i="3"/>
  <c r="L4284" i="3"/>
  <c r="J4284" i="3"/>
  <c r="K4284" i="3" s="1"/>
  <c r="H4284" i="3"/>
  <c r="G4284" i="3"/>
  <c r="M4283" i="3"/>
  <c r="L4283" i="3"/>
  <c r="J4283" i="3"/>
  <c r="K4283" i="3" s="1"/>
  <c r="H4283" i="3"/>
  <c r="G4283" i="3"/>
  <c r="M4282" i="3"/>
  <c r="L4282" i="3"/>
  <c r="J4282" i="3"/>
  <c r="K4282" i="3" s="1"/>
  <c r="H4282" i="3"/>
  <c r="G4282" i="3"/>
  <c r="I4282" i="3" s="1"/>
  <c r="M4281" i="3"/>
  <c r="L4281" i="3"/>
  <c r="J4281" i="3"/>
  <c r="K4281" i="3" s="1"/>
  <c r="H4281" i="3"/>
  <c r="G4281" i="3"/>
  <c r="M4280" i="3"/>
  <c r="L4280" i="3"/>
  <c r="J4280" i="3"/>
  <c r="K4280" i="3" s="1"/>
  <c r="H4280" i="3"/>
  <c r="G4280" i="3"/>
  <c r="I4280" i="3" s="1"/>
  <c r="M4279" i="3"/>
  <c r="L4279" i="3"/>
  <c r="J4279" i="3"/>
  <c r="K4279" i="3" s="1"/>
  <c r="H4279" i="3"/>
  <c r="G4279" i="3"/>
  <c r="M4278" i="3"/>
  <c r="L4278" i="3"/>
  <c r="J4278" i="3"/>
  <c r="K4278" i="3" s="1"/>
  <c r="H4278" i="3"/>
  <c r="G4278" i="3"/>
  <c r="I4278" i="3" s="1"/>
  <c r="M4277" i="3"/>
  <c r="L4277" i="3"/>
  <c r="J4277" i="3"/>
  <c r="K4277" i="3" s="1"/>
  <c r="H4277" i="3"/>
  <c r="G4277" i="3"/>
  <c r="M4276" i="3"/>
  <c r="L4276" i="3"/>
  <c r="J4276" i="3"/>
  <c r="K4276" i="3" s="1"/>
  <c r="H4276" i="3"/>
  <c r="G4276" i="3"/>
  <c r="M4275" i="3"/>
  <c r="L4275" i="3"/>
  <c r="J4275" i="3"/>
  <c r="K4275" i="3" s="1"/>
  <c r="H4275" i="3"/>
  <c r="G4275" i="3"/>
  <c r="M4274" i="3"/>
  <c r="L4274" i="3"/>
  <c r="J4274" i="3"/>
  <c r="K4274" i="3" s="1"/>
  <c r="H4274" i="3"/>
  <c r="G4274" i="3"/>
  <c r="I4274" i="3" s="1"/>
  <c r="H4306" i="3"/>
  <c r="M4321" i="3"/>
  <c r="L4321" i="3"/>
  <c r="J4321" i="3"/>
  <c r="K4321" i="3" s="1"/>
  <c r="H4321" i="3"/>
  <c r="G4321" i="3"/>
  <c r="M4320" i="3"/>
  <c r="L4320" i="3"/>
  <c r="J4320" i="3"/>
  <c r="K4320" i="3" s="1"/>
  <c r="H4320" i="3"/>
  <c r="G4320" i="3"/>
  <c r="M4319" i="3"/>
  <c r="L4319" i="3"/>
  <c r="J4319" i="3"/>
  <c r="K4319" i="3" s="1"/>
  <c r="H4319" i="3"/>
  <c r="G4319" i="3"/>
  <c r="M4318" i="3"/>
  <c r="L4318" i="3"/>
  <c r="J4318" i="3"/>
  <c r="K4318" i="3" s="1"/>
  <c r="H4318" i="3"/>
  <c r="G4318" i="3"/>
  <c r="I4318" i="3" s="1"/>
  <c r="M4317" i="3"/>
  <c r="L4317" i="3"/>
  <c r="J4317" i="3"/>
  <c r="K4317" i="3" s="1"/>
  <c r="H4317" i="3"/>
  <c r="G4317" i="3"/>
  <c r="M4316" i="3"/>
  <c r="L4316" i="3"/>
  <c r="J4316" i="3"/>
  <c r="K4316" i="3" s="1"/>
  <c r="H4316" i="3"/>
  <c r="G4316" i="3"/>
  <c r="M4315" i="3"/>
  <c r="L4315" i="3"/>
  <c r="J4315" i="3"/>
  <c r="K4315" i="3" s="1"/>
  <c r="H4315" i="3"/>
  <c r="G4315" i="3"/>
  <c r="I4315" i="3" s="1"/>
  <c r="M4314" i="3"/>
  <c r="L4314" i="3"/>
  <c r="J4314" i="3"/>
  <c r="K4314" i="3" s="1"/>
  <c r="H4314" i="3"/>
  <c r="G4314" i="3"/>
  <c r="M4313" i="3"/>
  <c r="L4313" i="3"/>
  <c r="J4313" i="3"/>
  <c r="K4313" i="3" s="1"/>
  <c r="H4313" i="3"/>
  <c r="G4313" i="3"/>
  <c r="M4312" i="3"/>
  <c r="L4312" i="3"/>
  <c r="J4312" i="3"/>
  <c r="K4312" i="3" s="1"/>
  <c r="H4312" i="3"/>
  <c r="G4312" i="3"/>
  <c r="M4311" i="3"/>
  <c r="L4311" i="3"/>
  <c r="J4311" i="3"/>
  <c r="K4311" i="3" s="1"/>
  <c r="H4311" i="3"/>
  <c r="G4311" i="3"/>
  <c r="M4310" i="3"/>
  <c r="L4310" i="3"/>
  <c r="J4310" i="3"/>
  <c r="K4310" i="3" s="1"/>
  <c r="H4310" i="3"/>
  <c r="G4310" i="3"/>
  <c r="I4310" i="3" s="1"/>
  <c r="M4309" i="3"/>
  <c r="L4309" i="3"/>
  <c r="J4309" i="3"/>
  <c r="K4309" i="3" s="1"/>
  <c r="H4309" i="3"/>
  <c r="G4309" i="3"/>
  <c r="M4308" i="3"/>
  <c r="L4308" i="3"/>
  <c r="J4308" i="3"/>
  <c r="K4308" i="3" s="1"/>
  <c r="H4308" i="3"/>
  <c r="G4308" i="3"/>
  <c r="M4307" i="3"/>
  <c r="L4307" i="3"/>
  <c r="J4307" i="3"/>
  <c r="K4307" i="3" s="1"/>
  <c r="H4307" i="3"/>
  <c r="G4307" i="3"/>
  <c r="I4307" i="3" s="1"/>
  <c r="M4306" i="3"/>
  <c r="L4306" i="3"/>
  <c r="J4306" i="3"/>
  <c r="K4306" i="3" s="1"/>
  <c r="G4306" i="3"/>
  <c r="M4305" i="3"/>
  <c r="L4305" i="3"/>
  <c r="J4305" i="3"/>
  <c r="K4305" i="3" s="1"/>
  <c r="H4305" i="3"/>
  <c r="G4305" i="3"/>
  <c r="M4304" i="3"/>
  <c r="L4304" i="3"/>
  <c r="J4304" i="3"/>
  <c r="K4304" i="3" s="1"/>
  <c r="H4304" i="3"/>
  <c r="G4304" i="3"/>
  <c r="I4304" i="3" s="1"/>
  <c r="M4303" i="3"/>
  <c r="L4303" i="3"/>
  <c r="J4303" i="3"/>
  <c r="K4303" i="3" s="1"/>
  <c r="H4303" i="3"/>
  <c r="G4303" i="3"/>
  <c r="M4302" i="3"/>
  <c r="L4302" i="3"/>
  <c r="J4302" i="3"/>
  <c r="K4302" i="3" s="1"/>
  <c r="H4302" i="3"/>
  <c r="G4302" i="3"/>
  <c r="M4301" i="3"/>
  <c r="L4301" i="3"/>
  <c r="J4301" i="3"/>
  <c r="K4301" i="3" s="1"/>
  <c r="H4301" i="3"/>
  <c r="G4301" i="3"/>
  <c r="M4300" i="3"/>
  <c r="L4300" i="3"/>
  <c r="J4300" i="3"/>
  <c r="K4300" i="3" s="1"/>
  <c r="H4300" i="3"/>
  <c r="G4300" i="3"/>
  <c r="I4300" i="3" s="1"/>
  <c r="M4299" i="3"/>
  <c r="L4299" i="3"/>
  <c r="J4299" i="3"/>
  <c r="K4299" i="3" s="1"/>
  <c r="H4299" i="3"/>
  <c r="G4299" i="3"/>
  <c r="M4298" i="3"/>
  <c r="L4298" i="3"/>
  <c r="J4298" i="3"/>
  <c r="K4298" i="3" s="1"/>
  <c r="H4298" i="3"/>
  <c r="G4298" i="3"/>
  <c r="I4298" i="3" s="1"/>
  <c r="M4345" i="3"/>
  <c r="L4345" i="3"/>
  <c r="J4345" i="3"/>
  <c r="K4345" i="3" s="1"/>
  <c r="H4345" i="3"/>
  <c r="G4345" i="3"/>
  <c r="M4344" i="3"/>
  <c r="L4344" i="3"/>
  <c r="J4344" i="3"/>
  <c r="K4344" i="3" s="1"/>
  <c r="H4344" i="3"/>
  <c r="G4344" i="3"/>
  <c r="I4344" i="3" s="1"/>
  <c r="M4343" i="3"/>
  <c r="L4343" i="3"/>
  <c r="J4343" i="3"/>
  <c r="K4343" i="3" s="1"/>
  <c r="H4343" i="3"/>
  <c r="G4343" i="3"/>
  <c r="M4342" i="3"/>
  <c r="L4342" i="3"/>
  <c r="J4342" i="3"/>
  <c r="K4342" i="3" s="1"/>
  <c r="H4342" i="3"/>
  <c r="G4342" i="3"/>
  <c r="M4341" i="3"/>
  <c r="L4341" i="3"/>
  <c r="J4341" i="3"/>
  <c r="K4341" i="3" s="1"/>
  <c r="H4341" i="3"/>
  <c r="G4341" i="3"/>
  <c r="M4340" i="3"/>
  <c r="L4340" i="3"/>
  <c r="J4340" i="3"/>
  <c r="K4340" i="3" s="1"/>
  <c r="H4340" i="3"/>
  <c r="I4340" i="3" s="1"/>
  <c r="G4340" i="3"/>
  <c r="M4339" i="3"/>
  <c r="L4339" i="3"/>
  <c r="J4339" i="3"/>
  <c r="K4339" i="3" s="1"/>
  <c r="H4339" i="3"/>
  <c r="G4339" i="3"/>
  <c r="M4338" i="3"/>
  <c r="L4338" i="3"/>
  <c r="J4338" i="3"/>
  <c r="K4338" i="3" s="1"/>
  <c r="H4338" i="3"/>
  <c r="G4338" i="3"/>
  <c r="I4338" i="3" s="1"/>
  <c r="M4337" i="3"/>
  <c r="L4337" i="3"/>
  <c r="J4337" i="3"/>
  <c r="K4337" i="3" s="1"/>
  <c r="H4337" i="3"/>
  <c r="G4337" i="3"/>
  <c r="M4336" i="3"/>
  <c r="L4336" i="3"/>
  <c r="J4336" i="3"/>
  <c r="K4336" i="3" s="1"/>
  <c r="I4336" i="3"/>
  <c r="H4336" i="3"/>
  <c r="G4336" i="3"/>
  <c r="M4335" i="3"/>
  <c r="L4335" i="3"/>
  <c r="J4335" i="3"/>
  <c r="K4335" i="3" s="1"/>
  <c r="H4335" i="3"/>
  <c r="G4335" i="3"/>
  <c r="I4335" i="3" s="1"/>
  <c r="M4334" i="3"/>
  <c r="L4334" i="3"/>
  <c r="J4334" i="3"/>
  <c r="K4334" i="3" s="1"/>
  <c r="H4334" i="3"/>
  <c r="G4334" i="3"/>
  <c r="I4334" i="3" s="1"/>
  <c r="M4333" i="3"/>
  <c r="L4333" i="3"/>
  <c r="J4333" i="3"/>
  <c r="K4333" i="3" s="1"/>
  <c r="H4333" i="3"/>
  <c r="G4333" i="3"/>
  <c r="M4332" i="3"/>
  <c r="L4332" i="3"/>
  <c r="J4332" i="3"/>
  <c r="K4332" i="3" s="1"/>
  <c r="H4332" i="3"/>
  <c r="G4332" i="3"/>
  <c r="I4332" i="3" s="1"/>
  <c r="M4331" i="3"/>
  <c r="L4331" i="3"/>
  <c r="J4331" i="3"/>
  <c r="K4331" i="3" s="1"/>
  <c r="H4331" i="3"/>
  <c r="G4331" i="3"/>
  <c r="I4331" i="3" s="1"/>
  <c r="M4330" i="3"/>
  <c r="L4330" i="3"/>
  <c r="J4330" i="3"/>
  <c r="K4330" i="3" s="1"/>
  <c r="H4330" i="3"/>
  <c r="G4330" i="3"/>
  <c r="M4329" i="3"/>
  <c r="L4329" i="3"/>
  <c r="J4329" i="3"/>
  <c r="K4329" i="3" s="1"/>
  <c r="H4329" i="3"/>
  <c r="G4329" i="3"/>
  <c r="I4329" i="3" s="1"/>
  <c r="M4328" i="3"/>
  <c r="L4328" i="3"/>
  <c r="J4328" i="3"/>
  <c r="K4328" i="3" s="1"/>
  <c r="H4328" i="3"/>
  <c r="G4328" i="3"/>
  <c r="I4328" i="3" s="1"/>
  <c r="M4327" i="3"/>
  <c r="L4327" i="3"/>
  <c r="J4327" i="3"/>
  <c r="K4327" i="3" s="1"/>
  <c r="H4327" i="3"/>
  <c r="G4327" i="3"/>
  <c r="M4326" i="3"/>
  <c r="L4326" i="3"/>
  <c r="J4326" i="3"/>
  <c r="K4326" i="3" s="1"/>
  <c r="H4326" i="3"/>
  <c r="G4326" i="3"/>
  <c r="I4326" i="3" s="1"/>
  <c r="M4325" i="3"/>
  <c r="L4325" i="3"/>
  <c r="J4325" i="3"/>
  <c r="K4325" i="3" s="1"/>
  <c r="H4325" i="3"/>
  <c r="G4325" i="3"/>
  <c r="I4325" i="3" s="1"/>
  <c r="M4324" i="3"/>
  <c r="L4324" i="3"/>
  <c r="J4324" i="3"/>
  <c r="K4324" i="3" s="1"/>
  <c r="H4324" i="3"/>
  <c r="G4324" i="3"/>
  <c r="I4324" i="3" s="1"/>
  <c r="M4323" i="3"/>
  <c r="L4323" i="3"/>
  <c r="J4323" i="3"/>
  <c r="K4323" i="3" s="1"/>
  <c r="H4323" i="3"/>
  <c r="G4323" i="3"/>
  <c r="M4322" i="3"/>
  <c r="L4322" i="3"/>
  <c r="J4322" i="3"/>
  <c r="K4322" i="3" s="1"/>
  <c r="H4322" i="3"/>
  <c r="G4322" i="3"/>
  <c r="I4322" i="3" s="1"/>
  <c r="M4369" i="3"/>
  <c r="L4369" i="3"/>
  <c r="J4369" i="3"/>
  <c r="K4369" i="3" s="1"/>
  <c r="H4369" i="3"/>
  <c r="G4369" i="3"/>
  <c r="M4368" i="3"/>
  <c r="L4368" i="3"/>
  <c r="J4368" i="3"/>
  <c r="K4368" i="3" s="1"/>
  <c r="I4368" i="3"/>
  <c r="H4368" i="3"/>
  <c r="G4368" i="3"/>
  <c r="M4367" i="3"/>
  <c r="L4367" i="3"/>
  <c r="J4367" i="3"/>
  <c r="K4367" i="3" s="1"/>
  <c r="H4367" i="3"/>
  <c r="G4367" i="3"/>
  <c r="M4366" i="3"/>
  <c r="L4366" i="3"/>
  <c r="J4366" i="3"/>
  <c r="K4366" i="3" s="1"/>
  <c r="H4366" i="3"/>
  <c r="G4366" i="3"/>
  <c r="M4365" i="3"/>
  <c r="L4365" i="3"/>
  <c r="J4365" i="3"/>
  <c r="K4365" i="3" s="1"/>
  <c r="H4365" i="3"/>
  <c r="G4365" i="3"/>
  <c r="M4364" i="3"/>
  <c r="L4364" i="3"/>
  <c r="J4364" i="3"/>
  <c r="K4364" i="3" s="1"/>
  <c r="H4364" i="3"/>
  <c r="G4364" i="3"/>
  <c r="M4363" i="3"/>
  <c r="L4363" i="3"/>
  <c r="J4363" i="3"/>
  <c r="K4363" i="3" s="1"/>
  <c r="H4363" i="3"/>
  <c r="G4363" i="3"/>
  <c r="M4362" i="3"/>
  <c r="L4362" i="3"/>
  <c r="J4362" i="3"/>
  <c r="K4362" i="3" s="1"/>
  <c r="H4362" i="3"/>
  <c r="G4362" i="3"/>
  <c r="I4362" i="3" s="1"/>
  <c r="M4361" i="3"/>
  <c r="L4361" i="3"/>
  <c r="J4361" i="3"/>
  <c r="K4361" i="3" s="1"/>
  <c r="H4361" i="3"/>
  <c r="G4361" i="3"/>
  <c r="M4360" i="3"/>
  <c r="L4360" i="3"/>
  <c r="K4360" i="3"/>
  <c r="J4360" i="3"/>
  <c r="H4360" i="3"/>
  <c r="G4360" i="3"/>
  <c r="M4359" i="3"/>
  <c r="L4359" i="3"/>
  <c r="J4359" i="3"/>
  <c r="K4359" i="3" s="1"/>
  <c r="H4359" i="3"/>
  <c r="G4359" i="3"/>
  <c r="M4358" i="3"/>
  <c r="L4358" i="3"/>
  <c r="J4358" i="3"/>
  <c r="K4358" i="3" s="1"/>
  <c r="H4358" i="3"/>
  <c r="G4358" i="3"/>
  <c r="I4358" i="3" s="1"/>
  <c r="M4357" i="3"/>
  <c r="L4357" i="3"/>
  <c r="J4357" i="3"/>
  <c r="K4357" i="3" s="1"/>
  <c r="H4357" i="3"/>
  <c r="G4357" i="3"/>
  <c r="M4356" i="3"/>
  <c r="L4356" i="3"/>
  <c r="J4356" i="3"/>
  <c r="K4356" i="3" s="1"/>
  <c r="H4356" i="3"/>
  <c r="G4356" i="3"/>
  <c r="I4356" i="3" s="1"/>
  <c r="M4355" i="3"/>
  <c r="L4355" i="3"/>
  <c r="J4355" i="3"/>
  <c r="K4355" i="3" s="1"/>
  <c r="H4355" i="3"/>
  <c r="G4355" i="3"/>
  <c r="M4354" i="3"/>
  <c r="L4354" i="3"/>
  <c r="J4354" i="3"/>
  <c r="K4354" i="3" s="1"/>
  <c r="H4354" i="3"/>
  <c r="G4354" i="3"/>
  <c r="I4354" i="3" s="1"/>
  <c r="M4353" i="3"/>
  <c r="L4353" i="3"/>
  <c r="J4353" i="3"/>
  <c r="K4353" i="3" s="1"/>
  <c r="H4353" i="3"/>
  <c r="G4353" i="3"/>
  <c r="M4352" i="3"/>
  <c r="L4352" i="3"/>
  <c r="J4352" i="3"/>
  <c r="K4352" i="3" s="1"/>
  <c r="H4352" i="3"/>
  <c r="G4352" i="3"/>
  <c r="I4352" i="3" s="1"/>
  <c r="M4351" i="3"/>
  <c r="L4351" i="3"/>
  <c r="J4351" i="3"/>
  <c r="K4351" i="3" s="1"/>
  <c r="H4351" i="3"/>
  <c r="G4351" i="3"/>
  <c r="I4351" i="3" s="1"/>
  <c r="M4350" i="3"/>
  <c r="L4350" i="3"/>
  <c r="J4350" i="3"/>
  <c r="K4350" i="3" s="1"/>
  <c r="H4350" i="3"/>
  <c r="G4350" i="3"/>
  <c r="M4349" i="3"/>
  <c r="L4349" i="3"/>
  <c r="J4349" i="3"/>
  <c r="K4349" i="3" s="1"/>
  <c r="H4349" i="3"/>
  <c r="G4349" i="3"/>
  <c r="I4349" i="3" s="1"/>
  <c r="M4348" i="3"/>
  <c r="L4348" i="3"/>
  <c r="J4348" i="3"/>
  <c r="K4348" i="3" s="1"/>
  <c r="H4348" i="3"/>
  <c r="I4348" i="3" s="1"/>
  <c r="G4348" i="3"/>
  <c r="M4347" i="3"/>
  <c r="L4347" i="3"/>
  <c r="J4347" i="3"/>
  <c r="K4347" i="3" s="1"/>
  <c r="H4347" i="3"/>
  <c r="G4347" i="3"/>
  <c r="I4347" i="3" s="1"/>
  <c r="M4346" i="3"/>
  <c r="L4346" i="3"/>
  <c r="J4346" i="3"/>
  <c r="K4346" i="3" s="1"/>
  <c r="H4346" i="3"/>
  <c r="G4346" i="3"/>
  <c r="M4393" i="3"/>
  <c r="L4393" i="3"/>
  <c r="J4393" i="3"/>
  <c r="K4393" i="3" s="1"/>
  <c r="H4393" i="3"/>
  <c r="G4393" i="3"/>
  <c r="M4392" i="3"/>
  <c r="L4392" i="3"/>
  <c r="J4392" i="3"/>
  <c r="K4392" i="3" s="1"/>
  <c r="H4392" i="3"/>
  <c r="G4392" i="3"/>
  <c r="I4392" i="3" s="1"/>
  <c r="M4391" i="3"/>
  <c r="L4391" i="3"/>
  <c r="J4391" i="3"/>
  <c r="K4391" i="3" s="1"/>
  <c r="H4391" i="3"/>
  <c r="G4391" i="3"/>
  <c r="M4390" i="3"/>
  <c r="L4390" i="3"/>
  <c r="K4390" i="3"/>
  <c r="J4390" i="3"/>
  <c r="H4390" i="3"/>
  <c r="G4390" i="3"/>
  <c r="M4389" i="3"/>
  <c r="L4389" i="3"/>
  <c r="J4389" i="3"/>
  <c r="K4389" i="3" s="1"/>
  <c r="H4389" i="3"/>
  <c r="G4389" i="3"/>
  <c r="M4388" i="3"/>
  <c r="L4388" i="3"/>
  <c r="J4388" i="3"/>
  <c r="K4388" i="3" s="1"/>
  <c r="H4388" i="3"/>
  <c r="G4388" i="3"/>
  <c r="M4387" i="3"/>
  <c r="L4387" i="3"/>
  <c r="J4387" i="3"/>
  <c r="K4387" i="3" s="1"/>
  <c r="H4387" i="3"/>
  <c r="G4387" i="3"/>
  <c r="I4387" i="3" s="1"/>
  <c r="M4386" i="3"/>
  <c r="L4386" i="3"/>
  <c r="J4386" i="3"/>
  <c r="K4386" i="3" s="1"/>
  <c r="H4386" i="3"/>
  <c r="G4386" i="3"/>
  <c r="M4385" i="3"/>
  <c r="L4385" i="3"/>
  <c r="J4385" i="3"/>
  <c r="K4385" i="3" s="1"/>
  <c r="H4385" i="3"/>
  <c r="G4385" i="3"/>
  <c r="M4384" i="3"/>
  <c r="L4384" i="3"/>
  <c r="J4384" i="3"/>
  <c r="K4384" i="3" s="1"/>
  <c r="H4384" i="3"/>
  <c r="G4384" i="3"/>
  <c r="I4384" i="3" s="1"/>
  <c r="M4383" i="3"/>
  <c r="L4383" i="3"/>
  <c r="J4383" i="3"/>
  <c r="K4383" i="3" s="1"/>
  <c r="H4383" i="3"/>
  <c r="G4383" i="3"/>
  <c r="M4382" i="3"/>
  <c r="L4382" i="3"/>
  <c r="J4382" i="3"/>
  <c r="K4382" i="3" s="1"/>
  <c r="H4382" i="3"/>
  <c r="G4382" i="3"/>
  <c r="M4381" i="3"/>
  <c r="L4381" i="3"/>
  <c r="J4381" i="3"/>
  <c r="K4381" i="3" s="1"/>
  <c r="H4381" i="3"/>
  <c r="G4381" i="3"/>
  <c r="M4380" i="3"/>
  <c r="L4380" i="3"/>
  <c r="J4380" i="3"/>
  <c r="K4380" i="3" s="1"/>
  <c r="H4380" i="3"/>
  <c r="G4380" i="3"/>
  <c r="M4379" i="3"/>
  <c r="L4379" i="3"/>
  <c r="J4379" i="3"/>
  <c r="K4379" i="3" s="1"/>
  <c r="H4379" i="3"/>
  <c r="G4379" i="3"/>
  <c r="M4378" i="3"/>
  <c r="L4378" i="3"/>
  <c r="J4378" i="3"/>
  <c r="K4378" i="3" s="1"/>
  <c r="H4378" i="3"/>
  <c r="G4378" i="3"/>
  <c r="M4377" i="3"/>
  <c r="L4377" i="3"/>
  <c r="J4377" i="3"/>
  <c r="K4377" i="3" s="1"/>
  <c r="H4377" i="3"/>
  <c r="I4377" i="3" s="1"/>
  <c r="G4377" i="3"/>
  <c r="M4376" i="3"/>
  <c r="L4376" i="3"/>
  <c r="K4376" i="3"/>
  <c r="J4376" i="3"/>
  <c r="H4376" i="3"/>
  <c r="G4376" i="3"/>
  <c r="M4375" i="3"/>
  <c r="L4375" i="3"/>
  <c r="J4375" i="3"/>
  <c r="K4375" i="3" s="1"/>
  <c r="H4375" i="3"/>
  <c r="G4375" i="3"/>
  <c r="M4374" i="3"/>
  <c r="L4374" i="3"/>
  <c r="K4374" i="3"/>
  <c r="J4374" i="3"/>
  <c r="H4374" i="3"/>
  <c r="G4374" i="3"/>
  <c r="I4374" i="3" s="1"/>
  <c r="M4373" i="3"/>
  <c r="L4373" i="3"/>
  <c r="J4373" i="3"/>
  <c r="K4373" i="3" s="1"/>
  <c r="H4373" i="3"/>
  <c r="G4373" i="3"/>
  <c r="M4372" i="3"/>
  <c r="L4372" i="3"/>
  <c r="J4372" i="3"/>
  <c r="K4372" i="3" s="1"/>
  <c r="H4372" i="3"/>
  <c r="G4372" i="3"/>
  <c r="M4371" i="3"/>
  <c r="L4371" i="3"/>
  <c r="J4371" i="3"/>
  <c r="K4371" i="3" s="1"/>
  <c r="H4371" i="3"/>
  <c r="G4371" i="3"/>
  <c r="I4371" i="3" s="1"/>
  <c r="M4370" i="3"/>
  <c r="L4370" i="3"/>
  <c r="J4370" i="3"/>
  <c r="K4370" i="3" s="1"/>
  <c r="H4370" i="3"/>
  <c r="G4370" i="3"/>
  <c r="I4370" i="3" s="1"/>
  <c r="M4417" i="3"/>
  <c r="L4417" i="3"/>
  <c r="J4417" i="3"/>
  <c r="K4417" i="3" s="1"/>
  <c r="H4417" i="3"/>
  <c r="G4417" i="3"/>
  <c r="M4416" i="3"/>
  <c r="L4416" i="3"/>
  <c r="J4416" i="3"/>
  <c r="K4416" i="3" s="1"/>
  <c r="H4416" i="3"/>
  <c r="I4416" i="3" s="1"/>
  <c r="G4416" i="3"/>
  <c r="M4415" i="3"/>
  <c r="L4415" i="3"/>
  <c r="J4415" i="3"/>
  <c r="K4415" i="3" s="1"/>
  <c r="H4415" i="3"/>
  <c r="G4415" i="3"/>
  <c r="M4414" i="3"/>
  <c r="L4414" i="3"/>
  <c r="J4414" i="3"/>
  <c r="K4414" i="3" s="1"/>
  <c r="H4414" i="3"/>
  <c r="G4414" i="3"/>
  <c r="I4414" i="3" s="1"/>
  <c r="M4413" i="3"/>
  <c r="L4413" i="3"/>
  <c r="J4413" i="3"/>
  <c r="K4413" i="3" s="1"/>
  <c r="H4413" i="3"/>
  <c r="G4413" i="3"/>
  <c r="M4412" i="3"/>
  <c r="L4412" i="3"/>
  <c r="J4412" i="3"/>
  <c r="K4412" i="3" s="1"/>
  <c r="H4412" i="3"/>
  <c r="G4412" i="3"/>
  <c r="M4411" i="3"/>
  <c r="L4411" i="3"/>
  <c r="J4411" i="3"/>
  <c r="K4411" i="3" s="1"/>
  <c r="H4411" i="3"/>
  <c r="I4411" i="3" s="1"/>
  <c r="G4411" i="3"/>
  <c r="M4410" i="3"/>
  <c r="L4410" i="3"/>
  <c r="J4410" i="3"/>
  <c r="K4410" i="3" s="1"/>
  <c r="H4410" i="3"/>
  <c r="G4410" i="3"/>
  <c r="M4409" i="3"/>
  <c r="L4409" i="3"/>
  <c r="J4409" i="3"/>
  <c r="K4409" i="3" s="1"/>
  <c r="H4409" i="3"/>
  <c r="G4409" i="3"/>
  <c r="M4408" i="3"/>
  <c r="L4408" i="3"/>
  <c r="J4408" i="3"/>
  <c r="K4408" i="3" s="1"/>
  <c r="H4408" i="3"/>
  <c r="G4408" i="3"/>
  <c r="I4408" i="3" s="1"/>
  <c r="M4407" i="3"/>
  <c r="L4407" i="3"/>
  <c r="J4407" i="3"/>
  <c r="K4407" i="3" s="1"/>
  <c r="H4407" i="3"/>
  <c r="G4407" i="3"/>
  <c r="M4406" i="3"/>
  <c r="L4406" i="3"/>
  <c r="J4406" i="3"/>
  <c r="K4406" i="3" s="1"/>
  <c r="H4406" i="3"/>
  <c r="G4406" i="3"/>
  <c r="M4405" i="3"/>
  <c r="L4405" i="3"/>
  <c r="J4405" i="3"/>
  <c r="K4405" i="3" s="1"/>
  <c r="H4405" i="3"/>
  <c r="G4405" i="3"/>
  <c r="M4404" i="3"/>
  <c r="L4404" i="3"/>
  <c r="J4404" i="3"/>
  <c r="K4404" i="3" s="1"/>
  <c r="H4404" i="3"/>
  <c r="G4404" i="3"/>
  <c r="I4404" i="3" s="1"/>
  <c r="M4403" i="3"/>
  <c r="L4403" i="3"/>
  <c r="J4403" i="3"/>
  <c r="K4403" i="3" s="1"/>
  <c r="H4403" i="3"/>
  <c r="G4403" i="3"/>
  <c r="M4402" i="3"/>
  <c r="L4402" i="3"/>
  <c r="J4402" i="3"/>
  <c r="K4402" i="3" s="1"/>
  <c r="H4402" i="3"/>
  <c r="G4402" i="3"/>
  <c r="M4401" i="3"/>
  <c r="L4401" i="3"/>
  <c r="J4401" i="3"/>
  <c r="K4401" i="3" s="1"/>
  <c r="H4401" i="3"/>
  <c r="G4401" i="3"/>
  <c r="I4401" i="3" s="1"/>
  <c r="M4400" i="3"/>
  <c r="L4400" i="3"/>
  <c r="J4400" i="3"/>
  <c r="K4400" i="3" s="1"/>
  <c r="H4400" i="3"/>
  <c r="G4400" i="3"/>
  <c r="M4399" i="3"/>
  <c r="L4399" i="3"/>
  <c r="J4399" i="3"/>
  <c r="K4399" i="3" s="1"/>
  <c r="H4399" i="3"/>
  <c r="G4399" i="3"/>
  <c r="M4398" i="3"/>
  <c r="L4398" i="3"/>
  <c r="J4398" i="3"/>
  <c r="K4398" i="3" s="1"/>
  <c r="H4398" i="3"/>
  <c r="G4398" i="3"/>
  <c r="M4397" i="3"/>
  <c r="L4397" i="3"/>
  <c r="J4397" i="3"/>
  <c r="K4397" i="3" s="1"/>
  <c r="H4397" i="3"/>
  <c r="G4397" i="3"/>
  <c r="M4396" i="3"/>
  <c r="L4396" i="3"/>
  <c r="J4396" i="3"/>
  <c r="K4396" i="3" s="1"/>
  <c r="H4396" i="3"/>
  <c r="G4396" i="3"/>
  <c r="I4396" i="3" s="1"/>
  <c r="M4395" i="3"/>
  <c r="L4395" i="3"/>
  <c r="J4395" i="3"/>
  <c r="K4395" i="3" s="1"/>
  <c r="H4395" i="3"/>
  <c r="I4395" i="3" s="1"/>
  <c r="G4395" i="3"/>
  <c r="M4394" i="3"/>
  <c r="L4394" i="3"/>
  <c r="K4394" i="3"/>
  <c r="J4394" i="3"/>
  <c r="H4394" i="3"/>
  <c r="G4394" i="3"/>
  <c r="I4394" i="3" s="1"/>
  <c r="M4441" i="3"/>
  <c r="L4441" i="3"/>
  <c r="J4441" i="3"/>
  <c r="K4441" i="3" s="1"/>
  <c r="H4441" i="3"/>
  <c r="G4441" i="3"/>
  <c r="I4441" i="3" s="1"/>
  <c r="M4440" i="3"/>
  <c r="L4440" i="3"/>
  <c r="J4440" i="3"/>
  <c r="K4440" i="3" s="1"/>
  <c r="I4440" i="3"/>
  <c r="H4440" i="3"/>
  <c r="G4440" i="3"/>
  <c r="M4439" i="3"/>
  <c r="L4439" i="3"/>
  <c r="J4439" i="3"/>
  <c r="K4439" i="3" s="1"/>
  <c r="H4439" i="3"/>
  <c r="G4439" i="3"/>
  <c r="M4438" i="3"/>
  <c r="L4438" i="3"/>
  <c r="J4438" i="3"/>
  <c r="K4438" i="3" s="1"/>
  <c r="H4438" i="3"/>
  <c r="G4438" i="3"/>
  <c r="M4437" i="3"/>
  <c r="L4437" i="3"/>
  <c r="J4437" i="3"/>
  <c r="K4437" i="3" s="1"/>
  <c r="H4437" i="3"/>
  <c r="G4437" i="3"/>
  <c r="M4436" i="3"/>
  <c r="L4436" i="3"/>
  <c r="J4436" i="3"/>
  <c r="K4436" i="3" s="1"/>
  <c r="H4436" i="3"/>
  <c r="G4436" i="3"/>
  <c r="M4435" i="3"/>
  <c r="L4435" i="3"/>
  <c r="J4435" i="3"/>
  <c r="K4435" i="3" s="1"/>
  <c r="H4435" i="3"/>
  <c r="G4435" i="3"/>
  <c r="M4434" i="3"/>
  <c r="L4434" i="3"/>
  <c r="J4434" i="3"/>
  <c r="K4434" i="3" s="1"/>
  <c r="H4434" i="3"/>
  <c r="G4434" i="3"/>
  <c r="I4434" i="3" s="1"/>
  <c r="M4433" i="3"/>
  <c r="L4433" i="3"/>
  <c r="J4433" i="3"/>
  <c r="K4433" i="3" s="1"/>
  <c r="H4433" i="3"/>
  <c r="G4433" i="3"/>
  <c r="M4432" i="3"/>
  <c r="L4432" i="3"/>
  <c r="J4432" i="3"/>
  <c r="K4432" i="3" s="1"/>
  <c r="H4432" i="3"/>
  <c r="I4432" i="3" s="1"/>
  <c r="G4432" i="3"/>
  <c r="M4431" i="3"/>
  <c r="L4431" i="3"/>
  <c r="J4431" i="3"/>
  <c r="K4431" i="3" s="1"/>
  <c r="H4431" i="3"/>
  <c r="G4431" i="3"/>
  <c r="M4430" i="3"/>
  <c r="L4430" i="3"/>
  <c r="J4430" i="3"/>
  <c r="K4430" i="3" s="1"/>
  <c r="H4430" i="3"/>
  <c r="G4430" i="3"/>
  <c r="I4430" i="3" s="1"/>
  <c r="M4429" i="3"/>
  <c r="L4429" i="3"/>
  <c r="J4429" i="3"/>
  <c r="K4429" i="3" s="1"/>
  <c r="H4429" i="3"/>
  <c r="G4429" i="3"/>
  <c r="M4428" i="3"/>
  <c r="L4428" i="3"/>
  <c r="J4428" i="3"/>
  <c r="K4428" i="3" s="1"/>
  <c r="H4428" i="3"/>
  <c r="G4428" i="3"/>
  <c r="M4427" i="3"/>
  <c r="L4427" i="3"/>
  <c r="J4427" i="3"/>
  <c r="K4427" i="3" s="1"/>
  <c r="H4427" i="3"/>
  <c r="G4427" i="3"/>
  <c r="M4426" i="3"/>
  <c r="L4426" i="3"/>
  <c r="J4426" i="3"/>
  <c r="K4426" i="3" s="1"/>
  <c r="H4426" i="3"/>
  <c r="G4426" i="3"/>
  <c r="M4425" i="3"/>
  <c r="L4425" i="3"/>
  <c r="J4425" i="3"/>
  <c r="K4425" i="3" s="1"/>
  <c r="H4425" i="3"/>
  <c r="G4425" i="3"/>
  <c r="M4424" i="3"/>
  <c r="L4424" i="3"/>
  <c r="J4424" i="3"/>
  <c r="K4424" i="3" s="1"/>
  <c r="H4424" i="3"/>
  <c r="G4424" i="3"/>
  <c r="I4424" i="3" s="1"/>
  <c r="M4423" i="3"/>
  <c r="L4423" i="3"/>
  <c r="J4423" i="3"/>
  <c r="K4423" i="3" s="1"/>
  <c r="H4423" i="3"/>
  <c r="G4423" i="3"/>
  <c r="M4422" i="3"/>
  <c r="L4422" i="3"/>
  <c r="J4422" i="3"/>
  <c r="K4422" i="3" s="1"/>
  <c r="H4422" i="3"/>
  <c r="G4422" i="3"/>
  <c r="M4421" i="3"/>
  <c r="L4421" i="3"/>
  <c r="J4421" i="3"/>
  <c r="K4421" i="3" s="1"/>
  <c r="H4421" i="3"/>
  <c r="G4421" i="3"/>
  <c r="M4420" i="3"/>
  <c r="L4420" i="3"/>
  <c r="J4420" i="3"/>
  <c r="K4420" i="3" s="1"/>
  <c r="H4420" i="3"/>
  <c r="G4420" i="3"/>
  <c r="M4419" i="3"/>
  <c r="L4419" i="3"/>
  <c r="J4419" i="3"/>
  <c r="K4419" i="3" s="1"/>
  <c r="H4419" i="3"/>
  <c r="G4419" i="3"/>
  <c r="M4418" i="3"/>
  <c r="L4418" i="3"/>
  <c r="J4418" i="3"/>
  <c r="K4418" i="3" s="1"/>
  <c r="H4418" i="3"/>
  <c r="G4418" i="3"/>
  <c r="M4465" i="3"/>
  <c r="L4465" i="3"/>
  <c r="J4465" i="3"/>
  <c r="K4465" i="3" s="1"/>
  <c r="H4465" i="3"/>
  <c r="G4465" i="3"/>
  <c r="M4464" i="3"/>
  <c r="L4464" i="3"/>
  <c r="J4464" i="3"/>
  <c r="K4464" i="3" s="1"/>
  <c r="H4464" i="3"/>
  <c r="G4464" i="3"/>
  <c r="I4464" i="3" s="1"/>
  <c r="M4463" i="3"/>
  <c r="L4463" i="3"/>
  <c r="J4463" i="3"/>
  <c r="K4463" i="3" s="1"/>
  <c r="H4463" i="3"/>
  <c r="G4463" i="3"/>
  <c r="M4462" i="3"/>
  <c r="L4462" i="3"/>
  <c r="J4462" i="3"/>
  <c r="K4462" i="3" s="1"/>
  <c r="H4462" i="3"/>
  <c r="G4462" i="3"/>
  <c r="M4461" i="3"/>
  <c r="L4461" i="3"/>
  <c r="J4461" i="3"/>
  <c r="K4461" i="3" s="1"/>
  <c r="H4461" i="3"/>
  <c r="G4461" i="3"/>
  <c r="M4460" i="3"/>
  <c r="L4460" i="3"/>
  <c r="J4460" i="3"/>
  <c r="K4460" i="3" s="1"/>
  <c r="H4460" i="3"/>
  <c r="G4460" i="3"/>
  <c r="M4459" i="3"/>
  <c r="L4459" i="3"/>
  <c r="J4459" i="3"/>
  <c r="K4459" i="3" s="1"/>
  <c r="H4459" i="3"/>
  <c r="G4459" i="3"/>
  <c r="M4458" i="3"/>
  <c r="L4458" i="3"/>
  <c r="K4458" i="3"/>
  <c r="J4458" i="3"/>
  <c r="H4458" i="3"/>
  <c r="G4458" i="3"/>
  <c r="I4458" i="3" s="1"/>
  <c r="M4457" i="3"/>
  <c r="L4457" i="3"/>
  <c r="J4457" i="3"/>
  <c r="K4457" i="3" s="1"/>
  <c r="H4457" i="3"/>
  <c r="I4457" i="3" s="1"/>
  <c r="G4457" i="3"/>
  <c r="M4456" i="3"/>
  <c r="L4456" i="3"/>
  <c r="K4456" i="3"/>
  <c r="J4456" i="3"/>
  <c r="H4456" i="3"/>
  <c r="G4456" i="3"/>
  <c r="I4456" i="3" s="1"/>
  <c r="M4455" i="3"/>
  <c r="L4455" i="3"/>
  <c r="J4455" i="3"/>
  <c r="K4455" i="3" s="1"/>
  <c r="H4455" i="3"/>
  <c r="G4455" i="3"/>
  <c r="M4454" i="3"/>
  <c r="L4454" i="3"/>
  <c r="J4454" i="3"/>
  <c r="K4454" i="3" s="1"/>
  <c r="H4454" i="3"/>
  <c r="G4454" i="3"/>
  <c r="M4453" i="3"/>
  <c r="L4453" i="3"/>
  <c r="J4453" i="3"/>
  <c r="K4453" i="3" s="1"/>
  <c r="H4453" i="3"/>
  <c r="I4453" i="3" s="1"/>
  <c r="G4453" i="3"/>
  <c r="M4452" i="3"/>
  <c r="L4452" i="3"/>
  <c r="K4452" i="3"/>
  <c r="J4452" i="3"/>
  <c r="H4452" i="3"/>
  <c r="G4452" i="3"/>
  <c r="M4451" i="3"/>
  <c r="L4451" i="3"/>
  <c r="J4451" i="3"/>
  <c r="K4451" i="3" s="1"/>
  <c r="H4451" i="3"/>
  <c r="G4451" i="3"/>
  <c r="M4450" i="3"/>
  <c r="L4450" i="3"/>
  <c r="K4450" i="3"/>
  <c r="J4450" i="3"/>
  <c r="H4450" i="3"/>
  <c r="G4450" i="3"/>
  <c r="I4450" i="3" s="1"/>
  <c r="M4449" i="3"/>
  <c r="L4449" i="3"/>
  <c r="J4449" i="3"/>
  <c r="K4449" i="3" s="1"/>
  <c r="H4449" i="3"/>
  <c r="I4449" i="3" s="1"/>
  <c r="G4449" i="3"/>
  <c r="M4448" i="3"/>
  <c r="L4448" i="3"/>
  <c r="K4448" i="3"/>
  <c r="J4448" i="3"/>
  <c r="H4448" i="3"/>
  <c r="G4448" i="3"/>
  <c r="I4448" i="3" s="1"/>
  <c r="M4447" i="3"/>
  <c r="L4447" i="3"/>
  <c r="J4447" i="3"/>
  <c r="K4447" i="3" s="1"/>
  <c r="H4447" i="3"/>
  <c r="G4447" i="3"/>
  <c r="M4446" i="3"/>
  <c r="L4446" i="3"/>
  <c r="J4446" i="3"/>
  <c r="K4446" i="3" s="1"/>
  <c r="H4446" i="3"/>
  <c r="G4446" i="3"/>
  <c r="M4445" i="3"/>
  <c r="L4445" i="3"/>
  <c r="J4445" i="3"/>
  <c r="K4445" i="3" s="1"/>
  <c r="H4445" i="3"/>
  <c r="I4445" i="3" s="1"/>
  <c r="G4445" i="3"/>
  <c r="M4444" i="3"/>
  <c r="L4444" i="3"/>
  <c r="K4444" i="3"/>
  <c r="J4444" i="3"/>
  <c r="H4444" i="3"/>
  <c r="G4444" i="3"/>
  <c r="M4443" i="3"/>
  <c r="L4443" i="3"/>
  <c r="J4443" i="3"/>
  <c r="K4443" i="3" s="1"/>
  <c r="H4443" i="3"/>
  <c r="G4443" i="3"/>
  <c r="M4442" i="3"/>
  <c r="L4442" i="3"/>
  <c r="K4442" i="3"/>
  <c r="J4442" i="3"/>
  <c r="H4442" i="3"/>
  <c r="G4442" i="3"/>
  <c r="I4442" i="3" s="1"/>
  <c r="M4489" i="3"/>
  <c r="L4489" i="3"/>
  <c r="J4489" i="3"/>
  <c r="K4489" i="3" s="1"/>
  <c r="H4489" i="3"/>
  <c r="G4489" i="3"/>
  <c r="M4488" i="3"/>
  <c r="L4488" i="3"/>
  <c r="J4488" i="3"/>
  <c r="K4488" i="3" s="1"/>
  <c r="I4488" i="3"/>
  <c r="H4488" i="3"/>
  <c r="G4488" i="3"/>
  <c r="M4487" i="3"/>
  <c r="L4487" i="3"/>
  <c r="J4487" i="3"/>
  <c r="K4487" i="3" s="1"/>
  <c r="H4487" i="3"/>
  <c r="G4487" i="3"/>
  <c r="M4486" i="3"/>
  <c r="L4486" i="3"/>
  <c r="J4486" i="3"/>
  <c r="K4486" i="3" s="1"/>
  <c r="H4486" i="3"/>
  <c r="G4486" i="3"/>
  <c r="M4485" i="3"/>
  <c r="L4485" i="3"/>
  <c r="J4485" i="3"/>
  <c r="K4485" i="3" s="1"/>
  <c r="H4485" i="3"/>
  <c r="G4485" i="3"/>
  <c r="M4484" i="3"/>
  <c r="L4484" i="3"/>
  <c r="J4484" i="3"/>
  <c r="K4484" i="3" s="1"/>
  <c r="H4484" i="3"/>
  <c r="G4484" i="3"/>
  <c r="I4484" i="3" s="1"/>
  <c r="M4483" i="3"/>
  <c r="L4483" i="3"/>
  <c r="J4483" i="3"/>
  <c r="K4483" i="3" s="1"/>
  <c r="H4483" i="3"/>
  <c r="G4483" i="3"/>
  <c r="M4482" i="3"/>
  <c r="L4482" i="3"/>
  <c r="J4482" i="3"/>
  <c r="K4482" i="3" s="1"/>
  <c r="H4482" i="3"/>
  <c r="G4482" i="3"/>
  <c r="I4482" i="3" s="1"/>
  <c r="M4481" i="3"/>
  <c r="L4481" i="3"/>
  <c r="J4481" i="3"/>
  <c r="K4481" i="3" s="1"/>
  <c r="H4481" i="3"/>
  <c r="G4481" i="3"/>
  <c r="M4480" i="3"/>
  <c r="L4480" i="3"/>
  <c r="J4480" i="3"/>
  <c r="K4480" i="3" s="1"/>
  <c r="H4480" i="3"/>
  <c r="G4480" i="3"/>
  <c r="I4480" i="3" s="1"/>
  <c r="M4479" i="3"/>
  <c r="L4479" i="3"/>
  <c r="J4479" i="3"/>
  <c r="K4479" i="3" s="1"/>
  <c r="H4479" i="3"/>
  <c r="G4479" i="3"/>
  <c r="M4478" i="3"/>
  <c r="L4478" i="3"/>
  <c r="J4478" i="3"/>
  <c r="K4478" i="3" s="1"/>
  <c r="H4478" i="3"/>
  <c r="G4478" i="3"/>
  <c r="M4477" i="3"/>
  <c r="L4477" i="3"/>
  <c r="J4477" i="3"/>
  <c r="K4477" i="3" s="1"/>
  <c r="H4477" i="3"/>
  <c r="G4477" i="3"/>
  <c r="I4477" i="3" s="1"/>
  <c r="M4476" i="3"/>
  <c r="L4476" i="3"/>
  <c r="J4476" i="3"/>
  <c r="K4476" i="3" s="1"/>
  <c r="H4476" i="3"/>
  <c r="G4476" i="3"/>
  <c r="M4475" i="3"/>
  <c r="L4475" i="3"/>
  <c r="J4475" i="3"/>
  <c r="K4475" i="3" s="1"/>
  <c r="H4475" i="3"/>
  <c r="G4475" i="3"/>
  <c r="M4474" i="3"/>
  <c r="L4474" i="3"/>
  <c r="J4474" i="3"/>
  <c r="K4474" i="3" s="1"/>
  <c r="H4474" i="3"/>
  <c r="G4474" i="3"/>
  <c r="I4474" i="3" s="1"/>
  <c r="M4473" i="3"/>
  <c r="L4473" i="3"/>
  <c r="J4473" i="3"/>
  <c r="K4473" i="3" s="1"/>
  <c r="H4473" i="3"/>
  <c r="G4473" i="3"/>
  <c r="M4472" i="3"/>
  <c r="L4472" i="3"/>
  <c r="J4472" i="3"/>
  <c r="K4472" i="3" s="1"/>
  <c r="H4472" i="3"/>
  <c r="I4472" i="3" s="1"/>
  <c r="G4472" i="3"/>
  <c r="M4471" i="3"/>
  <c r="L4471" i="3"/>
  <c r="J4471" i="3"/>
  <c r="K4471" i="3" s="1"/>
  <c r="H4471" i="3"/>
  <c r="G4471" i="3"/>
  <c r="M4470" i="3"/>
  <c r="L4470" i="3"/>
  <c r="J4470" i="3"/>
  <c r="K4470" i="3" s="1"/>
  <c r="H4470" i="3"/>
  <c r="G4470" i="3"/>
  <c r="M4469" i="3"/>
  <c r="L4469" i="3"/>
  <c r="J4469" i="3"/>
  <c r="K4469" i="3" s="1"/>
  <c r="H4469" i="3"/>
  <c r="G4469" i="3"/>
  <c r="I4469" i="3" s="1"/>
  <c r="M4468" i="3"/>
  <c r="L4468" i="3"/>
  <c r="J4468" i="3"/>
  <c r="K4468" i="3" s="1"/>
  <c r="H4468" i="3"/>
  <c r="G4468" i="3"/>
  <c r="M4467" i="3"/>
  <c r="L4467" i="3"/>
  <c r="J4467" i="3"/>
  <c r="K4467" i="3" s="1"/>
  <c r="H4467" i="3"/>
  <c r="G4467" i="3"/>
  <c r="M4466" i="3"/>
  <c r="L4466" i="3"/>
  <c r="J4466" i="3"/>
  <c r="K4466" i="3" s="1"/>
  <c r="H4466" i="3"/>
  <c r="G4466" i="3"/>
  <c r="I4466" i="3" s="1"/>
  <c r="M4513" i="3"/>
  <c r="L4513" i="3"/>
  <c r="J4513" i="3"/>
  <c r="K4513" i="3" s="1"/>
  <c r="H4513" i="3"/>
  <c r="G4513" i="3"/>
  <c r="M4512" i="3"/>
  <c r="L4512" i="3"/>
  <c r="J4512" i="3"/>
  <c r="K4512" i="3" s="1"/>
  <c r="H4512" i="3"/>
  <c r="G4512" i="3"/>
  <c r="I4512" i="3" s="1"/>
  <c r="M4511" i="3"/>
  <c r="L4511" i="3"/>
  <c r="J4511" i="3"/>
  <c r="K4511" i="3" s="1"/>
  <c r="H4511" i="3"/>
  <c r="G4511" i="3"/>
  <c r="M4510" i="3"/>
  <c r="L4510" i="3"/>
  <c r="J4510" i="3"/>
  <c r="K4510" i="3" s="1"/>
  <c r="H4510" i="3"/>
  <c r="G4510" i="3"/>
  <c r="M4509" i="3"/>
  <c r="L4509" i="3"/>
  <c r="J4509" i="3"/>
  <c r="K4509" i="3" s="1"/>
  <c r="H4509" i="3"/>
  <c r="G4509" i="3"/>
  <c r="I4509" i="3" s="1"/>
  <c r="M4508" i="3"/>
  <c r="L4508" i="3"/>
  <c r="J4508" i="3"/>
  <c r="K4508" i="3" s="1"/>
  <c r="H4508" i="3"/>
  <c r="G4508" i="3"/>
  <c r="M4507" i="3"/>
  <c r="L4507" i="3"/>
  <c r="J4507" i="3"/>
  <c r="K4507" i="3" s="1"/>
  <c r="H4507" i="3"/>
  <c r="G4507" i="3"/>
  <c r="M4506" i="3"/>
  <c r="L4506" i="3"/>
  <c r="J4506" i="3"/>
  <c r="K4506" i="3" s="1"/>
  <c r="H4506" i="3"/>
  <c r="G4506" i="3"/>
  <c r="I4506" i="3" s="1"/>
  <c r="M4505" i="3"/>
  <c r="L4505" i="3"/>
  <c r="J4505" i="3"/>
  <c r="K4505" i="3" s="1"/>
  <c r="H4505" i="3"/>
  <c r="G4505" i="3"/>
  <c r="M4504" i="3"/>
  <c r="L4504" i="3"/>
  <c r="J4504" i="3"/>
  <c r="K4504" i="3" s="1"/>
  <c r="H4504" i="3"/>
  <c r="G4504" i="3"/>
  <c r="I4504" i="3" s="1"/>
  <c r="M4503" i="3"/>
  <c r="L4503" i="3"/>
  <c r="J4503" i="3"/>
  <c r="K4503" i="3" s="1"/>
  <c r="H4503" i="3"/>
  <c r="G4503" i="3"/>
  <c r="M4502" i="3"/>
  <c r="L4502" i="3"/>
  <c r="J4502" i="3"/>
  <c r="K4502" i="3" s="1"/>
  <c r="H4502" i="3"/>
  <c r="G4502" i="3"/>
  <c r="M4501" i="3"/>
  <c r="L4501" i="3"/>
  <c r="J4501" i="3"/>
  <c r="K4501" i="3" s="1"/>
  <c r="H4501" i="3"/>
  <c r="G4501" i="3"/>
  <c r="M4500" i="3"/>
  <c r="L4500" i="3"/>
  <c r="J4500" i="3"/>
  <c r="K4500" i="3" s="1"/>
  <c r="H4500" i="3"/>
  <c r="G4500" i="3"/>
  <c r="M4499" i="3"/>
  <c r="L4499" i="3"/>
  <c r="J4499" i="3"/>
  <c r="K4499" i="3" s="1"/>
  <c r="H4499" i="3"/>
  <c r="G4499" i="3"/>
  <c r="M4498" i="3"/>
  <c r="L4498" i="3"/>
  <c r="J4498" i="3"/>
  <c r="K4498" i="3" s="1"/>
  <c r="H4498" i="3"/>
  <c r="G4498" i="3"/>
  <c r="I4498" i="3" s="1"/>
  <c r="M4497" i="3"/>
  <c r="L4497" i="3"/>
  <c r="J4497" i="3"/>
  <c r="K4497" i="3" s="1"/>
  <c r="H4497" i="3"/>
  <c r="G4497" i="3"/>
  <c r="M4496" i="3"/>
  <c r="L4496" i="3"/>
  <c r="J4496" i="3"/>
  <c r="K4496" i="3" s="1"/>
  <c r="H4496" i="3"/>
  <c r="G4496" i="3"/>
  <c r="I4496" i="3" s="1"/>
  <c r="M4495" i="3"/>
  <c r="L4495" i="3"/>
  <c r="J4495" i="3"/>
  <c r="K4495" i="3" s="1"/>
  <c r="H4495" i="3"/>
  <c r="G4495" i="3"/>
  <c r="M4494" i="3"/>
  <c r="L4494" i="3"/>
  <c r="J4494" i="3"/>
  <c r="K4494" i="3" s="1"/>
  <c r="H4494" i="3"/>
  <c r="G4494" i="3"/>
  <c r="M4493" i="3"/>
  <c r="L4493" i="3"/>
  <c r="J4493" i="3"/>
  <c r="K4493" i="3" s="1"/>
  <c r="H4493" i="3"/>
  <c r="G4493" i="3"/>
  <c r="M4492" i="3"/>
  <c r="L4492" i="3"/>
  <c r="J4492" i="3"/>
  <c r="K4492" i="3" s="1"/>
  <c r="H4492" i="3"/>
  <c r="G4492" i="3"/>
  <c r="M4491" i="3"/>
  <c r="L4491" i="3"/>
  <c r="J4491" i="3"/>
  <c r="K4491" i="3" s="1"/>
  <c r="H4491" i="3"/>
  <c r="G4491" i="3"/>
  <c r="M4490" i="3"/>
  <c r="L4490" i="3"/>
  <c r="J4490" i="3"/>
  <c r="K4490" i="3" s="1"/>
  <c r="H4490" i="3"/>
  <c r="G4490" i="3"/>
  <c r="I4490" i="3" s="1"/>
  <c r="M4537" i="3"/>
  <c r="L4537" i="3"/>
  <c r="J4537" i="3"/>
  <c r="K4537" i="3" s="1"/>
  <c r="H4537" i="3"/>
  <c r="G4537" i="3"/>
  <c r="M4536" i="3"/>
  <c r="L4536" i="3"/>
  <c r="J4536" i="3"/>
  <c r="K4536" i="3" s="1"/>
  <c r="H4536" i="3"/>
  <c r="I4536" i="3" s="1"/>
  <c r="G4536" i="3"/>
  <c r="M4535" i="3"/>
  <c r="L4535" i="3"/>
  <c r="J4535" i="3"/>
  <c r="K4535" i="3" s="1"/>
  <c r="H4535" i="3"/>
  <c r="G4535" i="3"/>
  <c r="M4534" i="3"/>
  <c r="L4534" i="3"/>
  <c r="J4534" i="3"/>
  <c r="K4534" i="3" s="1"/>
  <c r="H4534" i="3"/>
  <c r="G4534" i="3"/>
  <c r="M4533" i="3"/>
  <c r="L4533" i="3"/>
  <c r="J4533" i="3"/>
  <c r="K4533" i="3" s="1"/>
  <c r="H4533" i="3"/>
  <c r="G4533" i="3"/>
  <c r="M4532" i="3"/>
  <c r="L4532" i="3"/>
  <c r="J4532" i="3"/>
  <c r="K4532" i="3" s="1"/>
  <c r="H4532" i="3"/>
  <c r="G4532" i="3"/>
  <c r="M4531" i="3"/>
  <c r="L4531" i="3"/>
  <c r="J4531" i="3"/>
  <c r="K4531" i="3" s="1"/>
  <c r="H4531" i="3"/>
  <c r="G4531" i="3"/>
  <c r="M4530" i="3"/>
  <c r="L4530" i="3"/>
  <c r="J4530" i="3"/>
  <c r="K4530" i="3" s="1"/>
  <c r="H4530" i="3"/>
  <c r="G4530" i="3"/>
  <c r="I4530" i="3" s="1"/>
  <c r="M4529" i="3"/>
  <c r="L4529" i="3"/>
  <c r="J4529" i="3"/>
  <c r="K4529" i="3" s="1"/>
  <c r="H4529" i="3"/>
  <c r="G4529" i="3"/>
  <c r="M4528" i="3"/>
  <c r="L4528" i="3"/>
  <c r="J4528" i="3"/>
  <c r="K4528" i="3" s="1"/>
  <c r="H4528" i="3"/>
  <c r="G4528" i="3"/>
  <c r="I4528" i="3" s="1"/>
  <c r="M4527" i="3"/>
  <c r="L4527" i="3"/>
  <c r="J4527" i="3"/>
  <c r="K4527" i="3" s="1"/>
  <c r="H4527" i="3"/>
  <c r="G4527" i="3"/>
  <c r="M4526" i="3"/>
  <c r="L4526" i="3"/>
  <c r="J4526" i="3"/>
  <c r="K4526" i="3" s="1"/>
  <c r="H4526" i="3"/>
  <c r="G4526" i="3"/>
  <c r="M4525" i="3"/>
  <c r="L4525" i="3"/>
  <c r="J4525" i="3"/>
  <c r="K4525" i="3" s="1"/>
  <c r="H4525" i="3"/>
  <c r="G4525" i="3"/>
  <c r="M4524" i="3"/>
  <c r="L4524" i="3"/>
  <c r="J4524" i="3"/>
  <c r="K4524" i="3" s="1"/>
  <c r="H4524" i="3"/>
  <c r="G4524" i="3"/>
  <c r="M4523" i="3"/>
  <c r="L4523" i="3"/>
  <c r="J4523" i="3"/>
  <c r="K4523" i="3" s="1"/>
  <c r="H4523" i="3"/>
  <c r="G4523" i="3"/>
  <c r="M4522" i="3"/>
  <c r="L4522" i="3"/>
  <c r="J4522" i="3"/>
  <c r="K4522" i="3" s="1"/>
  <c r="H4522" i="3"/>
  <c r="G4522" i="3"/>
  <c r="I4522" i="3" s="1"/>
  <c r="M4521" i="3"/>
  <c r="L4521" i="3"/>
  <c r="J4521" i="3"/>
  <c r="K4521" i="3" s="1"/>
  <c r="H4521" i="3"/>
  <c r="G4521" i="3"/>
  <c r="M4520" i="3"/>
  <c r="L4520" i="3"/>
  <c r="J4520" i="3"/>
  <c r="K4520" i="3" s="1"/>
  <c r="H4520" i="3"/>
  <c r="G4520" i="3"/>
  <c r="I4520" i="3" s="1"/>
  <c r="M4519" i="3"/>
  <c r="L4519" i="3"/>
  <c r="J4519" i="3"/>
  <c r="K4519" i="3" s="1"/>
  <c r="H4519" i="3"/>
  <c r="G4519" i="3"/>
  <c r="M4518" i="3"/>
  <c r="L4518" i="3"/>
  <c r="J4518" i="3"/>
  <c r="K4518" i="3" s="1"/>
  <c r="H4518" i="3"/>
  <c r="G4518" i="3"/>
  <c r="M4517" i="3"/>
  <c r="L4517" i="3"/>
  <c r="J4517" i="3"/>
  <c r="K4517" i="3" s="1"/>
  <c r="H4517" i="3"/>
  <c r="G4517" i="3"/>
  <c r="M4516" i="3"/>
  <c r="L4516" i="3"/>
  <c r="J4516" i="3"/>
  <c r="K4516" i="3" s="1"/>
  <c r="H4516" i="3"/>
  <c r="G4516" i="3"/>
  <c r="M4515" i="3"/>
  <c r="L4515" i="3"/>
  <c r="J4515" i="3"/>
  <c r="K4515" i="3" s="1"/>
  <c r="H4515" i="3"/>
  <c r="G4515" i="3"/>
  <c r="M4514" i="3"/>
  <c r="L4514" i="3"/>
  <c r="J4514" i="3"/>
  <c r="K4514" i="3" s="1"/>
  <c r="H4514" i="3"/>
  <c r="G4514" i="3"/>
  <c r="I4514" i="3" s="1"/>
  <c r="M4561" i="3"/>
  <c r="L4561" i="3"/>
  <c r="J4561" i="3"/>
  <c r="K4561" i="3" s="1"/>
  <c r="H4561" i="3"/>
  <c r="G4561" i="3"/>
  <c r="M4560" i="3"/>
  <c r="L4560" i="3"/>
  <c r="J4560" i="3"/>
  <c r="K4560" i="3" s="1"/>
  <c r="H4560" i="3"/>
  <c r="G4560" i="3"/>
  <c r="I4560" i="3" s="1"/>
  <c r="M4559" i="3"/>
  <c r="L4559" i="3"/>
  <c r="J4559" i="3"/>
  <c r="K4559" i="3" s="1"/>
  <c r="H4559" i="3"/>
  <c r="G4559" i="3"/>
  <c r="M4558" i="3"/>
  <c r="L4558" i="3"/>
  <c r="J4558" i="3"/>
  <c r="K4558" i="3" s="1"/>
  <c r="H4558" i="3"/>
  <c r="G4558" i="3"/>
  <c r="M4557" i="3"/>
  <c r="L4557" i="3"/>
  <c r="J4557" i="3"/>
  <c r="K4557" i="3" s="1"/>
  <c r="H4557" i="3"/>
  <c r="G4557" i="3"/>
  <c r="M4556" i="3"/>
  <c r="L4556" i="3"/>
  <c r="J4556" i="3"/>
  <c r="K4556" i="3" s="1"/>
  <c r="H4556" i="3"/>
  <c r="G4556" i="3"/>
  <c r="M4555" i="3"/>
  <c r="L4555" i="3"/>
  <c r="J4555" i="3"/>
  <c r="K4555" i="3" s="1"/>
  <c r="H4555" i="3"/>
  <c r="G4555" i="3"/>
  <c r="M4554" i="3"/>
  <c r="L4554" i="3"/>
  <c r="J4554" i="3"/>
  <c r="K4554" i="3" s="1"/>
  <c r="H4554" i="3"/>
  <c r="G4554" i="3"/>
  <c r="I4554" i="3" s="1"/>
  <c r="M4553" i="3"/>
  <c r="L4553" i="3"/>
  <c r="J4553" i="3"/>
  <c r="K4553" i="3" s="1"/>
  <c r="H4553" i="3"/>
  <c r="G4553" i="3"/>
  <c r="M4552" i="3"/>
  <c r="L4552" i="3"/>
  <c r="J4552" i="3"/>
  <c r="K4552" i="3" s="1"/>
  <c r="H4552" i="3"/>
  <c r="G4552" i="3"/>
  <c r="I4552" i="3" s="1"/>
  <c r="M4551" i="3"/>
  <c r="L4551" i="3"/>
  <c r="J4551" i="3"/>
  <c r="K4551" i="3" s="1"/>
  <c r="H4551" i="3"/>
  <c r="G4551" i="3"/>
  <c r="M4550" i="3"/>
  <c r="L4550" i="3"/>
  <c r="J4550" i="3"/>
  <c r="K4550" i="3" s="1"/>
  <c r="H4550" i="3"/>
  <c r="G4550" i="3"/>
  <c r="M4549" i="3"/>
  <c r="L4549" i="3"/>
  <c r="J4549" i="3"/>
  <c r="K4549" i="3" s="1"/>
  <c r="H4549" i="3"/>
  <c r="G4549" i="3"/>
  <c r="M4548" i="3"/>
  <c r="L4548" i="3"/>
  <c r="J4548" i="3"/>
  <c r="K4548" i="3" s="1"/>
  <c r="H4548" i="3"/>
  <c r="G4548" i="3"/>
  <c r="M4547" i="3"/>
  <c r="L4547" i="3"/>
  <c r="J4547" i="3"/>
  <c r="K4547" i="3" s="1"/>
  <c r="H4547" i="3"/>
  <c r="G4547" i="3"/>
  <c r="M4546" i="3"/>
  <c r="L4546" i="3"/>
  <c r="J4546" i="3"/>
  <c r="K4546" i="3" s="1"/>
  <c r="H4546" i="3"/>
  <c r="G4546" i="3"/>
  <c r="I4546" i="3" s="1"/>
  <c r="M4545" i="3"/>
  <c r="L4545" i="3"/>
  <c r="J4545" i="3"/>
  <c r="K4545" i="3" s="1"/>
  <c r="H4545" i="3"/>
  <c r="G4545" i="3"/>
  <c r="M4544" i="3"/>
  <c r="L4544" i="3"/>
  <c r="J4544" i="3"/>
  <c r="K4544" i="3" s="1"/>
  <c r="H4544" i="3"/>
  <c r="G4544" i="3"/>
  <c r="I4544" i="3" s="1"/>
  <c r="M4543" i="3"/>
  <c r="L4543" i="3"/>
  <c r="J4543" i="3"/>
  <c r="K4543" i="3" s="1"/>
  <c r="H4543" i="3"/>
  <c r="G4543" i="3"/>
  <c r="M4542" i="3"/>
  <c r="L4542" i="3"/>
  <c r="J4542" i="3"/>
  <c r="K4542" i="3" s="1"/>
  <c r="H4542" i="3"/>
  <c r="G4542" i="3"/>
  <c r="M4541" i="3"/>
  <c r="L4541" i="3"/>
  <c r="J4541" i="3"/>
  <c r="K4541" i="3" s="1"/>
  <c r="H4541" i="3"/>
  <c r="G4541" i="3"/>
  <c r="M4540" i="3"/>
  <c r="L4540" i="3"/>
  <c r="J4540" i="3"/>
  <c r="K4540" i="3" s="1"/>
  <c r="H4540" i="3"/>
  <c r="G4540" i="3"/>
  <c r="M4539" i="3"/>
  <c r="L4539" i="3"/>
  <c r="J4539" i="3"/>
  <c r="K4539" i="3" s="1"/>
  <c r="H4539" i="3"/>
  <c r="G4539" i="3"/>
  <c r="M4538" i="3"/>
  <c r="L4538" i="3"/>
  <c r="J4538" i="3"/>
  <c r="K4538" i="3" s="1"/>
  <c r="H4538" i="3"/>
  <c r="G4538" i="3"/>
  <c r="I4538" i="3" s="1"/>
  <c r="M4585" i="3"/>
  <c r="L4585" i="3"/>
  <c r="J4585" i="3"/>
  <c r="K4585" i="3" s="1"/>
  <c r="H4585" i="3"/>
  <c r="G4585" i="3"/>
  <c r="M4584" i="3"/>
  <c r="L4584" i="3"/>
  <c r="J4584" i="3"/>
  <c r="K4584" i="3" s="1"/>
  <c r="H4584" i="3"/>
  <c r="G4584" i="3"/>
  <c r="I4584" i="3" s="1"/>
  <c r="M4583" i="3"/>
  <c r="L4583" i="3"/>
  <c r="J4583" i="3"/>
  <c r="K4583" i="3" s="1"/>
  <c r="H4583" i="3"/>
  <c r="G4583" i="3"/>
  <c r="M4582" i="3"/>
  <c r="L4582" i="3"/>
  <c r="J4582" i="3"/>
  <c r="K4582" i="3" s="1"/>
  <c r="H4582" i="3"/>
  <c r="G4582" i="3"/>
  <c r="M4581" i="3"/>
  <c r="L4581" i="3"/>
  <c r="J4581" i="3"/>
  <c r="K4581" i="3" s="1"/>
  <c r="H4581" i="3"/>
  <c r="G4581" i="3"/>
  <c r="M4580" i="3"/>
  <c r="L4580" i="3"/>
  <c r="J4580" i="3"/>
  <c r="K4580" i="3" s="1"/>
  <c r="H4580" i="3"/>
  <c r="G4580" i="3"/>
  <c r="M4579" i="3"/>
  <c r="L4579" i="3"/>
  <c r="J4579" i="3"/>
  <c r="K4579" i="3" s="1"/>
  <c r="H4579" i="3"/>
  <c r="G4579" i="3"/>
  <c r="M4578" i="3"/>
  <c r="L4578" i="3"/>
  <c r="J4578" i="3"/>
  <c r="K4578" i="3" s="1"/>
  <c r="H4578" i="3"/>
  <c r="G4578" i="3"/>
  <c r="I4578" i="3" s="1"/>
  <c r="M4577" i="3"/>
  <c r="L4577" i="3"/>
  <c r="J4577" i="3"/>
  <c r="K4577" i="3" s="1"/>
  <c r="H4577" i="3"/>
  <c r="G4577" i="3"/>
  <c r="M4576" i="3"/>
  <c r="L4576" i="3"/>
  <c r="J4576" i="3"/>
  <c r="K4576" i="3" s="1"/>
  <c r="H4576" i="3"/>
  <c r="G4576" i="3"/>
  <c r="I4576" i="3" s="1"/>
  <c r="M4575" i="3"/>
  <c r="L4575" i="3"/>
  <c r="J4575" i="3"/>
  <c r="K4575" i="3" s="1"/>
  <c r="H4575" i="3"/>
  <c r="G4575" i="3"/>
  <c r="M4574" i="3"/>
  <c r="L4574" i="3"/>
  <c r="J4574" i="3"/>
  <c r="K4574" i="3" s="1"/>
  <c r="H4574" i="3"/>
  <c r="G4574" i="3"/>
  <c r="M4573" i="3"/>
  <c r="L4573" i="3"/>
  <c r="J4573" i="3"/>
  <c r="K4573" i="3" s="1"/>
  <c r="H4573" i="3"/>
  <c r="G4573" i="3"/>
  <c r="M4572" i="3"/>
  <c r="L4572" i="3"/>
  <c r="J4572" i="3"/>
  <c r="K4572" i="3" s="1"/>
  <c r="H4572" i="3"/>
  <c r="G4572" i="3"/>
  <c r="M4571" i="3"/>
  <c r="L4571" i="3"/>
  <c r="J4571" i="3"/>
  <c r="K4571" i="3" s="1"/>
  <c r="H4571" i="3"/>
  <c r="G4571" i="3"/>
  <c r="M4570" i="3"/>
  <c r="L4570" i="3"/>
  <c r="J4570" i="3"/>
  <c r="K4570" i="3" s="1"/>
  <c r="H4570" i="3"/>
  <c r="G4570" i="3"/>
  <c r="I4570" i="3" s="1"/>
  <c r="M4569" i="3"/>
  <c r="L4569" i="3"/>
  <c r="J4569" i="3"/>
  <c r="K4569" i="3" s="1"/>
  <c r="H4569" i="3"/>
  <c r="G4569" i="3"/>
  <c r="M4568" i="3"/>
  <c r="L4568" i="3"/>
  <c r="J4568" i="3"/>
  <c r="K4568" i="3" s="1"/>
  <c r="H4568" i="3"/>
  <c r="G4568" i="3"/>
  <c r="I4568" i="3" s="1"/>
  <c r="M4567" i="3"/>
  <c r="L4567" i="3"/>
  <c r="K4567" i="3"/>
  <c r="J4567" i="3"/>
  <c r="H4567" i="3"/>
  <c r="I4567" i="3" s="1"/>
  <c r="G4567" i="3"/>
  <c r="M4566" i="3"/>
  <c r="L4566" i="3"/>
  <c r="K4566" i="3"/>
  <c r="J4566" i="3"/>
  <c r="H4566" i="3"/>
  <c r="G4566" i="3"/>
  <c r="M4565" i="3"/>
  <c r="L4565" i="3"/>
  <c r="J4565" i="3"/>
  <c r="K4565" i="3" s="1"/>
  <c r="H4565" i="3"/>
  <c r="G4565" i="3"/>
  <c r="I4565" i="3" s="1"/>
  <c r="M4564" i="3"/>
  <c r="L4564" i="3"/>
  <c r="J4564" i="3"/>
  <c r="K4564" i="3" s="1"/>
  <c r="I4564" i="3"/>
  <c r="H4564" i="3"/>
  <c r="G4564" i="3"/>
  <c r="M4563" i="3"/>
  <c r="L4563" i="3"/>
  <c r="J4563" i="3"/>
  <c r="K4563" i="3" s="1"/>
  <c r="H4563" i="3"/>
  <c r="G4563" i="3"/>
  <c r="M4562" i="3"/>
  <c r="L4562" i="3"/>
  <c r="J4562" i="3"/>
  <c r="K4562" i="3" s="1"/>
  <c r="H4562" i="3"/>
  <c r="G4562" i="3"/>
  <c r="M4609" i="3"/>
  <c r="L4609" i="3"/>
  <c r="J4609" i="3"/>
  <c r="K4609" i="3" s="1"/>
  <c r="H4609" i="3"/>
  <c r="G4609" i="3"/>
  <c r="M4608" i="3"/>
  <c r="L4608" i="3"/>
  <c r="J4608" i="3"/>
  <c r="K4608" i="3" s="1"/>
  <c r="H4608" i="3"/>
  <c r="G4608" i="3"/>
  <c r="M4607" i="3"/>
  <c r="L4607" i="3"/>
  <c r="J4607" i="3"/>
  <c r="K4607" i="3" s="1"/>
  <c r="H4607" i="3"/>
  <c r="G4607" i="3"/>
  <c r="M4606" i="3"/>
  <c r="L4606" i="3"/>
  <c r="J4606" i="3"/>
  <c r="K4606" i="3" s="1"/>
  <c r="H4606" i="3"/>
  <c r="G4606" i="3"/>
  <c r="I4606" i="3" s="1"/>
  <c r="M4605" i="3"/>
  <c r="L4605" i="3"/>
  <c r="J4605" i="3"/>
  <c r="K4605" i="3" s="1"/>
  <c r="H4605" i="3"/>
  <c r="G4605" i="3"/>
  <c r="M4604" i="3"/>
  <c r="L4604" i="3"/>
  <c r="J4604" i="3"/>
  <c r="K4604" i="3" s="1"/>
  <c r="H4604" i="3"/>
  <c r="G4604" i="3"/>
  <c r="I4604" i="3" s="1"/>
  <c r="M4603" i="3"/>
  <c r="L4603" i="3"/>
  <c r="J4603" i="3"/>
  <c r="K4603" i="3" s="1"/>
  <c r="H4603" i="3"/>
  <c r="G4603" i="3"/>
  <c r="M4602" i="3"/>
  <c r="L4602" i="3"/>
  <c r="J4602" i="3"/>
  <c r="K4602" i="3" s="1"/>
  <c r="H4602" i="3"/>
  <c r="G4602" i="3"/>
  <c r="M4601" i="3"/>
  <c r="L4601" i="3"/>
  <c r="J4601" i="3"/>
  <c r="K4601" i="3" s="1"/>
  <c r="H4601" i="3"/>
  <c r="G4601" i="3"/>
  <c r="M4600" i="3"/>
  <c r="L4600" i="3"/>
  <c r="J4600" i="3"/>
  <c r="K4600" i="3" s="1"/>
  <c r="H4600" i="3"/>
  <c r="G4600" i="3"/>
  <c r="M4599" i="3"/>
  <c r="L4599" i="3"/>
  <c r="J4599" i="3"/>
  <c r="K4599" i="3" s="1"/>
  <c r="H4599" i="3"/>
  <c r="G4599" i="3"/>
  <c r="M4598" i="3"/>
  <c r="L4598" i="3"/>
  <c r="J4598" i="3"/>
  <c r="K4598" i="3" s="1"/>
  <c r="H4598" i="3"/>
  <c r="G4598" i="3"/>
  <c r="I4598" i="3" s="1"/>
  <c r="M4597" i="3"/>
  <c r="L4597" i="3"/>
  <c r="J4597" i="3"/>
  <c r="K4597" i="3" s="1"/>
  <c r="H4597" i="3"/>
  <c r="G4597" i="3"/>
  <c r="M4596" i="3"/>
  <c r="L4596" i="3"/>
  <c r="J4596" i="3"/>
  <c r="K4596" i="3" s="1"/>
  <c r="H4596" i="3"/>
  <c r="G4596" i="3"/>
  <c r="I4596" i="3" s="1"/>
  <c r="M4595" i="3"/>
  <c r="L4595" i="3"/>
  <c r="J4595" i="3"/>
  <c r="K4595" i="3" s="1"/>
  <c r="H4595" i="3"/>
  <c r="G4595" i="3"/>
  <c r="M4594" i="3"/>
  <c r="L4594" i="3"/>
  <c r="J4594" i="3"/>
  <c r="K4594" i="3" s="1"/>
  <c r="H4594" i="3"/>
  <c r="G4594" i="3"/>
  <c r="M4593" i="3"/>
  <c r="L4593" i="3"/>
  <c r="J4593" i="3"/>
  <c r="K4593" i="3" s="1"/>
  <c r="H4593" i="3"/>
  <c r="G4593" i="3"/>
  <c r="M4592" i="3"/>
  <c r="L4592" i="3"/>
  <c r="J4592" i="3"/>
  <c r="K4592" i="3" s="1"/>
  <c r="H4592" i="3"/>
  <c r="G4592" i="3"/>
  <c r="M4591" i="3"/>
  <c r="L4591" i="3"/>
  <c r="J4591" i="3"/>
  <c r="K4591" i="3" s="1"/>
  <c r="H4591" i="3"/>
  <c r="G4591" i="3"/>
  <c r="M4590" i="3"/>
  <c r="L4590" i="3"/>
  <c r="J4590" i="3"/>
  <c r="K4590" i="3" s="1"/>
  <c r="H4590" i="3"/>
  <c r="G4590" i="3"/>
  <c r="I4590" i="3" s="1"/>
  <c r="M4589" i="3"/>
  <c r="L4589" i="3"/>
  <c r="J4589" i="3"/>
  <c r="K4589" i="3" s="1"/>
  <c r="H4589" i="3"/>
  <c r="G4589" i="3"/>
  <c r="M4588" i="3"/>
  <c r="L4588" i="3"/>
  <c r="J4588" i="3"/>
  <c r="K4588" i="3" s="1"/>
  <c r="H4588" i="3"/>
  <c r="G4588" i="3"/>
  <c r="I4588" i="3" s="1"/>
  <c r="M4587" i="3"/>
  <c r="L4587" i="3"/>
  <c r="J4587" i="3"/>
  <c r="K4587" i="3" s="1"/>
  <c r="H4587" i="3"/>
  <c r="G4587" i="3"/>
  <c r="M4586" i="3"/>
  <c r="L4586" i="3"/>
  <c r="J4586" i="3"/>
  <c r="K4586" i="3" s="1"/>
  <c r="H4586" i="3"/>
  <c r="G4586" i="3"/>
  <c r="M4705" i="3"/>
  <c r="L4705" i="3"/>
  <c r="J4705" i="3"/>
  <c r="K4705" i="3" s="1"/>
  <c r="H4705" i="3"/>
  <c r="G4705" i="3"/>
  <c r="M4704" i="3"/>
  <c r="L4704" i="3"/>
  <c r="J4704" i="3"/>
  <c r="K4704" i="3" s="1"/>
  <c r="I4704" i="3"/>
  <c r="H4704" i="3"/>
  <c r="G4704" i="3"/>
  <c r="M4703" i="3"/>
  <c r="L4703" i="3"/>
  <c r="J4703" i="3"/>
  <c r="K4703" i="3" s="1"/>
  <c r="H4703" i="3"/>
  <c r="G4703" i="3"/>
  <c r="M4702" i="3"/>
  <c r="L4702" i="3"/>
  <c r="J4702" i="3"/>
  <c r="K4702" i="3" s="1"/>
  <c r="H4702" i="3"/>
  <c r="G4702" i="3"/>
  <c r="I4702" i="3" s="1"/>
  <c r="M4701" i="3"/>
  <c r="L4701" i="3"/>
  <c r="J4701" i="3"/>
  <c r="K4701" i="3" s="1"/>
  <c r="H4701" i="3"/>
  <c r="G4701" i="3"/>
  <c r="M4700" i="3"/>
  <c r="L4700" i="3"/>
  <c r="J4700" i="3"/>
  <c r="K4700" i="3" s="1"/>
  <c r="H4700" i="3"/>
  <c r="G4700" i="3"/>
  <c r="M4699" i="3"/>
  <c r="L4699" i="3"/>
  <c r="J4699" i="3"/>
  <c r="K4699" i="3" s="1"/>
  <c r="H4699" i="3"/>
  <c r="G4699" i="3"/>
  <c r="M4698" i="3"/>
  <c r="L4698" i="3"/>
  <c r="J4698" i="3"/>
  <c r="K4698" i="3" s="1"/>
  <c r="H4698" i="3"/>
  <c r="G4698" i="3"/>
  <c r="M4697" i="3"/>
  <c r="L4697" i="3"/>
  <c r="J4697" i="3"/>
  <c r="K4697" i="3" s="1"/>
  <c r="H4697" i="3"/>
  <c r="G4697" i="3"/>
  <c r="M4696" i="3"/>
  <c r="L4696" i="3"/>
  <c r="J4696" i="3"/>
  <c r="K4696" i="3" s="1"/>
  <c r="H4696" i="3"/>
  <c r="G4696" i="3"/>
  <c r="M4695" i="3"/>
  <c r="L4695" i="3"/>
  <c r="J4695" i="3"/>
  <c r="K4695" i="3" s="1"/>
  <c r="H4695" i="3"/>
  <c r="G4695" i="3"/>
  <c r="I4695" i="3" s="1"/>
  <c r="M4694" i="3"/>
  <c r="L4694" i="3"/>
  <c r="J4694" i="3"/>
  <c r="K4694" i="3" s="1"/>
  <c r="H4694" i="3"/>
  <c r="G4694" i="3"/>
  <c r="M4693" i="3"/>
  <c r="L4693" i="3"/>
  <c r="J4693" i="3"/>
  <c r="K4693" i="3" s="1"/>
  <c r="H4693" i="3"/>
  <c r="G4693" i="3"/>
  <c r="M4692" i="3"/>
  <c r="L4692" i="3"/>
  <c r="K4692" i="3"/>
  <c r="J4692" i="3"/>
  <c r="H4692" i="3"/>
  <c r="G4692" i="3"/>
  <c r="M4691" i="3"/>
  <c r="L4691" i="3"/>
  <c r="J4691" i="3"/>
  <c r="K4691" i="3" s="1"/>
  <c r="H4691" i="3"/>
  <c r="G4691" i="3"/>
  <c r="M4690" i="3"/>
  <c r="L4690" i="3"/>
  <c r="K4690" i="3"/>
  <c r="J4690" i="3"/>
  <c r="H4690" i="3"/>
  <c r="G4690" i="3"/>
  <c r="M4689" i="3"/>
  <c r="L4689" i="3"/>
  <c r="J4689" i="3"/>
  <c r="K4689" i="3" s="1"/>
  <c r="H4689" i="3"/>
  <c r="G4689" i="3"/>
  <c r="M4688" i="3"/>
  <c r="L4688" i="3"/>
  <c r="J4688" i="3"/>
  <c r="K4688" i="3" s="1"/>
  <c r="H4688" i="3"/>
  <c r="I4688" i="3" s="1"/>
  <c r="G4688" i="3"/>
  <c r="M4687" i="3"/>
  <c r="L4687" i="3"/>
  <c r="J4687" i="3"/>
  <c r="K4687" i="3" s="1"/>
  <c r="H4687" i="3"/>
  <c r="G4687" i="3"/>
  <c r="M4686" i="3"/>
  <c r="L4686" i="3"/>
  <c r="J4686" i="3"/>
  <c r="K4686" i="3" s="1"/>
  <c r="H4686" i="3"/>
  <c r="G4686" i="3"/>
  <c r="I4686" i="3" s="1"/>
  <c r="M4685" i="3"/>
  <c r="L4685" i="3"/>
  <c r="J4685" i="3"/>
  <c r="K4685" i="3" s="1"/>
  <c r="H4685" i="3"/>
  <c r="G4685" i="3"/>
  <c r="M4684" i="3"/>
  <c r="L4684" i="3"/>
  <c r="K4684" i="3"/>
  <c r="J4684" i="3"/>
  <c r="H4684" i="3"/>
  <c r="G4684" i="3"/>
  <c r="I4684" i="3" s="1"/>
  <c r="M4683" i="3"/>
  <c r="L4683" i="3"/>
  <c r="J4683" i="3"/>
  <c r="K4683" i="3" s="1"/>
  <c r="H4683" i="3"/>
  <c r="G4683" i="3"/>
  <c r="M4682" i="3"/>
  <c r="L4682" i="3"/>
  <c r="K4682" i="3"/>
  <c r="J4682" i="3"/>
  <c r="H4682" i="3"/>
  <c r="G4682" i="3"/>
  <c r="M4681" i="3"/>
  <c r="L4681" i="3"/>
  <c r="J4681" i="3"/>
  <c r="K4681" i="3" s="1"/>
  <c r="H4681" i="3"/>
  <c r="G4681" i="3"/>
  <c r="I4681" i="3" s="1"/>
  <c r="M4680" i="3"/>
  <c r="L4680" i="3"/>
  <c r="J4680" i="3"/>
  <c r="K4680" i="3" s="1"/>
  <c r="H4680" i="3"/>
  <c r="G4680" i="3"/>
  <c r="M4679" i="3"/>
  <c r="L4679" i="3"/>
  <c r="J4679" i="3"/>
  <c r="K4679" i="3" s="1"/>
  <c r="H4679" i="3"/>
  <c r="G4679" i="3"/>
  <c r="M4678" i="3"/>
  <c r="L4678" i="3"/>
  <c r="J4678" i="3"/>
  <c r="K4678" i="3" s="1"/>
  <c r="H4678" i="3"/>
  <c r="G4678" i="3"/>
  <c r="I4678" i="3" s="1"/>
  <c r="M4677" i="3"/>
  <c r="L4677" i="3"/>
  <c r="J4677" i="3"/>
  <c r="K4677" i="3" s="1"/>
  <c r="H4677" i="3"/>
  <c r="G4677" i="3"/>
  <c r="M4676" i="3"/>
  <c r="L4676" i="3"/>
  <c r="J4676" i="3"/>
  <c r="K4676" i="3" s="1"/>
  <c r="H4676" i="3"/>
  <c r="G4676" i="3"/>
  <c r="M4675" i="3"/>
  <c r="L4675" i="3"/>
  <c r="J4675" i="3"/>
  <c r="K4675" i="3" s="1"/>
  <c r="H4675" i="3"/>
  <c r="G4675" i="3"/>
  <c r="M4674" i="3"/>
  <c r="L4674" i="3"/>
  <c r="J4674" i="3"/>
  <c r="K4674" i="3" s="1"/>
  <c r="H4674" i="3"/>
  <c r="G4674" i="3"/>
  <c r="M4673" i="3"/>
  <c r="L4673" i="3"/>
  <c r="J4673" i="3"/>
  <c r="K4673" i="3" s="1"/>
  <c r="H4673" i="3"/>
  <c r="G4673" i="3"/>
  <c r="M4672" i="3"/>
  <c r="L4672" i="3"/>
  <c r="J4672" i="3"/>
  <c r="K4672" i="3" s="1"/>
  <c r="H4672" i="3"/>
  <c r="G4672" i="3"/>
  <c r="M4671" i="3"/>
  <c r="L4671" i="3"/>
  <c r="J4671" i="3"/>
  <c r="K4671" i="3" s="1"/>
  <c r="H4671" i="3"/>
  <c r="G4671" i="3"/>
  <c r="I4671" i="3" s="1"/>
  <c r="M4670" i="3"/>
  <c r="L4670" i="3"/>
  <c r="J4670" i="3"/>
  <c r="K4670" i="3" s="1"/>
  <c r="H4670" i="3"/>
  <c r="G4670" i="3"/>
  <c r="M4669" i="3"/>
  <c r="L4669" i="3"/>
  <c r="J4669" i="3"/>
  <c r="K4669" i="3" s="1"/>
  <c r="H4669" i="3"/>
  <c r="G4669" i="3"/>
  <c r="M4668" i="3"/>
  <c r="L4668" i="3"/>
  <c r="K4668" i="3"/>
  <c r="J4668" i="3"/>
  <c r="H4668" i="3"/>
  <c r="G4668" i="3"/>
  <c r="I4668" i="3" s="1"/>
  <c r="M4667" i="3"/>
  <c r="L4667" i="3"/>
  <c r="J4667" i="3"/>
  <c r="K4667" i="3" s="1"/>
  <c r="H4667" i="3"/>
  <c r="G4667" i="3"/>
  <c r="M4666" i="3"/>
  <c r="L4666" i="3"/>
  <c r="K4666" i="3"/>
  <c r="J4666" i="3"/>
  <c r="H4666" i="3"/>
  <c r="G4666" i="3"/>
  <c r="M4665" i="3"/>
  <c r="L4665" i="3"/>
  <c r="J4665" i="3"/>
  <c r="K4665" i="3" s="1"/>
  <c r="H4665" i="3"/>
  <c r="G4665" i="3"/>
  <c r="I4665" i="3" s="1"/>
  <c r="M4664" i="3"/>
  <c r="L4664" i="3"/>
  <c r="J4664" i="3"/>
  <c r="K4664" i="3" s="1"/>
  <c r="H4664" i="3"/>
  <c r="G4664" i="3"/>
  <c r="M4663" i="3"/>
  <c r="L4663" i="3"/>
  <c r="J4663" i="3"/>
  <c r="K4663" i="3" s="1"/>
  <c r="H4663" i="3"/>
  <c r="G4663" i="3"/>
  <c r="M4662" i="3"/>
  <c r="L4662" i="3"/>
  <c r="J4662" i="3"/>
  <c r="K4662" i="3" s="1"/>
  <c r="H4662" i="3"/>
  <c r="G4662" i="3"/>
  <c r="I4662" i="3" s="1"/>
  <c r="M4661" i="3"/>
  <c r="L4661" i="3"/>
  <c r="J4661" i="3"/>
  <c r="K4661" i="3" s="1"/>
  <c r="H4661" i="3"/>
  <c r="G4661" i="3"/>
  <c r="M4660" i="3"/>
  <c r="L4660" i="3"/>
  <c r="J4660" i="3"/>
  <c r="K4660" i="3" s="1"/>
  <c r="H4660" i="3"/>
  <c r="G4660" i="3"/>
  <c r="I4660" i="3" s="1"/>
  <c r="M4659" i="3"/>
  <c r="L4659" i="3"/>
  <c r="J4659" i="3"/>
  <c r="K4659" i="3" s="1"/>
  <c r="H4659" i="3"/>
  <c r="G4659" i="3"/>
  <c r="M4658" i="3"/>
  <c r="L4658" i="3"/>
  <c r="J4658" i="3"/>
  <c r="K4658" i="3" s="1"/>
  <c r="H4658" i="3"/>
  <c r="G4658" i="3"/>
  <c r="M4657" i="3"/>
  <c r="L4657" i="3"/>
  <c r="J4657" i="3"/>
  <c r="K4657" i="3" s="1"/>
  <c r="H4657" i="3"/>
  <c r="G4657" i="3"/>
  <c r="I4657" i="3" s="1"/>
  <c r="M4656" i="3"/>
  <c r="L4656" i="3"/>
  <c r="J4656" i="3"/>
  <c r="K4656" i="3" s="1"/>
  <c r="H4656" i="3"/>
  <c r="G4656" i="3"/>
  <c r="M4655" i="3"/>
  <c r="L4655" i="3"/>
  <c r="J4655" i="3"/>
  <c r="K4655" i="3" s="1"/>
  <c r="H4655" i="3"/>
  <c r="G4655" i="3"/>
  <c r="M4654" i="3"/>
  <c r="L4654" i="3"/>
  <c r="J4654" i="3"/>
  <c r="K4654" i="3" s="1"/>
  <c r="H4654" i="3"/>
  <c r="G4654" i="3"/>
  <c r="M4653" i="3"/>
  <c r="L4653" i="3"/>
  <c r="J4653" i="3"/>
  <c r="K4653" i="3" s="1"/>
  <c r="H4653" i="3"/>
  <c r="G4653" i="3"/>
  <c r="M4652" i="3"/>
  <c r="L4652" i="3"/>
  <c r="J4652" i="3"/>
  <c r="K4652" i="3" s="1"/>
  <c r="I4652" i="3"/>
  <c r="H4652" i="3"/>
  <c r="G4652" i="3"/>
  <c r="M4651" i="3"/>
  <c r="L4651" i="3"/>
  <c r="J4651" i="3"/>
  <c r="K4651" i="3" s="1"/>
  <c r="H4651" i="3"/>
  <c r="G4651" i="3"/>
  <c r="M4650" i="3"/>
  <c r="L4650" i="3"/>
  <c r="J4650" i="3"/>
  <c r="K4650" i="3" s="1"/>
  <c r="H4650" i="3"/>
  <c r="G4650" i="3"/>
  <c r="M4649" i="3"/>
  <c r="L4649" i="3"/>
  <c r="J4649" i="3"/>
  <c r="K4649" i="3" s="1"/>
  <c r="H4649" i="3"/>
  <c r="G4649" i="3"/>
  <c r="I4649" i="3" s="1"/>
  <c r="M4648" i="3"/>
  <c r="L4648" i="3"/>
  <c r="J4648" i="3"/>
  <c r="K4648" i="3" s="1"/>
  <c r="H4648" i="3"/>
  <c r="G4648" i="3"/>
  <c r="M4647" i="3"/>
  <c r="L4647" i="3"/>
  <c r="J4647" i="3"/>
  <c r="K4647" i="3" s="1"/>
  <c r="H4647" i="3"/>
  <c r="G4647" i="3"/>
  <c r="I4647" i="3" s="1"/>
  <c r="M4646" i="3"/>
  <c r="L4646" i="3"/>
  <c r="J4646" i="3"/>
  <c r="K4646" i="3" s="1"/>
  <c r="H4646" i="3"/>
  <c r="G4646" i="3"/>
  <c r="M4645" i="3"/>
  <c r="L4645" i="3"/>
  <c r="J4645" i="3"/>
  <c r="K4645" i="3" s="1"/>
  <c r="H4645" i="3"/>
  <c r="G4645" i="3"/>
  <c r="M4644" i="3"/>
  <c r="L4644" i="3"/>
  <c r="J4644" i="3"/>
  <c r="K4644" i="3" s="1"/>
  <c r="H4644" i="3"/>
  <c r="G4644" i="3"/>
  <c r="I4644" i="3" s="1"/>
  <c r="M4643" i="3"/>
  <c r="L4643" i="3"/>
  <c r="J4643" i="3"/>
  <c r="K4643" i="3" s="1"/>
  <c r="H4643" i="3"/>
  <c r="G4643" i="3"/>
  <c r="M4642" i="3"/>
  <c r="L4642" i="3"/>
  <c r="K4642" i="3"/>
  <c r="J4642" i="3"/>
  <c r="H4642" i="3"/>
  <c r="G4642" i="3"/>
  <c r="M4641" i="3"/>
  <c r="L4641" i="3"/>
  <c r="J4641" i="3"/>
  <c r="K4641" i="3" s="1"/>
  <c r="H4641" i="3"/>
  <c r="G4641" i="3"/>
  <c r="M4640" i="3"/>
  <c r="L4640" i="3"/>
  <c r="J4640" i="3"/>
  <c r="K4640" i="3" s="1"/>
  <c r="H4640" i="3"/>
  <c r="I4640" i="3" s="1"/>
  <c r="G4640" i="3"/>
  <c r="M4639" i="3"/>
  <c r="L4639" i="3"/>
  <c r="J4639" i="3"/>
  <c r="K4639" i="3" s="1"/>
  <c r="H4639" i="3"/>
  <c r="G4639" i="3"/>
  <c r="I4639" i="3" s="1"/>
  <c r="M4638" i="3"/>
  <c r="L4638" i="3"/>
  <c r="J4638" i="3"/>
  <c r="K4638" i="3" s="1"/>
  <c r="H4638" i="3"/>
  <c r="G4638" i="3"/>
  <c r="M4637" i="3"/>
  <c r="L4637" i="3"/>
  <c r="J4637" i="3"/>
  <c r="K4637" i="3" s="1"/>
  <c r="H4637" i="3"/>
  <c r="G4637" i="3"/>
  <c r="M4636" i="3"/>
  <c r="L4636" i="3"/>
  <c r="J4636" i="3"/>
  <c r="K4636" i="3" s="1"/>
  <c r="H4636" i="3"/>
  <c r="G4636" i="3"/>
  <c r="I4636" i="3" s="1"/>
  <c r="M4635" i="3"/>
  <c r="L4635" i="3"/>
  <c r="J4635" i="3"/>
  <c r="K4635" i="3" s="1"/>
  <c r="H4635" i="3"/>
  <c r="G4635" i="3"/>
  <c r="M4634" i="3"/>
  <c r="L4634" i="3"/>
  <c r="K4634" i="3"/>
  <c r="J4634" i="3"/>
  <c r="H4634" i="3"/>
  <c r="G4634" i="3"/>
  <c r="M4633" i="3"/>
  <c r="L4633" i="3"/>
  <c r="J4633" i="3"/>
  <c r="K4633" i="3" s="1"/>
  <c r="H4633" i="3"/>
  <c r="G4633" i="3"/>
  <c r="M4632" i="3"/>
  <c r="L4632" i="3"/>
  <c r="J4632" i="3"/>
  <c r="K4632" i="3" s="1"/>
  <c r="H4632" i="3"/>
  <c r="G4632" i="3"/>
  <c r="M4631" i="3"/>
  <c r="L4631" i="3"/>
  <c r="J4631" i="3"/>
  <c r="K4631" i="3" s="1"/>
  <c r="H4631" i="3"/>
  <c r="G4631" i="3"/>
  <c r="I4631" i="3" s="1"/>
  <c r="M4630" i="3"/>
  <c r="L4630" i="3"/>
  <c r="J4630" i="3"/>
  <c r="K4630" i="3" s="1"/>
  <c r="H4630" i="3"/>
  <c r="G4630" i="3"/>
  <c r="M4629" i="3"/>
  <c r="L4629" i="3"/>
  <c r="J4629" i="3"/>
  <c r="K4629" i="3" s="1"/>
  <c r="H4629" i="3"/>
  <c r="G4629" i="3"/>
  <c r="M4628" i="3"/>
  <c r="L4628" i="3"/>
  <c r="J4628" i="3"/>
  <c r="K4628" i="3" s="1"/>
  <c r="H4628" i="3"/>
  <c r="G4628" i="3"/>
  <c r="M4627" i="3"/>
  <c r="L4627" i="3"/>
  <c r="J4627" i="3"/>
  <c r="K4627" i="3" s="1"/>
  <c r="H4627" i="3"/>
  <c r="G4627" i="3"/>
  <c r="M4626" i="3"/>
  <c r="L4626" i="3"/>
  <c r="J4626" i="3"/>
  <c r="K4626" i="3" s="1"/>
  <c r="H4626" i="3"/>
  <c r="G4626" i="3"/>
  <c r="M4625" i="3"/>
  <c r="L4625" i="3"/>
  <c r="J4625" i="3"/>
  <c r="K4625" i="3" s="1"/>
  <c r="H4625" i="3"/>
  <c r="G4625" i="3"/>
  <c r="M4624" i="3"/>
  <c r="L4624" i="3"/>
  <c r="J4624" i="3"/>
  <c r="K4624" i="3" s="1"/>
  <c r="H4624" i="3"/>
  <c r="G4624" i="3"/>
  <c r="M4623" i="3"/>
  <c r="L4623" i="3"/>
  <c r="J4623" i="3"/>
  <c r="K4623" i="3" s="1"/>
  <c r="H4623" i="3"/>
  <c r="G4623" i="3"/>
  <c r="M4622" i="3"/>
  <c r="L4622" i="3"/>
  <c r="J4622" i="3"/>
  <c r="K4622" i="3" s="1"/>
  <c r="H4622" i="3"/>
  <c r="G4622" i="3"/>
  <c r="I4622" i="3" s="1"/>
  <c r="M4621" i="3"/>
  <c r="L4621" i="3"/>
  <c r="J4621" i="3"/>
  <c r="K4621" i="3" s="1"/>
  <c r="H4621" i="3"/>
  <c r="I4621" i="3" s="1"/>
  <c r="G4621" i="3"/>
  <c r="M4620" i="3"/>
  <c r="L4620" i="3"/>
  <c r="K4620" i="3"/>
  <c r="J4620" i="3"/>
  <c r="I4620" i="3"/>
  <c r="H4620" i="3"/>
  <c r="G4620" i="3"/>
  <c r="M4619" i="3"/>
  <c r="L4619" i="3"/>
  <c r="J4619" i="3"/>
  <c r="K4619" i="3" s="1"/>
  <c r="H4619" i="3"/>
  <c r="G4619" i="3"/>
  <c r="M4618" i="3"/>
  <c r="L4618" i="3"/>
  <c r="K4618" i="3"/>
  <c r="J4618" i="3"/>
  <c r="H4618" i="3"/>
  <c r="G4618" i="3"/>
  <c r="M4617" i="3"/>
  <c r="L4617" i="3"/>
  <c r="J4617" i="3"/>
  <c r="K4617" i="3" s="1"/>
  <c r="H4617" i="3"/>
  <c r="G4617" i="3"/>
  <c r="M4616" i="3"/>
  <c r="L4616" i="3"/>
  <c r="J4616" i="3"/>
  <c r="K4616" i="3" s="1"/>
  <c r="H4616" i="3"/>
  <c r="G4616" i="3"/>
  <c r="M4615" i="3"/>
  <c r="L4615" i="3"/>
  <c r="J4615" i="3"/>
  <c r="K4615" i="3" s="1"/>
  <c r="H4615" i="3"/>
  <c r="G4615" i="3"/>
  <c r="I4615" i="3" s="1"/>
  <c r="M4614" i="3"/>
  <c r="L4614" i="3"/>
  <c r="J4614" i="3"/>
  <c r="K4614" i="3" s="1"/>
  <c r="H4614" i="3"/>
  <c r="G4614" i="3"/>
  <c r="M4613" i="3"/>
  <c r="L4613" i="3"/>
  <c r="J4613" i="3"/>
  <c r="K4613" i="3" s="1"/>
  <c r="H4613" i="3"/>
  <c r="G4613" i="3"/>
  <c r="M4612" i="3"/>
  <c r="L4612" i="3"/>
  <c r="J4612" i="3"/>
  <c r="K4612" i="3" s="1"/>
  <c r="H4612" i="3"/>
  <c r="G4612" i="3"/>
  <c r="I4612" i="3" s="1"/>
  <c r="M4611" i="3"/>
  <c r="L4611" i="3"/>
  <c r="J4611" i="3"/>
  <c r="K4611" i="3" s="1"/>
  <c r="H4611" i="3"/>
  <c r="I4611" i="3" s="1"/>
  <c r="G4611" i="3"/>
  <c r="M4610" i="3"/>
  <c r="L4610" i="3"/>
  <c r="K4610" i="3"/>
  <c r="J4610" i="3"/>
  <c r="H4610" i="3"/>
  <c r="G4610" i="3"/>
  <c r="M4729" i="3"/>
  <c r="L4729" i="3"/>
  <c r="J4729" i="3"/>
  <c r="K4729" i="3" s="1"/>
  <c r="H4729" i="3"/>
  <c r="G4729" i="3"/>
  <c r="M4728" i="3"/>
  <c r="L4728" i="3"/>
  <c r="J4728" i="3"/>
  <c r="K4728" i="3" s="1"/>
  <c r="I4728" i="3"/>
  <c r="H4728" i="3"/>
  <c r="G4728" i="3"/>
  <c r="M4727" i="3"/>
  <c r="L4727" i="3"/>
  <c r="J4727" i="3"/>
  <c r="K4727" i="3" s="1"/>
  <c r="H4727" i="3"/>
  <c r="G4727" i="3"/>
  <c r="I4727" i="3" s="1"/>
  <c r="M4726" i="3"/>
  <c r="L4726" i="3"/>
  <c r="J4726" i="3"/>
  <c r="K4726" i="3" s="1"/>
  <c r="H4726" i="3"/>
  <c r="G4726" i="3"/>
  <c r="M4725" i="3"/>
  <c r="L4725" i="3"/>
  <c r="J4725" i="3"/>
  <c r="K4725" i="3" s="1"/>
  <c r="H4725" i="3"/>
  <c r="G4725" i="3"/>
  <c r="M4724" i="3"/>
  <c r="L4724" i="3"/>
  <c r="J4724" i="3"/>
  <c r="K4724" i="3" s="1"/>
  <c r="H4724" i="3"/>
  <c r="I4724" i="3" s="1"/>
  <c r="G4724" i="3"/>
  <c r="M4723" i="3"/>
  <c r="L4723" i="3"/>
  <c r="K4723" i="3"/>
  <c r="J4723" i="3"/>
  <c r="H4723" i="3"/>
  <c r="G4723" i="3"/>
  <c r="M4722" i="3"/>
  <c r="L4722" i="3"/>
  <c r="J4722" i="3"/>
  <c r="K4722" i="3" s="1"/>
  <c r="H4722" i="3"/>
  <c r="G4722" i="3"/>
  <c r="M4721" i="3"/>
  <c r="L4721" i="3"/>
  <c r="J4721" i="3"/>
  <c r="K4721" i="3" s="1"/>
  <c r="H4721" i="3"/>
  <c r="G4721" i="3"/>
  <c r="M4720" i="3"/>
  <c r="L4720" i="3"/>
  <c r="J4720" i="3"/>
  <c r="K4720" i="3" s="1"/>
  <c r="H4720" i="3"/>
  <c r="G4720" i="3"/>
  <c r="M4719" i="3"/>
  <c r="L4719" i="3"/>
  <c r="J4719" i="3"/>
  <c r="K4719" i="3" s="1"/>
  <c r="H4719" i="3"/>
  <c r="G4719" i="3"/>
  <c r="M4718" i="3"/>
  <c r="L4718" i="3"/>
  <c r="J4718" i="3"/>
  <c r="K4718" i="3" s="1"/>
  <c r="H4718" i="3"/>
  <c r="G4718" i="3"/>
  <c r="M4717" i="3"/>
  <c r="L4717" i="3"/>
  <c r="J4717" i="3"/>
  <c r="K4717" i="3" s="1"/>
  <c r="H4717" i="3"/>
  <c r="G4717" i="3"/>
  <c r="M4716" i="3"/>
  <c r="L4716" i="3"/>
  <c r="K4716" i="3"/>
  <c r="J4716" i="3"/>
  <c r="H4716" i="3"/>
  <c r="G4716" i="3"/>
  <c r="M4715" i="3"/>
  <c r="L4715" i="3"/>
  <c r="J4715" i="3"/>
  <c r="K4715" i="3" s="1"/>
  <c r="H4715" i="3"/>
  <c r="G4715" i="3"/>
  <c r="M4714" i="3"/>
  <c r="L4714" i="3"/>
  <c r="J4714" i="3"/>
  <c r="K4714" i="3" s="1"/>
  <c r="H4714" i="3"/>
  <c r="G4714" i="3"/>
  <c r="I4714" i="3" s="1"/>
  <c r="M4713" i="3"/>
  <c r="L4713" i="3"/>
  <c r="J4713" i="3"/>
  <c r="K4713" i="3" s="1"/>
  <c r="H4713" i="3"/>
  <c r="I4713" i="3" s="1"/>
  <c r="G4713" i="3"/>
  <c r="M4712" i="3"/>
  <c r="L4712" i="3"/>
  <c r="J4712" i="3"/>
  <c r="K4712" i="3" s="1"/>
  <c r="H4712" i="3"/>
  <c r="G4712" i="3"/>
  <c r="I4712" i="3" s="1"/>
  <c r="M4711" i="3"/>
  <c r="L4711" i="3"/>
  <c r="J4711" i="3"/>
  <c r="K4711" i="3" s="1"/>
  <c r="H4711" i="3"/>
  <c r="G4711" i="3"/>
  <c r="M4710" i="3"/>
  <c r="L4710" i="3"/>
  <c r="J4710" i="3"/>
  <c r="K4710" i="3" s="1"/>
  <c r="H4710" i="3"/>
  <c r="G4710" i="3"/>
  <c r="M4709" i="3"/>
  <c r="L4709" i="3"/>
  <c r="J4709" i="3"/>
  <c r="K4709" i="3" s="1"/>
  <c r="H4709" i="3"/>
  <c r="G4709" i="3"/>
  <c r="M4708" i="3"/>
  <c r="L4708" i="3"/>
  <c r="J4708" i="3"/>
  <c r="K4708" i="3" s="1"/>
  <c r="H4708" i="3"/>
  <c r="G4708" i="3"/>
  <c r="I4708" i="3" s="1"/>
  <c r="M4707" i="3"/>
  <c r="L4707" i="3"/>
  <c r="J4707" i="3"/>
  <c r="K4707" i="3" s="1"/>
  <c r="H4707" i="3"/>
  <c r="G4707" i="3"/>
  <c r="M4706" i="3"/>
  <c r="L4706" i="3"/>
  <c r="J4706" i="3"/>
  <c r="K4706" i="3" s="1"/>
  <c r="H4706" i="3"/>
  <c r="G4706" i="3"/>
  <c r="M4825" i="3"/>
  <c r="L4825" i="3"/>
  <c r="J4825" i="3"/>
  <c r="K4825" i="3" s="1"/>
  <c r="H4825" i="3"/>
  <c r="G4825" i="3"/>
  <c r="M4824" i="3"/>
  <c r="L4824" i="3"/>
  <c r="J4824" i="3"/>
  <c r="K4824" i="3" s="1"/>
  <c r="H4824" i="3"/>
  <c r="G4824" i="3"/>
  <c r="M4823" i="3"/>
  <c r="L4823" i="3"/>
  <c r="J4823" i="3"/>
  <c r="K4823" i="3" s="1"/>
  <c r="H4823" i="3"/>
  <c r="G4823" i="3"/>
  <c r="M4822" i="3"/>
  <c r="L4822" i="3"/>
  <c r="J4822" i="3"/>
  <c r="K4822" i="3" s="1"/>
  <c r="H4822" i="3"/>
  <c r="G4822" i="3"/>
  <c r="M4821" i="3"/>
  <c r="L4821" i="3"/>
  <c r="J4821" i="3"/>
  <c r="K4821" i="3" s="1"/>
  <c r="H4821" i="3"/>
  <c r="G4821" i="3"/>
  <c r="M4820" i="3"/>
  <c r="L4820" i="3"/>
  <c r="J4820" i="3"/>
  <c r="K4820" i="3" s="1"/>
  <c r="H4820" i="3"/>
  <c r="G4820" i="3"/>
  <c r="I4820" i="3" s="1"/>
  <c r="M4819" i="3"/>
  <c r="L4819" i="3"/>
  <c r="J4819" i="3"/>
  <c r="K4819" i="3" s="1"/>
  <c r="H4819" i="3"/>
  <c r="I4819" i="3" s="1"/>
  <c r="G4819" i="3"/>
  <c r="M4818" i="3"/>
  <c r="L4818" i="3"/>
  <c r="K4818" i="3"/>
  <c r="J4818" i="3"/>
  <c r="H4818" i="3"/>
  <c r="G4818" i="3"/>
  <c r="I4818" i="3" s="1"/>
  <c r="M4817" i="3"/>
  <c r="L4817" i="3"/>
  <c r="J4817" i="3"/>
  <c r="K4817" i="3" s="1"/>
  <c r="H4817" i="3"/>
  <c r="G4817" i="3"/>
  <c r="I4817" i="3" s="1"/>
  <c r="M4816" i="3"/>
  <c r="L4816" i="3"/>
  <c r="J4816" i="3"/>
  <c r="K4816" i="3" s="1"/>
  <c r="I4816" i="3"/>
  <c r="H4816" i="3"/>
  <c r="G4816" i="3"/>
  <c r="M4815" i="3"/>
  <c r="L4815" i="3"/>
  <c r="J4815" i="3"/>
  <c r="K4815" i="3" s="1"/>
  <c r="H4815" i="3"/>
  <c r="G4815" i="3"/>
  <c r="M4814" i="3"/>
  <c r="L4814" i="3"/>
  <c r="J4814" i="3"/>
  <c r="K4814" i="3" s="1"/>
  <c r="H4814" i="3"/>
  <c r="G4814" i="3"/>
  <c r="I4814" i="3" s="1"/>
  <c r="M4813" i="3"/>
  <c r="L4813" i="3"/>
  <c r="J4813" i="3"/>
  <c r="K4813" i="3" s="1"/>
  <c r="H4813" i="3"/>
  <c r="G4813" i="3"/>
  <c r="M4812" i="3"/>
  <c r="L4812" i="3"/>
  <c r="J4812" i="3"/>
  <c r="K4812" i="3" s="1"/>
  <c r="H4812" i="3"/>
  <c r="G4812" i="3"/>
  <c r="M4811" i="3"/>
  <c r="L4811" i="3"/>
  <c r="J4811" i="3"/>
  <c r="K4811" i="3" s="1"/>
  <c r="H4811" i="3"/>
  <c r="G4811" i="3"/>
  <c r="M4810" i="3"/>
  <c r="L4810" i="3"/>
  <c r="J4810" i="3"/>
  <c r="K4810" i="3" s="1"/>
  <c r="H4810" i="3"/>
  <c r="G4810" i="3"/>
  <c r="I4810" i="3" s="1"/>
  <c r="M4809" i="3"/>
  <c r="L4809" i="3"/>
  <c r="J4809" i="3"/>
  <c r="K4809" i="3" s="1"/>
  <c r="H4809" i="3"/>
  <c r="G4809" i="3"/>
  <c r="M4808" i="3"/>
  <c r="L4808" i="3"/>
  <c r="J4808" i="3"/>
  <c r="K4808" i="3" s="1"/>
  <c r="H4808" i="3"/>
  <c r="I4808" i="3" s="1"/>
  <c r="G4808" i="3"/>
  <c r="M4807" i="3"/>
  <c r="L4807" i="3"/>
  <c r="J4807" i="3"/>
  <c r="K4807" i="3" s="1"/>
  <c r="H4807" i="3"/>
  <c r="G4807" i="3"/>
  <c r="M4806" i="3"/>
  <c r="L4806" i="3"/>
  <c r="J4806" i="3"/>
  <c r="K4806" i="3" s="1"/>
  <c r="H4806" i="3"/>
  <c r="G4806" i="3"/>
  <c r="M4805" i="3"/>
  <c r="L4805" i="3"/>
  <c r="J4805" i="3"/>
  <c r="K4805" i="3" s="1"/>
  <c r="H4805" i="3"/>
  <c r="G4805" i="3"/>
  <c r="M4804" i="3"/>
  <c r="L4804" i="3"/>
  <c r="J4804" i="3"/>
  <c r="K4804" i="3" s="1"/>
  <c r="H4804" i="3"/>
  <c r="G4804" i="3"/>
  <c r="M4803" i="3"/>
  <c r="L4803" i="3"/>
  <c r="J4803" i="3"/>
  <c r="K4803" i="3" s="1"/>
  <c r="H4803" i="3"/>
  <c r="G4803" i="3"/>
  <c r="M4802" i="3"/>
  <c r="L4802" i="3"/>
  <c r="J4802" i="3"/>
  <c r="K4802" i="3" s="1"/>
  <c r="H4802" i="3"/>
  <c r="G4802" i="3"/>
  <c r="M4801" i="3"/>
  <c r="L4801" i="3"/>
  <c r="J4801" i="3"/>
  <c r="K4801" i="3" s="1"/>
  <c r="H4801" i="3"/>
  <c r="G4801" i="3"/>
  <c r="M4800" i="3"/>
  <c r="L4800" i="3"/>
  <c r="J4800" i="3"/>
  <c r="K4800" i="3" s="1"/>
  <c r="H4800" i="3"/>
  <c r="G4800" i="3"/>
  <c r="I4800" i="3" s="1"/>
  <c r="M4799" i="3"/>
  <c r="L4799" i="3"/>
  <c r="J4799" i="3"/>
  <c r="K4799" i="3" s="1"/>
  <c r="H4799" i="3"/>
  <c r="G4799" i="3"/>
  <c r="M4798" i="3"/>
  <c r="L4798" i="3"/>
  <c r="J4798" i="3"/>
  <c r="K4798" i="3" s="1"/>
  <c r="H4798" i="3"/>
  <c r="G4798" i="3"/>
  <c r="M4797" i="3"/>
  <c r="L4797" i="3"/>
  <c r="J4797" i="3"/>
  <c r="K4797" i="3" s="1"/>
  <c r="H4797" i="3"/>
  <c r="G4797" i="3"/>
  <c r="M4796" i="3"/>
  <c r="L4796" i="3"/>
  <c r="J4796" i="3"/>
  <c r="K4796" i="3" s="1"/>
  <c r="H4796" i="3"/>
  <c r="G4796" i="3"/>
  <c r="M4795" i="3"/>
  <c r="L4795" i="3"/>
  <c r="J4795" i="3"/>
  <c r="K4795" i="3" s="1"/>
  <c r="H4795" i="3"/>
  <c r="G4795" i="3"/>
  <c r="M4794" i="3"/>
  <c r="L4794" i="3"/>
  <c r="J4794" i="3"/>
  <c r="K4794" i="3" s="1"/>
  <c r="H4794" i="3"/>
  <c r="G4794" i="3"/>
  <c r="M4793" i="3"/>
  <c r="L4793" i="3"/>
  <c r="J4793" i="3"/>
  <c r="K4793" i="3" s="1"/>
  <c r="H4793" i="3"/>
  <c r="G4793" i="3"/>
  <c r="M4792" i="3"/>
  <c r="L4792" i="3"/>
  <c r="J4792" i="3"/>
  <c r="K4792" i="3" s="1"/>
  <c r="H4792" i="3"/>
  <c r="G4792" i="3"/>
  <c r="M4791" i="3"/>
  <c r="L4791" i="3"/>
  <c r="J4791" i="3"/>
  <c r="K4791" i="3" s="1"/>
  <c r="H4791" i="3"/>
  <c r="G4791" i="3"/>
  <c r="M4790" i="3"/>
  <c r="L4790" i="3"/>
  <c r="J4790" i="3"/>
  <c r="K4790" i="3" s="1"/>
  <c r="H4790" i="3"/>
  <c r="G4790" i="3"/>
  <c r="M4789" i="3"/>
  <c r="L4789" i="3"/>
  <c r="J4789" i="3"/>
  <c r="K4789" i="3" s="1"/>
  <c r="H4789" i="3"/>
  <c r="G4789" i="3"/>
  <c r="M4788" i="3"/>
  <c r="L4788" i="3"/>
  <c r="J4788" i="3"/>
  <c r="K4788" i="3" s="1"/>
  <c r="H4788" i="3"/>
  <c r="G4788" i="3"/>
  <c r="I4788" i="3" s="1"/>
  <c r="M4787" i="3"/>
  <c r="L4787" i="3"/>
  <c r="J4787" i="3"/>
  <c r="K4787" i="3" s="1"/>
  <c r="H4787" i="3"/>
  <c r="I4787" i="3" s="1"/>
  <c r="G4787" i="3"/>
  <c r="M4786" i="3"/>
  <c r="L4786" i="3"/>
  <c r="K4786" i="3"/>
  <c r="J4786" i="3"/>
  <c r="H4786" i="3"/>
  <c r="G4786" i="3"/>
  <c r="M4785" i="3"/>
  <c r="L4785" i="3"/>
  <c r="J4785" i="3"/>
  <c r="K4785" i="3" s="1"/>
  <c r="H4785" i="3"/>
  <c r="G4785" i="3"/>
  <c r="I4785" i="3" s="1"/>
  <c r="M4784" i="3"/>
  <c r="L4784" i="3"/>
  <c r="J4784" i="3"/>
  <c r="K4784" i="3" s="1"/>
  <c r="I4784" i="3"/>
  <c r="H4784" i="3"/>
  <c r="G4784" i="3"/>
  <c r="M4783" i="3"/>
  <c r="L4783" i="3"/>
  <c r="J4783" i="3"/>
  <c r="K4783" i="3" s="1"/>
  <c r="H4783" i="3"/>
  <c r="G4783" i="3"/>
  <c r="M4782" i="3"/>
  <c r="L4782" i="3"/>
  <c r="J4782" i="3"/>
  <c r="K4782" i="3" s="1"/>
  <c r="H4782" i="3"/>
  <c r="G4782" i="3"/>
  <c r="I4782" i="3" s="1"/>
  <c r="M4781" i="3"/>
  <c r="L4781" i="3"/>
  <c r="J4781" i="3"/>
  <c r="K4781" i="3" s="1"/>
  <c r="H4781" i="3"/>
  <c r="G4781" i="3"/>
  <c r="M4780" i="3"/>
  <c r="L4780" i="3"/>
  <c r="J4780" i="3"/>
  <c r="K4780" i="3" s="1"/>
  <c r="H4780" i="3"/>
  <c r="G4780" i="3"/>
  <c r="M4779" i="3"/>
  <c r="L4779" i="3"/>
  <c r="J4779" i="3"/>
  <c r="K4779" i="3" s="1"/>
  <c r="H4779" i="3"/>
  <c r="G4779" i="3"/>
  <c r="M4778" i="3"/>
  <c r="L4778" i="3"/>
  <c r="J4778" i="3"/>
  <c r="K4778" i="3" s="1"/>
  <c r="H4778" i="3"/>
  <c r="G4778" i="3"/>
  <c r="I4778" i="3" s="1"/>
  <c r="M4777" i="3"/>
  <c r="L4777" i="3"/>
  <c r="J4777" i="3"/>
  <c r="K4777" i="3" s="1"/>
  <c r="H4777" i="3"/>
  <c r="G4777" i="3"/>
  <c r="M4776" i="3"/>
  <c r="L4776" i="3"/>
  <c r="J4776" i="3"/>
  <c r="K4776" i="3" s="1"/>
  <c r="H4776" i="3"/>
  <c r="G4776" i="3"/>
  <c r="M4775" i="3"/>
  <c r="L4775" i="3"/>
  <c r="J4775" i="3"/>
  <c r="K4775" i="3" s="1"/>
  <c r="H4775" i="3"/>
  <c r="G4775" i="3"/>
  <c r="M4774" i="3"/>
  <c r="L4774" i="3"/>
  <c r="J4774" i="3"/>
  <c r="K4774" i="3" s="1"/>
  <c r="H4774" i="3"/>
  <c r="G4774" i="3"/>
  <c r="M4773" i="3"/>
  <c r="L4773" i="3"/>
  <c r="J4773" i="3"/>
  <c r="K4773" i="3" s="1"/>
  <c r="H4773" i="3"/>
  <c r="G4773" i="3"/>
  <c r="M4772" i="3"/>
  <c r="L4772" i="3"/>
  <c r="J4772" i="3"/>
  <c r="K4772" i="3" s="1"/>
  <c r="H4772" i="3"/>
  <c r="G4772" i="3"/>
  <c r="I4772" i="3" s="1"/>
  <c r="M4771" i="3"/>
  <c r="L4771" i="3"/>
  <c r="J4771" i="3"/>
  <c r="K4771" i="3" s="1"/>
  <c r="H4771" i="3"/>
  <c r="I4771" i="3" s="1"/>
  <c r="G4771" i="3"/>
  <c r="M4770" i="3"/>
  <c r="L4770" i="3"/>
  <c r="K4770" i="3"/>
  <c r="J4770" i="3"/>
  <c r="H4770" i="3"/>
  <c r="G4770" i="3"/>
  <c r="M4769" i="3"/>
  <c r="L4769" i="3"/>
  <c r="J4769" i="3"/>
  <c r="K4769" i="3" s="1"/>
  <c r="H4769" i="3"/>
  <c r="G4769" i="3"/>
  <c r="I4769" i="3" s="1"/>
  <c r="M4768" i="3"/>
  <c r="L4768" i="3"/>
  <c r="J4768" i="3"/>
  <c r="K4768" i="3" s="1"/>
  <c r="H4768" i="3"/>
  <c r="G4768" i="3"/>
  <c r="I4768" i="3" s="1"/>
  <c r="M4767" i="3"/>
  <c r="L4767" i="3"/>
  <c r="J4767" i="3"/>
  <c r="K4767" i="3" s="1"/>
  <c r="H4767" i="3"/>
  <c r="G4767" i="3"/>
  <c r="M4766" i="3"/>
  <c r="L4766" i="3"/>
  <c r="J4766" i="3"/>
  <c r="K4766" i="3" s="1"/>
  <c r="H4766" i="3"/>
  <c r="G4766" i="3"/>
  <c r="I4766" i="3" s="1"/>
  <c r="M4765" i="3"/>
  <c r="L4765" i="3"/>
  <c r="J4765" i="3"/>
  <c r="K4765" i="3" s="1"/>
  <c r="H4765" i="3"/>
  <c r="G4765" i="3"/>
  <c r="M4764" i="3"/>
  <c r="L4764" i="3"/>
  <c r="J4764" i="3"/>
  <c r="K4764" i="3" s="1"/>
  <c r="H4764" i="3"/>
  <c r="G4764" i="3"/>
  <c r="M4763" i="3"/>
  <c r="L4763" i="3"/>
  <c r="J4763" i="3"/>
  <c r="K4763" i="3" s="1"/>
  <c r="H4763" i="3"/>
  <c r="G4763" i="3"/>
  <c r="M4762" i="3"/>
  <c r="L4762" i="3"/>
  <c r="J4762" i="3"/>
  <c r="K4762" i="3" s="1"/>
  <c r="H4762" i="3"/>
  <c r="G4762" i="3"/>
  <c r="I4762" i="3" s="1"/>
  <c r="M4761" i="3"/>
  <c r="L4761" i="3"/>
  <c r="J4761" i="3"/>
  <c r="K4761" i="3" s="1"/>
  <c r="H4761" i="3"/>
  <c r="G4761" i="3"/>
  <c r="M4760" i="3"/>
  <c r="L4760" i="3"/>
  <c r="J4760" i="3"/>
  <c r="K4760" i="3" s="1"/>
  <c r="H4760" i="3"/>
  <c r="G4760" i="3"/>
  <c r="M4759" i="3"/>
  <c r="L4759" i="3"/>
  <c r="J4759" i="3"/>
  <c r="K4759" i="3" s="1"/>
  <c r="H4759" i="3"/>
  <c r="G4759" i="3"/>
  <c r="M4758" i="3"/>
  <c r="L4758" i="3"/>
  <c r="J4758" i="3"/>
  <c r="K4758" i="3" s="1"/>
  <c r="H4758" i="3"/>
  <c r="G4758" i="3"/>
  <c r="M4757" i="3"/>
  <c r="L4757" i="3"/>
  <c r="J4757" i="3"/>
  <c r="K4757" i="3" s="1"/>
  <c r="H4757" i="3"/>
  <c r="G4757" i="3"/>
  <c r="M4756" i="3"/>
  <c r="L4756" i="3"/>
  <c r="J4756" i="3"/>
  <c r="K4756" i="3" s="1"/>
  <c r="H4756" i="3"/>
  <c r="G4756" i="3"/>
  <c r="I4756" i="3" s="1"/>
  <c r="M4755" i="3"/>
  <c r="L4755" i="3"/>
  <c r="J4755" i="3"/>
  <c r="K4755" i="3" s="1"/>
  <c r="H4755" i="3"/>
  <c r="I4755" i="3" s="1"/>
  <c r="G4755" i="3"/>
  <c r="M4754" i="3"/>
  <c r="L4754" i="3"/>
  <c r="K4754" i="3"/>
  <c r="J4754" i="3"/>
  <c r="H4754" i="3"/>
  <c r="G4754" i="3"/>
  <c r="M4753" i="3"/>
  <c r="L4753" i="3"/>
  <c r="J4753" i="3"/>
  <c r="K4753" i="3" s="1"/>
  <c r="H4753" i="3"/>
  <c r="G4753" i="3"/>
  <c r="I4753" i="3" s="1"/>
  <c r="M4752" i="3"/>
  <c r="L4752" i="3"/>
  <c r="J4752" i="3"/>
  <c r="K4752" i="3" s="1"/>
  <c r="I4752" i="3"/>
  <c r="H4752" i="3"/>
  <c r="G4752" i="3"/>
  <c r="M4751" i="3"/>
  <c r="L4751" i="3"/>
  <c r="J4751" i="3"/>
  <c r="K4751" i="3" s="1"/>
  <c r="H4751" i="3"/>
  <c r="G4751" i="3"/>
  <c r="M4750" i="3"/>
  <c r="L4750" i="3"/>
  <c r="J4750" i="3"/>
  <c r="K4750" i="3" s="1"/>
  <c r="H4750" i="3"/>
  <c r="G4750" i="3"/>
  <c r="I4750" i="3" s="1"/>
  <c r="M4749" i="3"/>
  <c r="L4749" i="3"/>
  <c r="J4749" i="3"/>
  <c r="K4749" i="3" s="1"/>
  <c r="H4749" i="3"/>
  <c r="G4749" i="3"/>
  <c r="M4748" i="3"/>
  <c r="L4748" i="3"/>
  <c r="J4748" i="3"/>
  <c r="K4748" i="3" s="1"/>
  <c r="H4748" i="3"/>
  <c r="G4748" i="3"/>
  <c r="I4748" i="3" s="1"/>
  <c r="M4747" i="3"/>
  <c r="L4747" i="3"/>
  <c r="J4747" i="3"/>
  <c r="K4747" i="3" s="1"/>
  <c r="H4747" i="3"/>
  <c r="G4747" i="3"/>
  <c r="M4746" i="3"/>
  <c r="L4746" i="3"/>
  <c r="J4746" i="3"/>
  <c r="K4746" i="3" s="1"/>
  <c r="H4746" i="3"/>
  <c r="G4746" i="3"/>
  <c r="M4745" i="3"/>
  <c r="L4745" i="3"/>
  <c r="J4745" i="3"/>
  <c r="K4745" i="3" s="1"/>
  <c r="H4745" i="3"/>
  <c r="G4745" i="3"/>
  <c r="M4744" i="3"/>
  <c r="L4744" i="3"/>
  <c r="J4744" i="3"/>
  <c r="K4744" i="3" s="1"/>
  <c r="H4744" i="3"/>
  <c r="G4744" i="3"/>
  <c r="M4743" i="3"/>
  <c r="L4743" i="3"/>
  <c r="J4743" i="3"/>
  <c r="K4743" i="3" s="1"/>
  <c r="H4743" i="3"/>
  <c r="I4743" i="3" s="1"/>
  <c r="G4743" i="3"/>
  <c r="M4742" i="3"/>
  <c r="L4742" i="3"/>
  <c r="K4742" i="3"/>
  <c r="J4742" i="3"/>
  <c r="H4742" i="3"/>
  <c r="G4742" i="3"/>
  <c r="M4741" i="3"/>
  <c r="L4741" i="3"/>
  <c r="J4741" i="3"/>
  <c r="K4741" i="3" s="1"/>
  <c r="H4741" i="3"/>
  <c r="G4741" i="3"/>
  <c r="M4740" i="3"/>
  <c r="L4740" i="3"/>
  <c r="J4740" i="3"/>
  <c r="K4740" i="3" s="1"/>
  <c r="H4740" i="3"/>
  <c r="G4740" i="3"/>
  <c r="M4739" i="3"/>
  <c r="L4739" i="3"/>
  <c r="J4739" i="3"/>
  <c r="K4739" i="3" s="1"/>
  <c r="H4739" i="3"/>
  <c r="G4739" i="3"/>
  <c r="M4738" i="3"/>
  <c r="L4738" i="3"/>
  <c r="J4738" i="3"/>
  <c r="K4738" i="3" s="1"/>
  <c r="H4738" i="3"/>
  <c r="G4738" i="3"/>
  <c r="M4737" i="3"/>
  <c r="L4737" i="3"/>
  <c r="J4737" i="3"/>
  <c r="K4737" i="3" s="1"/>
  <c r="H4737" i="3"/>
  <c r="G4737" i="3"/>
  <c r="I4737" i="3" s="1"/>
  <c r="M4736" i="3"/>
  <c r="L4736" i="3"/>
  <c r="J4736" i="3"/>
  <c r="K4736" i="3" s="1"/>
  <c r="H4736" i="3"/>
  <c r="I4736" i="3" s="1"/>
  <c r="G4736" i="3"/>
  <c r="M4735" i="3"/>
  <c r="L4735" i="3"/>
  <c r="J4735" i="3"/>
  <c r="K4735" i="3" s="1"/>
  <c r="H4735" i="3"/>
  <c r="G4735" i="3"/>
  <c r="M4734" i="3"/>
  <c r="L4734" i="3"/>
  <c r="J4734" i="3"/>
  <c r="K4734" i="3" s="1"/>
  <c r="H4734" i="3"/>
  <c r="G4734" i="3"/>
  <c r="I4734" i="3" s="1"/>
  <c r="M4733" i="3"/>
  <c r="L4733" i="3"/>
  <c r="J4733" i="3"/>
  <c r="K4733" i="3" s="1"/>
  <c r="H4733" i="3"/>
  <c r="G4733" i="3"/>
  <c r="M4732" i="3"/>
  <c r="L4732" i="3"/>
  <c r="J4732" i="3"/>
  <c r="K4732" i="3" s="1"/>
  <c r="H4732" i="3"/>
  <c r="G4732" i="3"/>
  <c r="I4732" i="3" s="1"/>
  <c r="M4731" i="3"/>
  <c r="L4731" i="3"/>
  <c r="J4731" i="3"/>
  <c r="K4731" i="3" s="1"/>
  <c r="H4731" i="3"/>
  <c r="G4731" i="3"/>
  <c r="M4730" i="3"/>
  <c r="L4730" i="3"/>
  <c r="J4730" i="3"/>
  <c r="K4730" i="3" s="1"/>
  <c r="H4730" i="3"/>
  <c r="G4730" i="3"/>
  <c r="M4921" i="3"/>
  <c r="L4921" i="3"/>
  <c r="J4921" i="3"/>
  <c r="K4921" i="3" s="1"/>
  <c r="H4921" i="3"/>
  <c r="G4921" i="3"/>
  <c r="M4920" i="3"/>
  <c r="L4920" i="3"/>
  <c r="J4920" i="3"/>
  <c r="K4920" i="3" s="1"/>
  <c r="H4920" i="3"/>
  <c r="G4920" i="3"/>
  <c r="M4919" i="3"/>
  <c r="L4919" i="3"/>
  <c r="J4919" i="3"/>
  <c r="K4919" i="3" s="1"/>
  <c r="H4919" i="3"/>
  <c r="I4919" i="3" s="1"/>
  <c r="G4919" i="3"/>
  <c r="M4918" i="3"/>
  <c r="L4918" i="3"/>
  <c r="K4918" i="3"/>
  <c r="J4918" i="3"/>
  <c r="H4918" i="3"/>
  <c r="G4918" i="3"/>
  <c r="M4917" i="3"/>
  <c r="L4917" i="3"/>
  <c r="J4917" i="3"/>
  <c r="K4917" i="3" s="1"/>
  <c r="H4917" i="3"/>
  <c r="G4917" i="3"/>
  <c r="M4916" i="3"/>
  <c r="L4916" i="3"/>
  <c r="J4916" i="3"/>
  <c r="K4916" i="3" s="1"/>
  <c r="H4916" i="3"/>
  <c r="G4916" i="3"/>
  <c r="M4915" i="3"/>
  <c r="L4915" i="3"/>
  <c r="J4915" i="3"/>
  <c r="K4915" i="3" s="1"/>
  <c r="H4915" i="3"/>
  <c r="G4915" i="3"/>
  <c r="M4914" i="3"/>
  <c r="L4914" i="3"/>
  <c r="J4914" i="3"/>
  <c r="K4914" i="3" s="1"/>
  <c r="H4914" i="3"/>
  <c r="G4914" i="3"/>
  <c r="M4913" i="3"/>
  <c r="L4913" i="3"/>
  <c r="J4913" i="3"/>
  <c r="K4913" i="3" s="1"/>
  <c r="H4913" i="3"/>
  <c r="G4913" i="3"/>
  <c r="I4913" i="3" s="1"/>
  <c r="M4912" i="3"/>
  <c r="L4912" i="3"/>
  <c r="J4912" i="3"/>
  <c r="K4912" i="3" s="1"/>
  <c r="H4912" i="3"/>
  <c r="I4912" i="3" s="1"/>
  <c r="G4912" i="3"/>
  <c r="M4911" i="3"/>
  <c r="L4911" i="3"/>
  <c r="J4911" i="3"/>
  <c r="K4911" i="3" s="1"/>
  <c r="H4911" i="3"/>
  <c r="G4911" i="3"/>
  <c r="M4910" i="3"/>
  <c r="L4910" i="3"/>
  <c r="J4910" i="3"/>
  <c r="K4910" i="3" s="1"/>
  <c r="H4910" i="3"/>
  <c r="G4910" i="3"/>
  <c r="I4910" i="3" s="1"/>
  <c r="M4909" i="3"/>
  <c r="L4909" i="3"/>
  <c r="J4909" i="3"/>
  <c r="K4909" i="3" s="1"/>
  <c r="H4909" i="3"/>
  <c r="G4909" i="3"/>
  <c r="M4908" i="3"/>
  <c r="L4908" i="3"/>
  <c r="J4908" i="3"/>
  <c r="K4908" i="3" s="1"/>
  <c r="H4908" i="3"/>
  <c r="G4908" i="3"/>
  <c r="I4908" i="3" s="1"/>
  <c r="M4907" i="3"/>
  <c r="L4907" i="3"/>
  <c r="J4907" i="3"/>
  <c r="K4907" i="3" s="1"/>
  <c r="H4907" i="3"/>
  <c r="G4907" i="3"/>
  <c r="M4906" i="3"/>
  <c r="L4906" i="3"/>
  <c r="J4906" i="3"/>
  <c r="K4906" i="3" s="1"/>
  <c r="H4906" i="3"/>
  <c r="G4906" i="3"/>
  <c r="M4905" i="3"/>
  <c r="L4905" i="3"/>
  <c r="J4905" i="3"/>
  <c r="K4905" i="3" s="1"/>
  <c r="H4905" i="3"/>
  <c r="G4905" i="3"/>
  <c r="M4904" i="3"/>
  <c r="L4904" i="3"/>
  <c r="J4904" i="3"/>
  <c r="K4904" i="3" s="1"/>
  <c r="H4904" i="3"/>
  <c r="G4904" i="3"/>
  <c r="M4903" i="3"/>
  <c r="L4903" i="3"/>
  <c r="J4903" i="3"/>
  <c r="K4903" i="3" s="1"/>
  <c r="H4903" i="3"/>
  <c r="I4903" i="3" s="1"/>
  <c r="G4903" i="3"/>
  <c r="M4902" i="3"/>
  <c r="L4902" i="3"/>
  <c r="K4902" i="3"/>
  <c r="J4902" i="3"/>
  <c r="H4902" i="3"/>
  <c r="G4902" i="3"/>
  <c r="M4901" i="3"/>
  <c r="L4901" i="3"/>
  <c r="J4901" i="3"/>
  <c r="K4901" i="3" s="1"/>
  <c r="H4901" i="3"/>
  <c r="G4901" i="3"/>
  <c r="M4900" i="3"/>
  <c r="L4900" i="3"/>
  <c r="J4900" i="3"/>
  <c r="K4900" i="3" s="1"/>
  <c r="H4900" i="3"/>
  <c r="G4900" i="3"/>
  <c r="M4899" i="3"/>
  <c r="L4899" i="3"/>
  <c r="J4899" i="3"/>
  <c r="K4899" i="3" s="1"/>
  <c r="H4899" i="3"/>
  <c r="G4899" i="3"/>
  <c r="M4898" i="3"/>
  <c r="L4898" i="3"/>
  <c r="J4898" i="3"/>
  <c r="K4898" i="3" s="1"/>
  <c r="H4898" i="3"/>
  <c r="G4898" i="3"/>
  <c r="M4897" i="3"/>
  <c r="L4897" i="3"/>
  <c r="J4897" i="3"/>
  <c r="K4897" i="3" s="1"/>
  <c r="H4897" i="3"/>
  <c r="G4897" i="3"/>
  <c r="I4897" i="3" s="1"/>
  <c r="M4896" i="3"/>
  <c r="L4896" i="3"/>
  <c r="J4896" i="3"/>
  <c r="K4896" i="3" s="1"/>
  <c r="H4896" i="3"/>
  <c r="I4896" i="3" s="1"/>
  <c r="G4896" i="3"/>
  <c r="M4895" i="3"/>
  <c r="L4895" i="3"/>
  <c r="J4895" i="3"/>
  <c r="K4895" i="3" s="1"/>
  <c r="H4895" i="3"/>
  <c r="G4895" i="3"/>
  <c r="M4894" i="3"/>
  <c r="L4894" i="3"/>
  <c r="J4894" i="3"/>
  <c r="K4894" i="3" s="1"/>
  <c r="H4894" i="3"/>
  <c r="G4894" i="3"/>
  <c r="I4894" i="3" s="1"/>
  <c r="M4893" i="3"/>
  <c r="L4893" i="3"/>
  <c r="J4893" i="3"/>
  <c r="K4893" i="3" s="1"/>
  <c r="H4893" i="3"/>
  <c r="G4893" i="3"/>
  <c r="M4892" i="3"/>
  <c r="L4892" i="3"/>
  <c r="J4892" i="3"/>
  <c r="K4892" i="3" s="1"/>
  <c r="H4892" i="3"/>
  <c r="G4892" i="3"/>
  <c r="I4892" i="3" s="1"/>
  <c r="M4891" i="3"/>
  <c r="L4891" i="3"/>
  <c r="J4891" i="3"/>
  <c r="K4891" i="3" s="1"/>
  <c r="H4891" i="3"/>
  <c r="G4891" i="3"/>
  <c r="M4890" i="3"/>
  <c r="L4890" i="3"/>
  <c r="J4890" i="3"/>
  <c r="K4890" i="3" s="1"/>
  <c r="H4890" i="3"/>
  <c r="G4890" i="3"/>
  <c r="M4889" i="3"/>
  <c r="L4889" i="3"/>
  <c r="J4889" i="3"/>
  <c r="K4889" i="3" s="1"/>
  <c r="H4889" i="3"/>
  <c r="G4889" i="3"/>
  <c r="M4888" i="3"/>
  <c r="L4888" i="3"/>
  <c r="J4888" i="3"/>
  <c r="K4888" i="3" s="1"/>
  <c r="H4888" i="3"/>
  <c r="G4888" i="3"/>
  <c r="M4887" i="3"/>
  <c r="L4887" i="3"/>
  <c r="J4887" i="3"/>
  <c r="K4887" i="3" s="1"/>
  <c r="H4887" i="3"/>
  <c r="I4887" i="3" s="1"/>
  <c r="G4887" i="3"/>
  <c r="M4886" i="3"/>
  <c r="L4886" i="3"/>
  <c r="K4886" i="3"/>
  <c r="J4886" i="3"/>
  <c r="H4886" i="3"/>
  <c r="G4886" i="3"/>
  <c r="M4885" i="3"/>
  <c r="L4885" i="3"/>
  <c r="J4885" i="3"/>
  <c r="K4885" i="3" s="1"/>
  <c r="H4885" i="3"/>
  <c r="G4885" i="3"/>
  <c r="M4884" i="3"/>
  <c r="L4884" i="3"/>
  <c r="J4884" i="3"/>
  <c r="K4884" i="3" s="1"/>
  <c r="H4884" i="3"/>
  <c r="G4884" i="3"/>
  <c r="M4883" i="3"/>
  <c r="L4883" i="3"/>
  <c r="J4883" i="3"/>
  <c r="K4883" i="3" s="1"/>
  <c r="H4883" i="3"/>
  <c r="G4883" i="3"/>
  <c r="M4882" i="3"/>
  <c r="L4882" i="3"/>
  <c r="J4882" i="3"/>
  <c r="K4882" i="3" s="1"/>
  <c r="H4882" i="3"/>
  <c r="G4882" i="3"/>
  <c r="M4881" i="3"/>
  <c r="L4881" i="3"/>
  <c r="J4881" i="3"/>
  <c r="K4881" i="3" s="1"/>
  <c r="H4881" i="3"/>
  <c r="G4881" i="3"/>
  <c r="I4881" i="3" s="1"/>
  <c r="M4880" i="3"/>
  <c r="L4880" i="3"/>
  <c r="J4880" i="3"/>
  <c r="K4880" i="3" s="1"/>
  <c r="H4880" i="3"/>
  <c r="I4880" i="3" s="1"/>
  <c r="G4880" i="3"/>
  <c r="M4879" i="3"/>
  <c r="L4879" i="3"/>
  <c r="J4879" i="3"/>
  <c r="K4879" i="3" s="1"/>
  <c r="H4879" i="3"/>
  <c r="G4879" i="3"/>
  <c r="M4878" i="3"/>
  <c r="L4878" i="3"/>
  <c r="J4878" i="3"/>
  <c r="K4878" i="3" s="1"/>
  <c r="H4878" i="3"/>
  <c r="G4878" i="3"/>
  <c r="I4878" i="3" s="1"/>
  <c r="M4877" i="3"/>
  <c r="L4877" i="3"/>
  <c r="J4877" i="3"/>
  <c r="K4877" i="3" s="1"/>
  <c r="H4877" i="3"/>
  <c r="G4877" i="3"/>
  <c r="M4876" i="3"/>
  <c r="L4876" i="3"/>
  <c r="J4876" i="3"/>
  <c r="K4876" i="3" s="1"/>
  <c r="H4876" i="3"/>
  <c r="G4876" i="3"/>
  <c r="I4876" i="3" s="1"/>
  <c r="M4875" i="3"/>
  <c r="L4875" i="3"/>
  <c r="J4875" i="3"/>
  <c r="K4875" i="3" s="1"/>
  <c r="H4875" i="3"/>
  <c r="G4875" i="3"/>
  <c r="M4874" i="3"/>
  <c r="L4874" i="3"/>
  <c r="J4874" i="3"/>
  <c r="K4874" i="3" s="1"/>
  <c r="H4874" i="3"/>
  <c r="G4874" i="3"/>
  <c r="M4873" i="3"/>
  <c r="L4873" i="3"/>
  <c r="J4873" i="3"/>
  <c r="K4873" i="3" s="1"/>
  <c r="H4873" i="3"/>
  <c r="G4873" i="3"/>
  <c r="M4872" i="3"/>
  <c r="L4872" i="3"/>
  <c r="J4872" i="3"/>
  <c r="K4872" i="3" s="1"/>
  <c r="H4872" i="3"/>
  <c r="G4872" i="3"/>
  <c r="M4871" i="3"/>
  <c r="L4871" i="3"/>
  <c r="J4871" i="3"/>
  <c r="K4871" i="3" s="1"/>
  <c r="H4871" i="3"/>
  <c r="I4871" i="3" s="1"/>
  <c r="G4871" i="3"/>
  <c r="M4870" i="3"/>
  <c r="L4870" i="3"/>
  <c r="K4870" i="3"/>
  <c r="J4870" i="3"/>
  <c r="H4870" i="3"/>
  <c r="G4870" i="3"/>
  <c r="M4869" i="3"/>
  <c r="L4869" i="3"/>
  <c r="J4869" i="3"/>
  <c r="K4869" i="3" s="1"/>
  <c r="H4869" i="3"/>
  <c r="G4869" i="3"/>
  <c r="M4868" i="3"/>
  <c r="L4868" i="3"/>
  <c r="J4868" i="3"/>
  <c r="K4868" i="3" s="1"/>
  <c r="H4868" i="3"/>
  <c r="G4868" i="3"/>
  <c r="M4867" i="3"/>
  <c r="L4867" i="3"/>
  <c r="J4867" i="3"/>
  <c r="K4867" i="3" s="1"/>
  <c r="H4867" i="3"/>
  <c r="G4867" i="3"/>
  <c r="M4866" i="3"/>
  <c r="L4866" i="3"/>
  <c r="J4866" i="3"/>
  <c r="K4866" i="3" s="1"/>
  <c r="H4866" i="3"/>
  <c r="G4866" i="3"/>
  <c r="M4865" i="3"/>
  <c r="L4865" i="3"/>
  <c r="J4865" i="3"/>
  <c r="K4865" i="3" s="1"/>
  <c r="H4865" i="3"/>
  <c r="G4865" i="3"/>
  <c r="I4865" i="3" s="1"/>
  <c r="M4864" i="3"/>
  <c r="L4864" i="3"/>
  <c r="J4864" i="3"/>
  <c r="K4864" i="3" s="1"/>
  <c r="H4864" i="3"/>
  <c r="I4864" i="3" s="1"/>
  <c r="G4864" i="3"/>
  <c r="M4863" i="3"/>
  <c r="L4863" i="3"/>
  <c r="J4863" i="3"/>
  <c r="K4863" i="3" s="1"/>
  <c r="H4863" i="3"/>
  <c r="G4863" i="3"/>
  <c r="M4862" i="3"/>
  <c r="L4862" i="3"/>
  <c r="J4862" i="3"/>
  <c r="K4862" i="3" s="1"/>
  <c r="H4862" i="3"/>
  <c r="G4862" i="3"/>
  <c r="I4862" i="3" s="1"/>
  <c r="M4861" i="3"/>
  <c r="L4861" i="3"/>
  <c r="J4861" i="3"/>
  <c r="K4861" i="3" s="1"/>
  <c r="H4861" i="3"/>
  <c r="G4861" i="3"/>
  <c r="M4860" i="3"/>
  <c r="L4860" i="3"/>
  <c r="J4860" i="3"/>
  <c r="K4860" i="3" s="1"/>
  <c r="H4860" i="3"/>
  <c r="G4860" i="3"/>
  <c r="I4860" i="3" s="1"/>
  <c r="M4859" i="3"/>
  <c r="L4859" i="3"/>
  <c r="J4859" i="3"/>
  <c r="K4859" i="3" s="1"/>
  <c r="H4859" i="3"/>
  <c r="G4859" i="3"/>
  <c r="M4858" i="3"/>
  <c r="L4858" i="3"/>
  <c r="J4858" i="3"/>
  <c r="K4858" i="3" s="1"/>
  <c r="H4858" i="3"/>
  <c r="G4858" i="3"/>
  <c r="M4857" i="3"/>
  <c r="L4857" i="3"/>
  <c r="J4857" i="3"/>
  <c r="K4857" i="3" s="1"/>
  <c r="H4857" i="3"/>
  <c r="G4857" i="3"/>
  <c r="M4856" i="3"/>
  <c r="L4856" i="3"/>
  <c r="J4856" i="3"/>
  <c r="K4856" i="3" s="1"/>
  <c r="H4856" i="3"/>
  <c r="G4856" i="3"/>
  <c r="M4855" i="3"/>
  <c r="L4855" i="3"/>
  <c r="J4855" i="3"/>
  <c r="K4855" i="3" s="1"/>
  <c r="H4855" i="3"/>
  <c r="I4855" i="3" s="1"/>
  <c r="G4855" i="3"/>
  <c r="M4854" i="3"/>
  <c r="L4854" i="3"/>
  <c r="K4854" i="3"/>
  <c r="J4854" i="3"/>
  <c r="H4854" i="3"/>
  <c r="G4854" i="3"/>
  <c r="M4853" i="3"/>
  <c r="L4853" i="3"/>
  <c r="J4853" i="3"/>
  <c r="K4853" i="3" s="1"/>
  <c r="H4853" i="3"/>
  <c r="G4853" i="3"/>
  <c r="M4852" i="3"/>
  <c r="L4852" i="3"/>
  <c r="J4852" i="3"/>
  <c r="K4852" i="3" s="1"/>
  <c r="H4852" i="3"/>
  <c r="G4852" i="3"/>
  <c r="M4851" i="3"/>
  <c r="L4851" i="3"/>
  <c r="J4851" i="3"/>
  <c r="K4851" i="3" s="1"/>
  <c r="H4851" i="3"/>
  <c r="G4851" i="3"/>
  <c r="M4850" i="3"/>
  <c r="L4850" i="3"/>
  <c r="J4850" i="3"/>
  <c r="K4850" i="3" s="1"/>
  <c r="H4850" i="3"/>
  <c r="G4850" i="3"/>
  <c r="M4849" i="3"/>
  <c r="L4849" i="3"/>
  <c r="J4849" i="3"/>
  <c r="K4849" i="3" s="1"/>
  <c r="H4849" i="3"/>
  <c r="G4849" i="3"/>
  <c r="I4849" i="3" s="1"/>
  <c r="M4848" i="3"/>
  <c r="L4848" i="3"/>
  <c r="J4848" i="3"/>
  <c r="K4848" i="3" s="1"/>
  <c r="H4848" i="3"/>
  <c r="I4848" i="3" s="1"/>
  <c r="G4848" i="3"/>
  <c r="M4847" i="3"/>
  <c r="L4847" i="3"/>
  <c r="J4847" i="3"/>
  <c r="K4847" i="3" s="1"/>
  <c r="H4847" i="3"/>
  <c r="G4847" i="3"/>
  <c r="M4846" i="3"/>
  <c r="L4846" i="3"/>
  <c r="J4846" i="3"/>
  <c r="K4846" i="3" s="1"/>
  <c r="H4846" i="3"/>
  <c r="G4846" i="3"/>
  <c r="I4846" i="3" s="1"/>
  <c r="M4845" i="3"/>
  <c r="L4845" i="3"/>
  <c r="J4845" i="3"/>
  <c r="K4845" i="3" s="1"/>
  <c r="H4845" i="3"/>
  <c r="G4845" i="3"/>
  <c r="M4844" i="3"/>
  <c r="L4844" i="3"/>
  <c r="J4844" i="3"/>
  <c r="K4844" i="3" s="1"/>
  <c r="H4844" i="3"/>
  <c r="G4844" i="3"/>
  <c r="I4844" i="3" s="1"/>
  <c r="M4843" i="3"/>
  <c r="L4843" i="3"/>
  <c r="J4843" i="3"/>
  <c r="K4843" i="3" s="1"/>
  <c r="H4843" i="3"/>
  <c r="G4843" i="3"/>
  <c r="M4842" i="3"/>
  <c r="L4842" i="3"/>
  <c r="J4842" i="3"/>
  <c r="K4842" i="3" s="1"/>
  <c r="H4842" i="3"/>
  <c r="G4842" i="3"/>
  <c r="M4841" i="3"/>
  <c r="L4841" i="3"/>
  <c r="J4841" i="3"/>
  <c r="K4841" i="3" s="1"/>
  <c r="H4841" i="3"/>
  <c r="G4841" i="3"/>
  <c r="M4840" i="3"/>
  <c r="L4840" i="3"/>
  <c r="J4840" i="3"/>
  <c r="K4840" i="3" s="1"/>
  <c r="H4840" i="3"/>
  <c r="G4840" i="3"/>
  <c r="M4839" i="3"/>
  <c r="L4839" i="3"/>
  <c r="J4839" i="3"/>
  <c r="K4839" i="3" s="1"/>
  <c r="H4839" i="3"/>
  <c r="I4839" i="3" s="1"/>
  <c r="G4839" i="3"/>
  <c r="M4838" i="3"/>
  <c r="L4838" i="3"/>
  <c r="K4838" i="3"/>
  <c r="J4838" i="3"/>
  <c r="H4838" i="3"/>
  <c r="G4838" i="3"/>
  <c r="M4837" i="3"/>
  <c r="L4837" i="3"/>
  <c r="J4837" i="3"/>
  <c r="K4837" i="3" s="1"/>
  <c r="H4837" i="3"/>
  <c r="G4837" i="3"/>
  <c r="M4836" i="3"/>
  <c r="L4836" i="3"/>
  <c r="J4836" i="3"/>
  <c r="K4836" i="3" s="1"/>
  <c r="H4836" i="3"/>
  <c r="G4836" i="3"/>
  <c r="M4835" i="3"/>
  <c r="L4835" i="3"/>
  <c r="J4835" i="3"/>
  <c r="K4835" i="3" s="1"/>
  <c r="H4835" i="3"/>
  <c r="G4835" i="3"/>
  <c r="M4834" i="3"/>
  <c r="L4834" i="3"/>
  <c r="J4834" i="3"/>
  <c r="K4834" i="3" s="1"/>
  <c r="H4834" i="3"/>
  <c r="G4834" i="3"/>
  <c r="M4833" i="3"/>
  <c r="L4833" i="3"/>
  <c r="J4833" i="3"/>
  <c r="K4833" i="3" s="1"/>
  <c r="H4833" i="3"/>
  <c r="G4833" i="3"/>
  <c r="I4833" i="3" s="1"/>
  <c r="M4832" i="3"/>
  <c r="L4832" i="3"/>
  <c r="J4832" i="3"/>
  <c r="K4832" i="3" s="1"/>
  <c r="H4832" i="3"/>
  <c r="I4832" i="3" s="1"/>
  <c r="G4832" i="3"/>
  <c r="M4831" i="3"/>
  <c r="L4831" i="3"/>
  <c r="J4831" i="3"/>
  <c r="K4831" i="3" s="1"/>
  <c r="H4831" i="3"/>
  <c r="G4831" i="3"/>
  <c r="M4830" i="3"/>
  <c r="L4830" i="3"/>
  <c r="J4830" i="3"/>
  <c r="K4830" i="3" s="1"/>
  <c r="H4830" i="3"/>
  <c r="G4830" i="3"/>
  <c r="I4830" i="3" s="1"/>
  <c r="M4829" i="3"/>
  <c r="L4829" i="3"/>
  <c r="J4829" i="3"/>
  <c r="K4829" i="3" s="1"/>
  <c r="H4829" i="3"/>
  <c r="G4829" i="3"/>
  <c r="M4828" i="3"/>
  <c r="L4828" i="3"/>
  <c r="J4828" i="3"/>
  <c r="K4828" i="3" s="1"/>
  <c r="H4828" i="3"/>
  <c r="G4828" i="3"/>
  <c r="I4828" i="3" s="1"/>
  <c r="M4827" i="3"/>
  <c r="L4827" i="3"/>
  <c r="J4827" i="3"/>
  <c r="K4827" i="3" s="1"/>
  <c r="H4827" i="3"/>
  <c r="G4827" i="3"/>
  <c r="M4826" i="3"/>
  <c r="L4826" i="3"/>
  <c r="J4826" i="3"/>
  <c r="K4826" i="3" s="1"/>
  <c r="H4826" i="3"/>
  <c r="G4826" i="3"/>
  <c r="M5017" i="3"/>
  <c r="L5017" i="3"/>
  <c r="J5017" i="3"/>
  <c r="K5017" i="3" s="1"/>
  <c r="H5017" i="3"/>
  <c r="G5017" i="3"/>
  <c r="M5016" i="3"/>
  <c r="L5016" i="3"/>
  <c r="J5016" i="3"/>
  <c r="K5016" i="3" s="1"/>
  <c r="H5016" i="3"/>
  <c r="G5016" i="3"/>
  <c r="I5016" i="3" s="1"/>
  <c r="M5015" i="3"/>
  <c r="L5015" i="3"/>
  <c r="K5015" i="3"/>
  <c r="J5015" i="3"/>
  <c r="H5015" i="3"/>
  <c r="G5015" i="3"/>
  <c r="M5014" i="3"/>
  <c r="L5014" i="3"/>
  <c r="J5014" i="3"/>
  <c r="K5014" i="3" s="1"/>
  <c r="H5014" i="3"/>
  <c r="G5014" i="3"/>
  <c r="M5013" i="3"/>
  <c r="L5013" i="3"/>
  <c r="J5013" i="3"/>
  <c r="K5013" i="3" s="1"/>
  <c r="H5013" i="3"/>
  <c r="G5013" i="3"/>
  <c r="M5012" i="3"/>
  <c r="L5012" i="3"/>
  <c r="J5012" i="3"/>
  <c r="K5012" i="3" s="1"/>
  <c r="H5012" i="3"/>
  <c r="G5012" i="3"/>
  <c r="I5012" i="3" s="1"/>
  <c r="M5011" i="3"/>
  <c r="L5011" i="3"/>
  <c r="K5011" i="3"/>
  <c r="J5011" i="3"/>
  <c r="H5011" i="3"/>
  <c r="G5011" i="3"/>
  <c r="M5010" i="3"/>
  <c r="L5010" i="3"/>
  <c r="J5010" i="3"/>
  <c r="K5010" i="3" s="1"/>
  <c r="H5010" i="3"/>
  <c r="G5010" i="3"/>
  <c r="M5009" i="3"/>
  <c r="L5009" i="3"/>
  <c r="J5009" i="3"/>
  <c r="K5009" i="3" s="1"/>
  <c r="H5009" i="3"/>
  <c r="G5009" i="3"/>
  <c r="M5008" i="3"/>
  <c r="L5008" i="3"/>
  <c r="J5008" i="3"/>
  <c r="K5008" i="3" s="1"/>
  <c r="H5008" i="3"/>
  <c r="G5008" i="3"/>
  <c r="I5008" i="3" s="1"/>
  <c r="M5007" i="3"/>
  <c r="L5007" i="3"/>
  <c r="J5007" i="3"/>
  <c r="K5007" i="3" s="1"/>
  <c r="H5007" i="3"/>
  <c r="G5007" i="3"/>
  <c r="M5006" i="3"/>
  <c r="L5006" i="3"/>
  <c r="K5006" i="3"/>
  <c r="J5006" i="3"/>
  <c r="H5006" i="3"/>
  <c r="G5006" i="3"/>
  <c r="M5005" i="3"/>
  <c r="L5005" i="3"/>
  <c r="J5005" i="3"/>
  <c r="K5005" i="3" s="1"/>
  <c r="H5005" i="3"/>
  <c r="G5005" i="3"/>
  <c r="M5004" i="3"/>
  <c r="L5004" i="3"/>
  <c r="J5004" i="3"/>
  <c r="K5004" i="3" s="1"/>
  <c r="H5004" i="3"/>
  <c r="G5004" i="3"/>
  <c r="M5003" i="3"/>
  <c r="L5003" i="3"/>
  <c r="J5003" i="3"/>
  <c r="K5003" i="3" s="1"/>
  <c r="H5003" i="3"/>
  <c r="G5003" i="3"/>
  <c r="M5002" i="3"/>
  <c r="L5002" i="3"/>
  <c r="J5002" i="3"/>
  <c r="K5002" i="3" s="1"/>
  <c r="H5002" i="3"/>
  <c r="G5002" i="3"/>
  <c r="I5002" i="3" s="1"/>
  <c r="M5001" i="3"/>
  <c r="L5001" i="3"/>
  <c r="J5001" i="3"/>
  <c r="K5001" i="3" s="1"/>
  <c r="H5001" i="3"/>
  <c r="I5001" i="3" s="1"/>
  <c r="G5001" i="3"/>
  <c r="M5000" i="3"/>
  <c r="L5000" i="3"/>
  <c r="J5000" i="3"/>
  <c r="K5000" i="3" s="1"/>
  <c r="H5000" i="3"/>
  <c r="G5000" i="3"/>
  <c r="I5000" i="3" s="1"/>
  <c r="M4999" i="3"/>
  <c r="L4999" i="3"/>
  <c r="J4999" i="3"/>
  <c r="K4999" i="3" s="1"/>
  <c r="H4999" i="3"/>
  <c r="G4999" i="3"/>
  <c r="M4998" i="3"/>
  <c r="L4998" i="3"/>
  <c r="K4998" i="3"/>
  <c r="J4998" i="3"/>
  <c r="H4998" i="3"/>
  <c r="G4998" i="3"/>
  <c r="M4997" i="3"/>
  <c r="L4997" i="3"/>
  <c r="J4997" i="3"/>
  <c r="K4997" i="3" s="1"/>
  <c r="H4997" i="3"/>
  <c r="G4997" i="3"/>
  <c r="M4996" i="3"/>
  <c r="L4996" i="3"/>
  <c r="J4996" i="3"/>
  <c r="K4996" i="3" s="1"/>
  <c r="H4996" i="3"/>
  <c r="G4996" i="3"/>
  <c r="M4995" i="3"/>
  <c r="L4995" i="3"/>
  <c r="J4995" i="3"/>
  <c r="K4995" i="3" s="1"/>
  <c r="H4995" i="3"/>
  <c r="G4995" i="3"/>
  <c r="M4994" i="3"/>
  <c r="L4994" i="3"/>
  <c r="J4994" i="3"/>
  <c r="K4994" i="3" s="1"/>
  <c r="H4994" i="3"/>
  <c r="G4994" i="3"/>
  <c r="I4994" i="3" s="1"/>
  <c r="M4993" i="3"/>
  <c r="L4993" i="3"/>
  <c r="J4993" i="3"/>
  <c r="K4993" i="3" s="1"/>
  <c r="H4993" i="3"/>
  <c r="I4993" i="3" s="1"/>
  <c r="G4993" i="3"/>
  <c r="M4992" i="3"/>
  <c r="L4992" i="3"/>
  <c r="J4992" i="3"/>
  <c r="K4992" i="3" s="1"/>
  <c r="H4992" i="3"/>
  <c r="G4992" i="3"/>
  <c r="I4992" i="3" s="1"/>
  <c r="M4991" i="3"/>
  <c r="L4991" i="3"/>
  <c r="J4991" i="3"/>
  <c r="K4991" i="3" s="1"/>
  <c r="H4991" i="3"/>
  <c r="G4991" i="3"/>
  <c r="M4990" i="3"/>
  <c r="L4990" i="3"/>
  <c r="K4990" i="3"/>
  <c r="J4990" i="3"/>
  <c r="H4990" i="3"/>
  <c r="G4990" i="3"/>
  <c r="M4989" i="3"/>
  <c r="L4989" i="3"/>
  <c r="J4989" i="3"/>
  <c r="K4989" i="3" s="1"/>
  <c r="H4989" i="3"/>
  <c r="G4989" i="3"/>
  <c r="M4988" i="3"/>
  <c r="L4988" i="3"/>
  <c r="J4988" i="3"/>
  <c r="K4988" i="3" s="1"/>
  <c r="H4988" i="3"/>
  <c r="G4988" i="3"/>
  <c r="M4987" i="3"/>
  <c r="L4987" i="3"/>
  <c r="J4987" i="3"/>
  <c r="K4987" i="3" s="1"/>
  <c r="H4987" i="3"/>
  <c r="G4987" i="3"/>
  <c r="M4986" i="3"/>
  <c r="L4986" i="3"/>
  <c r="J4986" i="3"/>
  <c r="K4986" i="3" s="1"/>
  <c r="H4986" i="3"/>
  <c r="G4986" i="3"/>
  <c r="I4986" i="3" s="1"/>
  <c r="M4985" i="3"/>
  <c r="L4985" i="3"/>
  <c r="J4985" i="3"/>
  <c r="K4985" i="3" s="1"/>
  <c r="H4985" i="3"/>
  <c r="I4985" i="3" s="1"/>
  <c r="G4985" i="3"/>
  <c r="M4984" i="3"/>
  <c r="L4984" i="3"/>
  <c r="J4984" i="3"/>
  <c r="K4984" i="3" s="1"/>
  <c r="H4984" i="3"/>
  <c r="G4984" i="3"/>
  <c r="I4984" i="3" s="1"/>
  <c r="M4983" i="3"/>
  <c r="L4983" i="3"/>
  <c r="J4983" i="3"/>
  <c r="K4983" i="3" s="1"/>
  <c r="H4983" i="3"/>
  <c r="G4983" i="3"/>
  <c r="M4982" i="3"/>
  <c r="L4982" i="3"/>
  <c r="K4982" i="3"/>
  <c r="J4982" i="3"/>
  <c r="H4982" i="3"/>
  <c r="G4982" i="3"/>
  <c r="M4981" i="3"/>
  <c r="L4981" i="3"/>
  <c r="J4981" i="3"/>
  <c r="K4981" i="3" s="1"/>
  <c r="H4981" i="3"/>
  <c r="G4981" i="3"/>
  <c r="M4980" i="3"/>
  <c r="L4980" i="3"/>
  <c r="J4980" i="3"/>
  <c r="K4980" i="3" s="1"/>
  <c r="H4980" i="3"/>
  <c r="G4980" i="3"/>
  <c r="M4979" i="3"/>
  <c r="L4979" i="3"/>
  <c r="J4979" i="3"/>
  <c r="K4979" i="3" s="1"/>
  <c r="H4979" i="3"/>
  <c r="G4979" i="3"/>
  <c r="M4978" i="3"/>
  <c r="L4978" i="3"/>
  <c r="J4978" i="3"/>
  <c r="K4978" i="3" s="1"/>
  <c r="H4978" i="3"/>
  <c r="G4978" i="3"/>
  <c r="I4978" i="3" s="1"/>
  <c r="M4977" i="3"/>
  <c r="L4977" i="3"/>
  <c r="J4977" i="3"/>
  <c r="K4977" i="3" s="1"/>
  <c r="H4977" i="3"/>
  <c r="I4977" i="3" s="1"/>
  <c r="G4977" i="3"/>
  <c r="M4976" i="3"/>
  <c r="L4976" i="3"/>
  <c r="J4976" i="3"/>
  <c r="K4976" i="3" s="1"/>
  <c r="H4976" i="3"/>
  <c r="G4976" i="3"/>
  <c r="I4976" i="3" s="1"/>
  <c r="M4975" i="3"/>
  <c r="L4975" i="3"/>
  <c r="J4975" i="3"/>
  <c r="K4975" i="3" s="1"/>
  <c r="H4975" i="3"/>
  <c r="G4975" i="3"/>
  <c r="M4974" i="3"/>
  <c r="L4974" i="3"/>
  <c r="K4974" i="3"/>
  <c r="J4974" i="3"/>
  <c r="H4974" i="3"/>
  <c r="G4974" i="3"/>
  <c r="M4973" i="3"/>
  <c r="L4973" i="3"/>
  <c r="J4973" i="3"/>
  <c r="K4973" i="3" s="1"/>
  <c r="H4973" i="3"/>
  <c r="G4973" i="3"/>
  <c r="M4972" i="3"/>
  <c r="L4972" i="3"/>
  <c r="J4972" i="3"/>
  <c r="K4972" i="3" s="1"/>
  <c r="H4972" i="3"/>
  <c r="G4972" i="3"/>
  <c r="M4971" i="3"/>
  <c r="L4971" i="3"/>
  <c r="J4971" i="3"/>
  <c r="K4971" i="3" s="1"/>
  <c r="H4971" i="3"/>
  <c r="G4971" i="3"/>
  <c r="M4970" i="3"/>
  <c r="L4970" i="3"/>
  <c r="J4970" i="3"/>
  <c r="K4970" i="3" s="1"/>
  <c r="H4970" i="3"/>
  <c r="G4970" i="3"/>
  <c r="I4970" i="3" s="1"/>
  <c r="M4969" i="3"/>
  <c r="L4969" i="3"/>
  <c r="J4969" i="3"/>
  <c r="K4969" i="3" s="1"/>
  <c r="H4969" i="3"/>
  <c r="I4969" i="3" s="1"/>
  <c r="G4969" i="3"/>
  <c r="M4968" i="3"/>
  <c r="L4968" i="3"/>
  <c r="J4968" i="3"/>
  <c r="K4968" i="3" s="1"/>
  <c r="H4968" i="3"/>
  <c r="G4968" i="3"/>
  <c r="I4968" i="3" s="1"/>
  <c r="M4967" i="3"/>
  <c r="L4967" i="3"/>
  <c r="J4967" i="3"/>
  <c r="K4967" i="3" s="1"/>
  <c r="H4967" i="3"/>
  <c r="G4967" i="3"/>
  <c r="M4966" i="3"/>
  <c r="L4966" i="3"/>
  <c r="K4966" i="3"/>
  <c r="J4966" i="3"/>
  <c r="H4966" i="3"/>
  <c r="G4966" i="3"/>
  <c r="M4965" i="3"/>
  <c r="L4965" i="3"/>
  <c r="J4965" i="3"/>
  <c r="K4965" i="3" s="1"/>
  <c r="H4965" i="3"/>
  <c r="G4965" i="3"/>
  <c r="M4964" i="3"/>
  <c r="L4964" i="3"/>
  <c r="J4964" i="3"/>
  <c r="K4964" i="3" s="1"/>
  <c r="H4964" i="3"/>
  <c r="G4964" i="3"/>
  <c r="M4963" i="3"/>
  <c r="L4963" i="3"/>
  <c r="J4963" i="3"/>
  <c r="K4963" i="3" s="1"/>
  <c r="H4963" i="3"/>
  <c r="G4963" i="3"/>
  <c r="M4962" i="3"/>
  <c r="L4962" i="3"/>
  <c r="J4962" i="3"/>
  <c r="K4962" i="3" s="1"/>
  <c r="H4962" i="3"/>
  <c r="G4962" i="3"/>
  <c r="I4962" i="3" s="1"/>
  <c r="M4961" i="3"/>
  <c r="L4961" i="3"/>
  <c r="J4961" i="3"/>
  <c r="K4961" i="3" s="1"/>
  <c r="H4961" i="3"/>
  <c r="I4961" i="3" s="1"/>
  <c r="G4961" i="3"/>
  <c r="M4960" i="3"/>
  <c r="L4960" i="3"/>
  <c r="J4960" i="3"/>
  <c r="K4960" i="3" s="1"/>
  <c r="H4960" i="3"/>
  <c r="G4960" i="3"/>
  <c r="I4960" i="3" s="1"/>
  <c r="M4959" i="3"/>
  <c r="L4959" i="3"/>
  <c r="J4959" i="3"/>
  <c r="K4959" i="3" s="1"/>
  <c r="H4959" i="3"/>
  <c r="G4959" i="3"/>
  <c r="M4958" i="3"/>
  <c r="L4958" i="3"/>
  <c r="K4958" i="3"/>
  <c r="J4958" i="3"/>
  <c r="H4958" i="3"/>
  <c r="G4958" i="3"/>
  <c r="M4957" i="3"/>
  <c r="L4957" i="3"/>
  <c r="J4957" i="3"/>
  <c r="K4957" i="3" s="1"/>
  <c r="H4957" i="3"/>
  <c r="G4957" i="3"/>
  <c r="M4956" i="3"/>
  <c r="L4956" i="3"/>
  <c r="J4956" i="3"/>
  <c r="K4956" i="3" s="1"/>
  <c r="H4956" i="3"/>
  <c r="G4956" i="3"/>
  <c r="M4955" i="3"/>
  <c r="L4955" i="3"/>
  <c r="J4955" i="3"/>
  <c r="K4955" i="3" s="1"/>
  <c r="H4955" i="3"/>
  <c r="G4955" i="3"/>
  <c r="M4954" i="3"/>
  <c r="L4954" i="3"/>
  <c r="J4954" i="3"/>
  <c r="K4954" i="3" s="1"/>
  <c r="H4954" i="3"/>
  <c r="G4954" i="3"/>
  <c r="I4954" i="3" s="1"/>
  <c r="M4953" i="3"/>
  <c r="L4953" i="3"/>
  <c r="J4953" i="3"/>
  <c r="K4953" i="3" s="1"/>
  <c r="H4953" i="3"/>
  <c r="I4953" i="3" s="1"/>
  <c r="G4953" i="3"/>
  <c r="M4952" i="3"/>
  <c r="L4952" i="3"/>
  <c r="J4952" i="3"/>
  <c r="K4952" i="3" s="1"/>
  <c r="H4952" i="3"/>
  <c r="G4952" i="3"/>
  <c r="I4952" i="3" s="1"/>
  <c r="M4951" i="3"/>
  <c r="L4951" i="3"/>
  <c r="J4951" i="3"/>
  <c r="K4951" i="3" s="1"/>
  <c r="H4951" i="3"/>
  <c r="G4951" i="3"/>
  <c r="M4950" i="3"/>
  <c r="L4950" i="3"/>
  <c r="K4950" i="3"/>
  <c r="J4950" i="3"/>
  <c r="H4950" i="3"/>
  <c r="G4950" i="3"/>
  <c r="M4949" i="3"/>
  <c r="L4949" i="3"/>
  <c r="J4949" i="3"/>
  <c r="K4949" i="3" s="1"/>
  <c r="H4949" i="3"/>
  <c r="G4949" i="3"/>
  <c r="M4948" i="3"/>
  <c r="L4948" i="3"/>
  <c r="J4948" i="3"/>
  <c r="K4948" i="3" s="1"/>
  <c r="H4948" i="3"/>
  <c r="G4948" i="3"/>
  <c r="M4947" i="3"/>
  <c r="L4947" i="3"/>
  <c r="J4947" i="3"/>
  <c r="K4947" i="3" s="1"/>
  <c r="H4947" i="3"/>
  <c r="G4947" i="3"/>
  <c r="M4946" i="3"/>
  <c r="L4946" i="3"/>
  <c r="J4946" i="3"/>
  <c r="K4946" i="3" s="1"/>
  <c r="H4946" i="3"/>
  <c r="G4946" i="3"/>
  <c r="I4946" i="3" s="1"/>
  <c r="M4945" i="3"/>
  <c r="L4945" i="3"/>
  <c r="J4945" i="3"/>
  <c r="K4945" i="3" s="1"/>
  <c r="H4945" i="3"/>
  <c r="I4945" i="3" s="1"/>
  <c r="G4945" i="3"/>
  <c r="M4944" i="3"/>
  <c r="L4944" i="3"/>
  <c r="J4944" i="3"/>
  <c r="K4944" i="3" s="1"/>
  <c r="H4944" i="3"/>
  <c r="G4944" i="3"/>
  <c r="I4944" i="3" s="1"/>
  <c r="M4943" i="3"/>
  <c r="L4943" i="3"/>
  <c r="J4943" i="3"/>
  <c r="K4943" i="3" s="1"/>
  <c r="H4943" i="3"/>
  <c r="G4943" i="3"/>
  <c r="M4942" i="3"/>
  <c r="L4942" i="3"/>
  <c r="K4942" i="3"/>
  <c r="J4942" i="3"/>
  <c r="H4942" i="3"/>
  <c r="G4942" i="3"/>
  <c r="M4941" i="3"/>
  <c r="L4941" i="3"/>
  <c r="J4941" i="3"/>
  <c r="K4941" i="3" s="1"/>
  <c r="H4941" i="3"/>
  <c r="G4941" i="3"/>
  <c r="M4940" i="3"/>
  <c r="L4940" i="3"/>
  <c r="J4940" i="3"/>
  <c r="K4940" i="3" s="1"/>
  <c r="H4940" i="3"/>
  <c r="G4940" i="3"/>
  <c r="M4939" i="3"/>
  <c r="L4939" i="3"/>
  <c r="J4939" i="3"/>
  <c r="K4939" i="3" s="1"/>
  <c r="H4939" i="3"/>
  <c r="G4939" i="3"/>
  <c r="M4938" i="3"/>
  <c r="L4938" i="3"/>
  <c r="J4938" i="3"/>
  <c r="K4938" i="3" s="1"/>
  <c r="H4938" i="3"/>
  <c r="G4938" i="3"/>
  <c r="I4938" i="3" s="1"/>
  <c r="M4937" i="3"/>
  <c r="L4937" i="3"/>
  <c r="J4937" i="3"/>
  <c r="K4937" i="3" s="1"/>
  <c r="H4937" i="3"/>
  <c r="I4937" i="3" s="1"/>
  <c r="G4937" i="3"/>
  <c r="M4936" i="3"/>
  <c r="L4936" i="3"/>
  <c r="J4936" i="3"/>
  <c r="K4936" i="3" s="1"/>
  <c r="H4936" i="3"/>
  <c r="G4936" i="3"/>
  <c r="I4936" i="3" s="1"/>
  <c r="M4935" i="3"/>
  <c r="L4935" i="3"/>
  <c r="J4935" i="3"/>
  <c r="K4935" i="3" s="1"/>
  <c r="H4935" i="3"/>
  <c r="G4935" i="3"/>
  <c r="M4934" i="3"/>
  <c r="L4934" i="3"/>
  <c r="K4934" i="3"/>
  <c r="J4934" i="3"/>
  <c r="H4934" i="3"/>
  <c r="G4934" i="3"/>
  <c r="M4933" i="3"/>
  <c r="L4933" i="3"/>
  <c r="J4933" i="3"/>
  <c r="K4933" i="3" s="1"/>
  <c r="H4933" i="3"/>
  <c r="G4933" i="3"/>
  <c r="M4932" i="3"/>
  <c r="L4932" i="3"/>
  <c r="J4932" i="3"/>
  <c r="K4932" i="3" s="1"/>
  <c r="H4932" i="3"/>
  <c r="G4932" i="3"/>
  <c r="M4931" i="3"/>
  <c r="L4931" i="3"/>
  <c r="J4931" i="3"/>
  <c r="K4931" i="3" s="1"/>
  <c r="H4931" i="3"/>
  <c r="G4931" i="3"/>
  <c r="M4930" i="3"/>
  <c r="L4930" i="3"/>
  <c r="J4930" i="3"/>
  <c r="K4930" i="3" s="1"/>
  <c r="H4930" i="3"/>
  <c r="G4930" i="3"/>
  <c r="I4930" i="3" s="1"/>
  <c r="M4929" i="3"/>
  <c r="L4929" i="3"/>
  <c r="J4929" i="3"/>
  <c r="K4929" i="3" s="1"/>
  <c r="H4929" i="3"/>
  <c r="I4929" i="3" s="1"/>
  <c r="G4929" i="3"/>
  <c r="M4928" i="3"/>
  <c r="L4928" i="3"/>
  <c r="J4928" i="3"/>
  <c r="K4928" i="3" s="1"/>
  <c r="H4928" i="3"/>
  <c r="G4928" i="3"/>
  <c r="I4928" i="3" s="1"/>
  <c r="M4927" i="3"/>
  <c r="L4927" i="3"/>
  <c r="J4927" i="3"/>
  <c r="K4927" i="3" s="1"/>
  <c r="H4927" i="3"/>
  <c r="G4927" i="3"/>
  <c r="M4926" i="3"/>
  <c r="L4926" i="3"/>
  <c r="K4926" i="3"/>
  <c r="J4926" i="3"/>
  <c r="H4926" i="3"/>
  <c r="G4926" i="3"/>
  <c r="M4925" i="3"/>
  <c r="L4925" i="3"/>
  <c r="J4925" i="3"/>
  <c r="K4925" i="3" s="1"/>
  <c r="H4925" i="3"/>
  <c r="G4925" i="3"/>
  <c r="M4924" i="3"/>
  <c r="L4924" i="3"/>
  <c r="J4924" i="3"/>
  <c r="K4924" i="3" s="1"/>
  <c r="H4924" i="3"/>
  <c r="G4924" i="3"/>
  <c r="M4923" i="3"/>
  <c r="L4923" i="3"/>
  <c r="J4923" i="3"/>
  <c r="K4923" i="3" s="1"/>
  <c r="H4923" i="3"/>
  <c r="G4923" i="3"/>
  <c r="M4922" i="3"/>
  <c r="L4922" i="3"/>
  <c r="J4922" i="3"/>
  <c r="K4922" i="3" s="1"/>
  <c r="H4922" i="3"/>
  <c r="G4922" i="3"/>
  <c r="I4922" i="3" s="1"/>
  <c r="M5113" i="3"/>
  <c r="L5113" i="3"/>
  <c r="J5113" i="3"/>
  <c r="K5113" i="3" s="1"/>
  <c r="H5113" i="3"/>
  <c r="G5113" i="3"/>
  <c r="M5112" i="3"/>
  <c r="L5112" i="3"/>
  <c r="J5112" i="3"/>
  <c r="K5112" i="3" s="1"/>
  <c r="H5112" i="3"/>
  <c r="G5112" i="3"/>
  <c r="M5111" i="3"/>
  <c r="L5111" i="3"/>
  <c r="J5111" i="3"/>
  <c r="K5111" i="3" s="1"/>
  <c r="H5111" i="3"/>
  <c r="G5111" i="3"/>
  <c r="I5111" i="3" s="1"/>
  <c r="M5110" i="3"/>
  <c r="L5110" i="3"/>
  <c r="J5110" i="3"/>
  <c r="K5110" i="3" s="1"/>
  <c r="H5110" i="3"/>
  <c r="G5110" i="3"/>
  <c r="M5109" i="3"/>
  <c r="L5109" i="3"/>
  <c r="J5109" i="3"/>
  <c r="K5109" i="3" s="1"/>
  <c r="H5109" i="3"/>
  <c r="G5109" i="3"/>
  <c r="M5108" i="3"/>
  <c r="L5108" i="3"/>
  <c r="J5108" i="3"/>
  <c r="K5108" i="3" s="1"/>
  <c r="I5108" i="3"/>
  <c r="H5108" i="3"/>
  <c r="G5108" i="3"/>
  <c r="M5107" i="3"/>
  <c r="L5107" i="3"/>
  <c r="J5107" i="3"/>
  <c r="K5107" i="3" s="1"/>
  <c r="H5107" i="3"/>
  <c r="G5107" i="3"/>
  <c r="M5106" i="3"/>
  <c r="L5106" i="3"/>
  <c r="K5106" i="3"/>
  <c r="J5106" i="3"/>
  <c r="H5106" i="3"/>
  <c r="G5106" i="3"/>
  <c r="M5105" i="3"/>
  <c r="L5105" i="3"/>
  <c r="J5105" i="3"/>
  <c r="K5105" i="3" s="1"/>
  <c r="H5105" i="3"/>
  <c r="G5105" i="3"/>
  <c r="M5104" i="3"/>
  <c r="L5104" i="3"/>
  <c r="J5104" i="3"/>
  <c r="K5104" i="3" s="1"/>
  <c r="H5104" i="3"/>
  <c r="G5104" i="3"/>
  <c r="I5104" i="3" s="1"/>
  <c r="M5103" i="3"/>
  <c r="L5103" i="3"/>
  <c r="J5103" i="3"/>
  <c r="K5103" i="3" s="1"/>
  <c r="H5103" i="3"/>
  <c r="G5103" i="3"/>
  <c r="I5103" i="3" s="1"/>
  <c r="M5102" i="3"/>
  <c r="L5102" i="3"/>
  <c r="J5102" i="3"/>
  <c r="K5102" i="3" s="1"/>
  <c r="H5102" i="3"/>
  <c r="G5102" i="3"/>
  <c r="M5101" i="3"/>
  <c r="L5101" i="3"/>
  <c r="J5101" i="3"/>
  <c r="K5101" i="3" s="1"/>
  <c r="H5101" i="3"/>
  <c r="G5101" i="3"/>
  <c r="I5101" i="3" s="1"/>
  <c r="M5100" i="3"/>
  <c r="L5100" i="3"/>
  <c r="J5100" i="3"/>
  <c r="K5100" i="3" s="1"/>
  <c r="H5100" i="3"/>
  <c r="I5100" i="3" s="1"/>
  <c r="G5100" i="3"/>
  <c r="M5099" i="3"/>
  <c r="L5099" i="3"/>
  <c r="K5099" i="3"/>
  <c r="J5099" i="3"/>
  <c r="H5099" i="3"/>
  <c r="G5099" i="3"/>
  <c r="M5098" i="3"/>
  <c r="L5098" i="3"/>
  <c r="J5098" i="3"/>
  <c r="K5098" i="3" s="1"/>
  <c r="H5098" i="3"/>
  <c r="G5098" i="3"/>
  <c r="M5097" i="3"/>
  <c r="L5097" i="3"/>
  <c r="J5097" i="3"/>
  <c r="K5097" i="3" s="1"/>
  <c r="H5097" i="3"/>
  <c r="G5097" i="3"/>
  <c r="M5096" i="3"/>
  <c r="L5096" i="3"/>
  <c r="J5096" i="3"/>
  <c r="K5096" i="3" s="1"/>
  <c r="H5096" i="3"/>
  <c r="G5096" i="3"/>
  <c r="I5096" i="3" s="1"/>
  <c r="M5095" i="3"/>
  <c r="L5095" i="3"/>
  <c r="K5095" i="3"/>
  <c r="J5095" i="3"/>
  <c r="H5095" i="3"/>
  <c r="G5095" i="3"/>
  <c r="M5094" i="3"/>
  <c r="L5094" i="3"/>
  <c r="J5094" i="3"/>
  <c r="K5094" i="3" s="1"/>
  <c r="H5094" i="3"/>
  <c r="G5094" i="3"/>
  <c r="M5093" i="3"/>
  <c r="L5093" i="3"/>
  <c r="J5093" i="3"/>
  <c r="K5093" i="3" s="1"/>
  <c r="H5093" i="3"/>
  <c r="G5093" i="3"/>
  <c r="M5092" i="3"/>
  <c r="L5092" i="3"/>
  <c r="J5092" i="3"/>
  <c r="K5092" i="3" s="1"/>
  <c r="H5092" i="3"/>
  <c r="G5092" i="3"/>
  <c r="M5091" i="3"/>
  <c r="L5091" i="3"/>
  <c r="J5091" i="3"/>
  <c r="K5091" i="3" s="1"/>
  <c r="H5091" i="3"/>
  <c r="G5091" i="3"/>
  <c r="I5091" i="3" s="1"/>
  <c r="M5090" i="3"/>
  <c r="L5090" i="3"/>
  <c r="J5090" i="3"/>
  <c r="K5090" i="3" s="1"/>
  <c r="H5090" i="3"/>
  <c r="G5090" i="3"/>
  <c r="M5089" i="3"/>
  <c r="L5089" i="3"/>
  <c r="J5089" i="3"/>
  <c r="K5089" i="3" s="1"/>
  <c r="H5089" i="3"/>
  <c r="G5089" i="3"/>
  <c r="I5089" i="3" s="1"/>
  <c r="M5088" i="3"/>
  <c r="L5088" i="3"/>
  <c r="J5088" i="3"/>
  <c r="K5088" i="3" s="1"/>
  <c r="I5088" i="3"/>
  <c r="H5088" i="3"/>
  <c r="G5088" i="3"/>
  <c r="M5087" i="3"/>
  <c r="L5087" i="3"/>
  <c r="J5087" i="3"/>
  <c r="K5087" i="3" s="1"/>
  <c r="H5087" i="3"/>
  <c r="G5087" i="3"/>
  <c r="I5087" i="3" s="1"/>
  <c r="M5086" i="3"/>
  <c r="L5086" i="3"/>
  <c r="J5086" i="3"/>
  <c r="K5086" i="3" s="1"/>
  <c r="H5086" i="3"/>
  <c r="G5086" i="3"/>
  <c r="M5085" i="3"/>
  <c r="L5085" i="3"/>
  <c r="J5085" i="3"/>
  <c r="K5085" i="3" s="1"/>
  <c r="H5085" i="3"/>
  <c r="G5085" i="3"/>
  <c r="I5085" i="3" s="1"/>
  <c r="M5084" i="3"/>
  <c r="L5084" i="3"/>
  <c r="J5084" i="3"/>
  <c r="K5084" i="3" s="1"/>
  <c r="H5084" i="3"/>
  <c r="I5084" i="3" s="1"/>
  <c r="G5084" i="3"/>
  <c r="M5083" i="3"/>
  <c r="L5083" i="3"/>
  <c r="K5083" i="3"/>
  <c r="J5083" i="3"/>
  <c r="H5083" i="3"/>
  <c r="G5083" i="3"/>
  <c r="M5082" i="3"/>
  <c r="L5082" i="3"/>
  <c r="J5082" i="3"/>
  <c r="K5082" i="3" s="1"/>
  <c r="H5082" i="3"/>
  <c r="G5082" i="3"/>
  <c r="M5081" i="3"/>
  <c r="L5081" i="3"/>
  <c r="J5081" i="3"/>
  <c r="K5081" i="3" s="1"/>
  <c r="H5081" i="3"/>
  <c r="G5081" i="3"/>
  <c r="M5080" i="3"/>
  <c r="L5080" i="3"/>
  <c r="J5080" i="3"/>
  <c r="K5080" i="3" s="1"/>
  <c r="H5080" i="3"/>
  <c r="G5080" i="3"/>
  <c r="M5079" i="3"/>
  <c r="L5079" i="3"/>
  <c r="K5079" i="3"/>
  <c r="J5079" i="3"/>
  <c r="H5079" i="3"/>
  <c r="G5079" i="3"/>
  <c r="M5078" i="3"/>
  <c r="L5078" i="3"/>
  <c r="J5078" i="3"/>
  <c r="K5078" i="3" s="1"/>
  <c r="H5078" i="3"/>
  <c r="G5078" i="3"/>
  <c r="M5077" i="3"/>
  <c r="L5077" i="3"/>
  <c r="J5077" i="3"/>
  <c r="K5077" i="3" s="1"/>
  <c r="H5077" i="3"/>
  <c r="G5077" i="3"/>
  <c r="M5076" i="3"/>
  <c r="L5076" i="3"/>
  <c r="J5076" i="3"/>
  <c r="K5076" i="3" s="1"/>
  <c r="H5076" i="3"/>
  <c r="G5076" i="3"/>
  <c r="M5075" i="3"/>
  <c r="L5075" i="3"/>
  <c r="J5075" i="3"/>
  <c r="K5075" i="3" s="1"/>
  <c r="H5075" i="3"/>
  <c r="G5075" i="3"/>
  <c r="I5075" i="3" s="1"/>
  <c r="M5074" i="3"/>
  <c r="L5074" i="3"/>
  <c r="J5074" i="3"/>
  <c r="K5074" i="3" s="1"/>
  <c r="H5074" i="3"/>
  <c r="G5074" i="3"/>
  <c r="M5073" i="3"/>
  <c r="L5073" i="3"/>
  <c r="J5073" i="3"/>
  <c r="K5073" i="3" s="1"/>
  <c r="H5073" i="3"/>
  <c r="G5073" i="3"/>
  <c r="I5073" i="3" s="1"/>
  <c r="M5072" i="3"/>
  <c r="L5072" i="3"/>
  <c r="J5072" i="3"/>
  <c r="K5072" i="3" s="1"/>
  <c r="H5072" i="3"/>
  <c r="G5072" i="3"/>
  <c r="I5072" i="3" s="1"/>
  <c r="M5071" i="3"/>
  <c r="L5071" i="3"/>
  <c r="J5071" i="3"/>
  <c r="K5071" i="3" s="1"/>
  <c r="H5071" i="3"/>
  <c r="G5071" i="3"/>
  <c r="I5071" i="3" s="1"/>
  <c r="M5070" i="3"/>
  <c r="L5070" i="3"/>
  <c r="J5070" i="3"/>
  <c r="K5070" i="3" s="1"/>
  <c r="H5070" i="3"/>
  <c r="G5070" i="3"/>
  <c r="M5069" i="3"/>
  <c r="L5069" i="3"/>
  <c r="J5069" i="3"/>
  <c r="K5069" i="3" s="1"/>
  <c r="H5069" i="3"/>
  <c r="G5069" i="3"/>
  <c r="I5069" i="3" s="1"/>
  <c r="M5068" i="3"/>
  <c r="L5068" i="3"/>
  <c r="J5068" i="3"/>
  <c r="K5068" i="3" s="1"/>
  <c r="H5068" i="3"/>
  <c r="I5068" i="3" s="1"/>
  <c r="G5068" i="3"/>
  <c r="M5067" i="3"/>
  <c r="L5067" i="3"/>
  <c r="K5067" i="3"/>
  <c r="J5067" i="3"/>
  <c r="H5067" i="3"/>
  <c r="G5067" i="3"/>
  <c r="M5066" i="3"/>
  <c r="L5066" i="3"/>
  <c r="J5066" i="3"/>
  <c r="K5066" i="3" s="1"/>
  <c r="H5066" i="3"/>
  <c r="G5066" i="3"/>
  <c r="M5065" i="3"/>
  <c r="L5065" i="3"/>
  <c r="J5065" i="3"/>
  <c r="K5065" i="3" s="1"/>
  <c r="H5065" i="3"/>
  <c r="G5065" i="3"/>
  <c r="M5064" i="3"/>
  <c r="L5064" i="3"/>
  <c r="J5064" i="3"/>
  <c r="K5064" i="3" s="1"/>
  <c r="H5064" i="3"/>
  <c r="I5064" i="3" s="1"/>
  <c r="G5064" i="3"/>
  <c r="M5063" i="3"/>
  <c r="L5063" i="3"/>
  <c r="K5063" i="3"/>
  <c r="J5063" i="3"/>
  <c r="H5063" i="3"/>
  <c r="G5063" i="3"/>
  <c r="M5062" i="3"/>
  <c r="L5062" i="3"/>
  <c r="J5062" i="3"/>
  <c r="K5062" i="3" s="1"/>
  <c r="H5062" i="3"/>
  <c r="G5062" i="3"/>
  <c r="M5061" i="3"/>
  <c r="L5061" i="3"/>
  <c r="J5061" i="3"/>
  <c r="K5061" i="3" s="1"/>
  <c r="H5061" i="3"/>
  <c r="G5061" i="3"/>
  <c r="M5060" i="3"/>
  <c r="L5060" i="3"/>
  <c r="J5060" i="3"/>
  <c r="K5060" i="3" s="1"/>
  <c r="H5060" i="3"/>
  <c r="G5060" i="3"/>
  <c r="M5059" i="3"/>
  <c r="L5059" i="3"/>
  <c r="J5059" i="3"/>
  <c r="K5059" i="3" s="1"/>
  <c r="H5059" i="3"/>
  <c r="G5059" i="3"/>
  <c r="I5059" i="3" s="1"/>
  <c r="M5058" i="3"/>
  <c r="L5058" i="3"/>
  <c r="J5058" i="3"/>
  <c r="K5058" i="3" s="1"/>
  <c r="H5058" i="3"/>
  <c r="G5058" i="3"/>
  <c r="M5057" i="3"/>
  <c r="L5057" i="3"/>
  <c r="J5057" i="3"/>
  <c r="K5057" i="3" s="1"/>
  <c r="H5057" i="3"/>
  <c r="G5057" i="3"/>
  <c r="I5057" i="3" s="1"/>
  <c r="M5056" i="3"/>
  <c r="L5056" i="3"/>
  <c r="J5056" i="3"/>
  <c r="K5056" i="3" s="1"/>
  <c r="I5056" i="3"/>
  <c r="H5056" i="3"/>
  <c r="G5056" i="3"/>
  <c r="M5055" i="3"/>
  <c r="L5055" i="3"/>
  <c r="J5055" i="3"/>
  <c r="K5055" i="3" s="1"/>
  <c r="H5055" i="3"/>
  <c r="G5055" i="3"/>
  <c r="I5055" i="3" s="1"/>
  <c r="M5054" i="3"/>
  <c r="L5054" i="3"/>
  <c r="J5054" i="3"/>
  <c r="K5054" i="3" s="1"/>
  <c r="H5054" i="3"/>
  <c r="G5054" i="3"/>
  <c r="M5053" i="3"/>
  <c r="L5053" i="3"/>
  <c r="J5053" i="3"/>
  <c r="K5053" i="3" s="1"/>
  <c r="H5053" i="3"/>
  <c r="G5053" i="3"/>
  <c r="I5053" i="3" s="1"/>
  <c r="M5052" i="3"/>
  <c r="L5052" i="3"/>
  <c r="J5052" i="3"/>
  <c r="K5052" i="3" s="1"/>
  <c r="H5052" i="3"/>
  <c r="I5052" i="3" s="1"/>
  <c r="G5052" i="3"/>
  <c r="M5051" i="3"/>
  <c r="L5051" i="3"/>
  <c r="K5051" i="3"/>
  <c r="J5051" i="3"/>
  <c r="H5051" i="3"/>
  <c r="G5051" i="3"/>
  <c r="M5050" i="3"/>
  <c r="L5050" i="3"/>
  <c r="J5050" i="3"/>
  <c r="K5050" i="3" s="1"/>
  <c r="H5050" i="3"/>
  <c r="G5050" i="3"/>
  <c r="M5049" i="3"/>
  <c r="L5049" i="3"/>
  <c r="J5049" i="3"/>
  <c r="K5049" i="3" s="1"/>
  <c r="H5049" i="3"/>
  <c r="G5049" i="3"/>
  <c r="M5048" i="3"/>
  <c r="L5048" i="3"/>
  <c r="J5048" i="3"/>
  <c r="K5048" i="3" s="1"/>
  <c r="H5048" i="3"/>
  <c r="G5048" i="3"/>
  <c r="I5048" i="3" s="1"/>
  <c r="M5047" i="3"/>
  <c r="L5047" i="3"/>
  <c r="K5047" i="3"/>
  <c r="J5047" i="3"/>
  <c r="H5047" i="3"/>
  <c r="G5047" i="3"/>
  <c r="M5046" i="3"/>
  <c r="L5046" i="3"/>
  <c r="J5046" i="3"/>
  <c r="K5046" i="3" s="1"/>
  <c r="H5046" i="3"/>
  <c r="G5046" i="3"/>
  <c r="M5045" i="3"/>
  <c r="L5045" i="3"/>
  <c r="J5045" i="3"/>
  <c r="K5045" i="3" s="1"/>
  <c r="H5045" i="3"/>
  <c r="G5045" i="3"/>
  <c r="M5044" i="3"/>
  <c r="L5044" i="3"/>
  <c r="J5044" i="3"/>
  <c r="K5044" i="3" s="1"/>
  <c r="H5044" i="3"/>
  <c r="G5044" i="3"/>
  <c r="M5043" i="3"/>
  <c r="L5043" i="3"/>
  <c r="J5043" i="3"/>
  <c r="K5043" i="3" s="1"/>
  <c r="H5043" i="3"/>
  <c r="G5043" i="3"/>
  <c r="I5043" i="3" s="1"/>
  <c r="M5042" i="3"/>
  <c r="L5042" i="3"/>
  <c r="J5042" i="3"/>
  <c r="K5042" i="3" s="1"/>
  <c r="H5042" i="3"/>
  <c r="G5042" i="3"/>
  <c r="M5041" i="3"/>
  <c r="L5041" i="3"/>
  <c r="J5041" i="3"/>
  <c r="K5041" i="3" s="1"/>
  <c r="H5041" i="3"/>
  <c r="G5041" i="3"/>
  <c r="I5041" i="3" s="1"/>
  <c r="M5040" i="3"/>
  <c r="L5040" i="3"/>
  <c r="J5040" i="3"/>
  <c r="K5040" i="3" s="1"/>
  <c r="H5040" i="3"/>
  <c r="G5040" i="3"/>
  <c r="I5040" i="3" s="1"/>
  <c r="M5039" i="3"/>
  <c r="L5039" i="3"/>
  <c r="J5039" i="3"/>
  <c r="K5039" i="3" s="1"/>
  <c r="H5039" i="3"/>
  <c r="G5039" i="3"/>
  <c r="I5039" i="3" s="1"/>
  <c r="M5038" i="3"/>
  <c r="L5038" i="3"/>
  <c r="J5038" i="3"/>
  <c r="K5038" i="3" s="1"/>
  <c r="H5038" i="3"/>
  <c r="G5038" i="3"/>
  <c r="M5037" i="3"/>
  <c r="L5037" i="3"/>
  <c r="J5037" i="3"/>
  <c r="K5037" i="3" s="1"/>
  <c r="H5037" i="3"/>
  <c r="G5037" i="3"/>
  <c r="I5037" i="3" s="1"/>
  <c r="M5036" i="3"/>
  <c r="L5036" i="3"/>
  <c r="J5036" i="3"/>
  <c r="K5036" i="3" s="1"/>
  <c r="H5036" i="3"/>
  <c r="I5036" i="3" s="1"/>
  <c r="G5036" i="3"/>
  <c r="M5035" i="3"/>
  <c r="L5035" i="3"/>
  <c r="K5035" i="3"/>
  <c r="J5035" i="3"/>
  <c r="H5035" i="3"/>
  <c r="G5035" i="3"/>
  <c r="M5034" i="3"/>
  <c r="L5034" i="3"/>
  <c r="J5034" i="3"/>
  <c r="K5034" i="3" s="1"/>
  <c r="H5034" i="3"/>
  <c r="G5034" i="3"/>
  <c r="M5033" i="3"/>
  <c r="L5033" i="3"/>
  <c r="J5033" i="3"/>
  <c r="K5033" i="3" s="1"/>
  <c r="H5033" i="3"/>
  <c r="G5033" i="3"/>
  <c r="M5032" i="3"/>
  <c r="L5032" i="3"/>
  <c r="J5032" i="3"/>
  <c r="K5032" i="3" s="1"/>
  <c r="H5032" i="3"/>
  <c r="I5032" i="3" s="1"/>
  <c r="G5032" i="3"/>
  <c r="M5031" i="3"/>
  <c r="L5031" i="3"/>
  <c r="K5031" i="3"/>
  <c r="J5031" i="3"/>
  <c r="H5031" i="3"/>
  <c r="G5031" i="3"/>
  <c r="M5030" i="3"/>
  <c r="L5030" i="3"/>
  <c r="J5030" i="3"/>
  <c r="K5030" i="3" s="1"/>
  <c r="H5030" i="3"/>
  <c r="G5030" i="3"/>
  <c r="M5029" i="3"/>
  <c r="L5029" i="3"/>
  <c r="J5029" i="3"/>
  <c r="K5029" i="3" s="1"/>
  <c r="H5029" i="3"/>
  <c r="G5029" i="3"/>
  <c r="M5028" i="3"/>
  <c r="L5028" i="3"/>
  <c r="J5028" i="3"/>
  <c r="K5028" i="3" s="1"/>
  <c r="H5028" i="3"/>
  <c r="G5028" i="3"/>
  <c r="M5027" i="3"/>
  <c r="L5027" i="3"/>
  <c r="J5027" i="3"/>
  <c r="K5027" i="3" s="1"/>
  <c r="H5027" i="3"/>
  <c r="G5027" i="3"/>
  <c r="I5027" i="3" s="1"/>
  <c r="M5026" i="3"/>
  <c r="L5026" i="3"/>
  <c r="J5026" i="3"/>
  <c r="K5026" i="3" s="1"/>
  <c r="H5026" i="3"/>
  <c r="G5026" i="3"/>
  <c r="M5025" i="3"/>
  <c r="L5025" i="3"/>
  <c r="J5025" i="3"/>
  <c r="K5025" i="3" s="1"/>
  <c r="H5025" i="3"/>
  <c r="G5025" i="3"/>
  <c r="I5025" i="3" s="1"/>
  <c r="M5024" i="3"/>
  <c r="L5024" i="3"/>
  <c r="J5024" i="3"/>
  <c r="K5024" i="3" s="1"/>
  <c r="I5024" i="3"/>
  <c r="H5024" i="3"/>
  <c r="G5024" i="3"/>
  <c r="M5023" i="3"/>
  <c r="L5023" i="3"/>
  <c r="J5023" i="3"/>
  <c r="K5023" i="3" s="1"/>
  <c r="H5023" i="3"/>
  <c r="G5023" i="3"/>
  <c r="I5023" i="3" s="1"/>
  <c r="M5022" i="3"/>
  <c r="L5022" i="3"/>
  <c r="J5022" i="3"/>
  <c r="K5022" i="3" s="1"/>
  <c r="H5022" i="3"/>
  <c r="G5022" i="3"/>
  <c r="M5021" i="3"/>
  <c r="L5021" i="3"/>
  <c r="J5021" i="3"/>
  <c r="K5021" i="3" s="1"/>
  <c r="H5021" i="3"/>
  <c r="G5021" i="3"/>
  <c r="I5021" i="3" s="1"/>
  <c r="M5020" i="3"/>
  <c r="L5020" i="3"/>
  <c r="J5020" i="3"/>
  <c r="K5020" i="3" s="1"/>
  <c r="H5020" i="3"/>
  <c r="I5020" i="3" s="1"/>
  <c r="G5020" i="3"/>
  <c r="M5019" i="3"/>
  <c r="L5019" i="3"/>
  <c r="K5019" i="3"/>
  <c r="J5019" i="3"/>
  <c r="H5019" i="3"/>
  <c r="G5019" i="3"/>
  <c r="M5018" i="3"/>
  <c r="L5018" i="3"/>
  <c r="J5018" i="3"/>
  <c r="K5018" i="3" s="1"/>
  <c r="H5018" i="3"/>
  <c r="G5018" i="3"/>
  <c r="M5209" i="3"/>
  <c r="L5209" i="3"/>
  <c r="J5209" i="3"/>
  <c r="K5209" i="3" s="1"/>
  <c r="H5209" i="3"/>
  <c r="G5209" i="3"/>
  <c r="M5208" i="3"/>
  <c r="L5208" i="3"/>
  <c r="J5208" i="3"/>
  <c r="K5208" i="3" s="1"/>
  <c r="H5208" i="3"/>
  <c r="G5208" i="3"/>
  <c r="M5207" i="3"/>
  <c r="L5207" i="3"/>
  <c r="J5207" i="3"/>
  <c r="K5207" i="3" s="1"/>
  <c r="H5207" i="3"/>
  <c r="G5207" i="3"/>
  <c r="I5207" i="3" s="1"/>
  <c r="M5206" i="3"/>
  <c r="L5206" i="3"/>
  <c r="J5206" i="3"/>
  <c r="K5206" i="3" s="1"/>
  <c r="H5206" i="3"/>
  <c r="G5206" i="3"/>
  <c r="M5205" i="3"/>
  <c r="L5205" i="3"/>
  <c r="J5205" i="3"/>
  <c r="K5205" i="3" s="1"/>
  <c r="H5205" i="3"/>
  <c r="G5205" i="3"/>
  <c r="M5204" i="3"/>
  <c r="L5204" i="3"/>
  <c r="J5204" i="3"/>
  <c r="K5204" i="3" s="1"/>
  <c r="H5204" i="3"/>
  <c r="G5204" i="3"/>
  <c r="I5204" i="3" s="1"/>
  <c r="M5203" i="3"/>
  <c r="L5203" i="3"/>
  <c r="J5203" i="3"/>
  <c r="K5203" i="3" s="1"/>
  <c r="H5203" i="3"/>
  <c r="G5203" i="3"/>
  <c r="M5202" i="3"/>
  <c r="L5202" i="3"/>
  <c r="K5202" i="3"/>
  <c r="J5202" i="3"/>
  <c r="H5202" i="3"/>
  <c r="G5202" i="3"/>
  <c r="M5201" i="3"/>
  <c r="L5201" i="3"/>
  <c r="J5201" i="3"/>
  <c r="K5201" i="3" s="1"/>
  <c r="H5201" i="3"/>
  <c r="G5201" i="3"/>
  <c r="I5201" i="3" s="1"/>
  <c r="M5200" i="3"/>
  <c r="L5200" i="3"/>
  <c r="J5200" i="3"/>
  <c r="K5200" i="3" s="1"/>
  <c r="H5200" i="3"/>
  <c r="G5200" i="3"/>
  <c r="M5199" i="3"/>
  <c r="L5199" i="3"/>
  <c r="J5199" i="3"/>
  <c r="K5199" i="3" s="1"/>
  <c r="H5199" i="3"/>
  <c r="G5199" i="3"/>
  <c r="I5199" i="3" s="1"/>
  <c r="M5198" i="3"/>
  <c r="L5198" i="3"/>
  <c r="J5198" i="3"/>
  <c r="K5198" i="3" s="1"/>
  <c r="H5198" i="3"/>
  <c r="G5198" i="3"/>
  <c r="M5197" i="3"/>
  <c r="L5197" i="3"/>
  <c r="J5197" i="3"/>
  <c r="K5197" i="3" s="1"/>
  <c r="H5197" i="3"/>
  <c r="G5197" i="3"/>
  <c r="I5197" i="3" s="1"/>
  <c r="M5196" i="3"/>
  <c r="L5196" i="3"/>
  <c r="J5196" i="3"/>
  <c r="K5196" i="3" s="1"/>
  <c r="H5196" i="3"/>
  <c r="G5196" i="3"/>
  <c r="I5196" i="3" s="1"/>
  <c r="M5195" i="3"/>
  <c r="L5195" i="3"/>
  <c r="J5195" i="3"/>
  <c r="K5195" i="3" s="1"/>
  <c r="H5195" i="3"/>
  <c r="G5195" i="3"/>
  <c r="M5194" i="3"/>
  <c r="L5194" i="3"/>
  <c r="K5194" i="3"/>
  <c r="J5194" i="3"/>
  <c r="H5194" i="3"/>
  <c r="G5194" i="3"/>
  <c r="M5193" i="3"/>
  <c r="L5193" i="3"/>
  <c r="J5193" i="3"/>
  <c r="K5193" i="3" s="1"/>
  <c r="H5193" i="3"/>
  <c r="G5193" i="3"/>
  <c r="I5193" i="3" s="1"/>
  <c r="M5192" i="3"/>
  <c r="L5192" i="3"/>
  <c r="J5192" i="3"/>
  <c r="K5192" i="3" s="1"/>
  <c r="I5192" i="3"/>
  <c r="H5192" i="3"/>
  <c r="G5192" i="3"/>
  <c r="M5191" i="3"/>
  <c r="L5191" i="3"/>
  <c r="J5191" i="3"/>
  <c r="K5191" i="3" s="1"/>
  <c r="H5191" i="3"/>
  <c r="G5191" i="3"/>
  <c r="M5190" i="3"/>
  <c r="L5190" i="3"/>
  <c r="J5190" i="3"/>
  <c r="K5190" i="3" s="1"/>
  <c r="H5190" i="3"/>
  <c r="G5190" i="3"/>
  <c r="I5190" i="3" s="1"/>
  <c r="M5189" i="3"/>
  <c r="L5189" i="3"/>
  <c r="J5189" i="3"/>
  <c r="K5189" i="3" s="1"/>
  <c r="H5189" i="3"/>
  <c r="G5189" i="3"/>
  <c r="M5188" i="3"/>
  <c r="L5188" i="3"/>
  <c r="K5188" i="3"/>
  <c r="J5188" i="3"/>
  <c r="H5188" i="3"/>
  <c r="G5188" i="3"/>
  <c r="M5187" i="3"/>
  <c r="L5187" i="3"/>
  <c r="J5187" i="3"/>
  <c r="K5187" i="3" s="1"/>
  <c r="H5187" i="3"/>
  <c r="G5187" i="3"/>
  <c r="M5186" i="3"/>
  <c r="L5186" i="3"/>
  <c r="J5186" i="3"/>
  <c r="K5186" i="3" s="1"/>
  <c r="H5186" i="3"/>
  <c r="G5186" i="3"/>
  <c r="I5186" i="3" s="1"/>
  <c r="M5185" i="3"/>
  <c r="L5185" i="3"/>
  <c r="J5185" i="3"/>
  <c r="K5185" i="3" s="1"/>
  <c r="H5185" i="3"/>
  <c r="G5185" i="3"/>
  <c r="M5184" i="3"/>
  <c r="L5184" i="3"/>
  <c r="J5184" i="3"/>
  <c r="K5184" i="3" s="1"/>
  <c r="H5184" i="3"/>
  <c r="G5184" i="3"/>
  <c r="I5184" i="3" s="1"/>
  <c r="M5183" i="3"/>
  <c r="L5183" i="3"/>
  <c r="J5183" i="3"/>
  <c r="K5183" i="3" s="1"/>
  <c r="H5183" i="3"/>
  <c r="G5183" i="3"/>
  <c r="M5182" i="3"/>
  <c r="L5182" i="3"/>
  <c r="J5182" i="3"/>
  <c r="K5182" i="3" s="1"/>
  <c r="H5182" i="3"/>
  <c r="G5182" i="3"/>
  <c r="I5182" i="3" s="1"/>
  <c r="M5181" i="3"/>
  <c r="L5181" i="3"/>
  <c r="J5181" i="3"/>
  <c r="K5181" i="3" s="1"/>
  <c r="H5181" i="3"/>
  <c r="G5181" i="3"/>
  <c r="M5180" i="3"/>
  <c r="L5180" i="3"/>
  <c r="J5180" i="3"/>
  <c r="K5180" i="3" s="1"/>
  <c r="H5180" i="3"/>
  <c r="G5180" i="3"/>
  <c r="M5179" i="3"/>
  <c r="L5179" i="3"/>
  <c r="J5179" i="3"/>
  <c r="K5179" i="3" s="1"/>
  <c r="H5179" i="3"/>
  <c r="G5179" i="3"/>
  <c r="I5179" i="3" s="1"/>
  <c r="M5178" i="3"/>
  <c r="L5178" i="3"/>
  <c r="J5178" i="3"/>
  <c r="K5178" i="3" s="1"/>
  <c r="H5178" i="3"/>
  <c r="G5178" i="3"/>
  <c r="M5177" i="3"/>
  <c r="L5177" i="3"/>
  <c r="J5177" i="3"/>
  <c r="K5177" i="3" s="1"/>
  <c r="H5177" i="3"/>
  <c r="G5177" i="3"/>
  <c r="I5177" i="3" s="1"/>
  <c r="M5176" i="3"/>
  <c r="L5176" i="3"/>
  <c r="J5176" i="3"/>
  <c r="K5176" i="3" s="1"/>
  <c r="H5176" i="3"/>
  <c r="I5176" i="3" s="1"/>
  <c r="G5176" i="3"/>
  <c r="M5175" i="3"/>
  <c r="L5175" i="3"/>
  <c r="J5175" i="3"/>
  <c r="K5175" i="3" s="1"/>
  <c r="H5175" i="3"/>
  <c r="G5175" i="3"/>
  <c r="I5175" i="3" s="1"/>
  <c r="M5174" i="3"/>
  <c r="L5174" i="3"/>
  <c r="J5174" i="3"/>
  <c r="K5174" i="3" s="1"/>
  <c r="H5174" i="3"/>
  <c r="G5174" i="3"/>
  <c r="M5173" i="3"/>
  <c r="L5173" i="3"/>
  <c r="J5173" i="3"/>
  <c r="K5173" i="3" s="1"/>
  <c r="H5173" i="3"/>
  <c r="G5173" i="3"/>
  <c r="M5172" i="3"/>
  <c r="L5172" i="3"/>
  <c r="J5172" i="3"/>
  <c r="K5172" i="3" s="1"/>
  <c r="H5172" i="3"/>
  <c r="G5172" i="3"/>
  <c r="M5171" i="3"/>
  <c r="L5171" i="3"/>
  <c r="J5171" i="3"/>
  <c r="K5171" i="3" s="1"/>
  <c r="H5171" i="3"/>
  <c r="G5171" i="3"/>
  <c r="M5170" i="3"/>
  <c r="L5170" i="3"/>
  <c r="K5170" i="3"/>
  <c r="J5170" i="3"/>
  <c r="H5170" i="3"/>
  <c r="G5170" i="3"/>
  <c r="M5169" i="3"/>
  <c r="L5169" i="3"/>
  <c r="J5169" i="3"/>
  <c r="K5169" i="3" s="1"/>
  <c r="H5169" i="3"/>
  <c r="G5169" i="3"/>
  <c r="M5168" i="3"/>
  <c r="L5168" i="3"/>
  <c r="J5168" i="3"/>
  <c r="K5168" i="3" s="1"/>
  <c r="H5168" i="3"/>
  <c r="G5168" i="3"/>
  <c r="I5168" i="3" s="1"/>
  <c r="M5167" i="3"/>
  <c r="L5167" i="3"/>
  <c r="J5167" i="3"/>
  <c r="K5167" i="3" s="1"/>
  <c r="H5167" i="3"/>
  <c r="G5167" i="3"/>
  <c r="M5166" i="3"/>
  <c r="L5166" i="3"/>
  <c r="J5166" i="3"/>
  <c r="K5166" i="3" s="1"/>
  <c r="H5166" i="3"/>
  <c r="G5166" i="3"/>
  <c r="I5166" i="3" s="1"/>
  <c r="M5165" i="3"/>
  <c r="L5165" i="3"/>
  <c r="J5165" i="3"/>
  <c r="K5165" i="3" s="1"/>
  <c r="H5165" i="3"/>
  <c r="G5165" i="3"/>
  <c r="M5164" i="3"/>
  <c r="L5164" i="3"/>
  <c r="J5164" i="3"/>
  <c r="K5164" i="3" s="1"/>
  <c r="H5164" i="3"/>
  <c r="G5164" i="3"/>
  <c r="I5164" i="3" s="1"/>
  <c r="M5163" i="3"/>
  <c r="L5163" i="3"/>
  <c r="J5163" i="3"/>
  <c r="K5163" i="3" s="1"/>
  <c r="H5163" i="3"/>
  <c r="G5163" i="3"/>
  <c r="I5163" i="3" s="1"/>
  <c r="M5162" i="3"/>
  <c r="L5162" i="3"/>
  <c r="J5162" i="3"/>
  <c r="K5162" i="3" s="1"/>
  <c r="H5162" i="3"/>
  <c r="G5162" i="3"/>
  <c r="M5161" i="3"/>
  <c r="L5161" i="3"/>
  <c r="J5161" i="3"/>
  <c r="K5161" i="3" s="1"/>
  <c r="H5161" i="3"/>
  <c r="G5161" i="3"/>
  <c r="I5161" i="3" s="1"/>
  <c r="M5160" i="3"/>
  <c r="L5160" i="3"/>
  <c r="J5160" i="3"/>
  <c r="K5160" i="3" s="1"/>
  <c r="H5160" i="3"/>
  <c r="I5160" i="3" s="1"/>
  <c r="G5160" i="3"/>
  <c r="M5159" i="3"/>
  <c r="L5159" i="3"/>
  <c r="J5159" i="3"/>
  <c r="K5159" i="3" s="1"/>
  <c r="H5159" i="3"/>
  <c r="G5159" i="3"/>
  <c r="I5159" i="3" s="1"/>
  <c r="M5158" i="3"/>
  <c r="L5158" i="3"/>
  <c r="J5158" i="3"/>
  <c r="K5158" i="3" s="1"/>
  <c r="H5158" i="3"/>
  <c r="G5158" i="3"/>
  <c r="M5157" i="3"/>
  <c r="L5157" i="3"/>
  <c r="J5157" i="3"/>
  <c r="K5157" i="3" s="1"/>
  <c r="H5157" i="3"/>
  <c r="G5157" i="3"/>
  <c r="M5156" i="3"/>
  <c r="L5156" i="3"/>
  <c r="J5156" i="3"/>
  <c r="K5156" i="3" s="1"/>
  <c r="H5156" i="3"/>
  <c r="I5156" i="3" s="1"/>
  <c r="G5156" i="3"/>
  <c r="M5155" i="3"/>
  <c r="L5155" i="3"/>
  <c r="J5155" i="3"/>
  <c r="K5155" i="3" s="1"/>
  <c r="H5155" i="3"/>
  <c r="G5155" i="3"/>
  <c r="M5154" i="3"/>
  <c r="L5154" i="3"/>
  <c r="J5154" i="3"/>
  <c r="K5154" i="3" s="1"/>
  <c r="H5154" i="3"/>
  <c r="G5154" i="3"/>
  <c r="M5153" i="3"/>
  <c r="L5153" i="3"/>
  <c r="J5153" i="3"/>
  <c r="K5153" i="3" s="1"/>
  <c r="H5153" i="3"/>
  <c r="G5153" i="3"/>
  <c r="M5152" i="3"/>
  <c r="L5152" i="3"/>
  <c r="J5152" i="3"/>
  <c r="K5152" i="3" s="1"/>
  <c r="H5152" i="3"/>
  <c r="G5152" i="3"/>
  <c r="I5152" i="3" s="1"/>
  <c r="M5151" i="3"/>
  <c r="L5151" i="3"/>
  <c r="J5151" i="3"/>
  <c r="K5151" i="3" s="1"/>
  <c r="H5151" i="3"/>
  <c r="G5151" i="3"/>
  <c r="M5150" i="3"/>
  <c r="L5150" i="3"/>
  <c r="K5150" i="3"/>
  <c r="J5150" i="3"/>
  <c r="H5150" i="3"/>
  <c r="G5150" i="3"/>
  <c r="M5149" i="3"/>
  <c r="L5149" i="3"/>
  <c r="J5149" i="3"/>
  <c r="K5149" i="3" s="1"/>
  <c r="H5149" i="3"/>
  <c r="G5149" i="3"/>
  <c r="I5149" i="3" s="1"/>
  <c r="M5148" i="3"/>
  <c r="L5148" i="3"/>
  <c r="J5148" i="3"/>
  <c r="K5148" i="3" s="1"/>
  <c r="H5148" i="3"/>
  <c r="G5148" i="3"/>
  <c r="M5147" i="3"/>
  <c r="L5147" i="3"/>
  <c r="J5147" i="3"/>
  <c r="K5147" i="3" s="1"/>
  <c r="H5147" i="3"/>
  <c r="G5147" i="3"/>
  <c r="I5147" i="3" s="1"/>
  <c r="M5146" i="3"/>
  <c r="L5146" i="3"/>
  <c r="J5146" i="3"/>
  <c r="K5146" i="3" s="1"/>
  <c r="H5146" i="3"/>
  <c r="G5146" i="3"/>
  <c r="M5145" i="3"/>
  <c r="L5145" i="3"/>
  <c r="J5145" i="3"/>
  <c r="K5145" i="3" s="1"/>
  <c r="H5145" i="3"/>
  <c r="G5145" i="3"/>
  <c r="I5145" i="3" s="1"/>
  <c r="M5144" i="3"/>
  <c r="L5144" i="3"/>
  <c r="J5144" i="3"/>
  <c r="K5144" i="3" s="1"/>
  <c r="H5144" i="3"/>
  <c r="I5144" i="3" s="1"/>
  <c r="G5144" i="3"/>
  <c r="M5143" i="3"/>
  <c r="L5143" i="3"/>
  <c r="J5143" i="3"/>
  <c r="K5143" i="3" s="1"/>
  <c r="H5143" i="3"/>
  <c r="G5143" i="3"/>
  <c r="M5142" i="3"/>
  <c r="L5142" i="3"/>
  <c r="J5142" i="3"/>
  <c r="K5142" i="3" s="1"/>
  <c r="H5142" i="3"/>
  <c r="G5142" i="3"/>
  <c r="M5141" i="3"/>
  <c r="L5141" i="3"/>
  <c r="J5141" i="3"/>
  <c r="K5141" i="3" s="1"/>
  <c r="H5141" i="3"/>
  <c r="G5141" i="3"/>
  <c r="M5140" i="3"/>
  <c r="L5140" i="3"/>
  <c r="J5140" i="3"/>
  <c r="K5140" i="3" s="1"/>
  <c r="H5140" i="3"/>
  <c r="G5140" i="3"/>
  <c r="I5140" i="3" s="1"/>
  <c r="M5139" i="3"/>
  <c r="L5139" i="3"/>
  <c r="J5139" i="3"/>
  <c r="K5139" i="3" s="1"/>
  <c r="H5139" i="3"/>
  <c r="I5139" i="3" s="1"/>
  <c r="G5139" i="3"/>
  <c r="M5138" i="3"/>
  <c r="L5138" i="3"/>
  <c r="K5138" i="3"/>
  <c r="J5138" i="3"/>
  <c r="H5138" i="3"/>
  <c r="G5138" i="3"/>
  <c r="M5137" i="3"/>
  <c r="L5137" i="3"/>
  <c r="J5137" i="3"/>
  <c r="K5137" i="3" s="1"/>
  <c r="H5137" i="3"/>
  <c r="G5137" i="3"/>
  <c r="I5137" i="3" s="1"/>
  <c r="M5136" i="3"/>
  <c r="L5136" i="3"/>
  <c r="J5136" i="3"/>
  <c r="K5136" i="3" s="1"/>
  <c r="H5136" i="3"/>
  <c r="G5136" i="3"/>
  <c r="M5135" i="3"/>
  <c r="L5135" i="3"/>
  <c r="J5135" i="3"/>
  <c r="K5135" i="3" s="1"/>
  <c r="H5135" i="3"/>
  <c r="G5135" i="3"/>
  <c r="M5134" i="3"/>
  <c r="L5134" i="3"/>
  <c r="J5134" i="3"/>
  <c r="K5134" i="3" s="1"/>
  <c r="H5134" i="3"/>
  <c r="G5134" i="3"/>
  <c r="M5133" i="3"/>
  <c r="L5133" i="3"/>
  <c r="J5133" i="3"/>
  <c r="K5133" i="3" s="1"/>
  <c r="H5133" i="3"/>
  <c r="G5133" i="3"/>
  <c r="M5132" i="3"/>
  <c r="L5132" i="3"/>
  <c r="K5132" i="3"/>
  <c r="J5132" i="3"/>
  <c r="H5132" i="3"/>
  <c r="G5132" i="3"/>
  <c r="I5132" i="3" s="1"/>
  <c r="M5131" i="3"/>
  <c r="L5131" i="3"/>
  <c r="J5131" i="3"/>
  <c r="K5131" i="3" s="1"/>
  <c r="H5131" i="3"/>
  <c r="G5131" i="3"/>
  <c r="M5130" i="3"/>
  <c r="L5130" i="3"/>
  <c r="J5130" i="3"/>
  <c r="K5130" i="3" s="1"/>
  <c r="H5130" i="3"/>
  <c r="G5130" i="3"/>
  <c r="M5129" i="3"/>
  <c r="L5129" i="3"/>
  <c r="J5129" i="3"/>
  <c r="K5129" i="3" s="1"/>
  <c r="H5129" i="3"/>
  <c r="G5129" i="3"/>
  <c r="I5129" i="3" s="1"/>
  <c r="M5128" i="3"/>
  <c r="L5128" i="3"/>
  <c r="J5128" i="3"/>
  <c r="K5128" i="3" s="1"/>
  <c r="H5128" i="3"/>
  <c r="G5128" i="3"/>
  <c r="I5128" i="3" s="1"/>
  <c r="M5127" i="3"/>
  <c r="L5127" i="3"/>
  <c r="J5127" i="3"/>
  <c r="K5127" i="3" s="1"/>
  <c r="H5127" i="3"/>
  <c r="G5127" i="3"/>
  <c r="M5126" i="3"/>
  <c r="L5126" i="3"/>
  <c r="J5126" i="3"/>
  <c r="K5126" i="3" s="1"/>
  <c r="H5126" i="3"/>
  <c r="G5126" i="3"/>
  <c r="I5126" i="3" s="1"/>
  <c r="M5125" i="3"/>
  <c r="L5125" i="3"/>
  <c r="J5125" i="3"/>
  <c r="K5125" i="3" s="1"/>
  <c r="H5125" i="3"/>
  <c r="G5125" i="3"/>
  <c r="M5124" i="3"/>
  <c r="L5124" i="3"/>
  <c r="J5124" i="3"/>
  <c r="K5124" i="3" s="1"/>
  <c r="H5124" i="3"/>
  <c r="G5124" i="3"/>
  <c r="M5123" i="3"/>
  <c r="L5123" i="3"/>
  <c r="J5123" i="3"/>
  <c r="K5123" i="3" s="1"/>
  <c r="H5123" i="3"/>
  <c r="G5123" i="3"/>
  <c r="M5122" i="3"/>
  <c r="L5122" i="3"/>
  <c r="J5122" i="3"/>
  <c r="K5122" i="3" s="1"/>
  <c r="H5122" i="3"/>
  <c r="G5122" i="3"/>
  <c r="I5122" i="3" s="1"/>
  <c r="M5121" i="3"/>
  <c r="L5121" i="3"/>
  <c r="J5121" i="3"/>
  <c r="K5121" i="3" s="1"/>
  <c r="H5121" i="3"/>
  <c r="G5121" i="3"/>
  <c r="M5120" i="3"/>
  <c r="L5120" i="3"/>
  <c r="J5120" i="3"/>
  <c r="K5120" i="3" s="1"/>
  <c r="H5120" i="3"/>
  <c r="G5120" i="3"/>
  <c r="I5120" i="3" s="1"/>
  <c r="M5119" i="3"/>
  <c r="L5119" i="3"/>
  <c r="J5119" i="3"/>
  <c r="K5119" i="3" s="1"/>
  <c r="H5119" i="3"/>
  <c r="G5119" i="3"/>
  <c r="M5118" i="3"/>
  <c r="L5118" i="3"/>
  <c r="J5118" i="3"/>
  <c r="K5118" i="3" s="1"/>
  <c r="H5118" i="3"/>
  <c r="G5118" i="3"/>
  <c r="I5118" i="3" s="1"/>
  <c r="M5117" i="3"/>
  <c r="L5117" i="3"/>
  <c r="J5117" i="3"/>
  <c r="K5117" i="3" s="1"/>
  <c r="H5117" i="3"/>
  <c r="G5117" i="3"/>
  <c r="M5116" i="3"/>
  <c r="L5116" i="3"/>
  <c r="J5116" i="3"/>
  <c r="K5116" i="3" s="1"/>
  <c r="H5116" i="3"/>
  <c r="G5116" i="3"/>
  <c r="I5116" i="3" s="1"/>
  <c r="M5115" i="3"/>
  <c r="L5115" i="3"/>
  <c r="J5115" i="3"/>
  <c r="K5115" i="3" s="1"/>
  <c r="H5115" i="3"/>
  <c r="G5115" i="3"/>
  <c r="M5114" i="3"/>
  <c r="L5114" i="3"/>
  <c r="J5114" i="3"/>
  <c r="K5114" i="3" s="1"/>
  <c r="H5114" i="3"/>
  <c r="G5114" i="3"/>
  <c r="M5305" i="3"/>
  <c r="L5305" i="3"/>
  <c r="J5305" i="3"/>
  <c r="K5305" i="3" s="1"/>
  <c r="H5305" i="3"/>
  <c r="G5305" i="3"/>
  <c r="M5304" i="3"/>
  <c r="L5304" i="3"/>
  <c r="J5304" i="3"/>
  <c r="K5304" i="3" s="1"/>
  <c r="H5304" i="3"/>
  <c r="G5304" i="3"/>
  <c r="M5303" i="3"/>
  <c r="L5303" i="3"/>
  <c r="J5303" i="3"/>
  <c r="K5303" i="3" s="1"/>
  <c r="H5303" i="3"/>
  <c r="G5303" i="3"/>
  <c r="M5302" i="3"/>
  <c r="L5302" i="3"/>
  <c r="J5302" i="3"/>
  <c r="K5302" i="3" s="1"/>
  <c r="H5302" i="3"/>
  <c r="G5302" i="3"/>
  <c r="M5301" i="3"/>
  <c r="L5301" i="3"/>
  <c r="J5301" i="3"/>
  <c r="K5301" i="3" s="1"/>
  <c r="H5301" i="3"/>
  <c r="G5301" i="3"/>
  <c r="M5300" i="3"/>
  <c r="L5300" i="3"/>
  <c r="J5300" i="3"/>
  <c r="K5300" i="3" s="1"/>
  <c r="H5300" i="3"/>
  <c r="G5300" i="3"/>
  <c r="M5299" i="3"/>
  <c r="L5299" i="3"/>
  <c r="J5299" i="3"/>
  <c r="K5299" i="3" s="1"/>
  <c r="H5299" i="3"/>
  <c r="G5299" i="3"/>
  <c r="M5298" i="3"/>
  <c r="L5298" i="3"/>
  <c r="K5298" i="3"/>
  <c r="J5298" i="3"/>
  <c r="H5298" i="3"/>
  <c r="G5298" i="3"/>
  <c r="M5297" i="3"/>
  <c r="L5297" i="3"/>
  <c r="J5297" i="3"/>
  <c r="K5297" i="3" s="1"/>
  <c r="H5297" i="3"/>
  <c r="G5297" i="3"/>
  <c r="M5296" i="3"/>
  <c r="L5296" i="3"/>
  <c r="J5296" i="3"/>
  <c r="K5296" i="3" s="1"/>
  <c r="H5296" i="3"/>
  <c r="G5296" i="3"/>
  <c r="I5296" i="3" s="1"/>
  <c r="M5295" i="3"/>
  <c r="L5295" i="3"/>
  <c r="J5295" i="3"/>
  <c r="K5295" i="3" s="1"/>
  <c r="H5295" i="3"/>
  <c r="G5295" i="3"/>
  <c r="M5294" i="3"/>
  <c r="L5294" i="3"/>
  <c r="J5294" i="3"/>
  <c r="K5294" i="3" s="1"/>
  <c r="H5294" i="3"/>
  <c r="G5294" i="3"/>
  <c r="I5294" i="3" s="1"/>
  <c r="M5293" i="3"/>
  <c r="L5293" i="3"/>
  <c r="J5293" i="3"/>
  <c r="K5293" i="3" s="1"/>
  <c r="H5293" i="3"/>
  <c r="G5293" i="3"/>
  <c r="M5292" i="3"/>
  <c r="L5292" i="3"/>
  <c r="J5292" i="3"/>
  <c r="K5292" i="3" s="1"/>
  <c r="H5292" i="3"/>
  <c r="G5292" i="3"/>
  <c r="I5292" i="3" s="1"/>
  <c r="M5291" i="3"/>
  <c r="L5291" i="3"/>
  <c r="J5291" i="3"/>
  <c r="K5291" i="3" s="1"/>
  <c r="H5291" i="3"/>
  <c r="G5291" i="3"/>
  <c r="M5290" i="3"/>
  <c r="L5290" i="3"/>
  <c r="J5290" i="3"/>
  <c r="K5290" i="3" s="1"/>
  <c r="H5290" i="3"/>
  <c r="G5290" i="3"/>
  <c r="M5289" i="3"/>
  <c r="L5289" i="3"/>
  <c r="J5289" i="3"/>
  <c r="K5289" i="3" s="1"/>
  <c r="H5289" i="3"/>
  <c r="G5289" i="3"/>
  <c r="M5288" i="3"/>
  <c r="L5288" i="3"/>
  <c r="J5288" i="3"/>
  <c r="K5288" i="3" s="1"/>
  <c r="H5288" i="3"/>
  <c r="G5288" i="3"/>
  <c r="M5287" i="3"/>
  <c r="L5287" i="3"/>
  <c r="J5287" i="3"/>
  <c r="K5287" i="3" s="1"/>
  <c r="H5287" i="3"/>
  <c r="G5287" i="3"/>
  <c r="M5286" i="3"/>
  <c r="L5286" i="3"/>
  <c r="J5286" i="3"/>
  <c r="K5286" i="3" s="1"/>
  <c r="H5286" i="3"/>
  <c r="G5286" i="3"/>
  <c r="M5285" i="3"/>
  <c r="L5285" i="3"/>
  <c r="J5285" i="3"/>
  <c r="K5285" i="3" s="1"/>
  <c r="H5285" i="3"/>
  <c r="G5285" i="3"/>
  <c r="M5284" i="3"/>
  <c r="L5284" i="3"/>
  <c r="J5284" i="3"/>
  <c r="K5284" i="3" s="1"/>
  <c r="H5284" i="3"/>
  <c r="G5284" i="3"/>
  <c r="I5284" i="3" s="1"/>
  <c r="M5283" i="3"/>
  <c r="L5283" i="3"/>
  <c r="J5283" i="3"/>
  <c r="K5283" i="3" s="1"/>
  <c r="H5283" i="3"/>
  <c r="G5283" i="3"/>
  <c r="M5282" i="3"/>
  <c r="L5282" i="3"/>
  <c r="K5282" i="3"/>
  <c r="J5282" i="3"/>
  <c r="H5282" i="3"/>
  <c r="G5282" i="3"/>
  <c r="M5281" i="3"/>
  <c r="L5281" i="3"/>
  <c r="J5281" i="3"/>
  <c r="K5281" i="3" s="1"/>
  <c r="H5281" i="3"/>
  <c r="G5281" i="3"/>
  <c r="M5280" i="3"/>
  <c r="L5280" i="3"/>
  <c r="J5280" i="3"/>
  <c r="K5280" i="3" s="1"/>
  <c r="H5280" i="3"/>
  <c r="G5280" i="3"/>
  <c r="M5279" i="3"/>
  <c r="L5279" i="3"/>
  <c r="J5279" i="3"/>
  <c r="K5279" i="3" s="1"/>
  <c r="H5279" i="3"/>
  <c r="G5279" i="3"/>
  <c r="I5279" i="3" s="1"/>
  <c r="M5278" i="3"/>
  <c r="L5278" i="3"/>
  <c r="J5278" i="3"/>
  <c r="K5278" i="3" s="1"/>
  <c r="H5278" i="3"/>
  <c r="G5278" i="3"/>
  <c r="M5277" i="3"/>
  <c r="L5277" i="3"/>
  <c r="J5277" i="3"/>
  <c r="K5277" i="3" s="1"/>
  <c r="H5277" i="3"/>
  <c r="G5277" i="3"/>
  <c r="M5276" i="3"/>
  <c r="L5276" i="3"/>
  <c r="J5276" i="3"/>
  <c r="K5276" i="3" s="1"/>
  <c r="I5276" i="3"/>
  <c r="H5276" i="3"/>
  <c r="G5276" i="3"/>
  <c r="M5275" i="3"/>
  <c r="L5275" i="3"/>
  <c r="J5275" i="3"/>
  <c r="K5275" i="3" s="1"/>
  <c r="H5275" i="3"/>
  <c r="G5275" i="3"/>
  <c r="M5274" i="3"/>
  <c r="L5274" i="3"/>
  <c r="J5274" i="3"/>
  <c r="K5274" i="3" s="1"/>
  <c r="H5274" i="3"/>
  <c r="G5274" i="3"/>
  <c r="M5273" i="3"/>
  <c r="L5273" i="3"/>
  <c r="J5273" i="3"/>
  <c r="K5273" i="3" s="1"/>
  <c r="H5273" i="3"/>
  <c r="G5273" i="3"/>
  <c r="M5272" i="3"/>
  <c r="L5272" i="3"/>
  <c r="J5272" i="3"/>
  <c r="K5272" i="3" s="1"/>
  <c r="H5272" i="3"/>
  <c r="G5272" i="3"/>
  <c r="M5271" i="3"/>
  <c r="L5271" i="3"/>
  <c r="J5271" i="3"/>
  <c r="K5271" i="3" s="1"/>
  <c r="H5271" i="3"/>
  <c r="G5271" i="3"/>
  <c r="M5270" i="3"/>
  <c r="L5270" i="3"/>
  <c r="J5270" i="3"/>
  <c r="K5270" i="3" s="1"/>
  <c r="H5270" i="3"/>
  <c r="G5270" i="3"/>
  <c r="I5270" i="3" s="1"/>
  <c r="M5269" i="3"/>
  <c r="L5269" i="3"/>
  <c r="J5269" i="3"/>
  <c r="K5269" i="3" s="1"/>
  <c r="H5269" i="3"/>
  <c r="I5269" i="3" s="1"/>
  <c r="G5269" i="3"/>
  <c r="M5268" i="3"/>
  <c r="L5268" i="3"/>
  <c r="K5268" i="3"/>
  <c r="J5268" i="3"/>
  <c r="H5268" i="3"/>
  <c r="G5268" i="3"/>
  <c r="M5267" i="3"/>
  <c r="L5267" i="3"/>
  <c r="J5267" i="3"/>
  <c r="K5267" i="3" s="1"/>
  <c r="H5267" i="3"/>
  <c r="G5267" i="3"/>
  <c r="M5266" i="3"/>
  <c r="L5266" i="3"/>
  <c r="J5266" i="3"/>
  <c r="K5266" i="3" s="1"/>
  <c r="H5266" i="3"/>
  <c r="G5266" i="3"/>
  <c r="I5266" i="3" s="1"/>
  <c r="M5265" i="3"/>
  <c r="L5265" i="3"/>
  <c r="J5265" i="3"/>
  <c r="K5265" i="3" s="1"/>
  <c r="H5265" i="3"/>
  <c r="G5265" i="3"/>
  <c r="M5264" i="3"/>
  <c r="L5264" i="3"/>
  <c r="J5264" i="3"/>
  <c r="K5264" i="3" s="1"/>
  <c r="H5264" i="3"/>
  <c r="G5264" i="3"/>
  <c r="I5264" i="3" s="1"/>
  <c r="M5263" i="3"/>
  <c r="L5263" i="3"/>
  <c r="J5263" i="3"/>
  <c r="K5263" i="3" s="1"/>
  <c r="H5263" i="3"/>
  <c r="G5263" i="3"/>
  <c r="M5262" i="3"/>
  <c r="L5262" i="3"/>
  <c r="J5262" i="3"/>
  <c r="K5262" i="3" s="1"/>
  <c r="H5262" i="3"/>
  <c r="G5262" i="3"/>
  <c r="I5262" i="3" s="1"/>
  <c r="M5261" i="3"/>
  <c r="L5261" i="3"/>
  <c r="J5261" i="3"/>
  <c r="K5261" i="3" s="1"/>
  <c r="H5261" i="3"/>
  <c r="G5261" i="3"/>
  <c r="M5260" i="3"/>
  <c r="L5260" i="3"/>
  <c r="J5260" i="3"/>
  <c r="K5260" i="3" s="1"/>
  <c r="H5260" i="3"/>
  <c r="I5260" i="3" s="1"/>
  <c r="G5260" i="3"/>
  <c r="M5259" i="3"/>
  <c r="L5259" i="3"/>
  <c r="J5259" i="3"/>
  <c r="K5259" i="3" s="1"/>
  <c r="H5259" i="3"/>
  <c r="G5259" i="3"/>
  <c r="I5259" i="3" s="1"/>
  <c r="M5258" i="3"/>
  <c r="L5258" i="3"/>
  <c r="J5258" i="3"/>
  <c r="K5258" i="3" s="1"/>
  <c r="H5258" i="3"/>
  <c r="G5258" i="3"/>
  <c r="M5257" i="3"/>
  <c r="L5257" i="3"/>
  <c r="J5257" i="3"/>
  <c r="K5257" i="3" s="1"/>
  <c r="H5257" i="3"/>
  <c r="G5257" i="3"/>
  <c r="M5256" i="3"/>
  <c r="L5256" i="3"/>
  <c r="J5256" i="3"/>
  <c r="K5256" i="3" s="1"/>
  <c r="H5256" i="3"/>
  <c r="I5256" i="3" s="1"/>
  <c r="G5256" i="3"/>
  <c r="M5255" i="3"/>
  <c r="L5255" i="3"/>
  <c r="J5255" i="3"/>
  <c r="K5255" i="3" s="1"/>
  <c r="H5255" i="3"/>
  <c r="G5255" i="3"/>
  <c r="I5255" i="3" s="1"/>
  <c r="M5254" i="3"/>
  <c r="L5254" i="3"/>
  <c r="J5254" i="3"/>
  <c r="K5254" i="3" s="1"/>
  <c r="H5254" i="3"/>
  <c r="G5254" i="3"/>
  <c r="M5253" i="3"/>
  <c r="L5253" i="3"/>
  <c r="J5253" i="3"/>
  <c r="K5253" i="3" s="1"/>
  <c r="H5253" i="3"/>
  <c r="G5253" i="3"/>
  <c r="M5252" i="3"/>
  <c r="L5252" i="3"/>
  <c r="J5252" i="3"/>
  <c r="K5252" i="3" s="1"/>
  <c r="H5252" i="3"/>
  <c r="G5252" i="3"/>
  <c r="I5252" i="3" s="1"/>
  <c r="M5251" i="3"/>
  <c r="L5251" i="3"/>
  <c r="J5251" i="3"/>
  <c r="K5251" i="3" s="1"/>
  <c r="H5251" i="3"/>
  <c r="G5251" i="3"/>
  <c r="M5250" i="3"/>
  <c r="L5250" i="3"/>
  <c r="K5250" i="3"/>
  <c r="J5250" i="3"/>
  <c r="H5250" i="3"/>
  <c r="G5250" i="3"/>
  <c r="M5249" i="3"/>
  <c r="L5249" i="3"/>
  <c r="J5249" i="3"/>
  <c r="K5249" i="3" s="1"/>
  <c r="H5249" i="3"/>
  <c r="G5249" i="3"/>
  <c r="M5248" i="3"/>
  <c r="L5248" i="3"/>
  <c r="J5248" i="3"/>
  <c r="K5248" i="3" s="1"/>
  <c r="H5248" i="3"/>
  <c r="G5248" i="3"/>
  <c r="M5247" i="3"/>
  <c r="L5247" i="3"/>
  <c r="J5247" i="3"/>
  <c r="K5247" i="3" s="1"/>
  <c r="H5247" i="3"/>
  <c r="G5247" i="3"/>
  <c r="I5247" i="3" s="1"/>
  <c r="M5246" i="3"/>
  <c r="L5246" i="3"/>
  <c r="J5246" i="3"/>
  <c r="K5246" i="3" s="1"/>
  <c r="H5246" i="3"/>
  <c r="G5246" i="3"/>
  <c r="M5245" i="3"/>
  <c r="L5245" i="3"/>
  <c r="J5245" i="3"/>
  <c r="K5245" i="3" s="1"/>
  <c r="H5245" i="3"/>
  <c r="G5245" i="3"/>
  <c r="M5244" i="3"/>
  <c r="L5244" i="3"/>
  <c r="J5244" i="3"/>
  <c r="K5244" i="3" s="1"/>
  <c r="H5244" i="3"/>
  <c r="G5244" i="3"/>
  <c r="I5244" i="3" s="1"/>
  <c r="M5243" i="3"/>
  <c r="L5243" i="3"/>
  <c r="J5243" i="3"/>
  <c r="K5243" i="3" s="1"/>
  <c r="H5243" i="3"/>
  <c r="G5243" i="3"/>
  <c r="M5242" i="3"/>
  <c r="L5242" i="3"/>
  <c r="J5242" i="3"/>
  <c r="K5242" i="3" s="1"/>
  <c r="H5242" i="3"/>
  <c r="G5242" i="3"/>
  <c r="M5241" i="3"/>
  <c r="L5241" i="3"/>
  <c r="J5241" i="3"/>
  <c r="K5241" i="3" s="1"/>
  <c r="H5241" i="3"/>
  <c r="G5241" i="3"/>
  <c r="M5240" i="3"/>
  <c r="L5240" i="3"/>
  <c r="J5240" i="3"/>
  <c r="K5240" i="3" s="1"/>
  <c r="H5240" i="3"/>
  <c r="G5240" i="3"/>
  <c r="M5239" i="3"/>
  <c r="L5239" i="3"/>
  <c r="J5239" i="3"/>
  <c r="K5239" i="3" s="1"/>
  <c r="H5239" i="3"/>
  <c r="G5239" i="3"/>
  <c r="M5238" i="3"/>
  <c r="L5238" i="3"/>
  <c r="J5238" i="3"/>
  <c r="K5238" i="3" s="1"/>
  <c r="H5238" i="3"/>
  <c r="G5238" i="3"/>
  <c r="I5238" i="3" s="1"/>
  <c r="M5237" i="3"/>
  <c r="L5237" i="3"/>
  <c r="J5237" i="3"/>
  <c r="K5237" i="3" s="1"/>
  <c r="H5237" i="3"/>
  <c r="I5237" i="3" s="1"/>
  <c r="G5237" i="3"/>
  <c r="M5236" i="3"/>
  <c r="L5236" i="3"/>
  <c r="K5236" i="3"/>
  <c r="J5236" i="3"/>
  <c r="H5236" i="3"/>
  <c r="G5236" i="3"/>
  <c r="M5235" i="3"/>
  <c r="L5235" i="3"/>
  <c r="J5235" i="3"/>
  <c r="K5235" i="3" s="1"/>
  <c r="H5235" i="3"/>
  <c r="G5235" i="3"/>
  <c r="M5234" i="3"/>
  <c r="L5234" i="3"/>
  <c r="J5234" i="3"/>
  <c r="K5234" i="3" s="1"/>
  <c r="H5234" i="3"/>
  <c r="G5234" i="3"/>
  <c r="I5234" i="3" s="1"/>
  <c r="M5233" i="3"/>
  <c r="L5233" i="3"/>
  <c r="J5233" i="3"/>
  <c r="K5233" i="3" s="1"/>
  <c r="H5233" i="3"/>
  <c r="G5233" i="3"/>
  <c r="M5232" i="3"/>
  <c r="L5232" i="3"/>
  <c r="J5232" i="3"/>
  <c r="K5232" i="3" s="1"/>
  <c r="H5232" i="3"/>
  <c r="G5232" i="3"/>
  <c r="I5232" i="3" s="1"/>
  <c r="M5231" i="3"/>
  <c r="L5231" i="3"/>
  <c r="J5231" i="3"/>
  <c r="K5231" i="3" s="1"/>
  <c r="H5231" i="3"/>
  <c r="G5231" i="3"/>
  <c r="M5230" i="3"/>
  <c r="L5230" i="3"/>
  <c r="J5230" i="3"/>
  <c r="K5230" i="3" s="1"/>
  <c r="H5230" i="3"/>
  <c r="G5230" i="3"/>
  <c r="I5230" i="3" s="1"/>
  <c r="M5229" i="3"/>
  <c r="L5229" i="3"/>
  <c r="J5229" i="3"/>
  <c r="K5229" i="3" s="1"/>
  <c r="H5229" i="3"/>
  <c r="G5229" i="3"/>
  <c r="M5228" i="3"/>
  <c r="L5228" i="3"/>
  <c r="J5228" i="3"/>
  <c r="K5228" i="3" s="1"/>
  <c r="H5228" i="3"/>
  <c r="G5228" i="3"/>
  <c r="I5228" i="3" s="1"/>
  <c r="M5227" i="3"/>
  <c r="L5227" i="3"/>
  <c r="J5227" i="3"/>
  <c r="K5227" i="3" s="1"/>
  <c r="H5227" i="3"/>
  <c r="G5227" i="3"/>
  <c r="I5227" i="3" s="1"/>
  <c r="M5226" i="3"/>
  <c r="L5226" i="3"/>
  <c r="J5226" i="3"/>
  <c r="K5226" i="3" s="1"/>
  <c r="H5226" i="3"/>
  <c r="G5226" i="3"/>
  <c r="M5225" i="3"/>
  <c r="L5225" i="3"/>
  <c r="J5225" i="3"/>
  <c r="K5225" i="3" s="1"/>
  <c r="H5225" i="3"/>
  <c r="G5225" i="3"/>
  <c r="I5225" i="3" s="1"/>
  <c r="M5224" i="3"/>
  <c r="L5224" i="3"/>
  <c r="J5224" i="3"/>
  <c r="K5224" i="3" s="1"/>
  <c r="H5224" i="3"/>
  <c r="I5224" i="3" s="1"/>
  <c r="G5224" i="3"/>
  <c r="M5223" i="3"/>
  <c r="L5223" i="3"/>
  <c r="J5223" i="3"/>
  <c r="K5223" i="3" s="1"/>
  <c r="H5223" i="3"/>
  <c r="G5223" i="3"/>
  <c r="I5223" i="3" s="1"/>
  <c r="M5222" i="3"/>
  <c r="L5222" i="3"/>
  <c r="J5222" i="3"/>
  <c r="K5222" i="3" s="1"/>
  <c r="H5222" i="3"/>
  <c r="G5222" i="3"/>
  <c r="M5221" i="3"/>
  <c r="L5221" i="3"/>
  <c r="J5221" i="3"/>
  <c r="K5221" i="3" s="1"/>
  <c r="H5221" i="3"/>
  <c r="G5221" i="3"/>
  <c r="M5220" i="3"/>
  <c r="L5220" i="3"/>
  <c r="J5220" i="3"/>
  <c r="K5220" i="3" s="1"/>
  <c r="H5220" i="3"/>
  <c r="G5220" i="3"/>
  <c r="I5220" i="3" s="1"/>
  <c r="M5219" i="3"/>
  <c r="L5219" i="3"/>
  <c r="J5219" i="3"/>
  <c r="K5219" i="3" s="1"/>
  <c r="H5219" i="3"/>
  <c r="G5219" i="3"/>
  <c r="M5218" i="3"/>
  <c r="L5218" i="3"/>
  <c r="K5218" i="3"/>
  <c r="J5218" i="3"/>
  <c r="H5218" i="3"/>
  <c r="G5218" i="3"/>
  <c r="M5217" i="3"/>
  <c r="L5217" i="3"/>
  <c r="J5217" i="3"/>
  <c r="K5217" i="3" s="1"/>
  <c r="H5217" i="3"/>
  <c r="G5217" i="3"/>
  <c r="I5217" i="3" s="1"/>
  <c r="M5216" i="3"/>
  <c r="L5216" i="3"/>
  <c r="J5216" i="3"/>
  <c r="K5216" i="3" s="1"/>
  <c r="H5216" i="3"/>
  <c r="G5216" i="3"/>
  <c r="M5215" i="3"/>
  <c r="L5215" i="3"/>
  <c r="J5215" i="3"/>
  <c r="K5215" i="3" s="1"/>
  <c r="H5215" i="3"/>
  <c r="G5215" i="3"/>
  <c r="I5215" i="3" s="1"/>
  <c r="M5214" i="3"/>
  <c r="L5214" i="3"/>
  <c r="J5214" i="3"/>
  <c r="K5214" i="3" s="1"/>
  <c r="H5214" i="3"/>
  <c r="G5214" i="3"/>
  <c r="M5213" i="3"/>
  <c r="L5213" i="3"/>
  <c r="J5213" i="3"/>
  <c r="K5213" i="3" s="1"/>
  <c r="H5213" i="3"/>
  <c r="G5213" i="3"/>
  <c r="I5213" i="3" s="1"/>
  <c r="M5212" i="3"/>
  <c r="L5212" i="3"/>
  <c r="J5212" i="3"/>
  <c r="K5212" i="3" s="1"/>
  <c r="I5212" i="3"/>
  <c r="H5212" i="3"/>
  <c r="G5212" i="3"/>
  <c r="M5211" i="3"/>
  <c r="L5211" i="3"/>
  <c r="J5211" i="3"/>
  <c r="K5211" i="3" s="1"/>
  <c r="H5211" i="3"/>
  <c r="G5211" i="3"/>
  <c r="M5210" i="3"/>
  <c r="L5210" i="3"/>
  <c r="J5210" i="3"/>
  <c r="K5210" i="3" s="1"/>
  <c r="H5210" i="3"/>
  <c r="G5210" i="3"/>
  <c r="M5401" i="3"/>
  <c r="L5401" i="3"/>
  <c r="J5401" i="3"/>
  <c r="K5401" i="3" s="1"/>
  <c r="H5401" i="3"/>
  <c r="G5401" i="3"/>
  <c r="M5400" i="3"/>
  <c r="L5400" i="3"/>
  <c r="J5400" i="3"/>
  <c r="K5400" i="3" s="1"/>
  <c r="H5400" i="3"/>
  <c r="G5400" i="3"/>
  <c r="M5399" i="3"/>
  <c r="L5399" i="3"/>
  <c r="J5399" i="3"/>
  <c r="K5399" i="3" s="1"/>
  <c r="H5399" i="3"/>
  <c r="G5399" i="3"/>
  <c r="M5398" i="3"/>
  <c r="L5398" i="3"/>
  <c r="J5398" i="3"/>
  <c r="K5398" i="3" s="1"/>
  <c r="H5398" i="3"/>
  <c r="G5398" i="3"/>
  <c r="I5398" i="3" s="1"/>
  <c r="M5397" i="3"/>
  <c r="L5397" i="3"/>
  <c r="J5397" i="3"/>
  <c r="K5397" i="3" s="1"/>
  <c r="H5397" i="3"/>
  <c r="G5397" i="3"/>
  <c r="M5396" i="3"/>
  <c r="L5396" i="3"/>
  <c r="J5396" i="3"/>
  <c r="K5396" i="3" s="1"/>
  <c r="H5396" i="3"/>
  <c r="G5396" i="3"/>
  <c r="I5396" i="3" s="1"/>
  <c r="M5395" i="3"/>
  <c r="L5395" i="3"/>
  <c r="J5395" i="3"/>
  <c r="K5395" i="3" s="1"/>
  <c r="H5395" i="3"/>
  <c r="G5395" i="3"/>
  <c r="M5394" i="3"/>
  <c r="L5394" i="3"/>
  <c r="J5394" i="3"/>
  <c r="K5394" i="3" s="1"/>
  <c r="H5394" i="3"/>
  <c r="G5394" i="3"/>
  <c r="I5394" i="3" s="1"/>
  <c r="M5393" i="3"/>
  <c r="L5393" i="3"/>
  <c r="J5393" i="3"/>
  <c r="K5393" i="3" s="1"/>
  <c r="H5393" i="3"/>
  <c r="G5393" i="3"/>
  <c r="M5392" i="3"/>
  <c r="L5392" i="3"/>
  <c r="J5392" i="3"/>
  <c r="K5392" i="3" s="1"/>
  <c r="H5392" i="3"/>
  <c r="G5392" i="3"/>
  <c r="M5391" i="3"/>
  <c r="L5391" i="3"/>
  <c r="J5391" i="3"/>
  <c r="K5391" i="3" s="1"/>
  <c r="H5391" i="3"/>
  <c r="G5391" i="3"/>
  <c r="M5390" i="3"/>
  <c r="L5390" i="3"/>
  <c r="J5390" i="3"/>
  <c r="K5390" i="3" s="1"/>
  <c r="H5390" i="3"/>
  <c r="G5390" i="3"/>
  <c r="I5390" i="3" s="1"/>
  <c r="M5389" i="3"/>
  <c r="L5389" i="3"/>
  <c r="J5389" i="3"/>
  <c r="K5389" i="3" s="1"/>
  <c r="H5389" i="3"/>
  <c r="G5389" i="3"/>
  <c r="M5388" i="3"/>
  <c r="L5388" i="3"/>
  <c r="J5388" i="3"/>
  <c r="K5388" i="3" s="1"/>
  <c r="H5388" i="3"/>
  <c r="G5388" i="3"/>
  <c r="I5388" i="3" s="1"/>
  <c r="M5387" i="3"/>
  <c r="L5387" i="3"/>
  <c r="J5387" i="3"/>
  <c r="K5387" i="3" s="1"/>
  <c r="H5387" i="3"/>
  <c r="G5387" i="3"/>
  <c r="M5386" i="3"/>
  <c r="L5386" i="3"/>
  <c r="J5386" i="3"/>
  <c r="K5386" i="3" s="1"/>
  <c r="H5386" i="3"/>
  <c r="G5386" i="3"/>
  <c r="I5386" i="3" s="1"/>
  <c r="M5385" i="3"/>
  <c r="L5385" i="3"/>
  <c r="J5385" i="3"/>
  <c r="K5385" i="3" s="1"/>
  <c r="H5385" i="3"/>
  <c r="G5385" i="3"/>
  <c r="M5384" i="3"/>
  <c r="L5384" i="3"/>
  <c r="J5384" i="3"/>
  <c r="K5384" i="3" s="1"/>
  <c r="H5384" i="3"/>
  <c r="G5384" i="3"/>
  <c r="M5383" i="3"/>
  <c r="L5383" i="3"/>
  <c r="J5383" i="3"/>
  <c r="K5383" i="3" s="1"/>
  <c r="H5383" i="3"/>
  <c r="G5383" i="3"/>
  <c r="M5382" i="3"/>
  <c r="L5382" i="3"/>
  <c r="J5382" i="3"/>
  <c r="K5382" i="3" s="1"/>
  <c r="H5382" i="3"/>
  <c r="G5382" i="3"/>
  <c r="I5382" i="3" s="1"/>
  <c r="M5381" i="3"/>
  <c r="L5381" i="3"/>
  <c r="J5381" i="3"/>
  <c r="K5381" i="3" s="1"/>
  <c r="H5381" i="3"/>
  <c r="G5381" i="3"/>
  <c r="M5380" i="3"/>
  <c r="L5380" i="3"/>
  <c r="J5380" i="3"/>
  <c r="K5380" i="3" s="1"/>
  <c r="H5380" i="3"/>
  <c r="G5380" i="3"/>
  <c r="I5380" i="3" s="1"/>
  <c r="M5379" i="3"/>
  <c r="L5379" i="3"/>
  <c r="J5379" i="3"/>
  <c r="K5379" i="3" s="1"/>
  <c r="H5379" i="3"/>
  <c r="G5379" i="3"/>
  <c r="M5378" i="3"/>
  <c r="L5378" i="3"/>
  <c r="J5378" i="3"/>
  <c r="K5378" i="3" s="1"/>
  <c r="H5378" i="3"/>
  <c r="G5378" i="3"/>
  <c r="I5378" i="3" s="1"/>
  <c r="M5377" i="3"/>
  <c r="L5377" i="3"/>
  <c r="J5377" i="3"/>
  <c r="K5377" i="3" s="1"/>
  <c r="H5377" i="3"/>
  <c r="G5377" i="3"/>
  <c r="M5376" i="3"/>
  <c r="L5376" i="3"/>
  <c r="J5376" i="3"/>
  <c r="K5376" i="3" s="1"/>
  <c r="H5376" i="3"/>
  <c r="G5376" i="3"/>
  <c r="M5375" i="3"/>
  <c r="L5375" i="3"/>
  <c r="J5375" i="3"/>
  <c r="K5375" i="3" s="1"/>
  <c r="H5375" i="3"/>
  <c r="G5375" i="3"/>
  <c r="M5374" i="3"/>
  <c r="L5374" i="3"/>
  <c r="J5374" i="3"/>
  <c r="K5374" i="3" s="1"/>
  <c r="H5374" i="3"/>
  <c r="G5374" i="3"/>
  <c r="I5374" i="3" s="1"/>
  <c r="M5373" i="3"/>
  <c r="L5373" i="3"/>
  <c r="J5373" i="3"/>
  <c r="K5373" i="3" s="1"/>
  <c r="H5373" i="3"/>
  <c r="G5373" i="3"/>
  <c r="M5372" i="3"/>
  <c r="L5372" i="3"/>
  <c r="J5372" i="3"/>
  <c r="K5372" i="3" s="1"/>
  <c r="H5372" i="3"/>
  <c r="G5372" i="3"/>
  <c r="I5372" i="3" s="1"/>
  <c r="M5371" i="3"/>
  <c r="L5371" i="3"/>
  <c r="J5371" i="3"/>
  <c r="K5371" i="3" s="1"/>
  <c r="H5371" i="3"/>
  <c r="G5371" i="3"/>
  <c r="M5370" i="3"/>
  <c r="L5370" i="3"/>
  <c r="J5370" i="3"/>
  <c r="K5370" i="3" s="1"/>
  <c r="H5370" i="3"/>
  <c r="G5370" i="3"/>
  <c r="I5370" i="3" s="1"/>
  <c r="M5369" i="3"/>
  <c r="L5369" i="3"/>
  <c r="J5369" i="3"/>
  <c r="K5369" i="3" s="1"/>
  <c r="H5369" i="3"/>
  <c r="G5369" i="3"/>
  <c r="M5368" i="3"/>
  <c r="L5368" i="3"/>
  <c r="J5368" i="3"/>
  <c r="K5368" i="3" s="1"/>
  <c r="H5368" i="3"/>
  <c r="G5368" i="3"/>
  <c r="M5367" i="3"/>
  <c r="L5367" i="3"/>
  <c r="J5367" i="3"/>
  <c r="K5367" i="3" s="1"/>
  <c r="H5367" i="3"/>
  <c r="G5367" i="3"/>
  <c r="M5366" i="3"/>
  <c r="L5366" i="3"/>
  <c r="J5366" i="3"/>
  <c r="K5366" i="3" s="1"/>
  <c r="H5366" i="3"/>
  <c r="G5366" i="3"/>
  <c r="I5366" i="3" s="1"/>
  <c r="M5365" i="3"/>
  <c r="L5365" i="3"/>
  <c r="J5365" i="3"/>
  <c r="K5365" i="3" s="1"/>
  <c r="H5365" i="3"/>
  <c r="G5365" i="3"/>
  <c r="M5364" i="3"/>
  <c r="L5364" i="3"/>
  <c r="J5364" i="3"/>
  <c r="K5364" i="3" s="1"/>
  <c r="H5364" i="3"/>
  <c r="G5364" i="3"/>
  <c r="I5364" i="3" s="1"/>
  <c r="M5363" i="3"/>
  <c r="L5363" i="3"/>
  <c r="J5363" i="3"/>
  <c r="K5363" i="3" s="1"/>
  <c r="H5363" i="3"/>
  <c r="G5363" i="3"/>
  <c r="M5362" i="3"/>
  <c r="L5362" i="3"/>
  <c r="J5362" i="3"/>
  <c r="K5362" i="3" s="1"/>
  <c r="H5362" i="3"/>
  <c r="G5362" i="3"/>
  <c r="I5362" i="3" s="1"/>
  <c r="M5361" i="3"/>
  <c r="L5361" i="3"/>
  <c r="J5361" i="3"/>
  <c r="K5361" i="3" s="1"/>
  <c r="H5361" i="3"/>
  <c r="G5361" i="3"/>
  <c r="M5360" i="3"/>
  <c r="L5360" i="3"/>
  <c r="J5360" i="3"/>
  <c r="K5360" i="3" s="1"/>
  <c r="H5360" i="3"/>
  <c r="G5360" i="3"/>
  <c r="M5359" i="3"/>
  <c r="L5359" i="3"/>
  <c r="J5359" i="3"/>
  <c r="K5359" i="3" s="1"/>
  <c r="H5359" i="3"/>
  <c r="G5359" i="3"/>
  <c r="M5358" i="3"/>
  <c r="L5358" i="3"/>
  <c r="J5358" i="3"/>
  <c r="K5358" i="3" s="1"/>
  <c r="H5358" i="3"/>
  <c r="G5358" i="3"/>
  <c r="I5358" i="3" s="1"/>
  <c r="M5357" i="3"/>
  <c r="L5357" i="3"/>
  <c r="J5357" i="3"/>
  <c r="K5357" i="3" s="1"/>
  <c r="H5357" i="3"/>
  <c r="G5357" i="3"/>
  <c r="M5356" i="3"/>
  <c r="L5356" i="3"/>
  <c r="J5356" i="3"/>
  <c r="K5356" i="3" s="1"/>
  <c r="H5356" i="3"/>
  <c r="G5356" i="3"/>
  <c r="I5356" i="3" s="1"/>
  <c r="M5355" i="3"/>
  <c r="L5355" i="3"/>
  <c r="J5355" i="3"/>
  <c r="K5355" i="3" s="1"/>
  <c r="H5355" i="3"/>
  <c r="G5355" i="3"/>
  <c r="M5354" i="3"/>
  <c r="L5354" i="3"/>
  <c r="J5354" i="3"/>
  <c r="K5354" i="3" s="1"/>
  <c r="H5354" i="3"/>
  <c r="G5354" i="3"/>
  <c r="I5354" i="3" s="1"/>
  <c r="M5353" i="3"/>
  <c r="L5353" i="3"/>
  <c r="J5353" i="3"/>
  <c r="K5353" i="3" s="1"/>
  <c r="H5353" i="3"/>
  <c r="G5353" i="3"/>
  <c r="M5352" i="3"/>
  <c r="L5352" i="3"/>
  <c r="J5352" i="3"/>
  <c r="K5352" i="3" s="1"/>
  <c r="H5352" i="3"/>
  <c r="G5352" i="3"/>
  <c r="M5351" i="3"/>
  <c r="L5351" i="3"/>
  <c r="J5351" i="3"/>
  <c r="K5351" i="3" s="1"/>
  <c r="H5351" i="3"/>
  <c r="G5351" i="3"/>
  <c r="M5350" i="3"/>
  <c r="L5350" i="3"/>
  <c r="J5350" i="3"/>
  <c r="K5350" i="3" s="1"/>
  <c r="H5350" i="3"/>
  <c r="G5350" i="3"/>
  <c r="I5350" i="3" s="1"/>
  <c r="M5349" i="3"/>
  <c r="L5349" i="3"/>
  <c r="J5349" i="3"/>
  <c r="K5349" i="3" s="1"/>
  <c r="H5349" i="3"/>
  <c r="G5349" i="3"/>
  <c r="M5348" i="3"/>
  <c r="L5348" i="3"/>
  <c r="J5348" i="3"/>
  <c r="K5348" i="3" s="1"/>
  <c r="H5348" i="3"/>
  <c r="G5348" i="3"/>
  <c r="I5348" i="3" s="1"/>
  <c r="M5347" i="3"/>
  <c r="L5347" i="3"/>
  <c r="J5347" i="3"/>
  <c r="K5347" i="3" s="1"/>
  <c r="H5347" i="3"/>
  <c r="G5347" i="3"/>
  <c r="M5346" i="3"/>
  <c r="L5346" i="3"/>
  <c r="J5346" i="3"/>
  <c r="K5346" i="3" s="1"/>
  <c r="H5346" i="3"/>
  <c r="G5346" i="3"/>
  <c r="I5346" i="3" s="1"/>
  <c r="M5345" i="3"/>
  <c r="L5345" i="3"/>
  <c r="J5345" i="3"/>
  <c r="K5345" i="3" s="1"/>
  <c r="H5345" i="3"/>
  <c r="G5345" i="3"/>
  <c r="M5344" i="3"/>
  <c r="L5344" i="3"/>
  <c r="J5344" i="3"/>
  <c r="K5344" i="3" s="1"/>
  <c r="H5344" i="3"/>
  <c r="G5344" i="3"/>
  <c r="M5343" i="3"/>
  <c r="L5343" i="3"/>
  <c r="J5343" i="3"/>
  <c r="K5343" i="3" s="1"/>
  <c r="H5343" i="3"/>
  <c r="G5343" i="3"/>
  <c r="M5342" i="3"/>
  <c r="L5342" i="3"/>
  <c r="J5342" i="3"/>
  <c r="K5342" i="3" s="1"/>
  <c r="H5342" i="3"/>
  <c r="G5342" i="3"/>
  <c r="I5342" i="3" s="1"/>
  <c r="M5341" i="3"/>
  <c r="L5341" i="3"/>
  <c r="J5341" i="3"/>
  <c r="K5341" i="3" s="1"/>
  <c r="H5341" i="3"/>
  <c r="G5341" i="3"/>
  <c r="M5340" i="3"/>
  <c r="L5340" i="3"/>
  <c r="J5340" i="3"/>
  <c r="K5340" i="3" s="1"/>
  <c r="H5340" i="3"/>
  <c r="G5340" i="3"/>
  <c r="I5340" i="3" s="1"/>
  <c r="M5339" i="3"/>
  <c r="L5339" i="3"/>
  <c r="J5339" i="3"/>
  <c r="K5339" i="3" s="1"/>
  <c r="H5339" i="3"/>
  <c r="G5339" i="3"/>
  <c r="M5338" i="3"/>
  <c r="L5338" i="3"/>
  <c r="J5338" i="3"/>
  <c r="K5338" i="3" s="1"/>
  <c r="H5338" i="3"/>
  <c r="G5338" i="3"/>
  <c r="I5338" i="3" s="1"/>
  <c r="M5337" i="3"/>
  <c r="L5337" i="3"/>
  <c r="J5337" i="3"/>
  <c r="K5337" i="3" s="1"/>
  <c r="H5337" i="3"/>
  <c r="G5337" i="3"/>
  <c r="M5336" i="3"/>
  <c r="L5336" i="3"/>
  <c r="J5336" i="3"/>
  <c r="K5336" i="3" s="1"/>
  <c r="H5336" i="3"/>
  <c r="G5336" i="3"/>
  <c r="M5335" i="3"/>
  <c r="L5335" i="3"/>
  <c r="J5335" i="3"/>
  <c r="K5335" i="3" s="1"/>
  <c r="H5335" i="3"/>
  <c r="G5335" i="3"/>
  <c r="M5334" i="3"/>
  <c r="L5334" i="3"/>
  <c r="J5334" i="3"/>
  <c r="K5334" i="3" s="1"/>
  <c r="H5334" i="3"/>
  <c r="G5334" i="3"/>
  <c r="I5334" i="3" s="1"/>
  <c r="M5333" i="3"/>
  <c r="L5333" i="3"/>
  <c r="J5333" i="3"/>
  <c r="K5333" i="3" s="1"/>
  <c r="H5333" i="3"/>
  <c r="G5333" i="3"/>
  <c r="M5332" i="3"/>
  <c r="L5332" i="3"/>
  <c r="J5332" i="3"/>
  <c r="K5332" i="3" s="1"/>
  <c r="H5332" i="3"/>
  <c r="G5332" i="3"/>
  <c r="I5332" i="3" s="1"/>
  <c r="M5331" i="3"/>
  <c r="L5331" i="3"/>
  <c r="J5331" i="3"/>
  <c r="K5331" i="3" s="1"/>
  <c r="H5331" i="3"/>
  <c r="G5331" i="3"/>
  <c r="M5330" i="3"/>
  <c r="L5330" i="3"/>
  <c r="J5330" i="3"/>
  <c r="K5330" i="3" s="1"/>
  <c r="H5330" i="3"/>
  <c r="G5330" i="3"/>
  <c r="I5330" i="3" s="1"/>
  <c r="M5329" i="3"/>
  <c r="L5329" i="3"/>
  <c r="J5329" i="3"/>
  <c r="K5329" i="3" s="1"/>
  <c r="H5329" i="3"/>
  <c r="G5329" i="3"/>
  <c r="M5328" i="3"/>
  <c r="L5328" i="3"/>
  <c r="J5328" i="3"/>
  <c r="K5328" i="3" s="1"/>
  <c r="H5328" i="3"/>
  <c r="G5328" i="3"/>
  <c r="M5327" i="3"/>
  <c r="L5327" i="3"/>
  <c r="J5327" i="3"/>
  <c r="K5327" i="3" s="1"/>
  <c r="H5327" i="3"/>
  <c r="G5327" i="3"/>
  <c r="M5326" i="3"/>
  <c r="L5326" i="3"/>
  <c r="J5326" i="3"/>
  <c r="K5326" i="3" s="1"/>
  <c r="H5326" i="3"/>
  <c r="G5326" i="3"/>
  <c r="I5326" i="3" s="1"/>
  <c r="M5325" i="3"/>
  <c r="L5325" i="3"/>
  <c r="J5325" i="3"/>
  <c r="K5325" i="3" s="1"/>
  <c r="H5325" i="3"/>
  <c r="G5325" i="3"/>
  <c r="M5324" i="3"/>
  <c r="L5324" i="3"/>
  <c r="J5324" i="3"/>
  <c r="K5324" i="3" s="1"/>
  <c r="H5324" i="3"/>
  <c r="G5324" i="3"/>
  <c r="I5324" i="3" s="1"/>
  <c r="M5323" i="3"/>
  <c r="L5323" i="3"/>
  <c r="J5323" i="3"/>
  <c r="K5323" i="3" s="1"/>
  <c r="H5323" i="3"/>
  <c r="G5323" i="3"/>
  <c r="M5322" i="3"/>
  <c r="L5322" i="3"/>
  <c r="J5322" i="3"/>
  <c r="K5322" i="3" s="1"/>
  <c r="H5322" i="3"/>
  <c r="G5322" i="3"/>
  <c r="I5322" i="3" s="1"/>
  <c r="M5321" i="3"/>
  <c r="L5321" i="3"/>
  <c r="J5321" i="3"/>
  <c r="K5321" i="3" s="1"/>
  <c r="H5321" i="3"/>
  <c r="G5321" i="3"/>
  <c r="M5320" i="3"/>
  <c r="L5320" i="3"/>
  <c r="J5320" i="3"/>
  <c r="K5320" i="3" s="1"/>
  <c r="H5320" i="3"/>
  <c r="G5320" i="3"/>
  <c r="M5319" i="3"/>
  <c r="L5319" i="3"/>
  <c r="J5319" i="3"/>
  <c r="K5319" i="3" s="1"/>
  <c r="H5319" i="3"/>
  <c r="G5319" i="3"/>
  <c r="M5318" i="3"/>
  <c r="L5318" i="3"/>
  <c r="J5318" i="3"/>
  <c r="K5318" i="3" s="1"/>
  <c r="H5318" i="3"/>
  <c r="G5318" i="3"/>
  <c r="I5318" i="3" s="1"/>
  <c r="M5317" i="3"/>
  <c r="L5317" i="3"/>
  <c r="J5317" i="3"/>
  <c r="K5317" i="3" s="1"/>
  <c r="H5317" i="3"/>
  <c r="G5317" i="3"/>
  <c r="M5316" i="3"/>
  <c r="L5316" i="3"/>
  <c r="J5316" i="3"/>
  <c r="K5316" i="3" s="1"/>
  <c r="H5316" i="3"/>
  <c r="G5316" i="3"/>
  <c r="I5316" i="3" s="1"/>
  <c r="M5315" i="3"/>
  <c r="L5315" i="3"/>
  <c r="J5315" i="3"/>
  <c r="K5315" i="3" s="1"/>
  <c r="H5315" i="3"/>
  <c r="G5315" i="3"/>
  <c r="M5314" i="3"/>
  <c r="L5314" i="3"/>
  <c r="J5314" i="3"/>
  <c r="K5314" i="3" s="1"/>
  <c r="H5314" i="3"/>
  <c r="G5314" i="3"/>
  <c r="I5314" i="3" s="1"/>
  <c r="M5313" i="3"/>
  <c r="L5313" i="3"/>
  <c r="J5313" i="3"/>
  <c r="K5313" i="3" s="1"/>
  <c r="H5313" i="3"/>
  <c r="G5313" i="3"/>
  <c r="M5312" i="3"/>
  <c r="L5312" i="3"/>
  <c r="J5312" i="3"/>
  <c r="K5312" i="3" s="1"/>
  <c r="H5312" i="3"/>
  <c r="G5312" i="3"/>
  <c r="M5311" i="3"/>
  <c r="L5311" i="3"/>
  <c r="J5311" i="3"/>
  <c r="K5311" i="3" s="1"/>
  <c r="H5311" i="3"/>
  <c r="G5311" i="3"/>
  <c r="M5310" i="3"/>
  <c r="L5310" i="3"/>
  <c r="J5310" i="3"/>
  <c r="K5310" i="3" s="1"/>
  <c r="H5310" i="3"/>
  <c r="G5310" i="3"/>
  <c r="I5310" i="3" s="1"/>
  <c r="M5309" i="3"/>
  <c r="L5309" i="3"/>
  <c r="J5309" i="3"/>
  <c r="K5309" i="3" s="1"/>
  <c r="H5309" i="3"/>
  <c r="G5309" i="3"/>
  <c r="M5308" i="3"/>
  <c r="L5308" i="3"/>
  <c r="J5308" i="3"/>
  <c r="K5308" i="3" s="1"/>
  <c r="H5308" i="3"/>
  <c r="G5308" i="3"/>
  <c r="I5308" i="3" s="1"/>
  <c r="M5307" i="3"/>
  <c r="L5307" i="3"/>
  <c r="J5307" i="3"/>
  <c r="K5307" i="3" s="1"/>
  <c r="H5307" i="3"/>
  <c r="G5307" i="3"/>
  <c r="M5306" i="3"/>
  <c r="L5306" i="3"/>
  <c r="J5306" i="3"/>
  <c r="K5306" i="3" s="1"/>
  <c r="H5306" i="3"/>
  <c r="G5306" i="3"/>
  <c r="I5306" i="3" s="1"/>
  <c r="M5497" i="3"/>
  <c r="L5497" i="3"/>
  <c r="J5497" i="3"/>
  <c r="K5497" i="3" s="1"/>
  <c r="H5497" i="3"/>
  <c r="G5497" i="3"/>
  <c r="M5496" i="3"/>
  <c r="L5496" i="3"/>
  <c r="J5496" i="3"/>
  <c r="K5496" i="3" s="1"/>
  <c r="H5496" i="3"/>
  <c r="G5496" i="3"/>
  <c r="I5496" i="3" s="1"/>
  <c r="M5495" i="3"/>
  <c r="L5495" i="3"/>
  <c r="J5495" i="3"/>
  <c r="K5495" i="3" s="1"/>
  <c r="H5495" i="3"/>
  <c r="G5495" i="3"/>
  <c r="I5495" i="3" s="1"/>
  <c r="M5494" i="3"/>
  <c r="L5494" i="3"/>
  <c r="J5494" i="3"/>
  <c r="K5494" i="3" s="1"/>
  <c r="H5494" i="3"/>
  <c r="G5494" i="3"/>
  <c r="M5493" i="3"/>
  <c r="L5493" i="3"/>
  <c r="J5493" i="3"/>
  <c r="K5493" i="3" s="1"/>
  <c r="H5493" i="3"/>
  <c r="G5493" i="3"/>
  <c r="I5493" i="3" s="1"/>
  <c r="M5492" i="3"/>
  <c r="L5492" i="3"/>
  <c r="J5492" i="3"/>
  <c r="K5492" i="3" s="1"/>
  <c r="H5492" i="3"/>
  <c r="I5492" i="3" s="1"/>
  <c r="G5492" i="3"/>
  <c r="M5491" i="3"/>
  <c r="L5491" i="3"/>
  <c r="J5491" i="3"/>
  <c r="K5491" i="3" s="1"/>
  <c r="H5491" i="3"/>
  <c r="G5491" i="3"/>
  <c r="I5491" i="3" s="1"/>
  <c r="M5490" i="3"/>
  <c r="L5490" i="3"/>
  <c r="J5490" i="3"/>
  <c r="K5490" i="3" s="1"/>
  <c r="H5490" i="3"/>
  <c r="G5490" i="3"/>
  <c r="M5489" i="3"/>
  <c r="L5489" i="3"/>
  <c r="J5489" i="3"/>
  <c r="K5489" i="3" s="1"/>
  <c r="H5489" i="3"/>
  <c r="G5489" i="3"/>
  <c r="M5488" i="3"/>
  <c r="L5488" i="3"/>
  <c r="J5488" i="3"/>
  <c r="K5488" i="3" s="1"/>
  <c r="H5488" i="3"/>
  <c r="G5488" i="3"/>
  <c r="I5488" i="3" s="1"/>
  <c r="M5487" i="3"/>
  <c r="L5487" i="3"/>
  <c r="J5487" i="3"/>
  <c r="K5487" i="3" s="1"/>
  <c r="H5487" i="3"/>
  <c r="G5487" i="3"/>
  <c r="M5486" i="3"/>
  <c r="L5486" i="3"/>
  <c r="K5486" i="3"/>
  <c r="J5486" i="3"/>
  <c r="H5486" i="3"/>
  <c r="G5486" i="3"/>
  <c r="M5485" i="3"/>
  <c r="L5485" i="3"/>
  <c r="J5485" i="3"/>
  <c r="K5485" i="3" s="1"/>
  <c r="H5485" i="3"/>
  <c r="G5485" i="3"/>
  <c r="I5485" i="3" s="1"/>
  <c r="M5484" i="3"/>
  <c r="L5484" i="3"/>
  <c r="J5484" i="3"/>
  <c r="K5484" i="3" s="1"/>
  <c r="H5484" i="3"/>
  <c r="G5484" i="3"/>
  <c r="M5483" i="3"/>
  <c r="L5483" i="3"/>
  <c r="J5483" i="3"/>
  <c r="K5483" i="3" s="1"/>
  <c r="H5483" i="3"/>
  <c r="G5483" i="3"/>
  <c r="I5483" i="3" s="1"/>
  <c r="M5482" i="3"/>
  <c r="L5482" i="3"/>
  <c r="J5482" i="3"/>
  <c r="K5482" i="3" s="1"/>
  <c r="H5482" i="3"/>
  <c r="G5482" i="3"/>
  <c r="M5481" i="3"/>
  <c r="L5481" i="3"/>
  <c r="J5481" i="3"/>
  <c r="K5481" i="3" s="1"/>
  <c r="H5481" i="3"/>
  <c r="G5481" i="3"/>
  <c r="I5481" i="3" s="1"/>
  <c r="M5480" i="3"/>
  <c r="L5480" i="3"/>
  <c r="J5480" i="3"/>
  <c r="K5480" i="3" s="1"/>
  <c r="I5480" i="3"/>
  <c r="H5480" i="3"/>
  <c r="G5480" i="3"/>
  <c r="M5479" i="3"/>
  <c r="L5479" i="3"/>
  <c r="J5479" i="3"/>
  <c r="K5479" i="3" s="1"/>
  <c r="H5479" i="3"/>
  <c r="G5479" i="3"/>
  <c r="M5478" i="3"/>
  <c r="L5478" i="3"/>
  <c r="J5478" i="3"/>
  <c r="K5478" i="3" s="1"/>
  <c r="H5478" i="3"/>
  <c r="G5478" i="3"/>
  <c r="M5477" i="3"/>
  <c r="L5477" i="3"/>
  <c r="J5477" i="3"/>
  <c r="K5477" i="3" s="1"/>
  <c r="H5477" i="3"/>
  <c r="G5477" i="3"/>
  <c r="M5476" i="3"/>
  <c r="L5476" i="3"/>
  <c r="J5476" i="3"/>
  <c r="K5476" i="3" s="1"/>
  <c r="H5476" i="3"/>
  <c r="G5476" i="3"/>
  <c r="M5475" i="3"/>
  <c r="L5475" i="3"/>
  <c r="J5475" i="3"/>
  <c r="K5475" i="3" s="1"/>
  <c r="H5475" i="3"/>
  <c r="G5475" i="3"/>
  <c r="M5474" i="3"/>
  <c r="L5474" i="3"/>
  <c r="J5474" i="3"/>
  <c r="K5474" i="3" s="1"/>
  <c r="H5474" i="3"/>
  <c r="G5474" i="3"/>
  <c r="I5474" i="3" s="1"/>
  <c r="M5473" i="3"/>
  <c r="L5473" i="3"/>
  <c r="J5473" i="3"/>
  <c r="K5473" i="3" s="1"/>
  <c r="H5473" i="3"/>
  <c r="G5473" i="3"/>
  <c r="M5472" i="3"/>
  <c r="L5472" i="3"/>
  <c r="K5472" i="3"/>
  <c r="J5472" i="3"/>
  <c r="H5472" i="3"/>
  <c r="G5472" i="3"/>
  <c r="M5471" i="3"/>
  <c r="L5471" i="3"/>
  <c r="J5471" i="3"/>
  <c r="K5471" i="3" s="1"/>
  <c r="H5471" i="3"/>
  <c r="G5471" i="3"/>
  <c r="M5470" i="3"/>
  <c r="L5470" i="3"/>
  <c r="J5470" i="3"/>
  <c r="K5470" i="3" s="1"/>
  <c r="H5470" i="3"/>
  <c r="G5470" i="3"/>
  <c r="I5470" i="3" s="1"/>
  <c r="M5469" i="3"/>
  <c r="L5469" i="3"/>
  <c r="J5469" i="3"/>
  <c r="K5469" i="3" s="1"/>
  <c r="H5469" i="3"/>
  <c r="G5469" i="3"/>
  <c r="M5468" i="3"/>
  <c r="L5468" i="3"/>
  <c r="J5468" i="3"/>
  <c r="K5468" i="3" s="1"/>
  <c r="H5468" i="3"/>
  <c r="G5468" i="3"/>
  <c r="I5468" i="3" s="1"/>
  <c r="M5467" i="3"/>
  <c r="L5467" i="3"/>
  <c r="J5467" i="3"/>
  <c r="K5467" i="3" s="1"/>
  <c r="H5467" i="3"/>
  <c r="G5467" i="3"/>
  <c r="M5466" i="3"/>
  <c r="L5466" i="3"/>
  <c r="J5466" i="3"/>
  <c r="K5466" i="3" s="1"/>
  <c r="H5466" i="3"/>
  <c r="G5466" i="3"/>
  <c r="I5466" i="3" s="1"/>
  <c r="M5465" i="3"/>
  <c r="L5465" i="3"/>
  <c r="J5465" i="3"/>
  <c r="K5465" i="3" s="1"/>
  <c r="H5465" i="3"/>
  <c r="G5465" i="3"/>
  <c r="M5464" i="3"/>
  <c r="L5464" i="3"/>
  <c r="J5464" i="3"/>
  <c r="K5464" i="3" s="1"/>
  <c r="H5464" i="3"/>
  <c r="I5464" i="3" s="1"/>
  <c r="G5464" i="3"/>
  <c r="M5463" i="3"/>
  <c r="L5463" i="3"/>
  <c r="J5463" i="3"/>
  <c r="K5463" i="3" s="1"/>
  <c r="H5463" i="3"/>
  <c r="G5463" i="3"/>
  <c r="I5463" i="3" s="1"/>
  <c r="M5462" i="3"/>
  <c r="L5462" i="3"/>
  <c r="J5462" i="3"/>
  <c r="K5462" i="3" s="1"/>
  <c r="H5462" i="3"/>
  <c r="G5462" i="3"/>
  <c r="M5461" i="3"/>
  <c r="L5461" i="3"/>
  <c r="J5461" i="3"/>
  <c r="K5461" i="3" s="1"/>
  <c r="H5461" i="3"/>
  <c r="G5461" i="3"/>
  <c r="I5461" i="3" s="1"/>
  <c r="M5460" i="3"/>
  <c r="L5460" i="3"/>
  <c r="J5460" i="3"/>
  <c r="K5460" i="3" s="1"/>
  <c r="H5460" i="3"/>
  <c r="I5460" i="3" s="1"/>
  <c r="G5460" i="3"/>
  <c r="M5459" i="3"/>
  <c r="L5459" i="3"/>
  <c r="J5459" i="3"/>
  <c r="K5459" i="3" s="1"/>
  <c r="H5459" i="3"/>
  <c r="G5459" i="3"/>
  <c r="I5459" i="3" s="1"/>
  <c r="M5458" i="3"/>
  <c r="L5458" i="3"/>
  <c r="J5458" i="3"/>
  <c r="K5458" i="3" s="1"/>
  <c r="H5458" i="3"/>
  <c r="G5458" i="3"/>
  <c r="M5457" i="3"/>
  <c r="L5457" i="3"/>
  <c r="J5457" i="3"/>
  <c r="K5457" i="3" s="1"/>
  <c r="H5457" i="3"/>
  <c r="G5457" i="3"/>
  <c r="M5456" i="3"/>
  <c r="L5456" i="3"/>
  <c r="J5456" i="3"/>
  <c r="K5456" i="3" s="1"/>
  <c r="H5456" i="3"/>
  <c r="G5456" i="3"/>
  <c r="I5456" i="3" s="1"/>
  <c r="M5455" i="3"/>
  <c r="L5455" i="3"/>
  <c r="J5455" i="3"/>
  <c r="K5455" i="3" s="1"/>
  <c r="H5455" i="3"/>
  <c r="G5455" i="3"/>
  <c r="M5454" i="3"/>
  <c r="L5454" i="3"/>
  <c r="K5454" i="3"/>
  <c r="J5454" i="3"/>
  <c r="H5454" i="3"/>
  <c r="G5454" i="3"/>
  <c r="M5453" i="3"/>
  <c r="L5453" i="3"/>
  <c r="J5453" i="3"/>
  <c r="K5453" i="3" s="1"/>
  <c r="H5453" i="3"/>
  <c r="G5453" i="3"/>
  <c r="I5453" i="3" s="1"/>
  <c r="M5452" i="3"/>
  <c r="L5452" i="3"/>
  <c r="J5452" i="3"/>
  <c r="K5452" i="3" s="1"/>
  <c r="H5452" i="3"/>
  <c r="G5452" i="3"/>
  <c r="M5451" i="3"/>
  <c r="L5451" i="3"/>
  <c r="J5451" i="3"/>
  <c r="K5451" i="3" s="1"/>
  <c r="H5451" i="3"/>
  <c r="G5451" i="3"/>
  <c r="I5451" i="3" s="1"/>
  <c r="M5450" i="3"/>
  <c r="L5450" i="3"/>
  <c r="J5450" i="3"/>
  <c r="K5450" i="3" s="1"/>
  <c r="H5450" i="3"/>
  <c r="G5450" i="3"/>
  <c r="M5449" i="3"/>
  <c r="L5449" i="3"/>
  <c r="J5449" i="3"/>
  <c r="K5449" i="3" s="1"/>
  <c r="H5449" i="3"/>
  <c r="G5449" i="3"/>
  <c r="I5449" i="3" s="1"/>
  <c r="M5448" i="3"/>
  <c r="L5448" i="3"/>
  <c r="J5448" i="3"/>
  <c r="K5448" i="3" s="1"/>
  <c r="H5448" i="3"/>
  <c r="G5448" i="3"/>
  <c r="I5448" i="3" s="1"/>
  <c r="M5447" i="3"/>
  <c r="L5447" i="3"/>
  <c r="J5447" i="3"/>
  <c r="K5447" i="3" s="1"/>
  <c r="H5447" i="3"/>
  <c r="G5447" i="3"/>
  <c r="M5446" i="3"/>
  <c r="L5446" i="3"/>
  <c r="J5446" i="3"/>
  <c r="K5446" i="3" s="1"/>
  <c r="H5446" i="3"/>
  <c r="G5446" i="3"/>
  <c r="M5445" i="3"/>
  <c r="L5445" i="3"/>
  <c r="J5445" i="3"/>
  <c r="K5445" i="3" s="1"/>
  <c r="H5445" i="3"/>
  <c r="G5445" i="3"/>
  <c r="M5444" i="3"/>
  <c r="L5444" i="3"/>
  <c r="J5444" i="3"/>
  <c r="K5444" i="3" s="1"/>
  <c r="H5444" i="3"/>
  <c r="G5444" i="3"/>
  <c r="M5443" i="3"/>
  <c r="L5443" i="3"/>
  <c r="J5443" i="3"/>
  <c r="K5443" i="3" s="1"/>
  <c r="H5443" i="3"/>
  <c r="G5443" i="3"/>
  <c r="M5442" i="3"/>
  <c r="L5442" i="3"/>
  <c r="J5442" i="3"/>
  <c r="K5442" i="3" s="1"/>
  <c r="H5442" i="3"/>
  <c r="G5442" i="3"/>
  <c r="I5442" i="3" s="1"/>
  <c r="M5441" i="3"/>
  <c r="L5441" i="3"/>
  <c r="J5441" i="3"/>
  <c r="K5441" i="3" s="1"/>
  <c r="H5441" i="3"/>
  <c r="G5441" i="3"/>
  <c r="M5440" i="3"/>
  <c r="L5440" i="3"/>
  <c r="K5440" i="3"/>
  <c r="J5440" i="3"/>
  <c r="H5440" i="3"/>
  <c r="G5440" i="3"/>
  <c r="M5439" i="3"/>
  <c r="L5439" i="3"/>
  <c r="J5439" i="3"/>
  <c r="K5439" i="3" s="1"/>
  <c r="H5439" i="3"/>
  <c r="G5439" i="3"/>
  <c r="M5438" i="3"/>
  <c r="L5438" i="3"/>
  <c r="J5438" i="3"/>
  <c r="K5438" i="3" s="1"/>
  <c r="H5438" i="3"/>
  <c r="G5438" i="3"/>
  <c r="I5438" i="3" s="1"/>
  <c r="M5437" i="3"/>
  <c r="L5437" i="3"/>
  <c r="J5437" i="3"/>
  <c r="K5437" i="3" s="1"/>
  <c r="H5437" i="3"/>
  <c r="G5437" i="3"/>
  <c r="M5436" i="3"/>
  <c r="L5436" i="3"/>
  <c r="J5436" i="3"/>
  <c r="K5436" i="3" s="1"/>
  <c r="H5436" i="3"/>
  <c r="G5436" i="3"/>
  <c r="I5436" i="3" s="1"/>
  <c r="M5435" i="3"/>
  <c r="L5435" i="3"/>
  <c r="J5435" i="3"/>
  <c r="K5435" i="3" s="1"/>
  <c r="H5435" i="3"/>
  <c r="G5435" i="3"/>
  <c r="M5434" i="3"/>
  <c r="L5434" i="3"/>
  <c r="J5434" i="3"/>
  <c r="K5434" i="3" s="1"/>
  <c r="H5434" i="3"/>
  <c r="G5434" i="3"/>
  <c r="I5434" i="3" s="1"/>
  <c r="M5433" i="3"/>
  <c r="L5433" i="3"/>
  <c r="J5433" i="3"/>
  <c r="K5433" i="3" s="1"/>
  <c r="H5433" i="3"/>
  <c r="G5433" i="3"/>
  <c r="M5432" i="3"/>
  <c r="L5432" i="3"/>
  <c r="J5432" i="3"/>
  <c r="K5432" i="3" s="1"/>
  <c r="H5432" i="3"/>
  <c r="G5432" i="3"/>
  <c r="I5432" i="3" s="1"/>
  <c r="M5431" i="3"/>
  <c r="L5431" i="3"/>
  <c r="J5431" i="3"/>
  <c r="K5431" i="3" s="1"/>
  <c r="H5431" i="3"/>
  <c r="G5431" i="3"/>
  <c r="I5431" i="3" s="1"/>
  <c r="M5430" i="3"/>
  <c r="L5430" i="3"/>
  <c r="J5430" i="3"/>
  <c r="K5430" i="3" s="1"/>
  <c r="H5430" i="3"/>
  <c r="G5430" i="3"/>
  <c r="M5429" i="3"/>
  <c r="L5429" i="3"/>
  <c r="J5429" i="3"/>
  <c r="K5429" i="3" s="1"/>
  <c r="H5429" i="3"/>
  <c r="G5429" i="3"/>
  <c r="I5429" i="3" s="1"/>
  <c r="M5428" i="3"/>
  <c r="L5428" i="3"/>
  <c r="J5428" i="3"/>
  <c r="K5428" i="3" s="1"/>
  <c r="H5428" i="3"/>
  <c r="I5428" i="3" s="1"/>
  <c r="G5428" i="3"/>
  <c r="M5427" i="3"/>
  <c r="L5427" i="3"/>
  <c r="J5427" i="3"/>
  <c r="K5427" i="3" s="1"/>
  <c r="H5427" i="3"/>
  <c r="G5427" i="3"/>
  <c r="I5427" i="3" s="1"/>
  <c r="M5426" i="3"/>
  <c r="L5426" i="3"/>
  <c r="J5426" i="3"/>
  <c r="K5426" i="3" s="1"/>
  <c r="H5426" i="3"/>
  <c r="G5426" i="3"/>
  <c r="M5425" i="3"/>
  <c r="L5425" i="3"/>
  <c r="J5425" i="3"/>
  <c r="K5425" i="3" s="1"/>
  <c r="H5425" i="3"/>
  <c r="G5425" i="3"/>
  <c r="M5424" i="3"/>
  <c r="L5424" i="3"/>
  <c r="J5424" i="3"/>
  <c r="K5424" i="3" s="1"/>
  <c r="H5424" i="3"/>
  <c r="G5424" i="3"/>
  <c r="I5424" i="3" s="1"/>
  <c r="M5423" i="3"/>
  <c r="L5423" i="3"/>
  <c r="J5423" i="3"/>
  <c r="K5423" i="3" s="1"/>
  <c r="H5423" i="3"/>
  <c r="G5423" i="3"/>
  <c r="M5422" i="3"/>
  <c r="L5422" i="3"/>
  <c r="K5422" i="3"/>
  <c r="J5422" i="3"/>
  <c r="H5422" i="3"/>
  <c r="G5422" i="3"/>
  <c r="M5421" i="3"/>
  <c r="L5421" i="3"/>
  <c r="J5421" i="3"/>
  <c r="K5421" i="3" s="1"/>
  <c r="H5421" i="3"/>
  <c r="G5421" i="3"/>
  <c r="I5421" i="3" s="1"/>
  <c r="M5420" i="3"/>
  <c r="L5420" i="3"/>
  <c r="J5420" i="3"/>
  <c r="K5420" i="3" s="1"/>
  <c r="H5420" i="3"/>
  <c r="G5420" i="3"/>
  <c r="M5419" i="3"/>
  <c r="L5419" i="3"/>
  <c r="J5419" i="3"/>
  <c r="K5419" i="3" s="1"/>
  <c r="H5419" i="3"/>
  <c r="G5419" i="3"/>
  <c r="I5419" i="3" s="1"/>
  <c r="M5418" i="3"/>
  <c r="L5418" i="3"/>
  <c r="J5418" i="3"/>
  <c r="K5418" i="3" s="1"/>
  <c r="H5418" i="3"/>
  <c r="G5418" i="3"/>
  <c r="M5417" i="3"/>
  <c r="L5417" i="3"/>
  <c r="J5417" i="3"/>
  <c r="K5417" i="3" s="1"/>
  <c r="H5417" i="3"/>
  <c r="G5417" i="3"/>
  <c r="I5417" i="3" s="1"/>
  <c r="M5416" i="3"/>
  <c r="L5416" i="3"/>
  <c r="J5416" i="3"/>
  <c r="K5416" i="3" s="1"/>
  <c r="I5416" i="3"/>
  <c r="H5416" i="3"/>
  <c r="G5416" i="3"/>
  <c r="M5415" i="3"/>
  <c r="L5415" i="3"/>
  <c r="J5415" i="3"/>
  <c r="K5415" i="3" s="1"/>
  <c r="H5415" i="3"/>
  <c r="G5415" i="3"/>
  <c r="M5414" i="3"/>
  <c r="L5414" i="3"/>
  <c r="J5414" i="3"/>
  <c r="K5414" i="3" s="1"/>
  <c r="H5414" i="3"/>
  <c r="G5414" i="3"/>
  <c r="M5413" i="3"/>
  <c r="L5413" i="3"/>
  <c r="J5413" i="3"/>
  <c r="K5413" i="3" s="1"/>
  <c r="H5413" i="3"/>
  <c r="G5413" i="3"/>
  <c r="M5412" i="3"/>
  <c r="L5412" i="3"/>
  <c r="J5412" i="3"/>
  <c r="K5412" i="3" s="1"/>
  <c r="H5412" i="3"/>
  <c r="G5412" i="3"/>
  <c r="M5411" i="3"/>
  <c r="L5411" i="3"/>
  <c r="J5411" i="3"/>
  <c r="K5411" i="3" s="1"/>
  <c r="H5411" i="3"/>
  <c r="G5411" i="3"/>
  <c r="M5410" i="3"/>
  <c r="L5410" i="3"/>
  <c r="J5410" i="3"/>
  <c r="K5410" i="3" s="1"/>
  <c r="H5410" i="3"/>
  <c r="G5410" i="3"/>
  <c r="I5410" i="3" s="1"/>
  <c r="M5409" i="3"/>
  <c r="L5409" i="3"/>
  <c r="J5409" i="3"/>
  <c r="K5409" i="3" s="1"/>
  <c r="H5409" i="3"/>
  <c r="G5409" i="3"/>
  <c r="M5408" i="3"/>
  <c r="L5408" i="3"/>
  <c r="K5408" i="3"/>
  <c r="J5408" i="3"/>
  <c r="H5408" i="3"/>
  <c r="G5408" i="3"/>
  <c r="M5407" i="3"/>
  <c r="L5407" i="3"/>
  <c r="J5407" i="3"/>
  <c r="K5407" i="3" s="1"/>
  <c r="H5407" i="3"/>
  <c r="G5407" i="3"/>
  <c r="M5406" i="3"/>
  <c r="L5406" i="3"/>
  <c r="J5406" i="3"/>
  <c r="K5406" i="3" s="1"/>
  <c r="H5406" i="3"/>
  <c r="G5406" i="3"/>
  <c r="I5406" i="3" s="1"/>
  <c r="M5405" i="3"/>
  <c r="L5405" i="3"/>
  <c r="J5405" i="3"/>
  <c r="K5405" i="3" s="1"/>
  <c r="H5405" i="3"/>
  <c r="G5405" i="3"/>
  <c r="M5404" i="3"/>
  <c r="L5404" i="3"/>
  <c r="J5404" i="3"/>
  <c r="K5404" i="3" s="1"/>
  <c r="H5404" i="3"/>
  <c r="G5404" i="3"/>
  <c r="I5404" i="3" s="1"/>
  <c r="M5403" i="3"/>
  <c r="L5403" i="3"/>
  <c r="J5403" i="3"/>
  <c r="K5403" i="3" s="1"/>
  <c r="H5403" i="3"/>
  <c r="G5403" i="3"/>
  <c r="M5402" i="3"/>
  <c r="L5402" i="3"/>
  <c r="J5402" i="3"/>
  <c r="K5402" i="3" s="1"/>
  <c r="H5402" i="3"/>
  <c r="G5402" i="3"/>
  <c r="I5402" i="3" s="1"/>
  <c r="M5593" i="3"/>
  <c r="L5593" i="3"/>
  <c r="J5593" i="3"/>
  <c r="K5593" i="3" s="1"/>
  <c r="H5593" i="3"/>
  <c r="G5593" i="3"/>
  <c r="M5592" i="3"/>
  <c r="L5592" i="3"/>
  <c r="J5592" i="3"/>
  <c r="K5592" i="3" s="1"/>
  <c r="H5592" i="3"/>
  <c r="G5592" i="3"/>
  <c r="M5591" i="3"/>
  <c r="L5591" i="3"/>
  <c r="J5591" i="3"/>
  <c r="K5591" i="3" s="1"/>
  <c r="H5591" i="3"/>
  <c r="G5591" i="3"/>
  <c r="M5590" i="3"/>
  <c r="L5590" i="3"/>
  <c r="J5590" i="3"/>
  <c r="K5590" i="3" s="1"/>
  <c r="H5590" i="3"/>
  <c r="G5590" i="3"/>
  <c r="I5590" i="3" s="1"/>
  <c r="M5589" i="3"/>
  <c r="L5589" i="3"/>
  <c r="J5589" i="3"/>
  <c r="K5589" i="3" s="1"/>
  <c r="H5589" i="3"/>
  <c r="G5589" i="3"/>
  <c r="M5588" i="3"/>
  <c r="L5588" i="3"/>
  <c r="J5588" i="3"/>
  <c r="K5588" i="3" s="1"/>
  <c r="H5588" i="3"/>
  <c r="G5588" i="3"/>
  <c r="I5588" i="3" s="1"/>
  <c r="M5587" i="3"/>
  <c r="L5587" i="3"/>
  <c r="J5587" i="3"/>
  <c r="K5587" i="3" s="1"/>
  <c r="H5587" i="3"/>
  <c r="G5587" i="3"/>
  <c r="M5586" i="3"/>
  <c r="L5586" i="3"/>
  <c r="J5586" i="3"/>
  <c r="K5586" i="3" s="1"/>
  <c r="H5586" i="3"/>
  <c r="G5586" i="3"/>
  <c r="I5586" i="3" s="1"/>
  <c r="M5585" i="3"/>
  <c r="L5585" i="3"/>
  <c r="J5585" i="3"/>
  <c r="K5585" i="3" s="1"/>
  <c r="H5585" i="3"/>
  <c r="G5585" i="3"/>
  <c r="M5584" i="3"/>
  <c r="L5584" i="3"/>
  <c r="J5584" i="3"/>
  <c r="K5584" i="3" s="1"/>
  <c r="H5584" i="3"/>
  <c r="G5584" i="3"/>
  <c r="M5583" i="3"/>
  <c r="L5583" i="3"/>
  <c r="J5583" i="3"/>
  <c r="K5583" i="3" s="1"/>
  <c r="H5583" i="3"/>
  <c r="G5583" i="3"/>
  <c r="M5582" i="3"/>
  <c r="L5582" i="3"/>
  <c r="J5582" i="3"/>
  <c r="K5582" i="3" s="1"/>
  <c r="H5582" i="3"/>
  <c r="G5582" i="3"/>
  <c r="M5581" i="3"/>
  <c r="L5581" i="3"/>
  <c r="J5581" i="3"/>
  <c r="K5581" i="3" s="1"/>
  <c r="H5581" i="3"/>
  <c r="G5581" i="3"/>
  <c r="I5581" i="3" s="1"/>
  <c r="M5580" i="3"/>
  <c r="L5580" i="3"/>
  <c r="J5580" i="3"/>
  <c r="K5580" i="3" s="1"/>
  <c r="H5580" i="3"/>
  <c r="G5580" i="3"/>
  <c r="M5579" i="3"/>
  <c r="L5579" i="3"/>
  <c r="J5579" i="3"/>
  <c r="K5579" i="3" s="1"/>
  <c r="H5579" i="3"/>
  <c r="G5579" i="3"/>
  <c r="M5578" i="3"/>
  <c r="L5578" i="3"/>
  <c r="J5578" i="3"/>
  <c r="K5578" i="3" s="1"/>
  <c r="H5578" i="3"/>
  <c r="G5578" i="3"/>
  <c r="M5577" i="3"/>
  <c r="L5577" i="3"/>
  <c r="J5577" i="3"/>
  <c r="K5577" i="3" s="1"/>
  <c r="H5577" i="3"/>
  <c r="G5577" i="3"/>
  <c r="M5576" i="3"/>
  <c r="L5576" i="3"/>
  <c r="J5576" i="3"/>
  <c r="K5576" i="3" s="1"/>
  <c r="H5576" i="3"/>
  <c r="G5576" i="3"/>
  <c r="M5575" i="3"/>
  <c r="L5575" i="3"/>
  <c r="J5575" i="3"/>
  <c r="K5575" i="3" s="1"/>
  <c r="H5575" i="3"/>
  <c r="G5575" i="3"/>
  <c r="M5574" i="3"/>
  <c r="L5574" i="3"/>
  <c r="J5574" i="3"/>
  <c r="K5574" i="3" s="1"/>
  <c r="H5574" i="3"/>
  <c r="G5574" i="3"/>
  <c r="I5574" i="3" s="1"/>
  <c r="M5573" i="3"/>
  <c r="L5573" i="3"/>
  <c r="J5573" i="3"/>
  <c r="K5573" i="3" s="1"/>
  <c r="H5573" i="3"/>
  <c r="G5573" i="3"/>
  <c r="M5572" i="3"/>
  <c r="L5572" i="3"/>
  <c r="J5572" i="3"/>
  <c r="K5572" i="3" s="1"/>
  <c r="H5572" i="3"/>
  <c r="G5572" i="3"/>
  <c r="I5572" i="3" s="1"/>
  <c r="M5571" i="3"/>
  <c r="L5571" i="3"/>
  <c r="J5571" i="3"/>
  <c r="K5571" i="3" s="1"/>
  <c r="H5571" i="3"/>
  <c r="G5571" i="3"/>
  <c r="M5570" i="3"/>
  <c r="L5570" i="3"/>
  <c r="J5570" i="3"/>
  <c r="K5570" i="3" s="1"/>
  <c r="H5570" i="3"/>
  <c r="G5570" i="3"/>
  <c r="M5569" i="3"/>
  <c r="L5569" i="3"/>
  <c r="J5569" i="3"/>
  <c r="K5569" i="3" s="1"/>
  <c r="H5569" i="3"/>
  <c r="G5569" i="3"/>
  <c r="I5569" i="3" s="1"/>
  <c r="M5568" i="3"/>
  <c r="L5568" i="3"/>
  <c r="J5568" i="3"/>
  <c r="K5568" i="3" s="1"/>
  <c r="H5568" i="3"/>
  <c r="I5568" i="3" s="1"/>
  <c r="G5568" i="3"/>
  <c r="M5567" i="3"/>
  <c r="L5567" i="3"/>
  <c r="K5567" i="3"/>
  <c r="J5567" i="3"/>
  <c r="H5567" i="3"/>
  <c r="G5567" i="3"/>
  <c r="M5566" i="3"/>
  <c r="L5566" i="3"/>
  <c r="J5566" i="3"/>
  <c r="K5566" i="3" s="1"/>
  <c r="H5566" i="3"/>
  <c r="G5566" i="3"/>
  <c r="M5565" i="3"/>
  <c r="L5565" i="3"/>
  <c r="J5565" i="3"/>
  <c r="K5565" i="3" s="1"/>
  <c r="H5565" i="3"/>
  <c r="G5565" i="3"/>
  <c r="M5564" i="3"/>
  <c r="L5564" i="3"/>
  <c r="J5564" i="3"/>
  <c r="K5564" i="3" s="1"/>
  <c r="H5564" i="3"/>
  <c r="G5564" i="3"/>
  <c r="M5563" i="3"/>
  <c r="L5563" i="3"/>
  <c r="J5563" i="3"/>
  <c r="K5563" i="3" s="1"/>
  <c r="H5563" i="3"/>
  <c r="G5563" i="3"/>
  <c r="M5562" i="3"/>
  <c r="L5562" i="3"/>
  <c r="J5562" i="3"/>
  <c r="K5562" i="3" s="1"/>
  <c r="H5562" i="3"/>
  <c r="G5562" i="3"/>
  <c r="M5561" i="3"/>
  <c r="L5561" i="3"/>
  <c r="J5561" i="3"/>
  <c r="K5561" i="3" s="1"/>
  <c r="H5561" i="3"/>
  <c r="G5561" i="3"/>
  <c r="M5560" i="3"/>
  <c r="L5560" i="3"/>
  <c r="J5560" i="3"/>
  <c r="K5560" i="3" s="1"/>
  <c r="H5560" i="3"/>
  <c r="G5560" i="3"/>
  <c r="M5559" i="3"/>
  <c r="L5559" i="3"/>
  <c r="J5559" i="3"/>
  <c r="K5559" i="3" s="1"/>
  <c r="H5559" i="3"/>
  <c r="G5559" i="3"/>
  <c r="M5558" i="3"/>
  <c r="L5558" i="3"/>
  <c r="J5558" i="3"/>
  <c r="K5558" i="3" s="1"/>
  <c r="H5558" i="3"/>
  <c r="G5558" i="3"/>
  <c r="I5558" i="3" s="1"/>
  <c r="M5557" i="3"/>
  <c r="L5557" i="3"/>
  <c r="J5557" i="3"/>
  <c r="K5557" i="3" s="1"/>
  <c r="H5557" i="3"/>
  <c r="G5557" i="3"/>
  <c r="M5556" i="3"/>
  <c r="L5556" i="3"/>
  <c r="J5556" i="3"/>
  <c r="K5556" i="3" s="1"/>
  <c r="H5556" i="3"/>
  <c r="G5556" i="3"/>
  <c r="I5556" i="3" s="1"/>
  <c r="M5555" i="3"/>
  <c r="L5555" i="3"/>
  <c r="J5555" i="3"/>
  <c r="K5555" i="3" s="1"/>
  <c r="H5555" i="3"/>
  <c r="G5555" i="3"/>
  <c r="M5554" i="3"/>
  <c r="L5554" i="3"/>
  <c r="J5554" i="3"/>
  <c r="K5554" i="3" s="1"/>
  <c r="H5554" i="3"/>
  <c r="G5554" i="3"/>
  <c r="I5554" i="3" s="1"/>
  <c r="M5553" i="3"/>
  <c r="L5553" i="3"/>
  <c r="J5553" i="3"/>
  <c r="K5553" i="3" s="1"/>
  <c r="H5553" i="3"/>
  <c r="G5553" i="3"/>
  <c r="M5552" i="3"/>
  <c r="L5552" i="3"/>
  <c r="J5552" i="3"/>
  <c r="K5552" i="3" s="1"/>
  <c r="H5552" i="3"/>
  <c r="G5552" i="3"/>
  <c r="I5552" i="3" s="1"/>
  <c r="M5551" i="3"/>
  <c r="L5551" i="3"/>
  <c r="K5551" i="3"/>
  <c r="J5551" i="3"/>
  <c r="H5551" i="3"/>
  <c r="G5551" i="3"/>
  <c r="M5550" i="3"/>
  <c r="L5550" i="3"/>
  <c r="J5550" i="3"/>
  <c r="K5550" i="3" s="1"/>
  <c r="H5550" i="3"/>
  <c r="G5550" i="3"/>
  <c r="M5549" i="3"/>
  <c r="L5549" i="3"/>
  <c r="J5549" i="3"/>
  <c r="K5549" i="3" s="1"/>
  <c r="H5549" i="3"/>
  <c r="G5549" i="3"/>
  <c r="M5548" i="3"/>
  <c r="L5548" i="3"/>
  <c r="J5548" i="3"/>
  <c r="K5548" i="3" s="1"/>
  <c r="H5548" i="3"/>
  <c r="G5548" i="3"/>
  <c r="I5548" i="3" s="1"/>
  <c r="M5547" i="3"/>
  <c r="L5547" i="3"/>
  <c r="J5547" i="3"/>
  <c r="K5547" i="3" s="1"/>
  <c r="H5547" i="3"/>
  <c r="I5547" i="3" s="1"/>
  <c r="G5547" i="3"/>
  <c r="M5546" i="3"/>
  <c r="L5546" i="3"/>
  <c r="K5546" i="3"/>
  <c r="J5546" i="3"/>
  <c r="H5546" i="3"/>
  <c r="G5546" i="3"/>
  <c r="M5545" i="3"/>
  <c r="L5545" i="3"/>
  <c r="J5545" i="3"/>
  <c r="K5545" i="3" s="1"/>
  <c r="H5545" i="3"/>
  <c r="G5545" i="3"/>
  <c r="M5544" i="3"/>
  <c r="L5544" i="3"/>
  <c r="J5544" i="3"/>
  <c r="K5544" i="3" s="1"/>
  <c r="H5544" i="3"/>
  <c r="G5544" i="3"/>
  <c r="M5543" i="3"/>
  <c r="L5543" i="3"/>
  <c r="J5543" i="3"/>
  <c r="K5543" i="3" s="1"/>
  <c r="H5543" i="3"/>
  <c r="G5543" i="3"/>
  <c r="M5542" i="3"/>
  <c r="L5542" i="3"/>
  <c r="J5542" i="3"/>
  <c r="K5542" i="3" s="1"/>
  <c r="H5542" i="3"/>
  <c r="G5542" i="3"/>
  <c r="I5542" i="3" s="1"/>
  <c r="M5541" i="3"/>
  <c r="L5541" i="3"/>
  <c r="J5541" i="3"/>
  <c r="K5541" i="3" s="1"/>
  <c r="H5541" i="3"/>
  <c r="G5541" i="3"/>
  <c r="M5540" i="3"/>
  <c r="L5540" i="3"/>
  <c r="J5540" i="3"/>
  <c r="K5540" i="3" s="1"/>
  <c r="H5540" i="3"/>
  <c r="G5540" i="3"/>
  <c r="I5540" i="3" s="1"/>
  <c r="M5539" i="3"/>
  <c r="L5539" i="3"/>
  <c r="J5539" i="3"/>
  <c r="K5539" i="3" s="1"/>
  <c r="H5539" i="3"/>
  <c r="G5539" i="3"/>
  <c r="M5538" i="3"/>
  <c r="L5538" i="3"/>
  <c r="J5538" i="3"/>
  <c r="K5538" i="3" s="1"/>
  <c r="H5538" i="3"/>
  <c r="G5538" i="3"/>
  <c r="M5537" i="3"/>
  <c r="L5537" i="3"/>
  <c r="J5537" i="3"/>
  <c r="K5537" i="3" s="1"/>
  <c r="H5537" i="3"/>
  <c r="G5537" i="3"/>
  <c r="I5537" i="3" s="1"/>
  <c r="M5536" i="3"/>
  <c r="L5536" i="3"/>
  <c r="J5536" i="3"/>
  <c r="K5536" i="3" s="1"/>
  <c r="H5536" i="3"/>
  <c r="I5536" i="3" s="1"/>
  <c r="G5536" i="3"/>
  <c r="M5535" i="3"/>
  <c r="L5535" i="3"/>
  <c r="K5535" i="3"/>
  <c r="J5535" i="3"/>
  <c r="H5535" i="3"/>
  <c r="G5535" i="3"/>
  <c r="M5534" i="3"/>
  <c r="L5534" i="3"/>
  <c r="J5534" i="3"/>
  <c r="K5534" i="3" s="1"/>
  <c r="H5534" i="3"/>
  <c r="G5534" i="3"/>
  <c r="M5533" i="3"/>
  <c r="L5533" i="3"/>
  <c r="J5533" i="3"/>
  <c r="K5533" i="3" s="1"/>
  <c r="H5533" i="3"/>
  <c r="G5533" i="3"/>
  <c r="M5532" i="3"/>
  <c r="L5532" i="3"/>
  <c r="J5532" i="3"/>
  <c r="K5532" i="3" s="1"/>
  <c r="H5532" i="3"/>
  <c r="G5532" i="3"/>
  <c r="M5531" i="3"/>
  <c r="L5531" i="3"/>
  <c r="J5531" i="3"/>
  <c r="K5531" i="3" s="1"/>
  <c r="H5531" i="3"/>
  <c r="G5531" i="3"/>
  <c r="M5530" i="3"/>
  <c r="L5530" i="3"/>
  <c r="J5530" i="3"/>
  <c r="K5530" i="3" s="1"/>
  <c r="H5530" i="3"/>
  <c r="G5530" i="3"/>
  <c r="M5529" i="3"/>
  <c r="L5529" i="3"/>
  <c r="J5529" i="3"/>
  <c r="K5529" i="3" s="1"/>
  <c r="H5529" i="3"/>
  <c r="G5529" i="3"/>
  <c r="M5528" i="3"/>
  <c r="L5528" i="3"/>
  <c r="J5528" i="3"/>
  <c r="K5528" i="3" s="1"/>
  <c r="H5528" i="3"/>
  <c r="G5528" i="3"/>
  <c r="I5528" i="3" s="1"/>
  <c r="M5527" i="3"/>
  <c r="L5527" i="3"/>
  <c r="J5527" i="3"/>
  <c r="K5527" i="3" s="1"/>
  <c r="H5527" i="3"/>
  <c r="I5527" i="3" s="1"/>
  <c r="G5527" i="3"/>
  <c r="M5526" i="3"/>
  <c r="L5526" i="3"/>
  <c r="K5526" i="3"/>
  <c r="J5526" i="3"/>
  <c r="H5526" i="3"/>
  <c r="G5526" i="3"/>
  <c r="M5525" i="3"/>
  <c r="L5525" i="3"/>
  <c r="J5525" i="3"/>
  <c r="K5525" i="3" s="1"/>
  <c r="H5525" i="3"/>
  <c r="G5525" i="3"/>
  <c r="I5525" i="3" s="1"/>
  <c r="M5524" i="3"/>
  <c r="L5524" i="3"/>
  <c r="J5524" i="3"/>
  <c r="K5524" i="3" s="1"/>
  <c r="I5524" i="3"/>
  <c r="H5524" i="3"/>
  <c r="G5524" i="3"/>
  <c r="M5523" i="3"/>
  <c r="L5523" i="3"/>
  <c r="J5523" i="3"/>
  <c r="K5523" i="3" s="1"/>
  <c r="H5523" i="3"/>
  <c r="G5523" i="3"/>
  <c r="M5522" i="3"/>
  <c r="L5522" i="3"/>
  <c r="J5522" i="3"/>
  <c r="K5522" i="3" s="1"/>
  <c r="H5522" i="3"/>
  <c r="G5522" i="3"/>
  <c r="I5522" i="3" s="1"/>
  <c r="M5521" i="3"/>
  <c r="L5521" i="3"/>
  <c r="J5521" i="3"/>
  <c r="K5521" i="3" s="1"/>
  <c r="H5521" i="3"/>
  <c r="G5521" i="3"/>
  <c r="M5520" i="3"/>
  <c r="L5520" i="3"/>
  <c r="J5520" i="3"/>
  <c r="K5520" i="3" s="1"/>
  <c r="H5520" i="3"/>
  <c r="G5520" i="3"/>
  <c r="M5519" i="3"/>
  <c r="L5519" i="3"/>
  <c r="J5519" i="3"/>
  <c r="K5519" i="3" s="1"/>
  <c r="H5519" i="3"/>
  <c r="G5519" i="3"/>
  <c r="M5518" i="3"/>
  <c r="L5518" i="3"/>
  <c r="J5518" i="3"/>
  <c r="K5518" i="3" s="1"/>
  <c r="H5518" i="3"/>
  <c r="G5518" i="3"/>
  <c r="M5517" i="3"/>
  <c r="L5517" i="3"/>
  <c r="J5517" i="3"/>
  <c r="K5517" i="3" s="1"/>
  <c r="H5517" i="3"/>
  <c r="G5517" i="3"/>
  <c r="M5516" i="3"/>
  <c r="L5516" i="3"/>
  <c r="J5516" i="3"/>
  <c r="K5516" i="3" s="1"/>
  <c r="H5516" i="3"/>
  <c r="G5516" i="3"/>
  <c r="M5515" i="3"/>
  <c r="L5515" i="3"/>
  <c r="K5515" i="3"/>
  <c r="J5515" i="3"/>
  <c r="H5515" i="3"/>
  <c r="I5515" i="3" s="1"/>
  <c r="G5515" i="3"/>
  <c r="M5514" i="3"/>
  <c r="L5514" i="3"/>
  <c r="K5514" i="3"/>
  <c r="J5514" i="3"/>
  <c r="H5514" i="3"/>
  <c r="G5514" i="3"/>
  <c r="M5513" i="3"/>
  <c r="L5513" i="3"/>
  <c r="J5513" i="3"/>
  <c r="K5513" i="3" s="1"/>
  <c r="H5513" i="3"/>
  <c r="G5513" i="3"/>
  <c r="M5512" i="3"/>
  <c r="L5512" i="3"/>
  <c r="J5512" i="3"/>
  <c r="K5512" i="3" s="1"/>
  <c r="H5512" i="3"/>
  <c r="G5512" i="3"/>
  <c r="M5511" i="3"/>
  <c r="L5511" i="3"/>
  <c r="J5511" i="3"/>
  <c r="K5511" i="3" s="1"/>
  <c r="H5511" i="3"/>
  <c r="G5511" i="3"/>
  <c r="M5510" i="3"/>
  <c r="L5510" i="3"/>
  <c r="J5510" i="3"/>
  <c r="K5510" i="3" s="1"/>
  <c r="H5510" i="3"/>
  <c r="G5510" i="3"/>
  <c r="I5510" i="3" s="1"/>
  <c r="M5509" i="3"/>
  <c r="L5509" i="3"/>
  <c r="J5509" i="3"/>
  <c r="K5509" i="3" s="1"/>
  <c r="H5509" i="3"/>
  <c r="G5509" i="3"/>
  <c r="M5508" i="3"/>
  <c r="L5508" i="3"/>
  <c r="J5508" i="3"/>
  <c r="K5508" i="3" s="1"/>
  <c r="H5508" i="3"/>
  <c r="G5508" i="3"/>
  <c r="I5508" i="3" s="1"/>
  <c r="M5507" i="3"/>
  <c r="L5507" i="3"/>
  <c r="K5507" i="3"/>
  <c r="J5507" i="3"/>
  <c r="H5507" i="3"/>
  <c r="G5507" i="3"/>
  <c r="M5506" i="3"/>
  <c r="L5506" i="3"/>
  <c r="J5506" i="3"/>
  <c r="K5506" i="3" s="1"/>
  <c r="H5506" i="3"/>
  <c r="G5506" i="3"/>
  <c r="M5505" i="3"/>
  <c r="L5505" i="3"/>
  <c r="J5505" i="3"/>
  <c r="K5505" i="3" s="1"/>
  <c r="H5505" i="3"/>
  <c r="G5505" i="3"/>
  <c r="M5504" i="3"/>
  <c r="L5504" i="3"/>
  <c r="J5504" i="3"/>
  <c r="K5504" i="3" s="1"/>
  <c r="H5504" i="3"/>
  <c r="G5504" i="3"/>
  <c r="M5503" i="3"/>
  <c r="L5503" i="3"/>
  <c r="J5503" i="3"/>
  <c r="K5503" i="3" s="1"/>
  <c r="H5503" i="3"/>
  <c r="G5503" i="3"/>
  <c r="M5502" i="3"/>
  <c r="L5502" i="3"/>
  <c r="J5502" i="3"/>
  <c r="K5502" i="3" s="1"/>
  <c r="H5502" i="3"/>
  <c r="G5502" i="3"/>
  <c r="M5501" i="3"/>
  <c r="L5501" i="3"/>
  <c r="J5501" i="3"/>
  <c r="K5501" i="3" s="1"/>
  <c r="H5501" i="3"/>
  <c r="G5501" i="3"/>
  <c r="M5500" i="3"/>
  <c r="L5500" i="3"/>
  <c r="J5500" i="3"/>
  <c r="K5500" i="3" s="1"/>
  <c r="H5500" i="3"/>
  <c r="G5500" i="3"/>
  <c r="M5499" i="3"/>
  <c r="L5499" i="3"/>
  <c r="K5499" i="3"/>
  <c r="J5499" i="3"/>
  <c r="H5499" i="3"/>
  <c r="I5499" i="3" s="1"/>
  <c r="G5499" i="3"/>
  <c r="M5498" i="3"/>
  <c r="L5498" i="3"/>
  <c r="K5498" i="3"/>
  <c r="J5498" i="3"/>
  <c r="H5498" i="3"/>
  <c r="G5498" i="3"/>
  <c r="M5689" i="3"/>
  <c r="L5689" i="3"/>
  <c r="J5689" i="3"/>
  <c r="K5689" i="3" s="1"/>
  <c r="H5689" i="3"/>
  <c r="G5689" i="3"/>
  <c r="M5688" i="3"/>
  <c r="L5688" i="3"/>
  <c r="J5688" i="3"/>
  <c r="K5688" i="3" s="1"/>
  <c r="H5688" i="3"/>
  <c r="G5688" i="3"/>
  <c r="I5688" i="3" s="1"/>
  <c r="M5687" i="3"/>
  <c r="L5687" i="3"/>
  <c r="J5687" i="3"/>
  <c r="K5687" i="3" s="1"/>
  <c r="H5687" i="3"/>
  <c r="G5687" i="3"/>
  <c r="M5686" i="3"/>
  <c r="L5686" i="3"/>
  <c r="J5686" i="3"/>
  <c r="K5686" i="3" s="1"/>
  <c r="H5686" i="3"/>
  <c r="G5686" i="3"/>
  <c r="M5685" i="3"/>
  <c r="L5685" i="3"/>
  <c r="J5685" i="3"/>
  <c r="K5685" i="3" s="1"/>
  <c r="H5685" i="3"/>
  <c r="G5685" i="3"/>
  <c r="M5684" i="3"/>
  <c r="L5684" i="3"/>
  <c r="J5684" i="3"/>
  <c r="K5684" i="3" s="1"/>
  <c r="H5684" i="3"/>
  <c r="G5684" i="3"/>
  <c r="I5684" i="3" s="1"/>
  <c r="M5683" i="3"/>
  <c r="L5683" i="3"/>
  <c r="J5683" i="3"/>
  <c r="K5683" i="3" s="1"/>
  <c r="H5683" i="3"/>
  <c r="G5683" i="3"/>
  <c r="M5682" i="3"/>
  <c r="L5682" i="3"/>
  <c r="K5682" i="3"/>
  <c r="J5682" i="3"/>
  <c r="H5682" i="3"/>
  <c r="G5682" i="3"/>
  <c r="M5681" i="3"/>
  <c r="L5681" i="3"/>
  <c r="J5681" i="3"/>
  <c r="K5681" i="3" s="1"/>
  <c r="H5681" i="3"/>
  <c r="G5681" i="3"/>
  <c r="I5681" i="3" s="1"/>
  <c r="M5680" i="3"/>
  <c r="L5680" i="3"/>
  <c r="J5680" i="3"/>
  <c r="K5680" i="3" s="1"/>
  <c r="H5680" i="3"/>
  <c r="G5680" i="3"/>
  <c r="M5679" i="3"/>
  <c r="L5679" i="3"/>
  <c r="J5679" i="3"/>
  <c r="K5679" i="3" s="1"/>
  <c r="H5679" i="3"/>
  <c r="G5679" i="3"/>
  <c r="I5679" i="3" s="1"/>
  <c r="M5678" i="3"/>
  <c r="L5678" i="3"/>
  <c r="J5678" i="3"/>
  <c r="K5678" i="3" s="1"/>
  <c r="H5678" i="3"/>
  <c r="G5678" i="3"/>
  <c r="M5677" i="3"/>
  <c r="L5677" i="3"/>
  <c r="J5677" i="3"/>
  <c r="K5677" i="3" s="1"/>
  <c r="H5677" i="3"/>
  <c r="G5677" i="3"/>
  <c r="I5677" i="3" s="1"/>
  <c r="M5676" i="3"/>
  <c r="L5676" i="3"/>
  <c r="J5676" i="3"/>
  <c r="K5676" i="3" s="1"/>
  <c r="H5676" i="3"/>
  <c r="G5676" i="3"/>
  <c r="M5675" i="3"/>
  <c r="L5675" i="3"/>
  <c r="J5675" i="3"/>
  <c r="K5675" i="3" s="1"/>
  <c r="H5675" i="3"/>
  <c r="G5675" i="3"/>
  <c r="M5674" i="3"/>
  <c r="L5674" i="3"/>
  <c r="J5674" i="3"/>
  <c r="K5674" i="3" s="1"/>
  <c r="H5674" i="3"/>
  <c r="G5674" i="3"/>
  <c r="M5673" i="3"/>
  <c r="L5673" i="3"/>
  <c r="J5673" i="3"/>
  <c r="K5673" i="3" s="1"/>
  <c r="H5673" i="3"/>
  <c r="G5673" i="3"/>
  <c r="I5673" i="3" s="1"/>
  <c r="M5672" i="3"/>
  <c r="L5672" i="3"/>
  <c r="J5672" i="3"/>
  <c r="K5672" i="3" s="1"/>
  <c r="H5672" i="3"/>
  <c r="G5672" i="3"/>
  <c r="M5671" i="3"/>
  <c r="L5671" i="3"/>
  <c r="J5671" i="3"/>
  <c r="K5671" i="3" s="1"/>
  <c r="H5671" i="3"/>
  <c r="G5671" i="3"/>
  <c r="M5670" i="3"/>
  <c r="L5670" i="3"/>
  <c r="J5670" i="3"/>
  <c r="K5670" i="3" s="1"/>
  <c r="H5670" i="3"/>
  <c r="G5670" i="3"/>
  <c r="I5670" i="3" s="1"/>
  <c r="M5669" i="3"/>
  <c r="L5669" i="3"/>
  <c r="J5669" i="3"/>
  <c r="K5669" i="3" s="1"/>
  <c r="H5669" i="3"/>
  <c r="G5669" i="3"/>
  <c r="M5668" i="3"/>
  <c r="L5668" i="3"/>
  <c r="K5668" i="3"/>
  <c r="J5668" i="3"/>
  <c r="H5668" i="3"/>
  <c r="G5668" i="3"/>
  <c r="M5667" i="3"/>
  <c r="L5667" i="3"/>
  <c r="J5667" i="3"/>
  <c r="K5667" i="3" s="1"/>
  <c r="H5667" i="3"/>
  <c r="G5667" i="3"/>
  <c r="I5667" i="3" s="1"/>
  <c r="M5666" i="3"/>
  <c r="L5666" i="3"/>
  <c r="J5666" i="3"/>
  <c r="K5666" i="3" s="1"/>
  <c r="H5666" i="3"/>
  <c r="G5666" i="3"/>
  <c r="M5665" i="3"/>
  <c r="L5665" i="3"/>
  <c r="J5665" i="3"/>
  <c r="K5665" i="3" s="1"/>
  <c r="H5665" i="3"/>
  <c r="G5665" i="3"/>
  <c r="I5665" i="3" s="1"/>
  <c r="M5664" i="3"/>
  <c r="L5664" i="3"/>
  <c r="J5664" i="3"/>
  <c r="K5664" i="3" s="1"/>
  <c r="H5664" i="3"/>
  <c r="G5664" i="3"/>
  <c r="M5663" i="3"/>
  <c r="L5663" i="3"/>
  <c r="J5663" i="3"/>
  <c r="K5663" i="3" s="1"/>
  <c r="H5663" i="3"/>
  <c r="G5663" i="3"/>
  <c r="M5662" i="3"/>
  <c r="L5662" i="3"/>
  <c r="J5662" i="3"/>
  <c r="K5662" i="3" s="1"/>
  <c r="H5662" i="3"/>
  <c r="G5662" i="3"/>
  <c r="I5662" i="3" s="1"/>
  <c r="M5661" i="3"/>
  <c r="L5661" i="3"/>
  <c r="J5661" i="3"/>
  <c r="K5661" i="3" s="1"/>
  <c r="H5661" i="3"/>
  <c r="G5661" i="3"/>
  <c r="M5660" i="3"/>
  <c r="L5660" i="3"/>
  <c r="K5660" i="3"/>
  <c r="J5660" i="3"/>
  <c r="H5660" i="3"/>
  <c r="G5660" i="3"/>
  <c r="M5659" i="3"/>
  <c r="L5659" i="3"/>
  <c r="J5659" i="3"/>
  <c r="K5659" i="3" s="1"/>
  <c r="H5659" i="3"/>
  <c r="G5659" i="3"/>
  <c r="I5659" i="3" s="1"/>
  <c r="M5658" i="3"/>
  <c r="L5658" i="3"/>
  <c r="J5658" i="3"/>
  <c r="K5658" i="3" s="1"/>
  <c r="H5658" i="3"/>
  <c r="G5658" i="3"/>
  <c r="M5657" i="3"/>
  <c r="L5657" i="3"/>
  <c r="J5657" i="3"/>
  <c r="K5657" i="3" s="1"/>
  <c r="H5657" i="3"/>
  <c r="G5657" i="3"/>
  <c r="I5657" i="3" s="1"/>
  <c r="M5656" i="3"/>
  <c r="L5656" i="3"/>
  <c r="J5656" i="3"/>
  <c r="K5656" i="3" s="1"/>
  <c r="H5656" i="3"/>
  <c r="G5656" i="3"/>
  <c r="M5655" i="3"/>
  <c r="L5655" i="3"/>
  <c r="J5655" i="3"/>
  <c r="K5655" i="3" s="1"/>
  <c r="H5655" i="3"/>
  <c r="G5655" i="3"/>
  <c r="M5654" i="3"/>
  <c r="L5654" i="3"/>
  <c r="J5654" i="3"/>
  <c r="K5654" i="3" s="1"/>
  <c r="H5654" i="3"/>
  <c r="G5654" i="3"/>
  <c r="I5654" i="3" s="1"/>
  <c r="M5653" i="3"/>
  <c r="L5653" i="3"/>
  <c r="J5653" i="3"/>
  <c r="K5653" i="3" s="1"/>
  <c r="H5653" i="3"/>
  <c r="G5653" i="3"/>
  <c r="M5652" i="3"/>
  <c r="L5652" i="3"/>
  <c r="K5652" i="3"/>
  <c r="J5652" i="3"/>
  <c r="H5652" i="3"/>
  <c r="G5652" i="3"/>
  <c r="M5651" i="3"/>
  <c r="L5651" i="3"/>
  <c r="J5651" i="3"/>
  <c r="K5651" i="3" s="1"/>
  <c r="H5651" i="3"/>
  <c r="G5651" i="3"/>
  <c r="I5651" i="3" s="1"/>
  <c r="M5650" i="3"/>
  <c r="L5650" i="3"/>
  <c r="J5650" i="3"/>
  <c r="K5650" i="3" s="1"/>
  <c r="H5650" i="3"/>
  <c r="G5650" i="3"/>
  <c r="M5649" i="3"/>
  <c r="L5649" i="3"/>
  <c r="J5649" i="3"/>
  <c r="K5649" i="3" s="1"/>
  <c r="H5649" i="3"/>
  <c r="G5649" i="3"/>
  <c r="I5649" i="3" s="1"/>
  <c r="M5648" i="3"/>
  <c r="L5648" i="3"/>
  <c r="J5648" i="3"/>
  <c r="K5648" i="3" s="1"/>
  <c r="H5648" i="3"/>
  <c r="G5648" i="3"/>
  <c r="M5647" i="3"/>
  <c r="L5647" i="3"/>
  <c r="J5647" i="3"/>
  <c r="K5647" i="3" s="1"/>
  <c r="H5647" i="3"/>
  <c r="G5647" i="3"/>
  <c r="M5646" i="3"/>
  <c r="L5646" i="3"/>
  <c r="J5646" i="3"/>
  <c r="K5646" i="3" s="1"/>
  <c r="H5646" i="3"/>
  <c r="G5646" i="3"/>
  <c r="I5646" i="3" s="1"/>
  <c r="M5645" i="3"/>
  <c r="L5645" i="3"/>
  <c r="J5645" i="3"/>
  <c r="K5645" i="3" s="1"/>
  <c r="H5645" i="3"/>
  <c r="G5645" i="3"/>
  <c r="M5644" i="3"/>
  <c r="L5644" i="3"/>
  <c r="K5644" i="3"/>
  <c r="J5644" i="3"/>
  <c r="H5644" i="3"/>
  <c r="G5644" i="3"/>
  <c r="M5643" i="3"/>
  <c r="L5643" i="3"/>
  <c r="J5643" i="3"/>
  <c r="K5643" i="3" s="1"/>
  <c r="H5643" i="3"/>
  <c r="G5643" i="3"/>
  <c r="I5643" i="3" s="1"/>
  <c r="M5642" i="3"/>
  <c r="L5642" i="3"/>
  <c r="J5642" i="3"/>
  <c r="K5642" i="3" s="1"/>
  <c r="H5642" i="3"/>
  <c r="G5642" i="3"/>
  <c r="M5641" i="3"/>
  <c r="L5641" i="3"/>
  <c r="J5641" i="3"/>
  <c r="K5641" i="3" s="1"/>
  <c r="H5641" i="3"/>
  <c r="G5641" i="3"/>
  <c r="I5641" i="3" s="1"/>
  <c r="M5640" i="3"/>
  <c r="L5640" i="3"/>
  <c r="J5640" i="3"/>
  <c r="K5640" i="3" s="1"/>
  <c r="H5640" i="3"/>
  <c r="G5640" i="3"/>
  <c r="M5639" i="3"/>
  <c r="L5639" i="3"/>
  <c r="J5639" i="3"/>
  <c r="K5639" i="3" s="1"/>
  <c r="H5639" i="3"/>
  <c r="G5639" i="3"/>
  <c r="M5638" i="3"/>
  <c r="L5638" i="3"/>
  <c r="J5638" i="3"/>
  <c r="K5638" i="3" s="1"/>
  <c r="H5638" i="3"/>
  <c r="G5638" i="3"/>
  <c r="I5638" i="3" s="1"/>
  <c r="M5637" i="3"/>
  <c r="L5637" i="3"/>
  <c r="J5637" i="3"/>
  <c r="K5637" i="3" s="1"/>
  <c r="H5637" i="3"/>
  <c r="G5637" i="3"/>
  <c r="M5636" i="3"/>
  <c r="L5636" i="3"/>
  <c r="K5636" i="3"/>
  <c r="J5636" i="3"/>
  <c r="H5636" i="3"/>
  <c r="G5636" i="3"/>
  <c r="M5635" i="3"/>
  <c r="L5635" i="3"/>
  <c r="J5635" i="3"/>
  <c r="K5635" i="3" s="1"/>
  <c r="H5635" i="3"/>
  <c r="G5635" i="3"/>
  <c r="I5635" i="3" s="1"/>
  <c r="M5634" i="3"/>
  <c r="L5634" i="3"/>
  <c r="J5634" i="3"/>
  <c r="K5634" i="3" s="1"/>
  <c r="H5634" i="3"/>
  <c r="G5634" i="3"/>
  <c r="M5633" i="3"/>
  <c r="L5633" i="3"/>
  <c r="J5633" i="3"/>
  <c r="K5633" i="3" s="1"/>
  <c r="H5633" i="3"/>
  <c r="G5633" i="3"/>
  <c r="I5633" i="3" s="1"/>
  <c r="M5632" i="3"/>
  <c r="L5632" i="3"/>
  <c r="J5632" i="3"/>
  <c r="K5632" i="3" s="1"/>
  <c r="H5632" i="3"/>
  <c r="G5632" i="3"/>
  <c r="M5631" i="3"/>
  <c r="L5631" i="3"/>
  <c r="J5631" i="3"/>
  <c r="K5631" i="3" s="1"/>
  <c r="H5631" i="3"/>
  <c r="G5631" i="3"/>
  <c r="M5630" i="3"/>
  <c r="L5630" i="3"/>
  <c r="J5630" i="3"/>
  <c r="K5630" i="3" s="1"/>
  <c r="H5630" i="3"/>
  <c r="G5630" i="3"/>
  <c r="I5630" i="3" s="1"/>
  <c r="M5629" i="3"/>
  <c r="L5629" i="3"/>
  <c r="J5629" i="3"/>
  <c r="K5629" i="3" s="1"/>
  <c r="H5629" i="3"/>
  <c r="G5629" i="3"/>
  <c r="M5628" i="3"/>
  <c r="L5628" i="3"/>
  <c r="K5628" i="3"/>
  <c r="J5628" i="3"/>
  <c r="H5628" i="3"/>
  <c r="G5628" i="3"/>
  <c r="M5627" i="3"/>
  <c r="L5627" i="3"/>
  <c r="J5627" i="3"/>
  <c r="K5627" i="3" s="1"/>
  <c r="H5627" i="3"/>
  <c r="G5627" i="3"/>
  <c r="I5627" i="3" s="1"/>
  <c r="M5626" i="3"/>
  <c r="L5626" i="3"/>
  <c r="J5626" i="3"/>
  <c r="K5626" i="3" s="1"/>
  <c r="H5626" i="3"/>
  <c r="G5626" i="3"/>
  <c r="M5625" i="3"/>
  <c r="L5625" i="3"/>
  <c r="J5625" i="3"/>
  <c r="K5625" i="3" s="1"/>
  <c r="H5625" i="3"/>
  <c r="G5625" i="3"/>
  <c r="I5625" i="3" s="1"/>
  <c r="M5624" i="3"/>
  <c r="L5624" i="3"/>
  <c r="J5624" i="3"/>
  <c r="K5624" i="3" s="1"/>
  <c r="H5624" i="3"/>
  <c r="G5624" i="3"/>
  <c r="M5623" i="3"/>
  <c r="L5623" i="3"/>
  <c r="J5623" i="3"/>
  <c r="K5623" i="3" s="1"/>
  <c r="H5623" i="3"/>
  <c r="G5623" i="3"/>
  <c r="M5622" i="3"/>
  <c r="L5622" i="3"/>
  <c r="J5622" i="3"/>
  <c r="K5622" i="3" s="1"/>
  <c r="H5622" i="3"/>
  <c r="G5622" i="3"/>
  <c r="I5622" i="3" s="1"/>
  <c r="M5621" i="3"/>
  <c r="L5621" i="3"/>
  <c r="J5621" i="3"/>
  <c r="K5621" i="3" s="1"/>
  <c r="H5621" i="3"/>
  <c r="G5621" i="3"/>
  <c r="M5620" i="3"/>
  <c r="L5620" i="3"/>
  <c r="K5620" i="3"/>
  <c r="J5620" i="3"/>
  <c r="H5620" i="3"/>
  <c r="G5620" i="3"/>
  <c r="M5619" i="3"/>
  <c r="L5619" i="3"/>
  <c r="J5619" i="3"/>
  <c r="K5619" i="3" s="1"/>
  <c r="H5619" i="3"/>
  <c r="G5619" i="3"/>
  <c r="I5619" i="3" s="1"/>
  <c r="M5618" i="3"/>
  <c r="L5618" i="3"/>
  <c r="J5618" i="3"/>
  <c r="K5618" i="3" s="1"/>
  <c r="H5618" i="3"/>
  <c r="G5618" i="3"/>
  <c r="M5617" i="3"/>
  <c r="L5617" i="3"/>
  <c r="J5617" i="3"/>
  <c r="K5617" i="3" s="1"/>
  <c r="H5617" i="3"/>
  <c r="G5617" i="3"/>
  <c r="I5617" i="3" s="1"/>
  <c r="M5616" i="3"/>
  <c r="L5616" i="3"/>
  <c r="J5616" i="3"/>
  <c r="K5616" i="3" s="1"/>
  <c r="H5616" i="3"/>
  <c r="G5616" i="3"/>
  <c r="M5615" i="3"/>
  <c r="L5615" i="3"/>
  <c r="J5615" i="3"/>
  <c r="K5615" i="3" s="1"/>
  <c r="H5615" i="3"/>
  <c r="G5615" i="3"/>
  <c r="M5614" i="3"/>
  <c r="L5614" i="3"/>
  <c r="J5614" i="3"/>
  <c r="K5614" i="3" s="1"/>
  <c r="H5614" i="3"/>
  <c r="G5614" i="3"/>
  <c r="I5614" i="3" s="1"/>
  <c r="M5613" i="3"/>
  <c r="L5613" i="3"/>
  <c r="J5613" i="3"/>
  <c r="K5613" i="3" s="1"/>
  <c r="H5613" i="3"/>
  <c r="G5613" i="3"/>
  <c r="M5612" i="3"/>
  <c r="L5612" i="3"/>
  <c r="K5612" i="3"/>
  <c r="J5612" i="3"/>
  <c r="H5612" i="3"/>
  <c r="G5612" i="3"/>
  <c r="M5611" i="3"/>
  <c r="L5611" i="3"/>
  <c r="J5611" i="3"/>
  <c r="K5611" i="3" s="1"/>
  <c r="H5611" i="3"/>
  <c r="G5611" i="3"/>
  <c r="I5611" i="3" s="1"/>
  <c r="M5610" i="3"/>
  <c r="L5610" i="3"/>
  <c r="J5610" i="3"/>
  <c r="K5610" i="3" s="1"/>
  <c r="H5610" i="3"/>
  <c r="G5610" i="3"/>
  <c r="M5609" i="3"/>
  <c r="L5609" i="3"/>
  <c r="J5609" i="3"/>
  <c r="K5609" i="3" s="1"/>
  <c r="H5609" i="3"/>
  <c r="G5609" i="3"/>
  <c r="I5609" i="3" s="1"/>
  <c r="M5608" i="3"/>
  <c r="L5608" i="3"/>
  <c r="J5608" i="3"/>
  <c r="K5608" i="3" s="1"/>
  <c r="H5608" i="3"/>
  <c r="G5608" i="3"/>
  <c r="M5607" i="3"/>
  <c r="L5607" i="3"/>
  <c r="J5607" i="3"/>
  <c r="K5607" i="3" s="1"/>
  <c r="H5607" i="3"/>
  <c r="G5607" i="3"/>
  <c r="M5606" i="3"/>
  <c r="L5606" i="3"/>
  <c r="J5606" i="3"/>
  <c r="K5606" i="3" s="1"/>
  <c r="H5606" i="3"/>
  <c r="G5606" i="3"/>
  <c r="I5606" i="3" s="1"/>
  <c r="M5605" i="3"/>
  <c r="L5605" i="3"/>
  <c r="J5605" i="3"/>
  <c r="K5605" i="3" s="1"/>
  <c r="H5605" i="3"/>
  <c r="G5605" i="3"/>
  <c r="M5604" i="3"/>
  <c r="L5604" i="3"/>
  <c r="K5604" i="3"/>
  <c r="J5604" i="3"/>
  <c r="H5604" i="3"/>
  <c r="G5604" i="3"/>
  <c r="M5603" i="3"/>
  <c r="L5603" i="3"/>
  <c r="J5603" i="3"/>
  <c r="K5603" i="3" s="1"/>
  <c r="H5603" i="3"/>
  <c r="G5603" i="3"/>
  <c r="I5603" i="3" s="1"/>
  <c r="M5602" i="3"/>
  <c r="L5602" i="3"/>
  <c r="J5602" i="3"/>
  <c r="K5602" i="3" s="1"/>
  <c r="H5602" i="3"/>
  <c r="G5602" i="3"/>
  <c r="M5601" i="3"/>
  <c r="L5601" i="3"/>
  <c r="J5601" i="3"/>
  <c r="K5601" i="3" s="1"/>
  <c r="H5601" i="3"/>
  <c r="G5601" i="3"/>
  <c r="I5601" i="3" s="1"/>
  <c r="M5600" i="3"/>
  <c r="L5600" i="3"/>
  <c r="J5600" i="3"/>
  <c r="K5600" i="3" s="1"/>
  <c r="H5600" i="3"/>
  <c r="G5600" i="3"/>
  <c r="M5599" i="3"/>
  <c r="L5599" i="3"/>
  <c r="J5599" i="3"/>
  <c r="K5599" i="3" s="1"/>
  <c r="H5599" i="3"/>
  <c r="G5599" i="3"/>
  <c r="M5598" i="3"/>
  <c r="L5598" i="3"/>
  <c r="J5598" i="3"/>
  <c r="K5598" i="3" s="1"/>
  <c r="H5598" i="3"/>
  <c r="G5598" i="3"/>
  <c r="I5598" i="3" s="1"/>
  <c r="M5597" i="3"/>
  <c r="L5597" i="3"/>
  <c r="J5597" i="3"/>
  <c r="K5597" i="3" s="1"/>
  <c r="H5597" i="3"/>
  <c r="G5597" i="3"/>
  <c r="M5596" i="3"/>
  <c r="L5596" i="3"/>
  <c r="K5596" i="3"/>
  <c r="J5596" i="3"/>
  <c r="H5596" i="3"/>
  <c r="G5596" i="3"/>
  <c r="M5595" i="3"/>
  <c r="L5595" i="3"/>
  <c r="J5595" i="3"/>
  <c r="K5595" i="3" s="1"/>
  <c r="H5595" i="3"/>
  <c r="G5595" i="3"/>
  <c r="I5595" i="3" s="1"/>
  <c r="M5594" i="3"/>
  <c r="L5594" i="3"/>
  <c r="J5594" i="3"/>
  <c r="K5594" i="3" s="1"/>
  <c r="H5594" i="3"/>
  <c r="G5594" i="3"/>
  <c r="M5785" i="3"/>
  <c r="L5785" i="3"/>
  <c r="J5785" i="3"/>
  <c r="K5785" i="3" s="1"/>
  <c r="H5785" i="3"/>
  <c r="G5785" i="3"/>
  <c r="M5784" i="3"/>
  <c r="L5784" i="3"/>
  <c r="J5784" i="3"/>
  <c r="K5784" i="3" s="1"/>
  <c r="H5784" i="3"/>
  <c r="G5784" i="3"/>
  <c r="I5784" i="3" s="1"/>
  <c r="M5783" i="3"/>
  <c r="L5783" i="3"/>
  <c r="J5783" i="3"/>
  <c r="K5783" i="3" s="1"/>
  <c r="H5783" i="3"/>
  <c r="G5783" i="3"/>
  <c r="M5782" i="3"/>
  <c r="L5782" i="3"/>
  <c r="J5782" i="3"/>
  <c r="K5782" i="3" s="1"/>
  <c r="H5782" i="3"/>
  <c r="G5782" i="3"/>
  <c r="M5781" i="3"/>
  <c r="L5781" i="3"/>
  <c r="J5781" i="3"/>
  <c r="K5781" i="3" s="1"/>
  <c r="H5781" i="3"/>
  <c r="G5781" i="3"/>
  <c r="M5780" i="3"/>
  <c r="L5780" i="3"/>
  <c r="J5780" i="3"/>
  <c r="K5780" i="3" s="1"/>
  <c r="H5780" i="3"/>
  <c r="G5780" i="3"/>
  <c r="M5779" i="3"/>
  <c r="L5779" i="3"/>
  <c r="J5779" i="3"/>
  <c r="K5779" i="3" s="1"/>
  <c r="H5779" i="3"/>
  <c r="G5779" i="3"/>
  <c r="M5778" i="3"/>
  <c r="L5778" i="3"/>
  <c r="J5778" i="3"/>
  <c r="K5778" i="3" s="1"/>
  <c r="H5778" i="3"/>
  <c r="G5778" i="3"/>
  <c r="M5777" i="3"/>
  <c r="L5777" i="3"/>
  <c r="J5777" i="3"/>
  <c r="K5777" i="3" s="1"/>
  <c r="H5777" i="3"/>
  <c r="G5777" i="3"/>
  <c r="M5776" i="3"/>
  <c r="L5776" i="3"/>
  <c r="J5776" i="3"/>
  <c r="K5776" i="3" s="1"/>
  <c r="H5776" i="3"/>
  <c r="G5776" i="3"/>
  <c r="I5776" i="3" s="1"/>
  <c r="M5775" i="3"/>
  <c r="L5775" i="3"/>
  <c r="J5775" i="3"/>
  <c r="K5775" i="3" s="1"/>
  <c r="H5775" i="3"/>
  <c r="G5775" i="3"/>
  <c r="M5774" i="3"/>
  <c r="L5774" i="3"/>
  <c r="J5774" i="3"/>
  <c r="K5774" i="3" s="1"/>
  <c r="H5774" i="3"/>
  <c r="G5774" i="3"/>
  <c r="M5773" i="3"/>
  <c r="L5773" i="3"/>
  <c r="J5773" i="3"/>
  <c r="K5773" i="3" s="1"/>
  <c r="H5773" i="3"/>
  <c r="G5773" i="3"/>
  <c r="M5772" i="3"/>
  <c r="L5772" i="3"/>
  <c r="J5772" i="3"/>
  <c r="K5772" i="3" s="1"/>
  <c r="H5772" i="3"/>
  <c r="G5772" i="3"/>
  <c r="M5771" i="3"/>
  <c r="L5771" i="3"/>
  <c r="J5771" i="3"/>
  <c r="K5771" i="3" s="1"/>
  <c r="H5771" i="3"/>
  <c r="G5771" i="3"/>
  <c r="M5770" i="3"/>
  <c r="L5770" i="3"/>
  <c r="J5770" i="3"/>
  <c r="K5770" i="3" s="1"/>
  <c r="H5770" i="3"/>
  <c r="G5770" i="3"/>
  <c r="M5769" i="3"/>
  <c r="L5769" i="3"/>
  <c r="J5769" i="3"/>
  <c r="K5769" i="3" s="1"/>
  <c r="H5769" i="3"/>
  <c r="G5769" i="3"/>
  <c r="M5768" i="3"/>
  <c r="L5768" i="3"/>
  <c r="J5768" i="3"/>
  <c r="K5768" i="3" s="1"/>
  <c r="H5768" i="3"/>
  <c r="G5768" i="3"/>
  <c r="I5768" i="3" s="1"/>
  <c r="M5767" i="3"/>
  <c r="L5767" i="3"/>
  <c r="J5767" i="3"/>
  <c r="K5767" i="3" s="1"/>
  <c r="H5767" i="3"/>
  <c r="G5767" i="3"/>
  <c r="M5766" i="3"/>
  <c r="L5766" i="3"/>
  <c r="J5766" i="3"/>
  <c r="K5766" i="3" s="1"/>
  <c r="H5766" i="3"/>
  <c r="G5766" i="3"/>
  <c r="M5765" i="3"/>
  <c r="L5765" i="3"/>
  <c r="J5765" i="3"/>
  <c r="K5765" i="3" s="1"/>
  <c r="H5765" i="3"/>
  <c r="G5765" i="3"/>
  <c r="M5764" i="3"/>
  <c r="L5764" i="3"/>
  <c r="J5764" i="3"/>
  <c r="K5764" i="3" s="1"/>
  <c r="H5764" i="3"/>
  <c r="G5764" i="3"/>
  <c r="M5763" i="3"/>
  <c r="L5763" i="3"/>
  <c r="J5763" i="3"/>
  <c r="K5763" i="3" s="1"/>
  <c r="H5763" i="3"/>
  <c r="G5763" i="3"/>
  <c r="M5762" i="3"/>
  <c r="L5762" i="3"/>
  <c r="J5762" i="3"/>
  <c r="K5762" i="3" s="1"/>
  <c r="H5762" i="3"/>
  <c r="G5762" i="3"/>
  <c r="M5761" i="3"/>
  <c r="L5761" i="3"/>
  <c r="J5761" i="3"/>
  <c r="K5761" i="3" s="1"/>
  <c r="H5761" i="3"/>
  <c r="G5761" i="3"/>
  <c r="M5760" i="3"/>
  <c r="L5760" i="3"/>
  <c r="J5760" i="3"/>
  <c r="K5760" i="3" s="1"/>
  <c r="H5760" i="3"/>
  <c r="G5760" i="3"/>
  <c r="I5760" i="3" s="1"/>
  <c r="M5759" i="3"/>
  <c r="L5759" i="3"/>
  <c r="J5759" i="3"/>
  <c r="K5759" i="3" s="1"/>
  <c r="H5759" i="3"/>
  <c r="G5759" i="3"/>
  <c r="M5758" i="3"/>
  <c r="L5758" i="3"/>
  <c r="J5758" i="3"/>
  <c r="K5758" i="3" s="1"/>
  <c r="H5758" i="3"/>
  <c r="G5758" i="3"/>
  <c r="M5757" i="3"/>
  <c r="L5757" i="3"/>
  <c r="J5757" i="3"/>
  <c r="K5757" i="3" s="1"/>
  <c r="H5757" i="3"/>
  <c r="G5757" i="3"/>
  <c r="M5756" i="3"/>
  <c r="L5756" i="3"/>
  <c r="J5756" i="3"/>
  <c r="K5756" i="3" s="1"/>
  <c r="H5756" i="3"/>
  <c r="G5756" i="3"/>
  <c r="M5755" i="3"/>
  <c r="L5755" i="3"/>
  <c r="J5755" i="3"/>
  <c r="K5755" i="3" s="1"/>
  <c r="H5755" i="3"/>
  <c r="G5755" i="3"/>
  <c r="M5754" i="3"/>
  <c r="L5754" i="3"/>
  <c r="J5754" i="3"/>
  <c r="K5754" i="3" s="1"/>
  <c r="H5754" i="3"/>
  <c r="G5754" i="3"/>
  <c r="M5753" i="3"/>
  <c r="L5753" i="3"/>
  <c r="J5753" i="3"/>
  <c r="K5753" i="3" s="1"/>
  <c r="H5753" i="3"/>
  <c r="G5753" i="3"/>
  <c r="M5752" i="3"/>
  <c r="L5752" i="3"/>
  <c r="J5752" i="3"/>
  <c r="K5752" i="3" s="1"/>
  <c r="H5752" i="3"/>
  <c r="G5752" i="3"/>
  <c r="I5752" i="3" s="1"/>
  <c r="M5751" i="3"/>
  <c r="L5751" i="3"/>
  <c r="J5751" i="3"/>
  <c r="K5751" i="3" s="1"/>
  <c r="H5751" i="3"/>
  <c r="G5751" i="3"/>
  <c r="M5750" i="3"/>
  <c r="L5750" i="3"/>
  <c r="J5750" i="3"/>
  <c r="K5750" i="3" s="1"/>
  <c r="H5750" i="3"/>
  <c r="G5750" i="3"/>
  <c r="M5749" i="3"/>
  <c r="L5749" i="3"/>
  <c r="J5749" i="3"/>
  <c r="K5749" i="3" s="1"/>
  <c r="H5749" i="3"/>
  <c r="G5749" i="3"/>
  <c r="M5748" i="3"/>
  <c r="L5748" i="3"/>
  <c r="J5748" i="3"/>
  <c r="K5748" i="3" s="1"/>
  <c r="H5748" i="3"/>
  <c r="G5748" i="3"/>
  <c r="M5747" i="3"/>
  <c r="L5747" i="3"/>
  <c r="J5747" i="3"/>
  <c r="K5747" i="3" s="1"/>
  <c r="H5747" i="3"/>
  <c r="G5747" i="3"/>
  <c r="M5746" i="3"/>
  <c r="L5746" i="3"/>
  <c r="J5746" i="3"/>
  <c r="K5746" i="3" s="1"/>
  <c r="H5746" i="3"/>
  <c r="G5746" i="3"/>
  <c r="M5745" i="3"/>
  <c r="L5745" i="3"/>
  <c r="J5745" i="3"/>
  <c r="K5745" i="3" s="1"/>
  <c r="H5745" i="3"/>
  <c r="G5745" i="3"/>
  <c r="M5744" i="3"/>
  <c r="L5744" i="3"/>
  <c r="J5744" i="3"/>
  <c r="K5744" i="3" s="1"/>
  <c r="H5744" i="3"/>
  <c r="G5744" i="3"/>
  <c r="I5744" i="3" s="1"/>
  <c r="M5743" i="3"/>
  <c r="L5743" i="3"/>
  <c r="J5743" i="3"/>
  <c r="K5743" i="3" s="1"/>
  <c r="H5743" i="3"/>
  <c r="G5743" i="3"/>
  <c r="M5742" i="3"/>
  <c r="L5742" i="3"/>
  <c r="J5742" i="3"/>
  <c r="K5742" i="3" s="1"/>
  <c r="H5742" i="3"/>
  <c r="G5742" i="3"/>
  <c r="M5741" i="3"/>
  <c r="L5741" i="3"/>
  <c r="J5741" i="3"/>
  <c r="K5741" i="3" s="1"/>
  <c r="H5741" i="3"/>
  <c r="G5741" i="3"/>
  <c r="M5740" i="3"/>
  <c r="L5740" i="3"/>
  <c r="J5740" i="3"/>
  <c r="K5740" i="3" s="1"/>
  <c r="H5740" i="3"/>
  <c r="G5740" i="3"/>
  <c r="M5739" i="3"/>
  <c r="L5739" i="3"/>
  <c r="J5739" i="3"/>
  <c r="K5739" i="3" s="1"/>
  <c r="H5739" i="3"/>
  <c r="G5739" i="3"/>
  <c r="M5738" i="3"/>
  <c r="L5738" i="3"/>
  <c r="J5738" i="3"/>
  <c r="K5738" i="3" s="1"/>
  <c r="H5738" i="3"/>
  <c r="G5738" i="3"/>
  <c r="M5737" i="3"/>
  <c r="L5737" i="3"/>
  <c r="J5737" i="3"/>
  <c r="K5737" i="3" s="1"/>
  <c r="H5737" i="3"/>
  <c r="G5737" i="3"/>
  <c r="M5736" i="3"/>
  <c r="L5736" i="3"/>
  <c r="J5736" i="3"/>
  <c r="K5736" i="3" s="1"/>
  <c r="H5736" i="3"/>
  <c r="G5736" i="3"/>
  <c r="I5736" i="3" s="1"/>
  <c r="M5735" i="3"/>
  <c r="L5735" i="3"/>
  <c r="J5735" i="3"/>
  <c r="K5735" i="3" s="1"/>
  <c r="H5735" i="3"/>
  <c r="G5735" i="3"/>
  <c r="M5734" i="3"/>
  <c r="L5734" i="3"/>
  <c r="J5734" i="3"/>
  <c r="K5734" i="3" s="1"/>
  <c r="H5734" i="3"/>
  <c r="G5734" i="3"/>
  <c r="M5733" i="3"/>
  <c r="L5733" i="3"/>
  <c r="J5733" i="3"/>
  <c r="K5733" i="3" s="1"/>
  <c r="H5733" i="3"/>
  <c r="G5733" i="3"/>
  <c r="M5732" i="3"/>
  <c r="L5732" i="3"/>
  <c r="J5732" i="3"/>
  <c r="K5732" i="3" s="1"/>
  <c r="H5732" i="3"/>
  <c r="G5732" i="3"/>
  <c r="M5731" i="3"/>
  <c r="L5731" i="3"/>
  <c r="J5731" i="3"/>
  <c r="K5731" i="3" s="1"/>
  <c r="H5731" i="3"/>
  <c r="G5731" i="3"/>
  <c r="M5730" i="3"/>
  <c r="L5730" i="3"/>
  <c r="J5730" i="3"/>
  <c r="K5730" i="3" s="1"/>
  <c r="H5730" i="3"/>
  <c r="G5730" i="3"/>
  <c r="M5729" i="3"/>
  <c r="L5729" i="3"/>
  <c r="J5729" i="3"/>
  <c r="K5729" i="3" s="1"/>
  <c r="H5729" i="3"/>
  <c r="G5729" i="3"/>
  <c r="M5728" i="3"/>
  <c r="L5728" i="3"/>
  <c r="J5728" i="3"/>
  <c r="K5728" i="3" s="1"/>
  <c r="H5728" i="3"/>
  <c r="G5728" i="3"/>
  <c r="I5728" i="3" s="1"/>
  <c r="M5727" i="3"/>
  <c r="L5727" i="3"/>
  <c r="J5727" i="3"/>
  <c r="K5727" i="3" s="1"/>
  <c r="H5727" i="3"/>
  <c r="G5727" i="3"/>
  <c r="M5726" i="3"/>
  <c r="L5726" i="3"/>
  <c r="J5726" i="3"/>
  <c r="K5726" i="3" s="1"/>
  <c r="H5726" i="3"/>
  <c r="G5726" i="3"/>
  <c r="I5726" i="3" s="1"/>
  <c r="M5725" i="3"/>
  <c r="L5725" i="3"/>
  <c r="J5725" i="3"/>
  <c r="K5725" i="3" s="1"/>
  <c r="H5725" i="3"/>
  <c r="G5725" i="3"/>
  <c r="M5724" i="3"/>
  <c r="L5724" i="3"/>
  <c r="J5724" i="3"/>
  <c r="K5724" i="3" s="1"/>
  <c r="H5724" i="3"/>
  <c r="G5724" i="3"/>
  <c r="M5723" i="3"/>
  <c r="L5723" i="3"/>
  <c r="J5723" i="3"/>
  <c r="K5723" i="3" s="1"/>
  <c r="H5723" i="3"/>
  <c r="G5723" i="3"/>
  <c r="M5722" i="3"/>
  <c r="L5722" i="3"/>
  <c r="J5722" i="3"/>
  <c r="K5722" i="3" s="1"/>
  <c r="H5722" i="3"/>
  <c r="G5722" i="3"/>
  <c r="I5722" i="3" s="1"/>
  <c r="M5721" i="3"/>
  <c r="L5721" i="3"/>
  <c r="J5721" i="3"/>
  <c r="K5721" i="3" s="1"/>
  <c r="H5721" i="3"/>
  <c r="G5721" i="3"/>
  <c r="M5720" i="3"/>
  <c r="L5720" i="3"/>
  <c r="J5720" i="3"/>
  <c r="K5720" i="3" s="1"/>
  <c r="H5720" i="3"/>
  <c r="G5720" i="3"/>
  <c r="I5720" i="3" s="1"/>
  <c r="M5719" i="3"/>
  <c r="L5719" i="3"/>
  <c r="J5719" i="3"/>
  <c r="K5719" i="3" s="1"/>
  <c r="H5719" i="3"/>
  <c r="G5719" i="3"/>
  <c r="M5718" i="3"/>
  <c r="L5718" i="3"/>
  <c r="J5718" i="3"/>
  <c r="K5718" i="3" s="1"/>
  <c r="H5718" i="3"/>
  <c r="G5718" i="3"/>
  <c r="I5718" i="3" s="1"/>
  <c r="M5717" i="3"/>
  <c r="L5717" i="3"/>
  <c r="J5717" i="3"/>
  <c r="K5717" i="3" s="1"/>
  <c r="H5717" i="3"/>
  <c r="G5717" i="3"/>
  <c r="M5716" i="3"/>
  <c r="L5716" i="3"/>
  <c r="J5716" i="3"/>
  <c r="K5716" i="3" s="1"/>
  <c r="H5716" i="3"/>
  <c r="G5716" i="3"/>
  <c r="M5715" i="3"/>
  <c r="L5715" i="3"/>
  <c r="J5715" i="3"/>
  <c r="K5715" i="3" s="1"/>
  <c r="H5715" i="3"/>
  <c r="G5715" i="3"/>
  <c r="M5714" i="3"/>
  <c r="L5714" i="3"/>
  <c r="J5714" i="3"/>
  <c r="K5714" i="3" s="1"/>
  <c r="H5714" i="3"/>
  <c r="G5714" i="3"/>
  <c r="I5714" i="3" s="1"/>
  <c r="M5713" i="3"/>
  <c r="L5713" i="3"/>
  <c r="J5713" i="3"/>
  <c r="K5713" i="3" s="1"/>
  <c r="H5713" i="3"/>
  <c r="G5713" i="3"/>
  <c r="M5712" i="3"/>
  <c r="L5712" i="3"/>
  <c r="J5712" i="3"/>
  <c r="K5712" i="3" s="1"/>
  <c r="H5712" i="3"/>
  <c r="G5712" i="3"/>
  <c r="I5712" i="3" s="1"/>
  <c r="M5711" i="3"/>
  <c r="L5711" i="3"/>
  <c r="J5711" i="3"/>
  <c r="K5711" i="3" s="1"/>
  <c r="H5711" i="3"/>
  <c r="G5711" i="3"/>
  <c r="M5710" i="3"/>
  <c r="L5710" i="3"/>
  <c r="J5710" i="3"/>
  <c r="K5710" i="3" s="1"/>
  <c r="H5710" i="3"/>
  <c r="G5710" i="3"/>
  <c r="I5710" i="3" s="1"/>
  <c r="M5709" i="3"/>
  <c r="L5709" i="3"/>
  <c r="J5709" i="3"/>
  <c r="K5709" i="3" s="1"/>
  <c r="H5709" i="3"/>
  <c r="G5709" i="3"/>
  <c r="M5708" i="3"/>
  <c r="L5708" i="3"/>
  <c r="J5708" i="3"/>
  <c r="K5708" i="3" s="1"/>
  <c r="H5708" i="3"/>
  <c r="G5708" i="3"/>
  <c r="M5707" i="3"/>
  <c r="L5707" i="3"/>
  <c r="J5707" i="3"/>
  <c r="K5707" i="3" s="1"/>
  <c r="H5707" i="3"/>
  <c r="G5707" i="3"/>
  <c r="M5706" i="3"/>
  <c r="L5706" i="3"/>
  <c r="J5706" i="3"/>
  <c r="K5706" i="3" s="1"/>
  <c r="H5706" i="3"/>
  <c r="G5706" i="3"/>
  <c r="M5705" i="3"/>
  <c r="L5705" i="3"/>
  <c r="J5705" i="3"/>
  <c r="K5705" i="3" s="1"/>
  <c r="H5705" i="3"/>
  <c r="G5705" i="3"/>
  <c r="M5704" i="3"/>
  <c r="L5704" i="3"/>
  <c r="J5704" i="3"/>
  <c r="K5704" i="3" s="1"/>
  <c r="H5704" i="3"/>
  <c r="G5704" i="3"/>
  <c r="I5704" i="3" s="1"/>
  <c r="M5703" i="3"/>
  <c r="L5703" i="3"/>
  <c r="J5703" i="3"/>
  <c r="K5703" i="3" s="1"/>
  <c r="H5703" i="3"/>
  <c r="G5703" i="3"/>
  <c r="M5702" i="3"/>
  <c r="L5702" i="3"/>
  <c r="J5702" i="3"/>
  <c r="K5702" i="3" s="1"/>
  <c r="H5702" i="3"/>
  <c r="G5702" i="3"/>
  <c r="I5702" i="3" s="1"/>
  <c r="M5701" i="3"/>
  <c r="L5701" i="3"/>
  <c r="J5701" i="3"/>
  <c r="K5701" i="3" s="1"/>
  <c r="H5701" i="3"/>
  <c r="G5701" i="3"/>
  <c r="M5700" i="3"/>
  <c r="L5700" i="3"/>
  <c r="J5700" i="3"/>
  <c r="K5700" i="3" s="1"/>
  <c r="H5700" i="3"/>
  <c r="G5700" i="3"/>
  <c r="M5699" i="3"/>
  <c r="L5699" i="3"/>
  <c r="J5699" i="3"/>
  <c r="K5699" i="3" s="1"/>
  <c r="H5699" i="3"/>
  <c r="G5699" i="3"/>
  <c r="M5698" i="3"/>
  <c r="L5698" i="3"/>
  <c r="J5698" i="3"/>
  <c r="K5698" i="3" s="1"/>
  <c r="H5698" i="3"/>
  <c r="G5698" i="3"/>
  <c r="M5697" i="3"/>
  <c r="L5697" i="3"/>
  <c r="J5697" i="3"/>
  <c r="K5697" i="3" s="1"/>
  <c r="H5697" i="3"/>
  <c r="G5697" i="3"/>
  <c r="M5696" i="3"/>
  <c r="L5696" i="3"/>
  <c r="J5696" i="3"/>
  <c r="K5696" i="3" s="1"/>
  <c r="H5696" i="3"/>
  <c r="G5696" i="3"/>
  <c r="I5696" i="3" s="1"/>
  <c r="M5695" i="3"/>
  <c r="L5695" i="3"/>
  <c r="J5695" i="3"/>
  <c r="K5695" i="3" s="1"/>
  <c r="H5695" i="3"/>
  <c r="G5695" i="3"/>
  <c r="M5694" i="3"/>
  <c r="L5694" i="3"/>
  <c r="J5694" i="3"/>
  <c r="K5694" i="3" s="1"/>
  <c r="H5694" i="3"/>
  <c r="G5694" i="3"/>
  <c r="I5694" i="3" s="1"/>
  <c r="M5693" i="3"/>
  <c r="L5693" i="3"/>
  <c r="J5693" i="3"/>
  <c r="K5693" i="3" s="1"/>
  <c r="H5693" i="3"/>
  <c r="G5693" i="3"/>
  <c r="M5692" i="3"/>
  <c r="L5692" i="3"/>
  <c r="J5692" i="3"/>
  <c r="K5692" i="3" s="1"/>
  <c r="H5692" i="3"/>
  <c r="G5692" i="3"/>
  <c r="M5691" i="3"/>
  <c r="L5691" i="3"/>
  <c r="J5691" i="3"/>
  <c r="K5691" i="3" s="1"/>
  <c r="H5691" i="3"/>
  <c r="G5691" i="3"/>
  <c r="M5690" i="3"/>
  <c r="L5690" i="3"/>
  <c r="J5690" i="3"/>
  <c r="K5690" i="3" s="1"/>
  <c r="H5690" i="3"/>
  <c r="G5690" i="3"/>
  <c r="I5690" i="3" s="1"/>
  <c r="M5881" i="3"/>
  <c r="L5881" i="3"/>
  <c r="J5881" i="3"/>
  <c r="K5881" i="3" s="1"/>
  <c r="H5881" i="3"/>
  <c r="G5881" i="3"/>
  <c r="M5880" i="3"/>
  <c r="L5880" i="3"/>
  <c r="J5880" i="3"/>
  <c r="K5880" i="3" s="1"/>
  <c r="H5880" i="3"/>
  <c r="G5880" i="3"/>
  <c r="I5880" i="3" s="1"/>
  <c r="M5879" i="3"/>
  <c r="L5879" i="3"/>
  <c r="J5879" i="3"/>
  <c r="K5879" i="3" s="1"/>
  <c r="H5879" i="3"/>
  <c r="G5879" i="3"/>
  <c r="M5878" i="3"/>
  <c r="L5878" i="3"/>
  <c r="J5878" i="3"/>
  <c r="K5878" i="3" s="1"/>
  <c r="H5878" i="3"/>
  <c r="G5878" i="3"/>
  <c r="M5877" i="3"/>
  <c r="L5877" i="3"/>
  <c r="J5877" i="3"/>
  <c r="K5877" i="3" s="1"/>
  <c r="H5877" i="3"/>
  <c r="G5877" i="3"/>
  <c r="M5876" i="3"/>
  <c r="L5876" i="3"/>
  <c r="J5876" i="3"/>
  <c r="K5876" i="3" s="1"/>
  <c r="H5876" i="3"/>
  <c r="G5876" i="3"/>
  <c r="M5875" i="3"/>
  <c r="L5875" i="3"/>
  <c r="J5875" i="3"/>
  <c r="K5875" i="3" s="1"/>
  <c r="H5875" i="3"/>
  <c r="G5875" i="3"/>
  <c r="M5874" i="3"/>
  <c r="L5874" i="3"/>
  <c r="J5874" i="3"/>
  <c r="K5874" i="3" s="1"/>
  <c r="H5874" i="3"/>
  <c r="G5874" i="3"/>
  <c r="I5874" i="3" s="1"/>
  <c r="M5873" i="3"/>
  <c r="L5873" i="3"/>
  <c r="J5873" i="3"/>
  <c r="K5873" i="3" s="1"/>
  <c r="H5873" i="3"/>
  <c r="G5873" i="3"/>
  <c r="M5872" i="3"/>
  <c r="L5872" i="3"/>
  <c r="J5872" i="3"/>
  <c r="K5872" i="3" s="1"/>
  <c r="H5872" i="3"/>
  <c r="G5872" i="3"/>
  <c r="I5872" i="3" s="1"/>
  <c r="M5871" i="3"/>
  <c r="L5871" i="3"/>
  <c r="J5871" i="3"/>
  <c r="K5871" i="3" s="1"/>
  <c r="H5871" i="3"/>
  <c r="G5871" i="3"/>
  <c r="M5870" i="3"/>
  <c r="L5870" i="3"/>
  <c r="J5870" i="3"/>
  <c r="K5870" i="3" s="1"/>
  <c r="H5870" i="3"/>
  <c r="G5870" i="3"/>
  <c r="I5870" i="3" s="1"/>
  <c r="M5869" i="3"/>
  <c r="L5869" i="3"/>
  <c r="J5869" i="3"/>
  <c r="K5869" i="3" s="1"/>
  <c r="H5869" i="3"/>
  <c r="G5869" i="3"/>
  <c r="M5868" i="3"/>
  <c r="L5868" i="3"/>
  <c r="J5868" i="3"/>
  <c r="K5868" i="3" s="1"/>
  <c r="H5868" i="3"/>
  <c r="G5868" i="3"/>
  <c r="M5867" i="3"/>
  <c r="L5867" i="3"/>
  <c r="J5867" i="3"/>
  <c r="K5867" i="3" s="1"/>
  <c r="H5867" i="3"/>
  <c r="G5867" i="3"/>
  <c r="M5866" i="3"/>
  <c r="L5866" i="3"/>
  <c r="J5866" i="3"/>
  <c r="K5866" i="3" s="1"/>
  <c r="H5866" i="3"/>
  <c r="G5866" i="3"/>
  <c r="I5866" i="3" s="1"/>
  <c r="M5865" i="3"/>
  <c r="L5865" i="3"/>
  <c r="J5865" i="3"/>
  <c r="K5865" i="3" s="1"/>
  <c r="H5865" i="3"/>
  <c r="G5865" i="3"/>
  <c r="M5864" i="3"/>
  <c r="L5864" i="3"/>
  <c r="J5864" i="3"/>
  <c r="K5864" i="3" s="1"/>
  <c r="H5864" i="3"/>
  <c r="G5864" i="3"/>
  <c r="I5864" i="3" s="1"/>
  <c r="M5863" i="3"/>
  <c r="L5863" i="3"/>
  <c r="J5863" i="3"/>
  <c r="K5863" i="3" s="1"/>
  <c r="H5863" i="3"/>
  <c r="G5863" i="3"/>
  <c r="M5862" i="3"/>
  <c r="L5862" i="3"/>
  <c r="J5862" i="3"/>
  <c r="K5862" i="3" s="1"/>
  <c r="H5862" i="3"/>
  <c r="G5862" i="3"/>
  <c r="I5862" i="3" s="1"/>
  <c r="M5861" i="3"/>
  <c r="L5861" i="3"/>
  <c r="J5861" i="3"/>
  <c r="K5861" i="3" s="1"/>
  <c r="H5861" i="3"/>
  <c r="G5861" i="3"/>
  <c r="M5860" i="3"/>
  <c r="L5860" i="3"/>
  <c r="J5860" i="3"/>
  <c r="K5860" i="3" s="1"/>
  <c r="H5860" i="3"/>
  <c r="G5860" i="3"/>
  <c r="M5859" i="3"/>
  <c r="L5859" i="3"/>
  <c r="J5859" i="3"/>
  <c r="K5859" i="3" s="1"/>
  <c r="H5859" i="3"/>
  <c r="G5859" i="3"/>
  <c r="M5858" i="3"/>
  <c r="L5858" i="3"/>
  <c r="J5858" i="3"/>
  <c r="K5858" i="3" s="1"/>
  <c r="H5858" i="3"/>
  <c r="G5858" i="3"/>
  <c r="I5858" i="3" s="1"/>
  <c r="M5857" i="3"/>
  <c r="L5857" i="3"/>
  <c r="J5857" i="3"/>
  <c r="K5857" i="3" s="1"/>
  <c r="H5857" i="3"/>
  <c r="G5857" i="3"/>
  <c r="M5856" i="3"/>
  <c r="L5856" i="3"/>
  <c r="J5856" i="3"/>
  <c r="K5856" i="3" s="1"/>
  <c r="H5856" i="3"/>
  <c r="G5856" i="3"/>
  <c r="I5856" i="3" s="1"/>
  <c r="M5855" i="3"/>
  <c r="L5855" i="3"/>
  <c r="J5855" i="3"/>
  <c r="K5855" i="3" s="1"/>
  <c r="H5855" i="3"/>
  <c r="G5855" i="3"/>
  <c r="M5854" i="3"/>
  <c r="L5854" i="3"/>
  <c r="J5854" i="3"/>
  <c r="K5854" i="3" s="1"/>
  <c r="H5854" i="3"/>
  <c r="G5854" i="3"/>
  <c r="I5854" i="3" s="1"/>
  <c r="M5853" i="3"/>
  <c r="L5853" i="3"/>
  <c r="J5853" i="3"/>
  <c r="K5853" i="3" s="1"/>
  <c r="H5853" i="3"/>
  <c r="G5853" i="3"/>
  <c r="M5852" i="3"/>
  <c r="L5852" i="3"/>
  <c r="J5852" i="3"/>
  <c r="K5852" i="3" s="1"/>
  <c r="H5852" i="3"/>
  <c r="G5852" i="3"/>
  <c r="M5851" i="3"/>
  <c r="L5851" i="3"/>
  <c r="J5851" i="3"/>
  <c r="K5851" i="3" s="1"/>
  <c r="H5851" i="3"/>
  <c r="G5851" i="3"/>
  <c r="M5850" i="3"/>
  <c r="L5850" i="3"/>
  <c r="J5850" i="3"/>
  <c r="K5850" i="3" s="1"/>
  <c r="H5850" i="3"/>
  <c r="G5850" i="3"/>
  <c r="I5850" i="3" s="1"/>
  <c r="M5849" i="3"/>
  <c r="L5849" i="3"/>
  <c r="J5849" i="3"/>
  <c r="K5849" i="3" s="1"/>
  <c r="H5849" i="3"/>
  <c r="G5849" i="3"/>
  <c r="M5848" i="3"/>
  <c r="L5848" i="3"/>
  <c r="J5848" i="3"/>
  <c r="K5848" i="3" s="1"/>
  <c r="H5848" i="3"/>
  <c r="G5848" i="3"/>
  <c r="M5847" i="3"/>
  <c r="L5847" i="3"/>
  <c r="J5847" i="3"/>
  <c r="K5847" i="3" s="1"/>
  <c r="H5847" i="3"/>
  <c r="G5847" i="3"/>
  <c r="M5846" i="3"/>
  <c r="L5846" i="3"/>
  <c r="J5846" i="3"/>
  <c r="K5846" i="3" s="1"/>
  <c r="H5846" i="3"/>
  <c r="G5846" i="3"/>
  <c r="I5846" i="3" s="1"/>
  <c r="M5845" i="3"/>
  <c r="L5845" i="3"/>
  <c r="J5845" i="3"/>
  <c r="K5845" i="3" s="1"/>
  <c r="H5845" i="3"/>
  <c r="G5845" i="3"/>
  <c r="M5844" i="3"/>
  <c r="L5844" i="3"/>
  <c r="J5844" i="3"/>
  <c r="K5844" i="3" s="1"/>
  <c r="H5844" i="3"/>
  <c r="I5844" i="3" s="1"/>
  <c r="G5844" i="3"/>
  <c r="M5843" i="3"/>
  <c r="L5843" i="3"/>
  <c r="J5843" i="3"/>
  <c r="K5843" i="3" s="1"/>
  <c r="H5843" i="3"/>
  <c r="G5843" i="3"/>
  <c r="M5842" i="3"/>
  <c r="L5842" i="3"/>
  <c r="J5842" i="3"/>
  <c r="K5842" i="3" s="1"/>
  <c r="H5842" i="3"/>
  <c r="G5842" i="3"/>
  <c r="I5842" i="3" s="1"/>
  <c r="M5841" i="3"/>
  <c r="L5841" i="3"/>
  <c r="J5841" i="3"/>
  <c r="K5841" i="3" s="1"/>
  <c r="H5841" i="3"/>
  <c r="G5841" i="3"/>
  <c r="M5840" i="3"/>
  <c r="L5840" i="3"/>
  <c r="J5840" i="3"/>
  <c r="K5840" i="3" s="1"/>
  <c r="H5840" i="3"/>
  <c r="G5840" i="3"/>
  <c r="M5839" i="3"/>
  <c r="L5839" i="3"/>
  <c r="J5839" i="3"/>
  <c r="K5839" i="3" s="1"/>
  <c r="H5839" i="3"/>
  <c r="G5839" i="3"/>
  <c r="M5838" i="3"/>
  <c r="L5838" i="3"/>
  <c r="J5838" i="3"/>
  <c r="K5838" i="3" s="1"/>
  <c r="H5838" i="3"/>
  <c r="G5838" i="3"/>
  <c r="I5838" i="3" s="1"/>
  <c r="M5837" i="3"/>
  <c r="L5837" i="3"/>
  <c r="J5837" i="3"/>
  <c r="K5837" i="3" s="1"/>
  <c r="H5837" i="3"/>
  <c r="G5837" i="3"/>
  <c r="M5836" i="3"/>
  <c r="L5836" i="3"/>
  <c r="J5836" i="3"/>
  <c r="K5836" i="3" s="1"/>
  <c r="H5836" i="3"/>
  <c r="I5836" i="3" s="1"/>
  <c r="G5836" i="3"/>
  <c r="M5835" i="3"/>
  <c r="L5835" i="3"/>
  <c r="J5835" i="3"/>
  <c r="K5835" i="3" s="1"/>
  <c r="H5835" i="3"/>
  <c r="G5835" i="3"/>
  <c r="M5834" i="3"/>
  <c r="L5834" i="3"/>
  <c r="J5834" i="3"/>
  <c r="K5834" i="3" s="1"/>
  <c r="H5834" i="3"/>
  <c r="G5834" i="3"/>
  <c r="I5834" i="3" s="1"/>
  <c r="M5833" i="3"/>
  <c r="L5833" i="3"/>
  <c r="J5833" i="3"/>
  <c r="K5833" i="3" s="1"/>
  <c r="H5833" i="3"/>
  <c r="G5833" i="3"/>
  <c r="M5832" i="3"/>
  <c r="L5832" i="3"/>
  <c r="J5832" i="3"/>
  <c r="K5832" i="3" s="1"/>
  <c r="H5832" i="3"/>
  <c r="G5832" i="3"/>
  <c r="M5831" i="3"/>
  <c r="L5831" i="3"/>
  <c r="J5831" i="3"/>
  <c r="K5831" i="3" s="1"/>
  <c r="H5831" i="3"/>
  <c r="G5831" i="3"/>
  <c r="M5830" i="3"/>
  <c r="L5830" i="3"/>
  <c r="J5830" i="3"/>
  <c r="K5830" i="3" s="1"/>
  <c r="H5830" i="3"/>
  <c r="G5830" i="3"/>
  <c r="I5830" i="3" s="1"/>
  <c r="M5829" i="3"/>
  <c r="L5829" i="3"/>
  <c r="J5829" i="3"/>
  <c r="K5829" i="3" s="1"/>
  <c r="H5829" i="3"/>
  <c r="G5829" i="3"/>
  <c r="M5828" i="3"/>
  <c r="L5828" i="3"/>
  <c r="J5828" i="3"/>
  <c r="K5828" i="3" s="1"/>
  <c r="H5828" i="3"/>
  <c r="I5828" i="3" s="1"/>
  <c r="G5828" i="3"/>
  <c r="M5827" i="3"/>
  <c r="L5827" i="3"/>
  <c r="J5827" i="3"/>
  <c r="K5827" i="3" s="1"/>
  <c r="H5827" i="3"/>
  <c r="G5827" i="3"/>
  <c r="M5826" i="3"/>
  <c r="L5826" i="3"/>
  <c r="J5826" i="3"/>
  <c r="K5826" i="3" s="1"/>
  <c r="H5826" i="3"/>
  <c r="G5826" i="3"/>
  <c r="I5826" i="3" s="1"/>
  <c r="M5825" i="3"/>
  <c r="L5825" i="3"/>
  <c r="J5825" i="3"/>
  <c r="K5825" i="3" s="1"/>
  <c r="H5825" i="3"/>
  <c r="G5825" i="3"/>
  <c r="M5824" i="3"/>
  <c r="L5824" i="3"/>
  <c r="J5824" i="3"/>
  <c r="K5824" i="3" s="1"/>
  <c r="H5824" i="3"/>
  <c r="G5824" i="3"/>
  <c r="M5823" i="3"/>
  <c r="L5823" i="3"/>
  <c r="J5823" i="3"/>
  <c r="K5823" i="3" s="1"/>
  <c r="H5823" i="3"/>
  <c r="G5823" i="3"/>
  <c r="M5822" i="3"/>
  <c r="L5822" i="3"/>
  <c r="J5822" i="3"/>
  <c r="K5822" i="3" s="1"/>
  <c r="H5822" i="3"/>
  <c r="G5822" i="3"/>
  <c r="I5822" i="3" s="1"/>
  <c r="M5821" i="3"/>
  <c r="L5821" i="3"/>
  <c r="J5821" i="3"/>
  <c r="K5821" i="3" s="1"/>
  <c r="H5821" i="3"/>
  <c r="G5821" i="3"/>
  <c r="M5820" i="3"/>
  <c r="L5820" i="3"/>
  <c r="J5820" i="3"/>
  <c r="K5820" i="3" s="1"/>
  <c r="H5820" i="3"/>
  <c r="I5820" i="3" s="1"/>
  <c r="G5820" i="3"/>
  <c r="M5819" i="3"/>
  <c r="L5819" i="3"/>
  <c r="J5819" i="3"/>
  <c r="K5819" i="3" s="1"/>
  <c r="H5819" i="3"/>
  <c r="G5819" i="3"/>
  <c r="M5818" i="3"/>
  <c r="L5818" i="3"/>
  <c r="J5818" i="3"/>
  <c r="K5818" i="3" s="1"/>
  <c r="H5818" i="3"/>
  <c r="G5818" i="3"/>
  <c r="I5818" i="3" s="1"/>
  <c r="M5817" i="3"/>
  <c r="L5817" i="3"/>
  <c r="J5817" i="3"/>
  <c r="K5817" i="3" s="1"/>
  <c r="H5817" i="3"/>
  <c r="G5817" i="3"/>
  <c r="M5816" i="3"/>
  <c r="L5816" i="3"/>
  <c r="J5816" i="3"/>
  <c r="K5816" i="3" s="1"/>
  <c r="H5816" i="3"/>
  <c r="G5816" i="3"/>
  <c r="M5815" i="3"/>
  <c r="L5815" i="3"/>
  <c r="J5815" i="3"/>
  <c r="K5815" i="3" s="1"/>
  <c r="H5815" i="3"/>
  <c r="G5815" i="3"/>
  <c r="M5814" i="3"/>
  <c r="L5814" i="3"/>
  <c r="J5814" i="3"/>
  <c r="K5814" i="3" s="1"/>
  <c r="H5814" i="3"/>
  <c r="G5814" i="3"/>
  <c r="I5814" i="3" s="1"/>
  <c r="M5813" i="3"/>
  <c r="L5813" i="3"/>
  <c r="J5813" i="3"/>
  <c r="K5813" i="3" s="1"/>
  <c r="H5813" i="3"/>
  <c r="G5813" i="3"/>
  <c r="M5812" i="3"/>
  <c r="L5812" i="3"/>
  <c r="J5812" i="3"/>
  <c r="K5812" i="3" s="1"/>
  <c r="H5812" i="3"/>
  <c r="I5812" i="3" s="1"/>
  <c r="G5812" i="3"/>
  <c r="M5811" i="3"/>
  <c r="L5811" i="3"/>
  <c r="J5811" i="3"/>
  <c r="K5811" i="3" s="1"/>
  <c r="H5811" i="3"/>
  <c r="G5811" i="3"/>
  <c r="M5810" i="3"/>
  <c r="L5810" i="3"/>
  <c r="J5810" i="3"/>
  <c r="K5810" i="3" s="1"/>
  <c r="H5810" i="3"/>
  <c r="G5810" i="3"/>
  <c r="I5810" i="3" s="1"/>
  <c r="M5809" i="3"/>
  <c r="L5809" i="3"/>
  <c r="J5809" i="3"/>
  <c r="K5809" i="3" s="1"/>
  <c r="H5809" i="3"/>
  <c r="G5809" i="3"/>
  <c r="M5808" i="3"/>
  <c r="L5808" i="3"/>
  <c r="J5808" i="3"/>
  <c r="K5808" i="3" s="1"/>
  <c r="H5808" i="3"/>
  <c r="G5808" i="3"/>
  <c r="M5807" i="3"/>
  <c r="L5807" i="3"/>
  <c r="J5807" i="3"/>
  <c r="K5807" i="3" s="1"/>
  <c r="H5807" i="3"/>
  <c r="G5807" i="3"/>
  <c r="M5806" i="3"/>
  <c r="L5806" i="3"/>
  <c r="J5806" i="3"/>
  <c r="K5806" i="3" s="1"/>
  <c r="H5806" i="3"/>
  <c r="G5806" i="3"/>
  <c r="I5806" i="3" s="1"/>
  <c r="M5805" i="3"/>
  <c r="L5805" i="3"/>
  <c r="J5805" i="3"/>
  <c r="K5805" i="3" s="1"/>
  <c r="H5805" i="3"/>
  <c r="G5805" i="3"/>
  <c r="M5804" i="3"/>
  <c r="L5804" i="3"/>
  <c r="J5804" i="3"/>
  <c r="K5804" i="3" s="1"/>
  <c r="H5804" i="3"/>
  <c r="I5804" i="3" s="1"/>
  <c r="G5804" i="3"/>
  <c r="M5803" i="3"/>
  <c r="L5803" i="3"/>
  <c r="K5803" i="3"/>
  <c r="J5803" i="3"/>
  <c r="H5803" i="3"/>
  <c r="G5803" i="3"/>
  <c r="M5802" i="3"/>
  <c r="L5802" i="3"/>
  <c r="J5802" i="3"/>
  <c r="K5802" i="3" s="1"/>
  <c r="H5802" i="3"/>
  <c r="G5802" i="3"/>
  <c r="M5801" i="3"/>
  <c r="L5801" i="3"/>
  <c r="J5801" i="3"/>
  <c r="K5801" i="3" s="1"/>
  <c r="H5801" i="3"/>
  <c r="G5801" i="3"/>
  <c r="M5800" i="3"/>
  <c r="L5800" i="3"/>
  <c r="J5800" i="3"/>
  <c r="K5800" i="3" s="1"/>
  <c r="H5800" i="3"/>
  <c r="G5800" i="3"/>
  <c r="I5800" i="3" s="1"/>
  <c r="M5799" i="3"/>
  <c r="L5799" i="3"/>
  <c r="J5799" i="3"/>
  <c r="K5799" i="3" s="1"/>
  <c r="H5799" i="3"/>
  <c r="G5799" i="3"/>
  <c r="M5798" i="3"/>
  <c r="L5798" i="3"/>
  <c r="J5798" i="3"/>
  <c r="K5798" i="3" s="1"/>
  <c r="H5798" i="3"/>
  <c r="G5798" i="3"/>
  <c r="M5797" i="3"/>
  <c r="L5797" i="3"/>
  <c r="J5797" i="3"/>
  <c r="K5797" i="3" s="1"/>
  <c r="H5797" i="3"/>
  <c r="G5797" i="3"/>
  <c r="M5796" i="3"/>
  <c r="L5796" i="3"/>
  <c r="J5796" i="3"/>
  <c r="K5796" i="3" s="1"/>
  <c r="H5796" i="3"/>
  <c r="G5796" i="3"/>
  <c r="M5795" i="3"/>
  <c r="L5795" i="3"/>
  <c r="K5795" i="3"/>
  <c r="J5795" i="3"/>
  <c r="H5795" i="3"/>
  <c r="G5795" i="3"/>
  <c r="M5794" i="3"/>
  <c r="L5794" i="3"/>
  <c r="J5794" i="3"/>
  <c r="K5794" i="3" s="1"/>
  <c r="H5794" i="3"/>
  <c r="G5794" i="3"/>
  <c r="M5793" i="3"/>
  <c r="L5793" i="3"/>
  <c r="J5793" i="3"/>
  <c r="K5793" i="3" s="1"/>
  <c r="H5793" i="3"/>
  <c r="G5793" i="3"/>
  <c r="M5792" i="3"/>
  <c r="L5792" i="3"/>
  <c r="J5792" i="3"/>
  <c r="K5792" i="3" s="1"/>
  <c r="H5792" i="3"/>
  <c r="G5792" i="3"/>
  <c r="I5792" i="3" s="1"/>
  <c r="M5791" i="3"/>
  <c r="L5791" i="3"/>
  <c r="J5791" i="3"/>
  <c r="K5791" i="3" s="1"/>
  <c r="H5791" i="3"/>
  <c r="I5791" i="3" s="1"/>
  <c r="G5791" i="3"/>
  <c r="M5790" i="3"/>
  <c r="L5790" i="3"/>
  <c r="K5790" i="3"/>
  <c r="J5790" i="3"/>
  <c r="H5790" i="3"/>
  <c r="G5790" i="3"/>
  <c r="M5789" i="3"/>
  <c r="L5789" i="3"/>
  <c r="J5789" i="3"/>
  <c r="K5789" i="3" s="1"/>
  <c r="H5789" i="3"/>
  <c r="G5789" i="3"/>
  <c r="M5788" i="3"/>
  <c r="L5788" i="3"/>
  <c r="J5788" i="3"/>
  <c r="K5788" i="3" s="1"/>
  <c r="H5788" i="3"/>
  <c r="G5788" i="3"/>
  <c r="I5788" i="3" s="1"/>
  <c r="M5787" i="3"/>
  <c r="L5787" i="3"/>
  <c r="J5787" i="3"/>
  <c r="K5787" i="3" s="1"/>
  <c r="H5787" i="3"/>
  <c r="G5787" i="3"/>
  <c r="M5786" i="3"/>
  <c r="L5786" i="3"/>
  <c r="J5786" i="3"/>
  <c r="K5786" i="3" s="1"/>
  <c r="H5786" i="3"/>
  <c r="G5786" i="3"/>
  <c r="M5977" i="3"/>
  <c r="L5977" i="3"/>
  <c r="J5977" i="3"/>
  <c r="K5977" i="3" s="1"/>
  <c r="H5977" i="3"/>
  <c r="G5977" i="3"/>
  <c r="M5976" i="3"/>
  <c r="L5976" i="3"/>
  <c r="J5976" i="3"/>
  <c r="K5976" i="3" s="1"/>
  <c r="H5976" i="3"/>
  <c r="I5976" i="3" s="1"/>
  <c r="G5976" i="3"/>
  <c r="M5975" i="3"/>
  <c r="L5975" i="3"/>
  <c r="J5975" i="3"/>
  <c r="K5975" i="3" s="1"/>
  <c r="H5975" i="3"/>
  <c r="G5975" i="3"/>
  <c r="I5975" i="3" s="1"/>
  <c r="M5974" i="3"/>
  <c r="L5974" i="3"/>
  <c r="J5974" i="3"/>
  <c r="K5974" i="3" s="1"/>
  <c r="H5974" i="3"/>
  <c r="G5974" i="3"/>
  <c r="M5973" i="3"/>
  <c r="L5973" i="3"/>
  <c r="J5973" i="3"/>
  <c r="K5973" i="3" s="1"/>
  <c r="H5973" i="3"/>
  <c r="G5973" i="3"/>
  <c r="M5972" i="3"/>
  <c r="L5972" i="3"/>
  <c r="J5972" i="3"/>
  <c r="K5972" i="3" s="1"/>
  <c r="H5972" i="3"/>
  <c r="G5972" i="3"/>
  <c r="I5972" i="3" s="1"/>
  <c r="M5971" i="3"/>
  <c r="L5971" i="3"/>
  <c r="J5971" i="3"/>
  <c r="K5971" i="3" s="1"/>
  <c r="H5971" i="3"/>
  <c r="G5971" i="3"/>
  <c r="M5970" i="3"/>
  <c r="L5970" i="3"/>
  <c r="J5970" i="3"/>
  <c r="K5970" i="3" s="1"/>
  <c r="H5970" i="3"/>
  <c r="G5970" i="3"/>
  <c r="M5969" i="3"/>
  <c r="L5969" i="3"/>
  <c r="J5969" i="3"/>
  <c r="K5969" i="3" s="1"/>
  <c r="H5969" i="3"/>
  <c r="G5969" i="3"/>
  <c r="M5968" i="3"/>
  <c r="L5968" i="3"/>
  <c r="J5968" i="3"/>
  <c r="K5968" i="3" s="1"/>
  <c r="I5968" i="3"/>
  <c r="H5968" i="3"/>
  <c r="G5968" i="3"/>
  <c r="M5967" i="3"/>
  <c r="L5967" i="3"/>
  <c r="J5967" i="3"/>
  <c r="K5967" i="3" s="1"/>
  <c r="H5967" i="3"/>
  <c r="G5967" i="3"/>
  <c r="I5967" i="3" s="1"/>
  <c r="M5966" i="3"/>
  <c r="L5966" i="3"/>
  <c r="J5966" i="3"/>
  <c r="K5966" i="3" s="1"/>
  <c r="H5966" i="3"/>
  <c r="G5966" i="3"/>
  <c r="M5965" i="3"/>
  <c r="L5965" i="3"/>
  <c r="J5965" i="3"/>
  <c r="K5965" i="3" s="1"/>
  <c r="H5965" i="3"/>
  <c r="G5965" i="3"/>
  <c r="M5964" i="3"/>
  <c r="L5964" i="3"/>
  <c r="J5964" i="3"/>
  <c r="K5964" i="3" s="1"/>
  <c r="H5964" i="3"/>
  <c r="I5964" i="3" s="1"/>
  <c r="G5964" i="3"/>
  <c r="M5963" i="3"/>
  <c r="L5963" i="3"/>
  <c r="K5963" i="3"/>
  <c r="J5963" i="3"/>
  <c r="H5963" i="3"/>
  <c r="G5963" i="3"/>
  <c r="I5963" i="3" s="1"/>
  <c r="M5962" i="3"/>
  <c r="L5962" i="3"/>
  <c r="J5962" i="3"/>
  <c r="K5962" i="3" s="1"/>
  <c r="H5962" i="3"/>
  <c r="G5962" i="3"/>
  <c r="M5961" i="3"/>
  <c r="L5961" i="3"/>
  <c r="J5961" i="3"/>
  <c r="K5961" i="3" s="1"/>
  <c r="H5961" i="3"/>
  <c r="I5961" i="3" s="1"/>
  <c r="G5961" i="3"/>
  <c r="M5960" i="3"/>
  <c r="L5960" i="3"/>
  <c r="J5960" i="3"/>
  <c r="K5960" i="3" s="1"/>
  <c r="H5960" i="3"/>
  <c r="G5960" i="3"/>
  <c r="M5959" i="3"/>
  <c r="L5959" i="3"/>
  <c r="J5959" i="3"/>
  <c r="K5959" i="3" s="1"/>
  <c r="H5959" i="3"/>
  <c r="G5959" i="3"/>
  <c r="M5958" i="3"/>
  <c r="L5958" i="3"/>
  <c r="J5958" i="3"/>
  <c r="K5958" i="3" s="1"/>
  <c r="H5958" i="3"/>
  <c r="G5958" i="3"/>
  <c r="M5957" i="3"/>
  <c r="L5957" i="3"/>
  <c r="J5957" i="3"/>
  <c r="K5957" i="3" s="1"/>
  <c r="H5957" i="3"/>
  <c r="G5957" i="3"/>
  <c r="I5957" i="3" s="1"/>
  <c r="M5956" i="3"/>
  <c r="L5956" i="3"/>
  <c r="J5956" i="3"/>
  <c r="K5956" i="3" s="1"/>
  <c r="H5956" i="3"/>
  <c r="G5956" i="3"/>
  <c r="M5955" i="3"/>
  <c r="L5955" i="3"/>
  <c r="K5955" i="3"/>
  <c r="J5955" i="3"/>
  <c r="H5955" i="3"/>
  <c r="G5955" i="3"/>
  <c r="M5954" i="3"/>
  <c r="L5954" i="3"/>
  <c r="J5954" i="3"/>
  <c r="K5954" i="3" s="1"/>
  <c r="H5954" i="3"/>
  <c r="G5954" i="3"/>
  <c r="M5953" i="3"/>
  <c r="L5953" i="3"/>
  <c r="J5953" i="3"/>
  <c r="K5953" i="3" s="1"/>
  <c r="H5953" i="3"/>
  <c r="G5953" i="3"/>
  <c r="I5953" i="3" s="1"/>
  <c r="M5952" i="3"/>
  <c r="L5952" i="3"/>
  <c r="J5952" i="3"/>
  <c r="K5952" i="3" s="1"/>
  <c r="H5952" i="3"/>
  <c r="G5952" i="3"/>
  <c r="I5952" i="3" s="1"/>
  <c r="M5951" i="3"/>
  <c r="L5951" i="3"/>
  <c r="J5951" i="3"/>
  <c r="K5951" i="3" s="1"/>
  <c r="H5951" i="3"/>
  <c r="G5951" i="3"/>
  <c r="M5950" i="3"/>
  <c r="L5950" i="3"/>
  <c r="J5950" i="3"/>
  <c r="K5950" i="3" s="1"/>
  <c r="H5950" i="3"/>
  <c r="G5950" i="3"/>
  <c r="M5949" i="3"/>
  <c r="L5949" i="3"/>
  <c r="J5949" i="3"/>
  <c r="K5949" i="3" s="1"/>
  <c r="I5949" i="3"/>
  <c r="H5949" i="3"/>
  <c r="G5949" i="3"/>
  <c r="M5948" i="3"/>
  <c r="L5948" i="3"/>
  <c r="J5948" i="3"/>
  <c r="K5948" i="3" s="1"/>
  <c r="H5948" i="3"/>
  <c r="G5948" i="3"/>
  <c r="I5948" i="3" s="1"/>
  <c r="M5947" i="3"/>
  <c r="L5947" i="3"/>
  <c r="J5947" i="3"/>
  <c r="K5947" i="3" s="1"/>
  <c r="H5947" i="3"/>
  <c r="G5947" i="3"/>
  <c r="M5946" i="3"/>
  <c r="L5946" i="3"/>
  <c r="K5946" i="3"/>
  <c r="J5946" i="3"/>
  <c r="H5946" i="3"/>
  <c r="G5946" i="3"/>
  <c r="M5945" i="3"/>
  <c r="L5945" i="3"/>
  <c r="J5945" i="3"/>
  <c r="K5945" i="3" s="1"/>
  <c r="H5945" i="3"/>
  <c r="I5945" i="3" s="1"/>
  <c r="G5945" i="3"/>
  <c r="M5944" i="3"/>
  <c r="L5944" i="3"/>
  <c r="J5944" i="3"/>
  <c r="K5944" i="3" s="1"/>
  <c r="H5944" i="3"/>
  <c r="G5944" i="3"/>
  <c r="M5943" i="3"/>
  <c r="L5943" i="3"/>
  <c r="K5943" i="3"/>
  <c r="J5943" i="3"/>
  <c r="H5943" i="3"/>
  <c r="G5943" i="3"/>
  <c r="M5942" i="3"/>
  <c r="L5942" i="3"/>
  <c r="J5942" i="3"/>
  <c r="K5942" i="3" s="1"/>
  <c r="H5942" i="3"/>
  <c r="G5942" i="3"/>
  <c r="M5941" i="3"/>
  <c r="L5941" i="3"/>
  <c r="J5941" i="3"/>
  <c r="K5941" i="3" s="1"/>
  <c r="H5941" i="3"/>
  <c r="G5941" i="3"/>
  <c r="I5941" i="3" s="1"/>
  <c r="M5940" i="3"/>
  <c r="L5940" i="3"/>
  <c r="J5940" i="3"/>
  <c r="K5940" i="3" s="1"/>
  <c r="H5940" i="3"/>
  <c r="G5940" i="3"/>
  <c r="M5939" i="3"/>
  <c r="L5939" i="3"/>
  <c r="K5939" i="3"/>
  <c r="J5939" i="3"/>
  <c r="H5939" i="3"/>
  <c r="G5939" i="3"/>
  <c r="M5938" i="3"/>
  <c r="L5938" i="3"/>
  <c r="J5938" i="3"/>
  <c r="K5938" i="3" s="1"/>
  <c r="H5938" i="3"/>
  <c r="G5938" i="3"/>
  <c r="M5937" i="3"/>
  <c r="L5937" i="3"/>
  <c r="J5937" i="3"/>
  <c r="K5937" i="3" s="1"/>
  <c r="H5937" i="3"/>
  <c r="G5937" i="3"/>
  <c r="I5937" i="3" s="1"/>
  <c r="M5936" i="3"/>
  <c r="L5936" i="3"/>
  <c r="J5936" i="3"/>
  <c r="K5936" i="3" s="1"/>
  <c r="H5936" i="3"/>
  <c r="G5936" i="3"/>
  <c r="M5935" i="3"/>
  <c r="L5935" i="3"/>
  <c r="J5935" i="3"/>
  <c r="K5935" i="3" s="1"/>
  <c r="H5935" i="3"/>
  <c r="G5935" i="3"/>
  <c r="M5934" i="3"/>
  <c r="L5934" i="3"/>
  <c r="K5934" i="3"/>
  <c r="J5934" i="3"/>
  <c r="H5934" i="3"/>
  <c r="G5934" i="3"/>
  <c r="M5933" i="3"/>
  <c r="L5933" i="3"/>
  <c r="J5933" i="3"/>
  <c r="K5933" i="3" s="1"/>
  <c r="I5933" i="3"/>
  <c r="H5933" i="3"/>
  <c r="G5933" i="3"/>
  <c r="M5932" i="3"/>
  <c r="L5932" i="3"/>
  <c r="J5932" i="3"/>
  <c r="K5932" i="3" s="1"/>
  <c r="H5932" i="3"/>
  <c r="G5932" i="3"/>
  <c r="I5932" i="3" s="1"/>
  <c r="M5931" i="3"/>
  <c r="L5931" i="3"/>
  <c r="J5931" i="3"/>
  <c r="K5931" i="3" s="1"/>
  <c r="H5931" i="3"/>
  <c r="G5931" i="3"/>
  <c r="M5930" i="3"/>
  <c r="L5930" i="3"/>
  <c r="K5930" i="3"/>
  <c r="J5930" i="3"/>
  <c r="H5930" i="3"/>
  <c r="G5930" i="3"/>
  <c r="M5929" i="3"/>
  <c r="L5929" i="3"/>
  <c r="J5929" i="3"/>
  <c r="K5929" i="3" s="1"/>
  <c r="H5929" i="3"/>
  <c r="G5929" i="3"/>
  <c r="I5929" i="3" s="1"/>
  <c r="M5928" i="3"/>
  <c r="L5928" i="3"/>
  <c r="J5928" i="3"/>
  <c r="K5928" i="3" s="1"/>
  <c r="H5928" i="3"/>
  <c r="G5928" i="3"/>
  <c r="M5927" i="3"/>
  <c r="L5927" i="3"/>
  <c r="K5927" i="3"/>
  <c r="J5927" i="3"/>
  <c r="H5927" i="3"/>
  <c r="G5927" i="3"/>
  <c r="M5926" i="3"/>
  <c r="L5926" i="3"/>
  <c r="J5926" i="3"/>
  <c r="K5926" i="3" s="1"/>
  <c r="H5926" i="3"/>
  <c r="G5926" i="3"/>
  <c r="M5925" i="3"/>
  <c r="L5925" i="3"/>
  <c r="J5925" i="3"/>
  <c r="K5925" i="3" s="1"/>
  <c r="H5925" i="3"/>
  <c r="G5925" i="3"/>
  <c r="I5925" i="3" s="1"/>
  <c r="M5924" i="3"/>
  <c r="L5924" i="3"/>
  <c r="J5924" i="3"/>
  <c r="K5924" i="3" s="1"/>
  <c r="H5924" i="3"/>
  <c r="G5924" i="3"/>
  <c r="M5923" i="3"/>
  <c r="L5923" i="3"/>
  <c r="K5923" i="3"/>
  <c r="J5923" i="3"/>
  <c r="H5923" i="3"/>
  <c r="G5923" i="3"/>
  <c r="M5922" i="3"/>
  <c r="L5922" i="3"/>
  <c r="J5922" i="3"/>
  <c r="K5922" i="3" s="1"/>
  <c r="H5922" i="3"/>
  <c r="G5922" i="3"/>
  <c r="M5921" i="3"/>
  <c r="L5921" i="3"/>
  <c r="J5921" i="3"/>
  <c r="K5921" i="3" s="1"/>
  <c r="H5921" i="3"/>
  <c r="G5921" i="3"/>
  <c r="I5921" i="3" s="1"/>
  <c r="M5920" i="3"/>
  <c r="L5920" i="3"/>
  <c r="J5920" i="3"/>
  <c r="K5920" i="3" s="1"/>
  <c r="H5920" i="3"/>
  <c r="G5920" i="3"/>
  <c r="M5919" i="3"/>
  <c r="L5919" i="3"/>
  <c r="J5919" i="3"/>
  <c r="K5919" i="3" s="1"/>
  <c r="H5919" i="3"/>
  <c r="G5919" i="3"/>
  <c r="M5918" i="3"/>
  <c r="L5918" i="3"/>
  <c r="K5918" i="3"/>
  <c r="J5918" i="3"/>
  <c r="H5918" i="3"/>
  <c r="G5918" i="3"/>
  <c r="M5917" i="3"/>
  <c r="L5917" i="3"/>
  <c r="J5917" i="3"/>
  <c r="K5917" i="3" s="1"/>
  <c r="I5917" i="3"/>
  <c r="H5917" i="3"/>
  <c r="G5917" i="3"/>
  <c r="M5916" i="3"/>
  <c r="L5916" i="3"/>
  <c r="J5916" i="3"/>
  <c r="K5916" i="3" s="1"/>
  <c r="H5916" i="3"/>
  <c r="G5916" i="3"/>
  <c r="I5916" i="3" s="1"/>
  <c r="M5915" i="3"/>
  <c r="L5915" i="3"/>
  <c r="J5915" i="3"/>
  <c r="K5915" i="3" s="1"/>
  <c r="H5915" i="3"/>
  <c r="G5915" i="3"/>
  <c r="M5914" i="3"/>
  <c r="L5914" i="3"/>
  <c r="K5914" i="3"/>
  <c r="J5914" i="3"/>
  <c r="H5914" i="3"/>
  <c r="G5914" i="3"/>
  <c r="M5913" i="3"/>
  <c r="L5913" i="3"/>
  <c r="J5913" i="3"/>
  <c r="K5913" i="3" s="1"/>
  <c r="H5913" i="3"/>
  <c r="I5913" i="3" s="1"/>
  <c r="G5913" i="3"/>
  <c r="M5912" i="3"/>
  <c r="L5912" i="3"/>
  <c r="J5912" i="3"/>
  <c r="K5912" i="3" s="1"/>
  <c r="H5912" i="3"/>
  <c r="G5912" i="3"/>
  <c r="M5911" i="3"/>
  <c r="L5911" i="3"/>
  <c r="K5911" i="3"/>
  <c r="J5911" i="3"/>
  <c r="H5911" i="3"/>
  <c r="G5911" i="3"/>
  <c r="M5910" i="3"/>
  <c r="L5910" i="3"/>
  <c r="J5910" i="3"/>
  <c r="K5910" i="3" s="1"/>
  <c r="H5910" i="3"/>
  <c r="G5910" i="3"/>
  <c r="M5909" i="3"/>
  <c r="L5909" i="3"/>
  <c r="J5909" i="3"/>
  <c r="K5909" i="3" s="1"/>
  <c r="H5909" i="3"/>
  <c r="G5909" i="3"/>
  <c r="I5909" i="3" s="1"/>
  <c r="M5908" i="3"/>
  <c r="L5908" i="3"/>
  <c r="J5908" i="3"/>
  <c r="K5908" i="3" s="1"/>
  <c r="H5908" i="3"/>
  <c r="G5908" i="3"/>
  <c r="M5907" i="3"/>
  <c r="L5907" i="3"/>
  <c r="K5907" i="3"/>
  <c r="J5907" i="3"/>
  <c r="H5907" i="3"/>
  <c r="G5907" i="3"/>
  <c r="M5906" i="3"/>
  <c r="L5906" i="3"/>
  <c r="J5906" i="3"/>
  <c r="K5906" i="3" s="1"/>
  <c r="H5906" i="3"/>
  <c r="G5906" i="3"/>
  <c r="M5905" i="3"/>
  <c r="L5905" i="3"/>
  <c r="J5905" i="3"/>
  <c r="K5905" i="3" s="1"/>
  <c r="H5905" i="3"/>
  <c r="G5905" i="3"/>
  <c r="I5905" i="3" s="1"/>
  <c r="M5904" i="3"/>
  <c r="L5904" i="3"/>
  <c r="J5904" i="3"/>
  <c r="K5904" i="3" s="1"/>
  <c r="H5904" i="3"/>
  <c r="G5904" i="3"/>
  <c r="M5903" i="3"/>
  <c r="L5903" i="3"/>
  <c r="J5903" i="3"/>
  <c r="K5903" i="3" s="1"/>
  <c r="H5903" i="3"/>
  <c r="G5903" i="3"/>
  <c r="M5902" i="3"/>
  <c r="L5902" i="3"/>
  <c r="J5902" i="3"/>
  <c r="K5902" i="3" s="1"/>
  <c r="H5902" i="3"/>
  <c r="G5902" i="3"/>
  <c r="M5901" i="3"/>
  <c r="L5901" i="3"/>
  <c r="J5901" i="3"/>
  <c r="K5901" i="3" s="1"/>
  <c r="I5901" i="3"/>
  <c r="H5901" i="3"/>
  <c r="G5901" i="3"/>
  <c r="M5900" i="3"/>
  <c r="L5900" i="3"/>
  <c r="J5900" i="3"/>
  <c r="K5900" i="3" s="1"/>
  <c r="H5900" i="3"/>
  <c r="G5900" i="3"/>
  <c r="I5900" i="3" s="1"/>
  <c r="M5899" i="3"/>
  <c r="L5899" i="3"/>
  <c r="J5899" i="3"/>
  <c r="K5899" i="3" s="1"/>
  <c r="H5899" i="3"/>
  <c r="G5899" i="3"/>
  <c r="M5898" i="3"/>
  <c r="L5898" i="3"/>
  <c r="K5898" i="3"/>
  <c r="J5898" i="3"/>
  <c r="H5898" i="3"/>
  <c r="G5898" i="3"/>
  <c r="M5897" i="3"/>
  <c r="L5897" i="3"/>
  <c r="J5897" i="3"/>
  <c r="K5897" i="3" s="1"/>
  <c r="H5897" i="3"/>
  <c r="I5897" i="3" s="1"/>
  <c r="G5897" i="3"/>
  <c r="M5896" i="3"/>
  <c r="L5896" i="3"/>
  <c r="J5896" i="3"/>
  <c r="K5896" i="3" s="1"/>
  <c r="H5896" i="3"/>
  <c r="G5896" i="3"/>
  <c r="M5895" i="3"/>
  <c r="L5895" i="3"/>
  <c r="K5895" i="3"/>
  <c r="J5895" i="3"/>
  <c r="H5895" i="3"/>
  <c r="G5895" i="3"/>
  <c r="M5894" i="3"/>
  <c r="L5894" i="3"/>
  <c r="J5894" i="3"/>
  <c r="K5894" i="3" s="1"/>
  <c r="H5894" i="3"/>
  <c r="G5894" i="3"/>
  <c r="M5893" i="3"/>
  <c r="L5893" i="3"/>
  <c r="J5893" i="3"/>
  <c r="K5893" i="3" s="1"/>
  <c r="H5893" i="3"/>
  <c r="G5893" i="3"/>
  <c r="I5893" i="3" s="1"/>
  <c r="M5892" i="3"/>
  <c r="L5892" i="3"/>
  <c r="J5892" i="3"/>
  <c r="K5892" i="3" s="1"/>
  <c r="H5892" i="3"/>
  <c r="G5892" i="3"/>
  <c r="M5891" i="3"/>
  <c r="L5891" i="3"/>
  <c r="K5891" i="3"/>
  <c r="J5891" i="3"/>
  <c r="H5891" i="3"/>
  <c r="G5891" i="3"/>
  <c r="M5890" i="3"/>
  <c r="L5890" i="3"/>
  <c r="J5890" i="3"/>
  <c r="K5890" i="3" s="1"/>
  <c r="H5890" i="3"/>
  <c r="G5890" i="3"/>
  <c r="M5889" i="3"/>
  <c r="L5889" i="3"/>
  <c r="J5889" i="3"/>
  <c r="K5889" i="3" s="1"/>
  <c r="H5889" i="3"/>
  <c r="G5889" i="3"/>
  <c r="I5889" i="3" s="1"/>
  <c r="M5888" i="3"/>
  <c r="L5888" i="3"/>
  <c r="J5888" i="3"/>
  <c r="K5888" i="3" s="1"/>
  <c r="H5888" i="3"/>
  <c r="G5888" i="3"/>
  <c r="M5887" i="3"/>
  <c r="L5887" i="3"/>
  <c r="J5887" i="3"/>
  <c r="K5887" i="3" s="1"/>
  <c r="H5887" i="3"/>
  <c r="G5887" i="3"/>
  <c r="M5886" i="3"/>
  <c r="L5886" i="3"/>
  <c r="J5886" i="3"/>
  <c r="K5886" i="3" s="1"/>
  <c r="H5886" i="3"/>
  <c r="G5886" i="3"/>
  <c r="M5885" i="3"/>
  <c r="L5885" i="3"/>
  <c r="J5885" i="3"/>
  <c r="K5885" i="3" s="1"/>
  <c r="I5885" i="3"/>
  <c r="H5885" i="3"/>
  <c r="G5885" i="3"/>
  <c r="M5884" i="3"/>
  <c r="L5884" i="3"/>
  <c r="J5884" i="3"/>
  <c r="K5884" i="3" s="1"/>
  <c r="H5884" i="3"/>
  <c r="G5884" i="3"/>
  <c r="I5884" i="3" s="1"/>
  <c r="M5883" i="3"/>
  <c r="L5883" i="3"/>
  <c r="J5883" i="3"/>
  <c r="K5883" i="3" s="1"/>
  <c r="H5883" i="3"/>
  <c r="G5883" i="3"/>
  <c r="M5882" i="3"/>
  <c r="L5882" i="3"/>
  <c r="K5882" i="3"/>
  <c r="J5882" i="3"/>
  <c r="H5882" i="3"/>
  <c r="G5882" i="3"/>
  <c r="M6073" i="3"/>
  <c r="L6073" i="3"/>
  <c r="J6073" i="3"/>
  <c r="K6073" i="3" s="1"/>
  <c r="H6073" i="3"/>
  <c r="G6073" i="3"/>
  <c r="M6072" i="3"/>
  <c r="L6072" i="3"/>
  <c r="J6072" i="3"/>
  <c r="K6072" i="3" s="1"/>
  <c r="H6072" i="3"/>
  <c r="G6072" i="3"/>
  <c r="M6071" i="3"/>
  <c r="L6071" i="3"/>
  <c r="J6071" i="3"/>
  <c r="K6071" i="3" s="1"/>
  <c r="H6071" i="3"/>
  <c r="G6071" i="3"/>
  <c r="M6070" i="3"/>
  <c r="L6070" i="3"/>
  <c r="K6070" i="3"/>
  <c r="J6070" i="3"/>
  <c r="H6070" i="3"/>
  <c r="G6070" i="3"/>
  <c r="M6069" i="3"/>
  <c r="L6069" i="3"/>
  <c r="J6069" i="3"/>
  <c r="K6069" i="3" s="1"/>
  <c r="H6069" i="3"/>
  <c r="G6069" i="3"/>
  <c r="M6068" i="3"/>
  <c r="L6068" i="3"/>
  <c r="J6068" i="3"/>
  <c r="K6068" i="3" s="1"/>
  <c r="H6068" i="3"/>
  <c r="G6068" i="3"/>
  <c r="I6068" i="3" s="1"/>
  <c r="M6067" i="3"/>
  <c r="L6067" i="3"/>
  <c r="J6067" i="3"/>
  <c r="K6067" i="3" s="1"/>
  <c r="H6067" i="3"/>
  <c r="G6067" i="3"/>
  <c r="M6066" i="3"/>
  <c r="L6066" i="3"/>
  <c r="K6066" i="3"/>
  <c r="J6066" i="3"/>
  <c r="H6066" i="3"/>
  <c r="G6066" i="3"/>
  <c r="M6065" i="3"/>
  <c r="L6065" i="3"/>
  <c r="J6065" i="3"/>
  <c r="K6065" i="3" s="1"/>
  <c r="H6065" i="3"/>
  <c r="G6065" i="3"/>
  <c r="I6065" i="3" s="1"/>
  <c r="M6064" i="3"/>
  <c r="L6064" i="3"/>
  <c r="K6064" i="3"/>
  <c r="J6064" i="3"/>
  <c r="H6064" i="3"/>
  <c r="G6064" i="3"/>
  <c r="M6063" i="3"/>
  <c r="L6063" i="3"/>
  <c r="K6063" i="3"/>
  <c r="J6063" i="3"/>
  <c r="H6063" i="3"/>
  <c r="G6063" i="3"/>
  <c r="M6062" i="3"/>
  <c r="L6062" i="3"/>
  <c r="K6062" i="3"/>
  <c r="J6062" i="3"/>
  <c r="H6062" i="3"/>
  <c r="G6062" i="3"/>
  <c r="M6061" i="3"/>
  <c r="L6061" i="3"/>
  <c r="J6061" i="3"/>
  <c r="K6061" i="3" s="1"/>
  <c r="H6061" i="3"/>
  <c r="G6061" i="3"/>
  <c r="I6061" i="3" s="1"/>
  <c r="M6060" i="3"/>
  <c r="L6060" i="3"/>
  <c r="K6060" i="3"/>
  <c r="J6060" i="3"/>
  <c r="H6060" i="3"/>
  <c r="G6060" i="3"/>
  <c r="I6060" i="3" s="1"/>
  <c r="M6059" i="3"/>
  <c r="L6059" i="3"/>
  <c r="J6059" i="3"/>
  <c r="K6059" i="3" s="1"/>
  <c r="H6059" i="3"/>
  <c r="G6059" i="3"/>
  <c r="M6058" i="3"/>
  <c r="L6058" i="3"/>
  <c r="J6058" i="3"/>
  <c r="K6058" i="3" s="1"/>
  <c r="H6058" i="3"/>
  <c r="G6058" i="3"/>
  <c r="M6057" i="3"/>
  <c r="L6057" i="3"/>
  <c r="J6057" i="3"/>
  <c r="K6057" i="3" s="1"/>
  <c r="H6057" i="3"/>
  <c r="G6057" i="3"/>
  <c r="I6057" i="3" s="1"/>
  <c r="M6056" i="3"/>
  <c r="L6056" i="3"/>
  <c r="J6056" i="3"/>
  <c r="K6056" i="3" s="1"/>
  <c r="I6056" i="3"/>
  <c r="H6056" i="3"/>
  <c r="G6056" i="3"/>
  <c r="M6055" i="3"/>
  <c r="L6055" i="3"/>
  <c r="J6055" i="3"/>
  <c r="K6055" i="3" s="1"/>
  <c r="H6055" i="3"/>
  <c r="G6055" i="3"/>
  <c r="I6055" i="3" s="1"/>
  <c r="M6054" i="3"/>
  <c r="L6054" i="3"/>
  <c r="J6054" i="3"/>
  <c r="K6054" i="3" s="1"/>
  <c r="H6054" i="3"/>
  <c r="G6054" i="3"/>
  <c r="M6053" i="3"/>
  <c r="L6053" i="3"/>
  <c r="J6053" i="3"/>
  <c r="K6053" i="3" s="1"/>
  <c r="H6053" i="3"/>
  <c r="G6053" i="3"/>
  <c r="M6052" i="3"/>
  <c r="L6052" i="3"/>
  <c r="J6052" i="3"/>
  <c r="K6052" i="3" s="1"/>
  <c r="H6052" i="3"/>
  <c r="G6052" i="3"/>
  <c r="I6052" i="3" s="1"/>
  <c r="M6051" i="3"/>
  <c r="L6051" i="3"/>
  <c r="J6051" i="3"/>
  <c r="K6051" i="3" s="1"/>
  <c r="H6051" i="3"/>
  <c r="G6051" i="3"/>
  <c r="M6050" i="3"/>
  <c r="L6050" i="3"/>
  <c r="J6050" i="3"/>
  <c r="K6050" i="3" s="1"/>
  <c r="H6050" i="3"/>
  <c r="G6050" i="3"/>
  <c r="M6049" i="3"/>
  <c r="L6049" i="3"/>
  <c r="J6049" i="3"/>
  <c r="K6049" i="3" s="1"/>
  <c r="H6049" i="3"/>
  <c r="G6049" i="3"/>
  <c r="I6049" i="3" s="1"/>
  <c r="M6048" i="3"/>
  <c r="L6048" i="3"/>
  <c r="J6048" i="3"/>
  <c r="K6048" i="3" s="1"/>
  <c r="I6048" i="3"/>
  <c r="H6048" i="3"/>
  <c r="G6048" i="3"/>
  <c r="M6047" i="3"/>
  <c r="L6047" i="3"/>
  <c r="K6047" i="3"/>
  <c r="J6047" i="3"/>
  <c r="H6047" i="3"/>
  <c r="G6047" i="3"/>
  <c r="I6047" i="3" s="1"/>
  <c r="M6046" i="3"/>
  <c r="L6046" i="3"/>
  <c r="J6046" i="3"/>
  <c r="K6046" i="3" s="1"/>
  <c r="H6046" i="3"/>
  <c r="G6046" i="3"/>
  <c r="M6045" i="3"/>
  <c r="L6045" i="3"/>
  <c r="J6045" i="3"/>
  <c r="K6045" i="3" s="1"/>
  <c r="H6045" i="3"/>
  <c r="G6045" i="3"/>
  <c r="M6044" i="3"/>
  <c r="L6044" i="3"/>
  <c r="J6044" i="3"/>
  <c r="K6044" i="3" s="1"/>
  <c r="H6044" i="3"/>
  <c r="G6044" i="3"/>
  <c r="I6044" i="3" s="1"/>
  <c r="M6043" i="3"/>
  <c r="L6043" i="3"/>
  <c r="K6043" i="3"/>
  <c r="J6043" i="3"/>
  <c r="H6043" i="3"/>
  <c r="G6043" i="3"/>
  <c r="M6042" i="3"/>
  <c r="L6042" i="3"/>
  <c r="J6042" i="3"/>
  <c r="K6042" i="3" s="1"/>
  <c r="H6042" i="3"/>
  <c r="G6042" i="3"/>
  <c r="M6041" i="3"/>
  <c r="L6041" i="3"/>
  <c r="J6041" i="3"/>
  <c r="K6041" i="3" s="1"/>
  <c r="H6041" i="3"/>
  <c r="G6041" i="3"/>
  <c r="M6040" i="3"/>
  <c r="L6040" i="3"/>
  <c r="J6040" i="3"/>
  <c r="K6040" i="3" s="1"/>
  <c r="H6040" i="3"/>
  <c r="I6040" i="3" s="1"/>
  <c r="G6040" i="3"/>
  <c r="M6039" i="3"/>
  <c r="L6039" i="3"/>
  <c r="K6039" i="3"/>
  <c r="J6039" i="3"/>
  <c r="H6039" i="3"/>
  <c r="G6039" i="3"/>
  <c r="M6038" i="3"/>
  <c r="L6038" i="3"/>
  <c r="J6038" i="3"/>
  <c r="K6038" i="3" s="1"/>
  <c r="H6038" i="3"/>
  <c r="G6038" i="3"/>
  <c r="M6037" i="3"/>
  <c r="L6037" i="3"/>
  <c r="J6037" i="3"/>
  <c r="K6037" i="3" s="1"/>
  <c r="H6037" i="3"/>
  <c r="G6037" i="3"/>
  <c r="M6036" i="3"/>
  <c r="L6036" i="3"/>
  <c r="J6036" i="3"/>
  <c r="K6036" i="3" s="1"/>
  <c r="H6036" i="3"/>
  <c r="G6036" i="3"/>
  <c r="I6036" i="3" s="1"/>
  <c r="M6035" i="3"/>
  <c r="L6035" i="3"/>
  <c r="K6035" i="3"/>
  <c r="J6035" i="3"/>
  <c r="H6035" i="3"/>
  <c r="G6035" i="3"/>
  <c r="M6034" i="3"/>
  <c r="L6034" i="3"/>
  <c r="J6034" i="3"/>
  <c r="K6034" i="3" s="1"/>
  <c r="H6034" i="3"/>
  <c r="G6034" i="3"/>
  <c r="M6033" i="3"/>
  <c r="L6033" i="3"/>
  <c r="J6033" i="3"/>
  <c r="K6033" i="3" s="1"/>
  <c r="H6033" i="3"/>
  <c r="G6033" i="3"/>
  <c r="M6032" i="3"/>
  <c r="L6032" i="3"/>
  <c r="J6032" i="3"/>
  <c r="K6032" i="3" s="1"/>
  <c r="H6032" i="3"/>
  <c r="I6032" i="3" s="1"/>
  <c r="G6032" i="3"/>
  <c r="M6031" i="3"/>
  <c r="L6031" i="3"/>
  <c r="K6031" i="3"/>
  <c r="J6031" i="3"/>
  <c r="H6031" i="3"/>
  <c r="G6031" i="3"/>
  <c r="M6030" i="3"/>
  <c r="L6030" i="3"/>
  <c r="J6030" i="3"/>
  <c r="K6030" i="3" s="1"/>
  <c r="H6030" i="3"/>
  <c r="G6030" i="3"/>
  <c r="M6029" i="3"/>
  <c r="L6029" i="3"/>
  <c r="J6029" i="3"/>
  <c r="K6029" i="3" s="1"/>
  <c r="H6029" i="3"/>
  <c r="G6029" i="3"/>
  <c r="M6028" i="3"/>
  <c r="L6028" i="3"/>
  <c r="J6028" i="3"/>
  <c r="K6028" i="3" s="1"/>
  <c r="H6028" i="3"/>
  <c r="G6028" i="3"/>
  <c r="I6028" i="3" s="1"/>
  <c r="M6027" i="3"/>
  <c r="L6027" i="3"/>
  <c r="K6027" i="3"/>
  <c r="J6027" i="3"/>
  <c r="H6027" i="3"/>
  <c r="G6027" i="3"/>
  <c r="M6026" i="3"/>
  <c r="L6026" i="3"/>
  <c r="J6026" i="3"/>
  <c r="K6026" i="3" s="1"/>
  <c r="H6026" i="3"/>
  <c r="G6026" i="3"/>
  <c r="M6025" i="3"/>
  <c r="L6025" i="3"/>
  <c r="J6025" i="3"/>
  <c r="K6025" i="3" s="1"/>
  <c r="H6025" i="3"/>
  <c r="G6025" i="3"/>
  <c r="M6024" i="3"/>
  <c r="L6024" i="3"/>
  <c r="J6024" i="3"/>
  <c r="K6024" i="3" s="1"/>
  <c r="H6024" i="3"/>
  <c r="I6024" i="3" s="1"/>
  <c r="G6024" i="3"/>
  <c r="M6023" i="3"/>
  <c r="L6023" i="3"/>
  <c r="K6023" i="3"/>
  <c r="J6023" i="3"/>
  <c r="H6023" i="3"/>
  <c r="G6023" i="3"/>
  <c r="M6022" i="3"/>
  <c r="L6022" i="3"/>
  <c r="J6022" i="3"/>
  <c r="K6022" i="3" s="1"/>
  <c r="H6022" i="3"/>
  <c r="G6022" i="3"/>
  <c r="M6021" i="3"/>
  <c r="L6021" i="3"/>
  <c r="J6021" i="3"/>
  <c r="K6021" i="3" s="1"/>
  <c r="H6021" i="3"/>
  <c r="G6021" i="3"/>
  <c r="M6020" i="3"/>
  <c r="L6020" i="3"/>
  <c r="J6020" i="3"/>
  <c r="K6020" i="3" s="1"/>
  <c r="H6020" i="3"/>
  <c r="G6020" i="3"/>
  <c r="I6020" i="3" s="1"/>
  <c r="M6019" i="3"/>
  <c r="L6019" i="3"/>
  <c r="K6019" i="3"/>
  <c r="J6019" i="3"/>
  <c r="H6019" i="3"/>
  <c r="G6019" i="3"/>
  <c r="M6018" i="3"/>
  <c r="L6018" i="3"/>
  <c r="J6018" i="3"/>
  <c r="K6018" i="3" s="1"/>
  <c r="H6018" i="3"/>
  <c r="G6018" i="3"/>
  <c r="M6017" i="3"/>
  <c r="L6017" i="3"/>
  <c r="J6017" i="3"/>
  <c r="K6017" i="3" s="1"/>
  <c r="H6017" i="3"/>
  <c r="G6017" i="3"/>
  <c r="M6016" i="3"/>
  <c r="L6016" i="3"/>
  <c r="J6016" i="3"/>
  <c r="K6016" i="3" s="1"/>
  <c r="H6016" i="3"/>
  <c r="I6016" i="3" s="1"/>
  <c r="G6016" i="3"/>
  <c r="M6015" i="3"/>
  <c r="L6015" i="3"/>
  <c r="K6015" i="3"/>
  <c r="J6015" i="3"/>
  <c r="H6015" i="3"/>
  <c r="G6015" i="3"/>
  <c r="M6014" i="3"/>
  <c r="L6014" i="3"/>
  <c r="J6014" i="3"/>
  <c r="K6014" i="3" s="1"/>
  <c r="H6014" i="3"/>
  <c r="G6014" i="3"/>
  <c r="M6013" i="3"/>
  <c r="L6013" i="3"/>
  <c r="J6013" i="3"/>
  <c r="K6013" i="3" s="1"/>
  <c r="H6013" i="3"/>
  <c r="G6013" i="3"/>
  <c r="M6012" i="3"/>
  <c r="L6012" i="3"/>
  <c r="J6012" i="3"/>
  <c r="K6012" i="3" s="1"/>
  <c r="H6012" i="3"/>
  <c r="G6012" i="3"/>
  <c r="I6012" i="3" s="1"/>
  <c r="M6011" i="3"/>
  <c r="L6011" i="3"/>
  <c r="K6011" i="3"/>
  <c r="J6011" i="3"/>
  <c r="H6011" i="3"/>
  <c r="G6011" i="3"/>
  <c r="M6010" i="3"/>
  <c r="L6010" i="3"/>
  <c r="J6010" i="3"/>
  <c r="K6010" i="3" s="1"/>
  <c r="H6010" i="3"/>
  <c r="G6010" i="3"/>
  <c r="M6009" i="3"/>
  <c r="L6009" i="3"/>
  <c r="J6009" i="3"/>
  <c r="K6009" i="3" s="1"/>
  <c r="H6009" i="3"/>
  <c r="G6009" i="3"/>
  <c r="M6008" i="3"/>
  <c r="L6008" i="3"/>
  <c r="J6008" i="3"/>
  <c r="K6008" i="3" s="1"/>
  <c r="H6008" i="3"/>
  <c r="I6008" i="3" s="1"/>
  <c r="G6008" i="3"/>
  <c r="M6007" i="3"/>
  <c r="L6007" i="3"/>
  <c r="K6007" i="3"/>
  <c r="J6007" i="3"/>
  <c r="H6007" i="3"/>
  <c r="G6007" i="3"/>
  <c r="M6006" i="3"/>
  <c r="L6006" i="3"/>
  <c r="J6006" i="3"/>
  <c r="K6006" i="3" s="1"/>
  <c r="H6006" i="3"/>
  <c r="G6006" i="3"/>
  <c r="M6005" i="3"/>
  <c r="L6005" i="3"/>
  <c r="J6005" i="3"/>
  <c r="K6005" i="3" s="1"/>
  <c r="H6005" i="3"/>
  <c r="G6005" i="3"/>
  <c r="M6004" i="3"/>
  <c r="L6004" i="3"/>
  <c r="J6004" i="3"/>
  <c r="K6004" i="3" s="1"/>
  <c r="H6004" i="3"/>
  <c r="G6004" i="3"/>
  <c r="I6004" i="3" s="1"/>
  <c r="M6003" i="3"/>
  <c r="L6003" i="3"/>
  <c r="K6003" i="3"/>
  <c r="J6003" i="3"/>
  <c r="H6003" i="3"/>
  <c r="G6003" i="3"/>
  <c r="M6002" i="3"/>
  <c r="L6002" i="3"/>
  <c r="J6002" i="3"/>
  <c r="K6002" i="3" s="1"/>
  <c r="H6002" i="3"/>
  <c r="G6002" i="3"/>
  <c r="M6001" i="3"/>
  <c r="L6001" i="3"/>
  <c r="J6001" i="3"/>
  <c r="K6001" i="3" s="1"/>
  <c r="H6001" i="3"/>
  <c r="G6001" i="3"/>
  <c r="M6000" i="3"/>
  <c r="L6000" i="3"/>
  <c r="J6000" i="3"/>
  <c r="K6000" i="3" s="1"/>
  <c r="H6000" i="3"/>
  <c r="I6000" i="3" s="1"/>
  <c r="G6000" i="3"/>
  <c r="M5999" i="3"/>
  <c r="L5999" i="3"/>
  <c r="K5999" i="3"/>
  <c r="J5999" i="3"/>
  <c r="H5999" i="3"/>
  <c r="G5999" i="3"/>
  <c r="M5998" i="3"/>
  <c r="L5998" i="3"/>
  <c r="J5998" i="3"/>
  <c r="K5998" i="3" s="1"/>
  <c r="H5998" i="3"/>
  <c r="G5998" i="3"/>
  <c r="M5997" i="3"/>
  <c r="L5997" i="3"/>
  <c r="J5997" i="3"/>
  <c r="K5997" i="3" s="1"/>
  <c r="H5997" i="3"/>
  <c r="G5997" i="3"/>
  <c r="M5996" i="3"/>
  <c r="L5996" i="3"/>
  <c r="J5996" i="3"/>
  <c r="K5996" i="3" s="1"/>
  <c r="H5996" i="3"/>
  <c r="G5996" i="3"/>
  <c r="I5996" i="3" s="1"/>
  <c r="M5995" i="3"/>
  <c r="L5995" i="3"/>
  <c r="K5995" i="3"/>
  <c r="J5995" i="3"/>
  <c r="H5995" i="3"/>
  <c r="G5995" i="3"/>
  <c r="M5994" i="3"/>
  <c r="L5994" i="3"/>
  <c r="J5994" i="3"/>
  <c r="K5994" i="3" s="1"/>
  <c r="H5994" i="3"/>
  <c r="G5994" i="3"/>
  <c r="M5993" i="3"/>
  <c r="L5993" i="3"/>
  <c r="J5993" i="3"/>
  <c r="K5993" i="3" s="1"/>
  <c r="H5993" i="3"/>
  <c r="G5993" i="3"/>
  <c r="M5992" i="3"/>
  <c r="L5992" i="3"/>
  <c r="J5992" i="3"/>
  <c r="K5992" i="3" s="1"/>
  <c r="H5992" i="3"/>
  <c r="I5992" i="3" s="1"/>
  <c r="G5992" i="3"/>
  <c r="M5991" i="3"/>
  <c r="L5991" i="3"/>
  <c r="K5991" i="3"/>
  <c r="J5991" i="3"/>
  <c r="H5991" i="3"/>
  <c r="G5991" i="3"/>
  <c r="M5990" i="3"/>
  <c r="L5990" i="3"/>
  <c r="J5990" i="3"/>
  <c r="K5990" i="3" s="1"/>
  <c r="H5990" i="3"/>
  <c r="G5990" i="3"/>
  <c r="M5989" i="3"/>
  <c r="L5989" i="3"/>
  <c r="J5989" i="3"/>
  <c r="K5989" i="3" s="1"/>
  <c r="H5989" i="3"/>
  <c r="G5989" i="3"/>
  <c r="M5988" i="3"/>
  <c r="L5988" i="3"/>
  <c r="J5988" i="3"/>
  <c r="K5988" i="3" s="1"/>
  <c r="H5988" i="3"/>
  <c r="G5988" i="3"/>
  <c r="I5988" i="3" s="1"/>
  <c r="M5987" i="3"/>
  <c r="L5987" i="3"/>
  <c r="K5987" i="3"/>
  <c r="J5987" i="3"/>
  <c r="H5987" i="3"/>
  <c r="G5987" i="3"/>
  <c r="M5986" i="3"/>
  <c r="L5986" i="3"/>
  <c r="J5986" i="3"/>
  <c r="K5986" i="3" s="1"/>
  <c r="H5986" i="3"/>
  <c r="G5986" i="3"/>
  <c r="M5985" i="3"/>
  <c r="L5985" i="3"/>
  <c r="J5985" i="3"/>
  <c r="K5985" i="3" s="1"/>
  <c r="H5985" i="3"/>
  <c r="G5985" i="3"/>
  <c r="M5984" i="3"/>
  <c r="L5984" i="3"/>
  <c r="J5984" i="3"/>
  <c r="K5984" i="3" s="1"/>
  <c r="H5984" i="3"/>
  <c r="I5984" i="3" s="1"/>
  <c r="G5984" i="3"/>
  <c r="M5983" i="3"/>
  <c r="L5983" i="3"/>
  <c r="K5983" i="3"/>
  <c r="J5983" i="3"/>
  <c r="H5983" i="3"/>
  <c r="G5983" i="3"/>
  <c r="M5982" i="3"/>
  <c r="L5982" i="3"/>
  <c r="J5982" i="3"/>
  <c r="K5982" i="3" s="1"/>
  <c r="H5982" i="3"/>
  <c r="G5982" i="3"/>
  <c r="M5981" i="3"/>
  <c r="L5981" i="3"/>
  <c r="J5981" i="3"/>
  <c r="K5981" i="3" s="1"/>
  <c r="H5981" i="3"/>
  <c r="G5981" i="3"/>
  <c r="M5980" i="3"/>
  <c r="L5980" i="3"/>
  <c r="J5980" i="3"/>
  <c r="K5980" i="3" s="1"/>
  <c r="H5980" i="3"/>
  <c r="G5980" i="3"/>
  <c r="I5980" i="3" s="1"/>
  <c r="M5979" i="3"/>
  <c r="L5979" i="3"/>
  <c r="K5979" i="3"/>
  <c r="J5979" i="3"/>
  <c r="H5979" i="3"/>
  <c r="G5979" i="3"/>
  <c r="M5978" i="3"/>
  <c r="L5978" i="3"/>
  <c r="J5978" i="3"/>
  <c r="K5978" i="3" s="1"/>
  <c r="H5978" i="3"/>
  <c r="G5978" i="3"/>
  <c r="M6169" i="3"/>
  <c r="L6169" i="3"/>
  <c r="J6169" i="3"/>
  <c r="K6169" i="3" s="1"/>
  <c r="H6169" i="3"/>
  <c r="G6169" i="3"/>
  <c r="M6168" i="3"/>
  <c r="L6168" i="3"/>
  <c r="J6168" i="3"/>
  <c r="K6168" i="3" s="1"/>
  <c r="H6168" i="3"/>
  <c r="G6168" i="3"/>
  <c r="I6168" i="3" s="1"/>
  <c r="M6167" i="3"/>
  <c r="L6167" i="3"/>
  <c r="J6167" i="3"/>
  <c r="K6167" i="3" s="1"/>
  <c r="H6167" i="3"/>
  <c r="G6167" i="3"/>
  <c r="M6166" i="3"/>
  <c r="L6166" i="3"/>
  <c r="J6166" i="3"/>
  <c r="K6166" i="3" s="1"/>
  <c r="H6166" i="3"/>
  <c r="G6166" i="3"/>
  <c r="M6165" i="3"/>
  <c r="L6165" i="3"/>
  <c r="J6165" i="3"/>
  <c r="K6165" i="3" s="1"/>
  <c r="H6165" i="3"/>
  <c r="G6165" i="3"/>
  <c r="M6164" i="3"/>
  <c r="L6164" i="3"/>
  <c r="K6164" i="3"/>
  <c r="J6164" i="3"/>
  <c r="H6164" i="3"/>
  <c r="G6164" i="3"/>
  <c r="M6163" i="3"/>
  <c r="L6163" i="3"/>
  <c r="J6163" i="3"/>
  <c r="K6163" i="3" s="1"/>
  <c r="H6163" i="3"/>
  <c r="G6163" i="3"/>
  <c r="M6162" i="3"/>
  <c r="L6162" i="3"/>
  <c r="J6162" i="3"/>
  <c r="K6162" i="3" s="1"/>
  <c r="H6162" i="3"/>
  <c r="G6162" i="3"/>
  <c r="I6162" i="3" s="1"/>
  <c r="M6161" i="3"/>
  <c r="L6161" i="3"/>
  <c r="J6161" i="3"/>
  <c r="K6161" i="3" s="1"/>
  <c r="H6161" i="3"/>
  <c r="G6161" i="3"/>
  <c r="M6160" i="3"/>
  <c r="L6160" i="3"/>
  <c r="K6160" i="3"/>
  <c r="J6160" i="3"/>
  <c r="H6160" i="3"/>
  <c r="G6160" i="3"/>
  <c r="M6159" i="3"/>
  <c r="L6159" i="3"/>
  <c r="J6159" i="3"/>
  <c r="K6159" i="3" s="1"/>
  <c r="H6159" i="3"/>
  <c r="G6159" i="3"/>
  <c r="M6158" i="3"/>
  <c r="L6158" i="3"/>
  <c r="J6158" i="3"/>
  <c r="K6158" i="3" s="1"/>
  <c r="H6158" i="3"/>
  <c r="G6158" i="3"/>
  <c r="M6157" i="3"/>
  <c r="L6157" i="3"/>
  <c r="J6157" i="3"/>
  <c r="K6157" i="3" s="1"/>
  <c r="H6157" i="3"/>
  <c r="G6157" i="3"/>
  <c r="M6156" i="3"/>
  <c r="L6156" i="3"/>
  <c r="J6156" i="3"/>
  <c r="K6156" i="3" s="1"/>
  <c r="H6156" i="3"/>
  <c r="I6156" i="3" s="1"/>
  <c r="G6156" i="3"/>
  <c r="M6155" i="3"/>
  <c r="L6155" i="3"/>
  <c r="J6155" i="3"/>
  <c r="K6155" i="3" s="1"/>
  <c r="H6155" i="3"/>
  <c r="G6155" i="3"/>
  <c r="I6155" i="3" s="1"/>
  <c r="M6154" i="3"/>
  <c r="L6154" i="3"/>
  <c r="J6154" i="3"/>
  <c r="K6154" i="3" s="1"/>
  <c r="H6154" i="3"/>
  <c r="G6154" i="3"/>
  <c r="M6153" i="3"/>
  <c r="L6153" i="3"/>
  <c r="J6153" i="3"/>
  <c r="K6153" i="3" s="1"/>
  <c r="H6153" i="3"/>
  <c r="G6153" i="3"/>
  <c r="M6152" i="3"/>
  <c r="L6152" i="3"/>
  <c r="J6152" i="3"/>
  <c r="K6152" i="3" s="1"/>
  <c r="H6152" i="3"/>
  <c r="G6152" i="3"/>
  <c r="I6152" i="3" s="1"/>
  <c r="M6151" i="3"/>
  <c r="L6151" i="3"/>
  <c r="J6151" i="3"/>
  <c r="K6151" i="3" s="1"/>
  <c r="H6151" i="3"/>
  <c r="G6151" i="3"/>
  <c r="M6150" i="3"/>
  <c r="L6150" i="3"/>
  <c r="J6150" i="3"/>
  <c r="K6150" i="3" s="1"/>
  <c r="H6150" i="3"/>
  <c r="G6150" i="3"/>
  <c r="M6149" i="3"/>
  <c r="L6149" i="3"/>
  <c r="J6149" i="3"/>
  <c r="K6149" i="3" s="1"/>
  <c r="H6149" i="3"/>
  <c r="G6149" i="3"/>
  <c r="M6148" i="3"/>
  <c r="L6148" i="3"/>
  <c r="K6148" i="3"/>
  <c r="J6148" i="3"/>
  <c r="H6148" i="3"/>
  <c r="G6148" i="3"/>
  <c r="M6147" i="3"/>
  <c r="L6147" i="3"/>
  <c r="J6147" i="3"/>
  <c r="K6147" i="3" s="1"/>
  <c r="H6147" i="3"/>
  <c r="G6147" i="3"/>
  <c r="M6146" i="3"/>
  <c r="L6146" i="3"/>
  <c r="J6146" i="3"/>
  <c r="K6146" i="3" s="1"/>
  <c r="H6146" i="3"/>
  <c r="G6146" i="3"/>
  <c r="I6146" i="3" s="1"/>
  <c r="M6145" i="3"/>
  <c r="L6145" i="3"/>
  <c r="J6145" i="3"/>
  <c r="K6145" i="3" s="1"/>
  <c r="H6145" i="3"/>
  <c r="G6145" i="3"/>
  <c r="M6144" i="3"/>
  <c r="L6144" i="3"/>
  <c r="J6144" i="3"/>
  <c r="K6144" i="3" s="1"/>
  <c r="H6144" i="3"/>
  <c r="G6144" i="3"/>
  <c r="I6144" i="3" s="1"/>
  <c r="M6143" i="3"/>
  <c r="L6143" i="3"/>
  <c r="J6143" i="3"/>
  <c r="K6143" i="3" s="1"/>
  <c r="H6143" i="3"/>
  <c r="G6143" i="3"/>
  <c r="M6142" i="3"/>
  <c r="L6142" i="3"/>
  <c r="J6142" i="3"/>
  <c r="K6142" i="3" s="1"/>
  <c r="H6142" i="3"/>
  <c r="G6142" i="3"/>
  <c r="M6141" i="3"/>
  <c r="L6141" i="3"/>
  <c r="J6141" i="3"/>
  <c r="K6141" i="3" s="1"/>
  <c r="H6141" i="3"/>
  <c r="G6141" i="3"/>
  <c r="M6140" i="3"/>
  <c r="L6140" i="3"/>
  <c r="J6140" i="3"/>
  <c r="K6140" i="3" s="1"/>
  <c r="H6140" i="3"/>
  <c r="G6140" i="3"/>
  <c r="I6140" i="3" s="1"/>
  <c r="M6139" i="3"/>
  <c r="L6139" i="3"/>
  <c r="J6139" i="3"/>
  <c r="K6139" i="3" s="1"/>
  <c r="H6139" i="3"/>
  <c r="G6139" i="3"/>
  <c r="I6139" i="3" s="1"/>
  <c r="M6138" i="3"/>
  <c r="L6138" i="3"/>
  <c r="J6138" i="3"/>
  <c r="K6138" i="3" s="1"/>
  <c r="H6138" i="3"/>
  <c r="G6138" i="3"/>
  <c r="M6137" i="3"/>
  <c r="L6137" i="3"/>
  <c r="J6137" i="3"/>
  <c r="K6137" i="3" s="1"/>
  <c r="H6137" i="3"/>
  <c r="G6137" i="3"/>
  <c r="M6136" i="3"/>
  <c r="L6136" i="3"/>
  <c r="J6136" i="3"/>
  <c r="K6136" i="3" s="1"/>
  <c r="H6136" i="3"/>
  <c r="G6136" i="3"/>
  <c r="M6135" i="3"/>
  <c r="L6135" i="3"/>
  <c r="J6135" i="3"/>
  <c r="K6135" i="3" s="1"/>
  <c r="H6135" i="3"/>
  <c r="G6135" i="3"/>
  <c r="M6134" i="3"/>
  <c r="L6134" i="3"/>
  <c r="K6134" i="3"/>
  <c r="J6134" i="3"/>
  <c r="H6134" i="3"/>
  <c r="G6134" i="3"/>
  <c r="M6133" i="3"/>
  <c r="L6133" i="3"/>
  <c r="J6133" i="3"/>
  <c r="K6133" i="3" s="1"/>
  <c r="H6133" i="3"/>
  <c r="G6133" i="3"/>
  <c r="M6132" i="3"/>
  <c r="L6132" i="3"/>
  <c r="J6132" i="3"/>
  <c r="K6132" i="3" s="1"/>
  <c r="H6132" i="3"/>
  <c r="G6132" i="3"/>
  <c r="I6132" i="3" s="1"/>
  <c r="M6131" i="3"/>
  <c r="L6131" i="3"/>
  <c r="J6131" i="3"/>
  <c r="K6131" i="3" s="1"/>
  <c r="H6131" i="3"/>
  <c r="G6131" i="3"/>
  <c r="M6130" i="3"/>
  <c r="L6130" i="3"/>
  <c r="K6130" i="3"/>
  <c r="J6130" i="3"/>
  <c r="H6130" i="3"/>
  <c r="G6130" i="3"/>
  <c r="M6129" i="3"/>
  <c r="L6129" i="3"/>
  <c r="J6129" i="3"/>
  <c r="K6129" i="3" s="1"/>
  <c r="H6129" i="3"/>
  <c r="G6129" i="3"/>
  <c r="I6129" i="3" s="1"/>
  <c r="M6128" i="3"/>
  <c r="L6128" i="3"/>
  <c r="J6128" i="3"/>
  <c r="K6128" i="3" s="1"/>
  <c r="H6128" i="3"/>
  <c r="G6128" i="3"/>
  <c r="M6127" i="3"/>
  <c r="L6127" i="3"/>
  <c r="J6127" i="3"/>
  <c r="K6127" i="3" s="1"/>
  <c r="H6127" i="3"/>
  <c r="G6127" i="3"/>
  <c r="I6127" i="3" s="1"/>
  <c r="M6126" i="3"/>
  <c r="L6126" i="3"/>
  <c r="J6126" i="3"/>
  <c r="K6126" i="3" s="1"/>
  <c r="H6126" i="3"/>
  <c r="G6126" i="3"/>
  <c r="M6125" i="3"/>
  <c r="L6125" i="3"/>
  <c r="J6125" i="3"/>
  <c r="K6125" i="3" s="1"/>
  <c r="H6125" i="3"/>
  <c r="G6125" i="3"/>
  <c r="I6125" i="3" s="1"/>
  <c r="M6124" i="3"/>
  <c r="L6124" i="3"/>
  <c r="J6124" i="3"/>
  <c r="K6124" i="3" s="1"/>
  <c r="I6124" i="3"/>
  <c r="H6124" i="3"/>
  <c r="G6124" i="3"/>
  <c r="M6123" i="3"/>
  <c r="L6123" i="3"/>
  <c r="J6123" i="3"/>
  <c r="K6123" i="3" s="1"/>
  <c r="H6123" i="3"/>
  <c r="G6123" i="3"/>
  <c r="M6122" i="3"/>
  <c r="L6122" i="3"/>
  <c r="J6122" i="3"/>
  <c r="K6122" i="3" s="1"/>
  <c r="H6122" i="3"/>
  <c r="G6122" i="3"/>
  <c r="M6121" i="3"/>
  <c r="L6121" i="3"/>
  <c r="J6121" i="3"/>
  <c r="K6121" i="3" s="1"/>
  <c r="H6121" i="3"/>
  <c r="G6121" i="3"/>
  <c r="M6120" i="3"/>
  <c r="L6120" i="3"/>
  <c r="K6120" i="3"/>
  <c r="J6120" i="3"/>
  <c r="H6120" i="3"/>
  <c r="I6120" i="3" s="1"/>
  <c r="G6120" i="3"/>
  <c r="M6119" i="3"/>
  <c r="L6119" i="3"/>
  <c r="J6119" i="3"/>
  <c r="K6119" i="3" s="1"/>
  <c r="H6119" i="3"/>
  <c r="G6119" i="3"/>
  <c r="M6118" i="3"/>
  <c r="L6118" i="3"/>
  <c r="J6118" i="3"/>
  <c r="K6118" i="3" s="1"/>
  <c r="H6118" i="3"/>
  <c r="G6118" i="3"/>
  <c r="I6118" i="3" s="1"/>
  <c r="M6117" i="3"/>
  <c r="L6117" i="3"/>
  <c r="J6117" i="3"/>
  <c r="K6117" i="3" s="1"/>
  <c r="H6117" i="3"/>
  <c r="G6117" i="3"/>
  <c r="M6116" i="3"/>
  <c r="L6116" i="3"/>
  <c r="K6116" i="3"/>
  <c r="J6116" i="3"/>
  <c r="H6116" i="3"/>
  <c r="G6116" i="3"/>
  <c r="M6115" i="3"/>
  <c r="L6115" i="3"/>
  <c r="J6115" i="3"/>
  <c r="K6115" i="3" s="1"/>
  <c r="H6115" i="3"/>
  <c r="G6115" i="3"/>
  <c r="M6114" i="3"/>
  <c r="L6114" i="3"/>
  <c r="J6114" i="3"/>
  <c r="K6114" i="3" s="1"/>
  <c r="H6114" i="3"/>
  <c r="G6114" i="3"/>
  <c r="I6114" i="3" s="1"/>
  <c r="M6113" i="3"/>
  <c r="L6113" i="3"/>
  <c r="J6113" i="3"/>
  <c r="K6113" i="3" s="1"/>
  <c r="H6113" i="3"/>
  <c r="G6113" i="3"/>
  <c r="M6112" i="3"/>
  <c r="L6112" i="3"/>
  <c r="J6112" i="3"/>
  <c r="K6112" i="3" s="1"/>
  <c r="H6112" i="3"/>
  <c r="G6112" i="3"/>
  <c r="M6111" i="3"/>
  <c r="L6111" i="3"/>
  <c r="J6111" i="3"/>
  <c r="K6111" i="3" s="1"/>
  <c r="H6111" i="3"/>
  <c r="G6111" i="3"/>
  <c r="M6110" i="3"/>
  <c r="L6110" i="3"/>
  <c r="J6110" i="3"/>
  <c r="K6110" i="3" s="1"/>
  <c r="H6110" i="3"/>
  <c r="G6110" i="3"/>
  <c r="M6109" i="3"/>
  <c r="L6109" i="3"/>
  <c r="J6109" i="3"/>
  <c r="K6109" i="3" s="1"/>
  <c r="H6109" i="3"/>
  <c r="G6109" i="3"/>
  <c r="M6108" i="3"/>
  <c r="L6108" i="3"/>
  <c r="J6108" i="3"/>
  <c r="K6108" i="3" s="1"/>
  <c r="H6108" i="3"/>
  <c r="I6108" i="3" s="1"/>
  <c r="G6108" i="3"/>
  <c r="M6107" i="3"/>
  <c r="L6107" i="3"/>
  <c r="J6107" i="3"/>
  <c r="K6107" i="3" s="1"/>
  <c r="H6107" i="3"/>
  <c r="G6107" i="3"/>
  <c r="I6107" i="3" s="1"/>
  <c r="M6106" i="3"/>
  <c r="L6106" i="3"/>
  <c r="J6106" i="3"/>
  <c r="K6106" i="3" s="1"/>
  <c r="H6106" i="3"/>
  <c r="G6106" i="3"/>
  <c r="M6105" i="3"/>
  <c r="L6105" i="3"/>
  <c r="J6105" i="3"/>
  <c r="K6105" i="3" s="1"/>
  <c r="H6105" i="3"/>
  <c r="G6105" i="3"/>
  <c r="M6104" i="3"/>
  <c r="L6104" i="3"/>
  <c r="J6104" i="3"/>
  <c r="K6104" i="3" s="1"/>
  <c r="H6104" i="3"/>
  <c r="G6104" i="3"/>
  <c r="M6103" i="3"/>
  <c r="L6103" i="3"/>
  <c r="J6103" i="3"/>
  <c r="K6103" i="3" s="1"/>
  <c r="H6103" i="3"/>
  <c r="G6103" i="3"/>
  <c r="M6102" i="3"/>
  <c r="L6102" i="3"/>
  <c r="K6102" i="3"/>
  <c r="J6102" i="3"/>
  <c r="H6102" i="3"/>
  <c r="G6102" i="3"/>
  <c r="M6101" i="3"/>
  <c r="L6101" i="3"/>
  <c r="J6101" i="3"/>
  <c r="K6101" i="3" s="1"/>
  <c r="H6101" i="3"/>
  <c r="G6101" i="3"/>
  <c r="M6100" i="3"/>
  <c r="L6100" i="3"/>
  <c r="J6100" i="3"/>
  <c r="K6100" i="3" s="1"/>
  <c r="H6100" i="3"/>
  <c r="G6100" i="3"/>
  <c r="I6100" i="3" s="1"/>
  <c r="M6099" i="3"/>
  <c r="L6099" i="3"/>
  <c r="J6099" i="3"/>
  <c r="K6099" i="3" s="1"/>
  <c r="H6099" i="3"/>
  <c r="G6099" i="3"/>
  <c r="M6098" i="3"/>
  <c r="L6098" i="3"/>
  <c r="K6098" i="3"/>
  <c r="J6098" i="3"/>
  <c r="H6098" i="3"/>
  <c r="G6098" i="3"/>
  <c r="M6097" i="3"/>
  <c r="L6097" i="3"/>
  <c r="J6097" i="3"/>
  <c r="K6097" i="3" s="1"/>
  <c r="H6097" i="3"/>
  <c r="G6097" i="3"/>
  <c r="I6097" i="3" s="1"/>
  <c r="M6096" i="3"/>
  <c r="L6096" i="3"/>
  <c r="J6096" i="3"/>
  <c r="K6096" i="3" s="1"/>
  <c r="H6096" i="3"/>
  <c r="G6096" i="3"/>
  <c r="M6095" i="3"/>
  <c r="L6095" i="3"/>
  <c r="J6095" i="3"/>
  <c r="K6095" i="3" s="1"/>
  <c r="H6095" i="3"/>
  <c r="G6095" i="3"/>
  <c r="M6094" i="3"/>
  <c r="L6094" i="3"/>
  <c r="J6094" i="3"/>
  <c r="K6094" i="3" s="1"/>
  <c r="H6094" i="3"/>
  <c r="G6094" i="3"/>
  <c r="M6093" i="3"/>
  <c r="L6093" i="3"/>
  <c r="J6093" i="3"/>
  <c r="K6093" i="3" s="1"/>
  <c r="H6093" i="3"/>
  <c r="G6093" i="3"/>
  <c r="I6093" i="3" s="1"/>
  <c r="M6092" i="3"/>
  <c r="L6092" i="3"/>
  <c r="J6092" i="3"/>
  <c r="K6092" i="3" s="1"/>
  <c r="H6092" i="3"/>
  <c r="G6092" i="3"/>
  <c r="I6092" i="3" s="1"/>
  <c r="M6091" i="3"/>
  <c r="L6091" i="3"/>
  <c r="J6091" i="3"/>
  <c r="K6091" i="3" s="1"/>
  <c r="H6091" i="3"/>
  <c r="G6091" i="3"/>
  <c r="M6090" i="3"/>
  <c r="L6090" i="3"/>
  <c r="J6090" i="3"/>
  <c r="K6090" i="3" s="1"/>
  <c r="H6090" i="3"/>
  <c r="G6090" i="3"/>
  <c r="M6089" i="3"/>
  <c r="L6089" i="3"/>
  <c r="J6089" i="3"/>
  <c r="K6089" i="3" s="1"/>
  <c r="H6089" i="3"/>
  <c r="G6089" i="3"/>
  <c r="M6088" i="3"/>
  <c r="L6088" i="3"/>
  <c r="K6088" i="3"/>
  <c r="J6088" i="3"/>
  <c r="H6088" i="3"/>
  <c r="I6088" i="3" s="1"/>
  <c r="G6088" i="3"/>
  <c r="M6087" i="3"/>
  <c r="L6087" i="3"/>
  <c r="J6087" i="3"/>
  <c r="K6087" i="3" s="1"/>
  <c r="H6087" i="3"/>
  <c r="I6087" i="3" s="1"/>
  <c r="G6087" i="3"/>
  <c r="M6086" i="3"/>
  <c r="L6086" i="3"/>
  <c r="K6086" i="3"/>
  <c r="J6086" i="3"/>
  <c r="H6086" i="3"/>
  <c r="G6086" i="3"/>
  <c r="I6086" i="3" s="1"/>
  <c r="M6085" i="3"/>
  <c r="L6085" i="3"/>
  <c r="J6085" i="3"/>
  <c r="K6085" i="3" s="1"/>
  <c r="H6085" i="3"/>
  <c r="G6085" i="3"/>
  <c r="M6084" i="3"/>
  <c r="L6084" i="3"/>
  <c r="K6084" i="3"/>
  <c r="J6084" i="3"/>
  <c r="H6084" i="3"/>
  <c r="G6084" i="3"/>
  <c r="M6083" i="3"/>
  <c r="L6083" i="3"/>
  <c r="J6083" i="3"/>
  <c r="K6083" i="3" s="1"/>
  <c r="H6083" i="3"/>
  <c r="G6083" i="3"/>
  <c r="M6082" i="3"/>
  <c r="L6082" i="3"/>
  <c r="J6082" i="3"/>
  <c r="K6082" i="3" s="1"/>
  <c r="H6082" i="3"/>
  <c r="G6082" i="3"/>
  <c r="M6081" i="3"/>
  <c r="L6081" i="3"/>
  <c r="J6081" i="3"/>
  <c r="K6081" i="3" s="1"/>
  <c r="H6081" i="3"/>
  <c r="G6081" i="3"/>
  <c r="M6080" i="3"/>
  <c r="L6080" i="3"/>
  <c r="J6080" i="3"/>
  <c r="K6080" i="3" s="1"/>
  <c r="H6080" i="3"/>
  <c r="G6080" i="3"/>
  <c r="I6080" i="3" s="1"/>
  <c r="M6079" i="3"/>
  <c r="L6079" i="3"/>
  <c r="J6079" i="3"/>
  <c r="K6079" i="3" s="1"/>
  <c r="H6079" i="3"/>
  <c r="G6079" i="3"/>
  <c r="M6078" i="3"/>
  <c r="L6078" i="3"/>
  <c r="J6078" i="3"/>
  <c r="K6078" i="3" s="1"/>
  <c r="H6078" i="3"/>
  <c r="G6078" i="3"/>
  <c r="M6077" i="3"/>
  <c r="L6077" i="3"/>
  <c r="J6077" i="3"/>
  <c r="K6077" i="3" s="1"/>
  <c r="H6077" i="3"/>
  <c r="G6077" i="3"/>
  <c r="M6076" i="3"/>
  <c r="L6076" i="3"/>
  <c r="J6076" i="3"/>
  <c r="K6076" i="3" s="1"/>
  <c r="H6076" i="3"/>
  <c r="G6076" i="3"/>
  <c r="I6076" i="3" s="1"/>
  <c r="M6075" i="3"/>
  <c r="L6075" i="3"/>
  <c r="J6075" i="3"/>
  <c r="K6075" i="3" s="1"/>
  <c r="H6075" i="3"/>
  <c r="G6075" i="3"/>
  <c r="M6074" i="3"/>
  <c r="L6074" i="3"/>
  <c r="J6074" i="3"/>
  <c r="K6074" i="3" s="1"/>
  <c r="H6074" i="3"/>
  <c r="G6074" i="3"/>
  <c r="M6265" i="3"/>
  <c r="L6265" i="3"/>
  <c r="J6265" i="3"/>
  <c r="K6265" i="3" s="1"/>
  <c r="H6265" i="3"/>
  <c r="G6265" i="3"/>
  <c r="M6264" i="3"/>
  <c r="L6264" i="3"/>
  <c r="J6264" i="3"/>
  <c r="K6264" i="3" s="1"/>
  <c r="H6264" i="3"/>
  <c r="G6264" i="3"/>
  <c r="M6263" i="3"/>
  <c r="L6263" i="3"/>
  <c r="J6263" i="3"/>
  <c r="K6263" i="3" s="1"/>
  <c r="H6263" i="3"/>
  <c r="I6263" i="3" s="1"/>
  <c r="G6263" i="3"/>
  <c r="M6262" i="3"/>
  <c r="L6262" i="3"/>
  <c r="K6262" i="3"/>
  <c r="J6262" i="3"/>
  <c r="H6262" i="3"/>
  <c r="G6262" i="3"/>
  <c r="I6262" i="3" s="1"/>
  <c r="M6261" i="3"/>
  <c r="L6261" i="3"/>
  <c r="J6261" i="3"/>
  <c r="K6261" i="3" s="1"/>
  <c r="H6261" i="3"/>
  <c r="G6261" i="3"/>
  <c r="M6260" i="3"/>
  <c r="L6260" i="3"/>
  <c r="J6260" i="3"/>
  <c r="K6260" i="3" s="1"/>
  <c r="H6260" i="3"/>
  <c r="I6260" i="3" s="1"/>
  <c r="G6260" i="3"/>
  <c r="M6259" i="3"/>
  <c r="L6259" i="3"/>
  <c r="J6259" i="3"/>
  <c r="K6259" i="3" s="1"/>
  <c r="H6259" i="3"/>
  <c r="G6259" i="3"/>
  <c r="M6258" i="3"/>
  <c r="L6258" i="3"/>
  <c r="J6258" i="3"/>
  <c r="K6258" i="3" s="1"/>
  <c r="H6258" i="3"/>
  <c r="G6258" i="3"/>
  <c r="M6257" i="3"/>
  <c r="L6257" i="3"/>
  <c r="J6257" i="3"/>
  <c r="K6257" i="3" s="1"/>
  <c r="H6257" i="3"/>
  <c r="G6257" i="3"/>
  <c r="M6256" i="3"/>
  <c r="L6256" i="3"/>
  <c r="J6256" i="3"/>
  <c r="K6256" i="3" s="1"/>
  <c r="H6256" i="3"/>
  <c r="G6256" i="3"/>
  <c r="M6255" i="3"/>
  <c r="L6255" i="3"/>
  <c r="J6255" i="3"/>
  <c r="K6255" i="3" s="1"/>
  <c r="H6255" i="3"/>
  <c r="G6255" i="3"/>
  <c r="M6254" i="3"/>
  <c r="L6254" i="3"/>
  <c r="J6254" i="3"/>
  <c r="K6254" i="3" s="1"/>
  <c r="H6254" i="3"/>
  <c r="G6254" i="3"/>
  <c r="M6253" i="3"/>
  <c r="L6253" i="3"/>
  <c r="J6253" i="3"/>
  <c r="K6253" i="3" s="1"/>
  <c r="H6253" i="3"/>
  <c r="G6253" i="3"/>
  <c r="M6252" i="3"/>
  <c r="L6252" i="3"/>
  <c r="J6252" i="3"/>
  <c r="K6252" i="3" s="1"/>
  <c r="H6252" i="3"/>
  <c r="G6252" i="3"/>
  <c r="I6252" i="3" s="1"/>
  <c r="M6251" i="3"/>
  <c r="L6251" i="3"/>
  <c r="J6251" i="3"/>
  <c r="K6251" i="3" s="1"/>
  <c r="H6251" i="3"/>
  <c r="G6251" i="3"/>
  <c r="M6250" i="3"/>
  <c r="L6250" i="3"/>
  <c r="J6250" i="3"/>
  <c r="K6250" i="3" s="1"/>
  <c r="H6250" i="3"/>
  <c r="G6250" i="3"/>
  <c r="M6249" i="3"/>
  <c r="L6249" i="3"/>
  <c r="J6249" i="3"/>
  <c r="K6249" i="3" s="1"/>
  <c r="H6249" i="3"/>
  <c r="G6249" i="3"/>
  <c r="M6248" i="3"/>
  <c r="L6248" i="3"/>
  <c r="J6248" i="3"/>
  <c r="K6248" i="3" s="1"/>
  <c r="H6248" i="3"/>
  <c r="G6248" i="3"/>
  <c r="M6247" i="3"/>
  <c r="L6247" i="3"/>
  <c r="J6247" i="3"/>
  <c r="K6247" i="3" s="1"/>
  <c r="H6247" i="3"/>
  <c r="I6247" i="3" s="1"/>
  <c r="G6247" i="3"/>
  <c r="M6246" i="3"/>
  <c r="L6246" i="3"/>
  <c r="K6246" i="3"/>
  <c r="J6246" i="3"/>
  <c r="H6246" i="3"/>
  <c r="G6246" i="3"/>
  <c r="I6246" i="3" s="1"/>
  <c r="M6245" i="3"/>
  <c r="L6245" i="3"/>
  <c r="J6245" i="3"/>
  <c r="K6245" i="3" s="1"/>
  <c r="H6245" i="3"/>
  <c r="G6245" i="3"/>
  <c r="M6244" i="3"/>
  <c r="L6244" i="3"/>
  <c r="J6244" i="3"/>
  <c r="K6244" i="3" s="1"/>
  <c r="H6244" i="3"/>
  <c r="I6244" i="3" s="1"/>
  <c r="G6244" i="3"/>
  <c r="M6243" i="3"/>
  <c r="L6243" i="3"/>
  <c r="J6243" i="3"/>
  <c r="K6243" i="3" s="1"/>
  <c r="H6243" i="3"/>
  <c r="G6243" i="3"/>
  <c r="M6242" i="3"/>
  <c r="L6242" i="3"/>
  <c r="J6242" i="3"/>
  <c r="K6242" i="3" s="1"/>
  <c r="H6242" i="3"/>
  <c r="G6242" i="3"/>
  <c r="M6241" i="3"/>
  <c r="L6241" i="3"/>
  <c r="J6241" i="3"/>
  <c r="K6241" i="3" s="1"/>
  <c r="H6241" i="3"/>
  <c r="G6241" i="3"/>
  <c r="M6240" i="3"/>
  <c r="L6240" i="3"/>
  <c r="J6240" i="3"/>
  <c r="K6240" i="3" s="1"/>
  <c r="H6240" i="3"/>
  <c r="G6240" i="3"/>
  <c r="M6239" i="3"/>
  <c r="L6239" i="3"/>
  <c r="J6239" i="3"/>
  <c r="K6239" i="3" s="1"/>
  <c r="H6239" i="3"/>
  <c r="G6239" i="3"/>
  <c r="M6238" i="3"/>
  <c r="L6238" i="3"/>
  <c r="J6238" i="3"/>
  <c r="K6238" i="3" s="1"/>
  <c r="H6238" i="3"/>
  <c r="G6238" i="3"/>
  <c r="M6237" i="3"/>
  <c r="L6237" i="3"/>
  <c r="J6237" i="3"/>
  <c r="K6237" i="3" s="1"/>
  <c r="H6237" i="3"/>
  <c r="G6237" i="3"/>
  <c r="M6236" i="3"/>
  <c r="L6236" i="3"/>
  <c r="J6236" i="3"/>
  <c r="K6236" i="3" s="1"/>
  <c r="H6236" i="3"/>
  <c r="G6236" i="3"/>
  <c r="I6236" i="3" s="1"/>
  <c r="M6235" i="3"/>
  <c r="L6235" i="3"/>
  <c r="J6235" i="3"/>
  <c r="K6235" i="3" s="1"/>
  <c r="H6235" i="3"/>
  <c r="G6235" i="3"/>
  <c r="M6234" i="3"/>
  <c r="L6234" i="3"/>
  <c r="J6234" i="3"/>
  <c r="K6234" i="3" s="1"/>
  <c r="H6234" i="3"/>
  <c r="G6234" i="3"/>
  <c r="M6233" i="3"/>
  <c r="L6233" i="3"/>
  <c r="J6233" i="3"/>
  <c r="K6233" i="3" s="1"/>
  <c r="H6233" i="3"/>
  <c r="G6233" i="3"/>
  <c r="M6232" i="3"/>
  <c r="L6232" i="3"/>
  <c r="J6232" i="3"/>
  <c r="K6232" i="3" s="1"/>
  <c r="H6232" i="3"/>
  <c r="G6232" i="3"/>
  <c r="I6232" i="3" s="1"/>
  <c r="M6231" i="3"/>
  <c r="L6231" i="3"/>
  <c r="J6231" i="3"/>
  <c r="K6231" i="3" s="1"/>
  <c r="H6231" i="3"/>
  <c r="I6231" i="3" s="1"/>
  <c r="G6231" i="3"/>
  <c r="M6230" i="3"/>
  <c r="L6230" i="3"/>
  <c r="K6230" i="3"/>
  <c r="J6230" i="3"/>
  <c r="H6230" i="3"/>
  <c r="G6230" i="3"/>
  <c r="I6230" i="3" s="1"/>
  <c r="M6229" i="3"/>
  <c r="L6229" i="3"/>
  <c r="J6229" i="3"/>
  <c r="K6229" i="3" s="1"/>
  <c r="H6229" i="3"/>
  <c r="G6229" i="3"/>
  <c r="I6229" i="3" s="1"/>
  <c r="M6228" i="3"/>
  <c r="L6228" i="3"/>
  <c r="J6228" i="3"/>
  <c r="K6228" i="3" s="1"/>
  <c r="I6228" i="3"/>
  <c r="H6228" i="3"/>
  <c r="G6228" i="3"/>
  <c r="M6227" i="3"/>
  <c r="L6227" i="3"/>
  <c r="J6227" i="3"/>
  <c r="K6227" i="3" s="1"/>
  <c r="H6227" i="3"/>
  <c r="G6227" i="3"/>
  <c r="M6226" i="3"/>
  <c r="L6226" i="3"/>
  <c r="J6226" i="3"/>
  <c r="K6226" i="3" s="1"/>
  <c r="H6226" i="3"/>
  <c r="G6226" i="3"/>
  <c r="M6225" i="3"/>
  <c r="L6225" i="3"/>
  <c r="J6225" i="3"/>
  <c r="K6225" i="3" s="1"/>
  <c r="H6225" i="3"/>
  <c r="G6225" i="3"/>
  <c r="M6224" i="3"/>
  <c r="L6224" i="3"/>
  <c r="J6224" i="3"/>
  <c r="K6224" i="3" s="1"/>
  <c r="H6224" i="3"/>
  <c r="G6224" i="3"/>
  <c r="M6223" i="3"/>
  <c r="L6223" i="3"/>
  <c r="J6223" i="3"/>
  <c r="K6223" i="3" s="1"/>
  <c r="H6223" i="3"/>
  <c r="G6223" i="3"/>
  <c r="M6222" i="3"/>
  <c r="L6222" i="3"/>
  <c r="J6222" i="3"/>
  <c r="K6222" i="3" s="1"/>
  <c r="H6222" i="3"/>
  <c r="G6222" i="3"/>
  <c r="M6221" i="3"/>
  <c r="L6221" i="3"/>
  <c r="J6221" i="3"/>
  <c r="K6221" i="3" s="1"/>
  <c r="H6221" i="3"/>
  <c r="G6221" i="3"/>
  <c r="M6220" i="3"/>
  <c r="L6220" i="3"/>
  <c r="J6220" i="3"/>
  <c r="K6220" i="3" s="1"/>
  <c r="H6220" i="3"/>
  <c r="G6220" i="3"/>
  <c r="I6220" i="3" s="1"/>
  <c r="M6219" i="3"/>
  <c r="L6219" i="3"/>
  <c r="J6219" i="3"/>
  <c r="K6219" i="3" s="1"/>
  <c r="H6219" i="3"/>
  <c r="G6219" i="3"/>
  <c r="M6218" i="3"/>
  <c r="L6218" i="3"/>
  <c r="J6218" i="3"/>
  <c r="K6218" i="3" s="1"/>
  <c r="H6218" i="3"/>
  <c r="G6218" i="3"/>
  <c r="M6217" i="3"/>
  <c r="L6217" i="3"/>
  <c r="J6217" i="3"/>
  <c r="K6217" i="3" s="1"/>
  <c r="H6217" i="3"/>
  <c r="G6217" i="3"/>
  <c r="M6216" i="3"/>
  <c r="L6216" i="3"/>
  <c r="J6216" i="3"/>
  <c r="K6216" i="3" s="1"/>
  <c r="H6216" i="3"/>
  <c r="G6216" i="3"/>
  <c r="I6216" i="3" s="1"/>
  <c r="M6215" i="3"/>
  <c r="L6215" i="3"/>
  <c r="J6215" i="3"/>
  <c r="K6215" i="3" s="1"/>
  <c r="H6215" i="3"/>
  <c r="I6215" i="3" s="1"/>
  <c r="G6215" i="3"/>
  <c r="M6214" i="3"/>
  <c r="L6214" i="3"/>
  <c r="K6214" i="3"/>
  <c r="J6214" i="3"/>
  <c r="H6214" i="3"/>
  <c r="G6214" i="3"/>
  <c r="I6214" i="3" s="1"/>
  <c r="M6213" i="3"/>
  <c r="L6213" i="3"/>
  <c r="J6213" i="3"/>
  <c r="K6213" i="3" s="1"/>
  <c r="H6213" i="3"/>
  <c r="G6213" i="3"/>
  <c r="I6213" i="3" s="1"/>
  <c r="M6212" i="3"/>
  <c r="L6212" i="3"/>
  <c r="J6212" i="3"/>
  <c r="K6212" i="3" s="1"/>
  <c r="I6212" i="3"/>
  <c r="H6212" i="3"/>
  <c r="G6212" i="3"/>
  <c r="M6211" i="3"/>
  <c r="L6211" i="3"/>
  <c r="J6211" i="3"/>
  <c r="K6211" i="3" s="1"/>
  <c r="H6211" i="3"/>
  <c r="G6211" i="3"/>
  <c r="M6210" i="3"/>
  <c r="L6210" i="3"/>
  <c r="J6210" i="3"/>
  <c r="K6210" i="3" s="1"/>
  <c r="H6210" i="3"/>
  <c r="G6210" i="3"/>
  <c r="M6209" i="3"/>
  <c r="L6209" i="3"/>
  <c r="J6209" i="3"/>
  <c r="K6209" i="3" s="1"/>
  <c r="H6209" i="3"/>
  <c r="G6209" i="3"/>
  <c r="M6208" i="3"/>
  <c r="L6208" i="3"/>
  <c r="J6208" i="3"/>
  <c r="K6208" i="3" s="1"/>
  <c r="H6208" i="3"/>
  <c r="G6208" i="3"/>
  <c r="M6207" i="3"/>
  <c r="L6207" i="3"/>
  <c r="J6207" i="3"/>
  <c r="K6207" i="3" s="1"/>
  <c r="H6207" i="3"/>
  <c r="G6207" i="3"/>
  <c r="M6206" i="3"/>
  <c r="L6206" i="3"/>
  <c r="J6206" i="3"/>
  <c r="K6206" i="3" s="1"/>
  <c r="H6206" i="3"/>
  <c r="G6206" i="3"/>
  <c r="M6205" i="3"/>
  <c r="L6205" i="3"/>
  <c r="J6205" i="3"/>
  <c r="K6205" i="3" s="1"/>
  <c r="H6205" i="3"/>
  <c r="G6205" i="3"/>
  <c r="M6204" i="3"/>
  <c r="L6204" i="3"/>
  <c r="J6204" i="3"/>
  <c r="K6204" i="3" s="1"/>
  <c r="H6204" i="3"/>
  <c r="G6204" i="3"/>
  <c r="I6204" i="3" s="1"/>
  <c r="M6203" i="3"/>
  <c r="L6203" i="3"/>
  <c r="J6203" i="3"/>
  <c r="K6203" i="3" s="1"/>
  <c r="H6203" i="3"/>
  <c r="G6203" i="3"/>
  <c r="M6202" i="3"/>
  <c r="L6202" i="3"/>
  <c r="J6202" i="3"/>
  <c r="K6202" i="3" s="1"/>
  <c r="H6202" i="3"/>
  <c r="G6202" i="3"/>
  <c r="M6201" i="3"/>
  <c r="L6201" i="3"/>
  <c r="J6201" i="3"/>
  <c r="K6201" i="3" s="1"/>
  <c r="H6201" i="3"/>
  <c r="G6201" i="3"/>
  <c r="M6200" i="3"/>
  <c r="L6200" i="3"/>
  <c r="J6200" i="3"/>
  <c r="K6200" i="3" s="1"/>
  <c r="H6200" i="3"/>
  <c r="G6200" i="3"/>
  <c r="I6200" i="3" s="1"/>
  <c r="M6199" i="3"/>
  <c r="L6199" i="3"/>
  <c r="J6199" i="3"/>
  <c r="K6199" i="3" s="1"/>
  <c r="H6199" i="3"/>
  <c r="I6199" i="3" s="1"/>
  <c r="G6199" i="3"/>
  <c r="M6198" i="3"/>
  <c r="L6198" i="3"/>
  <c r="K6198" i="3"/>
  <c r="J6198" i="3"/>
  <c r="H6198" i="3"/>
  <c r="G6198" i="3"/>
  <c r="I6198" i="3" s="1"/>
  <c r="M6197" i="3"/>
  <c r="L6197" i="3"/>
  <c r="J6197" i="3"/>
  <c r="K6197" i="3" s="1"/>
  <c r="H6197" i="3"/>
  <c r="G6197" i="3"/>
  <c r="I6197" i="3" s="1"/>
  <c r="M6196" i="3"/>
  <c r="L6196" i="3"/>
  <c r="J6196" i="3"/>
  <c r="K6196" i="3" s="1"/>
  <c r="I6196" i="3"/>
  <c r="H6196" i="3"/>
  <c r="G6196" i="3"/>
  <c r="M6195" i="3"/>
  <c r="L6195" i="3"/>
  <c r="J6195" i="3"/>
  <c r="K6195" i="3" s="1"/>
  <c r="H6195" i="3"/>
  <c r="G6195" i="3"/>
  <c r="M6194" i="3"/>
  <c r="L6194" i="3"/>
  <c r="J6194" i="3"/>
  <c r="K6194" i="3" s="1"/>
  <c r="H6194" i="3"/>
  <c r="G6194" i="3"/>
  <c r="M6193" i="3"/>
  <c r="L6193" i="3"/>
  <c r="J6193" i="3"/>
  <c r="K6193" i="3" s="1"/>
  <c r="H6193" i="3"/>
  <c r="G6193" i="3"/>
  <c r="M6192" i="3"/>
  <c r="L6192" i="3"/>
  <c r="J6192" i="3"/>
  <c r="K6192" i="3" s="1"/>
  <c r="H6192" i="3"/>
  <c r="G6192" i="3"/>
  <c r="M6191" i="3"/>
  <c r="L6191" i="3"/>
  <c r="J6191" i="3"/>
  <c r="K6191" i="3" s="1"/>
  <c r="H6191" i="3"/>
  <c r="G6191" i="3"/>
  <c r="M6190" i="3"/>
  <c r="L6190" i="3"/>
  <c r="J6190" i="3"/>
  <c r="K6190" i="3" s="1"/>
  <c r="H6190" i="3"/>
  <c r="G6190" i="3"/>
  <c r="M6189" i="3"/>
  <c r="L6189" i="3"/>
  <c r="J6189" i="3"/>
  <c r="K6189" i="3" s="1"/>
  <c r="H6189" i="3"/>
  <c r="G6189" i="3"/>
  <c r="M6188" i="3"/>
  <c r="L6188" i="3"/>
  <c r="J6188" i="3"/>
  <c r="K6188" i="3" s="1"/>
  <c r="H6188" i="3"/>
  <c r="G6188" i="3"/>
  <c r="I6188" i="3" s="1"/>
  <c r="M6187" i="3"/>
  <c r="L6187" i="3"/>
  <c r="J6187" i="3"/>
  <c r="K6187" i="3" s="1"/>
  <c r="H6187" i="3"/>
  <c r="G6187" i="3"/>
  <c r="M6186" i="3"/>
  <c r="L6186" i="3"/>
  <c r="J6186" i="3"/>
  <c r="K6186" i="3" s="1"/>
  <c r="H6186" i="3"/>
  <c r="G6186" i="3"/>
  <c r="M6185" i="3"/>
  <c r="L6185" i="3"/>
  <c r="J6185" i="3"/>
  <c r="K6185" i="3" s="1"/>
  <c r="H6185" i="3"/>
  <c r="G6185" i="3"/>
  <c r="M6184" i="3"/>
  <c r="L6184" i="3"/>
  <c r="J6184" i="3"/>
  <c r="K6184" i="3" s="1"/>
  <c r="H6184" i="3"/>
  <c r="G6184" i="3"/>
  <c r="I6184" i="3" s="1"/>
  <c r="M6183" i="3"/>
  <c r="L6183" i="3"/>
  <c r="J6183" i="3"/>
  <c r="K6183" i="3" s="1"/>
  <c r="H6183" i="3"/>
  <c r="I6183" i="3" s="1"/>
  <c r="G6183" i="3"/>
  <c r="M6182" i="3"/>
  <c r="L6182" i="3"/>
  <c r="K6182" i="3"/>
  <c r="J6182" i="3"/>
  <c r="H6182" i="3"/>
  <c r="G6182" i="3"/>
  <c r="I6182" i="3" s="1"/>
  <c r="M6181" i="3"/>
  <c r="L6181" i="3"/>
  <c r="J6181" i="3"/>
  <c r="K6181" i="3" s="1"/>
  <c r="H6181" i="3"/>
  <c r="G6181" i="3"/>
  <c r="I6181" i="3" s="1"/>
  <c r="M6180" i="3"/>
  <c r="L6180" i="3"/>
  <c r="J6180" i="3"/>
  <c r="K6180" i="3" s="1"/>
  <c r="I6180" i="3"/>
  <c r="H6180" i="3"/>
  <c r="G6180" i="3"/>
  <c r="M6179" i="3"/>
  <c r="L6179" i="3"/>
  <c r="K6179" i="3"/>
  <c r="J6179" i="3"/>
  <c r="H6179" i="3"/>
  <c r="G6179" i="3"/>
  <c r="M6178" i="3"/>
  <c r="L6178" i="3"/>
  <c r="J6178" i="3"/>
  <c r="K6178" i="3" s="1"/>
  <c r="H6178" i="3"/>
  <c r="G6178" i="3"/>
  <c r="M6177" i="3"/>
  <c r="L6177" i="3"/>
  <c r="J6177" i="3"/>
  <c r="K6177" i="3" s="1"/>
  <c r="H6177" i="3"/>
  <c r="G6177" i="3"/>
  <c r="M6176" i="3"/>
  <c r="L6176" i="3"/>
  <c r="J6176" i="3"/>
  <c r="K6176" i="3" s="1"/>
  <c r="H6176" i="3"/>
  <c r="G6176" i="3"/>
  <c r="M6175" i="3"/>
  <c r="L6175" i="3"/>
  <c r="J6175" i="3"/>
  <c r="K6175" i="3" s="1"/>
  <c r="H6175" i="3"/>
  <c r="G6175" i="3"/>
  <c r="M6174" i="3"/>
  <c r="L6174" i="3"/>
  <c r="J6174" i="3"/>
  <c r="K6174" i="3" s="1"/>
  <c r="H6174" i="3"/>
  <c r="G6174" i="3"/>
  <c r="M6173" i="3"/>
  <c r="L6173" i="3"/>
  <c r="J6173" i="3"/>
  <c r="K6173" i="3" s="1"/>
  <c r="H6173" i="3"/>
  <c r="G6173" i="3"/>
  <c r="M6172" i="3"/>
  <c r="L6172" i="3"/>
  <c r="J6172" i="3"/>
  <c r="K6172" i="3" s="1"/>
  <c r="H6172" i="3"/>
  <c r="G6172" i="3"/>
  <c r="M6171" i="3"/>
  <c r="L6171" i="3"/>
  <c r="J6171" i="3"/>
  <c r="K6171" i="3" s="1"/>
  <c r="H6171" i="3"/>
  <c r="I6171" i="3" s="1"/>
  <c r="G6171" i="3"/>
  <c r="M6170" i="3"/>
  <c r="L6170" i="3"/>
  <c r="K6170" i="3"/>
  <c r="J6170" i="3"/>
  <c r="H6170" i="3"/>
  <c r="G6170" i="3"/>
  <c r="M6361" i="3"/>
  <c r="L6361" i="3"/>
  <c r="J6361" i="3"/>
  <c r="K6361" i="3" s="1"/>
  <c r="H6361" i="3"/>
  <c r="I6361" i="3" s="1"/>
  <c r="G6361" i="3"/>
  <c r="M6360" i="3"/>
  <c r="L6360" i="3"/>
  <c r="K6360" i="3"/>
  <c r="J6360" i="3"/>
  <c r="H6360" i="3"/>
  <c r="G6360" i="3"/>
  <c r="I6360" i="3" s="1"/>
  <c r="M6359" i="3"/>
  <c r="L6359" i="3"/>
  <c r="J6359" i="3"/>
  <c r="K6359" i="3" s="1"/>
  <c r="H6359" i="3"/>
  <c r="G6359" i="3"/>
  <c r="M6358" i="3"/>
  <c r="L6358" i="3"/>
  <c r="J6358" i="3"/>
  <c r="K6358" i="3" s="1"/>
  <c r="H6358" i="3"/>
  <c r="G6358" i="3"/>
  <c r="I6358" i="3" s="1"/>
  <c r="M6357" i="3"/>
  <c r="L6357" i="3"/>
  <c r="J6357" i="3"/>
  <c r="K6357" i="3" s="1"/>
  <c r="H6357" i="3"/>
  <c r="G6357" i="3"/>
  <c r="M6356" i="3"/>
  <c r="L6356" i="3"/>
  <c r="J6356" i="3"/>
  <c r="K6356" i="3" s="1"/>
  <c r="H6356" i="3"/>
  <c r="G6356" i="3"/>
  <c r="M6355" i="3"/>
  <c r="L6355" i="3"/>
  <c r="J6355" i="3"/>
  <c r="K6355" i="3" s="1"/>
  <c r="H6355" i="3"/>
  <c r="G6355" i="3"/>
  <c r="M6354" i="3"/>
  <c r="L6354" i="3"/>
  <c r="J6354" i="3"/>
  <c r="K6354" i="3" s="1"/>
  <c r="H6354" i="3"/>
  <c r="G6354" i="3"/>
  <c r="M6353" i="3"/>
  <c r="L6353" i="3"/>
  <c r="J6353" i="3"/>
  <c r="K6353" i="3" s="1"/>
  <c r="H6353" i="3"/>
  <c r="G6353" i="3"/>
  <c r="M6352" i="3"/>
  <c r="L6352" i="3"/>
  <c r="J6352" i="3"/>
  <c r="K6352" i="3" s="1"/>
  <c r="I6352" i="3"/>
  <c r="H6352" i="3"/>
  <c r="G6352" i="3"/>
  <c r="M6351" i="3"/>
  <c r="L6351" i="3"/>
  <c r="J6351" i="3"/>
  <c r="K6351" i="3" s="1"/>
  <c r="H6351" i="3"/>
  <c r="G6351" i="3"/>
  <c r="I6351" i="3" s="1"/>
  <c r="M6350" i="3"/>
  <c r="L6350" i="3"/>
  <c r="J6350" i="3"/>
  <c r="K6350" i="3" s="1"/>
  <c r="H6350" i="3"/>
  <c r="G6350" i="3"/>
  <c r="M6349" i="3"/>
  <c r="L6349" i="3"/>
  <c r="J6349" i="3"/>
  <c r="K6349" i="3" s="1"/>
  <c r="H6349" i="3"/>
  <c r="I6349" i="3" s="1"/>
  <c r="G6349" i="3"/>
  <c r="M6348" i="3"/>
  <c r="L6348" i="3"/>
  <c r="K6348" i="3"/>
  <c r="J6348" i="3"/>
  <c r="H6348" i="3"/>
  <c r="G6348" i="3"/>
  <c r="I6348" i="3" s="1"/>
  <c r="M6347" i="3"/>
  <c r="L6347" i="3"/>
  <c r="J6347" i="3"/>
  <c r="K6347" i="3" s="1"/>
  <c r="H6347" i="3"/>
  <c r="G6347" i="3"/>
  <c r="M6346" i="3"/>
  <c r="L6346" i="3"/>
  <c r="K6346" i="3"/>
  <c r="J6346" i="3"/>
  <c r="H6346" i="3"/>
  <c r="G6346" i="3"/>
  <c r="M6345" i="3"/>
  <c r="L6345" i="3"/>
  <c r="J6345" i="3"/>
  <c r="K6345" i="3" s="1"/>
  <c r="H6345" i="3"/>
  <c r="I6345" i="3" s="1"/>
  <c r="G6345" i="3"/>
  <c r="M6344" i="3"/>
  <c r="L6344" i="3"/>
  <c r="K6344" i="3"/>
  <c r="J6344" i="3"/>
  <c r="H6344" i="3"/>
  <c r="G6344" i="3"/>
  <c r="M6343" i="3"/>
  <c r="L6343" i="3"/>
  <c r="J6343" i="3"/>
  <c r="K6343" i="3" s="1"/>
  <c r="H6343" i="3"/>
  <c r="G6343" i="3"/>
  <c r="M6342" i="3"/>
  <c r="L6342" i="3"/>
  <c r="J6342" i="3"/>
  <c r="K6342" i="3" s="1"/>
  <c r="H6342" i="3"/>
  <c r="G6342" i="3"/>
  <c r="M6341" i="3"/>
  <c r="L6341" i="3"/>
  <c r="J6341" i="3"/>
  <c r="K6341" i="3" s="1"/>
  <c r="H6341" i="3"/>
  <c r="G6341" i="3"/>
  <c r="M6340" i="3"/>
  <c r="L6340" i="3"/>
  <c r="J6340" i="3"/>
  <c r="K6340" i="3" s="1"/>
  <c r="H6340" i="3"/>
  <c r="G6340" i="3"/>
  <c r="I6340" i="3" s="1"/>
  <c r="M6339" i="3"/>
  <c r="L6339" i="3"/>
  <c r="J6339" i="3"/>
  <c r="K6339" i="3" s="1"/>
  <c r="H6339" i="3"/>
  <c r="G6339" i="3"/>
  <c r="M6338" i="3"/>
  <c r="L6338" i="3"/>
  <c r="J6338" i="3"/>
  <c r="K6338" i="3" s="1"/>
  <c r="H6338" i="3"/>
  <c r="G6338" i="3"/>
  <c r="M6337" i="3"/>
  <c r="L6337" i="3"/>
  <c r="J6337" i="3"/>
  <c r="K6337" i="3" s="1"/>
  <c r="H6337" i="3"/>
  <c r="G6337" i="3"/>
  <c r="M6336" i="3"/>
  <c r="L6336" i="3"/>
  <c r="J6336" i="3"/>
  <c r="K6336" i="3" s="1"/>
  <c r="H6336" i="3"/>
  <c r="G6336" i="3"/>
  <c r="I6336" i="3" s="1"/>
  <c r="M6335" i="3"/>
  <c r="L6335" i="3"/>
  <c r="J6335" i="3"/>
  <c r="K6335" i="3" s="1"/>
  <c r="H6335" i="3"/>
  <c r="G6335" i="3"/>
  <c r="M6334" i="3"/>
  <c r="L6334" i="3"/>
  <c r="J6334" i="3"/>
  <c r="K6334" i="3" s="1"/>
  <c r="H6334" i="3"/>
  <c r="G6334" i="3"/>
  <c r="M6333" i="3"/>
  <c r="L6333" i="3"/>
  <c r="J6333" i="3"/>
  <c r="K6333" i="3" s="1"/>
  <c r="H6333" i="3"/>
  <c r="G6333" i="3"/>
  <c r="M6332" i="3"/>
  <c r="L6332" i="3"/>
  <c r="J6332" i="3"/>
  <c r="K6332" i="3" s="1"/>
  <c r="H6332" i="3"/>
  <c r="I6332" i="3" s="1"/>
  <c r="G6332" i="3"/>
  <c r="M6331" i="3"/>
  <c r="L6331" i="3"/>
  <c r="J6331" i="3"/>
  <c r="K6331" i="3" s="1"/>
  <c r="H6331" i="3"/>
  <c r="G6331" i="3"/>
  <c r="M6330" i="3"/>
  <c r="L6330" i="3"/>
  <c r="J6330" i="3"/>
  <c r="K6330" i="3" s="1"/>
  <c r="H6330" i="3"/>
  <c r="G6330" i="3"/>
  <c r="M6329" i="3"/>
  <c r="L6329" i="3"/>
  <c r="J6329" i="3"/>
  <c r="K6329" i="3" s="1"/>
  <c r="H6329" i="3"/>
  <c r="I6329" i="3" s="1"/>
  <c r="G6329" i="3"/>
  <c r="M6328" i="3"/>
  <c r="L6328" i="3"/>
  <c r="K6328" i="3"/>
  <c r="J6328" i="3"/>
  <c r="H6328" i="3"/>
  <c r="G6328" i="3"/>
  <c r="I6328" i="3" s="1"/>
  <c r="M6327" i="3"/>
  <c r="L6327" i="3"/>
  <c r="J6327" i="3"/>
  <c r="K6327" i="3" s="1"/>
  <c r="H6327" i="3"/>
  <c r="G6327" i="3"/>
  <c r="M6326" i="3"/>
  <c r="L6326" i="3"/>
  <c r="J6326" i="3"/>
  <c r="K6326" i="3" s="1"/>
  <c r="H6326" i="3"/>
  <c r="G6326" i="3"/>
  <c r="I6326" i="3" s="1"/>
  <c r="M6325" i="3"/>
  <c r="L6325" i="3"/>
  <c r="J6325" i="3"/>
  <c r="K6325" i="3" s="1"/>
  <c r="H6325" i="3"/>
  <c r="G6325" i="3"/>
  <c r="M6324" i="3"/>
  <c r="L6324" i="3"/>
  <c r="J6324" i="3"/>
  <c r="K6324" i="3" s="1"/>
  <c r="H6324" i="3"/>
  <c r="G6324" i="3"/>
  <c r="I6324" i="3" s="1"/>
  <c r="M6323" i="3"/>
  <c r="L6323" i="3"/>
  <c r="J6323" i="3"/>
  <c r="K6323" i="3" s="1"/>
  <c r="H6323" i="3"/>
  <c r="G6323" i="3"/>
  <c r="M6322" i="3"/>
  <c r="L6322" i="3"/>
  <c r="J6322" i="3"/>
  <c r="K6322" i="3" s="1"/>
  <c r="H6322" i="3"/>
  <c r="G6322" i="3"/>
  <c r="M6321" i="3"/>
  <c r="L6321" i="3"/>
  <c r="J6321" i="3"/>
  <c r="K6321" i="3" s="1"/>
  <c r="H6321" i="3"/>
  <c r="G6321" i="3"/>
  <c r="M6320" i="3"/>
  <c r="L6320" i="3"/>
  <c r="J6320" i="3"/>
  <c r="K6320" i="3" s="1"/>
  <c r="H6320" i="3"/>
  <c r="I6320" i="3" s="1"/>
  <c r="G6320" i="3"/>
  <c r="M6319" i="3"/>
  <c r="L6319" i="3"/>
  <c r="J6319" i="3"/>
  <c r="K6319" i="3" s="1"/>
  <c r="H6319" i="3"/>
  <c r="G6319" i="3"/>
  <c r="I6319" i="3" s="1"/>
  <c r="M6318" i="3"/>
  <c r="L6318" i="3"/>
  <c r="J6318" i="3"/>
  <c r="K6318" i="3" s="1"/>
  <c r="H6318" i="3"/>
  <c r="G6318" i="3"/>
  <c r="M6317" i="3"/>
  <c r="L6317" i="3"/>
  <c r="J6317" i="3"/>
  <c r="K6317" i="3" s="1"/>
  <c r="H6317" i="3"/>
  <c r="G6317" i="3"/>
  <c r="M6316" i="3"/>
  <c r="L6316" i="3"/>
  <c r="J6316" i="3"/>
  <c r="K6316" i="3" s="1"/>
  <c r="H6316" i="3"/>
  <c r="G6316" i="3"/>
  <c r="I6316" i="3" s="1"/>
  <c r="M6315" i="3"/>
  <c r="L6315" i="3"/>
  <c r="J6315" i="3"/>
  <c r="K6315" i="3" s="1"/>
  <c r="H6315" i="3"/>
  <c r="G6315" i="3"/>
  <c r="M6314" i="3"/>
  <c r="L6314" i="3"/>
  <c r="J6314" i="3"/>
  <c r="K6314" i="3" s="1"/>
  <c r="H6314" i="3"/>
  <c r="G6314" i="3"/>
  <c r="M6313" i="3"/>
  <c r="L6313" i="3"/>
  <c r="J6313" i="3"/>
  <c r="K6313" i="3" s="1"/>
  <c r="H6313" i="3"/>
  <c r="I6313" i="3" s="1"/>
  <c r="G6313" i="3"/>
  <c r="M6312" i="3"/>
  <c r="L6312" i="3"/>
  <c r="K6312" i="3"/>
  <c r="J6312" i="3"/>
  <c r="H6312" i="3"/>
  <c r="G6312" i="3"/>
  <c r="M6311" i="3"/>
  <c r="L6311" i="3"/>
  <c r="J6311" i="3"/>
  <c r="K6311" i="3" s="1"/>
  <c r="H6311" i="3"/>
  <c r="G6311" i="3"/>
  <c r="M6310" i="3"/>
  <c r="L6310" i="3"/>
  <c r="J6310" i="3"/>
  <c r="K6310" i="3" s="1"/>
  <c r="H6310" i="3"/>
  <c r="G6310" i="3"/>
  <c r="I6310" i="3" s="1"/>
  <c r="M6309" i="3"/>
  <c r="L6309" i="3"/>
  <c r="J6309" i="3"/>
  <c r="K6309" i="3" s="1"/>
  <c r="H6309" i="3"/>
  <c r="G6309" i="3"/>
  <c r="M6308" i="3"/>
  <c r="L6308" i="3"/>
  <c r="J6308" i="3"/>
  <c r="K6308" i="3" s="1"/>
  <c r="H6308" i="3"/>
  <c r="G6308" i="3"/>
  <c r="I6308" i="3" s="1"/>
  <c r="M6307" i="3"/>
  <c r="L6307" i="3"/>
  <c r="J6307" i="3"/>
  <c r="K6307" i="3" s="1"/>
  <c r="H6307" i="3"/>
  <c r="G6307" i="3"/>
  <c r="M6306" i="3"/>
  <c r="L6306" i="3"/>
  <c r="J6306" i="3"/>
  <c r="K6306" i="3" s="1"/>
  <c r="H6306" i="3"/>
  <c r="G6306" i="3"/>
  <c r="M6305" i="3"/>
  <c r="L6305" i="3"/>
  <c r="J6305" i="3"/>
  <c r="K6305" i="3" s="1"/>
  <c r="H6305" i="3"/>
  <c r="G6305" i="3"/>
  <c r="M6304" i="3"/>
  <c r="L6304" i="3"/>
  <c r="J6304" i="3"/>
  <c r="K6304" i="3" s="1"/>
  <c r="H6304" i="3"/>
  <c r="G6304" i="3"/>
  <c r="M6303" i="3"/>
  <c r="L6303" i="3"/>
  <c r="J6303" i="3"/>
  <c r="K6303" i="3" s="1"/>
  <c r="H6303" i="3"/>
  <c r="G6303" i="3"/>
  <c r="M6302" i="3"/>
  <c r="L6302" i="3"/>
  <c r="J6302" i="3"/>
  <c r="K6302" i="3" s="1"/>
  <c r="H6302" i="3"/>
  <c r="G6302" i="3"/>
  <c r="I6302" i="3" s="1"/>
  <c r="M6301" i="3"/>
  <c r="L6301" i="3"/>
  <c r="J6301" i="3"/>
  <c r="K6301" i="3" s="1"/>
  <c r="H6301" i="3"/>
  <c r="I6301" i="3" s="1"/>
  <c r="G6301" i="3"/>
  <c r="M6300" i="3"/>
  <c r="L6300" i="3"/>
  <c r="K6300" i="3"/>
  <c r="J6300" i="3"/>
  <c r="H6300" i="3"/>
  <c r="G6300" i="3"/>
  <c r="M6299" i="3"/>
  <c r="L6299" i="3"/>
  <c r="J6299" i="3"/>
  <c r="K6299" i="3" s="1"/>
  <c r="H6299" i="3"/>
  <c r="G6299" i="3"/>
  <c r="M6298" i="3"/>
  <c r="L6298" i="3"/>
  <c r="J6298" i="3"/>
  <c r="K6298" i="3" s="1"/>
  <c r="H6298" i="3"/>
  <c r="G6298" i="3"/>
  <c r="I6298" i="3" s="1"/>
  <c r="M6297" i="3"/>
  <c r="L6297" i="3"/>
  <c r="J6297" i="3"/>
  <c r="K6297" i="3" s="1"/>
  <c r="H6297" i="3"/>
  <c r="G6297" i="3"/>
  <c r="M6296" i="3"/>
  <c r="L6296" i="3"/>
  <c r="J6296" i="3"/>
  <c r="K6296" i="3" s="1"/>
  <c r="H6296" i="3"/>
  <c r="G6296" i="3"/>
  <c r="M6295" i="3"/>
  <c r="L6295" i="3"/>
  <c r="J6295" i="3"/>
  <c r="K6295" i="3" s="1"/>
  <c r="H6295" i="3"/>
  <c r="G6295" i="3"/>
  <c r="M6294" i="3"/>
  <c r="L6294" i="3"/>
  <c r="J6294" i="3"/>
  <c r="K6294" i="3" s="1"/>
  <c r="H6294" i="3"/>
  <c r="G6294" i="3"/>
  <c r="I6294" i="3" s="1"/>
  <c r="M6293" i="3"/>
  <c r="L6293" i="3"/>
  <c r="J6293" i="3"/>
  <c r="K6293" i="3" s="1"/>
  <c r="H6293" i="3"/>
  <c r="I6293" i="3" s="1"/>
  <c r="G6293" i="3"/>
  <c r="M6292" i="3"/>
  <c r="L6292" i="3"/>
  <c r="K6292" i="3"/>
  <c r="J6292" i="3"/>
  <c r="H6292" i="3"/>
  <c r="G6292" i="3"/>
  <c r="M6291" i="3"/>
  <c r="L6291" i="3"/>
  <c r="J6291" i="3"/>
  <c r="K6291" i="3" s="1"/>
  <c r="H6291" i="3"/>
  <c r="G6291" i="3"/>
  <c r="M6290" i="3"/>
  <c r="L6290" i="3"/>
  <c r="J6290" i="3"/>
  <c r="K6290" i="3" s="1"/>
  <c r="H6290" i="3"/>
  <c r="G6290" i="3"/>
  <c r="M6289" i="3"/>
  <c r="L6289" i="3"/>
  <c r="J6289" i="3"/>
  <c r="K6289" i="3" s="1"/>
  <c r="H6289" i="3"/>
  <c r="G6289" i="3"/>
  <c r="M6288" i="3"/>
  <c r="L6288" i="3"/>
  <c r="J6288" i="3"/>
  <c r="K6288" i="3" s="1"/>
  <c r="H6288" i="3"/>
  <c r="G6288" i="3"/>
  <c r="I6288" i="3" s="1"/>
  <c r="M6287" i="3"/>
  <c r="L6287" i="3"/>
  <c r="J6287" i="3"/>
  <c r="K6287" i="3" s="1"/>
  <c r="H6287" i="3"/>
  <c r="G6287" i="3"/>
  <c r="I6287" i="3" s="1"/>
  <c r="M6286" i="3"/>
  <c r="L6286" i="3"/>
  <c r="J6286" i="3"/>
  <c r="K6286" i="3" s="1"/>
  <c r="H6286" i="3"/>
  <c r="G6286" i="3"/>
  <c r="M6285" i="3"/>
  <c r="L6285" i="3"/>
  <c r="J6285" i="3"/>
  <c r="K6285" i="3" s="1"/>
  <c r="H6285" i="3"/>
  <c r="G6285" i="3"/>
  <c r="M6284" i="3"/>
  <c r="L6284" i="3"/>
  <c r="J6284" i="3"/>
  <c r="K6284" i="3" s="1"/>
  <c r="H6284" i="3"/>
  <c r="G6284" i="3"/>
  <c r="I6284" i="3" s="1"/>
  <c r="M6283" i="3"/>
  <c r="L6283" i="3"/>
  <c r="J6283" i="3"/>
  <c r="K6283" i="3" s="1"/>
  <c r="H6283" i="3"/>
  <c r="G6283" i="3"/>
  <c r="M6282" i="3"/>
  <c r="L6282" i="3"/>
  <c r="K6282" i="3"/>
  <c r="J6282" i="3"/>
  <c r="H6282" i="3"/>
  <c r="G6282" i="3"/>
  <c r="M6281" i="3"/>
  <c r="L6281" i="3"/>
  <c r="J6281" i="3"/>
  <c r="K6281" i="3" s="1"/>
  <c r="H6281" i="3"/>
  <c r="G6281" i="3"/>
  <c r="M6280" i="3"/>
  <c r="L6280" i="3"/>
  <c r="J6280" i="3"/>
  <c r="K6280" i="3" s="1"/>
  <c r="H6280" i="3"/>
  <c r="G6280" i="3"/>
  <c r="M6279" i="3"/>
  <c r="L6279" i="3"/>
  <c r="J6279" i="3"/>
  <c r="K6279" i="3" s="1"/>
  <c r="H6279" i="3"/>
  <c r="G6279" i="3"/>
  <c r="I6279" i="3" s="1"/>
  <c r="M6278" i="3"/>
  <c r="L6278" i="3"/>
  <c r="J6278" i="3"/>
  <c r="K6278" i="3" s="1"/>
  <c r="H6278" i="3"/>
  <c r="G6278" i="3"/>
  <c r="M6277" i="3"/>
  <c r="L6277" i="3"/>
  <c r="J6277" i="3"/>
  <c r="K6277" i="3" s="1"/>
  <c r="H6277" i="3"/>
  <c r="G6277" i="3"/>
  <c r="M6276" i="3"/>
  <c r="L6276" i="3"/>
  <c r="J6276" i="3"/>
  <c r="K6276" i="3" s="1"/>
  <c r="I6276" i="3"/>
  <c r="H6276" i="3"/>
  <c r="G6276" i="3"/>
  <c r="M6275" i="3"/>
  <c r="L6275" i="3"/>
  <c r="J6275" i="3"/>
  <c r="K6275" i="3" s="1"/>
  <c r="H6275" i="3"/>
  <c r="G6275" i="3"/>
  <c r="M6274" i="3"/>
  <c r="L6274" i="3"/>
  <c r="J6274" i="3"/>
  <c r="K6274" i="3" s="1"/>
  <c r="H6274" i="3"/>
  <c r="G6274" i="3"/>
  <c r="M6273" i="3"/>
  <c r="L6273" i="3"/>
  <c r="J6273" i="3"/>
  <c r="K6273" i="3" s="1"/>
  <c r="H6273" i="3"/>
  <c r="G6273" i="3"/>
  <c r="M6272" i="3"/>
  <c r="L6272" i="3"/>
  <c r="J6272" i="3"/>
  <c r="K6272" i="3" s="1"/>
  <c r="H6272" i="3"/>
  <c r="G6272" i="3"/>
  <c r="M6271" i="3"/>
  <c r="L6271" i="3"/>
  <c r="J6271" i="3"/>
  <c r="K6271" i="3" s="1"/>
  <c r="H6271" i="3"/>
  <c r="G6271" i="3"/>
  <c r="M6270" i="3"/>
  <c r="L6270" i="3"/>
  <c r="J6270" i="3"/>
  <c r="K6270" i="3" s="1"/>
  <c r="H6270" i="3"/>
  <c r="G6270" i="3"/>
  <c r="M6269" i="3"/>
  <c r="L6269" i="3"/>
  <c r="J6269" i="3"/>
  <c r="K6269" i="3" s="1"/>
  <c r="H6269" i="3"/>
  <c r="I6269" i="3" s="1"/>
  <c r="G6269" i="3"/>
  <c r="M6268" i="3"/>
  <c r="L6268" i="3"/>
  <c r="K6268" i="3"/>
  <c r="J6268" i="3"/>
  <c r="H6268" i="3"/>
  <c r="I6268" i="3" s="1"/>
  <c r="G6268" i="3"/>
  <c r="M6267" i="3"/>
  <c r="L6267" i="3"/>
  <c r="J6267" i="3"/>
  <c r="K6267" i="3" s="1"/>
  <c r="H6267" i="3"/>
  <c r="G6267" i="3"/>
  <c r="M6266" i="3"/>
  <c r="L6266" i="3"/>
  <c r="J6266" i="3"/>
  <c r="K6266" i="3" s="1"/>
  <c r="H6266" i="3"/>
  <c r="G6266" i="3"/>
  <c r="I6266" i="3" s="1"/>
  <c r="M6457" i="3"/>
  <c r="L6457" i="3"/>
  <c r="J6457" i="3"/>
  <c r="K6457" i="3" s="1"/>
  <c r="H6457" i="3"/>
  <c r="G6457" i="3"/>
  <c r="M6456" i="3"/>
  <c r="L6456" i="3"/>
  <c r="J6456" i="3"/>
  <c r="K6456" i="3" s="1"/>
  <c r="H6456" i="3"/>
  <c r="G6456" i="3"/>
  <c r="M6455" i="3"/>
  <c r="L6455" i="3"/>
  <c r="J6455" i="3"/>
  <c r="K6455" i="3" s="1"/>
  <c r="H6455" i="3"/>
  <c r="G6455" i="3"/>
  <c r="M6454" i="3"/>
  <c r="L6454" i="3"/>
  <c r="J6454" i="3"/>
  <c r="K6454" i="3" s="1"/>
  <c r="H6454" i="3"/>
  <c r="G6454" i="3"/>
  <c r="I6454" i="3" s="1"/>
  <c r="M6453" i="3"/>
  <c r="L6453" i="3"/>
  <c r="J6453" i="3"/>
  <c r="K6453" i="3" s="1"/>
  <c r="H6453" i="3"/>
  <c r="G6453" i="3"/>
  <c r="M6452" i="3"/>
  <c r="L6452" i="3"/>
  <c r="J6452" i="3"/>
  <c r="K6452" i="3" s="1"/>
  <c r="H6452" i="3"/>
  <c r="G6452" i="3"/>
  <c r="I6452" i="3" s="1"/>
  <c r="M6451" i="3"/>
  <c r="L6451" i="3"/>
  <c r="J6451" i="3"/>
  <c r="K6451" i="3" s="1"/>
  <c r="H6451" i="3"/>
  <c r="G6451" i="3"/>
  <c r="M6450" i="3"/>
  <c r="L6450" i="3"/>
  <c r="J6450" i="3"/>
  <c r="K6450" i="3" s="1"/>
  <c r="H6450" i="3"/>
  <c r="G6450" i="3"/>
  <c r="M6449" i="3"/>
  <c r="L6449" i="3"/>
  <c r="J6449" i="3"/>
  <c r="K6449" i="3" s="1"/>
  <c r="H6449" i="3"/>
  <c r="G6449" i="3"/>
  <c r="M6448" i="3"/>
  <c r="L6448" i="3"/>
  <c r="J6448" i="3"/>
  <c r="K6448" i="3" s="1"/>
  <c r="H6448" i="3"/>
  <c r="G6448" i="3"/>
  <c r="M6447" i="3"/>
  <c r="L6447" i="3"/>
  <c r="K6447" i="3"/>
  <c r="J6447" i="3"/>
  <c r="H6447" i="3"/>
  <c r="G6447" i="3"/>
  <c r="M6446" i="3"/>
  <c r="L6446" i="3"/>
  <c r="K6446" i="3"/>
  <c r="J6446" i="3"/>
  <c r="H6446" i="3"/>
  <c r="G6446" i="3"/>
  <c r="M6445" i="3"/>
  <c r="L6445" i="3"/>
  <c r="J6445" i="3"/>
  <c r="K6445" i="3" s="1"/>
  <c r="H6445" i="3"/>
  <c r="G6445" i="3"/>
  <c r="M6444" i="3"/>
  <c r="L6444" i="3"/>
  <c r="J6444" i="3"/>
  <c r="K6444" i="3" s="1"/>
  <c r="H6444" i="3"/>
  <c r="G6444" i="3"/>
  <c r="M6443" i="3"/>
  <c r="L6443" i="3"/>
  <c r="J6443" i="3"/>
  <c r="K6443" i="3" s="1"/>
  <c r="H6443" i="3"/>
  <c r="G6443" i="3"/>
  <c r="M6442" i="3"/>
  <c r="L6442" i="3"/>
  <c r="J6442" i="3"/>
  <c r="K6442" i="3" s="1"/>
  <c r="H6442" i="3"/>
  <c r="G6442" i="3"/>
  <c r="I6442" i="3" s="1"/>
  <c r="M6441" i="3"/>
  <c r="L6441" i="3"/>
  <c r="J6441" i="3"/>
  <c r="K6441" i="3" s="1"/>
  <c r="I6441" i="3"/>
  <c r="H6441" i="3"/>
  <c r="G6441" i="3"/>
  <c r="M6440" i="3"/>
  <c r="L6440" i="3"/>
  <c r="J6440" i="3"/>
  <c r="K6440" i="3" s="1"/>
  <c r="H6440" i="3"/>
  <c r="G6440" i="3"/>
  <c r="I6440" i="3" s="1"/>
  <c r="M6439" i="3"/>
  <c r="L6439" i="3"/>
  <c r="J6439" i="3"/>
  <c r="K6439" i="3" s="1"/>
  <c r="H6439" i="3"/>
  <c r="G6439" i="3"/>
  <c r="M6438" i="3"/>
  <c r="L6438" i="3"/>
  <c r="J6438" i="3"/>
  <c r="K6438" i="3" s="1"/>
  <c r="H6438" i="3"/>
  <c r="G6438" i="3"/>
  <c r="I6438" i="3" s="1"/>
  <c r="M6437" i="3"/>
  <c r="L6437" i="3"/>
  <c r="J6437" i="3"/>
  <c r="K6437" i="3" s="1"/>
  <c r="H6437" i="3"/>
  <c r="I6437" i="3" s="1"/>
  <c r="G6437" i="3"/>
  <c r="M6436" i="3"/>
  <c r="L6436" i="3"/>
  <c r="K6436" i="3"/>
  <c r="J6436" i="3"/>
  <c r="H6436" i="3"/>
  <c r="G6436" i="3"/>
  <c r="M6435" i="3"/>
  <c r="L6435" i="3"/>
  <c r="J6435" i="3"/>
  <c r="K6435" i="3" s="1"/>
  <c r="H6435" i="3"/>
  <c r="G6435" i="3"/>
  <c r="I6435" i="3" s="1"/>
  <c r="M6434" i="3"/>
  <c r="L6434" i="3"/>
  <c r="J6434" i="3"/>
  <c r="K6434" i="3" s="1"/>
  <c r="H6434" i="3"/>
  <c r="G6434" i="3"/>
  <c r="M6433" i="3"/>
  <c r="L6433" i="3"/>
  <c r="J6433" i="3"/>
  <c r="K6433" i="3" s="1"/>
  <c r="H6433" i="3"/>
  <c r="I6433" i="3" s="1"/>
  <c r="G6433" i="3"/>
  <c r="M6432" i="3"/>
  <c r="L6432" i="3"/>
  <c r="J6432" i="3"/>
  <c r="K6432" i="3" s="1"/>
  <c r="H6432" i="3"/>
  <c r="G6432" i="3"/>
  <c r="I6432" i="3" s="1"/>
  <c r="M6431" i="3"/>
  <c r="L6431" i="3"/>
  <c r="J6431" i="3"/>
  <c r="K6431" i="3" s="1"/>
  <c r="H6431" i="3"/>
  <c r="G6431" i="3"/>
  <c r="M6430" i="3"/>
  <c r="L6430" i="3"/>
  <c r="J6430" i="3"/>
  <c r="K6430" i="3" s="1"/>
  <c r="H6430" i="3"/>
  <c r="G6430" i="3"/>
  <c r="I6430" i="3" s="1"/>
  <c r="M6429" i="3"/>
  <c r="L6429" i="3"/>
  <c r="J6429" i="3"/>
  <c r="K6429" i="3" s="1"/>
  <c r="H6429" i="3"/>
  <c r="G6429" i="3"/>
  <c r="M6428" i="3"/>
  <c r="L6428" i="3"/>
  <c r="J6428" i="3"/>
  <c r="K6428" i="3" s="1"/>
  <c r="H6428" i="3"/>
  <c r="G6428" i="3"/>
  <c r="I6428" i="3" s="1"/>
  <c r="M6427" i="3"/>
  <c r="L6427" i="3"/>
  <c r="J6427" i="3"/>
  <c r="K6427" i="3" s="1"/>
  <c r="H6427" i="3"/>
  <c r="G6427" i="3"/>
  <c r="I6427" i="3" s="1"/>
  <c r="M6426" i="3"/>
  <c r="L6426" i="3"/>
  <c r="J6426" i="3"/>
  <c r="K6426" i="3" s="1"/>
  <c r="H6426" i="3"/>
  <c r="G6426" i="3"/>
  <c r="M6425" i="3"/>
  <c r="L6425" i="3"/>
  <c r="J6425" i="3"/>
  <c r="K6425" i="3" s="1"/>
  <c r="H6425" i="3"/>
  <c r="G6425" i="3"/>
  <c r="I6425" i="3" s="1"/>
  <c r="M6424" i="3"/>
  <c r="L6424" i="3"/>
  <c r="J6424" i="3"/>
  <c r="K6424" i="3" s="1"/>
  <c r="H6424" i="3"/>
  <c r="I6424" i="3" s="1"/>
  <c r="G6424" i="3"/>
  <c r="M6423" i="3"/>
  <c r="L6423" i="3"/>
  <c r="K6423" i="3"/>
  <c r="J6423" i="3"/>
  <c r="H6423" i="3"/>
  <c r="G6423" i="3"/>
  <c r="M6422" i="3"/>
  <c r="L6422" i="3"/>
  <c r="J6422" i="3"/>
  <c r="K6422" i="3" s="1"/>
  <c r="H6422" i="3"/>
  <c r="G6422" i="3"/>
  <c r="I6422" i="3" s="1"/>
  <c r="M6421" i="3"/>
  <c r="L6421" i="3"/>
  <c r="J6421" i="3"/>
  <c r="K6421" i="3" s="1"/>
  <c r="H6421" i="3"/>
  <c r="G6421" i="3"/>
  <c r="I6421" i="3" s="1"/>
  <c r="M6420" i="3"/>
  <c r="L6420" i="3"/>
  <c r="J6420" i="3"/>
  <c r="K6420" i="3" s="1"/>
  <c r="H6420" i="3"/>
  <c r="G6420" i="3"/>
  <c r="M6419" i="3"/>
  <c r="L6419" i="3"/>
  <c r="J6419" i="3"/>
  <c r="K6419" i="3" s="1"/>
  <c r="H6419" i="3"/>
  <c r="G6419" i="3"/>
  <c r="I6419" i="3" s="1"/>
  <c r="M6418" i="3"/>
  <c r="L6418" i="3"/>
  <c r="J6418" i="3"/>
  <c r="K6418" i="3" s="1"/>
  <c r="H6418" i="3"/>
  <c r="G6418" i="3"/>
  <c r="M6417" i="3"/>
  <c r="L6417" i="3"/>
  <c r="J6417" i="3"/>
  <c r="K6417" i="3" s="1"/>
  <c r="H6417" i="3"/>
  <c r="G6417" i="3"/>
  <c r="I6417" i="3" s="1"/>
  <c r="M6416" i="3"/>
  <c r="L6416" i="3"/>
  <c r="J6416" i="3"/>
  <c r="K6416" i="3" s="1"/>
  <c r="H6416" i="3"/>
  <c r="G6416" i="3"/>
  <c r="I6416" i="3" s="1"/>
  <c r="M6415" i="3"/>
  <c r="L6415" i="3"/>
  <c r="J6415" i="3"/>
  <c r="K6415" i="3" s="1"/>
  <c r="H6415" i="3"/>
  <c r="G6415" i="3"/>
  <c r="M6414" i="3"/>
  <c r="L6414" i="3"/>
  <c r="J6414" i="3"/>
  <c r="K6414" i="3" s="1"/>
  <c r="H6414" i="3"/>
  <c r="G6414" i="3"/>
  <c r="I6414" i="3" s="1"/>
  <c r="M6413" i="3"/>
  <c r="L6413" i="3"/>
  <c r="J6413" i="3"/>
  <c r="K6413" i="3" s="1"/>
  <c r="H6413" i="3"/>
  <c r="G6413" i="3"/>
  <c r="M6412" i="3"/>
  <c r="L6412" i="3"/>
  <c r="J6412" i="3"/>
  <c r="K6412" i="3" s="1"/>
  <c r="H6412" i="3"/>
  <c r="G6412" i="3"/>
  <c r="I6412" i="3" s="1"/>
  <c r="M6411" i="3"/>
  <c r="L6411" i="3"/>
  <c r="J6411" i="3"/>
  <c r="K6411" i="3" s="1"/>
  <c r="H6411" i="3"/>
  <c r="G6411" i="3"/>
  <c r="I6411" i="3" s="1"/>
  <c r="M6410" i="3"/>
  <c r="L6410" i="3"/>
  <c r="J6410" i="3"/>
  <c r="K6410" i="3" s="1"/>
  <c r="H6410" i="3"/>
  <c r="G6410" i="3"/>
  <c r="M6409" i="3"/>
  <c r="L6409" i="3"/>
  <c r="J6409" i="3"/>
  <c r="K6409" i="3" s="1"/>
  <c r="H6409" i="3"/>
  <c r="G6409" i="3"/>
  <c r="I6409" i="3" s="1"/>
  <c r="M6408" i="3"/>
  <c r="L6408" i="3"/>
  <c r="J6408" i="3"/>
  <c r="K6408" i="3" s="1"/>
  <c r="H6408" i="3"/>
  <c r="I6408" i="3" s="1"/>
  <c r="G6408" i="3"/>
  <c r="M6407" i="3"/>
  <c r="L6407" i="3"/>
  <c r="K6407" i="3"/>
  <c r="J6407" i="3"/>
  <c r="H6407" i="3"/>
  <c r="G6407" i="3"/>
  <c r="M6406" i="3"/>
  <c r="L6406" i="3"/>
  <c r="J6406" i="3"/>
  <c r="K6406" i="3" s="1"/>
  <c r="H6406" i="3"/>
  <c r="G6406" i="3"/>
  <c r="I6406" i="3" s="1"/>
  <c r="M6405" i="3"/>
  <c r="L6405" i="3"/>
  <c r="J6405" i="3"/>
  <c r="K6405" i="3" s="1"/>
  <c r="H6405" i="3"/>
  <c r="G6405" i="3"/>
  <c r="I6405" i="3" s="1"/>
  <c r="M6404" i="3"/>
  <c r="L6404" i="3"/>
  <c r="J6404" i="3"/>
  <c r="K6404" i="3" s="1"/>
  <c r="H6404" i="3"/>
  <c r="G6404" i="3"/>
  <c r="M6403" i="3"/>
  <c r="L6403" i="3"/>
  <c r="J6403" i="3"/>
  <c r="K6403" i="3" s="1"/>
  <c r="H6403" i="3"/>
  <c r="G6403" i="3"/>
  <c r="M6402" i="3"/>
  <c r="L6402" i="3"/>
  <c r="J6402" i="3"/>
  <c r="K6402" i="3" s="1"/>
  <c r="H6402" i="3"/>
  <c r="G6402" i="3"/>
  <c r="M6401" i="3"/>
  <c r="L6401" i="3"/>
  <c r="J6401" i="3"/>
  <c r="K6401" i="3" s="1"/>
  <c r="H6401" i="3"/>
  <c r="G6401" i="3"/>
  <c r="I6401" i="3" s="1"/>
  <c r="M6400" i="3"/>
  <c r="L6400" i="3"/>
  <c r="J6400" i="3"/>
  <c r="K6400" i="3" s="1"/>
  <c r="H6400" i="3"/>
  <c r="G6400" i="3"/>
  <c r="M6399" i="3"/>
  <c r="L6399" i="3"/>
  <c r="J6399" i="3"/>
  <c r="K6399" i="3" s="1"/>
  <c r="H6399" i="3"/>
  <c r="G6399" i="3"/>
  <c r="M6398" i="3"/>
  <c r="L6398" i="3"/>
  <c r="J6398" i="3"/>
  <c r="K6398" i="3" s="1"/>
  <c r="H6398" i="3"/>
  <c r="G6398" i="3"/>
  <c r="I6398" i="3" s="1"/>
  <c r="M6397" i="3"/>
  <c r="L6397" i="3"/>
  <c r="J6397" i="3"/>
  <c r="K6397" i="3" s="1"/>
  <c r="H6397" i="3"/>
  <c r="G6397" i="3"/>
  <c r="M6396" i="3"/>
  <c r="L6396" i="3"/>
  <c r="J6396" i="3"/>
  <c r="K6396" i="3" s="1"/>
  <c r="H6396" i="3"/>
  <c r="I6396" i="3" s="1"/>
  <c r="G6396" i="3"/>
  <c r="M6395" i="3"/>
  <c r="L6395" i="3"/>
  <c r="J6395" i="3"/>
  <c r="K6395" i="3" s="1"/>
  <c r="H6395" i="3"/>
  <c r="G6395" i="3"/>
  <c r="I6395" i="3" s="1"/>
  <c r="M6394" i="3"/>
  <c r="L6394" i="3"/>
  <c r="J6394" i="3"/>
  <c r="K6394" i="3" s="1"/>
  <c r="H6394" i="3"/>
  <c r="G6394" i="3"/>
  <c r="M6393" i="3"/>
  <c r="L6393" i="3"/>
  <c r="J6393" i="3"/>
  <c r="K6393" i="3" s="1"/>
  <c r="H6393" i="3"/>
  <c r="G6393" i="3"/>
  <c r="I6393" i="3" s="1"/>
  <c r="M6392" i="3"/>
  <c r="L6392" i="3"/>
  <c r="J6392" i="3"/>
  <c r="K6392" i="3" s="1"/>
  <c r="H6392" i="3"/>
  <c r="I6392" i="3" s="1"/>
  <c r="G6392" i="3"/>
  <c r="M6391" i="3"/>
  <c r="L6391" i="3"/>
  <c r="K6391" i="3"/>
  <c r="J6391" i="3"/>
  <c r="H6391" i="3"/>
  <c r="G6391" i="3"/>
  <c r="M6390" i="3"/>
  <c r="L6390" i="3"/>
  <c r="J6390" i="3"/>
  <c r="K6390" i="3" s="1"/>
  <c r="H6390" i="3"/>
  <c r="G6390" i="3"/>
  <c r="M6389" i="3"/>
  <c r="L6389" i="3"/>
  <c r="J6389" i="3"/>
  <c r="K6389" i="3" s="1"/>
  <c r="H6389" i="3"/>
  <c r="G6389" i="3"/>
  <c r="I6389" i="3" s="1"/>
  <c r="M6388" i="3"/>
  <c r="L6388" i="3"/>
  <c r="J6388" i="3"/>
  <c r="K6388" i="3" s="1"/>
  <c r="H6388" i="3"/>
  <c r="G6388" i="3"/>
  <c r="M6387" i="3"/>
  <c r="L6387" i="3"/>
  <c r="J6387" i="3"/>
  <c r="K6387" i="3" s="1"/>
  <c r="H6387" i="3"/>
  <c r="G6387" i="3"/>
  <c r="M6386" i="3"/>
  <c r="L6386" i="3"/>
  <c r="J6386" i="3"/>
  <c r="K6386" i="3" s="1"/>
  <c r="H6386" i="3"/>
  <c r="G6386" i="3"/>
  <c r="M6385" i="3"/>
  <c r="L6385" i="3"/>
  <c r="J6385" i="3"/>
  <c r="K6385" i="3" s="1"/>
  <c r="H6385" i="3"/>
  <c r="G6385" i="3"/>
  <c r="I6385" i="3" s="1"/>
  <c r="M6384" i="3"/>
  <c r="L6384" i="3"/>
  <c r="J6384" i="3"/>
  <c r="K6384" i="3" s="1"/>
  <c r="H6384" i="3"/>
  <c r="G6384" i="3"/>
  <c r="M6383" i="3"/>
  <c r="L6383" i="3"/>
  <c r="J6383" i="3"/>
  <c r="K6383" i="3" s="1"/>
  <c r="H6383" i="3"/>
  <c r="G6383" i="3"/>
  <c r="M6382" i="3"/>
  <c r="L6382" i="3"/>
  <c r="J6382" i="3"/>
  <c r="K6382" i="3" s="1"/>
  <c r="H6382" i="3"/>
  <c r="G6382" i="3"/>
  <c r="I6382" i="3" s="1"/>
  <c r="M6381" i="3"/>
  <c r="L6381" i="3"/>
  <c r="J6381" i="3"/>
  <c r="K6381" i="3" s="1"/>
  <c r="H6381" i="3"/>
  <c r="G6381" i="3"/>
  <c r="M6380" i="3"/>
  <c r="L6380" i="3"/>
  <c r="J6380" i="3"/>
  <c r="K6380" i="3" s="1"/>
  <c r="H6380" i="3"/>
  <c r="I6380" i="3" s="1"/>
  <c r="G6380" i="3"/>
  <c r="M6379" i="3"/>
  <c r="L6379" i="3"/>
  <c r="J6379" i="3"/>
  <c r="K6379" i="3" s="1"/>
  <c r="H6379" i="3"/>
  <c r="G6379" i="3"/>
  <c r="I6379" i="3" s="1"/>
  <c r="M6378" i="3"/>
  <c r="L6378" i="3"/>
  <c r="J6378" i="3"/>
  <c r="K6378" i="3" s="1"/>
  <c r="H6378" i="3"/>
  <c r="G6378" i="3"/>
  <c r="M6377" i="3"/>
  <c r="L6377" i="3"/>
  <c r="J6377" i="3"/>
  <c r="K6377" i="3" s="1"/>
  <c r="H6377" i="3"/>
  <c r="G6377" i="3"/>
  <c r="M6376" i="3"/>
  <c r="L6376" i="3"/>
  <c r="J6376" i="3"/>
  <c r="K6376" i="3" s="1"/>
  <c r="H6376" i="3"/>
  <c r="I6376" i="3" s="1"/>
  <c r="G6376" i="3"/>
  <c r="M6375" i="3"/>
  <c r="L6375" i="3"/>
  <c r="K6375" i="3"/>
  <c r="J6375" i="3"/>
  <c r="H6375" i="3"/>
  <c r="G6375" i="3"/>
  <c r="M6374" i="3"/>
  <c r="L6374" i="3"/>
  <c r="J6374" i="3"/>
  <c r="K6374" i="3" s="1"/>
  <c r="H6374" i="3"/>
  <c r="G6374" i="3"/>
  <c r="M6373" i="3"/>
  <c r="L6373" i="3"/>
  <c r="J6373" i="3"/>
  <c r="K6373" i="3" s="1"/>
  <c r="H6373" i="3"/>
  <c r="G6373" i="3"/>
  <c r="I6373" i="3" s="1"/>
  <c r="M6372" i="3"/>
  <c r="L6372" i="3"/>
  <c r="J6372" i="3"/>
  <c r="K6372" i="3" s="1"/>
  <c r="H6372" i="3"/>
  <c r="G6372" i="3"/>
  <c r="M6371" i="3"/>
  <c r="L6371" i="3"/>
  <c r="J6371" i="3"/>
  <c r="K6371" i="3" s="1"/>
  <c r="H6371" i="3"/>
  <c r="G6371" i="3"/>
  <c r="M6370" i="3"/>
  <c r="L6370" i="3"/>
  <c r="J6370" i="3"/>
  <c r="K6370" i="3" s="1"/>
  <c r="H6370" i="3"/>
  <c r="G6370" i="3"/>
  <c r="M6369" i="3"/>
  <c r="L6369" i="3"/>
  <c r="J6369" i="3"/>
  <c r="K6369" i="3" s="1"/>
  <c r="H6369" i="3"/>
  <c r="G6369" i="3"/>
  <c r="I6369" i="3" s="1"/>
  <c r="M6368" i="3"/>
  <c r="L6368" i="3"/>
  <c r="J6368" i="3"/>
  <c r="K6368" i="3" s="1"/>
  <c r="H6368" i="3"/>
  <c r="G6368" i="3"/>
  <c r="M6367" i="3"/>
  <c r="L6367" i="3"/>
  <c r="J6367" i="3"/>
  <c r="K6367" i="3" s="1"/>
  <c r="H6367" i="3"/>
  <c r="G6367" i="3"/>
  <c r="M6366" i="3"/>
  <c r="L6366" i="3"/>
  <c r="J6366" i="3"/>
  <c r="K6366" i="3" s="1"/>
  <c r="H6366" i="3"/>
  <c r="G6366" i="3"/>
  <c r="I6366" i="3" s="1"/>
  <c r="M6365" i="3"/>
  <c r="L6365" i="3"/>
  <c r="J6365" i="3"/>
  <c r="K6365" i="3" s="1"/>
  <c r="H6365" i="3"/>
  <c r="G6365" i="3"/>
  <c r="M6364" i="3"/>
  <c r="L6364" i="3"/>
  <c r="J6364" i="3"/>
  <c r="K6364" i="3" s="1"/>
  <c r="I6364" i="3"/>
  <c r="H6364" i="3"/>
  <c r="G6364" i="3"/>
  <c r="M6363" i="3"/>
  <c r="L6363" i="3"/>
  <c r="J6363" i="3"/>
  <c r="K6363" i="3" s="1"/>
  <c r="H6363" i="3"/>
  <c r="G6363" i="3"/>
  <c r="I6363" i="3" s="1"/>
  <c r="M6362" i="3"/>
  <c r="L6362" i="3"/>
  <c r="J6362" i="3"/>
  <c r="K6362" i="3" s="1"/>
  <c r="H6362" i="3"/>
  <c r="G6362" i="3"/>
  <c r="M6553" i="3"/>
  <c r="L6553" i="3"/>
  <c r="J6553" i="3"/>
  <c r="K6553" i="3" s="1"/>
  <c r="H6553" i="3"/>
  <c r="G6553" i="3"/>
  <c r="M6552" i="3"/>
  <c r="L6552" i="3"/>
  <c r="J6552" i="3"/>
  <c r="K6552" i="3" s="1"/>
  <c r="H6552" i="3"/>
  <c r="I6552" i="3" s="1"/>
  <c r="G6552" i="3"/>
  <c r="M6551" i="3"/>
  <c r="L6551" i="3"/>
  <c r="J6551" i="3"/>
  <c r="K6551" i="3" s="1"/>
  <c r="H6551" i="3"/>
  <c r="G6551" i="3"/>
  <c r="M6550" i="3"/>
  <c r="L6550" i="3"/>
  <c r="J6550" i="3"/>
  <c r="K6550" i="3" s="1"/>
  <c r="H6550" i="3"/>
  <c r="G6550" i="3"/>
  <c r="I6550" i="3" s="1"/>
  <c r="M6549" i="3"/>
  <c r="L6549" i="3"/>
  <c r="J6549" i="3"/>
  <c r="K6549" i="3" s="1"/>
  <c r="H6549" i="3"/>
  <c r="G6549" i="3"/>
  <c r="M6548" i="3"/>
  <c r="L6548" i="3"/>
  <c r="K6548" i="3"/>
  <c r="J6548" i="3"/>
  <c r="H6548" i="3"/>
  <c r="G6548" i="3"/>
  <c r="I6548" i="3" s="1"/>
  <c r="M6547" i="3"/>
  <c r="L6547" i="3"/>
  <c r="J6547" i="3"/>
  <c r="K6547" i="3" s="1"/>
  <c r="H6547" i="3"/>
  <c r="G6547" i="3"/>
  <c r="M6546" i="3"/>
  <c r="L6546" i="3"/>
  <c r="J6546" i="3"/>
  <c r="K6546" i="3" s="1"/>
  <c r="H6546" i="3"/>
  <c r="G6546" i="3"/>
  <c r="M6545" i="3"/>
  <c r="L6545" i="3"/>
  <c r="J6545" i="3"/>
  <c r="K6545" i="3" s="1"/>
  <c r="H6545" i="3"/>
  <c r="G6545" i="3"/>
  <c r="I6545" i="3" s="1"/>
  <c r="M6544" i="3"/>
  <c r="L6544" i="3"/>
  <c r="J6544" i="3"/>
  <c r="K6544" i="3" s="1"/>
  <c r="H6544" i="3"/>
  <c r="G6544" i="3"/>
  <c r="I6544" i="3" s="1"/>
  <c r="M6543" i="3"/>
  <c r="L6543" i="3"/>
  <c r="J6543" i="3"/>
  <c r="K6543" i="3" s="1"/>
  <c r="H6543" i="3"/>
  <c r="G6543" i="3"/>
  <c r="M6542" i="3"/>
  <c r="L6542" i="3"/>
  <c r="J6542" i="3"/>
  <c r="K6542" i="3" s="1"/>
  <c r="H6542" i="3"/>
  <c r="G6542" i="3"/>
  <c r="M6541" i="3"/>
  <c r="L6541" i="3"/>
  <c r="J6541" i="3"/>
  <c r="K6541" i="3" s="1"/>
  <c r="H6541" i="3"/>
  <c r="G6541" i="3"/>
  <c r="I6541" i="3" s="1"/>
  <c r="M6540" i="3"/>
  <c r="L6540" i="3"/>
  <c r="J6540" i="3"/>
  <c r="K6540" i="3" s="1"/>
  <c r="H6540" i="3"/>
  <c r="G6540" i="3"/>
  <c r="M6539" i="3"/>
  <c r="L6539" i="3"/>
  <c r="J6539" i="3"/>
  <c r="K6539" i="3" s="1"/>
  <c r="H6539" i="3"/>
  <c r="G6539" i="3"/>
  <c r="M6538" i="3"/>
  <c r="L6538" i="3"/>
  <c r="J6538" i="3"/>
  <c r="K6538" i="3" s="1"/>
  <c r="H6538" i="3"/>
  <c r="G6538" i="3"/>
  <c r="I6538" i="3" s="1"/>
  <c r="M6537" i="3"/>
  <c r="L6537" i="3"/>
  <c r="J6537" i="3"/>
  <c r="K6537" i="3" s="1"/>
  <c r="H6537" i="3"/>
  <c r="G6537" i="3"/>
  <c r="I6537" i="3" s="1"/>
  <c r="M6536" i="3"/>
  <c r="L6536" i="3"/>
  <c r="J6536" i="3"/>
  <c r="K6536" i="3" s="1"/>
  <c r="H6536" i="3"/>
  <c r="I6536" i="3" s="1"/>
  <c r="G6536" i="3"/>
  <c r="M6535" i="3"/>
  <c r="L6535" i="3"/>
  <c r="J6535" i="3"/>
  <c r="K6535" i="3" s="1"/>
  <c r="H6535" i="3"/>
  <c r="G6535" i="3"/>
  <c r="I6535" i="3" s="1"/>
  <c r="M6534" i="3"/>
  <c r="L6534" i="3"/>
  <c r="J6534" i="3"/>
  <c r="K6534" i="3" s="1"/>
  <c r="H6534" i="3"/>
  <c r="G6534" i="3"/>
  <c r="M6533" i="3"/>
  <c r="L6533" i="3"/>
  <c r="J6533" i="3"/>
  <c r="K6533" i="3" s="1"/>
  <c r="H6533" i="3"/>
  <c r="G6533" i="3"/>
  <c r="I6533" i="3" s="1"/>
  <c r="M6532" i="3"/>
  <c r="L6532" i="3"/>
  <c r="J6532" i="3"/>
  <c r="K6532" i="3" s="1"/>
  <c r="H6532" i="3"/>
  <c r="G6532" i="3"/>
  <c r="M6531" i="3"/>
  <c r="L6531" i="3"/>
  <c r="J6531" i="3"/>
  <c r="K6531" i="3" s="1"/>
  <c r="H6531" i="3"/>
  <c r="G6531" i="3"/>
  <c r="M6530" i="3"/>
  <c r="L6530" i="3"/>
  <c r="J6530" i="3"/>
  <c r="K6530" i="3" s="1"/>
  <c r="H6530" i="3"/>
  <c r="G6530" i="3"/>
  <c r="I6530" i="3" s="1"/>
  <c r="M6529" i="3"/>
  <c r="L6529" i="3"/>
  <c r="J6529" i="3"/>
  <c r="K6529" i="3" s="1"/>
  <c r="H6529" i="3"/>
  <c r="G6529" i="3"/>
  <c r="M6528" i="3"/>
  <c r="L6528" i="3"/>
  <c r="K6528" i="3"/>
  <c r="J6528" i="3"/>
  <c r="H6528" i="3"/>
  <c r="G6528" i="3"/>
  <c r="I6528" i="3" s="1"/>
  <c r="M6527" i="3"/>
  <c r="L6527" i="3"/>
  <c r="J6527" i="3"/>
  <c r="K6527" i="3" s="1"/>
  <c r="H6527" i="3"/>
  <c r="G6527" i="3"/>
  <c r="M6526" i="3"/>
  <c r="L6526" i="3"/>
  <c r="J6526" i="3"/>
  <c r="K6526" i="3" s="1"/>
  <c r="H6526" i="3"/>
  <c r="G6526" i="3"/>
  <c r="I6526" i="3" s="1"/>
  <c r="M6525" i="3"/>
  <c r="L6525" i="3"/>
  <c r="J6525" i="3"/>
  <c r="K6525" i="3" s="1"/>
  <c r="H6525" i="3"/>
  <c r="G6525" i="3"/>
  <c r="M6524" i="3"/>
  <c r="L6524" i="3"/>
  <c r="J6524" i="3"/>
  <c r="K6524" i="3" s="1"/>
  <c r="H6524" i="3"/>
  <c r="G6524" i="3"/>
  <c r="M6523" i="3"/>
  <c r="L6523" i="3"/>
  <c r="J6523" i="3"/>
  <c r="K6523" i="3" s="1"/>
  <c r="H6523" i="3"/>
  <c r="G6523" i="3"/>
  <c r="M6522" i="3"/>
  <c r="L6522" i="3"/>
  <c r="J6522" i="3"/>
  <c r="K6522" i="3" s="1"/>
  <c r="H6522" i="3"/>
  <c r="G6522" i="3"/>
  <c r="I6522" i="3" s="1"/>
  <c r="M6521" i="3"/>
  <c r="L6521" i="3"/>
  <c r="J6521" i="3"/>
  <c r="K6521" i="3" s="1"/>
  <c r="H6521" i="3"/>
  <c r="G6521" i="3"/>
  <c r="M6520" i="3"/>
  <c r="L6520" i="3"/>
  <c r="J6520" i="3"/>
  <c r="K6520" i="3" s="1"/>
  <c r="H6520" i="3"/>
  <c r="G6520" i="3"/>
  <c r="I6520" i="3" s="1"/>
  <c r="M6519" i="3"/>
  <c r="L6519" i="3"/>
  <c r="J6519" i="3"/>
  <c r="K6519" i="3" s="1"/>
  <c r="H6519" i="3"/>
  <c r="G6519" i="3"/>
  <c r="M6518" i="3"/>
  <c r="L6518" i="3"/>
  <c r="J6518" i="3"/>
  <c r="K6518" i="3" s="1"/>
  <c r="H6518" i="3"/>
  <c r="G6518" i="3"/>
  <c r="M6517" i="3"/>
  <c r="L6517" i="3"/>
  <c r="J6517" i="3"/>
  <c r="K6517" i="3" s="1"/>
  <c r="H6517" i="3"/>
  <c r="G6517" i="3"/>
  <c r="I6517" i="3" s="1"/>
  <c r="M6516" i="3"/>
  <c r="L6516" i="3"/>
  <c r="J6516" i="3"/>
  <c r="K6516" i="3" s="1"/>
  <c r="H6516" i="3"/>
  <c r="I6516" i="3" s="1"/>
  <c r="G6516" i="3"/>
  <c r="M6515" i="3"/>
  <c r="L6515" i="3"/>
  <c r="J6515" i="3"/>
  <c r="K6515" i="3" s="1"/>
  <c r="H6515" i="3"/>
  <c r="G6515" i="3"/>
  <c r="M6514" i="3"/>
  <c r="L6514" i="3"/>
  <c r="J6514" i="3"/>
  <c r="K6514" i="3" s="1"/>
  <c r="H6514" i="3"/>
  <c r="G6514" i="3"/>
  <c r="M6513" i="3"/>
  <c r="L6513" i="3"/>
  <c r="J6513" i="3"/>
  <c r="K6513" i="3" s="1"/>
  <c r="H6513" i="3"/>
  <c r="G6513" i="3"/>
  <c r="M6512" i="3"/>
  <c r="L6512" i="3"/>
  <c r="J6512" i="3"/>
  <c r="K6512" i="3" s="1"/>
  <c r="H6512" i="3"/>
  <c r="G6512" i="3"/>
  <c r="M6511" i="3"/>
  <c r="L6511" i="3"/>
  <c r="J6511" i="3"/>
  <c r="K6511" i="3" s="1"/>
  <c r="H6511" i="3"/>
  <c r="G6511" i="3"/>
  <c r="M6510" i="3"/>
  <c r="L6510" i="3"/>
  <c r="K6510" i="3"/>
  <c r="J6510" i="3"/>
  <c r="H6510" i="3"/>
  <c r="G6510" i="3"/>
  <c r="M6509" i="3"/>
  <c r="L6509" i="3"/>
  <c r="J6509" i="3"/>
  <c r="K6509" i="3" s="1"/>
  <c r="H6509" i="3"/>
  <c r="G6509" i="3"/>
  <c r="M6508" i="3"/>
  <c r="L6508" i="3"/>
  <c r="J6508" i="3"/>
  <c r="K6508" i="3" s="1"/>
  <c r="H6508" i="3"/>
  <c r="G6508" i="3"/>
  <c r="M6507" i="3"/>
  <c r="L6507" i="3"/>
  <c r="J6507" i="3"/>
  <c r="K6507" i="3" s="1"/>
  <c r="H6507" i="3"/>
  <c r="G6507" i="3"/>
  <c r="I6507" i="3" s="1"/>
  <c r="M6506" i="3"/>
  <c r="L6506" i="3"/>
  <c r="J6506" i="3"/>
  <c r="K6506" i="3" s="1"/>
  <c r="H6506" i="3"/>
  <c r="G6506" i="3"/>
  <c r="M6505" i="3"/>
  <c r="L6505" i="3"/>
  <c r="J6505" i="3"/>
  <c r="K6505" i="3" s="1"/>
  <c r="H6505" i="3"/>
  <c r="G6505" i="3"/>
  <c r="M6504" i="3"/>
  <c r="L6504" i="3"/>
  <c r="J6504" i="3"/>
  <c r="K6504" i="3" s="1"/>
  <c r="H6504" i="3"/>
  <c r="G6504" i="3"/>
  <c r="I6504" i="3" s="1"/>
  <c r="M6503" i="3"/>
  <c r="L6503" i="3"/>
  <c r="J6503" i="3"/>
  <c r="K6503" i="3" s="1"/>
  <c r="H6503" i="3"/>
  <c r="G6503" i="3"/>
  <c r="M6502" i="3"/>
  <c r="L6502" i="3"/>
  <c r="J6502" i="3"/>
  <c r="K6502" i="3" s="1"/>
  <c r="H6502" i="3"/>
  <c r="G6502" i="3"/>
  <c r="M6501" i="3"/>
  <c r="L6501" i="3"/>
  <c r="J6501" i="3"/>
  <c r="K6501" i="3" s="1"/>
  <c r="H6501" i="3"/>
  <c r="G6501" i="3"/>
  <c r="M6500" i="3"/>
  <c r="L6500" i="3"/>
  <c r="J6500" i="3"/>
  <c r="K6500" i="3" s="1"/>
  <c r="H6500" i="3"/>
  <c r="G6500" i="3"/>
  <c r="M6499" i="3"/>
  <c r="L6499" i="3"/>
  <c r="J6499" i="3"/>
  <c r="K6499" i="3" s="1"/>
  <c r="H6499" i="3"/>
  <c r="G6499" i="3"/>
  <c r="M6498" i="3"/>
  <c r="L6498" i="3"/>
  <c r="J6498" i="3"/>
  <c r="K6498" i="3" s="1"/>
  <c r="H6498" i="3"/>
  <c r="G6498" i="3"/>
  <c r="M6497" i="3"/>
  <c r="L6497" i="3"/>
  <c r="J6497" i="3"/>
  <c r="K6497" i="3" s="1"/>
  <c r="H6497" i="3"/>
  <c r="I6497" i="3" s="1"/>
  <c r="G6497" i="3"/>
  <c r="M6496" i="3"/>
  <c r="L6496" i="3"/>
  <c r="K6496" i="3"/>
  <c r="J6496" i="3"/>
  <c r="H6496" i="3"/>
  <c r="G6496" i="3"/>
  <c r="M6495" i="3"/>
  <c r="L6495" i="3"/>
  <c r="J6495" i="3"/>
  <c r="K6495" i="3" s="1"/>
  <c r="H6495" i="3"/>
  <c r="G6495" i="3"/>
  <c r="M6494" i="3"/>
  <c r="L6494" i="3"/>
  <c r="K6494" i="3"/>
  <c r="J6494" i="3"/>
  <c r="H6494" i="3"/>
  <c r="G6494" i="3"/>
  <c r="I6494" i="3" s="1"/>
  <c r="M6493" i="3"/>
  <c r="L6493" i="3"/>
  <c r="J6493" i="3"/>
  <c r="K6493" i="3" s="1"/>
  <c r="H6493" i="3"/>
  <c r="G6493" i="3"/>
  <c r="M6492" i="3"/>
  <c r="L6492" i="3"/>
  <c r="J6492" i="3"/>
  <c r="K6492" i="3" s="1"/>
  <c r="H6492" i="3"/>
  <c r="G6492" i="3"/>
  <c r="M6491" i="3"/>
  <c r="L6491" i="3"/>
  <c r="J6491" i="3"/>
  <c r="K6491" i="3" s="1"/>
  <c r="H6491" i="3"/>
  <c r="G6491" i="3"/>
  <c r="M6490" i="3"/>
  <c r="L6490" i="3"/>
  <c r="J6490" i="3"/>
  <c r="K6490" i="3" s="1"/>
  <c r="H6490" i="3"/>
  <c r="G6490" i="3"/>
  <c r="I6490" i="3" s="1"/>
  <c r="M6489" i="3"/>
  <c r="L6489" i="3"/>
  <c r="J6489" i="3"/>
  <c r="K6489" i="3" s="1"/>
  <c r="H6489" i="3"/>
  <c r="G6489" i="3"/>
  <c r="M6488" i="3"/>
  <c r="L6488" i="3"/>
  <c r="J6488" i="3"/>
  <c r="K6488" i="3" s="1"/>
  <c r="I6488" i="3"/>
  <c r="H6488" i="3"/>
  <c r="G6488" i="3"/>
  <c r="M6487" i="3"/>
  <c r="L6487" i="3"/>
  <c r="J6487" i="3"/>
  <c r="K6487" i="3" s="1"/>
  <c r="H6487" i="3"/>
  <c r="G6487" i="3"/>
  <c r="I6487" i="3" s="1"/>
  <c r="M6486" i="3"/>
  <c r="L6486" i="3"/>
  <c r="J6486" i="3"/>
  <c r="K6486" i="3" s="1"/>
  <c r="H6486" i="3"/>
  <c r="G6486" i="3"/>
  <c r="M6485" i="3"/>
  <c r="L6485" i="3"/>
  <c r="J6485" i="3"/>
  <c r="K6485" i="3" s="1"/>
  <c r="H6485" i="3"/>
  <c r="G6485" i="3"/>
  <c r="M6484" i="3"/>
  <c r="L6484" i="3"/>
  <c r="J6484" i="3"/>
  <c r="K6484" i="3" s="1"/>
  <c r="H6484" i="3"/>
  <c r="I6484" i="3" s="1"/>
  <c r="G6484" i="3"/>
  <c r="M6483" i="3"/>
  <c r="L6483" i="3"/>
  <c r="J6483" i="3"/>
  <c r="K6483" i="3" s="1"/>
  <c r="H6483" i="3"/>
  <c r="G6483" i="3"/>
  <c r="I6483" i="3" s="1"/>
  <c r="M6482" i="3"/>
  <c r="L6482" i="3"/>
  <c r="J6482" i="3"/>
  <c r="K6482" i="3" s="1"/>
  <c r="H6482" i="3"/>
  <c r="G6482" i="3"/>
  <c r="M6481" i="3"/>
  <c r="L6481" i="3"/>
  <c r="J6481" i="3"/>
  <c r="K6481" i="3" s="1"/>
  <c r="H6481" i="3"/>
  <c r="I6481" i="3" s="1"/>
  <c r="G6481" i="3"/>
  <c r="M6480" i="3"/>
  <c r="L6480" i="3"/>
  <c r="K6480" i="3"/>
  <c r="J6480" i="3"/>
  <c r="H6480" i="3"/>
  <c r="G6480" i="3"/>
  <c r="I6480" i="3" s="1"/>
  <c r="M6479" i="3"/>
  <c r="L6479" i="3"/>
  <c r="J6479" i="3"/>
  <c r="K6479" i="3" s="1"/>
  <c r="H6479" i="3"/>
  <c r="G6479" i="3"/>
  <c r="M6478" i="3"/>
  <c r="L6478" i="3"/>
  <c r="K6478" i="3"/>
  <c r="J6478" i="3"/>
  <c r="H6478" i="3"/>
  <c r="G6478" i="3"/>
  <c r="I6478" i="3" s="1"/>
  <c r="M6477" i="3"/>
  <c r="L6477" i="3"/>
  <c r="J6477" i="3"/>
  <c r="K6477" i="3" s="1"/>
  <c r="H6477" i="3"/>
  <c r="G6477" i="3"/>
  <c r="M6476" i="3"/>
  <c r="L6476" i="3"/>
  <c r="J6476" i="3"/>
  <c r="K6476" i="3" s="1"/>
  <c r="H6476" i="3"/>
  <c r="G6476" i="3"/>
  <c r="M6475" i="3"/>
  <c r="L6475" i="3"/>
  <c r="J6475" i="3"/>
  <c r="K6475" i="3" s="1"/>
  <c r="H6475" i="3"/>
  <c r="G6475" i="3"/>
  <c r="M6474" i="3"/>
  <c r="L6474" i="3"/>
  <c r="J6474" i="3"/>
  <c r="K6474" i="3" s="1"/>
  <c r="H6474" i="3"/>
  <c r="G6474" i="3"/>
  <c r="M6473" i="3"/>
  <c r="L6473" i="3"/>
  <c r="J6473" i="3"/>
  <c r="K6473" i="3" s="1"/>
  <c r="H6473" i="3"/>
  <c r="G6473" i="3"/>
  <c r="M6472" i="3"/>
  <c r="L6472" i="3"/>
  <c r="J6472" i="3"/>
  <c r="K6472" i="3" s="1"/>
  <c r="I6472" i="3"/>
  <c r="H6472" i="3"/>
  <c r="G6472" i="3"/>
  <c r="M6471" i="3"/>
  <c r="L6471" i="3"/>
  <c r="J6471" i="3"/>
  <c r="K6471" i="3" s="1"/>
  <c r="H6471" i="3"/>
  <c r="G6471" i="3"/>
  <c r="M6470" i="3"/>
  <c r="L6470" i="3"/>
  <c r="J6470" i="3"/>
  <c r="K6470" i="3" s="1"/>
  <c r="H6470" i="3"/>
  <c r="G6470" i="3"/>
  <c r="M6469" i="3"/>
  <c r="L6469" i="3"/>
  <c r="J6469" i="3"/>
  <c r="K6469" i="3" s="1"/>
  <c r="H6469" i="3"/>
  <c r="G6469" i="3"/>
  <c r="M6468" i="3"/>
  <c r="L6468" i="3"/>
  <c r="J6468" i="3"/>
  <c r="K6468" i="3" s="1"/>
  <c r="H6468" i="3"/>
  <c r="G6468" i="3"/>
  <c r="M6467" i="3"/>
  <c r="L6467" i="3"/>
  <c r="J6467" i="3"/>
  <c r="K6467" i="3" s="1"/>
  <c r="H6467" i="3"/>
  <c r="G6467" i="3"/>
  <c r="M6466" i="3"/>
  <c r="L6466" i="3"/>
  <c r="J6466" i="3"/>
  <c r="K6466" i="3" s="1"/>
  <c r="H6466" i="3"/>
  <c r="G6466" i="3"/>
  <c r="M6465" i="3"/>
  <c r="L6465" i="3"/>
  <c r="J6465" i="3"/>
  <c r="K6465" i="3" s="1"/>
  <c r="H6465" i="3"/>
  <c r="I6465" i="3" s="1"/>
  <c r="G6465" i="3"/>
  <c r="M6464" i="3"/>
  <c r="L6464" i="3"/>
  <c r="K6464" i="3"/>
  <c r="J6464" i="3"/>
  <c r="H6464" i="3"/>
  <c r="G6464" i="3"/>
  <c r="M6463" i="3"/>
  <c r="L6463" i="3"/>
  <c r="J6463" i="3"/>
  <c r="K6463" i="3" s="1"/>
  <c r="H6463" i="3"/>
  <c r="G6463" i="3"/>
  <c r="M6462" i="3"/>
  <c r="L6462" i="3"/>
  <c r="K6462" i="3"/>
  <c r="J6462" i="3"/>
  <c r="H6462" i="3"/>
  <c r="G6462" i="3"/>
  <c r="I6462" i="3" s="1"/>
  <c r="M6461" i="3"/>
  <c r="L6461" i="3"/>
  <c r="J6461" i="3"/>
  <c r="K6461" i="3" s="1"/>
  <c r="H6461" i="3"/>
  <c r="G6461" i="3"/>
  <c r="M6460" i="3"/>
  <c r="L6460" i="3"/>
  <c r="J6460" i="3"/>
  <c r="K6460" i="3" s="1"/>
  <c r="H6460" i="3"/>
  <c r="G6460" i="3"/>
  <c r="M6459" i="3"/>
  <c r="L6459" i="3"/>
  <c r="J6459" i="3"/>
  <c r="K6459" i="3" s="1"/>
  <c r="H6459" i="3"/>
  <c r="G6459" i="3"/>
  <c r="M6458" i="3"/>
  <c r="L6458" i="3"/>
  <c r="J6458" i="3"/>
  <c r="K6458" i="3" s="1"/>
  <c r="H6458" i="3"/>
  <c r="G6458" i="3"/>
  <c r="I6458" i="3" s="1"/>
  <c r="M6649" i="3"/>
  <c r="L6649" i="3"/>
  <c r="J6649" i="3"/>
  <c r="K6649" i="3" s="1"/>
  <c r="H6649" i="3"/>
  <c r="G6649" i="3"/>
  <c r="M6648" i="3"/>
  <c r="L6648" i="3"/>
  <c r="J6648" i="3"/>
  <c r="K6648" i="3" s="1"/>
  <c r="H6648" i="3"/>
  <c r="G6648" i="3"/>
  <c r="I6648" i="3" s="1"/>
  <c r="M6647" i="3"/>
  <c r="L6647" i="3"/>
  <c r="J6647" i="3"/>
  <c r="K6647" i="3" s="1"/>
  <c r="H6647" i="3"/>
  <c r="G6647" i="3"/>
  <c r="I6647" i="3" s="1"/>
  <c r="M6646" i="3"/>
  <c r="L6646" i="3"/>
  <c r="J6646" i="3"/>
  <c r="K6646" i="3" s="1"/>
  <c r="H6646" i="3"/>
  <c r="G6646" i="3"/>
  <c r="M6645" i="3"/>
  <c r="L6645" i="3"/>
  <c r="J6645" i="3"/>
  <c r="K6645" i="3" s="1"/>
  <c r="H6645" i="3"/>
  <c r="G6645" i="3"/>
  <c r="M6644" i="3"/>
  <c r="L6644" i="3"/>
  <c r="J6644" i="3"/>
  <c r="K6644" i="3" s="1"/>
  <c r="H6644" i="3"/>
  <c r="I6644" i="3" s="1"/>
  <c r="G6644" i="3"/>
  <c r="M6643" i="3"/>
  <c r="L6643" i="3"/>
  <c r="J6643" i="3"/>
  <c r="K6643" i="3" s="1"/>
  <c r="H6643" i="3"/>
  <c r="G6643" i="3"/>
  <c r="I6643" i="3" s="1"/>
  <c r="M6642" i="3"/>
  <c r="L6642" i="3"/>
  <c r="J6642" i="3"/>
  <c r="K6642" i="3" s="1"/>
  <c r="H6642" i="3"/>
  <c r="G6642" i="3"/>
  <c r="M6641" i="3"/>
  <c r="L6641" i="3"/>
  <c r="J6641" i="3"/>
  <c r="K6641" i="3" s="1"/>
  <c r="H6641" i="3"/>
  <c r="G6641" i="3"/>
  <c r="M6640" i="3"/>
  <c r="L6640" i="3"/>
  <c r="J6640" i="3"/>
  <c r="K6640" i="3" s="1"/>
  <c r="H6640" i="3"/>
  <c r="G6640" i="3"/>
  <c r="I6640" i="3" s="1"/>
  <c r="M6639" i="3"/>
  <c r="L6639" i="3"/>
  <c r="J6639" i="3"/>
  <c r="K6639" i="3" s="1"/>
  <c r="H6639" i="3"/>
  <c r="G6639" i="3"/>
  <c r="M6638" i="3"/>
  <c r="L6638" i="3"/>
  <c r="K6638" i="3"/>
  <c r="J6638" i="3"/>
  <c r="H6638" i="3"/>
  <c r="G6638" i="3"/>
  <c r="M6637" i="3"/>
  <c r="L6637" i="3"/>
  <c r="J6637" i="3"/>
  <c r="K6637" i="3" s="1"/>
  <c r="H6637" i="3"/>
  <c r="G6637" i="3"/>
  <c r="I6637" i="3" s="1"/>
  <c r="M6636" i="3"/>
  <c r="L6636" i="3"/>
  <c r="J6636" i="3"/>
  <c r="K6636" i="3" s="1"/>
  <c r="H6636" i="3"/>
  <c r="G6636" i="3"/>
  <c r="M6635" i="3"/>
  <c r="L6635" i="3"/>
  <c r="J6635" i="3"/>
  <c r="K6635" i="3" s="1"/>
  <c r="H6635" i="3"/>
  <c r="G6635" i="3"/>
  <c r="M6634" i="3"/>
  <c r="L6634" i="3"/>
  <c r="J6634" i="3"/>
  <c r="K6634" i="3" s="1"/>
  <c r="H6634" i="3"/>
  <c r="G6634" i="3"/>
  <c r="M6633" i="3"/>
  <c r="L6633" i="3"/>
  <c r="J6633" i="3"/>
  <c r="K6633" i="3" s="1"/>
  <c r="H6633" i="3"/>
  <c r="G6633" i="3"/>
  <c r="I6633" i="3" s="1"/>
  <c r="M6632" i="3"/>
  <c r="L6632" i="3"/>
  <c r="J6632" i="3"/>
  <c r="K6632" i="3" s="1"/>
  <c r="I6632" i="3"/>
  <c r="H6632" i="3"/>
  <c r="G6632" i="3"/>
  <c r="M6631" i="3"/>
  <c r="L6631" i="3"/>
  <c r="J6631" i="3"/>
  <c r="K6631" i="3" s="1"/>
  <c r="H6631" i="3"/>
  <c r="G6631" i="3"/>
  <c r="M6630" i="3"/>
  <c r="L6630" i="3"/>
  <c r="J6630" i="3"/>
  <c r="K6630" i="3" s="1"/>
  <c r="H6630" i="3"/>
  <c r="G6630" i="3"/>
  <c r="M6629" i="3"/>
  <c r="L6629" i="3"/>
  <c r="J6629" i="3"/>
  <c r="K6629" i="3" s="1"/>
  <c r="H6629" i="3"/>
  <c r="G6629" i="3"/>
  <c r="M6628" i="3"/>
  <c r="L6628" i="3"/>
  <c r="J6628" i="3"/>
  <c r="K6628" i="3" s="1"/>
  <c r="H6628" i="3"/>
  <c r="I6628" i="3" s="1"/>
  <c r="G6628" i="3"/>
  <c r="M6627" i="3"/>
  <c r="L6627" i="3"/>
  <c r="J6627" i="3"/>
  <c r="K6627" i="3" s="1"/>
  <c r="H6627" i="3"/>
  <c r="G6627" i="3"/>
  <c r="M6626" i="3"/>
  <c r="L6626" i="3"/>
  <c r="J6626" i="3"/>
  <c r="K6626" i="3" s="1"/>
  <c r="H6626" i="3"/>
  <c r="G6626" i="3"/>
  <c r="I6626" i="3" s="1"/>
  <c r="M6625" i="3"/>
  <c r="L6625" i="3"/>
  <c r="J6625" i="3"/>
  <c r="K6625" i="3" s="1"/>
  <c r="H6625" i="3"/>
  <c r="G6625" i="3"/>
  <c r="M6624" i="3"/>
  <c r="L6624" i="3"/>
  <c r="K6624" i="3"/>
  <c r="J6624" i="3"/>
  <c r="H6624" i="3"/>
  <c r="G6624" i="3"/>
  <c r="I6624" i="3" s="1"/>
  <c r="M6623" i="3"/>
  <c r="L6623" i="3"/>
  <c r="J6623" i="3"/>
  <c r="K6623" i="3" s="1"/>
  <c r="H6623" i="3"/>
  <c r="G6623" i="3"/>
  <c r="M6622" i="3"/>
  <c r="L6622" i="3"/>
  <c r="J6622" i="3"/>
  <c r="K6622" i="3" s="1"/>
  <c r="H6622" i="3"/>
  <c r="G6622" i="3"/>
  <c r="I6622" i="3" s="1"/>
  <c r="M6621" i="3"/>
  <c r="L6621" i="3"/>
  <c r="J6621" i="3"/>
  <c r="K6621" i="3" s="1"/>
  <c r="H6621" i="3"/>
  <c r="G6621" i="3"/>
  <c r="I6621" i="3" s="1"/>
  <c r="M6620" i="3"/>
  <c r="L6620" i="3"/>
  <c r="J6620" i="3"/>
  <c r="K6620" i="3" s="1"/>
  <c r="H6620" i="3"/>
  <c r="G6620" i="3"/>
  <c r="I6620" i="3" s="1"/>
  <c r="M6619" i="3"/>
  <c r="L6619" i="3"/>
  <c r="J6619" i="3"/>
  <c r="K6619" i="3" s="1"/>
  <c r="H6619" i="3"/>
  <c r="G6619" i="3"/>
  <c r="M6618" i="3"/>
  <c r="L6618" i="3"/>
  <c r="J6618" i="3"/>
  <c r="K6618" i="3" s="1"/>
  <c r="H6618" i="3"/>
  <c r="G6618" i="3"/>
  <c r="I6618" i="3" s="1"/>
  <c r="M6617" i="3"/>
  <c r="L6617" i="3"/>
  <c r="J6617" i="3"/>
  <c r="K6617" i="3" s="1"/>
  <c r="H6617" i="3"/>
  <c r="G6617" i="3"/>
  <c r="I6617" i="3" s="1"/>
  <c r="M6616" i="3"/>
  <c r="L6616" i="3"/>
  <c r="J6616" i="3"/>
  <c r="K6616" i="3" s="1"/>
  <c r="H6616" i="3"/>
  <c r="I6616" i="3" s="1"/>
  <c r="G6616" i="3"/>
  <c r="M6615" i="3"/>
  <c r="L6615" i="3"/>
  <c r="J6615" i="3"/>
  <c r="K6615" i="3" s="1"/>
  <c r="H6615" i="3"/>
  <c r="G6615" i="3"/>
  <c r="I6615" i="3" s="1"/>
  <c r="M6614" i="3"/>
  <c r="L6614" i="3"/>
  <c r="J6614" i="3"/>
  <c r="K6614" i="3" s="1"/>
  <c r="H6614" i="3"/>
  <c r="G6614" i="3"/>
  <c r="M6613" i="3"/>
  <c r="L6613" i="3"/>
  <c r="J6613" i="3"/>
  <c r="K6613" i="3" s="1"/>
  <c r="H6613" i="3"/>
  <c r="G6613" i="3"/>
  <c r="M6612" i="3"/>
  <c r="L6612" i="3"/>
  <c r="J6612" i="3"/>
  <c r="K6612" i="3" s="1"/>
  <c r="H6612" i="3"/>
  <c r="I6612" i="3" s="1"/>
  <c r="G6612" i="3"/>
  <c r="M6611" i="3"/>
  <c r="L6611" i="3"/>
  <c r="J6611" i="3"/>
  <c r="K6611" i="3" s="1"/>
  <c r="H6611" i="3"/>
  <c r="G6611" i="3"/>
  <c r="I6611" i="3" s="1"/>
  <c r="M6610" i="3"/>
  <c r="L6610" i="3"/>
  <c r="J6610" i="3"/>
  <c r="K6610" i="3" s="1"/>
  <c r="H6610" i="3"/>
  <c r="G6610" i="3"/>
  <c r="M6609" i="3"/>
  <c r="L6609" i="3"/>
  <c r="J6609" i="3"/>
  <c r="K6609" i="3" s="1"/>
  <c r="H6609" i="3"/>
  <c r="G6609" i="3"/>
  <c r="M6608" i="3"/>
  <c r="L6608" i="3"/>
  <c r="J6608" i="3"/>
  <c r="K6608" i="3" s="1"/>
  <c r="H6608" i="3"/>
  <c r="G6608" i="3"/>
  <c r="M6607" i="3"/>
  <c r="L6607" i="3"/>
  <c r="J6607" i="3"/>
  <c r="K6607" i="3" s="1"/>
  <c r="H6607" i="3"/>
  <c r="G6607" i="3"/>
  <c r="M6606" i="3"/>
  <c r="L6606" i="3"/>
  <c r="J6606" i="3"/>
  <c r="K6606" i="3" s="1"/>
  <c r="H6606" i="3"/>
  <c r="G6606" i="3"/>
  <c r="M6605" i="3"/>
  <c r="L6605" i="3"/>
  <c r="J6605" i="3"/>
  <c r="K6605" i="3" s="1"/>
  <c r="H6605" i="3"/>
  <c r="G6605" i="3"/>
  <c r="I6605" i="3" s="1"/>
  <c r="M6604" i="3"/>
  <c r="L6604" i="3"/>
  <c r="J6604" i="3"/>
  <c r="K6604" i="3" s="1"/>
  <c r="H6604" i="3"/>
  <c r="I6604" i="3" s="1"/>
  <c r="G6604" i="3"/>
  <c r="M6603" i="3"/>
  <c r="L6603" i="3"/>
  <c r="J6603" i="3"/>
  <c r="K6603" i="3" s="1"/>
  <c r="H6603" i="3"/>
  <c r="G6603" i="3"/>
  <c r="M6602" i="3"/>
  <c r="L6602" i="3"/>
  <c r="J6602" i="3"/>
  <c r="K6602" i="3" s="1"/>
  <c r="H6602" i="3"/>
  <c r="G6602" i="3"/>
  <c r="M6601" i="3"/>
  <c r="L6601" i="3"/>
  <c r="J6601" i="3"/>
  <c r="K6601" i="3" s="1"/>
  <c r="H6601" i="3"/>
  <c r="G6601" i="3"/>
  <c r="M6600" i="3"/>
  <c r="L6600" i="3"/>
  <c r="J6600" i="3"/>
  <c r="K6600" i="3" s="1"/>
  <c r="H6600" i="3"/>
  <c r="G6600" i="3"/>
  <c r="M6599" i="3"/>
  <c r="L6599" i="3"/>
  <c r="J6599" i="3"/>
  <c r="K6599" i="3" s="1"/>
  <c r="H6599" i="3"/>
  <c r="G6599" i="3"/>
  <c r="M6598" i="3"/>
  <c r="L6598" i="3"/>
  <c r="J6598" i="3"/>
  <c r="K6598" i="3" s="1"/>
  <c r="H6598" i="3"/>
  <c r="G6598" i="3"/>
  <c r="I6598" i="3" s="1"/>
  <c r="M6597" i="3"/>
  <c r="L6597" i="3"/>
  <c r="J6597" i="3"/>
  <c r="K6597" i="3" s="1"/>
  <c r="H6597" i="3"/>
  <c r="G6597" i="3"/>
  <c r="I6597" i="3" s="1"/>
  <c r="M6596" i="3"/>
  <c r="L6596" i="3"/>
  <c r="J6596" i="3"/>
  <c r="K6596" i="3" s="1"/>
  <c r="H6596" i="3"/>
  <c r="I6596" i="3" s="1"/>
  <c r="G6596" i="3"/>
  <c r="M6595" i="3"/>
  <c r="L6595" i="3"/>
  <c r="J6595" i="3"/>
  <c r="K6595" i="3" s="1"/>
  <c r="H6595" i="3"/>
  <c r="G6595" i="3"/>
  <c r="M6594" i="3"/>
  <c r="L6594" i="3"/>
  <c r="J6594" i="3"/>
  <c r="K6594" i="3" s="1"/>
  <c r="H6594" i="3"/>
  <c r="G6594" i="3"/>
  <c r="I6594" i="3" s="1"/>
  <c r="M6593" i="3"/>
  <c r="L6593" i="3"/>
  <c r="J6593" i="3"/>
  <c r="K6593" i="3" s="1"/>
  <c r="H6593" i="3"/>
  <c r="G6593" i="3"/>
  <c r="M6592" i="3"/>
  <c r="L6592" i="3"/>
  <c r="J6592" i="3"/>
  <c r="K6592" i="3" s="1"/>
  <c r="H6592" i="3"/>
  <c r="G6592" i="3"/>
  <c r="M6591" i="3"/>
  <c r="L6591" i="3"/>
  <c r="J6591" i="3"/>
  <c r="K6591" i="3" s="1"/>
  <c r="H6591" i="3"/>
  <c r="G6591" i="3"/>
  <c r="M6590" i="3"/>
  <c r="L6590" i="3"/>
  <c r="J6590" i="3"/>
  <c r="K6590" i="3" s="1"/>
  <c r="H6590" i="3"/>
  <c r="G6590" i="3"/>
  <c r="I6590" i="3" s="1"/>
  <c r="M6589" i="3"/>
  <c r="L6589" i="3"/>
  <c r="J6589" i="3"/>
  <c r="K6589" i="3" s="1"/>
  <c r="H6589" i="3"/>
  <c r="G6589" i="3"/>
  <c r="I6589" i="3" s="1"/>
  <c r="M6588" i="3"/>
  <c r="L6588" i="3"/>
  <c r="J6588" i="3"/>
  <c r="K6588" i="3" s="1"/>
  <c r="H6588" i="3"/>
  <c r="I6588" i="3" s="1"/>
  <c r="G6588" i="3"/>
  <c r="M6587" i="3"/>
  <c r="L6587" i="3"/>
  <c r="J6587" i="3"/>
  <c r="K6587" i="3" s="1"/>
  <c r="H6587" i="3"/>
  <c r="G6587" i="3"/>
  <c r="M6586" i="3"/>
  <c r="L6586" i="3"/>
  <c r="J6586" i="3"/>
  <c r="K6586" i="3" s="1"/>
  <c r="H6586" i="3"/>
  <c r="G6586" i="3"/>
  <c r="I6586" i="3" s="1"/>
  <c r="M6585" i="3"/>
  <c r="L6585" i="3"/>
  <c r="J6585" i="3"/>
  <c r="K6585" i="3" s="1"/>
  <c r="H6585" i="3"/>
  <c r="G6585" i="3"/>
  <c r="M6584" i="3"/>
  <c r="L6584" i="3"/>
  <c r="J6584" i="3"/>
  <c r="K6584" i="3" s="1"/>
  <c r="H6584" i="3"/>
  <c r="G6584" i="3"/>
  <c r="M6583" i="3"/>
  <c r="L6583" i="3"/>
  <c r="J6583" i="3"/>
  <c r="K6583" i="3" s="1"/>
  <c r="H6583" i="3"/>
  <c r="G6583" i="3"/>
  <c r="M6582" i="3"/>
  <c r="L6582" i="3"/>
  <c r="J6582" i="3"/>
  <c r="K6582" i="3" s="1"/>
  <c r="H6582" i="3"/>
  <c r="G6582" i="3"/>
  <c r="I6582" i="3" s="1"/>
  <c r="M6581" i="3"/>
  <c r="L6581" i="3"/>
  <c r="J6581" i="3"/>
  <c r="K6581" i="3" s="1"/>
  <c r="H6581" i="3"/>
  <c r="G6581" i="3"/>
  <c r="I6581" i="3" s="1"/>
  <c r="M6580" i="3"/>
  <c r="L6580" i="3"/>
  <c r="J6580" i="3"/>
  <c r="K6580" i="3" s="1"/>
  <c r="H6580" i="3"/>
  <c r="I6580" i="3" s="1"/>
  <c r="G6580" i="3"/>
  <c r="M6579" i="3"/>
  <c r="L6579" i="3"/>
  <c r="J6579" i="3"/>
  <c r="K6579" i="3" s="1"/>
  <c r="H6579" i="3"/>
  <c r="G6579" i="3"/>
  <c r="M6578" i="3"/>
  <c r="L6578" i="3"/>
  <c r="J6578" i="3"/>
  <c r="K6578" i="3" s="1"/>
  <c r="H6578" i="3"/>
  <c r="G6578" i="3"/>
  <c r="I6578" i="3" s="1"/>
  <c r="M6577" i="3"/>
  <c r="L6577" i="3"/>
  <c r="J6577" i="3"/>
  <c r="K6577" i="3" s="1"/>
  <c r="H6577" i="3"/>
  <c r="G6577" i="3"/>
  <c r="M6576" i="3"/>
  <c r="L6576" i="3"/>
  <c r="J6576" i="3"/>
  <c r="K6576" i="3" s="1"/>
  <c r="H6576" i="3"/>
  <c r="G6576" i="3"/>
  <c r="M6575" i="3"/>
  <c r="L6575" i="3"/>
  <c r="J6575" i="3"/>
  <c r="K6575" i="3" s="1"/>
  <c r="H6575" i="3"/>
  <c r="G6575" i="3"/>
  <c r="M6574" i="3"/>
  <c r="L6574" i="3"/>
  <c r="J6574" i="3"/>
  <c r="K6574" i="3" s="1"/>
  <c r="H6574" i="3"/>
  <c r="G6574" i="3"/>
  <c r="I6574" i="3" s="1"/>
  <c r="M6573" i="3"/>
  <c r="L6573" i="3"/>
  <c r="J6573" i="3"/>
  <c r="K6573" i="3" s="1"/>
  <c r="H6573" i="3"/>
  <c r="G6573" i="3"/>
  <c r="I6573" i="3" s="1"/>
  <c r="M6572" i="3"/>
  <c r="L6572" i="3"/>
  <c r="J6572" i="3"/>
  <c r="K6572" i="3" s="1"/>
  <c r="H6572" i="3"/>
  <c r="I6572" i="3" s="1"/>
  <c r="G6572" i="3"/>
  <c r="M6571" i="3"/>
  <c r="L6571" i="3"/>
  <c r="J6571" i="3"/>
  <c r="K6571" i="3" s="1"/>
  <c r="H6571" i="3"/>
  <c r="G6571" i="3"/>
  <c r="M6570" i="3"/>
  <c r="L6570" i="3"/>
  <c r="J6570" i="3"/>
  <c r="K6570" i="3" s="1"/>
  <c r="H6570" i="3"/>
  <c r="G6570" i="3"/>
  <c r="I6570" i="3" s="1"/>
  <c r="M6569" i="3"/>
  <c r="L6569" i="3"/>
  <c r="J6569" i="3"/>
  <c r="K6569" i="3" s="1"/>
  <c r="H6569" i="3"/>
  <c r="G6569" i="3"/>
  <c r="M6568" i="3"/>
  <c r="L6568" i="3"/>
  <c r="J6568" i="3"/>
  <c r="K6568" i="3" s="1"/>
  <c r="H6568" i="3"/>
  <c r="G6568" i="3"/>
  <c r="M6567" i="3"/>
  <c r="L6567" i="3"/>
  <c r="J6567" i="3"/>
  <c r="K6567" i="3" s="1"/>
  <c r="H6567" i="3"/>
  <c r="I6567" i="3" s="1"/>
  <c r="G6567" i="3"/>
  <c r="M6566" i="3"/>
  <c r="L6566" i="3"/>
  <c r="K6566" i="3"/>
  <c r="J6566" i="3"/>
  <c r="H6566" i="3"/>
  <c r="G6566" i="3"/>
  <c r="I6566" i="3" s="1"/>
  <c r="M6565" i="3"/>
  <c r="L6565" i="3"/>
  <c r="J6565" i="3"/>
  <c r="K6565" i="3" s="1"/>
  <c r="H6565" i="3"/>
  <c r="G6565" i="3"/>
  <c r="M6564" i="3"/>
  <c r="L6564" i="3"/>
  <c r="J6564" i="3"/>
  <c r="K6564" i="3" s="1"/>
  <c r="H6564" i="3"/>
  <c r="G6564" i="3"/>
  <c r="I6564" i="3" s="1"/>
  <c r="M6563" i="3"/>
  <c r="L6563" i="3"/>
  <c r="J6563" i="3"/>
  <c r="K6563" i="3" s="1"/>
  <c r="H6563" i="3"/>
  <c r="G6563" i="3"/>
  <c r="M6562" i="3"/>
  <c r="L6562" i="3"/>
  <c r="J6562" i="3"/>
  <c r="K6562" i="3" s="1"/>
  <c r="H6562" i="3"/>
  <c r="G6562" i="3"/>
  <c r="M6561" i="3"/>
  <c r="L6561" i="3"/>
  <c r="J6561" i="3"/>
  <c r="K6561" i="3" s="1"/>
  <c r="H6561" i="3"/>
  <c r="G6561" i="3"/>
  <c r="M6560" i="3"/>
  <c r="L6560" i="3"/>
  <c r="J6560" i="3"/>
  <c r="K6560" i="3" s="1"/>
  <c r="H6560" i="3"/>
  <c r="G6560" i="3"/>
  <c r="I6560" i="3" s="1"/>
  <c r="M6559" i="3"/>
  <c r="L6559" i="3"/>
  <c r="J6559" i="3"/>
  <c r="K6559" i="3" s="1"/>
  <c r="H6559" i="3"/>
  <c r="G6559" i="3"/>
  <c r="M6558" i="3"/>
  <c r="L6558" i="3"/>
  <c r="J6558" i="3"/>
  <c r="K6558" i="3" s="1"/>
  <c r="H6558" i="3"/>
  <c r="G6558" i="3"/>
  <c r="M6557" i="3"/>
  <c r="L6557" i="3"/>
  <c r="J6557" i="3"/>
  <c r="K6557" i="3" s="1"/>
  <c r="H6557" i="3"/>
  <c r="G6557" i="3"/>
  <c r="M6556" i="3"/>
  <c r="L6556" i="3"/>
  <c r="J6556" i="3"/>
  <c r="K6556" i="3" s="1"/>
  <c r="H6556" i="3"/>
  <c r="G6556" i="3"/>
  <c r="I6556" i="3" s="1"/>
  <c r="M6555" i="3"/>
  <c r="L6555" i="3"/>
  <c r="J6555" i="3"/>
  <c r="K6555" i="3" s="1"/>
  <c r="H6555" i="3"/>
  <c r="G6555" i="3"/>
  <c r="M6554" i="3"/>
  <c r="L6554" i="3"/>
  <c r="J6554" i="3"/>
  <c r="K6554" i="3" s="1"/>
  <c r="H6554" i="3"/>
  <c r="G6554" i="3"/>
  <c r="M6745" i="3"/>
  <c r="L6745" i="3"/>
  <c r="J6745" i="3"/>
  <c r="K6745" i="3" s="1"/>
  <c r="H6745" i="3"/>
  <c r="G6745" i="3"/>
  <c r="I6745" i="3" s="1"/>
  <c r="M6744" i="3"/>
  <c r="L6744" i="3"/>
  <c r="J6744" i="3"/>
  <c r="K6744" i="3" s="1"/>
  <c r="H6744" i="3"/>
  <c r="I6744" i="3" s="1"/>
  <c r="G6744" i="3"/>
  <c r="M6743" i="3"/>
  <c r="L6743" i="3"/>
  <c r="J6743" i="3"/>
  <c r="K6743" i="3" s="1"/>
  <c r="H6743" i="3"/>
  <c r="G6743" i="3"/>
  <c r="M6742" i="3"/>
  <c r="L6742" i="3"/>
  <c r="J6742" i="3"/>
  <c r="K6742" i="3" s="1"/>
  <c r="H6742" i="3"/>
  <c r="G6742" i="3"/>
  <c r="M6741" i="3"/>
  <c r="L6741" i="3"/>
  <c r="J6741" i="3"/>
  <c r="K6741" i="3" s="1"/>
  <c r="H6741" i="3"/>
  <c r="G6741" i="3"/>
  <c r="M6740" i="3"/>
  <c r="L6740" i="3"/>
  <c r="J6740" i="3"/>
  <c r="K6740" i="3" s="1"/>
  <c r="H6740" i="3"/>
  <c r="G6740" i="3"/>
  <c r="M6739" i="3"/>
  <c r="L6739" i="3"/>
  <c r="J6739" i="3"/>
  <c r="K6739" i="3" s="1"/>
  <c r="H6739" i="3"/>
  <c r="G6739" i="3"/>
  <c r="M6738" i="3"/>
  <c r="L6738" i="3"/>
  <c r="K6738" i="3"/>
  <c r="J6738" i="3"/>
  <c r="H6738" i="3"/>
  <c r="G6738" i="3"/>
  <c r="M6737" i="3"/>
  <c r="L6737" i="3"/>
  <c r="J6737" i="3"/>
  <c r="K6737" i="3" s="1"/>
  <c r="H6737" i="3"/>
  <c r="G6737" i="3"/>
  <c r="M6736" i="3"/>
  <c r="L6736" i="3"/>
  <c r="J6736" i="3"/>
  <c r="K6736" i="3" s="1"/>
  <c r="H6736" i="3"/>
  <c r="G6736" i="3"/>
  <c r="I6736" i="3" s="1"/>
  <c r="M6735" i="3"/>
  <c r="L6735" i="3"/>
  <c r="J6735" i="3"/>
  <c r="K6735" i="3" s="1"/>
  <c r="H6735" i="3"/>
  <c r="G6735" i="3"/>
  <c r="M6734" i="3"/>
  <c r="L6734" i="3"/>
  <c r="J6734" i="3"/>
  <c r="K6734" i="3" s="1"/>
  <c r="H6734" i="3"/>
  <c r="G6734" i="3"/>
  <c r="M6733" i="3"/>
  <c r="L6733" i="3"/>
  <c r="J6733" i="3"/>
  <c r="K6733" i="3" s="1"/>
  <c r="H6733" i="3"/>
  <c r="G6733" i="3"/>
  <c r="M6732" i="3"/>
  <c r="L6732" i="3"/>
  <c r="J6732" i="3"/>
  <c r="K6732" i="3" s="1"/>
  <c r="H6732" i="3"/>
  <c r="G6732" i="3"/>
  <c r="I6732" i="3" s="1"/>
  <c r="M6731" i="3"/>
  <c r="L6731" i="3"/>
  <c r="J6731" i="3"/>
  <c r="K6731" i="3" s="1"/>
  <c r="H6731" i="3"/>
  <c r="I6731" i="3" s="1"/>
  <c r="G6731" i="3"/>
  <c r="M6730" i="3"/>
  <c r="L6730" i="3"/>
  <c r="K6730" i="3"/>
  <c r="J6730" i="3"/>
  <c r="H6730" i="3"/>
  <c r="G6730" i="3"/>
  <c r="M6729" i="3"/>
  <c r="L6729" i="3"/>
  <c r="J6729" i="3"/>
  <c r="K6729" i="3" s="1"/>
  <c r="H6729" i="3"/>
  <c r="G6729" i="3"/>
  <c r="I6729" i="3" s="1"/>
  <c r="M6728" i="3"/>
  <c r="L6728" i="3"/>
  <c r="J6728" i="3"/>
  <c r="K6728" i="3" s="1"/>
  <c r="I6728" i="3"/>
  <c r="H6728" i="3"/>
  <c r="G6728" i="3"/>
  <c r="M6727" i="3"/>
  <c r="L6727" i="3"/>
  <c r="J6727" i="3"/>
  <c r="K6727" i="3" s="1"/>
  <c r="H6727" i="3"/>
  <c r="G6727" i="3"/>
  <c r="M6726" i="3"/>
  <c r="L6726" i="3"/>
  <c r="J6726" i="3"/>
  <c r="K6726" i="3" s="1"/>
  <c r="H6726" i="3"/>
  <c r="G6726" i="3"/>
  <c r="M6725" i="3"/>
  <c r="L6725" i="3"/>
  <c r="J6725" i="3"/>
  <c r="K6725" i="3" s="1"/>
  <c r="H6725" i="3"/>
  <c r="G6725" i="3"/>
  <c r="M6724" i="3"/>
  <c r="L6724" i="3"/>
  <c r="J6724" i="3"/>
  <c r="K6724" i="3" s="1"/>
  <c r="H6724" i="3"/>
  <c r="G6724" i="3"/>
  <c r="M6723" i="3"/>
  <c r="L6723" i="3"/>
  <c r="J6723" i="3"/>
  <c r="K6723" i="3" s="1"/>
  <c r="H6723" i="3"/>
  <c r="I6723" i="3" s="1"/>
  <c r="G6723" i="3"/>
  <c r="M6722" i="3"/>
  <c r="L6722" i="3"/>
  <c r="K6722" i="3"/>
  <c r="J6722" i="3"/>
  <c r="H6722" i="3"/>
  <c r="G6722" i="3"/>
  <c r="M6721" i="3"/>
  <c r="L6721" i="3"/>
  <c r="J6721" i="3"/>
  <c r="K6721" i="3" s="1"/>
  <c r="H6721" i="3"/>
  <c r="G6721" i="3"/>
  <c r="M6720" i="3"/>
  <c r="L6720" i="3"/>
  <c r="J6720" i="3"/>
  <c r="K6720" i="3" s="1"/>
  <c r="H6720" i="3"/>
  <c r="G6720" i="3"/>
  <c r="I6720" i="3" s="1"/>
  <c r="M6719" i="3"/>
  <c r="L6719" i="3"/>
  <c r="J6719" i="3"/>
  <c r="K6719" i="3" s="1"/>
  <c r="H6719" i="3"/>
  <c r="G6719" i="3"/>
  <c r="M6718" i="3"/>
  <c r="L6718" i="3"/>
  <c r="J6718" i="3"/>
  <c r="K6718" i="3" s="1"/>
  <c r="H6718" i="3"/>
  <c r="G6718" i="3"/>
  <c r="M6717" i="3"/>
  <c r="L6717" i="3"/>
  <c r="J6717" i="3"/>
  <c r="K6717" i="3" s="1"/>
  <c r="H6717" i="3"/>
  <c r="G6717" i="3"/>
  <c r="M6716" i="3"/>
  <c r="L6716" i="3"/>
  <c r="J6716" i="3"/>
  <c r="K6716" i="3" s="1"/>
  <c r="H6716" i="3"/>
  <c r="G6716" i="3"/>
  <c r="I6716" i="3" s="1"/>
  <c r="M6715" i="3"/>
  <c r="L6715" i="3"/>
  <c r="J6715" i="3"/>
  <c r="K6715" i="3" s="1"/>
  <c r="H6715" i="3"/>
  <c r="I6715" i="3" s="1"/>
  <c r="G6715" i="3"/>
  <c r="M6714" i="3"/>
  <c r="L6714" i="3"/>
  <c r="K6714" i="3"/>
  <c r="J6714" i="3"/>
  <c r="H6714" i="3"/>
  <c r="G6714" i="3"/>
  <c r="M6713" i="3"/>
  <c r="L6713" i="3"/>
  <c r="J6713" i="3"/>
  <c r="K6713" i="3" s="1"/>
  <c r="H6713" i="3"/>
  <c r="G6713" i="3"/>
  <c r="I6713" i="3" s="1"/>
  <c r="M6712" i="3"/>
  <c r="L6712" i="3"/>
  <c r="J6712" i="3"/>
  <c r="K6712" i="3" s="1"/>
  <c r="I6712" i="3"/>
  <c r="H6712" i="3"/>
  <c r="G6712" i="3"/>
  <c r="M6711" i="3"/>
  <c r="L6711" i="3"/>
  <c r="J6711" i="3"/>
  <c r="K6711" i="3" s="1"/>
  <c r="H6711" i="3"/>
  <c r="G6711" i="3"/>
  <c r="M6710" i="3"/>
  <c r="L6710" i="3"/>
  <c r="J6710" i="3"/>
  <c r="K6710" i="3" s="1"/>
  <c r="H6710" i="3"/>
  <c r="G6710" i="3"/>
  <c r="M6709" i="3"/>
  <c r="L6709" i="3"/>
  <c r="J6709" i="3"/>
  <c r="K6709" i="3" s="1"/>
  <c r="H6709" i="3"/>
  <c r="G6709" i="3"/>
  <c r="M6708" i="3"/>
  <c r="L6708" i="3"/>
  <c r="J6708" i="3"/>
  <c r="K6708" i="3" s="1"/>
  <c r="H6708" i="3"/>
  <c r="G6708" i="3"/>
  <c r="M6707" i="3"/>
  <c r="L6707" i="3"/>
  <c r="J6707" i="3"/>
  <c r="K6707" i="3" s="1"/>
  <c r="H6707" i="3"/>
  <c r="I6707" i="3" s="1"/>
  <c r="G6707" i="3"/>
  <c r="M6706" i="3"/>
  <c r="L6706" i="3"/>
  <c r="K6706" i="3"/>
  <c r="J6706" i="3"/>
  <c r="H6706" i="3"/>
  <c r="G6706" i="3"/>
  <c r="M6705" i="3"/>
  <c r="L6705" i="3"/>
  <c r="J6705" i="3"/>
  <c r="K6705" i="3" s="1"/>
  <c r="H6705" i="3"/>
  <c r="G6705" i="3"/>
  <c r="M6704" i="3"/>
  <c r="L6704" i="3"/>
  <c r="J6704" i="3"/>
  <c r="K6704" i="3" s="1"/>
  <c r="H6704" i="3"/>
  <c r="G6704" i="3"/>
  <c r="I6704" i="3" s="1"/>
  <c r="M6703" i="3"/>
  <c r="L6703" i="3"/>
  <c r="J6703" i="3"/>
  <c r="K6703" i="3" s="1"/>
  <c r="H6703" i="3"/>
  <c r="G6703" i="3"/>
  <c r="M6702" i="3"/>
  <c r="L6702" i="3"/>
  <c r="J6702" i="3"/>
  <c r="K6702" i="3" s="1"/>
  <c r="H6702" i="3"/>
  <c r="G6702" i="3"/>
  <c r="M6701" i="3"/>
  <c r="L6701" i="3"/>
  <c r="J6701" i="3"/>
  <c r="K6701" i="3" s="1"/>
  <c r="H6701" i="3"/>
  <c r="G6701" i="3"/>
  <c r="M6700" i="3"/>
  <c r="L6700" i="3"/>
  <c r="J6700" i="3"/>
  <c r="K6700" i="3" s="1"/>
  <c r="H6700" i="3"/>
  <c r="G6700" i="3"/>
  <c r="I6700" i="3" s="1"/>
  <c r="M6699" i="3"/>
  <c r="L6699" i="3"/>
  <c r="J6699" i="3"/>
  <c r="K6699" i="3" s="1"/>
  <c r="H6699" i="3"/>
  <c r="I6699" i="3" s="1"/>
  <c r="G6699" i="3"/>
  <c r="M6698" i="3"/>
  <c r="L6698" i="3"/>
  <c r="K6698" i="3"/>
  <c r="J6698" i="3"/>
  <c r="H6698" i="3"/>
  <c r="G6698" i="3"/>
  <c r="M6697" i="3"/>
  <c r="L6697" i="3"/>
  <c r="J6697" i="3"/>
  <c r="K6697" i="3" s="1"/>
  <c r="H6697" i="3"/>
  <c r="G6697" i="3"/>
  <c r="I6697" i="3" s="1"/>
  <c r="M6696" i="3"/>
  <c r="L6696" i="3"/>
  <c r="J6696" i="3"/>
  <c r="K6696" i="3" s="1"/>
  <c r="I6696" i="3"/>
  <c r="H6696" i="3"/>
  <c r="G6696" i="3"/>
  <c r="M6695" i="3"/>
  <c r="L6695" i="3"/>
  <c r="J6695" i="3"/>
  <c r="K6695" i="3" s="1"/>
  <c r="H6695" i="3"/>
  <c r="G6695" i="3"/>
  <c r="M6694" i="3"/>
  <c r="L6694" i="3"/>
  <c r="J6694" i="3"/>
  <c r="K6694" i="3" s="1"/>
  <c r="H6694" i="3"/>
  <c r="G6694" i="3"/>
  <c r="M6693" i="3"/>
  <c r="L6693" i="3"/>
  <c r="J6693" i="3"/>
  <c r="K6693" i="3" s="1"/>
  <c r="H6693" i="3"/>
  <c r="G6693" i="3"/>
  <c r="M6692" i="3"/>
  <c r="L6692" i="3"/>
  <c r="J6692" i="3"/>
  <c r="K6692" i="3" s="1"/>
  <c r="H6692" i="3"/>
  <c r="G6692" i="3"/>
  <c r="M6691" i="3"/>
  <c r="L6691" i="3"/>
  <c r="J6691" i="3"/>
  <c r="K6691" i="3" s="1"/>
  <c r="H6691" i="3"/>
  <c r="I6691" i="3" s="1"/>
  <c r="G6691" i="3"/>
  <c r="M6690" i="3"/>
  <c r="L6690" i="3"/>
  <c r="K6690" i="3"/>
  <c r="J6690" i="3"/>
  <c r="H6690" i="3"/>
  <c r="G6690" i="3"/>
  <c r="M6689" i="3"/>
  <c r="L6689" i="3"/>
  <c r="J6689" i="3"/>
  <c r="K6689" i="3" s="1"/>
  <c r="H6689" i="3"/>
  <c r="G6689" i="3"/>
  <c r="M6688" i="3"/>
  <c r="L6688" i="3"/>
  <c r="J6688" i="3"/>
  <c r="K6688" i="3" s="1"/>
  <c r="H6688" i="3"/>
  <c r="G6688" i="3"/>
  <c r="I6688" i="3" s="1"/>
  <c r="M6687" i="3"/>
  <c r="L6687" i="3"/>
  <c r="J6687" i="3"/>
  <c r="K6687" i="3" s="1"/>
  <c r="H6687" i="3"/>
  <c r="G6687" i="3"/>
  <c r="M6686" i="3"/>
  <c r="L6686" i="3"/>
  <c r="J6686" i="3"/>
  <c r="K6686" i="3" s="1"/>
  <c r="H6686" i="3"/>
  <c r="G6686" i="3"/>
  <c r="M6685" i="3"/>
  <c r="L6685" i="3"/>
  <c r="J6685" i="3"/>
  <c r="K6685" i="3" s="1"/>
  <c r="H6685" i="3"/>
  <c r="G6685" i="3"/>
  <c r="M6684" i="3"/>
  <c r="L6684" i="3"/>
  <c r="J6684" i="3"/>
  <c r="K6684" i="3" s="1"/>
  <c r="H6684" i="3"/>
  <c r="G6684" i="3"/>
  <c r="I6684" i="3" s="1"/>
  <c r="M6683" i="3"/>
  <c r="L6683" i="3"/>
  <c r="J6683" i="3"/>
  <c r="K6683" i="3" s="1"/>
  <c r="H6683" i="3"/>
  <c r="I6683" i="3" s="1"/>
  <c r="G6683" i="3"/>
  <c r="M6682" i="3"/>
  <c r="L6682" i="3"/>
  <c r="K6682" i="3"/>
  <c r="J6682" i="3"/>
  <c r="H6682" i="3"/>
  <c r="G6682" i="3"/>
  <c r="I6682" i="3" s="1"/>
  <c r="M6681" i="3"/>
  <c r="L6681" i="3"/>
  <c r="J6681" i="3"/>
  <c r="K6681" i="3" s="1"/>
  <c r="H6681" i="3"/>
  <c r="G6681" i="3"/>
  <c r="I6681" i="3" s="1"/>
  <c r="M6680" i="3"/>
  <c r="L6680" i="3"/>
  <c r="J6680" i="3"/>
  <c r="K6680" i="3" s="1"/>
  <c r="I6680" i="3"/>
  <c r="H6680" i="3"/>
  <c r="G6680" i="3"/>
  <c r="M6679" i="3"/>
  <c r="L6679" i="3"/>
  <c r="J6679" i="3"/>
  <c r="K6679" i="3" s="1"/>
  <c r="H6679" i="3"/>
  <c r="G6679" i="3"/>
  <c r="M6678" i="3"/>
  <c r="L6678" i="3"/>
  <c r="J6678" i="3"/>
  <c r="K6678" i="3" s="1"/>
  <c r="H6678" i="3"/>
  <c r="G6678" i="3"/>
  <c r="M6677" i="3"/>
  <c r="L6677" i="3"/>
  <c r="J6677" i="3"/>
  <c r="K6677" i="3" s="1"/>
  <c r="H6677" i="3"/>
  <c r="G6677" i="3"/>
  <c r="M6676" i="3"/>
  <c r="L6676" i="3"/>
  <c r="J6676" i="3"/>
  <c r="K6676" i="3" s="1"/>
  <c r="H6676" i="3"/>
  <c r="G6676" i="3"/>
  <c r="M6675" i="3"/>
  <c r="L6675" i="3"/>
  <c r="J6675" i="3"/>
  <c r="K6675" i="3" s="1"/>
  <c r="H6675" i="3"/>
  <c r="I6675" i="3" s="1"/>
  <c r="G6675" i="3"/>
  <c r="M6674" i="3"/>
  <c r="L6674" i="3"/>
  <c r="K6674" i="3"/>
  <c r="J6674" i="3"/>
  <c r="H6674" i="3"/>
  <c r="G6674" i="3"/>
  <c r="M6673" i="3"/>
  <c r="L6673" i="3"/>
  <c r="J6673" i="3"/>
  <c r="K6673" i="3" s="1"/>
  <c r="H6673" i="3"/>
  <c r="G6673" i="3"/>
  <c r="M6672" i="3"/>
  <c r="L6672" i="3"/>
  <c r="J6672" i="3"/>
  <c r="K6672" i="3" s="1"/>
  <c r="H6672" i="3"/>
  <c r="G6672" i="3"/>
  <c r="I6672" i="3" s="1"/>
  <c r="M6671" i="3"/>
  <c r="L6671" i="3"/>
  <c r="J6671" i="3"/>
  <c r="K6671" i="3" s="1"/>
  <c r="H6671" i="3"/>
  <c r="G6671" i="3"/>
  <c r="M6670" i="3"/>
  <c r="L6670" i="3"/>
  <c r="J6670" i="3"/>
  <c r="K6670" i="3" s="1"/>
  <c r="H6670" i="3"/>
  <c r="G6670" i="3"/>
  <c r="M6669" i="3"/>
  <c r="L6669" i="3"/>
  <c r="J6669" i="3"/>
  <c r="K6669" i="3" s="1"/>
  <c r="H6669" i="3"/>
  <c r="G6669" i="3"/>
  <c r="M6668" i="3"/>
  <c r="L6668" i="3"/>
  <c r="J6668" i="3"/>
  <c r="K6668" i="3" s="1"/>
  <c r="H6668" i="3"/>
  <c r="G6668" i="3"/>
  <c r="I6668" i="3" s="1"/>
  <c r="M6667" i="3"/>
  <c r="L6667" i="3"/>
  <c r="J6667" i="3"/>
  <c r="K6667" i="3" s="1"/>
  <c r="H6667" i="3"/>
  <c r="I6667" i="3" s="1"/>
  <c r="G6667" i="3"/>
  <c r="M6666" i="3"/>
  <c r="L6666" i="3"/>
  <c r="K6666" i="3"/>
  <c r="J6666" i="3"/>
  <c r="H6666" i="3"/>
  <c r="G6666" i="3"/>
  <c r="I6666" i="3" s="1"/>
  <c r="M6665" i="3"/>
  <c r="L6665" i="3"/>
  <c r="J6665" i="3"/>
  <c r="K6665" i="3" s="1"/>
  <c r="H6665" i="3"/>
  <c r="G6665" i="3"/>
  <c r="I6665" i="3" s="1"/>
  <c r="M6664" i="3"/>
  <c r="L6664" i="3"/>
  <c r="J6664" i="3"/>
  <c r="K6664" i="3" s="1"/>
  <c r="I6664" i="3"/>
  <c r="H6664" i="3"/>
  <c r="G6664" i="3"/>
  <c r="M6663" i="3"/>
  <c r="L6663" i="3"/>
  <c r="J6663" i="3"/>
  <c r="K6663" i="3" s="1"/>
  <c r="H6663" i="3"/>
  <c r="G6663" i="3"/>
  <c r="M6662" i="3"/>
  <c r="L6662" i="3"/>
  <c r="J6662" i="3"/>
  <c r="K6662" i="3" s="1"/>
  <c r="H6662" i="3"/>
  <c r="G6662" i="3"/>
  <c r="M6661" i="3"/>
  <c r="L6661" i="3"/>
  <c r="J6661" i="3"/>
  <c r="K6661" i="3" s="1"/>
  <c r="H6661" i="3"/>
  <c r="G6661" i="3"/>
  <c r="M6660" i="3"/>
  <c r="L6660" i="3"/>
  <c r="J6660" i="3"/>
  <c r="K6660" i="3" s="1"/>
  <c r="H6660" i="3"/>
  <c r="G6660" i="3"/>
  <c r="M6659" i="3"/>
  <c r="L6659" i="3"/>
  <c r="J6659" i="3"/>
  <c r="K6659" i="3" s="1"/>
  <c r="H6659" i="3"/>
  <c r="G6659" i="3"/>
  <c r="M6658" i="3"/>
  <c r="L6658" i="3"/>
  <c r="J6658" i="3"/>
  <c r="K6658" i="3" s="1"/>
  <c r="H6658" i="3"/>
  <c r="G6658" i="3"/>
  <c r="M6657" i="3"/>
  <c r="L6657" i="3"/>
  <c r="J6657" i="3"/>
  <c r="K6657" i="3" s="1"/>
  <c r="H6657" i="3"/>
  <c r="G6657" i="3"/>
  <c r="M6656" i="3"/>
  <c r="L6656" i="3"/>
  <c r="J6656" i="3"/>
  <c r="K6656" i="3" s="1"/>
  <c r="H6656" i="3"/>
  <c r="G6656" i="3"/>
  <c r="I6656" i="3" s="1"/>
  <c r="M6655" i="3"/>
  <c r="L6655" i="3"/>
  <c r="J6655" i="3"/>
  <c r="K6655" i="3" s="1"/>
  <c r="H6655" i="3"/>
  <c r="G6655" i="3"/>
  <c r="M6654" i="3"/>
  <c r="L6654" i="3"/>
  <c r="J6654" i="3"/>
  <c r="K6654" i="3" s="1"/>
  <c r="H6654" i="3"/>
  <c r="G6654" i="3"/>
  <c r="M6653" i="3"/>
  <c r="L6653" i="3"/>
  <c r="J6653" i="3"/>
  <c r="K6653" i="3" s="1"/>
  <c r="H6653" i="3"/>
  <c r="G6653" i="3"/>
  <c r="M6652" i="3"/>
  <c r="L6652" i="3"/>
  <c r="J6652" i="3"/>
  <c r="K6652" i="3" s="1"/>
  <c r="H6652" i="3"/>
  <c r="G6652" i="3"/>
  <c r="I6652" i="3" s="1"/>
  <c r="M6651" i="3"/>
  <c r="L6651" i="3"/>
  <c r="J6651" i="3"/>
  <c r="K6651" i="3" s="1"/>
  <c r="H6651" i="3"/>
  <c r="I6651" i="3" s="1"/>
  <c r="G6651" i="3"/>
  <c r="M6650" i="3"/>
  <c r="L6650" i="3"/>
  <c r="K6650" i="3"/>
  <c r="J6650" i="3"/>
  <c r="H6650" i="3"/>
  <c r="G6650" i="3"/>
  <c r="I6650" i="3" s="1"/>
  <c r="M6841" i="3"/>
  <c r="L6841" i="3"/>
  <c r="J6841" i="3"/>
  <c r="K6841" i="3" s="1"/>
  <c r="H6841" i="3"/>
  <c r="G6841" i="3"/>
  <c r="M6840" i="3"/>
  <c r="L6840" i="3"/>
  <c r="J6840" i="3"/>
  <c r="K6840" i="3" s="1"/>
  <c r="H6840" i="3"/>
  <c r="G6840" i="3"/>
  <c r="M6839" i="3"/>
  <c r="L6839" i="3"/>
  <c r="J6839" i="3"/>
  <c r="K6839" i="3" s="1"/>
  <c r="H6839" i="3"/>
  <c r="G6839" i="3"/>
  <c r="M6838" i="3"/>
  <c r="L6838" i="3"/>
  <c r="J6838" i="3"/>
  <c r="K6838" i="3" s="1"/>
  <c r="H6838" i="3"/>
  <c r="G6838" i="3"/>
  <c r="M6837" i="3"/>
  <c r="L6837" i="3"/>
  <c r="J6837" i="3"/>
  <c r="K6837" i="3" s="1"/>
  <c r="H6837" i="3"/>
  <c r="G6837" i="3"/>
  <c r="I6837" i="3" s="1"/>
  <c r="M6836" i="3"/>
  <c r="L6836" i="3"/>
  <c r="J6836" i="3"/>
  <c r="K6836" i="3" s="1"/>
  <c r="I6836" i="3"/>
  <c r="H6836" i="3"/>
  <c r="G6836" i="3"/>
  <c r="M6835" i="3"/>
  <c r="L6835" i="3"/>
  <c r="J6835" i="3"/>
  <c r="K6835" i="3" s="1"/>
  <c r="H6835" i="3"/>
  <c r="G6835" i="3"/>
  <c r="M6834" i="3"/>
  <c r="L6834" i="3"/>
  <c r="J6834" i="3"/>
  <c r="K6834" i="3" s="1"/>
  <c r="H6834" i="3"/>
  <c r="G6834" i="3"/>
  <c r="M6833" i="3"/>
  <c r="L6833" i="3"/>
  <c r="J6833" i="3"/>
  <c r="K6833" i="3" s="1"/>
  <c r="H6833" i="3"/>
  <c r="G6833" i="3"/>
  <c r="M6832" i="3"/>
  <c r="L6832" i="3"/>
  <c r="J6832" i="3"/>
  <c r="K6832" i="3" s="1"/>
  <c r="H6832" i="3"/>
  <c r="G6832" i="3"/>
  <c r="M6831" i="3"/>
  <c r="L6831" i="3"/>
  <c r="J6831" i="3"/>
  <c r="K6831" i="3" s="1"/>
  <c r="H6831" i="3"/>
  <c r="G6831" i="3"/>
  <c r="M6830" i="3"/>
  <c r="L6830" i="3"/>
  <c r="K6830" i="3"/>
  <c r="J6830" i="3"/>
  <c r="H6830" i="3"/>
  <c r="G6830" i="3"/>
  <c r="M6829" i="3"/>
  <c r="L6829" i="3"/>
  <c r="J6829" i="3"/>
  <c r="K6829" i="3" s="1"/>
  <c r="H6829" i="3"/>
  <c r="G6829" i="3"/>
  <c r="M6828" i="3"/>
  <c r="L6828" i="3"/>
  <c r="J6828" i="3"/>
  <c r="K6828" i="3" s="1"/>
  <c r="H6828" i="3"/>
  <c r="G6828" i="3"/>
  <c r="I6828" i="3" s="1"/>
  <c r="M6827" i="3"/>
  <c r="L6827" i="3"/>
  <c r="J6827" i="3"/>
  <c r="K6827" i="3" s="1"/>
  <c r="H6827" i="3"/>
  <c r="G6827" i="3"/>
  <c r="M6826" i="3"/>
  <c r="L6826" i="3"/>
  <c r="J6826" i="3"/>
  <c r="K6826" i="3" s="1"/>
  <c r="H6826" i="3"/>
  <c r="G6826" i="3"/>
  <c r="M6825" i="3"/>
  <c r="L6825" i="3"/>
  <c r="J6825" i="3"/>
  <c r="K6825" i="3" s="1"/>
  <c r="H6825" i="3"/>
  <c r="G6825" i="3"/>
  <c r="M6824" i="3"/>
  <c r="L6824" i="3"/>
  <c r="J6824" i="3"/>
  <c r="K6824" i="3" s="1"/>
  <c r="H6824" i="3"/>
  <c r="G6824" i="3"/>
  <c r="I6824" i="3" s="1"/>
  <c r="M6823" i="3"/>
  <c r="L6823" i="3"/>
  <c r="J6823" i="3"/>
  <c r="K6823" i="3" s="1"/>
  <c r="H6823" i="3"/>
  <c r="I6823" i="3" s="1"/>
  <c r="G6823" i="3"/>
  <c r="M6822" i="3"/>
  <c r="L6822" i="3"/>
  <c r="K6822" i="3"/>
  <c r="J6822" i="3"/>
  <c r="H6822" i="3"/>
  <c r="G6822" i="3"/>
  <c r="M6821" i="3"/>
  <c r="L6821" i="3"/>
  <c r="J6821" i="3"/>
  <c r="K6821" i="3" s="1"/>
  <c r="H6821" i="3"/>
  <c r="G6821" i="3"/>
  <c r="I6821" i="3" s="1"/>
  <c r="M6820" i="3"/>
  <c r="L6820" i="3"/>
  <c r="J6820" i="3"/>
  <c r="K6820" i="3" s="1"/>
  <c r="I6820" i="3"/>
  <c r="H6820" i="3"/>
  <c r="G6820" i="3"/>
  <c r="M6819" i="3"/>
  <c r="L6819" i="3"/>
  <c r="J6819" i="3"/>
  <c r="K6819" i="3" s="1"/>
  <c r="H6819" i="3"/>
  <c r="G6819" i="3"/>
  <c r="M6818" i="3"/>
  <c r="L6818" i="3"/>
  <c r="J6818" i="3"/>
  <c r="K6818" i="3" s="1"/>
  <c r="H6818" i="3"/>
  <c r="G6818" i="3"/>
  <c r="M6817" i="3"/>
  <c r="L6817" i="3"/>
  <c r="J6817" i="3"/>
  <c r="K6817" i="3" s="1"/>
  <c r="H6817" i="3"/>
  <c r="G6817" i="3"/>
  <c r="M6816" i="3"/>
  <c r="L6816" i="3"/>
  <c r="J6816" i="3"/>
  <c r="K6816" i="3" s="1"/>
  <c r="H6816" i="3"/>
  <c r="G6816" i="3"/>
  <c r="M6815" i="3"/>
  <c r="L6815" i="3"/>
  <c r="J6815" i="3"/>
  <c r="K6815" i="3" s="1"/>
  <c r="H6815" i="3"/>
  <c r="I6815" i="3" s="1"/>
  <c r="G6815" i="3"/>
  <c r="M6814" i="3"/>
  <c r="L6814" i="3"/>
  <c r="J6814" i="3"/>
  <c r="K6814" i="3" s="1"/>
  <c r="H6814" i="3"/>
  <c r="G6814" i="3"/>
  <c r="M6813" i="3"/>
  <c r="L6813" i="3"/>
  <c r="J6813" i="3"/>
  <c r="K6813" i="3" s="1"/>
  <c r="H6813" i="3"/>
  <c r="G6813" i="3"/>
  <c r="M6812" i="3"/>
  <c r="L6812" i="3"/>
  <c r="J6812" i="3"/>
  <c r="K6812" i="3" s="1"/>
  <c r="H6812" i="3"/>
  <c r="G6812" i="3"/>
  <c r="I6812" i="3" s="1"/>
  <c r="M6811" i="3"/>
  <c r="L6811" i="3"/>
  <c r="J6811" i="3"/>
  <c r="K6811" i="3" s="1"/>
  <c r="H6811" i="3"/>
  <c r="G6811" i="3"/>
  <c r="M6810" i="3"/>
  <c r="L6810" i="3"/>
  <c r="J6810" i="3"/>
  <c r="K6810" i="3" s="1"/>
  <c r="H6810" i="3"/>
  <c r="G6810" i="3"/>
  <c r="M6809" i="3"/>
  <c r="L6809" i="3"/>
  <c r="J6809" i="3"/>
  <c r="K6809" i="3" s="1"/>
  <c r="H6809" i="3"/>
  <c r="G6809" i="3"/>
  <c r="M6808" i="3"/>
  <c r="L6808" i="3"/>
  <c r="J6808" i="3"/>
  <c r="K6808" i="3" s="1"/>
  <c r="H6808" i="3"/>
  <c r="G6808" i="3"/>
  <c r="I6808" i="3" s="1"/>
  <c r="M6807" i="3"/>
  <c r="L6807" i="3"/>
  <c r="J6807" i="3"/>
  <c r="K6807" i="3" s="1"/>
  <c r="H6807" i="3"/>
  <c r="I6807" i="3" s="1"/>
  <c r="G6807" i="3"/>
  <c r="M6806" i="3"/>
  <c r="L6806" i="3"/>
  <c r="K6806" i="3"/>
  <c r="J6806" i="3"/>
  <c r="H6806" i="3"/>
  <c r="G6806" i="3"/>
  <c r="I6806" i="3" s="1"/>
  <c r="M6805" i="3"/>
  <c r="L6805" i="3"/>
  <c r="J6805" i="3"/>
  <c r="K6805" i="3" s="1"/>
  <c r="H6805" i="3"/>
  <c r="G6805" i="3"/>
  <c r="I6805" i="3" s="1"/>
  <c r="M6804" i="3"/>
  <c r="L6804" i="3"/>
  <c r="J6804" i="3"/>
  <c r="K6804" i="3" s="1"/>
  <c r="I6804" i="3"/>
  <c r="H6804" i="3"/>
  <c r="G6804" i="3"/>
  <c r="M6803" i="3"/>
  <c r="L6803" i="3"/>
  <c r="J6803" i="3"/>
  <c r="K6803" i="3" s="1"/>
  <c r="H6803" i="3"/>
  <c r="G6803" i="3"/>
  <c r="M6802" i="3"/>
  <c r="L6802" i="3"/>
  <c r="J6802" i="3"/>
  <c r="K6802" i="3" s="1"/>
  <c r="H6802" i="3"/>
  <c r="G6802" i="3"/>
  <c r="M6801" i="3"/>
  <c r="L6801" i="3"/>
  <c r="J6801" i="3"/>
  <c r="K6801" i="3" s="1"/>
  <c r="H6801" i="3"/>
  <c r="G6801" i="3"/>
  <c r="M6800" i="3"/>
  <c r="L6800" i="3"/>
  <c r="J6800" i="3"/>
  <c r="K6800" i="3" s="1"/>
  <c r="H6800" i="3"/>
  <c r="G6800" i="3"/>
  <c r="M6799" i="3"/>
  <c r="L6799" i="3"/>
  <c r="J6799" i="3"/>
  <c r="K6799" i="3" s="1"/>
  <c r="H6799" i="3"/>
  <c r="I6799" i="3" s="1"/>
  <c r="G6799" i="3"/>
  <c r="M6798" i="3"/>
  <c r="L6798" i="3"/>
  <c r="K6798" i="3"/>
  <c r="J6798" i="3"/>
  <c r="H6798" i="3"/>
  <c r="G6798" i="3"/>
  <c r="M6797" i="3"/>
  <c r="L6797" i="3"/>
  <c r="J6797" i="3"/>
  <c r="K6797" i="3" s="1"/>
  <c r="H6797" i="3"/>
  <c r="G6797" i="3"/>
  <c r="M6796" i="3"/>
  <c r="L6796" i="3"/>
  <c r="J6796" i="3"/>
  <c r="K6796" i="3" s="1"/>
  <c r="H6796" i="3"/>
  <c r="G6796" i="3"/>
  <c r="I6796" i="3" s="1"/>
  <c r="M6795" i="3"/>
  <c r="L6795" i="3"/>
  <c r="J6795" i="3"/>
  <c r="K6795" i="3" s="1"/>
  <c r="H6795" i="3"/>
  <c r="G6795" i="3"/>
  <c r="M6794" i="3"/>
  <c r="L6794" i="3"/>
  <c r="J6794" i="3"/>
  <c r="K6794" i="3" s="1"/>
  <c r="H6794" i="3"/>
  <c r="G6794" i="3"/>
  <c r="M6793" i="3"/>
  <c r="L6793" i="3"/>
  <c r="J6793" i="3"/>
  <c r="K6793" i="3" s="1"/>
  <c r="H6793" i="3"/>
  <c r="G6793" i="3"/>
  <c r="M6792" i="3"/>
  <c r="L6792" i="3"/>
  <c r="J6792" i="3"/>
  <c r="K6792" i="3" s="1"/>
  <c r="H6792" i="3"/>
  <c r="G6792" i="3"/>
  <c r="I6792" i="3" s="1"/>
  <c r="M6791" i="3"/>
  <c r="L6791" i="3"/>
  <c r="J6791" i="3"/>
  <c r="K6791" i="3" s="1"/>
  <c r="H6791" i="3"/>
  <c r="I6791" i="3" s="1"/>
  <c r="G6791" i="3"/>
  <c r="M6790" i="3"/>
  <c r="L6790" i="3"/>
  <c r="K6790" i="3"/>
  <c r="J6790" i="3"/>
  <c r="H6790" i="3"/>
  <c r="G6790" i="3"/>
  <c r="M6789" i="3"/>
  <c r="L6789" i="3"/>
  <c r="J6789" i="3"/>
  <c r="K6789" i="3" s="1"/>
  <c r="H6789" i="3"/>
  <c r="G6789" i="3"/>
  <c r="I6789" i="3" s="1"/>
  <c r="M6788" i="3"/>
  <c r="L6788" i="3"/>
  <c r="J6788" i="3"/>
  <c r="K6788" i="3" s="1"/>
  <c r="I6788" i="3"/>
  <c r="H6788" i="3"/>
  <c r="G6788" i="3"/>
  <c r="M6787" i="3"/>
  <c r="L6787" i="3"/>
  <c r="J6787" i="3"/>
  <c r="K6787" i="3" s="1"/>
  <c r="H6787" i="3"/>
  <c r="G6787" i="3"/>
  <c r="M6786" i="3"/>
  <c r="L6786" i="3"/>
  <c r="J6786" i="3"/>
  <c r="K6786" i="3" s="1"/>
  <c r="H6786" i="3"/>
  <c r="G6786" i="3"/>
  <c r="M6785" i="3"/>
  <c r="L6785" i="3"/>
  <c r="J6785" i="3"/>
  <c r="K6785" i="3" s="1"/>
  <c r="H6785" i="3"/>
  <c r="G6785" i="3"/>
  <c r="M6784" i="3"/>
  <c r="L6784" i="3"/>
  <c r="J6784" i="3"/>
  <c r="K6784" i="3" s="1"/>
  <c r="H6784" i="3"/>
  <c r="G6784" i="3"/>
  <c r="M6783" i="3"/>
  <c r="L6783" i="3"/>
  <c r="J6783" i="3"/>
  <c r="K6783" i="3" s="1"/>
  <c r="H6783" i="3"/>
  <c r="I6783" i="3" s="1"/>
  <c r="G6783" i="3"/>
  <c r="M6782" i="3"/>
  <c r="L6782" i="3"/>
  <c r="K6782" i="3"/>
  <c r="J6782" i="3"/>
  <c r="H6782" i="3"/>
  <c r="G6782" i="3"/>
  <c r="M6781" i="3"/>
  <c r="L6781" i="3"/>
  <c r="J6781" i="3"/>
  <c r="K6781" i="3" s="1"/>
  <c r="H6781" i="3"/>
  <c r="G6781" i="3"/>
  <c r="M6780" i="3"/>
  <c r="L6780" i="3"/>
  <c r="J6780" i="3"/>
  <c r="K6780" i="3" s="1"/>
  <c r="H6780" i="3"/>
  <c r="G6780" i="3"/>
  <c r="I6780" i="3" s="1"/>
  <c r="M6779" i="3"/>
  <c r="L6779" i="3"/>
  <c r="J6779" i="3"/>
  <c r="K6779" i="3" s="1"/>
  <c r="H6779" i="3"/>
  <c r="G6779" i="3"/>
  <c r="M6778" i="3"/>
  <c r="L6778" i="3"/>
  <c r="J6778" i="3"/>
  <c r="K6778" i="3" s="1"/>
  <c r="H6778" i="3"/>
  <c r="G6778" i="3"/>
  <c r="M6777" i="3"/>
  <c r="L6777" i="3"/>
  <c r="J6777" i="3"/>
  <c r="K6777" i="3" s="1"/>
  <c r="H6777" i="3"/>
  <c r="G6777" i="3"/>
  <c r="M6776" i="3"/>
  <c r="L6776" i="3"/>
  <c r="J6776" i="3"/>
  <c r="K6776" i="3" s="1"/>
  <c r="H6776" i="3"/>
  <c r="G6776" i="3"/>
  <c r="I6776" i="3" s="1"/>
  <c r="M6775" i="3"/>
  <c r="L6775" i="3"/>
  <c r="J6775" i="3"/>
  <c r="K6775" i="3" s="1"/>
  <c r="H6775" i="3"/>
  <c r="I6775" i="3" s="1"/>
  <c r="G6775" i="3"/>
  <c r="M6774" i="3"/>
  <c r="L6774" i="3"/>
  <c r="K6774" i="3"/>
  <c r="J6774" i="3"/>
  <c r="H6774" i="3"/>
  <c r="G6774" i="3"/>
  <c r="I6774" i="3" s="1"/>
  <c r="M6773" i="3"/>
  <c r="L6773" i="3"/>
  <c r="J6773" i="3"/>
  <c r="K6773" i="3" s="1"/>
  <c r="H6773" i="3"/>
  <c r="G6773" i="3"/>
  <c r="I6773" i="3" s="1"/>
  <c r="M6772" i="3"/>
  <c r="L6772" i="3"/>
  <c r="J6772" i="3"/>
  <c r="K6772" i="3" s="1"/>
  <c r="I6772" i="3"/>
  <c r="H6772" i="3"/>
  <c r="G6772" i="3"/>
  <c r="M6771" i="3"/>
  <c r="L6771" i="3"/>
  <c r="J6771" i="3"/>
  <c r="K6771" i="3" s="1"/>
  <c r="H6771" i="3"/>
  <c r="G6771" i="3"/>
  <c r="M6770" i="3"/>
  <c r="L6770" i="3"/>
  <c r="J6770" i="3"/>
  <c r="K6770" i="3" s="1"/>
  <c r="H6770" i="3"/>
  <c r="G6770" i="3"/>
  <c r="M6769" i="3"/>
  <c r="L6769" i="3"/>
  <c r="J6769" i="3"/>
  <c r="K6769" i="3" s="1"/>
  <c r="H6769" i="3"/>
  <c r="G6769" i="3"/>
  <c r="M6768" i="3"/>
  <c r="L6768" i="3"/>
  <c r="J6768" i="3"/>
  <c r="K6768" i="3" s="1"/>
  <c r="H6768" i="3"/>
  <c r="G6768" i="3"/>
  <c r="M6767" i="3"/>
  <c r="L6767" i="3"/>
  <c r="J6767" i="3"/>
  <c r="K6767" i="3" s="1"/>
  <c r="H6767" i="3"/>
  <c r="I6767" i="3" s="1"/>
  <c r="G6767" i="3"/>
  <c r="M6766" i="3"/>
  <c r="L6766" i="3"/>
  <c r="J6766" i="3"/>
  <c r="K6766" i="3" s="1"/>
  <c r="H6766" i="3"/>
  <c r="G6766" i="3"/>
  <c r="M6765" i="3"/>
  <c r="L6765" i="3"/>
  <c r="J6765" i="3"/>
  <c r="K6765" i="3" s="1"/>
  <c r="H6765" i="3"/>
  <c r="G6765" i="3"/>
  <c r="M6764" i="3"/>
  <c r="L6764" i="3"/>
  <c r="J6764" i="3"/>
  <c r="K6764" i="3" s="1"/>
  <c r="H6764" i="3"/>
  <c r="G6764" i="3"/>
  <c r="I6764" i="3" s="1"/>
  <c r="M6763" i="3"/>
  <c r="L6763" i="3"/>
  <c r="J6763" i="3"/>
  <c r="K6763" i="3" s="1"/>
  <c r="H6763" i="3"/>
  <c r="G6763" i="3"/>
  <c r="M6762" i="3"/>
  <c r="L6762" i="3"/>
  <c r="J6762" i="3"/>
  <c r="K6762" i="3" s="1"/>
  <c r="H6762" i="3"/>
  <c r="G6762" i="3"/>
  <c r="M6761" i="3"/>
  <c r="L6761" i="3"/>
  <c r="J6761" i="3"/>
  <c r="K6761" i="3" s="1"/>
  <c r="H6761" i="3"/>
  <c r="G6761" i="3"/>
  <c r="M6760" i="3"/>
  <c r="L6760" i="3"/>
  <c r="J6760" i="3"/>
  <c r="K6760" i="3" s="1"/>
  <c r="H6760" i="3"/>
  <c r="G6760" i="3"/>
  <c r="I6760" i="3" s="1"/>
  <c r="M6759" i="3"/>
  <c r="L6759" i="3"/>
  <c r="J6759" i="3"/>
  <c r="K6759" i="3" s="1"/>
  <c r="H6759" i="3"/>
  <c r="I6759" i="3" s="1"/>
  <c r="G6759" i="3"/>
  <c r="M6758" i="3"/>
  <c r="L6758" i="3"/>
  <c r="K6758" i="3"/>
  <c r="J6758" i="3"/>
  <c r="H6758" i="3"/>
  <c r="G6758" i="3"/>
  <c r="I6758" i="3" s="1"/>
  <c r="M6757" i="3"/>
  <c r="L6757" i="3"/>
  <c r="J6757" i="3"/>
  <c r="K6757" i="3" s="1"/>
  <c r="H6757" i="3"/>
  <c r="G6757" i="3"/>
  <c r="M6756" i="3"/>
  <c r="L6756" i="3"/>
  <c r="J6756" i="3"/>
  <c r="K6756" i="3" s="1"/>
  <c r="I6756" i="3"/>
  <c r="H6756" i="3"/>
  <c r="G6756" i="3"/>
  <c r="M6755" i="3"/>
  <c r="L6755" i="3"/>
  <c r="J6755" i="3"/>
  <c r="K6755" i="3" s="1"/>
  <c r="H6755" i="3"/>
  <c r="G6755" i="3"/>
  <c r="M6754" i="3"/>
  <c r="L6754" i="3"/>
  <c r="J6754" i="3"/>
  <c r="K6754" i="3" s="1"/>
  <c r="H6754" i="3"/>
  <c r="G6754" i="3"/>
  <c r="M6753" i="3"/>
  <c r="L6753" i="3"/>
  <c r="J6753" i="3"/>
  <c r="K6753" i="3" s="1"/>
  <c r="H6753" i="3"/>
  <c r="G6753" i="3"/>
  <c r="M6752" i="3"/>
  <c r="L6752" i="3"/>
  <c r="J6752" i="3"/>
  <c r="K6752" i="3" s="1"/>
  <c r="H6752" i="3"/>
  <c r="G6752" i="3"/>
  <c r="M6751" i="3"/>
  <c r="L6751" i="3"/>
  <c r="J6751" i="3"/>
  <c r="K6751" i="3" s="1"/>
  <c r="H6751" i="3"/>
  <c r="G6751" i="3"/>
  <c r="M6750" i="3"/>
  <c r="L6750" i="3"/>
  <c r="J6750" i="3"/>
  <c r="K6750" i="3" s="1"/>
  <c r="H6750" i="3"/>
  <c r="G6750" i="3"/>
  <c r="M6749" i="3"/>
  <c r="L6749" i="3"/>
  <c r="J6749" i="3"/>
  <c r="K6749" i="3" s="1"/>
  <c r="H6749" i="3"/>
  <c r="G6749" i="3"/>
  <c r="M6748" i="3"/>
  <c r="L6748" i="3"/>
  <c r="J6748" i="3"/>
  <c r="K6748" i="3" s="1"/>
  <c r="H6748" i="3"/>
  <c r="G6748" i="3"/>
  <c r="I6748" i="3" s="1"/>
  <c r="M6747" i="3"/>
  <c r="L6747" i="3"/>
  <c r="J6747" i="3"/>
  <c r="K6747" i="3" s="1"/>
  <c r="H6747" i="3"/>
  <c r="G6747" i="3"/>
  <c r="M6746" i="3"/>
  <c r="L6746" i="3"/>
  <c r="J6746" i="3"/>
  <c r="K6746" i="3" s="1"/>
  <c r="H6746" i="3"/>
  <c r="G6746" i="3"/>
  <c r="M6889" i="3"/>
  <c r="L6889" i="3"/>
  <c r="J6889" i="3"/>
  <c r="K6889" i="3" s="1"/>
  <c r="H6889" i="3"/>
  <c r="G6889" i="3"/>
  <c r="M6888" i="3"/>
  <c r="L6888" i="3"/>
  <c r="J6888" i="3"/>
  <c r="K6888" i="3" s="1"/>
  <c r="H6888" i="3"/>
  <c r="G6888" i="3"/>
  <c r="I6888" i="3" s="1"/>
  <c r="M6887" i="3"/>
  <c r="L6887" i="3"/>
  <c r="J6887" i="3"/>
  <c r="K6887" i="3" s="1"/>
  <c r="H6887" i="3"/>
  <c r="I6887" i="3" s="1"/>
  <c r="G6887" i="3"/>
  <c r="M6886" i="3"/>
  <c r="L6886" i="3"/>
  <c r="K6886" i="3"/>
  <c r="J6886" i="3"/>
  <c r="H6886" i="3"/>
  <c r="G6886" i="3"/>
  <c r="I6886" i="3" s="1"/>
  <c r="M6885" i="3"/>
  <c r="L6885" i="3"/>
  <c r="J6885" i="3"/>
  <c r="K6885" i="3" s="1"/>
  <c r="H6885" i="3"/>
  <c r="G6885" i="3"/>
  <c r="M6884" i="3"/>
  <c r="L6884" i="3"/>
  <c r="J6884" i="3"/>
  <c r="K6884" i="3" s="1"/>
  <c r="I6884" i="3"/>
  <c r="H6884" i="3"/>
  <c r="G6884" i="3"/>
  <c r="M6883" i="3"/>
  <c r="L6883" i="3"/>
  <c r="J6883" i="3"/>
  <c r="K6883" i="3" s="1"/>
  <c r="H6883" i="3"/>
  <c r="G6883" i="3"/>
  <c r="M6882" i="3"/>
  <c r="L6882" i="3"/>
  <c r="J6882" i="3"/>
  <c r="K6882" i="3" s="1"/>
  <c r="H6882" i="3"/>
  <c r="G6882" i="3"/>
  <c r="M6881" i="3"/>
  <c r="L6881" i="3"/>
  <c r="J6881" i="3"/>
  <c r="K6881" i="3" s="1"/>
  <c r="H6881" i="3"/>
  <c r="G6881" i="3"/>
  <c r="M6880" i="3"/>
  <c r="L6880" i="3"/>
  <c r="J6880" i="3"/>
  <c r="K6880" i="3" s="1"/>
  <c r="H6880" i="3"/>
  <c r="G6880" i="3"/>
  <c r="M6879" i="3"/>
  <c r="L6879" i="3"/>
  <c r="J6879" i="3"/>
  <c r="K6879" i="3" s="1"/>
  <c r="H6879" i="3"/>
  <c r="G6879" i="3"/>
  <c r="M6878" i="3"/>
  <c r="L6878" i="3"/>
  <c r="J6878" i="3"/>
  <c r="K6878" i="3" s="1"/>
  <c r="H6878" i="3"/>
  <c r="G6878" i="3"/>
  <c r="M6877" i="3"/>
  <c r="L6877" i="3"/>
  <c r="J6877" i="3"/>
  <c r="K6877" i="3" s="1"/>
  <c r="H6877" i="3"/>
  <c r="G6877" i="3"/>
  <c r="M6876" i="3"/>
  <c r="L6876" i="3"/>
  <c r="J6876" i="3"/>
  <c r="K6876" i="3" s="1"/>
  <c r="H6876" i="3"/>
  <c r="G6876" i="3"/>
  <c r="I6876" i="3" s="1"/>
  <c r="M6875" i="3"/>
  <c r="L6875" i="3"/>
  <c r="J6875" i="3"/>
  <c r="K6875" i="3" s="1"/>
  <c r="H6875" i="3"/>
  <c r="G6875" i="3"/>
  <c r="M6874" i="3"/>
  <c r="L6874" i="3"/>
  <c r="J6874" i="3"/>
  <c r="K6874" i="3" s="1"/>
  <c r="H6874" i="3"/>
  <c r="G6874" i="3"/>
  <c r="M6873" i="3"/>
  <c r="L6873" i="3"/>
  <c r="J6873" i="3"/>
  <c r="K6873" i="3" s="1"/>
  <c r="H6873" i="3"/>
  <c r="G6873" i="3"/>
  <c r="M6872" i="3"/>
  <c r="L6872" i="3"/>
  <c r="J6872" i="3"/>
  <c r="K6872" i="3" s="1"/>
  <c r="H6872" i="3"/>
  <c r="G6872" i="3"/>
  <c r="I6872" i="3" s="1"/>
  <c r="M6871" i="3"/>
  <c r="L6871" i="3"/>
  <c r="J6871" i="3"/>
  <c r="K6871" i="3" s="1"/>
  <c r="H6871" i="3"/>
  <c r="G6871" i="3"/>
  <c r="M6870" i="3"/>
  <c r="L6870" i="3"/>
  <c r="J6870" i="3"/>
  <c r="K6870" i="3" s="1"/>
  <c r="H6870" i="3"/>
  <c r="G6870" i="3"/>
  <c r="I6870" i="3" s="1"/>
  <c r="M6869" i="3"/>
  <c r="L6869" i="3"/>
  <c r="J6869" i="3"/>
  <c r="K6869" i="3" s="1"/>
  <c r="H6869" i="3"/>
  <c r="G6869" i="3"/>
  <c r="M6868" i="3"/>
  <c r="L6868" i="3"/>
  <c r="J6868" i="3"/>
  <c r="K6868" i="3" s="1"/>
  <c r="H6868" i="3"/>
  <c r="I6868" i="3" s="1"/>
  <c r="G6868" i="3"/>
  <c r="M6867" i="3"/>
  <c r="L6867" i="3"/>
  <c r="J6867" i="3"/>
  <c r="K6867" i="3" s="1"/>
  <c r="H6867" i="3"/>
  <c r="G6867" i="3"/>
  <c r="M6866" i="3"/>
  <c r="L6866" i="3"/>
  <c r="J6866" i="3"/>
  <c r="K6866" i="3" s="1"/>
  <c r="H6866" i="3"/>
  <c r="G6866" i="3"/>
  <c r="M6865" i="3"/>
  <c r="L6865" i="3"/>
  <c r="J6865" i="3"/>
  <c r="K6865" i="3" s="1"/>
  <c r="H6865" i="3"/>
  <c r="G6865" i="3"/>
  <c r="M6864" i="3"/>
  <c r="L6864" i="3"/>
  <c r="J6864" i="3"/>
  <c r="K6864" i="3" s="1"/>
  <c r="H6864" i="3"/>
  <c r="G6864" i="3"/>
  <c r="M6863" i="3"/>
  <c r="L6863" i="3"/>
  <c r="J6863" i="3"/>
  <c r="K6863" i="3" s="1"/>
  <c r="H6863" i="3"/>
  <c r="I6863" i="3" s="1"/>
  <c r="G6863" i="3"/>
  <c r="M6862" i="3"/>
  <c r="L6862" i="3"/>
  <c r="K6862" i="3"/>
  <c r="J6862" i="3"/>
  <c r="H6862" i="3"/>
  <c r="G6862" i="3"/>
  <c r="I6862" i="3" s="1"/>
  <c r="M6861" i="3"/>
  <c r="L6861" i="3"/>
  <c r="J6861" i="3"/>
  <c r="K6861" i="3" s="1"/>
  <c r="H6861" i="3"/>
  <c r="G6861" i="3"/>
  <c r="M6860" i="3"/>
  <c r="L6860" i="3"/>
  <c r="J6860" i="3"/>
  <c r="K6860" i="3" s="1"/>
  <c r="H6860" i="3"/>
  <c r="G6860" i="3"/>
  <c r="I6860" i="3" s="1"/>
  <c r="M6859" i="3"/>
  <c r="L6859" i="3"/>
  <c r="J6859" i="3"/>
  <c r="K6859" i="3" s="1"/>
  <c r="H6859" i="3"/>
  <c r="G6859" i="3"/>
  <c r="M6858" i="3"/>
  <c r="L6858" i="3"/>
  <c r="J6858" i="3"/>
  <c r="K6858" i="3" s="1"/>
  <c r="H6858" i="3"/>
  <c r="G6858" i="3"/>
  <c r="M6857" i="3"/>
  <c r="L6857" i="3"/>
  <c r="J6857" i="3"/>
  <c r="K6857" i="3" s="1"/>
  <c r="H6857" i="3"/>
  <c r="G6857" i="3"/>
  <c r="M6856" i="3"/>
  <c r="L6856" i="3"/>
  <c r="J6856" i="3"/>
  <c r="K6856" i="3" s="1"/>
  <c r="H6856" i="3"/>
  <c r="G6856" i="3"/>
  <c r="I6856" i="3" s="1"/>
  <c r="M6855" i="3"/>
  <c r="L6855" i="3"/>
  <c r="J6855" i="3"/>
  <c r="K6855" i="3" s="1"/>
  <c r="H6855" i="3"/>
  <c r="G6855" i="3"/>
  <c r="M6854" i="3"/>
  <c r="L6854" i="3"/>
  <c r="J6854" i="3"/>
  <c r="K6854" i="3" s="1"/>
  <c r="H6854" i="3"/>
  <c r="G6854" i="3"/>
  <c r="I6854" i="3" s="1"/>
  <c r="M6853" i="3"/>
  <c r="L6853" i="3"/>
  <c r="J6853" i="3"/>
  <c r="K6853" i="3" s="1"/>
  <c r="H6853" i="3"/>
  <c r="G6853" i="3"/>
  <c r="M6852" i="3"/>
  <c r="L6852" i="3"/>
  <c r="J6852" i="3"/>
  <c r="K6852" i="3" s="1"/>
  <c r="H6852" i="3"/>
  <c r="I6852" i="3" s="1"/>
  <c r="G6852" i="3"/>
  <c r="M6851" i="3"/>
  <c r="L6851" i="3"/>
  <c r="J6851" i="3"/>
  <c r="K6851" i="3" s="1"/>
  <c r="H6851" i="3"/>
  <c r="G6851" i="3"/>
  <c r="M6850" i="3"/>
  <c r="L6850" i="3"/>
  <c r="J6850" i="3"/>
  <c r="K6850" i="3" s="1"/>
  <c r="H6850" i="3"/>
  <c r="G6850" i="3"/>
  <c r="M6849" i="3"/>
  <c r="L6849" i="3"/>
  <c r="J6849" i="3"/>
  <c r="K6849" i="3" s="1"/>
  <c r="H6849" i="3"/>
  <c r="G6849" i="3"/>
  <c r="M6848" i="3"/>
  <c r="L6848" i="3"/>
  <c r="J6848" i="3"/>
  <c r="K6848" i="3" s="1"/>
  <c r="H6848" i="3"/>
  <c r="G6848" i="3"/>
  <c r="M6847" i="3"/>
  <c r="L6847" i="3"/>
  <c r="J6847" i="3"/>
  <c r="K6847" i="3" s="1"/>
  <c r="H6847" i="3"/>
  <c r="G6847" i="3"/>
  <c r="M6846" i="3"/>
  <c r="L6846" i="3"/>
  <c r="J6846" i="3"/>
  <c r="K6846" i="3" s="1"/>
  <c r="H6846" i="3"/>
  <c r="G6846" i="3"/>
  <c r="I6846" i="3" s="1"/>
  <c r="M6845" i="3"/>
  <c r="L6845" i="3"/>
  <c r="J6845" i="3"/>
  <c r="K6845" i="3" s="1"/>
  <c r="H6845" i="3"/>
  <c r="G6845" i="3"/>
  <c r="M6844" i="3"/>
  <c r="L6844" i="3"/>
  <c r="J6844" i="3"/>
  <c r="K6844" i="3" s="1"/>
  <c r="H6844" i="3"/>
  <c r="G6844" i="3"/>
  <c r="I6844" i="3" s="1"/>
  <c r="M6843" i="3"/>
  <c r="L6843" i="3"/>
  <c r="J6843" i="3"/>
  <c r="K6843" i="3" s="1"/>
  <c r="H6843" i="3"/>
  <c r="G6843" i="3"/>
  <c r="M6842" i="3"/>
  <c r="L6842" i="3"/>
  <c r="J6842" i="3"/>
  <c r="K6842" i="3" s="1"/>
  <c r="H6842" i="3"/>
  <c r="G6842" i="3"/>
  <c r="M6937" i="3"/>
  <c r="L6937" i="3"/>
  <c r="J6937" i="3"/>
  <c r="K6937" i="3" s="1"/>
  <c r="H6937" i="3"/>
  <c r="G6937" i="3"/>
  <c r="M6936" i="3"/>
  <c r="L6936" i="3"/>
  <c r="J6936" i="3"/>
  <c r="K6936" i="3" s="1"/>
  <c r="H6936" i="3"/>
  <c r="G6936" i="3"/>
  <c r="M6935" i="3"/>
  <c r="L6935" i="3"/>
  <c r="J6935" i="3"/>
  <c r="K6935" i="3" s="1"/>
  <c r="H6935" i="3"/>
  <c r="G6935" i="3"/>
  <c r="I6935" i="3" s="1"/>
  <c r="M6934" i="3"/>
  <c r="L6934" i="3"/>
  <c r="J6934" i="3"/>
  <c r="K6934" i="3" s="1"/>
  <c r="H6934" i="3"/>
  <c r="G6934" i="3"/>
  <c r="M6933" i="3"/>
  <c r="L6933" i="3"/>
  <c r="J6933" i="3"/>
  <c r="K6933" i="3" s="1"/>
  <c r="H6933" i="3"/>
  <c r="G6933" i="3"/>
  <c r="M6932" i="3"/>
  <c r="L6932" i="3"/>
  <c r="J6932" i="3"/>
  <c r="K6932" i="3" s="1"/>
  <c r="H6932" i="3"/>
  <c r="G6932" i="3"/>
  <c r="M6931" i="3"/>
  <c r="L6931" i="3"/>
  <c r="J6931" i="3"/>
  <c r="K6931" i="3" s="1"/>
  <c r="H6931" i="3"/>
  <c r="G6931" i="3"/>
  <c r="I6931" i="3" s="1"/>
  <c r="M6930" i="3"/>
  <c r="L6930" i="3"/>
  <c r="J6930" i="3"/>
  <c r="K6930" i="3" s="1"/>
  <c r="H6930" i="3"/>
  <c r="G6930" i="3"/>
  <c r="M6929" i="3"/>
  <c r="L6929" i="3"/>
  <c r="J6929" i="3"/>
  <c r="K6929" i="3" s="1"/>
  <c r="H6929" i="3"/>
  <c r="G6929" i="3"/>
  <c r="I6929" i="3" s="1"/>
  <c r="M6928" i="3"/>
  <c r="L6928" i="3"/>
  <c r="J6928" i="3"/>
  <c r="K6928" i="3" s="1"/>
  <c r="H6928" i="3"/>
  <c r="G6928" i="3"/>
  <c r="I6928" i="3" s="1"/>
  <c r="M6927" i="3"/>
  <c r="L6927" i="3"/>
  <c r="J6927" i="3"/>
  <c r="K6927" i="3" s="1"/>
  <c r="H6927" i="3"/>
  <c r="G6927" i="3"/>
  <c r="I6927" i="3" s="1"/>
  <c r="M6926" i="3"/>
  <c r="L6926" i="3"/>
  <c r="J6926" i="3"/>
  <c r="K6926" i="3" s="1"/>
  <c r="H6926" i="3"/>
  <c r="G6926" i="3"/>
  <c r="M6925" i="3"/>
  <c r="L6925" i="3"/>
  <c r="J6925" i="3"/>
  <c r="K6925" i="3" s="1"/>
  <c r="H6925" i="3"/>
  <c r="G6925" i="3"/>
  <c r="I6925" i="3" s="1"/>
  <c r="M6924" i="3"/>
  <c r="L6924" i="3"/>
  <c r="J6924" i="3"/>
  <c r="K6924" i="3" s="1"/>
  <c r="I6924" i="3"/>
  <c r="H6924" i="3"/>
  <c r="G6924" i="3"/>
  <c r="M6923" i="3"/>
  <c r="L6923" i="3"/>
  <c r="J6923" i="3"/>
  <c r="K6923" i="3" s="1"/>
  <c r="H6923" i="3"/>
  <c r="G6923" i="3"/>
  <c r="M6922" i="3"/>
  <c r="L6922" i="3"/>
  <c r="J6922" i="3"/>
  <c r="K6922" i="3" s="1"/>
  <c r="H6922" i="3"/>
  <c r="G6922" i="3"/>
  <c r="M6921" i="3"/>
  <c r="L6921" i="3"/>
  <c r="J6921" i="3"/>
  <c r="K6921" i="3" s="1"/>
  <c r="H6921" i="3"/>
  <c r="G6921" i="3"/>
  <c r="I6921" i="3" s="1"/>
  <c r="M6920" i="3"/>
  <c r="L6920" i="3"/>
  <c r="J6920" i="3"/>
  <c r="K6920" i="3" s="1"/>
  <c r="H6920" i="3"/>
  <c r="G6920" i="3"/>
  <c r="I6920" i="3" s="1"/>
  <c r="M6919" i="3"/>
  <c r="L6919" i="3"/>
  <c r="J6919" i="3"/>
  <c r="K6919" i="3" s="1"/>
  <c r="H6919" i="3"/>
  <c r="G6919" i="3"/>
  <c r="I6919" i="3" s="1"/>
  <c r="M6918" i="3"/>
  <c r="L6918" i="3"/>
  <c r="J6918" i="3"/>
  <c r="K6918" i="3" s="1"/>
  <c r="H6918" i="3"/>
  <c r="G6918" i="3"/>
  <c r="M6917" i="3"/>
  <c r="L6917" i="3"/>
  <c r="J6917" i="3"/>
  <c r="K6917" i="3" s="1"/>
  <c r="H6917" i="3"/>
  <c r="G6917" i="3"/>
  <c r="I6917" i="3" s="1"/>
  <c r="M6916" i="3"/>
  <c r="L6916" i="3"/>
  <c r="J6916" i="3"/>
  <c r="K6916" i="3" s="1"/>
  <c r="I6916" i="3"/>
  <c r="H6916" i="3"/>
  <c r="G6916" i="3"/>
  <c r="M6915" i="3"/>
  <c r="L6915" i="3"/>
  <c r="J6915" i="3"/>
  <c r="K6915" i="3" s="1"/>
  <c r="H6915" i="3"/>
  <c r="G6915" i="3"/>
  <c r="M6914" i="3"/>
  <c r="L6914" i="3"/>
  <c r="J6914" i="3"/>
  <c r="K6914" i="3" s="1"/>
  <c r="H6914" i="3"/>
  <c r="G6914" i="3"/>
  <c r="M6913" i="3"/>
  <c r="L6913" i="3"/>
  <c r="J6913" i="3"/>
  <c r="K6913" i="3" s="1"/>
  <c r="H6913" i="3"/>
  <c r="G6913" i="3"/>
  <c r="I6913" i="3" s="1"/>
  <c r="M6912" i="3"/>
  <c r="L6912" i="3"/>
  <c r="J6912" i="3"/>
  <c r="K6912" i="3" s="1"/>
  <c r="H6912" i="3"/>
  <c r="G6912" i="3"/>
  <c r="I6912" i="3" s="1"/>
  <c r="M6911" i="3"/>
  <c r="L6911" i="3"/>
  <c r="J6911" i="3"/>
  <c r="K6911" i="3" s="1"/>
  <c r="H6911" i="3"/>
  <c r="G6911" i="3"/>
  <c r="M6910" i="3"/>
  <c r="L6910" i="3"/>
  <c r="J6910" i="3"/>
  <c r="K6910" i="3" s="1"/>
  <c r="H6910" i="3"/>
  <c r="G6910" i="3"/>
  <c r="M6909" i="3"/>
  <c r="L6909" i="3"/>
  <c r="J6909" i="3"/>
  <c r="K6909" i="3" s="1"/>
  <c r="H6909" i="3"/>
  <c r="G6909" i="3"/>
  <c r="I6909" i="3" s="1"/>
  <c r="M6908" i="3"/>
  <c r="L6908" i="3"/>
  <c r="J6908" i="3"/>
  <c r="K6908" i="3" s="1"/>
  <c r="I6908" i="3"/>
  <c r="H6908" i="3"/>
  <c r="G6908" i="3"/>
  <c r="M6907" i="3"/>
  <c r="L6907" i="3"/>
  <c r="J6907" i="3"/>
  <c r="K6907" i="3" s="1"/>
  <c r="H6907" i="3"/>
  <c r="G6907" i="3"/>
  <c r="M6906" i="3"/>
  <c r="L6906" i="3"/>
  <c r="J6906" i="3"/>
  <c r="K6906" i="3" s="1"/>
  <c r="H6906" i="3"/>
  <c r="G6906" i="3"/>
  <c r="M6905" i="3"/>
  <c r="L6905" i="3"/>
  <c r="J6905" i="3"/>
  <c r="K6905" i="3" s="1"/>
  <c r="H6905" i="3"/>
  <c r="G6905" i="3"/>
  <c r="I6905" i="3" s="1"/>
  <c r="M6904" i="3"/>
  <c r="L6904" i="3"/>
  <c r="J6904" i="3"/>
  <c r="K6904" i="3" s="1"/>
  <c r="H6904" i="3"/>
  <c r="G6904" i="3"/>
  <c r="I6904" i="3" s="1"/>
  <c r="M6903" i="3"/>
  <c r="L6903" i="3"/>
  <c r="J6903" i="3"/>
  <c r="K6903" i="3" s="1"/>
  <c r="H6903" i="3"/>
  <c r="G6903" i="3"/>
  <c r="M6902" i="3"/>
  <c r="L6902" i="3"/>
  <c r="J6902" i="3"/>
  <c r="K6902" i="3" s="1"/>
  <c r="H6902" i="3"/>
  <c r="G6902" i="3"/>
  <c r="M6901" i="3"/>
  <c r="L6901" i="3"/>
  <c r="J6901" i="3"/>
  <c r="K6901" i="3" s="1"/>
  <c r="H6901" i="3"/>
  <c r="G6901" i="3"/>
  <c r="M6900" i="3"/>
  <c r="L6900" i="3"/>
  <c r="J6900" i="3"/>
  <c r="K6900" i="3" s="1"/>
  <c r="H6900" i="3"/>
  <c r="G6900" i="3"/>
  <c r="I6900" i="3" s="1"/>
  <c r="M6899" i="3"/>
  <c r="L6899" i="3"/>
  <c r="J6899" i="3"/>
  <c r="K6899" i="3" s="1"/>
  <c r="H6899" i="3"/>
  <c r="G6899" i="3"/>
  <c r="M6898" i="3"/>
  <c r="L6898" i="3"/>
  <c r="K6898" i="3"/>
  <c r="J6898" i="3"/>
  <c r="H6898" i="3"/>
  <c r="G6898" i="3"/>
  <c r="M6897" i="3"/>
  <c r="L6897" i="3"/>
  <c r="J6897" i="3"/>
  <c r="K6897" i="3" s="1"/>
  <c r="H6897" i="3"/>
  <c r="G6897" i="3"/>
  <c r="M6896" i="3"/>
  <c r="L6896" i="3"/>
  <c r="J6896" i="3"/>
  <c r="K6896" i="3" s="1"/>
  <c r="I6896" i="3"/>
  <c r="H6896" i="3"/>
  <c r="G6896" i="3"/>
  <c r="M6895" i="3"/>
  <c r="L6895" i="3"/>
  <c r="J6895" i="3"/>
  <c r="K6895" i="3" s="1"/>
  <c r="H6895" i="3"/>
  <c r="G6895" i="3"/>
  <c r="M6894" i="3"/>
  <c r="L6894" i="3"/>
  <c r="K6894" i="3"/>
  <c r="J6894" i="3"/>
  <c r="H6894" i="3"/>
  <c r="G6894" i="3"/>
  <c r="M6893" i="3"/>
  <c r="L6893" i="3"/>
  <c r="J6893" i="3"/>
  <c r="K6893" i="3" s="1"/>
  <c r="H6893" i="3"/>
  <c r="G6893" i="3"/>
  <c r="I6893" i="3" s="1"/>
  <c r="M6892" i="3"/>
  <c r="L6892" i="3"/>
  <c r="J6892" i="3"/>
  <c r="K6892" i="3" s="1"/>
  <c r="H6892" i="3"/>
  <c r="I6892" i="3" s="1"/>
  <c r="G6892" i="3"/>
  <c r="M6891" i="3"/>
  <c r="L6891" i="3"/>
  <c r="K6891" i="3"/>
  <c r="J6891" i="3"/>
  <c r="H6891" i="3"/>
  <c r="G6891" i="3"/>
  <c r="M6890" i="3"/>
  <c r="L6890" i="3"/>
  <c r="J6890" i="3"/>
  <c r="K6890" i="3" s="1"/>
  <c r="H6890" i="3"/>
  <c r="G6890" i="3"/>
  <c r="M6985" i="3"/>
  <c r="L6985" i="3"/>
  <c r="J6985" i="3"/>
  <c r="K6985" i="3" s="1"/>
  <c r="H6985" i="3"/>
  <c r="G6985" i="3"/>
  <c r="M6984" i="3"/>
  <c r="L6984" i="3"/>
  <c r="J6984" i="3"/>
  <c r="K6984" i="3" s="1"/>
  <c r="H6984" i="3"/>
  <c r="G6984" i="3"/>
  <c r="M6983" i="3"/>
  <c r="L6983" i="3"/>
  <c r="J6983" i="3"/>
  <c r="K6983" i="3" s="1"/>
  <c r="H6983" i="3"/>
  <c r="G6983" i="3"/>
  <c r="I6983" i="3" s="1"/>
  <c r="M6982" i="3"/>
  <c r="L6982" i="3"/>
  <c r="J6982" i="3"/>
  <c r="K6982" i="3" s="1"/>
  <c r="H6982" i="3"/>
  <c r="G6982" i="3"/>
  <c r="M6981" i="3"/>
  <c r="L6981" i="3"/>
  <c r="J6981" i="3"/>
  <c r="K6981" i="3" s="1"/>
  <c r="H6981" i="3"/>
  <c r="G6981" i="3"/>
  <c r="M6980" i="3"/>
  <c r="L6980" i="3"/>
  <c r="K6980" i="3"/>
  <c r="J6980" i="3"/>
  <c r="H6980" i="3"/>
  <c r="G6980" i="3"/>
  <c r="I6980" i="3" s="1"/>
  <c r="M6979" i="3"/>
  <c r="L6979" i="3"/>
  <c r="J6979" i="3"/>
  <c r="K6979" i="3" s="1"/>
  <c r="H6979" i="3"/>
  <c r="G6979" i="3"/>
  <c r="M6978" i="3"/>
  <c r="L6978" i="3"/>
  <c r="K6978" i="3"/>
  <c r="J6978" i="3"/>
  <c r="H6978" i="3"/>
  <c r="G6978" i="3"/>
  <c r="I6978" i="3" s="1"/>
  <c r="M6977" i="3"/>
  <c r="L6977" i="3"/>
  <c r="J6977" i="3"/>
  <c r="K6977" i="3" s="1"/>
  <c r="H6977" i="3"/>
  <c r="G6977" i="3"/>
  <c r="M6976" i="3"/>
  <c r="L6976" i="3"/>
  <c r="J6976" i="3"/>
  <c r="K6976" i="3" s="1"/>
  <c r="H6976" i="3"/>
  <c r="G6976" i="3"/>
  <c r="M6975" i="3"/>
  <c r="L6975" i="3"/>
  <c r="J6975" i="3"/>
  <c r="K6975" i="3" s="1"/>
  <c r="H6975" i="3"/>
  <c r="G6975" i="3"/>
  <c r="M6974" i="3"/>
  <c r="L6974" i="3"/>
  <c r="J6974" i="3"/>
  <c r="K6974" i="3" s="1"/>
  <c r="H6974" i="3"/>
  <c r="G6974" i="3"/>
  <c r="M6973" i="3"/>
  <c r="L6973" i="3"/>
  <c r="J6973" i="3"/>
  <c r="K6973" i="3" s="1"/>
  <c r="H6973" i="3"/>
  <c r="G6973" i="3"/>
  <c r="M6972" i="3"/>
  <c r="L6972" i="3"/>
  <c r="J6972" i="3"/>
  <c r="K6972" i="3" s="1"/>
  <c r="H6972" i="3"/>
  <c r="G6972" i="3"/>
  <c r="I6972" i="3" s="1"/>
  <c r="M6971" i="3"/>
  <c r="L6971" i="3"/>
  <c r="J6971" i="3"/>
  <c r="K6971" i="3" s="1"/>
  <c r="H6971" i="3"/>
  <c r="G6971" i="3"/>
  <c r="M6970" i="3"/>
  <c r="L6970" i="3"/>
  <c r="J6970" i="3"/>
  <c r="K6970" i="3" s="1"/>
  <c r="H6970" i="3"/>
  <c r="G6970" i="3"/>
  <c r="M6969" i="3"/>
  <c r="L6969" i="3"/>
  <c r="J6969" i="3"/>
  <c r="K6969" i="3" s="1"/>
  <c r="H6969" i="3"/>
  <c r="G6969" i="3"/>
  <c r="I6969" i="3" s="1"/>
  <c r="M6968" i="3"/>
  <c r="L6968" i="3"/>
  <c r="J6968" i="3"/>
  <c r="K6968" i="3" s="1"/>
  <c r="H6968" i="3"/>
  <c r="G6968" i="3"/>
  <c r="M6967" i="3"/>
  <c r="L6967" i="3"/>
  <c r="J6967" i="3"/>
  <c r="K6967" i="3" s="1"/>
  <c r="H6967" i="3"/>
  <c r="G6967" i="3"/>
  <c r="M6966" i="3"/>
  <c r="L6966" i="3"/>
  <c r="J6966" i="3"/>
  <c r="K6966" i="3" s="1"/>
  <c r="H6966" i="3"/>
  <c r="G6966" i="3"/>
  <c r="M6965" i="3"/>
  <c r="L6965" i="3"/>
  <c r="J6965" i="3"/>
  <c r="K6965" i="3" s="1"/>
  <c r="H6965" i="3"/>
  <c r="G6965" i="3"/>
  <c r="M6964" i="3"/>
  <c r="L6964" i="3"/>
  <c r="J6964" i="3"/>
  <c r="K6964" i="3" s="1"/>
  <c r="H6964" i="3"/>
  <c r="G6964" i="3"/>
  <c r="M6963" i="3"/>
  <c r="L6963" i="3"/>
  <c r="J6963" i="3"/>
  <c r="K6963" i="3" s="1"/>
  <c r="H6963" i="3"/>
  <c r="G6963" i="3"/>
  <c r="M6962" i="3"/>
  <c r="L6962" i="3"/>
  <c r="K6962" i="3"/>
  <c r="J6962" i="3"/>
  <c r="H6962" i="3"/>
  <c r="G6962" i="3"/>
  <c r="I6962" i="3" s="1"/>
  <c r="M6961" i="3"/>
  <c r="L6961" i="3"/>
  <c r="J6961" i="3"/>
  <c r="K6961" i="3" s="1"/>
  <c r="H6961" i="3"/>
  <c r="G6961" i="3"/>
  <c r="M6960" i="3"/>
  <c r="L6960" i="3"/>
  <c r="K6960" i="3"/>
  <c r="J6960" i="3"/>
  <c r="H6960" i="3"/>
  <c r="G6960" i="3"/>
  <c r="I6960" i="3" s="1"/>
  <c r="M6959" i="3"/>
  <c r="L6959" i="3"/>
  <c r="J6959" i="3"/>
  <c r="K6959" i="3" s="1"/>
  <c r="H6959" i="3"/>
  <c r="G6959" i="3"/>
  <c r="M6958" i="3"/>
  <c r="L6958" i="3"/>
  <c r="J6958" i="3"/>
  <c r="K6958" i="3" s="1"/>
  <c r="H6958" i="3"/>
  <c r="G6958" i="3"/>
  <c r="M6957" i="3"/>
  <c r="L6957" i="3"/>
  <c r="J6957" i="3"/>
  <c r="K6957" i="3" s="1"/>
  <c r="H6957" i="3"/>
  <c r="G6957" i="3"/>
  <c r="I6957" i="3" s="1"/>
  <c r="M6956" i="3"/>
  <c r="L6956" i="3"/>
  <c r="J6956" i="3"/>
  <c r="K6956" i="3" s="1"/>
  <c r="H6956" i="3"/>
  <c r="G6956" i="3"/>
  <c r="I6956" i="3" s="1"/>
  <c r="M6955" i="3"/>
  <c r="L6955" i="3"/>
  <c r="J6955" i="3"/>
  <c r="K6955" i="3" s="1"/>
  <c r="H6955" i="3"/>
  <c r="G6955" i="3"/>
  <c r="M6954" i="3"/>
  <c r="L6954" i="3"/>
  <c r="J6954" i="3"/>
  <c r="K6954" i="3" s="1"/>
  <c r="H6954" i="3"/>
  <c r="G6954" i="3"/>
  <c r="M6953" i="3"/>
  <c r="L6953" i="3"/>
  <c r="J6953" i="3"/>
  <c r="K6953" i="3" s="1"/>
  <c r="H6953" i="3"/>
  <c r="G6953" i="3"/>
  <c r="I6953" i="3" s="1"/>
  <c r="M6952" i="3"/>
  <c r="L6952" i="3"/>
  <c r="J6952" i="3"/>
  <c r="K6952" i="3" s="1"/>
  <c r="H6952" i="3"/>
  <c r="G6952" i="3"/>
  <c r="M6951" i="3"/>
  <c r="L6951" i="3"/>
  <c r="J6951" i="3"/>
  <c r="K6951" i="3" s="1"/>
  <c r="H6951" i="3"/>
  <c r="G6951" i="3"/>
  <c r="M6950" i="3"/>
  <c r="L6950" i="3"/>
  <c r="J6950" i="3"/>
  <c r="K6950" i="3" s="1"/>
  <c r="H6950" i="3"/>
  <c r="G6950" i="3"/>
  <c r="M6949" i="3"/>
  <c r="L6949" i="3"/>
  <c r="J6949" i="3"/>
  <c r="K6949" i="3" s="1"/>
  <c r="H6949" i="3"/>
  <c r="G6949" i="3"/>
  <c r="M6948" i="3"/>
  <c r="L6948" i="3"/>
  <c r="J6948" i="3"/>
  <c r="K6948" i="3" s="1"/>
  <c r="H6948" i="3"/>
  <c r="G6948" i="3"/>
  <c r="M6947" i="3"/>
  <c r="L6947" i="3"/>
  <c r="J6947" i="3"/>
  <c r="K6947" i="3" s="1"/>
  <c r="H6947" i="3"/>
  <c r="G6947" i="3"/>
  <c r="M6946" i="3"/>
  <c r="L6946" i="3"/>
  <c r="K6946" i="3"/>
  <c r="J6946" i="3"/>
  <c r="H6946" i="3"/>
  <c r="G6946" i="3"/>
  <c r="I6946" i="3" s="1"/>
  <c r="M6945" i="3"/>
  <c r="L6945" i="3"/>
  <c r="J6945" i="3"/>
  <c r="K6945" i="3" s="1"/>
  <c r="H6945" i="3"/>
  <c r="G6945" i="3"/>
  <c r="M6944" i="3"/>
  <c r="L6944" i="3"/>
  <c r="J6944" i="3"/>
  <c r="K6944" i="3" s="1"/>
  <c r="H6944" i="3"/>
  <c r="G6944" i="3"/>
  <c r="M6943" i="3"/>
  <c r="L6943" i="3"/>
  <c r="J6943" i="3"/>
  <c r="K6943" i="3" s="1"/>
  <c r="H6943" i="3"/>
  <c r="G6943" i="3"/>
  <c r="M6942" i="3"/>
  <c r="L6942" i="3"/>
  <c r="J6942" i="3"/>
  <c r="K6942" i="3" s="1"/>
  <c r="H6942" i="3"/>
  <c r="G6942" i="3"/>
  <c r="I6942" i="3" s="1"/>
  <c r="M6941" i="3"/>
  <c r="L6941" i="3"/>
  <c r="J6941" i="3"/>
  <c r="K6941" i="3" s="1"/>
  <c r="H6941" i="3"/>
  <c r="G6941" i="3"/>
  <c r="M6940" i="3"/>
  <c r="L6940" i="3"/>
  <c r="J6940" i="3"/>
  <c r="K6940" i="3" s="1"/>
  <c r="I6940" i="3"/>
  <c r="H6940" i="3"/>
  <c r="G6940" i="3"/>
  <c r="M6939" i="3"/>
  <c r="L6939" i="3"/>
  <c r="J6939" i="3"/>
  <c r="K6939" i="3" s="1"/>
  <c r="H6939" i="3"/>
  <c r="G6939" i="3"/>
  <c r="I6939" i="3" s="1"/>
  <c r="M6938" i="3"/>
  <c r="L6938" i="3"/>
  <c r="J6938" i="3"/>
  <c r="K6938" i="3" s="1"/>
  <c r="H6938" i="3"/>
  <c r="G6938" i="3"/>
  <c r="M7033" i="3"/>
  <c r="L7033" i="3"/>
  <c r="J7033" i="3"/>
  <c r="K7033" i="3" s="1"/>
  <c r="H7033" i="3"/>
  <c r="G7033" i="3"/>
  <c r="M7032" i="3"/>
  <c r="L7032" i="3"/>
  <c r="J7032" i="3"/>
  <c r="K7032" i="3" s="1"/>
  <c r="H7032" i="3"/>
  <c r="G7032" i="3"/>
  <c r="M7031" i="3"/>
  <c r="L7031" i="3"/>
  <c r="K7031" i="3"/>
  <c r="J7031" i="3"/>
  <c r="H7031" i="3"/>
  <c r="G7031" i="3"/>
  <c r="M7030" i="3"/>
  <c r="L7030" i="3"/>
  <c r="K7030" i="3"/>
  <c r="J7030" i="3"/>
  <c r="H7030" i="3"/>
  <c r="G7030" i="3"/>
  <c r="M7029" i="3"/>
  <c r="L7029" i="3"/>
  <c r="J7029" i="3"/>
  <c r="K7029" i="3" s="1"/>
  <c r="H7029" i="3"/>
  <c r="G7029" i="3"/>
  <c r="M7028" i="3"/>
  <c r="L7028" i="3"/>
  <c r="J7028" i="3"/>
  <c r="K7028" i="3" s="1"/>
  <c r="H7028" i="3"/>
  <c r="I7028" i="3" s="1"/>
  <c r="G7028" i="3"/>
  <c r="M7027" i="3"/>
  <c r="L7027" i="3"/>
  <c r="K7027" i="3"/>
  <c r="J7027" i="3"/>
  <c r="H7027" i="3"/>
  <c r="G7027" i="3"/>
  <c r="M7026" i="3"/>
  <c r="L7026" i="3"/>
  <c r="K7026" i="3"/>
  <c r="J7026" i="3"/>
  <c r="H7026" i="3"/>
  <c r="G7026" i="3"/>
  <c r="M7025" i="3"/>
  <c r="L7025" i="3"/>
  <c r="J7025" i="3"/>
  <c r="K7025" i="3" s="1"/>
  <c r="H7025" i="3"/>
  <c r="G7025" i="3"/>
  <c r="M7024" i="3"/>
  <c r="L7024" i="3"/>
  <c r="J7024" i="3"/>
  <c r="K7024" i="3" s="1"/>
  <c r="H7024" i="3"/>
  <c r="I7024" i="3" s="1"/>
  <c r="G7024" i="3"/>
  <c r="M7023" i="3"/>
  <c r="L7023" i="3"/>
  <c r="K7023" i="3"/>
  <c r="J7023" i="3"/>
  <c r="H7023" i="3"/>
  <c r="G7023" i="3"/>
  <c r="M7022" i="3"/>
  <c r="L7022" i="3"/>
  <c r="K7022" i="3"/>
  <c r="J7022" i="3"/>
  <c r="H7022" i="3"/>
  <c r="G7022" i="3"/>
  <c r="M7021" i="3"/>
  <c r="L7021" i="3"/>
  <c r="J7021" i="3"/>
  <c r="K7021" i="3" s="1"/>
  <c r="H7021" i="3"/>
  <c r="G7021" i="3"/>
  <c r="I7021" i="3" s="1"/>
  <c r="M7020" i="3"/>
  <c r="L7020" i="3"/>
  <c r="J7020" i="3"/>
  <c r="K7020" i="3" s="1"/>
  <c r="I7020" i="3"/>
  <c r="H7020" i="3"/>
  <c r="G7020" i="3"/>
  <c r="M7019" i="3"/>
  <c r="L7019" i="3"/>
  <c r="J7019" i="3"/>
  <c r="K7019" i="3" s="1"/>
  <c r="H7019" i="3"/>
  <c r="G7019" i="3"/>
  <c r="I7019" i="3" s="1"/>
  <c r="M7018" i="3"/>
  <c r="L7018" i="3"/>
  <c r="J7018" i="3"/>
  <c r="K7018" i="3" s="1"/>
  <c r="H7018" i="3"/>
  <c r="G7018" i="3"/>
  <c r="M7017" i="3"/>
  <c r="L7017" i="3"/>
  <c r="J7017" i="3"/>
  <c r="K7017" i="3" s="1"/>
  <c r="H7017" i="3"/>
  <c r="G7017" i="3"/>
  <c r="M7016" i="3"/>
  <c r="L7016" i="3"/>
  <c r="J7016" i="3"/>
  <c r="K7016" i="3" s="1"/>
  <c r="H7016" i="3"/>
  <c r="G7016" i="3"/>
  <c r="I7016" i="3" s="1"/>
  <c r="M7015" i="3"/>
  <c r="L7015" i="3"/>
  <c r="J7015" i="3"/>
  <c r="K7015" i="3" s="1"/>
  <c r="H7015" i="3"/>
  <c r="G7015" i="3"/>
  <c r="M7014" i="3"/>
  <c r="L7014" i="3"/>
  <c r="J7014" i="3"/>
  <c r="K7014" i="3" s="1"/>
  <c r="H7014" i="3"/>
  <c r="G7014" i="3"/>
  <c r="M7013" i="3"/>
  <c r="L7013" i="3"/>
  <c r="J7013" i="3"/>
  <c r="K7013" i="3" s="1"/>
  <c r="H7013" i="3"/>
  <c r="G7013" i="3"/>
  <c r="M7012" i="3"/>
  <c r="L7012" i="3"/>
  <c r="J7012" i="3"/>
  <c r="K7012" i="3" s="1"/>
  <c r="H7012" i="3"/>
  <c r="G7012" i="3"/>
  <c r="I7012" i="3" s="1"/>
  <c r="M7011" i="3"/>
  <c r="L7011" i="3"/>
  <c r="J7011" i="3"/>
  <c r="K7011" i="3" s="1"/>
  <c r="H7011" i="3"/>
  <c r="G7011" i="3"/>
  <c r="M7010" i="3"/>
  <c r="L7010" i="3"/>
  <c r="J7010" i="3"/>
  <c r="K7010" i="3" s="1"/>
  <c r="H7010" i="3"/>
  <c r="G7010" i="3"/>
  <c r="M7009" i="3"/>
  <c r="L7009" i="3"/>
  <c r="J7009" i="3"/>
  <c r="K7009" i="3" s="1"/>
  <c r="H7009" i="3"/>
  <c r="G7009" i="3"/>
  <c r="I7009" i="3" s="1"/>
  <c r="M7008" i="3"/>
  <c r="L7008" i="3"/>
  <c r="J7008" i="3"/>
  <c r="K7008" i="3" s="1"/>
  <c r="I7008" i="3"/>
  <c r="H7008" i="3"/>
  <c r="G7008" i="3"/>
  <c r="M7007" i="3"/>
  <c r="L7007" i="3"/>
  <c r="J7007" i="3"/>
  <c r="K7007" i="3" s="1"/>
  <c r="H7007" i="3"/>
  <c r="G7007" i="3"/>
  <c r="M7006" i="3"/>
  <c r="L7006" i="3"/>
  <c r="J7006" i="3"/>
  <c r="K7006" i="3" s="1"/>
  <c r="H7006" i="3"/>
  <c r="G7006" i="3"/>
  <c r="I7006" i="3" s="1"/>
  <c r="M7005" i="3"/>
  <c r="L7005" i="3"/>
  <c r="J7005" i="3"/>
  <c r="K7005" i="3" s="1"/>
  <c r="H7005" i="3"/>
  <c r="G7005" i="3"/>
  <c r="M7004" i="3"/>
  <c r="L7004" i="3"/>
  <c r="J7004" i="3"/>
  <c r="K7004" i="3" s="1"/>
  <c r="I7004" i="3"/>
  <c r="H7004" i="3"/>
  <c r="G7004" i="3"/>
  <c r="M7003" i="3"/>
  <c r="L7003" i="3"/>
  <c r="J7003" i="3"/>
  <c r="K7003" i="3" s="1"/>
  <c r="H7003" i="3"/>
  <c r="G7003" i="3"/>
  <c r="I7003" i="3" s="1"/>
  <c r="M7002" i="3"/>
  <c r="L7002" i="3"/>
  <c r="J7002" i="3"/>
  <c r="K7002" i="3" s="1"/>
  <c r="H7002" i="3"/>
  <c r="G7002" i="3"/>
  <c r="M7001" i="3"/>
  <c r="L7001" i="3"/>
  <c r="J7001" i="3"/>
  <c r="K7001" i="3" s="1"/>
  <c r="H7001" i="3"/>
  <c r="G7001" i="3"/>
  <c r="M7000" i="3"/>
  <c r="L7000" i="3"/>
  <c r="J7000" i="3"/>
  <c r="K7000" i="3" s="1"/>
  <c r="H7000" i="3"/>
  <c r="G7000" i="3"/>
  <c r="I7000" i="3" s="1"/>
  <c r="M6999" i="3"/>
  <c r="L6999" i="3"/>
  <c r="J6999" i="3"/>
  <c r="K6999" i="3" s="1"/>
  <c r="H6999" i="3"/>
  <c r="G6999" i="3"/>
  <c r="M6998" i="3"/>
  <c r="L6998" i="3"/>
  <c r="J6998" i="3"/>
  <c r="K6998" i="3" s="1"/>
  <c r="H6998" i="3"/>
  <c r="G6998" i="3"/>
  <c r="M6997" i="3"/>
  <c r="L6997" i="3"/>
  <c r="J6997" i="3"/>
  <c r="K6997" i="3" s="1"/>
  <c r="H6997" i="3"/>
  <c r="G6997" i="3"/>
  <c r="M6996" i="3"/>
  <c r="L6996" i="3"/>
  <c r="J6996" i="3"/>
  <c r="K6996" i="3" s="1"/>
  <c r="H6996" i="3"/>
  <c r="G6996" i="3"/>
  <c r="I6996" i="3" s="1"/>
  <c r="M6995" i="3"/>
  <c r="L6995" i="3"/>
  <c r="J6995" i="3"/>
  <c r="K6995" i="3" s="1"/>
  <c r="H6995" i="3"/>
  <c r="G6995" i="3"/>
  <c r="M6994" i="3"/>
  <c r="L6994" i="3"/>
  <c r="J6994" i="3"/>
  <c r="K6994" i="3" s="1"/>
  <c r="H6994" i="3"/>
  <c r="G6994" i="3"/>
  <c r="M6993" i="3"/>
  <c r="L6993" i="3"/>
  <c r="J6993" i="3"/>
  <c r="K6993" i="3" s="1"/>
  <c r="H6993" i="3"/>
  <c r="G6993" i="3"/>
  <c r="I6993" i="3" s="1"/>
  <c r="M6992" i="3"/>
  <c r="L6992" i="3"/>
  <c r="J6992" i="3"/>
  <c r="K6992" i="3" s="1"/>
  <c r="I6992" i="3"/>
  <c r="H6992" i="3"/>
  <c r="G6992" i="3"/>
  <c r="M6991" i="3"/>
  <c r="L6991" i="3"/>
  <c r="J6991" i="3"/>
  <c r="K6991" i="3" s="1"/>
  <c r="H6991" i="3"/>
  <c r="G6991" i="3"/>
  <c r="M6990" i="3"/>
  <c r="L6990" i="3"/>
  <c r="J6990" i="3"/>
  <c r="K6990" i="3" s="1"/>
  <c r="H6990" i="3"/>
  <c r="G6990" i="3"/>
  <c r="I6990" i="3" s="1"/>
  <c r="M6989" i="3"/>
  <c r="L6989" i="3"/>
  <c r="J6989" i="3"/>
  <c r="K6989" i="3" s="1"/>
  <c r="H6989" i="3"/>
  <c r="G6989" i="3"/>
  <c r="M6988" i="3"/>
  <c r="L6988" i="3"/>
  <c r="J6988" i="3"/>
  <c r="K6988" i="3" s="1"/>
  <c r="H6988" i="3"/>
  <c r="G6988" i="3"/>
  <c r="M6987" i="3"/>
  <c r="L6987" i="3"/>
  <c r="J6987" i="3"/>
  <c r="K6987" i="3" s="1"/>
  <c r="H6987" i="3"/>
  <c r="G6987" i="3"/>
  <c r="M6986" i="3"/>
  <c r="L6986" i="3"/>
  <c r="K6986" i="3"/>
  <c r="J6986" i="3"/>
  <c r="H6986" i="3"/>
  <c r="G6986" i="3"/>
  <c r="M7081" i="3"/>
  <c r="L7081" i="3"/>
  <c r="J7081" i="3"/>
  <c r="K7081" i="3" s="1"/>
  <c r="H7081" i="3"/>
  <c r="G7081" i="3"/>
  <c r="M7080" i="3"/>
  <c r="L7080" i="3"/>
  <c r="J7080" i="3"/>
  <c r="K7080" i="3" s="1"/>
  <c r="H7080" i="3"/>
  <c r="G7080" i="3"/>
  <c r="I7080" i="3" s="1"/>
  <c r="M7079" i="3"/>
  <c r="L7079" i="3"/>
  <c r="J7079" i="3"/>
  <c r="K7079" i="3" s="1"/>
  <c r="H7079" i="3"/>
  <c r="G7079" i="3"/>
  <c r="M7078" i="3"/>
  <c r="L7078" i="3"/>
  <c r="J7078" i="3"/>
  <c r="K7078" i="3" s="1"/>
  <c r="H7078" i="3"/>
  <c r="G7078" i="3"/>
  <c r="M7077" i="3"/>
  <c r="L7077" i="3"/>
  <c r="J7077" i="3"/>
  <c r="K7077" i="3" s="1"/>
  <c r="H7077" i="3"/>
  <c r="G7077" i="3"/>
  <c r="M7076" i="3"/>
  <c r="L7076" i="3"/>
  <c r="J7076" i="3"/>
  <c r="K7076" i="3" s="1"/>
  <c r="H7076" i="3"/>
  <c r="G7076" i="3"/>
  <c r="I7076" i="3" s="1"/>
  <c r="M7075" i="3"/>
  <c r="L7075" i="3"/>
  <c r="J7075" i="3"/>
  <c r="K7075" i="3" s="1"/>
  <c r="H7075" i="3"/>
  <c r="I7075" i="3" s="1"/>
  <c r="G7075" i="3"/>
  <c r="M7074" i="3"/>
  <c r="L7074" i="3"/>
  <c r="K7074" i="3"/>
  <c r="J7074" i="3"/>
  <c r="H7074" i="3"/>
  <c r="G7074" i="3"/>
  <c r="M7073" i="3"/>
  <c r="L7073" i="3"/>
  <c r="J7073" i="3"/>
  <c r="K7073" i="3" s="1"/>
  <c r="H7073" i="3"/>
  <c r="G7073" i="3"/>
  <c r="M7072" i="3"/>
  <c r="L7072" i="3"/>
  <c r="J7072" i="3"/>
  <c r="K7072" i="3" s="1"/>
  <c r="I7072" i="3"/>
  <c r="H7072" i="3"/>
  <c r="G7072" i="3"/>
  <c r="M7071" i="3"/>
  <c r="L7071" i="3"/>
  <c r="J7071" i="3"/>
  <c r="K7071" i="3" s="1"/>
  <c r="H7071" i="3"/>
  <c r="G7071" i="3"/>
  <c r="M7070" i="3"/>
  <c r="L7070" i="3"/>
  <c r="J7070" i="3"/>
  <c r="K7070" i="3" s="1"/>
  <c r="H7070" i="3"/>
  <c r="G7070" i="3"/>
  <c r="M7069" i="3"/>
  <c r="L7069" i="3"/>
  <c r="J7069" i="3"/>
  <c r="K7069" i="3" s="1"/>
  <c r="H7069" i="3"/>
  <c r="G7069" i="3"/>
  <c r="M7068" i="3"/>
  <c r="L7068" i="3"/>
  <c r="J7068" i="3"/>
  <c r="K7068" i="3" s="1"/>
  <c r="H7068" i="3"/>
  <c r="G7068" i="3"/>
  <c r="M7067" i="3"/>
  <c r="L7067" i="3"/>
  <c r="J7067" i="3"/>
  <c r="K7067" i="3" s="1"/>
  <c r="H7067" i="3"/>
  <c r="I7067" i="3" s="1"/>
  <c r="G7067" i="3"/>
  <c r="M7066" i="3"/>
  <c r="L7066" i="3"/>
  <c r="K7066" i="3"/>
  <c r="J7066" i="3"/>
  <c r="H7066" i="3"/>
  <c r="G7066" i="3"/>
  <c r="M7065" i="3"/>
  <c r="L7065" i="3"/>
  <c r="J7065" i="3"/>
  <c r="K7065" i="3" s="1"/>
  <c r="H7065" i="3"/>
  <c r="G7065" i="3"/>
  <c r="M7064" i="3"/>
  <c r="L7064" i="3"/>
  <c r="J7064" i="3"/>
  <c r="K7064" i="3" s="1"/>
  <c r="H7064" i="3"/>
  <c r="G7064" i="3"/>
  <c r="I7064" i="3" s="1"/>
  <c r="M7063" i="3"/>
  <c r="L7063" i="3"/>
  <c r="J7063" i="3"/>
  <c r="K7063" i="3" s="1"/>
  <c r="H7063" i="3"/>
  <c r="G7063" i="3"/>
  <c r="M7062" i="3"/>
  <c r="L7062" i="3"/>
  <c r="J7062" i="3"/>
  <c r="K7062" i="3" s="1"/>
  <c r="H7062" i="3"/>
  <c r="G7062" i="3"/>
  <c r="M7061" i="3"/>
  <c r="L7061" i="3"/>
  <c r="J7061" i="3"/>
  <c r="K7061" i="3" s="1"/>
  <c r="H7061" i="3"/>
  <c r="G7061" i="3"/>
  <c r="M7060" i="3"/>
  <c r="L7060" i="3"/>
  <c r="J7060" i="3"/>
  <c r="K7060" i="3" s="1"/>
  <c r="H7060" i="3"/>
  <c r="G7060" i="3"/>
  <c r="I7060" i="3" s="1"/>
  <c r="M7059" i="3"/>
  <c r="L7059" i="3"/>
  <c r="J7059" i="3"/>
  <c r="K7059" i="3" s="1"/>
  <c r="H7059" i="3"/>
  <c r="I7059" i="3" s="1"/>
  <c r="G7059" i="3"/>
  <c r="M7058" i="3"/>
  <c r="L7058" i="3"/>
  <c r="K7058" i="3"/>
  <c r="J7058" i="3"/>
  <c r="H7058" i="3"/>
  <c r="G7058" i="3"/>
  <c r="M7057" i="3"/>
  <c r="L7057" i="3"/>
  <c r="J7057" i="3"/>
  <c r="K7057" i="3" s="1"/>
  <c r="H7057" i="3"/>
  <c r="G7057" i="3"/>
  <c r="M7056" i="3"/>
  <c r="L7056" i="3"/>
  <c r="J7056" i="3"/>
  <c r="K7056" i="3" s="1"/>
  <c r="I7056" i="3"/>
  <c r="H7056" i="3"/>
  <c r="G7056" i="3"/>
  <c r="M7055" i="3"/>
  <c r="L7055" i="3"/>
  <c r="J7055" i="3"/>
  <c r="K7055" i="3" s="1"/>
  <c r="H7055" i="3"/>
  <c r="G7055" i="3"/>
  <c r="M7054" i="3"/>
  <c r="L7054" i="3"/>
  <c r="J7054" i="3"/>
  <c r="K7054" i="3" s="1"/>
  <c r="H7054" i="3"/>
  <c r="G7054" i="3"/>
  <c r="M7053" i="3"/>
  <c r="L7053" i="3"/>
  <c r="J7053" i="3"/>
  <c r="K7053" i="3" s="1"/>
  <c r="H7053" i="3"/>
  <c r="G7053" i="3"/>
  <c r="M7052" i="3"/>
  <c r="L7052" i="3"/>
  <c r="J7052" i="3"/>
  <c r="K7052" i="3" s="1"/>
  <c r="H7052" i="3"/>
  <c r="G7052" i="3"/>
  <c r="M7051" i="3"/>
  <c r="L7051" i="3"/>
  <c r="J7051" i="3"/>
  <c r="K7051" i="3" s="1"/>
  <c r="H7051" i="3"/>
  <c r="I7051" i="3" s="1"/>
  <c r="G7051" i="3"/>
  <c r="M7050" i="3"/>
  <c r="L7050" i="3"/>
  <c r="K7050" i="3"/>
  <c r="J7050" i="3"/>
  <c r="H7050" i="3"/>
  <c r="G7050" i="3"/>
  <c r="M7049" i="3"/>
  <c r="L7049" i="3"/>
  <c r="J7049" i="3"/>
  <c r="K7049" i="3" s="1"/>
  <c r="H7049" i="3"/>
  <c r="G7049" i="3"/>
  <c r="M7048" i="3"/>
  <c r="L7048" i="3"/>
  <c r="J7048" i="3"/>
  <c r="K7048" i="3" s="1"/>
  <c r="H7048" i="3"/>
  <c r="G7048" i="3"/>
  <c r="I7048" i="3" s="1"/>
  <c r="M7047" i="3"/>
  <c r="L7047" i="3"/>
  <c r="J7047" i="3"/>
  <c r="K7047" i="3" s="1"/>
  <c r="H7047" i="3"/>
  <c r="G7047" i="3"/>
  <c r="M7046" i="3"/>
  <c r="L7046" i="3"/>
  <c r="J7046" i="3"/>
  <c r="K7046" i="3" s="1"/>
  <c r="H7046" i="3"/>
  <c r="G7046" i="3"/>
  <c r="M7045" i="3"/>
  <c r="L7045" i="3"/>
  <c r="J7045" i="3"/>
  <c r="K7045" i="3" s="1"/>
  <c r="H7045" i="3"/>
  <c r="G7045" i="3"/>
  <c r="M7044" i="3"/>
  <c r="L7044" i="3"/>
  <c r="J7044" i="3"/>
  <c r="K7044" i="3" s="1"/>
  <c r="H7044" i="3"/>
  <c r="G7044" i="3"/>
  <c r="I7044" i="3" s="1"/>
  <c r="M7043" i="3"/>
  <c r="L7043" i="3"/>
  <c r="J7043" i="3"/>
  <c r="K7043" i="3" s="1"/>
  <c r="H7043" i="3"/>
  <c r="I7043" i="3" s="1"/>
  <c r="G7043" i="3"/>
  <c r="M7042" i="3"/>
  <c r="L7042" i="3"/>
  <c r="K7042" i="3"/>
  <c r="J7042" i="3"/>
  <c r="H7042" i="3"/>
  <c r="G7042" i="3"/>
  <c r="M7041" i="3"/>
  <c r="L7041" i="3"/>
  <c r="J7041" i="3"/>
  <c r="K7041" i="3" s="1"/>
  <c r="H7041" i="3"/>
  <c r="G7041" i="3"/>
  <c r="M7040" i="3"/>
  <c r="L7040" i="3"/>
  <c r="J7040" i="3"/>
  <c r="K7040" i="3" s="1"/>
  <c r="I7040" i="3"/>
  <c r="H7040" i="3"/>
  <c r="G7040" i="3"/>
  <c r="M7039" i="3"/>
  <c r="L7039" i="3"/>
  <c r="J7039" i="3"/>
  <c r="K7039" i="3" s="1"/>
  <c r="H7039" i="3"/>
  <c r="G7039" i="3"/>
  <c r="M7038" i="3"/>
  <c r="L7038" i="3"/>
  <c r="J7038" i="3"/>
  <c r="K7038" i="3" s="1"/>
  <c r="H7038" i="3"/>
  <c r="G7038" i="3"/>
  <c r="M7037" i="3"/>
  <c r="L7037" i="3"/>
  <c r="J7037" i="3"/>
  <c r="K7037" i="3" s="1"/>
  <c r="H7037" i="3"/>
  <c r="G7037" i="3"/>
  <c r="M7036" i="3"/>
  <c r="L7036" i="3"/>
  <c r="J7036" i="3"/>
  <c r="K7036" i="3" s="1"/>
  <c r="H7036" i="3"/>
  <c r="G7036" i="3"/>
  <c r="M7035" i="3"/>
  <c r="L7035" i="3"/>
  <c r="J7035" i="3"/>
  <c r="K7035" i="3" s="1"/>
  <c r="H7035" i="3"/>
  <c r="I7035" i="3" s="1"/>
  <c r="G7035" i="3"/>
  <c r="M7034" i="3"/>
  <c r="L7034" i="3"/>
  <c r="K7034" i="3"/>
  <c r="J7034" i="3"/>
  <c r="H7034" i="3"/>
  <c r="G7034" i="3"/>
  <c r="M7129" i="3"/>
  <c r="L7129" i="3"/>
  <c r="J7129" i="3"/>
  <c r="K7129" i="3" s="1"/>
  <c r="H7129" i="3"/>
  <c r="I7129" i="3" s="1"/>
  <c r="G7129" i="3"/>
  <c r="M7128" i="3"/>
  <c r="L7128" i="3"/>
  <c r="K7128" i="3"/>
  <c r="J7128" i="3"/>
  <c r="H7128" i="3"/>
  <c r="G7128" i="3"/>
  <c r="I7128" i="3" s="1"/>
  <c r="M7127" i="3"/>
  <c r="L7127" i="3"/>
  <c r="J7127" i="3"/>
  <c r="K7127" i="3" s="1"/>
  <c r="H7127" i="3"/>
  <c r="G7127" i="3"/>
  <c r="M7126" i="3"/>
  <c r="L7126" i="3"/>
  <c r="K7126" i="3"/>
  <c r="J7126" i="3"/>
  <c r="H7126" i="3"/>
  <c r="G7126" i="3"/>
  <c r="I7126" i="3" s="1"/>
  <c r="M7125" i="3"/>
  <c r="L7125" i="3"/>
  <c r="J7125" i="3"/>
  <c r="K7125" i="3" s="1"/>
  <c r="H7125" i="3"/>
  <c r="G7125" i="3"/>
  <c r="M7124" i="3"/>
  <c r="L7124" i="3"/>
  <c r="J7124" i="3"/>
  <c r="K7124" i="3" s="1"/>
  <c r="H7124" i="3"/>
  <c r="G7124" i="3"/>
  <c r="M7123" i="3"/>
  <c r="L7123" i="3"/>
  <c r="J7123" i="3"/>
  <c r="K7123" i="3" s="1"/>
  <c r="H7123" i="3"/>
  <c r="G7123" i="3"/>
  <c r="M7122" i="3"/>
  <c r="L7122" i="3"/>
  <c r="J7122" i="3"/>
  <c r="K7122" i="3" s="1"/>
  <c r="H7122" i="3"/>
  <c r="G7122" i="3"/>
  <c r="M7121" i="3"/>
  <c r="L7121" i="3"/>
  <c r="J7121" i="3"/>
  <c r="K7121" i="3" s="1"/>
  <c r="H7121" i="3"/>
  <c r="G7121" i="3"/>
  <c r="M7120" i="3"/>
  <c r="L7120" i="3"/>
  <c r="J7120" i="3"/>
  <c r="K7120" i="3" s="1"/>
  <c r="I7120" i="3"/>
  <c r="H7120" i="3"/>
  <c r="G7120" i="3"/>
  <c r="M7119" i="3"/>
  <c r="L7119" i="3"/>
  <c r="J7119" i="3"/>
  <c r="K7119" i="3" s="1"/>
  <c r="H7119" i="3"/>
  <c r="G7119" i="3"/>
  <c r="I7119" i="3" s="1"/>
  <c r="M7118" i="3"/>
  <c r="L7118" i="3"/>
  <c r="J7118" i="3"/>
  <c r="K7118" i="3" s="1"/>
  <c r="H7118" i="3"/>
  <c r="G7118" i="3"/>
  <c r="M7117" i="3"/>
  <c r="L7117" i="3"/>
  <c r="J7117" i="3"/>
  <c r="K7117" i="3" s="1"/>
  <c r="H7117" i="3"/>
  <c r="G7117" i="3"/>
  <c r="M7116" i="3"/>
  <c r="L7116" i="3"/>
  <c r="K7116" i="3"/>
  <c r="J7116" i="3"/>
  <c r="H7116" i="3"/>
  <c r="G7116" i="3"/>
  <c r="I7116" i="3" s="1"/>
  <c r="M7115" i="3"/>
  <c r="L7115" i="3"/>
  <c r="J7115" i="3"/>
  <c r="K7115" i="3" s="1"/>
  <c r="H7115" i="3"/>
  <c r="G7115" i="3"/>
  <c r="M7114" i="3"/>
  <c r="L7114" i="3"/>
  <c r="K7114" i="3"/>
  <c r="J7114" i="3"/>
  <c r="H7114" i="3"/>
  <c r="G7114" i="3"/>
  <c r="I7114" i="3" s="1"/>
  <c r="M7113" i="3"/>
  <c r="L7113" i="3"/>
  <c r="J7113" i="3"/>
  <c r="K7113" i="3" s="1"/>
  <c r="H7113" i="3"/>
  <c r="G7113" i="3"/>
  <c r="M7112" i="3"/>
  <c r="L7112" i="3"/>
  <c r="J7112" i="3"/>
  <c r="K7112" i="3" s="1"/>
  <c r="H7112" i="3"/>
  <c r="G7112" i="3"/>
  <c r="M7111" i="3"/>
  <c r="L7111" i="3"/>
  <c r="J7111" i="3"/>
  <c r="K7111" i="3" s="1"/>
  <c r="H7111" i="3"/>
  <c r="G7111" i="3"/>
  <c r="M7110" i="3"/>
  <c r="L7110" i="3"/>
  <c r="K7110" i="3"/>
  <c r="J7110" i="3"/>
  <c r="H7110" i="3"/>
  <c r="G7110" i="3"/>
  <c r="M7109" i="3"/>
  <c r="L7109" i="3"/>
  <c r="J7109" i="3"/>
  <c r="K7109" i="3" s="1"/>
  <c r="H7109" i="3"/>
  <c r="G7109" i="3"/>
  <c r="M7108" i="3"/>
  <c r="L7108" i="3"/>
  <c r="J7108" i="3"/>
  <c r="K7108" i="3" s="1"/>
  <c r="H7108" i="3"/>
  <c r="G7108" i="3"/>
  <c r="M7107" i="3"/>
  <c r="L7107" i="3"/>
  <c r="J7107" i="3"/>
  <c r="K7107" i="3" s="1"/>
  <c r="H7107" i="3"/>
  <c r="G7107" i="3"/>
  <c r="I7107" i="3" s="1"/>
  <c r="M7106" i="3"/>
  <c r="L7106" i="3"/>
  <c r="J7106" i="3"/>
  <c r="K7106" i="3" s="1"/>
  <c r="H7106" i="3"/>
  <c r="G7106" i="3"/>
  <c r="M7105" i="3"/>
  <c r="L7105" i="3"/>
  <c r="J7105" i="3"/>
  <c r="K7105" i="3" s="1"/>
  <c r="H7105" i="3"/>
  <c r="G7105" i="3"/>
  <c r="M7104" i="3"/>
  <c r="L7104" i="3"/>
  <c r="J7104" i="3"/>
  <c r="K7104" i="3" s="1"/>
  <c r="H7104" i="3"/>
  <c r="G7104" i="3"/>
  <c r="I7104" i="3" s="1"/>
  <c r="M7103" i="3"/>
  <c r="L7103" i="3"/>
  <c r="J7103" i="3"/>
  <c r="K7103" i="3" s="1"/>
  <c r="H7103" i="3"/>
  <c r="G7103" i="3"/>
  <c r="M7102" i="3"/>
  <c r="L7102" i="3"/>
  <c r="J7102" i="3"/>
  <c r="K7102" i="3" s="1"/>
  <c r="H7102" i="3"/>
  <c r="G7102" i="3"/>
  <c r="M7101" i="3"/>
  <c r="L7101" i="3"/>
  <c r="J7101" i="3"/>
  <c r="K7101" i="3" s="1"/>
  <c r="H7101" i="3"/>
  <c r="G7101" i="3"/>
  <c r="M7100" i="3"/>
  <c r="L7100" i="3"/>
  <c r="J7100" i="3"/>
  <c r="K7100" i="3" s="1"/>
  <c r="H7100" i="3"/>
  <c r="G7100" i="3"/>
  <c r="M7099" i="3"/>
  <c r="L7099" i="3"/>
  <c r="J7099" i="3"/>
  <c r="K7099" i="3" s="1"/>
  <c r="H7099" i="3"/>
  <c r="G7099" i="3"/>
  <c r="M7098" i="3"/>
  <c r="L7098" i="3"/>
  <c r="K7098" i="3"/>
  <c r="J7098" i="3"/>
  <c r="H7098" i="3"/>
  <c r="G7098" i="3"/>
  <c r="I7098" i="3" s="1"/>
  <c r="M7097" i="3"/>
  <c r="L7097" i="3"/>
  <c r="J7097" i="3"/>
  <c r="K7097" i="3" s="1"/>
  <c r="H7097" i="3"/>
  <c r="G7097" i="3"/>
  <c r="M7096" i="3"/>
  <c r="L7096" i="3"/>
  <c r="K7096" i="3"/>
  <c r="J7096" i="3"/>
  <c r="H7096" i="3"/>
  <c r="G7096" i="3"/>
  <c r="I7096" i="3" s="1"/>
  <c r="M7095" i="3"/>
  <c r="L7095" i="3"/>
  <c r="J7095" i="3"/>
  <c r="K7095" i="3" s="1"/>
  <c r="H7095" i="3"/>
  <c r="G7095" i="3"/>
  <c r="M7094" i="3"/>
  <c r="L7094" i="3"/>
  <c r="J7094" i="3"/>
  <c r="K7094" i="3" s="1"/>
  <c r="H7094" i="3"/>
  <c r="G7094" i="3"/>
  <c r="M7093" i="3"/>
  <c r="L7093" i="3"/>
  <c r="J7093" i="3"/>
  <c r="K7093" i="3" s="1"/>
  <c r="H7093" i="3"/>
  <c r="G7093" i="3"/>
  <c r="I7093" i="3" s="1"/>
  <c r="M7092" i="3"/>
  <c r="L7092" i="3"/>
  <c r="J7092" i="3"/>
  <c r="K7092" i="3" s="1"/>
  <c r="H7092" i="3"/>
  <c r="G7092" i="3"/>
  <c r="I7092" i="3" s="1"/>
  <c r="M7091" i="3"/>
  <c r="L7091" i="3"/>
  <c r="J7091" i="3"/>
  <c r="K7091" i="3" s="1"/>
  <c r="H7091" i="3"/>
  <c r="G7091" i="3"/>
  <c r="M7090" i="3"/>
  <c r="L7090" i="3"/>
  <c r="J7090" i="3"/>
  <c r="K7090" i="3" s="1"/>
  <c r="H7090" i="3"/>
  <c r="G7090" i="3"/>
  <c r="M7089" i="3"/>
  <c r="L7089" i="3"/>
  <c r="J7089" i="3"/>
  <c r="K7089" i="3" s="1"/>
  <c r="H7089" i="3"/>
  <c r="G7089" i="3"/>
  <c r="I7089" i="3" s="1"/>
  <c r="M7088" i="3"/>
  <c r="L7088" i="3"/>
  <c r="J7088" i="3"/>
  <c r="K7088" i="3" s="1"/>
  <c r="H7088" i="3"/>
  <c r="G7088" i="3"/>
  <c r="I7088" i="3" s="1"/>
  <c r="M7087" i="3"/>
  <c r="L7087" i="3"/>
  <c r="J7087" i="3"/>
  <c r="K7087" i="3" s="1"/>
  <c r="H7087" i="3"/>
  <c r="G7087" i="3"/>
  <c r="M7086" i="3"/>
  <c r="L7086" i="3"/>
  <c r="J7086" i="3"/>
  <c r="K7086" i="3" s="1"/>
  <c r="H7086" i="3"/>
  <c r="G7086" i="3"/>
  <c r="M7085" i="3"/>
  <c r="L7085" i="3"/>
  <c r="J7085" i="3"/>
  <c r="K7085" i="3" s="1"/>
  <c r="H7085" i="3"/>
  <c r="G7085" i="3"/>
  <c r="M7084" i="3"/>
  <c r="L7084" i="3"/>
  <c r="J7084" i="3"/>
  <c r="K7084" i="3" s="1"/>
  <c r="H7084" i="3"/>
  <c r="G7084" i="3"/>
  <c r="M7083" i="3"/>
  <c r="L7083" i="3"/>
  <c r="J7083" i="3"/>
  <c r="K7083" i="3" s="1"/>
  <c r="H7083" i="3"/>
  <c r="G7083" i="3"/>
  <c r="M7082" i="3"/>
  <c r="L7082" i="3"/>
  <c r="K7082" i="3"/>
  <c r="J7082" i="3"/>
  <c r="H7082" i="3"/>
  <c r="G7082" i="3"/>
  <c r="M7177" i="3"/>
  <c r="L7177" i="3"/>
  <c r="J7177" i="3"/>
  <c r="K7177" i="3" s="1"/>
  <c r="H7177" i="3"/>
  <c r="I7177" i="3" s="1"/>
  <c r="G7177" i="3"/>
  <c r="M7176" i="3"/>
  <c r="L7176" i="3"/>
  <c r="K7176" i="3"/>
  <c r="J7176" i="3"/>
  <c r="H7176" i="3"/>
  <c r="G7176" i="3"/>
  <c r="I7176" i="3" s="1"/>
  <c r="M7175" i="3"/>
  <c r="L7175" i="3"/>
  <c r="J7175" i="3"/>
  <c r="K7175" i="3" s="1"/>
  <c r="H7175" i="3"/>
  <c r="G7175" i="3"/>
  <c r="M7174" i="3"/>
  <c r="L7174" i="3"/>
  <c r="K7174" i="3"/>
  <c r="J7174" i="3"/>
  <c r="H7174" i="3"/>
  <c r="G7174" i="3"/>
  <c r="M7173" i="3"/>
  <c r="L7173" i="3"/>
  <c r="J7173" i="3"/>
  <c r="K7173" i="3" s="1"/>
  <c r="H7173" i="3"/>
  <c r="G7173" i="3"/>
  <c r="M7172" i="3"/>
  <c r="L7172" i="3"/>
  <c r="J7172" i="3"/>
  <c r="K7172" i="3" s="1"/>
  <c r="H7172" i="3"/>
  <c r="G7172" i="3"/>
  <c r="M7171" i="3"/>
  <c r="L7171" i="3"/>
  <c r="J7171" i="3"/>
  <c r="K7171" i="3" s="1"/>
  <c r="H7171" i="3"/>
  <c r="G7171" i="3"/>
  <c r="M7170" i="3"/>
  <c r="L7170" i="3"/>
  <c r="K7170" i="3"/>
  <c r="J7170" i="3"/>
  <c r="H7170" i="3"/>
  <c r="G7170" i="3"/>
  <c r="I7170" i="3" s="1"/>
  <c r="M7169" i="3"/>
  <c r="L7169" i="3"/>
  <c r="J7169" i="3"/>
  <c r="K7169" i="3" s="1"/>
  <c r="H7169" i="3"/>
  <c r="G7169" i="3"/>
  <c r="M7168" i="3"/>
  <c r="L7168" i="3"/>
  <c r="J7168" i="3"/>
  <c r="K7168" i="3" s="1"/>
  <c r="H7168" i="3"/>
  <c r="G7168" i="3"/>
  <c r="M7167" i="3"/>
  <c r="L7167" i="3"/>
  <c r="J7167" i="3"/>
  <c r="K7167" i="3" s="1"/>
  <c r="H7167" i="3"/>
  <c r="G7167" i="3"/>
  <c r="M7166" i="3"/>
  <c r="L7166" i="3"/>
  <c r="J7166" i="3"/>
  <c r="K7166" i="3" s="1"/>
  <c r="H7166" i="3"/>
  <c r="G7166" i="3"/>
  <c r="M7165" i="3"/>
  <c r="L7165" i="3"/>
  <c r="J7165" i="3"/>
  <c r="K7165" i="3" s="1"/>
  <c r="H7165" i="3"/>
  <c r="G7165" i="3"/>
  <c r="M7164" i="3"/>
  <c r="L7164" i="3"/>
  <c r="J7164" i="3"/>
  <c r="K7164" i="3" s="1"/>
  <c r="H7164" i="3"/>
  <c r="G7164" i="3"/>
  <c r="M7163" i="3"/>
  <c r="L7163" i="3"/>
  <c r="J7163" i="3"/>
  <c r="K7163" i="3" s="1"/>
  <c r="H7163" i="3"/>
  <c r="G7163" i="3"/>
  <c r="M7162" i="3"/>
  <c r="L7162" i="3"/>
  <c r="J7162" i="3"/>
  <c r="K7162" i="3" s="1"/>
  <c r="H7162" i="3"/>
  <c r="G7162" i="3"/>
  <c r="M7161" i="3"/>
  <c r="L7161" i="3"/>
  <c r="J7161" i="3"/>
  <c r="K7161" i="3" s="1"/>
  <c r="H7161" i="3"/>
  <c r="I7161" i="3" s="1"/>
  <c r="G7161" i="3"/>
  <c r="M7160" i="3"/>
  <c r="L7160" i="3"/>
  <c r="K7160" i="3"/>
  <c r="J7160" i="3"/>
  <c r="H7160" i="3"/>
  <c r="G7160" i="3"/>
  <c r="M7159" i="3"/>
  <c r="L7159" i="3"/>
  <c r="J7159" i="3"/>
  <c r="K7159" i="3" s="1"/>
  <c r="H7159" i="3"/>
  <c r="G7159" i="3"/>
  <c r="M7158" i="3"/>
  <c r="L7158" i="3"/>
  <c r="J7158" i="3"/>
  <c r="K7158" i="3" s="1"/>
  <c r="H7158" i="3"/>
  <c r="G7158" i="3"/>
  <c r="M7157" i="3"/>
  <c r="L7157" i="3"/>
  <c r="J7157" i="3"/>
  <c r="K7157" i="3" s="1"/>
  <c r="H7157" i="3"/>
  <c r="G7157" i="3"/>
  <c r="I7157" i="3" s="1"/>
  <c r="M7156" i="3"/>
  <c r="L7156" i="3"/>
  <c r="J7156" i="3"/>
  <c r="K7156" i="3" s="1"/>
  <c r="H7156" i="3"/>
  <c r="I7156" i="3" s="1"/>
  <c r="G7156" i="3"/>
  <c r="M7155" i="3"/>
  <c r="L7155" i="3"/>
  <c r="K7155" i="3"/>
  <c r="J7155" i="3"/>
  <c r="H7155" i="3"/>
  <c r="G7155" i="3"/>
  <c r="I7155" i="3" s="1"/>
  <c r="M7154" i="3"/>
  <c r="L7154" i="3"/>
  <c r="J7154" i="3"/>
  <c r="K7154" i="3" s="1"/>
  <c r="H7154" i="3"/>
  <c r="G7154" i="3"/>
  <c r="M7153" i="3"/>
  <c r="L7153" i="3"/>
  <c r="J7153" i="3"/>
  <c r="K7153" i="3" s="1"/>
  <c r="H7153" i="3"/>
  <c r="G7153" i="3"/>
  <c r="M7152" i="3"/>
  <c r="L7152" i="3"/>
  <c r="J7152" i="3"/>
  <c r="K7152" i="3" s="1"/>
  <c r="H7152" i="3"/>
  <c r="G7152" i="3"/>
  <c r="I7152" i="3" s="1"/>
  <c r="M7151" i="3"/>
  <c r="L7151" i="3"/>
  <c r="J7151" i="3"/>
  <c r="K7151" i="3" s="1"/>
  <c r="H7151" i="3"/>
  <c r="G7151" i="3"/>
  <c r="M7150" i="3"/>
  <c r="L7150" i="3"/>
  <c r="J7150" i="3"/>
  <c r="K7150" i="3" s="1"/>
  <c r="H7150" i="3"/>
  <c r="G7150" i="3"/>
  <c r="M7149" i="3"/>
  <c r="L7149" i="3"/>
  <c r="J7149" i="3"/>
  <c r="K7149" i="3" s="1"/>
  <c r="H7149" i="3"/>
  <c r="G7149" i="3"/>
  <c r="M7148" i="3"/>
  <c r="L7148" i="3"/>
  <c r="J7148" i="3"/>
  <c r="K7148" i="3" s="1"/>
  <c r="H7148" i="3"/>
  <c r="G7148" i="3"/>
  <c r="I7148" i="3" s="1"/>
  <c r="M7147" i="3"/>
  <c r="L7147" i="3"/>
  <c r="J7147" i="3"/>
  <c r="K7147" i="3" s="1"/>
  <c r="H7147" i="3"/>
  <c r="G7147" i="3"/>
  <c r="M7146" i="3"/>
  <c r="L7146" i="3"/>
  <c r="K7146" i="3"/>
  <c r="J7146" i="3"/>
  <c r="H7146" i="3"/>
  <c r="G7146" i="3"/>
  <c r="M7145" i="3"/>
  <c r="L7145" i="3"/>
  <c r="J7145" i="3"/>
  <c r="K7145" i="3" s="1"/>
  <c r="H7145" i="3"/>
  <c r="G7145" i="3"/>
  <c r="M7144" i="3"/>
  <c r="L7144" i="3"/>
  <c r="J7144" i="3"/>
  <c r="K7144" i="3" s="1"/>
  <c r="H7144" i="3"/>
  <c r="G7144" i="3"/>
  <c r="M7143" i="3"/>
  <c r="L7143" i="3"/>
  <c r="J7143" i="3"/>
  <c r="K7143" i="3" s="1"/>
  <c r="H7143" i="3"/>
  <c r="G7143" i="3"/>
  <c r="M7142" i="3"/>
  <c r="L7142" i="3"/>
  <c r="J7142" i="3"/>
  <c r="K7142" i="3" s="1"/>
  <c r="H7142" i="3"/>
  <c r="G7142" i="3"/>
  <c r="I7142" i="3" s="1"/>
  <c r="M7141" i="3"/>
  <c r="L7141" i="3"/>
  <c r="J7141" i="3"/>
  <c r="K7141" i="3" s="1"/>
  <c r="I7141" i="3"/>
  <c r="H7141" i="3"/>
  <c r="G7141" i="3"/>
  <c r="M7140" i="3"/>
  <c r="L7140" i="3"/>
  <c r="J7140" i="3"/>
  <c r="K7140" i="3" s="1"/>
  <c r="H7140" i="3"/>
  <c r="I7140" i="3" s="1"/>
  <c r="G7140" i="3"/>
  <c r="M7139" i="3"/>
  <c r="L7139" i="3"/>
  <c r="K7139" i="3"/>
  <c r="J7139" i="3"/>
  <c r="H7139" i="3"/>
  <c r="G7139" i="3"/>
  <c r="M7138" i="3"/>
  <c r="L7138" i="3"/>
  <c r="J7138" i="3"/>
  <c r="K7138" i="3" s="1"/>
  <c r="H7138" i="3"/>
  <c r="G7138" i="3"/>
  <c r="M7137" i="3"/>
  <c r="L7137" i="3"/>
  <c r="J7137" i="3"/>
  <c r="K7137" i="3" s="1"/>
  <c r="H7137" i="3"/>
  <c r="G7137" i="3"/>
  <c r="M7136" i="3"/>
  <c r="L7136" i="3"/>
  <c r="J7136" i="3"/>
  <c r="K7136" i="3" s="1"/>
  <c r="H7136" i="3"/>
  <c r="G7136" i="3"/>
  <c r="I7136" i="3" s="1"/>
  <c r="M7135" i="3"/>
  <c r="L7135" i="3"/>
  <c r="J7135" i="3"/>
  <c r="K7135" i="3" s="1"/>
  <c r="H7135" i="3"/>
  <c r="G7135" i="3"/>
  <c r="M7134" i="3"/>
  <c r="L7134" i="3"/>
  <c r="J7134" i="3"/>
  <c r="K7134" i="3" s="1"/>
  <c r="H7134" i="3"/>
  <c r="G7134" i="3"/>
  <c r="M7133" i="3"/>
  <c r="L7133" i="3"/>
  <c r="J7133" i="3"/>
  <c r="K7133" i="3" s="1"/>
  <c r="H7133" i="3"/>
  <c r="G7133" i="3"/>
  <c r="I7133" i="3" s="1"/>
  <c r="M7132" i="3"/>
  <c r="L7132" i="3"/>
  <c r="J7132" i="3"/>
  <c r="K7132" i="3" s="1"/>
  <c r="H7132" i="3"/>
  <c r="G7132" i="3"/>
  <c r="M7131" i="3"/>
  <c r="L7131" i="3"/>
  <c r="J7131" i="3"/>
  <c r="K7131" i="3" s="1"/>
  <c r="H7131" i="3"/>
  <c r="G7131" i="3"/>
  <c r="M7130" i="3"/>
  <c r="L7130" i="3"/>
  <c r="K7130" i="3"/>
  <c r="J7130" i="3"/>
  <c r="H7130" i="3"/>
  <c r="G7130" i="3"/>
  <c r="I7130" i="3" s="1"/>
  <c r="M7225" i="3"/>
  <c r="L7225" i="3"/>
  <c r="J7225" i="3"/>
  <c r="K7225" i="3" s="1"/>
  <c r="H7225" i="3"/>
  <c r="G7225" i="3"/>
  <c r="M7224" i="3"/>
  <c r="L7224" i="3"/>
  <c r="J7224" i="3"/>
  <c r="K7224" i="3" s="1"/>
  <c r="H7224" i="3"/>
  <c r="G7224" i="3"/>
  <c r="M7223" i="3"/>
  <c r="L7223" i="3"/>
  <c r="J7223" i="3"/>
  <c r="K7223" i="3" s="1"/>
  <c r="H7223" i="3"/>
  <c r="G7223" i="3"/>
  <c r="M7222" i="3"/>
  <c r="L7222" i="3"/>
  <c r="J7222" i="3"/>
  <c r="K7222" i="3" s="1"/>
  <c r="H7222" i="3"/>
  <c r="G7222" i="3"/>
  <c r="I7222" i="3" s="1"/>
  <c r="M7221" i="3"/>
  <c r="L7221" i="3"/>
  <c r="J7221" i="3"/>
  <c r="K7221" i="3" s="1"/>
  <c r="H7221" i="3"/>
  <c r="G7221" i="3"/>
  <c r="M7220" i="3"/>
  <c r="L7220" i="3"/>
  <c r="J7220" i="3"/>
  <c r="K7220" i="3" s="1"/>
  <c r="H7220" i="3"/>
  <c r="I7220" i="3" s="1"/>
  <c r="G7220" i="3"/>
  <c r="M7219" i="3"/>
  <c r="L7219" i="3"/>
  <c r="J7219" i="3"/>
  <c r="K7219" i="3" s="1"/>
  <c r="H7219" i="3"/>
  <c r="G7219" i="3"/>
  <c r="M7218" i="3"/>
  <c r="L7218" i="3"/>
  <c r="J7218" i="3"/>
  <c r="K7218" i="3" s="1"/>
  <c r="H7218" i="3"/>
  <c r="G7218" i="3"/>
  <c r="I7218" i="3" s="1"/>
  <c r="M7217" i="3"/>
  <c r="L7217" i="3"/>
  <c r="J7217" i="3"/>
  <c r="K7217" i="3" s="1"/>
  <c r="H7217" i="3"/>
  <c r="G7217" i="3"/>
  <c r="M7216" i="3"/>
  <c r="L7216" i="3"/>
  <c r="J7216" i="3"/>
  <c r="K7216" i="3" s="1"/>
  <c r="H7216" i="3"/>
  <c r="G7216" i="3"/>
  <c r="M7215" i="3"/>
  <c r="L7215" i="3"/>
  <c r="J7215" i="3"/>
  <c r="K7215" i="3" s="1"/>
  <c r="H7215" i="3"/>
  <c r="G7215" i="3"/>
  <c r="M7214" i="3"/>
  <c r="L7214" i="3"/>
  <c r="J7214" i="3"/>
  <c r="K7214" i="3" s="1"/>
  <c r="H7214" i="3"/>
  <c r="G7214" i="3"/>
  <c r="I7214" i="3" s="1"/>
  <c r="M7213" i="3"/>
  <c r="L7213" i="3"/>
  <c r="J7213" i="3"/>
  <c r="K7213" i="3" s="1"/>
  <c r="H7213" i="3"/>
  <c r="G7213" i="3"/>
  <c r="M7212" i="3"/>
  <c r="L7212" i="3"/>
  <c r="J7212" i="3"/>
  <c r="K7212" i="3" s="1"/>
  <c r="H7212" i="3"/>
  <c r="I7212" i="3" s="1"/>
  <c r="G7212" i="3"/>
  <c r="M7211" i="3"/>
  <c r="L7211" i="3"/>
  <c r="J7211" i="3"/>
  <c r="K7211" i="3" s="1"/>
  <c r="H7211" i="3"/>
  <c r="G7211" i="3"/>
  <c r="M7210" i="3"/>
  <c r="L7210" i="3"/>
  <c r="J7210" i="3"/>
  <c r="K7210" i="3" s="1"/>
  <c r="H7210" i="3"/>
  <c r="G7210" i="3"/>
  <c r="I7210" i="3" s="1"/>
  <c r="M7209" i="3"/>
  <c r="L7209" i="3"/>
  <c r="J7209" i="3"/>
  <c r="K7209" i="3" s="1"/>
  <c r="H7209" i="3"/>
  <c r="G7209" i="3"/>
  <c r="M7208" i="3"/>
  <c r="L7208" i="3"/>
  <c r="J7208" i="3"/>
  <c r="K7208" i="3" s="1"/>
  <c r="H7208" i="3"/>
  <c r="G7208" i="3"/>
  <c r="M7207" i="3"/>
  <c r="L7207" i="3"/>
  <c r="J7207" i="3"/>
  <c r="K7207" i="3" s="1"/>
  <c r="H7207" i="3"/>
  <c r="G7207" i="3"/>
  <c r="M7206" i="3"/>
  <c r="L7206" i="3"/>
  <c r="J7206" i="3"/>
  <c r="K7206" i="3" s="1"/>
  <c r="H7206" i="3"/>
  <c r="G7206" i="3"/>
  <c r="I7206" i="3" s="1"/>
  <c r="M7205" i="3"/>
  <c r="L7205" i="3"/>
  <c r="J7205" i="3"/>
  <c r="K7205" i="3" s="1"/>
  <c r="H7205" i="3"/>
  <c r="G7205" i="3"/>
  <c r="M7204" i="3"/>
  <c r="L7204" i="3"/>
  <c r="J7204" i="3"/>
  <c r="K7204" i="3" s="1"/>
  <c r="H7204" i="3"/>
  <c r="I7204" i="3" s="1"/>
  <c r="G7204" i="3"/>
  <c r="M7203" i="3"/>
  <c r="L7203" i="3"/>
  <c r="J7203" i="3"/>
  <c r="K7203" i="3" s="1"/>
  <c r="H7203" i="3"/>
  <c r="G7203" i="3"/>
  <c r="M7202" i="3"/>
  <c r="L7202" i="3"/>
  <c r="J7202" i="3"/>
  <c r="K7202" i="3" s="1"/>
  <c r="H7202" i="3"/>
  <c r="G7202" i="3"/>
  <c r="I7202" i="3" s="1"/>
  <c r="M7201" i="3"/>
  <c r="L7201" i="3"/>
  <c r="J7201" i="3"/>
  <c r="K7201" i="3" s="1"/>
  <c r="H7201" i="3"/>
  <c r="G7201" i="3"/>
  <c r="M7200" i="3"/>
  <c r="L7200" i="3"/>
  <c r="J7200" i="3"/>
  <c r="K7200" i="3" s="1"/>
  <c r="H7200" i="3"/>
  <c r="G7200" i="3"/>
  <c r="M7199" i="3"/>
  <c r="L7199" i="3"/>
  <c r="J7199" i="3"/>
  <c r="K7199" i="3" s="1"/>
  <c r="H7199" i="3"/>
  <c r="G7199" i="3"/>
  <c r="M7198" i="3"/>
  <c r="L7198" i="3"/>
  <c r="J7198" i="3"/>
  <c r="K7198" i="3" s="1"/>
  <c r="H7198" i="3"/>
  <c r="G7198" i="3"/>
  <c r="I7198" i="3" s="1"/>
  <c r="M7197" i="3"/>
  <c r="L7197" i="3"/>
  <c r="J7197" i="3"/>
  <c r="K7197" i="3" s="1"/>
  <c r="H7197" i="3"/>
  <c r="G7197" i="3"/>
  <c r="M7196" i="3"/>
  <c r="L7196" i="3"/>
  <c r="J7196" i="3"/>
  <c r="K7196" i="3" s="1"/>
  <c r="H7196" i="3"/>
  <c r="I7196" i="3" s="1"/>
  <c r="G7196" i="3"/>
  <c r="M7195" i="3"/>
  <c r="L7195" i="3"/>
  <c r="J7195" i="3"/>
  <c r="K7195" i="3" s="1"/>
  <c r="H7195" i="3"/>
  <c r="G7195" i="3"/>
  <c r="M7194" i="3"/>
  <c r="L7194" i="3"/>
  <c r="J7194" i="3"/>
  <c r="K7194" i="3" s="1"/>
  <c r="H7194" i="3"/>
  <c r="G7194" i="3"/>
  <c r="I7194" i="3" s="1"/>
  <c r="M7193" i="3"/>
  <c r="L7193" i="3"/>
  <c r="J7193" i="3"/>
  <c r="K7193" i="3" s="1"/>
  <c r="H7193" i="3"/>
  <c r="G7193" i="3"/>
  <c r="M7192" i="3"/>
  <c r="L7192" i="3"/>
  <c r="J7192" i="3"/>
  <c r="K7192" i="3" s="1"/>
  <c r="H7192" i="3"/>
  <c r="G7192" i="3"/>
  <c r="M7191" i="3"/>
  <c r="L7191" i="3"/>
  <c r="J7191" i="3"/>
  <c r="K7191" i="3" s="1"/>
  <c r="H7191" i="3"/>
  <c r="G7191" i="3"/>
  <c r="M7190" i="3"/>
  <c r="L7190" i="3"/>
  <c r="J7190" i="3"/>
  <c r="K7190" i="3" s="1"/>
  <c r="H7190" i="3"/>
  <c r="G7190" i="3"/>
  <c r="I7190" i="3" s="1"/>
  <c r="M7189" i="3"/>
  <c r="L7189" i="3"/>
  <c r="J7189" i="3"/>
  <c r="K7189" i="3" s="1"/>
  <c r="H7189" i="3"/>
  <c r="G7189" i="3"/>
  <c r="M7188" i="3"/>
  <c r="L7188" i="3"/>
  <c r="J7188" i="3"/>
  <c r="K7188" i="3" s="1"/>
  <c r="H7188" i="3"/>
  <c r="I7188" i="3" s="1"/>
  <c r="G7188" i="3"/>
  <c r="M7187" i="3"/>
  <c r="L7187" i="3"/>
  <c r="J7187" i="3"/>
  <c r="K7187" i="3" s="1"/>
  <c r="H7187" i="3"/>
  <c r="G7187" i="3"/>
  <c r="M7186" i="3"/>
  <c r="L7186" i="3"/>
  <c r="J7186" i="3"/>
  <c r="K7186" i="3" s="1"/>
  <c r="H7186" i="3"/>
  <c r="G7186" i="3"/>
  <c r="I7186" i="3" s="1"/>
  <c r="M7185" i="3"/>
  <c r="L7185" i="3"/>
  <c r="J7185" i="3"/>
  <c r="K7185" i="3" s="1"/>
  <c r="H7185" i="3"/>
  <c r="G7185" i="3"/>
  <c r="M7184" i="3"/>
  <c r="L7184" i="3"/>
  <c r="J7184" i="3"/>
  <c r="K7184" i="3" s="1"/>
  <c r="H7184" i="3"/>
  <c r="G7184" i="3"/>
  <c r="M7183" i="3"/>
  <c r="L7183" i="3"/>
  <c r="J7183" i="3"/>
  <c r="K7183" i="3" s="1"/>
  <c r="H7183" i="3"/>
  <c r="G7183" i="3"/>
  <c r="M7182" i="3"/>
  <c r="L7182" i="3"/>
  <c r="J7182" i="3"/>
  <c r="K7182" i="3" s="1"/>
  <c r="H7182" i="3"/>
  <c r="G7182" i="3"/>
  <c r="I7182" i="3" s="1"/>
  <c r="M7181" i="3"/>
  <c r="L7181" i="3"/>
  <c r="J7181" i="3"/>
  <c r="K7181" i="3" s="1"/>
  <c r="H7181" i="3"/>
  <c r="G7181" i="3"/>
  <c r="M7180" i="3"/>
  <c r="L7180" i="3"/>
  <c r="J7180" i="3"/>
  <c r="K7180" i="3" s="1"/>
  <c r="H7180" i="3"/>
  <c r="I7180" i="3" s="1"/>
  <c r="G7180" i="3"/>
  <c r="M7179" i="3"/>
  <c r="L7179" i="3"/>
  <c r="J7179" i="3"/>
  <c r="K7179" i="3" s="1"/>
  <c r="H7179" i="3"/>
  <c r="I7179" i="3" s="1"/>
  <c r="G7179" i="3"/>
  <c r="M7178" i="3"/>
  <c r="L7178" i="3"/>
  <c r="K7178" i="3"/>
  <c r="J7178" i="3"/>
  <c r="H7178" i="3"/>
  <c r="G7178" i="3"/>
  <c r="M7273" i="3"/>
  <c r="L7273" i="3"/>
  <c r="J7273" i="3"/>
  <c r="K7273" i="3" s="1"/>
  <c r="H7273" i="3"/>
  <c r="G7273" i="3"/>
  <c r="I7273" i="3" s="1"/>
  <c r="M7272" i="3"/>
  <c r="L7272" i="3"/>
  <c r="J7272" i="3"/>
  <c r="K7272" i="3" s="1"/>
  <c r="I7272" i="3"/>
  <c r="H7272" i="3"/>
  <c r="G7272" i="3"/>
  <c r="M7271" i="3"/>
  <c r="L7271" i="3"/>
  <c r="J7271" i="3"/>
  <c r="K7271" i="3" s="1"/>
  <c r="H7271" i="3"/>
  <c r="G7271" i="3"/>
  <c r="M7270" i="3"/>
  <c r="L7270" i="3"/>
  <c r="J7270" i="3"/>
  <c r="K7270" i="3" s="1"/>
  <c r="H7270" i="3"/>
  <c r="G7270" i="3"/>
  <c r="M7269" i="3"/>
  <c r="L7269" i="3"/>
  <c r="J7269" i="3"/>
  <c r="K7269" i="3" s="1"/>
  <c r="H7269" i="3"/>
  <c r="G7269" i="3"/>
  <c r="M7268" i="3"/>
  <c r="L7268" i="3"/>
  <c r="J7268" i="3"/>
  <c r="K7268" i="3" s="1"/>
  <c r="H7268" i="3"/>
  <c r="G7268" i="3"/>
  <c r="I7268" i="3" s="1"/>
  <c r="M7267" i="3"/>
  <c r="L7267" i="3"/>
  <c r="J7267" i="3"/>
  <c r="K7267" i="3" s="1"/>
  <c r="H7267" i="3"/>
  <c r="I7267" i="3" s="1"/>
  <c r="G7267" i="3"/>
  <c r="M7266" i="3"/>
  <c r="L7266" i="3"/>
  <c r="K7266" i="3"/>
  <c r="J7266" i="3"/>
  <c r="H7266" i="3"/>
  <c r="G7266" i="3"/>
  <c r="M7265" i="3"/>
  <c r="L7265" i="3"/>
  <c r="J7265" i="3"/>
  <c r="K7265" i="3" s="1"/>
  <c r="H7265" i="3"/>
  <c r="G7265" i="3"/>
  <c r="I7265" i="3" s="1"/>
  <c r="M7264" i="3"/>
  <c r="L7264" i="3"/>
  <c r="J7264" i="3"/>
  <c r="K7264" i="3" s="1"/>
  <c r="H7264" i="3"/>
  <c r="G7264" i="3"/>
  <c r="I7264" i="3" s="1"/>
  <c r="M7263" i="3"/>
  <c r="L7263" i="3"/>
  <c r="J7263" i="3"/>
  <c r="K7263" i="3" s="1"/>
  <c r="H7263" i="3"/>
  <c r="I7263" i="3" s="1"/>
  <c r="G7263" i="3"/>
  <c r="M7262" i="3"/>
  <c r="L7262" i="3"/>
  <c r="K7262" i="3"/>
  <c r="J7262" i="3"/>
  <c r="H7262" i="3"/>
  <c r="G7262" i="3"/>
  <c r="M7261" i="3"/>
  <c r="L7261" i="3"/>
  <c r="J7261" i="3"/>
  <c r="K7261" i="3" s="1"/>
  <c r="H7261" i="3"/>
  <c r="G7261" i="3"/>
  <c r="I7261" i="3" s="1"/>
  <c r="M7260" i="3"/>
  <c r="L7260" i="3"/>
  <c r="J7260" i="3"/>
  <c r="K7260" i="3" s="1"/>
  <c r="H7260" i="3"/>
  <c r="G7260" i="3"/>
  <c r="M7259" i="3"/>
  <c r="L7259" i="3"/>
  <c r="J7259" i="3"/>
  <c r="K7259" i="3" s="1"/>
  <c r="H7259" i="3"/>
  <c r="G7259" i="3"/>
  <c r="M7258" i="3"/>
  <c r="L7258" i="3"/>
  <c r="J7258" i="3"/>
  <c r="K7258" i="3" s="1"/>
  <c r="H7258" i="3"/>
  <c r="G7258" i="3"/>
  <c r="M7257" i="3"/>
  <c r="L7257" i="3"/>
  <c r="J7257" i="3"/>
  <c r="K7257" i="3" s="1"/>
  <c r="H7257" i="3"/>
  <c r="G7257" i="3"/>
  <c r="M7256" i="3"/>
  <c r="L7256" i="3"/>
  <c r="J7256" i="3"/>
  <c r="K7256" i="3" s="1"/>
  <c r="H7256" i="3"/>
  <c r="G7256" i="3"/>
  <c r="I7256" i="3" s="1"/>
  <c r="M7255" i="3"/>
  <c r="L7255" i="3"/>
  <c r="J7255" i="3"/>
  <c r="K7255" i="3" s="1"/>
  <c r="H7255" i="3"/>
  <c r="G7255" i="3"/>
  <c r="M7254" i="3"/>
  <c r="L7254" i="3"/>
  <c r="J7254" i="3"/>
  <c r="K7254" i="3" s="1"/>
  <c r="H7254" i="3"/>
  <c r="G7254" i="3"/>
  <c r="M7253" i="3"/>
  <c r="L7253" i="3"/>
  <c r="J7253" i="3"/>
  <c r="K7253" i="3" s="1"/>
  <c r="H7253" i="3"/>
  <c r="G7253" i="3"/>
  <c r="M7252" i="3"/>
  <c r="L7252" i="3"/>
  <c r="J7252" i="3"/>
  <c r="K7252" i="3" s="1"/>
  <c r="H7252" i="3"/>
  <c r="G7252" i="3"/>
  <c r="I7252" i="3" s="1"/>
  <c r="M7251" i="3"/>
  <c r="L7251" i="3"/>
  <c r="J7251" i="3"/>
  <c r="K7251" i="3" s="1"/>
  <c r="H7251" i="3"/>
  <c r="I7251" i="3" s="1"/>
  <c r="G7251" i="3"/>
  <c r="M7250" i="3"/>
  <c r="L7250" i="3"/>
  <c r="K7250" i="3"/>
  <c r="J7250" i="3"/>
  <c r="H7250" i="3"/>
  <c r="G7250" i="3"/>
  <c r="M7249" i="3"/>
  <c r="L7249" i="3"/>
  <c r="J7249" i="3"/>
  <c r="K7249" i="3" s="1"/>
  <c r="H7249" i="3"/>
  <c r="G7249" i="3"/>
  <c r="I7249" i="3" s="1"/>
  <c r="M7248" i="3"/>
  <c r="L7248" i="3"/>
  <c r="J7248" i="3"/>
  <c r="K7248" i="3" s="1"/>
  <c r="I7248" i="3"/>
  <c r="H7248" i="3"/>
  <c r="G7248" i="3"/>
  <c r="M7247" i="3"/>
  <c r="L7247" i="3"/>
  <c r="J7247" i="3"/>
  <c r="K7247" i="3" s="1"/>
  <c r="H7247" i="3"/>
  <c r="I7247" i="3" s="1"/>
  <c r="G7247" i="3"/>
  <c r="M7246" i="3"/>
  <c r="L7246" i="3"/>
  <c r="K7246" i="3"/>
  <c r="J7246" i="3"/>
  <c r="H7246" i="3"/>
  <c r="G7246" i="3"/>
  <c r="M7245" i="3"/>
  <c r="L7245" i="3"/>
  <c r="J7245" i="3"/>
  <c r="K7245" i="3" s="1"/>
  <c r="H7245" i="3"/>
  <c r="G7245" i="3"/>
  <c r="I7245" i="3" s="1"/>
  <c r="M7244" i="3"/>
  <c r="L7244" i="3"/>
  <c r="J7244" i="3"/>
  <c r="K7244" i="3" s="1"/>
  <c r="H7244" i="3"/>
  <c r="G7244" i="3"/>
  <c r="M7243" i="3"/>
  <c r="L7243" i="3"/>
  <c r="J7243" i="3"/>
  <c r="K7243" i="3" s="1"/>
  <c r="H7243" i="3"/>
  <c r="G7243" i="3"/>
  <c r="M7242" i="3"/>
  <c r="L7242" i="3"/>
  <c r="J7242" i="3"/>
  <c r="K7242" i="3" s="1"/>
  <c r="H7242" i="3"/>
  <c r="G7242" i="3"/>
  <c r="M7241" i="3"/>
  <c r="L7241" i="3"/>
  <c r="J7241" i="3"/>
  <c r="K7241" i="3" s="1"/>
  <c r="H7241" i="3"/>
  <c r="G7241" i="3"/>
  <c r="M7240" i="3"/>
  <c r="L7240" i="3"/>
  <c r="J7240" i="3"/>
  <c r="K7240" i="3" s="1"/>
  <c r="H7240" i="3"/>
  <c r="I7240" i="3" s="1"/>
  <c r="G7240" i="3"/>
  <c r="M7239" i="3"/>
  <c r="L7239" i="3"/>
  <c r="J7239" i="3"/>
  <c r="K7239" i="3" s="1"/>
  <c r="H7239" i="3"/>
  <c r="G7239" i="3"/>
  <c r="M7238" i="3"/>
  <c r="L7238" i="3"/>
  <c r="J7238" i="3"/>
  <c r="K7238" i="3" s="1"/>
  <c r="H7238" i="3"/>
  <c r="G7238" i="3"/>
  <c r="M7237" i="3"/>
  <c r="L7237" i="3"/>
  <c r="J7237" i="3"/>
  <c r="K7237" i="3" s="1"/>
  <c r="H7237" i="3"/>
  <c r="G7237" i="3"/>
  <c r="M7236" i="3"/>
  <c r="L7236" i="3"/>
  <c r="J7236" i="3"/>
  <c r="K7236" i="3" s="1"/>
  <c r="H7236" i="3"/>
  <c r="G7236" i="3"/>
  <c r="I7236" i="3" s="1"/>
  <c r="M7235" i="3"/>
  <c r="L7235" i="3"/>
  <c r="J7235" i="3"/>
  <c r="K7235" i="3" s="1"/>
  <c r="H7235" i="3"/>
  <c r="I7235" i="3" s="1"/>
  <c r="G7235" i="3"/>
  <c r="M7234" i="3"/>
  <c r="L7234" i="3"/>
  <c r="K7234" i="3"/>
  <c r="J7234" i="3"/>
  <c r="H7234" i="3"/>
  <c r="G7234" i="3"/>
  <c r="M7233" i="3"/>
  <c r="L7233" i="3"/>
  <c r="J7233" i="3"/>
  <c r="K7233" i="3" s="1"/>
  <c r="H7233" i="3"/>
  <c r="G7233" i="3"/>
  <c r="I7233" i="3" s="1"/>
  <c r="M7232" i="3"/>
  <c r="L7232" i="3"/>
  <c r="J7232" i="3"/>
  <c r="K7232" i="3" s="1"/>
  <c r="H7232" i="3"/>
  <c r="G7232" i="3"/>
  <c r="I7232" i="3" s="1"/>
  <c r="M7231" i="3"/>
  <c r="L7231" i="3"/>
  <c r="J7231" i="3"/>
  <c r="K7231" i="3" s="1"/>
  <c r="H7231" i="3"/>
  <c r="I7231" i="3" s="1"/>
  <c r="G7231" i="3"/>
  <c r="M7230" i="3"/>
  <c r="L7230" i="3"/>
  <c r="K7230" i="3"/>
  <c r="J7230" i="3"/>
  <c r="H7230" i="3"/>
  <c r="G7230" i="3"/>
  <c r="M7229" i="3"/>
  <c r="L7229" i="3"/>
  <c r="J7229" i="3"/>
  <c r="K7229" i="3" s="1"/>
  <c r="H7229" i="3"/>
  <c r="G7229" i="3"/>
  <c r="I7229" i="3" s="1"/>
  <c r="M7228" i="3"/>
  <c r="L7228" i="3"/>
  <c r="J7228" i="3"/>
  <c r="K7228" i="3" s="1"/>
  <c r="H7228" i="3"/>
  <c r="G7228" i="3"/>
  <c r="M7227" i="3"/>
  <c r="L7227" i="3"/>
  <c r="J7227" i="3"/>
  <c r="K7227" i="3" s="1"/>
  <c r="H7227" i="3"/>
  <c r="G7227" i="3"/>
  <c r="M7226" i="3"/>
  <c r="L7226" i="3"/>
  <c r="J7226" i="3"/>
  <c r="K7226" i="3" s="1"/>
  <c r="H7226" i="3"/>
  <c r="G7226" i="3"/>
  <c r="M7321" i="3"/>
  <c r="L7321" i="3"/>
  <c r="J7321" i="3"/>
  <c r="K7321" i="3" s="1"/>
  <c r="H7321" i="3"/>
  <c r="G7321" i="3"/>
  <c r="M7320" i="3"/>
  <c r="L7320" i="3"/>
  <c r="J7320" i="3"/>
  <c r="K7320" i="3" s="1"/>
  <c r="H7320" i="3"/>
  <c r="G7320" i="3"/>
  <c r="I7320" i="3" s="1"/>
  <c r="M7319" i="3"/>
  <c r="L7319" i="3"/>
  <c r="J7319" i="3"/>
  <c r="K7319" i="3" s="1"/>
  <c r="H7319" i="3"/>
  <c r="G7319" i="3"/>
  <c r="M7318" i="3"/>
  <c r="L7318" i="3"/>
  <c r="J7318" i="3"/>
  <c r="K7318" i="3" s="1"/>
  <c r="H7318" i="3"/>
  <c r="G7318" i="3"/>
  <c r="M7317" i="3"/>
  <c r="L7317" i="3"/>
  <c r="J7317" i="3"/>
  <c r="K7317" i="3" s="1"/>
  <c r="H7317" i="3"/>
  <c r="G7317" i="3"/>
  <c r="M7316" i="3"/>
  <c r="L7316" i="3"/>
  <c r="J7316" i="3"/>
  <c r="K7316" i="3" s="1"/>
  <c r="H7316" i="3"/>
  <c r="G7316" i="3"/>
  <c r="I7316" i="3" s="1"/>
  <c r="M7315" i="3"/>
  <c r="L7315" i="3"/>
  <c r="J7315" i="3"/>
  <c r="K7315" i="3" s="1"/>
  <c r="H7315" i="3"/>
  <c r="I7315" i="3" s="1"/>
  <c r="G7315" i="3"/>
  <c r="M7314" i="3"/>
  <c r="L7314" i="3"/>
  <c r="K7314" i="3"/>
  <c r="J7314" i="3"/>
  <c r="H7314" i="3"/>
  <c r="G7314" i="3"/>
  <c r="M7313" i="3"/>
  <c r="L7313" i="3"/>
  <c r="J7313" i="3"/>
  <c r="K7313" i="3" s="1"/>
  <c r="H7313" i="3"/>
  <c r="G7313" i="3"/>
  <c r="I7313" i="3" s="1"/>
  <c r="M7312" i="3"/>
  <c r="L7312" i="3"/>
  <c r="J7312" i="3"/>
  <c r="K7312" i="3" s="1"/>
  <c r="I7312" i="3"/>
  <c r="H7312" i="3"/>
  <c r="G7312" i="3"/>
  <c r="M7311" i="3"/>
  <c r="L7311" i="3"/>
  <c r="J7311" i="3"/>
  <c r="K7311" i="3" s="1"/>
  <c r="H7311" i="3"/>
  <c r="I7311" i="3" s="1"/>
  <c r="G7311" i="3"/>
  <c r="M7310" i="3"/>
  <c r="L7310" i="3"/>
  <c r="K7310" i="3"/>
  <c r="J7310" i="3"/>
  <c r="H7310" i="3"/>
  <c r="G7310" i="3"/>
  <c r="M7309" i="3"/>
  <c r="L7309" i="3"/>
  <c r="J7309" i="3"/>
  <c r="K7309" i="3" s="1"/>
  <c r="H7309" i="3"/>
  <c r="G7309" i="3"/>
  <c r="I7309" i="3" s="1"/>
  <c r="M7308" i="3"/>
  <c r="L7308" i="3"/>
  <c r="J7308" i="3"/>
  <c r="K7308" i="3" s="1"/>
  <c r="H7308" i="3"/>
  <c r="G7308" i="3"/>
  <c r="M7307" i="3"/>
  <c r="L7307" i="3"/>
  <c r="J7307" i="3"/>
  <c r="K7307" i="3" s="1"/>
  <c r="H7307" i="3"/>
  <c r="G7307" i="3"/>
  <c r="M7306" i="3"/>
  <c r="L7306" i="3"/>
  <c r="J7306" i="3"/>
  <c r="K7306" i="3" s="1"/>
  <c r="H7306" i="3"/>
  <c r="G7306" i="3"/>
  <c r="M7305" i="3"/>
  <c r="L7305" i="3"/>
  <c r="J7305" i="3"/>
  <c r="K7305" i="3" s="1"/>
  <c r="H7305" i="3"/>
  <c r="G7305" i="3"/>
  <c r="M7304" i="3"/>
  <c r="L7304" i="3"/>
  <c r="J7304" i="3"/>
  <c r="K7304" i="3" s="1"/>
  <c r="H7304" i="3"/>
  <c r="I7304" i="3" s="1"/>
  <c r="G7304" i="3"/>
  <c r="M7303" i="3"/>
  <c r="L7303" i="3"/>
  <c r="J7303" i="3"/>
  <c r="K7303" i="3" s="1"/>
  <c r="H7303" i="3"/>
  <c r="G7303" i="3"/>
  <c r="M7302" i="3"/>
  <c r="L7302" i="3"/>
  <c r="J7302" i="3"/>
  <c r="K7302" i="3" s="1"/>
  <c r="H7302" i="3"/>
  <c r="G7302" i="3"/>
  <c r="M7301" i="3"/>
  <c r="L7301" i="3"/>
  <c r="J7301" i="3"/>
  <c r="K7301" i="3" s="1"/>
  <c r="H7301" i="3"/>
  <c r="G7301" i="3"/>
  <c r="M7300" i="3"/>
  <c r="L7300" i="3"/>
  <c r="J7300" i="3"/>
  <c r="K7300" i="3" s="1"/>
  <c r="H7300" i="3"/>
  <c r="G7300" i="3"/>
  <c r="I7300" i="3" s="1"/>
  <c r="M7299" i="3"/>
  <c r="L7299" i="3"/>
  <c r="J7299" i="3"/>
  <c r="K7299" i="3" s="1"/>
  <c r="H7299" i="3"/>
  <c r="I7299" i="3" s="1"/>
  <c r="G7299" i="3"/>
  <c r="M7298" i="3"/>
  <c r="L7298" i="3"/>
  <c r="K7298" i="3"/>
  <c r="J7298" i="3"/>
  <c r="H7298" i="3"/>
  <c r="G7298" i="3"/>
  <c r="M7297" i="3"/>
  <c r="L7297" i="3"/>
  <c r="J7297" i="3"/>
  <c r="K7297" i="3" s="1"/>
  <c r="H7297" i="3"/>
  <c r="G7297" i="3"/>
  <c r="I7297" i="3" s="1"/>
  <c r="M7296" i="3"/>
  <c r="L7296" i="3"/>
  <c r="J7296" i="3"/>
  <c r="K7296" i="3" s="1"/>
  <c r="H7296" i="3"/>
  <c r="G7296" i="3"/>
  <c r="I7296" i="3" s="1"/>
  <c r="M7295" i="3"/>
  <c r="L7295" i="3"/>
  <c r="J7295" i="3"/>
  <c r="K7295" i="3" s="1"/>
  <c r="H7295" i="3"/>
  <c r="I7295" i="3" s="1"/>
  <c r="G7295" i="3"/>
  <c r="M7294" i="3"/>
  <c r="L7294" i="3"/>
  <c r="K7294" i="3"/>
  <c r="J7294" i="3"/>
  <c r="H7294" i="3"/>
  <c r="G7294" i="3"/>
  <c r="M7293" i="3"/>
  <c r="L7293" i="3"/>
  <c r="J7293" i="3"/>
  <c r="K7293" i="3" s="1"/>
  <c r="H7293" i="3"/>
  <c r="G7293" i="3"/>
  <c r="I7293" i="3" s="1"/>
  <c r="M7292" i="3"/>
  <c r="L7292" i="3"/>
  <c r="J7292" i="3"/>
  <c r="K7292" i="3" s="1"/>
  <c r="H7292" i="3"/>
  <c r="G7292" i="3"/>
  <c r="M7291" i="3"/>
  <c r="L7291" i="3"/>
  <c r="J7291" i="3"/>
  <c r="K7291" i="3" s="1"/>
  <c r="H7291" i="3"/>
  <c r="G7291" i="3"/>
  <c r="M7290" i="3"/>
  <c r="L7290" i="3"/>
  <c r="J7290" i="3"/>
  <c r="K7290" i="3" s="1"/>
  <c r="H7290" i="3"/>
  <c r="G7290" i="3"/>
  <c r="M7289" i="3"/>
  <c r="L7289" i="3"/>
  <c r="J7289" i="3"/>
  <c r="K7289" i="3" s="1"/>
  <c r="H7289" i="3"/>
  <c r="G7289" i="3"/>
  <c r="M7288" i="3"/>
  <c r="L7288" i="3"/>
  <c r="J7288" i="3"/>
  <c r="K7288" i="3" s="1"/>
  <c r="H7288" i="3"/>
  <c r="G7288" i="3"/>
  <c r="I7288" i="3" s="1"/>
  <c r="M7287" i="3"/>
  <c r="L7287" i="3"/>
  <c r="J7287" i="3"/>
  <c r="K7287" i="3" s="1"/>
  <c r="H7287" i="3"/>
  <c r="G7287" i="3"/>
  <c r="M7286" i="3"/>
  <c r="L7286" i="3"/>
  <c r="J7286" i="3"/>
  <c r="K7286" i="3" s="1"/>
  <c r="H7286" i="3"/>
  <c r="G7286" i="3"/>
  <c r="M7285" i="3"/>
  <c r="L7285" i="3"/>
  <c r="J7285" i="3"/>
  <c r="K7285" i="3" s="1"/>
  <c r="H7285" i="3"/>
  <c r="G7285" i="3"/>
  <c r="M7284" i="3"/>
  <c r="L7284" i="3"/>
  <c r="J7284" i="3"/>
  <c r="K7284" i="3" s="1"/>
  <c r="H7284" i="3"/>
  <c r="G7284" i="3"/>
  <c r="I7284" i="3" s="1"/>
  <c r="M7283" i="3"/>
  <c r="L7283" i="3"/>
  <c r="J7283" i="3"/>
  <c r="K7283" i="3" s="1"/>
  <c r="H7283" i="3"/>
  <c r="I7283" i="3" s="1"/>
  <c r="G7283" i="3"/>
  <c r="M7282" i="3"/>
  <c r="L7282" i="3"/>
  <c r="K7282" i="3"/>
  <c r="J7282" i="3"/>
  <c r="H7282" i="3"/>
  <c r="G7282" i="3"/>
  <c r="M7281" i="3"/>
  <c r="L7281" i="3"/>
  <c r="J7281" i="3"/>
  <c r="K7281" i="3" s="1"/>
  <c r="H7281" i="3"/>
  <c r="G7281" i="3"/>
  <c r="I7281" i="3" s="1"/>
  <c r="M7280" i="3"/>
  <c r="L7280" i="3"/>
  <c r="J7280" i="3"/>
  <c r="K7280" i="3" s="1"/>
  <c r="I7280" i="3"/>
  <c r="H7280" i="3"/>
  <c r="G7280" i="3"/>
  <c r="M7279" i="3"/>
  <c r="L7279" i="3"/>
  <c r="J7279" i="3"/>
  <c r="K7279" i="3" s="1"/>
  <c r="H7279" i="3"/>
  <c r="I7279" i="3" s="1"/>
  <c r="G7279" i="3"/>
  <c r="M7278" i="3"/>
  <c r="L7278" i="3"/>
  <c r="K7278" i="3"/>
  <c r="J7278" i="3"/>
  <c r="H7278" i="3"/>
  <c r="G7278" i="3"/>
  <c r="M7277" i="3"/>
  <c r="L7277" i="3"/>
  <c r="J7277" i="3"/>
  <c r="K7277" i="3" s="1"/>
  <c r="H7277" i="3"/>
  <c r="G7277" i="3"/>
  <c r="M7276" i="3"/>
  <c r="L7276" i="3"/>
  <c r="J7276" i="3"/>
  <c r="K7276" i="3" s="1"/>
  <c r="H7276" i="3"/>
  <c r="G7276" i="3"/>
  <c r="M7275" i="3"/>
  <c r="L7275" i="3"/>
  <c r="J7275" i="3"/>
  <c r="K7275" i="3" s="1"/>
  <c r="H7275" i="3"/>
  <c r="G7275" i="3"/>
  <c r="M7274" i="3"/>
  <c r="L7274" i="3"/>
  <c r="J7274" i="3"/>
  <c r="K7274" i="3" s="1"/>
  <c r="H7274" i="3"/>
  <c r="G7274" i="3"/>
  <c r="M7369" i="3"/>
  <c r="L7369" i="3"/>
  <c r="J7369" i="3"/>
  <c r="K7369" i="3" s="1"/>
  <c r="H7369" i="3"/>
  <c r="G7369" i="3"/>
  <c r="M7368" i="3"/>
  <c r="L7368" i="3"/>
  <c r="J7368" i="3"/>
  <c r="K7368" i="3" s="1"/>
  <c r="H7368" i="3"/>
  <c r="I7368" i="3" s="1"/>
  <c r="G7368" i="3"/>
  <c r="M7367" i="3"/>
  <c r="L7367" i="3"/>
  <c r="J7367" i="3"/>
  <c r="K7367" i="3" s="1"/>
  <c r="H7367" i="3"/>
  <c r="G7367" i="3"/>
  <c r="M7366" i="3"/>
  <c r="L7366" i="3"/>
  <c r="J7366" i="3"/>
  <c r="K7366" i="3" s="1"/>
  <c r="H7366" i="3"/>
  <c r="G7366" i="3"/>
  <c r="M7365" i="3"/>
  <c r="L7365" i="3"/>
  <c r="J7365" i="3"/>
  <c r="K7365" i="3" s="1"/>
  <c r="H7365" i="3"/>
  <c r="G7365" i="3"/>
  <c r="M7364" i="3"/>
  <c r="L7364" i="3"/>
  <c r="J7364" i="3"/>
  <c r="K7364" i="3" s="1"/>
  <c r="H7364" i="3"/>
  <c r="G7364" i="3"/>
  <c r="I7364" i="3" s="1"/>
  <c r="M7363" i="3"/>
  <c r="L7363" i="3"/>
  <c r="J7363" i="3"/>
  <c r="K7363" i="3" s="1"/>
  <c r="H7363" i="3"/>
  <c r="I7363" i="3" s="1"/>
  <c r="G7363" i="3"/>
  <c r="M7362" i="3"/>
  <c r="L7362" i="3"/>
  <c r="K7362" i="3"/>
  <c r="J7362" i="3"/>
  <c r="H7362" i="3"/>
  <c r="G7362" i="3"/>
  <c r="M7361" i="3"/>
  <c r="L7361" i="3"/>
  <c r="J7361" i="3"/>
  <c r="K7361" i="3" s="1"/>
  <c r="H7361" i="3"/>
  <c r="G7361" i="3"/>
  <c r="I7361" i="3" s="1"/>
  <c r="M7360" i="3"/>
  <c r="L7360" i="3"/>
  <c r="J7360" i="3"/>
  <c r="K7360" i="3" s="1"/>
  <c r="H7360" i="3"/>
  <c r="G7360" i="3"/>
  <c r="I7360" i="3" s="1"/>
  <c r="M7359" i="3"/>
  <c r="L7359" i="3"/>
  <c r="J7359" i="3"/>
  <c r="K7359" i="3" s="1"/>
  <c r="H7359" i="3"/>
  <c r="G7359" i="3"/>
  <c r="M7358" i="3"/>
  <c r="L7358" i="3"/>
  <c r="J7358" i="3"/>
  <c r="K7358" i="3" s="1"/>
  <c r="H7358" i="3"/>
  <c r="G7358" i="3"/>
  <c r="M7357" i="3"/>
  <c r="L7357" i="3"/>
  <c r="J7357" i="3"/>
  <c r="K7357" i="3" s="1"/>
  <c r="H7357" i="3"/>
  <c r="G7357" i="3"/>
  <c r="M7356" i="3"/>
  <c r="L7356" i="3"/>
  <c r="J7356" i="3"/>
  <c r="K7356" i="3" s="1"/>
  <c r="H7356" i="3"/>
  <c r="G7356" i="3"/>
  <c r="I7356" i="3" s="1"/>
  <c r="M7355" i="3"/>
  <c r="L7355" i="3"/>
  <c r="J7355" i="3"/>
  <c r="K7355" i="3" s="1"/>
  <c r="H7355" i="3"/>
  <c r="I7355" i="3" s="1"/>
  <c r="G7355" i="3"/>
  <c r="M7354" i="3"/>
  <c r="L7354" i="3"/>
  <c r="K7354" i="3"/>
  <c r="J7354" i="3"/>
  <c r="H7354" i="3"/>
  <c r="G7354" i="3"/>
  <c r="M7353" i="3"/>
  <c r="L7353" i="3"/>
  <c r="J7353" i="3"/>
  <c r="K7353" i="3" s="1"/>
  <c r="H7353" i="3"/>
  <c r="G7353" i="3"/>
  <c r="I7353" i="3" s="1"/>
  <c r="M7352" i="3"/>
  <c r="L7352" i="3"/>
  <c r="J7352" i="3"/>
  <c r="K7352" i="3" s="1"/>
  <c r="I7352" i="3"/>
  <c r="H7352" i="3"/>
  <c r="G7352" i="3"/>
  <c r="M7351" i="3"/>
  <c r="L7351" i="3"/>
  <c r="J7351" i="3"/>
  <c r="K7351" i="3" s="1"/>
  <c r="H7351" i="3"/>
  <c r="G7351" i="3"/>
  <c r="M7350" i="3"/>
  <c r="L7350" i="3"/>
  <c r="J7350" i="3"/>
  <c r="K7350" i="3" s="1"/>
  <c r="H7350" i="3"/>
  <c r="G7350" i="3"/>
  <c r="M7349" i="3"/>
  <c r="L7349" i="3"/>
  <c r="J7349" i="3"/>
  <c r="K7349" i="3" s="1"/>
  <c r="H7349" i="3"/>
  <c r="G7349" i="3"/>
  <c r="M7348" i="3"/>
  <c r="L7348" i="3"/>
  <c r="J7348" i="3"/>
  <c r="K7348" i="3" s="1"/>
  <c r="H7348" i="3"/>
  <c r="G7348" i="3"/>
  <c r="I7348" i="3" s="1"/>
  <c r="M7347" i="3"/>
  <c r="L7347" i="3"/>
  <c r="J7347" i="3"/>
  <c r="K7347" i="3" s="1"/>
  <c r="H7347" i="3"/>
  <c r="I7347" i="3" s="1"/>
  <c r="G7347" i="3"/>
  <c r="M7346" i="3"/>
  <c r="L7346" i="3"/>
  <c r="K7346" i="3"/>
  <c r="J7346" i="3"/>
  <c r="H7346" i="3"/>
  <c r="G7346" i="3"/>
  <c r="M7345" i="3"/>
  <c r="L7345" i="3"/>
  <c r="J7345" i="3"/>
  <c r="K7345" i="3" s="1"/>
  <c r="H7345" i="3"/>
  <c r="G7345" i="3"/>
  <c r="I7345" i="3" s="1"/>
  <c r="M7344" i="3"/>
  <c r="L7344" i="3"/>
  <c r="J7344" i="3"/>
  <c r="K7344" i="3" s="1"/>
  <c r="H7344" i="3"/>
  <c r="G7344" i="3"/>
  <c r="I7344" i="3" s="1"/>
  <c r="M7343" i="3"/>
  <c r="L7343" i="3"/>
  <c r="J7343" i="3"/>
  <c r="K7343" i="3" s="1"/>
  <c r="H7343" i="3"/>
  <c r="G7343" i="3"/>
  <c r="M7342" i="3"/>
  <c r="L7342" i="3"/>
  <c r="J7342" i="3"/>
  <c r="K7342" i="3" s="1"/>
  <c r="H7342" i="3"/>
  <c r="G7342" i="3"/>
  <c r="M7341" i="3"/>
  <c r="L7341" i="3"/>
  <c r="J7341" i="3"/>
  <c r="K7341" i="3" s="1"/>
  <c r="H7341" i="3"/>
  <c r="G7341" i="3"/>
  <c r="M7340" i="3"/>
  <c r="L7340" i="3"/>
  <c r="J7340" i="3"/>
  <c r="K7340" i="3" s="1"/>
  <c r="H7340" i="3"/>
  <c r="G7340" i="3"/>
  <c r="I7340" i="3" s="1"/>
  <c r="M7339" i="3"/>
  <c r="L7339" i="3"/>
  <c r="J7339" i="3"/>
  <c r="K7339" i="3" s="1"/>
  <c r="H7339" i="3"/>
  <c r="I7339" i="3" s="1"/>
  <c r="G7339" i="3"/>
  <c r="M7338" i="3"/>
  <c r="L7338" i="3"/>
  <c r="J7338" i="3"/>
  <c r="K7338" i="3" s="1"/>
  <c r="H7338" i="3"/>
  <c r="G7338" i="3"/>
  <c r="I7338" i="3" s="1"/>
  <c r="M7337" i="3"/>
  <c r="L7337" i="3"/>
  <c r="J7337" i="3"/>
  <c r="K7337" i="3" s="1"/>
  <c r="H7337" i="3"/>
  <c r="G7337" i="3"/>
  <c r="M7336" i="3"/>
  <c r="L7336" i="3"/>
  <c r="J7336" i="3"/>
  <c r="K7336" i="3" s="1"/>
  <c r="H7336" i="3"/>
  <c r="G7336" i="3"/>
  <c r="M7335" i="3"/>
  <c r="L7335" i="3"/>
  <c r="J7335" i="3"/>
  <c r="K7335" i="3" s="1"/>
  <c r="H7335" i="3"/>
  <c r="G7335" i="3"/>
  <c r="M7334" i="3"/>
  <c r="L7334" i="3"/>
  <c r="J7334" i="3"/>
  <c r="K7334" i="3" s="1"/>
  <c r="H7334" i="3"/>
  <c r="G7334" i="3"/>
  <c r="I7334" i="3" s="1"/>
  <c r="M7333" i="3"/>
  <c r="L7333" i="3"/>
  <c r="J7333" i="3"/>
  <c r="K7333" i="3" s="1"/>
  <c r="H7333" i="3"/>
  <c r="G7333" i="3"/>
  <c r="M7332" i="3"/>
  <c r="L7332" i="3"/>
  <c r="J7332" i="3"/>
  <c r="K7332" i="3" s="1"/>
  <c r="H7332" i="3"/>
  <c r="G7332" i="3"/>
  <c r="I7332" i="3" s="1"/>
  <c r="M7331" i="3"/>
  <c r="L7331" i="3"/>
  <c r="J7331" i="3"/>
  <c r="K7331" i="3" s="1"/>
  <c r="H7331" i="3"/>
  <c r="G7331" i="3"/>
  <c r="M7330" i="3"/>
  <c r="L7330" i="3"/>
  <c r="J7330" i="3"/>
  <c r="K7330" i="3" s="1"/>
  <c r="H7330" i="3"/>
  <c r="G7330" i="3"/>
  <c r="I7330" i="3" s="1"/>
  <c r="M7329" i="3"/>
  <c r="L7329" i="3"/>
  <c r="J7329" i="3"/>
  <c r="K7329" i="3" s="1"/>
  <c r="H7329" i="3"/>
  <c r="G7329" i="3"/>
  <c r="M7328" i="3"/>
  <c r="L7328" i="3"/>
  <c r="J7328" i="3"/>
  <c r="K7328" i="3" s="1"/>
  <c r="H7328" i="3"/>
  <c r="G7328" i="3"/>
  <c r="M7327" i="3"/>
  <c r="L7327" i="3"/>
  <c r="J7327" i="3"/>
  <c r="K7327" i="3" s="1"/>
  <c r="H7327" i="3"/>
  <c r="G7327" i="3"/>
  <c r="M7326" i="3"/>
  <c r="L7326" i="3"/>
  <c r="J7326" i="3"/>
  <c r="K7326" i="3" s="1"/>
  <c r="H7326" i="3"/>
  <c r="G7326" i="3"/>
  <c r="I7326" i="3" s="1"/>
  <c r="M7325" i="3"/>
  <c r="L7325" i="3"/>
  <c r="J7325" i="3"/>
  <c r="K7325" i="3" s="1"/>
  <c r="H7325" i="3"/>
  <c r="G7325" i="3"/>
  <c r="M7324" i="3"/>
  <c r="L7324" i="3"/>
  <c r="J7324" i="3"/>
  <c r="K7324" i="3" s="1"/>
  <c r="H7324" i="3"/>
  <c r="G7324" i="3"/>
  <c r="I7324" i="3" s="1"/>
  <c r="M7323" i="3"/>
  <c r="L7323" i="3"/>
  <c r="J7323" i="3"/>
  <c r="K7323" i="3" s="1"/>
  <c r="H7323" i="3"/>
  <c r="G7323" i="3"/>
  <c r="M7322" i="3"/>
  <c r="L7322" i="3"/>
  <c r="J7322" i="3"/>
  <c r="K7322" i="3" s="1"/>
  <c r="H7322" i="3"/>
  <c r="G7322" i="3"/>
  <c r="I7322" i="3" s="1"/>
  <c r="M7393" i="3"/>
  <c r="L7393" i="3"/>
  <c r="J7393" i="3"/>
  <c r="K7393" i="3" s="1"/>
  <c r="H7393" i="3"/>
  <c r="G7393" i="3"/>
  <c r="M7392" i="3"/>
  <c r="L7392" i="3"/>
  <c r="J7392" i="3"/>
  <c r="K7392" i="3" s="1"/>
  <c r="H7392" i="3"/>
  <c r="I7392" i="3" s="1"/>
  <c r="G7392" i="3"/>
  <c r="M7391" i="3"/>
  <c r="L7391" i="3"/>
  <c r="J7391" i="3"/>
  <c r="K7391" i="3" s="1"/>
  <c r="H7391" i="3"/>
  <c r="G7391" i="3"/>
  <c r="I7391" i="3" s="1"/>
  <c r="M7390" i="3"/>
  <c r="L7390" i="3"/>
  <c r="J7390" i="3"/>
  <c r="K7390" i="3" s="1"/>
  <c r="H7390" i="3"/>
  <c r="G7390" i="3"/>
  <c r="M7389" i="3"/>
  <c r="L7389" i="3"/>
  <c r="J7389" i="3"/>
  <c r="K7389" i="3" s="1"/>
  <c r="H7389" i="3"/>
  <c r="G7389" i="3"/>
  <c r="I7389" i="3" s="1"/>
  <c r="M7388" i="3"/>
  <c r="L7388" i="3"/>
  <c r="J7388" i="3"/>
  <c r="K7388" i="3" s="1"/>
  <c r="H7388" i="3"/>
  <c r="I7388" i="3" s="1"/>
  <c r="G7388" i="3"/>
  <c r="M7387" i="3"/>
  <c r="L7387" i="3"/>
  <c r="J7387" i="3"/>
  <c r="K7387" i="3" s="1"/>
  <c r="H7387" i="3"/>
  <c r="G7387" i="3"/>
  <c r="I7387" i="3" s="1"/>
  <c r="M7386" i="3"/>
  <c r="L7386" i="3"/>
  <c r="J7386" i="3"/>
  <c r="K7386" i="3" s="1"/>
  <c r="H7386" i="3"/>
  <c r="G7386" i="3"/>
  <c r="M7385" i="3"/>
  <c r="L7385" i="3"/>
  <c r="J7385" i="3"/>
  <c r="K7385" i="3" s="1"/>
  <c r="H7385" i="3"/>
  <c r="G7385" i="3"/>
  <c r="M7384" i="3"/>
  <c r="L7384" i="3"/>
  <c r="J7384" i="3"/>
  <c r="K7384" i="3" s="1"/>
  <c r="H7384" i="3"/>
  <c r="G7384" i="3"/>
  <c r="M7383" i="3"/>
  <c r="L7383" i="3"/>
  <c r="J7383" i="3"/>
  <c r="K7383" i="3" s="1"/>
  <c r="H7383" i="3"/>
  <c r="G7383" i="3"/>
  <c r="I7383" i="3" s="1"/>
  <c r="M7382" i="3"/>
  <c r="L7382" i="3"/>
  <c r="J7382" i="3"/>
  <c r="K7382" i="3" s="1"/>
  <c r="H7382" i="3"/>
  <c r="G7382" i="3"/>
  <c r="M7381" i="3"/>
  <c r="L7381" i="3"/>
  <c r="J7381" i="3"/>
  <c r="K7381" i="3" s="1"/>
  <c r="H7381" i="3"/>
  <c r="G7381" i="3"/>
  <c r="I7381" i="3" s="1"/>
  <c r="M7380" i="3"/>
  <c r="L7380" i="3"/>
  <c r="J7380" i="3"/>
  <c r="K7380" i="3" s="1"/>
  <c r="H7380" i="3"/>
  <c r="I7380" i="3" s="1"/>
  <c r="G7380" i="3"/>
  <c r="M7379" i="3"/>
  <c r="L7379" i="3"/>
  <c r="J7379" i="3"/>
  <c r="K7379" i="3" s="1"/>
  <c r="H7379" i="3"/>
  <c r="G7379" i="3"/>
  <c r="M7378" i="3"/>
  <c r="L7378" i="3"/>
  <c r="J7378" i="3"/>
  <c r="K7378" i="3" s="1"/>
  <c r="H7378" i="3"/>
  <c r="G7378" i="3"/>
  <c r="M7377" i="3"/>
  <c r="L7377" i="3"/>
  <c r="J7377" i="3"/>
  <c r="K7377" i="3" s="1"/>
  <c r="H7377" i="3"/>
  <c r="G7377" i="3"/>
  <c r="M7376" i="3"/>
  <c r="L7376" i="3"/>
  <c r="J7376" i="3"/>
  <c r="K7376" i="3" s="1"/>
  <c r="H7376" i="3"/>
  <c r="G7376" i="3"/>
  <c r="M7375" i="3"/>
  <c r="L7375" i="3"/>
  <c r="J7375" i="3"/>
  <c r="K7375" i="3" s="1"/>
  <c r="H7375" i="3"/>
  <c r="G7375" i="3"/>
  <c r="M7374" i="3"/>
  <c r="L7374" i="3"/>
  <c r="J7374" i="3"/>
  <c r="K7374" i="3" s="1"/>
  <c r="H7374" i="3"/>
  <c r="G7374" i="3"/>
  <c r="M7373" i="3"/>
  <c r="L7373" i="3"/>
  <c r="J7373" i="3"/>
  <c r="K7373" i="3" s="1"/>
  <c r="H7373" i="3"/>
  <c r="G7373" i="3"/>
  <c r="I7373" i="3" s="1"/>
  <c r="M7372" i="3"/>
  <c r="L7372" i="3"/>
  <c r="J7372" i="3"/>
  <c r="K7372" i="3" s="1"/>
  <c r="H7372" i="3"/>
  <c r="I7372" i="3" s="1"/>
  <c r="G7372" i="3"/>
  <c r="M7371" i="3"/>
  <c r="L7371" i="3"/>
  <c r="J7371" i="3"/>
  <c r="K7371" i="3" s="1"/>
  <c r="H7371" i="3"/>
  <c r="G7371" i="3"/>
  <c r="M7370" i="3"/>
  <c r="L7370" i="3"/>
  <c r="J7370" i="3"/>
  <c r="K7370" i="3" s="1"/>
  <c r="H7370" i="3"/>
  <c r="G7370" i="3"/>
  <c r="M7417" i="3"/>
  <c r="L7417" i="3"/>
  <c r="J7417" i="3"/>
  <c r="K7417" i="3" s="1"/>
  <c r="H7417" i="3"/>
  <c r="G7417" i="3"/>
  <c r="M7416" i="3"/>
  <c r="L7416" i="3"/>
  <c r="J7416" i="3"/>
  <c r="K7416" i="3" s="1"/>
  <c r="H7416" i="3"/>
  <c r="G7416" i="3"/>
  <c r="I7416" i="3" s="1"/>
  <c r="M7415" i="3"/>
  <c r="L7415" i="3"/>
  <c r="J7415" i="3"/>
  <c r="K7415" i="3" s="1"/>
  <c r="H7415" i="3"/>
  <c r="G7415" i="3"/>
  <c r="M7414" i="3"/>
  <c r="L7414" i="3"/>
  <c r="K7414" i="3"/>
  <c r="J7414" i="3"/>
  <c r="H7414" i="3"/>
  <c r="G7414" i="3"/>
  <c r="M7413" i="3"/>
  <c r="L7413" i="3"/>
  <c r="J7413" i="3"/>
  <c r="K7413" i="3" s="1"/>
  <c r="H7413" i="3"/>
  <c r="G7413" i="3"/>
  <c r="M7412" i="3"/>
  <c r="L7412" i="3"/>
  <c r="J7412" i="3"/>
  <c r="K7412" i="3" s="1"/>
  <c r="H7412" i="3"/>
  <c r="G7412" i="3"/>
  <c r="M7411" i="3"/>
  <c r="L7411" i="3"/>
  <c r="J7411" i="3"/>
  <c r="K7411" i="3" s="1"/>
  <c r="H7411" i="3"/>
  <c r="G7411" i="3"/>
  <c r="I7411" i="3" s="1"/>
  <c r="M7410" i="3"/>
  <c r="L7410" i="3"/>
  <c r="J7410" i="3"/>
  <c r="K7410" i="3" s="1"/>
  <c r="H7410" i="3"/>
  <c r="G7410" i="3"/>
  <c r="M7409" i="3"/>
  <c r="L7409" i="3"/>
  <c r="J7409" i="3"/>
  <c r="K7409" i="3" s="1"/>
  <c r="H7409" i="3"/>
  <c r="G7409" i="3"/>
  <c r="I7409" i="3" s="1"/>
  <c r="M7408" i="3"/>
  <c r="L7408" i="3"/>
  <c r="J7408" i="3"/>
  <c r="K7408" i="3" s="1"/>
  <c r="H7408" i="3"/>
  <c r="G7408" i="3"/>
  <c r="I7408" i="3" s="1"/>
  <c r="M7407" i="3"/>
  <c r="L7407" i="3"/>
  <c r="J7407" i="3"/>
  <c r="K7407" i="3" s="1"/>
  <c r="H7407" i="3"/>
  <c r="G7407" i="3"/>
  <c r="M7406" i="3"/>
  <c r="L7406" i="3"/>
  <c r="J7406" i="3"/>
  <c r="K7406" i="3" s="1"/>
  <c r="H7406" i="3"/>
  <c r="G7406" i="3"/>
  <c r="M7405" i="3"/>
  <c r="L7405" i="3"/>
  <c r="J7405" i="3"/>
  <c r="K7405" i="3" s="1"/>
  <c r="H7405" i="3"/>
  <c r="G7405" i="3"/>
  <c r="M7404" i="3"/>
  <c r="L7404" i="3"/>
  <c r="J7404" i="3"/>
  <c r="K7404" i="3" s="1"/>
  <c r="H7404" i="3"/>
  <c r="G7404" i="3"/>
  <c r="M7403" i="3"/>
  <c r="L7403" i="3"/>
  <c r="J7403" i="3"/>
  <c r="K7403" i="3" s="1"/>
  <c r="H7403" i="3"/>
  <c r="G7403" i="3"/>
  <c r="M7402" i="3"/>
  <c r="L7402" i="3"/>
  <c r="J7402" i="3"/>
  <c r="K7402" i="3" s="1"/>
  <c r="H7402" i="3"/>
  <c r="G7402" i="3"/>
  <c r="I7402" i="3" s="1"/>
  <c r="M7401" i="3"/>
  <c r="L7401" i="3"/>
  <c r="J7401" i="3"/>
  <c r="K7401" i="3" s="1"/>
  <c r="H7401" i="3"/>
  <c r="G7401" i="3"/>
  <c r="M7400" i="3"/>
  <c r="L7400" i="3"/>
  <c r="K7400" i="3"/>
  <c r="J7400" i="3"/>
  <c r="H7400" i="3"/>
  <c r="G7400" i="3"/>
  <c r="M7399" i="3"/>
  <c r="L7399" i="3"/>
  <c r="J7399" i="3"/>
  <c r="K7399" i="3" s="1"/>
  <c r="H7399" i="3"/>
  <c r="G7399" i="3"/>
  <c r="M7398" i="3"/>
  <c r="L7398" i="3"/>
  <c r="J7398" i="3"/>
  <c r="K7398" i="3" s="1"/>
  <c r="H7398" i="3"/>
  <c r="G7398" i="3"/>
  <c r="I7398" i="3" s="1"/>
  <c r="M7397" i="3"/>
  <c r="L7397" i="3"/>
  <c r="J7397" i="3"/>
  <c r="K7397" i="3" s="1"/>
  <c r="H7397" i="3"/>
  <c r="G7397" i="3"/>
  <c r="M7396" i="3"/>
  <c r="L7396" i="3"/>
  <c r="J7396" i="3"/>
  <c r="K7396" i="3" s="1"/>
  <c r="H7396" i="3"/>
  <c r="G7396" i="3"/>
  <c r="I7396" i="3" s="1"/>
  <c r="M7395" i="3"/>
  <c r="L7395" i="3"/>
  <c r="J7395" i="3"/>
  <c r="K7395" i="3" s="1"/>
  <c r="H7395" i="3"/>
  <c r="G7395" i="3"/>
  <c r="M7394" i="3"/>
  <c r="L7394" i="3"/>
  <c r="J7394" i="3"/>
  <c r="K7394" i="3" s="1"/>
  <c r="H7394" i="3"/>
  <c r="G7394" i="3"/>
  <c r="I7394" i="3" s="1"/>
  <c r="M7441" i="3"/>
  <c r="L7441" i="3"/>
  <c r="J7441" i="3"/>
  <c r="K7441" i="3" s="1"/>
  <c r="H7441" i="3"/>
  <c r="G7441" i="3"/>
  <c r="M7440" i="3"/>
  <c r="L7440" i="3"/>
  <c r="J7440" i="3"/>
  <c r="K7440" i="3" s="1"/>
  <c r="H7440" i="3"/>
  <c r="G7440" i="3"/>
  <c r="M7439" i="3"/>
  <c r="L7439" i="3"/>
  <c r="J7439" i="3"/>
  <c r="K7439" i="3" s="1"/>
  <c r="H7439" i="3"/>
  <c r="G7439" i="3"/>
  <c r="M7438" i="3"/>
  <c r="L7438" i="3"/>
  <c r="J7438" i="3"/>
  <c r="K7438" i="3" s="1"/>
  <c r="H7438" i="3"/>
  <c r="G7438" i="3"/>
  <c r="I7438" i="3" s="1"/>
  <c r="M7437" i="3"/>
  <c r="L7437" i="3"/>
  <c r="J7437" i="3"/>
  <c r="K7437" i="3" s="1"/>
  <c r="H7437" i="3"/>
  <c r="G7437" i="3"/>
  <c r="M7436" i="3"/>
  <c r="L7436" i="3"/>
  <c r="J7436" i="3"/>
  <c r="K7436" i="3" s="1"/>
  <c r="H7436" i="3"/>
  <c r="G7436" i="3"/>
  <c r="I7436" i="3" s="1"/>
  <c r="M7435" i="3"/>
  <c r="L7435" i="3"/>
  <c r="J7435" i="3"/>
  <c r="K7435" i="3" s="1"/>
  <c r="H7435" i="3"/>
  <c r="G7435" i="3"/>
  <c r="M7434" i="3"/>
  <c r="L7434" i="3"/>
  <c r="J7434" i="3"/>
  <c r="K7434" i="3" s="1"/>
  <c r="H7434" i="3"/>
  <c r="G7434" i="3"/>
  <c r="I7434" i="3" s="1"/>
  <c r="M7433" i="3"/>
  <c r="L7433" i="3"/>
  <c r="J7433" i="3"/>
  <c r="K7433" i="3" s="1"/>
  <c r="H7433" i="3"/>
  <c r="G7433" i="3"/>
  <c r="M7432" i="3"/>
  <c r="L7432" i="3"/>
  <c r="K7432" i="3"/>
  <c r="J7432" i="3"/>
  <c r="H7432" i="3"/>
  <c r="G7432" i="3"/>
  <c r="M7431" i="3"/>
  <c r="L7431" i="3"/>
  <c r="J7431" i="3"/>
  <c r="K7431" i="3" s="1"/>
  <c r="H7431" i="3"/>
  <c r="G7431" i="3"/>
  <c r="I7431" i="3" s="1"/>
  <c r="M7430" i="3"/>
  <c r="L7430" i="3"/>
  <c r="J7430" i="3"/>
  <c r="K7430" i="3" s="1"/>
  <c r="H7430" i="3"/>
  <c r="G7430" i="3"/>
  <c r="M7429" i="3"/>
  <c r="L7429" i="3"/>
  <c r="J7429" i="3"/>
  <c r="K7429" i="3" s="1"/>
  <c r="H7429" i="3"/>
  <c r="G7429" i="3"/>
  <c r="I7429" i="3" s="1"/>
  <c r="M7428" i="3"/>
  <c r="L7428" i="3"/>
  <c r="J7428" i="3"/>
  <c r="K7428" i="3" s="1"/>
  <c r="H7428" i="3"/>
  <c r="G7428" i="3"/>
  <c r="M7427" i="3"/>
  <c r="L7427" i="3"/>
  <c r="J7427" i="3"/>
  <c r="K7427" i="3" s="1"/>
  <c r="H7427" i="3"/>
  <c r="G7427" i="3"/>
  <c r="M7426" i="3"/>
  <c r="L7426" i="3"/>
  <c r="J7426" i="3"/>
  <c r="K7426" i="3" s="1"/>
  <c r="H7426" i="3"/>
  <c r="G7426" i="3"/>
  <c r="M7425" i="3"/>
  <c r="L7425" i="3"/>
  <c r="J7425" i="3"/>
  <c r="K7425" i="3" s="1"/>
  <c r="H7425" i="3"/>
  <c r="G7425" i="3"/>
  <c r="I7425" i="3" s="1"/>
  <c r="M7424" i="3"/>
  <c r="L7424" i="3"/>
  <c r="J7424" i="3"/>
  <c r="K7424" i="3" s="1"/>
  <c r="H7424" i="3"/>
  <c r="G7424" i="3"/>
  <c r="M7423" i="3"/>
  <c r="L7423" i="3"/>
  <c r="J7423" i="3"/>
  <c r="K7423" i="3" s="1"/>
  <c r="H7423" i="3"/>
  <c r="G7423" i="3"/>
  <c r="I7423" i="3" s="1"/>
  <c r="M7422" i="3"/>
  <c r="L7422" i="3"/>
  <c r="J7422" i="3"/>
  <c r="K7422" i="3" s="1"/>
  <c r="H7422" i="3"/>
  <c r="G7422" i="3"/>
  <c r="M7421" i="3"/>
  <c r="L7421" i="3"/>
  <c r="J7421" i="3"/>
  <c r="K7421" i="3" s="1"/>
  <c r="H7421" i="3"/>
  <c r="G7421" i="3"/>
  <c r="I7421" i="3" s="1"/>
  <c r="M7420" i="3"/>
  <c r="L7420" i="3"/>
  <c r="J7420" i="3"/>
  <c r="K7420" i="3" s="1"/>
  <c r="H7420" i="3"/>
  <c r="G7420" i="3"/>
  <c r="M7419" i="3"/>
  <c r="L7419" i="3"/>
  <c r="J7419" i="3"/>
  <c r="K7419" i="3" s="1"/>
  <c r="H7419" i="3"/>
  <c r="G7419" i="3"/>
  <c r="I7419" i="3" s="1"/>
  <c r="M7418" i="3"/>
  <c r="L7418" i="3"/>
  <c r="J7418" i="3"/>
  <c r="K7418" i="3" s="1"/>
  <c r="H7418" i="3"/>
  <c r="G7418" i="3"/>
  <c r="M7465" i="3"/>
  <c r="L7465" i="3"/>
  <c r="J7465" i="3"/>
  <c r="K7465" i="3" s="1"/>
  <c r="H7465" i="3"/>
  <c r="G7465" i="3"/>
  <c r="M7464" i="3"/>
  <c r="L7464" i="3"/>
  <c r="J7464" i="3"/>
  <c r="K7464" i="3" s="1"/>
  <c r="H7464" i="3"/>
  <c r="G7464" i="3"/>
  <c r="M7463" i="3"/>
  <c r="L7463" i="3"/>
  <c r="J7463" i="3"/>
  <c r="K7463" i="3" s="1"/>
  <c r="H7463" i="3"/>
  <c r="G7463" i="3"/>
  <c r="M7462" i="3"/>
  <c r="L7462" i="3"/>
  <c r="J7462" i="3"/>
  <c r="K7462" i="3" s="1"/>
  <c r="H7462" i="3"/>
  <c r="G7462" i="3"/>
  <c r="M7461" i="3"/>
  <c r="L7461" i="3"/>
  <c r="J7461" i="3"/>
  <c r="K7461" i="3" s="1"/>
  <c r="H7461" i="3"/>
  <c r="G7461" i="3"/>
  <c r="I7461" i="3" s="1"/>
  <c r="M7460" i="3"/>
  <c r="L7460" i="3"/>
  <c r="J7460" i="3"/>
  <c r="K7460" i="3" s="1"/>
  <c r="H7460" i="3"/>
  <c r="I7460" i="3" s="1"/>
  <c r="G7460" i="3"/>
  <c r="M7459" i="3"/>
  <c r="L7459" i="3"/>
  <c r="J7459" i="3"/>
  <c r="K7459" i="3" s="1"/>
  <c r="H7459" i="3"/>
  <c r="G7459" i="3"/>
  <c r="M7458" i="3"/>
  <c r="L7458" i="3"/>
  <c r="J7458" i="3"/>
  <c r="K7458" i="3" s="1"/>
  <c r="H7458" i="3"/>
  <c r="G7458" i="3"/>
  <c r="M7457" i="3"/>
  <c r="L7457" i="3"/>
  <c r="J7457" i="3"/>
  <c r="K7457" i="3" s="1"/>
  <c r="H7457" i="3"/>
  <c r="G7457" i="3"/>
  <c r="M7456" i="3"/>
  <c r="L7456" i="3"/>
  <c r="J7456" i="3"/>
  <c r="K7456" i="3" s="1"/>
  <c r="H7456" i="3"/>
  <c r="G7456" i="3"/>
  <c r="M7455" i="3"/>
  <c r="L7455" i="3"/>
  <c r="J7455" i="3"/>
  <c r="K7455" i="3" s="1"/>
  <c r="H7455" i="3"/>
  <c r="G7455" i="3"/>
  <c r="M7454" i="3"/>
  <c r="L7454" i="3"/>
  <c r="J7454" i="3"/>
  <c r="K7454" i="3" s="1"/>
  <c r="H7454" i="3"/>
  <c r="G7454" i="3"/>
  <c r="M7453" i="3"/>
  <c r="L7453" i="3"/>
  <c r="J7453" i="3"/>
  <c r="K7453" i="3" s="1"/>
  <c r="H7453" i="3"/>
  <c r="G7453" i="3"/>
  <c r="I7453" i="3" s="1"/>
  <c r="M7452" i="3"/>
  <c r="L7452" i="3"/>
  <c r="J7452" i="3"/>
  <c r="K7452" i="3" s="1"/>
  <c r="H7452" i="3"/>
  <c r="I7452" i="3" s="1"/>
  <c r="G7452" i="3"/>
  <c r="M7451" i="3"/>
  <c r="L7451" i="3"/>
  <c r="J7451" i="3"/>
  <c r="K7451" i="3" s="1"/>
  <c r="H7451" i="3"/>
  <c r="G7451" i="3"/>
  <c r="M7450" i="3"/>
  <c r="L7450" i="3"/>
  <c r="J7450" i="3"/>
  <c r="K7450" i="3" s="1"/>
  <c r="H7450" i="3"/>
  <c r="G7450" i="3"/>
  <c r="M7449" i="3"/>
  <c r="L7449" i="3"/>
  <c r="J7449" i="3"/>
  <c r="K7449" i="3" s="1"/>
  <c r="H7449" i="3"/>
  <c r="G7449" i="3"/>
  <c r="M7448" i="3"/>
  <c r="L7448" i="3"/>
  <c r="J7448" i="3"/>
  <c r="K7448" i="3" s="1"/>
  <c r="H7448" i="3"/>
  <c r="G7448" i="3"/>
  <c r="M7447" i="3"/>
  <c r="L7447" i="3"/>
  <c r="J7447" i="3"/>
  <c r="K7447" i="3" s="1"/>
  <c r="H7447" i="3"/>
  <c r="G7447" i="3"/>
  <c r="M7446" i="3"/>
  <c r="L7446" i="3"/>
  <c r="J7446" i="3"/>
  <c r="K7446" i="3" s="1"/>
  <c r="H7446" i="3"/>
  <c r="G7446" i="3"/>
  <c r="M7445" i="3"/>
  <c r="L7445" i="3"/>
  <c r="J7445" i="3"/>
  <c r="K7445" i="3" s="1"/>
  <c r="H7445" i="3"/>
  <c r="G7445" i="3"/>
  <c r="I7445" i="3" s="1"/>
  <c r="M7444" i="3"/>
  <c r="L7444" i="3"/>
  <c r="J7444" i="3"/>
  <c r="K7444" i="3" s="1"/>
  <c r="H7444" i="3"/>
  <c r="I7444" i="3" s="1"/>
  <c r="G7444" i="3"/>
  <c r="M7443" i="3"/>
  <c r="L7443" i="3"/>
  <c r="J7443" i="3"/>
  <c r="K7443" i="3" s="1"/>
  <c r="H7443" i="3"/>
  <c r="G7443" i="3"/>
  <c r="M7442" i="3"/>
  <c r="L7442" i="3"/>
  <c r="J7442" i="3"/>
  <c r="K7442" i="3" s="1"/>
  <c r="H7442" i="3"/>
  <c r="G7442" i="3"/>
  <c r="M7489" i="3"/>
  <c r="L7489" i="3"/>
  <c r="J7489" i="3"/>
  <c r="K7489" i="3" s="1"/>
  <c r="H7489" i="3"/>
  <c r="G7489" i="3"/>
  <c r="M7488" i="3"/>
  <c r="L7488" i="3"/>
  <c r="J7488" i="3"/>
  <c r="K7488" i="3" s="1"/>
  <c r="H7488" i="3"/>
  <c r="G7488" i="3"/>
  <c r="I7488" i="3" s="1"/>
  <c r="M7487" i="3"/>
  <c r="L7487" i="3"/>
  <c r="J7487" i="3"/>
  <c r="K7487" i="3" s="1"/>
  <c r="H7487" i="3"/>
  <c r="G7487" i="3"/>
  <c r="M7486" i="3"/>
  <c r="L7486" i="3"/>
  <c r="K7486" i="3"/>
  <c r="J7486" i="3"/>
  <c r="H7486" i="3"/>
  <c r="G7486" i="3"/>
  <c r="M7485" i="3"/>
  <c r="L7485" i="3"/>
  <c r="J7485" i="3"/>
  <c r="K7485" i="3" s="1"/>
  <c r="H7485" i="3"/>
  <c r="G7485" i="3"/>
  <c r="M7484" i="3"/>
  <c r="L7484" i="3"/>
  <c r="J7484" i="3"/>
  <c r="K7484" i="3" s="1"/>
  <c r="H7484" i="3"/>
  <c r="G7484" i="3"/>
  <c r="M7483" i="3"/>
  <c r="L7483" i="3"/>
  <c r="J7483" i="3"/>
  <c r="K7483" i="3" s="1"/>
  <c r="H7483" i="3"/>
  <c r="G7483" i="3"/>
  <c r="M7482" i="3"/>
  <c r="L7482" i="3"/>
  <c r="J7482" i="3"/>
  <c r="K7482" i="3" s="1"/>
  <c r="H7482" i="3"/>
  <c r="G7482" i="3"/>
  <c r="I7482" i="3" s="1"/>
  <c r="M7481" i="3"/>
  <c r="L7481" i="3"/>
  <c r="J7481" i="3"/>
  <c r="K7481" i="3" s="1"/>
  <c r="H7481" i="3"/>
  <c r="G7481" i="3"/>
  <c r="M7480" i="3"/>
  <c r="L7480" i="3"/>
  <c r="J7480" i="3"/>
  <c r="K7480" i="3" s="1"/>
  <c r="H7480" i="3"/>
  <c r="G7480" i="3"/>
  <c r="I7480" i="3" s="1"/>
  <c r="M7479" i="3"/>
  <c r="L7479" i="3"/>
  <c r="J7479" i="3"/>
  <c r="K7479" i="3" s="1"/>
  <c r="H7479" i="3"/>
  <c r="G7479" i="3"/>
  <c r="M7478" i="3"/>
  <c r="L7478" i="3"/>
  <c r="K7478" i="3"/>
  <c r="J7478" i="3"/>
  <c r="H7478" i="3"/>
  <c r="G7478" i="3"/>
  <c r="M7477" i="3"/>
  <c r="L7477" i="3"/>
  <c r="J7477" i="3"/>
  <c r="K7477" i="3" s="1"/>
  <c r="H7477" i="3"/>
  <c r="G7477" i="3"/>
  <c r="M7476" i="3"/>
  <c r="L7476" i="3"/>
  <c r="J7476" i="3"/>
  <c r="K7476" i="3" s="1"/>
  <c r="H7476" i="3"/>
  <c r="G7476" i="3"/>
  <c r="I7476" i="3" s="1"/>
  <c r="M7475" i="3"/>
  <c r="L7475" i="3"/>
  <c r="J7475" i="3"/>
  <c r="K7475" i="3" s="1"/>
  <c r="H7475" i="3"/>
  <c r="G7475" i="3"/>
  <c r="M7474" i="3"/>
  <c r="L7474" i="3"/>
  <c r="J7474" i="3"/>
  <c r="K7474" i="3" s="1"/>
  <c r="H7474" i="3"/>
  <c r="G7474" i="3"/>
  <c r="I7474" i="3" s="1"/>
  <c r="M7473" i="3"/>
  <c r="L7473" i="3"/>
  <c r="J7473" i="3"/>
  <c r="K7473" i="3" s="1"/>
  <c r="H7473" i="3"/>
  <c r="G7473" i="3"/>
  <c r="I7473" i="3" s="1"/>
  <c r="M7472" i="3"/>
  <c r="L7472" i="3"/>
  <c r="J7472" i="3"/>
  <c r="K7472" i="3" s="1"/>
  <c r="H7472" i="3"/>
  <c r="I7472" i="3" s="1"/>
  <c r="G7472" i="3"/>
  <c r="M7471" i="3"/>
  <c r="L7471" i="3"/>
  <c r="K7471" i="3"/>
  <c r="J7471" i="3"/>
  <c r="H7471" i="3"/>
  <c r="G7471" i="3"/>
  <c r="M7470" i="3"/>
  <c r="L7470" i="3"/>
  <c r="J7470" i="3"/>
  <c r="K7470" i="3" s="1"/>
  <c r="H7470" i="3"/>
  <c r="G7470" i="3"/>
  <c r="M7469" i="3"/>
  <c r="L7469" i="3"/>
  <c r="J7469" i="3"/>
  <c r="K7469" i="3" s="1"/>
  <c r="H7469" i="3"/>
  <c r="G7469" i="3"/>
  <c r="M7468" i="3"/>
  <c r="L7468" i="3"/>
  <c r="J7468" i="3"/>
  <c r="K7468" i="3" s="1"/>
  <c r="H7468" i="3"/>
  <c r="G7468" i="3"/>
  <c r="I7468" i="3" s="1"/>
  <c r="M7467" i="3"/>
  <c r="L7467" i="3"/>
  <c r="J7467" i="3"/>
  <c r="K7467" i="3" s="1"/>
  <c r="H7467" i="3"/>
  <c r="G7467" i="3"/>
  <c r="I7467" i="3" s="1"/>
  <c r="M7466" i="3"/>
  <c r="L7466" i="3"/>
  <c r="J7466" i="3"/>
  <c r="K7466" i="3" s="1"/>
  <c r="H7466" i="3"/>
  <c r="G7466" i="3"/>
  <c r="M7513" i="3"/>
  <c r="L7513" i="3"/>
  <c r="J7513" i="3"/>
  <c r="K7513" i="3" s="1"/>
  <c r="H7513" i="3"/>
  <c r="G7513" i="3"/>
  <c r="M7512" i="3"/>
  <c r="L7512" i="3"/>
  <c r="J7512" i="3"/>
  <c r="K7512" i="3" s="1"/>
  <c r="H7512" i="3"/>
  <c r="G7512" i="3"/>
  <c r="I7512" i="3" s="1"/>
  <c r="M7511" i="3"/>
  <c r="L7511" i="3"/>
  <c r="J7511" i="3"/>
  <c r="K7511" i="3" s="1"/>
  <c r="H7511" i="3"/>
  <c r="G7511" i="3"/>
  <c r="M7510" i="3"/>
  <c r="L7510" i="3"/>
  <c r="J7510" i="3"/>
  <c r="K7510" i="3" s="1"/>
  <c r="H7510" i="3"/>
  <c r="G7510" i="3"/>
  <c r="M7509" i="3"/>
  <c r="L7509" i="3"/>
  <c r="J7509" i="3"/>
  <c r="K7509" i="3" s="1"/>
  <c r="H7509" i="3"/>
  <c r="G7509" i="3"/>
  <c r="M7508" i="3"/>
  <c r="L7508" i="3"/>
  <c r="J7508" i="3"/>
  <c r="K7508" i="3" s="1"/>
  <c r="H7508" i="3"/>
  <c r="G7508" i="3"/>
  <c r="M7507" i="3"/>
  <c r="L7507" i="3"/>
  <c r="J7507" i="3"/>
  <c r="K7507" i="3" s="1"/>
  <c r="H7507" i="3"/>
  <c r="G7507" i="3"/>
  <c r="M7506" i="3"/>
  <c r="L7506" i="3"/>
  <c r="J7506" i="3"/>
  <c r="K7506" i="3" s="1"/>
  <c r="H7506" i="3"/>
  <c r="G7506" i="3"/>
  <c r="I7506" i="3" s="1"/>
  <c r="M7505" i="3"/>
  <c r="L7505" i="3"/>
  <c r="J7505" i="3"/>
  <c r="K7505" i="3" s="1"/>
  <c r="H7505" i="3"/>
  <c r="I7505" i="3" s="1"/>
  <c r="G7505" i="3"/>
  <c r="M7504" i="3"/>
  <c r="L7504" i="3"/>
  <c r="K7504" i="3"/>
  <c r="J7504" i="3"/>
  <c r="H7504" i="3"/>
  <c r="G7504" i="3"/>
  <c r="M7503" i="3"/>
  <c r="L7503" i="3"/>
  <c r="J7503" i="3"/>
  <c r="K7503" i="3" s="1"/>
  <c r="H7503" i="3"/>
  <c r="G7503" i="3"/>
  <c r="M7502" i="3"/>
  <c r="L7502" i="3"/>
  <c r="J7502" i="3"/>
  <c r="K7502" i="3" s="1"/>
  <c r="H7502" i="3"/>
  <c r="G7502" i="3"/>
  <c r="I7502" i="3" s="1"/>
  <c r="M7501" i="3"/>
  <c r="L7501" i="3"/>
  <c r="J7501" i="3"/>
  <c r="K7501" i="3" s="1"/>
  <c r="H7501" i="3"/>
  <c r="G7501" i="3"/>
  <c r="M7500" i="3"/>
  <c r="L7500" i="3"/>
  <c r="J7500" i="3"/>
  <c r="K7500" i="3" s="1"/>
  <c r="H7500" i="3"/>
  <c r="G7500" i="3"/>
  <c r="I7500" i="3" s="1"/>
  <c r="M7499" i="3"/>
  <c r="L7499" i="3"/>
  <c r="J7499" i="3"/>
  <c r="K7499" i="3" s="1"/>
  <c r="H7499" i="3"/>
  <c r="G7499" i="3"/>
  <c r="M7498" i="3"/>
  <c r="L7498" i="3"/>
  <c r="J7498" i="3"/>
  <c r="K7498" i="3" s="1"/>
  <c r="H7498" i="3"/>
  <c r="G7498" i="3"/>
  <c r="I7498" i="3" s="1"/>
  <c r="M7497" i="3"/>
  <c r="L7497" i="3"/>
  <c r="J7497" i="3"/>
  <c r="K7497" i="3" s="1"/>
  <c r="H7497" i="3"/>
  <c r="G7497" i="3"/>
  <c r="M7496" i="3"/>
  <c r="L7496" i="3"/>
  <c r="J7496" i="3"/>
  <c r="K7496" i="3" s="1"/>
  <c r="H7496" i="3"/>
  <c r="G7496" i="3"/>
  <c r="I7496" i="3" s="1"/>
  <c r="M7495" i="3"/>
  <c r="L7495" i="3"/>
  <c r="J7495" i="3"/>
  <c r="K7495" i="3" s="1"/>
  <c r="H7495" i="3"/>
  <c r="G7495" i="3"/>
  <c r="I7495" i="3" s="1"/>
  <c r="M7494" i="3"/>
  <c r="L7494" i="3"/>
  <c r="J7494" i="3"/>
  <c r="K7494" i="3" s="1"/>
  <c r="H7494" i="3"/>
  <c r="G7494" i="3"/>
  <c r="M7493" i="3"/>
  <c r="L7493" i="3"/>
  <c r="J7493" i="3"/>
  <c r="K7493" i="3" s="1"/>
  <c r="H7493" i="3"/>
  <c r="G7493" i="3"/>
  <c r="M7492" i="3"/>
  <c r="L7492" i="3"/>
  <c r="J7492" i="3"/>
  <c r="K7492" i="3" s="1"/>
  <c r="H7492" i="3"/>
  <c r="I7492" i="3" s="1"/>
  <c r="G7492" i="3"/>
  <c r="M7491" i="3"/>
  <c r="L7491" i="3"/>
  <c r="J7491" i="3"/>
  <c r="K7491" i="3" s="1"/>
  <c r="H7491" i="3"/>
  <c r="G7491" i="3"/>
  <c r="I7491" i="3" s="1"/>
  <c r="M7490" i="3"/>
  <c r="L7490" i="3"/>
  <c r="J7490" i="3"/>
  <c r="K7490" i="3" s="1"/>
  <c r="H7490" i="3"/>
  <c r="G7490" i="3"/>
  <c r="M7537" i="3"/>
  <c r="L7537" i="3"/>
  <c r="J7537" i="3"/>
  <c r="K7537" i="3" s="1"/>
  <c r="H7537" i="3"/>
  <c r="G7537" i="3"/>
  <c r="M7536" i="3"/>
  <c r="L7536" i="3"/>
  <c r="J7536" i="3"/>
  <c r="K7536" i="3" s="1"/>
  <c r="H7536" i="3"/>
  <c r="G7536" i="3"/>
  <c r="I7536" i="3" s="1"/>
  <c r="M7535" i="3"/>
  <c r="L7535" i="3"/>
  <c r="J7535" i="3"/>
  <c r="K7535" i="3" s="1"/>
  <c r="H7535" i="3"/>
  <c r="G7535" i="3"/>
  <c r="M7534" i="3"/>
  <c r="L7534" i="3"/>
  <c r="K7534" i="3"/>
  <c r="J7534" i="3"/>
  <c r="H7534" i="3"/>
  <c r="G7534" i="3"/>
  <c r="M7533" i="3"/>
  <c r="L7533" i="3"/>
  <c r="J7533" i="3"/>
  <c r="K7533" i="3" s="1"/>
  <c r="H7533" i="3"/>
  <c r="G7533" i="3"/>
  <c r="M7532" i="3"/>
  <c r="L7532" i="3"/>
  <c r="J7532" i="3"/>
  <c r="K7532" i="3" s="1"/>
  <c r="H7532" i="3"/>
  <c r="G7532" i="3"/>
  <c r="M7531" i="3"/>
  <c r="L7531" i="3"/>
  <c r="J7531" i="3"/>
  <c r="K7531" i="3" s="1"/>
  <c r="H7531" i="3"/>
  <c r="G7531" i="3"/>
  <c r="M7530" i="3"/>
  <c r="L7530" i="3"/>
  <c r="J7530" i="3"/>
  <c r="K7530" i="3" s="1"/>
  <c r="H7530" i="3"/>
  <c r="G7530" i="3"/>
  <c r="I7530" i="3" s="1"/>
  <c r="M7529" i="3"/>
  <c r="L7529" i="3"/>
  <c r="J7529" i="3"/>
  <c r="K7529" i="3" s="1"/>
  <c r="H7529" i="3"/>
  <c r="G7529" i="3"/>
  <c r="M7528" i="3"/>
  <c r="L7528" i="3"/>
  <c r="J7528" i="3"/>
  <c r="K7528" i="3" s="1"/>
  <c r="H7528" i="3"/>
  <c r="G7528" i="3"/>
  <c r="I7528" i="3" s="1"/>
  <c r="M7527" i="3"/>
  <c r="L7527" i="3"/>
  <c r="J7527" i="3"/>
  <c r="K7527" i="3" s="1"/>
  <c r="H7527" i="3"/>
  <c r="G7527" i="3"/>
  <c r="M7526" i="3"/>
  <c r="L7526" i="3"/>
  <c r="J7526" i="3"/>
  <c r="K7526" i="3" s="1"/>
  <c r="H7526" i="3"/>
  <c r="G7526" i="3"/>
  <c r="M7525" i="3"/>
  <c r="L7525" i="3"/>
  <c r="J7525" i="3"/>
  <c r="K7525" i="3" s="1"/>
  <c r="H7525" i="3"/>
  <c r="G7525" i="3"/>
  <c r="M7524" i="3"/>
  <c r="L7524" i="3"/>
  <c r="J7524" i="3"/>
  <c r="K7524" i="3" s="1"/>
  <c r="H7524" i="3"/>
  <c r="G7524" i="3"/>
  <c r="I7524" i="3" s="1"/>
  <c r="M7523" i="3"/>
  <c r="L7523" i="3"/>
  <c r="J7523" i="3"/>
  <c r="K7523" i="3" s="1"/>
  <c r="H7523" i="3"/>
  <c r="G7523" i="3"/>
  <c r="M7522" i="3"/>
  <c r="L7522" i="3"/>
  <c r="J7522" i="3"/>
  <c r="K7522" i="3" s="1"/>
  <c r="H7522" i="3"/>
  <c r="G7522" i="3"/>
  <c r="I7522" i="3" s="1"/>
  <c r="M7521" i="3"/>
  <c r="L7521" i="3"/>
  <c r="J7521" i="3"/>
  <c r="K7521" i="3" s="1"/>
  <c r="H7521" i="3"/>
  <c r="G7521" i="3"/>
  <c r="M7520" i="3"/>
  <c r="L7520" i="3"/>
  <c r="J7520" i="3"/>
  <c r="K7520" i="3" s="1"/>
  <c r="H7520" i="3"/>
  <c r="G7520" i="3"/>
  <c r="M7519" i="3"/>
  <c r="L7519" i="3"/>
  <c r="J7519" i="3"/>
  <c r="K7519" i="3" s="1"/>
  <c r="H7519" i="3"/>
  <c r="G7519" i="3"/>
  <c r="I7519" i="3" s="1"/>
  <c r="M7518" i="3"/>
  <c r="L7518" i="3"/>
  <c r="J7518" i="3"/>
  <c r="K7518" i="3" s="1"/>
  <c r="H7518" i="3"/>
  <c r="G7518" i="3"/>
  <c r="I7518" i="3" s="1"/>
  <c r="M7517" i="3"/>
  <c r="L7517" i="3"/>
  <c r="J7517" i="3"/>
  <c r="K7517" i="3" s="1"/>
  <c r="H7517" i="3"/>
  <c r="I7517" i="3" s="1"/>
  <c r="G7517" i="3"/>
  <c r="M7516" i="3"/>
  <c r="L7516" i="3"/>
  <c r="J7516" i="3"/>
  <c r="K7516" i="3" s="1"/>
  <c r="H7516" i="3"/>
  <c r="G7516" i="3"/>
  <c r="I7516" i="3" s="1"/>
  <c r="M7515" i="3"/>
  <c r="L7515" i="3"/>
  <c r="J7515" i="3"/>
  <c r="K7515" i="3" s="1"/>
  <c r="H7515" i="3"/>
  <c r="G7515" i="3"/>
  <c r="I7515" i="3" s="1"/>
  <c r="M7514" i="3"/>
  <c r="L7514" i="3"/>
  <c r="J7514" i="3"/>
  <c r="K7514" i="3" s="1"/>
  <c r="H7514" i="3"/>
  <c r="G7514" i="3"/>
  <c r="I7514" i="3" s="1"/>
  <c r="M7561" i="3"/>
  <c r="L7561" i="3"/>
  <c r="J7561" i="3"/>
  <c r="K7561" i="3" s="1"/>
  <c r="H7561" i="3"/>
  <c r="I7561" i="3" s="1"/>
  <c r="G7561" i="3"/>
  <c r="M7560" i="3"/>
  <c r="L7560" i="3"/>
  <c r="J7560" i="3"/>
  <c r="K7560" i="3" s="1"/>
  <c r="H7560" i="3"/>
  <c r="G7560" i="3"/>
  <c r="I7560" i="3" s="1"/>
  <c r="M7559" i="3"/>
  <c r="L7559" i="3"/>
  <c r="J7559" i="3"/>
  <c r="K7559" i="3" s="1"/>
  <c r="H7559" i="3"/>
  <c r="G7559" i="3"/>
  <c r="M7558" i="3"/>
  <c r="L7558" i="3"/>
  <c r="J7558" i="3"/>
  <c r="K7558" i="3" s="1"/>
  <c r="H7558" i="3"/>
  <c r="G7558" i="3"/>
  <c r="M7557" i="3"/>
  <c r="L7557" i="3"/>
  <c r="J7557" i="3"/>
  <c r="K7557" i="3" s="1"/>
  <c r="H7557" i="3"/>
  <c r="G7557" i="3"/>
  <c r="I7557" i="3" s="1"/>
  <c r="M7556" i="3"/>
  <c r="L7556" i="3"/>
  <c r="J7556" i="3"/>
  <c r="K7556" i="3" s="1"/>
  <c r="H7556" i="3"/>
  <c r="G7556" i="3"/>
  <c r="I7556" i="3" s="1"/>
  <c r="M7555" i="3"/>
  <c r="L7555" i="3"/>
  <c r="J7555" i="3"/>
  <c r="K7555" i="3" s="1"/>
  <c r="H7555" i="3"/>
  <c r="G7555" i="3"/>
  <c r="I7555" i="3" s="1"/>
  <c r="M7554" i="3"/>
  <c r="L7554" i="3"/>
  <c r="J7554" i="3"/>
  <c r="K7554" i="3" s="1"/>
  <c r="H7554" i="3"/>
  <c r="G7554" i="3"/>
  <c r="M7553" i="3"/>
  <c r="L7553" i="3"/>
  <c r="J7553" i="3"/>
  <c r="K7553" i="3" s="1"/>
  <c r="H7553" i="3"/>
  <c r="G7553" i="3"/>
  <c r="I7553" i="3" s="1"/>
  <c r="M7552" i="3"/>
  <c r="L7552" i="3"/>
  <c r="J7552" i="3"/>
  <c r="K7552" i="3" s="1"/>
  <c r="H7552" i="3"/>
  <c r="G7552" i="3"/>
  <c r="I7552" i="3" s="1"/>
  <c r="M7551" i="3"/>
  <c r="L7551" i="3"/>
  <c r="J7551" i="3"/>
  <c r="K7551" i="3" s="1"/>
  <c r="H7551" i="3"/>
  <c r="G7551" i="3"/>
  <c r="M7550" i="3"/>
  <c r="L7550" i="3"/>
  <c r="J7550" i="3"/>
  <c r="K7550" i="3" s="1"/>
  <c r="H7550" i="3"/>
  <c r="G7550" i="3"/>
  <c r="M7549" i="3"/>
  <c r="L7549" i="3"/>
  <c r="J7549" i="3"/>
  <c r="K7549" i="3" s="1"/>
  <c r="H7549" i="3"/>
  <c r="G7549" i="3"/>
  <c r="I7549" i="3" s="1"/>
  <c r="M7548" i="3"/>
  <c r="L7548" i="3"/>
  <c r="J7548" i="3"/>
  <c r="K7548" i="3" s="1"/>
  <c r="H7548" i="3"/>
  <c r="G7548" i="3"/>
  <c r="M7547" i="3"/>
  <c r="L7547" i="3"/>
  <c r="J7547" i="3"/>
  <c r="K7547" i="3" s="1"/>
  <c r="H7547" i="3"/>
  <c r="G7547" i="3"/>
  <c r="M7546" i="3"/>
  <c r="L7546" i="3"/>
  <c r="J7546" i="3"/>
  <c r="K7546" i="3" s="1"/>
  <c r="H7546" i="3"/>
  <c r="G7546" i="3"/>
  <c r="I7546" i="3" s="1"/>
  <c r="M7545" i="3"/>
  <c r="L7545" i="3"/>
  <c r="J7545" i="3"/>
  <c r="K7545" i="3" s="1"/>
  <c r="H7545" i="3"/>
  <c r="G7545" i="3"/>
  <c r="M7544" i="3"/>
  <c r="L7544" i="3"/>
  <c r="J7544" i="3"/>
  <c r="K7544" i="3" s="1"/>
  <c r="H7544" i="3"/>
  <c r="G7544" i="3"/>
  <c r="M7543" i="3"/>
  <c r="L7543" i="3"/>
  <c r="J7543" i="3"/>
  <c r="K7543" i="3" s="1"/>
  <c r="H7543" i="3"/>
  <c r="G7543" i="3"/>
  <c r="M7542" i="3"/>
  <c r="L7542" i="3"/>
  <c r="J7542" i="3"/>
  <c r="K7542" i="3" s="1"/>
  <c r="H7542" i="3"/>
  <c r="G7542" i="3"/>
  <c r="I7542" i="3" s="1"/>
  <c r="M7541" i="3"/>
  <c r="L7541" i="3"/>
  <c r="J7541" i="3"/>
  <c r="K7541" i="3" s="1"/>
  <c r="H7541" i="3"/>
  <c r="G7541" i="3"/>
  <c r="M7540" i="3"/>
  <c r="L7540" i="3"/>
  <c r="J7540" i="3"/>
  <c r="K7540" i="3" s="1"/>
  <c r="H7540" i="3"/>
  <c r="G7540" i="3"/>
  <c r="I7540" i="3" s="1"/>
  <c r="M7539" i="3"/>
  <c r="L7539" i="3"/>
  <c r="J7539" i="3"/>
  <c r="K7539" i="3" s="1"/>
  <c r="H7539" i="3"/>
  <c r="G7539" i="3"/>
  <c r="I7539" i="3" s="1"/>
  <c r="M7538" i="3"/>
  <c r="L7538" i="3"/>
  <c r="J7538" i="3"/>
  <c r="K7538" i="3" s="1"/>
  <c r="H7538" i="3"/>
  <c r="G7538" i="3"/>
  <c r="I7538" i="3" s="1"/>
  <c r="M7585" i="3"/>
  <c r="L7585" i="3"/>
  <c r="J7585" i="3"/>
  <c r="K7585" i="3" s="1"/>
  <c r="H7585" i="3"/>
  <c r="G7585" i="3"/>
  <c r="M7584" i="3"/>
  <c r="L7584" i="3"/>
  <c r="J7584" i="3"/>
  <c r="K7584" i="3" s="1"/>
  <c r="H7584" i="3"/>
  <c r="G7584" i="3"/>
  <c r="I7584" i="3" s="1"/>
  <c r="M7583" i="3"/>
  <c r="L7583" i="3"/>
  <c r="J7583" i="3"/>
  <c r="K7583" i="3" s="1"/>
  <c r="H7583" i="3"/>
  <c r="G7583" i="3"/>
  <c r="I7583" i="3" s="1"/>
  <c r="M7582" i="3"/>
  <c r="L7582" i="3"/>
  <c r="J7582" i="3"/>
  <c r="K7582" i="3" s="1"/>
  <c r="H7582" i="3"/>
  <c r="G7582" i="3"/>
  <c r="M7581" i="3"/>
  <c r="L7581" i="3"/>
  <c r="J7581" i="3"/>
  <c r="K7581" i="3" s="1"/>
  <c r="H7581" i="3"/>
  <c r="G7581" i="3"/>
  <c r="M7580" i="3"/>
  <c r="L7580" i="3"/>
  <c r="J7580" i="3"/>
  <c r="K7580" i="3" s="1"/>
  <c r="H7580" i="3"/>
  <c r="I7580" i="3" s="1"/>
  <c r="G7580" i="3"/>
  <c r="M7579" i="3"/>
  <c r="L7579" i="3"/>
  <c r="J7579" i="3"/>
  <c r="K7579" i="3" s="1"/>
  <c r="H7579" i="3"/>
  <c r="G7579" i="3"/>
  <c r="I7579" i="3" s="1"/>
  <c r="M7578" i="3"/>
  <c r="L7578" i="3"/>
  <c r="J7578" i="3"/>
  <c r="K7578" i="3" s="1"/>
  <c r="H7578" i="3"/>
  <c r="G7578" i="3"/>
  <c r="M7577" i="3"/>
  <c r="L7577" i="3"/>
  <c r="J7577" i="3"/>
  <c r="K7577" i="3" s="1"/>
  <c r="H7577" i="3"/>
  <c r="G7577" i="3"/>
  <c r="M7576" i="3"/>
  <c r="L7576" i="3"/>
  <c r="J7576" i="3"/>
  <c r="K7576" i="3" s="1"/>
  <c r="H7576" i="3"/>
  <c r="G7576" i="3"/>
  <c r="I7576" i="3" s="1"/>
  <c r="M7575" i="3"/>
  <c r="L7575" i="3"/>
  <c r="J7575" i="3"/>
  <c r="K7575" i="3" s="1"/>
  <c r="H7575" i="3"/>
  <c r="G7575" i="3"/>
  <c r="M7574" i="3"/>
  <c r="L7574" i="3"/>
  <c r="K7574" i="3"/>
  <c r="J7574" i="3"/>
  <c r="H7574" i="3"/>
  <c r="G7574" i="3"/>
  <c r="M7573" i="3"/>
  <c r="L7573" i="3"/>
  <c r="J7573" i="3"/>
  <c r="K7573" i="3" s="1"/>
  <c r="H7573" i="3"/>
  <c r="G7573" i="3"/>
  <c r="M7572" i="3"/>
  <c r="L7572" i="3"/>
  <c r="J7572" i="3"/>
  <c r="K7572" i="3" s="1"/>
  <c r="H7572" i="3"/>
  <c r="G7572" i="3"/>
  <c r="M7571" i="3"/>
  <c r="L7571" i="3"/>
  <c r="J7571" i="3"/>
  <c r="K7571" i="3" s="1"/>
  <c r="H7571" i="3"/>
  <c r="G7571" i="3"/>
  <c r="I7571" i="3" s="1"/>
  <c r="M7570" i="3"/>
  <c r="L7570" i="3"/>
  <c r="J7570" i="3"/>
  <c r="K7570" i="3" s="1"/>
  <c r="H7570" i="3"/>
  <c r="G7570" i="3"/>
  <c r="M7569" i="3"/>
  <c r="L7569" i="3"/>
  <c r="J7569" i="3"/>
  <c r="K7569" i="3" s="1"/>
  <c r="H7569" i="3"/>
  <c r="G7569" i="3"/>
  <c r="M7568" i="3"/>
  <c r="L7568" i="3"/>
  <c r="J7568" i="3"/>
  <c r="K7568" i="3" s="1"/>
  <c r="H7568" i="3"/>
  <c r="G7568" i="3"/>
  <c r="I7568" i="3" s="1"/>
  <c r="M7567" i="3"/>
  <c r="L7567" i="3"/>
  <c r="J7567" i="3"/>
  <c r="K7567" i="3" s="1"/>
  <c r="H7567" i="3"/>
  <c r="G7567" i="3"/>
  <c r="M7566" i="3"/>
  <c r="L7566" i="3"/>
  <c r="J7566" i="3"/>
  <c r="K7566" i="3" s="1"/>
  <c r="H7566" i="3"/>
  <c r="G7566" i="3"/>
  <c r="M7565" i="3"/>
  <c r="L7565" i="3"/>
  <c r="J7565" i="3"/>
  <c r="K7565" i="3" s="1"/>
  <c r="H7565" i="3"/>
  <c r="G7565" i="3"/>
  <c r="M7564" i="3"/>
  <c r="L7564" i="3"/>
  <c r="J7564" i="3"/>
  <c r="K7564" i="3" s="1"/>
  <c r="H7564" i="3"/>
  <c r="G7564" i="3"/>
  <c r="M7563" i="3"/>
  <c r="L7563" i="3"/>
  <c r="J7563" i="3"/>
  <c r="K7563" i="3" s="1"/>
  <c r="H7563" i="3"/>
  <c r="G7563" i="3"/>
  <c r="M7562" i="3"/>
  <c r="L7562" i="3"/>
  <c r="J7562" i="3"/>
  <c r="K7562" i="3" s="1"/>
  <c r="H7562" i="3"/>
  <c r="G7562" i="3"/>
  <c r="I7562" i="3" s="1"/>
  <c r="M7609" i="3"/>
  <c r="L7609" i="3"/>
  <c r="J7609" i="3"/>
  <c r="K7609" i="3" s="1"/>
  <c r="H7609" i="3"/>
  <c r="I7609" i="3" s="1"/>
  <c r="G7609" i="3"/>
  <c r="M7608" i="3"/>
  <c r="L7608" i="3"/>
  <c r="K7608" i="3"/>
  <c r="J7608" i="3"/>
  <c r="H7608" i="3"/>
  <c r="G7608" i="3"/>
  <c r="M7607" i="3"/>
  <c r="L7607" i="3"/>
  <c r="J7607" i="3"/>
  <c r="K7607" i="3" s="1"/>
  <c r="H7607" i="3"/>
  <c r="G7607" i="3"/>
  <c r="I7607" i="3" s="1"/>
  <c r="M7606" i="3"/>
  <c r="L7606" i="3"/>
  <c r="J7606" i="3"/>
  <c r="K7606" i="3" s="1"/>
  <c r="I7606" i="3"/>
  <c r="H7606" i="3"/>
  <c r="G7606" i="3"/>
  <c r="M7605" i="3"/>
  <c r="L7605" i="3"/>
  <c r="J7605" i="3"/>
  <c r="K7605" i="3" s="1"/>
  <c r="H7605" i="3"/>
  <c r="I7605" i="3" s="1"/>
  <c r="G7605" i="3"/>
  <c r="M7604" i="3"/>
  <c r="L7604" i="3"/>
  <c r="K7604" i="3"/>
  <c r="J7604" i="3"/>
  <c r="H7604" i="3"/>
  <c r="G7604" i="3"/>
  <c r="M7603" i="3"/>
  <c r="L7603" i="3"/>
  <c r="J7603" i="3"/>
  <c r="K7603" i="3" s="1"/>
  <c r="H7603" i="3"/>
  <c r="G7603" i="3"/>
  <c r="I7603" i="3" s="1"/>
  <c r="M7602" i="3"/>
  <c r="L7602" i="3"/>
  <c r="J7602" i="3"/>
  <c r="K7602" i="3" s="1"/>
  <c r="H7602" i="3"/>
  <c r="G7602" i="3"/>
  <c r="M7601" i="3"/>
  <c r="L7601" i="3"/>
  <c r="J7601" i="3"/>
  <c r="K7601" i="3" s="1"/>
  <c r="H7601" i="3"/>
  <c r="G7601" i="3"/>
  <c r="I7601" i="3" s="1"/>
  <c r="M7600" i="3"/>
  <c r="L7600" i="3"/>
  <c r="J7600" i="3"/>
  <c r="K7600" i="3" s="1"/>
  <c r="H7600" i="3"/>
  <c r="G7600" i="3"/>
  <c r="M7599" i="3"/>
  <c r="L7599" i="3"/>
  <c r="J7599" i="3"/>
  <c r="K7599" i="3" s="1"/>
  <c r="H7599" i="3"/>
  <c r="G7599" i="3"/>
  <c r="M7598" i="3"/>
  <c r="L7598" i="3"/>
  <c r="J7598" i="3"/>
  <c r="K7598" i="3" s="1"/>
  <c r="H7598" i="3"/>
  <c r="G7598" i="3"/>
  <c r="M7597" i="3"/>
  <c r="L7597" i="3"/>
  <c r="J7597" i="3"/>
  <c r="K7597" i="3" s="1"/>
  <c r="H7597" i="3"/>
  <c r="G7597" i="3"/>
  <c r="M7596" i="3"/>
  <c r="L7596" i="3"/>
  <c r="J7596" i="3"/>
  <c r="K7596" i="3" s="1"/>
  <c r="H7596" i="3"/>
  <c r="G7596" i="3"/>
  <c r="M7595" i="3"/>
  <c r="L7595" i="3"/>
  <c r="J7595" i="3"/>
  <c r="K7595" i="3" s="1"/>
  <c r="H7595" i="3"/>
  <c r="G7595" i="3"/>
  <c r="M7594" i="3"/>
  <c r="L7594" i="3"/>
  <c r="J7594" i="3"/>
  <c r="K7594" i="3" s="1"/>
  <c r="H7594" i="3"/>
  <c r="G7594" i="3"/>
  <c r="M7593" i="3"/>
  <c r="L7593" i="3"/>
  <c r="J7593" i="3"/>
  <c r="K7593" i="3" s="1"/>
  <c r="H7593" i="3"/>
  <c r="G7593" i="3"/>
  <c r="M7592" i="3"/>
  <c r="L7592" i="3"/>
  <c r="J7592" i="3"/>
  <c r="K7592" i="3" s="1"/>
  <c r="H7592" i="3"/>
  <c r="G7592" i="3"/>
  <c r="I7592" i="3" s="1"/>
  <c r="M7591" i="3"/>
  <c r="L7591" i="3"/>
  <c r="J7591" i="3"/>
  <c r="K7591" i="3" s="1"/>
  <c r="H7591" i="3"/>
  <c r="G7591" i="3"/>
  <c r="M7590" i="3"/>
  <c r="L7590" i="3"/>
  <c r="J7590" i="3"/>
  <c r="K7590" i="3" s="1"/>
  <c r="H7590" i="3"/>
  <c r="G7590" i="3"/>
  <c r="I7590" i="3" s="1"/>
  <c r="M7589" i="3"/>
  <c r="L7589" i="3"/>
  <c r="J7589" i="3"/>
  <c r="K7589" i="3" s="1"/>
  <c r="H7589" i="3"/>
  <c r="G7589" i="3"/>
  <c r="M7588" i="3"/>
  <c r="L7588" i="3"/>
  <c r="K7588" i="3"/>
  <c r="J7588" i="3"/>
  <c r="H7588" i="3"/>
  <c r="G7588" i="3"/>
  <c r="M7587" i="3"/>
  <c r="L7587" i="3"/>
  <c r="J7587" i="3"/>
  <c r="K7587" i="3" s="1"/>
  <c r="H7587" i="3"/>
  <c r="G7587" i="3"/>
  <c r="I7587" i="3" s="1"/>
  <c r="M7586" i="3"/>
  <c r="L7586" i="3"/>
  <c r="J7586" i="3"/>
  <c r="K7586" i="3" s="1"/>
  <c r="H7586" i="3"/>
  <c r="G7586" i="3"/>
  <c r="M7633" i="3"/>
  <c r="L7633" i="3"/>
  <c r="J7633" i="3"/>
  <c r="K7633" i="3" s="1"/>
  <c r="H7633" i="3"/>
  <c r="G7633" i="3"/>
  <c r="M7632" i="3"/>
  <c r="L7632" i="3"/>
  <c r="J7632" i="3"/>
  <c r="K7632" i="3" s="1"/>
  <c r="H7632" i="3"/>
  <c r="G7632" i="3"/>
  <c r="M7631" i="3"/>
  <c r="L7631" i="3"/>
  <c r="J7631" i="3"/>
  <c r="K7631" i="3" s="1"/>
  <c r="H7631" i="3"/>
  <c r="G7631" i="3"/>
  <c r="I7631" i="3" s="1"/>
  <c r="M7630" i="3"/>
  <c r="L7630" i="3"/>
  <c r="J7630" i="3"/>
  <c r="K7630" i="3" s="1"/>
  <c r="H7630" i="3"/>
  <c r="G7630" i="3"/>
  <c r="M7629" i="3"/>
  <c r="L7629" i="3"/>
  <c r="J7629" i="3"/>
  <c r="K7629" i="3" s="1"/>
  <c r="H7629" i="3"/>
  <c r="G7629" i="3"/>
  <c r="M7628" i="3"/>
  <c r="L7628" i="3"/>
  <c r="J7628" i="3"/>
  <c r="K7628" i="3" s="1"/>
  <c r="H7628" i="3"/>
  <c r="G7628" i="3"/>
  <c r="I7628" i="3" s="1"/>
  <c r="M7627" i="3"/>
  <c r="L7627" i="3"/>
  <c r="J7627" i="3"/>
  <c r="K7627" i="3" s="1"/>
  <c r="H7627" i="3"/>
  <c r="G7627" i="3"/>
  <c r="M7626" i="3"/>
  <c r="L7626" i="3"/>
  <c r="J7626" i="3"/>
  <c r="K7626" i="3" s="1"/>
  <c r="H7626" i="3"/>
  <c r="G7626" i="3"/>
  <c r="M7625" i="3"/>
  <c r="L7625" i="3"/>
  <c r="J7625" i="3"/>
  <c r="K7625" i="3" s="1"/>
  <c r="H7625" i="3"/>
  <c r="G7625" i="3"/>
  <c r="M7624" i="3"/>
  <c r="L7624" i="3"/>
  <c r="J7624" i="3"/>
  <c r="K7624" i="3" s="1"/>
  <c r="H7624" i="3"/>
  <c r="G7624" i="3"/>
  <c r="M7623" i="3"/>
  <c r="L7623" i="3"/>
  <c r="J7623" i="3"/>
  <c r="K7623" i="3" s="1"/>
  <c r="H7623" i="3"/>
  <c r="G7623" i="3"/>
  <c r="M7622" i="3"/>
  <c r="L7622" i="3"/>
  <c r="J7622" i="3"/>
  <c r="K7622" i="3" s="1"/>
  <c r="H7622" i="3"/>
  <c r="G7622" i="3"/>
  <c r="I7622" i="3" s="1"/>
  <c r="M7621" i="3"/>
  <c r="L7621" i="3"/>
  <c r="J7621" i="3"/>
  <c r="K7621" i="3" s="1"/>
  <c r="H7621" i="3"/>
  <c r="G7621" i="3"/>
  <c r="M7620" i="3"/>
  <c r="L7620" i="3"/>
  <c r="K7620" i="3"/>
  <c r="J7620" i="3"/>
  <c r="H7620" i="3"/>
  <c r="G7620" i="3"/>
  <c r="M7619" i="3"/>
  <c r="L7619" i="3"/>
  <c r="J7619" i="3"/>
  <c r="K7619" i="3" s="1"/>
  <c r="H7619" i="3"/>
  <c r="G7619" i="3"/>
  <c r="M7618" i="3"/>
  <c r="L7618" i="3"/>
  <c r="J7618" i="3"/>
  <c r="K7618" i="3" s="1"/>
  <c r="H7618" i="3"/>
  <c r="G7618" i="3"/>
  <c r="M7617" i="3"/>
  <c r="L7617" i="3"/>
  <c r="J7617" i="3"/>
  <c r="K7617" i="3" s="1"/>
  <c r="H7617" i="3"/>
  <c r="G7617" i="3"/>
  <c r="M7616" i="3"/>
  <c r="L7616" i="3"/>
  <c r="J7616" i="3"/>
  <c r="K7616" i="3" s="1"/>
  <c r="H7616" i="3"/>
  <c r="G7616" i="3"/>
  <c r="I7616" i="3" s="1"/>
  <c r="M7615" i="3"/>
  <c r="L7615" i="3"/>
  <c r="J7615" i="3"/>
  <c r="K7615" i="3" s="1"/>
  <c r="H7615" i="3"/>
  <c r="G7615" i="3"/>
  <c r="M7614" i="3"/>
  <c r="L7614" i="3"/>
  <c r="J7614" i="3"/>
  <c r="K7614" i="3" s="1"/>
  <c r="H7614" i="3"/>
  <c r="G7614" i="3"/>
  <c r="I7614" i="3" s="1"/>
  <c r="M7613" i="3"/>
  <c r="L7613" i="3"/>
  <c r="J7613" i="3"/>
  <c r="K7613" i="3" s="1"/>
  <c r="H7613" i="3"/>
  <c r="G7613" i="3"/>
  <c r="M7612" i="3"/>
  <c r="L7612" i="3"/>
  <c r="K7612" i="3"/>
  <c r="J7612" i="3"/>
  <c r="I7612" i="3"/>
  <c r="H7612" i="3"/>
  <c r="G7612" i="3"/>
  <c r="M7611" i="3"/>
  <c r="L7611" i="3"/>
  <c r="J7611" i="3"/>
  <c r="K7611" i="3" s="1"/>
  <c r="H7611" i="3"/>
  <c r="G7611" i="3"/>
  <c r="M7610" i="3"/>
  <c r="L7610" i="3"/>
  <c r="K7610" i="3"/>
  <c r="J7610" i="3"/>
  <c r="H7610" i="3"/>
  <c r="G7610" i="3"/>
  <c r="M7657" i="3"/>
  <c r="L7657" i="3"/>
  <c r="J7657" i="3"/>
  <c r="K7657" i="3" s="1"/>
  <c r="H7657" i="3"/>
  <c r="G7657" i="3"/>
  <c r="M7656" i="3"/>
  <c r="L7656" i="3"/>
  <c r="J7656" i="3"/>
  <c r="K7656" i="3" s="1"/>
  <c r="H7656" i="3"/>
  <c r="G7656" i="3"/>
  <c r="M7655" i="3"/>
  <c r="L7655" i="3"/>
  <c r="J7655" i="3"/>
  <c r="K7655" i="3" s="1"/>
  <c r="H7655" i="3"/>
  <c r="G7655" i="3"/>
  <c r="M7654" i="3"/>
  <c r="L7654" i="3"/>
  <c r="J7654" i="3"/>
  <c r="K7654" i="3" s="1"/>
  <c r="H7654" i="3"/>
  <c r="G7654" i="3"/>
  <c r="M7653" i="3"/>
  <c r="L7653" i="3"/>
  <c r="J7653" i="3"/>
  <c r="K7653" i="3" s="1"/>
  <c r="H7653" i="3"/>
  <c r="G7653" i="3"/>
  <c r="M7652" i="3"/>
  <c r="L7652" i="3"/>
  <c r="J7652" i="3"/>
  <c r="K7652" i="3" s="1"/>
  <c r="H7652" i="3"/>
  <c r="G7652" i="3"/>
  <c r="M7651" i="3"/>
  <c r="L7651" i="3"/>
  <c r="J7651" i="3"/>
  <c r="K7651" i="3" s="1"/>
  <c r="H7651" i="3"/>
  <c r="G7651" i="3"/>
  <c r="M7650" i="3"/>
  <c r="L7650" i="3"/>
  <c r="J7650" i="3"/>
  <c r="K7650" i="3" s="1"/>
  <c r="H7650" i="3"/>
  <c r="G7650" i="3"/>
  <c r="I7650" i="3" s="1"/>
  <c r="M7649" i="3"/>
  <c r="L7649" i="3"/>
  <c r="J7649" i="3"/>
  <c r="K7649" i="3" s="1"/>
  <c r="H7649" i="3"/>
  <c r="G7649" i="3"/>
  <c r="M7648" i="3"/>
  <c r="L7648" i="3"/>
  <c r="K7648" i="3"/>
  <c r="J7648" i="3"/>
  <c r="H7648" i="3"/>
  <c r="G7648" i="3"/>
  <c r="M7647" i="3"/>
  <c r="L7647" i="3"/>
  <c r="J7647" i="3"/>
  <c r="K7647" i="3" s="1"/>
  <c r="H7647" i="3"/>
  <c r="G7647" i="3"/>
  <c r="I7647" i="3" s="1"/>
  <c r="M7646" i="3"/>
  <c r="L7646" i="3"/>
  <c r="J7646" i="3"/>
  <c r="K7646" i="3" s="1"/>
  <c r="H7646" i="3"/>
  <c r="G7646" i="3"/>
  <c r="I7646" i="3" s="1"/>
  <c r="M7645" i="3"/>
  <c r="L7645" i="3"/>
  <c r="J7645" i="3"/>
  <c r="K7645" i="3" s="1"/>
  <c r="H7645" i="3"/>
  <c r="G7645" i="3"/>
  <c r="M7644" i="3"/>
  <c r="L7644" i="3"/>
  <c r="K7644" i="3"/>
  <c r="J7644" i="3"/>
  <c r="H7644" i="3"/>
  <c r="G7644" i="3"/>
  <c r="M7643" i="3"/>
  <c r="L7643" i="3"/>
  <c r="J7643" i="3"/>
  <c r="K7643" i="3" s="1"/>
  <c r="H7643" i="3"/>
  <c r="G7643" i="3"/>
  <c r="I7643" i="3" s="1"/>
  <c r="M7642" i="3"/>
  <c r="L7642" i="3"/>
  <c r="J7642" i="3"/>
  <c r="K7642" i="3" s="1"/>
  <c r="H7642" i="3"/>
  <c r="G7642" i="3"/>
  <c r="M7641" i="3"/>
  <c r="L7641" i="3"/>
  <c r="J7641" i="3"/>
  <c r="K7641" i="3" s="1"/>
  <c r="H7641" i="3"/>
  <c r="G7641" i="3"/>
  <c r="M7640" i="3"/>
  <c r="L7640" i="3"/>
  <c r="J7640" i="3"/>
  <c r="K7640" i="3" s="1"/>
  <c r="H7640" i="3"/>
  <c r="G7640" i="3"/>
  <c r="M7639" i="3"/>
  <c r="L7639" i="3"/>
  <c r="J7639" i="3"/>
  <c r="K7639" i="3" s="1"/>
  <c r="H7639" i="3"/>
  <c r="G7639" i="3"/>
  <c r="M7638" i="3"/>
  <c r="L7638" i="3"/>
  <c r="J7638" i="3"/>
  <c r="K7638" i="3" s="1"/>
  <c r="H7638" i="3"/>
  <c r="G7638" i="3"/>
  <c r="M7637" i="3"/>
  <c r="L7637" i="3"/>
  <c r="J7637" i="3"/>
  <c r="K7637" i="3" s="1"/>
  <c r="H7637" i="3"/>
  <c r="G7637" i="3"/>
  <c r="M7636" i="3"/>
  <c r="L7636" i="3"/>
  <c r="J7636" i="3"/>
  <c r="K7636" i="3" s="1"/>
  <c r="H7636" i="3"/>
  <c r="G7636" i="3"/>
  <c r="I7636" i="3" s="1"/>
  <c r="M7635" i="3"/>
  <c r="L7635" i="3"/>
  <c r="J7635" i="3"/>
  <c r="K7635" i="3" s="1"/>
  <c r="H7635" i="3"/>
  <c r="G7635" i="3"/>
  <c r="M7634" i="3"/>
  <c r="L7634" i="3"/>
  <c r="J7634" i="3"/>
  <c r="K7634" i="3" s="1"/>
  <c r="H7634" i="3"/>
  <c r="G7634" i="3"/>
  <c r="I7634" i="3" s="1"/>
  <c r="M7681" i="3"/>
  <c r="L7681" i="3"/>
  <c r="J7681" i="3"/>
  <c r="K7681" i="3" s="1"/>
  <c r="H7681" i="3"/>
  <c r="G7681" i="3"/>
  <c r="M7680" i="3"/>
  <c r="L7680" i="3"/>
  <c r="J7680" i="3"/>
  <c r="K7680" i="3" s="1"/>
  <c r="H7680" i="3"/>
  <c r="G7680" i="3"/>
  <c r="I7680" i="3" s="1"/>
  <c r="M7679" i="3"/>
  <c r="L7679" i="3"/>
  <c r="J7679" i="3"/>
  <c r="K7679" i="3" s="1"/>
  <c r="H7679" i="3"/>
  <c r="G7679" i="3"/>
  <c r="M7678" i="3"/>
  <c r="L7678" i="3"/>
  <c r="J7678" i="3"/>
  <c r="K7678" i="3" s="1"/>
  <c r="H7678" i="3"/>
  <c r="G7678" i="3"/>
  <c r="I7678" i="3" s="1"/>
  <c r="M7677" i="3"/>
  <c r="L7677" i="3"/>
  <c r="J7677" i="3"/>
  <c r="K7677" i="3" s="1"/>
  <c r="H7677" i="3"/>
  <c r="G7677" i="3"/>
  <c r="M7676" i="3"/>
  <c r="L7676" i="3"/>
  <c r="K7676" i="3"/>
  <c r="J7676" i="3"/>
  <c r="I7676" i="3"/>
  <c r="H7676" i="3"/>
  <c r="G7676" i="3"/>
  <c r="M7675" i="3"/>
  <c r="L7675" i="3"/>
  <c r="J7675" i="3"/>
  <c r="K7675" i="3" s="1"/>
  <c r="H7675" i="3"/>
  <c r="G7675" i="3"/>
  <c r="M7674" i="3"/>
  <c r="L7674" i="3"/>
  <c r="K7674" i="3"/>
  <c r="J7674" i="3"/>
  <c r="H7674" i="3"/>
  <c r="G7674" i="3"/>
  <c r="M7673" i="3"/>
  <c r="L7673" i="3"/>
  <c r="J7673" i="3"/>
  <c r="K7673" i="3" s="1"/>
  <c r="H7673" i="3"/>
  <c r="G7673" i="3"/>
  <c r="I7673" i="3" s="1"/>
  <c r="M7672" i="3"/>
  <c r="L7672" i="3"/>
  <c r="J7672" i="3"/>
  <c r="K7672" i="3" s="1"/>
  <c r="H7672" i="3"/>
  <c r="I7672" i="3" s="1"/>
  <c r="G7672" i="3"/>
  <c r="M7671" i="3"/>
  <c r="L7671" i="3"/>
  <c r="J7671" i="3"/>
  <c r="K7671" i="3" s="1"/>
  <c r="H7671" i="3"/>
  <c r="G7671" i="3"/>
  <c r="I7671" i="3" s="1"/>
  <c r="M7670" i="3"/>
  <c r="L7670" i="3"/>
  <c r="J7670" i="3"/>
  <c r="K7670" i="3" s="1"/>
  <c r="H7670" i="3"/>
  <c r="G7670" i="3"/>
  <c r="M7669" i="3"/>
  <c r="L7669" i="3"/>
  <c r="J7669" i="3"/>
  <c r="K7669" i="3" s="1"/>
  <c r="H7669" i="3"/>
  <c r="G7669" i="3"/>
  <c r="M7668" i="3"/>
  <c r="L7668" i="3"/>
  <c r="J7668" i="3"/>
  <c r="K7668" i="3" s="1"/>
  <c r="H7668" i="3"/>
  <c r="G7668" i="3"/>
  <c r="I7668" i="3" s="1"/>
  <c r="M7667" i="3"/>
  <c r="L7667" i="3"/>
  <c r="J7667" i="3"/>
  <c r="K7667" i="3" s="1"/>
  <c r="H7667" i="3"/>
  <c r="G7667" i="3"/>
  <c r="M7666" i="3"/>
  <c r="L7666" i="3"/>
  <c r="K7666" i="3"/>
  <c r="J7666" i="3"/>
  <c r="H7666" i="3"/>
  <c r="G7666" i="3"/>
  <c r="M7665" i="3"/>
  <c r="L7665" i="3"/>
  <c r="J7665" i="3"/>
  <c r="K7665" i="3" s="1"/>
  <c r="H7665" i="3"/>
  <c r="G7665" i="3"/>
  <c r="I7665" i="3" s="1"/>
  <c r="M7664" i="3"/>
  <c r="L7664" i="3"/>
  <c r="J7664" i="3"/>
  <c r="K7664" i="3" s="1"/>
  <c r="H7664" i="3"/>
  <c r="G7664" i="3"/>
  <c r="M7663" i="3"/>
  <c r="L7663" i="3"/>
  <c r="J7663" i="3"/>
  <c r="K7663" i="3" s="1"/>
  <c r="H7663" i="3"/>
  <c r="G7663" i="3"/>
  <c r="I7663" i="3" s="1"/>
  <c r="M7662" i="3"/>
  <c r="L7662" i="3"/>
  <c r="J7662" i="3"/>
  <c r="K7662" i="3" s="1"/>
  <c r="H7662" i="3"/>
  <c r="G7662" i="3"/>
  <c r="M7661" i="3"/>
  <c r="L7661" i="3"/>
  <c r="J7661" i="3"/>
  <c r="K7661" i="3" s="1"/>
  <c r="H7661" i="3"/>
  <c r="G7661" i="3"/>
  <c r="M7660" i="3"/>
  <c r="L7660" i="3"/>
  <c r="J7660" i="3"/>
  <c r="K7660" i="3" s="1"/>
  <c r="H7660" i="3"/>
  <c r="I7660" i="3" s="1"/>
  <c r="G7660" i="3"/>
  <c r="M7659" i="3"/>
  <c r="L7659" i="3"/>
  <c r="J7659" i="3"/>
  <c r="K7659" i="3" s="1"/>
  <c r="H7659" i="3"/>
  <c r="G7659" i="3"/>
  <c r="M7658" i="3"/>
  <c r="L7658" i="3"/>
  <c r="J7658" i="3"/>
  <c r="K7658" i="3" s="1"/>
  <c r="H7658" i="3"/>
  <c r="G7658" i="3"/>
  <c r="M7705" i="3"/>
  <c r="L7705" i="3"/>
  <c r="J7705" i="3"/>
  <c r="K7705" i="3" s="1"/>
  <c r="H7705" i="3"/>
  <c r="G7705" i="3"/>
  <c r="M7704" i="3"/>
  <c r="L7704" i="3"/>
  <c r="J7704" i="3"/>
  <c r="K7704" i="3" s="1"/>
  <c r="H7704" i="3"/>
  <c r="G7704" i="3"/>
  <c r="I7704" i="3" s="1"/>
  <c r="M7703" i="3"/>
  <c r="L7703" i="3"/>
  <c r="J7703" i="3"/>
  <c r="K7703" i="3" s="1"/>
  <c r="H7703" i="3"/>
  <c r="I7703" i="3" s="1"/>
  <c r="G7703" i="3"/>
  <c r="M7702" i="3"/>
  <c r="L7702" i="3"/>
  <c r="K7702" i="3"/>
  <c r="J7702" i="3"/>
  <c r="H7702" i="3"/>
  <c r="G7702" i="3"/>
  <c r="M7701" i="3"/>
  <c r="L7701" i="3"/>
  <c r="J7701" i="3"/>
  <c r="K7701" i="3" s="1"/>
  <c r="H7701" i="3"/>
  <c r="G7701" i="3"/>
  <c r="I7701" i="3" s="1"/>
  <c r="M7700" i="3"/>
  <c r="L7700" i="3"/>
  <c r="J7700" i="3"/>
  <c r="K7700" i="3" s="1"/>
  <c r="I7700" i="3"/>
  <c r="H7700" i="3"/>
  <c r="G7700" i="3"/>
  <c r="M7699" i="3"/>
  <c r="L7699" i="3"/>
  <c r="J7699" i="3"/>
  <c r="K7699" i="3" s="1"/>
  <c r="H7699" i="3"/>
  <c r="I7699" i="3" s="1"/>
  <c r="G7699" i="3"/>
  <c r="M7698" i="3"/>
  <c r="L7698" i="3"/>
  <c r="K7698" i="3"/>
  <c r="J7698" i="3"/>
  <c r="H7698" i="3"/>
  <c r="G7698" i="3"/>
  <c r="M7697" i="3"/>
  <c r="L7697" i="3"/>
  <c r="J7697" i="3"/>
  <c r="K7697" i="3" s="1"/>
  <c r="H7697" i="3"/>
  <c r="G7697" i="3"/>
  <c r="I7697" i="3" s="1"/>
  <c r="M7696" i="3"/>
  <c r="L7696" i="3"/>
  <c r="J7696" i="3"/>
  <c r="K7696" i="3" s="1"/>
  <c r="H7696" i="3"/>
  <c r="G7696" i="3"/>
  <c r="M7695" i="3"/>
  <c r="L7695" i="3"/>
  <c r="J7695" i="3"/>
  <c r="K7695" i="3" s="1"/>
  <c r="H7695" i="3"/>
  <c r="G7695" i="3"/>
  <c r="M7694" i="3"/>
  <c r="L7694" i="3"/>
  <c r="J7694" i="3"/>
  <c r="K7694" i="3" s="1"/>
  <c r="H7694" i="3"/>
  <c r="G7694" i="3"/>
  <c r="M7693" i="3"/>
  <c r="L7693" i="3"/>
  <c r="J7693" i="3"/>
  <c r="K7693" i="3" s="1"/>
  <c r="H7693" i="3"/>
  <c r="G7693" i="3"/>
  <c r="M7692" i="3"/>
  <c r="L7692" i="3"/>
  <c r="J7692" i="3"/>
  <c r="K7692" i="3" s="1"/>
  <c r="H7692" i="3"/>
  <c r="I7692" i="3" s="1"/>
  <c r="G7692" i="3"/>
  <c r="M7691" i="3"/>
  <c r="L7691" i="3"/>
  <c r="J7691" i="3"/>
  <c r="K7691" i="3" s="1"/>
  <c r="H7691" i="3"/>
  <c r="G7691" i="3"/>
  <c r="M7690" i="3"/>
  <c r="L7690" i="3"/>
  <c r="J7690" i="3"/>
  <c r="K7690" i="3" s="1"/>
  <c r="H7690" i="3"/>
  <c r="G7690" i="3"/>
  <c r="M7689" i="3"/>
  <c r="L7689" i="3"/>
  <c r="J7689" i="3"/>
  <c r="K7689" i="3" s="1"/>
  <c r="H7689" i="3"/>
  <c r="G7689" i="3"/>
  <c r="M7688" i="3"/>
  <c r="L7688" i="3"/>
  <c r="J7688" i="3"/>
  <c r="K7688" i="3" s="1"/>
  <c r="H7688" i="3"/>
  <c r="G7688" i="3"/>
  <c r="I7688" i="3" s="1"/>
  <c r="M7687" i="3"/>
  <c r="L7687" i="3"/>
  <c r="J7687" i="3"/>
  <c r="K7687" i="3" s="1"/>
  <c r="H7687" i="3"/>
  <c r="I7687" i="3" s="1"/>
  <c r="G7687" i="3"/>
  <c r="M7686" i="3"/>
  <c r="L7686" i="3"/>
  <c r="K7686" i="3"/>
  <c r="J7686" i="3"/>
  <c r="H7686" i="3"/>
  <c r="G7686" i="3"/>
  <c r="M7685" i="3"/>
  <c r="L7685" i="3"/>
  <c r="J7685" i="3"/>
  <c r="K7685" i="3" s="1"/>
  <c r="H7685" i="3"/>
  <c r="G7685" i="3"/>
  <c r="I7685" i="3" s="1"/>
  <c r="M7684" i="3"/>
  <c r="L7684" i="3"/>
  <c r="J7684" i="3"/>
  <c r="K7684" i="3" s="1"/>
  <c r="H7684" i="3"/>
  <c r="G7684" i="3"/>
  <c r="I7684" i="3" s="1"/>
  <c r="M7683" i="3"/>
  <c r="L7683" i="3"/>
  <c r="J7683" i="3"/>
  <c r="K7683" i="3" s="1"/>
  <c r="H7683" i="3"/>
  <c r="I7683" i="3" s="1"/>
  <c r="G7683" i="3"/>
  <c r="M7682" i="3"/>
  <c r="L7682" i="3"/>
  <c r="K7682" i="3"/>
  <c r="J7682" i="3"/>
  <c r="H7682" i="3"/>
  <c r="G7682" i="3"/>
  <c r="M7729" i="3"/>
  <c r="L7729" i="3"/>
  <c r="J7729" i="3"/>
  <c r="K7729" i="3" s="1"/>
  <c r="H7729" i="3"/>
  <c r="G7729" i="3"/>
  <c r="M7728" i="3"/>
  <c r="L7728" i="3"/>
  <c r="J7728" i="3"/>
  <c r="K7728" i="3" s="1"/>
  <c r="H7728" i="3"/>
  <c r="G7728" i="3"/>
  <c r="M7727" i="3"/>
  <c r="L7727" i="3"/>
  <c r="J7727" i="3"/>
  <c r="K7727" i="3" s="1"/>
  <c r="H7727" i="3"/>
  <c r="G7727" i="3"/>
  <c r="I7727" i="3" s="1"/>
  <c r="M7726" i="3"/>
  <c r="L7726" i="3"/>
  <c r="J7726" i="3"/>
  <c r="K7726" i="3" s="1"/>
  <c r="H7726" i="3"/>
  <c r="G7726" i="3"/>
  <c r="M7725" i="3"/>
  <c r="L7725" i="3"/>
  <c r="J7725" i="3"/>
  <c r="K7725" i="3" s="1"/>
  <c r="H7725" i="3"/>
  <c r="G7725" i="3"/>
  <c r="M7724" i="3"/>
  <c r="L7724" i="3"/>
  <c r="J7724" i="3"/>
  <c r="K7724" i="3" s="1"/>
  <c r="H7724" i="3"/>
  <c r="G7724" i="3"/>
  <c r="I7724" i="3" s="1"/>
  <c r="M7723" i="3"/>
  <c r="L7723" i="3"/>
  <c r="J7723" i="3"/>
  <c r="K7723" i="3" s="1"/>
  <c r="H7723" i="3"/>
  <c r="G7723" i="3"/>
  <c r="M7722" i="3"/>
  <c r="L7722" i="3"/>
  <c r="K7722" i="3"/>
  <c r="J7722" i="3"/>
  <c r="H7722" i="3"/>
  <c r="G7722" i="3"/>
  <c r="M7721" i="3"/>
  <c r="L7721" i="3"/>
  <c r="J7721" i="3"/>
  <c r="K7721" i="3" s="1"/>
  <c r="H7721" i="3"/>
  <c r="G7721" i="3"/>
  <c r="M7720" i="3"/>
  <c r="L7720" i="3"/>
  <c r="J7720" i="3"/>
  <c r="K7720" i="3" s="1"/>
  <c r="H7720" i="3"/>
  <c r="G7720" i="3"/>
  <c r="M7719" i="3"/>
  <c r="L7719" i="3"/>
  <c r="J7719" i="3"/>
  <c r="K7719" i="3" s="1"/>
  <c r="H7719" i="3"/>
  <c r="G7719" i="3"/>
  <c r="I7719" i="3" s="1"/>
  <c r="M7718" i="3"/>
  <c r="L7718" i="3"/>
  <c r="J7718" i="3"/>
  <c r="K7718" i="3" s="1"/>
  <c r="H7718" i="3"/>
  <c r="G7718" i="3"/>
  <c r="M7717" i="3"/>
  <c r="L7717" i="3"/>
  <c r="J7717" i="3"/>
  <c r="K7717" i="3" s="1"/>
  <c r="H7717" i="3"/>
  <c r="G7717" i="3"/>
  <c r="M7716" i="3"/>
  <c r="L7716" i="3"/>
  <c r="J7716" i="3"/>
  <c r="K7716" i="3" s="1"/>
  <c r="H7716" i="3"/>
  <c r="G7716" i="3"/>
  <c r="I7716" i="3" s="1"/>
  <c r="M7715" i="3"/>
  <c r="L7715" i="3"/>
  <c r="J7715" i="3"/>
  <c r="K7715" i="3" s="1"/>
  <c r="H7715" i="3"/>
  <c r="G7715" i="3"/>
  <c r="M7714" i="3"/>
  <c r="L7714" i="3"/>
  <c r="J7714" i="3"/>
  <c r="K7714" i="3" s="1"/>
  <c r="H7714" i="3"/>
  <c r="G7714" i="3"/>
  <c r="M7713" i="3"/>
  <c r="L7713" i="3"/>
  <c r="J7713" i="3"/>
  <c r="K7713" i="3" s="1"/>
  <c r="H7713" i="3"/>
  <c r="G7713" i="3"/>
  <c r="M7712" i="3"/>
  <c r="L7712" i="3"/>
  <c r="J7712" i="3"/>
  <c r="K7712" i="3" s="1"/>
  <c r="H7712" i="3"/>
  <c r="G7712" i="3"/>
  <c r="I7712" i="3" s="1"/>
  <c r="M7711" i="3"/>
  <c r="L7711" i="3"/>
  <c r="J7711" i="3"/>
  <c r="K7711" i="3" s="1"/>
  <c r="H7711" i="3"/>
  <c r="G7711" i="3"/>
  <c r="M7710" i="3"/>
  <c r="L7710" i="3"/>
  <c r="J7710" i="3"/>
  <c r="K7710" i="3" s="1"/>
  <c r="H7710" i="3"/>
  <c r="G7710" i="3"/>
  <c r="I7710" i="3" s="1"/>
  <c r="M7709" i="3"/>
  <c r="L7709" i="3"/>
  <c r="J7709" i="3"/>
  <c r="K7709" i="3" s="1"/>
  <c r="H7709" i="3"/>
  <c r="I7709" i="3" s="1"/>
  <c r="G7709" i="3"/>
  <c r="M7708" i="3"/>
  <c r="L7708" i="3"/>
  <c r="K7708" i="3"/>
  <c r="J7708" i="3"/>
  <c r="H7708" i="3"/>
  <c r="G7708" i="3"/>
  <c r="M7707" i="3"/>
  <c r="L7707" i="3"/>
  <c r="J7707" i="3"/>
  <c r="K7707" i="3" s="1"/>
  <c r="H7707" i="3"/>
  <c r="G7707" i="3"/>
  <c r="M7706" i="3"/>
  <c r="L7706" i="3"/>
  <c r="J7706" i="3"/>
  <c r="K7706" i="3" s="1"/>
  <c r="H7706" i="3"/>
  <c r="G7706" i="3"/>
  <c r="M7753" i="3"/>
  <c r="L7753" i="3"/>
  <c r="J7753" i="3"/>
  <c r="K7753" i="3" s="1"/>
  <c r="H7753" i="3"/>
  <c r="G7753" i="3"/>
  <c r="M7752" i="3"/>
  <c r="L7752" i="3"/>
  <c r="J7752" i="3"/>
  <c r="K7752" i="3" s="1"/>
  <c r="H7752" i="3"/>
  <c r="G7752" i="3"/>
  <c r="I7752" i="3" s="1"/>
  <c r="M7751" i="3"/>
  <c r="L7751" i="3"/>
  <c r="J7751" i="3"/>
  <c r="K7751" i="3" s="1"/>
  <c r="H7751" i="3"/>
  <c r="G7751" i="3"/>
  <c r="M7750" i="3"/>
  <c r="L7750" i="3"/>
  <c r="J7750" i="3"/>
  <c r="K7750" i="3" s="1"/>
  <c r="H7750" i="3"/>
  <c r="G7750" i="3"/>
  <c r="M7749" i="3"/>
  <c r="L7749" i="3"/>
  <c r="J7749" i="3"/>
  <c r="K7749" i="3" s="1"/>
  <c r="H7749" i="3"/>
  <c r="I7749" i="3" s="1"/>
  <c r="G7749" i="3"/>
  <c r="M7748" i="3"/>
  <c r="L7748" i="3"/>
  <c r="K7748" i="3"/>
  <c r="J7748" i="3"/>
  <c r="H7748" i="3"/>
  <c r="G7748" i="3"/>
  <c r="M7747" i="3"/>
  <c r="L7747" i="3"/>
  <c r="J7747" i="3"/>
  <c r="K7747" i="3" s="1"/>
  <c r="H7747" i="3"/>
  <c r="G7747" i="3"/>
  <c r="I7747" i="3" s="1"/>
  <c r="M7746" i="3"/>
  <c r="L7746" i="3"/>
  <c r="J7746" i="3"/>
  <c r="K7746" i="3" s="1"/>
  <c r="H7746" i="3"/>
  <c r="G7746" i="3"/>
  <c r="M7745" i="3"/>
  <c r="L7745" i="3"/>
  <c r="J7745" i="3"/>
  <c r="K7745" i="3" s="1"/>
  <c r="H7745" i="3"/>
  <c r="I7745" i="3" s="1"/>
  <c r="G7745" i="3"/>
  <c r="M7744" i="3"/>
  <c r="L7744" i="3"/>
  <c r="J7744" i="3"/>
  <c r="K7744" i="3" s="1"/>
  <c r="H7744" i="3"/>
  <c r="G7744" i="3"/>
  <c r="I7744" i="3" s="1"/>
  <c r="M7743" i="3"/>
  <c r="L7743" i="3"/>
  <c r="J7743" i="3"/>
  <c r="K7743" i="3" s="1"/>
  <c r="H7743" i="3"/>
  <c r="G7743" i="3"/>
  <c r="M7742" i="3"/>
  <c r="L7742" i="3"/>
  <c r="J7742" i="3"/>
  <c r="K7742" i="3" s="1"/>
  <c r="H7742" i="3"/>
  <c r="G7742" i="3"/>
  <c r="M7741" i="3"/>
  <c r="L7741" i="3"/>
  <c r="J7741" i="3"/>
  <c r="K7741" i="3" s="1"/>
  <c r="H7741" i="3"/>
  <c r="G7741" i="3"/>
  <c r="M7740" i="3"/>
  <c r="L7740" i="3"/>
  <c r="K7740" i="3"/>
  <c r="J7740" i="3"/>
  <c r="H7740" i="3"/>
  <c r="G7740" i="3"/>
  <c r="I7740" i="3" s="1"/>
  <c r="M7739" i="3"/>
  <c r="L7739" i="3"/>
  <c r="J7739" i="3"/>
  <c r="K7739" i="3" s="1"/>
  <c r="H7739" i="3"/>
  <c r="G7739" i="3"/>
  <c r="M7738" i="3"/>
  <c r="L7738" i="3"/>
  <c r="J7738" i="3"/>
  <c r="K7738" i="3" s="1"/>
  <c r="H7738" i="3"/>
  <c r="G7738" i="3"/>
  <c r="I7738" i="3" s="1"/>
  <c r="M7737" i="3"/>
  <c r="L7737" i="3"/>
  <c r="J7737" i="3"/>
  <c r="K7737" i="3" s="1"/>
  <c r="H7737" i="3"/>
  <c r="G7737" i="3"/>
  <c r="M7736" i="3"/>
  <c r="L7736" i="3"/>
  <c r="J7736" i="3"/>
  <c r="K7736" i="3" s="1"/>
  <c r="H7736" i="3"/>
  <c r="G7736" i="3"/>
  <c r="I7736" i="3" s="1"/>
  <c r="M7735" i="3"/>
  <c r="L7735" i="3"/>
  <c r="J7735" i="3"/>
  <c r="K7735" i="3" s="1"/>
  <c r="H7735" i="3"/>
  <c r="G7735" i="3"/>
  <c r="M7734" i="3"/>
  <c r="L7734" i="3"/>
  <c r="J7734" i="3"/>
  <c r="K7734" i="3" s="1"/>
  <c r="H7734" i="3"/>
  <c r="G7734" i="3"/>
  <c r="M7733" i="3"/>
  <c r="L7733" i="3"/>
  <c r="J7733" i="3"/>
  <c r="K7733" i="3" s="1"/>
  <c r="H7733" i="3"/>
  <c r="G7733" i="3"/>
  <c r="M7732" i="3"/>
  <c r="L7732" i="3"/>
  <c r="K7732" i="3"/>
  <c r="J7732" i="3"/>
  <c r="H7732" i="3"/>
  <c r="G7732" i="3"/>
  <c r="M7731" i="3"/>
  <c r="L7731" i="3"/>
  <c r="J7731" i="3"/>
  <c r="K7731" i="3" s="1"/>
  <c r="H7731" i="3"/>
  <c r="G7731" i="3"/>
  <c r="I7731" i="3" s="1"/>
  <c r="M7730" i="3"/>
  <c r="L7730" i="3"/>
  <c r="J7730" i="3"/>
  <c r="K7730" i="3" s="1"/>
  <c r="H7730" i="3"/>
  <c r="G7730" i="3"/>
  <c r="M7777" i="3"/>
  <c r="L7777" i="3"/>
  <c r="J7777" i="3"/>
  <c r="K7777" i="3" s="1"/>
  <c r="H7777" i="3"/>
  <c r="G7777" i="3"/>
  <c r="M7776" i="3"/>
  <c r="L7776" i="3"/>
  <c r="J7776" i="3"/>
  <c r="K7776" i="3" s="1"/>
  <c r="H7776" i="3"/>
  <c r="G7776" i="3"/>
  <c r="I7776" i="3" s="1"/>
  <c r="M7775" i="3"/>
  <c r="L7775" i="3"/>
  <c r="J7775" i="3"/>
  <c r="K7775" i="3" s="1"/>
  <c r="H7775" i="3"/>
  <c r="G7775" i="3"/>
  <c r="M7774" i="3"/>
  <c r="L7774" i="3"/>
  <c r="K7774" i="3"/>
  <c r="J7774" i="3"/>
  <c r="H7774" i="3"/>
  <c r="G7774" i="3"/>
  <c r="M7773" i="3"/>
  <c r="L7773" i="3"/>
  <c r="J7773" i="3"/>
  <c r="K7773" i="3" s="1"/>
  <c r="H7773" i="3"/>
  <c r="G7773" i="3"/>
  <c r="I7773" i="3" s="1"/>
  <c r="M7772" i="3"/>
  <c r="L7772" i="3"/>
  <c r="J7772" i="3"/>
  <c r="K7772" i="3" s="1"/>
  <c r="H7772" i="3"/>
  <c r="G7772" i="3"/>
  <c r="M7771" i="3"/>
  <c r="L7771" i="3"/>
  <c r="J7771" i="3"/>
  <c r="K7771" i="3" s="1"/>
  <c r="H7771" i="3"/>
  <c r="G7771" i="3"/>
  <c r="I7771" i="3" s="1"/>
  <c r="M7770" i="3"/>
  <c r="L7770" i="3"/>
  <c r="J7770" i="3"/>
  <c r="K7770" i="3" s="1"/>
  <c r="H7770" i="3"/>
  <c r="G7770" i="3"/>
  <c r="M7769" i="3"/>
  <c r="L7769" i="3"/>
  <c r="J7769" i="3"/>
  <c r="K7769" i="3" s="1"/>
  <c r="H7769" i="3"/>
  <c r="G7769" i="3"/>
  <c r="M7768" i="3"/>
  <c r="L7768" i="3"/>
  <c r="J7768" i="3"/>
  <c r="K7768" i="3" s="1"/>
  <c r="H7768" i="3"/>
  <c r="G7768" i="3"/>
  <c r="I7768" i="3" s="1"/>
  <c r="M7767" i="3"/>
  <c r="L7767" i="3"/>
  <c r="J7767" i="3"/>
  <c r="K7767" i="3" s="1"/>
  <c r="H7767" i="3"/>
  <c r="G7767" i="3"/>
  <c r="M7766" i="3"/>
  <c r="L7766" i="3"/>
  <c r="J7766" i="3"/>
  <c r="K7766" i="3" s="1"/>
  <c r="H7766" i="3"/>
  <c r="G7766" i="3"/>
  <c r="M7765" i="3"/>
  <c r="L7765" i="3"/>
  <c r="J7765" i="3"/>
  <c r="K7765" i="3" s="1"/>
  <c r="H7765" i="3"/>
  <c r="G7765" i="3"/>
  <c r="M7764" i="3"/>
  <c r="L7764" i="3"/>
  <c r="J7764" i="3"/>
  <c r="K7764" i="3" s="1"/>
  <c r="H7764" i="3"/>
  <c r="G7764" i="3"/>
  <c r="I7764" i="3" s="1"/>
  <c r="M7763" i="3"/>
  <c r="L7763" i="3"/>
  <c r="J7763" i="3"/>
  <c r="K7763" i="3" s="1"/>
  <c r="H7763" i="3"/>
  <c r="G7763" i="3"/>
  <c r="M7762" i="3"/>
  <c r="L7762" i="3"/>
  <c r="J7762" i="3"/>
  <c r="K7762" i="3" s="1"/>
  <c r="H7762" i="3"/>
  <c r="G7762" i="3"/>
  <c r="I7762" i="3" s="1"/>
  <c r="M7761" i="3"/>
  <c r="L7761" i="3"/>
  <c r="J7761" i="3"/>
  <c r="K7761" i="3" s="1"/>
  <c r="H7761" i="3"/>
  <c r="G7761" i="3"/>
  <c r="M7760" i="3"/>
  <c r="L7760" i="3"/>
  <c r="K7760" i="3"/>
  <c r="J7760" i="3"/>
  <c r="H7760" i="3"/>
  <c r="G7760" i="3"/>
  <c r="M7759" i="3"/>
  <c r="L7759" i="3"/>
  <c r="J7759" i="3"/>
  <c r="K7759" i="3" s="1"/>
  <c r="H7759" i="3"/>
  <c r="G7759" i="3"/>
  <c r="M7758" i="3"/>
  <c r="L7758" i="3"/>
  <c r="J7758" i="3"/>
  <c r="K7758" i="3" s="1"/>
  <c r="H7758" i="3"/>
  <c r="G7758" i="3"/>
  <c r="M7757" i="3"/>
  <c r="L7757" i="3"/>
  <c r="J7757" i="3"/>
  <c r="K7757" i="3" s="1"/>
  <c r="H7757" i="3"/>
  <c r="G7757" i="3"/>
  <c r="M7756" i="3"/>
  <c r="L7756" i="3"/>
  <c r="J7756" i="3"/>
  <c r="K7756" i="3" s="1"/>
  <c r="H7756" i="3"/>
  <c r="G7756" i="3"/>
  <c r="I7756" i="3" s="1"/>
  <c r="M7755" i="3"/>
  <c r="L7755" i="3"/>
  <c r="J7755" i="3"/>
  <c r="K7755" i="3" s="1"/>
  <c r="H7755" i="3"/>
  <c r="G7755" i="3"/>
  <c r="M7754" i="3"/>
  <c r="L7754" i="3"/>
  <c r="J7754" i="3"/>
  <c r="K7754" i="3" s="1"/>
  <c r="H7754" i="3"/>
  <c r="G7754" i="3"/>
  <c r="I7754" i="3" s="1"/>
  <c r="M7801" i="3"/>
  <c r="L7801" i="3"/>
  <c r="J7801" i="3"/>
  <c r="K7801" i="3" s="1"/>
  <c r="H7801" i="3"/>
  <c r="I7801" i="3" s="1"/>
  <c r="G7801" i="3"/>
  <c r="M7800" i="3"/>
  <c r="L7800" i="3"/>
  <c r="K7800" i="3"/>
  <c r="J7800" i="3"/>
  <c r="H7800" i="3"/>
  <c r="G7800" i="3"/>
  <c r="I7800" i="3" s="1"/>
  <c r="M7799" i="3"/>
  <c r="L7799" i="3"/>
  <c r="J7799" i="3"/>
  <c r="K7799" i="3" s="1"/>
  <c r="H7799" i="3"/>
  <c r="G7799" i="3"/>
  <c r="M7798" i="3"/>
  <c r="L7798" i="3"/>
  <c r="K7798" i="3"/>
  <c r="J7798" i="3"/>
  <c r="H7798" i="3"/>
  <c r="G7798" i="3"/>
  <c r="M7797" i="3"/>
  <c r="L7797" i="3"/>
  <c r="J7797" i="3"/>
  <c r="K7797" i="3" s="1"/>
  <c r="H7797" i="3"/>
  <c r="G7797" i="3"/>
  <c r="M7796" i="3"/>
  <c r="L7796" i="3"/>
  <c r="J7796" i="3"/>
  <c r="K7796" i="3" s="1"/>
  <c r="H7796" i="3"/>
  <c r="G7796" i="3"/>
  <c r="M7795" i="3"/>
  <c r="L7795" i="3"/>
  <c r="J7795" i="3"/>
  <c r="K7795" i="3" s="1"/>
  <c r="H7795" i="3"/>
  <c r="G7795" i="3"/>
  <c r="I7795" i="3" s="1"/>
  <c r="M7794" i="3"/>
  <c r="L7794" i="3"/>
  <c r="J7794" i="3"/>
  <c r="K7794" i="3" s="1"/>
  <c r="H7794" i="3"/>
  <c r="G7794" i="3"/>
  <c r="M7793" i="3"/>
  <c r="L7793" i="3"/>
  <c r="J7793" i="3"/>
  <c r="K7793" i="3" s="1"/>
  <c r="H7793" i="3"/>
  <c r="G7793" i="3"/>
  <c r="M7792" i="3"/>
  <c r="L7792" i="3"/>
  <c r="J7792" i="3"/>
  <c r="K7792" i="3" s="1"/>
  <c r="H7792" i="3"/>
  <c r="G7792" i="3"/>
  <c r="I7792" i="3" s="1"/>
  <c r="M7791" i="3"/>
  <c r="L7791" i="3"/>
  <c r="J7791" i="3"/>
  <c r="K7791" i="3" s="1"/>
  <c r="H7791" i="3"/>
  <c r="G7791" i="3"/>
  <c r="M7790" i="3"/>
  <c r="L7790" i="3"/>
  <c r="K7790" i="3"/>
  <c r="J7790" i="3"/>
  <c r="H7790" i="3"/>
  <c r="G7790" i="3"/>
  <c r="M7789" i="3"/>
  <c r="L7789" i="3"/>
  <c r="J7789" i="3"/>
  <c r="K7789" i="3" s="1"/>
  <c r="H7789" i="3"/>
  <c r="G7789" i="3"/>
  <c r="I7789" i="3" s="1"/>
  <c r="M7788" i="3"/>
  <c r="L7788" i="3"/>
  <c r="J7788" i="3"/>
  <c r="K7788" i="3" s="1"/>
  <c r="H7788" i="3"/>
  <c r="G7788" i="3"/>
  <c r="M7787" i="3"/>
  <c r="L7787" i="3"/>
  <c r="J7787" i="3"/>
  <c r="K7787" i="3" s="1"/>
  <c r="H7787" i="3"/>
  <c r="G7787" i="3"/>
  <c r="I7787" i="3" s="1"/>
  <c r="M7786" i="3"/>
  <c r="L7786" i="3"/>
  <c r="J7786" i="3"/>
  <c r="K7786" i="3" s="1"/>
  <c r="H7786" i="3"/>
  <c r="G7786" i="3"/>
  <c r="M7785" i="3"/>
  <c r="L7785" i="3"/>
  <c r="J7785" i="3"/>
  <c r="K7785" i="3" s="1"/>
  <c r="H7785" i="3"/>
  <c r="G7785" i="3"/>
  <c r="M7784" i="3"/>
  <c r="L7784" i="3"/>
  <c r="J7784" i="3"/>
  <c r="K7784" i="3" s="1"/>
  <c r="H7784" i="3"/>
  <c r="I7784" i="3" s="1"/>
  <c r="G7784" i="3"/>
  <c r="M7783" i="3"/>
  <c r="L7783" i="3"/>
  <c r="J7783" i="3"/>
  <c r="K7783" i="3" s="1"/>
  <c r="H7783" i="3"/>
  <c r="G7783" i="3"/>
  <c r="M7782" i="3"/>
  <c r="L7782" i="3"/>
  <c r="J7782" i="3"/>
  <c r="K7782" i="3" s="1"/>
  <c r="H7782" i="3"/>
  <c r="G7782" i="3"/>
  <c r="M7781" i="3"/>
  <c r="L7781" i="3"/>
  <c r="J7781" i="3"/>
  <c r="K7781" i="3" s="1"/>
  <c r="H7781" i="3"/>
  <c r="G7781" i="3"/>
  <c r="M7780" i="3"/>
  <c r="L7780" i="3"/>
  <c r="J7780" i="3"/>
  <c r="K7780" i="3" s="1"/>
  <c r="H7780" i="3"/>
  <c r="G7780" i="3"/>
  <c r="I7780" i="3" s="1"/>
  <c r="M7779" i="3"/>
  <c r="L7779" i="3"/>
  <c r="J7779" i="3"/>
  <c r="K7779" i="3" s="1"/>
  <c r="H7779" i="3"/>
  <c r="G7779" i="3"/>
  <c r="M7778" i="3"/>
  <c r="L7778" i="3"/>
  <c r="J7778" i="3"/>
  <c r="K7778" i="3" s="1"/>
  <c r="H7778" i="3"/>
  <c r="G7778" i="3"/>
  <c r="I7778" i="3" s="1"/>
  <c r="M7825" i="3"/>
  <c r="L7825" i="3"/>
  <c r="J7825" i="3"/>
  <c r="K7825" i="3" s="1"/>
  <c r="H7825" i="3"/>
  <c r="G7825" i="3"/>
  <c r="M7824" i="3"/>
  <c r="L7824" i="3"/>
  <c r="J7824" i="3"/>
  <c r="K7824" i="3" s="1"/>
  <c r="H7824" i="3"/>
  <c r="G7824" i="3"/>
  <c r="M7823" i="3"/>
  <c r="L7823" i="3"/>
  <c r="J7823" i="3"/>
  <c r="K7823" i="3" s="1"/>
  <c r="H7823" i="3"/>
  <c r="G7823" i="3"/>
  <c r="M7822" i="3"/>
  <c r="L7822" i="3"/>
  <c r="J7822" i="3"/>
  <c r="K7822" i="3" s="1"/>
  <c r="H7822" i="3"/>
  <c r="G7822" i="3"/>
  <c r="I7822" i="3" s="1"/>
  <c r="M7821" i="3"/>
  <c r="L7821" i="3"/>
  <c r="J7821" i="3"/>
  <c r="K7821" i="3" s="1"/>
  <c r="H7821" i="3"/>
  <c r="G7821" i="3"/>
  <c r="M7820" i="3"/>
  <c r="L7820" i="3"/>
  <c r="J7820" i="3"/>
  <c r="K7820" i="3" s="1"/>
  <c r="H7820" i="3"/>
  <c r="G7820" i="3"/>
  <c r="I7820" i="3" s="1"/>
  <c r="M7819" i="3"/>
  <c r="L7819" i="3"/>
  <c r="J7819" i="3"/>
  <c r="K7819" i="3" s="1"/>
  <c r="H7819" i="3"/>
  <c r="G7819" i="3"/>
  <c r="M7818" i="3"/>
  <c r="L7818" i="3"/>
  <c r="J7818" i="3"/>
  <c r="K7818" i="3" s="1"/>
  <c r="H7818" i="3"/>
  <c r="G7818" i="3"/>
  <c r="I7818" i="3" s="1"/>
  <c r="M7817" i="3"/>
  <c r="L7817" i="3"/>
  <c r="J7817" i="3"/>
  <c r="K7817" i="3" s="1"/>
  <c r="H7817" i="3"/>
  <c r="G7817" i="3"/>
  <c r="M7816" i="3"/>
  <c r="L7816" i="3"/>
  <c r="J7816" i="3"/>
  <c r="K7816" i="3" s="1"/>
  <c r="H7816" i="3"/>
  <c r="G7816" i="3"/>
  <c r="I7816" i="3" s="1"/>
  <c r="M7815" i="3"/>
  <c r="L7815" i="3"/>
  <c r="J7815" i="3"/>
  <c r="K7815" i="3" s="1"/>
  <c r="H7815" i="3"/>
  <c r="G7815" i="3"/>
  <c r="M7814" i="3"/>
  <c r="L7814" i="3"/>
  <c r="J7814" i="3"/>
  <c r="K7814" i="3" s="1"/>
  <c r="H7814" i="3"/>
  <c r="G7814" i="3"/>
  <c r="I7814" i="3" s="1"/>
  <c r="M7813" i="3"/>
  <c r="L7813" i="3"/>
  <c r="J7813" i="3"/>
  <c r="K7813" i="3" s="1"/>
  <c r="H7813" i="3"/>
  <c r="G7813" i="3"/>
  <c r="M7812" i="3"/>
  <c r="L7812" i="3"/>
  <c r="J7812" i="3"/>
  <c r="K7812" i="3" s="1"/>
  <c r="H7812" i="3"/>
  <c r="G7812" i="3"/>
  <c r="I7812" i="3" s="1"/>
  <c r="M7811" i="3"/>
  <c r="L7811" i="3"/>
  <c r="J7811" i="3"/>
  <c r="K7811" i="3" s="1"/>
  <c r="H7811" i="3"/>
  <c r="G7811" i="3"/>
  <c r="M7810" i="3"/>
  <c r="L7810" i="3"/>
  <c r="J7810" i="3"/>
  <c r="K7810" i="3" s="1"/>
  <c r="H7810" i="3"/>
  <c r="G7810" i="3"/>
  <c r="I7810" i="3" s="1"/>
  <c r="M7809" i="3"/>
  <c r="L7809" i="3"/>
  <c r="J7809" i="3"/>
  <c r="K7809" i="3" s="1"/>
  <c r="H7809" i="3"/>
  <c r="G7809" i="3"/>
  <c r="M7808" i="3"/>
  <c r="L7808" i="3"/>
  <c r="J7808" i="3"/>
  <c r="K7808" i="3" s="1"/>
  <c r="H7808" i="3"/>
  <c r="G7808" i="3"/>
  <c r="I7808" i="3" s="1"/>
  <c r="M7807" i="3"/>
  <c r="L7807" i="3"/>
  <c r="J7807" i="3"/>
  <c r="K7807" i="3" s="1"/>
  <c r="H7807" i="3"/>
  <c r="G7807" i="3"/>
  <c r="M7806" i="3"/>
  <c r="L7806" i="3"/>
  <c r="J7806" i="3"/>
  <c r="K7806" i="3" s="1"/>
  <c r="H7806" i="3"/>
  <c r="G7806" i="3"/>
  <c r="I7806" i="3" s="1"/>
  <c r="M7805" i="3"/>
  <c r="L7805" i="3"/>
  <c r="J7805" i="3"/>
  <c r="K7805" i="3" s="1"/>
  <c r="H7805" i="3"/>
  <c r="G7805" i="3"/>
  <c r="M7804" i="3"/>
  <c r="L7804" i="3"/>
  <c r="J7804" i="3"/>
  <c r="K7804" i="3" s="1"/>
  <c r="H7804" i="3"/>
  <c r="G7804" i="3"/>
  <c r="I7804" i="3" s="1"/>
  <c r="M7803" i="3"/>
  <c r="L7803" i="3"/>
  <c r="J7803" i="3"/>
  <c r="K7803" i="3" s="1"/>
  <c r="H7803" i="3"/>
  <c r="G7803" i="3"/>
  <c r="M7802" i="3"/>
  <c r="L7802" i="3"/>
  <c r="J7802" i="3"/>
  <c r="K7802" i="3" s="1"/>
  <c r="H7802" i="3"/>
  <c r="G7802" i="3"/>
  <c r="I7802" i="3" s="1"/>
  <c r="M7849" i="3"/>
  <c r="L7849" i="3"/>
  <c r="J7849" i="3"/>
  <c r="K7849" i="3" s="1"/>
  <c r="H7849" i="3"/>
  <c r="I7849" i="3" s="1"/>
  <c r="G7849" i="3"/>
  <c r="M7848" i="3"/>
  <c r="L7848" i="3"/>
  <c r="K7848" i="3"/>
  <c r="J7848" i="3"/>
  <c r="H7848" i="3"/>
  <c r="G7848" i="3"/>
  <c r="M7847" i="3"/>
  <c r="L7847" i="3"/>
  <c r="J7847" i="3"/>
  <c r="K7847" i="3" s="1"/>
  <c r="H7847" i="3"/>
  <c r="G7847" i="3"/>
  <c r="M7846" i="3"/>
  <c r="L7846" i="3"/>
  <c r="J7846" i="3"/>
  <c r="K7846" i="3" s="1"/>
  <c r="H7846" i="3"/>
  <c r="G7846" i="3"/>
  <c r="M7845" i="3"/>
  <c r="L7845" i="3"/>
  <c r="J7845" i="3"/>
  <c r="K7845" i="3" s="1"/>
  <c r="H7845" i="3"/>
  <c r="G7845" i="3"/>
  <c r="M7844" i="3"/>
  <c r="L7844" i="3"/>
  <c r="J7844" i="3"/>
  <c r="K7844" i="3" s="1"/>
  <c r="H7844" i="3"/>
  <c r="G7844" i="3"/>
  <c r="I7844" i="3" s="1"/>
  <c r="M7843" i="3"/>
  <c r="L7843" i="3"/>
  <c r="J7843" i="3"/>
  <c r="K7843" i="3" s="1"/>
  <c r="H7843" i="3"/>
  <c r="G7843" i="3"/>
  <c r="M7842" i="3"/>
  <c r="L7842" i="3"/>
  <c r="J7842" i="3"/>
  <c r="K7842" i="3" s="1"/>
  <c r="H7842" i="3"/>
  <c r="G7842" i="3"/>
  <c r="I7842" i="3" s="1"/>
  <c r="M7841" i="3"/>
  <c r="L7841" i="3"/>
  <c r="J7841" i="3"/>
  <c r="K7841" i="3" s="1"/>
  <c r="H7841" i="3"/>
  <c r="I7841" i="3" s="1"/>
  <c r="G7841" i="3"/>
  <c r="M7840" i="3"/>
  <c r="L7840" i="3"/>
  <c r="K7840" i="3"/>
  <c r="J7840" i="3"/>
  <c r="I7840" i="3"/>
  <c r="H7840" i="3"/>
  <c r="G7840" i="3"/>
  <c r="M7839" i="3"/>
  <c r="L7839" i="3"/>
  <c r="J7839" i="3"/>
  <c r="K7839" i="3" s="1"/>
  <c r="H7839" i="3"/>
  <c r="G7839" i="3"/>
  <c r="M7838" i="3"/>
  <c r="L7838" i="3"/>
  <c r="K7838" i="3"/>
  <c r="J7838" i="3"/>
  <c r="H7838" i="3"/>
  <c r="G7838" i="3"/>
  <c r="M7837" i="3"/>
  <c r="L7837" i="3"/>
  <c r="J7837" i="3"/>
  <c r="K7837" i="3" s="1"/>
  <c r="H7837" i="3"/>
  <c r="G7837" i="3"/>
  <c r="M7836" i="3"/>
  <c r="L7836" i="3"/>
  <c r="J7836" i="3"/>
  <c r="K7836" i="3" s="1"/>
  <c r="H7836" i="3"/>
  <c r="G7836" i="3"/>
  <c r="M7835" i="3"/>
  <c r="L7835" i="3"/>
  <c r="J7835" i="3"/>
  <c r="K7835" i="3" s="1"/>
  <c r="H7835" i="3"/>
  <c r="G7835" i="3"/>
  <c r="I7835" i="3" s="1"/>
  <c r="M7834" i="3"/>
  <c r="L7834" i="3"/>
  <c r="J7834" i="3"/>
  <c r="K7834" i="3" s="1"/>
  <c r="H7834" i="3"/>
  <c r="G7834" i="3"/>
  <c r="M7833" i="3"/>
  <c r="L7833" i="3"/>
  <c r="J7833" i="3"/>
  <c r="K7833" i="3" s="1"/>
  <c r="H7833" i="3"/>
  <c r="G7833" i="3"/>
  <c r="M7832" i="3"/>
  <c r="L7832" i="3"/>
  <c r="J7832" i="3"/>
  <c r="K7832" i="3" s="1"/>
  <c r="H7832" i="3"/>
  <c r="G7832" i="3"/>
  <c r="I7832" i="3" s="1"/>
  <c r="M7831" i="3"/>
  <c r="L7831" i="3"/>
  <c r="J7831" i="3"/>
  <c r="K7831" i="3" s="1"/>
  <c r="H7831" i="3"/>
  <c r="G7831" i="3"/>
  <c r="M7830" i="3"/>
  <c r="L7830" i="3"/>
  <c r="K7830" i="3"/>
  <c r="J7830" i="3"/>
  <c r="H7830" i="3"/>
  <c r="G7830" i="3"/>
  <c r="M7829" i="3"/>
  <c r="L7829" i="3"/>
  <c r="J7829" i="3"/>
  <c r="K7829" i="3" s="1"/>
  <c r="H7829" i="3"/>
  <c r="G7829" i="3"/>
  <c r="M7828" i="3"/>
  <c r="L7828" i="3"/>
  <c r="J7828" i="3"/>
  <c r="K7828" i="3" s="1"/>
  <c r="H7828" i="3"/>
  <c r="I7828" i="3" s="1"/>
  <c r="G7828" i="3"/>
  <c r="M7827" i="3"/>
  <c r="L7827" i="3"/>
  <c r="J7827" i="3"/>
  <c r="K7827" i="3" s="1"/>
  <c r="H7827" i="3"/>
  <c r="G7827" i="3"/>
  <c r="I7827" i="3" s="1"/>
  <c r="M7826" i="3"/>
  <c r="L7826" i="3"/>
  <c r="J7826" i="3"/>
  <c r="K7826" i="3" s="1"/>
  <c r="H7826" i="3"/>
  <c r="G7826" i="3"/>
  <c r="M7873" i="3"/>
  <c r="L7873" i="3"/>
  <c r="J7873" i="3"/>
  <c r="K7873" i="3" s="1"/>
  <c r="H7873" i="3"/>
  <c r="G7873" i="3"/>
  <c r="M7872" i="3"/>
  <c r="L7872" i="3"/>
  <c r="J7872" i="3"/>
  <c r="K7872" i="3" s="1"/>
  <c r="H7872" i="3"/>
  <c r="G7872" i="3"/>
  <c r="I7872" i="3" s="1"/>
  <c r="M7871" i="3"/>
  <c r="L7871" i="3"/>
  <c r="J7871" i="3"/>
  <c r="K7871" i="3" s="1"/>
  <c r="H7871" i="3"/>
  <c r="G7871" i="3"/>
  <c r="M7870" i="3"/>
  <c r="L7870" i="3"/>
  <c r="J7870" i="3"/>
  <c r="K7870" i="3" s="1"/>
  <c r="H7870" i="3"/>
  <c r="G7870" i="3"/>
  <c r="M7869" i="3"/>
  <c r="L7869" i="3"/>
  <c r="J7869" i="3"/>
  <c r="K7869" i="3" s="1"/>
  <c r="H7869" i="3"/>
  <c r="G7869" i="3"/>
  <c r="M7868" i="3"/>
  <c r="L7868" i="3"/>
  <c r="J7868" i="3"/>
  <c r="K7868" i="3" s="1"/>
  <c r="H7868" i="3"/>
  <c r="G7868" i="3"/>
  <c r="M7867" i="3"/>
  <c r="L7867" i="3"/>
  <c r="J7867" i="3"/>
  <c r="K7867" i="3" s="1"/>
  <c r="H7867" i="3"/>
  <c r="G7867" i="3"/>
  <c r="M7866" i="3"/>
  <c r="L7866" i="3"/>
  <c r="J7866" i="3"/>
  <c r="K7866" i="3" s="1"/>
  <c r="H7866" i="3"/>
  <c r="G7866" i="3"/>
  <c r="I7866" i="3" s="1"/>
  <c r="M7865" i="3"/>
  <c r="L7865" i="3"/>
  <c r="J7865" i="3"/>
  <c r="K7865" i="3" s="1"/>
  <c r="H7865" i="3"/>
  <c r="I7865" i="3" s="1"/>
  <c r="G7865" i="3"/>
  <c r="M7864" i="3"/>
  <c r="L7864" i="3"/>
  <c r="K7864" i="3"/>
  <c r="J7864" i="3"/>
  <c r="H7864" i="3"/>
  <c r="G7864" i="3"/>
  <c r="M7863" i="3"/>
  <c r="L7863" i="3"/>
  <c r="J7863" i="3"/>
  <c r="K7863" i="3" s="1"/>
  <c r="H7863" i="3"/>
  <c r="G7863" i="3"/>
  <c r="M7862" i="3"/>
  <c r="L7862" i="3"/>
  <c r="J7862" i="3"/>
  <c r="K7862" i="3" s="1"/>
  <c r="H7862" i="3"/>
  <c r="G7862" i="3"/>
  <c r="M7861" i="3"/>
  <c r="L7861" i="3"/>
  <c r="J7861" i="3"/>
  <c r="K7861" i="3" s="1"/>
  <c r="H7861" i="3"/>
  <c r="G7861" i="3"/>
  <c r="M7860" i="3"/>
  <c r="L7860" i="3"/>
  <c r="J7860" i="3"/>
  <c r="K7860" i="3" s="1"/>
  <c r="H7860" i="3"/>
  <c r="G7860" i="3"/>
  <c r="M7859" i="3"/>
  <c r="L7859" i="3"/>
  <c r="J7859" i="3"/>
  <c r="K7859" i="3" s="1"/>
  <c r="H7859" i="3"/>
  <c r="G7859" i="3"/>
  <c r="M7858" i="3"/>
  <c r="L7858" i="3"/>
  <c r="J7858" i="3"/>
  <c r="K7858" i="3" s="1"/>
  <c r="H7858" i="3"/>
  <c r="G7858" i="3"/>
  <c r="I7858" i="3" s="1"/>
  <c r="M7857" i="3"/>
  <c r="L7857" i="3"/>
  <c r="J7857" i="3"/>
  <c r="K7857" i="3" s="1"/>
  <c r="H7857" i="3"/>
  <c r="I7857" i="3" s="1"/>
  <c r="G7857" i="3"/>
  <c r="M7856" i="3"/>
  <c r="L7856" i="3"/>
  <c r="K7856" i="3"/>
  <c r="J7856" i="3"/>
  <c r="H7856" i="3"/>
  <c r="G7856" i="3"/>
  <c r="I7856" i="3" s="1"/>
  <c r="M7855" i="3"/>
  <c r="L7855" i="3"/>
  <c r="J7855" i="3"/>
  <c r="K7855" i="3" s="1"/>
  <c r="H7855" i="3"/>
  <c r="G7855" i="3"/>
  <c r="M7854" i="3"/>
  <c r="L7854" i="3"/>
  <c r="K7854" i="3"/>
  <c r="J7854" i="3"/>
  <c r="H7854" i="3"/>
  <c r="G7854" i="3"/>
  <c r="M7853" i="3"/>
  <c r="L7853" i="3"/>
  <c r="J7853" i="3"/>
  <c r="K7853" i="3" s="1"/>
  <c r="H7853" i="3"/>
  <c r="G7853" i="3"/>
  <c r="M7852" i="3"/>
  <c r="L7852" i="3"/>
  <c r="J7852" i="3"/>
  <c r="K7852" i="3" s="1"/>
  <c r="H7852" i="3"/>
  <c r="G7852" i="3"/>
  <c r="M7851" i="3"/>
  <c r="L7851" i="3"/>
  <c r="J7851" i="3"/>
  <c r="K7851" i="3" s="1"/>
  <c r="H7851" i="3"/>
  <c r="G7851" i="3"/>
  <c r="I7851" i="3" s="1"/>
  <c r="M7850" i="3"/>
  <c r="L7850" i="3"/>
  <c r="J7850" i="3"/>
  <c r="K7850" i="3" s="1"/>
  <c r="H7850" i="3"/>
  <c r="G7850" i="3"/>
  <c r="M7897" i="3"/>
  <c r="L7897" i="3"/>
  <c r="J7897" i="3"/>
  <c r="K7897" i="3" s="1"/>
  <c r="H7897" i="3"/>
  <c r="G7897" i="3"/>
  <c r="M7896" i="3"/>
  <c r="L7896" i="3"/>
  <c r="J7896" i="3"/>
  <c r="K7896" i="3" s="1"/>
  <c r="H7896" i="3"/>
  <c r="I7896" i="3" s="1"/>
  <c r="G7896" i="3"/>
  <c r="M7895" i="3"/>
  <c r="L7895" i="3"/>
  <c r="K7895" i="3"/>
  <c r="J7895" i="3"/>
  <c r="H7895" i="3"/>
  <c r="G7895" i="3"/>
  <c r="M7894" i="3"/>
  <c r="L7894" i="3"/>
  <c r="K7894" i="3"/>
  <c r="J7894" i="3"/>
  <c r="H7894" i="3"/>
  <c r="G7894" i="3"/>
  <c r="M7893" i="3"/>
  <c r="L7893" i="3"/>
  <c r="J7893" i="3"/>
  <c r="K7893" i="3" s="1"/>
  <c r="H7893" i="3"/>
  <c r="G7893" i="3"/>
  <c r="I7893" i="3" s="1"/>
  <c r="M7892" i="3"/>
  <c r="L7892" i="3"/>
  <c r="J7892" i="3"/>
  <c r="K7892" i="3" s="1"/>
  <c r="H7892" i="3"/>
  <c r="G7892" i="3"/>
  <c r="I7892" i="3" s="1"/>
  <c r="M7891" i="3"/>
  <c r="L7891" i="3"/>
  <c r="J7891" i="3"/>
  <c r="K7891" i="3" s="1"/>
  <c r="H7891" i="3"/>
  <c r="G7891" i="3"/>
  <c r="M7890" i="3"/>
  <c r="L7890" i="3"/>
  <c r="J7890" i="3"/>
  <c r="K7890" i="3" s="1"/>
  <c r="H7890" i="3"/>
  <c r="G7890" i="3"/>
  <c r="I7890" i="3" s="1"/>
  <c r="M7889" i="3"/>
  <c r="L7889" i="3"/>
  <c r="J7889" i="3"/>
  <c r="K7889" i="3" s="1"/>
  <c r="H7889" i="3"/>
  <c r="G7889" i="3"/>
  <c r="M7888" i="3"/>
  <c r="L7888" i="3"/>
  <c r="J7888" i="3"/>
  <c r="K7888" i="3" s="1"/>
  <c r="H7888" i="3"/>
  <c r="G7888" i="3"/>
  <c r="M7887" i="3"/>
  <c r="L7887" i="3"/>
  <c r="J7887" i="3"/>
  <c r="K7887" i="3" s="1"/>
  <c r="H7887" i="3"/>
  <c r="G7887" i="3"/>
  <c r="M7886" i="3"/>
  <c r="L7886" i="3"/>
  <c r="J7886" i="3"/>
  <c r="K7886" i="3" s="1"/>
  <c r="H7886" i="3"/>
  <c r="G7886" i="3"/>
  <c r="M7885" i="3"/>
  <c r="L7885" i="3"/>
  <c r="J7885" i="3"/>
  <c r="K7885" i="3" s="1"/>
  <c r="H7885" i="3"/>
  <c r="G7885" i="3"/>
  <c r="M7884" i="3"/>
  <c r="L7884" i="3"/>
  <c r="J7884" i="3"/>
  <c r="K7884" i="3" s="1"/>
  <c r="H7884" i="3"/>
  <c r="G7884" i="3"/>
  <c r="I7884" i="3" s="1"/>
  <c r="M7883" i="3"/>
  <c r="L7883" i="3"/>
  <c r="J7883" i="3"/>
  <c r="K7883" i="3" s="1"/>
  <c r="H7883" i="3"/>
  <c r="G7883" i="3"/>
  <c r="M7882" i="3"/>
  <c r="L7882" i="3"/>
  <c r="J7882" i="3"/>
  <c r="K7882" i="3" s="1"/>
  <c r="H7882" i="3"/>
  <c r="G7882" i="3"/>
  <c r="I7882" i="3" s="1"/>
  <c r="M7881" i="3"/>
  <c r="L7881" i="3"/>
  <c r="J7881" i="3"/>
  <c r="K7881" i="3" s="1"/>
  <c r="H7881" i="3"/>
  <c r="G7881" i="3"/>
  <c r="M7880" i="3"/>
  <c r="L7880" i="3"/>
  <c r="K7880" i="3"/>
  <c r="J7880" i="3"/>
  <c r="H7880" i="3"/>
  <c r="G7880" i="3"/>
  <c r="M7879" i="3"/>
  <c r="L7879" i="3"/>
  <c r="J7879" i="3"/>
  <c r="K7879" i="3" s="1"/>
  <c r="H7879" i="3"/>
  <c r="G7879" i="3"/>
  <c r="M7878" i="3"/>
  <c r="L7878" i="3"/>
  <c r="J7878" i="3"/>
  <c r="K7878" i="3" s="1"/>
  <c r="H7878" i="3"/>
  <c r="G7878" i="3"/>
  <c r="M7877" i="3"/>
  <c r="L7877" i="3"/>
  <c r="J7877" i="3"/>
  <c r="K7877" i="3" s="1"/>
  <c r="H7877" i="3"/>
  <c r="G7877" i="3"/>
  <c r="M7876" i="3"/>
  <c r="L7876" i="3"/>
  <c r="J7876" i="3"/>
  <c r="K7876" i="3" s="1"/>
  <c r="H7876" i="3"/>
  <c r="G7876" i="3"/>
  <c r="M7875" i="3"/>
  <c r="L7875" i="3"/>
  <c r="J7875" i="3"/>
  <c r="K7875" i="3" s="1"/>
  <c r="H7875" i="3"/>
  <c r="G7875" i="3"/>
  <c r="M7874" i="3"/>
  <c r="L7874" i="3"/>
  <c r="J7874" i="3"/>
  <c r="K7874" i="3" s="1"/>
  <c r="H7874" i="3"/>
  <c r="G7874" i="3"/>
  <c r="I7874" i="3" s="1"/>
  <c r="M7921" i="3"/>
  <c r="L7921" i="3"/>
  <c r="J7921" i="3"/>
  <c r="K7921" i="3" s="1"/>
  <c r="H7921" i="3"/>
  <c r="I7921" i="3" s="1"/>
  <c r="G7921" i="3"/>
  <c r="M7920" i="3"/>
  <c r="L7920" i="3"/>
  <c r="K7920" i="3"/>
  <c r="J7920" i="3"/>
  <c r="I7920" i="3"/>
  <c r="H7920" i="3"/>
  <c r="G7920" i="3"/>
  <c r="M7919" i="3"/>
  <c r="L7919" i="3"/>
  <c r="J7919" i="3"/>
  <c r="K7919" i="3" s="1"/>
  <c r="H7919" i="3"/>
  <c r="G7919" i="3"/>
  <c r="M7918" i="3"/>
  <c r="L7918" i="3"/>
  <c r="J7918" i="3"/>
  <c r="K7918" i="3" s="1"/>
  <c r="H7918" i="3"/>
  <c r="G7918" i="3"/>
  <c r="I7918" i="3" s="1"/>
  <c r="M7917" i="3"/>
  <c r="L7917" i="3"/>
  <c r="J7917" i="3"/>
  <c r="K7917" i="3" s="1"/>
  <c r="H7917" i="3"/>
  <c r="I7917" i="3" s="1"/>
  <c r="G7917" i="3"/>
  <c r="M7916" i="3"/>
  <c r="L7916" i="3"/>
  <c r="K7916" i="3"/>
  <c r="J7916" i="3"/>
  <c r="H7916" i="3"/>
  <c r="G7916" i="3"/>
  <c r="I7916" i="3" s="1"/>
  <c r="M7915" i="3"/>
  <c r="L7915" i="3"/>
  <c r="J7915" i="3"/>
  <c r="K7915" i="3" s="1"/>
  <c r="H7915" i="3"/>
  <c r="G7915" i="3"/>
  <c r="M7914" i="3"/>
  <c r="L7914" i="3"/>
  <c r="J7914" i="3"/>
  <c r="K7914" i="3" s="1"/>
  <c r="H7914" i="3"/>
  <c r="G7914" i="3"/>
  <c r="I7914" i="3" s="1"/>
  <c r="M7913" i="3"/>
  <c r="L7913" i="3"/>
  <c r="J7913" i="3"/>
  <c r="K7913" i="3" s="1"/>
  <c r="H7913" i="3"/>
  <c r="I7913" i="3" s="1"/>
  <c r="G7913" i="3"/>
  <c r="M7912" i="3"/>
  <c r="L7912" i="3"/>
  <c r="K7912" i="3"/>
  <c r="J7912" i="3"/>
  <c r="I7912" i="3"/>
  <c r="H7912" i="3"/>
  <c r="G7912" i="3"/>
  <c r="M7911" i="3"/>
  <c r="L7911" i="3"/>
  <c r="J7911" i="3"/>
  <c r="K7911" i="3" s="1"/>
  <c r="H7911" i="3"/>
  <c r="G7911" i="3"/>
  <c r="M7910" i="3"/>
  <c r="L7910" i="3"/>
  <c r="J7910" i="3"/>
  <c r="K7910" i="3" s="1"/>
  <c r="H7910" i="3"/>
  <c r="G7910" i="3"/>
  <c r="I7910" i="3" s="1"/>
  <c r="M7909" i="3"/>
  <c r="L7909" i="3"/>
  <c r="J7909" i="3"/>
  <c r="K7909" i="3" s="1"/>
  <c r="H7909" i="3"/>
  <c r="I7909" i="3" s="1"/>
  <c r="G7909" i="3"/>
  <c r="M7908" i="3"/>
  <c r="L7908" i="3"/>
  <c r="K7908" i="3"/>
  <c r="J7908" i="3"/>
  <c r="H7908" i="3"/>
  <c r="G7908" i="3"/>
  <c r="I7908" i="3" s="1"/>
  <c r="M7907" i="3"/>
  <c r="L7907" i="3"/>
  <c r="J7907" i="3"/>
  <c r="K7907" i="3" s="1"/>
  <c r="H7907" i="3"/>
  <c r="G7907" i="3"/>
  <c r="M7906" i="3"/>
  <c r="L7906" i="3"/>
  <c r="J7906" i="3"/>
  <c r="K7906" i="3" s="1"/>
  <c r="H7906" i="3"/>
  <c r="G7906" i="3"/>
  <c r="I7906" i="3" s="1"/>
  <c r="M7905" i="3"/>
  <c r="L7905" i="3"/>
  <c r="J7905" i="3"/>
  <c r="K7905" i="3" s="1"/>
  <c r="H7905" i="3"/>
  <c r="G7905" i="3"/>
  <c r="M7904" i="3"/>
  <c r="L7904" i="3"/>
  <c r="J7904" i="3"/>
  <c r="K7904" i="3" s="1"/>
  <c r="H7904" i="3"/>
  <c r="G7904" i="3"/>
  <c r="M7903" i="3"/>
  <c r="L7903" i="3"/>
  <c r="J7903" i="3"/>
  <c r="K7903" i="3" s="1"/>
  <c r="H7903" i="3"/>
  <c r="G7903" i="3"/>
  <c r="M7902" i="3"/>
  <c r="L7902" i="3"/>
  <c r="J7902" i="3"/>
  <c r="K7902" i="3" s="1"/>
  <c r="H7902" i="3"/>
  <c r="G7902" i="3"/>
  <c r="M7901" i="3"/>
  <c r="L7901" i="3"/>
  <c r="J7901" i="3"/>
  <c r="K7901" i="3" s="1"/>
  <c r="H7901" i="3"/>
  <c r="G7901" i="3"/>
  <c r="M7900" i="3"/>
  <c r="L7900" i="3"/>
  <c r="J7900" i="3"/>
  <c r="K7900" i="3" s="1"/>
  <c r="H7900" i="3"/>
  <c r="G7900" i="3"/>
  <c r="M7899" i="3"/>
  <c r="L7899" i="3"/>
  <c r="J7899" i="3"/>
  <c r="K7899" i="3" s="1"/>
  <c r="H7899" i="3"/>
  <c r="G7899" i="3"/>
  <c r="M7898" i="3"/>
  <c r="L7898" i="3"/>
  <c r="J7898" i="3"/>
  <c r="K7898" i="3" s="1"/>
  <c r="H7898" i="3"/>
  <c r="G7898" i="3"/>
  <c r="M7945" i="3"/>
  <c r="L7945" i="3"/>
  <c r="J7945" i="3"/>
  <c r="K7945" i="3" s="1"/>
  <c r="H7945" i="3"/>
  <c r="G7945" i="3"/>
  <c r="M7944" i="3"/>
  <c r="L7944" i="3"/>
  <c r="J7944" i="3"/>
  <c r="K7944" i="3" s="1"/>
  <c r="H7944" i="3"/>
  <c r="G7944" i="3"/>
  <c r="M7943" i="3"/>
  <c r="L7943" i="3"/>
  <c r="J7943" i="3"/>
  <c r="K7943" i="3" s="1"/>
  <c r="H7943" i="3"/>
  <c r="G7943" i="3"/>
  <c r="M7942" i="3"/>
  <c r="L7942" i="3"/>
  <c r="J7942" i="3"/>
  <c r="K7942" i="3" s="1"/>
  <c r="H7942" i="3"/>
  <c r="G7942" i="3"/>
  <c r="I7942" i="3" s="1"/>
  <c r="M7941" i="3"/>
  <c r="L7941" i="3"/>
  <c r="J7941" i="3"/>
  <c r="K7941" i="3" s="1"/>
  <c r="H7941" i="3"/>
  <c r="G7941" i="3"/>
  <c r="M7940" i="3"/>
  <c r="L7940" i="3"/>
  <c r="K7940" i="3"/>
  <c r="J7940" i="3"/>
  <c r="I7940" i="3"/>
  <c r="H7940" i="3"/>
  <c r="G7940" i="3"/>
  <c r="M7939" i="3"/>
  <c r="L7939" i="3"/>
  <c r="J7939" i="3"/>
  <c r="K7939" i="3" s="1"/>
  <c r="H7939" i="3"/>
  <c r="G7939" i="3"/>
  <c r="M7938" i="3"/>
  <c r="L7938" i="3"/>
  <c r="K7938" i="3"/>
  <c r="J7938" i="3"/>
  <c r="H7938" i="3"/>
  <c r="G7938" i="3"/>
  <c r="M7937" i="3"/>
  <c r="L7937" i="3"/>
  <c r="J7937" i="3"/>
  <c r="K7937" i="3" s="1"/>
  <c r="H7937" i="3"/>
  <c r="G7937" i="3"/>
  <c r="I7937" i="3" s="1"/>
  <c r="M7936" i="3"/>
  <c r="L7936" i="3"/>
  <c r="J7936" i="3"/>
  <c r="K7936" i="3" s="1"/>
  <c r="H7936" i="3"/>
  <c r="G7936" i="3"/>
  <c r="M7935" i="3"/>
  <c r="L7935" i="3"/>
  <c r="J7935" i="3"/>
  <c r="K7935" i="3" s="1"/>
  <c r="H7935" i="3"/>
  <c r="G7935" i="3"/>
  <c r="I7935" i="3" s="1"/>
  <c r="M7934" i="3"/>
  <c r="L7934" i="3"/>
  <c r="J7934" i="3"/>
  <c r="K7934" i="3" s="1"/>
  <c r="H7934" i="3"/>
  <c r="G7934" i="3"/>
  <c r="M7933" i="3"/>
  <c r="L7933" i="3"/>
  <c r="J7933" i="3"/>
  <c r="K7933" i="3" s="1"/>
  <c r="H7933" i="3"/>
  <c r="G7933" i="3"/>
  <c r="M7932" i="3"/>
  <c r="L7932" i="3"/>
  <c r="J7932" i="3"/>
  <c r="K7932" i="3" s="1"/>
  <c r="H7932" i="3"/>
  <c r="G7932" i="3"/>
  <c r="I7932" i="3" s="1"/>
  <c r="M7931" i="3"/>
  <c r="L7931" i="3"/>
  <c r="J7931" i="3"/>
  <c r="K7931" i="3" s="1"/>
  <c r="H7931" i="3"/>
  <c r="G7931" i="3"/>
  <c r="M7930" i="3"/>
  <c r="L7930" i="3"/>
  <c r="K7930" i="3"/>
  <c r="J7930" i="3"/>
  <c r="H7930" i="3"/>
  <c r="G7930" i="3"/>
  <c r="M7929" i="3"/>
  <c r="L7929" i="3"/>
  <c r="J7929" i="3"/>
  <c r="K7929" i="3" s="1"/>
  <c r="H7929" i="3"/>
  <c r="G7929" i="3"/>
  <c r="I7929" i="3" s="1"/>
  <c r="M7928" i="3"/>
  <c r="L7928" i="3"/>
  <c r="J7928" i="3"/>
  <c r="K7928" i="3" s="1"/>
  <c r="H7928" i="3"/>
  <c r="I7928" i="3" s="1"/>
  <c r="G7928" i="3"/>
  <c r="M7927" i="3"/>
  <c r="L7927" i="3"/>
  <c r="J7927" i="3"/>
  <c r="K7927" i="3" s="1"/>
  <c r="H7927" i="3"/>
  <c r="G7927" i="3"/>
  <c r="I7927" i="3" s="1"/>
  <c r="M7926" i="3"/>
  <c r="L7926" i="3"/>
  <c r="J7926" i="3"/>
  <c r="K7926" i="3" s="1"/>
  <c r="H7926" i="3"/>
  <c r="G7926" i="3"/>
  <c r="M7925" i="3"/>
  <c r="L7925" i="3"/>
  <c r="J7925" i="3"/>
  <c r="K7925" i="3" s="1"/>
  <c r="H7925" i="3"/>
  <c r="G7925" i="3"/>
  <c r="M7924" i="3"/>
  <c r="L7924" i="3"/>
  <c r="J7924" i="3"/>
  <c r="K7924" i="3" s="1"/>
  <c r="H7924" i="3"/>
  <c r="G7924" i="3"/>
  <c r="I7924" i="3" s="1"/>
  <c r="M7923" i="3"/>
  <c r="L7923" i="3"/>
  <c r="J7923" i="3"/>
  <c r="K7923" i="3" s="1"/>
  <c r="H7923" i="3"/>
  <c r="G7923" i="3"/>
  <c r="M7922" i="3"/>
  <c r="L7922" i="3"/>
  <c r="J7922" i="3"/>
  <c r="K7922" i="3" s="1"/>
  <c r="H7922" i="3"/>
  <c r="G7922" i="3"/>
  <c r="M7969" i="3"/>
  <c r="L7969" i="3"/>
  <c r="J7969" i="3"/>
  <c r="K7969" i="3" s="1"/>
  <c r="H7969" i="3"/>
  <c r="G7969" i="3"/>
  <c r="M7968" i="3"/>
  <c r="L7968" i="3"/>
  <c r="J7968" i="3"/>
  <c r="K7968" i="3" s="1"/>
  <c r="H7968" i="3"/>
  <c r="G7968" i="3"/>
  <c r="I7968" i="3" s="1"/>
  <c r="M7967" i="3"/>
  <c r="L7967" i="3"/>
  <c r="J7967" i="3"/>
  <c r="K7967" i="3" s="1"/>
  <c r="H7967" i="3"/>
  <c r="G7967" i="3"/>
  <c r="M7966" i="3"/>
  <c r="L7966" i="3"/>
  <c r="J7966" i="3"/>
  <c r="K7966" i="3" s="1"/>
  <c r="H7966" i="3"/>
  <c r="G7966" i="3"/>
  <c r="I7966" i="3" s="1"/>
  <c r="M7965" i="3"/>
  <c r="L7965" i="3"/>
  <c r="J7965" i="3"/>
  <c r="K7965" i="3" s="1"/>
  <c r="H7965" i="3"/>
  <c r="G7965" i="3"/>
  <c r="M7964" i="3"/>
  <c r="L7964" i="3"/>
  <c r="K7964" i="3"/>
  <c r="J7964" i="3"/>
  <c r="H7964" i="3"/>
  <c r="G7964" i="3"/>
  <c r="M7963" i="3"/>
  <c r="L7963" i="3"/>
  <c r="J7963" i="3"/>
  <c r="K7963" i="3" s="1"/>
  <c r="H7963" i="3"/>
  <c r="G7963" i="3"/>
  <c r="M7962" i="3"/>
  <c r="L7962" i="3"/>
  <c r="J7962" i="3"/>
  <c r="K7962" i="3" s="1"/>
  <c r="H7962" i="3"/>
  <c r="G7962" i="3"/>
  <c r="M7961" i="3"/>
  <c r="L7961" i="3"/>
  <c r="J7961" i="3"/>
  <c r="K7961" i="3" s="1"/>
  <c r="H7961" i="3"/>
  <c r="G7961" i="3"/>
  <c r="M7960" i="3"/>
  <c r="L7960" i="3"/>
  <c r="J7960" i="3"/>
  <c r="K7960" i="3" s="1"/>
  <c r="H7960" i="3"/>
  <c r="G7960" i="3"/>
  <c r="M7959" i="3"/>
  <c r="L7959" i="3"/>
  <c r="J7959" i="3"/>
  <c r="K7959" i="3" s="1"/>
  <c r="H7959" i="3"/>
  <c r="G7959" i="3"/>
  <c r="M7958" i="3"/>
  <c r="L7958" i="3"/>
  <c r="J7958" i="3"/>
  <c r="K7958" i="3" s="1"/>
  <c r="H7958" i="3"/>
  <c r="G7958" i="3"/>
  <c r="I7958" i="3" s="1"/>
  <c r="M7957" i="3"/>
  <c r="L7957" i="3"/>
  <c r="J7957" i="3"/>
  <c r="K7957" i="3" s="1"/>
  <c r="H7957" i="3"/>
  <c r="G7957" i="3"/>
  <c r="M7956" i="3"/>
  <c r="L7956" i="3"/>
  <c r="K7956" i="3"/>
  <c r="J7956" i="3"/>
  <c r="H7956" i="3"/>
  <c r="G7956" i="3"/>
  <c r="I7956" i="3" s="1"/>
  <c r="M7955" i="3"/>
  <c r="L7955" i="3"/>
  <c r="J7955" i="3"/>
  <c r="K7955" i="3" s="1"/>
  <c r="H7955" i="3"/>
  <c r="G7955" i="3"/>
  <c r="M7954" i="3"/>
  <c r="L7954" i="3"/>
  <c r="K7954" i="3"/>
  <c r="J7954" i="3"/>
  <c r="H7954" i="3"/>
  <c r="G7954" i="3"/>
  <c r="M7953" i="3"/>
  <c r="L7953" i="3"/>
  <c r="J7953" i="3"/>
  <c r="K7953" i="3" s="1"/>
  <c r="H7953" i="3"/>
  <c r="G7953" i="3"/>
  <c r="I7953" i="3" s="1"/>
  <c r="M7952" i="3"/>
  <c r="L7952" i="3"/>
  <c r="J7952" i="3"/>
  <c r="K7952" i="3" s="1"/>
  <c r="H7952" i="3"/>
  <c r="G7952" i="3"/>
  <c r="M7951" i="3"/>
  <c r="L7951" i="3"/>
  <c r="J7951" i="3"/>
  <c r="K7951" i="3" s="1"/>
  <c r="H7951" i="3"/>
  <c r="G7951" i="3"/>
  <c r="I7951" i="3" s="1"/>
  <c r="M7950" i="3"/>
  <c r="L7950" i="3"/>
  <c r="J7950" i="3"/>
  <c r="K7950" i="3" s="1"/>
  <c r="H7950" i="3"/>
  <c r="G7950" i="3"/>
  <c r="M7949" i="3"/>
  <c r="L7949" i="3"/>
  <c r="J7949" i="3"/>
  <c r="K7949" i="3" s="1"/>
  <c r="H7949" i="3"/>
  <c r="G7949" i="3"/>
  <c r="M7948" i="3"/>
  <c r="L7948" i="3"/>
  <c r="J7948" i="3"/>
  <c r="K7948" i="3" s="1"/>
  <c r="H7948" i="3"/>
  <c r="G7948" i="3"/>
  <c r="I7948" i="3" s="1"/>
  <c r="M7947" i="3"/>
  <c r="L7947" i="3"/>
  <c r="J7947" i="3"/>
  <c r="K7947" i="3" s="1"/>
  <c r="H7947" i="3"/>
  <c r="G7947" i="3"/>
  <c r="M7946" i="3"/>
  <c r="L7946" i="3"/>
  <c r="K7946" i="3"/>
  <c r="J7946" i="3"/>
  <c r="H7946" i="3"/>
  <c r="G7946" i="3"/>
  <c r="M7993" i="3"/>
  <c r="L7993" i="3"/>
  <c r="J7993" i="3"/>
  <c r="K7993" i="3" s="1"/>
  <c r="H7993" i="3"/>
  <c r="G7993" i="3"/>
  <c r="M7992" i="3"/>
  <c r="L7992" i="3"/>
  <c r="J7992" i="3"/>
  <c r="K7992" i="3" s="1"/>
  <c r="H7992" i="3"/>
  <c r="I7992" i="3" s="1"/>
  <c r="G7992" i="3"/>
  <c r="M7991" i="3"/>
  <c r="L7991" i="3"/>
  <c r="J7991" i="3"/>
  <c r="K7991" i="3" s="1"/>
  <c r="H7991" i="3"/>
  <c r="G7991" i="3"/>
  <c r="I7991" i="3" s="1"/>
  <c r="M7990" i="3"/>
  <c r="L7990" i="3"/>
  <c r="J7990" i="3"/>
  <c r="K7990" i="3" s="1"/>
  <c r="H7990" i="3"/>
  <c r="G7990" i="3"/>
  <c r="M7989" i="3"/>
  <c r="L7989" i="3"/>
  <c r="J7989" i="3"/>
  <c r="K7989" i="3" s="1"/>
  <c r="H7989" i="3"/>
  <c r="G7989" i="3"/>
  <c r="M7988" i="3"/>
  <c r="L7988" i="3"/>
  <c r="J7988" i="3"/>
  <c r="K7988" i="3" s="1"/>
  <c r="H7988" i="3"/>
  <c r="I7988" i="3" s="1"/>
  <c r="G7988" i="3"/>
  <c r="M7987" i="3"/>
  <c r="L7987" i="3"/>
  <c r="J7987" i="3"/>
  <c r="K7987" i="3" s="1"/>
  <c r="H7987" i="3"/>
  <c r="G7987" i="3"/>
  <c r="M7986" i="3"/>
  <c r="L7986" i="3"/>
  <c r="J7986" i="3"/>
  <c r="K7986" i="3" s="1"/>
  <c r="H7986" i="3"/>
  <c r="G7986" i="3"/>
  <c r="M7985" i="3"/>
  <c r="L7985" i="3"/>
  <c r="J7985" i="3"/>
  <c r="K7985" i="3" s="1"/>
  <c r="H7985" i="3"/>
  <c r="G7985" i="3"/>
  <c r="M7984" i="3"/>
  <c r="L7984" i="3"/>
  <c r="J7984" i="3"/>
  <c r="K7984" i="3" s="1"/>
  <c r="H7984" i="3"/>
  <c r="G7984" i="3"/>
  <c r="I7984" i="3" s="1"/>
  <c r="M7983" i="3"/>
  <c r="L7983" i="3"/>
  <c r="J7983" i="3"/>
  <c r="K7983" i="3" s="1"/>
  <c r="H7983" i="3"/>
  <c r="G7983" i="3"/>
  <c r="M7982" i="3"/>
  <c r="L7982" i="3"/>
  <c r="J7982" i="3"/>
  <c r="K7982" i="3" s="1"/>
  <c r="H7982" i="3"/>
  <c r="G7982" i="3"/>
  <c r="I7982" i="3" s="1"/>
  <c r="M7981" i="3"/>
  <c r="L7981" i="3"/>
  <c r="J7981" i="3"/>
  <c r="K7981" i="3" s="1"/>
  <c r="H7981" i="3"/>
  <c r="G7981" i="3"/>
  <c r="M7980" i="3"/>
  <c r="L7980" i="3"/>
  <c r="K7980" i="3"/>
  <c r="J7980" i="3"/>
  <c r="H7980" i="3"/>
  <c r="G7980" i="3"/>
  <c r="M7979" i="3"/>
  <c r="L7979" i="3"/>
  <c r="J7979" i="3"/>
  <c r="K7979" i="3" s="1"/>
  <c r="H7979" i="3"/>
  <c r="G7979" i="3"/>
  <c r="M7978" i="3"/>
  <c r="L7978" i="3"/>
  <c r="J7978" i="3"/>
  <c r="K7978" i="3" s="1"/>
  <c r="H7978" i="3"/>
  <c r="G7978" i="3"/>
  <c r="M7977" i="3"/>
  <c r="L7977" i="3"/>
  <c r="J7977" i="3"/>
  <c r="K7977" i="3" s="1"/>
  <c r="H7977" i="3"/>
  <c r="G7977" i="3"/>
  <c r="M7976" i="3"/>
  <c r="L7976" i="3"/>
  <c r="J7976" i="3"/>
  <c r="K7976" i="3" s="1"/>
  <c r="H7976" i="3"/>
  <c r="G7976" i="3"/>
  <c r="M7975" i="3"/>
  <c r="L7975" i="3"/>
  <c r="J7975" i="3"/>
  <c r="K7975" i="3" s="1"/>
  <c r="H7975" i="3"/>
  <c r="G7975" i="3"/>
  <c r="M7974" i="3"/>
  <c r="L7974" i="3"/>
  <c r="J7974" i="3"/>
  <c r="K7974" i="3" s="1"/>
  <c r="H7974" i="3"/>
  <c r="G7974" i="3"/>
  <c r="I7974" i="3" s="1"/>
  <c r="M7973" i="3"/>
  <c r="L7973" i="3"/>
  <c r="J7973" i="3"/>
  <c r="K7973" i="3" s="1"/>
  <c r="H7973" i="3"/>
  <c r="G7973" i="3"/>
  <c r="M7972" i="3"/>
  <c r="L7972" i="3"/>
  <c r="K7972" i="3"/>
  <c r="J7972" i="3"/>
  <c r="I7972" i="3"/>
  <c r="H7972" i="3"/>
  <c r="G7972" i="3"/>
  <c r="M7971" i="3"/>
  <c r="L7971" i="3"/>
  <c r="J7971" i="3"/>
  <c r="K7971" i="3" s="1"/>
  <c r="H7971" i="3"/>
  <c r="G7971" i="3"/>
  <c r="M7970" i="3"/>
  <c r="L7970" i="3"/>
  <c r="K7970" i="3"/>
  <c r="J7970" i="3"/>
  <c r="H7970" i="3"/>
  <c r="G7970" i="3"/>
  <c r="M8017" i="3"/>
  <c r="L8017" i="3"/>
  <c r="J8017" i="3"/>
  <c r="K8017" i="3" s="1"/>
  <c r="H8017" i="3"/>
  <c r="G8017" i="3"/>
  <c r="I8017" i="3" s="1"/>
  <c r="M8016" i="3"/>
  <c r="L8016" i="3"/>
  <c r="J8016" i="3"/>
  <c r="K8016" i="3" s="1"/>
  <c r="H8016" i="3"/>
  <c r="G8016" i="3"/>
  <c r="M8015" i="3"/>
  <c r="L8015" i="3"/>
  <c r="J8015" i="3"/>
  <c r="K8015" i="3" s="1"/>
  <c r="H8015" i="3"/>
  <c r="G8015" i="3"/>
  <c r="M8014" i="3"/>
  <c r="L8014" i="3"/>
  <c r="J8014" i="3"/>
  <c r="K8014" i="3" s="1"/>
  <c r="H8014" i="3"/>
  <c r="G8014" i="3"/>
  <c r="M8013" i="3"/>
  <c r="L8013" i="3"/>
  <c r="J8013" i="3"/>
  <c r="K8013" i="3" s="1"/>
  <c r="H8013" i="3"/>
  <c r="G8013" i="3"/>
  <c r="M8012" i="3"/>
  <c r="L8012" i="3"/>
  <c r="J8012" i="3"/>
  <c r="K8012" i="3" s="1"/>
  <c r="H8012" i="3"/>
  <c r="I8012" i="3" s="1"/>
  <c r="G8012" i="3"/>
  <c r="M8011" i="3"/>
  <c r="L8011" i="3"/>
  <c r="J8011" i="3"/>
  <c r="K8011" i="3" s="1"/>
  <c r="H8011" i="3"/>
  <c r="G8011" i="3"/>
  <c r="M8010" i="3"/>
  <c r="L8010" i="3"/>
  <c r="J8010" i="3"/>
  <c r="K8010" i="3" s="1"/>
  <c r="H8010" i="3"/>
  <c r="G8010" i="3"/>
  <c r="M8009" i="3"/>
  <c r="L8009" i="3"/>
  <c r="J8009" i="3"/>
  <c r="K8009" i="3" s="1"/>
  <c r="H8009" i="3"/>
  <c r="G8009" i="3"/>
  <c r="M8008" i="3"/>
  <c r="L8008" i="3"/>
  <c r="J8008" i="3"/>
  <c r="K8008" i="3" s="1"/>
  <c r="H8008" i="3"/>
  <c r="G8008" i="3"/>
  <c r="I8008" i="3" s="1"/>
  <c r="M8007" i="3"/>
  <c r="L8007" i="3"/>
  <c r="J8007" i="3"/>
  <c r="K8007" i="3" s="1"/>
  <c r="H8007" i="3"/>
  <c r="I8007" i="3" s="1"/>
  <c r="G8007" i="3"/>
  <c r="M8006" i="3"/>
  <c r="L8006" i="3"/>
  <c r="K8006" i="3"/>
  <c r="J8006" i="3"/>
  <c r="H8006" i="3"/>
  <c r="G8006" i="3"/>
  <c r="M8005" i="3"/>
  <c r="L8005" i="3"/>
  <c r="J8005" i="3"/>
  <c r="K8005" i="3" s="1"/>
  <c r="H8005" i="3"/>
  <c r="G8005" i="3"/>
  <c r="I8005" i="3" s="1"/>
  <c r="M8004" i="3"/>
  <c r="L8004" i="3"/>
  <c r="J8004" i="3"/>
  <c r="K8004" i="3" s="1"/>
  <c r="H8004" i="3"/>
  <c r="G8004" i="3"/>
  <c r="I8004" i="3" s="1"/>
  <c r="M8003" i="3"/>
  <c r="L8003" i="3"/>
  <c r="J8003" i="3"/>
  <c r="K8003" i="3" s="1"/>
  <c r="H8003" i="3"/>
  <c r="I8003" i="3" s="1"/>
  <c r="G8003" i="3"/>
  <c r="M8002" i="3"/>
  <c r="L8002" i="3"/>
  <c r="K8002" i="3"/>
  <c r="J8002" i="3"/>
  <c r="H8002" i="3"/>
  <c r="G8002" i="3"/>
  <c r="M8001" i="3"/>
  <c r="L8001" i="3"/>
  <c r="J8001" i="3"/>
  <c r="K8001" i="3" s="1"/>
  <c r="H8001" i="3"/>
  <c r="G8001" i="3"/>
  <c r="I8001" i="3" s="1"/>
  <c r="M8000" i="3"/>
  <c r="L8000" i="3"/>
  <c r="J8000" i="3"/>
  <c r="K8000" i="3" s="1"/>
  <c r="H8000" i="3"/>
  <c r="G8000" i="3"/>
  <c r="M7999" i="3"/>
  <c r="L7999" i="3"/>
  <c r="J7999" i="3"/>
  <c r="K7999" i="3" s="1"/>
  <c r="H7999" i="3"/>
  <c r="G7999" i="3"/>
  <c r="M7998" i="3"/>
  <c r="L7998" i="3"/>
  <c r="J7998" i="3"/>
  <c r="K7998" i="3" s="1"/>
  <c r="H7998" i="3"/>
  <c r="G7998" i="3"/>
  <c r="M7997" i="3"/>
  <c r="L7997" i="3"/>
  <c r="J7997" i="3"/>
  <c r="K7997" i="3" s="1"/>
  <c r="H7997" i="3"/>
  <c r="G7997" i="3"/>
  <c r="M7996" i="3"/>
  <c r="L7996" i="3"/>
  <c r="J7996" i="3"/>
  <c r="K7996" i="3" s="1"/>
  <c r="H7996" i="3"/>
  <c r="G7996" i="3"/>
  <c r="I7996" i="3" s="1"/>
  <c r="M7995" i="3"/>
  <c r="L7995" i="3"/>
  <c r="J7995" i="3"/>
  <c r="K7995" i="3" s="1"/>
  <c r="H7995" i="3"/>
  <c r="G7995" i="3"/>
  <c r="M7994" i="3"/>
  <c r="L7994" i="3"/>
  <c r="J7994" i="3"/>
  <c r="K7994" i="3" s="1"/>
  <c r="H7994" i="3"/>
  <c r="G7994" i="3"/>
  <c r="M8041" i="3"/>
  <c r="L8041" i="3"/>
  <c r="J8041" i="3"/>
  <c r="K8041" i="3" s="1"/>
  <c r="H8041" i="3"/>
  <c r="G8041" i="3"/>
  <c r="M8040" i="3"/>
  <c r="L8040" i="3"/>
  <c r="J8040" i="3"/>
  <c r="K8040" i="3" s="1"/>
  <c r="H8040" i="3"/>
  <c r="G8040" i="3"/>
  <c r="M8039" i="3"/>
  <c r="L8039" i="3"/>
  <c r="J8039" i="3"/>
  <c r="K8039" i="3" s="1"/>
  <c r="H8039" i="3"/>
  <c r="G8039" i="3"/>
  <c r="M8038" i="3"/>
  <c r="L8038" i="3"/>
  <c r="J8038" i="3"/>
  <c r="K8038" i="3" s="1"/>
  <c r="H8038" i="3"/>
  <c r="G8038" i="3"/>
  <c r="M8037" i="3"/>
  <c r="L8037" i="3"/>
  <c r="J8037" i="3"/>
  <c r="K8037" i="3" s="1"/>
  <c r="H8037" i="3"/>
  <c r="G8037" i="3"/>
  <c r="M8036" i="3"/>
  <c r="L8036" i="3"/>
  <c r="J8036" i="3"/>
  <c r="K8036" i="3" s="1"/>
  <c r="H8036" i="3"/>
  <c r="G8036" i="3"/>
  <c r="I8036" i="3" s="1"/>
  <c r="M8035" i="3"/>
  <c r="L8035" i="3"/>
  <c r="J8035" i="3"/>
  <c r="K8035" i="3" s="1"/>
  <c r="H8035" i="3"/>
  <c r="G8035" i="3"/>
  <c r="M8034" i="3"/>
  <c r="L8034" i="3"/>
  <c r="J8034" i="3"/>
  <c r="K8034" i="3" s="1"/>
  <c r="H8034" i="3"/>
  <c r="G8034" i="3"/>
  <c r="M8033" i="3"/>
  <c r="L8033" i="3"/>
  <c r="J8033" i="3"/>
  <c r="K8033" i="3" s="1"/>
  <c r="H8033" i="3"/>
  <c r="G8033" i="3"/>
  <c r="M8032" i="3"/>
  <c r="L8032" i="3"/>
  <c r="J8032" i="3"/>
  <c r="K8032" i="3" s="1"/>
  <c r="H8032" i="3"/>
  <c r="G8032" i="3"/>
  <c r="M8031" i="3"/>
  <c r="L8031" i="3"/>
  <c r="J8031" i="3"/>
  <c r="K8031" i="3" s="1"/>
  <c r="H8031" i="3"/>
  <c r="G8031" i="3"/>
  <c r="M8030" i="3"/>
  <c r="L8030" i="3"/>
  <c r="J8030" i="3"/>
  <c r="K8030" i="3" s="1"/>
  <c r="H8030" i="3"/>
  <c r="G8030" i="3"/>
  <c r="M8029" i="3"/>
  <c r="L8029" i="3"/>
  <c r="J8029" i="3"/>
  <c r="K8029" i="3" s="1"/>
  <c r="H8029" i="3"/>
  <c r="I8029" i="3" s="1"/>
  <c r="G8029" i="3"/>
  <c r="M8028" i="3"/>
  <c r="L8028" i="3"/>
  <c r="J8028" i="3"/>
  <c r="K8028" i="3" s="1"/>
  <c r="H8028" i="3"/>
  <c r="G8028" i="3"/>
  <c r="M8027" i="3"/>
  <c r="L8027" i="3"/>
  <c r="J8027" i="3"/>
  <c r="K8027" i="3" s="1"/>
  <c r="H8027" i="3"/>
  <c r="G8027" i="3"/>
  <c r="M8026" i="3"/>
  <c r="L8026" i="3"/>
  <c r="J8026" i="3"/>
  <c r="K8026" i="3" s="1"/>
  <c r="H8026" i="3"/>
  <c r="G8026" i="3"/>
  <c r="M8025" i="3"/>
  <c r="L8025" i="3"/>
  <c r="J8025" i="3"/>
  <c r="K8025" i="3" s="1"/>
  <c r="H8025" i="3"/>
  <c r="I8025" i="3" s="1"/>
  <c r="G8025" i="3"/>
  <c r="M8024" i="3"/>
  <c r="L8024" i="3"/>
  <c r="J8024" i="3"/>
  <c r="K8024" i="3" s="1"/>
  <c r="H8024" i="3"/>
  <c r="G8024" i="3"/>
  <c r="M8023" i="3"/>
  <c r="L8023" i="3"/>
  <c r="J8023" i="3"/>
  <c r="K8023" i="3" s="1"/>
  <c r="H8023" i="3"/>
  <c r="G8023" i="3"/>
  <c r="M8022" i="3"/>
  <c r="L8022" i="3"/>
  <c r="J8022" i="3"/>
  <c r="K8022" i="3" s="1"/>
  <c r="H8022" i="3"/>
  <c r="G8022" i="3"/>
  <c r="M8021" i="3"/>
  <c r="L8021" i="3"/>
  <c r="J8021" i="3"/>
  <c r="K8021" i="3" s="1"/>
  <c r="H8021" i="3"/>
  <c r="I8021" i="3" s="1"/>
  <c r="G8021" i="3"/>
  <c r="M8020" i="3"/>
  <c r="L8020" i="3"/>
  <c r="J8020" i="3"/>
  <c r="K8020" i="3" s="1"/>
  <c r="H8020" i="3"/>
  <c r="G8020" i="3"/>
  <c r="M8019" i="3"/>
  <c r="L8019" i="3"/>
  <c r="J8019" i="3"/>
  <c r="K8019" i="3" s="1"/>
  <c r="H8019" i="3"/>
  <c r="G8019" i="3"/>
  <c r="M8018" i="3"/>
  <c r="L8018" i="3"/>
  <c r="J8018" i="3"/>
  <c r="K8018" i="3" s="1"/>
  <c r="H8018" i="3"/>
  <c r="G8018" i="3"/>
  <c r="M8065" i="3"/>
  <c r="L8065" i="3"/>
  <c r="J8065" i="3"/>
  <c r="K8065" i="3" s="1"/>
  <c r="H8065" i="3"/>
  <c r="G8065" i="3"/>
  <c r="M8064" i="3"/>
  <c r="L8064" i="3"/>
  <c r="J8064" i="3"/>
  <c r="K8064" i="3" s="1"/>
  <c r="H8064" i="3"/>
  <c r="G8064" i="3"/>
  <c r="M8063" i="3"/>
  <c r="L8063" i="3"/>
  <c r="J8063" i="3"/>
  <c r="K8063" i="3" s="1"/>
  <c r="H8063" i="3"/>
  <c r="G8063" i="3"/>
  <c r="M8062" i="3"/>
  <c r="L8062" i="3"/>
  <c r="J8062" i="3"/>
  <c r="K8062" i="3" s="1"/>
  <c r="H8062" i="3"/>
  <c r="G8062" i="3"/>
  <c r="I8062" i="3" s="1"/>
  <c r="M8061" i="3"/>
  <c r="L8061" i="3"/>
  <c r="J8061" i="3"/>
  <c r="K8061" i="3" s="1"/>
  <c r="H8061" i="3"/>
  <c r="I8061" i="3" s="1"/>
  <c r="G8061" i="3"/>
  <c r="M8060" i="3"/>
  <c r="L8060" i="3"/>
  <c r="K8060" i="3"/>
  <c r="J8060" i="3"/>
  <c r="H8060" i="3"/>
  <c r="G8060" i="3"/>
  <c r="M8059" i="3"/>
  <c r="L8059" i="3"/>
  <c r="J8059" i="3"/>
  <c r="K8059" i="3" s="1"/>
  <c r="H8059" i="3"/>
  <c r="G8059" i="3"/>
  <c r="I8059" i="3" s="1"/>
  <c r="M8058" i="3"/>
  <c r="L8058" i="3"/>
  <c r="J8058" i="3"/>
  <c r="K8058" i="3" s="1"/>
  <c r="H8058" i="3"/>
  <c r="G8058" i="3"/>
  <c r="M8057" i="3"/>
  <c r="L8057" i="3"/>
  <c r="J8057" i="3"/>
  <c r="K8057" i="3" s="1"/>
  <c r="H8057" i="3"/>
  <c r="G8057" i="3"/>
  <c r="M8056" i="3"/>
  <c r="L8056" i="3"/>
  <c r="J8056" i="3"/>
  <c r="K8056" i="3" s="1"/>
  <c r="H8056" i="3"/>
  <c r="G8056" i="3"/>
  <c r="I8056" i="3" s="1"/>
  <c r="M8055" i="3"/>
  <c r="L8055" i="3"/>
  <c r="J8055" i="3"/>
  <c r="K8055" i="3" s="1"/>
  <c r="H8055" i="3"/>
  <c r="G8055" i="3"/>
  <c r="M8054" i="3"/>
  <c r="L8054" i="3"/>
  <c r="J8054" i="3"/>
  <c r="K8054" i="3" s="1"/>
  <c r="H8054" i="3"/>
  <c r="G8054" i="3"/>
  <c r="I8054" i="3" s="1"/>
  <c r="M8053" i="3"/>
  <c r="L8053" i="3"/>
  <c r="J8053" i="3"/>
  <c r="K8053" i="3" s="1"/>
  <c r="H8053" i="3"/>
  <c r="I8053" i="3" s="1"/>
  <c r="G8053" i="3"/>
  <c r="M8052" i="3"/>
  <c r="L8052" i="3"/>
  <c r="K8052" i="3"/>
  <c r="J8052" i="3"/>
  <c r="H8052" i="3"/>
  <c r="G8052" i="3"/>
  <c r="M8051" i="3"/>
  <c r="L8051" i="3"/>
  <c r="J8051" i="3"/>
  <c r="K8051" i="3" s="1"/>
  <c r="H8051" i="3"/>
  <c r="G8051" i="3"/>
  <c r="I8051" i="3" s="1"/>
  <c r="M8050" i="3"/>
  <c r="L8050" i="3"/>
  <c r="J8050" i="3"/>
  <c r="K8050" i="3" s="1"/>
  <c r="H8050" i="3"/>
  <c r="G8050" i="3"/>
  <c r="M8049" i="3"/>
  <c r="L8049" i="3"/>
  <c r="J8049" i="3"/>
  <c r="K8049" i="3" s="1"/>
  <c r="H8049" i="3"/>
  <c r="G8049" i="3"/>
  <c r="M8048" i="3"/>
  <c r="L8048" i="3"/>
  <c r="J8048" i="3"/>
  <c r="K8048" i="3" s="1"/>
  <c r="H8048" i="3"/>
  <c r="I8048" i="3" s="1"/>
  <c r="G8048" i="3"/>
  <c r="M8047" i="3"/>
  <c r="L8047" i="3"/>
  <c r="K8047" i="3"/>
  <c r="J8047" i="3"/>
  <c r="H8047" i="3"/>
  <c r="G8047" i="3"/>
  <c r="M8046" i="3"/>
  <c r="L8046" i="3"/>
  <c r="K8046" i="3"/>
  <c r="J8046" i="3"/>
  <c r="H8046" i="3"/>
  <c r="G8046" i="3"/>
  <c r="M8045" i="3"/>
  <c r="L8045" i="3"/>
  <c r="J8045" i="3"/>
  <c r="K8045" i="3" s="1"/>
  <c r="H8045" i="3"/>
  <c r="G8045" i="3"/>
  <c r="M8044" i="3"/>
  <c r="L8044" i="3"/>
  <c r="J8044" i="3"/>
  <c r="K8044" i="3" s="1"/>
  <c r="H8044" i="3"/>
  <c r="I8044" i="3" s="1"/>
  <c r="G8044" i="3"/>
  <c r="M8043" i="3"/>
  <c r="L8043" i="3"/>
  <c r="K8043" i="3"/>
  <c r="J8043" i="3"/>
  <c r="H8043" i="3"/>
  <c r="G8043" i="3"/>
  <c r="M8042" i="3"/>
  <c r="L8042" i="3"/>
  <c r="K8042" i="3"/>
  <c r="J8042" i="3"/>
  <c r="H8042" i="3"/>
  <c r="G8042" i="3"/>
  <c r="M8089" i="3"/>
  <c r="L8089" i="3"/>
  <c r="J8089" i="3"/>
  <c r="K8089" i="3" s="1"/>
  <c r="H8089" i="3"/>
  <c r="G8089" i="3"/>
  <c r="M8088" i="3"/>
  <c r="L8088" i="3"/>
  <c r="J8088" i="3"/>
  <c r="K8088" i="3" s="1"/>
  <c r="H8088" i="3"/>
  <c r="G8088" i="3"/>
  <c r="M8087" i="3"/>
  <c r="L8087" i="3"/>
  <c r="J8087" i="3"/>
  <c r="K8087" i="3" s="1"/>
  <c r="H8087" i="3"/>
  <c r="G8087" i="3"/>
  <c r="M8086" i="3"/>
  <c r="L8086" i="3"/>
  <c r="J8086" i="3"/>
  <c r="K8086" i="3" s="1"/>
  <c r="H8086" i="3"/>
  <c r="G8086" i="3"/>
  <c r="M8085" i="3"/>
  <c r="L8085" i="3"/>
  <c r="J8085" i="3"/>
  <c r="K8085" i="3" s="1"/>
  <c r="H8085" i="3"/>
  <c r="G8085" i="3"/>
  <c r="M8084" i="3"/>
  <c r="L8084" i="3"/>
  <c r="J8084" i="3"/>
  <c r="K8084" i="3" s="1"/>
  <c r="H8084" i="3"/>
  <c r="G8084" i="3"/>
  <c r="M8083" i="3"/>
  <c r="L8083" i="3"/>
  <c r="J8083" i="3"/>
  <c r="K8083" i="3" s="1"/>
  <c r="H8083" i="3"/>
  <c r="G8083" i="3"/>
  <c r="M8082" i="3"/>
  <c r="L8082" i="3"/>
  <c r="J8082" i="3"/>
  <c r="K8082" i="3" s="1"/>
  <c r="H8082" i="3"/>
  <c r="I8082" i="3" s="1"/>
  <c r="G8082" i="3"/>
  <c r="M8081" i="3"/>
  <c r="L8081" i="3"/>
  <c r="J8081" i="3"/>
  <c r="K8081" i="3" s="1"/>
  <c r="H8081" i="3"/>
  <c r="G8081" i="3"/>
  <c r="I8081" i="3" s="1"/>
  <c r="M8080" i="3"/>
  <c r="L8080" i="3"/>
  <c r="J8080" i="3"/>
  <c r="K8080" i="3" s="1"/>
  <c r="H8080" i="3"/>
  <c r="G8080" i="3"/>
  <c r="M8079" i="3"/>
  <c r="L8079" i="3"/>
  <c r="J8079" i="3"/>
  <c r="K8079" i="3" s="1"/>
  <c r="H8079" i="3"/>
  <c r="G8079" i="3"/>
  <c r="M8078" i="3"/>
  <c r="L8078" i="3"/>
  <c r="J8078" i="3"/>
  <c r="K8078" i="3" s="1"/>
  <c r="H8078" i="3"/>
  <c r="G8078" i="3"/>
  <c r="M8077" i="3"/>
  <c r="L8077" i="3"/>
  <c r="J8077" i="3"/>
  <c r="K8077" i="3" s="1"/>
  <c r="H8077" i="3"/>
  <c r="G8077" i="3"/>
  <c r="M8076" i="3"/>
  <c r="L8076" i="3"/>
  <c r="J8076" i="3"/>
  <c r="K8076" i="3" s="1"/>
  <c r="H8076" i="3"/>
  <c r="G8076" i="3"/>
  <c r="I8076" i="3" s="1"/>
  <c r="M8075" i="3"/>
  <c r="L8075" i="3"/>
  <c r="J8075" i="3"/>
  <c r="K8075" i="3" s="1"/>
  <c r="H8075" i="3"/>
  <c r="G8075" i="3"/>
  <c r="M8074" i="3"/>
  <c r="L8074" i="3"/>
  <c r="K8074" i="3"/>
  <c r="J8074" i="3"/>
  <c r="H8074" i="3"/>
  <c r="G8074" i="3"/>
  <c r="M8073" i="3"/>
  <c r="L8073" i="3"/>
  <c r="J8073" i="3"/>
  <c r="K8073" i="3" s="1"/>
  <c r="H8073" i="3"/>
  <c r="G8073" i="3"/>
  <c r="I8073" i="3" s="1"/>
  <c r="M8072" i="3"/>
  <c r="L8072" i="3"/>
  <c r="J8072" i="3"/>
  <c r="K8072" i="3" s="1"/>
  <c r="H8072" i="3"/>
  <c r="G8072" i="3"/>
  <c r="M8071" i="3"/>
  <c r="L8071" i="3"/>
  <c r="J8071" i="3"/>
  <c r="K8071" i="3" s="1"/>
  <c r="H8071" i="3"/>
  <c r="G8071" i="3"/>
  <c r="I8071" i="3" s="1"/>
  <c r="M8070" i="3"/>
  <c r="L8070" i="3"/>
  <c r="J8070" i="3"/>
  <c r="K8070" i="3" s="1"/>
  <c r="H8070" i="3"/>
  <c r="G8070" i="3"/>
  <c r="M8069" i="3"/>
  <c r="L8069" i="3"/>
  <c r="J8069" i="3"/>
  <c r="K8069" i="3" s="1"/>
  <c r="H8069" i="3"/>
  <c r="G8069" i="3"/>
  <c r="I8069" i="3" s="1"/>
  <c r="M8068" i="3"/>
  <c r="L8068" i="3"/>
  <c r="J8068" i="3"/>
  <c r="K8068" i="3" s="1"/>
  <c r="H8068" i="3"/>
  <c r="G8068" i="3"/>
  <c r="M8067" i="3"/>
  <c r="L8067" i="3"/>
  <c r="J8067" i="3"/>
  <c r="K8067" i="3" s="1"/>
  <c r="H8067" i="3"/>
  <c r="G8067" i="3"/>
  <c r="M8066" i="3"/>
  <c r="L8066" i="3"/>
  <c r="J8066" i="3"/>
  <c r="K8066" i="3" s="1"/>
  <c r="H8066" i="3"/>
  <c r="G8066" i="3"/>
  <c r="I8066" i="3" s="1"/>
  <c r="M8113" i="3"/>
  <c r="L8113" i="3"/>
  <c r="J8113" i="3"/>
  <c r="K8113" i="3" s="1"/>
  <c r="H8113" i="3"/>
  <c r="G8113" i="3"/>
  <c r="M8112" i="3"/>
  <c r="L8112" i="3"/>
  <c r="J8112" i="3"/>
  <c r="K8112" i="3" s="1"/>
  <c r="H8112" i="3"/>
  <c r="G8112" i="3"/>
  <c r="I8112" i="3" s="1"/>
  <c r="M8111" i="3"/>
  <c r="L8111" i="3"/>
  <c r="J8111" i="3"/>
  <c r="K8111" i="3" s="1"/>
  <c r="H8111" i="3"/>
  <c r="G8111" i="3"/>
  <c r="M8110" i="3"/>
  <c r="L8110" i="3"/>
  <c r="J8110" i="3"/>
  <c r="K8110" i="3" s="1"/>
  <c r="H8110" i="3"/>
  <c r="G8110" i="3"/>
  <c r="I8110" i="3" s="1"/>
  <c r="M8109" i="3"/>
  <c r="L8109" i="3"/>
  <c r="J8109" i="3"/>
  <c r="K8109" i="3" s="1"/>
  <c r="H8109" i="3"/>
  <c r="G8109" i="3"/>
  <c r="M8108" i="3"/>
  <c r="L8108" i="3"/>
  <c r="J8108" i="3"/>
  <c r="K8108" i="3" s="1"/>
  <c r="H8108" i="3"/>
  <c r="I8108" i="3" s="1"/>
  <c r="G8108" i="3"/>
  <c r="M8107" i="3"/>
  <c r="L8107" i="3"/>
  <c r="J8107" i="3"/>
  <c r="K8107" i="3" s="1"/>
  <c r="H8107" i="3"/>
  <c r="G8107" i="3"/>
  <c r="I8107" i="3" s="1"/>
  <c r="M8106" i="3"/>
  <c r="L8106" i="3"/>
  <c r="J8106" i="3"/>
  <c r="K8106" i="3" s="1"/>
  <c r="H8106" i="3"/>
  <c r="G8106" i="3"/>
  <c r="M8105" i="3"/>
  <c r="L8105" i="3"/>
  <c r="J8105" i="3"/>
  <c r="K8105" i="3" s="1"/>
  <c r="H8105" i="3"/>
  <c r="G8105" i="3"/>
  <c r="I8105" i="3" s="1"/>
  <c r="M8104" i="3"/>
  <c r="L8104" i="3"/>
  <c r="J8104" i="3"/>
  <c r="K8104" i="3" s="1"/>
  <c r="H8104" i="3"/>
  <c r="G8104" i="3"/>
  <c r="I8104" i="3" s="1"/>
  <c r="M8103" i="3"/>
  <c r="L8103" i="3"/>
  <c r="J8103" i="3"/>
  <c r="K8103" i="3" s="1"/>
  <c r="H8103" i="3"/>
  <c r="G8103" i="3"/>
  <c r="M8102" i="3"/>
  <c r="L8102" i="3"/>
  <c r="J8102" i="3"/>
  <c r="K8102" i="3" s="1"/>
  <c r="H8102" i="3"/>
  <c r="G8102" i="3"/>
  <c r="I8102" i="3" s="1"/>
  <c r="M8101" i="3"/>
  <c r="L8101" i="3"/>
  <c r="J8101" i="3"/>
  <c r="K8101" i="3" s="1"/>
  <c r="H8101" i="3"/>
  <c r="G8101" i="3"/>
  <c r="M8100" i="3"/>
  <c r="L8100" i="3"/>
  <c r="K8100" i="3"/>
  <c r="J8100" i="3"/>
  <c r="H8100" i="3"/>
  <c r="G8100" i="3"/>
  <c r="M8099" i="3"/>
  <c r="L8099" i="3"/>
  <c r="J8099" i="3"/>
  <c r="K8099" i="3" s="1"/>
  <c r="H8099" i="3"/>
  <c r="G8099" i="3"/>
  <c r="M8098" i="3"/>
  <c r="L8098" i="3"/>
  <c r="J8098" i="3"/>
  <c r="K8098" i="3" s="1"/>
  <c r="H8098" i="3"/>
  <c r="G8098" i="3"/>
  <c r="I8098" i="3" s="1"/>
  <c r="M8097" i="3"/>
  <c r="L8097" i="3"/>
  <c r="J8097" i="3"/>
  <c r="K8097" i="3" s="1"/>
  <c r="H8097" i="3"/>
  <c r="G8097" i="3"/>
  <c r="M8096" i="3"/>
  <c r="L8096" i="3"/>
  <c r="K8096" i="3"/>
  <c r="J8096" i="3"/>
  <c r="H8096" i="3"/>
  <c r="G8096" i="3"/>
  <c r="M8095" i="3"/>
  <c r="L8095" i="3"/>
  <c r="J8095" i="3"/>
  <c r="K8095" i="3" s="1"/>
  <c r="H8095" i="3"/>
  <c r="G8095" i="3"/>
  <c r="I8095" i="3" s="1"/>
  <c r="M8094" i="3"/>
  <c r="L8094" i="3"/>
  <c r="J8094" i="3"/>
  <c r="K8094" i="3" s="1"/>
  <c r="H8094" i="3"/>
  <c r="G8094" i="3"/>
  <c r="M8093" i="3"/>
  <c r="L8093" i="3"/>
  <c r="J8093" i="3"/>
  <c r="K8093" i="3" s="1"/>
  <c r="H8093" i="3"/>
  <c r="G8093" i="3"/>
  <c r="M8092" i="3"/>
  <c r="L8092" i="3"/>
  <c r="J8092" i="3"/>
  <c r="K8092" i="3" s="1"/>
  <c r="H8092" i="3"/>
  <c r="G8092" i="3"/>
  <c r="I8092" i="3" s="1"/>
  <c r="M8091" i="3"/>
  <c r="L8091" i="3"/>
  <c r="J8091" i="3"/>
  <c r="K8091" i="3" s="1"/>
  <c r="H8091" i="3"/>
  <c r="G8091" i="3"/>
  <c r="M8090" i="3"/>
  <c r="L8090" i="3"/>
  <c r="J8090" i="3"/>
  <c r="K8090" i="3" s="1"/>
  <c r="H8090" i="3"/>
  <c r="G8090" i="3"/>
  <c r="M8137" i="3"/>
  <c r="L8137" i="3"/>
  <c r="J8137" i="3"/>
  <c r="K8137" i="3" s="1"/>
  <c r="H8137" i="3"/>
  <c r="G8137" i="3"/>
  <c r="M8136" i="3"/>
  <c r="L8136" i="3"/>
  <c r="J8136" i="3"/>
  <c r="K8136" i="3" s="1"/>
  <c r="H8136" i="3"/>
  <c r="I8136" i="3" s="1"/>
  <c r="G8136" i="3"/>
  <c r="M8135" i="3"/>
  <c r="L8135" i="3"/>
  <c r="J8135" i="3"/>
  <c r="K8135" i="3" s="1"/>
  <c r="H8135" i="3"/>
  <c r="G8135" i="3"/>
  <c r="I8135" i="3" s="1"/>
  <c r="M8134" i="3"/>
  <c r="L8134" i="3"/>
  <c r="J8134" i="3"/>
  <c r="K8134" i="3" s="1"/>
  <c r="H8134" i="3"/>
  <c r="G8134" i="3"/>
  <c r="M8133" i="3"/>
  <c r="L8133" i="3"/>
  <c r="J8133" i="3"/>
  <c r="K8133" i="3" s="1"/>
  <c r="H8133" i="3"/>
  <c r="G8133" i="3"/>
  <c r="M8132" i="3"/>
  <c r="L8132" i="3"/>
  <c r="J8132" i="3"/>
  <c r="K8132" i="3" s="1"/>
  <c r="H8132" i="3"/>
  <c r="G8132" i="3"/>
  <c r="I8132" i="3" s="1"/>
  <c r="M8131" i="3"/>
  <c r="L8131" i="3"/>
  <c r="J8131" i="3"/>
  <c r="K8131" i="3" s="1"/>
  <c r="H8131" i="3"/>
  <c r="G8131" i="3"/>
  <c r="M8130" i="3"/>
  <c r="L8130" i="3"/>
  <c r="J8130" i="3"/>
  <c r="K8130" i="3" s="1"/>
  <c r="H8130" i="3"/>
  <c r="G8130" i="3"/>
  <c r="M8129" i="3"/>
  <c r="L8129" i="3"/>
  <c r="J8129" i="3"/>
  <c r="K8129" i="3" s="1"/>
  <c r="H8129" i="3"/>
  <c r="I8129" i="3" s="1"/>
  <c r="G8129" i="3"/>
  <c r="M8128" i="3"/>
  <c r="L8128" i="3"/>
  <c r="K8128" i="3"/>
  <c r="J8128" i="3"/>
  <c r="H8128" i="3"/>
  <c r="G8128" i="3"/>
  <c r="M8127" i="3"/>
  <c r="L8127" i="3"/>
  <c r="K8127" i="3"/>
  <c r="J8127" i="3"/>
  <c r="H8127" i="3"/>
  <c r="G8127" i="3"/>
  <c r="M8126" i="3"/>
  <c r="L8126" i="3"/>
  <c r="J8126" i="3"/>
  <c r="K8126" i="3" s="1"/>
  <c r="H8126" i="3"/>
  <c r="G8126" i="3"/>
  <c r="I8126" i="3" s="1"/>
  <c r="M8125" i="3"/>
  <c r="L8125" i="3"/>
  <c r="J8125" i="3"/>
  <c r="K8125" i="3" s="1"/>
  <c r="H8125" i="3"/>
  <c r="G8125" i="3"/>
  <c r="M8124" i="3"/>
  <c r="L8124" i="3"/>
  <c r="J8124" i="3"/>
  <c r="K8124" i="3" s="1"/>
  <c r="H8124" i="3"/>
  <c r="G8124" i="3"/>
  <c r="I8124" i="3" s="1"/>
  <c r="M8123" i="3"/>
  <c r="L8123" i="3"/>
  <c r="J8123" i="3"/>
  <c r="K8123" i="3" s="1"/>
  <c r="H8123" i="3"/>
  <c r="G8123" i="3"/>
  <c r="M8122" i="3"/>
  <c r="L8122" i="3"/>
  <c r="K8122" i="3"/>
  <c r="J8122" i="3"/>
  <c r="H8122" i="3"/>
  <c r="G8122" i="3"/>
  <c r="M8121" i="3"/>
  <c r="L8121" i="3"/>
  <c r="J8121" i="3"/>
  <c r="K8121" i="3" s="1"/>
  <c r="H8121" i="3"/>
  <c r="I8121" i="3" s="1"/>
  <c r="G8121" i="3"/>
  <c r="M8120" i="3"/>
  <c r="L8120" i="3"/>
  <c r="J8120" i="3"/>
  <c r="K8120" i="3" s="1"/>
  <c r="H8120" i="3"/>
  <c r="G8120" i="3"/>
  <c r="M8119" i="3"/>
  <c r="L8119" i="3"/>
  <c r="J8119" i="3"/>
  <c r="K8119" i="3" s="1"/>
  <c r="H8119" i="3"/>
  <c r="G8119" i="3"/>
  <c r="M8118" i="3"/>
  <c r="L8118" i="3"/>
  <c r="J8118" i="3"/>
  <c r="K8118" i="3" s="1"/>
  <c r="H8118" i="3"/>
  <c r="G8118" i="3"/>
  <c r="M8117" i="3"/>
  <c r="L8117" i="3"/>
  <c r="J8117" i="3"/>
  <c r="K8117" i="3" s="1"/>
  <c r="H8117" i="3"/>
  <c r="I8117" i="3" s="1"/>
  <c r="G8117" i="3"/>
  <c r="M8116" i="3"/>
  <c r="L8116" i="3"/>
  <c r="J8116" i="3"/>
  <c r="K8116" i="3" s="1"/>
  <c r="H8116" i="3"/>
  <c r="G8116" i="3"/>
  <c r="I8116" i="3" s="1"/>
  <c r="M8115" i="3"/>
  <c r="L8115" i="3"/>
  <c r="J8115" i="3"/>
  <c r="K8115" i="3" s="1"/>
  <c r="H8115" i="3"/>
  <c r="G8115" i="3"/>
  <c r="M8114" i="3"/>
  <c r="L8114" i="3"/>
  <c r="K8114" i="3"/>
  <c r="J8114" i="3"/>
  <c r="H8114" i="3"/>
  <c r="G8114" i="3"/>
  <c r="M8161" i="3"/>
  <c r="L8161" i="3"/>
  <c r="J8161" i="3"/>
  <c r="K8161" i="3" s="1"/>
  <c r="H8161" i="3"/>
  <c r="G8161" i="3"/>
  <c r="M8160" i="3"/>
  <c r="L8160" i="3"/>
  <c r="J8160" i="3"/>
  <c r="K8160" i="3" s="1"/>
  <c r="H8160" i="3"/>
  <c r="G8160" i="3"/>
  <c r="I8160" i="3" s="1"/>
  <c r="M8159" i="3"/>
  <c r="L8159" i="3"/>
  <c r="J8159" i="3"/>
  <c r="K8159" i="3" s="1"/>
  <c r="H8159" i="3"/>
  <c r="G8159" i="3"/>
  <c r="M8158" i="3"/>
  <c r="L8158" i="3"/>
  <c r="J8158" i="3"/>
  <c r="K8158" i="3" s="1"/>
  <c r="H8158" i="3"/>
  <c r="G8158" i="3"/>
  <c r="M8157" i="3"/>
  <c r="L8157" i="3"/>
  <c r="J8157" i="3"/>
  <c r="K8157" i="3" s="1"/>
  <c r="H8157" i="3"/>
  <c r="G8157" i="3"/>
  <c r="M8156" i="3"/>
  <c r="L8156" i="3"/>
  <c r="J8156" i="3"/>
  <c r="K8156" i="3" s="1"/>
  <c r="H8156" i="3"/>
  <c r="G8156" i="3"/>
  <c r="I8156" i="3" s="1"/>
  <c r="M8155" i="3"/>
  <c r="L8155" i="3"/>
  <c r="J8155" i="3"/>
  <c r="K8155" i="3" s="1"/>
  <c r="H8155" i="3"/>
  <c r="I8155" i="3" s="1"/>
  <c r="G8155" i="3"/>
  <c r="M8154" i="3"/>
  <c r="L8154" i="3"/>
  <c r="K8154" i="3"/>
  <c r="J8154" i="3"/>
  <c r="H8154" i="3"/>
  <c r="G8154" i="3"/>
  <c r="M8153" i="3"/>
  <c r="L8153" i="3"/>
  <c r="J8153" i="3"/>
  <c r="K8153" i="3" s="1"/>
  <c r="H8153" i="3"/>
  <c r="G8153" i="3"/>
  <c r="M8152" i="3"/>
  <c r="L8152" i="3"/>
  <c r="J8152" i="3"/>
  <c r="K8152" i="3" s="1"/>
  <c r="I8152" i="3"/>
  <c r="H8152" i="3"/>
  <c r="G8152" i="3"/>
  <c r="M8151" i="3"/>
  <c r="L8151" i="3"/>
  <c r="J8151" i="3"/>
  <c r="K8151" i="3" s="1"/>
  <c r="H8151" i="3"/>
  <c r="G8151" i="3"/>
  <c r="M8150" i="3"/>
  <c r="L8150" i="3"/>
  <c r="J8150" i="3"/>
  <c r="K8150" i="3" s="1"/>
  <c r="H8150" i="3"/>
  <c r="G8150" i="3"/>
  <c r="M8149" i="3"/>
  <c r="L8149" i="3"/>
  <c r="J8149" i="3"/>
  <c r="K8149" i="3" s="1"/>
  <c r="H8149" i="3"/>
  <c r="G8149" i="3"/>
  <c r="M8148" i="3"/>
  <c r="L8148" i="3"/>
  <c r="J8148" i="3"/>
  <c r="K8148" i="3" s="1"/>
  <c r="H8148" i="3"/>
  <c r="G8148" i="3"/>
  <c r="I8148" i="3" s="1"/>
  <c r="M8147" i="3"/>
  <c r="L8147" i="3"/>
  <c r="J8147" i="3"/>
  <c r="K8147" i="3" s="1"/>
  <c r="H8147" i="3"/>
  <c r="I8147" i="3" s="1"/>
  <c r="G8147" i="3"/>
  <c r="M8146" i="3"/>
  <c r="L8146" i="3"/>
  <c r="K8146" i="3"/>
  <c r="J8146" i="3"/>
  <c r="H8146" i="3"/>
  <c r="G8146" i="3"/>
  <c r="M8145" i="3"/>
  <c r="L8145" i="3"/>
  <c r="J8145" i="3"/>
  <c r="K8145" i="3" s="1"/>
  <c r="H8145" i="3"/>
  <c r="G8145" i="3"/>
  <c r="M8144" i="3"/>
  <c r="L8144" i="3"/>
  <c r="J8144" i="3"/>
  <c r="K8144" i="3" s="1"/>
  <c r="H8144" i="3"/>
  <c r="G8144" i="3"/>
  <c r="I8144" i="3" s="1"/>
  <c r="M8143" i="3"/>
  <c r="L8143" i="3"/>
  <c r="J8143" i="3"/>
  <c r="K8143" i="3" s="1"/>
  <c r="H8143" i="3"/>
  <c r="G8143" i="3"/>
  <c r="M8142" i="3"/>
  <c r="L8142" i="3"/>
  <c r="J8142" i="3"/>
  <c r="K8142" i="3" s="1"/>
  <c r="H8142" i="3"/>
  <c r="G8142" i="3"/>
  <c r="M8141" i="3"/>
  <c r="L8141" i="3"/>
  <c r="J8141" i="3"/>
  <c r="K8141" i="3" s="1"/>
  <c r="H8141" i="3"/>
  <c r="G8141" i="3"/>
  <c r="M8140" i="3"/>
  <c r="L8140" i="3"/>
  <c r="J8140" i="3"/>
  <c r="K8140" i="3" s="1"/>
  <c r="H8140" i="3"/>
  <c r="G8140" i="3"/>
  <c r="I8140" i="3" s="1"/>
  <c r="M8139" i="3"/>
  <c r="L8139" i="3"/>
  <c r="J8139" i="3"/>
  <c r="K8139" i="3" s="1"/>
  <c r="H8139" i="3"/>
  <c r="G8139" i="3"/>
  <c r="M8138" i="3"/>
  <c r="L8138" i="3"/>
  <c r="J8138" i="3"/>
  <c r="K8138" i="3" s="1"/>
  <c r="H8138" i="3"/>
  <c r="G8138" i="3"/>
  <c r="M8185" i="3"/>
  <c r="L8185" i="3"/>
  <c r="J8185" i="3"/>
  <c r="K8185" i="3" s="1"/>
  <c r="H8185" i="3"/>
  <c r="G8185" i="3"/>
  <c r="M8184" i="3"/>
  <c r="L8184" i="3"/>
  <c r="J8184" i="3"/>
  <c r="K8184" i="3" s="1"/>
  <c r="H8184" i="3"/>
  <c r="G8184" i="3"/>
  <c r="I8184" i="3" s="1"/>
  <c r="M8183" i="3"/>
  <c r="L8183" i="3"/>
  <c r="J8183" i="3"/>
  <c r="K8183" i="3" s="1"/>
  <c r="H8183" i="3"/>
  <c r="G8183" i="3"/>
  <c r="M8182" i="3"/>
  <c r="L8182" i="3"/>
  <c r="J8182" i="3"/>
  <c r="K8182" i="3" s="1"/>
  <c r="H8182" i="3"/>
  <c r="G8182" i="3"/>
  <c r="M8181" i="3"/>
  <c r="L8181" i="3"/>
  <c r="J8181" i="3"/>
  <c r="K8181" i="3" s="1"/>
  <c r="H8181" i="3"/>
  <c r="G8181" i="3"/>
  <c r="M8180" i="3"/>
  <c r="L8180" i="3"/>
  <c r="J8180" i="3"/>
  <c r="K8180" i="3" s="1"/>
  <c r="H8180" i="3"/>
  <c r="G8180" i="3"/>
  <c r="I8180" i="3" s="1"/>
  <c r="M8179" i="3"/>
  <c r="L8179" i="3"/>
  <c r="J8179" i="3"/>
  <c r="K8179" i="3" s="1"/>
  <c r="H8179" i="3"/>
  <c r="G8179" i="3"/>
  <c r="M8178" i="3"/>
  <c r="L8178" i="3"/>
  <c r="J8178" i="3"/>
  <c r="K8178" i="3" s="1"/>
  <c r="H8178" i="3"/>
  <c r="G8178" i="3"/>
  <c r="I8178" i="3" s="1"/>
  <c r="M8177" i="3"/>
  <c r="L8177" i="3"/>
  <c r="J8177" i="3"/>
  <c r="K8177" i="3" s="1"/>
  <c r="H8177" i="3"/>
  <c r="I8177" i="3" s="1"/>
  <c r="G8177" i="3"/>
  <c r="M8176" i="3"/>
  <c r="L8176" i="3"/>
  <c r="K8176" i="3"/>
  <c r="J8176" i="3"/>
  <c r="H8176" i="3"/>
  <c r="G8176" i="3"/>
  <c r="M8175" i="3"/>
  <c r="L8175" i="3"/>
  <c r="J8175" i="3"/>
  <c r="K8175" i="3" s="1"/>
  <c r="H8175" i="3"/>
  <c r="G8175" i="3"/>
  <c r="I8175" i="3" s="1"/>
  <c r="M8174" i="3"/>
  <c r="L8174" i="3"/>
  <c r="J8174" i="3"/>
  <c r="K8174" i="3" s="1"/>
  <c r="H8174" i="3"/>
  <c r="G8174" i="3"/>
  <c r="M8173" i="3"/>
  <c r="L8173" i="3"/>
  <c r="J8173" i="3"/>
  <c r="K8173" i="3" s="1"/>
  <c r="H8173" i="3"/>
  <c r="G8173" i="3"/>
  <c r="M8172" i="3"/>
  <c r="L8172" i="3"/>
  <c r="J8172" i="3"/>
  <c r="K8172" i="3" s="1"/>
  <c r="H8172" i="3"/>
  <c r="G8172" i="3"/>
  <c r="M8171" i="3"/>
  <c r="L8171" i="3"/>
  <c r="J8171" i="3"/>
  <c r="K8171" i="3" s="1"/>
  <c r="H8171" i="3"/>
  <c r="G8171" i="3"/>
  <c r="M8170" i="3"/>
  <c r="L8170" i="3"/>
  <c r="J8170" i="3"/>
  <c r="K8170" i="3" s="1"/>
  <c r="H8170" i="3"/>
  <c r="G8170" i="3"/>
  <c r="M8169" i="3"/>
  <c r="L8169" i="3"/>
  <c r="J8169" i="3"/>
  <c r="K8169" i="3" s="1"/>
  <c r="H8169" i="3"/>
  <c r="G8169" i="3"/>
  <c r="M8168" i="3"/>
  <c r="L8168" i="3"/>
  <c r="J8168" i="3"/>
  <c r="K8168" i="3" s="1"/>
  <c r="H8168" i="3"/>
  <c r="G8168" i="3"/>
  <c r="M8167" i="3"/>
  <c r="L8167" i="3"/>
  <c r="J8167" i="3"/>
  <c r="K8167" i="3" s="1"/>
  <c r="H8167" i="3"/>
  <c r="G8167" i="3"/>
  <c r="M8166" i="3"/>
  <c r="L8166" i="3"/>
  <c r="J8166" i="3"/>
  <c r="K8166" i="3" s="1"/>
  <c r="H8166" i="3"/>
  <c r="G8166" i="3"/>
  <c r="I8166" i="3" s="1"/>
  <c r="M8165" i="3"/>
  <c r="L8165" i="3"/>
  <c r="J8165" i="3"/>
  <c r="K8165" i="3" s="1"/>
  <c r="H8165" i="3"/>
  <c r="G8165" i="3"/>
  <c r="M8164" i="3"/>
  <c r="L8164" i="3"/>
  <c r="K8164" i="3"/>
  <c r="J8164" i="3"/>
  <c r="H8164" i="3"/>
  <c r="G8164" i="3"/>
  <c r="M8163" i="3"/>
  <c r="L8163" i="3"/>
  <c r="J8163" i="3"/>
  <c r="K8163" i="3" s="1"/>
  <c r="H8163" i="3"/>
  <c r="G8163" i="3"/>
  <c r="I8163" i="3" s="1"/>
  <c r="M8162" i="3"/>
  <c r="L8162" i="3"/>
  <c r="J8162" i="3"/>
  <c r="K8162" i="3" s="1"/>
  <c r="H8162" i="3"/>
  <c r="G8162" i="3"/>
  <c r="M8209" i="3"/>
  <c r="L8209" i="3"/>
  <c r="J8209" i="3"/>
  <c r="K8209" i="3" s="1"/>
  <c r="H8209" i="3"/>
  <c r="G8209" i="3"/>
  <c r="M8208" i="3"/>
  <c r="L8208" i="3"/>
  <c r="J8208" i="3"/>
  <c r="K8208" i="3" s="1"/>
  <c r="H8208" i="3"/>
  <c r="I8208" i="3" s="1"/>
  <c r="G8208" i="3"/>
  <c r="M8207" i="3"/>
  <c r="L8207" i="3"/>
  <c r="K8207" i="3"/>
  <c r="J8207" i="3"/>
  <c r="H8207" i="3"/>
  <c r="G8207" i="3"/>
  <c r="M8206" i="3"/>
  <c r="L8206" i="3"/>
  <c r="K8206" i="3"/>
  <c r="J8206" i="3"/>
  <c r="H8206" i="3"/>
  <c r="G8206" i="3"/>
  <c r="M8205" i="3"/>
  <c r="L8205" i="3"/>
  <c r="J8205" i="3"/>
  <c r="K8205" i="3" s="1"/>
  <c r="H8205" i="3"/>
  <c r="G8205" i="3"/>
  <c r="M8204" i="3"/>
  <c r="L8204" i="3"/>
  <c r="J8204" i="3"/>
  <c r="K8204" i="3" s="1"/>
  <c r="H8204" i="3"/>
  <c r="I8204" i="3" s="1"/>
  <c r="G8204" i="3"/>
  <c r="M8203" i="3"/>
  <c r="L8203" i="3"/>
  <c r="K8203" i="3"/>
  <c r="J8203" i="3"/>
  <c r="H8203" i="3"/>
  <c r="G8203" i="3"/>
  <c r="M8202" i="3"/>
  <c r="L8202" i="3"/>
  <c r="K8202" i="3"/>
  <c r="J8202" i="3"/>
  <c r="H8202" i="3"/>
  <c r="G8202" i="3"/>
  <c r="M8201" i="3"/>
  <c r="L8201" i="3"/>
  <c r="J8201" i="3"/>
  <c r="K8201" i="3" s="1"/>
  <c r="H8201" i="3"/>
  <c r="G8201" i="3"/>
  <c r="I8201" i="3" s="1"/>
  <c r="M8200" i="3"/>
  <c r="L8200" i="3"/>
  <c r="J8200" i="3"/>
  <c r="K8200" i="3" s="1"/>
  <c r="H8200" i="3"/>
  <c r="I8200" i="3" s="1"/>
  <c r="G8200" i="3"/>
  <c r="M8199" i="3"/>
  <c r="L8199" i="3"/>
  <c r="K8199" i="3"/>
  <c r="J8199" i="3"/>
  <c r="H8199" i="3"/>
  <c r="G8199" i="3"/>
  <c r="M8198" i="3"/>
  <c r="L8198" i="3"/>
  <c r="K8198" i="3"/>
  <c r="J8198" i="3"/>
  <c r="H8198" i="3"/>
  <c r="G8198" i="3"/>
  <c r="M8197" i="3"/>
  <c r="L8197" i="3"/>
  <c r="J8197" i="3"/>
  <c r="K8197" i="3" s="1"/>
  <c r="H8197" i="3"/>
  <c r="G8197" i="3"/>
  <c r="I8197" i="3" s="1"/>
  <c r="M8196" i="3"/>
  <c r="L8196" i="3"/>
  <c r="J8196" i="3"/>
  <c r="K8196" i="3" s="1"/>
  <c r="H8196" i="3"/>
  <c r="I8196" i="3" s="1"/>
  <c r="G8196" i="3"/>
  <c r="M8195" i="3"/>
  <c r="L8195" i="3"/>
  <c r="K8195" i="3"/>
  <c r="J8195" i="3"/>
  <c r="H8195" i="3"/>
  <c r="G8195" i="3"/>
  <c r="M8194" i="3"/>
  <c r="L8194" i="3"/>
  <c r="K8194" i="3"/>
  <c r="J8194" i="3"/>
  <c r="H8194" i="3"/>
  <c r="G8194" i="3"/>
  <c r="M8193" i="3"/>
  <c r="L8193" i="3"/>
  <c r="J8193" i="3"/>
  <c r="K8193" i="3" s="1"/>
  <c r="H8193" i="3"/>
  <c r="G8193" i="3"/>
  <c r="I8193" i="3" s="1"/>
  <c r="M8192" i="3"/>
  <c r="L8192" i="3"/>
  <c r="J8192" i="3"/>
  <c r="K8192" i="3" s="1"/>
  <c r="H8192" i="3"/>
  <c r="I8192" i="3" s="1"/>
  <c r="G8192" i="3"/>
  <c r="M8191" i="3"/>
  <c r="L8191" i="3"/>
  <c r="K8191" i="3"/>
  <c r="J8191" i="3"/>
  <c r="H8191" i="3"/>
  <c r="G8191" i="3"/>
  <c r="M8190" i="3"/>
  <c r="L8190" i="3"/>
  <c r="K8190" i="3"/>
  <c r="J8190" i="3"/>
  <c r="H8190" i="3"/>
  <c r="G8190" i="3"/>
  <c r="M8189" i="3"/>
  <c r="L8189" i="3"/>
  <c r="J8189" i="3"/>
  <c r="K8189" i="3" s="1"/>
  <c r="H8189" i="3"/>
  <c r="G8189" i="3"/>
  <c r="I8189" i="3" s="1"/>
  <c r="M8188" i="3"/>
  <c r="L8188" i="3"/>
  <c r="J8188" i="3"/>
  <c r="K8188" i="3" s="1"/>
  <c r="H8188" i="3"/>
  <c r="I8188" i="3" s="1"/>
  <c r="G8188" i="3"/>
  <c r="M8187" i="3"/>
  <c r="L8187" i="3"/>
  <c r="K8187" i="3"/>
  <c r="J8187" i="3"/>
  <c r="H8187" i="3"/>
  <c r="G8187" i="3"/>
  <c r="M8186" i="3"/>
  <c r="L8186" i="3"/>
  <c r="K8186" i="3"/>
  <c r="J8186" i="3"/>
  <c r="H8186" i="3"/>
  <c r="G8186" i="3"/>
  <c r="M8233" i="3"/>
  <c r="L8233" i="3"/>
  <c r="J8233" i="3"/>
  <c r="K8233" i="3" s="1"/>
  <c r="H8233" i="3"/>
  <c r="G8233" i="3"/>
  <c r="M8232" i="3"/>
  <c r="L8232" i="3"/>
  <c r="J8232" i="3"/>
  <c r="K8232" i="3" s="1"/>
  <c r="H8232" i="3"/>
  <c r="I8232" i="3" s="1"/>
  <c r="G8232" i="3"/>
  <c r="M8231" i="3"/>
  <c r="L8231" i="3"/>
  <c r="K8231" i="3"/>
  <c r="J8231" i="3"/>
  <c r="H8231" i="3"/>
  <c r="G8231" i="3"/>
  <c r="M8230" i="3"/>
  <c r="L8230" i="3"/>
  <c r="K8230" i="3"/>
  <c r="J8230" i="3"/>
  <c r="H8230" i="3"/>
  <c r="G8230" i="3"/>
  <c r="M8229" i="3"/>
  <c r="L8229" i="3"/>
  <c r="J8229" i="3"/>
  <c r="K8229" i="3" s="1"/>
  <c r="H8229" i="3"/>
  <c r="G8229" i="3"/>
  <c r="M8228" i="3"/>
  <c r="L8228" i="3"/>
  <c r="J8228" i="3"/>
  <c r="K8228" i="3" s="1"/>
  <c r="H8228" i="3"/>
  <c r="I8228" i="3" s="1"/>
  <c r="G8228" i="3"/>
  <c r="M8227" i="3"/>
  <c r="L8227" i="3"/>
  <c r="K8227" i="3"/>
  <c r="J8227" i="3"/>
  <c r="H8227" i="3"/>
  <c r="G8227" i="3"/>
  <c r="M8226" i="3"/>
  <c r="L8226" i="3"/>
  <c r="K8226" i="3"/>
  <c r="J8226" i="3"/>
  <c r="H8226" i="3"/>
  <c r="G8226" i="3"/>
  <c r="M8225" i="3"/>
  <c r="L8225" i="3"/>
  <c r="J8225" i="3"/>
  <c r="K8225" i="3" s="1"/>
  <c r="H8225" i="3"/>
  <c r="G8225" i="3"/>
  <c r="I8225" i="3" s="1"/>
  <c r="M8224" i="3"/>
  <c r="L8224" i="3"/>
  <c r="J8224" i="3"/>
  <c r="K8224" i="3" s="1"/>
  <c r="H8224" i="3"/>
  <c r="I8224" i="3" s="1"/>
  <c r="G8224" i="3"/>
  <c r="M8223" i="3"/>
  <c r="L8223" i="3"/>
  <c r="J8223" i="3"/>
  <c r="K8223" i="3" s="1"/>
  <c r="H8223" i="3"/>
  <c r="G8223" i="3"/>
  <c r="I8223" i="3" s="1"/>
  <c r="M8222" i="3"/>
  <c r="L8222" i="3"/>
  <c r="J8222" i="3"/>
  <c r="K8222" i="3" s="1"/>
  <c r="H8222" i="3"/>
  <c r="G8222" i="3"/>
  <c r="M8221" i="3"/>
  <c r="L8221" i="3"/>
  <c r="J8221" i="3"/>
  <c r="K8221" i="3" s="1"/>
  <c r="H8221" i="3"/>
  <c r="G8221" i="3"/>
  <c r="I8221" i="3" s="1"/>
  <c r="M8220" i="3"/>
  <c r="L8220" i="3"/>
  <c r="J8220" i="3"/>
  <c r="K8220" i="3" s="1"/>
  <c r="H8220" i="3"/>
  <c r="G8220" i="3"/>
  <c r="M8219" i="3"/>
  <c r="L8219" i="3"/>
  <c r="K8219" i="3"/>
  <c r="J8219" i="3"/>
  <c r="H8219" i="3"/>
  <c r="G8219" i="3"/>
  <c r="M8218" i="3"/>
  <c r="L8218" i="3"/>
  <c r="K8218" i="3"/>
  <c r="J8218" i="3"/>
  <c r="H8218" i="3"/>
  <c r="G8218" i="3"/>
  <c r="M8217" i="3"/>
  <c r="L8217" i="3"/>
  <c r="J8217" i="3"/>
  <c r="K8217" i="3" s="1"/>
  <c r="H8217" i="3"/>
  <c r="G8217" i="3"/>
  <c r="M8216" i="3"/>
  <c r="L8216" i="3"/>
  <c r="J8216" i="3"/>
  <c r="K8216" i="3" s="1"/>
  <c r="H8216" i="3"/>
  <c r="G8216" i="3"/>
  <c r="I8216" i="3" s="1"/>
  <c r="M8215" i="3"/>
  <c r="L8215" i="3"/>
  <c r="J8215" i="3"/>
  <c r="K8215" i="3" s="1"/>
  <c r="H8215" i="3"/>
  <c r="G8215" i="3"/>
  <c r="M8214" i="3"/>
  <c r="L8214" i="3"/>
  <c r="J8214" i="3"/>
  <c r="K8214" i="3" s="1"/>
  <c r="H8214" i="3"/>
  <c r="G8214" i="3"/>
  <c r="I8214" i="3" s="1"/>
  <c r="M8213" i="3"/>
  <c r="L8213" i="3"/>
  <c r="J8213" i="3"/>
  <c r="K8213" i="3" s="1"/>
  <c r="H8213" i="3"/>
  <c r="G8213" i="3"/>
  <c r="I8213" i="3" s="1"/>
  <c r="M8212" i="3"/>
  <c r="L8212" i="3"/>
  <c r="J8212" i="3"/>
  <c r="K8212" i="3" s="1"/>
  <c r="H8212" i="3"/>
  <c r="I8212" i="3" s="1"/>
  <c r="G8212" i="3"/>
  <c r="M8211" i="3"/>
  <c r="L8211" i="3"/>
  <c r="K8211" i="3"/>
  <c r="J8211" i="3"/>
  <c r="H8211" i="3"/>
  <c r="G8211" i="3"/>
  <c r="M8210" i="3"/>
  <c r="L8210" i="3"/>
  <c r="K8210" i="3"/>
  <c r="J8210" i="3"/>
  <c r="H8210" i="3"/>
  <c r="G8210" i="3"/>
  <c r="M8257" i="3"/>
  <c r="L8257" i="3"/>
  <c r="J8257" i="3"/>
  <c r="K8257" i="3" s="1"/>
  <c r="H8257" i="3"/>
  <c r="G8257" i="3"/>
  <c r="M8256" i="3"/>
  <c r="L8256" i="3"/>
  <c r="J8256" i="3"/>
  <c r="K8256" i="3" s="1"/>
  <c r="H8256" i="3"/>
  <c r="I8256" i="3" s="1"/>
  <c r="G8256" i="3"/>
  <c r="M8255" i="3"/>
  <c r="L8255" i="3"/>
  <c r="J8255" i="3"/>
  <c r="K8255" i="3" s="1"/>
  <c r="H8255" i="3"/>
  <c r="G8255" i="3"/>
  <c r="I8255" i="3" s="1"/>
  <c r="M8254" i="3"/>
  <c r="L8254" i="3"/>
  <c r="J8254" i="3"/>
  <c r="K8254" i="3" s="1"/>
  <c r="H8254" i="3"/>
  <c r="G8254" i="3"/>
  <c r="M8253" i="3"/>
  <c r="L8253" i="3"/>
  <c r="J8253" i="3"/>
  <c r="K8253" i="3" s="1"/>
  <c r="H8253" i="3"/>
  <c r="G8253" i="3"/>
  <c r="M8252" i="3"/>
  <c r="L8252" i="3"/>
  <c r="J8252" i="3"/>
  <c r="K8252" i="3" s="1"/>
  <c r="H8252" i="3"/>
  <c r="G8252" i="3"/>
  <c r="I8252" i="3" s="1"/>
  <c r="M8251" i="3"/>
  <c r="L8251" i="3"/>
  <c r="J8251" i="3"/>
  <c r="K8251" i="3" s="1"/>
  <c r="H8251" i="3"/>
  <c r="G8251" i="3"/>
  <c r="M8250" i="3"/>
  <c r="L8250" i="3"/>
  <c r="K8250" i="3"/>
  <c r="J8250" i="3"/>
  <c r="H8250" i="3"/>
  <c r="G8250" i="3"/>
  <c r="M8249" i="3"/>
  <c r="L8249" i="3"/>
  <c r="J8249" i="3"/>
  <c r="K8249" i="3" s="1"/>
  <c r="H8249" i="3"/>
  <c r="G8249" i="3"/>
  <c r="M8248" i="3"/>
  <c r="L8248" i="3"/>
  <c r="J8248" i="3"/>
  <c r="K8248" i="3" s="1"/>
  <c r="H8248" i="3"/>
  <c r="G8248" i="3"/>
  <c r="M8247" i="3"/>
  <c r="L8247" i="3"/>
  <c r="J8247" i="3"/>
  <c r="K8247" i="3" s="1"/>
  <c r="H8247" i="3"/>
  <c r="G8247" i="3"/>
  <c r="I8247" i="3" s="1"/>
  <c r="M8246" i="3"/>
  <c r="L8246" i="3"/>
  <c r="J8246" i="3"/>
  <c r="K8246" i="3" s="1"/>
  <c r="H8246" i="3"/>
  <c r="G8246" i="3"/>
  <c r="M8245" i="3"/>
  <c r="L8245" i="3"/>
  <c r="J8245" i="3"/>
  <c r="K8245" i="3" s="1"/>
  <c r="H8245" i="3"/>
  <c r="G8245" i="3"/>
  <c r="M8244" i="3"/>
  <c r="L8244" i="3"/>
  <c r="J8244" i="3"/>
  <c r="K8244" i="3" s="1"/>
  <c r="H8244" i="3"/>
  <c r="G8244" i="3"/>
  <c r="I8244" i="3" s="1"/>
  <c r="M8243" i="3"/>
  <c r="L8243" i="3"/>
  <c r="J8243" i="3"/>
  <c r="K8243" i="3" s="1"/>
  <c r="H8243" i="3"/>
  <c r="G8243" i="3"/>
  <c r="M8242" i="3"/>
  <c r="L8242" i="3"/>
  <c r="K8242" i="3"/>
  <c r="J8242" i="3"/>
  <c r="H8242" i="3"/>
  <c r="G8242" i="3"/>
  <c r="M8241" i="3"/>
  <c r="L8241" i="3"/>
  <c r="J8241" i="3"/>
  <c r="K8241" i="3" s="1"/>
  <c r="H8241" i="3"/>
  <c r="G8241" i="3"/>
  <c r="M8240" i="3"/>
  <c r="L8240" i="3"/>
  <c r="J8240" i="3"/>
  <c r="K8240" i="3" s="1"/>
  <c r="H8240" i="3"/>
  <c r="G8240" i="3"/>
  <c r="M8239" i="3"/>
  <c r="L8239" i="3"/>
  <c r="J8239" i="3"/>
  <c r="K8239" i="3" s="1"/>
  <c r="H8239" i="3"/>
  <c r="G8239" i="3"/>
  <c r="I8239" i="3" s="1"/>
  <c r="M8238" i="3"/>
  <c r="L8238" i="3"/>
  <c r="J8238" i="3"/>
  <c r="K8238" i="3" s="1"/>
  <c r="H8238" i="3"/>
  <c r="G8238" i="3"/>
  <c r="M8237" i="3"/>
  <c r="L8237" i="3"/>
  <c r="J8237" i="3"/>
  <c r="K8237" i="3" s="1"/>
  <c r="H8237" i="3"/>
  <c r="G8237" i="3"/>
  <c r="M8236" i="3"/>
  <c r="L8236" i="3"/>
  <c r="J8236" i="3"/>
  <c r="K8236" i="3" s="1"/>
  <c r="H8236" i="3"/>
  <c r="G8236" i="3"/>
  <c r="I8236" i="3" s="1"/>
  <c r="M8235" i="3"/>
  <c r="L8235" i="3"/>
  <c r="J8235" i="3"/>
  <c r="K8235" i="3" s="1"/>
  <c r="H8235" i="3"/>
  <c r="G8235" i="3"/>
  <c r="M8234" i="3"/>
  <c r="L8234" i="3"/>
  <c r="K8234" i="3"/>
  <c r="J8234" i="3"/>
  <c r="H8234" i="3"/>
  <c r="G8234" i="3"/>
  <c r="M8281" i="3"/>
  <c r="L8281" i="3"/>
  <c r="J8281" i="3"/>
  <c r="K8281" i="3" s="1"/>
  <c r="H8281" i="3"/>
  <c r="G8281" i="3"/>
  <c r="M8280" i="3"/>
  <c r="L8280" i="3"/>
  <c r="J8280" i="3"/>
  <c r="K8280" i="3" s="1"/>
  <c r="H8280" i="3"/>
  <c r="G8280" i="3"/>
  <c r="M8279" i="3"/>
  <c r="L8279" i="3"/>
  <c r="J8279" i="3"/>
  <c r="K8279" i="3" s="1"/>
  <c r="H8279" i="3"/>
  <c r="G8279" i="3"/>
  <c r="M8278" i="3"/>
  <c r="L8278" i="3"/>
  <c r="J8278" i="3"/>
  <c r="K8278" i="3" s="1"/>
  <c r="H8278" i="3"/>
  <c r="G8278" i="3"/>
  <c r="M8277" i="3"/>
  <c r="L8277" i="3"/>
  <c r="J8277" i="3"/>
  <c r="K8277" i="3" s="1"/>
  <c r="H8277" i="3"/>
  <c r="G8277" i="3"/>
  <c r="M8276" i="3"/>
  <c r="L8276" i="3"/>
  <c r="J8276" i="3"/>
  <c r="K8276" i="3" s="1"/>
  <c r="H8276" i="3"/>
  <c r="G8276" i="3"/>
  <c r="M8275" i="3"/>
  <c r="L8275" i="3"/>
  <c r="J8275" i="3"/>
  <c r="K8275" i="3" s="1"/>
  <c r="H8275" i="3"/>
  <c r="G8275" i="3"/>
  <c r="M8274" i="3"/>
  <c r="L8274" i="3"/>
  <c r="J8274" i="3"/>
  <c r="K8274" i="3" s="1"/>
  <c r="H8274" i="3"/>
  <c r="G8274" i="3"/>
  <c r="M8273" i="3"/>
  <c r="L8273" i="3"/>
  <c r="J8273" i="3"/>
  <c r="K8273" i="3" s="1"/>
  <c r="H8273" i="3"/>
  <c r="G8273" i="3"/>
  <c r="M8272" i="3"/>
  <c r="L8272" i="3"/>
  <c r="J8272" i="3"/>
  <c r="K8272" i="3" s="1"/>
  <c r="H8272" i="3"/>
  <c r="G8272" i="3"/>
  <c r="M8271" i="3"/>
  <c r="L8271" i="3"/>
  <c r="J8271" i="3"/>
  <c r="K8271" i="3" s="1"/>
  <c r="H8271" i="3"/>
  <c r="G8271" i="3"/>
  <c r="M8270" i="3"/>
  <c r="L8270" i="3"/>
  <c r="J8270" i="3"/>
  <c r="K8270" i="3" s="1"/>
  <c r="H8270" i="3"/>
  <c r="I8270" i="3" s="1"/>
  <c r="G8270" i="3"/>
  <c r="M8269" i="3"/>
  <c r="L8269" i="3"/>
  <c r="J8269" i="3"/>
  <c r="K8269" i="3" s="1"/>
  <c r="H8269" i="3"/>
  <c r="G8269" i="3"/>
  <c r="M8268" i="3"/>
  <c r="L8268" i="3"/>
  <c r="J8268" i="3"/>
  <c r="K8268" i="3" s="1"/>
  <c r="H8268" i="3"/>
  <c r="G8268" i="3"/>
  <c r="M8267" i="3"/>
  <c r="L8267" i="3"/>
  <c r="J8267" i="3"/>
  <c r="K8267" i="3" s="1"/>
  <c r="H8267" i="3"/>
  <c r="G8267" i="3"/>
  <c r="M8266" i="3"/>
  <c r="L8266" i="3"/>
  <c r="J8266" i="3"/>
  <c r="K8266" i="3" s="1"/>
  <c r="H8266" i="3"/>
  <c r="G8266" i="3"/>
  <c r="M8265" i="3"/>
  <c r="L8265" i="3"/>
  <c r="J8265" i="3"/>
  <c r="K8265" i="3" s="1"/>
  <c r="H8265" i="3"/>
  <c r="G8265" i="3"/>
  <c r="M8264" i="3"/>
  <c r="L8264" i="3"/>
  <c r="J8264" i="3"/>
  <c r="K8264" i="3" s="1"/>
  <c r="H8264" i="3"/>
  <c r="G8264" i="3"/>
  <c r="M8263" i="3"/>
  <c r="L8263" i="3"/>
  <c r="J8263" i="3"/>
  <c r="K8263" i="3" s="1"/>
  <c r="H8263" i="3"/>
  <c r="G8263" i="3"/>
  <c r="M8262" i="3"/>
  <c r="L8262" i="3"/>
  <c r="J8262" i="3"/>
  <c r="K8262" i="3" s="1"/>
  <c r="H8262" i="3"/>
  <c r="I8262" i="3" s="1"/>
  <c r="G8262" i="3"/>
  <c r="M8261" i="3"/>
  <c r="L8261" i="3"/>
  <c r="J8261" i="3"/>
  <c r="K8261" i="3" s="1"/>
  <c r="H8261" i="3"/>
  <c r="G8261" i="3"/>
  <c r="M8260" i="3"/>
  <c r="L8260" i="3"/>
  <c r="J8260" i="3"/>
  <c r="K8260" i="3" s="1"/>
  <c r="H8260" i="3"/>
  <c r="G8260" i="3"/>
  <c r="M8259" i="3"/>
  <c r="L8259" i="3"/>
  <c r="J8259" i="3"/>
  <c r="K8259" i="3" s="1"/>
  <c r="H8259" i="3"/>
  <c r="G8259" i="3"/>
  <c r="M8258" i="3"/>
  <c r="L8258" i="3"/>
  <c r="J8258" i="3"/>
  <c r="K8258" i="3" s="1"/>
  <c r="H8258" i="3"/>
  <c r="G8258" i="3"/>
  <c r="M8305" i="3"/>
  <c r="L8305" i="3"/>
  <c r="J8305" i="3"/>
  <c r="K8305" i="3" s="1"/>
  <c r="H8305" i="3"/>
  <c r="G8305" i="3"/>
  <c r="M8304" i="3"/>
  <c r="L8304" i="3"/>
  <c r="J8304" i="3"/>
  <c r="K8304" i="3" s="1"/>
  <c r="H8304" i="3"/>
  <c r="G8304" i="3"/>
  <c r="M8303" i="3"/>
  <c r="L8303" i="3"/>
  <c r="J8303" i="3"/>
  <c r="K8303" i="3" s="1"/>
  <c r="H8303" i="3"/>
  <c r="G8303" i="3"/>
  <c r="I8303" i="3" s="1"/>
  <c r="M8302" i="3"/>
  <c r="L8302" i="3"/>
  <c r="J8302" i="3"/>
  <c r="K8302" i="3" s="1"/>
  <c r="H8302" i="3"/>
  <c r="G8302" i="3"/>
  <c r="M8301" i="3"/>
  <c r="L8301" i="3"/>
  <c r="J8301" i="3"/>
  <c r="K8301" i="3" s="1"/>
  <c r="H8301" i="3"/>
  <c r="G8301" i="3"/>
  <c r="M8300" i="3"/>
  <c r="L8300" i="3"/>
  <c r="J8300" i="3"/>
  <c r="K8300" i="3" s="1"/>
  <c r="H8300" i="3"/>
  <c r="G8300" i="3"/>
  <c r="M8299" i="3"/>
  <c r="L8299" i="3"/>
  <c r="J8299" i="3"/>
  <c r="K8299" i="3" s="1"/>
  <c r="H8299" i="3"/>
  <c r="G8299" i="3"/>
  <c r="M8298" i="3"/>
  <c r="L8298" i="3"/>
  <c r="J8298" i="3"/>
  <c r="K8298" i="3" s="1"/>
  <c r="H8298" i="3"/>
  <c r="G8298" i="3"/>
  <c r="M8297" i="3"/>
  <c r="L8297" i="3"/>
  <c r="J8297" i="3"/>
  <c r="K8297" i="3" s="1"/>
  <c r="H8297" i="3"/>
  <c r="G8297" i="3"/>
  <c r="M8296" i="3"/>
  <c r="L8296" i="3"/>
  <c r="J8296" i="3"/>
  <c r="K8296" i="3" s="1"/>
  <c r="H8296" i="3"/>
  <c r="G8296" i="3"/>
  <c r="I8296" i="3" s="1"/>
  <c r="M8295" i="3"/>
  <c r="L8295" i="3"/>
  <c r="J8295" i="3"/>
  <c r="K8295" i="3" s="1"/>
  <c r="H8295" i="3"/>
  <c r="G8295" i="3"/>
  <c r="M8294" i="3"/>
  <c r="L8294" i="3"/>
  <c r="J8294" i="3"/>
  <c r="K8294" i="3" s="1"/>
  <c r="H8294" i="3"/>
  <c r="G8294" i="3"/>
  <c r="I8294" i="3" s="1"/>
  <c r="M8293" i="3"/>
  <c r="L8293" i="3"/>
  <c r="J8293" i="3"/>
  <c r="K8293" i="3" s="1"/>
  <c r="H8293" i="3"/>
  <c r="I8293" i="3" s="1"/>
  <c r="G8293" i="3"/>
  <c r="M8292" i="3"/>
  <c r="L8292" i="3"/>
  <c r="K8292" i="3"/>
  <c r="J8292" i="3"/>
  <c r="H8292" i="3"/>
  <c r="G8292" i="3"/>
  <c r="M8291" i="3"/>
  <c r="L8291" i="3"/>
  <c r="J8291" i="3"/>
  <c r="K8291" i="3" s="1"/>
  <c r="H8291" i="3"/>
  <c r="G8291" i="3"/>
  <c r="M8290" i="3"/>
  <c r="L8290" i="3"/>
  <c r="J8290" i="3"/>
  <c r="K8290" i="3" s="1"/>
  <c r="H8290" i="3"/>
  <c r="G8290" i="3"/>
  <c r="M8289" i="3"/>
  <c r="L8289" i="3"/>
  <c r="J8289" i="3"/>
  <c r="K8289" i="3" s="1"/>
  <c r="H8289" i="3"/>
  <c r="G8289" i="3"/>
  <c r="M8288" i="3"/>
  <c r="L8288" i="3"/>
  <c r="J8288" i="3"/>
  <c r="K8288" i="3" s="1"/>
  <c r="H8288" i="3"/>
  <c r="G8288" i="3"/>
  <c r="I8288" i="3" s="1"/>
  <c r="M8287" i="3"/>
  <c r="L8287" i="3"/>
  <c r="J8287" i="3"/>
  <c r="K8287" i="3" s="1"/>
  <c r="H8287" i="3"/>
  <c r="G8287" i="3"/>
  <c r="M8286" i="3"/>
  <c r="L8286" i="3"/>
  <c r="J8286" i="3"/>
  <c r="K8286" i="3" s="1"/>
  <c r="H8286" i="3"/>
  <c r="G8286" i="3"/>
  <c r="I8286" i="3" s="1"/>
  <c r="M8285" i="3"/>
  <c r="L8285" i="3"/>
  <c r="J8285" i="3"/>
  <c r="K8285" i="3" s="1"/>
  <c r="H8285" i="3"/>
  <c r="I8285" i="3" s="1"/>
  <c r="G8285" i="3"/>
  <c r="M8284" i="3"/>
  <c r="L8284" i="3"/>
  <c r="K8284" i="3"/>
  <c r="J8284" i="3"/>
  <c r="H8284" i="3"/>
  <c r="G8284" i="3"/>
  <c r="I8284" i="3" s="1"/>
  <c r="M8283" i="3"/>
  <c r="L8283" i="3"/>
  <c r="J8283" i="3"/>
  <c r="K8283" i="3" s="1"/>
  <c r="H8283" i="3"/>
  <c r="G8283" i="3"/>
  <c r="M8282" i="3"/>
  <c r="L8282" i="3"/>
  <c r="K8282" i="3"/>
  <c r="J8282" i="3"/>
  <c r="H8282" i="3"/>
  <c r="G8282" i="3"/>
  <c r="M8329" i="3"/>
  <c r="L8329" i="3"/>
  <c r="J8329" i="3"/>
  <c r="K8329" i="3" s="1"/>
  <c r="H8329" i="3"/>
  <c r="G8329" i="3"/>
  <c r="I8329" i="3" s="1"/>
  <c r="M8328" i="3"/>
  <c r="L8328" i="3"/>
  <c r="J8328" i="3"/>
  <c r="K8328" i="3" s="1"/>
  <c r="H8328" i="3"/>
  <c r="G8328" i="3"/>
  <c r="M8327" i="3"/>
  <c r="L8327" i="3"/>
  <c r="J8327" i="3"/>
  <c r="K8327" i="3" s="1"/>
  <c r="H8327" i="3"/>
  <c r="G8327" i="3"/>
  <c r="M8326" i="3"/>
  <c r="L8326" i="3"/>
  <c r="J8326" i="3"/>
  <c r="K8326" i="3" s="1"/>
  <c r="H8326" i="3"/>
  <c r="G8326" i="3"/>
  <c r="M8325" i="3"/>
  <c r="L8325" i="3"/>
  <c r="J8325" i="3"/>
  <c r="K8325" i="3" s="1"/>
  <c r="H8325" i="3"/>
  <c r="G8325" i="3"/>
  <c r="M8324" i="3"/>
  <c r="L8324" i="3"/>
  <c r="J8324" i="3"/>
  <c r="K8324" i="3" s="1"/>
  <c r="H8324" i="3"/>
  <c r="G8324" i="3"/>
  <c r="M8323" i="3"/>
  <c r="L8323" i="3"/>
  <c r="J8323" i="3"/>
  <c r="K8323" i="3" s="1"/>
  <c r="H8323" i="3"/>
  <c r="G8323" i="3"/>
  <c r="M8322" i="3"/>
  <c r="L8322" i="3"/>
  <c r="J8322" i="3"/>
  <c r="K8322" i="3" s="1"/>
  <c r="H8322" i="3"/>
  <c r="G8322" i="3"/>
  <c r="M8321" i="3"/>
  <c r="L8321" i="3"/>
  <c r="J8321" i="3"/>
  <c r="K8321" i="3" s="1"/>
  <c r="H8321" i="3"/>
  <c r="G8321" i="3"/>
  <c r="M8320" i="3"/>
  <c r="L8320" i="3"/>
  <c r="J8320" i="3"/>
  <c r="K8320" i="3" s="1"/>
  <c r="H8320" i="3"/>
  <c r="G8320" i="3"/>
  <c r="I8320" i="3" s="1"/>
  <c r="M8319" i="3"/>
  <c r="L8319" i="3"/>
  <c r="J8319" i="3"/>
  <c r="K8319" i="3" s="1"/>
  <c r="H8319" i="3"/>
  <c r="I8319" i="3" s="1"/>
  <c r="G8319" i="3"/>
  <c r="M8318" i="3"/>
  <c r="L8318" i="3"/>
  <c r="K8318" i="3"/>
  <c r="J8318" i="3"/>
  <c r="H8318" i="3"/>
  <c r="G8318" i="3"/>
  <c r="M8317" i="3"/>
  <c r="L8317" i="3"/>
  <c r="J8317" i="3"/>
  <c r="K8317" i="3" s="1"/>
  <c r="H8317" i="3"/>
  <c r="G8317" i="3"/>
  <c r="I8317" i="3" s="1"/>
  <c r="M8316" i="3"/>
  <c r="L8316" i="3"/>
  <c r="J8316" i="3"/>
  <c r="K8316" i="3" s="1"/>
  <c r="H8316" i="3"/>
  <c r="G8316" i="3"/>
  <c r="I8316" i="3" s="1"/>
  <c r="M8315" i="3"/>
  <c r="L8315" i="3"/>
  <c r="J8315" i="3"/>
  <c r="K8315" i="3" s="1"/>
  <c r="H8315" i="3"/>
  <c r="I8315" i="3" s="1"/>
  <c r="G8315" i="3"/>
  <c r="M8314" i="3"/>
  <c r="L8314" i="3"/>
  <c r="K8314" i="3"/>
  <c r="J8314" i="3"/>
  <c r="H8314" i="3"/>
  <c r="G8314" i="3"/>
  <c r="M8313" i="3"/>
  <c r="L8313" i="3"/>
  <c r="J8313" i="3"/>
  <c r="K8313" i="3" s="1"/>
  <c r="H8313" i="3"/>
  <c r="G8313" i="3"/>
  <c r="I8313" i="3" s="1"/>
  <c r="M8312" i="3"/>
  <c r="L8312" i="3"/>
  <c r="J8312" i="3"/>
  <c r="K8312" i="3" s="1"/>
  <c r="H8312" i="3"/>
  <c r="G8312" i="3"/>
  <c r="M8311" i="3"/>
  <c r="L8311" i="3"/>
  <c r="J8311" i="3"/>
  <c r="K8311" i="3" s="1"/>
  <c r="H8311" i="3"/>
  <c r="G8311" i="3"/>
  <c r="M8310" i="3"/>
  <c r="L8310" i="3"/>
  <c r="J8310" i="3"/>
  <c r="K8310" i="3" s="1"/>
  <c r="H8310" i="3"/>
  <c r="G8310" i="3"/>
  <c r="M8309" i="3"/>
  <c r="L8309" i="3"/>
  <c r="J8309" i="3"/>
  <c r="K8309" i="3" s="1"/>
  <c r="H8309" i="3"/>
  <c r="G8309" i="3"/>
  <c r="M8308" i="3"/>
  <c r="L8308" i="3"/>
  <c r="J8308" i="3"/>
  <c r="K8308" i="3" s="1"/>
  <c r="H8308" i="3"/>
  <c r="G8308" i="3"/>
  <c r="M8307" i="3"/>
  <c r="L8307" i="3"/>
  <c r="K8307" i="3"/>
  <c r="J8307" i="3"/>
  <c r="H8307" i="3"/>
  <c r="I8307" i="3" s="1"/>
  <c r="G8307" i="3"/>
  <c r="M8306" i="3"/>
  <c r="L8306" i="3"/>
  <c r="K8306" i="3"/>
  <c r="J8306" i="3"/>
  <c r="H8306" i="3"/>
  <c r="G8306" i="3"/>
  <c r="M8353" i="3"/>
  <c r="L8353" i="3"/>
  <c r="J8353" i="3"/>
  <c r="K8353" i="3" s="1"/>
  <c r="H8353" i="3"/>
  <c r="G8353" i="3"/>
  <c r="M8352" i="3"/>
  <c r="L8352" i="3"/>
  <c r="J8352" i="3"/>
  <c r="K8352" i="3" s="1"/>
  <c r="H8352" i="3"/>
  <c r="G8352" i="3"/>
  <c r="M8351" i="3"/>
  <c r="L8351" i="3"/>
  <c r="J8351" i="3"/>
  <c r="K8351" i="3" s="1"/>
  <c r="H8351" i="3"/>
  <c r="G8351" i="3"/>
  <c r="I8351" i="3" s="1"/>
  <c r="M8350" i="3"/>
  <c r="L8350" i="3"/>
  <c r="J8350" i="3"/>
  <c r="K8350" i="3" s="1"/>
  <c r="H8350" i="3"/>
  <c r="G8350" i="3"/>
  <c r="M8349" i="3"/>
  <c r="L8349" i="3"/>
  <c r="J8349" i="3"/>
  <c r="K8349" i="3" s="1"/>
  <c r="H8349" i="3"/>
  <c r="G8349" i="3"/>
  <c r="M8348" i="3"/>
  <c r="L8348" i="3"/>
  <c r="J8348" i="3"/>
  <c r="K8348" i="3" s="1"/>
  <c r="H8348" i="3"/>
  <c r="G8348" i="3"/>
  <c r="I8348" i="3" s="1"/>
  <c r="M8347" i="3"/>
  <c r="L8347" i="3"/>
  <c r="J8347" i="3"/>
  <c r="K8347" i="3" s="1"/>
  <c r="H8347" i="3"/>
  <c r="G8347" i="3"/>
  <c r="I8347" i="3" s="1"/>
  <c r="M8346" i="3"/>
  <c r="L8346" i="3"/>
  <c r="J8346" i="3"/>
  <c r="K8346" i="3" s="1"/>
  <c r="H8346" i="3"/>
  <c r="G8346" i="3"/>
  <c r="M8345" i="3"/>
  <c r="L8345" i="3"/>
  <c r="J8345" i="3"/>
  <c r="K8345" i="3" s="1"/>
  <c r="H8345" i="3"/>
  <c r="G8345" i="3"/>
  <c r="M8344" i="3"/>
  <c r="L8344" i="3"/>
  <c r="J8344" i="3"/>
  <c r="K8344" i="3" s="1"/>
  <c r="H8344" i="3"/>
  <c r="G8344" i="3"/>
  <c r="I8344" i="3" s="1"/>
  <c r="M8343" i="3"/>
  <c r="L8343" i="3"/>
  <c r="J8343" i="3"/>
  <c r="K8343" i="3" s="1"/>
  <c r="H8343" i="3"/>
  <c r="G8343" i="3"/>
  <c r="M8342" i="3"/>
  <c r="L8342" i="3"/>
  <c r="J8342" i="3"/>
  <c r="K8342" i="3" s="1"/>
  <c r="H8342" i="3"/>
  <c r="G8342" i="3"/>
  <c r="I8342" i="3" s="1"/>
  <c r="M8341" i="3"/>
  <c r="L8341" i="3"/>
  <c r="J8341" i="3"/>
  <c r="K8341" i="3" s="1"/>
  <c r="H8341" i="3"/>
  <c r="G8341" i="3"/>
  <c r="M8340" i="3"/>
  <c r="L8340" i="3"/>
  <c r="J8340" i="3"/>
  <c r="K8340" i="3" s="1"/>
  <c r="H8340" i="3"/>
  <c r="I8340" i="3" s="1"/>
  <c r="G8340" i="3"/>
  <c r="M8339" i="3"/>
  <c r="L8339" i="3"/>
  <c r="J8339" i="3"/>
  <c r="K8339" i="3" s="1"/>
  <c r="H8339" i="3"/>
  <c r="G8339" i="3"/>
  <c r="I8339" i="3" s="1"/>
  <c r="M8338" i="3"/>
  <c r="L8338" i="3"/>
  <c r="J8338" i="3"/>
  <c r="K8338" i="3" s="1"/>
  <c r="H8338" i="3"/>
  <c r="G8338" i="3"/>
  <c r="M8337" i="3"/>
  <c r="L8337" i="3"/>
  <c r="J8337" i="3"/>
  <c r="K8337" i="3" s="1"/>
  <c r="H8337" i="3"/>
  <c r="G8337" i="3"/>
  <c r="I8337" i="3" s="1"/>
  <c r="M8336" i="3"/>
  <c r="L8336" i="3"/>
  <c r="J8336" i="3"/>
  <c r="K8336" i="3" s="1"/>
  <c r="H8336" i="3"/>
  <c r="G8336" i="3"/>
  <c r="I8336" i="3" s="1"/>
  <c r="M8335" i="3"/>
  <c r="L8335" i="3"/>
  <c r="J8335" i="3"/>
  <c r="K8335" i="3" s="1"/>
  <c r="H8335" i="3"/>
  <c r="G8335" i="3"/>
  <c r="M8334" i="3"/>
  <c r="L8334" i="3"/>
  <c r="J8334" i="3"/>
  <c r="K8334" i="3" s="1"/>
  <c r="H8334" i="3"/>
  <c r="G8334" i="3"/>
  <c r="I8334" i="3" s="1"/>
  <c r="M8333" i="3"/>
  <c r="L8333" i="3"/>
  <c r="J8333" i="3"/>
  <c r="K8333" i="3" s="1"/>
  <c r="H8333" i="3"/>
  <c r="G8333" i="3"/>
  <c r="M8332" i="3"/>
  <c r="L8332" i="3"/>
  <c r="J8332" i="3"/>
  <c r="K8332" i="3" s="1"/>
  <c r="H8332" i="3"/>
  <c r="G8332" i="3"/>
  <c r="I8332" i="3" s="1"/>
  <c r="M8331" i="3"/>
  <c r="L8331" i="3"/>
  <c r="J8331" i="3"/>
  <c r="K8331" i="3" s="1"/>
  <c r="H8331" i="3"/>
  <c r="G8331" i="3"/>
  <c r="I8331" i="3" s="1"/>
  <c r="M8330" i="3"/>
  <c r="L8330" i="3"/>
  <c r="J8330" i="3"/>
  <c r="K8330" i="3" s="1"/>
  <c r="H8330" i="3"/>
  <c r="G8330" i="3"/>
  <c r="M8377" i="3"/>
  <c r="L8377" i="3"/>
  <c r="J8377" i="3"/>
  <c r="K8377" i="3" s="1"/>
  <c r="H8377" i="3"/>
  <c r="G8377" i="3"/>
  <c r="M8376" i="3"/>
  <c r="L8376" i="3"/>
  <c r="J8376" i="3"/>
  <c r="K8376" i="3" s="1"/>
  <c r="H8376" i="3"/>
  <c r="G8376" i="3"/>
  <c r="I8376" i="3" s="1"/>
  <c r="M8375" i="3"/>
  <c r="L8375" i="3"/>
  <c r="J8375" i="3"/>
  <c r="K8375" i="3" s="1"/>
  <c r="H8375" i="3"/>
  <c r="G8375" i="3"/>
  <c r="M8374" i="3"/>
  <c r="L8374" i="3"/>
  <c r="K8374" i="3"/>
  <c r="J8374" i="3"/>
  <c r="H8374" i="3"/>
  <c r="G8374" i="3"/>
  <c r="M8373" i="3"/>
  <c r="L8373" i="3"/>
  <c r="J8373" i="3"/>
  <c r="K8373" i="3" s="1"/>
  <c r="H8373" i="3"/>
  <c r="G8373" i="3"/>
  <c r="M8372" i="3"/>
  <c r="L8372" i="3"/>
  <c r="J8372" i="3"/>
  <c r="K8372" i="3" s="1"/>
  <c r="H8372" i="3"/>
  <c r="G8372" i="3"/>
  <c r="M8371" i="3"/>
  <c r="L8371" i="3"/>
  <c r="J8371" i="3"/>
  <c r="K8371" i="3" s="1"/>
  <c r="H8371" i="3"/>
  <c r="G8371" i="3"/>
  <c r="I8371" i="3" s="1"/>
  <c r="M8370" i="3"/>
  <c r="L8370" i="3"/>
  <c r="J8370" i="3"/>
  <c r="K8370" i="3" s="1"/>
  <c r="H8370" i="3"/>
  <c r="G8370" i="3"/>
  <c r="M8369" i="3"/>
  <c r="L8369" i="3"/>
  <c r="J8369" i="3"/>
  <c r="K8369" i="3" s="1"/>
  <c r="H8369" i="3"/>
  <c r="G8369" i="3"/>
  <c r="M8368" i="3"/>
  <c r="L8368" i="3"/>
  <c r="J8368" i="3"/>
  <c r="K8368" i="3" s="1"/>
  <c r="H8368" i="3"/>
  <c r="G8368" i="3"/>
  <c r="I8368" i="3" s="1"/>
  <c r="M8367" i="3"/>
  <c r="L8367" i="3"/>
  <c r="J8367" i="3"/>
  <c r="K8367" i="3" s="1"/>
  <c r="H8367" i="3"/>
  <c r="G8367" i="3"/>
  <c r="M8366" i="3"/>
  <c r="L8366" i="3"/>
  <c r="K8366" i="3"/>
  <c r="J8366" i="3"/>
  <c r="H8366" i="3"/>
  <c r="G8366" i="3"/>
  <c r="M8365" i="3"/>
  <c r="L8365" i="3"/>
  <c r="J8365" i="3"/>
  <c r="K8365" i="3" s="1"/>
  <c r="H8365" i="3"/>
  <c r="G8365" i="3"/>
  <c r="M8364" i="3"/>
  <c r="L8364" i="3"/>
  <c r="J8364" i="3"/>
  <c r="K8364" i="3" s="1"/>
  <c r="H8364" i="3"/>
  <c r="I8364" i="3" s="1"/>
  <c r="G8364" i="3"/>
  <c r="M8363" i="3"/>
  <c r="L8363" i="3"/>
  <c r="J8363" i="3"/>
  <c r="K8363" i="3" s="1"/>
  <c r="H8363" i="3"/>
  <c r="G8363" i="3"/>
  <c r="I8363" i="3" s="1"/>
  <c r="M8362" i="3"/>
  <c r="L8362" i="3"/>
  <c r="J8362" i="3"/>
  <c r="K8362" i="3" s="1"/>
  <c r="H8362" i="3"/>
  <c r="G8362" i="3"/>
  <c r="M8361" i="3"/>
  <c r="L8361" i="3"/>
  <c r="J8361" i="3"/>
  <c r="K8361" i="3" s="1"/>
  <c r="H8361" i="3"/>
  <c r="G8361" i="3"/>
  <c r="M8360" i="3"/>
  <c r="L8360" i="3"/>
  <c r="J8360" i="3"/>
  <c r="K8360" i="3" s="1"/>
  <c r="H8360" i="3"/>
  <c r="G8360" i="3"/>
  <c r="I8360" i="3" s="1"/>
  <c r="M8359" i="3"/>
  <c r="L8359" i="3"/>
  <c r="J8359" i="3"/>
  <c r="K8359" i="3" s="1"/>
  <c r="H8359" i="3"/>
  <c r="G8359" i="3"/>
  <c r="M8358" i="3"/>
  <c r="L8358" i="3"/>
  <c r="J8358" i="3"/>
  <c r="K8358" i="3" s="1"/>
  <c r="H8358" i="3"/>
  <c r="G8358" i="3"/>
  <c r="I8358" i="3" s="1"/>
  <c r="M8357" i="3"/>
  <c r="L8357" i="3"/>
  <c r="J8357" i="3"/>
  <c r="K8357" i="3" s="1"/>
  <c r="H8357" i="3"/>
  <c r="I8357" i="3" s="1"/>
  <c r="G8357" i="3"/>
  <c r="M8356" i="3"/>
  <c r="L8356" i="3"/>
  <c r="K8356" i="3"/>
  <c r="J8356" i="3"/>
  <c r="H8356" i="3"/>
  <c r="G8356" i="3"/>
  <c r="I8356" i="3" s="1"/>
  <c r="M8355" i="3"/>
  <c r="L8355" i="3"/>
  <c r="J8355" i="3"/>
  <c r="K8355" i="3" s="1"/>
  <c r="H8355" i="3"/>
  <c r="G8355" i="3"/>
  <c r="I8355" i="3" s="1"/>
  <c r="M8354" i="3"/>
  <c r="L8354" i="3"/>
  <c r="J8354" i="3"/>
  <c r="K8354" i="3" s="1"/>
  <c r="H8354" i="3"/>
  <c r="G8354" i="3"/>
  <c r="M8401" i="3"/>
  <c r="L8401" i="3"/>
  <c r="J8401" i="3"/>
  <c r="K8401" i="3" s="1"/>
  <c r="H8401" i="3"/>
  <c r="I8401" i="3" s="1"/>
  <c r="G8401" i="3"/>
  <c r="M8400" i="3"/>
  <c r="L8400" i="3"/>
  <c r="K8400" i="3"/>
  <c r="J8400" i="3"/>
  <c r="H8400" i="3"/>
  <c r="G8400" i="3"/>
  <c r="I8400" i="3" s="1"/>
  <c r="M8399" i="3"/>
  <c r="L8399" i="3"/>
  <c r="J8399" i="3"/>
  <c r="K8399" i="3" s="1"/>
  <c r="H8399" i="3"/>
  <c r="G8399" i="3"/>
  <c r="I8399" i="3" s="1"/>
  <c r="M8398" i="3"/>
  <c r="L8398" i="3"/>
  <c r="J8398" i="3"/>
  <c r="K8398" i="3" s="1"/>
  <c r="I8398" i="3"/>
  <c r="H8398" i="3"/>
  <c r="G8398" i="3"/>
  <c r="M8397" i="3"/>
  <c r="L8397" i="3"/>
  <c r="J8397" i="3"/>
  <c r="K8397" i="3" s="1"/>
  <c r="H8397" i="3"/>
  <c r="G8397" i="3"/>
  <c r="M8396" i="3"/>
  <c r="L8396" i="3"/>
  <c r="J8396" i="3"/>
  <c r="K8396" i="3" s="1"/>
  <c r="H8396" i="3"/>
  <c r="G8396" i="3"/>
  <c r="M8395" i="3"/>
  <c r="L8395" i="3"/>
  <c r="J8395" i="3"/>
  <c r="K8395" i="3" s="1"/>
  <c r="H8395" i="3"/>
  <c r="G8395" i="3"/>
  <c r="M8394" i="3"/>
  <c r="L8394" i="3"/>
  <c r="J8394" i="3"/>
  <c r="K8394" i="3" s="1"/>
  <c r="H8394" i="3"/>
  <c r="G8394" i="3"/>
  <c r="I8394" i="3" s="1"/>
  <c r="M8393" i="3"/>
  <c r="L8393" i="3"/>
  <c r="J8393" i="3"/>
  <c r="K8393" i="3" s="1"/>
  <c r="H8393" i="3"/>
  <c r="G8393" i="3"/>
  <c r="M8392" i="3"/>
  <c r="L8392" i="3"/>
  <c r="J8392" i="3"/>
  <c r="K8392" i="3" s="1"/>
  <c r="H8392" i="3"/>
  <c r="G8392" i="3"/>
  <c r="M8391" i="3"/>
  <c r="L8391" i="3"/>
  <c r="J8391" i="3"/>
  <c r="K8391" i="3" s="1"/>
  <c r="H8391" i="3"/>
  <c r="G8391" i="3"/>
  <c r="I8391" i="3" s="1"/>
  <c r="M8390" i="3"/>
  <c r="L8390" i="3"/>
  <c r="J8390" i="3"/>
  <c r="K8390" i="3" s="1"/>
  <c r="H8390" i="3"/>
  <c r="G8390" i="3"/>
  <c r="I8390" i="3" s="1"/>
  <c r="M8389" i="3"/>
  <c r="L8389" i="3"/>
  <c r="J8389" i="3"/>
  <c r="K8389" i="3" s="1"/>
  <c r="H8389" i="3"/>
  <c r="G8389" i="3"/>
  <c r="M8388" i="3"/>
  <c r="L8388" i="3"/>
  <c r="J8388" i="3"/>
  <c r="K8388" i="3" s="1"/>
  <c r="H8388" i="3"/>
  <c r="G8388" i="3"/>
  <c r="M8387" i="3"/>
  <c r="L8387" i="3"/>
  <c r="J8387" i="3"/>
  <c r="K8387" i="3" s="1"/>
  <c r="H8387" i="3"/>
  <c r="G8387" i="3"/>
  <c r="I8387" i="3" s="1"/>
  <c r="M8386" i="3"/>
  <c r="L8386" i="3"/>
  <c r="J8386" i="3"/>
  <c r="K8386" i="3" s="1"/>
  <c r="H8386" i="3"/>
  <c r="G8386" i="3"/>
  <c r="I8386" i="3" s="1"/>
  <c r="M8385" i="3"/>
  <c r="L8385" i="3"/>
  <c r="J8385" i="3"/>
  <c r="K8385" i="3" s="1"/>
  <c r="H8385" i="3"/>
  <c r="I8385" i="3" s="1"/>
  <c r="G8385" i="3"/>
  <c r="M8384" i="3"/>
  <c r="L8384" i="3"/>
  <c r="K8384" i="3"/>
  <c r="J8384" i="3"/>
  <c r="H8384" i="3"/>
  <c r="G8384" i="3"/>
  <c r="I8384" i="3" s="1"/>
  <c r="M8383" i="3"/>
  <c r="L8383" i="3"/>
  <c r="J8383" i="3"/>
  <c r="K8383" i="3" s="1"/>
  <c r="H8383" i="3"/>
  <c r="G8383" i="3"/>
  <c r="M8382" i="3"/>
  <c r="L8382" i="3"/>
  <c r="J8382" i="3"/>
  <c r="K8382" i="3" s="1"/>
  <c r="I8382" i="3"/>
  <c r="H8382" i="3"/>
  <c r="G8382" i="3"/>
  <c r="M8381" i="3"/>
  <c r="L8381" i="3"/>
  <c r="J8381" i="3"/>
  <c r="K8381" i="3" s="1"/>
  <c r="H8381" i="3"/>
  <c r="G8381" i="3"/>
  <c r="M8380" i="3"/>
  <c r="L8380" i="3"/>
  <c r="J8380" i="3"/>
  <c r="K8380" i="3" s="1"/>
  <c r="H8380" i="3"/>
  <c r="G8380" i="3"/>
  <c r="M8379" i="3"/>
  <c r="L8379" i="3"/>
  <c r="J8379" i="3"/>
  <c r="K8379" i="3" s="1"/>
  <c r="H8379" i="3"/>
  <c r="G8379" i="3"/>
  <c r="M8378" i="3"/>
  <c r="L8378" i="3"/>
  <c r="J8378" i="3"/>
  <c r="K8378" i="3" s="1"/>
  <c r="H8378" i="3"/>
  <c r="G8378" i="3"/>
  <c r="I8378" i="3" s="1"/>
  <c r="M8425" i="3"/>
  <c r="L8425" i="3"/>
  <c r="J8425" i="3"/>
  <c r="K8425" i="3" s="1"/>
  <c r="H8425" i="3"/>
  <c r="G8425" i="3"/>
  <c r="M8424" i="3"/>
  <c r="L8424" i="3"/>
  <c r="J8424" i="3"/>
  <c r="K8424" i="3" s="1"/>
  <c r="H8424" i="3"/>
  <c r="G8424" i="3"/>
  <c r="M8423" i="3"/>
  <c r="L8423" i="3"/>
  <c r="J8423" i="3"/>
  <c r="K8423" i="3" s="1"/>
  <c r="H8423" i="3"/>
  <c r="G8423" i="3"/>
  <c r="M8422" i="3"/>
  <c r="L8422" i="3"/>
  <c r="J8422" i="3"/>
  <c r="K8422" i="3" s="1"/>
  <c r="H8422" i="3"/>
  <c r="G8422" i="3"/>
  <c r="M8421" i="3"/>
  <c r="L8421" i="3"/>
  <c r="J8421" i="3"/>
  <c r="K8421" i="3" s="1"/>
  <c r="H8421" i="3"/>
  <c r="G8421" i="3"/>
  <c r="M8420" i="3"/>
  <c r="L8420" i="3"/>
  <c r="J8420" i="3"/>
  <c r="K8420" i="3" s="1"/>
  <c r="H8420" i="3"/>
  <c r="G8420" i="3"/>
  <c r="M8419" i="3"/>
  <c r="L8419" i="3"/>
  <c r="J8419" i="3"/>
  <c r="K8419" i="3" s="1"/>
  <c r="H8419" i="3"/>
  <c r="G8419" i="3"/>
  <c r="M8418" i="3"/>
  <c r="L8418" i="3"/>
  <c r="J8418" i="3"/>
  <c r="K8418" i="3" s="1"/>
  <c r="H8418" i="3"/>
  <c r="G8418" i="3"/>
  <c r="I8418" i="3" s="1"/>
  <c r="M8417" i="3"/>
  <c r="L8417" i="3"/>
  <c r="J8417" i="3"/>
  <c r="K8417" i="3" s="1"/>
  <c r="H8417" i="3"/>
  <c r="G8417" i="3"/>
  <c r="I8417" i="3" s="1"/>
  <c r="M8416" i="3"/>
  <c r="L8416" i="3"/>
  <c r="J8416" i="3"/>
  <c r="K8416" i="3" s="1"/>
  <c r="H8416" i="3"/>
  <c r="G8416" i="3"/>
  <c r="M8415" i="3"/>
  <c r="L8415" i="3"/>
  <c r="J8415" i="3"/>
  <c r="K8415" i="3" s="1"/>
  <c r="H8415" i="3"/>
  <c r="G8415" i="3"/>
  <c r="M8414" i="3"/>
  <c r="L8414" i="3"/>
  <c r="J8414" i="3"/>
  <c r="K8414" i="3" s="1"/>
  <c r="H8414" i="3"/>
  <c r="G8414" i="3"/>
  <c r="I8414" i="3" s="1"/>
  <c r="M8413" i="3"/>
  <c r="L8413" i="3"/>
  <c r="J8413" i="3"/>
  <c r="K8413" i="3" s="1"/>
  <c r="H8413" i="3"/>
  <c r="G8413" i="3"/>
  <c r="M8412" i="3"/>
  <c r="L8412" i="3"/>
  <c r="J8412" i="3"/>
  <c r="K8412" i="3" s="1"/>
  <c r="H8412" i="3"/>
  <c r="G8412" i="3"/>
  <c r="M8411" i="3"/>
  <c r="L8411" i="3"/>
  <c r="J8411" i="3"/>
  <c r="K8411" i="3" s="1"/>
  <c r="H8411" i="3"/>
  <c r="G8411" i="3"/>
  <c r="I8411" i="3" s="1"/>
  <c r="M8410" i="3"/>
  <c r="L8410" i="3"/>
  <c r="J8410" i="3"/>
  <c r="K8410" i="3" s="1"/>
  <c r="H8410" i="3"/>
  <c r="G8410" i="3"/>
  <c r="M8409" i="3"/>
  <c r="L8409" i="3"/>
  <c r="J8409" i="3"/>
  <c r="K8409" i="3" s="1"/>
  <c r="H8409" i="3"/>
  <c r="G8409" i="3"/>
  <c r="M8408" i="3"/>
  <c r="L8408" i="3"/>
  <c r="J8408" i="3"/>
  <c r="K8408" i="3" s="1"/>
  <c r="H8408" i="3"/>
  <c r="G8408" i="3"/>
  <c r="I8408" i="3" s="1"/>
  <c r="M8407" i="3"/>
  <c r="L8407" i="3"/>
  <c r="J8407" i="3"/>
  <c r="K8407" i="3" s="1"/>
  <c r="H8407" i="3"/>
  <c r="G8407" i="3"/>
  <c r="M8406" i="3"/>
  <c r="L8406" i="3"/>
  <c r="J8406" i="3"/>
  <c r="K8406" i="3" s="1"/>
  <c r="H8406" i="3"/>
  <c r="G8406" i="3"/>
  <c r="M8405" i="3"/>
  <c r="L8405" i="3"/>
  <c r="J8405" i="3"/>
  <c r="K8405" i="3" s="1"/>
  <c r="H8405" i="3"/>
  <c r="G8405" i="3"/>
  <c r="M8404" i="3"/>
  <c r="L8404" i="3"/>
  <c r="J8404" i="3"/>
  <c r="K8404" i="3" s="1"/>
  <c r="H8404" i="3"/>
  <c r="G8404" i="3"/>
  <c r="M8403" i="3"/>
  <c r="L8403" i="3"/>
  <c r="J8403" i="3"/>
  <c r="K8403" i="3" s="1"/>
  <c r="H8403" i="3"/>
  <c r="G8403" i="3"/>
  <c r="M8402" i="3"/>
  <c r="L8402" i="3"/>
  <c r="J8402" i="3"/>
  <c r="K8402" i="3" s="1"/>
  <c r="H8402" i="3"/>
  <c r="G8402" i="3"/>
  <c r="I8402" i="3" s="1"/>
  <c r="M8449" i="3"/>
  <c r="L8449" i="3"/>
  <c r="J8449" i="3"/>
  <c r="K8449" i="3" s="1"/>
  <c r="H8449" i="3"/>
  <c r="G8449" i="3"/>
  <c r="M8448" i="3"/>
  <c r="L8448" i="3"/>
  <c r="J8448" i="3"/>
  <c r="K8448" i="3" s="1"/>
  <c r="H8448" i="3"/>
  <c r="G8448" i="3"/>
  <c r="I8448" i="3" s="1"/>
  <c r="M8447" i="3"/>
  <c r="L8447" i="3"/>
  <c r="J8447" i="3"/>
  <c r="K8447" i="3" s="1"/>
  <c r="H8447" i="3"/>
  <c r="G8447" i="3"/>
  <c r="M8446" i="3"/>
  <c r="L8446" i="3"/>
  <c r="J8446" i="3"/>
  <c r="K8446" i="3" s="1"/>
  <c r="H8446" i="3"/>
  <c r="G8446" i="3"/>
  <c r="I8446" i="3" s="1"/>
  <c r="M8445" i="3"/>
  <c r="L8445" i="3"/>
  <c r="J8445" i="3"/>
  <c r="K8445" i="3" s="1"/>
  <c r="H8445" i="3"/>
  <c r="G8445" i="3"/>
  <c r="M8444" i="3"/>
  <c r="L8444" i="3"/>
  <c r="J8444" i="3"/>
  <c r="K8444" i="3" s="1"/>
  <c r="H8444" i="3"/>
  <c r="I8444" i="3" s="1"/>
  <c r="G8444" i="3"/>
  <c r="M8443" i="3"/>
  <c r="L8443" i="3"/>
  <c r="J8443" i="3"/>
  <c r="K8443" i="3" s="1"/>
  <c r="H8443" i="3"/>
  <c r="G8443" i="3"/>
  <c r="M8442" i="3"/>
  <c r="L8442" i="3"/>
  <c r="J8442" i="3"/>
  <c r="K8442" i="3" s="1"/>
  <c r="H8442" i="3"/>
  <c r="G8442" i="3"/>
  <c r="I8442" i="3" s="1"/>
  <c r="M8441" i="3"/>
  <c r="L8441" i="3"/>
  <c r="J8441" i="3"/>
  <c r="K8441" i="3" s="1"/>
  <c r="H8441" i="3"/>
  <c r="G8441" i="3"/>
  <c r="M8440" i="3"/>
  <c r="L8440" i="3"/>
  <c r="J8440" i="3"/>
  <c r="K8440" i="3" s="1"/>
  <c r="H8440" i="3"/>
  <c r="G8440" i="3"/>
  <c r="I8440" i="3" s="1"/>
  <c r="M8439" i="3"/>
  <c r="L8439" i="3"/>
  <c r="J8439" i="3"/>
  <c r="K8439" i="3" s="1"/>
  <c r="H8439" i="3"/>
  <c r="G8439" i="3"/>
  <c r="M8438" i="3"/>
  <c r="L8438" i="3"/>
  <c r="J8438" i="3"/>
  <c r="K8438" i="3" s="1"/>
  <c r="H8438" i="3"/>
  <c r="G8438" i="3"/>
  <c r="M8437" i="3"/>
  <c r="L8437" i="3"/>
  <c r="J8437" i="3"/>
  <c r="K8437" i="3" s="1"/>
  <c r="H8437" i="3"/>
  <c r="G8437" i="3"/>
  <c r="I8437" i="3" s="1"/>
  <c r="M8436" i="3"/>
  <c r="L8436" i="3"/>
  <c r="J8436" i="3"/>
  <c r="K8436" i="3" s="1"/>
  <c r="H8436" i="3"/>
  <c r="G8436" i="3"/>
  <c r="M8435" i="3"/>
  <c r="L8435" i="3"/>
  <c r="J8435" i="3"/>
  <c r="K8435" i="3" s="1"/>
  <c r="H8435" i="3"/>
  <c r="G8435" i="3"/>
  <c r="M8434" i="3"/>
  <c r="L8434" i="3"/>
  <c r="J8434" i="3"/>
  <c r="K8434" i="3" s="1"/>
  <c r="H8434" i="3"/>
  <c r="G8434" i="3"/>
  <c r="M8433" i="3"/>
  <c r="L8433" i="3"/>
  <c r="J8433" i="3"/>
  <c r="K8433" i="3" s="1"/>
  <c r="H8433" i="3"/>
  <c r="G8433" i="3"/>
  <c r="M8432" i="3"/>
  <c r="L8432" i="3"/>
  <c r="J8432" i="3"/>
  <c r="K8432" i="3" s="1"/>
  <c r="H8432" i="3"/>
  <c r="G8432" i="3"/>
  <c r="M8431" i="3"/>
  <c r="L8431" i="3"/>
  <c r="J8431" i="3"/>
  <c r="K8431" i="3" s="1"/>
  <c r="H8431" i="3"/>
  <c r="G8431" i="3"/>
  <c r="M8430" i="3"/>
  <c r="L8430" i="3"/>
  <c r="J8430" i="3"/>
  <c r="K8430" i="3" s="1"/>
  <c r="H8430" i="3"/>
  <c r="G8430" i="3"/>
  <c r="M8429" i="3"/>
  <c r="L8429" i="3"/>
  <c r="J8429" i="3"/>
  <c r="K8429" i="3" s="1"/>
  <c r="H8429" i="3"/>
  <c r="G8429" i="3"/>
  <c r="I8429" i="3" s="1"/>
  <c r="M8428" i="3"/>
  <c r="L8428" i="3"/>
  <c r="J8428" i="3"/>
  <c r="K8428" i="3" s="1"/>
  <c r="H8428" i="3"/>
  <c r="G8428" i="3"/>
  <c r="M8427" i="3"/>
  <c r="L8427" i="3"/>
  <c r="J8427" i="3"/>
  <c r="K8427" i="3" s="1"/>
  <c r="H8427" i="3"/>
  <c r="G8427" i="3"/>
  <c r="M8426" i="3"/>
  <c r="L8426" i="3"/>
  <c r="J8426" i="3"/>
  <c r="K8426" i="3" s="1"/>
  <c r="H8426" i="3"/>
  <c r="G8426" i="3"/>
  <c r="M8473" i="3"/>
  <c r="L8473" i="3"/>
  <c r="J8473" i="3"/>
  <c r="K8473" i="3" s="1"/>
  <c r="H8473" i="3"/>
  <c r="G8473" i="3"/>
  <c r="M8472" i="3"/>
  <c r="L8472" i="3"/>
  <c r="J8472" i="3"/>
  <c r="K8472" i="3" s="1"/>
  <c r="H8472" i="3"/>
  <c r="G8472" i="3"/>
  <c r="I8472" i="3" s="1"/>
  <c r="M8471" i="3"/>
  <c r="L8471" i="3"/>
  <c r="J8471" i="3"/>
  <c r="K8471" i="3" s="1"/>
  <c r="H8471" i="3"/>
  <c r="G8471" i="3"/>
  <c r="I8471" i="3" s="1"/>
  <c r="M8470" i="3"/>
  <c r="L8470" i="3"/>
  <c r="J8470" i="3"/>
  <c r="K8470" i="3" s="1"/>
  <c r="H8470" i="3"/>
  <c r="G8470" i="3"/>
  <c r="I8470" i="3" s="1"/>
  <c r="M8469" i="3"/>
  <c r="L8469" i="3"/>
  <c r="J8469" i="3"/>
  <c r="K8469" i="3" s="1"/>
  <c r="H8469" i="3"/>
  <c r="I8469" i="3" s="1"/>
  <c r="G8469" i="3"/>
  <c r="M8468" i="3"/>
  <c r="L8468" i="3"/>
  <c r="K8468" i="3"/>
  <c r="J8468" i="3"/>
  <c r="H8468" i="3"/>
  <c r="G8468" i="3"/>
  <c r="I8468" i="3" s="1"/>
  <c r="M8467" i="3"/>
  <c r="L8467" i="3"/>
  <c r="J8467" i="3"/>
  <c r="K8467" i="3" s="1"/>
  <c r="H8467" i="3"/>
  <c r="G8467" i="3"/>
  <c r="M8466" i="3"/>
  <c r="L8466" i="3"/>
  <c r="J8466" i="3"/>
  <c r="K8466" i="3" s="1"/>
  <c r="H8466" i="3"/>
  <c r="G8466" i="3"/>
  <c r="I8466" i="3" s="1"/>
  <c r="M8465" i="3"/>
  <c r="L8465" i="3"/>
  <c r="J8465" i="3"/>
  <c r="K8465" i="3" s="1"/>
  <c r="H8465" i="3"/>
  <c r="G8465" i="3"/>
  <c r="M8464" i="3"/>
  <c r="L8464" i="3"/>
  <c r="J8464" i="3"/>
  <c r="K8464" i="3" s="1"/>
  <c r="H8464" i="3"/>
  <c r="G8464" i="3"/>
  <c r="M8463" i="3"/>
  <c r="L8463" i="3"/>
  <c r="J8463" i="3"/>
  <c r="K8463" i="3" s="1"/>
  <c r="H8463" i="3"/>
  <c r="G8463" i="3"/>
  <c r="M8462" i="3"/>
  <c r="L8462" i="3"/>
  <c r="J8462" i="3"/>
  <c r="K8462" i="3" s="1"/>
  <c r="H8462" i="3"/>
  <c r="G8462" i="3"/>
  <c r="I8462" i="3" s="1"/>
  <c r="M8461" i="3"/>
  <c r="L8461" i="3"/>
  <c r="J8461" i="3"/>
  <c r="K8461" i="3" s="1"/>
  <c r="H8461" i="3"/>
  <c r="I8461" i="3" s="1"/>
  <c r="G8461" i="3"/>
  <c r="M8460" i="3"/>
  <c r="L8460" i="3"/>
  <c r="J8460" i="3"/>
  <c r="K8460" i="3" s="1"/>
  <c r="H8460" i="3"/>
  <c r="G8460" i="3"/>
  <c r="I8460" i="3" s="1"/>
  <c r="M8459" i="3"/>
  <c r="L8459" i="3"/>
  <c r="J8459" i="3"/>
  <c r="K8459" i="3" s="1"/>
  <c r="H8459" i="3"/>
  <c r="G8459" i="3"/>
  <c r="M8458" i="3"/>
  <c r="L8458" i="3"/>
  <c r="J8458" i="3"/>
  <c r="K8458" i="3" s="1"/>
  <c r="H8458" i="3"/>
  <c r="G8458" i="3"/>
  <c r="M8457" i="3"/>
  <c r="L8457" i="3"/>
  <c r="J8457" i="3"/>
  <c r="K8457" i="3" s="1"/>
  <c r="H8457" i="3"/>
  <c r="G8457" i="3"/>
  <c r="M8456" i="3"/>
  <c r="L8456" i="3"/>
  <c r="J8456" i="3"/>
  <c r="K8456" i="3" s="1"/>
  <c r="H8456" i="3"/>
  <c r="G8456" i="3"/>
  <c r="I8456" i="3" s="1"/>
  <c r="M8455" i="3"/>
  <c r="L8455" i="3"/>
  <c r="J8455" i="3"/>
  <c r="K8455" i="3" s="1"/>
  <c r="H8455" i="3"/>
  <c r="G8455" i="3"/>
  <c r="M8454" i="3"/>
  <c r="L8454" i="3"/>
  <c r="J8454" i="3"/>
  <c r="K8454" i="3" s="1"/>
  <c r="H8454" i="3"/>
  <c r="G8454" i="3"/>
  <c r="M8453" i="3"/>
  <c r="L8453" i="3"/>
  <c r="J8453" i="3"/>
  <c r="K8453" i="3" s="1"/>
  <c r="H8453" i="3"/>
  <c r="G8453" i="3"/>
  <c r="I8453" i="3" s="1"/>
  <c r="M8452" i="3"/>
  <c r="L8452" i="3"/>
  <c r="J8452" i="3"/>
  <c r="K8452" i="3" s="1"/>
  <c r="H8452" i="3"/>
  <c r="I8452" i="3" s="1"/>
  <c r="G8452" i="3"/>
  <c r="M8451" i="3"/>
  <c r="L8451" i="3"/>
  <c r="K8451" i="3"/>
  <c r="J8451" i="3"/>
  <c r="H8451" i="3"/>
  <c r="G8451" i="3"/>
  <c r="I8451" i="3" s="1"/>
  <c r="M8450" i="3"/>
  <c r="L8450" i="3"/>
  <c r="J8450" i="3"/>
  <c r="K8450" i="3" s="1"/>
  <c r="H8450" i="3"/>
  <c r="G8450" i="3"/>
  <c r="M8497" i="3"/>
  <c r="L8497" i="3"/>
  <c r="J8497" i="3"/>
  <c r="K8497" i="3" s="1"/>
  <c r="H8497" i="3"/>
  <c r="G8497" i="3"/>
  <c r="M8496" i="3"/>
  <c r="L8496" i="3"/>
  <c r="J8496" i="3"/>
  <c r="K8496" i="3" s="1"/>
  <c r="H8496" i="3"/>
  <c r="G8496" i="3"/>
  <c r="I8496" i="3" s="1"/>
  <c r="M8495" i="3"/>
  <c r="L8495" i="3"/>
  <c r="J8495" i="3"/>
  <c r="K8495" i="3" s="1"/>
  <c r="H8495" i="3"/>
  <c r="G8495" i="3"/>
  <c r="I8495" i="3" s="1"/>
  <c r="M8494" i="3"/>
  <c r="L8494" i="3"/>
  <c r="J8494" i="3"/>
  <c r="K8494" i="3" s="1"/>
  <c r="H8494" i="3"/>
  <c r="G8494" i="3"/>
  <c r="M8493" i="3"/>
  <c r="L8493" i="3"/>
  <c r="J8493" i="3"/>
  <c r="K8493" i="3" s="1"/>
  <c r="H8493" i="3"/>
  <c r="I8493" i="3" s="1"/>
  <c r="G8493" i="3"/>
  <c r="M8492" i="3"/>
  <c r="L8492" i="3"/>
  <c r="K8492" i="3"/>
  <c r="J8492" i="3"/>
  <c r="H8492" i="3"/>
  <c r="G8492" i="3"/>
  <c r="M8491" i="3"/>
  <c r="L8491" i="3"/>
  <c r="J8491" i="3"/>
  <c r="K8491" i="3" s="1"/>
  <c r="H8491" i="3"/>
  <c r="G8491" i="3"/>
  <c r="M8490" i="3"/>
  <c r="L8490" i="3"/>
  <c r="K8490" i="3"/>
  <c r="J8490" i="3"/>
  <c r="H8490" i="3"/>
  <c r="G8490" i="3"/>
  <c r="I8490" i="3" s="1"/>
  <c r="M8489" i="3"/>
  <c r="L8489" i="3"/>
  <c r="J8489" i="3"/>
  <c r="K8489" i="3" s="1"/>
  <c r="H8489" i="3"/>
  <c r="G8489" i="3"/>
  <c r="M8488" i="3"/>
  <c r="L8488" i="3"/>
  <c r="J8488" i="3"/>
  <c r="K8488" i="3" s="1"/>
  <c r="H8488" i="3"/>
  <c r="G8488" i="3"/>
  <c r="M8487" i="3"/>
  <c r="L8487" i="3"/>
  <c r="J8487" i="3"/>
  <c r="K8487" i="3" s="1"/>
  <c r="H8487" i="3"/>
  <c r="G8487" i="3"/>
  <c r="M8486" i="3"/>
  <c r="L8486" i="3"/>
  <c r="J8486" i="3"/>
  <c r="K8486" i="3" s="1"/>
  <c r="H8486" i="3"/>
  <c r="G8486" i="3"/>
  <c r="M8485" i="3"/>
  <c r="L8485" i="3"/>
  <c r="J8485" i="3"/>
  <c r="K8485" i="3" s="1"/>
  <c r="H8485" i="3"/>
  <c r="G8485" i="3"/>
  <c r="I8485" i="3" s="1"/>
  <c r="M8484" i="3"/>
  <c r="L8484" i="3"/>
  <c r="J8484" i="3"/>
  <c r="K8484" i="3" s="1"/>
  <c r="H8484" i="3"/>
  <c r="G8484" i="3"/>
  <c r="I8484" i="3" s="1"/>
  <c r="M8483" i="3"/>
  <c r="L8483" i="3"/>
  <c r="J8483" i="3"/>
  <c r="K8483" i="3" s="1"/>
  <c r="H8483" i="3"/>
  <c r="G8483" i="3"/>
  <c r="M8482" i="3"/>
  <c r="L8482" i="3"/>
  <c r="K8482" i="3"/>
  <c r="J8482" i="3"/>
  <c r="H8482" i="3"/>
  <c r="G8482" i="3"/>
  <c r="I8482" i="3" s="1"/>
  <c r="M8481" i="3"/>
  <c r="L8481" i="3"/>
  <c r="J8481" i="3"/>
  <c r="K8481" i="3" s="1"/>
  <c r="H8481" i="3"/>
  <c r="I8481" i="3" s="1"/>
  <c r="G8481" i="3"/>
  <c r="M8480" i="3"/>
  <c r="L8480" i="3"/>
  <c r="J8480" i="3"/>
  <c r="K8480" i="3" s="1"/>
  <c r="H8480" i="3"/>
  <c r="G8480" i="3"/>
  <c r="M8479" i="3"/>
  <c r="L8479" i="3"/>
  <c r="J8479" i="3"/>
  <c r="K8479" i="3" s="1"/>
  <c r="H8479" i="3"/>
  <c r="G8479" i="3"/>
  <c r="M8478" i="3"/>
  <c r="L8478" i="3"/>
  <c r="J8478" i="3"/>
  <c r="K8478" i="3" s="1"/>
  <c r="H8478" i="3"/>
  <c r="G8478" i="3"/>
  <c r="M8477" i="3"/>
  <c r="L8477" i="3"/>
  <c r="J8477" i="3"/>
  <c r="K8477" i="3" s="1"/>
  <c r="H8477" i="3"/>
  <c r="G8477" i="3"/>
  <c r="I8477" i="3" s="1"/>
  <c r="M8476" i="3"/>
  <c r="L8476" i="3"/>
  <c r="J8476" i="3"/>
  <c r="K8476" i="3" s="1"/>
  <c r="H8476" i="3"/>
  <c r="G8476" i="3"/>
  <c r="I8476" i="3" s="1"/>
  <c r="M8475" i="3"/>
  <c r="L8475" i="3"/>
  <c r="J8475" i="3"/>
  <c r="K8475" i="3" s="1"/>
  <c r="H8475" i="3"/>
  <c r="G8475" i="3"/>
  <c r="M8474" i="3"/>
  <c r="L8474" i="3"/>
  <c r="K8474" i="3"/>
  <c r="J8474" i="3"/>
  <c r="H8474" i="3"/>
  <c r="G8474" i="3"/>
  <c r="I8474" i="3" s="1"/>
  <c r="M8521" i="3"/>
  <c r="L8521" i="3"/>
  <c r="J8521" i="3"/>
  <c r="K8521" i="3" s="1"/>
  <c r="H8521" i="3"/>
  <c r="G8521" i="3"/>
  <c r="M8520" i="3"/>
  <c r="L8520" i="3"/>
  <c r="J8520" i="3"/>
  <c r="K8520" i="3" s="1"/>
  <c r="H8520" i="3"/>
  <c r="G8520" i="3"/>
  <c r="M8519" i="3"/>
  <c r="L8519" i="3"/>
  <c r="J8519" i="3"/>
  <c r="K8519" i="3" s="1"/>
  <c r="H8519" i="3"/>
  <c r="G8519" i="3"/>
  <c r="M8518" i="3"/>
  <c r="L8518" i="3"/>
  <c r="J8518" i="3"/>
  <c r="K8518" i="3" s="1"/>
  <c r="H8518" i="3"/>
  <c r="G8518" i="3"/>
  <c r="M8517" i="3"/>
  <c r="L8517" i="3"/>
  <c r="J8517" i="3"/>
  <c r="K8517" i="3" s="1"/>
  <c r="H8517" i="3"/>
  <c r="G8517" i="3"/>
  <c r="M8516" i="3"/>
  <c r="L8516" i="3"/>
  <c r="J8516" i="3"/>
  <c r="K8516" i="3" s="1"/>
  <c r="H8516" i="3"/>
  <c r="G8516" i="3"/>
  <c r="I8516" i="3" s="1"/>
  <c r="M8515" i="3"/>
  <c r="L8515" i="3"/>
  <c r="J8515" i="3"/>
  <c r="K8515" i="3" s="1"/>
  <c r="H8515" i="3"/>
  <c r="G8515" i="3"/>
  <c r="I8515" i="3" s="1"/>
  <c r="M8514" i="3"/>
  <c r="L8514" i="3"/>
  <c r="J8514" i="3"/>
  <c r="K8514" i="3" s="1"/>
  <c r="H8514" i="3"/>
  <c r="G8514" i="3"/>
  <c r="M8513" i="3"/>
  <c r="L8513" i="3"/>
  <c r="J8513" i="3"/>
  <c r="K8513" i="3" s="1"/>
  <c r="H8513" i="3"/>
  <c r="G8513" i="3"/>
  <c r="M8512" i="3"/>
  <c r="L8512" i="3"/>
  <c r="J8512" i="3"/>
  <c r="K8512" i="3" s="1"/>
  <c r="H8512" i="3"/>
  <c r="G8512" i="3"/>
  <c r="I8512" i="3" s="1"/>
  <c r="M8511" i="3"/>
  <c r="L8511" i="3"/>
  <c r="J8511" i="3"/>
  <c r="K8511" i="3" s="1"/>
  <c r="H8511" i="3"/>
  <c r="G8511" i="3"/>
  <c r="M8510" i="3"/>
  <c r="L8510" i="3"/>
  <c r="J8510" i="3"/>
  <c r="K8510" i="3" s="1"/>
  <c r="H8510" i="3"/>
  <c r="G8510" i="3"/>
  <c r="M8509" i="3"/>
  <c r="L8509" i="3"/>
  <c r="J8509" i="3"/>
  <c r="K8509" i="3" s="1"/>
  <c r="H8509" i="3"/>
  <c r="G8509" i="3"/>
  <c r="M8508" i="3"/>
  <c r="L8508" i="3"/>
  <c r="J8508" i="3"/>
  <c r="K8508" i="3" s="1"/>
  <c r="H8508" i="3"/>
  <c r="I8508" i="3" s="1"/>
  <c r="G8508" i="3"/>
  <c r="M8507" i="3"/>
  <c r="L8507" i="3"/>
  <c r="J8507" i="3"/>
  <c r="K8507" i="3" s="1"/>
  <c r="H8507" i="3"/>
  <c r="G8507" i="3"/>
  <c r="M8506" i="3"/>
  <c r="L8506" i="3"/>
  <c r="K8506" i="3"/>
  <c r="J8506" i="3"/>
  <c r="H8506" i="3"/>
  <c r="G8506" i="3"/>
  <c r="I8506" i="3" s="1"/>
  <c r="M8505" i="3"/>
  <c r="L8505" i="3"/>
  <c r="J8505" i="3"/>
  <c r="K8505" i="3" s="1"/>
  <c r="H8505" i="3"/>
  <c r="G8505" i="3"/>
  <c r="M8504" i="3"/>
  <c r="L8504" i="3"/>
  <c r="K8504" i="3"/>
  <c r="J8504" i="3"/>
  <c r="H8504" i="3"/>
  <c r="G8504" i="3"/>
  <c r="I8504" i="3" s="1"/>
  <c r="M8503" i="3"/>
  <c r="L8503" i="3"/>
  <c r="J8503" i="3"/>
  <c r="K8503" i="3" s="1"/>
  <c r="H8503" i="3"/>
  <c r="G8503" i="3"/>
  <c r="M8502" i="3"/>
  <c r="L8502" i="3"/>
  <c r="J8502" i="3"/>
  <c r="K8502" i="3" s="1"/>
  <c r="H8502" i="3"/>
  <c r="G8502" i="3"/>
  <c r="M8501" i="3"/>
  <c r="L8501" i="3"/>
  <c r="J8501" i="3"/>
  <c r="K8501" i="3" s="1"/>
  <c r="H8501" i="3"/>
  <c r="G8501" i="3"/>
  <c r="I8501" i="3" s="1"/>
  <c r="M8500" i="3"/>
  <c r="L8500" i="3"/>
  <c r="J8500" i="3"/>
  <c r="K8500" i="3" s="1"/>
  <c r="H8500" i="3"/>
  <c r="G8500" i="3"/>
  <c r="I8500" i="3" s="1"/>
  <c r="M8499" i="3"/>
  <c r="L8499" i="3"/>
  <c r="J8499" i="3"/>
  <c r="K8499" i="3" s="1"/>
  <c r="H8499" i="3"/>
  <c r="G8499" i="3"/>
  <c r="M8498" i="3"/>
  <c r="L8498" i="3"/>
  <c r="J8498" i="3"/>
  <c r="K8498" i="3" s="1"/>
  <c r="H8498" i="3"/>
  <c r="G8498" i="3"/>
  <c r="M8545" i="3"/>
  <c r="L8545" i="3"/>
  <c r="J8545" i="3"/>
  <c r="K8545" i="3" s="1"/>
  <c r="H8545" i="3"/>
  <c r="G8545" i="3"/>
  <c r="I8545" i="3" s="1"/>
  <c r="M8544" i="3"/>
  <c r="L8544" i="3"/>
  <c r="J8544" i="3"/>
  <c r="K8544" i="3" s="1"/>
  <c r="H8544" i="3"/>
  <c r="I8544" i="3" s="1"/>
  <c r="G8544" i="3"/>
  <c r="M8543" i="3"/>
  <c r="L8543" i="3"/>
  <c r="J8543" i="3"/>
  <c r="K8543" i="3" s="1"/>
  <c r="H8543" i="3"/>
  <c r="I8543" i="3" s="1"/>
  <c r="G8543" i="3"/>
  <c r="M8542" i="3"/>
  <c r="L8542" i="3"/>
  <c r="K8542" i="3"/>
  <c r="J8542" i="3"/>
  <c r="H8542" i="3"/>
  <c r="G8542" i="3"/>
  <c r="M8541" i="3"/>
  <c r="L8541" i="3"/>
  <c r="J8541" i="3"/>
  <c r="K8541" i="3" s="1"/>
  <c r="H8541" i="3"/>
  <c r="G8541" i="3"/>
  <c r="M8540" i="3"/>
  <c r="L8540" i="3"/>
  <c r="J8540" i="3"/>
  <c r="K8540" i="3" s="1"/>
  <c r="H8540" i="3"/>
  <c r="G8540" i="3"/>
  <c r="M8539" i="3"/>
  <c r="L8539" i="3"/>
  <c r="J8539" i="3"/>
  <c r="K8539" i="3" s="1"/>
  <c r="H8539" i="3"/>
  <c r="G8539" i="3"/>
  <c r="M8538" i="3"/>
  <c r="L8538" i="3"/>
  <c r="J8538" i="3"/>
  <c r="K8538" i="3" s="1"/>
  <c r="H8538" i="3"/>
  <c r="G8538" i="3"/>
  <c r="M8537" i="3"/>
  <c r="L8537" i="3"/>
  <c r="J8537" i="3"/>
  <c r="K8537" i="3" s="1"/>
  <c r="H8537" i="3"/>
  <c r="G8537" i="3"/>
  <c r="M8536" i="3"/>
  <c r="L8536" i="3"/>
  <c r="J8536" i="3"/>
  <c r="K8536" i="3" s="1"/>
  <c r="H8536" i="3"/>
  <c r="G8536" i="3"/>
  <c r="I8536" i="3" s="1"/>
  <c r="M8535" i="3"/>
  <c r="L8535" i="3"/>
  <c r="J8535" i="3"/>
  <c r="K8535" i="3" s="1"/>
  <c r="H8535" i="3"/>
  <c r="I8535" i="3" s="1"/>
  <c r="G8535" i="3"/>
  <c r="M8534" i="3"/>
  <c r="L8534" i="3"/>
  <c r="K8534" i="3"/>
  <c r="J8534" i="3"/>
  <c r="H8534" i="3"/>
  <c r="G8534" i="3"/>
  <c r="M8533" i="3"/>
  <c r="L8533" i="3"/>
  <c r="J8533" i="3"/>
  <c r="K8533" i="3" s="1"/>
  <c r="H8533" i="3"/>
  <c r="G8533" i="3"/>
  <c r="I8533" i="3" s="1"/>
  <c r="M8532" i="3"/>
  <c r="L8532" i="3"/>
  <c r="J8532" i="3"/>
  <c r="K8532" i="3" s="1"/>
  <c r="H8532" i="3"/>
  <c r="G8532" i="3"/>
  <c r="M8531" i="3"/>
  <c r="L8531" i="3"/>
  <c r="J8531" i="3"/>
  <c r="K8531" i="3" s="1"/>
  <c r="H8531" i="3"/>
  <c r="I8531" i="3" s="1"/>
  <c r="G8531" i="3"/>
  <c r="M8530" i="3"/>
  <c r="L8530" i="3"/>
  <c r="K8530" i="3"/>
  <c r="J8530" i="3"/>
  <c r="H8530" i="3"/>
  <c r="G8530" i="3"/>
  <c r="M8529" i="3"/>
  <c r="L8529" i="3"/>
  <c r="J8529" i="3"/>
  <c r="K8529" i="3" s="1"/>
  <c r="H8529" i="3"/>
  <c r="G8529" i="3"/>
  <c r="M8528" i="3"/>
  <c r="L8528" i="3"/>
  <c r="J8528" i="3"/>
  <c r="K8528" i="3" s="1"/>
  <c r="H8528" i="3"/>
  <c r="G8528" i="3"/>
  <c r="M8527" i="3"/>
  <c r="L8527" i="3"/>
  <c r="J8527" i="3"/>
  <c r="K8527" i="3" s="1"/>
  <c r="H8527" i="3"/>
  <c r="G8527" i="3"/>
  <c r="M8526" i="3"/>
  <c r="L8526" i="3"/>
  <c r="J8526" i="3"/>
  <c r="K8526" i="3" s="1"/>
  <c r="H8526" i="3"/>
  <c r="G8526" i="3"/>
  <c r="M8525" i="3"/>
  <c r="L8525" i="3"/>
  <c r="J8525" i="3"/>
  <c r="K8525" i="3" s="1"/>
  <c r="H8525" i="3"/>
  <c r="G8525" i="3"/>
  <c r="M8524" i="3"/>
  <c r="L8524" i="3"/>
  <c r="J8524" i="3"/>
  <c r="K8524" i="3" s="1"/>
  <c r="H8524" i="3"/>
  <c r="G8524" i="3"/>
  <c r="I8524" i="3" s="1"/>
  <c r="M8523" i="3"/>
  <c r="L8523" i="3"/>
  <c r="J8523" i="3"/>
  <c r="K8523" i="3" s="1"/>
  <c r="H8523" i="3"/>
  <c r="G8523" i="3"/>
  <c r="M8522" i="3"/>
  <c r="L8522" i="3"/>
  <c r="J8522" i="3"/>
  <c r="K8522" i="3" s="1"/>
  <c r="H8522" i="3"/>
  <c r="G8522" i="3"/>
  <c r="M8569" i="3"/>
  <c r="L8569" i="3"/>
  <c r="J8569" i="3"/>
  <c r="K8569" i="3" s="1"/>
  <c r="H8569" i="3"/>
  <c r="G8569" i="3"/>
  <c r="I8569" i="3" s="1"/>
  <c r="M8568" i="3"/>
  <c r="L8568" i="3"/>
  <c r="J8568" i="3"/>
  <c r="K8568" i="3" s="1"/>
  <c r="H8568" i="3"/>
  <c r="G8568" i="3"/>
  <c r="I8568" i="3" s="1"/>
  <c r="M8567" i="3"/>
  <c r="L8567" i="3"/>
  <c r="J8567" i="3"/>
  <c r="K8567" i="3" s="1"/>
  <c r="H8567" i="3"/>
  <c r="I8567" i="3" s="1"/>
  <c r="G8567" i="3"/>
  <c r="M8566" i="3"/>
  <c r="L8566" i="3"/>
  <c r="K8566" i="3"/>
  <c r="J8566" i="3"/>
  <c r="H8566" i="3"/>
  <c r="G8566" i="3"/>
  <c r="I8566" i="3" s="1"/>
  <c r="M8565" i="3"/>
  <c r="L8565" i="3"/>
  <c r="J8565" i="3"/>
  <c r="K8565" i="3" s="1"/>
  <c r="H8565" i="3"/>
  <c r="G8565" i="3"/>
  <c r="M8564" i="3"/>
  <c r="L8564" i="3"/>
  <c r="J8564" i="3"/>
  <c r="K8564" i="3" s="1"/>
  <c r="I8564" i="3"/>
  <c r="H8564" i="3"/>
  <c r="G8564" i="3"/>
  <c r="M8563" i="3"/>
  <c r="L8563" i="3"/>
  <c r="J8563" i="3"/>
  <c r="K8563" i="3" s="1"/>
  <c r="H8563" i="3"/>
  <c r="G8563" i="3"/>
  <c r="M8562" i="3"/>
  <c r="L8562" i="3"/>
  <c r="J8562" i="3"/>
  <c r="K8562" i="3" s="1"/>
  <c r="H8562" i="3"/>
  <c r="G8562" i="3"/>
  <c r="M8561" i="3"/>
  <c r="L8561" i="3"/>
  <c r="J8561" i="3"/>
  <c r="K8561" i="3" s="1"/>
  <c r="H8561" i="3"/>
  <c r="G8561" i="3"/>
  <c r="M8560" i="3"/>
  <c r="L8560" i="3"/>
  <c r="J8560" i="3"/>
  <c r="K8560" i="3" s="1"/>
  <c r="H8560" i="3"/>
  <c r="G8560" i="3"/>
  <c r="M8559" i="3"/>
  <c r="L8559" i="3"/>
  <c r="J8559" i="3"/>
  <c r="K8559" i="3" s="1"/>
  <c r="H8559" i="3"/>
  <c r="G8559" i="3"/>
  <c r="M8558" i="3"/>
  <c r="L8558" i="3"/>
  <c r="J8558" i="3"/>
  <c r="K8558" i="3" s="1"/>
  <c r="H8558" i="3"/>
  <c r="G8558" i="3"/>
  <c r="M8557" i="3"/>
  <c r="L8557" i="3"/>
  <c r="J8557" i="3"/>
  <c r="K8557" i="3" s="1"/>
  <c r="H8557" i="3"/>
  <c r="G8557" i="3"/>
  <c r="M8556" i="3"/>
  <c r="L8556" i="3"/>
  <c r="J8556" i="3"/>
  <c r="K8556" i="3" s="1"/>
  <c r="H8556" i="3"/>
  <c r="G8556" i="3"/>
  <c r="I8556" i="3" s="1"/>
  <c r="M8555" i="3"/>
  <c r="L8555" i="3"/>
  <c r="J8555" i="3"/>
  <c r="K8555" i="3" s="1"/>
  <c r="H8555" i="3"/>
  <c r="G8555" i="3"/>
  <c r="M8554" i="3"/>
  <c r="L8554" i="3"/>
  <c r="J8554" i="3"/>
  <c r="K8554" i="3" s="1"/>
  <c r="H8554" i="3"/>
  <c r="G8554" i="3"/>
  <c r="M8553" i="3"/>
  <c r="L8553" i="3"/>
  <c r="J8553" i="3"/>
  <c r="K8553" i="3" s="1"/>
  <c r="H8553" i="3"/>
  <c r="G8553" i="3"/>
  <c r="M8552" i="3"/>
  <c r="L8552" i="3"/>
  <c r="J8552" i="3"/>
  <c r="K8552" i="3" s="1"/>
  <c r="H8552" i="3"/>
  <c r="G8552" i="3"/>
  <c r="I8552" i="3" s="1"/>
  <c r="M8551" i="3"/>
  <c r="L8551" i="3"/>
  <c r="J8551" i="3"/>
  <c r="K8551" i="3" s="1"/>
  <c r="H8551" i="3"/>
  <c r="G8551" i="3"/>
  <c r="M8550" i="3"/>
  <c r="L8550" i="3"/>
  <c r="J8550" i="3"/>
  <c r="K8550" i="3" s="1"/>
  <c r="H8550" i="3"/>
  <c r="G8550" i="3"/>
  <c r="M8549" i="3"/>
  <c r="L8549" i="3"/>
  <c r="J8549" i="3"/>
  <c r="K8549" i="3" s="1"/>
  <c r="H8549" i="3"/>
  <c r="G8549" i="3"/>
  <c r="M8548" i="3"/>
  <c r="L8548" i="3"/>
  <c r="J8548" i="3"/>
  <c r="K8548" i="3" s="1"/>
  <c r="H8548" i="3"/>
  <c r="G8548" i="3"/>
  <c r="I8548" i="3" s="1"/>
  <c r="M8547" i="3"/>
  <c r="L8547" i="3"/>
  <c r="J8547" i="3"/>
  <c r="K8547" i="3" s="1"/>
  <c r="H8547" i="3"/>
  <c r="G8547" i="3"/>
  <c r="M8546" i="3"/>
  <c r="L8546" i="3"/>
  <c r="J8546" i="3"/>
  <c r="K8546" i="3" s="1"/>
  <c r="H8546" i="3"/>
  <c r="G8546" i="3"/>
  <c r="M8593" i="3"/>
  <c r="L8593" i="3"/>
  <c r="J8593" i="3"/>
  <c r="K8593" i="3" s="1"/>
  <c r="H8593" i="3"/>
  <c r="G8593" i="3"/>
  <c r="M8592" i="3"/>
  <c r="L8592" i="3"/>
  <c r="J8592" i="3"/>
  <c r="K8592" i="3" s="1"/>
  <c r="H8592" i="3"/>
  <c r="G8592" i="3"/>
  <c r="M8591" i="3"/>
  <c r="L8591" i="3"/>
  <c r="J8591" i="3"/>
  <c r="K8591" i="3" s="1"/>
  <c r="H8591" i="3"/>
  <c r="G8591" i="3"/>
  <c r="M8590" i="3"/>
  <c r="L8590" i="3"/>
  <c r="K8590" i="3"/>
  <c r="J8590" i="3"/>
  <c r="H8590" i="3"/>
  <c r="G8590" i="3"/>
  <c r="M8589" i="3"/>
  <c r="L8589" i="3"/>
  <c r="J8589" i="3"/>
  <c r="K8589" i="3" s="1"/>
  <c r="H8589" i="3"/>
  <c r="I8589" i="3" s="1"/>
  <c r="G8589" i="3"/>
  <c r="M8588" i="3"/>
  <c r="L8588" i="3"/>
  <c r="K8588" i="3"/>
  <c r="J8588" i="3"/>
  <c r="H8588" i="3"/>
  <c r="G8588" i="3"/>
  <c r="I8588" i="3" s="1"/>
  <c r="M8587" i="3"/>
  <c r="L8587" i="3"/>
  <c r="J8587" i="3"/>
  <c r="K8587" i="3" s="1"/>
  <c r="H8587" i="3"/>
  <c r="G8587" i="3"/>
  <c r="M8586" i="3"/>
  <c r="L8586" i="3"/>
  <c r="K8586" i="3"/>
  <c r="J8586" i="3"/>
  <c r="H8586" i="3"/>
  <c r="G8586" i="3"/>
  <c r="M8585" i="3"/>
  <c r="L8585" i="3"/>
  <c r="J8585" i="3"/>
  <c r="K8585" i="3" s="1"/>
  <c r="H8585" i="3"/>
  <c r="G8585" i="3"/>
  <c r="M8584" i="3"/>
  <c r="L8584" i="3"/>
  <c r="J8584" i="3"/>
  <c r="K8584" i="3" s="1"/>
  <c r="H8584" i="3"/>
  <c r="G8584" i="3"/>
  <c r="M8583" i="3"/>
  <c r="L8583" i="3"/>
  <c r="J8583" i="3"/>
  <c r="K8583" i="3" s="1"/>
  <c r="H8583" i="3"/>
  <c r="G8583" i="3"/>
  <c r="M8582" i="3"/>
  <c r="L8582" i="3"/>
  <c r="J8582" i="3"/>
  <c r="K8582" i="3" s="1"/>
  <c r="H8582" i="3"/>
  <c r="G8582" i="3"/>
  <c r="M8581" i="3"/>
  <c r="L8581" i="3"/>
  <c r="J8581" i="3"/>
  <c r="K8581" i="3" s="1"/>
  <c r="H8581" i="3"/>
  <c r="G8581" i="3"/>
  <c r="I8581" i="3" s="1"/>
  <c r="M8580" i="3"/>
  <c r="L8580" i="3"/>
  <c r="J8580" i="3"/>
  <c r="K8580" i="3" s="1"/>
  <c r="H8580" i="3"/>
  <c r="G8580" i="3"/>
  <c r="I8580" i="3" s="1"/>
  <c r="M8579" i="3"/>
  <c r="L8579" i="3"/>
  <c r="J8579" i="3"/>
  <c r="K8579" i="3" s="1"/>
  <c r="H8579" i="3"/>
  <c r="G8579" i="3"/>
  <c r="M8578" i="3"/>
  <c r="L8578" i="3"/>
  <c r="K8578" i="3"/>
  <c r="J8578" i="3"/>
  <c r="H8578" i="3"/>
  <c r="G8578" i="3"/>
  <c r="I8578" i="3" s="1"/>
  <c r="M8577" i="3"/>
  <c r="L8577" i="3"/>
  <c r="J8577" i="3"/>
  <c r="K8577" i="3" s="1"/>
  <c r="H8577" i="3"/>
  <c r="G8577" i="3"/>
  <c r="M8576" i="3"/>
  <c r="L8576" i="3"/>
  <c r="J8576" i="3"/>
  <c r="K8576" i="3" s="1"/>
  <c r="H8576" i="3"/>
  <c r="G8576" i="3"/>
  <c r="M8575" i="3"/>
  <c r="L8575" i="3"/>
  <c r="J8575" i="3"/>
  <c r="K8575" i="3" s="1"/>
  <c r="H8575" i="3"/>
  <c r="G8575" i="3"/>
  <c r="M8574" i="3"/>
  <c r="L8574" i="3"/>
  <c r="K8574" i="3"/>
  <c r="J8574" i="3"/>
  <c r="H8574" i="3"/>
  <c r="G8574" i="3"/>
  <c r="I8574" i="3" s="1"/>
  <c r="M8573" i="3"/>
  <c r="L8573" i="3"/>
  <c r="J8573" i="3"/>
  <c r="K8573" i="3" s="1"/>
  <c r="H8573" i="3"/>
  <c r="I8573" i="3" s="1"/>
  <c r="G8573" i="3"/>
  <c r="M8572" i="3"/>
  <c r="L8572" i="3"/>
  <c r="J8572" i="3"/>
  <c r="K8572" i="3" s="1"/>
  <c r="H8572" i="3"/>
  <c r="G8572" i="3"/>
  <c r="M8571" i="3"/>
  <c r="L8571" i="3"/>
  <c r="J8571" i="3"/>
  <c r="K8571" i="3" s="1"/>
  <c r="H8571" i="3"/>
  <c r="G8571" i="3"/>
  <c r="M8570" i="3"/>
  <c r="L8570" i="3"/>
  <c r="J8570" i="3"/>
  <c r="K8570" i="3" s="1"/>
  <c r="H8570" i="3"/>
  <c r="G8570" i="3"/>
  <c r="M8617" i="3"/>
  <c r="L8617" i="3"/>
  <c r="J8617" i="3"/>
  <c r="K8617" i="3" s="1"/>
  <c r="H8617" i="3"/>
  <c r="G8617" i="3"/>
  <c r="M8616" i="3"/>
  <c r="L8616" i="3"/>
  <c r="J8616" i="3"/>
  <c r="K8616" i="3" s="1"/>
  <c r="H8616" i="3"/>
  <c r="G8616" i="3"/>
  <c r="I8616" i="3" s="1"/>
  <c r="M8615" i="3"/>
  <c r="L8615" i="3"/>
  <c r="J8615" i="3"/>
  <c r="K8615" i="3" s="1"/>
  <c r="H8615" i="3"/>
  <c r="G8615" i="3"/>
  <c r="M8614" i="3"/>
  <c r="L8614" i="3"/>
  <c r="J8614" i="3"/>
  <c r="K8614" i="3" s="1"/>
  <c r="H8614" i="3"/>
  <c r="G8614" i="3"/>
  <c r="M8613" i="3"/>
  <c r="L8613" i="3"/>
  <c r="J8613" i="3"/>
  <c r="K8613" i="3" s="1"/>
  <c r="H8613" i="3"/>
  <c r="G8613" i="3"/>
  <c r="M8612" i="3"/>
  <c r="L8612" i="3"/>
  <c r="J8612" i="3"/>
  <c r="K8612" i="3" s="1"/>
  <c r="H8612" i="3"/>
  <c r="G8612" i="3"/>
  <c r="I8612" i="3" s="1"/>
  <c r="M8611" i="3"/>
  <c r="L8611" i="3"/>
  <c r="J8611" i="3"/>
  <c r="K8611" i="3" s="1"/>
  <c r="H8611" i="3"/>
  <c r="G8611" i="3"/>
  <c r="M8610" i="3"/>
  <c r="L8610" i="3"/>
  <c r="J8610" i="3"/>
  <c r="K8610" i="3" s="1"/>
  <c r="H8610" i="3"/>
  <c r="G8610" i="3"/>
  <c r="M8609" i="3"/>
  <c r="L8609" i="3"/>
  <c r="J8609" i="3"/>
  <c r="K8609" i="3" s="1"/>
  <c r="H8609" i="3"/>
  <c r="G8609" i="3"/>
  <c r="M8608" i="3"/>
  <c r="L8608" i="3"/>
  <c r="J8608" i="3"/>
  <c r="K8608" i="3" s="1"/>
  <c r="H8608" i="3"/>
  <c r="G8608" i="3"/>
  <c r="I8608" i="3" s="1"/>
  <c r="M8607" i="3"/>
  <c r="L8607" i="3"/>
  <c r="J8607" i="3"/>
  <c r="K8607" i="3" s="1"/>
  <c r="H8607" i="3"/>
  <c r="G8607" i="3"/>
  <c r="M8606" i="3"/>
  <c r="L8606" i="3"/>
  <c r="J8606" i="3"/>
  <c r="K8606" i="3" s="1"/>
  <c r="H8606" i="3"/>
  <c r="G8606" i="3"/>
  <c r="M8605" i="3"/>
  <c r="L8605" i="3"/>
  <c r="J8605" i="3"/>
  <c r="K8605" i="3" s="1"/>
  <c r="H8605" i="3"/>
  <c r="G8605" i="3"/>
  <c r="M8604" i="3"/>
  <c r="L8604" i="3"/>
  <c r="J8604" i="3"/>
  <c r="K8604" i="3" s="1"/>
  <c r="H8604" i="3"/>
  <c r="G8604" i="3"/>
  <c r="I8604" i="3" s="1"/>
  <c r="M8603" i="3"/>
  <c r="L8603" i="3"/>
  <c r="J8603" i="3"/>
  <c r="K8603" i="3" s="1"/>
  <c r="H8603" i="3"/>
  <c r="G8603" i="3"/>
  <c r="M8602" i="3"/>
  <c r="L8602" i="3"/>
  <c r="J8602" i="3"/>
  <c r="K8602" i="3" s="1"/>
  <c r="H8602" i="3"/>
  <c r="G8602" i="3"/>
  <c r="M8601" i="3"/>
  <c r="L8601" i="3"/>
  <c r="J8601" i="3"/>
  <c r="K8601" i="3" s="1"/>
  <c r="H8601" i="3"/>
  <c r="G8601" i="3"/>
  <c r="M8600" i="3"/>
  <c r="L8600" i="3"/>
  <c r="J8600" i="3"/>
  <c r="K8600" i="3" s="1"/>
  <c r="H8600" i="3"/>
  <c r="G8600" i="3"/>
  <c r="I8600" i="3" s="1"/>
  <c r="M8599" i="3"/>
  <c r="L8599" i="3"/>
  <c r="J8599" i="3"/>
  <c r="K8599" i="3" s="1"/>
  <c r="H8599" i="3"/>
  <c r="G8599" i="3"/>
  <c r="M8598" i="3"/>
  <c r="L8598" i="3"/>
  <c r="J8598" i="3"/>
  <c r="K8598" i="3" s="1"/>
  <c r="H8598" i="3"/>
  <c r="G8598" i="3"/>
  <c r="M8597" i="3"/>
  <c r="L8597" i="3"/>
  <c r="J8597" i="3"/>
  <c r="K8597" i="3" s="1"/>
  <c r="H8597" i="3"/>
  <c r="G8597" i="3"/>
  <c r="M8596" i="3"/>
  <c r="L8596" i="3"/>
  <c r="J8596" i="3"/>
  <c r="K8596" i="3" s="1"/>
  <c r="H8596" i="3"/>
  <c r="G8596" i="3"/>
  <c r="I8596" i="3" s="1"/>
  <c r="M8595" i="3"/>
  <c r="L8595" i="3"/>
  <c r="J8595" i="3"/>
  <c r="K8595" i="3" s="1"/>
  <c r="H8595" i="3"/>
  <c r="G8595" i="3"/>
  <c r="M8594" i="3"/>
  <c r="L8594" i="3"/>
  <c r="J8594" i="3"/>
  <c r="K8594" i="3" s="1"/>
  <c r="H8594" i="3"/>
  <c r="G8594" i="3"/>
  <c r="M8641" i="3"/>
  <c r="L8641" i="3"/>
  <c r="J8641" i="3"/>
  <c r="K8641" i="3" s="1"/>
  <c r="H8641" i="3"/>
  <c r="G8641" i="3"/>
  <c r="M8640" i="3"/>
  <c r="L8640" i="3"/>
  <c r="J8640" i="3"/>
  <c r="K8640" i="3" s="1"/>
  <c r="H8640" i="3"/>
  <c r="G8640" i="3"/>
  <c r="I8640" i="3" s="1"/>
  <c r="M8639" i="3"/>
  <c r="L8639" i="3"/>
  <c r="J8639" i="3"/>
  <c r="K8639" i="3" s="1"/>
  <c r="H8639" i="3"/>
  <c r="G8639" i="3"/>
  <c r="M8638" i="3"/>
  <c r="L8638" i="3"/>
  <c r="J8638" i="3"/>
  <c r="K8638" i="3" s="1"/>
  <c r="H8638" i="3"/>
  <c r="G8638" i="3"/>
  <c r="M8637" i="3"/>
  <c r="L8637" i="3"/>
  <c r="J8637" i="3"/>
  <c r="K8637" i="3" s="1"/>
  <c r="H8637" i="3"/>
  <c r="G8637" i="3"/>
  <c r="M8636" i="3"/>
  <c r="L8636" i="3"/>
  <c r="J8636" i="3"/>
  <c r="K8636" i="3" s="1"/>
  <c r="H8636" i="3"/>
  <c r="G8636" i="3"/>
  <c r="I8636" i="3" s="1"/>
  <c r="M8635" i="3"/>
  <c r="L8635" i="3"/>
  <c r="J8635" i="3"/>
  <c r="K8635" i="3" s="1"/>
  <c r="H8635" i="3"/>
  <c r="G8635" i="3"/>
  <c r="M8634" i="3"/>
  <c r="L8634" i="3"/>
  <c r="J8634" i="3"/>
  <c r="K8634" i="3" s="1"/>
  <c r="H8634" i="3"/>
  <c r="G8634" i="3"/>
  <c r="M8633" i="3"/>
  <c r="L8633" i="3"/>
  <c r="J8633" i="3"/>
  <c r="K8633" i="3" s="1"/>
  <c r="H8633" i="3"/>
  <c r="G8633" i="3"/>
  <c r="I8633" i="3" s="1"/>
  <c r="M8632" i="3"/>
  <c r="L8632" i="3"/>
  <c r="J8632" i="3"/>
  <c r="K8632" i="3" s="1"/>
  <c r="H8632" i="3"/>
  <c r="G8632" i="3"/>
  <c r="I8632" i="3" s="1"/>
  <c r="M8631" i="3"/>
  <c r="L8631" i="3"/>
  <c r="J8631" i="3"/>
  <c r="K8631" i="3" s="1"/>
  <c r="H8631" i="3"/>
  <c r="I8631" i="3" s="1"/>
  <c r="G8631" i="3"/>
  <c r="M8630" i="3"/>
  <c r="L8630" i="3"/>
  <c r="K8630" i="3"/>
  <c r="J8630" i="3"/>
  <c r="H8630" i="3"/>
  <c r="G8630" i="3"/>
  <c r="I8630" i="3" s="1"/>
  <c r="M8629" i="3"/>
  <c r="L8629" i="3"/>
  <c r="J8629" i="3"/>
  <c r="K8629" i="3" s="1"/>
  <c r="H8629" i="3"/>
  <c r="G8629" i="3"/>
  <c r="M8628" i="3"/>
  <c r="L8628" i="3"/>
  <c r="J8628" i="3"/>
  <c r="K8628" i="3" s="1"/>
  <c r="H8628" i="3"/>
  <c r="G8628" i="3"/>
  <c r="M8627" i="3"/>
  <c r="L8627" i="3"/>
  <c r="J8627" i="3"/>
  <c r="K8627" i="3" s="1"/>
  <c r="H8627" i="3"/>
  <c r="G8627" i="3"/>
  <c r="M8626" i="3"/>
  <c r="L8626" i="3"/>
  <c r="J8626" i="3"/>
  <c r="K8626" i="3" s="1"/>
  <c r="H8626" i="3"/>
  <c r="G8626" i="3"/>
  <c r="M8625" i="3"/>
  <c r="L8625" i="3"/>
  <c r="J8625" i="3"/>
  <c r="K8625" i="3" s="1"/>
  <c r="H8625" i="3"/>
  <c r="G8625" i="3"/>
  <c r="I8625" i="3" s="1"/>
  <c r="M8624" i="3"/>
  <c r="L8624" i="3"/>
  <c r="J8624" i="3"/>
  <c r="K8624" i="3" s="1"/>
  <c r="H8624" i="3"/>
  <c r="G8624" i="3"/>
  <c r="M8623" i="3"/>
  <c r="L8623" i="3"/>
  <c r="J8623" i="3"/>
  <c r="K8623" i="3" s="1"/>
  <c r="H8623" i="3"/>
  <c r="I8623" i="3" s="1"/>
  <c r="G8623" i="3"/>
  <c r="M8622" i="3"/>
  <c r="L8622" i="3"/>
  <c r="K8622" i="3"/>
  <c r="J8622" i="3"/>
  <c r="H8622" i="3"/>
  <c r="G8622" i="3"/>
  <c r="I8622" i="3" s="1"/>
  <c r="M8621" i="3"/>
  <c r="L8621" i="3"/>
  <c r="J8621" i="3"/>
  <c r="K8621" i="3" s="1"/>
  <c r="H8621" i="3"/>
  <c r="G8621" i="3"/>
  <c r="M8620" i="3"/>
  <c r="L8620" i="3"/>
  <c r="J8620" i="3"/>
  <c r="K8620" i="3" s="1"/>
  <c r="H8620" i="3"/>
  <c r="G8620" i="3"/>
  <c r="M8619" i="3"/>
  <c r="L8619" i="3"/>
  <c r="J8619" i="3"/>
  <c r="K8619" i="3" s="1"/>
  <c r="H8619" i="3"/>
  <c r="G8619" i="3"/>
  <c r="M8618" i="3"/>
  <c r="L8618" i="3"/>
  <c r="J8618" i="3"/>
  <c r="K8618" i="3" s="1"/>
  <c r="H8618" i="3"/>
  <c r="G8618" i="3"/>
  <c r="M8665" i="3"/>
  <c r="L8665" i="3"/>
  <c r="J8665" i="3"/>
  <c r="K8665" i="3" s="1"/>
  <c r="H8665" i="3"/>
  <c r="G8665" i="3"/>
  <c r="M8664" i="3"/>
  <c r="L8664" i="3"/>
  <c r="J8664" i="3"/>
  <c r="K8664" i="3" s="1"/>
  <c r="H8664" i="3"/>
  <c r="G8664" i="3"/>
  <c r="I8664" i="3" s="1"/>
  <c r="M8663" i="3"/>
  <c r="L8663" i="3"/>
  <c r="J8663" i="3"/>
  <c r="K8663" i="3" s="1"/>
  <c r="H8663" i="3"/>
  <c r="G8663" i="3"/>
  <c r="M8662" i="3"/>
  <c r="L8662" i="3"/>
  <c r="J8662" i="3"/>
  <c r="K8662" i="3" s="1"/>
  <c r="H8662" i="3"/>
  <c r="G8662" i="3"/>
  <c r="M8661" i="3"/>
  <c r="L8661" i="3"/>
  <c r="J8661" i="3"/>
  <c r="K8661" i="3" s="1"/>
  <c r="H8661" i="3"/>
  <c r="G8661" i="3"/>
  <c r="M8660" i="3"/>
  <c r="L8660" i="3"/>
  <c r="J8660" i="3"/>
  <c r="K8660" i="3" s="1"/>
  <c r="I8660" i="3"/>
  <c r="H8660" i="3"/>
  <c r="G8660" i="3"/>
  <c r="M8659" i="3"/>
  <c r="L8659" i="3"/>
  <c r="J8659" i="3"/>
  <c r="K8659" i="3" s="1"/>
  <c r="H8659" i="3"/>
  <c r="G8659" i="3"/>
  <c r="I8659" i="3" s="1"/>
  <c r="M8658" i="3"/>
  <c r="L8658" i="3"/>
  <c r="J8658" i="3"/>
  <c r="K8658" i="3" s="1"/>
  <c r="H8658" i="3"/>
  <c r="G8658" i="3"/>
  <c r="I8658" i="3" s="1"/>
  <c r="M8657" i="3"/>
  <c r="L8657" i="3"/>
  <c r="J8657" i="3"/>
  <c r="K8657" i="3" s="1"/>
  <c r="H8657" i="3"/>
  <c r="I8657" i="3" s="1"/>
  <c r="G8657" i="3"/>
  <c r="M8656" i="3"/>
  <c r="L8656" i="3"/>
  <c r="K8656" i="3"/>
  <c r="J8656" i="3"/>
  <c r="H8656" i="3"/>
  <c r="G8656" i="3"/>
  <c r="I8656" i="3" s="1"/>
  <c r="M8655" i="3"/>
  <c r="L8655" i="3"/>
  <c r="J8655" i="3"/>
  <c r="K8655" i="3" s="1"/>
  <c r="H8655" i="3"/>
  <c r="G8655" i="3"/>
  <c r="I8655" i="3" s="1"/>
  <c r="M8654" i="3"/>
  <c r="L8654" i="3"/>
  <c r="J8654" i="3"/>
  <c r="K8654" i="3" s="1"/>
  <c r="H8654" i="3"/>
  <c r="G8654" i="3"/>
  <c r="M8653" i="3"/>
  <c r="L8653" i="3"/>
  <c r="J8653" i="3"/>
  <c r="K8653" i="3" s="1"/>
  <c r="H8653" i="3"/>
  <c r="G8653" i="3"/>
  <c r="M8652" i="3"/>
  <c r="L8652" i="3"/>
  <c r="J8652" i="3"/>
  <c r="K8652" i="3" s="1"/>
  <c r="H8652" i="3"/>
  <c r="G8652" i="3"/>
  <c r="I8652" i="3" s="1"/>
  <c r="M8651" i="3"/>
  <c r="L8651" i="3"/>
  <c r="J8651" i="3"/>
  <c r="K8651" i="3" s="1"/>
  <c r="H8651" i="3"/>
  <c r="G8651" i="3"/>
  <c r="M8650" i="3"/>
  <c r="L8650" i="3"/>
  <c r="J8650" i="3"/>
  <c r="K8650" i="3" s="1"/>
  <c r="H8650" i="3"/>
  <c r="G8650" i="3"/>
  <c r="M8649" i="3"/>
  <c r="L8649" i="3"/>
  <c r="J8649" i="3"/>
  <c r="K8649" i="3" s="1"/>
  <c r="H8649" i="3"/>
  <c r="G8649" i="3"/>
  <c r="I8649" i="3" s="1"/>
  <c r="M8648" i="3"/>
  <c r="L8648" i="3"/>
  <c r="J8648" i="3"/>
  <c r="K8648" i="3" s="1"/>
  <c r="H8648" i="3"/>
  <c r="G8648" i="3"/>
  <c r="I8648" i="3" s="1"/>
  <c r="M8647" i="3"/>
  <c r="L8647" i="3"/>
  <c r="J8647" i="3"/>
  <c r="K8647" i="3" s="1"/>
  <c r="H8647" i="3"/>
  <c r="G8647" i="3"/>
  <c r="M8646" i="3"/>
  <c r="L8646" i="3"/>
  <c r="J8646" i="3"/>
  <c r="K8646" i="3" s="1"/>
  <c r="H8646" i="3"/>
  <c r="G8646" i="3"/>
  <c r="M8645" i="3"/>
  <c r="L8645" i="3"/>
  <c r="J8645" i="3"/>
  <c r="K8645" i="3" s="1"/>
  <c r="H8645" i="3"/>
  <c r="G8645" i="3"/>
  <c r="I8645" i="3" s="1"/>
  <c r="M8644" i="3"/>
  <c r="L8644" i="3"/>
  <c r="J8644" i="3"/>
  <c r="K8644" i="3" s="1"/>
  <c r="H8644" i="3"/>
  <c r="G8644" i="3"/>
  <c r="M8643" i="3"/>
  <c r="L8643" i="3"/>
  <c r="K8643" i="3"/>
  <c r="J8643" i="3"/>
  <c r="H8643" i="3"/>
  <c r="G8643" i="3"/>
  <c r="I8643" i="3" s="1"/>
  <c r="M8642" i="3"/>
  <c r="L8642" i="3"/>
  <c r="J8642" i="3"/>
  <c r="K8642" i="3" s="1"/>
  <c r="H8642" i="3"/>
  <c r="G8642" i="3"/>
  <c r="M8689" i="3"/>
  <c r="L8689" i="3"/>
  <c r="J8689" i="3"/>
  <c r="K8689" i="3" s="1"/>
  <c r="H8689" i="3"/>
  <c r="G8689" i="3"/>
  <c r="M8688" i="3"/>
  <c r="L8688" i="3"/>
  <c r="J8688" i="3"/>
  <c r="K8688" i="3" s="1"/>
  <c r="H8688" i="3"/>
  <c r="G8688" i="3"/>
  <c r="I8688" i="3" s="1"/>
  <c r="M8687" i="3"/>
  <c r="L8687" i="3"/>
  <c r="J8687" i="3"/>
  <c r="K8687" i="3" s="1"/>
  <c r="H8687" i="3"/>
  <c r="G8687" i="3"/>
  <c r="I8687" i="3" s="1"/>
  <c r="M8686" i="3"/>
  <c r="L8686" i="3"/>
  <c r="J8686" i="3"/>
  <c r="K8686" i="3" s="1"/>
  <c r="H8686" i="3"/>
  <c r="G8686" i="3"/>
  <c r="M8685" i="3"/>
  <c r="L8685" i="3"/>
  <c r="J8685" i="3"/>
  <c r="K8685" i="3" s="1"/>
  <c r="H8685" i="3"/>
  <c r="I8685" i="3" s="1"/>
  <c r="G8685" i="3"/>
  <c r="M8684" i="3"/>
  <c r="L8684" i="3"/>
  <c r="K8684" i="3"/>
  <c r="J8684" i="3"/>
  <c r="H8684" i="3"/>
  <c r="G8684" i="3"/>
  <c r="M8683" i="3"/>
  <c r="L8683" i="3"/>
  <c r="J8683" i="3"/>
  <c r="K8683" i="3" s="1"/>
  <c r="H8683" i="3"/>
  <c r="G8683" i="3"/>
  <c r="M8682" i="3"/>
  <c r="L8682" i="3"/>
  <c r="J8682" i="3"/>
  <c r="K8682" i="3" s="1"/>
  <c r="H8682" i="3"/>
  <c r="G8682" i="3"/>
  <c r="M8681" i="3"/>
  <c r="L8681" i="3"/>
  <c r="J8681" i="3"/>
  <c r="K8681" i="3" s="1"/>
  <c r="H8681" i="3"/>
  <c r="G8681" i="3"/>
  <c r="M8680" i="3"/>
  <c r="L8680" i="3"/>
  <c r="J8680" i="3"/>
  <c r="K8680" i="3" s="1"/>
  <c r="H8680" i="3"/>
  <c r="G8680" i="3"/>
  <c r="M8679" i="3"/>
  <c r="L8679" i="3"/>
  <c r="J8679" i="3"/>
  <c r="K8679" i="3" s="1"/>
  <c r="H8679" i="3"/>
  <c r="G8679" i="3"/>
  <c r="M8678" i="3"/>
  <c r="L8678" i="3"/>
  <c r="K8678" i="3"/>
  <c r="J8678" i="3"/>
  <c r="H8678" i="3"/>
  <c r="G8678" i="3"/>
  <c r="I8678" i="3" s="1"/>
  <c r="M8677" i="3"/>
  <c r="L8677" i="3"/>
  <c r="J8677" i="3"/>
  <c r="K8677" i="3" s="1"/>
  <c r="I8677" i="3"/>
  <c r="H8677" i="3"/>
  <c r="G8677" i="3"/>
  <c r="M8676" i="3"/>
  <c r="L8676" i="3"/>
  <c r="J8676" i="3"/>
  <c r="K8676" i="3" s="1"/>
  <c r="H8676" i="3"/>
  <c r="G8676" i="3"/>
  <c r="I8676" i="3" s="1"/>
  <c r="M8675" i="3"/>
  <c r="L8675" i="3"/>
  <c r="J8675" i="3"/>
  <c r="K8675" i="3" s="1"/>
  <c r="H8675" i="3"/>
  <c r="G8675" i="3"/>
  <c r="M8674" i="3"/>
  <c r="L8674" i="3"/>
  <c r="J8674" i="3"/>
  <c r="K8674" i="3" s="1"/>
  <c r="H8674" i="3"/>
  <c r="G8674" i="3"/>
  <c r="M8673" i="3"/>
  <c r="L8673" i="3"/>
  <c r="J8673" i="3"/>
  <c r="K8673" i="3" s="1"/>
  <c r="H8673" i="3"/>
  <c r="G8673" i="3"/>
  <c r="I8673" i="3" s="1"/>
  <c r="M8672" i="3"/>
  <c r="L8672" i="3"/>
  <c r="J8672" i="3"/>
  <c r="K8672" i="3" s="1"/>
  <c r="H8672" i="3"/>
  <c r="G8672" i="3"/>
  <c r="M8671" i="3"/>
  <c r="L8671" i="3"/>
  <c r="J8671" i="3"/>
  <c r="K8671" i="3" s="1"/>
  <c r="H8671" i="3"/>
  <c r="G8671" i="3"/>
  <c r="M8670" i="3"/>
  <c r="L8670" i="3"/>
  <c r="K8670" i="3"/>
  <c r="J8670" i="3"/>
  <c r="H8670" i="3"/>
  <c r="G8670" i="3"/>
  <c r="I8670" i="3" s="1"/>
  <c r="M8669" i="3"/>
  <c r="L8669" i="3"/>
  <c r="J8669" i="3"/>
  <c r="K8669" i="3" s="1"/>
  <c r="I8669" i="3"/>
  <c r="H8669" i="3"/>
  <c r="G8669" i="3"/>
  <c r="M8668" i="3"/>
  <c r="L8668" i="3"/>
  <c r="J8668" i="3"/>
  <c r="K8668" i="3" s="1"/>
  <c r="H8668" i="3"/>
  <c r="G8668" i="3"/>
  <c r="I8668" i="3" s="1"/>
  <c r="M8667" i="3"/>
  <c r="L8667" i="3"/>
  <c r="J8667" i="3"/>
  <c r="K8667" i="3" s="1"/>
  <c r="H8667" i="3"/>
  <c r="G8667" i="3"/>
  <c r="M8666" i="3"/>
  <c r="L8666" i="3"/>
  <c r="J8666" i="3"/>
  <c r="K8666" i="3" s="1"/>
  <c r="H8666" i="3"/>
  <c r="G8666" i="3"/>
  <c r="M8713" i="3"/>
  <c r="L8713" i="3"/>
  <c r="J8713" i="3"/>
  <c r="K8713" i="3" s="1"/>
  <c r="H8713" i="3"/>
  <c r="G8713" i="3"/>
  <c r="M8712" i="3"/>
  <c r="L8712" i="3"/>
  <c r="J8712" i="3"/>
  <c r="K8712" i="3" s="1"/>
  <c r="H8712" i="3"/>
  <c r="G8712" i="3"/>
  <c r="M8711" i="3"/>
  <c r="L8711" i="3"/>
  <c r="J8711" i="3"/>
  <c r="K8711" i="3" s="1"/>
  <c r="H8711" i="3"/>
  <c r="G8711" i="3"/>
  <c r="M8710" i="3"/>
  <c r="L8710" i="3"/>
  <c r="K8710" i="3"/>
  <c r="J8710" i="3"/>
  <c r="H8710" i="3"/>
  <c r="G8710" i="3"/>
  <c r="I8710" i="3" s="1"/>
  <c r="M8709" i="3"/>
  <c r="L8709" i="3"/>
  <c r="J8709" i="3"/>
  <c r="K8709" i="3" s="1"/>
  <c r="H8709" i="3"/>
  <c r="I8709" i="3" s="1"/>
  <c r="G8709" i="3"/>
  <c r="M8708" i="3"/>
  <c r="L8708" i="3"/>
  <c r="K8708" i="3"/>
  <c r="J8708" i="3"/>
  <c r="H8708" i="3"/>
  <c r="G8708" i="3"/>
  <c r="I8708" i="3" s="1"/>
  <c r="M8707" i="3"/>
  <c r="L8707" i="3"/>
  <c r="J8707" i="3"/>
  <c r="K8707" i="3" s="1"/>
  <c r="H8707" i="3"/>
  <c r="G8707" i="3"/>
  <c r="M8706" i="3"/>
  <c r="L8706" i="3"/>
  <c r="J8706" i="3"/>
  <c r="K8706" i="3" s="1"/>
  <c r="H8706" i="3"/>
  <c r="G8706" i="3"/>
  <c r="M8705" i="3"/>
  <c r="L8705" i="3"/>
  <c r="J8705" i="3"/>
  <c r="K8705" i="3" s="1"/>
  <c r="H8705" i="3"/>
  <c r="G8705" i="3"/>
  <c r="M8704" i="3"/>
  <c r="L8704" i="3"/>
  <c r="J8704" i="3"/>
  <c r="K8704" i="3" s="1"/>
  <c r="H8704" i="3"/>
  <c r="G8704" i="3"/>
  <c r="I8704" i="3" s="1"/>
  <c r="M8703" i="3"/>
  <c r="L8703" i="3"/>
  <c r="J8703" i="3"/>
  <c r="K8703" i="3" s="1"/>
  <c r="H8703" i="3"/>
  <c r="G8703" i="3"/>
  <c r="M8702" i="3"/>
  <c r="L8702" i="3"/>
  <c r="K8702" i="3"/>
  <c r="J8702" i="3"/>
  <c r="H8702" i="3"/>
  <c r="G8702" i="3"/>
  <c r="I8702" i="3" s="1"/>
  <c r="M8701" i="3"/>
  <c r="L8701" i="3"/>
  <c r="J8701" i="3"/>
  <c r="K8701" i="3" s="1"/>
  <c r="H8701" i="3"/>
  <c r="G8701" i="3"/>
  <c r="M8700" i="3"/>
  <c r="L8700" i="3"/>
  <c r="J8700" i="3"/>
  <c r="K8700" i="3" s="1"/>
  <c r="H8700" i="3"/>
  <c r="G8700" i="3"/>
  <c r="M8699" i="3"/>
  <c r="L8699" i="3"/>
  <c r="J8699" i="3"/>
  <c r="K8699" i="3" s="1"/>
  <c r="H8699" i="3"/>
  <c r="G8699" i="3"/>
  <c r="M8698" i="3"/>
  <c r="L8698" i="3"/>
  <c r="K8698" i="3"/>
  <c r="J8698" i="3"/>
  <c r="H8698" i="3"/>
  <c r="G8698" i="3"/>
  <c r="I8698" i="3" s="1"/>
  <c r="M8697" i="3"/>
  <c r="L8697" i="3"/>
  <c r="J8697" i="3"/>
  <c r="K8697" i="3" s="1"/>
  <c r="H8697" i="3"/>
  <c r="I8697" i="3" s="1"/>
  <c r="G8697" i="3"/>
  <c r="M8696" i="3"/>
  <c r="L8696" i="3"/>
  <c r="J8696" i="3"/>
  <c r="K8696" i="3" s="1"/>
  <c r="H8696" i="3"/>
  <c r="G8696" i="3"/>
  <c r="M8695" i="3"/>
  <c r="L8695" i="3"/>
  <c r="J8695" i="3"/>
  <c r="K8695" i="3" s="1"/>
  <c r="H8695" i="3"/>
  <c r="G8695" i="3"/>
  <c r="M8694" i="3"/>
  <c r="L8694" i="3"/>
  <c r="J8694" i="3"/>
  <c r="K8694" i="3" s="1"/>
  <c r="H8694" i="3"/>
  <c r="G8694" i="3"/>
  <c r="M8693" i="3"/>
  <c r="L8693" i="3"/>
  <c r="J8693" i="3"/>
  <c r="K8693" i="3" s="1"/>
  <c r="H8693" i="3"/>
  <c r="I8693" i="3" s="1"/>
  <c r="G8693" i="3"/>
  <c r="M8692" i="3"/>
  <c r="L8692" i="3"/>
  <c r="J8692" i="3"/>
  <c r="K8692" i="3" s="1"/>
  <c r="H8692" i="3"/>
  <c r="G8692" i="3"/>
  <c r="I8692" i="3" s="1"/>
  <c r="M8691" i="3"/>
  <c r="L8691" i="3"/>
  <c r="J8691" i="3"/>
  <c r="K8691" i="3" s="1"/>
  <c r="H8691" i="3"/>
  <c r="G8691" i="3"/>
  <c r="M8690" i="3"/>
  <c r="L8690" i="3"/>
  <c r="J8690" i="3"/>
  <c r="K8690" i="3" s="1"/>
  <c r="H8690" i="3"/>
  <c r="G8690" i="3"/>
  <c r="M8737" i="3"/>
  <c r="L8737" i="3"/>
  <c r="J8737" i="3"/>
  <c r="K8737" i="3" s="1"/>
  <c r="H8737" i="3"/>
  <c r="G8737" i="3"/>
  <c r="M8736" i="3"/>
  <c r="L8736" i="3"/>
  <c r="J8736" i="3"/>
  <c r="K8736" i="3" s="1"/>
  <c r="H8736" i="3"/>
  <c r="I8736" i="3" s="1"/>
  <c r="G8736" i="3"/>
  <c r="M8735" i="3"/>
  <c r="L8735" i="3"/>
  <c r="J8735" i="3"/>
  <c r="K8735" i="3" s="1"/>
  <c r="H8735" i="3"/>
  <c r="G8735" i="3"/>
  <c r="M8734" i="3"/>
  <c r="L8734" i="3"/>
  <c r="J8734" i="3"/>
  <c r="K8734" i="3" s="1"/>
  <c r="H8734" i="3"/>
  <c r="G8734" i="3"/>
  <c r="M8733" i="3"/>
  <c r="L8733" i="3"/>
  <c r="J8733" i="3"/>
  <c r="K8733" i="3" s="1"/>
  <c r="H8733" i="3"/>
  <c r="G8733" i="3"/>
  <c r="M8732" i="3"/>
  <c r="L8732" i="3"/>
  <c r="J8732" i="3"/>
  <c r="K8732" i="3" s="1"/>
  <c r="H8732" i="3"/>
  <c r="I8732" i="3" s="1"/>
  <c r="G8732" i="3"/>
  <c r="M8731" i="3"/>
  <c r="L8731" i="3"/>
  <c r="K8731" i="3"/>
  <c r="J8731" i="3"/>
  <c r="H8731" i="3"/>
  <c r="G8731" i="3"/>
  <c r="I8731" i="3" s="1"/>
  <c r="M8730" i="3"/>
  <c r="L8730" i="3"/>
  <c r="J8730" i="3"/>
  <c r="K8730" i="3" s="1"/>
  <c r="H8730" i="3"/>
  <c r="G8730" i="3"/>
  <c r="M8729" i="3"/>
  <c r="L8729" i="3"/>
  <c r="J8729" i="3"/>
  <c r="K8729" i="3" s="1"/>
  <c r="H8729" i="3"/>
  <c r="G8729" i="3"/>
  <c r="M8728" i="3"/>
  <c r="L8728" i="3"/>
  <c r="J8728" i="3"/>
  <c r="K8728" i="3" s="1"/>
  <c r="H8728" i="3"/>
  <c r="I8728" i="3" s="1"/>
  <c r="G8728" i="3"/>
  <c r="M8727" i="3"/>
  <c r="L8727" i="3"/>
  <c r="K8727" i="3"/>
  <c r="J8727" i="3"/>
  <c r="H8727" i="3"/>
  <c r="G8727" i="3"/>
  <c r="I8727" i="3" s="1"/>
  <c r="M8726" i="3"/>
  <c r="L8726" i="3"/>
  <c r="J8726" i="3"/>
  <c r="K8726" i="3" s="1"/>
  <c r="H8726" i="3"/>
  <c r="G8726" i="3"/>
  <c r="M8725" i="3"/>
  <c r="L8725" i="3"/>
  <c r="J8725" i="3"/>
  <c r="K8725" i="3" s="1"/>
  <c r="H8725" i="3"/>
  <c r="G8725" i="3"/>
  <c r="M8724" i="3"/>
  <c r="L8724" i="3"/>
  <c r="J8724" i="3"/>
  <c r="K8724" i="3" s="1"/>
  <c r="H8724" i="3"/>
  <c r="G8724" i="3"/>
  <c r="M8723" i="3"/>
  <c r="L8723" i="3"/>
  <c r="J8723" i="3"/>
  <c r="K8723" i="3" s="1"/>
  <c r="H8723" i="3"/>
  <c r="G8723" i="3"/>
  <c r="M8722" i="3"/>
  <c r="L8722" i="3"/>
  <c r="J8722" i="3"/>
  <c r="K8722" i="3" s="1"/>
  <c r="H8722" i="3"/>
  <c r="G8722" i="3"/>
  <c r="M8721" i="3"/>
  <c r="L8721" i="3"/>
  <c r="J8721" i="3"/>
  <c r="K8721" i="3" s="1"/>
  <c r="H8721" i="3"/>
  <c r="G8721" i="3"/>
  <c r="I8721" i="3" s="1"/>
  <c r="M8720" i="3"/>
  <c r="L8720" i="3"/>
  <c r="J8720" i="3"/>
  <c r="K8720" i="3" s="1"/>
  <c r="H8720" i="3"/>
  <c r="G8720" i="3"/>
  <c r="M8719" i="3"/>
  <c r="L8719" i="3"/>
  <c r="J8719" i="3"/>
  <c r="K8719" i="3" s="1"/>
  <c r="H8719" i="3"/>
  <c r="G8719" i="3"/>
  <c r="M8718" i="3"/>
  <c r="L8718" i="3"/>
  <c r="J8718" i="3"/>
  <c r="K8718" i="3" s="1"/>
  <c r="H8718" i="3"/>
  <c r="G8718" i="3"/>
  <c r="M8717" i="3"/>
  <c r="L8717" i="3"/>
  <c r="J8717" i="3"/>
  <c r="K8717" i="3" s="1"/>
  <c r="H8717" i="3"/>
  <c r="G8717" i="3"/>
  <c r="I8717" i="3" s="1"/>
  <c r="M8716" i="3"/>
  <c r="L8716" i="3"/>
  <c r="J8716" i="3"/>
  <c r="K8716" i="3" s="1"/>
  <c r="H8716" i="3"/>
  <c r="I8716" i="3" s="1"/>
  <c r="G8716" i="3"/>
  <c r="M8715" i="3"/>
  <c r="L8715" i="3"/>
  <c r="K8715" i="3"/>
  <c r="J8715" i="3"/>
  <c r="H8715" i="3"/>
  <c r="G8715" i="3"/>
  <c r="I8715" i="3" s="1"/>
  <c r="M8714" i="3"/>
  <c r="L8714" i="3"/>
  <c r="J8714" i="3"/>
  <c r="K8714" i="3" s="1"/>
  <c r="H8714" i="3"/>
  <c r="G8714" i="3"/>
  <c r="M8761" i="3"/>
  <c r="L8761" i="3"/>
  <c r="J8761" i="3"/>
  <c r="K8761" i="3" s="1"/>
  <c r="H8761" i="3"/>
  <c r="G8761" i="3"/>
  <c r="M8760" i="3"/>
  <c r="L8760" i="3"/>
  <c r="J8760" i="3"/>
  <c r="K8760" i="3" s="1"/>
  <c r="H8760" i="3"/>
  <c r="I8760" i="3" s="1"/>
  <c r="G8760" i="3"/>
  <c r="M8759" i="3"/>
  <c r="L8759" i="3"/>
  <c r="J8759" i="3"/>
  <c r="K8759" i="3" s="1"/>
  <c r="H8759" i="3"/>
  <c r="G8759" i="3"/>
  <c r="I8759" i="3" s="1"/>
  <c r="M8758" i="3"/>
  <c r="L8758" i="3"/>
  <c r="J8758" i="3"/>
  <c r="K8758" i="3" s="1"/>
  <c r="H8758" i="3"/>
  <c r="G8758" i="3"/>
  <c r="I8758" i="3" s="1"/>
  <c r="M8757" i="3"/>
  <c r="L8757" i="3"/>
  <c r="J8757" i="3"/>
  <c r="K8757" i="3" s="1"/>
  <c r="H8757" i="3"/>
  <c r="I8757" i="3" s="1"/>
  <c r="G8757" i="3"/>
  <c r="M8756" i="3"/>
  <c r="L8756" i="3"/>
  <c r="K8756" i="3"/>
  <c r="J8756" i="3"/>
  <c r="H8756" i="3"/>
  <c r="G8756" i="3"/>
  <c r="I8756" i="3" s="1"/>
  <c r="M8755" i="3"/>
  <c r="L8755" i="3"/>
  <c r="J8755" i="3"/>
  <c r="K8755" i="3" s="1"/>
  <c r="H8755" i="3"/>
  <c r="G8755" i="3"/>
  <c r="I8755" i="3" s="1"/>
  <c r="M8754" i="3"/>
  <c r="L8754" i="3"/>
  <c r="J8754" i="3"/>
  <c r="K8754" i="3" s="1"/>
  <c r="H8754" i="3"/>
  <c r="G8754" i="3"/>
  <c r="M8753" i="3"/>
  <c r="L8753" i="3"/>
  <c r="J8753" i="3"/>
  <c r="K8753" i="3" s="1"/>
  <c r="H8753" i="3"/>
  <c r="G8753" i="3"/>
  <c r="I8753" i="3" s="1"/>
  <c r="M8752" i="3"/>
  <c r="L8752" i="3"/>
  <c r="J8752" i="3"/>
  <c r="K8752" i="3" s="1"/>
  <c r="H8752" i="3"/>
  <c r="G8752" i="3"/>
  <c r="M8751" i="3"/>
  <c r="L8751" i="3"/>
  <c r="J8751" i="3"/>
  <c r="K8751" i="3" s="1"/>
  <c r="H8751" i="3"/>
  <c r="G8751" i="3"/>
  <c r="M8750" i="3"/>
  <c r="L8750" i="3"/>
  <c r="J8750" i="3"/>
  <c r="K8750" i="3" s="1"/>
  <c r="H8750" i="3"/>
  <c r="G8750" i="3"/>
  <c r="M8749" i="3"/>
  <c r="L8749" i="3"/>
  <c r="J8749" i="3"/>
  <c r="K8749" i="3" s="1"/>
  <c r="H8749" i="3"/>
  <c r="G8749" i="3"/>
  <c r="I8749" i="3" s="1"/>
  <c r="M8748" i="3"/>
  <c r="L8748" i="3"/>
  <c r="J8748" i="3"/>
  <c r="K8748" i="3" s="1"/>
  <c r="H8748" i="3"/>
  <c r="I8748" i="3" s="1"/>
  <c r="G8748" i="3"/>
  <c r="M8747" i="3"/>
  <c r="L8747" i="3"/>
  <c r="K8747" i="3"/>
  <c r="J8747" i="3"/>
  <c r="H8747" i="3"/>
  <c r="G8747" i="3"/>
  <c r="M8746" i="3"/>
  <c r="L8746" i="3"/>
  <c r="J8746" i="3"/>
  <c r="K8746" i="3" s="1"/>
  <c r="H8746" i="3"/>
  <c r="G8746" i="3"/>
  <c r="M8745" i="3"/>
  <c r="L8745" i="3"/>
  <c r="J8745" i="3"/>
  <c r="K8745" i="3" s="1"/>
  <c r="H8745" i="3"/>
  <c r="G8745" i="3"/>
  <c r="M8744" i="3"/>
  <c r="L8744" i="3"/>
  <c r="J8744" i="3"/>
  <c r="K8744" i="3" s="1"/>
  <c r="H8744" i="3"/>
  <c r="G8744" i="3"/>
  <c r="M8743" i="3"/>
  <c r="L8743" i="3"/>
  <c r="J8743" i="3"/>
  <c r="K8743" i="3" s="1"/>
  <c r="H8743" i="3"/>
  <c r="G8743" i="3"/>
  <c r="M8742" i="3"/>
  <c r="L8742" i="3"/>
  <c r="K8742" i="3"/>
  <c r="J8742" i="3"/>
  <c r="H8742" i="3"/>
  <c r="G8742" i="3"/>
  <c r="M8741" i="3"/>
  <c r="L8741" i="3"/>
  <c r="J8741" i="3"/>
  <c r="K8741" i="3" s="1"/>
  <c r="H8741" i="3"/>
  <c r="G8741" i="3"/>
  <c r="I8741" i="3" s="1"/>
  <c r="M8740" i="3"/>
  <c r="L8740" i="3"/>
  <c r="J8740" i="3"/>
  <c r="K8740" i="3" s="1"/>
  <c r="H8740" i="3"/>
  <c r="I8740" i="3" s="1"/>
  <c r="G8740" i="3"/>
  <c r="M8739" i="3"/>
  <c r="L8739" i="3"/>
  <c r="K8739" i="3"/>
  <c r="J8739" i="3"/>
  <c r="H8739" i="3"/>
  <c r="G8739" i="3"/>
  <c r="M8738" i="3"/>
  <c r="L8738" i="3"/>
  <c r="J8738" i="3"/>
  <c r="K8738" i="3" s="1"/>
  <c r="H8738" i="3"/>
  <c r="G8738" i="3"/>
  <c r="M8785" i="3"/>
  <c r="L8785" i="3"/>
  <c r="J8785" i="3"/>
  <c r="K8785" i="3" s="1"/>
  <c r="H8785" i="3"/>
  <c r="G8785" i="3"/>
  <c r="M8784" i="3"/>
  <c r="L8784" i="3"/>
  <c r="J8784" i="3"/>
  <c r="K8784" i="3" s="1"/>
  <c r="H8784" i="3"/>
  <c r="G8784" i="3"/>
  <c r="I8784" i="3" s="1"/>
  <c r="M8783" i="3"/>
  <c r="L8783" i="3"/>
  <c r="J8783" i="3"/>
  <c r="K8783" i="3" s="1"/>
  <c r="H8783" i="3"/>
  <c r="G8783" i="3"/>
  <c r="M8782" i="3"/>
  <c r="L8782" i="3"/>
  <c r="J8782" i="3"/>
  <c r="K8782" i="3" s="1"/>
  <c r="H8782" i="3"/>
  <c r="G8782" i="3"/>
  <c r="M8781" i="3"/>
  <c r="L8781" i="3"/>
  <c r="J8781" i="3"/>
  <c r="K8781" i="3" s="1"/>
  <c r="H8781" i="3"/>
  <c r="G8781" i="3"/>
  <c r="I8781" i="3" s="1"/>
  <c r="M8780" i="3"/>
  <c r="L8780" i="3"/>
  <c r="J8780" i="3"/>
  <c r="K8780" i="3" s="1"/>
  <c r="H8780" i="3"/>
  <c r="I8780" i="3" s="1"/>
  <c r="G8780" i="3"/>
  <c r="M8779" i="3"/>
  <c r="L8779" i="3"/>
  <c r="J8779" i="3"/>
  <c r="K8779" i="3" s="1"/>
  <c r="H8779" i="3"/>
  <c r="I8779" i="3" s="1"/>
  <c r="G8779" i="3"/>
  <c r="M8778" i="3"/>
  <c r="L8778" i="3"/>
  <c r="K8778" i="3"/>
  <c r="J8778" i="3"/>
  <c r="H8778" i="3"/>
  <c r="G8778" i="3"/>
  <c r="M8777" i="3"/>
  <c r="L8777" i="3"/>
  <c r="J8777" i="3"/>
  <c r="K8777" i="3" s="1"/>
  <c r="H8777" i="3"/>
  <c r="G8777" i="3"/>
  <c r="M8776" i="3"/>
  <c r="L8776" i="3"/>
  <c r="J8776" i="3"/>
  <c r="K8776" i="3" s="1"/>
  <c r="H8776" i="3"/>
  <c r="G8776" i="3"/>
  <c r="M8775" i="3"/>
  <c r="L8775" i="3"/>
  <c r="J8775" i="3"/>
  <c r="K8775" i="3" s="1"/>
  <c r="H8775" i="3"/>
  <c r="G8775" i="3"/>
  <c r="M8774" i="3"/>
  <c r="L8774" i="3"/>
  <c r="J8774" i="3"/>
  <c r="K8774" i="3" s="1"/>
  <c r="H8774" i="3"/>
  <c r="G8774" i="3"/>
  <c r="M8773" i="3"/>
  <c r="L8773" i="3"/>
  <c r="J8773" i="3"/>
  <c r="K8773" i="3" s="1"/>
  <c r="H8773" i="3"/>
  <c r="G8773" i="3"/>
  <c r="M8772" i="3"/>
  <c r="L8772" i="3"/>
  <c r="J8772" i="3"/>
  <c r="K8772" i="3" s="1"/>
  <c r="H8772" i="3"/>
  <c r="G8772" i="3"/>
  <c r="I8772" i="3" s="1"/>
  <c r="M8771" i="3"/>
  <c r="L8771" i="3"/>
  <c r="J8771" i="3"/>
  <c r="K8771" i="3" s="1"/>
  <c r="H8771" i="3"/>
  <c r="I8771" i="3" s="1"/>
  <c r="G8771" i="3"/>
  <c r="M8770" i="3"/>
  <c r="L8770" i="3"/>
  <c r="K8770" i="3"/>
  <c r="J8770" i="3"/>
  <c r="H8770" i="3"/>
  <c r="G8770" i="3"/>
  <c r="M8769" i="3"/>
  <c r="L8769" i="3"/>
  <c r="J8769" i="3"/>
  <c r="K8769" i="3" s="1"/>
  <c r="H8769" i="3"/>
  <c r="G8769" i="3"/>
  <c r="I8769" i="3" s="1"/>
  <c r="M8768" i="3"/>
  <c r="L8768" i="3"/>
  <c r="J8768" i="3"/>
  <c r="K8768" i="3" s="1"/>
  <c r="H8768" i="3"/>
  <c r="G8768" i="3"/>
  <c r="M8767" i="3"/>
  <c r="L8767" i="3"/>
  <c r="J8767" i="3"/>
  <c r="K8767" i="3" s="1"/>
  <c r="H8767" i="3"/>
  <c r="I8767" i="3" s="1"/>
  <c r="G8767" i="3"/>
  <c r="M8766" i="3"/>
  <c r="L8766" i="3"/>
  <c r="K8766" i="3"/>
  <c r="J8766" i="3"/>
  <c r="H8766" i="3"/>
  <c r="G8766" i="3"/>
  <c r="M8765" i="3"/>
  <c r="L8765" i="3"/>
  <c r="J8765" i="3"/>
  <c r="K8765" i="3" s="1"/>
  <c r="H8765" i="3"/>
  <c r="G8765" i="3"/>
  <c r="M8764" i="3"/>
  <c r="L8764" i="3"/>
  <c r="J8764" i="3"/>
  <c r="K8764" i="3" s="1"/>
  <c r="H8764" i="3"/>
  <c r="G8764" i="3"/>
  <c r="I8764" i="3" s="1"/>
  <c r="M8763" i="3"/>
  <c r="L8763" i="3"/>
  <c r="J8763" i="3"/>
  <c r="K8763" i="3" s="1"/>
  <c r="H8763" i="3"/>
  <c r="G8763" i="3"/>
  <c r="M8762" i="3"/>
  <c r="L8762" i="3"/>
  <c r="J8762" i="3"/>
  <c r="K8762" i="3" s="1"/>
  <c r="H8762" i="3"/>
  <c r="G8762" i="3"/>
  <c r="M8809" i="3"/>
  <c r="L8809" i="3"/>
  <c r="J8809" i="3"/>
  <c r="K8809" i="3" s="1"/>
  <c r="H8809" i="3"/>
  <c r="G8809" i="3"/>
  <c r="M8808" i="3"/>
  <c r="L8808" i="3"/>
  <c r="J8808" i="3"/>
  <c r="K8808" i="3" s="1"/>
  <c r="H8808" i="3"/>
  <c r="G8808" i="3"/>
  <c r="M8807" i="3"/>
  <c r="L8807" i="3"/>
  <c r="J8807" i="3"/>
  <c r="K8807" i="3" s="1"/>
  <c r="H8807" i="3"/>
  <c r="G8807" i="3"/>
  <c r="M8806" i="3"/>
  <c r="L8806" i="3"/>
  <c r="J8806" i="3"/>
  <c r="K8806" i="3" s="1"/>
  <c r="H8806" i="3"/>
  <c r="G8806" i="3"/>
  <c r="M8805" i="3"/>
  <c r="L8805" i="3"/>
  <c r="J8805" i="3"/>
  <c r="K8805" i="3" s="1"/>
  <c r="H8805" i="3"/>
  <c r="G8805" i="3"/>
  <c r="M8804" i="3"/>
  <c r="L8804" i="3"/>
  <c r="J8804" i="3"/>
  <c r="K8804" i="3" s="1"/>
  <c r="H8804" i="3"/>
  <c r="G8804" i="3"/>
  <c r="M8803" i="3"/>
  <c r="L8803" i="3"/>
  <c r="J8803" i="3"/>
  <c r="K8803" i="3" s="1"/>
  <c r="H8803" i="3"/>
  <c r="G8803" i="3"/>
  <c r="M8802" i="3"/>
  <c r="L8802" i="3"/>
  <c r="J8802" i="3"/>
  <c r="K8802" i="3" s="1"/>
  <c r="H8802" i="3"/>
  <c r="G8802" i="3"/>
  <c r="I8802" i="3" s="1"/>
  <c r="M8801" i="3"/>
  <c r="L8801" i="3"/>
  <c r="J8801" i="3"/>
  <c r="K8801" i="3" s="1"/>
  <c r="H8801" i="3"/>
  <c r="G8801" i="3"/>
  <c r="M8800" i="3"/>
  <c r="L8800" i="3"/>
  <c r="J8800" i="3"/>
  <c r="K8800" i="3" s="1"/>
  <c r="H8800" i="3"/>
  <c r="G8800" i="3"/>
  <c r="M8799" i="3"/>
  <c r="L8799" i="3"/>
  <c r="J8799" i="3"/>
  <c r="K8799" i="3" s="1"/>
  <c r="H8799" i="3"/>
  <c r="G8799" i="3"/>
  <c r="I8799" i="3" s="1"/>
  <c r="M8798" i="3"/>
  <c r="L8798" i="3"/>
  <c r="J8798" i="3"/>
  <c r="K8798" i="3" s="1"/>
  <c r="H8798" i="3"/>
  <c r="G8798" i="3"/>
  <c r="I8798" i="3" s="1"/>
  <c r="M8797" i="3"/>
  <c r="L8797" i="3"/>
  <c r="J8797" i="3"/>
  <c r="K8797" i="3" s="1"/>
  <c r="I8797" i="3"/>
  <c r="H8797" i="3"/>
  <c r="G8797" i="3"/>
  <c r="M8796" i="3"/>
  <c r="L8796" i="3"/>
  <c r="J8796" i="3"/>
  <c r="K8796" i="3" s="1"/>
  <c r="H8796" i="3"/>
  <c r="G8796" i="3"/>
  <c r="M8795" i="3"/>
  <c r="L8795" i="3"/>
  <c r="J8795" i="3"/>
  <c r="K8795" i="3" s="1"/>
  <c r="H8795" i="3"/>
  <c r="G8795" i="3"/>
  <c r="M8794" i="3"/>
  <c r="L8794" i="3"/>
  <c r="K8794" i="3"/>
  <c r="J8794" i="3"/>
  <c r="H8794" i="3"/>
  <c r="G8794" i="3"/>
  <c r="M8793" i="3"/>
  <c r="L8793" i="3"/>
  <c r="J8793" i="3"/>
  <c r="K8793" i="3" s="1"/>
  <c r="H8793" i="3"/>
  <c r="G8793" i="3"/>
  <c r="I8793" i="3" s="1"/>
  <c r="M8792" i="3"/>
  <c r="L8792" i="3"/>
  <c r="J8792" i="3"/>
  <c r="K8792" i="3" s="1"/>
  <c r="H8792" i="3"/>
  <c r="G8792" i="3"/>
  <c r="I8792" i="3" s="1"/>
  <c r="M8791" i="3"/>
  <c r="L8791" i="3"/>
  <c r="J8791" i="3"/>
  <c r="K8791" i="3" s="1"/>
  <c r="H8791" i="3"/>
  <c r="G8791" i="3"/>
  <c r="I8791" i="3" s="1"/>
  <c r="M8790" i="3"/>
  <c r="L8790" i="3"/>
  <c r="J8790" i="3"/>
  <c r="K8790" i="3" s="1"/>
  <c r="H8790" i="3"/>
  <c r="G8790" i="3"/>
  <c r="M8789" i="3"/>
  <c r="L8789" i="3"/>
  <c r="J8789" i="3"/>
  <c r="K8789" i="3" s="1"/>
  <c r="H8789" i="3"/>
  <c r="G8789" i="3"/>
  <c r="M8788" i="3"/>
  <c r="L8788" i="3"/>
  <c r="J8788" i="3"/>
  <c r="K8788" i="3" s="1"/>
  <c r="H8788" i="3"/>
  <c r="G8788" i="3"/>
  <c r="I8788" i="3" s="1"/>
  <c r="M8787" i="3"/>
  <c r="L8787" i="3"/>
  <c r="J8787" i="3"/>
  <c r="K8787" i="3" s="1"/>
  <c r="H8787" i="3"/>
  <c r="G8787" i="3"/>
  <c r="M8786" i="3"/>
  <c r="L8786" i="3"/>
  <c r="K8786" i="3"/>
  <c r="J8786" i="3"/>
  <c r="H8786" i="3"/>
  <c r="G8786" i="3"/>
  <c r="M8833" i="3"/>
  <c r="L8833" i="3"/>
  <c r="J8833" i="3"/>
  <c r="K8833" i="3" s="1"/>
  <c r="H8833" i="3"/>
  <c r="G8833" i="3"/>
  <c r="M8832" i="3"/>
  <c r="L8832" i="3"/>
  <c r="J8832" i="3"/>
  <c r="K8832" i="3" s="1"/>
  <c r="H8832" i="3"/>
  <c r="G8832" i="3"/>
  <c r="M8831" i="3"/>
  <c r="L8831" i="3"/>
  <c r="J8831" i="3"/>
  <c r="K8831" i="3" s="1"/>
  <c r="H8831" i="3"/>
  <c r="G8831" i="3"/>
  <c r="M8830" i="3"/>
  <c r="L8830" i="3"/>
  <c r="J8830" i="3"/>
  <c r="K8830" i="3" s="1"/>
  <c r="H8830" i="3"/>
  <c r="G8830" i="3"/>
  <c r="I8830" i="3" s="1"/>
  <c r="M8829" i="3"/>
  <c r="L8829" i="3"/>
  <c r="J8829" i="3"/>
  <c r="K8829" i="3" s="1"/>
  <c r="H8829" i="3"/>
  <c r="G8829" i="3"/>
  <c r="M8828" i="3"/>
  <c r="L8828" i="3"/>
  <c r="J8828" i="3"/>
  <c r="K8828" i="3" s="1"/>
  <c r="H8828" i="3"/>
  <c r="G8828" i="3"/>
  <c r="I8828" i="3" s="1"/>
  <c r="M8827" i="3"/>
  <c r="L8827" i="3"/>
  <c r="J8827" i="3"/>
  <c r="K8827" i="3" s="1"/>
  <c r="H8827" i="3"/>
  <c r="G8827" i="3"/>
  <c r="M8826" i="3"/>
  <c r="L8826" i="3"/>
  <c r="J8826" i="3"/>
  <c r="K8826" i="3" s="1"/>
  <c r="H8826" i="3"/>
  <c r="G8826" i="3"/>
  <c r="M8825" i="3"/>
  <c r="L8825" i="3"/>
  <c r="J8825" i="3"/>
  <c r="K8825" i="3" s="1"/>
  <c r="H8825" i="3"/>
  <c r="G8825" i="3"/>
  <c r="M8824" i="3"/>
  <c r="L8824" i="3"/>
  <c r="J8824" i="3"/>
  <c r="K8824" i="3" s="1"/>
  <c r="H8824" i="3"/>
  <c r="G8824" i="3"/>
  <c r="M8823" i="3"/>
  <c r="L8823" i="3"/>
  <c r="J8823" i="3"/>
  <c r="K8823" i="3" s="1"/>
  <c r="H8823" i="3"/>
  <c r="G8823" i="3"/>
  <c r="M8822" i="3"/>
  <c r="L8822" i="3"/>
  <c r="J8822" i="3"/>
  <c r="K8822" i="3" s="1"/>
  <c r="H8822" i="3"/>
  <c r="G8822" i="3"/>
  <c r="M8821" i="3"/>
  <c r="L8821" i="3"/>
  <c r="J8821" i="3"/>
  <c r="K8821" i="3" s="1"/>
  <c r="H8821" i="3"/>
  <c r="G8821" i="3"/>
  <c r="M8820" i="3"/>
  <c r="L8820" i="3"/>
  <c r="J8820" i="3"/>
  <c r="K8820" i="3" s="1"/>
  <c r="H8820" i="3"/>
  <c r="G8820" i="3"/>
  <c r="M8819" i="3"/>
  <c r="L8819" i="3"/>
  <c r="J8819" i="3"/>
  <c r="K8819" i="3" s="1"/>
  <c r="H8819" i="3"/>
  <c r="G8819" i="3"/>
  <c r="M8818" i="3"/>
  <c r="L8818" i="3"/>
  <c r="K8818" i="3"/>
  <c r="J8818" i="3"/>
  <c r="H8818" i="3"/>
  <c r="G8818" i="3"/>
  <c r="M8817" i="3"/>
  <c r="L8817" i="3"/>
  <c r="J8817" i="3"/>
  <c r="K8817" i="3" s="1"/>
  <c r="H8817" i="3"/>
  <c r="G8817" i="3"/>
  <c r="M8816" i="3"/>
  <c r="L8816" i="3"/>
  <c r="J8816" i="3"/>
  <c r="K8816" i="3" s="1"/>
  <c r="H8816" i="3"/>
  <c r="G8816" i="3"/>
  <c r="M8815" i="3"/>
  <c r="L8815" i="3"/>
  <c r="J8815" i="3"/>
  <c r="K8815" i="3" s="1"/>
  <c r="H8815" i="3"/>
  <c r="G8815" i="3"/>
  <c r="I8815" i="3" s="1"/>
  <c r="M8814" i="3"/>
  <c r="L8814" i="3"/>
  <c r="J8814" i="3"/>
  <c r="K8814" i="3" s="1"/>
  <c r="H8814" i="3"/>
  <c r="G8814" i="3"/>
  <c r="I8814" i="3" s="1"/>
  <c r="M8813" i="3"/>
  <c r="L8813" i="3"/>
  <c r="J8813" i="3"/>
  <c r="K8813" i="3" s="1"/>
  <c r="H8813" i="3"/>
  <c r="I8813" i="3" s="1"/>
  <c r="G8813" i="3"/>
  <c r="M8812" i="3"/>
  <c r="L8812" i="3"/>
  <c r="K8812" i="3"/>
  <c r="J8812" i="3"/>
  <c r="H8812" i="3"/>
  <c r="G8812" i="3"/>
  <c r="I8812" i="3" s="1"/>
  <c r="M8811" i="3"/>
  <c r="L8811" i="3"/>
  <c r="J8811" i="3"/>
  <c r="K8811" i="3" s="1"/>
  <c r="H8811" i="3"/>
  <c r="G8811" i="3"/>
  <c r="M8810" i="3"/>
  <c r="L8810" i="3"/>
  <c r="K8810" i="3"/>
  <c r="J8810" i="3"/>
  <c r="H8810" i="3"/>
  <c r="G8810" i="3"/>
  <c r="M8857" i="3"/>
  <c r="L8857" i="3"/>
  <c r="J8857" i="3"/>
  <c r="K8857" i="3" s="1"/>
  <c r="H8857" i="3"/>
  <c r="G8857" i="3"/>
  <c r="M8856" i="3"/>
  <c r="L8856" i="3"/>
  <c r="J8856" i="3"/>
  <c r="K8856" i="3" s="1"/>
  <c r="H8856" i="3"/>
  <c r="I8856" i="3" s="1"/>
  <c r="G8856" i="3"/>
  <c r="M8855" i="3"/>
  <c r="L8855" i="3"/>
  <c r="J8855" i="3"/>
  <c r="K8855" i="3" s="1"/>
  <c r="H8855" i="3"/>
  <c r="G8855" i="3"/>
  <c r="M8854" i="3"/>
  <c r="L8854" i="3"/>
  <c r="J8854" i="3"/>
  <c r="K8854" i="3" s="1"/>
  <c r="H8854" i="3"/>
  <c r="G8854" i="3"/>
  <c r="I8854" i="3" s="1"/>
  <c r="M8853" i="3"/>
  <c r="L8853" i="3"/>
  <c r="J8853" i="3"/>
  <c r="K8853" i="3" s="1"/>
  <c r="H8853" i="3"/>
  <c r="G8853" i="3"/>
  <c r="M8852" i="3"/>
  <c r="L8852" i="3"/>
  <c r="J8852" i="3"/>
  <c r="K8852" i="3" s="1"/>
  <c r="H8852" i="3"/>
  <c r="G8852" i="3"/>
  <c r="M8851" i="3"/>
  <c r="L8851" i="3"/>
  <c r="J8851" i="3"/>
  <c r="K8851" i="3" s="1"/>
  <c r="H8851" i="3"/>
  <c r="G8851" i="3"/>
  <c r="M8850" i="3"/>
  <c r="L8850" i="3"/>
  <c r="J8850" i="3"/>
  <c r="K8850" i="3" s="1"/>
  <c r="H8850" i="3"/>
  <c r="G8850" i="3"/>
  <c r="M8849" i="3"/>
  <c r="L8849" i="3"/>
  <c r="J8849" i="3"/>
  <c r="K8849" i="3" s="1"/>
  <c r="H8849" i="3"/>
  <c r="G8849" i="3"/>
  <c r="M8848" i="3"/>
  <c r="L8848" i="3"/>
  <c r="J8848" i="3"/>
  <c r="K8848" i="3" s="1"/>
  <c r="H8848" i="3"/>
  <c r="G8848" i="3"/>
  <c r="I8848" i="3" s="1"/>
  <c r="M8847" i="3"/>
  <c r="L8847" i="3"/>
  <c r="J8847" i="3"/>
  <c r="K8847" i="3" s="1"/>
  <c r="H8847" i="3"/>
  <c r="G8847" i="3"/>
  <c r="I8847" i="3" s="1"/>
  <c r="M8846" i="3"/>
  <c r="L8846" i="3"/>
  <c r="J8846" i="3"/>
  <c r="K8846" i="3" s="1"/>
  <c r="H8846" i="3"/>
  <c r="G8846" i="3"/>
  <c r="M8845" i="3"/>
  <c r="L8845" i="3"/>
  <c r="J8845" i="3"/>
  <c r="K8845" i="3" s="1"/>
  <c r="H8845" i="3"/>
  <c r="G8845" i="3"/>
  <c r="M8844" i="3"/>
  <c r="L8844" i="3"/>
  <c r="K8844" i="3"/>
  <c r="J8844" i="3"/>
  <c r="H8844" i="3"/>
  <c r="I8844" i="3" s="1"/>
  <c r="G8844" i="3"/>
  <c r="M8843" i="3"/>
  <c r="L8843" i="3"/>
  <c r="J8843" i="3"/>
  <c r="K8843" i="3" s="1"/>
  <c r="H8843" i="3"/>
  <c r="G8843" i="3"/>
  <c r="M8842" i="3"/>
  <c r="L8842" i="3"/>
  <c r="K8842" i="3"/>
  <c r="J8842" i="3"/>
  <c r="H8842" i="3"/>
  <c r="G8842" i="3"/>
  <c r="M8841" i="3"/>
  <c r="L8841" i="3"/>
  <c r="J8841" i="3"/>
  <c r="K8841" i="3" s="1"/>
  <c r="H8841" i="3"/>
  <c r="G8841" i="3"/>
  <c r="M8840" i="3"/>
  <c r="L8840" i="3"/>
  <c r="J8840" i="3"/>
  <c r="K8840" i="3" s="1"/>
  <c r="H8840" i="3"/>
  <c r="I8840" i="3" s="1"/>
  <c r="G8840" i="3"/>
  <c r="M8839" i="3"/>
  <c r="L8839" i="3"/>
  <c r="J8839" i="3"/>
  <c r="K8839" i="3" s="1"/>
  <c r="H8839" i="3"/>
  <c r="G8839" i="3"/>
  <c r="I8839" i="3" s="1"/>
  <c r="M8838" i="3"/>
  <c r="L8838" i="3"/>
  <c r="J8838" i="3"/>
  <c r="K8838" i="3" s="1"/>
  <c r="H8838" i="3"/>
  <c r="G8838" i="3"/>
  <c r="I8838" i="3" s="1"/>
  <c r="M8837" i="3"/>
  <c r="L8837" i="3"/>
  <c r="J8837" i="3"/>
  <c r="K8837" i="3" s="1"/>
  <c r="H8837" i="3"/>
  <c r="G8837" i="3"/>
  <c r="M8836" i="3"/>
  <c r="L8836" i="3"/>
  <c r="K8836" i="3"/>
  <c r="J8836" i="3"/>
  <c r="H8836" i="3"/>
  <c r="G8836" i="3"/>
  <c r="I8836" i="3" s="1"/>
  <c r="M8835" i="3"/>
  <c r="L8835" i="3"/>
  <c r="J8835" i="3"/>
  <c r="K8835" i="3" s="1"/>
  <c r="H8835" i="3"/>
  <c r="G8835" i="3"/>
  <c r="M8834" i="3"/>
  <c r="L8834" i="3"/>
  <c r="J8834" i="3"/>
  <c r="K8834" i="3" s="1"/>
  <c r="H8834" i="3"/>
  <c r="G8834" i="3"/>
  <c r="M8881" i="3"/>
  <c r="L8881" i="3"/>
  <c r="J8881" i="3"/>
  <c r="K8881" i="3" s="1"/>
  <c r="H8881" i="3"/>
  <c r="G8881" i="3"/>
  <c r="M8880" i="3"/>
  <c r="L8880" i="3"/>
  <c r="J8880" i="3"/>
  <c r="K8880" i="3" s="1"/>
  <c r="H8880" i="3"/>
  <c r="G8880" i="3"/>
  <c r="I8880" i="3" s="1"/>
  <c r="M8879" i="3"/>
  <c r="L8879" i="3"/>
  <c r="J8879" i="3"/>
  <c r="K8879" i="3" s="1"/>
  <c r="H8879" i="3"/>
  <c r="G8879" i="3"/>
  <c r="M8878" i="3"/>
  <c r="L8878" i="3"/>
  <c r="J8878" i="3"/>
  <c r="K8878" i="3" s="1"/>
  <c r="H8878" i="3"/>
  <c r="G8878" i="3"/>
  <c r="M8877" i="3"/>
  <c r="L8877" i="3"/>
  <c r="J8877" i="3"/>
  <c r="K8877" i="3" s="1"/>
  <c r="H8877" i="3"/>
  <c r="G8877" i="3"/>
  <c r="M8876" i="3"/>
  <c r="L8876" i="3"/>
  <c r="J8876" i="3"/>
  <c r="K8876" i="3" s="1"/>
  <c r="I8876" i="3"/>
  <c r="H8876" i="3"/>
  <c r="G8876" i="3"/>
  <c r="M8875" i="3"/>
  <c r="L8875" i="3"/>
  <c r="J8875" i="3"/>
  <c r="K8875" i="3" s="1"/>
  <c r="H8875" i="3"/>
  <c r="G8875" i="3"/>
  <c r="M8874" i="3"/>
  <c r="L8874" i="3"/>
  <c r="J8874" i="3"/>
  <c r="K8874" i="3" s="1"/>
  <c r="H8874" i="3"/>
  <c r="G8874" i="3"/>
  <c r="M8873" i="3"/>
  <c r="L8873" i="3"/>
  <c r="J8873" i="3"/>
  <c r="K8873" i="3" s="1"/>
  <c r="H8873" i="3"/>
  <c r="G8873" i="3"/>
  <c r="M8872" i="3"/>
  <c r="L8872" i="3"/>
  <c r="J8872" i="3"/>
  <c r="K8872" i="3" s="1"/>
  <c r="H8872" i="3"/>
  <c r="G8872" i="3"/>
  <c r="M8871" i="3"/>
  <c r="L8871" i="3"/>
  <c r="J8871" i="3"/>
  <c r="K8871" i="3" s="1"/>
  <c r="H8871" i="3"/>
  <c r="G8871" i="3"/>
  <c r="I8871" i="3" s="1"/>
  <c r="M8870" i="3"/>
  <c r="L8870" i="3"/>
  <c r="J8870" i="3"/>
  <c r="K8870" i="3" s="1"/>
  <c r="H8870" i="3"/>
  <c r="G8870" i="3"/>
  <c r="M8869" i="3"/>
  <c r="L8869" i="3"/>
  <c r="J8869" i="3"/>
  <c r="K8869" i="3" s="1"/>
  <c r="H8869" i="3"/>
  <c r="G8869" i="3"/>
  <c r="M8868" i="3"/>
  <c r="L8868" i="3"/>
  <c r="K8868" i="3"/>
  <c r="J8868" i="3"/>
  <c r="H8868" i="3"/>
  <c r="G8868" i="3"/>
  <c r="I8868" i="3" s="1"/>
  <c r="M8867" i="3"/>
  <c r="L8867" i="3"/>
  <c r="J8867" i="3"/>
  <c r="K8867" i="3" s="1"/>
  <c r="H8867" i="3"/>
  <c r="G8867" i="3"/>
  <c r="M8866" i="3"/>
  <c r="L8866" i="3"/>
  <c r="K8866" i="3"/>
  <c r="J8866" i="3"/>
  <c r="H8866" i="3"/>
  <c r="G8866" i="3"/>
  <c r="M8865" i="3"/>
  <c r="L8865" i="3"/>
  <c r="J8865" i="3"/>
  <c r="K8865" i="3" s="1"/>
  <c r="H8865" i="3"/>
  <c r="G8865" i="3"/>
  <c r="I8865" i="3" s="1"/>
  <c r="M8864" i="3"/>
  <c r="L8864" i="3"/>
  <c r="J8864" i="3"/>
  <c r="K8864" i="3" s="1"/>
  <c r="H8864" i="3"/>
  <c r="G8864" i="3"/>
  <c r="M8863" i="3"/>
  <c r="L8863" i="3"/>
  <c r="J8863" i="3"/>
  <c r="K8863" i="3" s="1"/>
  <c r="H8863" i="3"/>
  <c r="G8863" i="3"/>
  <c r="M8862" i="3"/>
  <c r="L8862" i="3"/>
  <c r="J8862" i="3"/>
  <c r="K8862" i="3" s="1"/>
  <c r="H8862" i="3"/>
  <c r="G8862" i="3"/>
  <c r="I8862" i="3" s="1"/>
  <c r="M8861" i="3"/>
  <c r="L8861" i="3"/>
  <c r="J8861" i="3"/>
  <c r="K8861" i="3" s="1"/>
  <c r="H8861" i="3"/>
  <c r="G8861" i="3"/>
  <c r="M8860" i="3"/>
  <c r="L8860" i="3"/>
  <c r="K8860" i="3"/>
  <c r="J8860" i="3"/>
  <c r="H8860" i="3"/>
  <c r="G8860" i="3"/>
  <c r="M8859" i="3"/>
  <c r="L8859" i="3"/>
  <c r="J8859" i="3"/>
  <c r="K8859" i="3" s="1"/>
  <c r="H8859" i="3"/>
  <c r="G8859" i="3"/>
  <c r="M8858" i="3"/>
  <c r="L8858" i="3"/>
  <c r="J8858" i="3"/>
  <c r="K8858" i="3" s="1"/>
  <c r="H8858" i="3"/>
  <c r="G8858" i="3"/>
  <c r="M8905" i="3"/>
  <c r="L8905" i="3"/>
  <c r="J8905" i="3"/>
  <c r="K8905" i="3" s="1"/>
  <c r="H8905" i="3"/>
  <c r="G8905" i="3"/>
  <c r="M8904" i="3"/>
  <c r="L8904" i="3"/>
  <c r="J8904" i="3"/>
  <c r="K8904" i="3" s="1"/>
  <c r="H8904" i="3"/>
  <c r="G8904" i="3"/>
  <c r="M8903" i="3"/>
  <c r="L8903" i="3"/>
  <c r="J8903" i="3"/>
  <c r="K8903" i="3" s="1"/>
  <c r="H8903" i="3"/>
  <c r="G8903" i="3"/>
  <c r="M8902" i="3"/>
  <c r="L8902" i="3"/>
  <c r="K8902" i="3"/>
  <c r="J8902" i="3"/>
  <c r="H8902" i="3"/>
  <c r="G8902" i="3"/>
  <c r="M8901" i="3"/>
  <c r="L8901" i="3"/>
  <c r="J8901" i="3"/>
  <c r="K8901" i="3" s="1"/>
  <c r="H8901" i="3"/>
  <c r="G8901" i="3"/>
  <c r="M8900" i="3"/>
  <c r="L8900" i="3"/>
  <c r="J8900" i="3"/>
  <c r="K8900" i="3" s="1"/>
  <c r="H8900" i="3"/>
  <c r="I8900" i="3" s="1"/>
  <c r="G8900" i="3"/>
  <c r="M8899" i="3"/>
  <c r="L8899" i="3"/>
  <c r="K8899" i="3"/>
  <c r="J8899" i="3"/>
  <c r="H8899" i="3"/>
  <c r="G8899" i="3"/>
  <c r="M8898" i="3"/>
  <c r="L8898" i="3"/>
  <c r="J8898" i="3"/>
  <c r="K8898" i="3" s="1"/>
  <c r="H8898" i="3"/>
  <c r="G8898" i="3"/>
  <c r="M8897" i="3"/>
  <c r="L8897" i="3"/>
  <c r="J8897" i="3"/>
  <c r="K8897" i="3" s="1"/>
  <c r="H8897" i="3"/>
  <c r="G8897" i="3"/>
  <c r="M8896" i="3"/>
  <c r="L8896" i="3"/>
  <c r="K8896" i="3"/>
  <c r="J8896" i="3"/>
  <c r="H8896" i="3"/>
  <c r="G8896" i="3"/>
  <c r="M8895" i="3"/>
  <c r="L8895" i="3"/>
  <c r="J8895" i="3"/>
  <c r="K8895" i="3" s="1"/>
  <c r="H8895" i="3"/>
  <c r="G8895" i="3"/>
  <c r="M8894" i="3"/>
  <c r="L8894" i="3"/>
  <c r="J8894" i="3"/>
  <c r="K8894" i="3" s="1"/>
  <c r="H8894" i="3"/>
  <c r="G8894" i="3"/>
  <c r="M8893" i="3"/>
  <c r="L8893" i="3"/>
  <c r="J8893" i="3"/>
  <c r="K8893" i="3" s="1"/>
  <c r="H8893" i="3"/>
  <c r="G8893" i="3"/>
  <c r="I8893" i="3" s="1"/>
  <c r="M8892" i="3"/>
  <c r="L8892" i="3"/>
  <c r="J8892" i="3"/>
  <c r="K8892" i="3" s="1"/>
  <c r="H8892" i="3"/>
  <c r="G8892" i="3"/>
  <c r="M8891" i="3"/>
  <c r="L8891" i="3"/>
  <c r="K8891" i="3"/>
  <c r="J8891" i="3"/>
  <c r="H8891" i="3"/>
  <c r="G8891" i="3"/>
  <c r="M8890" i="3"/>
  <c r="L8890" i="3"/>
  <c r="K8890" i="3"/>
  <c r="J8890" i="3"/>
  <c r="H8890" i="3"/>
  <c r="G8890" i="3"/>
  <c r="M8889" i="3"/>
  <c r="L8889" i="3"/>
  <c r="J8889" i="3"/>
  <c r="K8889" i="3" s="1"/>
  <c r="H8889" i="3"/>
  <c r="I8889" i="3" s="1"/>
  <c r="G8889" i="3"/>
  <c r="M8888" i="3"/>
  <c r="L8888" i="3"/>
  <c r="J8888" i="3"/>
  <c r="K8888" i="3" s="1"/>
  <c r="H8888" i="3"/>
  <c r="G8888" i="3"/>
  <c r="M8887" i="3"/>
  <c r="L8887" i="3"/>
  <c r="K8887" i="3"/>
  <c r="J8887" i="3"/>
  <c r="H8887" i="3"/>
  <c r="G8887" i="3"/>
  <c r="M8886" i="3"/>
  <c r="L8886" i="3"/>
  <c r="K8886" i="3"/>
  <c r="J8886" i="3"/>
  <c r="H8886" i="3"/>
  <c r="G8886" i="3"/>
  <c r="M8885" i="3"/>
  <c r="L8885" i="3"/>
  <c r="J8885" i="3"/>
  <c r="K8885" i="3" s="1"/>
  <c r="H8885" i="3"/>
  <c r="G8885" i="3"/>
  <c r="M8884" i="3"/>
  <c r="L8884" i="3"/>
  <c r="J8884" i="3"/>
  <c r="K8884" i="3" s="1"/>
  <c r="H8884" i="3"/>
  <c r="G8884" i="3"/>
  <c r="M8883" i="3"/>
  <c r="L8883" i="3"/>
  <c r="K8883" i="3"/>
  <c r="J8883" i="3"/>
  <c r="H8883" i="3"/>
  <c r="G8883" i="3"/>
  <c r="M8882" i="3"/>
  <c r="L8882" i="3"/>
  <c r="K8882" i="3"/>
  <c r="J8882" i="3"/>
  <c r="H8882" i="3"/>
  <c r="G8882" i="3"/>
  <c r="M8929" i="3"/>
  <c r="L8929" i="3"/>
  <c r="J8929" i="3"/>
  <c r="K8929" i="3" s="1"/>
  <c r="H8929" i="3"/>
  <c r="G8929" i="3"/>
  <c r="M8928" i="3"/>
  <c r="L8928" i="3"/>
  <c r="J8928" i="3"/>
  <c r="K8928" i="3" s="1"/>
  <c r="H8928" i="3"/>
  <c r="G8928" i="3"/>
  <c r="M8927" i="3"/>
  <c r="L8927" i="3"/>
  <c r="J8927" i="3"/>
  <c r="K8927" i="3" s="1"/>
  <c r="H8927" i="3"/>
  <c r="G8927" i="3"/>
  <c r="I8927" i="3" s="1"/>
  <c r="M8926" i="3"/>
  <c r="L8926" i="3"/>
  <c r="J8926" i="3"/>
  <c r="K8926" i="3" s="1"/>
  <c r="H8926" i="3"/>
  <c r="G8926" i="3"/>
  <c r="M8925" i="3"/>
  <c r="L8925" i="3"/>
  <c r="J8925" i="3"/>
  <c r="K8925" i="3" s="1"/>
  <c r="H8925" i="3"/>
  <c r="I8925" i="3" s="1"/>
  <c r="G8925" i="3"/>
  <c r="M8924" i="3"/>
  <c r="L8924" i="3"/>
  <c r="K8924" i="3"/>
  <c r="J8924" i="3"/>
  <c r="H8924" i="3"/>
  <c r="G8924" i="3"/>
  <c r="I8924" i="3" s="1"/>
  <c r="M8923" i="3"/>
  <c r="L8923" i="3"/>
  <c r="J8923" i="3"/>
  <c r="K8923" i="3" s="1"/>
  <c r="H8923" i="3"/>
  <c r="G8923" i="3"/>
  <c r="M8922" i="3"/>
  <c r="L8922" i="3"/>
  <c r="K8922" i="3"/>
  <c r="J8922" i="3"/>
  <c r="H8922" i="3"/>
  <c r="G8922" i="3"/>
  <c r="M8921" i="3"/>
  <c r="L8921" i="3"/>
  <c r="J8921" i="3"/>
  <c r="K8921" i="3" s="1"/>
  <c r="H8921" i="3"/>
  <c r="G8921" i="3"/>
  <c r="M8920" i="3"/>
  <c r="L8920" i="3"/>
  <c r="J8920" i="3"/>
  <c r="K8920" i="3" s="1"/>
  <c r="H8920" i="3"/>
  <c r="I8920" i="3" s="1"/>
  <c r="G8920" i="3"/>
  <c r="M8919" i="3"/>
  <c r="L8919" i="3"/>
  <c r="J8919" i="3"/>
  <c r="K8919" i="3" s="1"/>
  <c r="H8919" i="3"/>
  <c r="G8919" i="3"/>
  <c r="M8918" i="3"/>
  <c r="L8918" i="3"/>
  <c r="J8918" i="3"/>
  <c r="K8918" i="3" s="1"/>
  <c r="H8918" i="3"/>
  <c r="G8918" i="3"/>
  <c r="M8917" i="3"/>
  <c r="L8917" i="3"/>
  <c r="J8917" i="3"/>
  <c r="K8917" i="3" s="1"/>
  <c r="H8917" i="3"/>
  <c r="G8917" i="3"/>
  <c r="M8916" i="3"/>
  <c r="L8916" i="3"/>
  <c r="J8916" i="3"/>
  <c r="K8916" i="3" s="1"/>
  <c r="H8916" i="3"/>
  <c r="G8916" i="3"/>
  <c r="M8915" i="3"/>
  <c r="L8915" i="3"/>
  <c r="J8915" i="3"/>
  <c r="K8915" i="3" s="1"/>
  <c r="H8915" i="3"/>
  <c r="G8915" i="3"/>
  <c r="M8914" i="3"/>
  <c r="L8914" i="3"/>
  <c r="K8914" i="3"/>
  <c r="J8914" i="3"/>
  <c r="H8914" i="3"/>
  <c r="G8914" i="3"/>
  <c r="M8913" i="3"/>
  <c r="L8913" i="3"/>
  <c r="J8913" i="3"/>
  <c r="K8913" i="3" s="1"/>
  <c r="H8913" i="3"/>
  <c r="G8913" i="3"/>
  <c r="M8912" i="3"/>
  <c r="L8912" i="3"/>
  <c r="J8912" i="3"/>
  <c r="K8912" i="3" s="1"/>
  <c r="H8912" i="3"/>
  <c r="G8912" i="3"/>
  <c r="M8911" i="3"/>
  <c r="L8911" i="3"/>
  <c r="J8911" i="3"/>
  <c r="K8911" i="3" s="1"/>
  <c r="H8911" i="3"/>
  <c r="G8911" i="3"/>
  <c r="I8911" i="3" s="1"/>
  <c r="M8910" i="3"/>
  <c r="L8910" i="3"/>
  <c r="J8910" i="3"/>
  <c r="K8910" i="3" s="1"/>
  <c r="H8910" i="3"/>
  <c r="G8910" i="3"/>
  <c r="I8910" i="3" s="1"/>
  <c r="M8909" i="3"/>
  <c r="L8909" i="3"/>
  <c r="J8909" i="3"/>
  <c r="K8909" i="3" s="1"/>
  <c r="H8909" i="3"/>
  <c r="I8909" i="3" s="1"/>
  <c r="G8909" i="3"/>
  <c r="M8908" i="3"/>
  <c r="L8908" i="3"/>
  <c r="K8908" i="3"/>
  <c r="J8908" i="3"/>
  <c r="H8908" i="3"/>
  <c r="G8908" i="3"/>
  <c r="I8908" i="3" s="1"/>
  <c r="M8907" i="3"/>
  <c r="L8907" i="3"/>
  <c r="J8907" i="3"/>
  <c r="K8907" i="3" s="1"/>
  <c r="H8907" i="3"/>
  <c r="G8907" i="3"/>
  <c r="M8906" i="3"/>
  <c r="L8906" i="3"/>
  <c r="J8906" i="3"/>
  <c r="K8906" i="3" s="1"/>
  <c r="H8906" i="3"/>
  <c r="G8906" i="3"/>
  <c r="M8953" i="3"/>
  <c r="L8953" i="3"/>
  <c r="J8953" i="3"/>
  <c r="K8953" i="3" s="1"/>
  <c r="H8953" i="3"/>
  <c r="G8953" i="3"/>
  <c r="M8952" i="3"/>
  <c r="L8952" i="3"/>
  <c r="J8952" i="3"/>
  <c r="K8952" i="3" s="1"/>
  <c r="H8952" i="3"/>
  <c r="G8952" i="3"/>
  <c r="M8951" i="3"/>
  <c r="L8951" i="3"/>
  <c r="J8951" i="3"/>
  <c r="K8951" i="3" s="1"/>
  <c r="H8951" i="3"/>
  <c r="G8951" i="3"/>
  <c r="M8950" i="3"/>
  <c r="L8950" i="3"/>
  <c r="J8950" i="3"/>
  <c r="K8950" i="3" s="1"/>
  <c r="H8950" i="3"/>
  <c r="G8950" i="3"/>
  <c r="M8949" i="3"/>
  <c r="L8949" i="3"/>
  <c r="J8949" i="3"/>
  <c r="K8949" i="3" s="1"/>
  <c r="H8949" i="3"/>
  <c r="G8949" i="3"/>
  <c r="M8948" i="3"/>
  <c r="L8948" i="3"/>
  <c r="J8948" i="3"/>
  <c r="K8948" i="3" s="1"/>
  <c r="H8948" i="3"/>
  <c r="G8948" i="3"/>
  <c r="M8947" i="3"/>
  <c r="L8947" i="3"/>
  <c r="J8947" i="3"/>
  <c r="K8947" i="3" s="1"/>
  <c r="H8947" i="3"/>
  <c r="G8947" i="3"/>
  <c r="M8946" i="3"/>
  <c r="L8946" i="3"/>
  <c r="K8946" i="3"/>
  <c r="J8946" i="3"/>
  <c r="H8946" i="3"/>
  <c r="G8946" i="3"/>
  <c r="M8945" i="3"/>
  <c r="L8945" i="3"/>
  <c r="J8945" i="3"/>
  <c r="K8945" i="3" s="1"/>
  <c r="H8945" i="3"/>
  <c r="G8945" i="3"/>
  <c r="M8944" i="3"/>
  <c r="L8944" i="3"/>
  <c r="J8944" i="3"/>
  <c r="K8944" i="3" s="1"/>
  <c r="H8944" i="3"/>
  <c r="G8944" i="3"/>
  <c r="M8943" i="3"/>
  <c r="L8943" i="3"/>
  <c r="J8943" i="3"/>
  <c r="K8943" i="3" s="1"/>
  <c r="H8943" i="3"/>
  <c r="G8943" i="3"/>
  <c r="I8943" i="3" s="1"/>
  <c r="M8942" i="3"/>
  <c r="L8942" i="3"/>
  <c r="J8942" i="3"/>
  <c r="K8942" i="3" s="1"/>
  <c r="H8942" i="3"/>
  <c r="G8942" i="3"/>
  <c r="I8942" i="3" s="1"/>
  <c r="M8941" i="3"/>
  <c r="L8941" i="3"/>
  <c r="J8941" i="3"/>
  <c r="K8941" i="3" s="1"/>
  <c r="H8941" i="3"/>
  <c r="I8941" i="3" s="1"/>
  <c r="G8941" i="3"/>
  <c r="M8940" i="3"/>
  <c r="L8940" i="3"/>
  <c r="K8940" i="3"/>
  <c r="J8940" i="3"/>
  <c r="H8940" i="3"/>
  <c r="G8940" i="3"/>
  <c r="I8940" i="3" s="1"/>
  <c r="M8939" i="3"/>
  <c r="L8939" i="3"/>
  <c r="J8939" i="3"/>
  <c r="K8939" i="3" s="1"/>
  <c r="H8939" i="3"/>
  <c r="G8939" i="3"/>
  <c r="M8938" i="3"/>
  <c r="L8938" i="3"/>
  <c r="J8938" i="3"/>
  <c r="K8938" i="3" s="1"/>
  <c r="H8938" i="3"/>
  <c r="G8938" i="3"/>
  <c r="M8937" i="3"/>
  <c r="L8937" i="3"/>
  <c r="J8937" i="3"/>
  <c r="K8937" i="3" s="1"/>
  <c r="H8937" i="3"/>
  <c r="G8937" i="3"/>
  <c r="M8936" i="3"/>
  <c r="L8936" i="3"/>
  <c r="J8936" i="3"/>
  <c r="K8936" i="3" s="1"/>
  <c r="H8936" i="3"/>
  <c r="G8936" i="3"/>
  <c r="M8935" i="3"/>
  <c r="L8935" i="3"/>
  <c r="J8935" i="3"/>
  <c r="K8935" i="3" s="1"/>
  <c r="H8935" i="3"/>
  <c r="G8935" i="3"/>
  <c r="I8935" i="3" s="1"/>
  <c r="M8934" i="3"/>
  <c r="L8934" i="3"/>
  <c r="J8934" i="3"/>
  <c r="K8934" i="3" s="1"/>
  <c r="H8934" i="3"/>
  <c r="G8934" i="3"/>
  <c r="M8933" i="3"/>
  <c r="L8933" i="3"/>
  <c r="J8933" i="3"/>
  <c r="K8933" i="3" s="1"/>
  <c r="H8933" i="3"/>
  <c r="G8933" i="3"/>
  <c r="M8932" i="3"/>
  <c r="L8932" i="3"/>
  <c r="J8932" i="3"/>
  <c r="K8932" i="3" s="1"/>
  <c r="H8932" i="3"/>
  <c r="G8932" i="3"/>
  <c r="I8932" i="3" s="1"/>
  <c r="M8931" i="3"/>
  <c r="L8931" i="3"/>
  <c r="J8931" i="3"/>
  <c r="K8931" i="3" s="1"/>
  <c r="H8931" i="3"/>
  <c r="G8931" i="3"/>
  <c r="M8930" i="3"/>
  <c r="L8930" i="3"/>
  <c r="K8930" i="3"/>
  <c r="J8930" i="3"/>
  <c r="H8930" i="3"/>
  <c r="G8930" i="3"/>
  <c r="M8977" i="3"/>
  <c r="L8977" i="3"/>
  <c r="J8977" i="3"/>
  <c r="K8977" i="3" s="1"/>
  <c r="H8977" i="3"/>
  <c r="G8977" i="3"/>
  <c r="M8976" i="3"/>
  <c r="L8976" i="3"/>
  <c r="J8976" i="3"/>
  <c r="K8976" i="3" s="1"/>
  <c r="H8976" i="3"/>
  <c r="G8976" i="3"/>
  <c r="M8975" i="3"/>
  <c r="L8975" i="3"/>
  <c r="J8975" i="3"/>
  <c r="K8975" i="3" s="1"/>
  <c r="H8975" i="3"/>
  <c r="G8975" i="3"/>
  <c r="I8975" i="3" s="1"/>
  <c r="M8974" i="3"/>
  <c r="L8974" i="3"/>
  <c r="J8974" i="3"/>
  <c r="K8974" i="3" s="1"/>
  <c r="H8974" i="3"/>
  <c r="G8974" i="3"/>
  <c r="M8973" i="3"/>
  <c r="L8973" i="3"/>
  <c r="J8973" i="3"/>
  <c r="K8973" i="3" s="1"/>
  <c r="H8973" i="3"/>
  <c r="G8973" i="3"/>
  <c r="M8972" i="3"/>
  <c r="L8972" i="3"/>
  <c r="J8972" i="3"/>
  <c r="K8972" i="3" s="1"/>
  <c r="H8972" i="3"/>
  <c r="G8972" i="3"/>
  <c r="M8971" i="3"/>
  <c r="L8971" i="3"/>
  <c r="J8971" i="3"/>
  <c r="K8971" i="3" s="1"/>
  <c r="H8971" i="3"/>
  <c r="G8971" i="3"/>
  <c r="M8970" i="3"/>
  <c r="L8970" i="3"/>
  <c r="K8970" i="3"/>
  <c r="J8970" i="3"/>
  <c r="H8970" i="3"/>
  <c r="G8970" i="3"/>
  <c r="M8969" i="3"/>
  <c r="L8969" i="3"/>
  <c r="J8969" i="3"/>
  <c r="K8969" i="3" s="1"/>
  <c r="H8969" i="3"/>
  <c r="G8969" i="3"/>
  <c r="M8968" i="3"/>
  <c r="L8968" i="3"/>
  <c r="J8968" i="3"/>
  <c r="K8968" i="3" s="1"/>
  <c r="H8968" i="3"/>
  <c r="I8968" i="3" s="1"/>
  <c r="G8968" i="3"/>
  <c r="M8967" i="3"/>
  <c r="L8967" i="3"/>
  <c r="K8967" i="3"/>
  <c r="J8967" i="3"/>
  <c r="H8967" i="3"/>
  <c r="G8967" i="3"/>
  <c r="M8966" i="3"/>
  <c r="L8966" i="3"/>
  <c r="J8966" i="3"/>
  <c r="K8966" i="3" s="1"/>
  <c r="H8966" i="3"/>
  <c r="G8966" i="3"/>
  <c r="M8965" i="3"/>
  <c r="L8965" i="3"/>
  <c r="J8965" i="3"/>
  <c r="K8965" i="3" s="1"/>
  <c r="H8965" i="3"/>
  <c r="G8965" i="3"/>
  <c r="M8964" i="3"/>
  <c r="L8964" i="3"/>
  <c r="J8964" i="3"/>
  <c r="K8964" i="3" s="1"/>
  <c r="H8964" i="3"/>
  <c r="G8964" i="3"/>
  <c r="I8964" i="3" s="1"/>
  <c r="M8963" i="3"/>
  <c r="L8963" i="3"/>
  <c r="J8963" i="3"/>
  <c r="K8963" i="3" s="1"/>
  <c r="H8963" i="3"/>
  <c r="G8963" i="3"/>
  <c r="M8962" i="3"/>
  <c r="L8962" i="3"/>
  <c r="J8962" i="3"/>
  <c r="K8962" i="3" s="1"/>
  <c r="H8962" i="3"/>
  <c r="G8962" i="3"/>
  <c r="M8961" i="3"/>
  <c r="L8961" i="3"/>
  <c r="J8961" i="3"/>
  <c r="K8961" i="3" s="1"/>
  <c r="H8961" i="3"/>
  <c r="G8961" i="3"/>
  <c r="M8960" i="3"/>
  <c r="L8960" i="3"/>
  <c r="J8960" i="3"/>
  <c r="K8960" i="3" s="1"/>
  <c r="H8960" i="3"/>
  <c r="G8960" i="3"/>
  <c r="I8960" i="3" s="1"/>
  <c r="M8959" i="3"/>
  <c r="L8959" i="3"/>
  <c r="J8959" i="3"/>
  <c r="K8959" i="3" s="1"/>
  <c r="H8959" i="3"/>
  <c r="G8959" i="3"/>
  <c r="M8958" i="3"/>
  <c r="L8958" i="3"/>
  <c r="J8958" i="3"/>
  <c r="K8958" i="3" s="1"/>
  <c r="H8958" i="3"/>
  <c r="G8958" i="3"/>
  <c r="M8957" i="3"/>
  <c r="L8957" i="3"/>
  <c r="J8957" i="3"/>
  <c r="K8957" i="3" s="1"/>
  <c r="H8957" i="3"/>
  <c r="G8957" i="3"/>
  <c r="M8956" i="3"/>
  <c r="L8956" i="3"/>
  <c r="J8956" i="3"/>
  <c r="K8956" i="3" s="1"/>
  <c r="H8956" i="3"/>
  <c r="G8956" i="3"/>
  <c r="I8956" i="3" s="1"/>
  <c r="M8955" i="3"/>
  <c r="L8955" i="3"/>
  <c r="J8955" i="3"/>
  <c r="K8955" i="3" s="1"/>
  <c r="H8955" i="3"/>
  <c r="G8955" i="3"/>
  <c r="M8954" i="3"/>
  <c r="L8954" i="3"/>
  <c r="K8954" i="3"/>
  <c r="J8954" i="3"/>
  <c r="H8954" i="3"/>
  <c r="G8954" i="3"/>
  <c r="M9001" i="3"/>
  <c r="L9001" i="3"/>
  <c r="J9001" i="3"/>
  <c r="K9001" i="3" s="1"/>
  <c r="H9001" i="3"/>
  <c r="G9001" i="3"/>
  <c r="M9000" i="3"/>
  <c r="L9000" i="3"/>
  <c r="J9000" i="3"/>
  <c r="K9000" i="3" s="1"/>
  <c r="H9000" i="3"/>
  <c r="G9000" i="3"/>
  <c r="M8999" i="3"/>
  <c r="L8999" i="3"/>
  <c r="J8999" i="3"/>
  <c r="K8999" i="3" s="1"/>
  <c r="H8999" i="3"/>
  <c r="G8999" i="3"/>
  <c r="M8998" i="3"/>
  <c r="L8998" i="3"/>
  <c r="J8998" i="3"/>
  <c r="K8998" i="3" s="1"/>
  <c r="H8998" i="3"/>
  <c r="G8998" i="3"/>
  <c r="I8998" i="3" s="1"/>
  <c r="M8997" i="3"/>
  <c r="L8997" i="3"/>
  <c r="J8997" i="3"/>
  <c r="K8997" i="3" s="1"/>
  <c r="H8997" i="3"/>
  <c r="I8997" i="3" s="1"/>
  <c r="G8997" i="3"/>
  <c r="M8996" i="3"/>
  <c r="L8996" i="3"/>
  <c r="K8996" i="3"/>
  <c r="J8996" i="3"/>
  <c r="H8996" i="3"/>
  <c r="G8996" i="3"/>
  <c r="M8995" i="3"/>
  <c r="L8995" i="3"/>
  <c r="J8995" i="3"/>
  <c r="K8995" i="3" s="1"/>
  <c r="H8995" i="3"/>
  <c r="G8995" i="3"/>
  <c r="M8994" i="3"/>
  <c r="L8994" i="3"/>
  <c r="J8994" i="3"/>
  <c r="K8994" i="3" s="1"/>
  <c r="H8994" i="3"/>
  <c r="G8994" i="3"/>
  <c r="M8993" i="3"/>
  <c r="L8993" i="3"/>
  <c r="J8993" i="3"/>
  <c r="K8993" i="3" s="1"/>
  <c r="H8993" i="3"/>
  <c r="G8993" i="3"/>
  <c r="M8992" i="3"/>
  <c r="L8992" i="3"/>
  <c r="J8992" i="3"/>
  <c r="K8992" i="3" s="1"/>
  <c r="H8992" i="3"/>
  <c r="G8992" i="3"/>
  <c r="M8991" i="3"/>
  <c r="L8991" i="3"/>
  <c r="J8991" i="3"/>
  <c r="K8991" i="3" s="1"/>
  <c r="H8991" i="3"/>
  <c r="G8991" i="3"/>
  <c r="I8991" i="3" s="1"/>
  <c r="M8990" i="3"/>
  <c r="L8990" i="3"/>
  <c r="J8990" i="3"/>
  <c r="K8990" i="3" s="1"/>
  <c r="H8990" i="3"/>
  <c r="G8990" i="3"/>
  <c r="M8989" i="3"/>
  <c r="L8989" i="3"/>
  <c r="J8989" i="3"/>
  <c r="K8989" i="3" s="1"/>
  <c r="H8989" i="3"/>
  <c r="I8989" i="3" s="1"/>
  <c r="G8989" i="3"/>
  <c r="M8988" i="3"/>
  <c r="L8988" i="3"/>
  <c r="K8988" i="3"/>
  <c r="J8988" i="3"/>
  <c r="H8988" i="3"/>
  <c r="I8988" i="3" s="1"/>
  <c r="G8988" i="3"/>
  <c r="M8987" i="3"/>
  <c r="L8987" i="3"/>
  <c r="J8987" i="3"/>
  <c r="K8987" i="3" s="1"/>
  <c r="H8987" i="3"/>
  <c r="G8987" i="3"/>
  <c r="M8986" i="3"/>
  <c r="L8986" i="3"/>
  <c r="K8986" i="3"/>
  <c r="J8986" i="3"/>
  <c r="H8986" i="3"/>
  <c r="G8986" i="3"/>
  <c r="M8985" i="3"/>
  <c r="L8985" i="3"/>
  <c r="J8985" i="3"/>
  <c r="K8985" i="3" s="1"/>
  <c r="H8985" i="3"/>
  <c r="G8985" i="3"/>
  <c r="M8984" i="3"/>
  <c r="L8984" i="3"/>
  <c r="J8984" i="3"/>
  <c r="K8984" i="3" s="1"/>
  <c r="H8984" i="3"/>
  <c r="G8984" i="3"/>
  <c r="M8983" i="3"/>
  <c r="L8983" i="3"/>
  <c r="J8983" i="3"/>
  <c r="K8983" i="3" s="1"/>
  <c r="H8983" i="3"/>
  <c r="G8983" i="3"/>
  <c r="I8983" i="3" s="1"/>
  <c r="M8982" i="3"/>
  <c r="L8982" i="3"/>
  <c r="J8982" i="3"/>
  <c r="K8982" i="3" s="1"/>
  <c r="H8982" i="3"/>
  <c r="G8982" i="3"/>
  <c r="I8982" i="3" s="1"/>
  <c r="M8981" i="3"/>
  <c r="L8981" i="3"/>
  <c r="J8981" i="3"/>
  <c r="K8981" i="3" s="1"/>
  <c r="H8981" i="3"/>
  <c r="I8981" i="3" s="1"/>
  <c r="G8981" i="3"/>
  <c r="M8980" i="3"/>
  <c r="L8980" i="3"/>
  <c r="K8980" i="3"/>
  <c r="J8980" i="3"/>
  <c r="H8980" i="3"/>
  <c r="G8980" i="3"/>
  <c r="I8980" i="3" s="1"/>
  <c r="M8979" i="3"/>
  <c r="L8979" i="3"/>
  <c r="J8979" i="3"/>
  <c r="K8979" i="3" s="1"/>
  <c r="H8979" i="3"/>
  <c r="G8979" i="3"/>
  <c r="M8978" i="3"/>
  <c r="L8978" i="3"/>
  <c r="J8978" i="3"/>
  <c r="K8978" i="3" s="1"/>
  <c r="H8978" i="3"/>
  <c r="G8978" i="3"/>
  <c r="M9025" i="3"/>
  <c r="L9025" i="3"/>
  <c r="J9025" i="3"/>
  <c r="K9025" i="3" s="1"/>
  <c r="H9025" i="3"/>
  <c r="G9025" i="3"/>
  <c r="M9024" i="3"/>
  <c r="L9024" i="3"/>
  <c r="J9024" i="3"/>
  <c r="K9024" i="3" s="1"/>
  <c r="H9024" i="3"/>
  <c r="G9024" i="3"/>
  <c r="I9024" i="3" s="1"/>
  <c r="M9023" i="3"/>
  <c r="L9023" i="3"/>
  <c r="J9023" i="3"/>
  <c r="K9023" i="3" s="1"/>
  <c r="H9023" i="3"/>
  <c r="G9023" i="3"/>
  <c r="M9022" i="3"/>
  <c r="L9022" i="3"/>
  <c r="K9022" i="3"/>
  <c r="J9022" i="3"/>
  <c r="H9022" i="3"/>
  <c r="G9022" i="3"/>
  <c r="I9022" i="3" s="1"/>
  <c r="M9021" i="3"/>
  <c r="L9021" i="3"/>
  <c r="J9021" i="3"/>
  <c r="K9021" i="3" s="1"/>
  <c r="H9021" i="3"/>
  <c r="G9021" i="3"/>
  <c r="M9020" i="3"/>
  <c r="L9020" i="3"/>
  <c r="J9020" i="3"/>
  <c r="K9020" i="3" s="1"/>
  <c r="H9020" i="3"/>
  <c r="G9020" i="3"/>
  <c r="M9019" i="3"/>
  <c r="L9019" i="3"/>
  <c r="J9019" i="3"/>
  <c r="K9019" i="3" s="1"/>
  <c r="H9019" i="3"/>
  <c r="G9019" i="3"/>
  <c r="M9018" i="3"/>
  <c r="L9018" i="3"/>
  <c r="K9018" i="3"/>
  <c r="J9018" i="3"/>
  <c r="H9018" i="3"/>
  <c r="G9018" i="3"/>
  <c r="I9018" i="3" s="1"/>
  <c r="M9017" i="3"/>
  <c r="L9017" i="3"/>
  <c r="J9017" i="3"/>
  <c r="K9017" i="3" s="1"/>
  <c r="H9017" i="3"/>
  <c r="I9017" i="3" s="1"/>
  <c r="G9017" i="3"/>
  <c r="M9016" i="3"/>
  <c r="L9016" i="3"/>
  <c r="K9016" i="3"/>
  <c r="J9016" i="3"/>
  <c r="H9016" i="3"/>
  <c r="G9016" i="3"/>
  <c r="I9016" i="3" s="1"/>
  <c r="M9015" i="3"/>
  <c r="L9015" i="3"/>
  <c r="J9015" i="3"/>
  <c r="K9015" i="3" s="1"/>
  <c r="H9015" i="3"/>
  <c r="G9015" i="3"/>
  <c r="M9014" i="3"/>
  <c r="L9014" i="3"/>
  <c r="J9014" i="3"/>
  <c r="K9014" i="3" s="1"/>
  <c r="H9014" i="3"/>
  <c r="G9014" i="3"/>
  <c r="M9013" i="3"/>
  <c r="L9013" i="3"/>
  <c r="J9013" i="3"/>
  <c r="K9013" i="3" s="1"/>
  <c r="H9013" i="3"/>
  <c r="G9013" i="3"/>
  <c r="M9012" i="3"/>
  <c r="L9012" i="3"/>
  <c r="J9012" i="3"/>
  <c r="K9012" i="3" s="1"/>
  <c r="H9012" i="3"/>
  <c r="I9012" i="3" s="1"/>
  <c r="G9012" i="3"/>
  <c r="M9011" i="3"/>
  <c r="L9011" i="3"/>
  <c r="K9011" i="3"/>
  <c r="J9011" i="3"/>
  <c r="H9011" i="3"/>
  <c r="G9011" i="3"/>
  <c r="M9010" i="3"/>
  <c r="L9010" i="3"/>
  <c r="J9010" i="3"/>
  <c r="K9010" i="3" s="1"/>
  <c r="H9010" i="3"/>
  <c r="G9010" i="3"/>
  <c r="M9009" i="3"/>
  <c r="L9009" i="3"/>
  <c r="J9009" i="3"/>
  <c r="K9009" i="3" s="1"/>
  <c r="H9009" i="3"/>
  <c r="G9009" i="3"/>
  <c r="M9008" i="3"/>
  <c r="L9008" i="3"/>
  <c r="J9008" i="3"/>
  <c r="K9008" i="3" s="1"/>
  <c r="H9008" i="3"/>
  <c r="G9008" i="3"/>
  <c r="M9007" i="3"/>
  <c r="L9007" i="3"/>
  <c r="K9007" i="3"/>
  <c r="J9007" i="3"/>
  <c r="H9007" i="3"/>
  <c r="G9007" i="3"/>
  <c r="M9006" i="3"/>
  <c r="L9006" i="3"/>
  <c r="K9006" i="3"/>
  <c r="J9006" i="3"/>
  <c r="H9006" i="3"/>
  <c r="G9006" i="3"/>
  <c r="M9005" i="3"/>
  <c r="L9005" i="3"/>
  <c r="J9005" i="3"/>
  <c r="K9005" i="3" s="1"/>
  <c r="H9005" i="3"/>
  <c r="G9005" i="3"/>
  <c r="I9005" i="3" s="1"/>
  <c r="M9004" i="3"/>
  <c r="L9004" i="3"/>
  <c r="J9004" i="3"/>
  <c r="K9004" i="3" s="1"/>
  <c r="I9004" i="3"/>
  <c r="H9004" i="3"/>
  <c r="G9004" i="3"/>
  <c r="M9003" i="3"/>
  <c r="L9003" i="3"/>
  <c r="J9003" i="3"/>
  <c r="K9003" i="3" s="1"/>
  <c r="H9003" i="3"/>
  <c r="G9003" i="3"/>
  <c r="M9002" i="3"/>
  <c r="L9002" i="3"/>
  <c r="K9002" i="3"/>
  <c r="J9002" i="3"/>
  <c r="H9002" i="3"/>
  <c r="G9002" i="3"/>
  <c r="M9049" i="3"/>
  <c r="L9049" i="3"/>
  <c r="J9049" i="3"/>
  <c r="K9049" i="3" s="1"/>
  <c r="H9049" i="3"/>
  <c r="G9049" i="3"/>
  <c r="M9048" i="3"/>
  <c r="L9048" i="3"/>
  <c r="J9048" i="3"/>
  <c r="K9048" i="3" s="1"/>
  <c r="I9048" i="3"/>
  <c r="H9048" i="3"/>
  <c r="G9048" i="3"/>
  <c r="M9047" i="3"/>
  <c r="L9047" i="3"/>
  <c r="K9047" i="3"/>
  <c r="J9047" i="3"/>
  <c r="H9047" i="3"/>
  <c r="G9047" i="3"/>
  <c r="M9046" i="3"/>
  <c r="L9046" i="3"/>
  <c r="K9046" i="3"/>
  <c r="J9046" i="3"/>
  <c r="H9046" i="3"/>
  <c r="G9046" i="3"/>
  <c r="M9045" i="3"/>
  <c r="L9045" i="3"/>
  <c r="J9045" i="3"/>
  <c r="K9045" i="3" s="1"/>
  <c r="H9045" i="3"/>
  <c r="G9045" i="3"/>
  <c r="M9044" i="3"/>
  <c r="L9044" i="3"/>
  <c r="J9044" i="3"/>
  <c r="K9044" i="3" s="1"/>
  <c r="I9044" i="3"/>
  <c r="H9044" i="3"/>
  <c r="G9044" i="3"/>
  <c r="M9043" i="3"/>
  <c r="L9043" i="3"/>
  <c r="K9043" i="3"/>
  <c r="J9043" i="3"/>
  <c r="H9043" i="3"/>
  <c r="G9043" i="3"/>
  <c r="M9042" i="3"/>
  <c r="L9042" i="3"/>
  <c r="J9042" i="3"/>
  <c r="K9042" i="3" s="1"/>
  <c r="H9042" i="3"/>
  <c r="G9042" i="3"/>
  <c r="M9041" i="3"/>
  <c r="L9041" i="3"/>
  <c r="J9041" i="3"/>
  <c r="K9041" i="3" s="1"/>
  <c r="H9041" i="3"/>
  <c r="G9041" i="3"/>
  <c r="M9040" i="3"/>
  <c r="L9040" i="3"/>
  <c r="J9040" i="3"/>
  <c r="K9040" i="3" s="1"/>
  <c r="H9040" i="3"/>
  <c r="G9040" i="3"/>
  <c r="I9040" i="3" s="1"/>
  <c r="M9039" i="3"/>
  <c r="L9039" i="3"/>
  <c r="J9039" i="3"/>
  <c r="K9039" i="3" s="1"/>
  <c r="H9039" i="3"/>
  <c r="G9039" i="3"/>
  <c r="M9038" i="3"/>
  <c r="L9038" i="3"/>
  <c r="K9038" i="3"/>
  <c r="J9038" i="3"/>
  <c r="H9038" i="3"/>
  <c r="G9038" i="3"/>
  <c r="M9037" i="3"/>
  <c r="L9037" i="3"/>
  <c r="J9037" i="3"/>
  <c r="K9037" i="3" s="1"/>
  <c r="H9037" i="3"/>
  <c r="G9037" i="3"/>
  <c r="I9037" i="3" s="1"/>
  <c r="M9036" i="3"/>
  <c r="L9036" i="3"/>
  <c r="J9036" i="3"/>
  <c r="K9036" i="3" s="1"/>
  <c r="H9036" i="3"/>
  <c r="G9036" i="3"/>
  <c r="I9036" i="3" s="1"/>
  <c r="M9035" i="3"/>
  <c r="L9035" i="3"/>
  <c r="J9035" i="3"/>
  <c r="K9035" i="3" s="1"/>
  <c r="H9035" i="3"/>
  <c r="G9035" i="3"/>
  <c r="M9034" i="3"/>
  <c r="L9034" i="3"/>
  <c r="J9034" i="3"/>
  <c r="K9034" i="3" s="1"/>
  <c r="H9034" i="3"/>
  <c r="G9034" i="3"/>
  <c r="M9033" i="3"/>
  <c r="L9033" i="3"/>
  <c r="J9033" i="3"/>
  <c r="K9033" i="3" s="1"/>
  <c r="H9033" i="3"/>
  <c r="G9033" i="3"/>
  <c r="M9032" i="3"/>
  <c r="L9032" i="3"/>
  <c r="K9032" i="3"/>
  <c r="J9032" i="3"/>
  <c r="H9032" i="3"/>
  <c r="G9032" i="3"/>
  <c r="M9031" i="3"/>
  <c r="L9031" i="3"/>
  <c r="K9031" i="3"/>
  <c r="J9031" i="3"/>
  <c r="H9031" i="3"/>
  <c r="G9031" i="3"/>
  <c r="M9030" i="3"/>
  <c r="L9030" i="3"/>
  <c r="K9030" i="3"/>
  <c r="J9030" i="3"/>
  <c r="H9030" i="3"/>
  <c r="G9030" i="3"/>
  <c r="M9029" i="3"/>
  <c r="L9029" i="3"/>
  <c r="J9029" i="3"/>
  <c r="K9029" i="3" s="1"/>
  <c r="H9029" i="3"/>
  <c r="G9029" i="3"/>
  <c r="M9028" i="3"/>
  <c r="L9028" i="3"/>
  <c r="K9028" i="3"/>
  <c r="J9028" i="3"/>
  <c r="H9028" i="3"/>
  <c r="G9028" i="3"/>
  <c r="I9028" i="3" s="1"/>
  <c r="M9027" i="3"/>
  <c r="L9027" i="3"/>
  <c r="J9027" i="3"/>
  <c r="K9027" i="3" s="1"/>
  <c r="H9027" i="3"/>
  <c r="G9027" i="3"/>
  <c r="M9026" i="3"/>
  <c r="L9026" i="3"/>
  <c r="J9026" i="3"/>
  <c r="K9026" i="3" s="1"/>
  <c r="H9026" i="3"/>
  <c r="G9026" i="3"/>
  <c r="M9073" i="3"/>
  <c r="L9073" i="3"/>
  <c r="J9073" i="3"/>
  <c r="K9073" i="3" s="1"/>
  <c r="H9073" i="3"/>
  <c r="G9073" i="3"/>
  <c r="M9072" i="3"/>
  <c r="L9072" i="3"/>
  <c r="J9072" i="3"/>
  <c r="K9072" i="3" s="1"/>
  <c r="H9072" i="3"/>
  <c r="G9072" i="3"/>
  <c r="M9071" i="3"/>
  <c r="L9071" i="3"/>
  <c r="J9071" i="3"/>
  <c r="K9071" i="3" s="1"/>
  <c r="H9071" i="3"/>
  <c r="G9071" i="3"/>
  <c r="M9070" i="3"/>
  <c r="L9070" i="3"/>
  <c r="J9070" i="3"/>
  <c r="K9070" i="3" s="1"/>
  <c r="H9070" i="3"/>
  <c r="G9070" i="3"/>
  <c r="M9069" i="3"/>
  <c r="L9069" i="3"/>
  <c r="J9069" i="3"/>
  <c r="K9069" i="3" s="1"/>
  <c r="H9069" i="3"/>
  <c r="G9069" i="3"/>
  <c r="M9068" i="3"/>
  <c r="L9068" i="3"/>
  <c r="J9068" i="3"/>
  <c r="K9068" i="3" s="1"/>
  <c r="H9068" i="3"/>
  <c r="G9068" i="3"/>
  <c r="M9067" i="3"/>
  <c r="L9067" i="3"/>
  <c r="J9067" i="3"/>
  <c r="K9067" i="3" s="1"/>
  <c r="H9067" i="3"/>
  <c r="G9067" i="3"/>
  <c r="M9066" i="3"/>
  <c r="L9066" i="3"/>
  <c r="J9066" i="3"/>
  <c r="K9066" i="3" s="1"/>
  <c r="H9066" i="3"/>
  <c r="G9066" i="3"/>
  <c r="I9066" i="3" s="1"/>
  <c r="M9065" i="3"/>
  <c r="L9065" i="3"/>
  <c r="J9065" i="3"/>
  <c r="K9065" i="3" s="1"/>
  <c r="H9065" i="3"/>
  <c r="G9065" i="3"/>
  <c r="M9064" i="3"/>
  <c r="L9064" i="3"/>
  <c r="J9064" i="3"/>
  <c r="K9064" i="3" s="1"/>
  <c r="H9064" i="3"/>
  <c r="G9064" i="3"/>
  <c r="M9063" i="3"/>
  <c r="L9063" i="3"/>
  <c r="J9063" i="3"/>
  <c r="K9063" i="3" s="1"/>
  <c r="H9063" i="3"/>
  <c r="G9063" i="3"/>
  <c r="M9062" i="3"/>
  <c r="L9062" i="3"/>
  <c r="J9062" i="3"/>
  <c r="K9062" i="3" s="1"/>
  <c r="H9062" i="3"/>
  <c r="G9062" i="3"/>
  <c r="M9061" i="3"/>
  <c r="L9061" i="3"/>
  <c r="J9061" i="3"/>
  <c r="K9061" i="3" s="1"/>
  <c r="H9061" i="3"/>
  <c r="G9061" i="3"/>
  <c r="M9060" i="3"/>
  <c r="L9060" i="3"/>
  <c r="J9060" i="3"/>
  <c r="K9060" i="3" s="1"/>
  <c r="H9060" i="3"/>
  <c r="G9060" i="3"/>
  <c r="I9060" i="3" s="1"/>
  <c r="M9059" i="3"/>
  <c r="L9059" i="3"/>
  <c r="J9059" i="3"/>
  <c r="K9059" i="3" s="1"/>
  <c r="H9059" i="3"/>
  <c r="G9059" i="3"/>
  <c r="M9058" i="3"/>
  <c r="L9058" i="3"/>
  <c r="J9058" i="3"/>
  <c r="K9058" i="3" s="1"/>
  <c r="H9058" i="3"/>
  <c r="G9058" i="3"/>
  <c r="M9057" i="3"/>
  <c r="L9057" i="3"/>
  <c r="J9057" i="3"/>
  <c r="K9057" i="3" s="1"/>
  <c r="H9057" i="3"/>
  <c r="G9057" i="3"/>
  <c r="M9056" i="3"/>
  <c r="L9056" i="3"/>
  <c r="J9056" i="3"/>
  <c r="K9056" i="3" s="1"/>
  <c r="H9056" i="3"/>
  <c r="G9056" i="3"/>
  <c r="M9055" i="3"/>
  <c r="L9055" i="3"/>
  <c r="J9055" i="3"/>
  <c r="K9055" i="3" s="1"/>
  <c r="H9055" i="3"/>
  <c r="G9055" i="3"/>
  <c r="M9054" i="3"/>
  <c r="L9054" i="3"/>
  <c r="J9054" i="3"/>
  <c r="K9054" i="3" s="1"/>
  <c r="H9054" i="3"/>
  <c r="G9054" i="3"/>
  <c r="I9054" i="3" s="1"/>
  <c r="M9053" i="3"/>
  <c r="L9053" i="3"/>
  <c r="J9053" i="3"/>
  <c r="K9053" i="3" s="1"/>
  <c r="H9053" i="3"/>
  <c r="G9053" i="3"/>
  <c r="M9052" i="3"/>
  <c r="L9052" i="3"/>
  <c r="J9052" i="3"/>
  <c r="K9052" i="3" s="1"/>
  <c r="H9052" i="3"/>
  <c r="G9052" i="3"/>
  <c r="M9051" i="3"/>
  <c r="L9051" i="3"/>
  <c r="J9051" i="3"/>
  <c r="K9051" i="3" s="1"/>
  <c r="H9051" i="3"/>
  <c r="G9051" i="3"/>
  <c r="I9051" i="3" s="1"/>
  <c r="M9050" i="3"/>
  <c r="L9050" i="3"/>
  <c r="J9050" i="3"/>
  <c r="K9050" i="3" s="1"/>
  <c r="H9050" i="3"/>
  <c r="G9050" i="3"/>
  <c r="I9050" i="3" s="1"/>
  <c r="M9097" i="3"/>
  <c r="L9097" i="3"/>
  <c r="J9097" i="3"/>
  <c r="K9097" i="3" s="1"/>
  <c r="H9097" i="3"/>
  <c r="I9097" i="3" s="1"/>
  <c r="G9097" i="3"/>
  <c r="M9096" i="3"/>
  <c r="L9096" i="3"/>
  <c r="K9096" i="3"/>
  <c r="J9096" i="3"/>
  <c r="H9096" i="3"/>
  <c r="G9096" i="3"/>
  <c r="I9096" i="3" s="1"/>
  <c r="M9095" i="3"/>
  <c r="L9095" i="3"/>
  <c r="J9095" i="3"/>
  <c r="K9095" i="3" s="1"/>
  <c r="H9095" i="3"/>
  <c r="G9095" i="3"/>
  <c r="M9094" i="3"/>
  <c r="L9094" i="3"/>
  <c r="J9094" i="3"/>
  <c r="K9094" i="3" s="1"/>
  <c r="H9094" i="3"/>
  <c r="G9094" i="3"/>
  <c r="I9094" i="3" s="1"/>
  <c r="M9093" i="3"/>
  <c r="L9093" i="3"/>
  <c r="J9093" i="3"/>
  <c r="K9093" i="3" s="1"/>
  <c r="H9093" i="3"/>
  <c r="G9093" i="3"/>
  <c r="M9092" i="3"/>
  <c r="L9092" i="3"/>
  <c r="J9092" i="3"/>
  <c r="K9092" i="3" s="1"/>
  <c r="H9092" i="3"/>
  <c r="G9092" i="3"/>
  <c r="M9091" i="3"/>
  <c r="L9091" i="3"/>
  <c r="J9091" i="3"/>
  <c r="K9091" i="3" s="1"/>
  <c r="H9091" i="3"/>
  <c r="G9091" i="3"/>
  <c r="M9090" i="3"/>
  <c r="L9090" i="3"/>
  <c r="J9090" i="3"/>
  <c r="K9090" i="3" s="1"/>
  <c r="H9090" i="3"/>
  <c r="G9090" i="3"/>
  <c r="M9089" i="3"/>
  <c r="L9089" i="3"/>
  <c r="J9089" i="3"/>
  <c r="K9089" i="3" s="1"/>
  <c r="H9089" i="3"/>
  <c r="G9089" i="3"/>
  <c r="M9088" i="3"/>
  <c r="L9088" i="3"/>
  <c r="J9088" i="3"/>
  <c r="K9088" i="3" s="1"/>
  <c r="H9088" i="3"/>
  <c r="G9088" i="3"/>
  <c r="M9087" i="3"/>
  <c r="L9087" i="3"/>
  <c r="J9087" i="3"/>
  <c r="K9087" i="3" s="1"/>
  <c r="H9087" i="3"/>
  <c r="G9087" i="3"/>
  <c r="I9087" i="3" s="1"/>
  <c r="M9086" i="3"/>
  <c r="L9086" i="3"/>
  <c r="J9086" i="3"/>
  <c r="K9086" i="3" s="1"/>
  <c r="H9086" i="3"/>
  <c r="G9086" i="3"/>
  <c r="M9085" i="3"/>
  <c r="L9085" i="3"/>
  <c r="J9085" i="3"/>
  <c r="K9085" i="3" s="1"/>
  <c r="H9085" i="3"/>
  <c r="G9085" i="3"/>
  <c r="M9084" i="3"/>
  <c r="L9084" i="3"/>
  <c r="J9084" i="3"/>
  <c r="K9084" i="3" s="1"/>
  <c r="H9084" i="3"/>
  <c r="I9084" i="3" s="1"/>
  <c r="G9084" i="3"/>
  <c r="M9083" i="3"/>
  <c r="L9083" i="3"/>
  <c r="J9083" i="3"/>
  <c r="K9083" i="3" s="1"/>
  <c r="H9083" i="3"/>
  <c r="G9083" i="3"/>
  <c r="M9082" i="3"/>
  <c r="L9082" i="3"/>
  <c r="K9082" i="3"/>
  <c r="J9082" i="3"/>
  <c r="H9082" i="3"/>
  <c r="G9082" i="3"/>
  <c r="I9082" i="3" s="1"/>
  <c r="M9081" i="3"/>
  <c r="L9081" i="3"/>
  <c r="J9081" i="3"/>
  <c r="K9081" i="3" s="1"/>
  <c r="H9081" i="3"/>
  <c r="I9081" i="3" s="1"/>
  <c r="G9081" i="3"/>
  <c r="M9080" i="3"/>
  <c r="L9080" i="3"/>
  <c r="K9080" i="3"/>
  <c r="J9080" i="3"/>
  <c r="H9080" i="3"/>
  <c r="G9080" i="3"/>
  <c r="I9080" i="3" s="1"/>
  <c r="M9079" i="3"/>
  <c r="L9079" i="3"/>
  <c r="J9079" i="3"/>
  <c r="K9079" i="3" s="1"/>
  <c r="H9079" i="3"/>
  <c r="G9079" i="3"/>
  <c r="M9078" i="3"/>
  <c r="L9078" i="3"/>
  <c r="J9078" i="3"/>
  <c r="K9078" i="3" s="1"/>
  <c r="H9078" i="3"/>
  <c r="G9078" i="3"/>
  <c r="M9077" i="3"/>
  <c r="L9077" i="3"/>
  <c r="J9077" i="3"/>
  <c r="K9077" i="3" s="1"/>
  <c r="H9077" i="3"/>
  <c r="G9077" i="3"/>
  <c r="M9076" i="3"/>
  <c r="L9076" i="3"/>
  <c r="J9076" i="3"/>
  <c r="K9076" i="3" s="1"/>
  <c r="H9076" i="3"/>
  <c r="G9076" i="3"/>
  <c r="I9076" i="3" s="1"/>
  <c r="M9075" i="3"/>
  <c r="L9075" i="3"/>
  <c r="J9075" i="3"/>
  <c r="K9075" i="3" s="1"/>
  <c r="H9075" i="3"/>
  <c r="G9075" i="3"/>
  <c r="M9074" i="3"/>
  <c r="L9074" i="3"/>
  <c r="K9074" i="3"/>
  <c r="J9074" i="3"/>
  <c r="H9074" i="3"/>
  <c r="G9074" i="3"/>
  <c r="M9121" i="3"/>
  <c r="L9121" i="3"/>
  <c r="J9121" i="3"/>
  <c r="K9121" i="3" s="1"/>
  <c r="H9121" i="3"/>
  <c r="G9121" i="3"/>
  <c r="M9120" i="3"/>
  <c r="L9120" i="3"/>
  <c r="J9120" i="3"/>
  <c r="K9120" i="3" s="1"/>
  <c r="H9120" i="3"/>
  <c r="G9120" i="3"/>
  <c r="M9119" i="3"/>
  <c r="L9119" i="3"/>
  <c r="J9119" i="3"/>
  <c r="K9119" i="3" s="1"/>
  <c r="H9119" i="3"/>
  <c r="G9119" i="3"/>
  <c r="M9118" i="3"/>
  <c r="L9118" i="3"/>
  <c r="J9118" i="3"/>
  <c r="K9118" i="3" s="1"/>
  <c r="H9118" i="3"/>
  <c r="G9118" i="3"/>
  <c r="I9118" i="3" s="1"/>
  <c r="M9117" i="3"/>
  <c r="L9117" i="3"/>
  <c r="J9117" i="3"/>
  <c r="K9117" i="3" s="1"/>
  <c r="H9117" i="3"/>
  <c r="G9117" i="3"/>
  <c r="M9116" i="3"/>
  <c r="L9116" i="3"/>
  <c r="J9116" i="3"/>
  <c r="K9116" i="3" s="1"/>
  <c r="H9116" i="3"/>
  <c r="G9116" i="3"/>
  <c r="M9115" i="3"/>
  <c r="L9115" i="3"/>
  <c r="J9115" i="3"/>
  <c r="K9115" i="3" s="1"/>
  <c r="H9115" i="3"/>
  <c r="G9115" i="3"/>
  <c r="M9114" i="3"/>
  <c r="L9114" i="3"/>
  <c r="J9114" i="3"/>
  <c r="K9114" i="3" s="1"/>
  <c r="H9114" i="3"/>
  <c r="G9114" i="3"/>
  <c r="I9114" i="3" s="1"/>
  <c r="M9113" i="3"/>
  <c r="L9113" i="3"/>
  <c r="J9113" i="3"/>
  <c r="K9113" i="3" s="1"/>
  <c r="H9113" i="3"/>
  <c r="G9113" i="3"/>
  <c r="M9112" i="3"/>
  <c r="L9112" i="3"/>
  <c r="J9112" i="3"/>
  <c r="K9112" i="3" s="1"/>
  <c r="H9112" i="3"/>
  <c r="G9112" i="3"/>
  <c r="M9111" i="3"/>
  <c r="L9111" i="3"/>
  <c r="J9111" i="3"/>
  <c r="K9111" i="3" s="1"/>
  <c r="H9111" i="3"/>
  <c r="G9111" i="3"/>
  <c r="M9110" i="3"/>
  <c r="L9110" i="3"/>
  <c r="J9110" i="3"/>
  <c r="K9110" i="3" s="1"/>
  <c r="H9110" i="3"/>
  <c r="G9110" i="3"/>
  <c r="M9109" i="3"/>
  <c r="L9109" i="3"/>
  <c r="J9109" i="3"/>
  <c r="K9109" i="3" s="1"/>
  <c r="H9109" i="3"/>
  <c r="G9109" i="3"/>
  <c r="M9108" i="3"/>
  <c r="L9108" i="3"/>
  <c r="J9108" i="3"/>
  <c r="K9108" i="3" s="1"/>
  <c r="H9108" i="3"/>
  <c r="G9108" i="3"/>
  <c r="M9107" i="3"/>
  <c r="L9107" i="3"/>
  <c r="J9107" i="3"/>
  <c r="K9107" i="3" s="1"/>
  <c r="H9107" i="3"/>
  <c r="G9107" i="3"/>
  <c r="M9106" i="3"/>
  <c r="L9106" i="3"/>
  <c r="J9106" i="3"/>
  <c r="K9106" i="3" s="1"/>
  <c r="H9106" i="3"/>
  <c r="G9106" i="3"/>
  <c r="M9105" i="3"/>
  <c r="L9105" i="3"/>
  <c r="J9105" i="3"/>
  <c r="K9105" i="3" s="1"/>
  <c r="H9105" i="3"/>
  <c r="G9105" i="3"/>
  <c r="M9104" i="3"/>
  <c r="L9104" i="3"/>
  <c r="J9104" i="3"/>
  <c r="K9104" i="3" s="1"/>
  <c r="H9104" i="3"/>
  <c r="G9104" i="3"/>
  <c r="M9103" i="3"/>
  <c r="L9103" i="3"/>
  <c r="J9103" i="3"/>
  <c r="K9103" i="3" s="1"/>
  <c r="H9103" i="3"/>
  <c r="G9103" i="3"/>
  <c r="M9102" i="3"/>
  <c r="L9102" i="3"/>
  <c r="J9102" i="3"/>
  <c r="K9102" i="3" s="1"/>
  <c r="H9102" i="3"/>
  <c r="G9102" i="3"/>
  <c r="M9101" i="3"/>
  <c r="L9101" i="3"/>
  <c r="J9101" i="3"/>
  <c r="K9101" i="3" s="1"/>
  <c r="H9101" i="3"/>
  <c r="G9101" i="3"/>
  <c r="I9101" i="3" s="1"/>
  <c r="M9100" i="3"/>
  <c r="L9100" i="3"/>
  <c r="J9100" i="3"/>
  <c r="K9100" i="3" s="1"/>
  <c r="H9100" i="3"/>
  <c r="G9100" i="3"/>
  <c r="M9099" i="3"/>
  <c r="L9099" i="3"/>
  <c r="K9099" i="3"/>
  <c r="J9099" i="3"/>
  <c r="H9099" i="3"/>
  <c r="G9099" i="3"/>
  <c r="M9098" i="3"/>
  <c r="L9098" i="3"/>
  <c r="J9098" i="3"/>
  <c r="K9098" i="3" s="1"/>
  <c r="H9098" i="3"/>
  <c r="G9098" i="3"/>
  <c r="I9098" i="3" s="1"/>
  <c r="M9145" i="3"/>
  <c r="L9145" i="3"/>
  <c r="J9145" i="3"/>
  <c r="K9145" i="3" s="1"/>
  <c r="H9145" i="3"/>
  <c r="G9145" i="3"/>
  <c r="M9144" i="3"/>
  <c r="L9144" i="3"/>
  <c r="J9144" i="3"/>
  <c r="K9144" i="3" s="1"/>
  <c r="H9144" i="3"/>
  <c r="G9144" i="3"/>
  <c r="M9143" i="3"/>
  <c r="L9143" i="3"/>
  <c r="J9143" i="3"/>
  <c r="K9143" i="3" s="1"/>
  <c r="H9143" i="3"/>
  <c r="G9143" i="3"/>
  <c r="M9142" i="3"/>
  <c r="L9142" i="3"/>
  <c r="J9142" i="3"/>
  <c r="K9142" i="3" s="1"/>
  <c r="H9142" i="3"/>
  <c r="G9142" i="3"/>
  <c r="M9141" i="3"/>
  <c r="L9141" i="3"/>
  <c r="J9141" i="3"/>
  <c r="K9141" i="3" s="1"/>
  <c r="H9141" i="3"/>
  <c r="G9141" i="3"/>
  <c r="M9140" i="3"/>
  <c r="L9140" i="3"/>
  <c r="J9140" i="3"/>
  <c r="K9140" i="3" s="1"/>
  <c r="H9140" i="3"/>
  <c r="G9140" i="3"/>
  <c r="M9139" i="3"/>
  <c r="L9139" i="3"/>
  <c r="J9139" i="3"/>
  <c r="K9139" i="3" s="1"/>
  <c r="H9139" i="3"/>
  <c r="I9139" i="3" s="1"/>
  <c r="G9139" i="3"/>
  <c r="M9138" i="3"/>
  <c r="L9138" i="3"/>
  <c r="K9138" i="3"/>
  <c r="J9138" i="3"/>
  <c r="H9138" i="3"/>
  <c r="G9138" i="3"/>
  <c r="I9138" i="3" s="1"/>
  <c r="M9137" i="3"/>
  <c r="L9137" i="3"/>
  <c r="J9137" i="3"/>
  <c r="K9137" i="3" s="1"/>
  <c r="H9137" i="3"/>
  <c r="G9137" i="3"/>
  <c r="M9136" i="3"/>
  <c r="L9136" i="3"/>
  <c r="J9136" i="3"/>
  <c r="K9136" i="3" s="1"/>
  <c r="I9136" i="3"/>
  <c r="H9136" i="3"/>
  <c r="G9136" i="3"/>
  <c r="M9135" i="3"/>
  <c r="L9135" i="3"/>
  <c r="J9135" i="3"/>
  <c r="K9135" i="3" s="1"/>
  <c r="H9135" i="3"/>
  <c r="G9135" i="3"/>
  <c r="M9134" i="3"/>
  <c r="L9134" i="3"/>
  <c r="J9134" i="3"/>
  <c r="K9134" i="3" s="1"/>
  <c r="H9134" i="3"/>
  <c r="G9134" i="3"/>
  <c r="M9133" i="3"/>
  <c r="L9133" i="3"/>
  <c r="J9133" i="3"/>
  <c r="K9133" i="3" s="1"/>
  <c r="H9133" i="3"/>
  <c r="G9133" i="3"/>
  <c r="M9132" i="3"/>
  <c r="L9132" i="3"/>
  <c r="J9132" i="3"/>
  <c r="K9132" i="3" s="1"/>
  <c r="H9132" i="3"/>
  <c r="G9132" i="3"/>
  <c r="M9131" i="3"/>
  <c r="L9131" i="3"/>
  <c r="J9131" i="3"/>
  <c r="K9131" i="3" s="1"/>
  <c r="H9131" i="3"/>
  <c r="G9131" i="3"/>
  <c r="M9130" i="3"/>
  <c r="L9130" i="3"/>
  <c r="J9130" i="3"/>
  <c r="K9130" i="3" s="1"/>
  <c r="H9130" i="3"/>
  <c r="G9130" i="3"/>
  <c r="M9129" i="3"/>
  <c r="L9129" i="3"/>
  <c r="J9129" i="3"/>
  <c r="K9129" i="3" s="1"/>
  <c r="H9129" i="3"/>
  <c r="G9129" i="3"/>
  <c r="M9128" i="3"/>
  <c r="L9128" i="3"/>
  <c r="J9128" i="3"/>
  <c r="K9128" i="3" s="1"/>
  <c r="H9128" i="3"/>
  <c r="G9128" i="3"/>
  <c r="I9128" i="3" s="1"/>
  <c r="M9127" i="3"/>
  <c r="L9127" i="3"/>
  <c r="J9127" i="3"/>
  <c r="K9127" i="3" s="1"/>
  <c r="H9127" i="3"/>
  <c r="G9127" i="3"/>
  <c r="M9126" i="3"/>
  <c r="L9126" i="3"/>
  <c r="J9126" i="3"/>
  <c r="K9126" i="3" s="1"/>
  <c r="H9126" i="3"/>
  <c r="G9126" i="3"/>
  <c r="M9125" i="3"/>
  <c r="L9125" i="3"/>
  <c r="J9125" i="3"/>
  <c r="K9125" i="3" s="1"/>
  <c r="H9125" i="3"/>
  <c r="G9125" i="3"/>
  <c r="M9124" i="3"/>
  <c r="L9124" i="3"/>
  <c r="J9124" i="3"/>
  <c r="K9124" i="3" s="1"/>
  <c r="H9124" i="3"/>
  <c r="G9124" i="3"/>
  <c r="I9124" i="3" s="1"/>
  <c r="M9123" i="3"/>
  <c r="L9123" i="3"/>
  <c r="J9123" i="3"/>
  <c r="K9123" i="3" s="1"/>
  <c r="H9123" i="3"/>
  <c r="G9123" i="3"/>
  <c r="M9122" i="3"/>
  <c r="L9122" i="3"/>
  <c r="J9122" i="3"/>
  <c r="K9122" i="3" s="1"/>
  <c r="H9122" i="3"/>
  <c r="G9122" i="3"/>
  <c r="I9122" i="3" s="1"/>
  <c r="M9169" i="3"/>
  <c r="L9169" i="3"/>
  <c r="J9169" i="3"/>
  <c r="K9169" i="3" s="1"/>
  <c r="H9169" i="3"/>
  <c r="G9169" i="3"/>
  <c r="M9168" i="3"/>
  <c r="L9168" i="3"/>
  <c r="J9168" i="3"/>
  <c r="K9168" i="3" s="1"/>
  <c r="H9168" i="3"/>
  <c r="G9168" i="3"/>
  <c r="M9167" i="3"/>
  <c r="L9167" i="3"/>
  <c r="J9167" i="3"/>
  <c r="K9167" i="3" s="1"/>
  <c r="H9167" i="3"/>
  <c r="G9167" i="3"/>
  <c r="M9166" i="3"/>
  <c r="L9166" i="3"/>
  <c r="J9166" i="3"/>
  <c r="K9166" i="3" s="1"/>
  <c r="H9166" i="3"/>
  <c r="G9166" i="3"/>
  <c r="M9165" i="3"/>
  <c r="L9165" i="3"/>
  <c r="J9165" i="3"/>
  <c r="K9165" i="3" s="1"/>
  <c r="H9165" i="3"/>
  <c r="G9165" i="3"/>
  <c r="M9164" i="3"/>
  <c r="L9164" i="3"/>
  <c r="J9164" i="3"/>
  <c r="K9164" i="3" s="1"/>
  <c r="H9164" i="3"/>
  <c r="G9164" i="3"/>
  <c r="I9164" i="3" s="1"/>
  <c r="M9163" i="3"/>
  <c r="L9163" i="3"/>
  <c r="J9163" i="3"/>
  <c r="K9163" i="3" s="1"/>
  <c r="H9163" i="3"/>
  <c r="G9163" i="3"/>
  <c r="I9163" i="3" s="1"/>
  <c r="M9162" i="3"/>
  <c r="L9162" i="3"/>
  <c r="J9162" i="3"/>
  <c r="K9162" i="3" s="1"/>
  <c r="H9162" i="3"/>
  <c r="G9162" i="3"/>
  <c r="M9161" i="3"/>
  <c r="L9161" i="3"/>
  <c r="J9161" i="3"/>
  <c r="K9161" i="3" s="1"/>
  <c r="H9161" i="3"/>
  <c r="G9161" i="3"/>
  <c r="M9160" i="3"/>
  <c r="L9160" i="3"/>
  <c r="J9160" i="3"/>
  <c r="K9160" i="3" s="1"/>
  <c r="H9160" i="3"/>
  <c r="I9160" i="3" s="1"/>
  <c r="G9160" i="3"/>
  <c r="M9159" i="3"/>
  <c r="L9159" i="3"/>
  <c r="J9159" i="3"/>
  <c r="K9159" i="3" s="1"/>
  <c r="H9159" i="3"/>
  <c r="G9159" i="3"/>
  <c r="M9158" i="3"/>
  <c r="L9158" i="3"/>
  <c r="J9158" i="3"/>
  <c r="K9158" i="3" s="1"/>
  <c r="H9158" i="3"/>
  <c r="G9158" i="3"/>
  <c r="M9157" i="3"/>
  <c r="L9157" i="3"/>
  <c r="J9157" i="3"/>
  <c r="K9157" i="3" s="1"/>
  <c r="H9157" i="3"/>
  <c r="I9157" i="3" s="1"/>
  <c r="G9157" i="3"/>
  <c r="M9156" i="3"/>
  <c r="L9156" i="3"/>
  <c r="K9156" i="3"/>
  <c r="J9156" i="3"/>
  <c r="H9156" i="3"/>
  <c r="G9156" i="3"/>
  <c r="I9156" i="3" s="1"/>
  <c r="M9155" i="3"/>
  <c r="L9155" i="3"/>
  <c r="J9155" i="3"/>
  <c r="K9155" i="3" s="1"/>
  <c r="H9155" i="3"/>
  <c r="G9155" i="3"/>
  <c r="M9154" i="3"/>
  <c r="L9154" i="3"/>
  <c r="J9154" i="3"/>
  <c r="K9154" i="3" s="1"/>
  <c r="H9154" i="3"/>
  <c r="G9154" i="3"/>
  <c r="I9154" i="3" s="1"/>
  <c r="M9153" i="3"/>
  <c r="L9153" i="3"/>
  <c r="J9153" i="3"/>
  <c r="K9153" i="3" s="1"/>
  <c r="H9153" i="3"/>
  <c r="G9153" i="3"/>
  <c r="M9152" i="3"/>
  <c r="L9152" i="3"/>
  <c r="J9152" i="3"/>
  <c r="K9152" i="3" s="1"/>
  <c r="H9152" i="3"/>
  <c r="G9152" i="3"/>
  <c r="M9151" i="3"/>
  <c r="L9151" i="3"/>
  <c r="J9151" i="3"/>
  <c r="K9151" i="3" s="1"/>
  <c r="H9151" i="3"/>
  <c r="G9151" i="3"/>
  <c r="M9150" i="3"/>
  <c r="L9150" i="3"/>
  <c r="J9150" i="3"/>
  <c r="K9150" i="3" s="1"/>
  <c r="H9150" i="3"/>
  <c r="G9150" i="3"/>
  <c r="M9149" i="3"/>
  <c r="L9149" i="3"/>
  <c r="J9149" i="3"/>
  <c r="K9149" i="3" s="1"/>
  <c r="H9149" i="3"/>
  <c r="G9149" i="3"/>
  <c r="M9148" i="3"/>
  <c r="L9148" i="3"/>
  <c r="J9148" i="3"/>
  <c r="K9148" i="3" s="1"/>
  <c r="H9148" i="3"/>
  <c r="G9148" i="3"/>
  <c r="I9148" i="3" s="1"/>
  <c r="M9147" i="3"/>
  <c r="L9147" i="3"/>
  <c r="J9147" i="3"/>
  <c r="K9147" i="3" s="1"/>
  <c r="H9147" i="3"/>
  <c r="G9147" i="3"/>
  <c r="I9147" i="3" s="1"/>
  <c r="M9146" i="3"/>
  <c r="L9146" i="3"/>
  <c r="J9146" i="3"/>
  <c r="K9146" i="3" s="1"/>
  <c r="H9146" i="3"/>
  <c r="G9146" i="3"/>
  <c r="M9193" i="3"/>
  <c r="L9193" i="3"/>
  <c r="J9193" i="3"/>
  <c r="K9193" i="3" s="1"/>
  <c r="H9193" i="3"/>
  <c r="G9193" i="3"/>
  <c r="M9192" i="3"/>
  <c r="L9192" i="3"/>
  <c r="J9192" i="3"/>
  <c r="K9192" i="3" s="1"/>
  <c r="H9192" i="3"/>
  <c r="G9192" i="3"/>
  <c r="I9192" i="3" s="1"/>
  <c r="M9191" i="3"/>
  <c r="L9191" i="3"/>
  <c r="J9191" i="3"/>
  <c r="K9191" i="3" s="1"/>
  <c r="H9191" i="3"/>
  <c r="G9191" i="3"/>
  <c r="M9190" i="3"/>
  <c r="L9190" i="3"/>
  <c r="K9190" i="3"/>
  <c r="J9190" i="3"/>
  <c r="H9190" i="3"/>
  <c r="G9190" i="3"/>
  <c r="I9190" i="3" s="1"/>
  <c r="M9189" i="3"/>
  <c r="L9189" i="3"/>
  <c r="J9189" i="3"/>
  <c r="K9189" i="3" s="1"/>
  <c r="H9189" i="3"/>
  <c r="G9189" i="3"/>
  <c r="M9188" i="3"/>
  <c r="L9188" i="3"/>
  <c r="J9188" i="3"/>
  <c r="K9188" i="3" s="1"/>
  <c r="H9188" i="3"/>
  <c r="G9188" i="3"/>
  <c r="M9187" i="3"/>
  <c r="L9187" i="3"/>
  <c r="J9187" i="3"/>
  <c r="K9187" i="3" s="1"/>
  <c r="H9187" i="3"/>
  <c r="G9187" i="3"/>
  <c r="I9187" i="3" s="1"/>
  <c r="M9186" i="3"/>
  <c r="L9186" i="3"/>
  <c r="J9186" i="3"/>
  <c r="K9186" i="3" s="1"/>
  <c r="H9186" i="3"/>
  <c r="G9186" i="3"/>
  <c r="I9186" i="3" s="1"/>
  <c r="M9185" i="3"/>
  <c r="L9185" i="3"/>
  <c r="J9185" i="3"/>
  <c r="K9185" i="3" s="1"/>
  <c r="H9185" i="3"/>
  <c r="G9185" i="3"/>
  <c r="M9184" i="3"/>
  <c r="L9184" i="3"/>
  <c r="J9184" i="3"/>
  <c r="K9184" i="3" s="1"/>
  <c r="H9184" i="3"/>
  <c r="G9184" i="3"/>
  <c r="I9184" i="3" s="1"/>
  <c r="M9183" i="3"/>
  <c r="L9183" i="3"/>
  <c r="J9183" i="3"/>
  <c r="K9183" i="3" s="1"/>
  <c r="H9183" i="3"/>
  <c r="G9183" i="3"/>
  <c r="M9182" i="3"/>
  <c r="L9182" i="3"/>
  <c r="J9182" i="3"/>
  <c r="K9182" i="3" s="1"/>
  <c r="H9182" i="3"/>
  <c r="G9182" i="3"/>
  <c r="M9181" i="3"/>
  <c r="L9181" i="3"/>
  <c r="J9181" i="3"/>
  <c r="K9181" i="3" s="1"/>
  <c r="H9181" i="3"/>
  <c r="G9181" i="3"/>
  <c r="M9180" i="3"/>
  <c r="L9180" i="3"/>
  <c r="J9180" i="3"/>
  <c r="K9180" i="3" s="1"/>
  <c r="H9180" i="3"/>
  <c r="G9180" i="3"/>
  <c r="M9179" i="3"/>
  <c r="L9179" i="3"/>
  <c r="J9179" i="3"/>
  <c r="K9179" i="3" s="1"/>
  <c r="H9179" i="3"/>
  <c r="G9179" i="3"/>
  <c r="M9178" i="3"/>
  <c r="L9178" i="3"/>
  <c r="J9178" i="3"/>
  <c r="K9178" i="3" s="1"/>
  <c r="H9178" i="3"/>
  <c r="G9178" i="3"/>
  <c r="I9178" i="3" s="1"/>
  <c r="M9177" i="3"/>
  <c r="L9177" i="3"/>
  <c r="J9177" i="3"/>
  <c r="K9177" i="3" s="1"/>
  <c r="H9177" i="3"/>
  <c r="G9177" i="3"/>
  <c r="M9176" i="3"/>
  <c r="L9176" i="3"/>
  <c r="J9176" i="3"/>
  <c r="K9176" i="3" s="1"/>
  <c r="H9176" i="3"/>
  <c r="G9176" i="3"/>
  <c r="M9175" i="3"/>
  <c r="L9175" i="3"/>
  <c r="J9175" i="3"/>
  <c r="K9175" i="3" s="1"/>
  <c r="H9175" i="3"/>
  <c r="G9175" i="3"/>
  <c r="M9174" i="3"/>
  <c r="L9174" i="3"/>
  <c r="J9174" i="3"/>
  <c r="K9174" i="3" s="1"/>
  <c r="H9174" i="3"/>
  <c r="G9174" i="3"/>
  <c r="I9174" i="3" s="1"/>
  <c r="M9173" i="3"/>
  <c r="L9173" i="3"/>
  <c r="J9173" i="3"/>
  <c r="K9173" i="3" s="1"/>
  <c r="H9173" i="3"/>
  <c r="G9173" i="3"/>
  <c r="M9172" i="3"/>
  <c r="L9172" i="3"/>
  <c r="J9172" i="3"/>
  <c r="K9172" i="3" s="1"/>
  <c r="H9172" i="3"/>
  <c r="G9172" i="3"/>
  <c r="I9172" i="3" s="1"/>
  <c r="M9171" i="3"/>
  <c r="L9171" i="3"/>
  <c r="J9171" i="3"/>
  <c r="K9171" i="3" s="1"/>
  <c r="H9171" i="3"/>
  <c r="G9171" i="3"/>
  <c r="I9171" i="3" s="1"/>
  <c r="M9170" i="3"/>
  <c r="L9170" i="3"/>
  <c r="J9170" i="3"/>
  <c r="K9170" i="3" s="1"/>
  <c r="H9170" i="3"/>
  <c r="G9170" i="3"/>
  <c r="I9170" i="3" s="1"/>
  <c r="M9217" i="3"/>
  <c r="L9217" i="3"/>
  <c r="J9217" i="3"/>
  <c r="K9217" i="3" s="1"/>
  <c r="H9217" i="3"/>
  <c r="I9217" i="3" s="1"/>
  <c r="G9217" i="3"/>
  <c r="M9216" i="3"/>
  <c r="L9216" i="3"/>
  <c r="J9216" i="3"/>
  <c r="K9216" i="3" s="1"/>
  <c r="H9216" i="3"/>
  <c r="G9216" i="3"/>
  <c r="I9216" i="3" s="1"/>
  <c r="M9215" i="3"/>
  <c r="L9215" i="3"/>
  <c r="J9215" i="3"/>
  <c r="K9215" i="3" s="1"/>
  <c r="H9215" i="3"/>
  <c r="G9215" i="3"/>
  <c r="M9214" i="3"/>
  <c r="L9214" i="3"/>
  <c r="J9214" i="3"/>
  <c r="K9214" i="3" s="1"/>
  <c r="H9214" i="3"/>
  <c r="G9214" i="3"/>
  <c r="M9213" i="3"/>
  <c r="L9213" i="3"/>
  <c r="J9213" i="3"/>
  <c r="K9213" i="3" s="1"/>
  <c r="H9213" i="3"/>
  <c r="G9213" i="3"/>
  <c r="M9212" i="3"/>
  <c r="L9212" i="3"/>
  <c r="J9212" i="3"/>
  <c r="K9212" i="3" s="1"/>
  <c r="H9212" i="3"/>
  <c r="G9212" i="3"/>
  <c r="M9211" i="3"/>
  <c r="L9211" i="3"/>
  <c r="J9211" i="3"/>
  <c r="K9211" i="3" s="1"/>
  <c r="H9211" i="3"/>
  <c r="G9211" i="3"/>
  <c r="M9210" i="3"/>
  <c r="L9210" i="3"/>
  <c r="J9210" i="3"/>
  <c r="K9210" i="3" s="1"/>
  <c r="H9210" i="3"/>
  <c r="G9210" i="3"/>
  <c r="I9210" i="3" s="1"/>
  <c r="M9209" i="3"/>
  <c r="L9209" i="3"/>
  <c r="J9209" i="3"/>
  <c r="K9209" i="3" s="1"/>
  <c r="H9209" i="3"/>
  <c r="G9209" i="3"/>
  <c r="M9208" i="3"/>
  <c r="L9208" i="3"/>
  <c r="J9208" i="3"/>
  <c r="K9208" i="3" s="1"/>
  <c r="H9208" i="3"/>
  <c r="G9208" i="3"/>
  <c r="M9207" i="3"/>
  <c r="L9207" i="3"/>
  <c r="J9207" i="3"/>
  <c r="K9207" i="3" s="1"/>
  <c r="H9207" i="3"/>
  <c r="G9207" i="3"/>
  <c r="M9206" i="3"/>
  <c r="L9206" i="3"/>
  <c r="J9206" i="3"/>
  <c r="K9206" i="3" s="1"/>
  <c r="H9206" i="3"/>
  <c r="G9206" i="3"/>
  <c r="I9206" i="3" s="1"/>
  <c r="M9205" i="3"/>
  <c r="L9205" i="3"/>
  <c r="J9205" i="3"/>
  <c r="K9205" i="3" s="1"/>
  <c r="H9205" i="3"/>
  <c r="G9205" i="3"/>
  <c r="M9204" i="3"/>
  <c r="L9204" i="3"/>
  <c r="J9204" i="3"/>
  <c r="K9204" i="3" s="1"/>
  <c r="H9204" i="3"/>
  <c r="G9204" i="3"/>
  <c r="I9204" i="3" s="1"/>
  <c r="M9203" i="3"/>
  <c r="L9203" i="3"/>
  <c r="J9203" i="3"/>
  <c r="K9203" i="3" s="1"/>
  <c r="H9203" i="3"/>
  <c r="G9203" i="3"/>
  <c r="I9203" i="3" s="1"/>
  <c r="M9202" i="3"/>
  <c r="L9202" i="3"/>
  <c r="J9202" i="3"/>
  <c r="K9202" i="3" s="1"/>
  <c r="H9202" i="3"/>
  <c r="G9202" i="3"/>
  <c r="I9202" i="3" s="1"/>
  <c r="M9201" i="3"/>
  <c r="L9201" i="3"/>
  <c r="J9201" i="3"/>
  <c r="K9201" i="3" s="1"/>
  <c r="H9201" i="3"/>
  <c r="I9201" i="3" s="1"/>
  <c r="G9201" i="3"/>
  <c r="M9200" i="3"/>
  <c r="L9200" i="3"/>
  <c r="K9200" i="3"/>
  <c r="J9200" i="3"/>
  <c r="H9200" i="3"/>
  <c r="G9200" i="3"/>
  <c r="I9200" i="3" s="1"/>
  <c r="M9199" i="3"/>
  <c r="L9199" i="3"/>
  <c r="J9199" i="3"/>
  <c r="K9199" i="3" s="1"/>
  <c r="H9199" i="3"/>
  <c r="G9199" i="3"/>
  <c r="M9198" i="3"/>
  <c r="L9198" i="3"/>
  <c r="K9198" i="3"/>
  <c r="J9198" i="3"/>
  <c r="H9198" i="3"/>
  <c r="G9198" i="3"/>
  <c r="M9197" i="3"/>
  <c r="L9197" i="3"/>
  <c r="J9197" i="3"/>
  <c r="K9197" i="3" s="1"/>
  <c r="H9197" i="3"/>
  <c r="G9197" i="3"/>
  <c r="M9196" i="3"/>
  <c r="L9196" i="3"/>
  <c r="J9196" i="3"/>
  <c r="K9196" i="3" s="1"/>
  <c r="H9196" i="3"/>
  <c r="I9196" i="3" s="1"/>
  <c r="G9196" i="3"/>
  <c r="M9195" i="3"/>
  <c r="L9195" i="3"/>
  <c r="J9195" i="3"/>
  <c r="K9195" i="3" s="1"/>
  <c r="H9195" i="3"/>
  <c r="G9195" i="3"/>
  <c r="I9195" i="3" s="1"/>
  <c r="M9194" i="3"/>
  <c r="L9194" i="3"/>
  <c r="J9194" i="3"/>
  <c r="K9194" i="3" s="1"/>
  <c r="H9194" i="3"/>
  <c r="G9194" i="3"/>
  <c r="I9194" i="3" s="1"/>
  <c r="M9241" i="3"/>
  <c r="L9241" i="3"/>
  <c r="J9241" i="3"/>
  <c r="K9241" i="3" s="1"/>
  <c r="H9241" i="3"/>
  <c r="G9241" i="3"/>
  <c r="M9240" i="3"/>
  <c r="L9240" i="3"/>
  <c r="J9240" i="3"/>
  <c r="K9240" i="3" s="1"/>
  <c r="H9240" i="3"/>
  <c r="G9240" i="3"/>
  <c r="I9240" i="3" s="1"/>
  <c r="M9239" i="3"/>
  <c r="L9239" i="3"/>
  <c r="J9239" i="3"/>
  <c r="K9239" i="3" s="1"/>
  <c r="H9239" i="3"/>
  <c r="G9239" i="3"/>
  <c r="I9239" i="3" s="1"/>
  <c r="M9238" i="3"/>
  <c r="L9238" i="3"/>
  <c r="J9238" i="3"/>
  <c r="K9238" i="3" s="1"/>
  <c r="H9238" i="3"/>
  <c r="G9238" i="3"/>
  <c r="I9238" i="3" s="1"/>
  <c r="M9237" i="3"/>
  <c r="L9237" i="3"/>
  <c r="J9237" i="3"/>
  <c r="K9237" i="3" s="1"/>
  <c r="H9237" i="3"/>
  <c r="I9237" i="3" s="1"/>
  <c r="G9237" i="3"/>
  <c r="M9236" i="3"/>
  <c r="L9236" i="3"/>
  <c r="K9236" i="3"/>
  <c r="J9236" i="3"/>
  <c r="H9236" i="3"/>
  <c r="G9236" i="3"/>
  <c r="I9236" i="3" s="1"/>
  <c r="M9235" i="3"/>
  <c r="L9235" i="3"/>
  <c r="J9235" i="3"/>
  <c r="K9235" i="3" s="1"/>
  <c r="H9235" i="3"/>
  <c r="G9235" i="3"/>
  <c r="I9235" i="3" s="1"/>
  <c r="M9234" i="3"/>
  <c r="L9234" i="3"/>
  <c r="J9234" i="3"/>
  <c r="K9234" i="3" s="1"/>
  <c r="H9234" i="3"/>
  <c r="G9234" i="3"/>
  <c r="M9233" i="3"/>
  <c r="L9233" i="3"/>
  <c r="J9233" i="3"/>
  <c r="K9233" i="3" s="1"/>
  <c r="H9233" i="3"/>
  <c r="G9233" i="3"/>
  <c r="M9232" i="3"/>
  <c r="L9232" i="3"/>
  <c r="J9232" i="3"/>
  <c r="K9232" i="3" s="1"/>
  <c r="H9232" i="3"/>
  <c r="G9232" i="3"/>
  <c r="I9232" i="3" s="1"/>
  <c r="M9231" i="3"/>
  <c r="L9231" i="3"/>
  <c r="J9231" i="3"/>
  <c r="K9231" i="3" s="1"/>
  <c r="H9231" i="3"/>
  <c r="G9231" i="3"/>
  <c r="M9230" i="3"/>
  <c r="L9230" i="3"/>
  <c r="J9230" i="3"/>
  <c r="K9230" i="3" s="1"/>
  <c r="H9230" i="3"/>
  <c r="G9230" i="3"/>
  <c r="I9230" i="3" s="1"/>
  <c r="M9229" i="3"/>
  <c r="L9229" i="3"/>
  <c r="J9229" i="3"/>
  <c r="K9229" i="3" s="1"/>
  <c r="H9229" i="3"/>
  <c r="G9229" i="3"/>
  <c r="M9228" i="3"/>
  <c r="L9228" i="3"/>
  <c r="J9228" i="3"/>
  <c r="K9228" i="3" s="1"/>
  <c r="H9228" i="3"/>
  <c r="G9228" i="3"/>
  <c r="M9227" i="3"/>
  <c r="L9227" i="3"/>
  <c r="J9227" i="3"/>
  <c r="K9227" i="3" s="1"/>
  <c r="H9227" i="3"/>
  <c r="G9227" i="3"/>
  <c r="M9226" i="3"/>
  <c r="L9226" i="3"/>
  <c r="J9226" i="3"/>
  <c r="K9226" i="3" s="1"/>
  <c r="H9226" i="3"/>
  <c r="G9226" i="3"/>
  <c r="I9226" i="3" s="1"/>
  <c r="M9225" i="3"/>
  <c r="L9225" i="3"/>
  <c r="J9225" i="3"/>
  <c r="K9225" i="3" s="1"/>
  <c r="H9225" i="3"/>
  <c r="I9225" i="3" s="1"/>
  <c r="G9225" i="3"/>
  <c r="M9224" i="3"/>
  <c r="L9224" i="3"/>
  <c r="J9224" i="3"/>
  <c r="K9224" i="3" s="1"/>
  <c r="H9224" i="3"/>
  <c r="G9224" i="3"/>
  <c r="M9223" i="3"/>
  <c r="L9223" i="3"/>
  <c r="J9223" i="3"/>
  <c r="K9223" i="3" s="1"/>
  <c r="H9223" i="3"/>
  <c r="G9223" i="3"/>
  <c r="I9223" i="3" s="1"/>
  <c r="M9222" i="3"/>
  <c r="L9222" i="3"/>
  <c r="J9222" i="3"/>
  <c r="K9222" i="3" s="1"/>
  <c r="H9222" i="3"/>
  <c r="G9222" i="3"/>
  <c r="I9222" i="3" s="1"/>
  <c r="M9221" i="3"/>
  <c r="L9221" i="3"/>
  <c r="J9221" i="3"/>
  <c r="K9221" i="3" s="1"/>
  <c r="I9221" i="3"/>
  <c r="H9221" i="3"/>
  <c r="G9221" i="3"/>
  <c r="M9220" i="3"/>
  <c r="L9220" i="3"/>
  <c r="J9220" i="3"/>
  <c r="K9220" i="3" s="1"/>
  <c r="H9220" i="3"/>
  <c r="G9220" i="3"/>
  <c r="I9220" i="3" s="1"/>
  <c r="M9219" i="3"/>
  <c r="L9219" i="3"/>
  <c r="J9219" i="3"/>
  <c r="K9219" i="3" s="1"/>
  <c r="H9219" i="3"/>
  <c r="G9219" i="3"/>
  <c r="I9219" i="3" s="1"/>
  <c r="M9218" i="3"/>
  <c r="L9218" i="3"/>
  <c r="J9218" i="3"/>
  <c r="K9218" i="3" s="1"/>
  <c r="H9218" i="3"/>
  <c r="G9218" i="3"/>
  <c r="M9265" i="3"/>
  <c r="L9265" i="3"/>
  <c r="J9265" i="3"/>
  <c r="K9265" i="3" s="1"/>
  <c r="H9265" i="3"/>
  <c r="G9265" i="3"/>
  <c r="M9264" i="3"/>
  <c r="L9264" i="3"/>
  <c r="J9264" i="3"/>
  <c r="K9264" i="3" s="1"/>
  <c r="H9264" i="3"/>
  <c r="G9264" i="3"/>
  <c r="I9264" i="3" s="1"/>
  <c r="M9263" i="3"/>
  <c r="L9263" i="3"/>
  <c r="J9263" i="3"/>
  <c r="K9263" i="3" s="1"/>
  <c r="H9263" i="3"/>
  <c r="G9263" i="3"/>
  <c r="M9262" i="3"/>
  <c r="L9262" i="3"/>
  <c r="J9262" i="3"/>
  <c r="K9262" i="3" s="1"/>
  <c r="H9262" i="3"/>
  <c r="G9262" i="3"/>
  <c r="I9262" i="3" s="1"/>
  <c r="M9261" i="3"/>
  <c r="L9261" i="3"/>
  <c r="J9261" i="3"/>
  <c r="K9261" i="3" s="1"/>
  <c r="H9261" i="3"/>
  <c r="G9261" i="3"/>
  <c r="M9260" i="3"/>
  <c r="L9260" i="3"/>
  <c r="J9260" i="3"/>
  <c r="K9260" i="3" s="1"/>
  <c r="H9260" i="3"/>
  <c r="G9260" i="3"/>
  <c r="M9259" i="3"/>
  <c r="L9259" i="3"/>
  <c r="J9259" i="3"/>
  <c r="K9259" i="3" s="1"/>
  <c r="H9259" i="3"/>
  <c r="G9259" i="3"/>
  <c r="M9258" i="3"/>
  <c r="L9258" i="3"/>
  <c r="K9258" i="3"/>
  <c r="J9258" i="3"/>
  <c r="H9258" i="3"/>
  <c r="G9258" i="3"/>
  <c r="I9258" i="3" s="1"/>
  <c r="M9257" i="3"/>
  <c r="L9257" i="3"/>
  <c r="J9257" i="3"/>
  <c r="K9257" i="3" s="1"/>
  <c r="I9257" i="3"/>
  <c r="H9257" i="3"/>
  <c r="G9257" i="3"/>
  <c r="M9256" i="3"/>
  <c r="L9256" i="3"/>
  <c r="K9256" i="3"/>
  <c r="J9256" i="3"/>
  <c r="H9256" i="3"/>
  <c r="G9256" i="3"/>
  <c r="I9256" i="3" s="1"/>
  <c r="M9255" i="3"/>
  <c r="L9255" i="3"/>
  <c r="J9255" i="3"/>
  <c r="K9255" i="3" s="1"/>
  <c r="H9255" i="3"/>
  <c r="G9255" i="3"/>
  <c r="M9254" i="3"/>
  <c r="L9254" i="3"/>
  <c r="J9254" i="3"/>
  <c r="K9254" i="3" s="1"/>
  <c r="H9254" i="3"/>
  <c r="G9254" i="3"/>
  <c r="M9253" i="3"/>
  <c r="L9253" i="3"/>
  <c r="J9253" i="3"/>
  <c r="K9253" i="3" s="1"/>
  <c r="H9253" i="3"/>
  <c r="I9253" i="3" s="1"/>
  <c r="G9253" i="3"/>
  <c r="M9252" i="3"/>
  <c r="L9252" i="3"/>
  <c r="J9252" i="3"/>
  <c r="K9252" i="3" s="1"/>
  <c r="H9252" i="3"/>
  <c r="G9252" i="3"/>
  <c r="M9251" i="3"/>
  <c r="L9251" i="3"/>
  <c r="K9251" i="3"/>
  <c r="J9251" i="3"/>
  <c r="H9251" i="3"/>
  <c r="G9251" i="3"/>
  <c r="I9251" i="3" s="1"/>
  <c r="M9250" i="3"/>
  <c r="L9250" i="3"/>
  <c r="J9250" i="3"/>
  <c r="K9250" i="3" s="1"/>
  <c r="H9250" i="3"/>
  <c r="G9250" i="3"/>
  <c r="M9249" i="3"/>
  <c r="L9249" i="3"/>
  <c r="J9249" i="3"/>
  <c r="K9249" i="3" s="1"/>
  <c r="H9249" i="3"/>
  <c r="G9249" i="3"/>
  <c r="I9249" i="3" s="1"/>
  <c r="M9248" i="3"/>
  <c r="L9248" i="3"/>
  <c r="J9248" i="3"/>
  <c r="K9248" i="3" s="1"/>
  <c r="H9248" i="3"/>
  <c r="G9248" i="3"/>
  <c r="I9248" i="3" s="1"/>
  <c r="M9247" i="3"/>
  <c r="L9247" i="3"/>
  <c r="J9247" i="3"/>
  <c r="K9247" i="3" s="1"/>
  <c r="H9247" i="3"/>
  <c r="G9247" i="3"/>
  <c r="I9247" i="3" s="1"/>
  <c r="M9246" i="3"/>
  <c r="L9246" i="3"/>
  <c r="J9246" i="3"/>
  <c r="K9246" i="3" s="1"/>
  <c r="H9246" i="3"/>
  <c r="G9246" i="3"/>
  <c r="M9245" i="3"/>
  <c r="L9245" i="3"/>
  <c r="J9245" i="3"/>
  <c r="K9245" i="3" s="1"/>
  <c r="H9245" i="3"/>
  <c r="I9245" i="3" s="1"/>
  <c r="G9245" i="3"/>
  <c r="M9244" i="3"/>
  <c r="L9244" i="3"/>
  <c r="J9244" i="3"/>
  <c r="K9244" i="3" s="1"/>
  <c r="H9244" i="3"/>
  <c r="G9244" i="3"/>
  <c r="I9244" i="3" s="1"/>
  <c r="M9243" i="3"/>
  <c r="L9243" i="3"/>
  <c r="J9243" i="3"/>
  <c r="K9243" i="3" s="1"/>
  <c r="H9243" i="3"/>
  <c r="G9243" i="3"/>
  <c r="I9243" i="3" s="1"/>
  <c r="M9242" i="3"/>
  <c r="L9242" i="3"/>
  <c r="J9242" i="3"/>
  <c r="K9242" i="3" s="1"/>
  <c r="H9242" i="3"/>
  <c r="G9242" i="3"/>
  <c r="M9289" i="3"/>
  <c r="L9289" i="3"/>
  <c r="J9289" i="3"/>
  <c r="K9289" i="3" s="1"/>
  <c r="H9289" i="3"/>
  <c r="G9289" i="3"/>
  <c r="M9288" i="3"/>
  <c r="L9288" i="3"/>
  <c r="J9288" i="3"/>
  <c r="K9288" i="3" s="1"/>
  <c r="H9288" i="3"/>
  <c r="G9288" i="3"/>
  <c r="I9288" i="3" s="1"/>
  <c r="M9287" i="3"/>
  <c r="L9287" i="3"/>
  <c r="J9287" i="3"/>
  <c r="K9287" i="3" s="1"/>
  <c r="H9287" i="3"/>
  <c r="G9287" i="3"/>
  <c r="M9286" i="3"/>
  <c r="L9286" i="3"/>
  <c r="K9286" i="3"/>
  <c r="J9286" i="3"/>
  <c r="H9286" i="3"/>
  <c r="G9286" i="3"/>
  <c r="I9286" i="3" s="1"/>
  <c r="M9285" i="3"/>
  <c r="L9285" i="3"/>
  <c r="J9285" i="3"/>
  <c r="K9285" i="3" s="1"/>
  <c r="H9285" i="3"/>
  <c r="G9285" i="3"/>
  <c r="M9284" i="3"/>
  <c r="L9284" i="3"/>
  <c r="J9284" i="3"/>
  <c r="K9284" i="3" s="1"/>
  <c r="H9284" i="3"/>
  <c r="G9284" i="3"/>
  <c r="I9284" i="3" s="1"/>
  <c r="M9283" i="3"/>
  <c r="L9283" i="3"/>
  <c r="J9283" i="3"/>
  <c r="K9283" i="3" s="1"/>
  <c r="H9283" i="3"/>
  <c r="G9283" i="3"/>
  <c r="M9282" i="3"/>
  <c r="L9282" i="3"/>
  <c r="J9282" i="3"/>
  <c r="K9282" i="3" s="1"/>
  <c r="H9282" i="3"/>
  <c r="G9282" i="3"/>
  <c r="M9281" i="3"/>
  <c r="L9281" i="3"/>
  <c r="J9281" i="3"/>
  <c r="K9281" i="3" s="1"/>
  <c r="H9281" i="3"/>
  <c r="G9281" i="3"/>
  <c r="M9280" i="3"/>
  <c r="L9280" i="3"/>
  <c r="J9280" i="3"/>
  <c r="K9280" i="3" s="1"/>
  <c r="H9280" i="3"/>
  <c r="G9280" i="3"/>
  <c r="I9280" i="3" s="1"/>
  <c r="M9279" i="3"/>
  <c r="L9279" i="3"/>
  <c r="J9279" i="3"/>
  <c r="K9279" i="3" s="1"/>
  <c r="H9279" i="3"/>
  <c r="G9279" i="3"/>
  <c r="M9278" i="3"/>
  <c r="L9278" i="3"/>
  <c r="J9278" i="3"/>
  <c r="K9278" i="3" s="1"/>
  <c r="H9278" i="3"/>
  <c r="G9278" i="3"/>
  <c r="M9277" i="3"/>
  <c r="L9277" i="3"/>
  <c r="J9277" i="3"/>
  <c r="K9277" i="3" s="1"/>
  <c r="H9277" i="3"/>
  <c r="G9277" i="3"/>
  <c r="M9276" i="3"/>
  <c r="L9276" i="3"/>
  <c r="J9276" i="3"/>
  <c r="K9276" i="3" s="1"/>
  <c r="H9276" i="3"/>
  <c r="I9276" i="3" s="1"/>
  <c r="G9276" i="3"/>
  <c r="M9275" i="3"/>
  <c r="L9275" i="3"/>
  <c r="J9275" i="3"/>
  <c r="K9275" i="3" s="1"/>
  <c r="H9275" i="3"/>
  <c r="G9275" i="3"/>
  <c r="I9275" i="3" s="1"/>
  <c r="M9274" i="3"/>
  <c r="L9274" i="3"/>
  <c r="J9274" i="3"/>
  <c r="K9274" i="3" s="1"/>
  <c r="H9274" i="3"/>
  <c r="G9274" i="3"/>
  <c r="M9273" i="3"/>
  <c r="L9273" i="3"/>
  <c r="J9273" i="3"/>
  <c r="K9273" i="3" s="1"/>
  <c r="H9273" i="3"/>
  <c r="G9273" i="3"/>
  <c r="M9272" i="3"/>
  <c r="L9272" i="3"/>
  <c r="J9272" i="3"/>
  <c r="K9272" i="3" s="1"/>
  <c r="H9272" i="3"/>
  <c r="G9272" i="3"/>
  <c r="I9272" i="3" s="1"/>
  <c r="M9271" i="3"/>
  <c r="L9271" i="3"/>
  <c r="J9271" i="3"/>
  <c r="K9271" i="3" s="1"/>
  <c r="H9271" i="3"/>
  <c r="G9271" i="3"/>
  <c r="M9270" i="3"/>
  <c r="L9270" i="3"/>
  <c r="J9270" i="3"/>
  <c r="K9270" i="3" s="1"/>
  <c r="H9270" i="3"/>
  <c r="G9270" i="3"/>
  <c r="M9269" i="3"/>
  <c r="L9269" i="3"/>
  <c r="J9269" i="3"/>
  <c r="K9269" i="3" s="1"/>
  <c r="H9269" i="3"/>
  <c r="I9269" i="3" s="1"/>
  <c r="G9269" i="3"/>
  <c r="M9268" i="3"/>
  <c r="L9268" i="3"/>
  <c r="K9268" i="3"/>
  <c r="J9268" i="3"/>
  <c r="H9268" i="3"/>
  <c r="G9268" i="3"/>
  <c r="I9268" i="3" s="1"/>
  <c r="M9267" i="3"/>
  <c r="L9267" i="3"/>
  <c r="J9267" i="3"/>
  <c r="K9267" i="3" s="1"/>
  <c r="H9267" i="3"/>
  <c r="G9267" i="3"/>
  <c r="M9266" i="3"/>
  <c r="L9266" i="3"/>
  <c r="K9266" i="3"/>
  <c r="J9266" i="3"/>
  <c r="H9266" i="3"/>
  <c r="G9266" i="3"/>
  <c r="I9266" i="3" s="1"/>
  <c r="M9313" i="3"/>
  <c r="L9313" i="3"/>
  <c r="J9313" i="3"/>
  <c r="K9313" i="3" s="1"/>
  <c r="H9313" i="3"/>
  <c r="G9313" i="3"/>
  <c r="M9312" i="3"/>
  <c r="L9312" i="3"/>
  <c r="J9312" i="3"/>
  <c r="K9312" i="3" s="1"/>
  <c r="I9312" i="3"/>
  <c r="H9312" i="3"/>
  <c r="G9312" i="3"/>
  <c r="M9311" i="3"/>
  <c r="L9311" i="3"/>
  <c r="J9311" i="3"/>
  <c r="K9311" i="3" s="1"/>
  <c r="H9311" i="3"/>
  <c r="G9311" i="3"/>
  <c r="I9311" i="3" s="1"/>
  <c r="M9310" i="3"/>
  <c r="L9310" i="3"/>
  <c r="J9310" i="3"/>
  <c r="K9310" i="3" s="1"/>
  <c r="H9310" i="3"/>
  <c r="G9310" i="3"/>
  <c r="M9309" i="3"/>
  <c r="L9309" i="3"/>
  <c r="J9309" i="3"/>
  <c r="K9309" i="3" s="1"/>
  <c r="H9309" i="3"/>
  <c r="G9309" i="3"/>
  <c r="M9308" i="3"/>
  <c r="L9308" i="3"/>
  <c r="J9308" i="3"/>
  <c r="K9308" i="3" s="1"/>
  <c r="H9308" i="3"/>
  <c r="G9308" i="3"/>
  <c r="I9308" i="3" s="1"/>
  <c r="M9307" i="3"/>
  <c r="L9307" i="3"/>
  <c r="J9307" i="3"/>
  <c r="K9307" i="3" s="1"/>
  <c r="H9307" i="3"/>
  <c r="G9307" i="3"/>
  <c r="I9307" i="3" s="1"/>
  <c r="M9306" i="3"/>
  <c r="L9306" i="3"/>
  <c r="J9306" i="3"/>
  <c r="K9306" i="3" s="1"/>
  <c r="H9306" i="3"/>
  <c r="G9306" i="3"/>
  <c r="M9305" i="3"/>
  <c r="L9305" i="3"/>
  <c r="J9305" i="3"/>
  <c r="K9305" i="3" s="1"/>
  <c r="H9305" i="3"/>
  <c r="G9305" i="3"/>
  <c r="M9304" i="3"/>
  <c r="L9304" i="3"/>
  <c r="J9304" i="3"/>
  <c r="K9304" i="3" s="1"/>
  <c r="H9304" i="3"/>
  <c r="G9304" i="3"/>
  <c r="M9303" i="3"/>
  <c r="L9303" i="3"/>
  <c r="J9303" i="3"/>
  <c r="K9303" i="3" s="1"/>
  <c r="H9303" i="3"/>
  <c r="G9303" i="3"/>
  <c r="M9302" i="3"/>
  <c r="L9302" i="3"/>
  <c r="K9302" i="3"/>
  <c r="J9302" i="3"/>
  <c r="H9302" i="3"/>
  <c r="G9302" i="3"/>
  <c r="I9302" i="3" s="1"/>
  <c r="M9301" i="3"/>
  <c r="L9301" i="3"/>
  <c r="J9301" i="3"/>
  <c r="K9301" i="3" s="1"/>
  <c r="H9301" i="3"/>
  <c r="G9301" i="3"/>
  <c r="M9300" i="3"/>
  <c r="L9300" i="3"/>
  <c r="J9300" i="3"/>
  <c r="K9300" i="3" s="1"/>
  <c r="H9300" i="3"/>
  <c r="G9300" i="3"/>
  <c r="I9300" i="3" s="1"/>
  <c r="M9299" i="3"/>
  <c r="L9299" i="3"/>
  <c r="J9299" i="3"/>
  <c r="K9299" i="3" s="1"/>
  <c r="H9299" i="3"/>
  <c r="G9299" i="3"/>
  <c r="M9298" i="3"/>
  <c r="L9298" i="3"/>
  <c r="J9298" i="3"/>
  <c r="K9298" i="3" s="1"/>
  <c r="H9298" i="3"/>
  <c r="G9298" i="3"/>
  <c r="M9297" i="3"/>
  <c r="L9297" i="3"/>
  <c r="J9297" i="3"/>
  <c r="K9297" i="3" s="1"/>
  <c r="H9297" i="3"/>
  <c r="G9297" i="3"/>
  <c r="M9296" i="3"/>
  <c r="L9296" i="3"/>
  <c r="J9296" i="3"/>
  <c r="K9296" i="3" s="1"/>
  <c r="H9296" i="3"/>
  <c r="G9296" i="3"/>
  <c r="I9296" i="3" s="1"/>
  <c r="M9295" i="3"/>
  <c r="L9295" i="3"/>
  <c r="J9295" i="3"/>
  <c r="K9295" i="3" s="1"/>
  <c r="H9295" i="3"/>
  <c r="G9295" i="3"/>
  <c r="M9294" i="3"/>
  <c r="L9294" i="3"/>
  <c r="J9294" i="3"/>
  <c r="K9294" i="3" s="1"/>
  <c r="H9294" i="3"/>
  <c r="G9294" i="3"/>
  <c r="M9293" i="3"/>
  <c r="L9293" i="3"/>
  <c r="J9293" i="3"/>
  <c r="K9293" i="3" s="1"/>
  <c r="H9293" i="3"/>
  <c r="G9293" i="3"/>
  <c r="M9292" i="3"/>
  <c r="L9292" i="3"/>
  <c r="J9292" i="3"/>
  <c r="K9292" i="3" s="1"/>
  <c r="I9292" i="3"/>
  <c r="H9292" i="3"/>
  <c r="G9292" i="3"/>
  <c r="M9291" i="3"/>
  <c r="L9291" i="3"/>
  <c r="J9291" i="3"/>
  <c r="K9291" i="3" s="1"/>
  <c r="H9291" i="3"/>
  <c r="G9291" i="3"/>
  <c r="M9290" i="3"/>
  <c r="L9290" i="3"/>
  <c r="J9290" i="3"/>
  <c r="K9290" i="3" s="1"/>
  <c r="H9290" i="3"/>
  <c r="G9290" i="3"/>
  <c r="M9337" i="3"/>
  <c r="L9337" i="3"/>
  <c r="J9337" i="3"/>
  <c r="K9337" i="3" s="1"/>
  <c r="H9337" i="3"/>
  <c r="I9337" i="3" s="1"/>
  <c r="G9337" i="3"/>
  <c r="M9336" i="3"/>
  <c r="L9336" i="3"/>
  <c r="J9336" i="3"/>
  <c r="K9336" i="3" s="1"/>
  <c r="H9336" i="3"/>
  <c r="G9336" i="3"/>
  <c r="I9336" i="3" s="1"/>
  <c r="M9335" i="3"/>
  <c r="L9335" i="3"/>
  <c r="J9335" i="3"/>
  <c r="K9335" i="3" s="1"/>
  <c r="H9335" i="3"/>
  <c r="G9335" i="3"/>
  <c r="M9334" i="3"/>
  <c r="L9334" i="3"/>
  <c r="K9334" i="3"/>
  <c r="J9334" i="3"/>
  <c r="H9334" i="3"/>
  <c r="G9334" i="3"/>
  <c r="I9334" i="3" s="1"/>
  <c r="M9333" i="3"/>
  <c r="L9333" i="3"/>
  <c r="J9333" i="3"/>
  <c r="K9333" i="3" s="1"/>
  <c r="H9333" i="3"/>
  <c r="G9333" i="3"/>
  <c r="M9332" i="3"/>
  <c r="L9332" i="3"/>
  <c r="J9332" i="3"/>
  <c r="K9332" i="3" s="1"/>
  <c r="H9332" i="3"/>
  <c r="G9332" i="3"/>
  <c r="I9332" i="3" s="1"/>
  <c r="M9331" i="3"/>
  <c r="L9331" i="3"/>
  <c r="J9331" i="3"/>
  <c r="K9331" i="3" s="1"/>
  <c r="H9331" i="3"/>
  <c r="G9331" i="3"/>
  <c r="M9330" i="3"/>
  <c r="L9330" i="3"/>
  <c r="J9330" i="3"/>
  <c r="K9330" i="3" s="1"/>
  <c r="H9330" i="3"/>
  <c r="G9330" i="3"/>
  <c r="M9329" i="3"/>
  <c r="L9329" i="3"/>
  <c r="J9329" i="3"/>
  <c r="K9329" i="3" s="1"/>
  <c r="H9329" i="3"/>
  <c r="G9329" i="3"/>
  <c r="M9328" i="3"/>
  <c r="L9328" i="3"/>
  <c r="J9328" i="3"/>
  <c r="K9328" i="3" s="1"/>
  <c r="H9328" i="3"/>
  <c r="G9328" i="3"/>
  <c r="I9328" i="3" s="1"/>
  <c r="M9327" i="3"/>
  <c r="L9327" i="3"/>
  <c r="J9327" i="3"/>
  <c r="K9327" i="3" s="1"/>
  <c r="H9327" i="3"/>
  <c r="G9327" i="3"/>
  <c r="M9326" i="3"/>
  <c r="L9326" i="3"/>
  <c r="K9326" i="3"/>
  <c r="J9326" i="3"/>
  <c r="H9326" i="3"/>
  <c r="G9326" i="3"/>
  <c r="M9325" i="3"/>
  <c r="L9325" i="3"/>
  <c r="J9325" i="3"/>
  <c r="K9325" i="3" s="1"/>
  <c r="H9325" i="3"/>
  <c r="G9325" i="3"/>
  <c r="M9324" i="3"/>
  <c r="L9324" i="3"/>
  <c r="J9324" i="3"/>
  <c r="K9324" i="3" s="1"/>
  <c r="H9324" i="3"/>
  <c r="G9324" i="3"/>
  <c r="M9323" i="3"/>
  <c r="L9323" i="3"/>
  <c r="J9323" i="3"/>
  <c r="K9323" i="3" s="1"/>
  <c r="H9323" i="3"/>
  <c r="I9323" i="3" s="1"/>
  <c r="G9323" i="3"/>
  <c r="M9322" i="3"/>
  <c r="L9322" i="3"/>
  <c r="K9322" i="3"/>
  <c r="J9322" i="3"/>
  <c r="H9322" i="3"/>
  <c r="G9322" i="3"/>
  <c r="M9321" i="3"/>
  <c r="L9321" i="3"/>
  <c r="J9321" i="3"/>
  <c r="K9321" i="3" s="1"/>
  <c r="H9321" i="3"/>
  <c r="G9321" i="3"/>
  <c r="M9320" i="3"/>
  <c r="L9320" i="3"/>
  <c r="J9320" i="3"/>
  <c r="K9320" i="3" s="1"/>
  <c r="H9320" i="3"/>
  <c r="G9320" i="3"/>
  <c r="I9320" i="3" s="1"/>
  <c r="M9319" i="3"/>
  <c r="L9319" i="3"/>
  <c r="J9319" i="3"/>
  <c r="K9319" i="3" s="1"/>
  <c r="H9319" i="3"/>
  <c r="G9319" i="3"/>
  <c r="M9318" i="3"/>
  <c r="L9318" i="3"/>
  <c r="J9318" i="3"/>
  <c r="K9318" i="3" s="1"/>
  <c r="H9318" i="3"/>
  <c r="G9318" i="3"/>
  <c r="M9317" i="3"/>
  <c r="L9317" i="3"/>
  <c r="J9317" i="3"/>
  <c r="K9317" i="3" s="1"/>
  <c r="H9317" i="3"/>
  <c r="G9317" i="3"/>
  <c r="M9316" i="3"/>
  <c r="L9316" i="3"/>
  <c r="J9316" i="3"/>
  <c r="K9316" i="3" s="1"/>
  <c r="H9316" i="3"/>
  <c r="G9316" i="3"/>
  <c r="I9316" i="3" s="1"/>
  <c r="M9315" i="3"/>
  <c r="L9315" i="3"/>
  <c r="J9315" i="3"/>
  <c r="K9315" i="3" s="1"/>
  <c r="H9315" i="3"/>
  <c r="I9315" i="3" s="1"/>
  <c r="G9315" i="3"/>
  <c r="M9314" i="3"/>
  <c r="L9314" i="3"/>
  <c r="K9314" i="3"/>
  <c r="J9314" i="3"/>
  <c r="H9314" i="3"/>
  <c r="G9314" i="3"/>
  <c r="M9361" i="3"/>
  <c r="L9361" i="3"/>
  <c r="J9361" i="3"/>
  <c r="K9361" i="3" s="1"/>
  <c r="H9361" i="3"/>
  <c r="G9361" i="3"/>
  <c r="M9360" i="3"/>
  <c r="L9360" i="3"/>
  <c r="J9360" i="3"/>
  <c r="K9360" i="3" s="1"/>
  <c r="I9360" i="3"/>
  <c r="H9360" i="3"/>
  <c r="G9360" i="3"/>
  <c r="M9359" i="3"/>
  <c r="L9359" i="3"/>
  <c r="J9359" i="3"/>
  <c r="K9359" i="3" s="1"/>
  <c r="H9359" i="3"/>
  <c r="G9359" i="3"/>
  <c r="I9359" i="3" s="1"/>
  <c r="M9358" i="3"/>
  <c r="L9358" i="3"/>
  <c r="J9358" i="3"/>
  <c r="K9358" i="3" s="1"/>
  <c r="H9358" i="3"/>
  <c r="G9358" i="3"/>
  <c r="M9357" i="3"/>
  <c r="L9357" i="3"/>
  <c r="J9357" i="3"/>
  <c r="K9357" i="3" s="1"/>
  <c r="H9357" i="3"/>
  <c r="G9357" i="3"/>
  <c r="M9356" i="3"/>
  <c r="L9356" i="3"/>
  <c r="K9356" i="3"/>
  <c r="J9356" i="3"/>
  <c r="H9356" i="3"/>
  <c r="G9356" i="3"/>
  <c r="I9356" i="3" s="1"/>
  <c r="M9355" i="3"/>
  <c r="L9355" i="3"/>
  <c r="J9355" i="3"/>
  <c r="K9355" i="3" s="1"/>
  <c r="H9355" i="3"/>
  <c r="G9355" i="3"/>
  <c r="M9354" i="3"/>
  <c r="L9354" i="3"/>
  <c r="K9354" i="3"/>
  <c r="J9354" i="3"/>
  <c r="H9354" i="3"/>
  <c r="G9354" i="3"/>
  <c r="M9353" i="3"/>
  <c r="L9353" i="3"/>
  <c r="J9353" i="3"/>
  <c r="K9353" i="3" s="1"/>
  <c r="H9353" i="3"/>
  <c r="G9353" i="3"/>
  <c r="M9352" i="3"/>
  <c r="L9352" i="3"/>
  <c r="J9352" i="3"/>
  <c r="K9352" i="3" s="1"/>
  <c r="H9352" i="3"/>
  <c r="G9352" i="3"/>
  <c r="I9352" i="3" s="1"/>
  <c r="M9351" i="3"/>
  <c r="L9351" i="3"/>
  <c r="J9351" i="3"/>
  <c r="K9351" i="3" s="1"/>
  <c r="H9351" i="3"/>
  <c r="G9351" i="3"/>
  <c r="M9350" i="3"/>
  <c r="L9350" i="3"/>
  <c r="J9350" i="3"/>
  <c r="K9350" i="3" s="1"/>
  <c r="H9350" i="3"/>
  <c r="G9350" i="3"/>
  <c r="M9349" i="3"/>
  <c r="L9349" i="3"/>
  <c r="J9349" i="3"/>
  <c r="K9349" i="3" s="1"/>
  <c r="H9349" i="3"/>
  <c r="G9349" i="3"/>
  <c r="M9348" i="3"/>
  <c r="L9348" i="3"/>
  <c r="J9348" i="3"/>
  <c r="K9348" i="3" s="1"/>
  <c r="H9348" i="3"/>
  <c r="G9348" i="3"/>
  <c r="I9348" i="3" s="1"/>
  <c r="M9347" i="3"/>
  <c r="L9347" i="3"/>
  <c r="J9347" i="3"/>
  <c r="K9347" i="3" s="1"/>
  <c r="H9347" i="3"/>
  <c r="G9347" i="3"/>
  <c r="M9346" i="3"/>
  <c r="L9346" i="3"/>
  <c r="K9346" i="3"/>
  <c r="J9346" i="3"/>
  <c r="H9346" i="3"/>
  <c r="G9346" i="3"/>
  <c r="M9345" i="3"/>
  <c r="L9345" i="3"/>
  <c r="J9345" i="3"/>
  <c r="K9345" i="3" s="1"/>
  <c r="H9345" i="3"/>
  <c r="G9345" i="3"/>
  <c r="I9345" i="3" s="1"/>
  <c r="M9344" i="3"/>
  <c r="L9344" i="3"/>
  <c r="J9344" i="3"/>
  <c r="K9344" i="3" s="1"/>
  <c r="I9344" i="3"/>
  <c r="H9344" i="3"/>
  <c r="G9344" i="3"/>
  <c r="M9343" i="3"/>
  <c r="L9343" i="3"/>
  <c r="J9343" i="3"/>
  <c r="K9343" i="3" s="1"/>
  <c r="H9343" i="3"/>
  <c r="G9343" i="3"/>
  <c r="I9343" i="3" s="1"/>
  <c r="M9342" i="3"/>
  <c r="L9342" i="3"/>
  <c r="J9342" i="3"/>
  <c r="K9342" i="3" s="1"/>
  <c r="H9342" i="3"/>
  <c r="G9342" i="3"/>
  <c r="M9341" i="3"/>
  <c r="L9341" i="3"/>
  <c r="J9341" i="3"/>
  <c r="K9341" i="3" s="1"/>
  <c r="H9341" i="3"/>
  <c r="G9341" i="3"/>
  <c r="M9340" i="3"/>
  <c r="L9340" i="3"/>
  <c r="K9340" i="3"/>
  <c r="J9340" i="3"/>
  <c r="H9340" i="3"/>
  <c r="G9340" i="3"/>
  <c r="I9340" i="3" s="1"/>
  <c r="M9339" i="3"/>
  <c r="L9339" i="3"/>
  <c r="J9339" i="3"/>
  <c r="K9339" i="3" s="1"/>
  <c r="H9339" i="3"/>
  <c r="G9339" i="3"/>
  <c r="M9338" i="3"/>
  <c r="L9338" i="3"/>
  <c r="K9338" i="3"/>
  <c r="J9338" i="3"/>
  <c r="H9338" i="3"/>
  <c r="G9338" i="3"/>
  <c r="M9385" i="3"/>
  <c r="L9385" i="3"/>
  <c r="J9385" i="3"/>
  <c r="K9385" i="3" s="1"/>
  <c r="H9385" i="3"/>
  <c r="G9385" i="3"/>
  <c r="M9384" i="3"/>
  <c r="L9384" i="3"/>
  <c r="J9384" i="3"/>
  <c r="K9384" i="3" s="1"/>
  <c r="H9384" i="3"/>
  <c r="G9384" i="3"/>
  <c r="I9384" i="3" s="1"/>
  <c r="M9383" i="3"/>
  <c r="L9383" i="3"/>
  <c r="J9383" i="3"/>
  <c r="K9383" i="3" s="1"/>
  <c r="H9383" i="3"/>
  <c r="G9383" i="3"/>
  <c r="M9382" i="3"/>
  <c r="L9382" i="3"/>
  <c r="J9382" i="3"/>
  <c r="K9382" i="3" s="1"/>
  <c r="H9382" i="3"/>
  <c r="G9382" i="3"/>
  <c r="M9381" i="3"/>
  <c r="L9381" i="3"/>
  <c r="J9381" i="3"/>
  <c r="K9381" i="3" s="1"/>
  <c r="H9381" i="3"/>
  <c r="G9381" i="3"/>
  <c r="M9380" i="3"/>
  <c r="L9380" i="3"/>
  <c r="J9380" i="3"/>
  <c r="K9380" i="3" s="1"/>
  <c r="H9380" i="3"/>
  <c r="G9380" i="3"/>
  <c r="M9379" i="3"/>
  <c r="L9379" i="3"/>
  <c r="K9379" i="3"/>
  <c r="J9379" i="3"/>
  <c r="H9379" i="3"/>
  <c r="G9379" i="3"/>
  <c r="M9378" i="3"/>
  <c r="L9378" i="3"/>
  <c r="J9378" i="3"/>
  <c r="K9378" i="3" s="1"/>
  <c r="H9378" i="3"/>
  <c r="G9378" i="3"/>
  <c r="M9377" i="3"/>
  <c r="L9377" i="3"/>
  <c r="J9377" i="3"/>
  <c r="K9377" i="3" s="1"/>
  <c r="H9377" i="3"/>
  <c r="G9377" i="3"/>
  <c r="M9376" i="3"/>
  <c r="L9376" i="3"/>
  <c r="J9376" i="3"/>
  <c r="K9376" i="3" s="1"/>
  <c r="H9376" i="3"/>
  <c r="G9376" i="3"/>
  <c r="I9376" i="3" s="1"/>
  <c r="M9375" i="3"/>
  <c r="L9375" i="3"/>
  <c r="J9375" i="3"/>
  <c r="K9375" i="3" s="1"/>
  <c r="H9375" i="3"/>
  <c r="G9375" i="3"/>
  <c r="M9374" i="3"/>
  <c r="L9374" i="3"/>
  <c r="J9374" i="3"/>
  <c r="K9374" i="3" s="1"/>
  <c r="H9374" i="3"/>
  <c r="G9374" i="3"/>
  <c r="M9373" i="3"/>
  <c r="L9373" i="3"/>
  <c r="J9373" i="3"/>
  <c r="K9373" i="3" s="1"/>
  <c r="I9373" i="3"/>
  <c r="H9373" i="3"/>
  <c r="G9373" i="3"/>
  <c r="M9372" i="3"/>
  <c r="L9372" i="3"/>
  <c r="J9372" i="3"/>
  <c r="K9372" i="3" s="1"/>
  <c r="H9372" i="3"/>
  <c r="G9372" i="3"/>
  <c r="M9371" i="3"/>
  <c r="L9371" i="3"/>
  <c r="J9371" i="3"/>
  <c r="K9371" i="3" s="1"/>
  <c r="H9371" i="3"/>
  <c r="G9371" i="3"/>
  <c r="M9370" i="3"/>
  <c r="L9370" i="3"/>
  <c r="K9370" i="3"/>
  <c r="J9370" i="3"/>
  <c r="H9370" i="3"/>
  <c r="G9370" i="3"/>
  <c r="M9369" i="3"/>
  <c r="L9369" i="3"/>
  <c r="J9369" i="3"/>
  <c r="K9369" i="3" s="1"/>
  <c r="H9369" i="3"/>
  <c r="I9369" i="3" s="1"/>
  <c r="G9369" i="3"/>
  <c r="M9368" i="3"/>
  <c r="L9368" i="3"/>
  <c r="J9368" i="3"/>
  <c r="K9368" i="3" s="1"/>
  <c r="H9368" i="3"/>
  <c r="G9368" i="3"/>
  <c r="I9368" i="3" s="1"/>
  <c r="M9367" i="3"/>
  <c r="L9367" i="3"/>
  <c r="J9367" i="3"/>
  <c r="K9367" i="3" s="1"/>
  <c r="H9367" i="3"/>
  <c r="G9367" i="3"/>
  <c r="M9366" i="3"/>
  <c r="L9366" i="3"/>
  <c r="J9366" i="3"/>
  <c r="K9366" i="3" s="1"/>
  <c r="H9366" i="3"/>
  <c r="G9366" i="3"/>
  <c r="M9365" i="3"/>
  <c r="L9365" i="3"/>
  <c r="J9365" i="3"/>
  <c r="K9365" i="3" s="1"/>
  <c r="H9365" i="3"/>
  <c r="G9365" i="3"/>
  <c r="I9365" i="3" s="1"/>
  <c r="M9364" i="3"/>
  <c r="L9364" i="3"/>
  <c r="J9364" i="3"/>
  <c r="K9364" i="3" s="1"/>
  <c r="H9364" i="3"/>
  <c r="G9364" i="3"/>
  <c r="M9363" i="3"/>
  <c r="L9363" i="3"/>
  <c r="K9363" i="3"/>
  <c r="J9363" i="3"/>
  <c r="H9363" i="3"/>
  <c r="G9363" i="3"/>
  <c r="M9362" i="3"/>
  <c r="L9362" i="3"/>
  <c r="J9362" i="3"/>
  <c r="K9362" i="3" s="1"/>
  <c r="H9362" i="3"/>
  <c r="G9362" i="3"/>
  <c r="M9409" i="3"/>
  <c r="L9409" i="3"/>
  <c r="J9409" i="3"/>
  <c r="K9409" i="3" s="1"/>
  <c r="H9409" i="3"/>
  <c r="I9409" i="3" s="1"/>
  <c r="G9409" i="3"/>
  <c r="M9408" i="3"/>
  <c r="L9408" i="3"/>
  <c r="K9408" i="3"/>
  <c r="J9408" i="3"/>
  <c r="H9408" i="3"/>
  <c r="G9408" i="3"/>
  <c r="I9408" i="3" s="1"/>
  <c r="M9407" i="3"/>
  <c r="L9407" i="3"/>
  <c r="J9407" i="3"/>
  <c r="K9407" i="3" s="1"/>
  <c r="H9407" i="3"/>
  <c r="G9407" i="3"/>
  <c r="M9406" i="3"/>
  <c r="L9406" i="3"/>
  <c r="K9406" i="3"/>
  <c r="J9406" i="3"/>
  <c r="H9406" i="3"/>
  <c r="G9406" i="3"/>
  <c r="I9406" i="3" s="1"/>
  <c r="M9405" i="3"/>
  <c r="L9405" i="3"/>
  <c r="J9405" i="3"/>
  <c r="K9405" i="3" s="1"/>
  <c r="H9405" i="3"/>
  <c r="G9405" i="3"/>
  <c r="M9404" i="3"/>
  <c r="L9404" i="3"/>
  <c r="J9404" i="3"/>
  <c r="K9404" i="3" s="1"/>
  <c r="H9404" i="3"/>
  <c r="G9404" i="3"/>
  <c r="M9403" i="3"/>
  <c r="L9403" i="3"/>
  <c r="J9403" i="3"/>
  <c r="K9403" i="3" s="1"/>
  <c r="H9403" i="3"/>
  <c r="G9403" i="3"/>
  <c r="M9402" i="3"/>
  <c r="L9402" i="3"/>
  <c r="J9402" i="3"/>
  <c r="K9402" i="3" s="1"/>
  <c r="H9402" i="3"/>
  <c r="G9402" i="3"/>
  <c r="M9401" i="3"/>
  <c r="L9401" i="3"/>
  <c r="J9401" i="3"/>
  <c r="K9401" i="3" s="1"/>
  <c r="H9401" i="3"/>
  <c r="G9401" i="3"/>
  <c r="M9400" i="3"/>
  <c r="L9400" i="3"/>
  <c r="J9400" i="3"/>
  <c r="K9400" i="3" s="1"/>
  <c r="H9400" i="3"/>
  <c r="G9400" i="3"/>
  <c r="I9400" i="3" s="1"/>
  <c r="M9399" i="3"/>
  <c r="L9399" i="3"/>
  <c r="J9399" i="3"/>
  <c r="K9399" i="3" s="1"/>
  <c r="H9399" i="3"/>
  <c r="G9399" i="3"/>
  <c r="M9398" i="3"/>
  <c r="L9398" i="3"/>
  <c r="J9398" i="3"/>
  <c r="K9398" i="3" s="1"/>
  <c r="H9398" i="3"/>
  <c r="G9398" i="3"/>
  <c r="M9397" i="3"/>
  <c r="L9397" i="3"/>
  <c r="J9397" i="3"/>
  <c r="K9397" i="3" s="1"/>
  <c r="H9397" i="3"/>
  <c r="G9397" i="3"/>
  <c r="M9396" i="3"/>
  <c r="L9396" i="3"/>
  <c r="J9396" i="3"/>
  <c r="K9396" i="3" s="1"/>
  <c r="I9396" i="3"/>
  <c r="H9396" i="3"/>
  <c r="G9396" i="3"/>
  <c r="M9395" i="3"/>
  <c r="L9395" i="3"/>
  <c r="J9395" i="3"/>
  <c r="K9395" i="3" s="1"/>
  <c r="H9395" i="3"/>
  <c r="G9395" i="3"/>
  <c r="M9394" i="3"/>
  <c r="L9394" i="3"/>
  <c r="J9394" i="3"/>
  <c r="K9394" i="3" s="1"/>
  <c r="H9394" i="3"/>
  <c r="G9394" i="3"/>
  <c r="M9393" i="3"/>
  <c r="L9393" i="3"/>
  <c r="J9393" i="3"/>
  <c r="K9393" i="3" s="1"/>
  <c r="H9393" i="3"/>
  <c r="G9393" i="3"/>
  <c r="M9392" i="3"/>
  <c r="L9392" i="3"/>
  <c r="K9392" i="3"/>
  <c r="J9392" i="3"/>
  <c r="H9392" i="3"/>
  <c r="G9392" i="3"/>
  <c r="I9392" i="3" s="1"/>
  <c r="M9391" i="3"/>
  <c r="L9391" i="3"/>
  <c r="J9391" i="3"/>
  <c r="K9391" i="3" s="1"/>
  <c r="H9391" i="3"/>
  <c r="G9391" i="3"/>
  <c r="M9390" i="3"/>
  <c r="L9390" i="3"/>
  <c r="K9390" i="3"/>
  <c r="J9390" i="3"/>
  <c r="H9390" i="3"/>
  <c r="G9390" i="3"/>
  <c r="I9390" i="3" s="1"/>
  <c r="M9389" i="3"/>
  <c r="L9389" i="3"/>
  <c r="J9389" i="3"/>
  <c r="K9389" i="3" s="1"/>
  <c r="H9389" i="3"/>
  <c r="G9389" i="3"/>
  <c r="M9388" i="3"/>
  <c r="L9388" i="3"/>
  <c r="J9388" i="3"/>
  <c r="K9388" i="3" s="1"/>
  <c r="H9388" i="3"/>
  <c r="G9388" i="3"/>
  <c r="M9387" i="3"/>
  <c r="L9387" i="3"/>
  <c r="J9387" i="3"/>
  <c r="K9387" i="3" s="1"/>
  <c r="H9387" i="3"/>
  <c r="G9387" i="3"/>
  <c r="M9386" i="3"/>
  <c r="L9386" i="3"/>
  <c r="J9386" i="3"/>
  <c r="K9386" i="3" s="1"/>
  <c r="H9386" i="3"/>
  <c r="G9386" i="3"/>
  <c r="M9433" i="3"/>
  <c r="L9433" i="3"/>
  <c r="J9433" i="3"/>
  <c r="K9433" i="3" s="1"/>
  <c r="H9433" i="3"/>
  <c r="G9433" i="3"/>
  <c r="M9432" i="3"/>
  <c r="L9432" i="3"/>
  <c r="J9432" i="3"/>
  <c r="K9432" i="3" s="1"/>
  <c r="H9432" i="3"/>
  <c r="G9432" i="3"/>
  <c r="I9432" i="3" s="1"/>
  <c r="M9431" i="3"/>
  <c r="L9431" i="3"/>
  <c r="J9431" i="3"/>
  <c r="K9431" i="3" s="1"/>
  <c r="H9431" i="3"/>
  <c r="G9431" i="3"/>
  <c r="M9430" i="3"/>
  <c r="L9430" i="3"/>
  <c r="K9430" i="3"/>
  <c r="J9430" i="3"/>
  <c r="H9430" i="3"/>
  <c r="G9430" i="3"/>
  <c r="M9429" i="3"/>
  <c r="L9429" i="3"/>
  <c r="J9429" i="3"/>
  <c r="K9429" i="3" s="1"/>
  <c r="H9429" i="3"/>
  <c r="G9429" i="3"/>
  <c r="M9428" i="3"/>
  <c r="L9428" i="3"/>
  <c r="J9428" i="3"/>
  <c r="K9428" i="3" s="1"/>
  <c r="H9428" i="3"/>
  <c r="G9428" i="3"/>
  <c r="I9428" i="3" s="1"/>
  <c r="M9427" i="3"/>
  <c r="L9427" i="3"/>
  <c r="J9427" i="3"/>
  <c r="K9427" i="3" s="1"/>
  <c r="H9427" i="3"/>
  <c r="G9427" i="3"/>
  <c r="M9426" i="3"/>
  <c r="L9426" i="3"/>
  <c r="K9426" i="3"/>
  <c r="J9426" i="3"/>
  <c r="H9426" i="3"/>
  <c r="G9426" i="3"/>
  <c r="M9425" i="3"/>
  <c r="L9425" i="3"/>
  <c r="J9425" i="3"/>
  <c r="K9425" i="3" s="1"/>
  <c r="H9425" i="3"/>
  <c r="G9425" i="3"/>
  <c r="M9424" i="3"/>
  <c r="L9424" i="3"/>
  <c r="J9424" i="3"/>
  <c r="K9424" i="3" s="1"/>
  <c r="I9424" i="3"/>
  <c r="H9424" i="3"/>
  <c r="G9424" i="3"/>
  <c r="M9423" i="3"/>
  <c r="L9423" i="3"/>
  <c r="J9423" i="3"/>
  <c r="K9423" i="3" s="1"/>
  <c r="H9423" i="3"/>
  <c r="G9423" i="3"/>
  <c r="M9422" i="3"/>
  <c r="L9422" i="3"/>
  <c r="J9422" i="3"/>
  <c r="K9422" i="3" s="1"/>
  <c r="H9422" i="3"/>
  <c r="G9422" i="3"/>
  <c r="M9421" i="3"/>
  <c r="L9421" i="3"/>
  <c r="J9421" i="3"/>
  <c r="K9421" i="3" s="1"/>
  <c r="H9421" i="3"/>
  <c r="G9421" i="3"/>
  <c r="M9420" i="3"/>
  <c r="L9420" i="3"/>
  <c r="J9420" i="3"/>
  <c r="K9420" i="3" s="1"/>
  <c r="H9420" i="3"/>
  <c r="G9420" i="3"/>
  <c r="M9419" i="3"/>
  <c r="L9419" i="3"/>
  <c r="J9419" i="3"/>
  <c r="K9419" i="3" s="1"/>
  <c r="H9419" i="3"/>
  <c r="G9419" i="3"/>
  <c r="M9418" i="3"/>
  <c r="L9418" i="3"/>
  <c r="K9418" i="3"/>
  <c r="J9418" i="3"/>
  <c r="H9418" i="3"/>
  <c r="G9418" i="3"/>
  <c r="I9418" i="3" s="1"/>
  <c r="M9417" i="3"/>
  <c r="L9417" i="3"/>
  <c r="J9417" i="3"/>
  <c r="K9417" i="3" s="1"/>
  <c r="I9417" i="3"/>
  <c r="H9417" i="3"/>
  <c r="G9417" i="3"/>
  <c r="M9416" i="3"/>
  <c r="L9416" i="3"/>
  <c r="K9416" i="3"/>
  <c r="J9416" i="3"/>
  <c r="H9416" i="3"/>
  <c r="G9416" i="3"/>
  <c r="I9416" i="3" s="1"/>
  <c r="M9415" i="3"/>
  <c r="L9415" i="3"/>
  <c r="J9415" i="3"/>
  <c r="K9415" i="3" s="1"/>
  <c r="H9415" i="3"/>
  <c r="G9415" i="3"/>
  <c r="M9414" i="3"/>
  <c r="L9414" i="3"/>
  <c r="K9414" i="3"/>
  <c r="J9414" i="3"/>
  <c r="H9414" i="3"/>
  <c r="G9414" i="3"/>
  <c r="M9413" i="3"/>
  <c r="L9413" i="3"/>
  <c r="J9413" i="3"/>
  <c r="K9413" i="3" s="1"/>
  <c r="I9413" i="3"/>
  <c r="H9413" i="3"/>
  <c r="G9413" i="3"/>
  <c r="M9412" i="3"/>
  <c r="L9412" i="3"/>
  <c r="K9412" i="3"/>
  <c r="J9412" i="3"/>
  <c r="H9412" i="3"/>
  <c r="I9412" i="3" s="1"/>
  <c r="G9412" i="3"/>
  <c r="M9411" i="3"/>
  <c r="L9411" i="3"/>
  <c r="K9411" i="3"/>
  <c r="J9411" i="3"/>
  <c r="H9411" i="3"/>
  <c r="G9411" i="3"/>
  <c r="I9411" i="3" s="1"/>
  <c r="M9410" i="3"/>
  <c r="L9410" i="3"/>
  <c r="J9410" i="3"/>
  <c r="K9410" i="3" s="1"/>
  <c r="H9410" i="3"/>
  <c r="G9410" i="3"/>
  <c r="M9457" i="3"/>
  <c r="L9457" i="3"/>
  <c r="J9457" i="3"/>
  <c r="K9457" i="3" s="1"/>
  <c r="H9457" i="3"/>
  <c r="I9457" i="3" s="1"/>
  <c r="G9457" i="3"/>
  <c r="M9456" i="3"/>
  <c r="L9456" i="3"/>
  <c r="K9456" i="3"/>
  <c r="J9456" i="3"/>
  <c r="H9456" i="3"/>
  <c r="G9456" i="3"/>
  <c r="I9456" i="3" s="1"/>
  <c r="M9455" i="3"/>
  <c r="L9455" i="3"/>
  <c r="J9455" i="3"/>
  <c r="K9455" i="3" s="1"/>
  <c r="H9455" i="3"/>
  <c r="G9455" i="3"/>
  <c r="M9454" i="3"/>
  <c r="L9454" i="3"/>
  <c r="K9454" i="3"/>
  <c r="J9454" i="3"/>
  <c r="H9454" i="3"/>
  <c r="G9454" i="3"/>
  <c r="M9453" i="3"/>
  <c r="L9453" i="3"/>
  <c r="J9453" i="3"/>
  <c r="K9453" i="3" s="1"/>
  <c r="H9453" i="3"/>
  <c r="G9453" i="3"/>
  <c r="M9452" i="3"/>
  <c r="L9452" i="3"/>
  <c r="J9452" i="3"/>
  <c r="K9452" i="3" s="1"/>
  <c r="H9452" i="3"/>
  <c r="G9452" i="3"/>
  <c r="M9451" i="3"/>
  <c r="L9451" i="3"/>
  <c r="J9451" i="3"/>
  <c r="K9451" i="3" s="1"/>
  <c r="H9451" i="3"/>
  <c r="G9451" i="3"/>
  <c r="M9450" i="3"/>
  <c r="L9450" i="3"/>
  <c r="J9450" i="3"/>
  <c r="K9450" i="3" s="1"/>
  <c r="H9450" i="3"/>
  <c r="G9450" i="3"/>
  <c r="M9449" i="3"/>
  <c r="L9449" i="3"/>
  <c r="J9449" i="3"/>
  <c r="K9449" i="3" s="1"/>
  <c r="H9449" i="3"/>
  <c r="G9449" i="3"/>
  <c r="M9448" i="3"/>
  <c r="L9448" i="3"/>
  <c r="K9448" i="3"/>
  <c r="J9448" i="3"/>
  <c r="H9448" i="3"/>
  <c r="G9448" i="3"/>
  <c r="I9448" i="3" s="1"/>
  <c r="M9447" i="3"/>
  <c r="L9447" i="3"/>
  <c r="J9447" i="3"/>
  <c r="K9447" i="3" s="1"/>
  <c r="H9447" i="3"/>
  <c r="G9447" i="3"/>
  <c r="M9446" i="3"/>
  <c r="L9446" i="3"/>
  <c r="K9446" i="3"/>
  <c r="J9446" i="3"/>
  <c r="H9446" i="3"/>
  <c r="G9446" i="3"/>
  <c r="M9445" i="3"/>
  <c r="L9445" i="3"/>
  <c r="J9445" i="3"/>
  <c r="K9445" i="3" s="1"/>
  <c r="H9445" i="3"/>
  <c r="G9445" i="3"/>
  <c r="I9445" i="3" s="1"/>
  <c r="M9444" i="3"/>
  <c r="L9444" i="3"/>
  <c r="J9444" i="3"/>
  <c r="K9444" i="3" s="1"/>
  <c r="I9444" i="3"/>
  <c r="H9444" i="3"/>
  <c r="G9444" i="3"/>
  <c r="M9443" i="3"/>
  <c r="L9443" i="3"/>
  <c r="J9443" i="3"/>
  <c r="K9443" i="3" s="1"/>
  <c r="H9443" i="3"/>
  <c r="G9443" i="3"/>
  <c r="I9443" i="3" s="1"/>
  <c r="M9442" i="3"/>
  <c r="L9442" i="3"/>
  <c r="J9442" i="3"/>
  <c r="K9442" i="3" s="1"/>
  <c r="H9442" i="3"/>
  <c r="G9442" i="3"/>
  <c r="M9441" i="3"/>
  <c r="L9441" i="3"/>
  <c r="J9441" i="3"/>
  <c r="K9441" i="3" s="1"/>
  <c r="H9441" i="3"/>
  <c r="G9441" i="3"/>
  <c r="M9440" i="3"/>
  <c r="L9440" i="3"/>
  <c r="K9440" i="3"/>
  <c r="J9440" i="3"/>
  <c r="H9440" i="3"/>
  <c r="G9440" i="3"/>
  <c r="I9440" i="3" s="1"/>
  <c r="M9439" i="3"/>
  <c r="L9439" i="3"/>
  <c r="J9439" i="3"/>
  <c r="K9439" i="3" s="1"/>
  <c r="H9439" i="3"/>
  <c r="G9439" i="3"/>
  <c r="M9438" i="3"/>
  <c r="L9438" i="3"/>
  <c r="K9438" i="3"/>
  <c r="J9438" i="3"/>
  <c r="H9438" i="3"/>
  <c r="G9438" i="3"/>
  <c r="M9437" i="3"/>
  <c r="L9437" i="3"/>
  <c r="J9437" i="3"/>
  <c r="K9437" i="3" s="1"/>
  <c r="H9437" i="3"/>
  <c r="G9437" i="3"/>
  <c r="M9436" i="3"/>
  <c r="L9436" i="3"/>
  <c r="J9436" i="3"/>
  <c r="K9436" i="3" s="1"/>
  <c r="H9436" i="3"/>
  <c r="G9436" i="3"/>
  <c r="I9436" i="3" s="1"/>
  <c r="M9435" i="3"/>
  <c r="L9435" i="3"/>
  <c r="J9435" i="3"/>
  <c r="K9435" i="3" s="1"/>
  <c r="H9435" i="3"/>
  <c r="G9435" i="3"/>
  <c r="M9434" i="3"/>
  <c r="L9434" i="3"/>
  <c r="J9434" i="3"/>
  <c r="K9434" i="3" s="1"/>
  <c r="H9434" i="3"/>
  <c r="G9434" i="3"/>
  <c r="M9481" i="3"/>
  <c r="L9481" i="3"/>
  <c r="J9481" i="3"/>
  <c r="K9481" i="3" s="1"/>
  <c r="H9481" i="3"/>
  <c r="G9481" i="3"/>
  <c r="M9480" i="3"/>
  <c r="L9480" i="3"/>
  <c r="J9480" i="3"/>
  <c r="K9480" i="3" s="1"/>
  <c r="H9480" i="3"/>
  <c r="G9480" i="3"/>
  <c r="M9479" i="3"/>
  <c r="L9479" i="3"/>
  <c r="J9479" i="3"/>
  <c r="K9479" i="3" s="1"/>
  <c r="H9479" i="3"/>
  <c r="G9479" i="3"/>
  <c r="M9478" i="3"/>
  <c r="L9478" i="3"/>
  <c r="K9478" i="3"/>
  <c r="J9478" i="3"/>
  <c r="H9478" i="3"/>
  <c r="G9478" i="3"/>
  <c r="M9477" i="3"/>
  <c r="L9477" i="3"/>
  <c r="J9477" i="3"/>
  <c r="K9477" i="3" s="1"/>
  <c r="H9477" i="3"/>
  <c r="I9477" i="3" s="1"/>
  <c r="G9477" i="3"/>
  <c r="M9476" i="3"/>
  <c r="L9476" i="3"/>
  <c r="K9476" i="3"/>
  <c r="J9476" i="3"/>
  <c r="H9476" i="3"/>
  <c r="G9476" i="3"/>
  <c r="I9476" i="3" s="1"/>
  <c r="M9475" i="3"/>
  <c r="L9475" i="3"/>
  <c r="J9475" i="3"/>
  <c r="K9475" i="3" s="1"/>
  <c r="H9475" i="3"/>
  <c r="G9475" i="3"/>
  <c r="M9474" i="3"/>
  <c r="L9474" i="3"/>
  <c r="K9474" i="3"/>
  <c r="J9474" i="3"/>
  <c r="H9474" i="3"/>
  <c r="G9474" i="3"/>
  <c r="M9473" i="3"/>
  <c r="L9473" i="3"/>
  <c r="J9473" i="3"/>
  <c r="K9473" i="3" s="1"/>
  <c r="H9473" i="3"/>
  <c r="G9473" i="3"/>
  <c r="I9473" i="3" s="1"/>
  <c r="M9472" i="3"/>
  <c r="L9472" i="3"/>
  <c r="K9472" i="3"/>
  <c r="J9472" i="3"/>
  <c r="H9472" i="3"/>
  <c r="G9472" i="3"/>
  <c r="M9471" i="3"/>
  <c r="L9471" i="3"/>
  <c r="K9471" i="3"/>
  <c r="J9471" i="3"/>
  <c r="H9471" i="3"/>
  <c r="G9471" i="3"/>
  <c r="M9470" i="3"/>
  <c r="L9470" i="3"/>
  <c r="K9470" i="3"/>
  <c r="J9470" i="3"/>
  <c r="H9470" i="3"/>
  <c r="G9470" i="3"/>
  <c r="M9469" i="3"/>
  <c r="L9469" i="3"/>
  <c r="J9469" i="3"/>
  <c r="K9469" i="3" s="1"/>
  <c r="H9469" i="3"/>
  <c r="G9469" i="3"/>
  <c r="I9469" i="3" s="1"/>
  <c r="M9468" i="3"/>
  <c r="L9468" i="3"/>
  <c r="K9468" i="3"/>
  <c r="J9468" i="3"/>
  <c r="H9468" i="3"/>
  <c r="G9468" i="3"/>
  <c r="I9468" i="3" s="1"/>
  <c r="M9467" i="3"/>
  <c r="L9467" i="3"/>
  <c r="J9467" i="3"/>
  <c r="K9467" i="3" s="1"/>
  <c r="H9467" i="3"/>
  <c r="G9467" i="3"/>
  <c r="M9466" i="3"/>
  <c r="L9466" i="3"/>
  <c r="J9466" i="3"/>
  <c r="K9466" i="3" s="1"/>
  <c r="H9466" i="3"/>
  <c r="G9466" i="3"/>
  <c r="M9465" i="3"/>
  <c r="L9465" i="3"/>
  <c r="J9465" i="3"/>
  <c r="K9465" i="3" s="1"/>
  <c r="H9465" i="3"/>
  <c r="G9465" i="3"/>
  <c r="I9465" i="3" s="1"/>
  <c r="M9464" i="3"/>
  <c r="L9464" i="3"/>
  <c r="J9464" i="3"/>
  <c r="K9464" i="3" s="1"/>
  <c r="H9464" i="3"/>
  <c r="I9464" i="3" s="1"/>
  <c r="G9464" i="3"/>
  <c r="M9463" i="3"/>
  <c r="L9463" i="3"/>
  <c r="K9463" i="3"/>
  <c r="J9463" i="3"/>
  <c r="H9463" i="3"/>
  <c r="G9463" i="3"/>
  <c r="M9462" i="3"/>
  <c r="L9462" i="3"/>
  <c r="J9462" i="3"/>
  <c r="K9462" i="3" s="1"/>
  <c r="H9462" i="3"/>
  <c r="G9462" i="3"/>
  <c r="M9461" i="3"/>
  <c r="L9461" i="3"/>
  <c r="J9461" i="3"/>
  <c r="K9461" i="3" s="1"/>
  <c r="H9461" i="3"/>
  <c r="G9461" i="3"/>
  <c r="M9460" i="3"/>
  <c r="L9460" i="3"/>
  <c r="K9460" i="3"/>
  <c r="J9460" i="3"/>
  <c r="H9460" i="3"/>
  <c r="G9460" i="3"/>
  <c r="I9460" i="3" s="1"/>
  <c r="M9459" i="3"/>
  <c r="L9459" i="3"/>
  <c r="J9459" i="3"/>
  <c r="K9459" i="3" s="1"/>
  <c r="H9459" i="3"/>
  <c r="G9459" i="3"/>
  <c r="M9458" i="3"/>
  <c r="L9458" i="3"/>
  <c r="K9458" i="3"/>
  <c r="J9458" i="3"/>
  <c r="H9458" i="3"/>
  <c r="G9458" i="3"/>
  <c r="I9458" i="3" s="1"/>
  <c r="M9505" i="3"/>
  <c r="L9505" i="3"/>
  <c r="J9505" i="3"/>
  <c r="K9505" i="3" s="1"/>
  <c r="H9505" i="3"/>
  <c r="G9505" i="3"/>
  <c r="M9504" i="3"/>
  <c r="L9504" i="3"/>
  <c r="J9504" i="3"/>
  <c r="K9504" i="3" s="1"/>
  <c r="H9504" i="3"/>
  <c r="G9504" i="3"/>
  <c r="I9504" i="3" s="1"/>
  <c r="M9503" i="3"/>
  <c r="L9503" i="3"/>
  <c r="J9503" i="3"/>
  <c r="K9503" i="3" s="1"/>
  <c r="H9503" i="3"/>
  <c r="G9503" i="3"/>
  <c r="M9502" i="3"/>
  <c r="L9502" i="3"/>
  <c r="K9502" i="3"/>
  <c r="J9502" i="3"/>
  <c r="H9502" i="3"/>
  <c r="G9502" i="3"/>
  <c r="M9501" i="3"/>
  <c r="L9501" i="3"/>
  <c r="J9501" i="3"/>
  <c r="K9501" i="3" s="1"/>
  <c r="H9501" i="3"/>
  <c r="G9501" i="3"/>
  <c r="I9501" i="3" s="1"/>
  <c r="M9500" i="3"/>
  <c r="L9500" i="3"/>
  <c r="J9500" i="3"/>
  <c r="K9500" i="3" s="1"/>
  <c r="H9500" i="3"/>
  <c r="G9500" i="3"/>
  <c r="I9500" i="3" s="1"/>
  <c r="M9499" i="3"/>
  <c r="L9499" i="3"/>
  <c r="J9499" i="3"/>
  <c r="K9499" i="3" s="1"/>
  <c r="H9499" i="3"/>
  <c r="G9499" i="3"/>
  <c r="M9498" i="3"/>
  <c r="L9498" i="3"/>
  <c r="J9498" i="3"/>
  <c r="K9498" i="3" s="1"/>
  <c r="H9498" i="3"/>
  <c r="G9498" i="3"/>
  <c r="M9497" i="3"/>
  <c r="L9497" i="3"/>
  <c r="J9497" i="3"/>
  <c r="K9497" i="3" s="1"/>
  <c r="H9497" i="3"/>
  <c r="G9497" i="3"/>
  <c r="M9496" i="3"/>
  <c r="L9496" i="3"/>
  <c r="K9496" i="3"/>
  <c r="J9496" i="3"/>
  <c r="H9496" i="3"/>
  <c r="I9496" i="3" s="1"/>
  <c r="G9496" i="3"/>
  <c r="M9495" i="3"/>
  <c r="L9495" i="3"/>
  <c r="J9495" i="3"/>
  <c r="K9495" i="3" s="1"/>
  <c r="H9495" i="3"/>
  <c r="G9495" i="3"/>
  <c r="M9494" i="3"/>
  <c r="L9494" i="3"/>
  <c r="K9494" i="3"/>
  <c r="J9494" i="3"/>
  <c r="H9494" i="3"/>
  <c r="G9494" i="3"/>
  <c r="M9493" i="3"/>
  <c r="L9493" i="3"/>
  <c r="J9493" i="3"/>
  <c r="K9493" i="3" s="1"/>
  <c r="H9493" i="3"/>
  <c r="G9493" i="3"/>
  <c r="M9492" i="3"/>
  <c r="L9492" i="3"/>
  <c r="K9492" i="3"/>
  <c r="J9492" i="3"/>
  <c r="H9492" i="3"/>
  <c r="G9492" i="3"/>
  <c r="M9491" i="3"/>
  <c r="L9491" i="3"/>
  <c r="J9491" i="3"/>
  <c r="K9491" i="3" s="1"/>
  <c r="H9491" i="3"/>
  <c r="G9491" i="3"/>
  <c r="M9490" i="3"/>
  <c r="L9490" i="3"/>
  <c r="J9490" i="3"/>
  <c r="K9490" i="3" s="1"/>
  <c r="H9490" i="3"/>
  <c r="G9490" i="3"/>
  <c r="M9489" i="3"/>
  <c r="L9489" i="3"/>
  <c r="J9489" i="3"/>
  <c r="K9489" i="3" s="1"/>
  <c r="H9489" i="3"/>
  <c r="G9489" i="3"/>
  <c r="M9488" i="3"/>
  <c r="L9488" i="3"/>
  <c r="J9488" i="3"/>
  <c r="K9488" i="3" s="1"/>
  <c r="H9488" i="3"/>
  <c r="G9488" i="3"/>
  <c r="M9487" i="3"/>
  <c r="L9487" i="3"/>
  <c r="J9487" i="3"/>
  <c r="K9487" i="3" s="1"/>
  <c r="H9487" i="3"/>
  <c r="G9487" i="3"/>
  <c r="M9486" i="3"/>
  <c r="L9486" i="3"/>
  <c r="K9486" i="3"/>
  <c r="J9486" i="3"/>
  <c r="H9486" i="3"/>
  <c r="G9486" i="3"/>
  <c r="M9485" i="3"/>
  <c r="L9485" i="3"/>
  <c r="J9485" i="3"/>
  <c r="K9485" i="3" s="1"/>
  <c r="H9485" i="3"/>
  <c r="G9485" i="3"/>
  <c r="M9484" i="3"/>
  <c r="L9484" i="3"/>
  <c r="J9484" i="3"/>
  <c r="K9484" i="3" s="1"/>
  <c r="H9484" i="3"/>
  <c r="G9484" i="3"/>
  <c r="I9484" i="3" s="1"/>
  <c r="M9483" i="3"/>
  <c r="L9483" i="3"/>
  <c r="J9483" i="3"/>
  <c r="K9483" i="3" s="1"/>
  <c r="H9483" i="3"/>
  <c r="G9483" i="3"/>
  <c r="I9483" i="3" s="1"/>
  <c r="M9482" i="3"/>
  <c r="L9482" i="3"/>
  <c r="J9482" i="3"/>
  <c r="K9482" i="3" s="1"/>
  <c r="H9482" i="3"/>
  <c r="G9482" i="3"/>
  <c r="M9529" i="3"/>
  <c r="L9529" i="3"/>
  <c r="J9529" i="3"/>
  <c r="K9529" i="3" s="1"/>
  <c r="H9529" i="3"/>
  <c r="I9529" i="3" s="1"/>
  <c r="G9529" i="3"/>
  <c r="M9528" i="3"/>
  <c r="L9528" i="3"/>
  <c r="K9528" i="3"/>
  <c r="J9528" i="3"/>
  <c r="H9528" i="3"/>
  <c r="G9528" i="3"/>
  <c r="I9528" i="3" s="1"/>
  <c r="M9527" i="3"/>
  <c r="L9527" i="3"/>
  <c r="J9527" i="3"/>
  <c r="K9527" i="3" s="1"/>
  <c r="H9527" i="3"/>
  <c r="G9527" i="3"/>
  <c r="M9526" i="3"/>
  <c r="L9526" i="3"/>
  <c r="K9526" i="3"/>
  <c r="J9526" i="3"/>
  <c r="H9526" i="3"/>
  <c r="G9526" i="3"/>
  <c r="M9525" i="3"/>
  <c r="L9525" i="3"/>
  <c r="J9525" i="3"/>
  <c r="K9525" i="3" s="1"/>
  <c r="H9525" i="3"/>
  <c r="I9525" i="3" s="1"/>
  <c r="G9525" i="3"/>
  <c r="M9524" i="3"/>
  <c r="L9524" i="3"/>
  <c r="K9524" i="3"/>
  <c r="J9524" i="3"/>
  <c r="H9524" i="3"/>
  <c r="G9524" i="3"/>
  <c r="M9523" i="3"/>
  <c r="L9523" i="3"/>
  <c r="J9523" i="3"/>
  <c r="K9523" i="3" s="1"/>
  <c r="H9523" i="3"/>
  <c r="G9523" i="3"/>
  <c r="M9522" i="3"/>
  <c r="L9522" i="3"/>
  <c r="K9522" i="3"/>
  <c r="J9522" i="3"/>
  <c r="H9522" i="3"/>
  <c r="G9522" i="3"/>
  <c r="M9521" i="3"/>
  <c r="L9521" i="3"/>
  <c r="J9521" i="3"/>
  <c r="K9521" i="3" s="1"/>
  <c r="H9521" i="3"/>
  <c r="G9521" i="3"/>
  <c r="M9520" i="3"/>
  <c r="L9520" i="3"/>
  <c r="J9520" i="3"/>
  <c r="K9520" i="3" s="1"/>
  <c r="H9520" i="3"/>
  <c r="G9520" i="3"/>
  <c r="M9519" i="3"/>
  <c r="L9519" i="3"/>
  <c r="K9519" i="3"/>
  <c r="J9519" i="3"/>
  <c r="H9519" i="3"/>
  <c r="G9519" i="3"/>
  <c r="M9518" i="3"/>
  <c r="L9518" i="3"/>
  <c r="J9518" i="3"/>
  <c r="K9518" i="3" s="1"/>
  <c r="H9518" i="3"/>
  <c r="G9518" i="3"/>
  <c r="M9517" i="3"/>
  <c r="L9517" i="3"/>
  <c r="J9517" i="3"/>
  <c r="K9517" i="3" s="1"/>
  <c r="H9517" i="3"/>
  <c r="G9517" i="3"/>
  <c r="M9516" i="3"/>
  <c r="L9516" i="3"/>
  <c r="J9516" i="3"/>
  <c r="K9516" i="3" s="1"/>
  <c r="H9516" i="3"/>
  <c r="G9516" i="3"/>
  <c r="I9516" i="3" s="1"/>
  <c r="M9515" i="3"/>
  <c r="L9515" i="3"/>
  <c r="J9515" i="3"/>
  <c r="K9515" i="3" s="1"/>
  <c r="H9515" i="3"/>
  <c r="G9515" i="3"/>
  <c r="M9514" i="3"/>
  <c r="L9514" i="3"/>
  <c r="K9514" i="3"/>
  <c r="J9514" i="3"/>
  <c r="H9514" i="3"/>
  <c r="G9514" i="3"/>
  <c r="I9514" i="3" s="1"/>
  <c r="M9513" i="3"/>
  <c r="L9513" i="3"/>
  <c r="J9513" i="3"/>
  <c r="K9513" i="3" s="1"/>
  <c r="H9513" i="3"/>
  <c r="G9513" i="3"/>
  <c r="M9512" i="3"/>
  <c r="L9512" i="3"/>
  <c r="J9512" i="3"/>
  <c r="K9512" i="3" s="1"/>
  <c r="I9512" i="3"/>
  <c r="H9512" i="3"/>
  <c r="G9512" i="3"/>
  <c r="M9511" i="3"/>
  <c r="L9511" i="3"/>
  <c r="J9511" i="3"/>
  <c r="K9511" i="3" s="1"/>
  <c r="H9511" i="3"/>
  <c r="G9511" i="3"/>
  <c r="M9510" i="3"/>
  <c r="L9510" i="3"/>
  <c r="K9510" i="3"/>
  <c r="J9510" i="3"/>
  <c r="H9510" i="3"/>
  <c r="G9510" i="3"/>
  <c r="M9509" i="3"/>
  <c r="L9509" i="3"/>
  <c r="J9509" i="3"/>
  <c r="K9509" i="3" s="1"/>
  <c r="H9509" i="3"/>
  <c r="G9509" i="3"/>
  <c r="I9509" i="3" s="1"/>
  <c r="M9508" i="3"/>
  <c r="L9508" i="3"/>
  <c r="J9508" i="3"/>
  <c r="K9508" i="3" s="1"/>
  <c r="H9508" i="3"/>
  <c r="G9508" i="3"/>
  <c r="I9508" i="3" s="1"/>
  <c r="M9507" i="3"/>
  <c r="L9507" i="3"/>
  <c r="K9507" i="3"/>
  <c r="J9507" i="3"/>
  <c r="H9507" i="3"/>
  <c r="G9507" i="3"/>
  <c r="M9506" i="3"/>
  <c r="L9506" i="3"/>
  <c r="J9506" i="3"/>
  <c r="K9506" i="3" s="1"/>
  <c r="H9506" i="3"/>
  <c r="G9506" i="3"/>
  <c r="M9553" i="3"/>
  <c r="L9553" i="3"/>
  <c r="J9553" i="3"/>
  <c r="K9553" i="3" s="1"/>
  <c r="H9553" i="3"/>
  <c r="G9553" i="3"/>
  <c r="M9552" i="3"/>
  <c r="L9552" i="3"/>
  <c r="J9552" i="3"/>
  <c r="K9552" i="3" s="1"/>
  <c r="H9552" i="3"/>
  <c r="G9552" i="3"/>
  <c r="I9552" i="3" s="1"/>
  <c r="M9551" i="3"/>
  <c r="L9551" i="3"/>
  <c r="J9551" i="3"/>
  <c r="K9551" i="3" s="1"/>
  <c r="H9551" i="3"/>
  <c r="G9551" i="3"/>
  <c r="M9550" i="3"/>
  <c r="L9550" i="3"/>
  <c r="J9550" i="3"/>
  <c r="K9550" i="3" s="1"/>
  <c r="H9550" i="3"/>
  <c r="G9550" i="3"/>
  <c r="M9549" i="3"/>
  <c r="L9549" i="3"/>
  <c r="J9549" i="3"/>
  <c r="K9549" i="3" s="1"/>
  <c r="H9549" i="3"/>
  <c r="G9549" i="3"/>
  <c r="M9548" i="3"/>
  <c r="L9548" i="3"/>
  <c r="J9548" i="3"/>
  <c r="K9548" i="3" s="1"/>
  <c r="H9548" i="3"/>
  <c r="G9548" i="3"/>
  <c r="I9548" i="3" s="1"/>
  <c r="M9547" i="3"/>
  <c r="L9547" i="3"/>
  <c r="J9547" i="3"/>
  <c r="K9547" i="3" s="1"/>
  <c r="H9547" i="3"/>
  <c r="G9547" i="3"/>
  <c r="M9546" i="3"/>
  <c r="L9546" i="3"/>
  <c r="K9546" i="3"/>
  <c r="J9546" i="3"/>
  <c r="H9546" i="3"/>
  <c r="G9546" i="3"/>
  <c r="M9545" i="3"/>
  <c r="L9545" i="3"/>
  <c r="J9545" i="3"/>
  <c r="K9545" i="3" s="1"/>
  <c r="H9545" i="3"/>
  <c r="G9545" i="3"/>
  <c r="M9544" i="3"/>
  <c r="L9544" i="3"/>
  <c r="J9544" i="3"/>
  <c r="K9544" i="3" s="1"/>
  <c r="H9544" i="3"/>
  <c r="G9544" i="3"/>
  <c r="I9544" i="3" s="1"/>
  <c r="M9543" i="3"/>
  <c r="L9543" i="3"/>
  <c r="J9543" i="3"/>
  <c r="K9543" i="3" s="1"/>
  <c r="H9543" i="3"/>
  <c r="G9543" i="3"/>
  <c r="M9542" i="3"/>
  <c r="L9542" i="3"/>
  <c r="K9542" i="3"/>
  <c r="J9542" i="3"/>
  <c r="H9542" i="3"/>
  <c r="G9542" i="3"/>
  <c r="M9541" i="3"/>
  <c r="L9541" i="3"/>
  <c r="J9541" i="3"/>
  <c r="K9541" i="3" s="1"/>
  <c r="H9541" i="3"/>
  <c r="G9541" i="3"/>
  <c r="M9540" i="3"/>
  <c r="L9540" i="3"/>
  <c r="J9540" i="3"/>
  <c r="K9540" i="3" s="1"/>
  <c r="H9540" i="3"/>
  <c r="G9540" i="3"/>
  <c r="M9539" i="3"/>
  <c r="L9539" i="3"/>
  <c r="J9539" i="3"/>
  <c r="K9539" i="3" s="1"/>
  <c r="H9539" i="3"/>
  <c r="G9539" i="3"/>
  <c r="M9538" i="3"/>
  <c r="L9538" i="3"/>
  <c r="J9538" i="3"/>
  <c r="K9538" i="3" s="1"/>
  <c r="H9538" i="3"/>
  <c r="G9538" i="3"/>
  <c r="M9537" i="3"/>
  <c r="L9537" i="3"/>
  <c r="J9537" i="3"/>
  <c r="K9537" i="3" s="1"/>
  <c r="H9537" i="3"/>
  <c r="G9537" i="3"/>
  <c r="I9537" i="3" s="1"/>
  <c r="M9536" i="3"/>
  <c r="L9536" i="3"/>
  <c r="J9536" i="3"/>
  <c r="K9536" i="3" s="1"/>
  <c r="H9536" i="3"/>
  <c r="G9536" i="3"/>
  <c r="M9535" i="3"/>
  <c r="L9535" i="3"/>
  <c r="K9535" i="3"/>
  <c r="J9535" i="3"/>
  <c r="H9535" i="3"/>
  <c r="G9535" i="3"/>
  <c r="M9534" i="3"/>
  <c r="L9534" i="3"/>
  <c r="J9534" i="3"/>
  <c r="K9534" i="3" s="1"/>
  <c r="H9534" i="3"/>
  <c r="G9534" i="3"/>
  <c r="M9533" i="3"/>
  <c r="L9533" i="3"/>
  <c r="J9533" i="3"/>
  <c r="K9533" i="3" s="1"/>
  <c r="H9533" i="3"/>
  <c r="G9533" i="3"/>
  <c r="I9533" i="3" s="1"/>
  <c r="M9532" i="3"/>
  <c r="L9532" i="3"/>
  <c r="J9532" i="3"/>
  <c r="K9532" i="3" s="1"/>
  <c r="H9532" i="3"/>
  <c r="I9532" i="3" s="1"/>
  <c r="G9532" i="3"/>
  <c r="M9531" i="3"/>
  <c r="L9531" i="3"/>
  <c r="K9531" i="3"/>
  <c r="J9531" i="3"/>
  <c r="H9531" i="3"/>
  <c r="G9531" i="3"/>
  <c r="I9531" i="3" s="1"/>
  <c r="M9530" i="3"/>
  <c r="L9530" i="3"/>
  <c r="J9530" i="3"/>
  <c r="K9530" i="3" s="1"/>
  <c r="H9530" i="3"/>
  <c r="G9530" i="3"/>
  <c r="M9577" i="3"/>
  <c r="L9577" i="3"/>
  <c r="J9577" i="3"/>
  <c r="K9577" i="3" s="1"/>
  <c r="H9577" i="3"/>
  <c r="G9577" i="3"/>
  <c r="M9576" i="3"/>
  <c r="L9576" i="3"/>
  <c r="J9576" i="3"/>
  <c r="K9576" i="3" s="1"/>
  <c r="H9576" i="3"/>
  <c r="G9576" i="3"/>
  <c r="I9576" i="3" s="1"/>
  <c r="M9575" i="3"/>
  <c r="L9575" i="3"/>
  <c r="K9575" i="3"/>
  <c r="J9575" i="3"/>
  <c r="H9575" i="3"/>
  <c r="G9575" i="3"/>
  <c r="M9574" i="3"/>
  <c r="L9574" i="3"/>
  <c r="J9574" i="3"/>
  <c r="K9574" i="3" s="1"/>
  <c r="H9574" i="3"/>
  <c r="G9574" i="3"/>
  <c r="M9573" i="3"/>
  <c r="L9573" i="3"/>
  <c r="J9573" i="3"/>
  <c r="K9573" i="3" s="1"/>
  <c r="H9573" i="3"/>
  <c r="I9573" i="3" s="1"/>
  <c r="G9573" i="3"/>
  <c r="M9572" i="3"/>
  <c r="L9572" i="3"/>
  <c r="K9572" i="3"/>
  <c r="J9572" i="3"/>
  <c r="H9572" i="3"/>
  <c r="G9572" i="3"/>
  <c r="I9572" i="3" s="1"/>
  <c r="M9571" i="3"/>
  <c r="L9571" i="3"/>
  <c r="J9571" i="3"/>
  <c r="K9571" i="3" s="1"/>
  <c r="H9571" i="3"/>
  <c r="G9571" i="3"/>
  <c r="I9571" i="3" s="1"/>
  <c r="M9570" i="3"/>
  <c r="L9570" i="3"/>
  <c r="J9570" i="3"/>
  <c r="K9570" i="3" s="1"/>
  <c r="H9570" i="3"/>
  <c r="G9570" i="3"/>
  <c r="M9569" i="3"/>
  <c r="L9569" i="3"/>
  <c r="J9569" i="3"/>
  <c r="K9569" i="3" s="1"/>
  <c r="H9569" i="3"/>
  <c r="G9569" i="3"/>
  <c r="M9568" i="3"/>
  <c r="L9568" i="3"/>
  <c r="J9568" i="3"/>
  <c r="K9568" i="3" s="1"/>
  <c r="H9568" i="3"/>
  <c r="G9568" i="3"/>
  <c r="I9568" i="3" s="1"/>
  <c r="M9567" i="3"/>
  <c r="L9567" i="3"/>
  <c r="K9567" i="3"/>
  <c r="J9567" i="3"/>
  <c r="H9567" i="3"/>
  <c r="G9567" i="3"/>
  <c r="M9566" i="3"/>
  <c r="L9566" i="3"/>
  <c r="J9566" i="3"/>
  <c r="K9566" i="3" s="1"/>
  <c r="H9566" i="3"/>
  <c r="G9566" i="3"/>
  <c r="M9565" i="3"/>
  <c r="L9565" i="3"/>
  <c r="J9565" i="3"/>
  <c r="K9565" i="3" s="1"/>
  <c r="H9565" i="3"/>
  <c r="I9565" i="3" s="1"/>
  <c r="G9565" i="3"/>
  <c r="M9564" i="3"/>
  <c r="L9564" i="3"/>
  <c r="K9564" i="3"/>
  <c r="J9564" i="3"/>
  <c r="H9564" i="3"/>
  <c r="G9564" i="3"/>
  <c r="I9564" i="3" s="1"/>
  <c r="M9563" i="3"/>
  <c r="L9563" i="3"/>
  <c r="J9563" i="3"/>
  <c r="K9563" i="3" s="1"/>
  <c r="H9563" i="3"/>
  <c r="G9563" i="3"/>
  <c r="I9563" i="3" s="1"/>
  <c r="M9562" i="3"/>
  <c r="L9562" i="3"/>
  <c r="J9562" i="3"/>
  <c r="K9562" i="3" s="1"/>
  <c r="H9562" i="3"/>
  <c r="G9562" i="3"/>
  <c r="M9561" i="3"/>
  <c r="L9561" i="3"/>
  <c r="J9561" i="3"/>
  <c r="K9561" i="3" s="1"/>
  <c r="H9561" i="3"/>
  <c r="G9561" i="3"/>
  <c r="M9560" i="3"/>
  <c r="L9560" i="3"/>
  <c r="J9560" i="3"/>
  <c r="K9560" i="3" s="1"/>
  <c r="H9560" i="3"/>
  <c r="G9560" i="3"/>
  <c r="M9559" i="3"/>
  <c r="L9559" i="3"/>
  <c r="K9559" i="3"/>
  <c r="J9559" i="3"/>
  <c r="H9559" i="3"/>
  <c r="G9559" i="3"/>
  <c r="M9558" i="3"/>
  <c r="L9558" i="3"/>
  <c r="J9558" i="3"/>
  <c r="K9558" i="3" s="1"/>
  <c r="H9558" i="3"/>
  <c r="G9558" i="3"/>
  <c r="M9557" i="3"/>
  <c r="L9557" i="3"/>
  <c r="J9557" i="3"/>
  <c r="K9557" i="3" s="1"/>
  <c r="H9557" i="3"/>
  <c r="G9557" i="3"/>
  <c r="M9556" i="3"/>
  <c r="L9556" i="3"/>
  <c r="J9556" i="3"/>
  <c r="K9556" i="3" s="1"/>
  <c r="H9556" i="3"/>
  <c r="G9556" i="3"/>
  <c r="M9555" i="3"/>
  <c r="L9555" i="3"/>
  <c r="J9555" i="3"/>
  <c r="K9555" i="3" s="1"/>
  <c r="H9555" i="3"/>
  <c r="G9555" i="3"/>
  <c r="M9554" i="3"/>
  <c r="L9554" i="3"/>
  <c r="K9554" i="3"/>
  <c r="J9554" i="3"/>
  <c r="H9554" i="3"/>
  <c r="G9554" i="3"/>
  <c r="I9554" i="3" s="1"/>
  <c r="M9601" i="3"/>
  <c r="L9601" i="3"/>
  <c r="J9601" i="3"/>
  <c r="K9601" i="3" s="1"/>
  <c r="H9601" i="3"/>
  <c r="G9601" i="3"/>
  <c r="M9600" i="3"/>
  <c r="L9600" i="3"/>
  <c r="J9600" i="3"/>
  <c r="K9600" i="3" s="1"/>
  <c r="H9600" i="3"/>
  <c r="G9600" i="3"/>
  <c r="M9599" i="3"/>
  <c r="L9599" i="3"/>
  <c r="J9599" i="3"/>
  <c r="K9599" i="3" s="1"/>
  <c r="H9599" i="3"/>
  <c r="G9599" i="3"/>
  <c r="M9598" i="3"/>
  <c r="L9598" i="3"/>
  <c r="J9598" i="3"/>
  <c r="K9598" i="3" s="1"/>
  <c r="H9598" i="3"/>
  <c r="G9598" i="3"/>
  <c r="I9598" i="3" s="1"/>
  <c r="M9597" i="3"/>
  <c r="L9597" i="3"/>
  <c r="J9597" i="3"/>
  <c r="K9597" i="3" s="1"/>
  <c r="H9597" i="3"/>
  <c r="I9597" i="3" s="1"/>
  <c r="G9597" i="3"/>
  <c r="M9596" i="3"/>
  <c r="L9596" i="3"/>
  <c r="K9596" i="3"/>
  <c r="J9596" i="3"/>
  <c r="H9596" i="3"/>
  <c r="G9596" i="3"/>
  <c r="M9595" i="3"/>
  <c r="L9595" i="3"/>
  <c r="J9595" i="3"/>
  <c r="K9595" i="3" s="1"/>
  <c r="H9595" i="3"/>
  <c r="G9595" i="3"/>
  <c r="M9594" i="3"/>
  <c r="L9594" i="3"/>
  <c r="J9594" i="3"/>
  <c r="K9594" i="3" s="1"/>
  <c r="H9594" i="3"/>
  <c r="G9594" i="3"/>
  <c r="M9593" i="3"/>
  <c r="L9593" i="3"/>
  <c r="J9593" i="3"/>
  <c r="K9593" i="3" s="1"/>
  <c r="H9593" i="3"/>
  <c r="I9593" i="3" s="1"/>
  <c r="G9593" i="3"/>
  <c r="M9592" i="3"/>
  <c r="L9592" i="3"/>
  <c r="K9592" i="3"/>
  <c r="J9592" i="3"/>
  <c r="H9592" i="3"/>
  <c r="G9592" i="3"/>
  <c r="M9591" i="3"/>
  <c r="L9591" i="3"/>
  <c r="J9591" i="3"/>
  <c r="K9591" i="3" s="1"/>
  <c r="H9591" i="3"/>
  <c r="G9591" i="3"/>
  <c r="M9590" i="3"/>
  <c r="L9590" i="3"/>
  <c r="J9590" i="3"/>
  <c r="K9590" i="3" s="1"/>
  <c r="H9590" i="3"/>
  <c r="G9590" i="3"/>
  <c r="I9590" i="3" s="1"/>
  <c r="M9589" i="3"/>
  <c r="L9589" i="3"/>
  <c r="J9589" i="3"/>
  <c r="K9589" i="3" s="1"/>
  <c r="H9589" i="3"/>
  <c r="I9589" i="3" s="1"/>
  <c r="G9589" i="3"/>
  <c r="M9588" i="3"/>
  <c r="L9588" i="3"/>
  <c r="K9588" i="3"/>
  <c r="J9588" i="3"/>
  <c r="H9588" i="3"/>
  <c r="G9588" i="3"/>
  <c r="M9587" i="3"/>
  <c r="L9587" i="3"/>
  <c r="J9587" i="3"/>
  <c r="K9587" i="3" s="1"/>
  <c r="H9587" i="3"/>
  <c r="G9587" i="3"/>
  <c r="M9586" i="3"/>
  <c r="L9586" i="3"/>
  <c r="J9586" i="3"/>
  <c r="K9586" i="3" s="1"/>
  <c r="H9586" i="3"/>
  <c r="G9586" i="3"/>
  <c r="M9585" i="3"/>
  <c r="L9585" i="3"/>
  <c r="J9585" i="3"/>
  <c r="K9585" i="3" s="1"/>
  <c r="H9585" i="3"/>
  <c r="I9585" i="3" s="1"/>
  <c r="G9585" i="3"/>
  <c r="M9584" i="3"/>
  <c r="L9584" i="3"/>
  <c r="K9584" i="3"/>
  <c r="J9584" i="3"/>
  <c r="H9584" i="3"/>
  <c r="G9584" i="3"/>
  <c r="M9583" i="3"/>
  <c r="L9583" i="3"/>
  <c r="J9583" i="3"/>
  <c r="K9583" i="3" s="1"/>
  <c r="H9583" i="3"/>
  <c r="G9583" i="3"/>
  <c r="M9582" i="3"/>
  <c r="L9582" i="3"/>
  <c r="J9582" i="3"/>
  <c r="K9582" i="3" s="1"/>
  <c r="H9582" i="3"/>
  <c r="G9582" i="3"/>
  <c r="I9582" i="3" s="1"/>
  <c r="M9581" i="3"/>
  <c r="L9581" i="3"/>
  <c r="J9581" i="3"/>
  <c r="K9581" i="3" s="1"/>
  <c r="H9581" i="3"/>
  <c r="G9581" i="3"/>
  <c r="M9580" i="3"/>
  <c r="L9580" i="3"/>
  <c r="J9580" i="3"/>
  <c r="K9580" i="3" s="1"/>
  <c r="H9580" i="3"/>
  <c r="G9580" i="3"/>
  <c r="M9579" i="3"/>
  <c r="L9579" i="3"/>
  <c r="J9579" i="3"/>
  <c r="K9579" i="3" s="1"/>
  <c r="H9579" i="3"/>
  <c r="G9579" i="3"/>
  <c r="M9578" i="3"/>
  <c r="L9578" i="3"/>
  <c r="J9578" i="3"/>
  <c r="K9578" i="3" s="1"/>
  <c r="H9578" i="3"/>
  <c r="G9578" i="3"/>
  <c r="I9578" i="3" s="1"/>
  <c r="M9625" i="3"/>
  <c r="L9625" i="3"/>
  <c r="J9625" i="3"/>
  <c r="K9625" i="3" s="1"/>
  <c r="H9625" i="3"/>
  <c r="I9625" i="3" s="1"/>
  <c r="G9625" i="3"/>
  <c r="M9624" i="3"/>
  <c r="L9624" i="3"/>
  <c r="K9624" i="3"/>
  <c r="J9624" i="3"/>
  <c r="H9624" i="3"/>
  <c r="G9624" i="3"/>
  <c r="I9624" i="3" s="1"/>
  <c r="M9623" i="3"/>
  <c r="L9623" i="3"/>
  <c r="J9623" i="3"/>
  <c r="K9623" i="3" s="1"/>
  <c r="H9623" i="3"/>
  <c r="G9623" i="3"/>
  <c r="M9622" i="3"/>
  <c r="L9622" i="3"/>
  <c r="J9622" i="3"/>
  <c r="K9622" i="3" s="1"/>
  <c r="H9622" i="3"/>
  <c r="G9622" i="3"/>
  <c r="M9621" i="3"/>
  <c r="L9621" i="3"/>
  <c r="J9621" i="3"/>
  <c r="K9621" i="3" s="1"/>
  <c r="H9621" i="3"/>
  <c r="G9621" i="3"/>
  <c r="M9620" i="3"/>
  <c r="L9620" i="3"/>
  <c r="J9620" i="3"/>
  <c r="K9620" i="3" s="1"/>
  <c r="H9620" i="3"/>
  <c r="G9620" i="3"/>
  <c r="I9620" i="3" s="1"/>
  <c r="M9619" i="3"/>
  <c r="L9619" i="3"/>
  <c r="J9619" i="3"/>
  <c r="K9619" i="3" s="1"/>
  <c r="H9619" i="3"/>
  <c r="G9619" i="3"/>
  <c r="M9618" i="3"/>
  <c r="L9618" i="3"/>
  <c r="J9618" i="3"/>
  <c r="K9618" i="3" s="1"/>
  <c r="H9618" i="3"/>
  <c r="G9618" i="3"/>
  <c r="M9617" i="3"/>
  <c r="L9617" i="3"/>
  <c r="J9617" i="3"/>
  <c r="K9617" i="3" s="1"/>
  <c r="H9617" i="3"/>
  <c r="G9617" i="3"/>
  <c r="M9616" i="3"/>
  <c r="L9616" i="3"/>
  <c r="J9616" i="3"/>
  <c r="K9616" i="3" s="1"/>
  <c r="H9616" i="3"/>
  <c r="G9616" i="3"/>
  <c r="I9616" i="3" s="1"/>
  <c r="M9615" i="3"/>
  <c r="L9615" i="3"/>
  <c r="J9615" i="3"/>
  <c r="K9615" i="3" s="1"/>
  <c r="H9615" i="3"/>
  <c r="G9615" i="3"/>
  <c r="M9614" i="3"/>
  <c r="L9614" i="3"/>
  <c r="J9614" i="3"/>
  <c r="K9614" i="3" s="1"/>
  <c r="H9614" i="3"/>
  <c r="G9614" i="3"/>
  <c r="M9613" i="3"/>
  <c r="L9613" i="3"/>
  <c r="J9613" i="3"/>
  <c r="K9613" i="3" s="1"/>
  <c r="H9613" i="3"/>
  <c r="I9613" i="3" s="1"/>
  <c r="G9613" i="3"/>
  <c r="M9612" i="3"/>
  <c r="L9612" i="3"/>
  <c r="K9612" i="3"/>
  <c r="J9612" i="3"/>
  <c r="H9612" i="3"/>
  <c r="G9612" i="3"/>
  <c r="M9611" i="3"/>
  <c r="L9611" i="3"/>
  <c r="J9611" i="3"/>
  <c r="K9611" i="3" s="1"/>
  <c r="H9611" i="3"/>
  <c r="G9611" i="3"/>
  <c r="M9610" i="3"/>
  <c r="L9610" i="3"/>
  <c r="J9610" i="3"/>
  <c r="K9610" i="3" s="1"/>
  <c r="H9610" i="3"/>
  <c r="G9610" i="3"/>
  <c r="I9610" i="3" s="1"/>
  <c r="M9609" i="3"/>
  <c r="L9609" i="3"/>
  <c r="J9609" i="3"/>
  <c r="K9609" i="3" s="1"/>
  <c r="H9609" i="3"/>
  <c r="I9609" i="3" s="1"/>
  <c r="G9609" i="3"/>
  <c r="M9608" i="3"/>
  <c r="L9608" i="3"/>
  <c r="K9608" i="3"/>
  <c r="J9608" i="3"/>
  <c r="H9608" i="3"/>
  <c r="G9608" i="3"/>
  <c r="M9607" i="3"/>
  <c r="L9607" i="3"/>
  <c r="J9607" i="3"/>
  <c r="K9607" i="3" s="1"/>
  <c r="H9607" i="3"/>
  <c r="G9607" i="3"/>
  <c r="M9606" i="3"/>
  <c r="L9606" i="3"/>
  <c r="J9606" i="3"/>
  <c r="K9606" i="3" s="1"/>
  <c r="H9606" i="3"/>
  <c r="G9606" i="3"/>
  <c r="M9605" i="3"/>
  <c r="L9605" i="3"/>
  <c r="J9605" i="3"/>
  <c r="K9605" i="3" s="1"/>
  <c r="H9605" i="3"/>
  <c r="G9605" i="3"/>
  <c r="M9604" i="3"/>
  <c r="L9604" i="3"/>
  <c r="J9604" i="3"/>
  <c r="K9604" i="3" s="1"/>
  <c r="H9604" i="3"/>
  <c r="G9604" i="3"/>
  <c r="I9604" i="3" s="1"/>
  <c r="M9603" i="3"/>
  <c r="L9603" i="3"/>
  <c r="J9603" i="3"/>
  <c r="K9603" i="3" s="1"/>
  <c r="H9603" i="3"/>
  <c r="G9603" i="3"/>
  <c r="I9603" i="3" s="1"/>
  <c r="M9602" i="3"/>
  <c r="L9602" i="3"/>
  <c r="J9602" i="3"/>
  <c r="K9602" i="3" s="1"/>
  <c r="H9602" i="3"/>
  <c r="G9602" i="3"/>
  <c r="M9649" i="3"/>
  <c r="L9649" i="3"/>
  <c r="J9649" i="3"/>
  <c r="K9649" i="3" s="1"/>
  <c r="H9649" i="3"/>
  <c r="G9649" i="3"/>
  <c r="M9648" i="3"/>
  <c r="L9648" i="3"/>
  <c r="J9648" i="3"/>
  <c r="K9648" i="3" s="1"/>
  <c r="H9648" i="3"/>
  <c r="I9648" i="3" s="1"/>
  <c r="G9648" i="3"/>
  <c r="M9647" i="3"/>
  <c r="L9647" i="3"/>
  <c r="J9647" i="3"/>
  <c r="K9647" i="3" s="1"/>
  <c r="H9647" i="3"/>
  <c r="G9647" i="3"/>
  <c r="M9646" i="3"/>
  <c r="L9646" i="3"/>
  <c r="J9646" i="3"/>
  <c r="K9646" i="3" s="1"/>
  <c r="H9646" i="3"/>
  <c r="G9646" i="3"/>
  <c r="M9645" i="3"/>
  <c r="L9645" i="3"/>
  <c r="J9645" i="3"/>
  <c r="K9645" i="3" s="1"/>
  <c r="H9645" i="3"/>
  <c r="I9645" i="3" s="1"/>
  <c r="G9645" i="3"/>
  <c r="M9644" i="3"/>
  <c r="L9644" i="3"/>
  <c r="K9644" i="3"/>
  <c r="J9644" i="3"/>
  <c r="H9644" i="3"/>
  <c r="G9644" i="3"/>
  <c r="M9643" i="3"/>
  <c r="L9643" i="3"/>
  <c r="J9643" i="3"/>
  <c r="K9643" i="3" s="1"/>
  <c r="H9643" i="3"/>
  <c r="G9643" i="3"/>
  <c r="M9642" i="3"/>
  <c r="L9642" i="3"/>
  <c r="J9642" i="3"/>
  <c r="K9642" i="3" s="1"/>
  <c r="H9642" i="3"/>
  <c r="G9642" i="3"/>
  <c r="I9642" i="3" s="1"/>
  <c r="M9641" i="3"/>
  <c r="L9641" i="3"/>
  <c r="J9641" i="3"/>
  <c r="K9641" i="3" s="1"/>
  <c r="H9641" i="3"/>
  <c r="I9641" i="3" s="1"/>
  <c r="G9641" i="3"/>
  <c r="M9640" i="3"/>
  <c r="L9640" i="3"/>
  <c r="K9640" i="3"/>
  <c r="J9640" i="3"/>
  <c r="H9640" i="3"/>
  <c r="G9640" i="3"/>
  <c r="M9639" i="3"/>
  <c r="L9639" i="3"/>
  <c r="J9639" i="3"/>
  <c r="K9639" i="3" s="1"/>
  <c r="H9639" i="3"/>
  <c r="G9639" i="3"/>
  <c r="M9638" i="3"/>
  <c r="L9638" i="3"/>
  <c r="J9638" i="3"/>
  <c r="K9638" i="3" s="1"/>
  <c r="H9638" i="3"/>
  <c r="G9638" i="3"/>
  <c r="M9637" i="3"/>
  <c r="L9637" i="3"/>
  <c r="J9637" i="3"/>
  <c r="K9637" i="3" s="1"/>
  <c r="H9637" i="3"/>
  <c r="G9637" i="3"/>
  <c r="M9636" i="3"/>
  <c r="L9636" i="3"/>
  <c r="J9636" i="3"/>
  <c r="K9636" i="3" s="1"/>
  <c r="H9636" i="3"/>
  <c r="G9636" i="3"/>
  <c r="I9636" i="3" s="1"/>
  <c r="M9635" i="3"/>
  <c r="L9635" i="3"/>
  <c r="J9635" i="3"/>
  <c r="K9635" i="3" s="1"/>
  <c r="H9635" i="3"/>
  <c r="G9635" i="3"/>
  <c r="I9635" i="3" s="1"/>
  <c r="M9634" i="3"/>
  <c r="L9634" i="3"/>
  <c r="J9634" i="3"/>
  <c r="K9634" i="3" s="1"/>
  <c r="H9634" i="3"/>
  <c r="G9634" i="3"/>
  <c r="M9633" i="3"/>
  <c r="L9633" i="3"/>
  <c r="J9633" i="3"/>
  <c r="K9633" i="3" s="1"/>
  <c r="H9633" i="3"/>
  <c r="G9633" i="3"/>
  <c r="M9632" i="3"/>
  <c r="L9632" i="3"/>
  <c r="J9632" i="3"/>
  <c r="K9632" i="3" s="1"/>
  <c r="H9632" i="3"/>
  <c r="I9632" i="3" s="1"/>
  <c r="G9632" i="3"/>
  <c r="M9631" i="3"/>
  <c r="L9631" i="3"/>
  <c r="J9631" i="3"/>
  <c r="K9631" i="3" s="1"/>
  <c r="H9631" i="3"/>
  <c r="G9631" i="3"/>
  <c r="M9630" i="3"/>
  <c r="L9630" i="3"/>
  <c r="J9630" i="3"/>
  <c r="K9630" i="3" s="1"/>
  <c r="H9630" i="3"/>
  <c r="G9630" i="3"/>
  <c r="M9629" i="3"/>
  <c r="L9629" i="3"/>
  <c r="J9629" i="3"/>
  <c r="K9629" i="3" s="1"/>
  <c r="H9629" i="3"/>
  <c r="I9629" i="3" s="1"/>
  <c r="G9629" i="3"/>
  <c r="M9628" i="3"/>
  <c r="L9628" i="3"/>
  <c r="K9628" i="3"/>
  <c r="J9628" i="3"/>
  <c r="H9628" i="3"/>
  <c r="G9628" i="3"/>
  <c r="I9628" i="3" s="1"/>
  <c r="M9627" i="3"/>
  <c r="L9627" i="3"/>
  <c r="J9627" i="3"/>
  <c r="K9627" i="3" s="1"/>
  <c r="H9627" i="3"/>
  <c r="G9627" i="3"/>
  <c r="M9626" i="3"/>
  <c r="L9626" i="3"/>
  <c r="J9626" i="3"/>
  <c r="K9626" i="3" s="1"/>
  <c r="H9626" i="3"/>
  <c r="G9626" i="3"/>
  <c r="I9626" i="3" s="1"/>
  <c r="M9673" i="3"/>
  <c r="L9673" i="3"/>
  <c r="J9673" i="3"/>
  <c r="K9673" i="3" s="1"/>
  <c r="H9673" i="3"/>
  <c r="I9673" i="3" s="1"/>
  <c r="G9673" i="3"/>
  <c r="M9672" i="3"/>
  <c r="L9672" i="3"/>
  <c r="J9672" i="3"/>
  <c r="K9672" i="3" s="1"/>
  <c r="H9672" i="3"/>
  <c r="G9672" i="3"/>
  <c r="I9672" i="3" s="1"/>
  <c r="M9671" i="3"/>
  <c r="L9671" i="3"/>
  <c r="J9671" i="3"/>
  <c r="K9671" i="3" s="1"/>
  <c r="H9671" i="3"/>
  <c r="G9671" i="3"/>
  <c r="M9670" i="3"/>
  <c r="L9670" i="3"/>
  <c r="K9670" i="3"/>
  <c r="J9670" i="3"/>
  <c r="H9670" i="3"/>
  <c r="G9670" i="3"/>
  <c r="M9669" i="3"/>
  <c r="L9669" i="3"/>
  <c r="J9669" i="3"/>
  <c r="K9669" i="3" s="1"/>
  <c r="H9669" i="3"/>
  <c r="G9669" i="3"/>
  <c r="M9668" i="3"/>
  <c r="L9668" i="3"/>
  <c r="J9668" i="3"/>
  <c r="K9668" i="3" s="1"/>
  <c r="I9668" i="3"/>
  <c r="H9668" i="3"/>
  <c r="G9668" i="3"/>
  <c r="M9667" i="3"/>
  <c r="L9667" i="3"/>
  <c r="J9667" i="3"/>
  <c r="K9667" i="3" s="1"/>
  <c r="H9667" i="3"/>
  <c r="G9667" i="3"/>
  <c r="I9667" i="3" s="1"/>
  <c r="M9666" i="3"/>
  <c r="L9666" i="3"/>
  <c r="J9666" i="3"/>
  <c r="K9666" i="3" s="1"/>
  <c r="H9666" i="3"/>
  <c r="G9666" i="3"/>
  <c r="M9665" i="3"/>
  <c r="L9665" i="3"/>
  <c r="J9665" i="3"/>
  <c r="K9665" i="3" s="1"/>
  <c r="H9665" i="3"/>
  <c r="I9665" i="3" s="1"/>
  <c r="G9665" i="3"/>
  <c r="M9664" i="3"/>
  <c r="L9664" i="3"/>
  <c r="K9664" i="3"/>
  <c r="J9664" i="3"/>
  <c r="H9664" i="3"/>
  <c r="G9664" i="3"/>
  <c r="I9664" i="3" s="1"/>
  <c r="M9663" i="3"/>
  <c r="L9663" i="3"/>
  <c r="J9663" i="3"/>
  <c r="K9663" i="3" s="1"/>
  <c r="H9663" i="3"/>
  <c r="G9663" i="3"/>
  <c r="M9662" i="3"/>
  <c r="L9662" i="3"/>
  <c r="J9662" i="3"/>
  <c r="K9662" i="3" s="1"/>
  <c r="H9662" i="3"/>
  <c r="G9662" i="3"/>
  <c r="M9661" i="3"/>
  <c r="L9661" i="3"/>
  <c r="J9661" i="3"/>
  <c r="K9661" i="3" s="1"/>
  <c r="H9661" i="3"/>
  <c r="G9661" i="3"/>
  <c r="M9660" i="3"/>
  <c r="L9660" i="3"/>
  <c r="J9660" i="3"/>
  <c r="K9660" i="3" s="1"/>
  <c r="H9660" i="3"/>
  <c r="G9660" i="3"/>
  <c r="M9659" i="3"/>
  <c r="L9659" i="3"/>
  <c r="J9659" i="3"/>
  <c r="K9659" i="3" s="1"/>
  <c r="H9659" i="3"/>
  <c r="G9659" i="3"/>
  <c r="M9658" i="3"/>
  <c r="L9658" i="3"/>
  <c r="J9658" i="3"/>
  <c r="K9658" i="3" s="1"/>
  <c r="H9658" i="3"/>
  <c r="G9658" i="3"/>
  <c r="I9658" i="3" s="1"/>
  <c r="M9657" i="3"/>
  <c r="L9657" i="3"/>
  <c r="J9657" i="3"/>
  <c r="K9657" i="3" s="1"/>
  <c r="H9657" i="3"/>
  <c r="I9657" i="3" s="1"/>
  <c r="G9657" i="3"/>
  <c r="M9656" i="3"/>
  <c r="L9656" i="3"/>
  <c r="K9656" i="3"/>
  <c r="J9656" i="3"/>
  <c r="H9656" i="3"/>
  <c r="G9656" i="3"/>
  <c r="I9656" i="3" s="1"/>
  <c r="M9655" i="3"/>
  <c r="L9655" i="3"/>
  <c r="J9655" i="3"/>
  <c r="K9655" i="3" s="1"/>
  <c r="H9655" i="3"/>
  <c r="G9655" i="3"/>
  <c r="M9654" i="3"/>
  <c r="L9654" i="3"/>
  <c r="J9654" i="3"/>
  <c r="K9654" i="3" s="1"/>
  <c r="H9654" i="3"/>
  <c r="G9654" i="3"/>
  <c r="M9653" i="3"/>
  <c r="L9653" i="3"/>
  <c r="J9653" i="3"/>
  <c r="K9653" i="3" s="1"/>
  <c r="H9653" i="3"/>
  <c r="G9653" i="3"/>
  <c r="M9652" i="3"/>
  <c r="L9652" i="3"/>
  <c r="J9652" i="3"/>
  <c r="K9652" i="3" s="1"/>
  <c r="H9652" i="3"/>
  <c r="I9652" i="3" s="1"/>
  <c r="G9652" i="3"/>
  <c r="M9651" i="3"/>
  <c r="L9651" i="3"/>
  <c r="J9651" i="3"/>
  <c r="K9651" i="3" s="1"/>
  <c r="H9651" i="3"/>
  <c r="G9651" i="3"/>
  <c r="I9651" i="3" s="1"/>
  <c r="M9650" i="3"/>
  <c r="L9650" i="3"/>
  <c r="J9650" i="3"/>
  <c r="K9650" i="3" s="1"/>
  <c r="H9650" i="3"/>
  <c r="G9650" i="3"/>
  <c r="M9697" i="3"/>
  <c r="L9697" i="3"/>
  <c r="J9697" i="3"/>
  <c r="K9697" i="3" s="1"/>
  <c r="H9697" i="3"/>
  <c r="G9697" i="3"/>
  <c r="M9696" i="3"/>
  <c r="L9696" i="3"/>
  <c r="J9696" i="3"/>
  <c r="K9696" i="3" s="1"/>
  <c r="H9696" i="3"/>
  <c r="G9696" i="3"/>
  <c r="I9696" i="3" s="1"/>
  <c r="M9695" i="3"/>
  <c r="L9695" i="3"/>
  <c r="J9695" i="3"/>
  <c r="K9695" i="3" s="1"/>
  <c r="H9695" i="3"/>
  <c r="G9695" i="3"/>
  <c r="M9694" i="3"/>
  <c r="L9694" i="3"/>
  <c r="J9694" i="3"/>
  <c r="K9694" i="3" s="1"/>
  <c r="H9694" i="3"/>
  <c r="G9694" i="3"/>
  <c r="M9693" i="3"/>
  <c r="L9693" i="3"/>
  <c r="J9693" i="3"/>
  <c r="K9693" i="3" s="1"/>
  <c r="H9693" i="3"/>
  <c r="G9693" i="3"/>
  <c r="M9692" i="3"/>
  <c r="L9692" i="3"/>
  <c r="J9692" i="3"/>
  <c r="K9692" i="3" s="1"/>
  <c r="H9692" i="3"/>
  <c r="G9692" i="3"/>
  <c r="M9691" i="3"/>
  <c r="L9691" i="3"/>
  <c r="J9691" i="3"/>
  <c r="K9691" i="3" s="1"/>
  <c r="H9691" i="3"/>
  <c r="G9691" i="3"/>
  <c r="M9690" i="3"/>
  <c r="L9690" i="3"/>
  <c r="K9690" i="3"/>
  <c r="J9690" i="3"/>
  <c r="H9690" i="3"/>
  <c r="G9690" i="3"/>
  <c r="I9690" i="3" s="1"/>
  <c r="M9689" i="3"/>
  <c r="L9689" i="3"/>
  <c r="J9689" i="3"/>
  <c r="K9689" i="3" s="1"/>
  <c r="H9689" i="3"/>
  <c r="G9689" i="3"/>
  <c r="M9688" i="3"/>
  <c r="L9688" i="3"/>
  <c r="K9688" i="3"/>
  <c r="J9688" i="3"/>
  <c r="H9688" i="3"/>
  <c r="G9688" i="3"/>
  <c r="I9688" i="3" s="1"/>
  <c r="M9687" i="3"/>
  <c r="L9687" i="3"/>
  <c r="J9687" i="3"/>
  <c r="K9687" i="3" s="1"/>
  <c r="H9687" i="3"/>
  <c r="G9687" i="3"/>
  <c r="M9686" i="3"/>
  <c r="L9686" i="3"/>
  <c r="J9686" i="3"/>
  <c r="K9686" i="3" s="1"/>
  <c r="H9686" i="3"/>
  <c r="G9686" i="3"/>
  <c r="M9685" i="3"/>
  <c r="L9685" i="3"/>
  <c r="J9685" i="3"/>
  <c r="K9685" i="3" s="1"/>
  <c r="H9685" i="3"/>
  <c r="G9685" i="3"/>
  <c r="I9685" i="3" s="1"/>
  <c r="M9684" i="3"/>
  <c r="L9684" i="3"/>
  <c r="J9684" i="3"/>
  <c r="K9684" i="3" s="1"/>
  <c r="H9684" i="3"/>
  <c r="I9684" i="3" s="1"/>
  <c r="G9684" i="3"/>
  <c r="M9683" i="3"/>
  <c r="L9683" i="3"/>
  <c r="J9683" i="3"/>
  <c r="K9683" i="3" s="1"/>
  <c r="H9683" i="3"/>
  <c r="G9683" i="3"/>
  <c r="M9682" i="3"/>
  <c r="L9682" i="3"/>
  <c r="K9682" i="3"/>
  <c r="J9682" i="3"/>
  <c r="H9682" i="3"/>
  <c r="G9682" i="3"/>
  <c r="M9681" i="3"/>
  <c r="L9681" i="3"/>
  <c r="J9681" i="3"/>
  <c r="K9681" i="3" s="1"/>
  <c r="H9681" i="3"/>
  <c r="G9681" i="3"/>
  <c r="M9680" i="3"/>
  <c r="L9680" i="3"/>
  <c r="J9680" i="3"/>
  <c r="K9680" i="3" s="1"/>
  <c r="H9680" i="3"/>
  <c r="G9680" i="3"/>
  <c r="M9679" i="3"/>
  <c r="L9679" i="3"/>
  <c r="J9679" i="3"/>
  <c r="K9679" i="3" s="1"/>
  <c r="H9679" i="3"/>
  <c r="G9679" i="3"/>
  <c r="M9678" i="3"/>
  <c r="L9678" i="3"/>
  <c r="J9678" i="3"/>
  <c r="K9678" i="3" s="1"/>
  <c r="H9678" i="3"/>
  <c r="G9678" i="3"/>
  <c r="M9677" i="3"/>
  <c r="L9677" i="3"/>
  <c r="J9677" i="3"/>
  <c r="K9677" i="3" s="1"/>
  <c r="H9677" i="3"/>
  <c r="G9677" i="3"/>
  <c r="M9676" i="3"/>
  <c r="L9676" i="3"/>
  <c r="J9676" i="3"/>
  <c r="K9676" i="3" s="1"/>
  <c r="H9676" i="3"/>
  <c r="G9676" i="3"/>
  <c r="I9676" i="3" s="1"/>
  <c r="M9675" i="3"/>
  <c r="L9675" i="3"/>
  <c r="J9675" i="3"/>
  <c r="K9675" i="3" s="1"/>
  <c r="H9675" i="3"/>
  <c r="I9675" i="3" s="1"/>
  <c r="G9675" i="3"/>
  <c r="M9674" i="3"/>
  <c r="L9674" i="3"/>
  <c r="K9674" i="3"/>
  <c r="J9674" i="3"/>
  <c r="H9674" i="3"/>
  <c r="G9674" i="3"/>
  <c r="M9721" i="3"/>
  <c r="L9721" i="3"/>
  <c r="J9721" i="3"/>
  <c r="K9721" i="3" s="1"/>
  <c r="H9721" i="3"/>
  <c r="G9721" i="3"/>
  <c r="M9720" i="3"/>
  <c r="L9720" i="3"/>
  <c r="J9720" i="3"/>
  <c r="K9720" i="3" s="1"/>
  <c r="H9720" i="3"/>
  <c r="G9720" i="3"/>
  <c r="M9719" i="3"/>
  <c r="L9719" i="3"/>
  <c r="J9719" i="3"/>
  <c r="K9719" i="3" s="1"/>
  <c r="H9719" i="3"/>
  <c r="G9719" i="3"/>
  <c r="M9718" i="3"/>
  <c r="L9718" i="3"/>
  <c r="J9718" i="3"/>
  <c r="K9718" i="3" s="1"/>
  <c r="H9718" i="3"/>
  <c r="G9718" i="3"/>
  <c r="M9717" i="3"/>
  <c r="L9717" i="3"/>
  <c r="J9717" i="3"/>
  <c r="K9717" i="3" s="1"/>
  <c r="H9717" i="3"/>
  <c r="I9717" i="3" s="1"/>
  <c r="G9717" i="3"/>
  <c r="M9716" i="3"/>
  <c r="L9716" i="3"/>
  <c r="K9716" i="3"/>
  <c r="J9716" i="3"/>
  <c r="H9716" i="3"/>
  <c r="G9716" i="3"/>
  <c r="I9716" i="3" s="1"/>
  <c r="M9715" i="3"/>
  <c r="L9715" i="3"/>
  <c r="J9715" i="3"/>
  <c r="K9715" i="3" s="1"/>
  <c r="H9715" i="3"/>
  <c r="G9715" i="3"/>
  <c r="M9714" i="3"/>
  <c r="L9714" i="3"/>
  <c r="K9714" i="3"/>
  <c r="J9714" i="3"/>
  <c r="H9714" i="3"/>
  <c r="G9714" i="3"/>
  <c r="M9713" i="3"/>
  <c r="L9713" i="3"/>
  <c r="J9713" i="3"/>
  <c r="K9713" i="3" s="1"/>
  <c r="H9713" i="3"/>
  <c r="G9713" i="3"/>
  <c r="M9712" i="3"/>
  <c r="L9712" i="3"/>
  <c r="J9712" i="3"/>
  <c r="K9712" i="3" s="1"/>
  <c r="I9712" i="3"/>
  <c r="H9712" i="3"/>
  <c r="G9712" i="3"/>
  <c r="M9711" i="3"/>
  <c r="L9711" i="3"/>
  <c r="J9711" i="3"/>
  <c r="K9711" i="3" s="1"/>
  <c r="H9711" i="3"/>
  <c r="G9711" i="3"/>
  <c r="I9711" i="3" s="1"/>
  <c r="M9710" i="3"/>
  <c r="L9710" i="3"/>
  <c r="J9710" i="3"/>
  <c r="K9710" i="3" s="1"/>
  <c r="H9710" i="3"/>
  <c r="G9710" i="3"/>
  <c r="M9709" i="3"/>
  <c r="L9709" i="3"/>
  <c r="J9709" i="3"/>
  <c r="K9709" i="3" s="1"/>
  <c r="H9709" i="3"/>
  <c r="I9709" i="3" s="1"/>
  <c r="G9709" i="3"/>
  <c r="M9708" i="3"/>
  <c r="L9708" i="3"/>
  <c r="K9708" i="3"/>
  <c r="J9708" i="3"/>
  <c r="H9708" i="3"/>
  <c r="G9708" i="3"/>
  <c r="I9708" i="3" s="1"/>
  <c r="M9707" i="3"/>
  <c r="L9707" i="3"/>
  <c r="J9707" i="3"/>
  <c r="K9707" i="3" s="1"/>
  <c r="H9707" i="3"/>
  <c r="G9707" i="3"/>
  <c r="M9706" i="3"/>
  <c r="L9706" i="3"/>
  <c r="K9706" i="3"/>
  <c r="J9706" i="3"/>
  <c r="H9706" i="3"/>
  <c r="G9706" i="3"/>
  <c r="M9705" i="3"/>
  <c r="L9705" i="3"/>
  <c r="J9705" i="3"/>
  <c r="K9705" i="3" s="1"/>
  <c r="H9705" i="3"/>
  <c r="G9705" i="3"/>
  <c r="M9704" i="3"/>
  <c r="L9704" i="3"/>
  <c r="J9704" i="3"/>
  <c r="K9704" i="3" s="1"/>
  <c r="H9704" i="3"/>
  <c r="G9704" i="3"/>
  <c r="M9703" i="3"/>
  <c r="L9703" i="3"/>
  <c r="J9703" i="3"/>
  <c r="K9703" i="3" s="1"/>
  <c r="H9703" i="3"/>
  <c r="G9703" i="3"/>
  <c r="M9702" i="3"/>
  <c r="L9702" i="3"/>
  <c r="J9702" i="3"/>
  <c r="K9702" i="3" s="1"/>
  <c r="H9702" i="3"/>
  <c r="G9702" i="3"/>
  <c r="M9701" i="3"/>
  <c r="L9701" i="3"/>
  <c r="J9701" i="3"/>
  <c r="K9701" i="3" s="1"/>
  <c r="H9701" i="3"/>
  <c r="I9701" i="3" s="1"/>
  <c r="G9701" i="3"/>
  <c r="M9700" i="3"/>
  <c r="L9700" i="3"/>
  <c r="K9700" i="3"/>
  <c r="J9700" i="3"/>
  <c r="H9700" i="3"/>
  <c r="G9700" i="3"/>
  <c r="I9700" i="3" s="1"/>
  <c r="M9699" i="3"/>
  <c r="L9699" i="3"/>
  <c r="J9699" i="3"/>
  <c r="K9699" i="3" s="1"/>
  <c r="H9699" i="3"/>
  <c r="G9699" i="3"/>
  <c r="M9698" i="3"/>
  <c r="L9698" i="3"/>
  <c r="K9698" i="3"/>
  <c r="J9698" i="3"/>
  <c r="H9698" i="3"/>
  <c r="G9698" i="3"/>
  <c r="M9745" i="3"/>
  <c r="L9745" i="3"/>
  <c r="J9745" i="3"/>
  <c r="K9745" i="3" s="1"/>
  <c r="H9745" i="3"/>
  <c r="G9745" i="3"/>
  <c r="M9744" i="3"/>
  <c r="L9744" i="3"/>
  <c r="J9744" i="3"/>
  <c r="K9744" i="3" s="1"/>
  <c r="I9744" i="3"/>
  <c r="H9744" i="3"/>
  <c r="G9744" i="3"/>
  <c r="M9743" i="3"/>
  <c r="L9743" i="3"/>
  <c r="J9743" i="3"/>
  <c r="K9743" i="3" s="1"/>
  <c r="H9743" i="3"/>
  <c r="G9743" i="3"/>
  <c r="I9743" i="3" s="1"/>
  <c r="M9742" i="3"/>
  <c r="L9742" i="3"/>
  <c r="J9742" i="3"/>
  <c r="K9742" i="3" s="1"/>
  <c r="H9742" i="3"/>
  <c r="G9742" i="3"/>
  <c r="M9741" i="3"/>
  <c r="L9741" i="3"/>
  <c r="J9741" i="3"/>
  <c r="K9741" i="3" s="1"/>
  <c r="H9741" i="3"/>
  <c r="I9741" i="3" s="1"/>
  <c r="G9741" i="3"/>
  <c r="M9740" i="3"/>
  <c r="L9740" i="3"/>
  <c r="K9740" i="3"/>
  <c r="J9740" i="3"/>
  <c r="H9740" i="3"/>
  <c r="G9740" i="3"/>
  <c r="I9740" i="3" s="1"/>
  <c r="M9739" i="3"/>
  <c r="L9739" i="3"/>
  <c r="J9739" i="3"/>
  <c r="K9739" i="3" s="1"/>
  <c r="H9739" i="3"/>
  <c r="G9739" i="3"/>
  <c r="M9738" i="3"/>
  <c r="L9738" i="3"/>
  <c r="K9738" i="3"/>
  <c r="J9738" i="3"/>
  <c r="H9738" i="3"/>
  <c r="G9738" i="3"/>
  <c r="M9737" i="3"/>
  <c r="L9737" i="3"/>
  <c r="J9737" i="3"/>
  <c r="K9737" i="3" s="1"/>
  <c r="H9737" i="3"/>
  <c r="G9737" i="3"/>
  <c r="M9736" i="3"/>
  <c r="L9736" i="3"/>
  <c r="J9736" i="3"/>
  <c r="K9736" i="3" s="1"/>
  <c r="H9736" i="3"/>
  <c r="G9736" i="3"/>
  <c r="M9735" i="3"/>
  <c r="L9735" i="3"/>
  <c r="J9735" i="3"/>
  <c r="K9735" i="3" s="1"/>
  <c r="H9735" i="3"/>
  <c r="G9735" i="3"/>
  <c r="M9734" i="3"/>
  <c r="L9734" i="3"/>
  <c r="J9734" i="3"/>
  <c r="K9734" i="3" s="1"/>
  <c r="H9734" i="3"/>
  <c r="G9734" i="3"/>
  <c r="M9733" i="3"/>
  <c r="L9733" i="3"/>
  <c r="J9733" i="3"/>
  <c r="K9733" i="3" s="1"/>
  <c r="H9733" i="3"/>
  <c r="I9733" i="3" s="1"/>
  <c r="G9733" i="3"/>
  <c r="M9732" i="3"/>
  <c r="L9732" i="3"/>
  <c r="K9732" i="3"/>
  <c r="J9732" i="3"/>
  <c r="H9732" i="3"/>
  <c r="G9732" i="3"/>
  <c r="I9732" i="3" s="1"/>
  <c r="M9731" i="3"/>
  <c r="L9731" i="3"/>
  <c r="J9731" i="3"/>
  <c r="K9731" i="3" s="1"/>
  <c r="H9731" i="3"/>
  <c r="G9731" i="3"/>
  <c r="M9730" i="3"/>
  <c r="L9730" i="3"/>
  <c r="K9730" i="3"/>
  <c r="J9730" i="3"/>
  <c r="H9730" i="3"/>
  <c r="G9730" i="3"/>
  <c r="M9729" i="3"/>
  <c r="L9729" i="3"/>
  <c r="J9729" i="3"/>
  <c r="K9729" i="3" s="1"/>
  <c r="H9729" i="3"/>
  <c r="G9729" i="3"/>
  <c r="M9728" i="3"/>
  <c r="L9728" i="3"/>
  <c r="J9728" i="3"/>
  <c r="K9728" i="3" s="1"/>
  <c r="I9728" i="3"/>
  <c r="H9728" i="3"/>
  <c r="G9728" i="3"/>
  <c r="M9727" i="3"/>
  <c r="L9727" i="3"/>
  <c r="J9727" i="3"/>
  <c r="K9727" i="3" s="1"/>
  <c r="H9727" i="3"/>
  <c r="G9727" i="3"/>
  <c r="I9727" i="3" s="1"/>
  <c r="M9726" i="3"/>
  <c r="L9726" i="3"/>
  <c r="J9726" i="3"/>
  <c r="K9726" i="3" s="1"/>
  <c r="H9726" i="3"/>
  <c r="G9726" i="3"/>
  <c r="M9725" i="3"/>
  <c r="L9725" i="3"/>
  <c r="J9725" i="3"/>
  <c r="K9725" i="3" s="1"/>
  <c r="H9725" i="3"/>
  <c r="I9725" i="3" s="1"/>
  <c r="G9725" i="3"/>
  <c r="M9724" i="3"/>
  <c r="L9724" i="3"/>
  <c r="K9724" i="3"/>
  <c r="J9724" i="3"/>
  <c r="H9724" i="3"/>
  <c r="G9724" i="3"/>
  <c r="I9724" i="3" s="1"/>
  <c r="M9723" i="3"/>
  <c r="L9723" i="3"/>
  <c r="J9723" i="3"/>
  <c r="K9723" i="3" s="1"/>
  <c r="H9723" i="3"/>
  <c r="G9723" i="3"/>
  <c r="M9722" i="3"/>
  <c r="L9722" i="3"/>
  <c r="K9722" i="3"/>
  <c r="J9722" i="3"/>
  <c r="H9722" i="3"/>
  <c r="G9722" i="3"/>
  <c r="M9769" i="3"/>
  <c r="L9769" i="3"/>
  <c r="J9769" i="3"/>
  <c r="K9769" i="3" s="1"/>
  <c r="H9769" i="3"/>
  <c r="G9769" i="3"/>
  <c r="M9768" i="3"/>
  <c r="L9768" i="3"/>
  <c r="J9768" i="3"/>
  <c r="K9768" i="3" s="1"/>
  <c r="H9768" i="3"/>
  <c r="G9768" i="3"/>
  <c r="M9767" i="3"/>
  <c r="L9767" i="3"/>
  <c r="J9767" i="3"/>
  <c r="K9767" i="3" s="1"/>
  <c r="H9767" i="3"/>
  <c r="G9767" i="3"/>
  <c r="M9766" i="3"/>
  <c r="L9766" i="3"/>
  <c r="J9766" i="3"/>
  <c r="K9766" i="3" s="1"/>
  <c r="H9766" i="3"/>
  <c r="G9766" i="3"/>
  <c r="M9765" i="3"/>
  <c r="L9765" i="3"/>
  <c r="J9765" i="3"/>
  <c r="K9765" i="3" s="1"/>
  <c r="H9765" i="3"/>
  <c r="I9765" i="3" s="1"/>
  <c r="G9765" i="3"/>
  <c r="M9764" i="3"/>
  <c r="L9764" i="3"/>
  <c r="K9764" i="3"/>
  <c r="J9764" i="3"/>
  <c r="H9764" i="3"/>
  <c r="G9764" i="3"/>
  <c r="I9764" i="3" s="1"/>
  <c r="M9763" i="3"/>
  <c r="L9763" i="3"/>
  <c r="J9763" i="3"/>
  <c r="K9763" i="3" s="1"/>
  <c r="H9763" i="3"/>
  <c r="G9763" i="3"/>
  <c r="M9762" i="3"/>
  <c r="L9762" i="3"/>
  <c r="K9762" i="3"/>
  <c r="J9762" i="3"/>
  <c r="H9762" i="3"/>
  <c r="G9762" i="3"/>
  <c r="M9761" i="3"/>
  <c r="L9761" i="3"/>
  <c r="J9761" i="3"/>
  <c r="K9761" i="3" s="1"/>
  <c r="H9761" i="3"/>
  <c r="G9761" i="3"/>
  <c r="M9760" i="3"/>
  <c r="L9760" i="3"/>
  <c r="J9760" i="3"/>
  <c r="K9760" i="3" s="1"/>
  <c r="I9760" i="3"/>
  <c r="H9760" i="3"/>
  <c r="G9760" i="3"/>
  <c r="M9759" i="3"/>
  <c r="L9759" i="3"/>
  <c r="J9759" i="3"/>
  <c r="K9759" i="3" s="1"/>
  <c r="H9759" i="3"/>
  <c r="G9759" i="3"/>
  <c r="I9759" i="3" s="1"/>
  <c r="M9758" i="3"/>
  <c r="L9758" i="3"/>
  <c r="J9758" i="3"/>
  <c r="K9758" i="3" s="1"/>
  <c r="H9758" i="3"/>
  <c r="G9758" i="3"/>
  <c r="M9757" i="3"/>
  <c r="L9757" i="3"/>
  <c r="J9757" i="3"/>
  <c r="K9757" i="3" s="1"/>
  <c r="H9757" i="3"/>
  <c r="I9757" i="3" s="1"/>
  <c r="G9757" i="3"/>
  <c r="M9756" i="3"/>
  <c r="L9756" i="3"/>
  <c r="K9756" i="3"/>
  <c r="J9756" i="3"/>
  <c r="H9756" i="3"/>
  <c r="G9756" i="3"/>
  <c r="I9756" i="3" s="1"/>
  <c r="M9755" i="3"/>
  <c r="L9755" i="3"/>
  <c r="J9755" i="3"/>
  <c r="K9755" i="3" s="1"/>
  <c r="H9755" i="3"/>
  <c r="G9755" i="3"/>
  <c r="M9754" i="3"/>
  <c r="L9754" i="3"/>
  <c r="K9754" i="3"/>
  <c r="J9754" i="3"/>
  <c r="H9754" i="3"/>
  <c r="G9754" i="3"/>
  <c r="M9753" i="3"/>
  <c r="L9753" i="3"/>
  <c r="J9753" i="3"/>
  <c r="K9753" i="3" s="1"/>
  <c r="H9753" i="3"/>
  <c r="G9753" i="3"/>
  <c r="M9752" i="3"/>
  <c r="L9752" i="3"/>
  <c r="J9752" i="3"/>
  <c r="K9752" i="3" s="1"/>
  <c r="H9752" i="3"/>
  <c r="G9752" i="3"/>
  <c r="M9751" i="3"/>
  <c r="L9751" i="3"/>
  <c r="J9751" i="3"/>
  <c r="K9751" i="3" s="1"/>
  <c r="H9751" i="3"/>
  <c r="G9751" i="3"/>
  <c r="M9750" i="3"/>
  <c r="L9750" i="3"/>
  <c r="J9750" i="3"/>
  <c r="K9750" i="3" s="1"/>
  <c r="H9750" i="3"/>
  <c r="G9750" i="3"/>
  <c r="M9749" i="3"/>
  <c r="L9749" i="3"/>
  <c r="J9749" i="3"/>
  <c r="K9749" i="3" s="1"/>
  <c r="H9749" i="3"/>
  <c r="I9749" i="3" s="1"/>
  <c r="G9749" i="3"/>
  <c r="M9748" i="3"/>
  <c r="L9748" i="3"/>
  <c r="K9748" i="3"/>
  <c r="J9748" i="3"/>
  <c r="H9748" i="3"/>
  <c r="G9748" i="3"/>
  <c r="I9748" i="3" s="1"/>
  <c r="M9747" i="3"/>
  <c r="L9747" i="3"/>
  <c r="J9747" i="3"/>
  <c r="K9747" i="3" s="1"/>
  <c r="H9747" i="3"/>
  <c r="G9747" i="3"/>
  <c r="M9746" i="3"/>
  <c r="L9746" i="3"/>
  <c r="K9746" i="3"/>
  <c r="J9746" i="3"/>
  <c r="H9746" i="3"/>
  <c r="G9746" i="3"/>
  <c r="M9793" i="3"/>
  <c r="L9793" i="3"/>
  <c r="J9793" i="3"/>
  <c r="K9793" i="3" s="1"/>
  <c r="H9793" i="3"/>
  <c r="G9793" i="3"/>
  <c r="M9792" i="3"/>
  <c r="L9792" i="3"/>
  <c r="J9792" i="3"/>
  <c r="K9792" i="3" s="1"/>
  <c r="I9792" i="3"/>
  <c r="H9792" i="3"/>
  <c r="G9792" i="3"/>
  <c r="M9791" i="3"/>
  <c r="L9791" i="3"/>
  <c r="J9791" i="3"/>
  <c r="K9791" i="3" s="1"/>
  <c r="H9791" i="3"/>
  <c r="G9791" i="3"/>
  <c r="I9791" i="3" s="1"/>
  <c r="M9790" i="3"/>
  <c r="L9790" i="3"/>
  <c r="J9790" i="3"/>
  <c r="K9790" i="3" s="1"/>
  <c r="H9790" i="3"/>
  <c r="G9790" i="3"/>
  <c r="M9789" i="3"/>
  <c r="L9789" i="3"/>
  <c r="J9789" i="3"/>
  <c r="K9789" i="3" s="1"/>
  <c r="H9789" i="3"/>
  <c r="G9789" i="3"/>
  <c r="M9788" i="3"/>
  <c r="L9788" i="3"/>
  <c r="K9788" i="3"/>
  <c r="J9788" i="3"/>
  <c r="H9788" i="3"/>
  <c r="G9788" i="3"/>
  <c r="I9788" i="3" s="1"/>
  <c r="M9787" i="3"/>
  <c r="L9787" i="3"/>
  <c r="J9787" i="3"/>
  <c r="K9787" i="3" s="1"/>
  <c r="H9787" i="3"/>
  <c r="G9787" i="3"/>
  <c r="M9786" i="3"/>
  <c r="L9786" i="3"/>
  <c r="K9786" i="3"/>
  <c r="J9786" i="3"/>
  <c r="H9786" i="3"/>
  <c r="G9786" i="3"/>
  <c r="M9785" i="3"/>
  <c r="L9785" i="3"/>
  <c r="J9785" i="3"/>
  <c r="K9785" i="3" s="1"/>
  <c r="H9785" i="3"/>
  <c r="G9785" i="3"/>
  <c r="M9784" i="3"/>
  <c r="L9784" i="3"/>
  <c r="J9784" i="3"/>
  <c r="K9784" i="3" s="1"/>
  <c r="H9784" i="3"/>
  <c r="G9784" i="3"/>
  <c r="M9783" i="3"/>
  <c r="L9783" i="3"/>
  <c r="J9783" i="3"/>
  <c r="K9783" i="3" s="1"/>
  <c r="H9783" i="3"/>
  <c r="G9783" i="3"/>
  <c r="M9782" i="3"/>
  <c r="L9782" i="3"/>
  <c r="J9782" i="3"/>
  <c r="K9782" i="3" s="1"/>
  <c r="H9782" i="3"/>
  <c r="G9782" i="3"/>
  <c r="M9781" i="3"/>
  <c r="L9781" i="3"/>
  <c r="J9781" i="3"/>
  <c r="K9781" i="3" s="1"/>
  <c r="H9781" i="3"/>
  <c r="G9781" i="3"/>
  <c r="M9780" i="3"/>
  <c r="L9780" i="3"/>
  <c r="K9780" i="3"/>
  <c r="J9780" i="3"/>
  <c r="H9780" i="3"/>
  <c r="G9780" i="3"/>
  <c r="I9780" i="3" s="1"/>
  <c r="M9779" i="3"/>
  <c r="L9779" i="3"/>
  <c r="J9779" i="3"/>
  <c r="K9779" i="3" s="1"/>
  <c r="H9779" i="3"/>
  <c r="G9779" i="3"/>
  <c r="M9778" i="3"/>
  <c r="L9778" i="3"/>
  <c r="J9778" i="3"/>
  <c r="K9778" i="3" s="1"/>
  <c r="H9778" i="3"/>
  <c r="G9778" i="3"/>
  <c r="M9777" i="3"/>
  <c r="L9777" i="3"/>
  <c r="J9777" i="3"/>
  <c r="K9777" i="3" s="1"/>
  <c r="H9777" i="3"/>
  <c r="G9777" i="3"/>
  <c r="I9777" i="3" s="1"/>
  <c r="M9776" i="3"/>
  <c r="L9776" i="3"/>
  <c r="J9776" i="3"/>
  <c r="K9776" i="3" s="1"/>
  <c r="H9776" i="3"/>
  <c r="G9776" i="3"/>
  <c r="I9776" i="3" s="1"/>
  <c r="M9775" i="3"/>
  <c r="L9775" i="3"/>
  <c r="J9775" i="3"/>
  <c r="K9775" i="3" s="1"/>
  <c r="H9775" i="3"/>
  <c r="G9775" i="3"/>
  <c r="M9774" i="3"/>
  <c r="L9774" i="3"/>
  <c r="J9774" i="3"/>
  <c r="K9774" i="3" s="1"/>
  <c r="H9774" i="3"/>
  <c r="G9774" i="3"/>
  <c r="M9773" i="3"/>
  <c r="L9773" i="3"/>
  <c r="J9773" i="3"/>
  <c r="K9773" i="3" s="1"/>
  <c r="H9773" i="3"/>
  <c r="G9773" i="3"/>
  <c r="M9772" i="3"/>
  <c r="L9772" i="3"/>
  <c r="J9772" i="3"/>
  <c r="K9772" i="3" s="1"/>
  <c r="H9772" i="3"/>
  <c r="G9772" i="3"/>
  <c r="I9772" i="3" s="1"/>
  <c r="M9771" i="3"/>
  <c r="L9771" i="3"/>
  <c r="J9771" i="3"/>
  <c r="K9771" i="3" s="1"/>
  <c r="H9771" i="3"/>
  <c r="G9771" i="3"/>
  <c r="M9770" i="3"/>
  <c r="L9770" i="3"/>
  <c r="J9770" i="3"/>
  <c r="K9770" i="3" s="1"/>
  <c r="H9770" i="3"/>
  <c r="G9770" i="3"/>
  <c r="M9817" i="3"/>
  <c r="L9817" i="3"/>
  <c r="J9817" i="3"/>
  <c r="K9817" i="3" s="1"/>
  <c r="H9817" i="3"/>
  <c r="G9817" i="3"/>
  <c r="M9816" i="3"/>
  <c r="L9816" i="3"/>
  <c r="J9816" i="3"/>
  <c r="K9816" i="3" s="1"/>
  <c r="H9816" i="3"/>
  <c r="G9816" i="3"/>
  <c r="M9815" i="3"/>
  <c r="L9815" i="3"/>
  <c r="J9815" i="3"/>
  <c r="K9815" i="3" s="1"/>
  <c r="H9815" i="3"/>
  <c r="G9815" i="3"/>
  <c r="M9814" i="3"/>
  <c r="L9814" i="3"/>
  <c r="K9814" i="3"/>
  <c r="J9814" i="3"/>
  <c r="H9814" i="3"/>
  <c r="G9814" i="3"/>
  <c r="I9814" i="3" s="1"/>
  <c r="M9813" i="3"/>
  <c r="L9813" i="3"/>
  <c r="J9813" i="3"/>
  <c r="K9813" i="3" s="1"/>
  <c r="H9813" i="3"/>
  <c r="I9813" i="3" s="1"/>
  <c r="G9813" i="3"/>
  <c r="M9812" i="3"/>
  <c r="L9812" i="3"/>
  <c r="K9812" i="3"/>
  <c r="J9812" i="3"/>
  <c r="H9812" i="3"/>
  <c r="G9812" i="3"/>
  <c r="I9812" i="3" s="1"/>
  <c r="M9811" i="3"/>
  <c r="L9811" i="3"/>
  <c r="J9811" i="3"/>
  <c r="K9811" i="3" s="1"/>
  <c r="H9811" i="3"/>
  <c r="G9811" i="3"/>
  <c r="M9810" i="3"/>
  <c r="L9810" i="3"/>
  <c r="J9810" i="3"/>
  <c r="K9810" i="3" s="1"/>
  <c r="H9810" i="3"/>
  <c r="G9810" i="3"/>
  <c r="M9809" i="3"/>
  <c r="L9809" i="3"/>
  <c r="J9809" i="3"/>
  <c r="K9809" i="3" s="1"/>
  <c r="H9809" i="3"/>
  <c r="G9809" i="3"/>
  <c r="M9808" i="3"/>
  <c r="L9808" i="3"/>
  <c r="J9808" i="3"/>
  <c r="K9808" i="3" s="1"/>
  <c r="H9808" i="3"/>
  <c r="G9808" i="3"/>
  <c r="I9808" i="3" s="1"/>
  <c r="M9807" i="3"/>
  <c r="L9807" i="3"/>
  <c r="J9807" i="3"/>
  <c r="K9807" i="3" s="1"/>
  <c r="H9807" i="3"/>
  <c r="G9807" i="3"/>
  <c r="M9806" i="3"/>
  <c r="L9806" i="3"/>
  <c r="J9806" i="3"/>
  <c r="K9806" i="3" s="1"/>
  <c r="H9806" i="3"/>
  <c r="G9806" i="3"/>
  <c r="I9806" i="3" s="1"/>
  <c r="M9805" i="3"/>
  <c r="L9805" i="3"/>
  <c r="J9805" i="3"/>
  <c r="K9805" i="3" s="1"/>
  <c r="H9805" i="3"/>
  <c r="G9805" i="3"/>
  <c r="M9804" i="3"/>
  <c r="L9804" i="3"/>
  <c r="J9804" i="3"/>
  <c r="K9804" i="3" s="1"/>
  <c r="H9804" i="3"/>
  <c r="G9804" i="3"/>
  <c r="M9803" i="3"/>
  <c r="L9803" i="3"/>
  <c r="J9803" i="3"/>
  <c r="K9803" i="3" s="1"/>
  <c r="H9803" i="3"/>
  <c r="G9803" i="3"/>
  <c r="M9802" i="3"/>
  <c r="L9802" i="3"/>
  <c r="J9802" i="3"/>
  <c r="K9802" i="3" s="1"/>
  <c r="H9802" i="3"/>
  <c r="G9802" i="3"/>
  <c r="M9801" i="3"/>
  <c r="L9801" i="3"/>
  <c r="J9801" i="3"/>
  <c r="K9801" i="3" s="1"/>
  <c r="H9801" i="3"/>
  <c r="G9801" i="3"/>
  <c r="M9800" i="3"/>
  <c r="L9800" i="3"/>
  <c r="J9800" i="3"/>
  <c r="K9800" i="3" s="1"/>
  <c r="H9800" i="3"/>
  <c r="G9800" i="3"/>
  <c r="M9799" i="3"/>
  <c r="L9799" i="3"/>
  <c r="J9799" i="3"/>
  <c r="K9799" i="3" s="1"/>
  <c r="H9799" i="3"/>
  <c r="G9799" i="3"/>
  <c r="M9798" i="3"/>
  <c r="L9798" i="3"/>
  <c r="J9798" i="3"/>
  <c r="K9798" i="3" s="1"/>
  <c r="H9798" i="3"/>
  <c r="G9798" i="3"/>
  <c r="M9797" i="3"/>
  <c r="L9797" i="3"/>
  <c r="J9797" i="3"/>
  <c r="K9797" i="3" s="1"/>
  <c r="H9797" i="3"/>
  <c r="G9797" i="3"/>
  <c r="M9796" i="3"/>
  <c r="L9796" i="3"/>
  <c r="J9796" i="3"/>
  <c r="K9796" i="3" s="1"/>
  <c r="H9796" i="3"/>
  <c r="G9796" i="3"/>
  <c r="M9795" i="3"/>
  <c r="L9795" i="3"/>
  <c r="J9795" i="3"/>
  <c r="K9795" i="3" s="1"/>
  <c r="H9795" i="3"/>
  <c r="G9795" i="3"/>
  <c r="M9794" i="3"/>
  <c r="L9794" i="3"/>
  <c r="K9794" i="3"/>
  <c r="J9794" i="3"/>
  <c r="H9794" i="3"/>
  <c r="G9794" i="3"/>
  <c r="M9841" i="3"/>
  <c r="L9841" i="3"/>
  <c r="J9841" i="3"/>
  <c r="K9841" i="3" s="1"/>
  <c r="H9841" i="3"/>
  <c r="G9841" i="3"/>
  <c r="M9840" i="3"/>
  <c r="L9840" i="3"/>
  <c r="J9840" i="3"/>
  <c r="K9840" i="3" s="1"/>
  <c r="H9840" i="3"/>
  <c r="G9840" i="3"/>
  <c r="M9839" i="3"/>
  <c r="L9839" i="3"/>
  <c r="J9839" i="3"/>
  <c r="K9839" i="3" s="1"/>
  <c r="H9839" i="3"/>
  <c r="G9839" i="3"/>
  <c r="I9839" i="3" s="1"/>
  <c r="M9838" i="3"/>
  <c r="L9838" i="3"/>
  <c r="J9838" i="3"/>
  <c r="K9838" i="3" s="1"/>
  <c r="H9838" i="3"/>
  <c r="G9838" i="3"/>
  <c r="M9837" i="3"/>
  <c r="L9837" i="3"/>
  <c r="J9837" i="3"/>
  <c r="K9837" i="3" s="1"/>
  <c r="H9837" i="3"/>
  <c r="G9837" i="3"/>
  <c r="M9836" i="3"/>
  <c r="L9836" i="3"/>
  <c r="J9836" i="3"/>
  <c r="K9836" i="3" s="1"/>
  <c r="I9836" i="3"/>
  <c r="H9836" i="3"/>
  <c r="G9836" i="3"/>
  <c r="M9835" i="3"/>
  <c r="L9835" i="3"/>
  <c r="J9835" i="3"/>
  <c r="K9835" i="3" s="1"/>
  <c r="H9835" i="3"/>
  <c r="G9835" i="3"/>
  <c r="I9835" i="3" s="1"/>
  <c r="M9834" i="3"/>
  <c r="L9834" i="3"/>
  <c r="J9834" i="3"/>
  <c r="K9834" i="3" s="1"/>
  <c r="H9834" i="3"/>
  <c r="G9834" i="3"/>
  <c r="M9833" i="3"/>
  <c r="L9833" i="3"/>
  <c r="J9833" i="3"/>
  <c r="K9833" i="3" s="1"/>
  <c r="H9833" i="3"/>
  <c r="I9833" i="3" s="1"/>
  <c r="G9833" i="3"/>
  <c r="M9832" i="3"/>
  <c r="L9832" i="3"/>
  <c r="K9832" i="3"/>
  <c r="J9832" i="3"/>
  <c r="H9832" i="3"/>
  <c r="G9832" i="3"/>
  <c r="M9831" i="3"/>
  <c r="L9831" i="3"/>
  <c r="J9831" i="3"/>
  <c r="K9831" i="3" s="1"/>
  <c r="H9831" i="3"/>
  <c r="G9831" i="3"/>
  <c r="M9830" i="3"/>
  <c r="L9830" i="3"/>
  <c r="K9830" i="3"/>
  <c r="J9830" i="3"/>
  <c r="H9830" i="3"/>
  <c r="G9830" i="3"/>
  <c r="I9830" i="3" s="1"/>
  <c r="M9829" i="3"/>
  <c r="L9829" i="3"/>
  <c r="J9829" i="3"/>
  <c r="K9829" i="3" s="1"/>
  <c r="H9829" i="3"/>
  <c r="G9829" i="3"/>
  <c r="M9828" i="3"/>
  <c r="L9828" i="3"/>
  <c r="J9828" i="3"/>
  <c r="K9828" i="3" s="1"/>
  <c r="H9828" i="3"/>
  <c r="G9828" i="3"/>
  <c r="M9827" i="3"/>
  <c r="L9827" i="3"/>
  <c r="J9827" i="3"/>
  <c r="K9827" i="3" s="1"/>
  <c r="H9827" i="3"/>
  <c r="G9827" i="3"/>
  <c r="M9826" i="3"/>
  <c r="L9826" i="3"/>
  <c r="J9826" i="3"/>
  <c r="K9826" i="3" s="1"/>
  <c r="H9826" i="3"/>
  <c r="G9826" i="3"/>
  <c r="M9825" i="3"/>
  <c r="L9825" i="3"/>
  <c r="J9825" i="3"/>
  <c r="K9825" i="3" s="1"/>
  <c r="H9825" i="3"/>
  <c r="G9825" i="3"/>
  <c r="M9824" i="3"/>
  <c r="L9824" i="3"/>
  <c r="J9824" i="3"/>
  <c r="K9824" i="3" s="1"/>
  <c r="H9824" i="3"/>
  <c r="G9824" i="3"/>
  <c r="I9824" i="3" s="1"/>
  <c r="M9823" i="3"/>
  <c r="L9823" i="3"/>
  <c r="J9823" i="3"/>
  <c r="K9823" i="3" s="1"/>
  <c r="H9823" i="3"/>
  <c r="G9823" i="3"/>
  <c r="I9823" i="3" s="1"/>
  <c r="M9822" i="3"/>
  <c r="L9822" i="3"/>
  <c r="J9822" i="3"/>
  <c r="K9822" i="3" s="1"/>
  <c r="H9822" i="3"/>
  <c r="G9822" i="3"/>
  <c r="M9821" i="3"/>
  <c r="L9821" i="3"/>
  <c r="J9821" i="3"/>
  <c r="K9821" i="3" s="1"/>
  <c r="H9821" i="3"/>
  <c r="G9821" i="3"/>
  <c r="M9820" i="3"/>
  <c r="L9820" i="3"/>
  <c r="J9820" i="3"/>
  <c r="K9820" i="3" s="1"/>
  <c r="H9820" i="3"/>
  <c r="G9820" i="3"/>
  <c r="I9820" i="3" s="1"/>
  <c r="M9819" i="3"/>
  <c r="L9819" i="3"/>
  <c r="J9819" i="3"/>
  <c r="K9819" i="3" s="1"/>
  <c r="H9819" i="3"/>
  <c r="G9819" i="3"/>
  <c r="M9818" i="3"/>
  <c r="L9818" i="3"/>
  <c r="J9818" i="3"/>
  <c r="K9818" i="3" s="1"/>
  <c r="H9818" i="3"/>
  <c r="G9818" i="3"/>
  <c r="M9865" i="3"/>
  <c r="L9865" i="3"/>
  <c r="J9865" i="3"/>
  <c r="K9865" i="3" s="1"/>
  <c r="H9865" i="3"/>
  <c r="G9865" i="3"/>
  <c r="M9864" i="3"/>
  <c r="L9864" i="3"/>
  <c r="J9864" i="3"/>
  <c r="K9864" i="3" s="1"/>
  <c r="H9864" i="3"/>
  <c r="G9864" i="3"/>
  <c r="M9863" i="3"/>
  <c r="L9863" i="3"/>
  <c r="J9863" i="3"/>
  <c r="K9863" i="3" s="1"/>
  <c r="H9863" i="3"/>
  <c r="G9863" i="3"/>
  <c r="M9862" i="3"/>
  <c r="L9862" i="3"/>
  <c r="K9862" i="3"/>
  <c r="J9862" i="3"/>
  <c r="H9862" i="3"/>
  <c r="G9862" i="3"/>
  <c r="I9862" i="3" s="1"/>
  <c r="M9861" i="3"/>
  <c r="L9861" i="3"/>
  <c r="J9861" i="3"/>
  <c r="K9861" i="3" s="1"/>
  <c r="H9861" i="3"/>
  <c r="I9861" i="3" s="1"/>
  <c r="G9861" i="3"/>
  <c r="M9860" i="3"/>
  <c r="L9860" i="3"/>
  <c r="K9860" i="3"/>
  <c r="J9860" i="3"/>
  <c r="H9860" i="3"/>
  <c r="G9860" i="3"/>
  <c r="I9860" i="3" s="1"/>
  <c r="M9859" i="3"/>
  <c r="L9859" i="3"/>
  <c r="J9859" i="3"/>
  <c r="K9859" i="3" s="1"/>
  <c r="H9859" i="3"/>
  <c r="G9859" i="3"/>
  <c r="M9858" i="3"/>
  <c r="L9858" i="3"/>
  <c r="J9858" i="3"/>
  <c r="K9858" i="3" s="1"/>
  <c r="H9858" i="3"/>
  <c r="G9858" i="3"/>
  <c r="M9857" i="3"/>
  <c r="L9857" i="3"/>
  <c r="J9857" i="3"/>
  <c r="K9857" i="3" s="1"/>
  <c r="H9857" i="3"/>
  <c r="G9857" i="3"/>
  <c r="M9856" i="3"/>
  <c r="L9856" i="3"/>
  <c r="J9856" i="3"/>
  <c r="K9856" i="3" s="1"/>
  <c r="H9856" i="3"/>
  <c r="G9856" i="3"/>
  <c r="M9855" i="3"/>
  <c r="L9855" i="3"/>
  <c r="J9855" i="3"/>
  <c r="K9855" i="3" s="1"/>
  <c r="H9855" i="3"/>
  <c r="G9855" i="3"/>
  <c r="M9854" i="3"/>
  <c r="L9854" i="3"/>
  <c r="K9854" i="3"/>
  <c r="J9854" i="3"/>
  <c r="H9854" i="3"/>
  <c r="G9854" i="3"/>
  <c r="I9854" i="3" s="1"/>
  <c r="M9853" i="3"/>
  <c r="L9853" i="3"/>
  <c r="J9853" i="3"/>
  <c r="K9853" i="3" s="1"/>
  <c r="I9853" i="3"/>
  <c r="H9853" i="3"/>
  <c r="G9853" i="3"/>
  <c r="M9852" i="3"/>
  <c r="L9852" i="3"/>
  <c r="J9852" i="3"/>
  <c r="K9852" i="3" s="1"/>
  <c r="H9852" i="3"/>
  <c r="G9852" i="3"/>
  <c r="I9852" i="3" s="1"/>
  <c r="M9851" i="3"/>
  <c r="L9851" i="3"/>
  <c r="J9851" i="3"/>
  <c r="K9851" i="3" s="1"/>
  <c r="H9851" i="3"/>
  <c r="G9851" i="3"/>
  <c r="M9850" i="3"/>
  <c r="L9850" i="3"/>
  <c r="J9850" i="3"/>
  <c r="K9850" i="3" s="1"/>
  <c r="H9850" i="3"/>
  <c r="G9850" i="3"/>
  <c r="M9849" i="3"/>
  <c r="L9849" i="3"/>
  <c r="J9849" i="3"/>
  <c r="K9849" i="3" s="1"/>
  <c r="H9849" i="3"/>
  <c r="G9849" i="3"/>
  <c r="I9849" i="3" s="1"/>
  <c r="M9848" i="3"/>
  <c r="L9848" i="3"/>
  <c r="J9848" i="3"/>
  <c r="K9848" i="3" s="1"/>
  <c r="H9848" i="3"/>
  <c r="G9848" i="3"/>
  <c r="M9847" i="3"/>
  <c r="L9847" i="3"/>
  <c r="J9847" i="3"/>
  <c r="K9847" i="3" s="1"/>
  <c r="H9847" i="3"/>
  <c r="G9847" i="3"/>
  <c r="M9846" i="3"/>
  <c r="L9846" i="3"/>
  <c r="K9846" i="3"/>
  <c r="J9846" i="3"/>
  <c r="H9846" i="3"/>
  <c r="G9846" i="3"/>
  <c r="I9846" i="3" s="1"/>
  <c r="M9845" i="3"/>
  <c r="L9845" i="3"/>
  <c r="J9845" i="3"/>
  <c r="K9845" i="3" s="1"/>
  <c r="I9845" i="3"/>
  <c r="H9845" i="3"/>
  <c r="G9845" i="3"/>
  <c r="M9844" i="3"/>
  <c r="L9844" i="3"/>
  <c r="J9844" i="3"/>
  <c r="K9844" i="3" s="1"/>
  <c r="H9844" i="3"/>
  <c r="G9844" i="3"/>
  <c r="I9844" i="3" s="1"/>
  <c r="M9843" i="3"/>
  <c r="L9843" i="3"/>
  <c r="J9843" i="3"/>
  <c r="K9843" i="3" s="1"/>
  <c r="H9843" i="3"/>
  <c r="G9843" i="3"/>
  <c r="M9842" i="3"/>
  <c r="L9842" i="3"/>
  <c r="J9842" i="3"/>
  <c r="K9842" i="3" s="1"/>
  <c r="H9842" i="3"/>
  <c r="G9842" i="3"/>
  <c r="M9889" i="3"/>
  <c r="L9889" i="3"/>
  <c r="J9889" i="3"/>
  <c r="K9889" i="3" s="1"/>
  <c r="H9889" i="3"/>
  <c r="G9889" i="3"/>
  <c r="M9888" i="3"/>
  <c r="L9888" i="3"/>
  <c r="J9888" i="3"/>
  <c r="K9888" i="3" s="1"/>
  <c r="H9888" i="3"/>
  <c r="G9888" i="3"/>
  <c r="M9887" i="3"/>
  <c r="L9887" i="3"/>
  <c r="J9887" i="3"/>
  <c r="K9887" i="3" s="1"/>
  <c r="H9887" i="3"/>
  <c r="G9887" i="3"/>
  <c r="M9886" i="3"/>
  <c r="L9886" i="3"/>
  <c r="K9886" i="3"/>
  <c r="J9886" i="3"/>
  <c r="H9886" i="3"/>
  <c r="G9886" i="3"/>
  <c r="I9886" i="3" s="1"/>
  <c r="M9885" i="3"/>
  <c r="L9885" i="3"/>
  <c r="J9885" i="3"/>
  <c r="K9885" i="3" s="1"/>
  <c r="H9885" i="3"/>
  <c r="G9885" i="3"/>
  <c r="M9884" i="3"/>
  <c r="L9884" i="3"/>
  <c r="J9884" i="3"/>
  <c r="K9884" i="3" s="1"/>
  <c r="H9884" i="3"/>
  <c r="G9884" i="3"/>
  <c r="M9883" i="3"/>
  <c r="L9883" i="3"/>
  <c r="J9883" i="3"/>
  <c r="K9883" i="3" s="1"/>
  <c r="H9883" i="3"/>
  <c r="G9883" i="3"/>
  <c r="M9882" i="3"/>
  <c r="L9882" i="3"/>
  <c r="J9882" i="3"/>
  <c r="K9882" i="3" s="1"/>
  <c r="H9882" i="3"/>
  <c r="G9882" i="3"/>
  <c r="M9881" i="3"/>
  <c r="L9881" i="3"/>
  <c r="J9881" i="3"/>
  <c r="K9881" i="3" s="1"/>
  <c r="H9881" i="3"/>
  <c r="G9881" i="3"/>
  <c r="M9880" i="3"/>
  <c r="L9880" i="3"/>
  <c r="J9880" i="3"/>
  <c r="K9880" i="3" s="1"/>
  <c r="H9880" i="3"/>
  <c r="G9880" i="3"/>
  <c r="I9880" i="3" s="1"/>
  <c r="M9879" i="3"/>
  <c r="L9879" i="3"/>
  <c r="J9879" i="3"/>
  <c r="K9879" i="3" s="1"/>
  <c r="H9879" i="3"/>
  <c r="G9879" i="3"/>
  <c r="M9878" i="3"/>
  <c r="L9878" i="3"/>
  <c r="J9878" i="3"/>
  <c r="K9878" i="3" s="1"/>
  <c r="H9878" i="3"/>
  <c r="G9878" i="3"/>
  <c r="M9877" i="3"/>
  <c r="L9877" i="3"/>
  <c r="J9877" i="3"/>
  <c r="K9877" i="3" s="1"/>
  <c r="H9877" i="3"/>
  <c r="G9877" i="3"/>
  <c r="M9876" i="3"/>
  <c r="L9876" i="3"/>
  <c r="J9876" i="3"/>
  <c r="K9876" i="3" s="1"/>
  <c r="H9876" i="3"/>
  <c r="G9876" i="3"/>
  <c r="I9876" i="3" s="1"/>
  <c r="M9875" i="3"/>
  <c r="L9875" i="3"/>
  <c r="J9875" i="3"/>
  <c r="K9875" i="3" s="1"/>
  <c r="H9875" i="3"/>
  <c r="G9875" i="3"/>
  <c r="M9874" i="3"/>
  <c r="L9874" i="3"/>
  <c r="K9874" i="3"/>
  <c r="J9874" i="3"/>
  <c r="H9874" i="3"/>
  <c r="G9874" i="3"/>
  <c r="I9874" i="3" s="1"/>
  <c r="M9873" i="3"/>
  <c r="L9873" i="3"/>
  <c r="J9873" i="3"/>
  <c r="K9873" i="3" s="1"/>
  <c r="H9873" i="3"/>
  <c r="G9873" i="3"/>
  <c r="M9872" i="3"/>
  <c r="L9872" i="3"/>
  <c r="J9872" i="3"/>
  <c r="K9872" i="3" s="1"/>
  <c r="H9872" i="3"/>
  <c r="G9872" i="3"/>
  <c r="M9871" i="3"/>
  <c r="L9871" i="3"/>
  <c r="J9871" i="3"/>
  <c r="K9871" i="3" s="1"/>
  <c r="H9871" i="3"/>
  <c r="G9871" i="3"/>
  <c r="M9870" i="3"/>
  <c r="L9870" i="3"/>
  <c r="K9870" i="3"/>
  <c r="J9870" i="3"/>
  <c r="H9870" i="3"/>
  <c r="G9870" i="3"/>
  <c r="I9870" i="3" s="1"/>
  <c r="M9869" i="3"/>
  <c r="L9869" i="3"/>
  <c r="J9869" i="3"/>
  <c r="K9869" i="3" s="1"/>
  <c r="H9869" i="3"/>
  <c r="I9869" i="3" s="1"/>
  <c r="G9869" i="3"/>
  <c r="M9868" i="3"/>
  <c r="L9868" i="3"/>
  <c r="J9868" i="3"/>
  <c r="K9868" i="3" s="1"/>
  <c r="H9868" i="3"/>
  <c r="G9868" i="3"/>
  <c r="M9867" i="3"/>
  <c r="L9867" i="3"/>
  <c r="J9867" i="3"/>
  <c r="K9867" i="3" s="1"/>
  <c r="H9867" i="3"/>
  <c r="G9867" i="3"/>
  <c r="M9866" i="3"/>
  <c r="L9866" i="3"/>
  <c r="J9866" i="3"/>
  <c r="K9866" i="3" s="1"/>
  <c r="H9866" i="3"/>
  <c r="G9866" i="3"/>
  <c r="M9913" i="3"/>
  <c r="L9913" i="3"/>
  <c r="J9913" i="3"/>
  <c r="K9913" i="3" s="1"/>
  <c r="H9913" i="3"/>
  <c r="G9913" i="3"/>
  <c r="M9912" i="3"/>
  <c r="L9912" i="3"/>
  <c r="J9912" i="3"/>
  <c r="K9912" i="3" s="1"/>
  <c r="H9912" i="3"/>
  <c r="G9912" i="3"/>
  <c r="I9912" i="3" s="1"/>
  <c r="M9911" i="3"/>
  <c r="L9911" i="3"/>
  <c r="J9911" i="3"/>
  <c r="K9911" i="3" s="1"/>
  <c r="H9911" i="3"/>
  <c r="G9911" i="3"/>
  <c r="I9911" i="3" s="1"/>
  <c r="M9910" i="3"/>
  <c r="L9910" i="3"/>
  <c r="J9910" i="3"/>
  <c r="K9910" i="3" s="1"/>
  <c r="H9910" i="3"/>
  <c r="G9910" i="3"/>
  <c r="M9909" i="3"/>
  <c r="L9909" i="3"/>
  <c r="J9909" i="3"/>
  <c r="K9909" i="3" s="1"/>
  <c r="H9909" i="3"/>
  <c r="G9909" i="3"/>
  <c r="M9908" i="3"/>
  <c r="L9908" i="3"/>
  <c r="J9908" i="3"/>
  <c r="K9908" i="3" s="1"/>
  <c r="H9908" i="3"/>
  <c r="G9908" i="3"/>
  <c r="I9908" i="3" s="1"/>
  <c r="M9907" i="3"/>
  <c r="L9907" i="3"/>
  <c r="J9907" i="3"/>
  <c r="K9907" i="3" s="1"/>
  <c r="H9907" i="3"/>
  <c r="G9907" i="3"/>
  <c r="M9906" i="3"/>
  <c r="L9906" i="3"/>
  <c r="J9906" i="3"/>
  <c r="K9906" i="3" s="1"/>
  <c r="H9906" i="3"/>
  <c r="G9906" i="3"/>
  <c r="M9905" i="3"/>
  <c r="L9905" i="3"/>
  <c r="J9905" i="3"/>
  <c r="K9905" i="3" s="1"/>
  <c r="H9905" i="3"/>
  <c r="G9905" i="3"/>
  <c r="M9904" i="3"/>
  <c r="L9904" i="3"/>
  <c r="J9904" i="3"/>
  <c r="K9904" i="3" s="1"/>
  <c r="H9904" i="3"/>
  <c r="I9904" i="3" s="1"/>
  <c r="G9904" i="3"/>
  <c r="M9903" i="3"/>
  <c r="L9903" i="3"/>
  <c r="J9903" i="3"/>
  <c r="K9903" i="3" s="1"/>
  <c r="H9903" i="3"/>
  <c r="G9903" i="3"/>
  <c r="M9902" i="3"/>
  <c r="L9902" i="3"/>
  <c r="K9902" i="3"/>
  <c r="J9902" i="3"/>
  <c r="H9902" i="3"/>
  <c r="G9902" i="3"/>
  <c r="I9902" i="3" s="1"/>
  <c r="M9901" i="3"/>
  <c r="L9901" i="3"/>
  <c r="J9901" i="3"/>
  <c r="K9901" i="3" s="1"/>
  <c r="H9901" i="3"/>
  <c r="I9901" i="3" s="1"/>
  <c r="G9901" i="3"/>
  <c r="M9900" i="3"/>
  <c r="L9900" i="3"/>
  <c r="K9900" i="3"/>
  <c r="J9900" i="3"/>
  <c r="H9900" i="3"/>
  <c r="G9900" i="3"/>
  <c r="I9900" i="3" s="1"/>
  <c r="M9899" i="3"/>
  <c r="L9899" i="3"/>
  <c r="J9899" i="3"/>
  <c r="K9899" i="3" s="1"/>
  <c r="H9899" i="3"/>
  <c r="G9899" i="3"/>
  <c r="M9898" i="3"/>
  <c r="L9898" i="3"/>
  <c r="J9898" i="3"/>
  <c r="K9898" i="3" s="1"/>
  <c r="H9898" i="3"/>
  <c r="G9898" i="3"/>
  <c r="M9897" i="3"/>
  <c r="L9897" i="3"/>
  <c r="J9897" i="3"/>
  <c r="K9897" i="3" s="1"/>
  <c r="H9897" i="3"/>
  <c r="G9897" i="3"/>
  <c r="M9896" i="3"/>
  <c r="L9896" i="3"/>
  <c r="J9896" i="3"/>
  <c r="K9896" i="3" s="1"/>
  <c r="H9896" i="3"/>
  <c r="G9896" i="3"/>
  <c r="I9896" i="3" s="1"/>
  <c r="M9895" i="3"/>
  <c r="L9895" i="3"/>
  <c r="J9895" i="3"/>
  <c r="K9895" i="3" s="1"/>
  <c r="H9895" i="3"/>
  <c r="G9895" i="3"/>
  <c r="M9894" i="3"/>
  <c r="L9894" i="3"/>
  <c r="J9894" i="3"/>
  <c r="K9894" i="3" s="1"/>
  <c r="H9894" i="3"/>
  <c r="G9894" i="3"/>
  <c r="M9893" i="3"/>
  <c r="L9893" i="3"/>
  <c r="J9893" i="3"/>
  <c r="K9893" i="3" s="1"/>
  <c r="H9893" i="3"/>
  <c r="G9893" i="3"/>
  <c r="M9892" i="3"/>
  <c r="L9892" i="3"/>
  <c r="J9892" i="3"/>
  <c r="K9892" i="3" s="1"/>
  <c r="H9892" i="3"/>
  <c r="G9892" i="3"/>
  <c r="I9892" i="3" s="1"/>
  <c r="M9891" i="3"/>
  <c r="L9891" i="3"/>
  <c r="J9891" i="3"/>
  <c r="K9891" i="3" s="1"/>
  <c r="H9891" i="3"/>
  <c r="G9891" i="3"/>
  <c r="M9890" i="3"/>
  <c r="L9890" i="3"/>
  <c r="J9890" i="3"/>
  <c r="K9890" i="3" s="1"/>
  <c r="H9890" i="3"/>
  <c r="G9890" i="3"/>
  <c r="M9937" i="3"/>
  <c r="L9937" i="3"/>
  <c r="J9937" i="3"/>
  <c r="K9937" i="3" s="1"/>
  <c r="H9937" i="3"/>
  <c r="G9937" i="3"/>
  <c r="M9936" i="3"/>
  <c r="L9936" i="3"/>
  <c r="J9936" i="3"/>
  <c r="K9936" i="3" s="1"/>
  <c r="H9936" i="3"/>
  <c r="G9936" i="3"/>
  <c r="M9935" i="3"/>
  <c r="L9935" i="3"/>
  <c r="J9935" i="3"/>
  <c r="K9935" i="3" s="1"/>
  <c r="H9935" i="3"/>
  <c r="G9935" i="3"/>
  <c r="M9934" i="3"/>
  <c r="L9934" i="3"/>
  <c r="J9934" i="3"/>
  <c r="K9934" i="3" s="1"/>
  <c r="H9934" i="3"/>
  <c r="G9934" i="3"/>
  <c r="M9933" i="3"/>
  <c r="L9933" i="3"/>
  <c r="J9933" i="3"/>
  <c r="K9933" i="3" s="1"/>
  <c r="H9933" i="3"/>
  <c r="G9933" i="3"/>
  <c r="M9932" i="3"/>
  <c r="L9932" i="3"/>
  <c r="J9932" i="3"/>
  <c r="K9932" i="3" s="1"/>
  <c r="H9932" i="3"/>
  <c r="G9932" i="3"/>
  <c r="M9931" i="3"/>
  <c r="L9931" i="3"/>
  <c r="J9931" i="3"/>
  <c r="K9931" i="3" s="1"/>
  <c r="H9931" i="3"/>
  <c r="G9931" i="3"/>
  <c r="M9930" i="3"/>
  <c r="L9930" i="3"/>
  <c r="J9930" i="3"/>
  <c r="K9930" i="3" s="1"/>
  <c r="H9930" i="3"/>
  <c r="G9930" i="3"/>
  <c r="I9930" i="3" s="1"/>
  <c r="M9929" i="3"/>
  <c r="L9929" i="3"/>
  <c r="J9929" i="3"/>
  <c r="K9929" i="3" s="1"/>
  <c r="H9929" i="3"/>
  <c r="I9929" i="3" s="1"/>
  <c r="G9929" i="3"/>
  <c r="M9928" i="3"/>
  <c r="L9928" i="3"/>
  <c r="K9928" i="3"/>
  <c r="J9928" i="3"/>
  <c r="H9928" i="3"/>
  <c r="G9928" i="3"/>
  <c r="M9927" i="3"/>
  <c r="L9927" i="3"/>
  <c r="J9927" i="3"/>
  <c r="K9927" i="3" s="1"/>
  <c r="H9927" i="3"/>
  <c r="G9927" i="3"/>
  <c r="I9927" i="3" s="1"/>
  <c r="M9926" i="3"/>
  <c r="L9926" i="3"/>
  <c r="J9926" i="3"/>
  <c r="K9926" i="3" s="1"/>
  <c r="H9926" i="3"/>
  <c r="G9926" i="3"/>
  <c r="M9925" i="3"/>
  <c r="L9925" i="3"/>
  <c r="J9925" i="3"/>
  <c r="K9925" i="3" s="1"/>
  <c r="H9925" i="3"/>
  <c r="G9925" i="3"/>
  <c r="M9924" i="3"/>
  <c r="L9924" i="3"/>
  <c r="K9924" i="3"/>
  <c r="J9924" i="3"/>
  <c r="H9924" i="3"/>
  <c r="G9924" i="3"/>
  <c r="I9924" i="3" s="1"/>
  <c r="M9923" i="3"/>
  <c r="L9923" i="3"/>
  <c r="J9923" i="3"/>
  <c r="K9923" i="3" s="1"/>
  <c r="H9923" i="3"/>
  <c r="G9923" i="3"/>
  <c r="M9922" i="3"/>
  <c r="L9922" i="3"/>
  <c r="J9922" i="3"/>
  <c r="K9922" i="3" s="1"/>
  <c r="H9922" i="3"/>
  <c r="G9922" i="3"/>
  <c r="M9921" i="3"/>
  <c r="L9921" i="3"/>
  <c r="J9921" i="3"/>
  <c r="K9921" i="3" s="1"/>
  <c r="H9921" i="3"/>
  <c r="G9921" i="3"/>
  <c r="M9920" i="3"/>
  <c r="L9920" i="3"/>
  <c r="J9920" i="3"/>
  <c r="K9920" i="3" s="1"/>
  <c r="H9920" i="3"/>
  <c r="G9920" i="3"/>
  <c r="M9919" i="3"/>
  <c r="L9919" i="3"/>
  <c r="J9919" i="3"/>
  <c r="K9919" i="3" s="1"/>
  <c r="H9919" i="3"/>
  <c r="G9919" i="3"/>
  <c r="M9918" i="3"/>
  <c r="L9918" i="3"/>
  <c r="J9918" i="3"/>
  <c r="K9918" i="3" s="1"/>
  <c r="H9918" i="3"/>
  <c r="G9918" i="3"/>
  <c r="M9917" i="3"/>
  <c r="L9917" i="3"/>
  <c r="J9917" i="3"/>
  <c r="K9917" i="3" s="1"/>
  <c r="H9917" i="3"/>
  <c r="G9917" i="3"/>
  <c r="I9917" i="3" s="1"/>
  <c r="M9916" i="3"/>
  <c r="L9916" i="3"/>
  <c r="J9916" i="3"/>
  <c r="K9916" i="3" s="1"/>
  <c r="H9916" i="3"/>
  <c r="G9916" i="3"/>
  <c r="M9915" i="3"/>
  <c r="L9915" i="3"/>
  <c r="J9915" i="3"/>
  <c r="K9915" i="3" s="1"/>
  <c r="H9915" i="3"/>
  <c r="G9915" i="3"/>
  <c r="M9914" i="3"/>
  <c r="L9914" i="3"/>
  <c r="J9914" i="3"/>
  <c r="K9914" i="3" s="1"/>
  <c r="H9914" i="3"/>
  <c r="G9914" i="3"/>
  <c r="I9914" i="3" s="1"/>
  <c r="M9961" i="3"/>
  <c r="L9961" i="3"/>
  <c r="J9961" i="3"/>
  <c r="K9961" i="3" s="1"/>
  <c r="H9961" i="3"/>
  <c r="G9961" i="3"/>
  <c r="M9960" i="3"/>
  <c r="L9960" i="3"/>
  <c r="J9960" i="3"/>
  <c r="K9960" i="3" s="1"/>
  <c r="H9960" i="3"/>
  <c r="G9960" i="3"/>
  <c r="M9959" i="3"/>
  <c r="L9959" i="3"/>
  <c r="J9959" i="3"/>
  <c r="K9959" i="3" s="1"/>
  <c r="H9959" i="3"/>
  <c r="G9959" i="3"/>
  <c r="M9958" i="3"/>
  <c r="L9958" i="3"/>
  <c r="J9958" i="3"/>
  <c r="K9958" i="3" s="1"/>
  <c r="H9958" i="3"/>
  <c r="G9958" i="3"/>
  <c r="M9957" i="3"/>
  <c r="L9957" i="3"/>
  <c r="J9957" i="3"/>
  <c r="K9957" i="3" s="1"/>
  <c r="H9957" i="3"/>
  <c r="G9957" i="3"/>
  <c r="M9956" i="3"/>
  <c r="L9956" i="3"/>
  <c r="J9956" i="3"/>
  <c r="K9956" i="3" s="1"/>
  <c r="H9956" i="3"/>
  <c r="G9956" i="3"/>
  <c r="I9956" i="3" s="1"/>
  <c r="M9955" i="3"/>
  <c r="L9955" i="3"/>
  <c r="J9955" i="3"/>
  <c r="K9955" i="3" s="1"/>
  <c r="H9955" i="3"/>
  <c r="G9955" i="3"/>
  <c r="M9954" i="3"/>
  <c r="L9954" i="3"/>
  <c r="K9954" i="3"/>
  <c r="J9954" i="3"/>
  <c r="H9954" i="3"/>
  <c r="G9954" i="3"/>
  <c r="M9953" i="3"/>
  <c r="L9953" i="3"/>
  <c r="J9953" i="3"/>
  <c r="K9953" i="3" s="1"/>
  <c r="H9953" i="3"/>
  <c r="G9953" i="3"/>
  <c r="M9952" i="3"/>
  <c r="L9952" i="3"/>
  <c r="K9952" i="3"/>
  <c r="J9952" i="3"/>
  <c r="H9952" i="3"/>
  <c r="G9952" i="3"/>
  <c r="I9952" i="3" s="1"/>
  <c r="M9951" i="3"/>
  <c r="L9951" i="3"/>
  <c r="J9951" i="3"/>
  <c r="K9951" i="3" s="1"/>
  <c r="H9951" i="3"/>
  <c r="G9951" i="3"/>
  <c r="M9950" i="3"/>
  <c r="L9950" i="3"/>
  <c r="J9950" i="3"/>
  <c r="K9950" i="3" s="1"/>
  <c r="H9950" i="3"/>
  <c r="G9950" i="3"/>
  <c r="M9949" i="3"/>
  <c r="L9949" i="3"/>
  <c r="J9949" i="3"/>
  <c r="K9949" i="3" s="1"/>
  <c r="H9949" i="3"/>
  <c r="G9949" i="3"/>
  <c r="I9949" i="3" s="1"/>
  <c r="M9948" i="3"/>
  <c r="L9948" i="3"/>
  <c r="J9948" i="3"/>
  <c r="K9948" i="3" s="1"/>
  <c r="H9948" i="3"/>
  <c r="G9948" i="3"/>
  <c r="M9947" i="3"/>
  <c r="L9947" i="3"/>
  <c r="J9947" i="3"/>
  <c r="K9947" i="3" s="1"/>
  <c r="H9947" i="3"/>
  <c r="G9947" i="3"/>
  <c r="M9946" i="3"/>
  <c r="L9946" i="3"/>
  <c r="K9946" i="3"/>
  <c r="J9946" i="3"/>
  <c r="H9946" i="3"/>
  <c r="G9946" i="3"/>
  <c r="I9946" i="3" s="1"/>
  <c r="M9945" i="3"/>
  <c r="L9945" i="3"/>
  <c r="J9945" i="3"/>
  <c r="K9945" i="3" s="1"/>
  <c r="I9945" i="3"/>
  <c r="H9945" i="3"/>
  <c r="G9945" i="3"/>
  <c r="M9944" i="3"/>
  <c r="L9944" i="3"/>
  <c r="J9944" i="3"/>
  <c r="K9944" i="3" s="1"/>
  <c r="H9944" i="3"/>
  <c r="G9944" i="3"/>
  <c r="I9944" i="3" s="1"/>
  <c r="M9943" i="3"/>
  <c r="L9943" i="3"/>
  <c r="J9943" i="3"/>
  <c r="K9943" i="3" s="1"/>
  <c r="H9943" i="3"/>
  <c r="G9943" i="3"/>
  <c r="M9942" i="3"/>
  <c r="L9942" i="3"/>
  <c r="J9942" i="3"/>
  <c r="K9942" i="3" s="1"/>
  <c r="H9942" i="3"/>
  <c r="G9942" i="3"/>
  <c r="M9941" i="3"/>
  <c r="L9941" i="3"/>
  <c r="J9941" i="3"/>
  <c r="K9941" i="3" s="1"/>
  <c r="H9941" i="3"/>
  <c r="G9941" i="3"/>
  <c r="I9941" i="3" s="1"/>
  <c r="M9940" i="3"/>
  <c r="L9940" i="3"/>
  <c r="J9940" i="3"/>
  <c r="K9940" i="3" s="1"/>
  <c r="H9940" i="3"/>
  <c r="G9940" i="3"/>
  <c r="M9939" i="3"/>
  <c r="L9939" i="3"/>
  <c r="J9939" i="3"/>
  <c r="K9939" i="3" s="1"/>
  <c r="H9939" i="3"/>
  <c r="G9939" i="3"/>
  <c r="M9938" i="3"/>
  <c r="L9938" i="3"/>
  <c r="K9938" i="3"/>
  <c r="J9938" i="3"/>
  <c r="H9938" i="3"/>
  <c r="G9938" i="3"/>
  <c r="I9938" i="3" s="1"/>
  <c r="M9985" i="3"/>
  <c r="L9985" i="3"/>
  <c r="J9985" i="3"/>
  <c r="K9985" i="3" s="1"/>
  <c r="H9985" i="3"/>
  <c r="I9985" i="3" s="1"/>
  <c r="G9985" i="3"/>
  <c r="M9984" i="3"/>
  <c r="L9984" i="3"/>
  <c r="K9984" i="3"/>
  <c r="J9984" i="3"/>
  <c r="H9984" i="3"/>
  <c r="G9984" i="3"/>
  <c r="I9984" i="3" s="1"/>
  <c r="M9983" i="3"/>
  <c r="L9983" i="3"/>
  <c r="J9983" i="3"/>
  <c r="K9983" i="3" s="1"/>
  <c r="H9983" i="3"/>
  <c r="G9983" i="3"/>
  <c r="M9982" i="3"/>
  <c r="L9982" i="3"/>
  <c r="J9982" i="3"/>
  <c r="K9982" i="3" s="1"/>
  <c r="H9982" i="3"/>
  <c r="G9982" i="3"/>
  <c r="M9981" i="3"/>
  <c r="L9981" i="3"/>
  <c r="J9981" i="3"/>
  <c r="K9981" i="3" s="1"/>
  <c r="H9981" i="3"/>
  <c r="G9981" i="3"/>
  <c r="I9981" i="3" s="1"/>
  <c r="M9980" i="3"/>
  <c r="L9980" i="3"/>
  <c r="J9980" i="3"/>
  <c r="K9980" i="3" s="1"/>
  <c r="H9980" i="3"/>
  <c r="G9980" i="3"/>
  <c r="I9980" i="3" s="1"/>
  <c r="M9979" i="3"/>
  <c r="L9979" i="3"/>
  <c r="J9979" i="3"/>
  <c r="K9979" i="3" s="1"/>
  <c r="H9979" i="3"/>
  <c r="G9979" i="3"/>
  <c r="M9978" i="3"/>
  <c r="L9978" i="3"/>
  <c r="J9978" i="3"/>
  <c r="K9978" i="3" s="1"/>
  <c r="H9978" i="3"/>
  <c r="G9978" i="3"/>
  <c r="M9977" i="3"/>
  <c r="L9977" i="3"/>
  <c r="J9977" i="3"/>
  <c r="K9977" i="3" s="1"/>
  <c r="H9977" i="3"/>
  <c r="G9977" i="3"/>
  <c r="M9976" i="3"/>
  <c r="L9976" i="3"/>
  <c r="J9976" i="3"/>
  <c r="K9976" i="3" s="1"/>
  <c r="I9976" i="3"/>
  <c r="H9976" i="3"/>
  <c r="G9976" i="3"/>
  <c r="M9975" i="3"/>
  <c r="L9975" i="3"/>
  <c r="J9975" i="3"/>
  <c r="K9975" i="3" s="1"/>
  <c r="H9975" i="3"/>
  <c r="G9975" i="3"/>
  <c r="I9975" i="3" s="1"/>
  <c r="M9974" i="3"/>
  <c r="L9974" i="3"/>
  <c r="J9974" i="3"/>
  <c r="K9974" i="3" s="1"/>
  <c r="H9974" i="3"/>
  <c r="G9974" i="3"/>
  <c r="M9973" i="3"/>
  <c r="L9973" i="3"/>
  <c r="J9973" i="3"/>
  <c r="K9973" i="3" s="1"/>
  <c r="H9973" i="3"/>
  <c r="I9973" i="3" s="1"/>
  <c r="G9973" i="3"/>
  <c r="M9972" i="3"/>
  <c r="L9972" i="3"/>
  <c r="K9972" i="3"/>
  <c r="J9972" i="3"/>
  <c r="H9972" i="3"/>
  <c r="G9972" i="3"/>
  <c r="M9971" i="3"/>
  <c r="L9971" i="3"/>
  <c r="J9971" i="3"/>
  <c r="K9971" i="3" s="1"/>
  <c r="H9971" i="3"/>
  <c r="G9971" i="3"/>
  <c r="M9970" i="3"/>
  <c r="L9970" i="3"/>
  <c r="K9970" i="3"/>
  <c r="J9970" i="3"/>
  <c r="H9970" i="3"/>
  <c r="G9970" i="3"/>
  <c r="M9969" i="3"/>
  <c r="L9969" i="3"/>
  <c r="J9969" i="3"/>
  <c r="K9969" i="3" s="1"/>
  <c r="H9969" i="3"/>
  <c r="G9969" i="3"/>
  <c r="M9968" i="3"/>
  <c r="L9968" i="3"/>
  <c r="J9968" i="3"/>
  <c r="K9968" i="3" s="1"/>
  <c r="H9968" i="3"/>
  <c r="G9968" i="3"/>
  <c r="M9967" i="3"/>
  <c r="L9967" i="3"/>
  <c r="J9967" i="3"/>
  <c r="K9967" i="3" s="1"/>
  <c r="H9967" i="3"/>
  <c r="G9967" i="3"/>
  <c r="M9966" i="3"/>
  <c r="L9966" i="3"/>
  <c r="K9966" i="3"/>
  <c r="J9966" i="3"/>
  <c r="H9966" i="3"/>
  <c r="G9966" i="3"/>
  <c r="M9965" i="3"/>
  <c r="L9965" i="3"/>
  <c r="J9965" i="3"/>
  <c r="K9965" i="3" s="1"/>
  <c r="H9965" i="3"/>
  <c r="G9965" i="3"/>
  <c r="M9964" i="3"/>
  <c r="L9964" i="3"/>
  <c r="J9964" i="3"/>
  <c r="K9964" i="3" s="1"/>
  <c r="H9964" i="3"/>
  <c r="G9964" i="3"/>
  <c r="M9963" i="3"/>
  <c r="L9963" i="3"/>
  <c r="J9963" i="3"/>
  <c r="K9963" i="3" s="1"/>
  <c r="H9963" i="3"/>
  <c r="G9963" i="3"/>
  <c r="I9963" i="3" s="1"/>
  <c r="M9962" i="3"/>
  <c r="L9962" i="3"/>
  <c r="J9962" i="3"/>
  <c r="K9962" i="3" s="1"/>
  <c r="H9962" i="3"/>
  <c r="G9962" i="3"/>
  <c r="M10009" i="3"/>
  <c r="L10009" i="3"/>
  <c r="J10009" i="3"/>
  <c r="K10009" i="3" s="1"/>
  <c r="H10009" i="3"/>
  <c r="G10009" i="3"/>
  <c r="M10008" i="3"/>
  <c r="L10008" i="3"/>
  <c r="J10008" i="3"/>
  <c r="K10008" i="3" s="1"/>
  <c r="H10008" i="3"/>
  <c r="G10008" i="3"/>
  <c r="I10008" i="3" s="1"/>
  <c r="M10007" i="3"/>
  <c r="L10007" i="3"/>
  <c r="J10007" i="3"/>
  <c r="K10007" i="3" s="1"/>
  <c r="H10007" i="3"/>
  <c r="G10007" i="3"/>
  <c r="M10006" i="3"/>
  <c r="L10006" i="3"/>
  <c r="J10006" i="3"/>
  <c r="K10006" i="3" s="1"/>
  <c r="H10006" i="3"/>
  <c r="G10006" i="3"/>
  <c r="M10005" i="3"/>
  <c r="L10005" i="3"/>
  <c r="J10005" i="3"/>
  <c r="K10005" i="3" s="1"/>
  <c r="H10005" i="3"/>
  <c r="G10005" i="3"/>
  <c r="M10004" i="3"/>
  <c r="L10004" i="3"/>
  <c r="J10004" i="3"/>
  <c r="K10004" i="3" s="1"/>
  <c r="I10004" i="3"/>
  <c r="H10004" i="3"/>
  <c r="G10004" i="3"/>
  <c r="M10003" i="3"/>
  <c r="L10003" i="3"/>
  <c r="J10003" i="3"/>
  <c r="K10003" i="3" s="1"/>
  <c r="H10003" i="3"/>
  <c r="G10003" i="3"/>
  <c r="M10002" i="3"/>
  <c r="L10002" i="3"/>
  <c r="J10002" i="3"/>
  <c r="K10002" i="3" s="1"/>
  <c r="H10002" i="3"/>
  <c r="G10002" i="3"/>
  <c r="I10002" i="3" s="1"/>
  <c r="M10001" i="3"/>
  <c r="L10001" i="3"/>
  <c r="J10001" i="3"/>
  <c r="K10001" i="3" s="1"/>
  <c r="H10001" i="3"/>
  <c r="G10001" i="3"/>
  <c r="M10000" i="3"/>
  <c r="L10000" i="3"/>
  <c r="J10000" i="3"/>
  <c r="K10000" i="3" s="1"/>
  <c r="H10000" i="3"/>
  <c r="G10000" i="3"/>
  <c r="M9999" i="3"/>
  <c r="L9999" i="3"/>
  <c r="J9999" i="3"/>
  <c r="K9999" i="3" s="1"/>
  <c r="H9999" i="3"/>
  <c r="G9999" i="3"/>
  <c r="M9998" i="3"/>
  <c r="L9998" i="3"/>
  <c r="K9998" i="3"/>
  <c r="J9998" i="3"/>
  <c r="H9998" i="3"/>
  <c r="G9998" i="3"/>
  <c r="M9997" i="3"/>
  <c r="L9997" i="3"/>
  <c r="J9997" i="3"/>
  <c r="K9997" i="3" s="1"/>
  <c r="H9997" i="3"/>
  <c r="I9997" i="3" s="1"/>
  <c r="G9997" i="3"/>
  <c r="M9996" i="3"/>
  <c r="L9996" i="3"/>
  <c r="K9996" i="3"/>
  <c r="J9996" i="3"/>
  <c r="H9996" i="3"/>
  <c r="G9996" i="3"/>
  <c r="I9996" i="3" s="1"/>
  <c r="M9995" i="3"/>
  <c r="L9995" i="3"/>
  <c r="J9995" i="3"/>
  <c r="K9995" i="3" s="1"/>
  <c r="H9995" i="3"/>
  <c r="G9995" i="3"/>
  <c r="M9994" i="3"/>
  <c r="L9994" i="3"/>
  <c r="J9994" i="3"/>
  <c r="K9994" i="3" s="1"/>
  <c r="H9994" i="3"/>
  <c r="G9994" i="3"/>
  <c r="M9993" i="3"/>
  <c r="L9993" i="3"/>
  <c r="J9993" i="3"/>
  <c r="K9993" i="3" s="1"/>
  <c r="H9993" i="3"/>
  <c r="G9993" i="3"/>
  <c r="I9993" i="3" s="1"/>
  <c r="M9992" i="3"/>
  <c r="L9992" i="3"/>
  <c r="J9992" i="3"/>
  <c r="K9992" i="3" s="1"/>
  <c r="H9992" i="3"/>
  <c r="I9992" i="3" s="1"/>
  <c r="G9992" i="3"/>
  <c r="M9991" i="3"/>
  <c r="L9991" i="3"/>
  <c r="K9991" i="3"/>
  <c r="J9991" i="3"/>
  <c r="H9991" i="3"/>
  <c r="G9991" i="3"/>
  <c r="I9991" i="3" s="1"/>
  <c r="M9990" i="3"/>
  <c r="L9990" i="3"/>
  <c r="J9990" i="3"/>
  <c r="K9990" i="3" s="1"/>
  <c r="H9990" i="3"/>
  <c r="G9990" i="3"/>
  <c r="M9989" i="3"/>
  <c r="L9989" i="3"/>
  <c r="J9989" i="3"/>
  <c r="K9989" i="3" s="1"/>
  <c r="H9989" i="3"/>
  <c r="G9989" i="3"/>
  <c r="M9988" i="3"/>
  <c r="L9988" i="3"/>
  <c r="J9988" i="3"/>
  <c r="K9988" i="3" s="1"/>
  <c r="H9988" i="3"/>
  <c r="G9988" i="3"/>
  <c r="I9988" i="3" s="1"/>
  <c r="M9987" i="3"/>
  <c r="L9987" i="3"/>
  <c r="J9987" i="3"/>
  <c r="K9987" i="3" s="1"/>
  <c r="H9987" i="3"/>
  <c r="G9987" i="3"/>
  <c r="I9987" i="3" s="1"/>
  <c r="M9986" i="3"/>
  <c r="L9986" i="3"/>
  <c r="J9986" i="3"/>
  <c r="K9986" i="3" s="1"/>
  <c r="H9986" i="3"/>
  <c r="G9986" i="3"/>
  <c r="M10033" i="3"/>
  <c r="L10033" i="3"/>
  <c r="J10033" i="3"/>
  <c r="K10033" i="3" s="1"/>
  <c r="H10033" i="3"/>
  <c r="G10033" i="3"/>
  <c r="M10032" i="3"/>
  <c r="L10032" i="3"/>
  <c r="J10032" i="3"/>
  <c r="K10032" i="3" s="1"/>
  <c r="H10032" i="3"/>
  <c r="G10032" i="3"/>
  <c r="M10031" i="3"/>
  <c r="L10031" i="3"/>
  <c r="J10031" i="3"/>
  <c r="K10031" i="3" s="1"/>
  <c r="H10031" i="3"/>
  <c r="G10031" i="3"/>
  <c r="I10031" i="3" s="1"/>
  <c r="M10030" i="3"/>
  <c r="L10030" i="3"/>
  <c r="J10030" i="3"/>
  <c r="K10030" i="3" s="1"/>
  <c r="H10030" i="3"/>
  <c r="G10030" i="3"/>
  <c r="M10029" i="3"/>
  <c r="L10029" i="3"/>
  <c r="J10029" i="3"/>
  <c r="K10029" i="3" s="1"/>
  <c r="H10029" i="3"/>
  <c r="I10029" i="3" s="1"/>
  <c r="G10029" i="3"/>
  <c r="M10028" i="3"/>
  <c r="L10028" i="3"/>
  <c r="K10028" i="3"/>
  <c r="J10028" i="3"/>
  <c r="H10028" i="3"/>
  <c r="G10028" i="3"/>
  <c r="I10028" i="3" s="1"/>
  <c r="M10027" i="3"/>
  <c r="L10027" i="3"/>
  <c r="J10027" i="3"/>
  <c r="K10027" i="3" s="1"/>
  <c r="H10027" i="3"/>
  <c r="G10027" i="3"/>
  <c r="M10026" i="3"/>
  <c r="L10026" i="3"/>
  <c r="J10026" i="3"/>
  <c r="K10026" i="3" s="1"/>
  <c r="I10026" i="3"/>
  <c r="H10026" i="3"/>
  <c r="G10026" i="3"/>
  <c r="M10025" i="3"/>
  <c r="L10025" i="3"/>
  <c r="J10025" i="3"/>
  <c r="K10025" i="3" s="1"/>
  <c r="H10025" i="3"/>
  <c r="G10025" i="3"/>
  <c r="M10024" i="3"/>
  <c r="L10024" i="3"/>
  <c r="J10024" i="3"/>
  <c r="K10024" i="3" s="1"/>
  <c r="H10024" i="3"/>
  <c r="G10024" i="3"/>
  <c r="M10023" i="3"/>
  <c r="L10023" i="3"/>
  <c r="J10023" i="3"/>
  <c r="K10023" i="3" s="1"/>
  <c r="H10023" i="3"/>
  <c r="G10023" i="3"/>
  <c r="M10022" i="3"/>
  <c r="L10022" i="3"/>
  <c r="J10022" i="3"/>
  <c r="K10022" i="3" s="1"/>
  <c r="H10022" i="3"/>
  <c r="G10022" i="3"/>
  <c r="I10022" i="3" s="1"/>
  <c r="M10021" i="3"/>
  <c r="L10021" i="3"/>
  <c r="J10021" i="3"/>
  <c r="K10021" i="3" s="1"/>
  <c r="H10021" i="3"/>
  <c r="G10021" i="3"/>
  <c r="M10020" i="3"/>
  <c r="L10020" i="3"/>
  <c r="J10020" i="3"/>
  <c r="K10020" i="3" s="1"/>
  <c r="H10020" i="3"/>
  <c r="G10020" i="3"/>
  <c r="M10019" i="3"/>
  <c r="L10019" i="3"/>
  <c r="J10019" i="3"/>
  <c r="K10019" i="3" s="1"/>
  <c r="H10019" i="3"/>
  <c r="G10019" i="3"/>
  <c r="M10018" i="3"/>
  <c r="L10018" i="3"/>
  <c r="J10018" i="3"/>
  <c r="K10018" i="3" s="1"/>
  <c r="H10018" i="3"/>
  <c r="G10018" i="3"/>
  <c r="I10018" i="3" s="1"/>
  <c r="M10017" i="3"/>
  <c r="L10017" i="3"/>
  <c r="J10017" i="3"/>
  <c r="K10017" i="3" s="1"/>
  <c r="H10017" i="3"/>
  <c r="G10017" i="3"/>
  <c r="M10016" i="3"/>
  <c r="L10016" i="3"/>
  <c r="J10016" i="3"/>
  <c r="K10016" i="3" s="1"/>
  <c r="H10016" i="3"/>
  <c r="G10016" i="3"/>
  <c r="M10015" i="3"/>
  <c r="L10015" i="3"/>
  <c r="J10015" i="3"/>
  <c r="K10015" i="3" s="1"/>
  <c r="H10015" i="3"/>
  <c r="G10015" i="3"/>
  <c r="I10015" i="3" s="1"/>
  <c r="M10014" i="3"/>
  <c r="L10014" i="3"/>
  <c r="J10014" i="3"/>
  <c r="K10014" i="3" s="1"/>
  <c r="H10014" i="3"/>
  <c r="G10014" i="3"/>
  <c r="M10013" i="3"/>
  <c r="L10013" i="3"/>
  <c r="J10013" i="3"/>
  <c r="K10013" i="3" s="1"/>
  <c r="H10013" i="3"/>
  <c r="I10013" i="3" s="1"/>
  <c r="G10013" i="3"/>
  <c r="M10012" i="3"/>
  <c r="L10012" i="3"/>
  <c r="K10012" i="3"/>
  <c r="J10012" i="3"/>
  <c r="H10012" i="3"/>
  <c r="G10012" i="3"/>
  <c r="I10012" i="3" s="1"/>
  <c r="M10011" i="3"/>
  <c r="L10011" i="3"/>
  <c r="J10011" i="3"/>
  <c r="K10011" i="3" s="1"/>
  <c r="H10011" i="3"/>
  <c r="G10011" i="3"/>
  <c r="M10010" i="3"/>
  <c r="L10010" i="3"/>
  <c r="J10010" i="3"/>
  <c r="K10010" i="3" s="1"/>
  <c r="I10010" i="3"/>
  <c r="H10010" i="3"/>
  <c r="G10010" i="3"/>
  <c r="M10057" i="3"/>
  <c r="L10057" i="3"/>
  <c r="J10057" i="3"/>
  <c r="K10057" i="3" s="1"/>
  <c r="H10057" i="3"/>
  <c r="G10057" i="3"/>
  <c r="I10057" i="3" s="1"/>
  <c r="M10056" i="3"/>
  <c r="L10056" i="3"/>
  <c r="J10056" i="3"/>
  <c r="K10056" i="3" s="1"/>
  <c r="H10056" i="3"/>
  <c r="I10056" i="3" s="1"/>
  <c r="G10056" i="3"/>
  <c r="M10055" i="3"/>
  <c r="L10055" i="3"/>
  <c r="J10055" i="3"/>
  <c r="K10055" i="3" s="1"/>
  <c r="H10055" i="3"/>
  <c r="G10055" i="3"/>
  <c r="M10054" i="3"/>
  <c r="L10054" i="3"/>
  <c r="J10054" i="3"/>
  <c r="K10054" i="3" s="1"/>
  <c r="H10054" i="3"/>
  <c r="G10054" i="3"/>
  <c r="M10053" i="3"/>
  <c r="L10053" i="3"/>
  <c r="J10053" i="3"/>
  <c r="K10053" i="3" s="1"/>
  <c r="H10053" i="3"/>
  <c r="G10053" i="3"/>
  <c r="M10052" i="3"/>
  <c r="L10052" i="3"/>
  <c r="J10052" i="3"/>
  <c r="K10052" i="3" s="1"/>
  <c r="H10052" i="3"/>
  <c r="G10052" i="3"/>
  <c r="M10051" i="3"/>
  <c r="L10051" i="3"/>
  <c r="J10051" i="3"/>
  <c r="K10051" i="3" s="1"/>
  <c r="H10051" i="3"/>
  <c r="G10051" i="3"/>
  <c r="M10050" i="3"/>
  <c r="L10050" i="3"/>
  <c r="J10050" i="3"/>
  <c r="K10050" i="3" s="1"/>
  <c r="H10050" i="3"/>
  <c r="G10050" i="3"/>
  <c r="I10050" i="3" s="1"/>
  <c r="M10049" i="3"/>
  <c r="L10049" i="3"/>
  <c r="J10049" i="3"/>
  <c r="K10049" i="3" s="1"/>
  <c r="H10049" i="3"/>
  <c r="G10049" i="3"/>
  <c r="I10049" i="3" s="1"/>
  <c r="M10048" i="3"/>
  <c r="L10048" i="3"/>
  <c r="J10048" i="3"/>
  <c r="K10048" i="3" s="1"/>
  <c r="H10048" i="3"/>
  <c r="I10048" i="3" s="1"/>
  <c r="G10048" i="3"/>
  <c r="M10047" i="3"/>
  <c r="L10047" i="3"/>
  <c r="J10047" i="3"/>
  <c r="K10047" i="3" s="1"/>
  <c r="H10047" i="3"/>
  <c r="G10047" i="3"/>
  <c r="M10046" i="3"/>
  <c r="L10046" i="3"/>
  <c r="J10046" i="3"/>
  <c r="K10046" i="3" s="1"/>
  <c r="H10046" i="3"/>
  <c r="G10046" i="3"/>
  <c r="I10046" i="3" s="1"/>
  <c r="M10045" i="3"/>
  <c r="L10045" i="3"/>
  <c r="J10045" i="3"/>
  <c r="K10045" i="3" s="1"/>
  <c r="H10045" i="3"/>
  <c r="G10045" i="3"/>
  <c r="M10044" i="3"/>
  <c r="L10044" i="3"/>
  <c r="J10044" i="3"/>
  <c r="K10044" i="3" s="1"/>
  <c r="H10044" i="3"/>
  <c r="G10044" i="3"/>
  <c r="M10043" i="3"/>
  <c r="L10043" i="3"/>
  <c r="J10043" i="3"/>
  <c r="K10043" i="3" s="1"/>
  <c r="H10043" i="3"/>
  <c r="G10043" i="3"/>
  <c r="M10042" i="3"/>
  <c r="L10042" i="3"/>
  <c r="J10042" i="3"/>
  <c r="K10042" i="3" s="1"/>
  <c r="H10042" i="3"/>
  <c r="G10042" i="3"/>
  <c r="I10042" i="3" s="1"/>
  <c r="M10041" i="3"/>
  <c r="L10041" i="3"/>
  <c r="J10041" i="3"/>
  <c r="K10041" i="3" s="1"/>
  <c r="H10041" i="3"/>
  <c r="G10041" i="3"/>
  <c r="I10041" i="3" s="1"/>
  <c r="M10040" i="3"/>
  <c r="L10040" i="3"/>
  <c r="J10040" i="3"/>
  <c r="K10040" i="3" s="1"/>
  <c r="H10040" i="3"/>
  <c r="I10040" i="3" s="1"/>
  <c r="G10040" i="3"/>
  <c r="M10039" i="3"/>
  <c r="L10039" i="3"/>
  <c r="J10039" i="3"/>
  <c r="K10039" i="3" s="1"/>
  <c r="H10039" i="3"/>
  <c r="G10039" i="3"/>
  <c r="M10038" i="3"/>
  <c r="L10038" i="3"/>
  <c r="J10038" i="3"/>
  <c r="K10038" i="3" s="1"/>
  <c r="H10038" i="3"/>
  <c r="G10038" i="3"/>
  <c r="I10038" i="3" s="1"/>
  <c r="M10037" i="3"/>
  <c r="L10037" i="3"/>
  <c r="J10037" i="3"/>
  <c r="K10037" i="3" s="1"/>
  <c r="H10037" i="3"/>
  <c r="G10037" i="3"/>
  <c r="M10036" i="3"/>
  <c r="L10036" i="3"/>
  <c r="J10036" i="3"/>
  <c r="K10036" i="3" s="1"/>
  <c r="H10036" i="3"/>
  <c r="G10036" i="3"/>
  <c r="M10035" i="3"/>
  <c r="L10035" i="3"/>
  <c r="J10035" i="3"/>
  <c r="K10035" i="3" s="1"/>
  <c r="H10035" i="3"/>
  <c r="G10035" i="3"/>
  <c r="M10034" i="3"/>
  <c r="L10034" i="3"/>
  <c r="J10034" i="3"/>
  <c r="K10034" i="3" s="1"/>
  <c r="H10034" i="3"/>
  <c r="G10034" i="3"/>
  <c r="I10034" i="3" s="1"/>
  <c r="M10081" i="3"/>
  <c r="L10081" i="3"/>
  <c r="J10081" i="3"/>
  <c r="K10081" i="3" s="1"/>
  <c r="H10081" i="3"/>
  <c r="G10081" i="3"/>
  <c r="M10080" i="3"/>
  <c r="L10080" i="3"/>
  <c r="J10080" i="3"/>
  <c r="K10080" i="3" s="1"/>
  <c r="I10080" i="3"/>
  <c r="H10080" i="3"/>
  <c r="G10080" i="3"/>
  <c r="M10079" i="3"/>
  <c r="L10079" i="3"/>
  <c r="J10079" i="3"/>
  <c r="K10079" i="3" s="1"/>
  <c r="H10079" i="3"/>
  <c r="G10079" i="3"/>
  <c r="M10078" i="3"/>
  <c r="L10078" i="3"/>
  <c r="J10078" i="3"/>
  <c r="K10078" i="3" s="1"/>
  <c r="H10078" i="3"/>
  <c r="G10078" i="3"/>
  <c r="M10077" i="3"/>
  <c r="L10077" i="3"/>
  <c r="J10077" i="3"/>
  <c r="K10077" i="3" s="1"/>
  <c r="H10077" i="3"/>
  <c r="G10077" i="3"/>
  <c r="M10076" i="3"/>
  <c r="L10076" i="3"/>
  <c r="J10076" i="3"/>
  <c r="K10076" i="3" s="1"/>
  <c r="H10076" i="3"/>
  <c r="I10076" i="3" s="1"/>
  <c r="G10076" i="3"/>
  <c r="M10075" i="3"/>
  <c r="L10075" i="3"/>
  <c r="J10075" i="3"/>
  <c r="K10075" i="3" s="1"/>
  <c r="H10075" i="3"/>
  <c r="G10075" i="3"/>
  <c r="M10074" i="3"/>
  <c r="L10074" i="3"/>
  <c r="J10074" i="3"/>
  <c r="K10074" i="3" s="1"/>
  <c r="H10074" i="3"/>
  <c r="G10074" i="3"/>
  <c r="I10074" i="3" s="1"/>
  <c r="M10073" i="3"/>
  <c r="L10073" i="3"/>
  <c r="J10073" i="3"/>
  <c r="K10073" i="3" s="1"/>
  <c r="H10073" i="3"/>
  <c r="I10073" i="3" s="1"/>
  <c r="G10073" i="3"/>
  <c r="M10072" i="3"/>
  <c r="L10072" i="3"/>
  <c r="K10072" i="3"/>
  <c r="J10072" i="3"/>
  <c r="H10072" i="3"/>
  <c r="G10072" i="3"/>
  <c r="M10071" i="3"/>
  <c r="L10071" i="3"/>
  <c r="J10071" i="3"/>
  <c r="K10071" i="3" s="1"/>
  <c r="H10071" i="3"/>
  <c r="G10071" i="3"/>
  <c r="M10070" i="3"/>
  <c r="L10070" i="3"/>
  <c r="J10070" i="3"/>
  <c r="K10070" i="3" s="1"/>
  <c r="H10070" i="3"/>
  <c r="G10070" i="3"/>
  <c r="M10069" i="3"/>
  <c r="L10069" i="3"/>
  <c r="J10069" i="3"/>
  <c r="K10069" i="3" s="1"/>
  <c r="H10069" i="3"/>
  <c r="G10069" i="3"/>
  <c r="M10068" i="3"/>
  <c r="L10068" i="3"/>
  <c r="J10068" i="3"/>
  <c r="K10068" i="3" s="1"/>
  <c r="H10068" i="3"/>
  <c r="G10068" i="3"/>
  <c r="I10068" i="3" s="1"/>
  <c r="M10067" i="3"/>
  <c r="L10067" i="3"/>
  <c r="J10067" i="3"/>
  <c r="K10067" i="3" s="1"/>
  <c r="H10067" i="3"/>
  <c r="G10067" i="3"/>
  <c r="M10066" i="3"/>
  <c r="L10066" i="3"/>
  <c r="J10066" i="3"/>
  <c r="K10066" i="3" s="1"/>
  <c r="H10066" i="3"/>
  <c r="G10066" i="3"/>
  <c r="M10065" i="3"/>
  <c r="L10065" i="3"/>
  <c r="J10065" i="3"/>
  <c r="K10065" i="3" s="1"/>
  <c r="H10065" i="3"/>
  <c r="G10065" i="3"/>
  <c r="M10064" i="3"/>
  <c r="L10064" i="3"/>
  <c r="J10064" i="3"/>
  <c r="K10064" i="3" s="1"/>
  <c r="H10064" i="3"/>
  <c r="G10064" i="3"/>
  <c r="I10064" i="3" s="1"/>
  <c r="M10063" i="3"/>
  <c r="L10063" i="3"/>
  <c r="J10063" i="3"/>
  <c r="K10063" i="3" s="1"/>
  <c r="H10063" i="3"/>
  <c r="G10063" i="3"/>
  <c r="M10062" i="3"/>
  <c r="L10062" i="3"/>
  <c r="J10062" i="3"/>
  <c r="K10062" i="3" s="1"/>
  <c r="H10062" i="3"/>
  <c r="G10062" i="3"/>
  <c r="M10061" i="3"/>
  <c r="L10061" i="3"/>
  <c r="J10061" i="3"/>
  <c r="K10061" i="3" s="1"/>
  <c r="H10061" i="3"/>
  <c r="G10061" i="3"/>
  <c r="M10060" i="3"/>
  <c r="L10060" i="3"/>
  <c r="J10060" i="3"/>
  <c r="K10060" i="3" s="1"/>
  <c r="H10060" i="3"/>
  <c r="I10060" i="3" s="1"/>
  <c r="G10060" i="3"/>
  <c r="M10059" i="3"/>
  <c r="L10059" i="3"/>
  <c r="J10059" i="3"/>
  <c r="K10059" i="3" s="1"/>
  <c r="H10059" i="3"/>
  <c r="G10059" i="3"/>
  <c r="M10058" i="3"/>
  <c r="L10058" i="3"/>
  <c r="J10058" i="3"/>
  <c r="K10058" i="3" s="1"/>
  <c r="H10058" i="3"/>
  <c r="G10058" i="3"/>
  <c r="M10105" i="3"/>
  <c r="L10105" i="3"/>
  <c r="J10105" i="3"/>
  <c r="K10105" i="3" s="1"/>
  <c r="H10105" i="3"/>
  <c r="G10105" i="3"/>
  <c r="M10104" i="3"/>
  <c r="L10104" i="3"/>
  <c r="J10104" i="3"/>
  <c r="K10104" i="3" s="1"/>
  <c r="H10104" i="3"/>
  <c r="G10104" i="3"/>
  <c r="M10103" i="3"/>
  <c r="L10103" i="3"/>
  <c r="J10103" i="3"/>
  <c r="K10103" i="3" s="1"/>
  <c r="H10103" i="3"/>
  <c r="G10103" i="3"/>
  <c r="M10102" i="3"/>
  <c r="L10102" i="3"/>
  <c r="J10102" i="3"/>
  <c r="K10102" i="3" s="1"/>
  <c r="H10102" i="3"/>
  <c r="G10102" i="3"/>
  <c r="I10102" i="3" s="1"/>
  <c r="M10101" i="3"/>
  <c r="L10101" i="3"/>
  <c r="J10101" i="3"/>
  <c r="K10101" i="3" s="1"/>
  <c r="H10101" i="3"/>
  <c r="G10101" i="3"/>
  <c r="M10100" i="3"/>
  <c r="L10100" i="3"/>
  <c r="J10100" i="3"/>
  <c r="K10100" i="3" s="1"/>
  <c r="H10100" i="3"/>
  <c r="G10100" i="3"/>
  <c r="M10099" i="3"/>
  <c r="L10099" i="3"/>
  <c r="J10099" i="3"/>
  <c r="K10099" i="3" s="1"/>
  <c r="H10099" i="3"/>
  <c r="G10099" i="3"/>
  <c r="I10099" i="3" s="1"/>
  <c r="M10098" i="3"/>
  <c r="L10098" i="3"/>
  <c r="J10098" i="3"/>
  <c r="K10098" i="3" s="1"/>
  <c r="H10098" i="3"/>
  <c r="G10098" i="3"/>
  <c r="M10097" i="3"/>
  <c r="L10097" i="3"/>
  <c r="J10097" i="3"/>
  <c r="K10097" i="3" s="1"/>
  <c r="H10097" i="3"/>
  <c r="G10097" i="3"/>
  <c r="M10096" i="3"/>
  <c r="L10096" i="3"/>
  <c r="J10096" i="3"/>
  <c r="K10096" i="3" s="1"/>
  <c r="H10096" i="3"/>
  <c r="G10096" i="3"/>
  <c r="M10095" i="3"/>
  <c r="L10095" i="3"/>
  <c r="J10095" i="3"/>
  <c r="K10095" i="3" s="1"/>
  <c r="H10095" i="3"/>
  <c r="G10095" i="3"/>
  <c r="I10095" i="3" s="1"/>
  <c r="M10094" i="3"/>
  <c r="L10094" i="3"/>
  <c r="J10094" i="3"/>
  <c r="K10094" i="3" s="1"/>
  <c r="H10094" i="3"/>
  <c r="G10094" i="3"/>
  <c r="M10093" i="3"/>
  <c r="L10093" i="3"/>
  <c r="J10093" i="3"/>
  <c r="K10093" i="3" s="1"/>
  <c r="H10093" i="3"/>
  <c r="G10093" i="3"/>
  <c r="M10092" i="3"/>
  <c r="L10092" i="3"/>
  <c r="K10092" i="3"/>
  <c r="J10092" i="3"/>
  <c r="H10092" i="3"/>
  <c r="G10092" i="3"/>
  <c r="I10092" i="3" s="1"/>
  <c r="M10091" i="3"/>
  <c r="L10091" i="3"/>
  <c r="J10091" i="3"/>
  <c r="K10091" i="3" s="1"/>
  <c r="H10091" i="3"/>
  <c r="G10091" i="3"/>
  <c r="M10090" i="3"/>
  <c r="L10090" i="3"/>
  <c r="J10090" i="3"/>
  <c r="K10090" i="3" s="1"/>
  <c r="H10090" i="3"/>
  <c r="G10090" i="3"/>
  <c r="M10089" i="3"/>
  <c r="L10089" i="3"/>
  <c r="J10089" i="3"/>
  <c r="K10089" i="3" s="1"/>
  <c r="H10089" i="3"/>
  <c r="G10089" i="3"/>
  <c r="M10088" i="3"/>
  <c r="L10088" i="3"/>
  <c r="J10088" i="3"/>
  <c r="K10088" i="3" s="1"/>
  <c r="H10088" i="3"/>
  <c r="G10088" i="3"/>
  <c r="I10088" i="3" s="1"/>
  <c r="M10087" i="3"/>
  <c r="L10087" i="3"/>
  <c r="J10087" i="3"/>
  <c r="K10087" i="3" s="1"/>
  <c r="H10087" i="3"/>
  <c r="G10087" i="3"/>
  <c r="M10086" i="3"/>
  <c r="L10086" i="3"/>
  <c r="J10086" i="3"/>
  <c r="K10086" i="3" s="1"/>
  <c r="H10086" i="3"/>
  <c r="G10086" i="3"/>
  <c r="M10085" i="3"/>
  <c r="L10085" i="3"/>
  <c r="J10085" i="3"/>
  <c r="K10085" i="3" s="1"/>
  <c r="H10085" i="3"/>
  <c r="G10085" i="3"/>
  <c r="M10084" i="3"/>
  <c r="L10084" i="3"/>
  <c r="J10084" i="3"/>
  <c r="K10084" i="3" s="1"/>
  <c r="H10084" i="3"/>
  <c r="G10084" i="3"/>
  <c r="M10083" i="3"/>
  <c r="L10083" i="3"/>
  <c r="J10083" i="3"/>
  <c r="K10083" i="3" s="1"/>
  <c r="H10083" i="3"/>
  <c r="G10083" i="3"/>
  <c r="M10082" i="3"/>
  <c r="L10082" i="3"/>
  <c r="J10082" i="3"/>
  <c r="K10082" i="3" s="1"/>
  <c r="H10082" i="3"/>
  <c r="G10082" i="3"/>
  <c r="M10129" i="3"/>
  <c r="L10129" i="3"/>
  <c r="J10129" i="3"/>
  <c r="K10129" i="3" s="1"/>
  <c r="H10129" i="3"/>
  <c r="G10129" i="3"/>
  <c r="M10128" i="3"/>
  <c r="L10128" i="3"/>
  <c r="J10128" i="3"/>
  <c r="K10128" i="3" s="1"/>
  <c r="H10128" i="3"/>
  <c r="I10128" i="3" s="1"/>
  <c r="G10128" i="3"/>
  <c r="M10127" i="3"/>
  <c r="L10127" i="3"/>
  <c r="J10127" i="3"/>
  <c r="K10127" i="3" s="1"/>
  <c r="H10127" i="3"/>
  <c r="G10127" i="3"/>
  <c r="M10126" i="3"/>
  <c r="L10126" i="3"/>
  <c r="J10126" i="3"/>
  <c r="K10126" i="3" s="1"/>
  <c r="H10126" i="3"/>
  <c r="G10126" i="3"/>
  <c r="M10125" i="3"/>
  <c r="L10125" i="3"/>
  <c r="J10125" i="3"/>
  <c r="K10125" i="3" s="1"/>
  <c r="H10125" i="3"/>
  <c r="G10125" i="3"/>
  <c r="M10124" i="3"/>
  <c r="L10124" i="3"/>
  <c r="J10124" i="3"/>
  <c r="K10124" i="3" s="1"/>
  <c r="H10124" i="3"/>
  <c r="G10124" i="3"/>
  <c r="M10123" i="3"/>
  <c r="L10123" i="3"/>
  <c r="J10123" i="3"/>
  <c r="K10123" i="3" s="1"/>
  <c r="H10123" i="3"/>
  <c r="G10123" i="3"/>
  <c r="M10122" i="3"/>
  <c r="L10122" i="3"/>
  <c r="J10122" i="3"/>
  <c r="K10122" i="3" s="1"/>
  <c r="H10122" i="3"/>
  <c r="G10122" i="3"/>
  <c r="M10121" i="3"/>
  <c r="L10121" i="3"/>
  <c r="J10121" i="3"/>
  <c r="K10121" i="3" s="1"/>
  <c r="H10121" i="3"/>
  <c r="G10121" i="3"/>
  <c r="M10120" i="3"/>
  <c r="L10120" i="3"/>
  <c r="K10120" i="3"/>
  <c r="J10120" i="3"/>
  <c r="H10120" i="3"/>
  <c r="G10120" i="3"/>
  <c r="M10119" i="3"/>
  <c r="L10119" i="3"/>
  <c r="J10119" i="3"/>
  <c r="K10119" i="3" s="1"/>
  <c r="H10119" i="3"/>
  <c r="G10119" i="3"/>
  <c r="I10119" i="3" s="1"/>
  <c r="M10118" i="3"/>
  <c r="L10118" i="3"/>
  <c r="J10118" i="3"/>
  <c r="K10118" i="3" s="1"/>
  <c r="H10118" i="3"/>
  <c r="G10118" i="3"/>
  <c r="M10117" i="3"/>
  <c r="L10117" i="3"/>
  <c r="J10117" i="3"/>
  <c r="K10117" i="3" s="1"/>
  <c r="H10117" i="3"/>
  <c r="G10117" i="3"/>
  <c r="I10117" i="3" s="1"/>
  <c r="M10116" i="3"/>
  <c r="L10116" i="3"/>
  <c r="J10116" i="3"/>
  <c r="K10116" i="3" s="1"/>
  <c r="H10116" i="3"/>
  <c r="G10116" i="3"/>
  <c r="I10116" i="3" s="1"/>
  <c r="M10115" i="3"/>
  <c r="L10115" i="3"/>
  <c r="J10115" i="3"/>
  <c r="K10115" i="3" s="1"/>
  <c r="H10115" i="3"/>
  <c r="G10115" i="3"/>
  <c r="M10114" i="3"/>
  <c r="L10114" i="3"/>
  <c r="J10114" i="3"/>
  <c r="K10114" i="3" s="1"/>
  <c r="H10114" i="3"/>
  <c r="G10114" i="3"/>
  <c r="I10114" i="3" s="1"/>
  <c r="M10113" i="3"/>
  <c r="L10113" i="3"/>
  <c r="J10113" i="3"/>
  <c r="K10113" i="3" s="1"/>
  <c r="I10113" i="3"/>
  <c r="H10113" i="3"/>
  <c r="G10113" i="3"/>
  <c r="M10112" i="3"/>
  <c r="L10112" i="3"/>
  <c r="J10112" i="3"/>
  <c r="K10112" i="3" s="1"/>
  <c r="H10112" i="3"/>
  <c r="G10112" i="3"/>
  <c r="M10111" i="3"/>
  <c r="L10111" i="3"/>
  <c r="J10111" i="3"/>
  <c r="K10111" i="3" s="1"/>
  <c r="H10111" i="3"/>
  <c r="G10111" i="3"/>
  <c r="I10111" i="3" s="1"/>
  <c r="M10110" i="3"/>
  <c r="L10110" i="3"/>
  <c r="J10110" i="3"/>
  <c r="K10110" i="3" s="1"/>
  <c r="H10110" i="3"/>
  <c r="G10110" i="3"/>
  <c r="M10109" i="3"/>
  <c r="L10109" i="3"/>
  <c r="J10109" i="3"/>
  <c r="K10109" i="3" s="1"/>
  <c r="H10109" i="3"/>
  <c r="I10109" i="3" s="1"/>
  <c r="G10109" i="3"/>
  <c r="M10108" i="3"/>
  <c r="L10108" i="3"/>
  <c r="J10108" i="3"/>
  <c r="K10108" i="3" s="1"/>
  <c r="H10108" i="3"/>
  <c r="G10108" i="3"/>
  <c r="I10108" i="3" s="1"/>
  <c r="M10107" i="3"/>
  <c r="L10107" i="3"/>
  <c r="J10107" i="3"/>
  <c r="K10107" i="3" s="1"/>
  <c r="H10107" i="3"/>
  <c r="G10107" i="3"/>
  <c r="M10106" i="3"/>
  <c r="L10106" i="3"/>
  <c r="J10106" i="3"/>
  <c r="K10106" i="3" s="1"/>
  <c r="H10106" i="3"/>
  <c r="G10106" i="3"/>
  <c r="I10106" i="3" s="1"/>
  <c r="M10153" i="3"/>
  <c r="L10153" i="3"/>
  <c r="J10153" i="3"/>
  <c r="K10153" i="3" s="1"/>
  <c r="H10153" i="3"/>
  <c r="I10153" i="3" s="1"/>
  <c r="G10153" i="3"/>
  <c r="M10152" i="3"/>
  <c r="L10152" i="3"/>
  <c r="K10152" i="3"/>
  <c r="J10152" i="3"/>
  <c r="H10152" i="3"/>
  <c r="G10152" i="3"/>
  <c r="M10151" i="3"/>
  <c r="L10151" i="3"/>
  <c r="J10151" i="3"/>
  <c r="K10151" i="3" s="1"/>
  <c r="H10151" i="3"/>
  <c r="G10151" i="3"/>
  <c r="M10150" i="3"/>
  <c r="L10150" i="3"/>
  <c r="J10150" i="3"/>
  <c r="K10150" i="3" s="1"/>
  <c r="H10150" i="3"/>
  <c r="G10150" i="3"/>
  <c r="M10149" i="3"/>
  <c r="L10149" i="3"/>
  <c r="J10149" i="3"/>
  <c r="K10149" i="3" s="1"/>
  <c r="H10149" i="3"/>
  <c r="G10149" i="3"/>
  <c r="M10148" i="3"/>
  <c r="L10148" i="3"/>
  <c r="J10148" i="3"/>
  <c r="K10148" i="3" s="1"/>
  <c r="H10148" i="3"/>
  <c r="G10148" i="3"/>
  <c r="M10147" i="3"/>
  <c r="L10147" i="3"/>
  <c r="J10147" i="3"/>
  <c r="K10147" i="3" s="1"/>
  <c r="H10147" i="3"/>
  <c r="G10147" i="3"/>
  <c r="M10146" i="3"/>
  <c r="L10146" i="3"/>
  <c r="J10146" i="3"/>
  <c r="K10146" i="3" s="1"/>
  <c r="H10146" i="3"/>
  <c r="G10146" i="3"/>
  <c r="I10146" i="3" s="1"/>
  <c r="M10145" i="3"/>
  <c r="L10145" i="3"/>
  <c r="J10145" i="3"/>
  <c r="K10145" i="3" s="1"/>
  <c r="H10145" i="3"/>
  <c r="G10145" i="3"/>
  <c r="M10144" i="3"/>
  <c r="L10144" i="3"/>
  <c r="K10144" i="3"/>
  <c r="J10144" i="3"/>
  <c r="H10144" i="3"/>
  <c r="G10144" i="3"/>
  <c r="I10144" i="3" s="1"/>
  <c r="M10143" i="3"/>
  <c r="L10143" i="3"/>
  <c r="J10143" i="3"/>
  <c r="K10143" i="3" s="1"/>
  <c r="H10143" i="3"/>
  <c r="G10143" i="3"/>
  <c r="M10142" i="3"/>
  <c r="L10142" i="3"/>
  <c r="K10142" i="3"/>
  <c r="J10142" i="3"/>
  <c r="H10142" i="3"/>
  <c r="G10142" i="3"/>
  <c r="M10141" i="3"/>
  <c r="L10141" i="3"/>
  <c r="J10141" i="3"/>
  <c r="K10141" i="3" s="1"/>
  <c r="H10141" i="3"/>
  <c r="G10141" i="3"/>
  <c r="I10141" i="3" s="1"/>
  <c r="M10140" i="3"/>
  <c r="L10140" i="3"/>
  <c r="J10140" i="3"/>
  <c r="K10140" i="3" s="1"/>
  <c r="H10140" i="3"/>
  <c r="G10140" i="3"/>
  <c r="M10139" i="3"/>
  <c r="L10139" i="3"/>
  <c r="J10139" i="3"/>
  <c r="K10139" i="3" s="1"/>
  <c r="H10139" i="3"/>
  <c r="G10139" i="3"/>
  <c r="I10139" i="3" s="1"/>
  <c r="M10138" i="3"/>
  <c r="L10138" i="3"/>
  <c r="J10138" i="3"/>
  <c r="K10138" i="3" s="1"/>
  <c r="H10138" i="3"/>
  <c r="G10138" i="3"/>
  <c r="M10137" i="3"/>
  <c r="L10137" i="3"/>
  <c r="J10137" i="3"/>
  <c r="K10137" i="3" s="1"/>
  <c r="H10137" i="3"/>
  <c r="G10137" i="3"/>
  <c r="M10136" i="3"/>
  <c r="L10136" i="3"/>
  <c r="J10136" i="3"/>
  <c r="K10136" i="3" s="1"/>
  <c r="H10136" i="3"/>
  <c r="G10136" i="3"/>
  <c r="I10136" i="3" s="1"/>
  <c r="M10135" i="3"/>
  <c r="L10135" i="3"/>
  <c r="J10135" i="3"/>
  <c r="K10135" i="3" s="1"/>
  <c r="H10135" i="3"/>
  <c r="G10135" i="3"/>
  <c r="M10134" i="3"/>
  <c r="L10134" i="3"/>
  <c r="K10134" i="3"/>
  <c r="J10134" i="3"/>
  <c r="H10134" i="3"/>
  <c r="G10134" i="3"/>
  <c r="M10133" i="3"/>
  <c r="L10133" i="3"/>
  <c r="J10133" i="3"/>
  <c r="K10133" i="3" s="1"/>
  <c r="H10133" i="3"/>
  <c r="G10133" i="3"/>
  <c r="I10133" i="3" s="1"/>
  <c r="M10132" i="3"/>
  <c r="L10132" i="3"/>
  <c r="J10132" i="3"/>
  <c r="K10132" i="3" s="1"/>
  <c r="H10132" i="3"/>
  <c r="I10132" i="3" s="1"/>
  <c r="G10132" i="3"/>
  <c r="M10131" i="3"/>
  <c r="L10131" i="3"/>
  <c r="J10131" i="3"/>
  <c r="K10131" i="3" s="1"/>
  <c r="H10131" i="3"/>
  <c r="G10131" i="3"/>
  <c r="I10131" i="3" s="1"/>
  <c r="M10130" i="3"/>
  <c r="L10130" i="3"/>
  <c r="J10130" i="3"/>
  <c r="K10130" i="3" s="1"/>
  <c r="H10130" i="3"/>
  <c r="G10130" i="3"/>
  <c r="M10177" i="3"/>
  <c r="L10177" i="3"/>
  <c r="J10177" i="3"/>
  <c r="K10177" i="3" s="1"/>
  <c r="H10177" i="3"/>
  <c r="G10177" i="3"/>
  <c r="M10176" i="3"/>
  <c r="L10176" i="3"/>
  <c r="J10176" i="3"/>
  <c r="K10176" i="3" s="1"/>
  <c r="H10176" i="3"/>
  <c r="G10176" i="3"/>
  <c r="I10176" i="3" s="1"/>
  <c r="M10175" i="3"/>
  <c r="L10175" i="3"/>
  <c r="J10175" i="3"/>
  <c r="K10175" i="3" s="1"/>
  <c r="H10175" i="3"/>
  <c r="G10175" i="3"/>
  <c r="I10175" i="3" s="1"/>
  <c r="M10174" i="3"/>
  <c r="L10174" i="3"/>
  <c r="J10174" i="3"/>
  <c r="K10174" i="3" s="1"/>
  <c r="H10174" i="3"/>
  <c r="G10174" i="3"/>
  <c r="M10173" i="3"/>
  <c r="L10173" i="3"/>
  <c r="J10173" i="3"/>
  <c r="K10173" i="3" s="1"/>
  <c r="H10173" i="3"/>
  <c r="G10173" i="3"/>
  <c r="M10172" i="3"/>
  <c r="L10172" i="3"/>
  <c r="J10172" i="3"/>
  <c r="K10172" i="3" s="1"/>
  <c r="H10172" i="3"/>
  <c r="I10172" i="3" s="1"/>
  <c r="G10172" i="3"/>
  <c r="M10171" i="3"/>
  <c r="L10171" i="3"/>
  <c r="J10171" i="3"/>
  <c r="K10171" i="3" s="1"/>
  <c r="H10171" i="3"/>
  <c r="G10171" i="3"/>
  <c r="I10171" i="3" s="1"/>
  <c r="M10170" i="3"/>
  <c r="L10170" i="3"/>
  <c r="J10170" i="3"/>
  <c r="K10170" i="3" s="1"/>
  <c r="H10170" i="3"/>
  <c r="G10170" i="3"/>
  <c r="M10169" i="3"/>
  <c r="L10169" i="3"/>
  <c r="J10169" i="3"/>
  <c r="K10169" i="3" s="1"/>
  <c r="H10169" i="3"/>
  <c r="G10169" i="3"/>
  <c r="M10168" i="3"/>
  <c r="L10168" i="3"/>
  <c r="J10168" i="3"/>
  <c r="K10168" i="3" s="1"/>
  <c r="H10168" i="3"/>
  <c r="G10168" i="3"/>
  <c r="I10168" i="3" s="1"/>
  <c r="M10167" i="3"/>
  <c r="L10167" i="3"/>
  <c r="J10167" i="3"/>
  <c r="K10167" i="3" s="1"/>
  <c r="H10167" i="3"/>
  <c r="G10167" i="3"/>
  <c r="I10167" i="3" s="1"/>
  <c r="M10166" i="3"/>
  <c r="L10166" i="3"/>
  <c r="J10166" i="3"/>
  <c r="K10166" i="3" s="1"/>
  <c r="H10166" i="3"/>
  <c r="G10166" i="3"/>
  <c r="M10165" i="3"/>
  <c r="L10165" i="3"/>
  <c r="J10165" i="3"/>
  <c r="K10165" i="3" s="1"/>
  <c r="H10165" i="3"/>
  <c r="G10165" i="3"/>
  <c r="I10165" i="3" s="1"/>
  <c r="M10164" i="3"/>
  <c r="L10164" i="3"/>
  <c r="J10164" i="3"/>
  <c r="K10164" i="3" s="1"/>
  <c r="I10164" i="3"/>
  <c r="H10164" i="3"/>
  <c r="G10164" i="3"/>
  <c r="M10163" i="3"/>
  <c r="L10163" i="3"/>
  <c r="J10163" i="3"/>
  <c r="K10163" i="3" s="1"/>
  <c r="H10163" i="3"/>
  <c r="G10163" i="3"/>
  <c r="M10162" i="3"/>
  <c r="L10162" i="3"/>
  <c r="J10162" i="3"/>
  <c r="K10162" i="3" s="1"/>
  <c r="H10162" i="3"/>
  <c r="G10162" i="3"/>
  <c r="I10162" i="3" s="1"/>
  <c r="M10161" i="3"/>
  <c r="L10161" i="3"/>
  <c r="J10161" i="3"/>
  <c r="K10161" i="3" s="1"/>
  <c r="H10161" i="3"/>
  <c r="G10161" i="3"/>
  <c r="M10160" i="3"/>
  <c r="L10160" i="3"/>
  <c r="J10160" i="3"/>
  <c r="K10160" i="3" s="1"/>
  <c r="H10160" i="3"/>
  <c r="I10160" i="3" s="1"/>
  <c r="G10160" i="3"/>
  <c r="M10159" i="3"/>
  <c r="L10159" i="3"/>
  <c r="J10159" i="3"/>
  <c r="K10159" i="3" s="1"/>
  <c r="H10159" i="3"/>
  <c r="G10159" i="3"/>
  <c r="I10159" i="3" s="1"/>
  <c r="M10158" i="3"/>
  <c r="L10158" i="3"/>
  <c r="J10158" i="3"/>
  <c r="K10158" i="3" s="1"/>
  <c r="H10158" i="3"/>
  <c r="G10158" i="3"/>
  <c r="M10157" i="3"/>
  <c r="L10157" i="3"/>
  <c r="J10157" i="3"/>
  <c r="K10157" i="3" s="1"/>
  <c r="H10157" i="3"/>
  <c r="G10157" i="3"/>
  <c r="I10157" i="3" s="1"/>
  <c r="M10156" i="3"/>
  <c r="L10156" i="3"/>
  <c r="J10156" i="3"/>
  <c r="K10156" i="3" s="1"/>
  <c r="H10156" i="3"/>
  <c r="G10156" i="3"/>
  <c r="I10156" i="3" s="1"/>
  <c r="M10155" i="3"/>
  <c r="L10155" i="3"/>
  <c r="J10155" i="3"/>
  <c r="K10155" i="3" s="1"/>
  <c r="H10155" i="3"/>
  <c r="G10155" i="3"/>
  <c r="M10154" i="3"/>
  <c r="L10154" i="3"/>
  <c r="J10154" i="3"/>
  <c r="K10154" i="3" s="1"/>
  <c r="H10154" i="3"/>
  <c r="G10154" i="3"/>
  <c r="I10154" i="3" s="1"/>
  <c r="M10201" i="3"/>
  <c r="L10201" i="3"/>
  <c r="J10201" i="3"/>
  <c r="K10201" i="3" s="1"/>
  <c r="H10201" i="3"/>
  <c r="I10201" i="3" s="1"/>
  <c r="G10201" i="3"/>
  <c r="M10200" i="3"/>
  <c r="L10200" i="3"/>
  <c r="K10200" i="3"/>
  <c r="J10200" i="3"/>
  <c r="I10200" i="3"/>
  <c r="H10200" i="3"/>
  <c r="G10200" i="3"/>
  <c r="M10199" i="3"/>
  <c r="L10199" i="3"/>
  <c r="J10199" i="3"/>
  <c r="K10199" i="3" s="1"/>
  <c r="H10199" i="3"/>
  <c r="G10199" i="3"/>
  <c r="M10198" i="3"/>
  <c r="L10198" i="3"/>
  <c r="K10198" i="3"/>
  <c r="J10198" i="3"/>
  <c r="H10198" i="3"/>
  <c r="G10198" i="3"/>
  <c r="M10197" i="3"/>
  <c r="L10197" i="3"/>
  <c r="J10197" i="3"/>
  <c r="K10197" i="3" s="1"/>
  <c r="H10197" i="3"/>
  <c r="G10197" i="3"/>
  <c r="I10197" i="3" s="1"/>
  <c r="M10196" i="3"/>
  <c r="L10196" i="3"/>
  <c r="J10196" i="3"/>
  <c r="K10196" i="3" s="1"/>
  <c r="H10196" i="3"/>
  <c r="G10196" i="3"/>
  <c r="M10195" i="3"/>
  <c r="L10195" i="3"/>
  <c r="J10195" i="3"/>
  <c r="K10195" i="3" s="1"/>
  <c r="H10195" i="3"/>
  <c r="G10195" i="3"/>
  <c r="I10195" i="3" s="1"/>
  <c r="M10194" i="3"/>
  <c r="L10194" i="3"/>
  <c r="J10194" i="3"/>
  <c r="K10194" i="3" s="1"/>
  <c r="H10194" i="3"/>
  <c r="G10194" i="3"/>
  <c r="M10193" i="3"/>
  <c r="L10193" i="3"/>
  <c r="J10193" i="3"/>
  <c r="K10193" i="3" s="1"/>
  <c r="H10193" i="3"/>
  <c r="G10193" i="3"/>
  <c r="M10192" i="3"/>
  <c r="L10192" i="3"/>
  <c r="J10192" i="3"/>
  <c r="K10192" i="3" s="1"/>
  <c r="H10192" i="3"/>
  <c r="G10192" i="3"/>
  <c r="I10192" i="3" s="1"/>
  <c r="M10191" i="3"/>
  <c r="L10191" i="3"/>
  <c r="J10191" i="3"/>
  <c r="K10191" i="3" s="1"/>
  <c r="H10191" i="3"/>
  <c r="G10191" i="3"/>
  <c r="M10190" i="3"/>
  <c r="L10190" i="3"/>
  <c r="K10190" i="3"/>
  <c r="J10190" i="3"/>
  <c r="H10190" i="3"/>
  <c r="G10190" i="3"/>
  <c r="M10189" i="3"/>
  <c r="L10189" i="3"/>
  <c r="J10189" i="3"/>
  <c r="K10189" i="3" s="1"/>
  <c r="H10189" i="3"/>
  <c r="G10189" i="3"/>
  <c r="I10189" i="3" s="1"/>
  <c r="M10188" i="3"/>
  <c r="L10188" i="3"/>
  <c r="J10188" i="3"/>
  <c r="K10188" i="3" s="1"/>
  <c r="H10188" i="3"/>
  <c r="I10188" i="3" s="1"/>
  <c r="G10188" i="3"/>
  <c r="M10187" i="3"/>
  <c r="L10187" i="3"/>
  <c r="J10187" i="3"/>
  <c r="K10187" i="3" s="1"/>
  <c r="H10187" i="3"/>
  <c r="G10187" i="3"/>
  <c r="I10187" i="3" s="1"/>
  <c r="M10186" i="3"/>
  <c r="L10186" i="3"/>
  <c r="J10186" i="3"/>
  <c r="K10186" i="3" s="1"/>
  <c r="H10186" i="3"/>
  <c r="G10186" i="3"/>
  <c r="M10185" i="3"/>
  <c r="L10185" i="3"/>
  <c r="J10185" i="3"/>
  <c r="K10185" i="3" s="1"/>
  <c r="H10185" i="3"/>
  <c r="G10185" i="3"/>
  <c r="M10184" i="3"/>
  <c r="L10184" i="3"/>
  <c r="J10184" i="3"/>
  <c r="K10184" i="3" s="1"/>
  <c r="H10184" i="3"/>
  <c r="I10184" i="3" s="1"/>
  <c r="G10184" i="3"/>
  <c r="M10183" i="3"/>
  <c r="L10183" i="3"/>
  <c r="J10183" i="3"/>
  <c r="K10183" i="3" s="1"/>
  <c r="H10183" i="3"/>
  <c r="G10183" i="3"/>
  <c r="M10182" i="3"/>
  <c r="L10182" i="3"/>
  <c r="J10182" i="3"/>
  <c r="K10182" i="3" s="1"/>
  <c r="H10182" i="3"/>
  <c r="G10182" i="3"/>
  <c r="M10181" i="3"/>
  <c r="L10181" i="3"/>
  <c r="J10181" i="3"/>
  <c r="K10181" i="3" s="1"/>
  <c r="H10181" i="3"/>
  <c r="G10181" i="3"/>
  <c r="M10180" i="3"/>
  <c r="L10180" i="3"/>
  <c r="J10180" i="3"/>
  <c r="K10180" i="3" s="1"/>
  <c r="H10180" i="3"/>
  <c r="G10180" i="3"/>
  <c r="I10180" i="3" s="1"/>
  <c r="M10179" i="3"/>
  <c r="L10179" i="3"/>
  <c r="J10179" i="3"/>
  <c r="K10179" i="3" s="1"/>
  <c r="H10179" i="3"/>
  <c r="G10179" i="3"/>
  <c r="M10178" i="3"/>
  <c r="L10178" i="3"/>
  <c r="J10178" i="3"/>
  <c r="K10178" i="3" s="1"/>
  <c r="H10178" i="3"/>
  <c r="G10178" i="3"/>
  <c r="I10178" i="3" s="1"/>
  <c r="M10225" i="3"/>
  <c r="L10225" i="3"/>
  <c r="J10225" i="3"/>
  <c r="K10225" i="3" s="1"/>
  <c r="H10225" i="3"/>
  <c r="I10225" i="3" s="1"/>
  <c r="G10225" i="3"/>
  <c r="M10224" i="3"/>
  <c r="L10224" i="3"/>
  <c r="K10224" i="3"/>
  <c r="J10224" i="3"/>
  <c r="H10224" i="3"/>
  <c r="G10224" i="3"/>
  <c r="M10223" i="3"/>
  <c r="L10223" i="3"/>
  <c r="J10223" i="3"/>
  <c r="K10223" i="3" s="1"/>
  <c r="H10223" i="3"/>
  <c r="G10223" i="3"/>
  <c r="M10222" i="3"/>
  <c r="L10222" i="3"/>
  <c r="J10222" i="3"/>
  <c r="K10222" i="3" s="1"/>
  <c r="H10222" i="3"/>
  <c r="G10222" i="3"/>
  <c r="M10221" i="3"/>
  <c r="L10221" i="3"/>
  <c r="J10221" i="3"/>
  <c r="K10221" i="3" s="1"/>
  <c r="H10221" i="3"/>
  <c r="G10221" i="3"/>
  <c r="M10220" i="3"/>
  <c r="L10220" i="3"/>
  <c r="J10220" i="3"/>
  <c r="K10220" i="3" s="1"/>
  <c r="H10220" i="3"/>
  <c r="G10220" i="3"/>
  <c r="M10219" i="3"/>
  <c r="L10219" i="3"/>
  <c r="J10219" i="3"/>
  <c r="K10219" i="3" s="1"/>
  <c r="H10219" i="3"/>
  <c r="G10219" i="3"/>
  <c r="M10218" i="3"/>
  <c r="L10218" i="3"/>
  <c r="J10218" i="3"/>
  <c r="K10218" i="3" s="1"/>
  <c r="H10218" i="3"/>
  <c r="G10218" i="3"/>
  <c r="M10217" i="3"/>
  <c r="L10217" i="3"/>
  <c r="J10217" i="3"/>
  <c r="K10217" i="3" s="1"/>
  <c r="H10217" i="3"/>
  <c r="G10217" i="3"/>
  <c r="M10216" i="3"/>
  <c r="L10216" i="3"/>
  <c r="K10216" i="3"/>
  <c r="J10216" i="3"/>
  <c r="H10216" i="3"/>
  <c r="G10216" i="3"/>
  <c r="M10215" i="3"/>
  <c r="L10215" i="3"/>
  <c r="J10215" i="3"/>
  <c r="K10215" i="3" s="1"/>
  <c r="H10215" i="3"/>
  <c r="G10215" i="3"/>
  <c r="I10215" i="3" s="1"/>
  <c r="M10214" i="3"/>
  <c r="L10214" i="3"/>
  <c r="J10214" i="3"/>
  <c r="K10214" i="3" s="1"/>
  <c r="H10214" i="3"/>
  <c r="G10214" i="3"/>
  <c r="M10213" i="3"/>
  <c r="L10213" i="3"/>
  <c r="J10213" i="3"/>
  <c r="K10213" i="3" s="1"/>
  <c r="H10213" i="3"/>
  <c r="G10213" i="3"/>
  <c r="I10213" i="3" s="1"/>
  <c r="M10212" i="3"/>
  <c r="L10212" i="3"/>
  <c r="J10212" i="3"/>
  <c r="K10212" i="3" s="1"/>
  <c r="H10212" i="3"/>
  <c r="G10212" i="3"/>
  <c r="I10212" i="3" s="1"/>
  <c r="M10211" i="3"/>
  <c r="L10211" i="3"/>
  <c r="J10211" i="3"/>
  <c r="K10211" i="3" s="1"/>
  <c r="H10211" i="3"/>
  <c r="G10211" i="3"/>
  <c r="M10210" i="3"/>
  <c r="L10210" i="3"/>
  <c r="J10210" i="3"/>
  <c r="K10210" i="3" s="1"/>
  <c r="H10210" i="3"/>
  <c r="G10210" i="3"/>
  <c r="I10210" i="3" s="1"/>
  <c r="M10209" i="3"/>
  <c r="L10209" i="3"/>
  <c r="J10209" i="3"/>
  <c r="K10209" i="3" s="1"/>
  <c r="I10209" i="3"/>
  <c r="H10209" i="3"/>
  <c r="G10209" i="3"/>
  <c r="M10208" i="3"/>
  <c r="L10208" i="3"/>
  <c r="J10208" i="3"/>
  <c r="K10208" i="3" s="1"/>
  <c r="H10208" i="3"/>
  <c r="G10208" i="3"/>
  <c r="M10207" i="3"/>
  <c r="L10207" i="3"/>
  <c r="J10207" i="3"/>
  <c r="K10207" i="3" s="1"/>
  <c r="H10207" i="3"/>
  <c r="G10207" i="3"/>
  <c r="I10207" i="3" s="1"/>
  <c r="M10206" i="3"/>
  <c r="L10206" i="3"/>
  <c r="J10206" i="3"/>
  <c r="K10206" i="3" s="1"/>
  <c r="H10206" i="3"/>
  <c r="G10206" i="3"/>
  <c r="M10205" i="3"/>
  <c r="L10205" i="3"/>
  <c r="J10205" i="3"/>
  <c r="K10205" i="3" s="1"/>
  <c r="H10205" i="3"/>
  <c r="I10205" i="3" s="1"/>
  <c r="G10205" i="3"/>
  <c r="M10204" i="3"/>
  <c r="L10204" i="3"/>
  <c r="J10204" i="3"/>
  <c r="K10204" i="3" s="1"/>
  <c r="H10204" i="3"/>
  <c r="G10204" i="3"/>
  <c r="I10204" i="3" s="1"/>
  <c r="M10203" i="3"/>
  <c r="L10203" i="3"/>
  <c r="J10203" i="3"/>
  <c r="K10203" i="3" s="1"/>
  <c r="H10203" i="3"/>
  <c r="G10203" i="3"/>
  <c r="M10202" i="3"/>
  <c r="L10202" i="3"/>
  <c r="J10202" i="3"/>
  <c r="K10202" i="3" s="1"/>
  <c r="H10202" i="3"/>
  <c r="G10202" i="3"/>
  <c r="I10202" i="3" s="1"/>
  <c r="H11233" i="3"/>
  <c r="G11233" i="3"/>
  <c r="H11232" i="3"/>
  <c r="G11232" i="3"/>
  <c r="H11231" i="3"/>
  <c r="G11231" i="3"/>
  <c r="H11230" i="3"/>
  <c r="G11230" i="3"/>
  <c r="H11229" i="3"/>
  <c r="G11229" i="3"/>
  <c r="H11228" i="3"/>
  <c r="G11228" i="3"/>
  <c r="H11227" i="3"/>
  <c r="G11227" i="3"/>
  <c r="H11226" i="3"/>
  <c r="G11226" i="3"/>
  <c r="H11225" i="3"/>
  <c r="G11225" i="3"/>
  <c r="H11224" i="3"/>
  <c r="G11224" i="3"/>
  <c r="H11223" i="3"/>
  <c r="G11223" i="3"/>
  <c r="H11222" i="3"/>
  <c r="G11222" i="3"/>
  <c r="H11221" i="3"/>
  <c r="G11221" i="3"/>
  <c r="H11220" i="3"/>
  <c r="G11220" i="3"/>
  <c r="H11219" i="3"/>
  <c r="G11219" i="3"/>
  <c r="H11218" i="3"/>
  <c r="G11218" i="3"/>
  <c r="H11217" i="3"/>
  <c r="G11217" i="3"/>
  <c r="H11216" i="3"/>
  <c r="G11216" i="3"/>
  <c r="H11215" i="3"/>
  <c r="G11215" i="3"/>
  <c r="H11214" i="3"/>
  <c r="G11214" i="3"/>
  <c r="H11213" i="3"/>
  <c r="G11213" i="3"/>
  <c r="H11212" i="3"/>
  <c r="G11212" i="3"/>
  <c r="H11211" i="3"/>
  <c r="G11211" i="3"/>
  <c r="H11210" i="3"/>
  <c r="G11210" i="3"/>
  <c r="H11257" i="3"/>
  <c r="G11257" i="3"/>
  <c r="H11256" i="3"/>
  <c r="G11256" i="3"/>
  <c r="H11255" i="3"/>
  <c r="G11255" i="3"/>
  <c r="H11254" i="3"/>
  <c r="G11254" i="3"/>
  <c r="H11253" i="3"/>
  <c r="G11253" i="3"/>
  <c r="H11252" i="3"/>
  <c r="G11252" i="3"/>
  <c r="H11251" i="3"/>
  <c r="G11251" i="3"/>
  <c r="H11250" i="3"/>
  <c r="G11250" i="3"/>
  <c r="H11249" i="3"/>
  <c r="G11249" i="3"/>
  <c r="H11248" i="3"/>
  <c r="G11248" i="3"/>
  <c r="H11247" i="3"/>
  <c r="G11247" i="3"/>
  <c r="H11246" i="3"/>
  <c r="G11246" i="3"/>
  <c r="H11245" i="3"/>
  <c r="G11245" i="3"/>
  <c r="H11244" i="3"/>
  <c r="G11244" i="3"/>
  <c r="H11243" i="3"/>
  <c r="G11243" i="3"/>
  <c r="H11242" i="3"/>
  <c r="G11242" i="3"/>
  <c r="H11241" i="3"/>
  <c r="G11241" i="3"/>
  <c r="H11240" i="3"/>
  <c r="G11240" i="3"/>
  <c r="H11239" i="3"/>
  <c r="G11239" i="3"/>
  <c r="H11238" i="3"/>
  <c r="G11238" i="3"/>
  <c r="H11237" i="3"/>
  <c r="G11237" i="3"/>
  <c r="H11236" i="3"/>
  <c r="G11236" i="3"/>
  <c r="H11235" i="3"/>
  <c r="G11235" i="3"/>
  <c r="H11234" i="3"/>
  <c r="G11234" i="3"/>
  <c r="H11281" i="3"/>
  <c r="G11281" i="3"/>
  <c r="H11280" i="3"/>
  <c r="G11280" i="3"/>
  <c r="H11279" i="3"/>
  <c r="G11279" i="3"/>
  <c r="H11278" i="3"/>
  <c r="G11278" i="3"/>
  <c r="H11277" i="3"/>
  <c r="G11277" i="3"/>
  <c r="H11276" i="3"/>
  <c r="G11276" i="3"/>
  <c r="H11275" i="3"/>
  <c r="G11275" i="3"/>
  <c r="H11274" i="3"/>
  <c r="G11274" i="3"/>
  <c r="H11273" i="3"/>
  <c r="G11273" i="3"/>
  <c r="H11272" i="3"/>
  <c r="G11272" i="3"/>
  <c r="H11271" i="3"/>
  <c r="G11271" i="3"/>
  <c r="H11270" i="3"/>
  <c r="G11270" i="3"/>
  <c r="H11269" i="3"/>
  <c r="G11269" i="3"/>
  <c r="H11268" i="3"/>
  <c r="G11268" i="3"/>
  <c r="H11267" i="3"/>
  <c r="G11267" i="3"/>
  <c r="H11266" i="3"/>
  <c r="G11266" i="3"/>
  <c r="H11265" i="3"/>
  <c r="G11265" i="3"/>
  <c r="H11264" i="3"/>
  <c r="G11264" i="3"/>
  <c r="H11263" i="3"/>
  <c r="G11263" i="3"/>
  <c r="H11262" i="3"/>
  <c r="G11262" i="3"/>
  <c r="H11261" i="3"/>
  <c r="G11261" i="3"/>
  <c r="H11260" i="3"/>
  <c r="G11260" i="3"/>
  <c r="H11259" i="3"/>
  <c r="G11259" i="3"/>
  <c r="H11258" i="3"/>
  <c r="G11258" i="3"/>
  <c r="H11305" i="3"/>
  <c r="G11305" i="3"/>
  <c r="H11304" i="3"/>
  <c r="G11304" i="3"/>
  <c r="H11303" i="3"/>
  <c r="G11303" i="3"/>
  <c r="H11302" i="3"/>
  <c r="G11302" i="3"/>
  <c r="H11301" i="3"/>
  <c r="G11301" i="3"/>
  <c r="H11300" i="3"/>
  <c r="G11300" i="3"/>
  <c r="H11299" i="3"/>
  <c r="G11299" i="3"/>
  <c r="H11298" i="3"/>
  <c r="G11298" i="3"/>
  <c r="H11297" i="3"/>
  <c r="G11297" i="3"/>
  <c r="H11296" i="3"/>
  <c r="G11296" i="3"/>
  <c r="H11295" i="3"/>
  <c r="G11295" i="3"/>
  <c r="H11294" i="3"/>
  <c r="G11294" i="3"/>
  <c r="H11293" i="3"/>
  <c r="G11293" i="3"/>
  <c r="H11292" i="3"/>
  <c r="G11292" i="3"/>
  <c r="H11291" i="3"/>
  <c r="G11291" i="3"/>
  <c r="H11290" i="3"/>
  <c r="G11290" i="3"/>
  <c r="H11289" i="3"/>
  <c r="G11289" i="3"/>
  <c r="H11288" i="3"/>
  <c r="G11288" i="3"/>
  <c r="H11287" i="3"/>
  <c r="G11287" i="3"/>
  <c r="H11286" i="3"/>
  <c r="G11286" i="3"/>
  <c r="H11285" i="3"/>
  <c r="G11285" i="3"/>
  <c r="H11284" i="3"/>
  <c r="G11284" i="3"/>
  <c r="H11283" i="3"/>
  <c r="G11283" i="3"/>
  <c r="H11282" i="3"/>
  <c r="G11282" i="3"/>
  <c r="H11329" i="3"/>
  <c r="G11329" i="3"/>
  <c r="H11328" i="3"/>
  <c r="G11328" i="3"/>
  <c r="H11327" i="3"/>
  <c r="G11327" i="3"/>
  <c r="H11326" i="3"/>
  <c r="G11326" i="3"/>
  <c r="H11325" i="3"/>
  <c r="G11325" i="3"/>
  <c r="H11324" i="3"/>
  <c r="G11324" i="3"/>
  <c r="H11323" i="3"/>
  <c r="G11323" i="3"/>
  <c r="H11322" i="3"/>
  <c r="G11322" i="3"/>
  <c r="H11321" i="3"/>
  <c r="G11321" i="3"/>
  <c r="H11320" i="3"/>
  <c r="G11320" i="3"/>
  <c r="H11319" i="3"/>
  <c r="G11319" i="3"/>
  <c r="H11318" i="3"/>
  <c r="G11318" i="3"/>
  <c r="H11317" i="3"/>
  <c r="G11317" i="3"/>
  <c r="H11316" i="3"/>
  <c r="G11316" i="3"/>
  <c r="H11315" i="3"/>
  <c r="G11315" i="3"/>
  <c r="H11314" i="3"/>
  <c r="G11314" i="3"/>
  <c r="H11313" i="3"/>
  <c r="G11313" i="3"/>
  <c r="H11312" i="3"/>
  <c r="G11312" i="3"/>
  <c r="H11311" i="3"/>
  <c r="G11311" i="3"/>
  <c r="H11310" i="3"/>
  <c r="G11310" i="3"/>
  <c r="H11309" i="3"/>
  <c r="G11309" i="3"/>
  <c r="H11308" i="3"/>
  <c r="G11308" i="3"/>
  <c r="H11307" i="3"/>
  <c r="G11307" i="3"/>
  <c r="H11306" i="3"/>
  <c r="G11306" i="3"/>
  <c r="H11353" i="3"/>
  <c r="G11353" i="3"/>
  <c r="H11352" i="3"/>
  <c r="G11352" i="3"/>
  <c r="H11351" i="3"/>
  <c r="G11351" i="3"/>
  <c r="H11350" i="3"/>
  <c r="G11350" i="3"/>
  <c r="H11349" i="3"/>
  <c r="G11349" i="3"/>
  <c r="H11348" i="3"/>
  <c r="G11348" i="3"/>
  <c r="H11347" i="3"/>
  <c r="G11347" i="3"/>
  <c r="H11346" i="3"/>
  <c r="G11346" i="3"/>
  <c r="H11345" i="3"/>
  <c r="G11345" i="3"/>
  <c r="H11344" i="3"/>
  <c r="G11344" i="3"/>
  <c r="H11343" i="3"/>
  <c r="G11343" i="3"/>
  <c r="H11342" i="3"/>
  <c r="G11342" i="3"/>
  <c r="H11341" i="3"/>
  <c r="G11341" i="3"/>
  <c r="H11340" i="3"/>
  <c r="G11340" i="3"/>
  <c r="H11339" i="3"/>
  <c r="G11339" i="3"/>
  <c r="H11338" i="3"/>
  <c r="G11338" i="3"/>
  <c r="H11337" i="3"/>
  <c r="G11337" i="3"/>
  <c r="H11336" i="3"/>
  <c r="G11336" i="3"/>
  <c r="H11335" i="3"/>
  <c r="G11335" i="3"/>
  <c r="H11334" i="3"/>
  <c r="G11334" i="3"/>
  <c r="H11333" i="3"/>
  <c r="G11333" i="3"/>
  <c r="H11332" i="3"/>
  <c r="G11332" i="3"/>
  <c r="H11331" i="3"/>
  <c r="G11331" i="3"/>
  <c r="H11330" i="3"/>
  <c r="G11330" i="3"/>
  <c r="H11377" i="3"/>
  <c r="G11377" i="3"/>
  <c r="H11376" i="3"/>
  <c r="G11376" i="3"/>
  <c r="H11375" i="3"/>
  <c r="G11375" i="3"/>
  <c r="H11374" i="3"/>
  <c r="G11374" i="3"/>
  <c r="H11373" i="3"/>
  <c r="G11373" i="3"/>
  <c r="H11372" i="3"/>
  <c r="G11372" i="3"/>
  <c r="H11371" i="3"/>
  <c r="G11371" i="3"/>
  <c r="H11370" i="3"/>
  <c r="G11370" i="3"/>
  <c r="H11369" i="3"/>
  <c r="G11369" i="3"/>
  <c r="H11368" i="3"/>
  <c r="G11368" i="3"/>
  <c r="H11367" i="3"/>
  <c r="G11367" i="3"/>
  <c r="H11366" i="3"/>
  <c r="G11366" i="3"/>
  <c r="H11365" i="3"/>
  <c r="G11365" i="3"/>
  <c r="H11364" i="3"/>
  <c r="G11364" i="3"/>
  <c r="H11363" i="3"/>
  <c r="G11363" i="3"/>
  <c r="H11362" i="3"/>
  <c r="G11362" i="3"/>
  <c r="H11361" i="3"/>
  <c r="G11361" i="3"/>
  <c r="H11360" i="3"/>
  <c r="G11360" i="3"/>
  <c r="H11359" i="3"/>
  <c r="G11359" i="3"/>
  <c r="H11358" i="3"/>
  <c r="G11358" i="3"/>
  <c r="H11357" i="3"/>
  <c r="G11357" i="3"/>
  <c r="H11356" i="3"/>
  <c r="G11356" i="3"/>
  <c r="H11355" i="3"/>
  <c r="G11355" i="3"/>
  <c r="H11354" i="3"/>
  <c r="G11354" i="3"/>
  <c r="H11401" i="3"/>
  <c r="G11401" i="3"/>
  <c r="H11400" i="3"/>
  <c r="G11400" i="3"/>
  <c r="H11399" i="3"/>
  <c r="G11399" i="3"/>
  <c r="H11398" i="3"/>
  <c r="G11398" i="3"/>
  <c r="H11397" i="3"/>
  <c r="G11397" i="3"/>
  <c r="H11396" i="3"/>
  <c r="G11396" i="3"/>
  <c r="H11395" i="3"/>
  <c r="G11395" i="3"/>
  <c r="H11394" i="3"/>
  <c r="G11394" i="3"/>
  <c r="H11393" i="3"/>
  <c r="G11393" i="3"/>
  <c r="H11392" i="3"/>
  <c r="G11392" i="3"/>
  <c r="H11391" i="3"/>
  <c r="G11391" i="3"/>
  <c r="H11390" i="3"/>
  <c r="G11390" i="3"/>
  <c r="H11389" i="3"/>
  <c r="G11389" i="3"/>
  <c r="H11388" i="3"/>
  <c r="G11388" i="3"/>
  <c r="H11387" i="3"/>
  <c r="G11387" i="3"/>
  <c r="H11386" i="3"/>
  <c r="G11386" i="3"/>
  <c r="H11385" i="3"/>
  <c r="G11385" i="3"/>
  <c r="H11384" i="3"/>
  <c r="G11384" i="3"/>
  <c r="H11383" i="3"/>
  <c r="G11383" i="3"/>
  <c r="H11382" i="3"/>
  <c r="G11382" i="3"/>
  <c r="H11381" i="3"/>
  <c r="G11381" i="3"/>
  <c r="H11380" i="3"/>
  <c r="G11380" i="3"/>
  <c r="H11379" i="3"/>
  <c r="G11379" i="3"/>
  <c r="H11378" i="3"/>
  <c r="G11378" i="3"/>
  <c r="H11425" i="3"/>
  <c r="G11425" i="3"/>
  <c r="H11424" i="3"/>
  <c r="G11424" i="3"/>
  <c r="H11423" i="3"/>
  <c r="G11423" i="3"/>
  <c r="H11422" i="3"/>
  <c r="G11422" i="3"/>
  <c r="H11421" i="3"/>
  <c r="G11421" i="3"/>
  <c r="H11420" i="3"/>
  <c r="G11420" i="3"/>
  <c r="H11419" i="3"/>
  <c r="G11419" i="3"/>
  <c r="H11418" i="3"/>
  <c r="G11418" i="3"/>
  <c r="H11417" i="3"/>
  <c r="G11417" i="3"/>
  <c r="H11416" i="3"/>
  <c r="G11416" i="3"/>
  <c r="H11415" i="3"/>
  <c r="G11415" i="3"/>
  <c r="H11414" i="3"/>
  <c r="G11414" i="3"/>
  <c r="H11413" i="3"/>
  <c r="G11413" i="3"/>
  <c r="H11412" i="3"/>
  <c r="G11412" i="3"/>
  <c r="H11411" i="3"/>
  <c r="G11411" i="3"/>
  <c r="H11410" i="3"/>
  <c r="G11410" i="3"/>
  <c r="H11409" i="3"/>
  <c r="G11409" i="3"/>
  <c r="H11408" i="3"/>
  <c r="G11408" i="3"/>
  <c r="H11407" i="3"/>
  <c r="G11407" i="3"/>
  <c r="H11406" i="3"/>
  <c r="G11406" i="3"/>
  <c r="H11405" i="3"/>
  <c r="G11405" i="3"/>
  <c r="H11404" i="3"/>
  <c r="G11404" i="3"/>
  <c r="H11403" i="3"/>
  <c r="G11403" i="3"/>
  <c r="H11402" i="3"/>
  <c r="G11402"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26" i="3"/>
  <c r="G11449" i="3"/>
  <c r="G11448" i="3"/>
  <c r="G11447" i="3"/>
  <c r="G11446" i="3"/>
  <c r="G11445" i="3"/>
  <c r="G11444" i="3"/>
  <c r="G11443" i="3"/>
  <c r="G11442" i="3"/>
  <c r="G11441" i="3"/>
  <c r="G11440" i="3"/>
  <c r="G11439" i="3"/>
  <c r="G11438" i="3"/>
  <c r="G11437" i="3"/>
  <c r="G11436" i="3"/>
  <c r="G11435" i="3"/>
  <c r="G11434" i="3"/>
  <c r="G11433" i="3"/>
  <c r="G11432" i="3"/>
  <c r="G11431" i="3"/>
  <c r="G11430" i="3"/>
  <c r="G11429" i="3"/>
  <c r="G11428" i="3"/>
  <c r="G11427" i="3"/>
  <c r="G11426" i="3"/>
  <c r="S487" i="23" l="1"/>
  <c r="C488" i="23"/>
  <c r="AL493" i="23"/>
  <c r="Y486" i="23"/>
  <c r="E489" i="23"/>
  <c r="AC502" i="23"/>
  <c r="AD502" i="23" s="1"/>
  <c r="I9556" i="3"/>
  <c r="I9567" i="3"/>
  <c r="I9577" i="3"/>
  <c r="I9538" i="3"/>
  <c r="I9499" i="3"/>
  <c r="I9467" i="3"/>
  <c r="I9480" i="3"/>
  <c r="I10208" i="3"/>
  <c r="I10211" i="3"/>
  <c r="I10214" i="3"/>
  <c r="I10217" i="3"/>
  <c r="I10181" i="3"/>
  <c r="I10186" i="3"/>
  <c r="I10196" i="3"/>
  <c r="I10163" i="3"/>
  <c r="I10166" i="3"/>
  <c r="I10173" i="3"/>
  <c r="I10174" i="3"/>
  <c r="I10138" i="3"/>
  <c r="I10147" i="3"/>
  <c r="I10112" i="3"/>
  <c r="I10115" i="3"/>
  <c r="I10118" i="3"/>
  <c r="I10121" i="3"/>
  <c r="I10085" i="3"/>
  <c r="I10089" i="3"/>
  <c r="I10096" i="3"/>
  <c r="I10103" i="3"/>
  <c r="I10058" i="3"/>
  <c r="I10072" i="3"/>
  <c r="I10079" i="3"/>
  <c r="I10054" i="3"/>
  <c r="I10019" i="3"/>
  <c r="I10021" i="3"/>
  <c r="I10003" i="3"/>
  <c r="I9964" i="3"/>
  <c r="I9970" i="3"/>
  <c r="I9972" i="3"/>
  <c r="I9977" i="3"/>
  <c r="I9961" i="3"/>
  <c r="I9937" i="3"/>
  <c r="I9873" i="3"/>
  <c r="I9829" i="3"/>
  <c r="I9832" i="3"/>
  <c r="I9805" i="3"/>
  <c r="I9753" i="3"/>
  <c r="I9769" i="3"/>
  <c r="I9737" i="3"/>
  <c r="I9705" i="3"/>
  <c r="I9721" i="3"/>
  <c r="I9697" i="3"/>
  <c r="I9633" i="3"/>
  <c r="I9640" i="3"/>
  <c r="I9649" i="3"/>
  <c r="I9608" i="3"/>
  <c r="I9617" i="3"/>
  <c r="I9581" i="3"/>
  <c r="I9599" i="3"/>
  <c r="I9601" i="3"/>
  <c r="I9521" i="3"/>
  <c r="I9478" i="3"/>
  <c r="I9385" i="3"/>
  <c r="I9319" i="3"/>
  <c r="I9301" i="3"/>
  <c r="I9273" i="3"/>
  <c r="I9285" i="3"/>
  <c r="I9241" i="3"/>
  <c r="I9212" i="3"/>
  <c r="I9180" i="3"/>
  <c r="I9185" i="3"/>
  <c r="I9123" i="3"/>
  <c r="I9021" i="3"/>
  <c r="I8952" i="3"/>
  <c r="I10082" i="3"/>
  <c r="I10086" i="3"/>
  <c r="I10104" i="3"/>
  <c r="I10059" i="3"/>
  <c r="I10063" i="3"/>
  <c r="I10066" i="3"/>
  <c r="I10070" i="3"/>
  <c r="I10020" i="3"/>
  <c r="I10023" i="3"/>
  <c r="I9994" i="3"/>
  <c r="I10000" i="3"/>
  <c r="I10007" i="3"/>
  <c r="I9965" i="3"/>
  <c r="I9968" i="3"/>
  <c r="I9979" i="3"/>
  <c r="I9942" i="3"/>
  <c r="I9950" i="3"/>
  <c r="I9960" i="3"/>
  <c r="I9936" i="3"/>
  <c r="I9891" i="3"/>
  <c r="I9898" i="3"/>
  <c r="I9905" i="3"/>
  <c r="I9868" i="3"/>
  <c r="I9877" i="3"/>
  <c r="I9878" i="3"/>
  <c r="I9884" i="3"/>
  <c r="I9889" i="3"/>
  <c r="I9842" i="3"/>
  <c r="I9850" i="3"/>
  <c r="I9857" i="3"/>
  <c r="I9858" i="3"/>
  <c r="I9865" i="3"/>
  <c r="I9828" i="3"/>
  <c r="I9840" i="3"/>
  <c r="I9797" i="3"/>
  <c r="I9798" i="3"/>
  <c r="I9804" i="3"/>
  <c r="I9807" i="3"/>
  <c r="I9817" i="3"/>
  <c r="I9775" i="3"/>
  <c r="I9677" i="3"/>
  <c r="I9680" i="3"/>
  <c r="I9661" i="3"/>
  <c r="I9619" i="3"/>
  <c r="I9591" i="3"/>
  <c r="I9594" i="3"/>
  <c r="I9560" i="3"/>
  <c r="I9569" i="3"/>
  <c r="I9575" i="3"/>
  <c r="I9517" i="3"/>
  <c r="I9520" i="3"/>
  <c r="I9490" i="3"/>
  <c r="I9505" i="3"/>
  <c r="I9452" i="3"/>
  <c r="I9388" i="3"/>
  <c r="I9401" i="3"/>
  <c r="I9404" i="3"/>
  <c r="I9381" i="3"/>
  <c r="I9329" i="3"/>
  <c r="I9293" i="3"/>
  <c r="I9252" i="3"/>
  <c r="I9255" i="3"/>
  <c r="I9261" i="3"/>
  <c r="I9224" i="3"/>
  <c r="I9227" i="3"/>
  <c r="I9229" i="3"/>
  <c r="I9209" i="3"/>
  <c r="I9177" i="3"/>
  <c r="I9153" i="3"/>
  <c r="I9169" i="3"/>
  <c r="I9093" i="3"/>
  <c r="I9033" i="3"/>
  <c r="I9008" i="3"/>
  <c r="I9000" i="3"/>
  <c r="I8973" i="3"/>
  <c r="I8974" i="3"/>
  <c r="I8936" i="3"/>
  <c r="I10206" i="3"/>
  <c r="I10216" i="3"/>
  <c r="I10220" i="3"/>
  <c r="I10224" i="3"/>
  <c r="I10179" i="3"/>
  <c r="I10194" i="3"/>
  <c r="I10155" i="3"/>
  <c r="I10158" i="3"/>
  <c r="I10161" i="3"/>
  <c r="I10169" i="3"/>
  <c r="I10170" i="3"/>
  <c r="I10177" i="3"/>
  <c r="I10130" i="3"/>
  <c r="I10140" i="3"/>
  <c r="I10148" i="3"/>
  <c r="I10149" i="3"/>
  <c r="I10152" i="3"/>
  <c r="I10107" i="3"/>
  <c r="I10110" i="3"/>
  <c r="I10120" i="3"/>
  <c r="I10124" i="3"/>
  <c r="I10083" i="3"/>
  <c r="I10091" i="3"/>
  <c r="I10094" i="3"/>
  <c r="I10098" i="3"/>
  <c r="I10067" i="3"/>
  <c r="I10036" i="3"/>
  <c r="I10044" i="3"/>
  <c r="I10052" i="3"/>
  <c r="I10011" i="3"/>
  <c r="I10014" i="3"/>
  <c r="I10027" i="3"/>
  <c r="I10030" i="3"/>
  <c r="I9986" i="3"/>
  <c r="I9989" i="3"/>
  <c r="I9995" i="3"/>
  <c r="I9998" i="3"/>
  <c r="I10001" i="3"/>
  <c r="I9966" i="3"/>
  <c r="I9940" i="3"/>
  <c r="I9948" i="3"/>
  <c r="I9953" i="3"/>
  <c r="I9895" i="3"/>
  <c r="I9907" i="3"/>
  <c r="I9866" i="3"/>
  <c r="I9872" i="3"/>
  <c r="I9882" i="3"/>
  <c r="I9888" i="3"/>
  <c r="I9848" i="3"/>
  <c r="I9856" i="3"/>
  <c r="I9864" i="3"/>
  <c r="I9819" i="3"/>
  <c r="I9826" i="3"/>
  <c r="I9796" i="3"/>
  <c r="I9779" i="3"/>
  <c r="I9782" i="3"/>
  <c r="I9750" i="3"/>
  <c r="I9766" i="3"/>
  <c r="I9734" i="3"/>
  <c r="I9702" i="3"/>
  <c r="I9718" i="3"/>
  <c r="I9692" i="3"/>
  <c r="I9660" i="3"/>
  <c r="I9644" i="3"/>
  <c r="I9612" i="3"/>
  <c r="I9583" i="3"/>
  <c r="I9586" i="3"/>
  <c r="I9540" i="3"/>
  <c r="I9485" i="3"/>
  <c r="I9488" i="3"/>
  <c r="I9472" i="3"/>
  <c r="I9474" i="3"/>
  <c r="I9481" i="3"/>
  <c r="I9434" i="3"/>
  <c r="I9450" i="3"/>
  <c r="I9420" i="3"/>
  <c r="I9399" i="3"/>
  <c r="I9364" i="3"/>
  <c r="I9377" i="3"/>
  <c r="I9380" i="3"/>
  <c r="I9350" i="3"/>
  <c r="I9321" i="3"/>
  <c r="I9324" i="3"/>
  <c r="I9295" i="3"/>
  <c r="I9305" i="3"/>
  <c r="I9270" i="3"/>
  <c r="I9279" i="3"/>
  <c r="I9282" i="3"/>
  <c r="I9289" i="3"/>
  <c r="I9260" i="3"/>
  <c r="I9263" i="3"/>
  <c r="I9265" i="3"/>
  <c r="I9218" i="3"/>
  <c r="I9228" i="3"/>
  <c r="I9231" i="3"/>
  <c r="I9233" i="3"/>
  <c r="I9234" i="3"/>
  <c r="I9208" i="3"/>
  <c r="I9211" i="3"/>
  <c r="I9176" i="3"/>
  <c r="I9179" i="3"/>
  <c r="I9188" i="3"/>
  <c r="I9193" i="3"/>
  <c r="I9146" i="3"/>
  <c r="I9152" i="3"/>
  <c r="I9161" i="3"/>
  <c r="I9130" i="3"/>
  <c r="I9140" i="3"/>
  <c r="I9144" i="3"/>
  <c r="I9088" i="3"/>
  <c r="I9027" i="3"/>
  <c r="I9029" i="3"/>
  <c r="I9020" i="3"/>
  <c r="I8990" i="3"/>
  <c r="I8972" i="3"/>
  <c r="I8926" i="3"/>
  <c r="I8884" i="3"/>
  <c r="I8892" i="3"/>
  <c r="I8896" i="3"/>
  <c r="I8824" i="3"/>
  <c r="I8829" i="3"/>
  <c r="I8801" i="3"/>
  <c r="I8808" i="3"/>
  <c r="I8763" i="3"/>
  <c r="I8783" i="3"/>
  <c r="I8752" i="3"/>
  <c r="I8720" i="3"/>
  <c r="I8701" i="3"/>
  <c r="I8681" i="3"/>
  <c r="I8684" i="3"/>
  <c r="I8639" i="3"/>
  <c r="I8577" i="3"/>
  <c r="I8585" i="3"/>
  <c r="I8551" i="3"/>
  <c r="I8523" i="3"/>
  <c r="I8521" i="3"/>
  <c r="I8492" i="3"/>
  <c r="I8428" i="3"/>
  <c r="I8436" i="3"/>
  <c r="I9168" i="3"/>
  <c r="I9131" i="3"/>
  <c r="I9132" i="3"/>
  <c r="I9106" i="3"/>
  <c r="I9109" i="3"/>
  <c r="I9112" i="3"/>
  <c r="I9115" i="3"/>
  <c r="I9077" i="3"/>
  <c r="I9078" i="3"/>
  <c r="I9085" i="3"/>
  <c r="I9092" i="3"/>
  <c r="I9053" i="3"/>
  <c r="I9057" i="3"/>
  <c r="I9064" i="3"/>
  <c r="I9032" i="3"/>
  <c r="I9034" i="3"/>
  <c r="I9009" i="3"/>
  <c r="I9014" i="3"/>
  <c r="I8984" i="3"/>
  <c r="I8992" i="3"/>
  <c r="I8996" i="3"/>
  <c r="I8999" i="3"/>
  <c r="I8976" i="3"/>
  <c r="I8933" i="3"/>
  <c r="I8934" i="3"/>
  <c r="I8944" i="3"/>
  <c r="I8949" i="3"/>
  <c r="I8950" i="3"/>
  <c r="I8912" i="3"/>
  <c r="I8917" i="3"/>
  <c r="I8918" i="3"/>
  <c r="I8928" i="3"/>
  <c r="I8885" i="3"/>
  <c r="I8888" i="3"/>
  <c r="I8894" i="3"/>
  <c r="I8897" i="3"/>
  <c r="I8904" i="3"/>
  <c r="I8860" i="3"/>
  <c r="I8863" i="3"/>
  <c r="I8872" i="3"/>
  <c r="I8873" i="3"/>
  <c r="I8878" i="3"/>
  <c r="I8849" i="3"/>
  <c r="I8852" i="3"/>
  <c r="I8855" i="3"/>
  <c r="I8816" i="3"/>
  <c r="I8821" i="3"/>
  <c r="I8822" i="3"/>
  <c r="I8831" i="3"/>
  <c r="I8789" i="3"/>
  <c r="I8796" i="3"/>
  <c r="I8800" i="3"/>
  <c r="I8803" i="3"/>
  <c r="I8805" i="3"/>
  <c r="I8806" i="3"/>
  <c r="I8773" i="3"/>
  <c r="I8775" i="3"/>
  <c r="I8776" i="3"/>
  <c r="I8785" i="3"/>
  <c r="I8744" i="3"/>
  <c r="I8745" i="3"/>
  <c r="I8751" i="3"/>
  <c r="I8719" i="3"/>
  <c r="I8724" i="3"/>
  <c r="I8725" i="3"/>
  <c r="I8735" i="3"/>
  <c r="I8690" i="3"/>
  <c r="I8696" i="3"/>
  <c r="I8706" i="3"/>
  <c r="I8713" i="3"/>
  <c r="I8666" i="3"/>
  <c r="I8674" i="3"/>
  <c r="I8683" i="3"/>
  <c r="I8647" i="3"/>
  <c r="I8653" i="3"/>
  <c r="I8661" i="3"/>
  <c r="I8620" i="3"/>
  <c r="I8638" i="3"/>
  <c r="I8641" i="3"/>
  <c r="I8572" i="3"/>
  <c r="I8584" i="3"/>
  <c r="I8593" i="3"/>
  <c r="I8546" i="3"/>
  <c r="I8550" i="3"/>
  <c r="I8559" i="3"/>
  <c r="I8560" i="3"/>
  <c r="I8525" i="3"/>
  <c r="I8527" i="3"/>
  <c r="I8528" i="3"/>
  <c r="I8537" i="3"/>
  <c r="I8539" i="3"/>
  <c r="I8540" i="3"/>
  <c r="I8502" i="3"/>
  <c r="I8513" i="3"/>
  <c r="I8517" i="3"/>
  <c r="I8520" i="3"/>
  <c r="I8480" i="3"/>
  <c r="I8488" i="3"/>
  <c r="I8425" i="3"/>
  <c r="I8393" i="3"/>
  <c r="I8948" i="3"/>
  <c r="I8951" i="3"/>
  <c r="I8916" i="3"/>
  <c r="I8919" i="3"/>
  <c r="I8895" i="3"/>
  <c r="I8864" i="3"/>
  <c r="I8870" i="3"/>
  <c r="I8879" i="3"/>
  <c r="I8841" i="3"/>
  <c r="I8846" i="3"/>
  <c r="I8820" i="3"/>
  <c r="I8823" i="3"/>
  <c r="I8832" i="3"/>
  <c r="I8790" i="3"/>
  <c r="I8804" i="3"/>
  <c r="I8807" i="3"/>
  <c r="I8765" i="3"/>
  <c r="I8768" i="3"/>
  <c r="I8777" i="3"/>
  <c r="I8754" i="3"/>
  <c r="I8723" i="3"/>
  <c r="I8694" i="3"/>
  <c r="I8700" i="3"/>
  <c r="I8712" i="3"/>
  <c r="I8672" i="3"/>
  <c r="I8680" i="3"/>
  <c r="I8644" i="3"/>
  <c r="I8651" i="3"/>
  <c r="I8663" i="3"/>
  <c r="I8624" i="3"/>
  <c r="I8628" i="3"/>
  <c r="I8594" i="3"/>
  <c r="I8598" i="3"/>
  <c r="I8602" i="3"/>
  <c r="I8606" i="3"/>
  <c r="I8610" i="3"/>
  <c r="I8614" i="3"/>
  <c r="I8570" i="3"/>
  <c r="I8576" i="3"/>
  <c r="I8582" i="3"/>
  <c r="I8592" i="3"/>
  <c r="I8558" i="3"/>
  <c r="I8561" i="3"/>
  <c r="I8529" i="3"/>
  <c r="I8532" i="3"/>
  <c r="I8538" i="3"/>
  <c r="I8541" i="3"/>
  <c r="I8499" i="3"/>
  <c r="I8511" i="3"/>
  <c r="I8518" i="3"/>
  <c r="I8478" i="3"/>
  <c r="I8486" i="3"/>
  <c r="I8455" i="3"/>
  <c r="I8458" i="3"/>
  <c r="I8464" i="3"/>
  <c r="I8432" i="3"/>
  <c r="I8433" i="3"/>
  <c r="I8405" i="3"/>
  <c r="I8412" i="3"/>
  <c r="I8424" i="3"/>
  <c r="I8379" i="3"/>
  <c r="I8392" i="3"/>
  <c r="I8395" i="3"/>
  <c r="I8324" i="3"/>
  <c r="I8300" i="3"/>
  <c r="I8354" i="3"/>
  <c r="I8369" i="3"/>
  <c r="I8370" i="3"/>
  <c r="I8335" i="3"/>
  <c r="I8338" i="3"/>
  <c r="I8341" i="3"/>
  <c r="I8349" i="3"/>
  <c r="I8350" i="3"/>
  <c r="I8308" i="3"/>
  <c r="I8312" i="3"/>
  <c r="I8321" i="3"/>
  <c r="I8323" i="3"/>
  <c r="I8287" i="3"/>
  <c r="I8301" i="3"/>
  <c r="I8302" i="3"/>
  <c r="I8258" i="3"/>
  <c r="I8266" i="3"/>
  <c r="I8274" i="3"/>
  <c r="I8278" i="3"/>
  <c r="I8240" i="3"/>
  <c r="I8245" i="3"/>
  <c r="I8246" i="3"/>
  <c r="I8222" i="3"/>
  <c r="I8167" i="3"/>
  <c r="I8170" i="3"/>
  <c r="I8146" i="3"/>
  <c r="I8149" i="3"/>
  <c r="I8114" i="3"/>
  <c r="I8122" i="3"/>
  <c r="I8128" i="3"/>
  <c r="I8131" i="3"/>
  <c r="I8133" i="3"/>
  <c r="I8134" i="3"/>
  <c r="I8094" i="3"/>
  <c r="I8103" i="3"/>
  <c r="I8109" i="3"/>
  <c r="I8068" i="3"/>
  <c r="I8072" i="3"/>
  <c r="I8086" i="3"/>
  <c r="I8049" i="3"/>
  <c r="I8050" i="3"/>
  <c r="I8060" i="3"/>
  <c r="I8063" i="3"/>
  <c r="I7997" i="3"/>
  <c r="I7999" i="3"/>
  <c r="I8000" i="3"/>
  <c r="I8009" i="3"/>
  <c r="I8011" i="3"/>
  <c r="I7975" i="3"/>
  <c r="I7985" i="3"/>
  <c r="I7989" i="3"/>
  <c r="I7990" i="3"/>
  <c r="I7952" i="3"/>
  <c r="I7960" i="3"/>
  <c r="I7961" i="3"/>
  <c r="I7964" i="3"/>
  <c r="I7967" i="3"/>
  <c r="I7934" i="3"/>
  <c r="I7943" i="3"/>
  <c r="I7900" i="3"/>
  <c r="I7901" i="3"/>
  <c r="I7907" i="3"/>
  <c r="I7915" i="3"/>
  <c r="I7875" i="3"/>
  <c r="I7885" i="3"/>
  <c r="I7891" i="3"/>
  <c r="I7852" i="3"/>
  <c r="I7860" i="3"/>
  <c r="I7864" i="3"/>
  <c r="I7867" i="3"/>
  <c r="I7833" i="3"/>
  <c r="I7834" i="3"/>
  <c r="I7843" i="3"/>
  <c r="I7824" i="3"/>
  <c r="I7781" i="3"/>
  <c r="I7786" i="3"/>
  <c r="I7796" i="3"/>
  <c r="I7757" i="3"/>
  <c r="I7760" i="3"/>
  <c r="I7763" i="3"/>
  <c r="I7772" i="3"/>
  <c r="I7777" i="3"/>
  <c r="I7730" i="3"/>
  <c r="I7733" i="3"/>
  <c r="I7739" i="3"/>
  <c r="I7741" i="3"/>
  <c r="I7746" i="3"/>
  <c r="I7717" i="3"/>
  <c r="I7718" i="3"/>
  <c r="I7728" i="3"/>
  <c r="I7689" i="3"/>
  <c r="I7691" i="3"/>
  <c r="I7664" i="3"/>
  <c r="I7670" i="3"/>
  <c r="I7679" i="3"/>
  <c r="I7639" i="3"/>
  <c r="I7642" i="3"/>
  <c r="I7651" i="3"/>
  <c r="I7653" i="3"/>
  <c r="I7654" i="3"/>
  <c r="I7615" i="3"/>
  <c r="I7624" i="3"/>
  <c r="I7625" i="3"/>
  <c r="I7630" i="3"/>
  <c r="I7593" i="3"/>
  <c r="I7600" i="3"/>
  <c r="I7564" i="3"/>
  <c r="I7569" i="3"/>
  <c r="I7570" i="3"/>
  <c r="I7574" i="3"/>
  <c r="I7548" i="3"/>
  <c r="I8359" i="3"/>
  <c r="I8361" i="3"/>
  <c r="I8362" i="3"/>
  <c r="I8372" i="3"/>
  <c r="I8377" i="3"/>
  <c r="I8330" i="3"/>
  <c r="I8333" i="3"/>
  <c r="I8343" i="3"/>
  <c r="I8345" i="3"/>
  <c r="I8346" i="3"/>
  <c r="I8352" i="3"/>
  <c r="I8310" i="3"/>
  <c r="I8325" i="3"/>
  <c r="I8327" i="3"/>
  <c r="I8328" i="3"/>
  <c r="I8292" i="3"/>
  <c r="I8295" i="3"/>
  <c r="I8304" i="3"/>
  <c r="I8260" i="3"/>
  <c r="I8264" i="3"/>
  <c r="I8268" i="3"/>
  <c r="I8272" i="3"/>
  <c r="I8276" i="3"/>
  <c r="I8280" i="3"/>
  <c r="I8237" i="3"/>
  <c r="I8238" i="3"/>
  <c r="I8248" i="3"/>
  <c r="I8253" i="3"/>
  <c r="I8254" i="3"/>
  <c r="I8215" i="3"/>
  <c r="I8217" i="3"/>
  <c r="I8220" i="3"/>
  <c r="I8172" i="3"/>
  <c r="I8183" i="3"/>
  <c r="I8185" i="3"/>
  <c r="I8138" i="3"/>
  <c r="I8141" i="3"/>
  <c r="I8154" i="3"/>
  <c r="I8157" i="3"/>
  <c r="I8127" i="3"/>
  <c r="I8096" i="3"/>
  <c r="I8111" i="3"/>
  <c r="I8077" i="3"/>
  <c r="I8080" i="3"/>
  <c r="I8084" i="3"/>
  <c r="I8088" i="3"/>
  <c r="I8052" i="3"/>
  <c r="I8055" i="3"/>
  <c r="I8057" i="3"/>
  <c r="I8058" i="3"/>
  <c r="I7995" i="3"/>
  <c r="I8013" i="3"/>
  <c r="I8015" i="3"/>
  <c r="I8016" i="3"/>
  <c r="I7976" i="3"/>
  <c r="I7977" i="3"/>
  <c r="I7980" i="3"/>
  <c r="I7983" i="3"/>
  <c r="I7950" i="3"/>
  <c r="I7959" i="3"/>
  <c r="I7926" i="3"/>
  <c r="I7944" i="3"/>
  <c r="I7904" i="3"/>
  <c r="I7905" i="3"/>
  <c r="I7911" i="3"/>
  <c r="I7919" i="3"/>
  <c r="I7876" i="3"/>
  <c r="I7877" i="3"/>
  <c r="I7880" i="3"/>
  <c r="I7883" i="3"/>
  <c r="I7850" i="3"/>
  <c r="I7859" i="3"/>
  <c r="I7873" i="3"/>
  <c r="I7826" i="3"/>
  <c r="I7836" i="3"/>
  <c r="I7848" i="3"/>
  <c r="I7823" i="3"/>
  <c r="I7779" i="3"/>
  <c r="I7788" i="3"/>
  <c r="I7794" i="3"/>
  <c r="I7755" i="3"/>
  <c r="I7765" i="3"/>
  <c r="I7770" i="3"/>
  <c r="I7732" i="3"/>
  <c r="I7737" i="3"/>
  <c r="I7748" i="3"/>
  <c r="I7708" i="3"/>
  <c r="I7711" i="3"/>
  <c r="I7720" i="3"/>
  <c r="I7725" i="3"/>
  <c r="I7726" i="3"/>
  <c r="I7693" i="3"/>
  <c r="I7695" i="3"/>
  <c r="I7696" i="3"/>
  <c r="I7705" i="3"/>
  <c r="I7662" i="3"/>
  <c r="I7637" i="3"/>
  <c r="I7656" i="3"/>
  <c r="I7617" i="3"/>
  <c r="I7620" i="3"/>
  <c r="I7623" i="3"/>
  <c r="I7632" i="3"/>
  <c r="I7595" i="3"/>
  <c r="I7598" i="3"/>
  <c r="I7563" i="3"/>
  <c r="I7572" i="3"/>
  <c r="I7577" i="3"/>
  <c r="I7578" i="3"/>
  <c r="I7541" i="3"/>
  <c r="I7543" i="3"/>
  <c r="I7544" i="3"/>
  <c r="I7547" i="3"/>
  <c r="I7551" i="3"/>
  <c r="I7554" i="3"/>
  <c r="I7558" i="3"/>
  <c r="I7521" i="3"/>
  <c r="I7520" i="3"/>
  <c r="I7526" i="3"/>
  <c r="I7532" i="3"/>
  <c r="I7537" i="3"/>
  <c r="I7490" i="3"/>
  <c r="I7504" i="3"/>
  <c r="I7507" i="3"/>
  <c r="I7511" i="3"/>
  <c r="I7466" i="3"/>
  <c r="I7469" i="3"/>
  <c r="I7475" i="3"/>
  <c r="I7477" i="3"/>
  <c r="I7478" i="3"/>
  <c r="I7484" i="3"/>
  <c r="I7489" i="3"/>
  <c r="I7442" i="3"/>
  <c r="I7446" i="3"/>
  <c r="I7450" i="3"/>
  <c r="I7454" i="3"/>
  <c r="I7458" i="3"/>
  <c r="I7462" i="3"/>
  <c r="I7418" i="3"/>
  <c r="I7422" i="3"/>
  <c r="I7426" i="3"/>
  <c r="I7397" i="3"/>
  <c r="I7400" i="3"/>
  <c r="I7403" i="3"/>
  <c r="I7407" i="3"/>
  <c r="I7410" i="3"/>
  <c r="I7414" i="3"/>
  <c r="I7376" i="3"/>
  <c r="I7384" i="3"/>
  <c r="I7346" i="3"/>
  <c r="I7362" i="3"/>
  <c r="I7367" i="3"/>
  <c r="I7289" i="3"/>
  <c r="I7291" i="3"/>
  <c r="I7292" i="3"/>
  <c r="I7301" i="3"/>
  <c r="I7303" i="3"/>
  <c r="I7321" i="3"/>
  <c r="I7227" i="3"/>
  <c r="I7228" i="3"/>
  <c r="I7237" i="3"/>
  <c r="I7239" i="3"/>
  <c r="I7257" i="3"/>
  <c r="I7259" i="3"/>
  <c r="I7260" i="3"/>
  <c r="I7269" i="3"/>
  <c r="I7219" i="3"/>
  <c r="I7223" i="3"/>
  <c r="I7134" i="3"/>
  <c r="I7137" i="3"/>
  <c r="I7143" i="3"/>
  <c r="I7145" i="3"/>
  <c r="I7146" i="3"/>
  <c r="I7149" i="3"/>
  <c r="I7158" i="3"/>
  <c r="I7164" i="3"/>
  <c r="I7174" i="3"/>
  <c r="I7108" i="3"/>
  <c r="I7123" i="3"/>
  <c r="I7036" i="3"/>
  <c r="I7052" i="3"/>
  <c r="I7068" i="3"/>
  <c r="I6988" i="3"/>
  <c r="I6995" i="3"/>
  <c r="I6998" i="3"/>
  <c r="I7001" i="3"/>
  <c r="I7011" i="3"/>
  <c r="I7014" i="3"/>
  <c r="I7017" i="3"/>
  <c r="I7032" i="3"/>
  <c r="I6944" i="3"/>
  <c r="I6950" i="3"/>
  <c r="I6958" i="3"/>
  <c r="I6966" i="3"/>
  <c r="I6976" i="3"/>
  <c r="I6984" i="3"/>
  <c r="I6901" i="3"/>
  <c r="I6932" i="3"/>
  <c r="I6937" i="3"/>
  <c r="I6847" i="3"/>
  <c r="I6848" i="3"/>
  <c r="I7184" i="3"/>
  <c r="I7192" i="3"/>
  <c r="I7200" i="3"/>
  <c r="I7208" i="3"/>
  <c r="I7216" i="3"/>
  <c r="I7224" i="3"/>
  <c r="I7135" i="3"/>
  <c r="I7144" i="3"/>
  <c r="I7150" i="3"/>
  <c r="I7153" i="3"/>
  <c r="I7159" i="3"/>
  <c r="I7162" i="3"/>
  <c r="I7168" i="3"/>
  <c r="I7084" i="3"/>
  <c r="I7087" i="3"/>
  <c r="I7090" i="3"/>
  <c r="I7094" i="3"/>
  <c r="I7105" i="3"/>
  <c r="I7109" i="3"/>
  <c r="I7112" i="3"/>
  <c r="I7124" i="3"/>
  <c r="I7034" i="3"/>
  <c r="I7050" i="3"/>
  <c r="I7066" i="3"/>
  <c r="I7069" i="3"/>
  <c r="I6986" i="3"/>
  <c r="I6989" i="3"/>
  <c r="I6999" i="3"/>
  <c r="I7002" i="3"/>
  <c r="I7005" i="3"/>
  <c r="I7015" i="3"/>
  <c r="I7018" i="3"/>
  <c r="I6941" i="3"/>
  <c r="I6948" i="3"/>
  <c r="I6951" i="3"/>
  <c r="I6964" i="3"/>
  <c r="I6967" i="3"/>
  <c r="I6974" i="3"/>
  <c r="I6982" i="3"/>
  <c r="I6897" i="3"/>
  <c r="I6915" i="3"/>
  <c r="I6923" i="3"/>
  <c r="I7534" i="3"/>
  <c r="I7499" i="3"/>
  <c r="I7508" i="3"/>
  <c r="I7471" i="3"/>
  <c r="I7486" i="3"/>
  <c r="I7448" i="3"/>
  <c r="I7456" i="3"/>
  <c r="I7464" i="3"/>
  <c r="I7420" i="3"/>
  <c r="I7428" i="3"/>
  <c r="I7432" i="3"/>
  <c r="I7435" i="3"/>
  <c r="I7439" i="3"/>
  <c r="I7395" i="3"/>
  <c r="I7404" i="3"/>
  <c r="I7405" i="3"/>
  <c r="I7412" i="3"/>
  <c r="I7417" i="3"/>
  <c r="I7370" i="3"/>
  <c r="I7374" i="3"/>
  <c r="I7378" i="3"/>
  <c r="I7382" i="3"/>
  <c r="I7386" i="3"/>
  <c r="I7328" i="3"/>
  <c r="I7329" i="3"/>
  <c r="I7336" i="3"/>
  <c r="I7337" i="3"/>
  <c r="I7354" i="3"/>
  <c r="I7369" i="3"/>
  <c r="I7275" i="3"/>
  <c r="I7276" i="3"/>
  <c r="I7285" i="3"/>
  <c r="I7287" i="3"/>
  <c r="I7305" i="3"/>
  <c r="I7307" i="3"/>
  <c r="I7308" i="3"/>
  <c r="I7317" i="3"/>
  <c r="I7319" i="3"/>
  <c r="I7241" i="3"/>
  <c r="I7243" i="3"/>
  <c r="I7244" i="3"/>
  <c r="I7253" i="3"/>
  <c r="I7255" i="3"/>
  <c r="I7178" i="3"/>
  <c r="I7181" i="3"/>
  <c r="I7213" i="3"/>
  <c r="I7221" i="3"/>
  <c r="I7132" i="3"/>
  <c r="I7139" i="3"/>
  <c r="I7160" i="3"/>
  <c r="I7166" i="3"/>
  <c r="I7172" i="3"/>
  <c r="I7082" i="3"/>
  <c r="I7091" i="3"/>
  <c r="I7100" i="3"/>
  <c r="I7103" i="3"/>
  <c r="I7106" i="3"/>
  <c r="I7110" i="3"/>
  <c r="I7121" i="3"/>
  <c r="I7125" i="3"/>
  <c r="I6933" i="3"/>
  <c r="I6936" i="3"/>
  <c r="I6855" i="3"/>
  <c r="I6871" i="3"/>
  <c r="I7042" i="3"/>
  <c r="I7058" i="3"/>
  <c r="I7074" i="3"/>
  <c r="I7077" i="3"/>
  <c r="I6991" i="3"/>
  <c r="I6994" i="3"/>
  <c r="I6997" i="3"/>
  <c r="I7007" i="3"/>
  <c r="I7010" i="3"/>
  <c r="I7013" i="3"/>
  <c r="I6952" i="3"/>
  <c r="I6968" i="3"/>
  <c r="I6864" i="3"/>
  <c r="I6879" i="3"/>
  <c r="I6880" i="3"/>
  <c r="I6751" i="3"/>
  <c r="I6752" i="3"/>
  <c r="I6768" i="3"/>
  <c r="I6781" i="3"/>
  <c r="I6784" i="3"/>
  <c r="I6797" i="3"/>
  <c r="I6800" i="3"/>
  <c r="I6813" i="3"/>
  <c r="I6816" i="3"/>
  <c r="I6829" i="3"/>
  <c r="I6832" i="3"/>
  <c r="I6839" i="3"/>
  <c r="I6657" i="3"/>
  <c r="I6659" i="3"/>
  <c r="I6660" i="3"/>
  <c r="I6673" i="3"/>
  <c r="I6676" i="3"/>
  <c r="I6689" i="3"/>
  <c r="I6692" i="3"/>
  <c r="I6705" i="3"/>
  <c r="I6708" i="3"/>
  <c r="I6721" i="3"/>
  <c r="I6724" i="3"/>
  <c r="I6737" i="3"/>
  <c r="I6740" i="3"/>
  <c r="I6743" i="3"/>
  <c r="I6558" i="3"/>
  <c r="I6561" i="3"/>
  <c r="I6635" i="3"/>
  <c r="I6460" i="3"/>
  <c r="I6466" i="3"/>
  <c r="I6524" i="3"/>
  <c r="I6540" i="3"/>
  <c r="I6368" i="3"/>
  <c r="I6371" i="3"/>
  <c r="I6374" i="3"/>
  <c r="I6377" i="3"/>
  <c r="I6384" i="3"/>
  <c r="I6387" i="3"/>
  <c r="I6390" i="3"/>
  <c r="I6400" i="3"/>
  <c r="I6403" i="3"/>
  <c r="I6457" i="3"/>
  <c r="I6176" i="3"/>
  <c r="I6177" i="3"/>
  <c r="I6191" i="3"/>
  <c r="I6207" i="3"/>
  <c r="I6223" i="3"/>
  <c r="I6878" i="3"/>
  <c r="I6750" i="3"/>
  <c r="I6766" i="3"/>
  <c r="I6782" i="3"/>
  <c r="I6798" i="3"/>
  <c r="I6814" i="3"/>
  <c r="I6830" i="3"/>
  <c r="I6840" i="3"/>
  <c r="I6658" i="3"/>
  <c r="I6674" i="3"/>
  <c r="I6690" i="3"/>
  <c r="I6706" i="3"/>
  <c r="I6722" i="3"/>
  <c r="I6735" i="3"/>
  <c r="I6738" i="3"/>
  <c r="I6565" i="3"/>
  <c r="I6568" i="3"/>
  <c r="I6576" i="3"/>
  <c r="I6584" i="3"/>
  <c r="I6592" i="3"/>
  <c r="I6600" i="3"/>
  <c r="I6608" i="3"/>
  <c r="I6619" i="3"/>
  <c r="I6629" i="3"/>
  <c r="I6636" i="3"/>
  <c r="I6642" i="3"/>
  <c r="I6464" i="3"/>
  <c r="I6467" i="3"/>
  <c r="I6471" i="3"/>
  <c r="I6474" i="3"/>
  <c r="I6491" i="3"/>
  <c r="I6500" i="3"/>
  <c r="I6508" i="3"/>
  <c r="I6513" i="3"/>
  <c r="I6514" i="3"/>
  <c r="I6521" i="3"/>
  <c r="I6525" i="3"/>
  <c r="I6531" i="3"/>
  <c r="I6553" i="3"/>
  <c r="I6365" i="3"/>
  <c r="I6372" i="3"/>
  <c r="I6375" i="3"/>
  <c r="I6381" i="3"/>
  <c r="I6388" i="3"/>
  <c r="I6391" i="3"/>
  <c r="I6397" i="3"/>
  <c r="I6404" i="3"/>
  <c r="I6407" i="3"/>
  <c r="I6413" i="3"/>
  <c r="I6420" i="3"/>
  <c r="I6423" i="3"/>
  <c r="I6429" i="3"/>
  <c r="I6436" i="3"/>
  <c r="I6444" i="3"/>
  <c r="I6449" i="3"/>
  <c r="I6450" i="3"/>
  <c r="I6456" i="3"/>
  <c r="I6272" i="3"/>
  <c r="I6280" i="3"/>
  <c r="I6285" i="3"/>
  <c r="I6286" i="3"/>
  <c r="I6292" i="3"/>
  <c r="I6295" i="3"/>
  <c r="I6304" i="3"/>
  <c r="I6312" i="3"/>
  <c r="I6323" i="3"/>
  <c r="I6333" i="3"/>
  <c r="I6344" i="3"/>
  <c r="I6355" i="3"/>
  <c r="I6190" i="3"/>
  <c r="I6206" i="3"/>
  <c r="I6222" i="3"/>
  <c r="I6238" i="3"/>
  <c r="I6475" i="3"/>
  <c r="I6492" i="3"/>
  <c r="I6498" i="3"/>
  <c r="I6512" i="3"/>
  <c r="I6515" i="3"/>
  <c r="I6519" i="3"/>
  <c r="I6539" i="3"/>
  <c r="I6543" i="3"/>
  <c r="I6546" i="3"/>
  <c r="I6335" i="3"/>
  <c r="I6342" i="3"/>
  <c r="I6356" i="3"/>
  <c r="I6790" i="3"/>
  <c r="I6822" i="3"/>
  <c r="I6835" i="3"/>
  <c r="I6698" i="3"/>
  <c r="I6714" i="3"/>
  <c r="I6730" i="3"/>
  <c r="I6742" i="3"/>
  <c r="I6557" i="3"/>
  <c r="I6559" i="3"/>
  <c r="I6602" i="3"/>
  <c r="I6606" i="3"/>
  <c r="I6610" i="3"/>
  <c r="I6627" i="3"/>
  <c r="I6631" i="3"/>
  <c r="I6634" i="3"/>
  <c r="I6638" i="3"/>
  <c r="I6459" i="3"/>
  <c r="I6468" i="3"/>
  <c r="I6476" i="3"/>
  <c r="I6482" i="3"/>
  <c r="I6496" i="3"/>
  <c r="I6499" i="3"/>
  <c r="I6503" i="3"/>
  <c r="I6506" i="3"/>
  <c r="I6510" i="3"/>
  <c r="I6523" i="3"/>
  <c r="I6532" i="3"/>
  <c r="I6547" i="3"/>
  <c r="I6367" i="3"/>
  <c r="I6370" i="3"/>
  <c r="I6383" i="3"/>
  <c r="I6386" i="3"/>
  <c r="I6399" i="3"/>
  <c r="I6402" i="3"/>
  <c r="I6415" i="3"/>
  <c r="I6418" i="3"/>
  <c r="I6431" i="3"/>
  <c r="I6434" i="3"/>
  <c r="I6445" i="3"/>
  <c r="I6271" i="3"/>
  <c r="I6275" i="3"/>
  <c r="I6278" i="3"/>
  <c r="I6282" i="3"/>
  <c r="I6300" i="3"/>
  <c r="I6303" i="3"/>
  <c r="I6307" i="3"/>
  <c r="I6317" i="3"/>
  <c r="I6339" i="3"/>
  <c r="I6254" i="3"/>
  <c r="I6075" i="3"/>
  <c r="I6082" i="3"/>
  <c r="I6112" i="3"/>
  <c r="I5983" i="3"/>
  <c r="I5985" i="3"/>
  <c r="I5991" i="3"/>
  <c r="I5993" i="3"/>
  <c r="I5999" i="3"/>
  <c r="I6001" i="3"/>
  <c r="I6007" i="3"/>
  <c r="I6009" i="3"/>
  <c r="I6015" i="3"/>
  <c r="I6017" i="3"/>
  <c r="I6023" i="3"/>
  <c r="I6025" i="3"/>
  <c r="I6031" i="3"/>
  <c r="I6033" i="3"/>
  <c r="I6039" i="3"/>
  <c r="I6041" i="3"/>
  <c r="I5904" i="3"/>
  <c r="I5920" i="3"/>
  <c r="I5936" i="3"/>
  <c r="I5878" i="3"/>
  <c r="I5698" i="3"/>
  <c r="I5706" i="3"/>
  <c r="I5730" i="3"/>
  <c r="I5734" i="3"/>
  <c r="I5738" i="3"/>
  <c r="I5742" i="3"/>
  <c r="I5746" i="3"/>
  <c r="I5750" i="3"/>
  <c r="I5754" i="3"/>
  <c r="I5758" i="3"/>
  <c r="I5762" i="3"/>
  <c r="I5766" i="3"/>
  <c r="I5770" i="3"/>
  <c r="I5774" i="3"/>
  <c r="I5778" i="3"/>
  <c r="I6245" i="3"/>
  <c r="I6248" i="3"/>
  <c r="I6261" i="3"/>
  <c r="I6264" i="3"/>
  <c r="I6098" i="3"/>
  <c r="I6109" i="3"/>
  <c r="I6113" i="3"/>
  <c r="I6116" i="3"/>
  <c r="I6128" i="3"/>
  <c r="I6134" i="3"/>
  <c r="I6136" i="3"/>
  <c r="I6143" i="3"/>
  <c r="I6157" i="3"/>
  <c r="I6160" i="3"/>
  <c r="I6169" i="3"/>
  <c r="I6064" i="3"/>
  <c r="I6066" i="3"/>
  <c r="I6073" i="3"/>
  <c r="I5973" i="3"/>
  <c r="I5787" i="3"/>
  <c r="I5790" i="3"/>
  <c r="I5795" i="3"/>
  <c r="I5801" i="3"/>
  <c r="I5803" i="3"/>
  <c r="I5771" i="3"/>
  <c r="I5775" i="3"/>
  <c r="I5779" i="3"/>
  <c r="I5783" i="3"/>
  <c r="I5604" i="3"/>
  <c r="I5620" i="3"/>
  <c r="I5636" i="3"/>
  <c r="I5652" i="3"/>
  <c r="I5668" i="3"/>
  <c r="I5682" i="3"/>
  <c r="I5504" i="3"/>
  <c r="I5505" i="3"/>
  <c r="I5526" i="3"/>
  <c r="I5531" i="3"/>
  <c r="I5538" i="3"/>
  <c r="I5543" i="3"/>
  <c r="I5544" i="3"/>
  <c r="I5553" i="3"/>
  <c r="I5555" i="3"/>
  <c r="I5562" i="3"/>
  <c r="I5565" i="3"/>
  <c r="I5578" i="3"/>
  <c r="I5584" i="3"/>
  <c r="I5585" i="3"/>
  <c r="I5592" i="3"/>
  <c r="I5593" i="3"/>
  <c r="I5405" i="3"/>
  <c r="I5408" i="3"/>
  <c r="I5411" i="3"/>
  <c r="I5415" i="3"/>
  <c r="I5418" i="3"/>
  <c r="I5422" i="3"/>
  <c r="I5435" i="3"/>
  <c r="I5444" i="3"/>
  <c r="I5445" i="3"/>
  <c r="I5452" i="3"/>
  <c r="I5458" i="3"/>
  <c r="I5465" i="3"/>
  <c r="I5469" i="3"/>
  <c r="I5472" i="3"/>
  <c r="I5475" i="3"/>
  <c r="I5479" i="3"/>
  <c r="I5482" i="3"/>
  <c r="I5486" i="3"/>
  <c r="I5391" i="3"/>
  <c r="I5395" i="3"/>
  <c r="I5399" i="3"/>
  <c r="I5211" i="3"/>
  <c r="I5214" i="3"/>
  <c r="I5218" i="3"/>
  <c r="I5231" i="3"/>
  <c r="I5240" i="3"/>
  <c r="I5248" i="3"/>
  <c r="I5253" i="3"/>
  <c r="I5254" i="3"/>
  <c r="I5268" i="3"/>
  <c r="I5271" i="3"/>
  <c r="I5275" i="3"/>
  <c r="I5278" i="3"/>
  <c r="I5282" i="3"/>
  <c r="I5288" i="3"/>
  <c r="I5303" i="3"/>
  <c r="I5131" i="3"/>
  <c r="I5180" i="3"/>
  <c r="I5208" i="3"/>
  <c r="I5112" i="3"/>
  <c r="I5979" i="3"/>
  <c r="I5981" i="3"/>
  <c r="I5987" i="3"/>
  <c r="I5989" i="3"/>
  <c r="I5995" i="3"/>
  <c r="I5997" i="3"/>
  <c r="I6003" i="3"/>
  <c r="I6005" i="3"/>
  <c r="I6011" i="3"/>
  <c r="I6013" i="3"/>
  <c r="I6019" i="3"/>
  <c r="I6021" i="3"/>
  <c r="I6027" i="3"/>
  <c r="I6029" i="3"/>
  <c r="I6035" i="3"/>
  <c r="I6037" i="3"/>
  <c r="I6043" i="3"/>
  <c r="I6045" i="3"/>
  <c r="I6051" i="3"/>
  <c r="I6053" i="3"/>
  <c r="I6059" i="3"/>
  <c r="I5969" i="3"/>
  <c r="I5824" i="3"/>
  <c r="I5832" i="3"/>
  <c r="I5840" i="3"/>
  <c r="I5848" i="3"/>
  <c r="I6239" i="3"/>
  <c r="I6255" i="3"/>
  <c r="I6077" i="3"/>
  <c r="I6081" i="3"/>
  <c r="I6083" i="3"/>
  <c r="I6084" i="3"/>
  <c r="I6096" i="3"/>
  <c r="I6102" i="3"/>
  <c r="I6104" i="3"/>
  <c r="I6111" i="3"/>
  <c r="I6123" i="3"/>
  <c r="I6130" i="3"/>
  <c r="I6141" i="3"/>
  <c r="I6145" i="3"/>
  <c r="I6148" i="3"/>
  <c r="I6164" i="3"/>
  <c r="I6069" i="3"/>
  <c r="I6070" i="3"/>
  <c r="I5892" i="3"/>
  <c r="I5908" i="3"/>
  <c r="I5924" i="3"/>
  <c r="I5940" i="3"/>
  <c r="I5956" i="3"/>
  <c r="I5965" i="3"/>
  <c r="I5971" i="3"/>
  <c r="I5852" i="3"/>
  <c r="I5860" i="3"/>
  <c r="I5868" i="3"/>
  <c r="I5876" i="3"/>
  <c r="I5692" i="3"/>
  <c r="I5700" i="3"/>
  <c r="I5708" i="3"/>
  <c r="I5716" i="3"/>
  <c r="I5724" i="3"/>
  <c r="I5732" i="3"/>
  <c r="I5740" i="3"/>
  <c r="I5748" i="3"/>
  <c r="I5756" i="3"/>
  <c r="I5764" i="3"/>
  <c r="I5772" i="3"/>
  <c r="I5780" i="3"/>
  <c r="I5781" i="3"/>
  <c r="I5596" i="3"/>
  <c r="I5612" i="3"/>
  <c r="I5628" i="3"/>
  <c r="I5644" i="3"/>
  <c r="I5660" i="3"/>
  <c r="I5676" i="3"/>
  <c r="I5680" i="3"/>
  <c r="I5689" i="3"/>
  <c r="I5509" i="3"/>
  <c r="I5511" i="3"/>
  <c r="I5512" i="3"/>
  <c r="I5520" i="3"/>
  <c r="I5521" i="3"/>
  <c r="I5546" i="3"/>
  <c r="I5549" i="3"/>
  <c r="I5559" i="3"/>
  <c r="I5560" i="3"/>
  <c r="I5563" i="3"/>
  <c r="I5570" i="3"/>
  <c r="I5573" i="3"/>
  <c r="I5575" i="3"/>
  <c r="I5576" i="3"/>
  <c r="I5580" i="3"/>
  <c r="I5403" i="3"/>
  <c r="I5412" i="3"/>
  <c r="I5413" i="3"/>
  <c r="I5420" i="3"/>
  <c r="I5426" i="3"/>
  <c r="I5433" i="3"/>
  <c r="I5437" i="3"/>
  <c r="I5440" i="3"/>
  <c r="I5443" i="3"/>
  <c r="I5447" i="3"/>
  <c r="I5450" i="3"/>
  <c r="I5454" i="3"/>
  <c r="I5467" i="3"/>
  <c r="I5476" i="3"/>
  <c r="I5477" i="3"/>
  <c r="I5484" i="3"/>
  <c r="I5490" i="3"/>
  <c r="I5312" i="3"/>
  <c r="I5313" i="3"/>
  <c r="I5320" i="3"/>
  <c r="I5321" i="3"/>
  <c r="I5328" i="3"/>
  <c r="I5329" i="3"/>
  <c r="I5336" i="3"/>
  <c r="I5337" i="3"/>
  <c r="I5344" i="3"/>
  <c r="I5345" i="3"/>
  <c r="I5352" i="3"/>
  <c r="I5353" i="3"/>
  <c r="I5360" i="3"/>
  <c r="I5361" i="3"/>
  <c r="I5368" i="3"/>
  <c r="I5369" i="3"/>
  <c r="I5376" i="3"/>
  <c r="I5377" i="3"/>
  <c r="I5384" i="3"/>
  <c r="I5385" i="3"/>
  <c r="I5392" i="3"/>
  <c r="I5393" i="3"/>
  <c r="I5400" i="3"/>
  <c r="I5216" i="3"/>
  <c r="I5222" i="3"/>
  <c r="I5236" i="3"/>
  <c r="I5239" i="3"/>
  <c r="I5243" i="3"/>
  <c r="I5246" i="3"/>
  <c r="I5250" i="3"/>
  <c r="I5287" i="3"/>
  <c r="I5291" i="3"/>
  <c r="I5295" i="3"/>
  <c r="I5297" i="3"/>
  <c r="I5298" i="3"/>
  <c r="I5300" i="3"/>
  <c r="I5304" i="3"/>
  <c r="I5080" i="3"/>
  <c r="I5134" i="3"/>
  <c r="I5138" i="3"/>
  <c r="I5148" i="3"/>
  <c r="I5167" i="3"/>
  <c r="I5170" i="3"/>
  <c r="I5172" i="3"/>
  <c r="I5183" i="3"/>
  <c r="I5198" i="3"/>
  <c r="I5202" i="3"/>
  <c r="I5019" i="3"/>
  <c r="I5031" i="3"/>
  <c r="I5033" i="3"/>
  <c r="I5044" i="3"/>
  <c r="I5045" i="3"/>
  <c r="I5051" i="3"/>
  <c r="I5063" i="3"/>
  <c r="I5065" i="3"/>
  <c r="I5076" i="3"/>
  <c r="I5077" i="3"/>
  <c r="I5083" i="3"/>
  <c r="I5095" i="3"/>
  <c r="I5097" i="3"/>
  <c r="I5106" i="3"/>
  <c r="I4925" i="3"/>
  <c r="I4926" i="3"/>
  <c r="I4932" i="3"/>
  <c r="I4941" i="3"/>
  <c r="I4942" i="3"/>
  <c r="I4948" i="3"/>
  <c r="I4957" i="3"/>
  <c r="I4958" i="3"/>
  <c r="I4964" i="3"/>
  <c r="I4973" i="3"/>
  <c r="I4974" i="3"/>
  <c r="I4980" i="3"/>
  <c r="I4989" i="3"/>
  <c r="I4990" i="3"/>
  <c r="I4996" i="3"/>
  <c r="I5005" i="3"/>
  <c r="I5006" i="3"/>
  <c r="I5009" i="3"/>
  <c r="I5015" i="3"/>
  <c r="I4831" i="3"/>
  <c r="I4836" i="3"/>
  <c r="I4854" i="3"/>
  <c r="I4856" i="3"/>
  <c r="I4857" i="3"/>
  <c r="I4863" i="3"/>
  <c r="I4868" i="3"/>
  <c r="I4886" i="3"/>
  <c r="I4888" i="3"/>
  <c r="I4889" i="3"/>
  <c r="I4895" i="3"/>
  <c r="I4900" i="3"/>
  <c r="I4918" i="3"/>
  <c r="I4920" i="3"/>
  <c r="I4921" i="3"/>
  <c r="I4735" i="3"/>
  <c r="I4740" i="3"/>
  <c r="I4754" i="3"/>
  <c r="I4760" i="3"/>
  <c r="I4786" i="3"/>
  <c r="I4792" i="3"/>
  <c r="I4824" i="3"/>
  <c r="I4794" i="3"/>
  <c r="I4798" i="3"/>
  <c r="I4801" i="3"/>
  <c r="I4803" i="3"/>
  <c r="I4804" i="3"/>
  <c r="I4822" i="3"/>
  <c r="I4706" i="3"/>
  <c r="I4710" i="3"/>
  <c r="I5263" i="3"/>
  <c r="I5272" i="3"/>
  <c r="I5280" i="3"/>
  <c r="I5285" i="3"/>
  <c r="I5286" i="3"/>
  <c r="I5301" i="3"/>
  <c r="I5117" i="3"/>
  <c r="I5121" i="3"/>
  <c r="I5123" i="3"/>
  <c r="I5124" i="3"/>
  <c r="I5142" i="3"/>
  <c r="I5150" i="3"/>
  <c r="I5153" i="3"/>
  <c r="I5158" i="3"/>
  <c r="I5165" i="3"/>
  <c r="I5181" i="3"/>
  <c r="I5185" i="3"/>
  <c r="I5188" i="3"/>
  <c r="I5191" i="3"/>
  <c r="I5200" i="3"/>
  <c r="I5206" i="3"/>
  <c r="I5028" i="3"/>
  <c r="I5029" i="3"/>
  <c r="I5035" i="3"/>
  <c r="I5047" i="3"/>
  <c r="I5049" i="3"/>
  <c r="I5060" i="3"/>
  <c r="I5061" i="3"/>
  <c r="I5067" i="3"/>
  <c r="I5079" i="3"/>
  <c r="I5081" i="3"/>
  <c r="I5092" i="3"/>
  <c r="I5093" i="3"/>
  <c r="I5099" i="3"/>
  <c r="I5110" i="3"/>
  <c r="I4924" i="3"/>
  <c r="I4933" i="3"/>
  <c r="I4934" i="3"/>
  <c r="I4940" i="3"/>
  <c r="I4949" i="3"/>
  <c r="I4950" i="3"/>
  <c r="I4956" i="3"/>
  <c r="I4965" i="3"/>
  <c r="I4966" i="3"/>
  <c r="I4972" i="3"/>
  <c r="I4981" i="3"/>
  <c r="I4982" i="3"/>
  <c r="I4988" i="3"/>
  <c r="I4997" i="3"/>
  <c r="I4998" i="3"/>
  <c r="I5004" i="3"/>
  <c r="I5011" i="3"/>
  <c r="I4838" i="3"/>
  <c r="I4840" i="3"/>
  <c r="I4841" i="3"/>
  <c r="I4847" i="3"/>
  <c r="I4852" i="3"/>
  <c r="I4870" i="3"/>
  <c r="I4872" i="3"/>
  <c r="I4873" i="3"/>
  <c r="I4879" i="3"/>
  <c r="I4884" i="3"/>
  <c r="I4902" i="3"/>
  <c r="I4904" i="3"/>
  <c r="I4905" i="3"/>
  <c r="I4911" i="3"/>
  <c r="I4916" i="3"/>
  <c r="I4742" i="3"/>
  <c r="I4744" i="3"/>
  <c r="I4745" i="3"/>
  <c r="I4770" i="3"/>
  <c r="I4776" i="3"/>
  <c r="I4802" i="3"/>
  <c r="I4707" i="3"/>
  <c r="I4711" i="3"/>
  <c r="I4628" i="3"/>
  <c r="I4692" i="3"/>
  <c r="I4599" i="3"/>
  <c r="I4600" i="3"/>
  <c r="I4571" i="3"/>
  <c r="I4572" i="3"/>
  <c r="I4539" i="3"/>
  <c r="I4540" i="3"/>
  <c r="I4555" i="3"/>
  <c r="I4556" i="3"/>
  <c r="I4523" i="3"/>
  <c r="I4524" i="3"/>
  <c r="I4491" i="3"/>
  <c r="I4492" i="3"/>
  <c r="I4507" i="3"/>
  <c r="I4508" i="3"/>
  <c r="I4475" i="3"/>
  <c r="I4476" i="3"/>
  <c r="I4444" i="3"/>
  <c r="I4452" i="3"/>
  <c r="I4460" i="3"/>
  <c r="I4463" i="3"/>
  <c r="I4427" i="3"/>
  <c r="I4428" i="3"/>
  <c r="I4436" i="3"/>
  <c r="I4398" i="3"/>
  <c r="I4402" i="3"/>
  <c r="I4409" i="3"/>
  <c r="I4412" i="3"/>
  <c r="I4372" i="3"/>
  <c r="I4378" i="3"/>
  <c r="I4323" i="3"/>
  <c r="I4339" i="3"/>
  <c r="I4342" i="3"/>
  <c r="I4314" i="3"/>
  <c r="I4228" i="3"/>
  <c r="I4232" i="3"/>
  <c r="I4235" i="3"/>
  <c r="I4237" i="3"/>
  <c r="I4244" i="3"/>
  <c r="I4247" i="3"/>
  <c r="I3972" i="3"/>
  <c r="I3975" i="3"/>
  <c r="I4723" i="3"/>
  <c r="I4614" i="3"/>
  <c r="I4623" i="3"/>
  <c r="I4632" i="3"/>
  <c r="I4637" i="3"/>
  <c r="I4638" i="3"/>
  <c r="I4656" i="3"/>
  <c r="I4687" i="3"/>
  <c r="I4696" i="3"/>
  <c r="I4426" i="3"/>
  <c r="I4433" i="3"/>
  <c r="I4410" i="3"/>
  <c r="I4417" i="3"/>
  <c r="I4376" i="3"/>
  <c r="I4379" i="3"/>
  <c r="I4383" i="3"/>
  <c r="I4386" i="3"/>
  <c r="I4390" i="3"/>
  <c r="I4355" i="3"/>
  <c r="I4364" i="3"/>
  <c r="I4365" i="3"/>
  <c r="I4327" i="3"/>
  <c r="I4330" i="3"/>
  <c r="I4333" i="3"/>
  <c r="I4343" i="3"/>
  <c r="I4302" i="3"/>
  <c r="I4303" i="3"/>
  <c r="I4308" i="3"/>
  <c r="I4312" i="3"/>
  <c r="I4316" i="3"/>
  <c r="I4320" i="3"/>
  <c r="I4287" i="3"/>
  <c r="I4291" i="3"/>
  <c r="I4295" i="3"/>
  <c r="I4250" i="3"/>
  <c r="I4254" i="3"/>
  <c r="I4258" i="3"/>
  <c r="I4266" i="3"/>
  <c r="I4270" i="3"/>
  <c r="I4226" i="3"/>
  <c r="I4236" i="3"/>
  <c r="I4239" i="3"/>
  <c r="I3966" i="3"/>
  <c r="I4654" i="3"/>
  <c r="I4663" i="3"/>
  <c r="I4672" i="3"/>
  <c r="I4673" i="3"/>
  <c r="I4676" i="3"/>
  <c r="I4679" i="3"/>
  <c r="I4697" i="3"/>
  <c r="I4700" i="3"/>
  <c r="I4703" i="3"/>
  <c r="I4591" i="3"/>
  <c r="I4592" i="3"/>
  <c r="I4607" i="3"/>
  <c r="I4608" i="3"/>
  <c r="I4579" i="3"/>
  <c r="I4580" i="3"/>
  <c r="I4547" i="3"/>
  <c r="I4548" i="3"/>
  <c r="I4515" i="3"/>
  <c r="I4516" i="3"/>
  <c r="I4531" i="3"/>
  <c r="I4532" i="3"/>
  <c r="I4499" i="3"/>
  <c r="I4500" i="3"/>
  <c r="I4467" i="3"/>
  <c r="I4468" i="3"/>
  <c r="I4483" i="3"/>
  <c r="I4420" i="3"/>
  <c r="I4709" i="3"/>
  <c r="I4716" i="3"/>
  <c r="I4720" i="3"/>
  <c r="I4624" i="3"/>
  <c r="I4629" i="3"/>
  <c r="I4630" i="3"/>
  <c r="I4645" i="3"/>
  <c r="I4646" i="3"/>
  <c r="I4655" i="3"/>
  <c r="I4664" i="3"/>
  <c r="I4670" i="3"/>
  <c r="I4689" i="3"/>
  <c r="I4694" i="3"/>
  <c r="I4485" i="3"/>
  <c r="I4446" i="3"/>
  <c r="I4454" i="3"/>
  <c r="I4461" i="3"/>
  <c r="I4400" i="3"/>
  <c r="I4380" i="3"/>
  <c r="I4388" i="3"/>
  <c r="I4393" i="3"/>
  <c r="I4346" i="3"/>
  <c r="I4353" i="3"/>
  <c r="I4357" i="3"/>
  <c r="I4360" i="3"/>
  <c r="I4363" i="3"/>
  <c r="I4367" i="3"/>
  <c r="I4276" i="3"/>
  <c r="I4277" i="3"/>
  <c r="I4284" i="3"/>
  <c r="I4285" i="3"/>
  <c r="I4292" i="3"/>
  <c r="I4293" i="3"/>
  <c r="I4252" i="3"/>
  <c r="I4260" i="3"/>
  <c r="I4233" i="3"/>
  <c r="I4245" i="3"/>
  <c r="I3973" i="3"/>
  <c r="I10218" i="3"/>
  <c r="I10221" i="3"/>
  <c r="I10222" i="3"/>
  <c r="I10183" i="3"/>
  <c r="I10185" i="3"/>
  <c r="I10190" i="3"/>
  <c r="I10199" i="3"/>
  <c r="I10134" i="3"/>
  <c r="I10143" i="3"/>
  <c r="I10145" i="3"/>
  <c r="I10150" i="3"/>
  <c r="I10122" i="3"/>
  <c r="I10125" i="3"/>
  <c r="I10126" i="3"/>
  <c r="I10129" i="3"/>
  <c r="I10097" i="3"/>
  <c r="I10069" i="3"/>
  <c r="I10035" i="3"/>
  <c r="I10043" i="3"/>
  <c r="I10051" i="3"/>
  <c r="I9982" i="3"/>
  <c r="I9954" i="3"/>
  <c r="I9957" i="3"/>
  <c r="I9958" i="3"/>
  <c r="I9915" i="3"/>
  <c r="I9918" i="3"/>
  <c r="I9921" i="3"/>
  <c r="I9928" i="3"/>
  <c r="I9931" i="3"/>
  <c r="I9933" i="3"/>
  <c r="I9934" i="3"/>
  <c r="I9893" i="3"/>
  <c r="I9894" i="3"/>
  <c r="I9903" i="3"/>
  <c r="I9909" i="3"/>
  <c r="I9910" i="3"/>
  <c r="I9843" i="3"/>
  <c r="I9847" i="3"/>
  <c r="I9851" i="3"/>
  <c r="I9855" i="3"/>
  <c r="I9859" i="3"/>
  <c r="I9863" i="3"/>
  <c r="I9821" i="3"/>
  <c r="I9822" i="3"/>
  <c r="I9831" i="3"/>
  <c r="I9837" i="3"/>
  <c r="I9838" i="3"/>
  <c r="I9799" i="3"/>
  <c r="I9801" i="3"/>
  <c r="I9802" i="3"/>
  <c r="I9536" i="3"/>
  <c r="I9304" i="3"/>
  <c r="I10203" i="3"/>
  <c r="I10101" i="3"/>
  <c r="I10065" i="3"/>
  <c r="I10075" i="3"/>
  <c r="I10081" i="3"/>
  <c r="I10017" i="3"/>
  <c r="I10025" i="3"/>
  <c r="I10033" i="3"/>
  <c r="I10005" i="3"/>
  <c r="I10006" i="3"/>
  <c r="I10009" i="3"/>
  <c r="I9962" i="3"/>
  <c r="I9971" i="3"/>
  <c r="I9978" i="3"/>
  <c r="I9939" i="3"/>
  <c r="I9943" i="3"/>
  <c r="I9947" i="3"/>
  <c r="I9951" i="3"/>
  <c r="I9916" i="3"/>
  <c r="I9919" i="3"/>
  <c r="I9922" i="3"/>
  <c r="I9925" i="3"/>
  <c r="I9932" i="3"/>
  <c r="I9935" i="3"/>
  <c r="I9890" i="3"/>
  <c r="I9899" i="3"/>
  <c r="I9906" i="3"/>
  <c r="I9867" i="3"/>
  <c r="I9871" i="3"/>
  <c r="I9875" i="3"/>
  <c r="I9879" i="3"/>
  <c r="I9883" i="3"/>
  <c r="I9887" i="3"/>
  <c r="I9818" i="3"/>
  <c r="I9827" i="3"/>
  <c r="I9834" i="3"/>
  <c r="I9795" i="3"/>
  <c r="I9800" i="3"/>
  <c r="I9815" i="3"/>
  <c r="I9770" i="3"/>
  <c r="I9541" i="3"/>
  <c r="I9524" i="3"/>
  <c r="I9492" i="3"/>
  <c r="I9421" i="3"/>
  <c r="I9372" i="3"/>
  <c r="I10219" i="3"/>
  <c r="I10223" i="3"/>
  <c r="I10182" i="3"/>
  <c r="I10191" i="3"/>
  <c r="I10193" i="3"/>
  <c r="I10198" i="3"/>
  <c r="I10135" i="3"/>
  <c r="I10137" i="3"/>
  <c r="I10142" i="3"/>
  <c r="I10151" i="3"/>
  <c r="I10123" i="3"/>
  <c r="I10127" i="3"/>
  <c r="I10084" i="3"/>
  <c r="I10087" i="3"/>
  <c r="I10090" i="3"/>
  <c r="I10093" i="3"/>
  <c r="I10100" i="3"/>
  <c r="I10105" i="3"/>
  <c r="I10061" i="3"/>
  <c r="I10062" i="3"/>
  <c r="I10071" i="3"/>
  <c r="I10077" i="3"/>
  <c r="I10078" i="3"/>
  <c r="I10037" i="3"/>
  <c r="I10039" i="3"/>
  <c r="I10045" i="3"/>
  <c r="I10047" i="3"/>
  <c r="I10053" i="3"/>
  <c r="I10055" i="3"/>
  <c r="I10016" i="3"/>
  <c r="I10024" i="3"/>
  <c r="I10032" i="3"/>
  <c r="I9990" i="3"/>
  <c r="I9999" i="3"/>
  <c r="I9967" i="3"/>
  <c r="I9969" i="3"/>
  <c r="I9974" i="3"/>
  <c r="I9983" i="3"/>
  <c r="I9955" i="3"/>
  <c r="I9959" i="3"/>
  <c r="I9920" i="3"/>
  <c r="I9923" i="3"/>
  <c r="I9926" i="3"/>
  <c r="I9811" i="3"/>
  <c r="I9816" i="3"/>
  <c r="I9784" i="3"/>
  <c r="I9752" i="3"/>
  <c r="I9768" i="3"/>
  <c r="I9736" i="3"/>
  <c r="I9704" i="3"/>
  <c r="I9720" i="3"/>
  <c r="I9897" i="3"/>
  <c r="I9913" i="3"/>
  <c r="I9881" i="3"/>
  <c r="I9885" i="3"/>
  <c r="I9825" i="3"/>
  <c r="I9841" i="3"/>
  <c r="I9461" i="3"/>
  <c r="I9774" i="3"/>
  <c r="I9783" i="3"/>
  <c r="I9785" i="3"/>
  <c r="I9790" i="3"/>
  <c r="I9751" i="3"/>
  <c r="I9758" i="3"/>
  <c r="I9767" i="3"/>
  <c r="I9726" i="3"/>
  <c r="I9735" i="3"/>
  <c r="I9742" i="3"/>
  <c r="I9703" i="3"/>
  <c r="I9710" i="3"/>
  <c r="I9719" i="3"/>
  <c r="I9681" i="3"/>
  <c r="I9691" i="3"/>
  <c r="I9693" i="3"/>
  <c r="I9650" i="3"/>
  <c r="I9659" i="3"/>
  <c r="I9666" i="3"/>
  <c r="I9627" i="3"/>
  <c r="I9634" i="3"/>
  <c r="I9643" i="3"/>
  <c r="I9602" i="3"/>
  <c r="I9611" i="3"/>
  <c r="I9618" i="3"/>
  <c r="I9579" i="3"/>
  <c r="I9587" i="3"/>
  <c r="I9595" i="3"/>
  <c r="I9555" i="3"/>
  <c r="I9557" i="3"/>
  <c r="I9562" i="3"/>
  <c r="I9566" i="3"/>
  <c r="I9570" i="3"/>
  <c r="I9574" i="3"/>
  <c r="I9530" i="3"/>
  <c r="I9539" i="3"/>
  <c r="I9515" i="3"/>
  <c r="I9482" i="3"/>
  <c r="I9491" i="3"/>
  <c r="I9493" i="3"/>
  <c r="I9498" i="3"/>
  <c r="I9459" i="3"/>
  <c r="I9466" i="3"/>
  <c r="I9475" i="3"/>
  <c r="I9479" i="3"/>
  <c r="I9435" i="3"/>
  <c r="I9437" i="3"/>
  <c r="I9442" i="3"/>
  <c r="I9451" i="3"/>
  <c r="I9453" i="3"/>
  <c r="I9410" i="3"/>
  <c r="I9419" i="3"/>
  <c r="I9391" i="3"/>
  <c r="I9393" i="3"/>
  <c r="I9398" i="3"/>
  <c r="I9407" i="3"/>
  <c r="I9342" i="3"/>
  <c r="I9351" i="3"/>
  <c r="I9353" i="3"/>
  <c r="I9358" i="3"/>
  <c r="I9317" i="3"/>
  <c r="I9325" i="3"/>
  <c r="I9335" i="3"/>
  <c r="I9294" i="3"/>
  <c r="I9303" i="3"/>
  <c r="I9309" i="3"/>
  <c r="I9310" i="3"/>
  <c r="I9271" i="3"/>
  <c r="I9277" i="3"/>
  <c r="I9278" i="3"/>
  <c r="I9287" i="3"/>
  <c r="I9259" i="3"/>
  <c r="I9117" i="3"/>
  <c r="I9025" i="3"/>
  <c r="I8978" i="3"/>
  <c r="I8987" i="3"/>
  <c r="I8993" i="3"/>
  <c r="I8994" i="3"/>
  <c r="I8955" i="3"/>
  <c r="I8959" i="3"/>
  <c r="I8963" i="3"/>
  <c r="I8967" i="3"/>
  <c r="I8971" i="3"/>
  <c r="I8977" i="3"/>
  <c r="I8930" i="3"/>
  <c r="I8939" i="3"/>
  <c r="I8945" i="3"/>
  <c r="I8946" i="3"/>
  <c r="I8907" i="3"/>
  <c r="I8913" i="3"/>
  <c r="I8914" i="3"/>
  <c r="I8923" i="3"/>
  <c r="I8929" i="3"/>
  <c r="I8882" i="3"/>
  <c r="I8886" i="3"/>
  <c r="I8890" i="3"/>
  <c r="I8899" i="3"/>
  <c r="I8903" i="3"/>
  <c r="I8859" i="3"/>
  <c r="I8861" i="3"/>
  <c r="I8866" i="3"/>
  <c r="I8875" i="3"/>
  <c r="I8877" i="3"/>
  <c r="I8881" i="3"/>
  <c r="I8834" i="3"/>
  <c r="I8843" i="3"/>
  <c r="I8845" i="3"/>
  <c r="I8850" i="3"/>
  <c r="I8811" i="3"/>
  <c r="I8817" i="3"/>
  <c r="I8818" i="3"/>
  <c r="I8827" i="3"/>
  <c r="I8833" i="3"/>
  <c r="I8786" i="3"/>
  <c r="I8795" i="3"/>
  <c r="I8766" i="3"/>
  <c r="I8774" i="3"/>
  <c r="I8782" i="3"/>
  <c r="I8739" i="3"/>
  <c r="I8743" i="3"/>
  <c r="I8747" i="3"/>
  <c r="I8595" i="3"/>
  <c r="I8597" i="3"/>
  <c r="I8603" i="3"/>
  <c r="I8605" i="3"/>
  <c r="I8611" i="3"/>
  <c r="I8613" i="3"/>
  <c r="I8571" i="3"/>
  <c r="I8575" i="3"/>
  <c r="I8554" i="3"/>
  <c r="I8562" i="3"/>
  <c r="I8522" i="3"/>
  <c r="I8530" i="3"/>
  <c r="I8498" i="3"/>
  <c r="I8507" i="3"/>
  <c r="I8509" i="3"/>
  <c r="I8514" i="3"/>
  <c r="I8475" i="3"/>
  <c r="I8479" i="3"/>
  <c r="I8483" i="3"/>
  <c r="I8487" i="3"/>
  <c r="I8491" i="3"/>
  <c r="I8497" i="3"/>
  <c r="I8450" i="3"/>
  <c r="I8454" i="3"/>
  <c r="I8463" i="3"/>
  <c r="I8467" i="3"/>
  <c r="I8473" i="3"/>
  <c r="I8426" i="3"/>
  <c r="I8430" i="3"/>
  <c r="I8434" i="3"/>
  <c r="I8438" i="3"/>
  <c r="I8441" i="3"/>
  <c r="I8445" i="3"/>
  <c r="I8449" i="3"/>
  <c r="I8415" i="3"/>
  <c r="I8381" i="3"/>
  <c r="I8389" i="3"/>
  <c r="I8397" i="3"/>
  <c r="I8145" i="3"/>
  <c r="I8153" i="3"/>
  <c r="I8161" i="3"/>
  <c r="I8118" i="3"/>
  <c r="I8120" i="3"/>
  <c r="I8130" i="3"/>
  <c r="I8097" i="3"/>
  <c r="I8100" i="3"/>
  <c r="I8020" i="3"/>
  <c r="I8028" i="3"/>
  <c r="I9781" i="3"/>
  <c r="I9786" i="3"/>
  <c r="I9747" i="3"/>
  <c r="I9754" i="3"/>
  <c r="I9763" i="3"/>
  <c r="I9722" i="3"/>
  <c r="I9731" i="3"/>
  <c r="I9738" i="3"/>
  <c r="I9699" i="3"/>
  <c r="I9706" i="3"/>
  <c r="I9715" i="3"/>
  <c r="I9674" i="3"/>
  <c r="I9679" i="3"/>
  <c r="I9682" i="3"/>
  <c r="I9687" i="3"/>
  <c r="I9689" i="3"/>
  <c r="I9694" i="3"/>
  <c r="I9655" i="3"/>
  <c r="I9662" i="3"/>
  <c r="I9671" i="3"/>
  <c r="I9630" i="3"/>
  <c r="I9639" i="3"/>
  <c r="I9646" i="3"/>
  <c r="I9607" i="3"/>
  <c r="I9614" i="3"/>
  <c r="I9623" i="3"/>
  <c r="I9580" i="3"/>
  <c r="I9588" i="3"/>
  <c r="I9596" i="3"/>
  <c r="I9558" i="3"/>
  <c r="I9534" i="3"/>
  <c r="I9543" i="3"/>
  <c r="I9547" i="3"/>
  <c r="I9551" i="3"/>
  <c r="I9507" i="3"/>
  <c r="I9511" i="3"/>
  <c r="I9513" i="3"/>
  <c r="I9518" i="3"/>
  <c r="I9522" i="3"/>
  <c r="I9526" i="3"/>
  <c r="I9487" i="3"/>
  <c r="I9489" i="3"/>
  <c r="I9494" i="3"/>
  <c r="I9503" i="3"/>
  <c r="I9463" i="3"/>
  <c r="I9470" i="3"/>
  <c r="I9438" i="3"/>
  <c r="I9447" i="3"/>
  <c r="I9449" i="3"/>
  <c r="I9454" i="3"/>
  <c r="I9414" i="3"/>
  <c r="I9423" i="3"/>
  <c r="I9427" i="3"/>
  <c r="I9431" i="3"/>
  <c r="I9387" i="3"/>
  <c r="I9389" i="3"/>
  <c r="I9394" i="3"/>
  <c r="I9403" i="3"/>
  <c r="I9405" i="3"/>
  <c r="I9362" i="3"/>
  <c r="I9366" i="3"/>
  <c r="I9370" i="3"/>
  <c r="I9374" i="3"/>
  <c r="I9378" i="3"/>
  <c r="I9382" i="3"/>
  <c r="I9338" i="3"/>
  <c r="I9347" i="3"/>
  <c r="I9349" i="3"/>
  <c r="I9354" i="3"/>
  <c r="I9318" i="3"/>
  <c r="I9326" i="3"/>
  <c r="I9331" i="3"/>
  <c r="I9333" i="3"/>
  <c r="I9290" i="3"/>
  <c r="I9299" i="3"/>
  <c r="I9306" i="3"/>
  <c r="I9267" i="3"/>
  <c r="I9274" i="3"/>
  <c r="I9283" i="3"/>
  <c r="I9242" i="3"/>
  <c r="I9246" i="3"/>
  <c r="I9250" i="3"/>
  <c r="I9254" i="3"/>
  <c r="I9197" i="3"/>
  <c r="I9198" i="3"/>
  <c r="I9207" i="3"/>
  <c r="I9213" i="3"/>
  <c r="I9214" i="3"/>
  <c r="I9175" i="3"/>
  <c r="I9181" i="3"/>
  <c r="I9182" i="3"/>
  <c r="I9191" i="3"/>
  <c r="I9149" i="3"/>
  <c r="I9150" i="3"/>
  <c r="I9159" i="3"/>
  <c r="I9165" i="3"/>
  <c r="I9166" i="3"/>
  <c r="I9125" i="3"/>
  <c r="I9127" i="3"/>
  <c r="I9133" i="3"/>
  <c r="I9135" i="3"/>
  <c r="I9141" i="3"/>
  <c r="I9143" i="3"/>
  <c r="I9099" i="3"/>
  <c r="I9104" i="3"/>
  <c r="I9107" i="3"/>
  <c r="I9116" i="3"/>
  <c r="I9119" i="3"/>
  <c r="I9121" i="3"/>
  <c r="I9074" i="3"/>
  <c r="I9083" i="3"/>
  <c r="I9089" i="3"/>
  <c r="I9090" i="3"/>
  <c r="I9052" i="3"/>
  <c r="I9055" i="3"/>
  <c r="I9058" i="3"/>
  <c r="I9061" i="3"/>
  <c r="I9067" i="3"/>
  <c r="I9069" i="3"/>
  <c r="I9070" i="3"/>
  <c r="I9073" i="3"/>
  <c r="I9031" i="3"/>
  <c r="I9038" i="3"/>
  <c r="I9041" i="3"/>
  <c r="I9042" i="3"/>
  <c r="I9045" i="3"/>
  <c r="I9046" i="3"/>
  <c r="I9049" i="3"/>
  <c r="I9002" i="3"/>
  <c r="I9006" i="3"/>
  <c r="I9010" i="3"/>
  <c r="I8737" i="3"/>
  <c r="I8619" i="3"/>
  <c r="I8627" i="3"/>
  <c r="I8635" i="3"/>
  <c r="I8586" i="3"/>
  <c r="I8590" i="3"/>
  <c r="I8549" i="3"/>
  <c r="I8557" i="3"/>
  <c r="I8565" i="3"/>
  <c r="I8503" i="3"/>
  <c r="I8505" i="3"/>
  <c r="I8510" i="3"/>
  <c r="I8519" i="3"/>
  <c r="I8489" i="3"/>
  <c r="I8494" i="3"/>
  <c r="I8459" i="3"/>
  <c r="I8465" i="3"/>
  <c r="I8403" i="3"/>
  <c r="I8406" i="3"/>
  <c r="I8409" i="3"/>
  <c r="I8416" i="3"/>
  <c r="I8419" i="3"/>
  <c r="I8421" i="3"/>
  <c r="I8422" i="3"/>
  <c r="I8380" i="3"/>
  <c r="I8388" i="3"/>
  <c r="I8396" i="3"/>
  <c r="I8365" i="3"/>
  <c r="I8366" i="3"/>
  <c r="I8375" i="3"/>
  <c r="I8353" i="3"/>
  <c r="I8306" i="3"/>
  <c r="I8318" i="3"/>
  <c r="I8326" i="3"/>
  <c r="I8283" i="3"/>
  <c r="I8289" i="3"/>
  <c r="I8290" i="3"/>
  <c r="I8299" i="3"/>
  <c r="I8305" i="3"/>
  <c r="I8263" i="3"/>
  <c r="I8265" i="3"/>
  <c r="I8271" i="3"/>
  <c r="I8273" i="3"/>
  <c r="I8279" i="3"/>
  <c r="I8281" i="3"/>
  <c r="I8234" i="3"/>
  <c r="I8243" i="3"/>
  <c r="I8249" i="3"/>
  <c r="I8250" i="3"/>
  <c r="I8211" i="3"/>
  <c r="I8218" i="3"/>
  <c r="I8227" i="3"/>
  <c r="I8231" i="3"/>
  <c r="I8187" i="3"/>
  <c r="I8191" i="3"/>
  <c r="I8195" i="3"/>
  <c r="I8199" i="3"/>
  <c r="I8203" i="3"/>
  <c r="I8207" i="3"/>
  <c r="I9155" i="3"/>
  <c r="I9162" i="3"/>
  <c r="I9126" i="3"/>
  <c r="I9134" i="3"/>
  <c r="I9142" i="3"/>
  <c r="I9102" i="3"/>
  <c r="I9105" i="3"/>
  <c r="I9110" i="3"/>
  <c r="I9113" i="3"/>
  <c r="I9120" i="3"/>
  <c r="I9079" i="3"/>
  <c r="I9086" i="3"/>
  <c r="I9095" i="3"/>
  <c r="I9056" i="3"/>
  <c r="I9059" i="3"/>
  <c r="I9062" i="3"/>
  <c r="I9065" i="3"/>
  <c r="I9068" i="3"/>
  <c r="I9071" i="3"/>
  <c r="I9026" i="3"/>
  <c r="I9035" i="3"/>
  <c r="I9015" i="3"/>
  <c r="I9019" i="3"/>
  <c r="I9023" i="3"/>
  <c r="I8979" i="3"/>
  <c r="I8985" i="3"/>
  <c r="I8986" i="3"/>
  <c r="I8995" i="3"/>
  <c r="I9001" i="3"/>
  <c r="I8954" i="3"/>
  <c r="I8957" i="3"/>
  <c r="I8958" i="3"/>
  <c r="I8961" i="3"/>
  <c r="I8962" i="3"/>
  <c r="I8965" i="3"/>
  <c r="I8966" i="3"/>
  <c r="I8969" i="3"/>
  <c r="I8970" i="3"/>
  <c r="I8931" i="3"/>
  <c r="I8937" i="3"/>
  <c r="I8938" i="3"/>
  <c r="I8947" i="3"/>
  <c r="I8953" i="3"/>
  <c r="I8906" i="3"/>
  <c r="I8915" i="3"/>
  <c r="I8921" i="3"/>
  <c r="I8922" i="3"/>
  <c r="I8883" i="3"/>
  <c r="I8887" i="3"/>
  <c r="I8891" i="3"/>
  <c r="I8898" i="3"/>
  <c r="I8901" i="3"/>
  <c r="I8902" i="3"/>
  <c r="I8905" i="3"/>
  <c r="I8858" i="3"/>
  <c r="I8867" i="3"/>
  <c r="I8869" i="3"/>
  <c r="I8874" i="3"/>
  <c r="I8835" i="3"/>
  <c r="I8837" i="3"/>
  <c r="I8842" i="3"/>
  <c r="I8851" i="3"/>
  <c r="I8853" i="3"/>
  <c r="I8857" i="3"/>
  <c r="I8810" i="3"/>
  <c r="I8819" i="3"/>
  <c r="I8825" i="3"/>
  <c r="I8826" i="3"/>
  <c r="I8787" i="3"/>
  <c r="I8794" i="3"/>
  <c r="I8809" i="3"/>
  <c r="I8762" i="3"/>
  <c r="I8770" i="3"/>
  <c r="I8778" i="3"/>
  <c r="I8738" i="3"/>
  <c r="I8742" i="3"/>
  <c r="I8746" i="3"/>
  <c r="I8750" i="3"/>
  <c r="I8761" i="3"/>
  <c r="I8714" i="3"/>
  <c r="I8718" i="3"/>
  <c r="I8722" i="3"/>
  <c r="I8726" i="3"/>
  <c r="I8729" i="3"/>
  <c r="I8730" i="3"/>
  <c r="I8733" i="3"/>
  <c r="I8734" i="3"/>
  <c r="I8707" i="3"/>
  <c r="I8711" i="3"/>
  <c r="I8667" i="3"/>
  <c r="I8671" i="3"/>
  <c r="I8675" i="3"/>
  <c r="I8679" i="3"/>
  <c r="I8689" i="3"/>
  <c r="I8642" i="3"/>
  <c r="I8646" i="3"/>
  <c r="I8650" i="3"/>
  <c r="I8654" i="3"/>
  <c r="I8662" i="3"/>
  <c r="I8665" i="3"/>
  <c r="I8618" i="3"/>
  <c r="I8626" i="3"/>
  <c r="I8634" i="3"/>
  <c r="I8599" i="3"/>
  <c r="I8601" i="3"/>
  <c r="I8607" i="3"/>
  <c r="I8609" i="3"/>
  <c r="I8615" i="3"/>
  <c r="I8617" i="3"/>
  <c r="I8526" i="3"/>
  <c r="I8534" i="3"/>
  <c r="I8542" i="3"/>
  <c r="I8427" i="3"/>
  <c r="I8431" i="3"/>
  <c r="I8435" i="3"/>
  <c r="I8439" i="3"/>
  <c r="I8443" i="3"/>
  <c r="I8447" i="3"/>
  <c r="I8404" i="3"/>
  <c r="I8407" i="3"/>
  <c r="I8410" i="3"/>
  <c r="I8413" i="3"/>
  <c r="I8420" i="3"/>
  <c r="I8423" i="3"/>
  <c r="I8383" i="3"/>
  <c r="I8143" i="3"/>
  <c r="I8151" i="3"/>
  <c r="I8159" i="3"/>
  <c r="I8091" i="3"/>
  <c r="I8093" i="3"/>
  <c r="I8045" i="3"/>
  <c r="I8064" i="3"/>
  <c r="I8024" i="3"/>
  <c r="I8032" i="3"/>
  <c r="I8040" i="3"/>
  <c r="I7888" i="3"/>
  <c r="I7868" i="3"/>
  <c r="I9794" i="3"/>
  <c r="I9803" i="3"/>
  <c r="I9809" i="3"/>
  <c r="I9810" i="3"/>
  <c r="I9771" i="3"/>
  <c r="I9773" i="3"/>
  <c r="I9778" i="3"/>
  <c r="I9787" i="3"/>
  <c r="I9789" i="3"/>
  <c r="I9793" i="3"/>
  <c r="I9746" i="3"/>
  <c r="I9755" i="3"/>
  <c r="I9761" i="3"/>
  <c r="I9762" i="3"/>
  <c r="I9723" i="3"/>
  <c r="I9729" i="3"/>
  <c r="I9730" i="3"/>
  <c r="I9739" i="3"/>
  <c r="I9745" i="3"/>
  <c r="I9698" i="3"/>
  <c r="I9707" i="3"/>
  <c r="I9713" i="3"/>
  <c r="I9714" i="3"/>
  <c r="I9678" i="3"/>
  <c r="I9683" i="3"/>
  <c r="I9686" i="3"/>
  <c r="I9695" i="3"/>
  <c r="I9653" i="3"/>
  <c r="I9654" i="3"/>
  <c r="I9663" i="3"/>
  <c r="I9669" i="3"/>
  <c r="I9670" i="3"/>
  <c r="I9631" i="3"/>
  <c r="I9637" i="3"/>
  <c r="I9638" i="3"/>
  <c r="I9647" i="3"/>
  <c r="I9605" i="3"/>
  <c r="I9606" i="3"/>
  <c r="I9615" i="3"/>
  <c r="I9621" i="3"/>
  <c r="I9622" i="3"/>
  <c r="I9584" i="3"/>
  <c r="I9592" i="3"/>
  <c r="I9600" i="3"/>
  <c r="I9559" i="3"/>
  <c r="I9561" i="3"/>
  <c r="I9535" i="3"/>
  <c r="I9542" i="3"/>
  <c r="I9545" i="3"/>
  <c r="I9546" i="3"/>
  <c r="I9549" i="3"/>
  <c r="I9550" i="3"/>
  <c r="I9553" i="3"/>
  <c r="I9506" i="3"/>
  <c r="I9510" i="3"/>
  <c r="I9519" i="3"/>
  <c r="I9523" i="3"/>
  <c r="I9527" i="3"/>
  <c r="I9486" i="3"/>
  <c r="I9495" i="3"/>
  <c r="I9497" i="3"/>
  <c r="I9502" i="3"/>
  <c r="I9462" i="3"/>
  <c r="I9471" i="3"/>
  <c r="I9439" i="3"/>
  <c r="I9441" i="3"/>
  <c r="I9446" i="3"/>
  <c r="I9455" i="3"/>
  <c r="I9415" i="3"/>
  <c r="I9422" i="3"/>
  <c r="I9425" i="3"/>
  <c r="I9426" i="3"/>
  <c r="I9429" i="3"/>
  <c r="I9430" i="3"/>
  <c r="I9433" i="3"/>
  <c r="I9386" i="3"/>
  <c r="I9395" i="3"/>
  <c r="I9397" i="3"/>
  <c r="I9402" i="3"/>
  <c r="I9363" i="3"/>
  <c r="I9367" i="3"/>
  <c r="I9371" i="3"/>
  <c r="I9375" i="3"/>
  <c r="I9379" i="3"/>
  <c r="I9383" i="3"/>
  <c r="I9339" i="3"/>
  <c r="I9341" i="3"/>
  <c r="I9346" i="3"/>
  <c r="I9355" i="3"/>
  <c r="I9357" i="3"/>
  <c r="I9361" i="3"/>
  <c r="I9314" i="3"/>
  <c r="I9322" i="3"/>
  <c r="I9327" i="3"/>
  <c r="I9330" i="3"/>
  <c r="I9291" i="3"/>
  <c r="I9297" i="3"/>
  <c r="I9298" i="3"/>
  <c r="I9313" i="3"/>
  <c r="I9281" i="3"/>
  <c r="I9199" i="3"/>
  <c r="I9205" i="3"/>
  <c r="I9215" i="3"/>
  <c r="I9173" i="3"/>
  <c r="I9183" i="3"/>
  <c r="I9189" i="3"/>
  <c r="I9151" i="3"/>
  <c r="I9158" i="3"/>
  <c r="I9167" i="3"/>
  <c r="I9129" i="3"/>
  <c r="I9137" i="3"/>
  <c r="I9145" i="3"/>
  <c r="I9100" i="3"/>
  <c r="I9103" i="3"/>
  <c r="I9108" i="3"/>
  <c r="I9111" i="3"/>
  <c r="I9075" i="3"/>
  <c r="I9091" i="3"/>
  <c r="I9063" i="3"/>
  <c r="I9072" i="3"/>
  <c r="I9030" i="3"/>
  <c r="I9039" i="3"/>
  <c r="I9043" i="3"/>
  <c r="I9047" i="3"/>
  <c r="I9003" i="3"/>
  <c r="I9007" i="3"/>
  <c r="I9011" i="3"/>
  <c r="I9013" i="3"/>
  <c r="I8691" i="3"/>
  <c r="I8695" i="3"/>
  <c r="I8699" i="3"/>
  <c r="I8703" i="3"/>
  <c r="I8705" i="3"/>
  <c r="I8682" i="3"/>
  <c r="I8686" i="3"/>
  <c r="I8621" i="3"/>
  <c r="I8629" i="3"/>
  <c r="I8637" i="3"/>
  <c r="I8579" i="3"/>
  <c r="I8583" i="3"/>
  <c r="I8587" i="3"/>
  <c r="I8591" i="3"/>
  <c r="I8547" i="3"/>
  <c r="I8553" i="3"/>
  <c r="I8555" i="3"/>
  <c r="I8563" i="3"/>
  <c r="I8457" i="3"/>
  <c r="I8367" i="3"/>
  <c r="I8373" i="3"/>
  <c r="I8374" i="3"/>
  <c r="I8309" i="3"/>
  <c r="I8311" i="3"/>
  <c r="I8314" i="3"/>
  <c r="I8322" i="3"/>
  <c r="I8282" i="3"/>
  <c r="I8291" i="3"/>
  <c r="I8297" i="3"/>
  <c r="I8298" i="3"/>
  <c r="I8259" i="3"/>
  <c r="I8261" i="3"/>
  <c r="I8267" i="3"/>
  <c r="I8269" i="3"/>
  <c r="I8275" i="3"/>
  <c r="I8277" i="3"/>
  <c r="I8235" i="3"/>
  <c r="I8241" i="3"/>
  <c r="I8242" i="3"/>
  <c r="I8251" i="3"/>
  <c r="I8257" i="3"/>
  <c r="I8210" i="3"/>
  <c r="I8219" i="3"/>
  <c r="I8226" i="3"/>
  <c r="I8229" i="3"/>
  <c r="I8230" i="3"/>
  <c r="I8233" i="3"/>
  <c r="I8186" i="3"/>
  <c r="I8190" i="3"/>
  <c r="I8194" i="3"/>
  <c r="I8198" i="3"/>
  <c r="I8202" i="3"/>
  <c r="I8205" i="3"/>
  <c r="I8206" i="3"/>
  <c r="I8209" i="3"/>
  <c r="I8162" i="3"/>
  <c r="I8165" i="3"/>
  <c r="I8168" i="3"/>
  <c r="I8171" i="3"/>
  <c r="I8173" i="3"/>
  <c r="I8174" i="3"/>
  <c r="I7936" i="3"/>
  <c r="I8113" i="3"/>
  <c r="I8074" i="3"/>
  <c r="I8079" i="3"/>
  <c r="I8087" i="3"/>
  <c r="I8089" i="3"/>
  <c r="I8042" i="3"/>
  <c r="I8046" i="3"/>
  <c r="I8019" i="3"/>
  <c r="I8023" i="3"/>
  <c r="I8027" i="3"/>
  <c r="I8031" i="3"/>
  <c r="I8035" i="3"/>
  <c r="I8039" i="3"/>
  <c r="I7998" i="3"/>
  <c r="I8006" i="3"/>
  <c r="I8014" i="3"/>
  <c r="I7971" i="3"/>
  <c r="I7973" i="3"/>
  <c r="I7978" i="3"/>
  <c r="I7987" i="3"/>
  <c r="I7993" i="3"/>
  <c r="I7946" i="3"/>
  <c r="I7955" i="3"/>
  <c r="I7957" i="3"/>
  <c r="I7962" i="3"/>
  <c r="I7923" i="3"/>
  <c r="I7925" i="3"/>
  <c r="I7930" i="3"/>
  <c r="I7939" i="3"/>
  <c r="I7941" i="3"/>
  <c r="I7945" i="3"/>
  <c r="I7898" i="3"/>
  <c r="I7902" i="3"/>
  <c r="I7878" i="3"/>
  <c r="I7887" i="3"/>
  <c r="I7889" i="3"/>
  <c r="I7894" i="3"/>
  <c r="I7855" i="3"/>
  <c r="I7861" i="3"/>
  <c r="I7862" i="3"/>
  <c r="I7871" i="3"/>
  <c r="I7829" i="3"/>
  <c r="I7830" i="3"/>
  <c r="I7839" i="3"/>
  <c r="I7845" i="3"/>
  <c r="I7846" i="3"/>
  <c r="I7805" i="3"/>
  <c r="I7807" i="3"/>
  <c r="I7813" i="3"/>
  <c r="I7815" i="3"/>
  <c r="I7821" i="3"/>
  <c r="I7783" i="3"/>
  <c r="I7785" i="3"/>
  <c r="I7790" i="3"/>
  <c r="I7799" i="3"/>
  <c r="I7758" i="3"/>
  <c r="I7767" i="3"/>
  <c r="I7769" i="3"/>
  <c r="I7774" i="3"/>
  <c r="I7734" i="3"/>
  <c r="I7743" i="3"/>
  <c r="I7750" i="3"/>
  <c r="I7753" i="3"/>
  <c r="I7706" i="3"/>
  <c r="I7715" i="3"/>
  <c r="I7721" i="3"/>
  <c r="I7722" i="3"/>
  <c r="I7686" i="3"/>
  <c r="I7694" i="3"/>
  <c r="I7702" i="3"/>
  <c r="I7659" i="3"/>
  <c r="I7661" i="3"/>
  <c r="I7666" i="3"/>
  <c r="I7675" i="3"/>
  <c r="I7677" i="3"/>
  <c r="I7681" i="3"/>
  <c r="I7640" i="3"/>
  <c r="I7645" i="3"/>
  <c r="I7648" i="3"/>
  <c r="I7611" i="3"/>
  <c r="I7613" i="3"/>
  <c r="I7618" i="3"/>
  <c r="I7627" i="3"/>
  <c r="I7629" i="3"/>
  <c r="I7633" i="3"/>
  <c r="I7586" i="3"/>
  <c r="I7589" i="3"/>
  <c r="I7596" i="3"/>
  <c r="I7599" i="3"/>
  <c r="I7602" i="3"/>
  <c r="I7608" i="3"/>
  <c r="I7567" i="3"/>
  <c r="I7573" i="3"/>
  <c r="I7525" i="3"/>
  <c r="I7529" i="3"/>
  <c r="I7533" i="3"/>
  <c r="I7501" i="3"/>
  <c r="I7481" i="3"/>
  <c r="I7485" i="3"/>
  <c r="I7447" i="3"/>
  <c r="I7455" i="3"/>
  <c r="I7463" i="3"/>
  <c r="I7437" i="3"/>
  <c r="I7413" i="3"/>
  <c r="I7375" i="3"/>
  <c r="I7323" i="3"/>
  <c r="I7331" i="3"/>
  <c r="I7585" i="3"/>
  <c r="I7497" i="3"/>
  <c r="I7513" i="3"/>
  <c r="I7441" i="3"/>
  <c r="I7393" i="3"/>
  <c r="I7274" i="3"/>
  <c r="I7282" i="3"/>
  <c r="I7290" i="3"/>
  <c r="I7298" i="3"/>
  <c r="I7306" i="3"/>
  <c r="I7314" i="3"/>
  <c r="I7226" i="3"/>
  <c r="I7234" i="3"/>
  <c r="I7242" i="3"/>
  <c r="I7250" i="3"/>
  <c r="I7258" i="3"/>
  <c r="I7266" i="3"/>
  <c r="I8164" i="3"/>
  <c r="I8169" i="3"/>
  <c r="I8176" i="3"/>
  <c r="I8179" i="3"/>
  <c r="I8181" i="3"/>
  <c r="I8182" i="3"/>
  <c r="I8139" i="3"/>
  <c r="I8142" i="3"/>
  <c r="I8150" i="3"/>
  <c r="I8158" i="3"/>
  <c r="I8115" i="3"/>
  <c r="I8119" i="3"/>
  <c r="I8123" i="3"/>
  <c r="I8125" i="3"/>
  <c r="I8137" i="3"/>
  <c r="I8090" i="3"/>
  <c r="I8099" i="3"/>
  <c r="I8101" i="3"/>
  <c r="I8106" i="3"/>
  <c r="I8067" i="3"/>
  <c r="I8070" i="3"/>
  <c r="I8075" i="3"/>
  <c r="I8078" i="3"/>
  <c r="I8083" i="3"/>
  <c r="I8085" i="3"/>
  <c r="I8043" i="3"/>
  <c r="I8047" i="3"/>
  <c r="I8065" i="3"/>
  <c r="I8018" i="3"/>
  <c r="I8022" i="3"/>
  <c r="I8026" i="3"/>
  <c r="I8030" i="3"/>
  <c r="I8033" i="3"/>
  <c r="I8034" i="3"/>
  <c r="I8037" i="3"/>
  <c r="I8038" i="3"/>
  <c r="I8041" i="3"/>
  <c r="I7994" i="3"/>
  <c r="I8002" i="3"/>
  <c r="I8010" i="3"/>
  <c r="I7970" i="3"/>
  <c r="I7979" i="3"/>
  <c r="I7981" i="3"/>
  <c r="I7986" i="3"/>
  <c r="I7947" i="3"/>
  <c r="I7949" i="3"/>
  <c r="I7954" i="3"/>
  <c r="I7963" i="3"/>
  <c r="I7965" i="3"/>
  <c r="I7969" i="3"/>
  <c r="I7922" i="3"/>
  <c r="I7931" i="3"/>
  <c r="I7933" i="3"/>
  <c r="I7938" i="3"/>
  <c r="I7899" i="3"/>
  <c r="I7903" i="3"/>
  <c r="I7879" i="3"/>
  <c r="I7881" i="3"/>
  <c r="I7886" i="3"/>
  <c r="I7895" i="3"/>
  <c r="I7897" i="3"/>
  <c r="I7853" i="3"/>
  <c r="I7854" i="3"/>
  <c r="I7863" i="3"/>
  <c r="I7869" i="3"/>
  <c r="I7870" i="3"/>
  <c r="I7831" i="3"/>
  <c r="I7837" i="3"/>
  <c r="I7838" i="3"/>
  <c r="I7847" i="3"/>
  <c r="I7803" i="3"/>
  <c r="I7809" i="3"/>
  <c r="I7811" i="3"/>
  <c r="I7817" i="3"/>
  <c r="I7819" i="3"/>
  <c r="I7825" i="3"/>
  <c r="I7782" i="3"/>
  <c r="I7791" i="3"/>
  <c r="I7793" i="3"/>
  <c r="I7797" i="3"/>
  <c r="I7798" i="3"/>
  <c r="I7759" i="3"/>
  <c r="I7761" i="3"/>
  <c r="I7766" i="3"/>
  <c r="I7775" i="3"/>
  <c r="I7735" i="3"/>
  <c r="I7742" i="3"/>
  <c r="I7751" i="3"/>
  <c r="I7707" i="3"/>
  <c r="I7713" i="3"/>
  <c r="I7714" i="3"/>
  <c r="I7723" i="3"/>
  <c r="I7729" i="3"/>
  <c r="I7682" i="3"/>
  <c r="I7690" i="3"/>
  <c r="I7698" i="3"/>
  <c r="I7658" i="3"/>
  <c r="I7667" i="3"/>
  <c r="I7669" i="3"/>
  <c r="I7674" i="3"/>
  <c r="I7635" i="3"/>
  <c r="I7638" i="3"/>
  <c r="I7641" i="3"/>
  <c r="I7644" i="3"/>
  <c r="I7649" i="3"/>
  <c r="I7652" i="3"/>
  <c r="I7655" i="3"/>
  <c r="I7657" i="3"/>
  <c r="I7610" i="3"/>
  <c r="I7619" i="3"/>
  <c r="I7621" i="3"/>
  <c r="I7626" i="3"/>
  <c r="I7588" i="3"/>
  <c r="I7591" i="3"/>
  <c r="I7594" i="3"/>
  <c r="I7597" i="3"/>
  <c r="I7604" i="3"/>
  <c r="I7565" i="3"/>
  <c r="I7566" i="3"/>
  <c r="I7575" i="3"/>
  <c r="I7581" i="3"/>
  <c r="I7582" i="3"/>
  <c r="I7545" i="3"/>
  <c r="I7550" i="3"/>
  <c r="I7559" i="3"/>
  <c r="I7523" i="3"/>
  <c r="I7527" i="3"/>
  <c r="I7531" i="3"/>
  <c r="I7535" i="3"/>
  <c r="I7493" i="3"/>
  <c r="I7494" i="3"/>
  <c r="I7503" i="3"/>
  <c r="I7509" i="3"/>
  <c r="I7510" i="3"/>
  <c r="I7470" i="3"/>
  <c r="I7479" i="3"/>
  <c r="I7483" i="3"/>
  <c r="I7487" i="3"/>
  <c r="I7443" i="3"/>
  <c r="I7449" i="3"/>
  <c r="I7451" i="3"/>
  <c r="I7457" i="3"/>
  <c r="I7459" i="3"/>
  <c r="I7465" i="3"/>
  <c r="I7424" i="3"/>
  <c r="I7427" i="3"/>
  <c r="I7430" i="3"/>
  <c r="I7433" i="3"/>
  <c r="I7440" i="3"/>
  <c r="I7399" i="3"/>
  <c r="I7401" i="3"/>
  <c r="I7406" i="3"/>
  <c r="I7415" i="3"/>
  <c r="I7371" i="3"/>
  <c r="I7377" i="3"/>
  <c r="I7379" i="3"/>
  <c r="I7385" i="3"/>
  <c r="I7390" i="3"/>
  <c r="I7325" i="3"/>
  <c r="I7327" i="3"/>
  <c r="I7333" i="3"/>
  <c r="I7335" i="3"/>
  <c r="I7341" i="3"/>
  <c r="I7343" i="3"/>
  <c r="I7349" i="3"/>
  <c r="I7351" i="3"/>
  <c r="I7357" i="3"/>
  <c r="I7359" i="3"/>
  <c r="I7365" i="3"/>
  <c r="I7277" i="3"/>
  <c r="I7271" i="3"/>
  <c r="I7342" i="3"/>
  <c r="I7350" i="3"/>
  <c r="I7358" i="3"/>
  <c r="I7366" i="3"/>
  <c r="I7278" i="3"/>
  <c r="I7286" i="3"/>
  <c r="I7294" i="3"/>
  <c r="I7302" i="3"/>
  <c r="I7310" i="3"/>
  <c r="I7318" i="3"/>
  <c r="I7230" i="3"/>
  <c r="I7238" i="3"/>
  <c r="I7246" i="3"/>
  <c r="I7254" i="3"/>
  <c r="I7262" i="3"/>
  <c r="I7270" i="3"/>
  <c r="I7183" i="3"/>
  <c r="I7189" i="3"/>
  <c r="I7191" i="3"/>
  <c r="I7197" i="3"/>
  <c r="I7199" i="3"/>
  <c r="I7205" i="3"/>
  <c r="I7207" i="3"/>
  <c r="I7215" i="3"/>
  <c r="I7225" i="3"/>
  <c r="I7165" i="3"/>
  <c r="I7169" i="3"/>
  <c r="I7173" i="3"/>
  <c r="I7037" i="3"/>
  <c r="I7039" i="3"/>
  <c r="I7045" i="3"/>
  <c r="I7047" i="3"/>
  <c r="I7053" i="3"/>
  <c r="I7055" i="3"/>
  <c r="I7061" i="3"/>
  <c r="I7063" i="3"/>
  <c r="I7071" i="3"/>
  <c r="I7079" i="3"/>
  <c r="I6841" i="3"/>
  <c r="I6575" i="3"/>
  <c r="I6583" i="3"/>
  <c r="I6591" i="3"/>
  <c r="I6599" i="3"/>
  <c r="I6607" i="3"/>
  <c r="I6461" i="3"/>
  <c r="I6477" i="3"/>
  <c r="I6493" i="3"/>
  <c r="I6509" i="3"/>
  <c r="I6453" i="3"/>
  <c r="I6281" i="3"/>
  <c r="I6309" i="3"/>
  <c r="I6325" i="3"/>
  <c r="I6341" i="3"/>
  <c r="I6357" i="3"/>
  <c r="I7083" i="3"/>
  <c r="I7085" i="3"/>
  <c r="I7099" i="3"/>
  <c r="I7101" i="3"/>
  <c r="I7115" i="3"/>
  <c r="I7117" i="3"/>
  <c r="I7122" i="3"/>
  <c r="I7038" i="3"/>
  <c r="I7046" i="3"/>
  <c r="I7054" i="3"/>
  <c r="I7062" i="3"/>
  <c r="I7070" i="3"/>
  <c r="I7078" i="3"/>
  <c r="I6987" i="3"/>
  <c r="I7022" i="3"/>
  <c r="I7025" i="3"/>
  <c r="I7026" i="3"/>
  <c r="I7029" i="3"/>
  <c r="I7030" i="3"/>
  <c r="I7033" i="3"/>
  <c r="I6938" i="3"/>
  <c r="I6947" i="3"/>
  <c r="I6949" i="3"/>
  <c r="I6954" i="3"/>
  <c r="I6963" i="3"/>
  <c r="I6965" i="3"/>
  <c r="I6970" i="3"/>
  <c r="I6979" i="3"/>
  <c r="I6981" i="3"/>
  <c r="I6985" i="3"/>
  <c r="I6890" i="3"/>
  <c r="I6894" i="3"/>
  <c r="I6898" i="3"/>
  <c r="I6902" i="3"/>
  <c r="I6906" i="3"/>
  <c r="I6910" i="3"/>
  <c r="I6914" i="3"/>
  <c r="I6918" i="3"/>
  <c r="I6922" i="3"/>
  <c r="I6926" i="3"/>
  <c r="I6843" i="3"/>
  <c r="I6849" i="3"/>
  <c r="I6851" i="3"/>
  <c r="I6857" i="3"/>
  <c r="I6859" i="3"/>
  <c r="I6865" i="3"/>
  <c r="I6867" i="3"/>
  <c r="I6873" i="3"/>
  <c r="I6875" i="3"/>
  <c r="I6881" i="3"/>
  <c r="I6883" i="3"/>
  <c r="I6889" i="3"/>
  <c r="I6747" i="3"/>
  <c r="I6753" i="3"/>
  <c r="I6755" i="3"/>
  <c r="I6761" i="3"/>
  <c r="I6763" i="3"/>
  <c r="I6769" i="3"/>
  <c r="I6771" i="3"/>
  <c r="I6777" i="3"/>
  <c r="I6779" i="3"/>
  <c r="I6785" i="3"/>
  <c r="I6787" i="3"/>
  <c r="I6793" i="3"/>
  <c r="I6795" i="3"/>
  <c r="I6801" i="3"/>
  <c r="I6803" i="3"/>
  <c r="I6809" i="3"/>
  <c r="I6811" i="3"/>
  <c r="I6817" i="3"/>
  <c r="I6819" i="3"/>
  <c r="I6825" i="3"/>
  <c r="I6827" i="3"/>
  <c r="I6833" i="3"/>
  <c r="I6838" i="3"/>
  <c r="I6653" i="3"/>
  <c r="I6655" i="3"/>
  <c r="I6661" i="3"/>
  <c r="I6663" i="3"/>
  <c r="I6669" i="3"/>
  <c r="I6671" i="3"/>
  <c r="I6677" i="3"/>
  <c r="I6679" i="3"/>
  <c r="I6685" i="3"/>
  <c r="I6687" i="3"/>
  <c r="I6693" i="3"/>
  <c r="I6695" i="3"/>
  <c r="I6701" i="3"/>
  <c r="I6703" i="3"/>
  <c r="I6709" i="3"/>
  <c r="I6711" i="3"/>
  <c r="I6717" i="3"/>
  <c r="I6719" i="3"/>
  <c r="I6725" i="3"/>
  <c r="I6727" i="3"/>
  <c r="I6733" i="3"/>
  <c r="I6555" i="3"/>
  <c r="I6563" i="3"/>
  <c r="I6649" i="3"/>
  <c r="I6473" i="3"/>
  <c r="I6489" i="3"/>
  <c r="I6505" i="3"/>
  <c r="I6297" i="3"/>
  <c r="I6179" i="3"/>
  <c r="I5888" i="3"/>
  <c r="I7185" i="3"/>
  <c r="I7187" i="3"/>
  <c r="I7193" i="3"/>
  <c r="I7195" i="3"/>
  <c r="I7201" i="3"/>
  <c r="I7203" i="3"/>
  <c r="I7209" i="3"/>
  <c r="I7211" i="3"/>
  <c r="I7217" i="3"/>
  <c r="I7131" i="3"/>
  <c r="I7138" i="3"/>
  <c r="I7147" i="3"/>
  <c r="I7154" i="3"/>
  <c r="I7163" i="3"/>
  <c r="I7167" i="3"/>
  <c r="I7171" i="3"/>
  <c r="I7175" i="3"/>
  <c r="I7086" i="3"/>
  <c r="I7095" i="3"/>
  <c r="I7097" i="3"/>
  <c r="I7102" i="3"/>
  <c r="I7111" i="3"/>
  <c r="I7113" i="3"/>
  <c r="I7118" i="3"/>
  <c r="I7127" i="3"/>
  <c r="I7041" i="3"/>
  <c r="I7049" i="3"/>
  <c r="I7057" i="3"/>
  <c r="I7065" i="3"/>
  <c r="I7073" i="3"/>
  <c r="I7081" i="3"/>
  <c r="I6943" i="3"/>
  <c r="I6945" i="3"/>
  <c r="I6959" i="3"/>
  <c r="I6961" i="3"/>
  <c r="I6975" i="3"/>
  <c r="I6977" i="3"/>
  <c r="I6930" i="3"/>
  <c r="I6934" i="3"/>
  <c r="I6842" i="3"/>
  <c r="I6850" i="3"/>
  <c r="I6858" i="3"/>
  <c r="I6866" i="3"/>
  <c r="I6874" i="3"/>
  <c r="I6882" i="3"/>
  <c r="I6746" i="3"/>
  <c r="I6754" i="3"/>
  <c r="I6762" i="3"/>
  <c r="I6770" i="3"/>
  <c r="I6778" i="3"/>
  <c r="I6786" i="3"/>
  <c r="I6794" i="3"/>
  <c r="I6802" i="3"/>
  <c r="I6810" i="3"/>
  <c r="I6818" i="3"/>
  <c r="I6826" i="3"/>
  <c r="I6831" i="3"/>
  <c r="I6834" i="3"/>
  <c r="I6654" i="3"/>
  <c r="I6662" i="3"/>
  <c r="I6670" i="3"/>
  <c r="I6678" i="3"/>
  <c r="I6686" i="3"/>
  <c r="I6694" i="3"/>
  <c r="I6702" i="3"/>
  <c r="I6710" i="3"/>
  <c r="I6718" i="3"/>
  <c r="I6726" i="3"/>
  <c r="I6734" i="3"/>
  <c r="I6739" i="3"/>
  <c r="I6741" i="3"/>
  <c r="I6554" i="3"/>
  <c r="I6562" i="3"/>
  <c r="I6569" i="3"/>
  <c r="I6571" i="3"/>
  <c r="I6577" i="3"/>
  <c r="I6579" i="3"/>
  <c r="I6585" i="3"/>
  <c r="I6587" i="3"/>
  <c r="I6593" i="3"/>
  <c r="I6595" i="3"/>
  <c r="I6601" i="3"/>
  <c r="I6603" i="3"/>
  <c r="I6609" i="3"/>
  <c r="I6613" i="3"/>
  <c r="I6614" i="3"/>
  <c r="I6623" i="3"/>
  <c r="I6625" i="3"/>
  <c r="I6630" i="3"/>
  <c r="I6639" i="3"/>
  <c r="I6641" i="3"/>
  <c r="I6645" i="3"/>
  <c r="I6646" i="3"/>
  <c r="I6463" i="3"/>
  <c r="I6469" i="3"/>
  <c r="I6470" i="3"/>
  <c r="I6479" i="3"/>
  <c r="I6485" i="3"/>
  <c r="I6486" i="3"/>
  <c r="I6495" i="3"/>
  <c r="I6501" i="3"/>
  <c r="I6502" i="3"/>
  <c r="I6511" i="3"/>
  <c r="I6518" i="3"/>
  <c r="I6527" i="3"/>
  <c r="I6529" i="3"/>
  <c r="I6534" i="3"/>
  <c r="I6549" i="3"/>
  <c r="I6362" i="3"/>
  <c r="I6378" i="3"/>
  <c r="I6394" i="3"/>
  <c r="I6410" i="3"/>
  <c r="I6426" i="3"/>
  <c r="I6446" i="3"/>
  <c r="I6448" i="3"/>
  <c r="I6270" i="3"/>
  <c r="I6277" i="3"/>
  <c r="I6291" i="3"/>
  <c r="I6296" i="3"/>
  <c r="I6311" i="3"/>
  <c r="I6314" i="3"/>
  <c r="I6330" i="3"/>
  <c r="I6346" i="3"/>
  <c r="I6170" i="3"/>
  <c r="I6172" i="3"/>
  <c r="I6189" i="3"/>
  <c r="I6192" i="3"/>
  <c r="I6205" i="3"/>
  <c r="I6208" i="3"/>
  <c r="I6221" i="3"/>
  <c r="I6224" i="3"/>
  <c r="I6237" i="3"/>
  <c r="I6240" i="3"/>
  <c r="I6253" i="3"/>
  <c r="I6256" i="3"/>
  <c r="I6079" i="3"/>
  <c r="I6095" i="3"/>
  <c r="I7151" i="3"/>
  <c r="I7023" i="3"/>
  <c r="I7027" i="3"/>
  <c r="I7031" i="3"/>
  <c r="I6955" i="3"/>
  <c r="I6971" i="3"/>
  <c r="I6973" i="3"/>
  <c r="I6891" i="3"/>
  <c r="I6895" i="3"/>
  <c r="I6899" i="3"/>
  <c r="I6903" i="3"/>
  <c r="I6907" i="3"/>
  <c r="I6911" i="3"/>
  <c r="I6845" i="3"/>
  <c r="I6853" i="3"/>
  <c r="I6861" i="3"/>
  <c r="I6869" i="3"/>
  <c r="I6877" i="3"/>
  <c r="I6885" i="3"/>
  <c r="I6749" i="3"/>
  <c r="I6757" i="3"/>
  <c r="I6765" i="3"/>
  <c r="I6072" i="3"/>
  <c r="I5896" i="3"/>
  <c r="I5912" i="3"/>
  <c r="I5928" i="3"/>
  <c r="I5944" i="3"/>
  <c r="I5960" i="3"/>
  <c r="I5796" i="3"/>
  <c r="I5808" i="3"/>
  <c r="I5816" i="3"/>
  <c r="I6318" i="3"/>
  <c r="I6327" i="3"/>
  <c r="I6334" i="3"/>
  <c r="I6343" i="3"/>
  <c r="I6350" i="3"/>
  <c r="I6359" i="3"/>
  <c r="I6174" i="3"/>
  <c r="I6186" i="3"/>
  <c r="I6194" i="3"/>
  <c r="I6202" i="3"/>
  <c r="I6210" i="3"/>
  <c r="I6218" i="3"/>
  <c r="I6226" i="3"/>
  <c r="I6234" i="3"/>
  <c r="I6242" i="3"/>
  <c r="I6250" i="3"/>
  <c r="I6258" i="3"/>
  <c r="I6074" i="3"/>
  <c r="I6085" i="3"/>
  <c r="I6090" i="3"/>
  <c r="I6099" i="3"/>
  <c r="I6101" i="3"/>
  <c r="I6106" i="3"/>
  <c r="I6115" i="3"/>
  <c r="I6117" i="3"/>
  <c r="I6122" i="3"/>
  <c r="I6131" i="3"/>
  <c r="I6133" i="3"/>
  <c r="I6138" i="3"/>
  <c r="I6147" i="3"/>
  <c r="I6149" i="3"/>
  <c r="I6154" i="3"/>
  <c r="I6163" i="3"/>
  <c r="I6165" i="3"/>
  <c r="I5978" i="3"/>
  <c r="I5982" i="3"/>
  <c r="I5986" i="3"/>
  <c r="I5990" i="3"/>
  <c r="I5994" i="3"/>
  <c r="I5998" i="3"/>
  <c r="I6002" i="3"/>
  <c r="I6006" i="3"/>
  <c r="I6010" i="3"/>
  <c r="I6014" i="3"/>
  <c r="I6018" i="3"/>
  <c r="I6022" i="3"/>
  <c r="I6026" i="3"/>
  <c r="I6030" i="3"/>
  <c r="I6034" i="3"/>
  <c r="I6038" i="3"/>
  <c r="I6042" i="3"/>
  <c r="I6046" i="3"/>
  <c r="I6050" i="3"/>
  <c r="I6054" i="3"/>
  <c r="I6058" i="3"/>
  <c r="I6067" i="3"/>
  <c r="I6071" i="3"/>
  <c r="I5962" i="3"/>
  <c r="I5966" i="3"/>
  <c r="I5970" i="3"/>
  <c r="I5974" i="3"/>
  <c r="I5793" i="3"/>
  <c r="I5798" i="3"/>
  <c r="I6150" i="3"/>
  <c r="I6159" i="3"/>
  <c r="I6161" i="3"/>
  <c r="I6166" i="3"/>
  <c r="I6062" i="3"/>
  <c r="I5882" i="3"/>
  <c r="I5886" i="3"/>
  <c r="I5890" i="3"/>
  <c r="I5894" i="3"/>
  <c r="I5898" i="3"/>
  <c r="I5902" i="3"/>
  <c r="I5906" i="3"/>
  <c r="I5910" i="3"/>
  <c r="I5914" i="3"/>
  <c r="I5918" i="3"/>
  <c r="I5922" i="3"/>
  <c r="I5926" i="3"/>
  <c r="I5930" i="3"/>
  <c r="I5934" i="3"/>
  <c r="I5938" i="3"/>
  <c r="I5942" i="3"/>
  <c r="I5946" i="3"/>
  <c r="I5950" i="3"/>
  <c r="I5954" i="3"/>
  <c r="I5958" i="3"/>
  <c r="I5789" i="3"/>
  <c r="I5794" i="3"/>
  <c r="I5805" i="3"/>
  <c r="I5807" i="3"/>
  <c r="I5813" i="3"/>
  <c r="I5815" i="3"/>
  <c r="I5821" i="3"/>
  <c r="I5823" i="3"/>
  <c r="I5829" i="3"/>
  <c r="I5831" i="3"/>
  <c r="I5837" i="3"/>
  <c r="I5839" i="3"/>
  <c r="I5845" i="3"/>
  <c r="I5847" i="3"/>
  <c r="I5853" i="3"/>
  <c r="I5855" i="3"/>
  <c r="I5861" i="3"/>
  <c r="I5863" i="3"/>
  <c r="I5869" i="3"/>
  <c r="I5871" i="3"/>
  <c r="I5877" i="3"/>
  <c r="I5879" i="3"/>
  <c r="I5693" i="3"/>
  <c r="I5695" i="3"/>
  <c r="I5701" i="3"/>
  <c r="I5703" i="3"/>
  <c r="I5709" i="3"/>
  <c r="I5711" i="3"/>
  <c r="I5717" i="3"/>
  <c r="I5719" i="3"/>
  <c r="I5725" i="3"/>
  <c r="I5727" i="3"/>
  <c r="I5733" i="3"/>
  <c r="I5735" i="3"/>
  <c r="I5741" i="3"/>
  <c r="I5743" i="3"/>
  <c r="I5749" i="3"/>
  <c r="I5751" i="3"/>
  <c r="I5757" i="3"/>
  <c r="I5759" i="3"/>
  <c r="I5765" i="3"/>
  <c r="I5767" i="3"/>
  <c r="I5773" i="3"/>
  <c r="I5539" i="3"/>
  <c r="I5785" i="3"/>
  <c r="I5594" i="3"/>
  <c r="I5599" i="3"/>
  <c r="I5602" i="3"/>
  <c r="I5607" i="3"/>
  <c r="I5610" i="3"/>
  <c r="I5615" i="3"/>
  <c r="I5618" i="3"/>
  <c r="I5623" i="3"/>
  <c r="I5626" i="3"/>
  <c r="I5631" i="3"/>
  <c r="I5634" i="3"/>
  <c r="I5639" i="3"/>
  <c r="I5642" i="3"/>
  <c r="I5647" i="3"/>
  <c r="I5650" i="3"/>
  <c r="I5655" i="3"/>
  <c r="I5658" i="3"/>
  <c r="I5663" i="3"/>
  <c r="I5666" i="3"/>
  <c r="I5671" i="3"/>
  <c r="I5674" i="3"/>
  <c r="I5507" i="3"/>
  <c r="I5523" i="3"/>
  <c r="I5530" i="3"/>
  <c r="I5532" i="3"/>
  <c r="I5557" i="3"/>
  <c r="I5571" i="3"/>
  <c r="I6542" i="3"/>
  <c r="I6551" i="3"/>
  <c r="I6439" i="3"/>
  <c r="I6443" i="3"/>
  <c r="I6447" i="3"/>
  <c r="I6451" i="3"/>
  <c r="I6455" i="3"/>
  <c r="I6267" i="3"/>
  <c r="I6273" i="3"/>
  <c r="I6274" i="3"/>
  <c r="I6283" i="3"/>
  <c r="I6289" i="3"/>
  <c r="I6290" i="3"/>
  <c r="I6299" i="3"/>
  <c r="I6305" i="3"/>
  <c r="I6306" i="3"/>
  <c r="I6315" i="3"/>
  <c r="I6321" i="3"/>
  <c r="I6322" i="3"/>
  <c r="I6331" i="3"/>
  <c r="I6337" i="3"/>
  <c r="I6338" i="3"/>
  <c r="I6347" i="3"/>
  <c r="I6353" i="3"/>
  <c r="I6354" i="3"/>
  <c r="I6173" i="3"/>
  <c r="I6175" i="3"/>
  <c r="I6178" i="3"/>
  <c r="I6185" i="3"/>
  <c r="I6187" i="3"/>
  <c r="I6193" i="3"/>
  <c r="I6195" i="3"/>
  <c r="I6201" i="3"/>
  <c r="I6203" i="3"/>
  <c r="I6209" i="3"/>
  <c r="I6211" i="3"/>
  <c r="I6217" i="3"/>
  <c r="I6219" i="3"/>
  <c r="I6225" i="3"/>
  <c r="I6227" i="3"/>
  <c r="I6233" i="3"/>
  <c r="I6235" i="3"/>
  <c r="I6241" i="3"/>
  <c r="I6243" i="3"/>
  <c r="I6249" i="3"/>
  <c r="I6251" i="3"/>
  <c r="I6257" i="3"/>
  <c r="I6259" i="3"/>
  <c r="I6265" i="3"/>
  <c r="I6078" i="3"/>
  <c r="I6089" i="3"/>
  <c r="I6091" i="3"/>
  <c r="I6094" i="3"/>
  <c r="I6103" i="3"/>
  <c r="I6105" i="3"/>
  <c r="I6110" i="3"/>
  <c r="I6119" i="3"/>
  <c r="I6121" i="3"/>
  <c r="I6126" i="3"/>
  <c r="I6135" i="3"/>
  <c r="I6137" i="3"/>
  <c r="I6142" i="3"/>
  <c r="I6151" i="3"/>
  <c r="I6153" i="3"/>
  <c r="I6158" i="3"/>
  <c r="I6167" i="3"/>
  <c r="I6063" i="3"/>
  <c r="I5883" i="3"/>
  <c r="I5887" i="3"/>
  <c r="I5891" i="3"/>
  <c r="I5895" i="3"/>
  <c r="I5899" i="3"/>
  <c r="I5903" i="3"/>
  <c r="I5907" i="3"/>
  <c r="I5911" i="3"/>
  <c r="I5915" i="3"/>
  <c r="I5919" i="3"/>
  <c r="I5923" i="3"/>
  <c r="I5927" i="3"/>
  <c r="I5931" i="3"/>
  <c r="I5935" i="3"/>
  <c r="I5939" i="3"/>
  <c r="I5943" i="3"/>
  <c r="I5947" i="3"/>
  <c r="I5951" i="3"/>
  <c r="I5955" i="3"/>
  <c r="I5959" i="3"/>
  <c r="I5977" i="3"/>
  <c r="I5786" i="3"/>
  <c r="I5797" i="3"/>
  <c r="I5799" i="3"/>
  <c r="I5802" i="3"/>
  <c r="I5809" i="3"/>
  <c r="I5811" i="3"/>
  <c r="I5817" i="3"/>
  <c r="I5819" i="3"/>
  <c r="I5825" i="3"/>
  <c r="I5827" i="3"/>
  <c r="I5833" i="3"/>
  <c r="I5835" i="3"/>
  <c r="I5841" i="3"/>
  <c r="I5843" i="3"/>
  <c r="I5849" i="3"/>
  <c r="I5851" i="3"/>
  <c r="I5857" i="3"/>
  <c r="I5859" i="3"/>
  <c r="I5865" i="3"/>
  <c r="I5867" i="3"/>
  <c r="I5873" i="3"/>
  <c r="I5875" i="3"/>
  <c r="I5881" i="3"/>
  <c r="I5691" i="3"/>
  <c r="I5697" i="3"/>
  <c r="I5699" i="3"/>
  <c r="I5705" i="3"/>
  <c r="I5707" i="3"/>
  <c r="I5713" i="3"/>
  <c r="I5715" i="3"/>
  <c r="I5721" i="3"/>
  <c r="I5723" i="3"/>
  <c r="I5729" i="3"/>
  <c r="I5731" i="3"/>
  <c r="I5737" i="3"/>
  <c r="I5739" i="3"/>
  <c r="I5745" i="3"/>
  <c r="I5747" i="3"/>
  <c r="I5753" i="3"/>
  <c r="I5755" i="3"/>
  <c r="I5761" i="3"/>
  <c r="I5763" i="3"/>
  <c r="I5769" i="3"/>
  <c r="I5777" i="3"/>
  <c r="I5782" i="3"/>
  <c r="I5597" i="3"/>
  <c r="I5600" i="3"/>
  <c r="I5605" i="3"/>
  <c r="I5608" i="3"/>
  <c r="I5613" i="3"/>
  <c r="I5616" i="3"/>
  <c r="I5621" i="3"/>
  <c r="I5624" i="3"/>
  <c r="I5629" i="3"/>
  <c r="I5632" i="3"/>
  <c r="I5637" i="3"/>
  <c r="I5640" i="3"/>
  <c r="I5645" i="3"/>
  <c r="I5648" i="3"/>
  <c r="I5653" i="3"/>
  <c r="I5656" i="3"/>
  <c r="I5661" i="3"/>
  <c r="I5664" i="3"/>
  <c r="I5669" i="3"/>
  <c r="I5672" i="3"/>
  <c r="I5687" i="3"/>
  <c r="I5498" i="3"/>
  <c r="I5500" i="3"/>
  <c r="I5514" i="3"/>
  <c r="I5516" i="3"/>
  <c r="I5541" i="3"/>
  <c r="I5564" i="3"/>
  <c r="I5587" i="3"/>
  <c r="I5307" i="3"/>
  <c r="I5315" i="3"/>
  <c r="I5323" i="3"/>
  <c r="I5331" i="3"/>
  <c r="I5339" i="3"/>
  <c r="I5347" i="3"/>
  <c r="I5355" i="3"/>
  <c r="I5363" i="3"/>
  <c r="I5371" i="3"/>
  <c r="I5379" i="3"/>
  <c r="I5387" i="3"/>
  <c r="I5233" i="3"/>
  <c r="I5249" i="3"/>
  <c r="I5265" i="3"/>
  <c r="I5281" i="3"/>
  <c r="I5501" i="3"/>
  <c r="I5503" i="3"/>
  <c r="I5506" i="3"/>
  <c r="I5517" i="3"/>
  <c r="I5519" i="3"/>
  <c r="I5533" i="3"/>
  <c r="I5535" i="3"/>
  <c r="I5551" i="3"/>
  <c r="I5567" i="3"/>
  <c r="I5583" i="3"/>
  <c r="I5497" i="3"/>
  <c r="I5229" i="3"/>
  <c r="I5245" i="3"/>
  <c r="I5261" i="3"/>
  <c r="I5277" i="3"/>
  <c r="I5293" i="3"/>
  <c r="I5119" i="3"/>
  <c r="I5675" i="3"/>
  <c r="I5678" i="3"/>
  <c r="I5683" i="3"/>
  <c r="I5685" i="3"/>
  <c r="I5686" i="3"/>
  <c r="I5502" i="3"/>
  <c r="I5513" i="3"/>
  <c r="I5518" i="3"/>
  <c r="I5529" i="3"/>
  <c r="I5534" i="3"/>
  <c r="I5545" i="3"/>
  <c r="I5550" i="3"/>
  <c r="I5561" i="3"/>
  <c r="I5566" i="3"/>
  <c r="I5577" i="3"/>
  <c r="I5579" i="3"/>
  <c r="I5582" i="3"/>
  <c r="I5589" i="3"/>
  <c r="I5591" i="3"/>
  <c r="I5407" i="3"/>
  <c r="I5409" i="3"/>
  <c r="I5414" i="3"/>
  <c r="I5423" i="3"/>
  <c r="I5425" i="3"/>
  <c r="I5430" i="3"/>
  <c r="I5439" i="3"/>
  <c r="I5441" i="3"/>
  <c r="I5446" i="3"/>
  <c r="I5455" i="3"/>
  <c r="I5457" i="3"/>
  <c r="I5462" i="3"/>
  <c r="I5471" i="3"/>
  <c r="I5473" i="3"/>
  <c r="I5478" i="3"/>
  <c r="I5487" i="3"/>
  <c r="I5489" i="3"/>
  <c r="I5494" i="3"/>
  <c r="I5309" i="3"/>
  <c r="I5311" i="3"/>
  <c r="I5317" i="3"/>
  <c r="I5319" i="3"/>
  <c r="I5325" i="3"/>
  <c r="I5327" i="3"/>
  <c r="I5333" i="3"/>
  <c r="I5335" i="3"/>
  <c r="I5341" i="3"/>
  <c r="I5343" i="3"/>
  <c r="I5349" i="3"/>
  <c r="I5351" i="3"/>
  <c r="I5357" i="3"/>
  <c r="I5359" i="3"/>
  <c r="I5365" i="3"/>
  <c r="I5367" i="3"/>
  <c r="I5373" i="3"/>
  <c r="I5375" i="3"/>
  <c r="I5381" i="3"/>
  <c r="I5383" i="3"/>
  <c r="I5389" i="3"/>
  <c r="I5397" i="3"/>
  <c r="I5401" i="3"/>
  <c r="I5210" i="3"/>
  <c r="I5219" i="3"/>
  <c r="I5221" i="3"/>
  <c r="I5226" i="3"/>
  <c r="I5235" i="3"/>
  <c r="I5241" i="3"/>
  <c r="I5242" i="3"/>
  <c r="I5251" i="3"/>
  <c r="I5257" i="3"/>
  <c r="I5258" i="3"/>
  <c r="I5267" i="3"/>
  <c r="I5273" i="3"/>
  <c r="I5274" i="3"/>
  <c r="I5283" i="3"/>
  <c r="I5289" i="3"/>
  <c r="I5302" i="3"/>
  <c r="I5115" i="3"/>
  <c r="I5133" i="3"/>
  <c r="I5135" i="3"/>
  <c r="I5136" i="3"/>
  <c r="I5151" i="3"/>
  <c r="I5154" i="3"/>
  <c r="I5169" i="3"/>
  <c r="I5174" i="3"/>
  <c r="I5195" i="3"/>
  <c r="I5107" i="3"/>
  <c r="I5105" i="3"/>
  <c r="I5109" i="3"/>
  <c r="I5113" i="3"/>
  <c r="I4827" i="3"/>
  <c r="I4835" i="3"/>
  <c r="I4843" i="3"/>
  <c r="I4851" i="3"/>
  <c r="I4859" i="3"/>
  <c r="I4867" i="3"/>
  <c r="I4875" i="3"/>
  <c r="I4883" i="3"/>
  <c r="I4891" i="3"/>
  <c r="I4899" i="3"/>
  <c r="I4907" i="3"/>
  <c r="I4915" i="3"/>
  <c r="I4731" i="3"/>
  <c r="I4739" i="3"/>
  <c r="I4747" i="3"/>
  <c r="I5290" i="3"/>
  <c r="I5299" i="3"/>
  <c r="I5305" i="3"/>
  <c r="I5114" i="3"/>
  <c r="I5125" i="3"/>
  <c r="I5127" i="3"/>
  <c r="I5130" i="3"/>
  <c r="I5141" i="3"/>
  <c r="I5143" i="3"/>
  <c r="I5146" i="3"/>
  <c r="I5155" i="3"/>
  <c r="I5157" i="3"/>
  <c r="I5162" i="3"/>
  <c r="I5171" i="3"/>
  <c r="I5173" i="3"/>
  <c r="I5178" i="3"/>
  <c r="I5187" i="3"/>
  <c r="I5189" i="3"/>
  <c r="I5194" i="3"/>
  <c r="I5203" i="3"/>
  <c r="I5205" i="3"/>
  <c r="I5209" i="3"/>
  <c r="I5018" i="3"/>
  <c r="I5022" i="3"/>
  <c r="I5026" i="3"/>
  <c r="I5030" i="3"/>
  <c r="I5034" i="3"/>
  <c r="I5038" i="3"/>
  <c r="I5042" i="3"/>
  <c r="I5046" i="3"/>
  <c r="I5050" i="3"/>
  <c r="I5054" i="3"/>
  <c r="I5058" i="3"/>
  <c r="I5062" i="3"/>
  <c r="I5066" i="3"/>
  <c r="I5070" i="3"/>
  <c r="I5074" i="3"/>
  <c r="I5078" i="3"/>
  <c r="I5082" i="3"/>
  <c r="I5086" i="3"/>
  <c r="I5090" i="3"/>
  <c r="I5094" i="3"/>
  <c r="I5098" i="3"/>
  <c r="I5102" i="3"/>
  <c r="I5010" i="3"/>
  <c r="I5013" i="3"/>
  <c r="I5014" i="3"/>
  <c r="I5017" i="3"/>
  <c r="I4826" i="3"/>
  <c r="I4834" i="3"/>
  <c r="I4842" i="3"/>
  <c r="I4850" i="3"/>
  <c r="I4858" i="3"/>
  <c r="I4866" i="3"/>
  <c r="I4874" i="3"/>
  <c r="I4882" i="3"/>
  <c r="I4890" i="3"/>
  <c r="I4898" i="3"/>
  <c r="I4906" i="3"/>
  <c r="I4914" i="3"/>
  <c r="I4730" i="3"/>
  <c r="I4738" i="3"/>
  <c r="I4746" i="3"/>
  <c r="I4758" i="3"/>
  <c r="I4761" i="3"/>
  <c r="I4763" i="3"/>
  <c r="I4764" i="3"/>
  <c r="I4774" i="3"/>
  <c r="I4777" i="3"/>
  <c r="I4779" i="3"/>
  <c r="I4780" i="3"/>
  <c r="I4790" i="3"/>
  <c r="I4793" i="3"/>
  <c r="I4795" i="3"/>
  <c r="I4796" i="3"/>
  <c r="I4806" i="3"/>
  <c r="I4809" i="3"/>
  <c r="I4811" i="3"/>
  <c r="I4812" i="3"/>
  <c r="I4825" i="3"/>
  <c r="I4719" i="3"/>
  <c r="I4616" i="3"/>
  <c r="I4648" i="3"/>
  <c r="I4680" i="3"/>
  <c r="I4923" i="3"/>
  <c r="I4927" i="3"/>
  <c r="I4931" i="3"/>
  <c r="I4935" i="3"/>
  <c r="I4939" i="3"/>
  <c r="I4943" i="3"/>
  <c r="I4947" i="3"/>
  <c r="I4951" i="3"/>
  <c r="I4955" i="3"/>
  <c r="I4959" i="3"/>
  <c r="I4963" i="3"/>
  <c r="I4967" i="3"/>
  <c r="I4971" i="3"/>
  <c r="I4975" i="3"/>
  <c r="I4979" i="3"/>
  <c r="I4983" i="3"/>
  <c r="I4987" i="3"/>
  <c r="I4991" i="3"/>
  <c r="I4995" i="3"/>
  <c r="I4999" i="3"/>
  <c r="I5003" i="3"/>
  <c r="I5007" i="3"/>
  <c r="I4829" i="3"/>
  <c r="I4837" i="3"/>
  <c r="I4845" i="3"/>
  <c r="I4853" i="3"/>
  <c r="I4861" i="3"/>
  <c r="I4869" i="3"/>
  <c r="I4877" i="3"/>
  <c r="I4885" i="3"/>
  <c r="I4893" i="3"/>
  <c r="I4901" i="3"/>
  <c r="I4909" i="3"/>
  <c r="I4917" i="3"/>
  <c r="I4733" i="3"/>
  <c r="I4741" i="3"/>
  <c r="I4749" i="3"/>
  <c r="I4715" i="3"/>
  <c r="I4717" i="3"/>
  <c r="I4751" i="3"/>
  <c r="I4757" i="3"/>
  <c r="I4759" i="3"/>
  <c r="I4765" i="3"/>
  <c r="I4767" i="3"/>
  <c r="I4773" i="3"/>
  <c r="I4775" i="3"/>
  <c r="I4781" i="3"/>
  <c r="I4783" i="3"/>
  <c r="I4789" i="3"/>
  <c r="I4791" i="3"/>
  <c r="I4797" i="3"/>
  <c r="I4799" i="3"/>
  <c r="I4805" i="3"/>
  <c r="I4807" i="3"/>
  <c r="I4813" i="3"/>
  <c r="I4815" i="3"/>
  <c r="I4821" i="3"/>
  <c r="I4823" i="3"/>
  <c r="I4718" i="3"/>
  <c r="I4721" i="3"/>
  <c r="I4722" i="3"/>
  <c r="I4725" i="3"/>
  <c r="I4726" i="3"/>
  <c r="I4729" i="3"/>
  <c r="I4610" i="3"/>
  <c r="I4619" i="3"/>
  <c r="I4625" i="3"/>
  <c r="I4626" i="3"/>
  <c r="I4635" i="3"/>
  <c r="I4641" i="3"/>
  <c r="I4642" i="3"/>
  <c r="I4651" i="3"/>
  <c r="I4653" i="3"/>
  <c r="I4658" i="3"/>
  <c r="I4667" i="3"/>
  <c r="I4669" i="3"/>
  <c r="I4674" i="3"/>
  <c r="I4683" i="3"/>
  <c r="I4685" i="3"/>
  <c r="I4690" i="3"/>
  <c r="I4699" i="3"/>
  <c r="I4701" i="3"/>
  <c r="I4705" i="3"/>
  <c r="I4587" i="3"/>
  <c r="I4593" i="3"/>
  <c r="I4595" i="3"/>
  <c r="I4601" i="3"/>
  <c r="I4603" i="3"/>
  <c r="I4609" i="3"/>
  <c r="I4563" i="3"/>
  <c r="I4566" i="3"/>
  <c r="I4573" i="3"/>
  <c r="I4575" i="3"/>
  <c r="I4581" i="3"/>
  <c r="I4583" i="3"/>
  <c r="I4541" i="3"/>
  <c r="I4543" i="3"/>
  <c r="I4549" i="3"/>
  <c r="I4551" i="3"/>
  <c r="I4557" i="3"/>
  <c r="I4559" i="3"/>
  <c r="I4517" i="3"/>
  <c r="I4519" i="3"/>
  <c r="I4525" i="3"/>
  <c r="I4527" i="3"/>
  <c r="I4533" i="3"/>
  <c r="I4535" i="3"/>
  <c r="I4493" i="3"/>
  <c r="I4495" i="3"/>
  <c r="I4501" i="3"/>
  <c r="I4503" i="3"/>
  <c r="I4511" i="3"/>
  <c r="I4471" i="3"/>
  <c r="I4479" i="3"/>
  <c r="I4487" i="3"/>
  <c r="I4419" i="3"/>
  <c r="I4435" i="3"/>
  <c r="I4403" i="3"/>
  <c r="I4586" i="3"/>
  <c r="I4594" i="3"/>
  <c r="I4602" i="3"/>
  <c r="I4562" i="3"/>
  <c r="I4574" i="3"/>
  <c r="I4582" i="3"/>
  <c r="I4542" i="3"/>
  <c r="I4550" i="3"/>
  <c r="I4558" i="3"/>
  <c r="I4518" i="3"/>
  <c r="I4526" i="3"/>
  <c r="I4534" i="3"/>
  <c r="I4494" i="3"/>
  <c r="I4502" i="3"/>
  <c r="I4510" i="3"/>
  <c r="I4470" i="3"/>
  <c r="I4478" i="3"/>
  <c r="I4486" i="3"/>
  <c r="I4443" i="3"/>
  <c r="I4447" i="3"/>
  <c r="I4451" i="3"/>
  <c r="I4455" i="3"/>
  <c r="I4459" i="3"/>
  <c r="I4465" i="3"/>
  <c r="I4418" i="3"/>
  <c r="I4613" i="3"/>
  <c r="I4617" i="3"/>
  <c r="I4618" i="3"/>
  <c r="I4627" i="3"/>
  <c r="I4633" i="3"/>
  <c r="I4634" i="3"/>
  <c r="I4643" i="3"/>
  <c r="I4650" i="3"/>
  <c r="I4659" i="3"/>
  <c r="I4661" i="3"/>
  <c r="I4666" i="3"/>
  <c r="I4675" i="3"/>
  <c r="I4677" i="3"/>
  <c r="I4682" i="3"/>
  <c r="I4691" i="3"/>
  <c r="I4693" i="3"/>
  <c r="I4698" i="3"/>
  <c r="I4589" i="3"/>
  <c r="I4597" i="3"/>
  <c r="I4605" i="3"/>
  <c r="I4569" i="3"/>
  <c r="I4577" i="3"/>
  <c r="I4585" i="3"/>
  <c r="I4545" i="3"/>
  <c r="I4553" i="3"/>
  <c r="I4561" i="3"/>
  <c r="I4521" i="3"/>
  <c r="I4529" i="3"/>
  <c r="I4537" i="3"/>
  <c r="I4497" i="3"/>
  <c r="I4505" i="3"/>
  <c r="I4513" i="3"/>
  <c r="I4473" i="3"/>
  <c r="I4481" i="3"/>
  <c r="I4489" i="3"/>
  <c r="I4462" i="3"/>
  <c r="I4422" i="3"/>
  <c r="I4425" i="3"/>
  <c r="I4438" i="3"/>
  <c r="I4406" i="3"/>
  <c r="I4373" i="3"/>
  <c r="I4389" i="3"/>
  <c r="I4345" i="3"/>
  <c r="I4305" i="3"/>
  <c r="I4309" i="3"/>
  <c r="I4317" i="3"/>
  <c r="I4279" i="3"/>
  <c r="I4251" i="3"/>
  <c r="I4259" i="3"/>
  <c r="I4385" i="3"/>
  <c r="I4369" i="3"/>
  <c r="I4337" i="3"/>
  <c r="I4341" i="3"/>
  <c r="I4297" i="3"/>
  <c r="I4421" i="3"/>
  <c r="I4423" i="3"/>
  <c r="I4429" i="3"/>
  <c r="I4431" i="3"/>
  <c r="I4437" i="3"/>
  <c r="I4439" i="3"/>
  <c r="I4397" i="3"/>
  <c r="I4399" i="3"/>
  <c r="I4405" i="3"/>
  <c r="I4407" i="3"/>
  <c r="I4413" i="3"/>
  <c r="I4415" i="3"/>
  <c r="I4375" i="3"/>
  <c r="I4381" i="3"/>
  <c r="I4382" i="3"/>
  <c r="I4391" i="3"/>
  <c r="I4350" i="3"/>
  <c r="I4359" i="3"/>
  <c r="I4361" i="3"/>
  <c r="I4366" i="3"/>
  <c r="I4299" i="3"/>
  <c r="I4301" i="3"/>
  <c r="I4311" i="3"/>
  <c r="I4313" i="3"/>
  <c r="I4319" i="3"/>
  <c r="I4321" i="3"/>
  <c r="I4306" i="3"/>
  <c r="I4275" i="3"/>
  <c r="I4281" i="3"/>
  <c r="I4283" i="3"/>
  <c r="I4289" i="3"/>
  <c r="I4294" i="3"/>
  <c r="I4253" i="3"/>
  <c r="I4255" i="3"/>
  <c r="I4262" i="3"/>
  <c r="I4265" i="3"/>
  <c r="I4267" i="3"/>
  <c r="I4268" i="3"/>
  <c r="I4230" i="3"/>
  <c r="I4238" i="3"/>
  <c r="I4012" i="3"/>
  <c r="I4016" i="3"/>
  <c r="I4020" i="3"/>
  <c r="I4040" i="3"/>
  <c r="I4261" i="3"/>
  <c r="I4263" i="3"/>
  <c r="I4269" i="3"/>
  <c r="I4271" i="3"/>
  <c r="I3985" i="3"/>
  <c r="I4013" i="3"/>
  <c r="I4017" i="3"/>
  <c r="I4021" i="3"/>
  <c r="I4025" i="3"/>
  <c r="I4029" i="3"/>
  <c r="I4033" i="3"/>
  <c r="I4227" i="3"/>
  <c r="I4229" i="3"/>
  <c r="I4003" i="3"/>
  <c r="I3969" i="3"/>
  <c r="I3970" i="3"/>
  <c r="I3978" i="3"/>
  <c r="I3984" i="3"/>
  <c r="I4242" i="3"/>
  <c r="I4246" i="3"/>
  <c r="I3962" i="3"/>
  <c r="I3968" i="3"/>
  <c r="I3971" i="3"/>
  <c r="I3976" i="3"/>
  <c r="I3979" i="3"/>
  <c r="I4083" i="3"/>
  <c r="I4087" i="3"/>
  <c r="I4135" i="3"/>
  <c r="I4202" i="3"/>
  <c r="I4206" i="3"/>
  <c r="I4210" i="3"/>
  <c r="I4214" i="3"/>
  <c r="I4218" i="3"/>
  <c r="I4222" i="3"/>
  <c r="I4203" i="3"/>
  <c r="I4207" i="3"/>
  <c r="I4211" i="3"/>
  <c r="I4215" i="3"/>
  <c r="I4219" i="3"/>
  <c r="I4223" i="3"/>
  <c r="I4178" i="3"/>
  <c r="I4182" i="3"/>
  <c r="I4186" i="3"/>
  <c r="I4199" i="3"/>
  <c r="I4179" i="3"/>
  <c r="I4183" i="3"/>
  <c r="I4187" i="3"/>
  <c r="I4190" i="3"/>
  <c r="I4191" i="3"/>
  <c r="I4194" i="3"/>
  <c r="I4154" i="3"/>
  <c r="I4166" i="3"/>
  <c r="I4170" i="3"/>
  <c r="I4162" i="3"/>
  <c r="I4158" i="3"/>
  <c r="I4174" i="3"/>
  <c r="I4134" i="3"/>
  <c r="I4130" i="3"/>
  <c r="I4142" i="3"/>
  <c r="I4143" i="3"/>
  <c r="I4150" i="3"/>
  <c r="I4114" i="3"/>
  <c r="I4126" i="3"/>
  <c r="I4118" i="3"/>
  <c r="I4119" i="3"/>
  <c r="I4106" i="3"/>
  <c r="I4107" i="3"/>
  <c r="I4122" i="3"/>
  <c r="I4123" i="3"/>
  <c r="I4082" i="3"/>
  <c r="I4098" i="3"/>
  <c r="I4102" i="3"/>
  <c r="I4094" i="3"/>
  <c r="I4099" i="3"/>
  <c r="I4103" i="3"/>
  <c r="I4090" i="3"/>
  <c r="I4095" i="3"/>
  <c r="I4058" i="3"/>
  <c r="I4062" i="3"/>
  <c r="I4066" i="3"/>
  <c r="I4070" i="3"/>
  <c r="I4074" i="3"/>
  <c r="I4078" i="3"/>
  <c r="I4042" i="3"/>
  <c r="I4046" i="3"/>
  <c r="I4050" i="3"/>
  <c r="I4054" i="3"/>
  <c r="I4038" i="3"/>
  <c r="I4010" i="3"/>
  <c r="I4014" i="3"/>
  <c r="I4018" i="3"/>
  <c r="I4022" i="3"/>
  <c r="I4026" i="3"/>
  <c r="I4030" i="3"/>
  <c r="I3986" i="3"/>
  <c r="I3990" i="3"/>
  <c r="I3994" i="3"/>
  <c r="I3998" i="3"/>
  <c r="I4002" i="3"/>
  <c r="I3963" i="3"/>
  <c r="E490" i="23" l="1"/>
  <c r="C489" i="23"/>
  <c r="S488" i="23"/>
  <c r="AL494" i="23"/>
  <c r="AG487" i="23"/>
  <c r="Y487" i="23"/>
  <c r="AB478" i="23"/>
  <c r="AA478" i="23"/>
  <c r="T478" i="23"/>
  <c r="V478" i="23"/>
  <c r="W478" i="23"/>
  <c r="X478" i="23"/>
  <c r="Z478" i="23"/>
  <c r="AE478" i="23"/>
  <c r="AH478" i="23"/>
  <c r="AM478" i="23"/>
  <c r="AO478" i="23"/>
  <c r="F478" i="23"/>
  <c r="M474" i="1"/>
  <c r="S478" i="1"/>
  <c r="F478" i="1"/>
  <c r="AA441" i="23"/>
  <c r="AE409" i="23"/>
  <c r="AE403" i="23"/>
  <c r="AE477" i="23"/>
  <c r="T474" i="23"/>
  <c r="V474" i="23"/>
  <c r="W474" i="23"/>
  <c r="X474" i="23"/>
  <c r="Z474" i="23"/>
  <c r="AA474" i="23"/>
  <c r="AB474" i="23"/>
  <c r="AE474" i="23"/>
  <c r="AH474" i="23"/>
  <c r="AM474" i="23"/>
  <c r="AO474" i="23"/>
  <c r="T475" i="23"/>
  <c r="V475" i="23"/>
  <c r="W475" i="23"/>
  <c r="X475" i="23"/>
  <c r="Z475" i="23"/>
  <c r="AA475" i="23"/>
  <c r="AB475" i="23"/>
  <c r="AE475" i="23"/>
  <c r="AH475" i="23"/>
  <c r="AM475" i="23"/>
  <c r="AO475" i="23"/>
  <c r="T476" i="23"/>
  <c r="V476" i="23"/>
  <c r="W476" i="23"/>
  <c r="X476" i="23"/>
  <c r="Z476" i="23"/>
  <c r="AA476" i="23"/>
  <c r="AB476" i="23"/>
  <c r="AE476" i="23"/>
  <c r="AH476" i="23"/>
  <c r="AM476" i="23"/>
  <c r="AO476" i="23"/>
  <c r="T477" i="23"/>
  <c r="V477" i="23"/>
  <c r="W477" i="23"/>
  <c r="X477" i="23"/>
  <c r="Z477" i="23"/>
  <c r="AA477" i="23"/>
  <c r="AB477" i="23"/>
  <c r="AH477" i="23"/>
  <c r="AM477" i="23"/>
  <c r="AO477" i="23"/>
  <c r="F477" i="23"/>
  <c r="F476" i="23"/>
  <c r="F475" i="23"/>
  <c r="F474" i="23"/>
  <c r="S476" i="1"/>
  <c r="S477" i="1"/>
  <c r="I11424" i="3"/>
  <c r="I11423" i="3"/>
  <c r="I11422" i="3"/>
  <c r="I11421" i="3"/>
  <c r="I11420" i="3"/>
  <c r="I11419" i="3"/>
  <c r="I11418" i="3"/>
  <c r="I11417" i="3"/>
  <c r="I11416" i="3"/>
  <c r="I11415" i="3"/>
  <c r="I11414" i="3"/>
  <c r="I11413" i="3"/>
  <c r="I11412" i="3"/>
  <c r="I11411" i="3"/>
  <c r="I11410" i="3"/>
  <c r="I11408" i="3"/>
  <c r="I11406" i="3"/>
  <c r="I11404" i="3"/>
  <c r="I11402" i="3"/>
  <c r="F477" i="1"/>
  <c r="I11353" i="3"/>
  <c r="I11352" i="3"/>
  <c r="I11350" i="3"/>
  <c r="I11349" i="3"/>
  <c r="I11346" i="3"/>
  <c r="I11345" i="3"/>
  <c r="I11342" i="3"/>
  <c r="I11341" i="3"/>
  <c r="I11338" i="3"/>
  <c r="I11337" i="3"/>
  <c r="I11334" i="3"/>
  <c r="I11333" i="3"/>
  <c r="I11330" i="3"/>
  <c r="F476" i="1"/>
  <c r="I11398" i="3"/>
  <c r="I11396" i="3"/>
  <c r="I11394" i="3"/>
  <c r="I11392" i="3"/>
  <c r="I11390" i="3"/>
  <c r="I11388" i="3"/>
  <c r="I11386" i="3"/>
  <c r="I11384" i="3"/>
  <c r="I11382" i="3"/>
  <c r="I11380" i="3"/>
  <c r="I11378" i="3"/>
  <c r="S475" i="1"/>
  <c r="F475" i="1"/>
  <c r="S474" i="1"/>
  <c r="F474" i="1"/>
  <c r="AP490" i="23" l="1"/>
  <c r="AI482" i="23"/>
  <c r="AN482" i="23"/>
  <c r="AF481" i="23"/>
  <c r="AJ481" i="23" s="1"/>
  <c r="AR495" i="23"/>
  <c r="AK487" i="23"/>
  <c r="AN485" i="23"/>
  <c r="AI485" i="23"/>
  <c r="AL495" i="23"/>
  <c r="Y488" i="23"/>
  <c r="AG488" i="23"/>
  <c r="AN483" i="23"/>
  <c r="AI483" i="23"/>
  <c r="AR496" i="23"/>
  <c r="AK488" i="23"/>
  <c r="AF482" i="23"/>
  <c r="AJ482" i="23" s="1"/>
  <c r="AP492" i="23"/>
  <c r="C490" i="23"/>
  <c r="S489" i="23"/>
  <c r="AN484" i="23"/>
  <c r="AI484" i="23"/>
  <c r="AR497" i="23"/>
  <c r="AK489" i="23"/>
  <c r="AF483" i="23"/>
  <c r="AJ483" i="23" s="1"/>
  <c r="AP488" i="23"/>
  <c r="AP491" i="23"/>
  <c r="AC503" i="23"/>
  <c r="AD503" i="23" s="1"/>
  <c r="AR498" i="23"/>
  <c r="AK490" i="23"/>
  <c r="AF484" i="23"/>
  <c r="AJ484" i="23" s="1"/>
  <c r="AP489" i="23"/>
  <c r="AR499" i="23"/>
  <c r="AK491" i="23"/>
  <c r="AF485" i="23"/>
  <c r="AJ485" i="23" s="1"/>
  <c r="E491" i="23"/>
  <c r="AC504" i="23"/>
  <c r="AD504" i="23" s="1"/>
  <c r="AI481" i="23"/>
  <c r="AN481" i="23"/>
  <c r="I11426" i="3"/>
  <c r="I11428" i="3"/>
  <c r="I11430" i="3"/>
  <c r="I11432" i="3"/>
  <c r="I11434" i="3"/>
  <c r="I11436" i="3"/>
  <c r="I11438" i="3"/>
  <c r="I11440" i="3"/>
  <c r="I11442" i="3"/>
  <c r="I11444" i="3"/>
  <c r="I11446" i="3"/>
  <c r="I11448" i="3"/>
  <c r="I11427" i="3"/>
  <c r="I11429" i="3"/>
  <c r="I11431" i="3"/>
  <c r="I11433" i="3"/>
  <c r="I11435" i="3"/>
  <c r="I11437" i="3"/>
  <c r="I11439" i="3"/>
  <c r="I11441" i="3"/>
  <c r="I11443" i="3"/>
  <c r="I11445" i="3"/>
  <c r="I11447" i="3"/>
  <c r="I11449" i="3"/>
  <c r="I11403" i="3"/>
  <c r="I11405" i="3"/>
  <c r="I11407" i="3"/>
  <c r="I11409" i="3"/>
  <c r="I11425" i="3"/>
  <c r="I11351" i="3"/>
  <c r="I11348" i="3"/>
  <c r="I11347" i="3"/>
  <c r="I11344" i="3"/>
  <c r="I11343" i="3"/>
  <c r="I11340" i="3"/>
  <c r="I11339" i="3"/>
  <c r="I11336" i="3"/>
  <c r="I11335" i="3"/>
  <c r="I11332" i="3"/>
  <c r="I11331" i="3"/>
  <c r="I11400" i="3"/>
  <c r="I11379" i="3"/>
  <c r="I11381" i="3"/>
  <c r="I11383" i="3"/>
  <c r="I11385" i="3"/>
  <c r="I11387" i="3"/>
  <c r="I11389" i="3"/>
  <c r="I11391" i="3"/>
  <c r="I11393" i="3"/>
  <c r="I11395" i="3"/>
  <c r="I11397" i="3"/>
  <c r="I11399" i="3"/>
  <c r="I11401" i="3"/>
  <c r="I11360" i="3"/>
  <c r="I11368" i="3"/>
  <c r="I11372" i="3"/>
  <c r="I11376" i="3"/>
  <c r="I11354" i="3"/>
  <c r="I11362" i="3"/>
  <c r="I11370" i="3"/>
  <c r="I11375" i="3"/>
  <c r="I11356" i="3"/>
  <c r="I11364" i="3"/>
  <c r="I11358" i="3"/>
  <c r="I11366" i="3"/>
  <c r="I11374" i="3"/>
  <c r="I11355" i="3"/>
  <c r="I11359" i="3"/>
  <c r="I11363" i="3"/>
  <c r="I11367" i="3"/>
  <c r="I11371" i="3"/>
  <c r="I11357" i="3"/>
  <c r="I11361" i="3"/>
  <c r="I11365" i="3"/>
  <c r="I11369" i="3"/>
  <c r="I11373" i="3"/>
  <c r="I11377" i="3"/>
  <c r="AL496" i="23" l="1"/>
  <c r="AG489" i="23"/>
  <c r="Y489" i="23"/>
  <c r="C491" i="23"/>
  <c r="S490" i="23"/>
  <c r="E492" i="23"/>
  <c r="T471" i="23"/>
  <c r="V471" i="23"/>
  <c r="W471" i="23"/>
  <c r="X471" i="23"/>
  <c r="Z471" i="23"/>
  <c r="AA471" i="23"/>
  <c r="AB471" i="23"/>
  <c r="AE471" i="23"/>
  <c r="AH471" i="23"/>
  <c r="AM471" i="23"/>
  <c r="AO471" i="23"/>
  <c r="T472" i="23"/>
  <c r="V472" i="23"/>
  <c r="W472" i="23"/>
  <c r="X472" i="23"/>
  <c r="Z472" i="23"/>
  <c r="AA472" i="23"/>
  <c r="AB472" i="23"/>
  <c r="AE472" i="23"/>
  <c r="AH472" i="23"/>
  <c r="AM472" i="23"/>
  <c r="AO472" i="23"/>
  <c r="T473" i="23"/>
  <c r="V473" i="23"/>
  <c r="W473" i="23"/>
  <c r="X473" i="23"/>
  <c r="Z473" i="23"/>
  <c r="AA473" i="23"/>
  <c r="AB473" i="23"/>
  <c r="AE473" i="23"/>
  <c r="AH473" i="23"/>
  <c r="AM473" i="23"/>
  <c r="AO473" i="23"/>
  <c r="F473" i="23"/>
  <c r="F472" i="23"/>
  <c r="F471" i="23"/>
  <c r="I27" i="33"/>
  <c r="I25" i="33"/>
  <c r="C492" i="23" l="1"/>
  <c r="S491" i="23"/>
  <c r="AF480" i="23"/>
  <c r="AJ480" i="23" s="1"/>
  <c r="AR494" i="23"/>
  <c r="AK486" i="23"/>
  <c r="AP485" i="23"/>
  <c r="AC505" i="23"/>
  <c r="AD505" i="23" s="1"/>
  <c r="E493" i="23"/>
  <c r="AC506" i="23"/>
  <c r="AD506" i="23" s="1"/>
  <c r="AF479" i="23"/>
  <c r="AJ479" i="23" s="1"/>
  <c r="AR493" i="23"/>
  <c r="AK485" i="23"/>
  <c r="AP486" i="23"/>
  <c r="AP487" i="23"/>
  <c r="AR492" i="23"/>
  <c r="AK484" i="23"/>
  <c r="AL497" i="23"/>
  <c r="AG490" i="23"/>
  <c r="Y490" i="23"/>
  <c r="AI480" i="23"/>
  <c r="AN480" i="23"/>
  <c r="AN479" i="23"/>
  <c r="AI479" i="23"/>
  <c r="AF478" i="23"/>
  <c r="AJ478" i="23" s="1"/>
  <c r="AI478" i="23"/>
  <c r="AN478" i="23"/>
  <c r="S473" i="1"/>
  <c r="F473" i="1"/>
  <c r="E494" i="23" l="1"/>
  <c r="AL498" i="23"/>
  <c r="AG491" i="23"/>
  <c r="Y491" i="23"/>
  <c r="S492" i="23"/>
  <c r="C493" i="23"/>
  <c r="I11325" i="3"/>
  <c r="I11323" i="3"/>
  <c r="I11327" i="3"/>
  <c r="I11306" i="3"/>
  <c r="I11308" i="3"/>
  <c r="I11310" i="3"/>
  <c r="I11312" i="3"/>
  <c r="I11314" i="3"/>
  <c r="I11316" i="3"/>
  <c r="I11318" i="3"/>
  <c r="I11320" i="3"/>
  <c r="I11322" i="3"/>
  <c r="I11324" i="3"/>
  <c r="I11326" i="3"/>
  <c r="I11328" i="3"/>
  <c r="I11307" i="3"/>
  <c r="I11309" i="3"/>
  <c r="I11311" i="3"/>
  <c r="I11313" i="3"/>
  <c r="I11315" i="3"/>
  <c r="I11317" i="3"/>
  <c r="I11319" i="3"/>
  <c r="I11321" i="3"/>
  <c r="I11329" i="3"/>
  <c r="C494" i="23" l="1"/>
  <c r="S493" i="23"/>
  <c r="AL499" i="23"/>
  <c r="AG492" i="23"/>
  <c r="Y492" i="23"/>
  <c r="AC507" i="23"/>
  <c r="AD507" i="23" s="1"/>
  <c r="E495" i="23"/>
  <c r="E5" i="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F13" i="35"/>
  <c r="F14" i="35"/>
  <c r="F15" i="35"/>
  <c r="F16" i="35"/>
  <c r="F17" i="35"/>
  <c r="F18" i="35"/>
  <c r="F19" i="35"/>
  <c r="F20" i="35"/>
  <c r="F21" i="35"/>
  <c r="F22" i="35"/>
  <c r="F23" i="35"/>
  <c r="F24" i="35"/>
  <c r="F25" i="35"/>
  <c r="F26" i="35"/>
  <c r="F27" i="35"/>
  <c r="F28" i="35"/>
  <c r="F5" i="35"/>
  <c r="F6" i="35"/>
  <c r="F7" i="35"/>
  <c r="F8" i="35"/>
  <c r="F9" i="35"/>
  <c r="F10" i="35"/>
  <c r="F11" i="35"/>
  <c r="F12" i="35"/>
  <c r="E4" i="35"/>
  <c r="E5" i="35" s="1"/>
  <c r="E6" i="35" s="1"/>
  <c r="E7" i="35" s="1"/>
  <c r="E8" i="35" s="1"/>
  <c r="E9" i="35" s="1"/>
  <c r="E10" i="35" s="1"/>
  <c r="E11" i="35" s="1"/>
  <c r="E12" i="35" s="1"/>
  <c r="E13" i="35" s="1"/>
  <c r="E14" i="35" s="1"/>
  <c r="E15" i="35" s="1"/>
  <c r="E16" i="35" s="1"/>
  <c r="E17" i="35" s="1"/>
  <c r="E18" i="35" s="1"/>
  <c r="E19" i="35" s="1"/>
  <c r="E20" i="35" s="1"/>
  <c r="E21" i="35" s="1"/>
  <c r="E22" i="35" s="1"/>
  <c r="E23" i="35" s="1"/>
  <c r="E24" i="35" s="1"/>
  <c r="E25" i="35" s="1"/>
  <c r="E26" i="35" s="1"/>
  <c r="E27" i="35" s="1"/>
  <c r="E28" i="35" s="1"/>
  <c r="E29" i="35" s="1"/>
  <c r="E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69" i="35"/>
  <c r="B270" i="35"/>
  <c r="B271" i="35"/>
  <c r="B272" i="35"/>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B304" i="35"/>
  <c r="B305" i="35"/>
  <c r="B306" i="35"/>
  <c r="B307" i="35"/>
  <c r="B308" i="35"/>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B340" i="35"/>
  <c r="B341" i="35"/>
  <c r="B342" i="35"/>
  <c r="B343" i="35"/>
  <c r="B344" i="35"/>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B376" i="35"/>
  <c r="B377" i="35"/>
  <c r="B378" i="35"/>
  <c r="B379" i="35"/>
  <c r="B380" i="35"/>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B413" i="35"/>
  <c r="B414" i="35"/>
  <c r="B415" i="35"/>
  <c r="B416" i="35"/>
  <c r="B417" i="35"/>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B450" i="35"/>
  <c r="B451" i="35"/>
  <c r="B452" i="35"/>
  <c r="B453" i="35"/>
  <c r="B454" i="35"/>
  <c r="B455" i="35"/>
  <c r="B456" i="35"/>
  <c r="B457" i="35"/>
  <c r="B458" i="35"/>
  <c r="B459" i="35"/>
  <c r="B460" i="35"/>
  <c r="B461" i="35"/>
  <c r="B462" i="35"/>
  <c r="B463" i="35"/>
  <c r="B464" i="35"/>
  <c r="B465" i="35"/>
  <c r="B466" i="35"/>
  <c r="B467" i="35"/>
  <c r="B468" i="35"/>
  <c r="B469" i="35"/>
  <c r="B470" i="35"/>
  <c r="B471" i="35"/>
  <c r="B472" i="35"/>
  <c r="F2" i="35"/>
  <c r="F4" i="35"/>
  <c r="B3" i="35"/>
  <c r="F3" i="35" s="1"/>
  <c r="M469" i="1"/>
  <c r="M470" i="1"/>
  <c r="M471" i="1"/>
  <c r="S472" i="1"/>
  <c r="F472" i="1"/>
  <c r="I11305" i="3"/>
  <c r="I11299" i="3"/>
  <c r="I11295" i="3"/>
  <c r="C495" i="23" l="1"/>
  <c r="S494" i="23"/>
  <c r="AC508" i="23"/>
  <c r="AD508" i="23" s="1"/>
  <c r="E496" i="23"/>
  <c r="AC509" i="23"/>
  <c r="AD509" i="23" s="1"/>
  <c r="Y493" i="23"/>
  <c r="AG493" i="23"/>
  <c r="AL500" i="23"/>
  <c r="E463" i="1"/>
  <c r="E464" i="1" s="1"/>
  <c r="E465" i="1" s="1"/>
  <c r="E466" i="1" s="1"/>
  <c r="E467" i="1" s="1"/>
  <c r="E468" i="1" s="1"/>
  <c r="E469" i="1" s="1"/>
  <c r="E470" i="1" s="1"/>
  <c r="E471" i="1" s="1"/>
  <c r="E472" i="1" s="1"/>
  <c r="E473" i="1" s="1"/>
  <c r="E474" i="1" s="1"/>
  <c r="E475" i="1" s="1"/>
  <c r="E476" i="1" s="1"/>
  <c r="I11296" i="3"/>
  <c r="I11300" i="3"/>
  <c r="I11298" i="3"/>
  <c r="I11301" i="3"/>
  <c r="I11285" i="3"/>
  <c r="I11289" i="3"/>
  <c r="I11293" i="3"/>
  <c r="I11297" i="3"/>
  <c r="I11283" i="3"/>
  <c r="I11291" i="3"/>
  <c r="I11302" i="3"/>
  <c r="I11304" i="3"/>
  <c r="I11287" i="3"/>
  <c r="I11303" i="3"/>
  <c r="E30" i="35"/>
  <c r="F29" i="35"/>
  <c r="I11284" i="3"/>
  <c r="I11288" i="3"/>
  <c r="I11292" i="3"/>
  <c r="I11282" i="3"/>
  <c r="I11286" i="3"/>
  <c r="I11290" i="3"/>
  <c r="I11294" i="3"/>
  <c r="I11271" i="3"/>
  <c r="I11269" i="3"/>
  <c r="I11267" i="3"/>
  <c r="I11265" i="3"/>
  <c r="I11261" i="3"/>
  <c r="I11259" i="3"/>
  <c r="S471" i="1"/>
  <c r="F471" i="1"/>
  <c r="T469" i="23"/>
  <c r="V469" i="23"/>
  <c r="W469" i="23"/>
  <c r="X469" i="23"/>
  <c r="Z469" i="23"/>
  <c r="AA469" i="23"/>
  <c r="AB469" i="23"/>
  <c r="AE469" i="23"/>
  <c r="AH469" i="23"/>
  <c r="AM469" i="23"/>
  <c r="AO469" i="23"/>
  <c r="T470" i="23"/>
  <c r="V470" i="23"/>
  <c r="W470" i="23"/>
  <c r="X470" i="23"/>
  <c r="Z470" i="23"/>
  <c r="AA470" i="23"/>
  <c r="AB470" i="23"/>
  <c r="AE470" i="23"/>
  <c r="AH470" i="23"/>
  <c r="AM470" i="23"/>
  <c r="AO470" i="23"/>
  <c r="F468" i="23"/>
  <c r="F470" i="23"/>
  <c r="F469" i="23"/>
  <c r="M464" i="1"/>
  <c r="M465" i="1"/>
  <c r="M466" i="1"/>
  <c r="M467" i="1"/>
  <c r="M468" i="1"/>
  <c r="S470" i="1"/>
  <c r="F470" i="1"/>
  <c r="M11257" i="3"/>
  <c r="L11257" i="3"/>
  <c r="J11257" i="3"/>
  <c r="K11257" i="3" s="1"/>
  <c r="M11256" i="3"/>
  <c r="L11256" i="3"/>
  <c r="J11256" i="3"/>
  <c r="K11256" i="3" s="1"/>
  <c r="M11255" i="3"/>
  <c r="L11255" i="3"/>
  <c r="J11255" i="3"/>
  <c r="K11255" i="3" s="1"/>
  <c r="M11254" i="3"/>
  <c r="L11254" i="3"/>
  <c r="J11254" i="3"/>
  <c r="K11254" i="3" s="1"/>
  <c r="M11253" i="3"/>
  <c r="L11253" i="3"/>
  <c r="J11253" i="3"/>
  <c r="K11253" i="3" s="1"/>
  <c r="M11252" i="3"/>
  <c r="L11252" i="3"/>
  <c r="J11252" i="3"/>
  <c r="K11252" i="3" s="1"/>
  <c r="M11251" i="3"/>
  <c r="L11251" i="3"/>
  <c r="J11251" i="3"/>
  <c r="K11251" i="3" s="1"/>
  <c r="M11250" i="3"/>
  <c r="L11250" i="3"/>
  <c r="J11250" i="3"/>
  <c r="K11250" i="3" s="1"/>
  <c r="M11249" i="3"/>
  <c r="L11249" i="3"/>
  <c r="J11249" i="3"/>
  <c r="K11249" i="3" s="1"/>
  <c r="M11248" i="3"/>
  <c r="L11248" i="3"/>
  <c r="J11248" i="3"/>
  <c r="K11248" i="3" s="1"/>
  <c r="M11247" i="3"/>
  <c r="L11247" i="3"/>
  <c r="J11247" i="3"/>
  <c r="K11247" i="3" s="1"/>
  <c r="M11246" i="3"/>
  <c r="L11246" i="3"/>
  <c r="J11246" i="3"/>
  <c r="K11246" i="3" s="1"/>
  <c r="M11245" i="3"/>
  <c r="L11245" i="3"/>
  <c r="J11245" i="3"/>
  <c r="K11245" i="3" s="1"/>
  <c r="I11245" i="3"/>
  <c r="M11244" i="3"/>
  <c r="L11244" i="3"/>
  <c r="J11244" i="3"/>
  <c r="K11244" i="3" s="1"/>
  <c r="M11243" i="3"/>
  <c r="L11243" i="3"/>
  <c r="J11243" i="3"/>
  <c r="K11243" i="3" s="1"/>
  <c r="M11242" i="3"/>
  <c r="L11242" i="3"/>
  <c r="J11242" i="3"/>
  <c r="K11242" i="3" s="1"/>
  <c r="M11241" i="3"/>
  <c r="L11241" i="3"/>
  <c r="J11241" i="3"/>
  <c r="K11241" i="3" s="1"/>
  <c r="M11240" i="3"/>
  <c r="L11240" i="3"/>
  <c r="J11240" i="3"/>
  <c r="K11240" i="3" s="1"/>
  <c r="M11239" i="3"/>
  <c r="L11239" i="3"/>
  <c r="J11239" i="3"/>
  <c r="K11239" i="3" s="1"/>
  <c r="M11238" i="3"/>
  <c r="L11238" i="3"/>
  <c r="J11238" i="3"/>
  <c r="K11238" i="3" s="1"/>
  <c r="M11237" i="3"/>
  <c r="L11237" i="3"/>
  <c r="J11237" i="3"/>
  <c r="K11237" i="3" s="1"/>
  <c r="M11236" i="3"/>
  <c r="L11236" i="3"/>
  <c r="J11236" i="3"/>
  <c r="K11236" i="3" s="1"/>
  <c r="M11235" i="3"/>
  <c r="K11235" i="3"/>
  <c r="M11234" i="3"/>
  <c r="L11234" i="3"/>
  <c r="J11234" i="3"/>
  <c r="K11234" i="3" s="1"/>
  <c r="S469" i="1"/>
  <c r="F469" i="1"/>
  <c r="M11233" i="3"/>
  <c r="L11233" i="3"/>
  <c r="J11233" i="3"/>
  <c r="K11233" i="3" s="1"/>
  <c r="M11232" i="3"/>
  <c r="L11232" i="3"/>
  <c r="J11232" i="3"/>
  <c r="K11232" i="3" s="1"/>
  <c r="M11231" i="3"/>
  <c r="L11231" i="3"/>
  <c r="J11231" i="3"/>
  <c r="K11231" i="3" s="1"/>
  <c r="M11230" i="3"/>
  <c r="L11230" i="3"/>
  <c r="J11230" i="3"/>
  <c r="K11230" i="3" s="1"/>
  <c r="M11229" i="3"/>
  <c r="L11229" i="3"/>
  <c r="J11229" i="3"/>
  <c r="K11229" i="3" s="1"/>
  <c r="M11228" i="3"/>
  <c r="L11228" i="3"/>
  <c r="J11228" i="3"/>
  <c r="K11228" i="3" s="1"/>
  <c r="M11227" i="3"/>
  <c r="L11227" i="3"/>
  <c r="K11227" i="3"/>
  <c r="J11227" i="3"/>
  <c r="M11226" i="3"/>
  <c r="L11226" i="3"/>
  <c r="J11226" i="3"/>
  <c r="K11226" i="3" s="1"/>
  <c r="M11225" i="3"/>
  <c r="L11225" i="3"/>
  <c r="J11225" i="3"/>
  <c r="K11225" i="3" s="1"/>
  <c r="M11224" i="3"/>
  <c r="L11224" i="3"/>
  <c r="J11224" i="3"/>
  <c r="K11224" i="3" s="1"/>
  <c r="M11223" i="3"/>
  <c r="L11223" i="3"/>
  <c r="J11223" i="3"/>
  <c r="K11223" i="3" s="1"/>
  <c r="M11222" i="3"/>
  <c r="L11222" i="3"/>
  <c r="J11222" i="3"/>
  <c r="K11222" i="3" s="1"/>
  <c r="M11221" i="3"/>
  <c r="L11221" i="3"/>
  <c r="J11221" i="3"/>
  <c r="K11221" i="3" s="1"/>
  <c r="M11220" i="3"/>
  <c r="L11220" i="3"/>
  <c r="J11220" i="3"/>
  <c r="K11220" i="3" s="1"/>
  <c r="M11219" i="3"/>
  <c r="L11219" i="3"/>
  <c r="J11219" i="3"/>
  <c r="K11219" i="3" s="1"/>
  <c r="M11218" i="3"/>
  <c r="L11218" i="3"/>
  <c r="J11218" i="3"/>
  <c r="K11218" i="3" s="1"/>
  <c r="M11217" i="3"/>
  <c r="L11217" i="3"/>
  <c r="J11217" i="3"/>
  <c r="K11217" i="3" s="1"/>
  <c r="M11216" i="3"/>
  <c r="L11216" i="3"/>
  <c r="J11216" i="3"/>
  <c r="K11216" i="3" s="1"/>
  <c r="M11215" i="3"/>
  <c r="L11215" i="3"/>
  <c r="J11215" i="3"/>
  <c r="K11215" i="3" s="1"/>
  <c r="M11214" i="3"/>
  <c r="L11214" i="3"/>
  <c r="J11214" i="3"/>
  <c r="K11214" i="3" s="1"/>
  <c r="M11213" i="3"/>
  <c r="L11213" i="3"/>
  <c r="J11213" i="3"/>
  <c r="K11213" i="3" s="1"/>
  <c r="M11212" i="3"/>
  <c r="L11212" i="3"/>
  <c r="J11212" i="3"/>
  <c r="K11212" i="3" s="1"/>
  <c r="M11211" i="3"/>
  <c r="L11211" i="3"/>
  <c r="J11211" i="3"/>
  <c r="K11211" i="3" s="1"/>
  <c r="M11210" i="3"/>
  <c r="L11210" i="3"/>
  <c r="J11210" i="3"/>
  <c r="K11210" i="3" s="1"/>
  <c r="T468" i="23"/>
  <c r="V468" i="23"/>
  <c r="W468" i="23"/>
  <c r="X468" i="23"/>
  <c r="Z468" i="23"/>
  <c r="AA468" i="23"/>
  <c r="AB468" i="23"/>
  <c r="AE468" i="23"/>
  <c r="AH468" i="23"/>
  <c r="AM468" i="23"/>
  <c r="AO468" i="23"/>
  <c r="M11209" i="3"/>
  <c r="L11209" i="3"/>
  <c r="J11209" i="3"/>
  <c r="K11209" i="3" s="1"/>
  <c r="H11209" i="3"/>
  <c r="G11209" i="3"/>
  <c r="M11208" i="3"/>
  <c r="L11208" i="3"/>
  <c r="J11208" i="3"/>
  <c r="K11208" i="3" s="1"/>
  <c r="H11208" i="3"/>
  <c r="G11208" i="3"/>
  <c r="M11207" i="3"/>
  <c r="L11207" i="3"/>
  <c r="J11207" i="3"/>
  <c r="K11207" i="3" s="1"/>
  <c r="H11207" i="3"/>
  <c r="G11207" i="3"/>
  <c r="M11206" i="3"/>
  <c r="L11206" i="3"/>
  <c r="J11206" i="3"/>
  <c r="K11206" i="3" s="1"/>
  <c r="H11206" i="3"/>
  <c r="G11206" i="3"/>
  <c r="M11205" i="3"/>
  <c r="L11205" i="3"/>
  <c r="J11205" i="3"/>
  <c r="K11205" i="3" s="1"/>
  <c r="H11205" i="3"/>
  <c r="G11205" i="3"/>
  <c r="M11204" i="3"/>
  <c r="L11204" i="3"/>
  <c r="J11204" i="3"/>
  <c r="K11204" i="3" s="1"/>
  <c r="H11204" i="3"/>
  <c r="G11204" i="3"/>
  <c r="M11203" i="3"/>
  <c r="L11203" i="3"/>
  <c r="J11203" i="3"/>
  <c r="K11203" i="3" s="1"/>
  <c r="H11203" i="3"/>
  <c r="G11203" i="3"/>
  <c r="M11202" i="3"/>
  <c r="L11202" i="3"/>
  <c r="J11202" i="3"/>
  <c r="K11202" i="3" s="1"/>
  <c r="H11202" i="3"/>
  <c r="G11202" i="3"/>
  <c r="M11201" i="3"/>
  <c r="L11201" i="3"/>
  <c r="J11201" i="3"/>
  <c r="K11201" i="3" s="1"/>
  <c r="H11201" i="3"/>
  <c r="G11201" i="3"/>
  <c r="M11200" i="3"/>
  <c r="L11200" i="3"/>
  <c r="J11200" i="3"/>
  <c r="K11200" i="3" s="1"/>
  <c r="H11200" i="3"/>
  <c r="G11200" i="3"/>
  <c r="M11199" i="3"/>
  <c r="L11199" i="3"/>
  <c r="J11199" i="3"/>
  <c r="K11199" i="3" s="1"/>
  <c r="H11199" i="3"/>
  <c r="G11199" i="3"/>
  <c r="M11198" i="3"/>
  <c r="L11198" i="3"/>
  <c r="J11198" i="3"/>
  <c r="K11198" i="3" s="1"/>
  <c r="H11198" i="3"/>
  <c r="G11198" i="3"/>
  <c r="M11197" i="3"/>
  <c r="L11197" i="3"/>
  <c r="J11197" i="3"/>
  <c r="K11197" i="3" s="1"/>
  <c r="H11197" i="3"/>
  <c r="G11197" i="3"/>
  <c r="M11196" i="3"/>
  <c r="L11196" i="3"/>
  <c r="J11196" i="3"/>
  <c r="K11196" i="3" s="1"/>
  <c r="H11196" i="3"/>
  <c r="G11196" i="3"/>
  <c r="M11195" i="3"/>
  <c r="L11195" i="3"/>
  <c r="J11195" i="3"/>
  <c r="K11195" i="3" s="1"/>
  <c r="H11195" i="3"/>
  <c r="G11195" i="3"/>
  <c r="M11194" i="3"/>
  <c r="L11194" i="3"/>
  <c r="J11194" i="3"/>
  <c r="K11194" i="3" s="1"/>
  <c r="H11194" i="3"/>
  <c r="G11194" i="3"/>
  <c r="M11193" i="3"/>
  <c r="L11193" i="3"/>
  <c r="J11193" i="3"/>
  <c r="K11193" i="3" s="1"/>
  <c r="H11193" i="3"/>
  <c r="G11193" i="3"/>
  <c r="M11192" i="3"/>
  <c r="L11192" i="3"/>
  <c r="J11192" i="3"/>
  <c r="K11192" i="3" s="1"/>
  <c r="H11192" i="3"/>
  <c r="G11192" i="3"/>
  <c r="M11191" i="3"/>
  <c r="L11191" i="3"/>
  <c r="J11191" i="3"/>
  <c r="K11191" i="3" s="1"/>
  <c r="H11191" i="3"/>
  <c r="G11191" i="3"/>
  <c r="M11190" i="3"/>
  <c r="L11190" i="3"/>
  <c r="J11190" i="3"/>
  <c r="K11190" i="3" s="1"/>
  <c r="H11190" i="3"/>
  <c r="G11190" i="3"/>
  <c r="M11189" i="3"/>
  <c r="L11189" i="3"/>
  <c r="J11189" i="3"/>
  <c r="K11189" i="3" s="1"/>
  <c r="H11189" i="3"/>
  <c r="G11189" i="3"/>
  <c r="M11188" i="3"/>
  <c r="L11188" i="3"/>
  <c r="J11188" i="3"/>
  <c r="K11188" i="3" s="1"/>
  <c r="H11188" i="3"/>
  <c r="G11188" i="3"/>
  <c r="M11187" i="3"/>
  <c r="L11187" i="3"/>
  <c r="J11187" i="3"/>
  <c r="K11187" i="3" s="1"/>
  <c r="H11187" i="3"/>
  <c r="G11187" i="3"/>
  <c r="M11186" i="3"/>
  <c r="L11186" i="3"/>
  <c r="J11186" i="3"/>
  <c r="K11186" i="3" s="1"/>
  <c r="H11186" i="3"/>
  <c r="G11186" i="3"/>
  <c r="S468" i="1"/>
  <c r="F468" i="1"/>
  <c r="F465" i="1"/>
  <c r="M11162" i="3"/>
  <c r="AB467" i="23"/>
  <c r="AE467" i="23"/>
  <c r="AH466" i="23"/>
  <c r="AM466" i="23"/>
  <c r="AO466" i="23"/>
  <c r="T467" i="23"/>
  <c r="V467" i="23"/>
  <c r="W467" i="23"/>
  <c r="X467" i="23"/>
  <c r="Z467" i="23"/>
  <c r="AA467" i="23"/>
  <c r="AH467" i="23"/>
  <c r="AM467" i="23"/>
  <c r="AO467" i="23"/>
  <c r="F467" i="23"/>
  <c r="M11185" i="3"/>
  <c r="L11185" i="3"/>
  <c r="J11185" i="3"/>
  <c r="K11185" i="3" s="1"/>
  <c r="H11185" i="3"/>
  <c r="G11185" i="3"/>
  <c r="M11184" i="3"/>
  <c r="L11184" i="3"/>
  <c r="J11184" i="3"/>
  <c r="K11184" i="3" s="1"/>
  <c r="H11184" i="3"/>
  <c r="G11184" i="3"/>
  <c r="M11183" i="3"/>
  <c r="L11183" i="3"/>
  <c r="J11183" i="3"/>
  <c r="K11183" i="3" s="1"/>
  <c r="H11183" i="3"/>
  <c r="G11183" i="3"/>
  <c r="M11182" i="3"/>
  <c r="L11182" i="3"/>
  <c r="J11182" i="3"/>
  <c r="K11182" i="3" s="1"/>
  <c r="H11182" i="3"/>
  <c r="G11182" i="3"/>
  <c r="M11181" i="3"/>
  <c r="L11181" i="3"/>
  <c r="J11181" i="3"/>
  <c r="K11181" i="3" s="1"/>
  <c r="H11181" i="3"/>
  <c r="G11181" i="3"/>
  <c r="M11180" i="3"/>
  <c r="L11180" i="3"/>
  <c r="J11180" i="3"/>
  <c r="K11180" i="3" s="1"/>
  <c r="H11180" i="3"/>
  <c r="G11180" i="3"/>
  <c r="M11179" i="3"/>
  <c r="L11179" i="3"/>
  <c r="J11179" i="3"/>
  <c r="K11179" i="3" s="1"/>
  <c r="H11179" i="3"/>
  <c r="G11179" i="3"/>
  <c r="M11178" i="3"/>
  <c r="L11178" i="3"/>
  <c r="J11178" i="3"/>
  <c r="K11178" i="3" s="1"/>
  <c r="H11178" i="3"/>
  <c r="G11178" i="3"/>
  <c r="M11177" i="3"/>
  <c r="L11177" i="3"/>
  <c r="J11177" i="3"/>
  <c r="K11177" i="3" s="1"/>
  <c r="H11177" i="3"/>
  <c r="G11177" i="3"/>
  <c r="M11176" i="3"/>
  <c r="L11176" i="3"/>
  <c r="J11176" i="3"/>
  <c r="K11176" i="3" s="1"/>
  <c r="H11176" i="3"/>
  <c r="G11176" i="3"/>
  <c r="M11175" i="3"/>
  <c r="L11175" i="3"/>
  <c r="J11175" i="3"/>
  <c r="K11175" i="3" s="1"/>
  <c r="H11175" i="3"/>
  <c r="G11175" i="3"/>
  <c r="M11174" i="3"/>
  <c r="L11174" i="3"/>
  <c r="J11174" i="3"/>
  <c r="K11174" i="3" s="1"/>
  <c r="H11174" i="3"/>
  <c r="G11174" i="3"/>
  <c r="M11173" i="3"/>
  <c r="L11173" i="3"/>
  <c r="J11173" i="3"/>
  <c r="K11173" i="3" s="1"/>
  <c r="H11173" i="3"/>
  <c r="G11173" i="3"/>
  <c r="M11172" i="3"/>
  <c r="L11172" i="3"/>
  <c r="J11172" i="3"/>
  <c r="K11172" i="3" s="1"/>
  <c r="H11172" i="3"/>
  <c r="G11172" i="3"/>
  <c r="M11171" i="3"/>
  <c r="L11171" i="3"/>
  <c r="J11171" i="3"/>
  <c r="K11171" i="3" s="1"/>
  <c r="H11171" i="3"/>
  <c r="G11171" i="3"/>
  <c r="M11170" i="3"/>
  <c r="L11170" i="3"/>
  <c r="J11170" i="3"/>
  <c r="K11170" i="3" s="1"/>
  <c r="H11170" i="3"/>
  <c r="G11170" i="3"/>
  <c r="M11169" i="3"/>
  <c r="L11169" i="3"/>
  <c r="J11169" i="3"/>
  <c r="K11169" i="3" s="1"/>
  <c r="H11169" i="3"/>
  <c r="G11169" i="3"/>
  <c r="M11168" i="3"/>
  <c r="L11168" i="3"/>
  <c r="J11168" i="3"/>
  <c r="K11168" i="3" s="1"/>
  <c r="H11168" i="3"/>
  <c r="G11168" i="3"/>
  <c r="M11167" i="3"/>
  <c r="L11167" i="3"/>
  <c r="J11167" i="3"/>
  <c r="K11167" i="3" s="1"/>
  <c r="H11167" i="3"/>
  <c r="G11167" i="3"/>
  <c r="M11166" i="3"/>
  <c r="L11166" i="3"/>
  <c r="J11166" i="3"/>
  <c r="K11166" i="3" s="1"/>
  <c r="H11166" i="3"/>
  <c r="G11166" i="3"/>
  <c r="M11165" i="3"/>
  <c r="L11165" i="3"/>
  <c r="J11165" i="3"/>
  <c r="K11165" i="3" s="1"/>
  <c r="H11165" i="3"/>
  <c r="G11165" i="3"/>
  <c r="M11164" i="3"/>
  <c r="L11164" i="3"/>
  <c r="J11164" i="3"/>
  <c r="K11164" i="3" s="1"/>
  <c r="H11164" i="3"/>
  <c r="G11164" i="3"/>
  <c r="M11163" i="3"/>
  <c r="L11163" i="3"/>
  <c r="J11163" i="3"/>
  <c r="K11163" i="3" s="1"/>
  <c r="H11163" i="3"/>
  <c r="G11163" i="3"/>
  <c r="L11162" i="3"/>
  <c r="J11162" i="3"/>
  <c r="K11162" i="3" s="1"/>
  <c r="H11162" i="3"/>
  <c r="G11162" i="3"/>
  <c r="S467" i="1"/>
  <c r="F467" i="1"/>
  <c r="AR488" i="23" l="1"/>
  <c r="AR489" i="23"/>
  <c r="AR491" i="23"/>
  <c r="AK483" i="23"/>
  <c r="C496" i="23"/>
  <c r="AC510" i="23" s="1"/>
  <c r="AD510" i="23" s="1"/>
  <c r="S495" i="23"/>
  <c r="AP481" i="23"/>
  <c r="AP483" i="23"/>
  <c r="E497" i="23"/>
  <c r="AP482" i="23"/>
  <c r="AP484" i="23"/>
  <c r="AR490" i="23"/>
  <c r="AK482" i="23"/>
  <c r="AG494" i="23"/>
  <c r="Y494" i="23"/>
  <c r="AL501" i="23"/>
  <c r="E477" i="1"/>
  <c r="E478" i="1" s="1"/>
  <c r="E479" i="1" s="1"/>
  <c r="E480" i="1" s="1"/>
  <c r="AF475" i="23"/>
  <c r="AJ475" i="23" s="1"/>
  <c r="AK481" i="23"/>
  <c r="AF474" i="23"/>
  <c r="AJ474" i="23" s="1"/>
  <c r="AK480" i="23"/>
  <c r="AN477" i="23"/>
  <c r="AI477" i="23"/>
  <c r="AF477" i="23"/>
  <c r="AJ477" i="23" s="1"/>
  <c r="AI476" i="23"/>
  <c r="AN476" i="23"/>
  <c r="AN474" i="23"/>
  <c r="AI474" i="23"/>
  <c r="AI475" i="23"/>
  <c r="AN475" i="23"/>
  <c r="AF476" i="23"/>
  <c r="AJ476" i="23" s="1"/>
  <c r="I11214" i="3"/>
  <c r="I11232" i="3"/>
  <c r="I11218" i="3"/>
  <c r="I11274" i="3"/>
  <c r="I11278" i="3"/>
  <c r="I11222" i="3"/>
  <c r="I11210" i="3"/>
  <c r="I11226" i="3"/>
  <c r="I11185" i="3"/>
  <c r="I11212" i="3"/>
  <c r="I11220" i="3"/>
  <c r="I11228" i="3"/>
  <c r="I11258" i="3"/>
  <c r="I11262" i="3"/>
  <c r="I11266" i="3"/>
  <c r="I11270" i="3"/>
  <c r="I11275" i="3"/>
  <c r="I11216" i="3"/>
  <c r="I11224" i="3"/>
  <c r="I11260" i="3"/>
  <c r="I11264" i="3"/>
  <c r="I11268" i="3"/>
  <c r="I11272" i="3"/>
  <c r="I11277" i="3"/>
  <c r="I11280" i="3"/>
  <c r="I11204" i="3"/>
  <c r="I11206" i="3"/>
  <c r="I11211" i="3"/>
  <c r="I11215" i="3"/>
  <c r="I11219" i="3"/>
  <c r="I11223" i="3"/>
  <c r="I11227" i="3"/>
  <c r="I11231" i="3"/>
  <c r="I11239" i="3"/>
  <c r="I11241" i="3"/>
  <c r="I11243" i="3"/>
  <c r="I11247" i="3"/>
  <c r="I11249" i="3"/>
  <c r="I11251" i="3"/>
  <c r="I11253" i="3"/>
  <c r="I11255" i="3"/>
  <c r="I11257" i="3"/>
  <c r="I11263" i="3"/>
  <c r="I11279" i="3"/>
  <c r="I11230" i="3"/>
  <c r="I11235" i="3"/>
  <c r="I11237" i="3"/>
  <c r="I11276" i="3"/>
  <c r="I11213" i="3"/>
  <c r="I11217" i="3"/>
  <c r="I11221" i="3"/>
  <c r="I11225" i="3"/>
  <c r="I11229" i="3"/>
  <c r="I11233" i="3"/>
  <c r="I11273" i="3"/>
  <c r="E31" i="35"/>
  <c r="F30" i="35"/>
  <c r="I11281" i="3"/>
  <c r="I11234" i="3"/>
  <c r="I11236" i="3"/>
  <c r="I11238" i="3"/>
  <c r="I11240" i="3"/>
  <c r="I11242" i="3"/>
  <c r="I11244" i="3"/>
  <c r="I11246" i="3"/>
  <c r="I11248" i="3"/>
  <c r="I11250" i="3"/>
  <c r="I11252" i="3"/>
  <c r="I11254" i="3"/>
  <c r="I11256" i="3"/>
  <c r="I11186" i="3"/>
  <c r="I11188" i="3"/>
  <c r="I11190" i="3"/>
  <c r="I11192" i="3"/>
  <c r="I11194" i="3"/>
  <c r="I11196" i="3"/>
  <c r="I11198" i="3"/>
  <c r="I11200" i="3"/>
  <c r="I11202" i="3"/>
  <c r="I11208" i="3"/>
  <c r="I11187" i="3"/>
  <c r="I11189" i="3"/>
  <c r="I11191" i="3"/>
  <c r="I11193" i="3"/>
  <c r="I11195" i="3"/>
  <c r="I11197" i="3"/>
  <c r="I11199" i="3"/>
  <c r="I11201" i="3"/>
  <c r="I11203" i="3"/>
  <c r="I11205" i="3"/>
  <c r="I11207" i="3"/>
  <c r="I11209" i="3"/>
  <c r="I11162" i="3"/>
  <c r="I11164" i="3"/>
  <c r="I11166" i="3"/>
  <c r="I11168" i="3"/>
  <c r="I11170" i="3"/>
  <c r="I11172" i="3"/>
  <c r="I11174" i="3"/>
  <c r="I11176" i="3"/>
  <c r="I11178" i="3"/>
  <c r="I11180" i="3"/>
  <c r="I11182" i="3"/>
  <c r="I11184" i="3"/>
  <c r="I11163" i="3"/>
  <c r="I11165" i="3"/>
  <c r="I11167" i="3"/>
  <c r="I11169" i="3"/>
  <c r="I11171" i="3"/>
  <c r="I11173" i="3"/>
  <c r="I11175" i="3"/>
  <c r="I11177" i="3"/>
  <c r="I11179" i="3"/>
  <c r="I11181" i="3"/>
  <c r="I11183" i="3"/>
  <c r="Y495" i="23" l="1"/>
  <c r="AG495" i="23"/>
  <c r="AL502" i="23"/>
  <c r="C497" i="23"/>
  <c r="S496" i="23"/>
  <c r="E498" i="23"/>
  <c r="E481" i="1"/>
  <c r="E482" i="1" s="1"/>
  <c r="E32" i="35"/>
  <c r="F31" i="35"/>
  <c r="E499" i="23" l="1"/>
  <c r="AG496" i="23"/>
  <c r="AL503" i="23"/>
  <c r="Y496" i="23"/>
  <c r="C498" i="23"/>
  <c r="S497" i="23"/>
  <c r="AC511" i="23"/>
  <c r="AD511" i="23" s="1"/>
  <c r="E483" i="1"/>
  <c r="E484" i="1" s="1"/>
  <c r="E485" i="1" s="1"/>
  <c r="E33" i="35"/>
  <c r="F32" i="35"/>
  <c r="T466" i="23"/>
  <c r="V466" i="23"/>
  <c r="W466" i="23"/>
  <c r="X466" i="23"/>
  <c r="Z466" i="23"/>
  <c r="AA466" i="23"/>
  <c r="AB466" i="23"/>
  <c r="AE466" i="23"/>
  <c r="F466" i="23"/>
  <c r="M11161" i="3"/>
  <c r="L11161" i="3"/>
  <c r="J11161" i="3"/>
  <c r="K11161" i="3" s="1"/>
  <c r="H11161" i="3"/>
  <c r="G11161" i="3"/>
  <c r="M11160" i="3"/>
  <c r="L11160" i="3"/>
  <c r="J11160" i="3"/>
  <c r="K11160" i="3" s="1"/>
  <c r="H11160" i="3"/>
  <c r="G11160" i="3"/>
  <c r="M11159" i="3"/>
  <c r="L11159" i="3"/>
  <c r="J11159" i="3"/>
  <c r="K11159" i="3" s="1"/>
  <c r="H11159" i="3"/>
  <c r="G11159" i="3"/>
  <c r="M11158" i="3"/>
  <c r="L11158" i="3"/>
  <c r="J11158" i="3"/>
  <c r="K11158" i="3" s="1"/>
  <c r="H11158" i="3"/>
  <c r="G11158" i="3"/>
  <c r="M11157" i="3"/>
  <c r="L11157" i="3"/>
  <c r="J11157" i="3"/>
  <c r="K11157" i="3" s="1"/>
  <c r="H11157" i="3"/>
  <c r="G11157" i="3"/>
  <c r="M11156" i="3"/>
  <c r="L11156" i="3"/>
  <c r="J11156" i="3"/>
  <c r="K11156" i="3" s="1"/>
  <c r="H11156" i="3"/>
  <c r="G11156" i="3"/>
  <c r="M11155" i="3"/>
  <c r="L11155" i="3"/>
  <c r="J11155" i="3"/>
  <c r="K11155" i="3" s="1"/>
  <c r="H11155" i="3"/>
  <c r="G11155" i="3"/>
  <c r="M11154" i="3"/>
  <c r="L11154" i="3"/>
  <c r="J11154" i="3"/>
  <c r="K11154" i="3" s="1"/>
  <c r="H11154" i="3"/>
  <c r="G11154" i="3"/>
  <c r="M11153" i="3"/>
  <c r="L11153" i="3"/>
  <c r="J11153" i="3"/>
  <c r="K11153" i="3" s="1"/>
  <c r="H11153" i="3"/>
  <c r="G11153" i="3"/>
  <c r="M11152" i="3"/>
  <c r="L11152" i="3"/>
  <c r="J11152" i="3"/>
  <c r="K11152" i="3" s="1"/>
  <c r="H11152" i="3"/>
  <c r="G11152" i="3"/>
  <c r="M11151" i="3"/>
  <c r="L11151" i="3"/>
  <c r="J11151" i="3"/>
  <c r="K11151" i="3" s="1"/>
  <c r="H11151" i="3"/>
  <c r="G11151" i="3"/>
  <c r="M11150" i="3"/>
  <c r="L11150" i="3"/>
  <c r="J11150" i="3"/>
  <c r="K11150" i="3" s="1"/>
  <c r="H11150" i="3"/>
  <c r="G11150" i="3"/>
  <c r="M11149" i="3"/>
  <c r="L11149" i="3"/>
  <c r="J11149" i="3"/>
  <c r="K11149" i="3" s="1"/>
  <c r="H11149" i="3"/>
  <c r="G11149" i="3"/>
  <c r="M11148" i="3"/>
  <c r="L11148" i="3"/>
  <c r="J11148" i="3"/>
  <c r="K11148" i="3" s="1"/>
  <c r="H11148" i="3"/>
  <c r="G11148" i="3"/>
  <c r="M11147" i="3"/>
  <c r="L11147" i="3"/>
  <c r="J11147" i="3"/>
  <c r="K11147" i="3" s="1"/>
  <c r="H11147" i="3"/>
  <c r="G11147" i="3"/>
  <c r="M11146" i="3"/>
  <c r="L11146" i="3"/>
  <c r="J11146" i="3"/>
  <c r="K11146" i="3" s="1"/>
  <c r="H11146" i="3"/>
  <c r="G11146" i="3"/>
  <c r="M11145" i="3"/>
  <c r="L11145" i="3"/>
  <c r="J11145" i="3"/>
  <c r="K11145" i="3" s="1"/>
  <c r="H11145" i="3"/>
  <c r="G11145" i="3"/>
  <c r="M11144" i="3"/>
  <c r="L11144" i="3"/>
  <c r="J11144" i="3"/>
  <c r="K11144" i="3" s="1"/>
  <c r="H11144" i="3"/>
  <c r="G11144" i="3"/>
  <c r="M11143" i="3"/>
  <c r="L11143" i="3"/>
  <c r="J11143" i="3"/>
  <c r="K11143" i="3" s="1"/>
  <c r="H11143" i="3"/>
  <c r="G11143" i="3"/>
  <c r="M11142" i="3"/>
  <c r="L11142" i="3"/>
  <c r="J11142" i="3"/>
  <c r="K11142" i="3" s="1"/>
  <c r="H11142" i="3"/>
  <c r="G11142" i="3"/>
  <c r="M11141" i="3"/>
  <c r="L11141" i="3"/>
  <c r="J11141" i="3"/>
  <c r="K11141" i="3" s="1"/>
  <c r="H11141" i="3"/>
  <c r="G11141" i="3"/>
  <c r="M11140" i="3"/>
  <c r="L11140" i="3"/>
  <c r="J11140" i="3"/>
  <c r="K11140" i="3" s="1"/>
  <c r="H11140" i="3"/>
  <c r="G11140" i="3"/>
  <c r="M11139" i="3"/>
  <c r="L11139" i="3"/>
  <c r="J11139" i="3"/>
  <c r="K11139" i="3" s="1"/>
  <c r="H11139" i="3"/>
  <c r="G11139" i="3"/>
  <c r="M11138" i="3"/>
  <c r="L11138" i="3"/>
  <c r="J11138" i="3"/>
  <c r="K11138" i="3" s="1"/>
  <c r="H11138" i="3"/>
  <c r="G11138" i="3"/>
  <c r="S466" i="1"/>
  <c r="F466" i="1"/>
  <c r="Z465" i="23"/>
  <c r="S455" i="23"/>
  <c r="AL462" i="23" s="1"/>
  <c r="AA465" i="23"/>
  <c r="AB465" i="23"/>
  <c r="AE465" i="23"/>
  <c r="AH465" i="23"/>
  <c r="AM465" i="23"/>
  <c r="AO465" i="23"/>
  <c r="X465" i="23"/>
  <c r="W455" i="23"/>
  <c r="W456" i="23"/>
  <c r="W457" i="23"/>
  <c r="W458" i="23"/>
  <c r="W459" i="23"/>
  <c r="W460" i="23"/>
  <c r="W461" i="23"/>
  <c r="W462" i="23"/>
  <c r="W463" i="23"/>
  <c r="W464" i="23"/>
  <c r="W465" i="23"/>
  <c r="V455" i="23"/>
  <c r="V456" i="23"/>
  <c r="V457" i="23"/>
  <c r="V458" i="23"/>
  <c r="V459" i="23"/>
  <c r="V460" i="23"/>
  <c r="V461" i="23"/>
  <c r="V462" i="23"/>
  <c r="V463" i="23"/>
  <c r="V464" i="23"/>
  <c r="V465" i="23"/>
  <c r="T455" i="23"/>
  <c r="T456" i="23"/>
  <c r="T457" i="23"/>
  <c r="T458" i="23"/>
  <c r="T459" i="23"/>
  <c r="T460" i="23"/>
  <c r="T461" i="23"/>
  <c r="T462" i="23"/>
  <c r="T463" i="23"/>
  <c r="T464" i="23"/>
  <c r="T465" i="23"/>
  <c r="F465" i="23"/>
  <c r="M11137" i="3"/>
  <c r="L11137" i="3"/>
  <c r="J11137" i="3"/>
  <c r="K11137" i="3" s="1"/>
  <c r="H11137" i="3"/>
  <c r="G11137" i="3"/>
  <c r="M11136" i="3"/>
  <c r="L11136" i="3"/>
  <c r="J11136" i="3"/>
  <c r="K11136" i="3" s="1"/>
  <c r="H11136" i="3"/>
  <c r="G11136" i="3"/>
  <c r="M11135" i="3"/>
  <c r="L11135" i="3"/>
  <c r="J11135" i="3"/>
  <c r="K11135" i="3" s="1"/>
  <c r="H11135" i="3"/>
  <c r="G11135" i="3"/>
  <c r="M11134" i="3"/>
  <c r="L11134" i="3"/>
  <c r="J11134" i="3"/>
  <c r="K11134" i="3" s="1"/>
  <c r="H11134" i="3"/>
  <c r="G11134" i="3"/>
  <c r="M11133" i="3"/>
  <c r="L11133" i="3"/>
  <c r="J11133" i="3"/>
  <c r="K11133" i="3" s="1"/>
  <c r="H11133" i="3"/>
  <c r="G11133" i="3"/>
  <c r="M11132" i="3"/>
  <c r="L11132" i="3"/>
  <c r="J11132" i="3"/>
  <c r="K11132" i="3" s="1"/>
  <c r="H11132" i="3"/>
  <c r="G11132" i="3"/>
  <c r="M11131" i="3"/>
  <c r="L11131" i="3"/>
  <c r="J11131" i="3"/>
  <c r="K11131" i="3" s="1"/>
  <c r="H11131" i="3"/>
  <c r="G11131" i="3"/>
  <c r="M11130" i="3"/>
  <c r="L11130" i="3"/>
  <c r="J11130" i="3"/>
  <c r="K11130" i="3" s="1"/>
  <c r="H11130" i="3"/>
  <c r="G11130" i="3"/>
  <c r="M11129" i="3"/>
  <c r="L11129" i="3"/>
  <c r="J11129" i="3"/>
  <c r="K11129" i="3" s="1"/>
  <c r="H11129" i="3"/>
  <c r="G11129" i="3"/>
  <c r="M11128" i="3"/>
  <c r="L11128" i="3"/>
  <c r="J11128" i="3"/>
  <c r="K11128" i="3" s="1"/>
  <c r="H11128" i="3"/>
  <c r="G11128" i="3"/>
  <c r="M11127" i="3"/>
  <c r="L11127" i="3"/>
  <c r="J11127" i="3"/>
  <c r="K11127" i="3" s="1"/>
  <c r="H11127" i="3"/>
  <c r="G11127" i="3"/>
  <c r="M11126" i="3"/>
  <c r="L11126" i="3"/>
  <c r="J11126" i="3"/>
  <c r="K11126" i="3" s="1"/>
  <c r="H11126" i="3"/>
  <c r="G11126" i="3"/>
  <c r="M11125" i="3"/>
  <c r="L11125" i="3"/>
  <c r="J11125" i="3"/>
  <c r="K11125" i="3" s="1"/>
  <c r="H11125" i="3"/>
  <c r="G11125" i="3"/>
  <c r="M11124" i="3"/>
  <c r="L11124" i="3"/>
  <c r="J11124" i="3"/>
  <c r="K11124" i="3" s="1"/>
  <c r="H11124" i="3"/>
  <c r="G11124" i="3"/>
  <c r="M11123" i="3"/>
  <c r="L11123" i="3"/>
  <c r="J11123" i="3"/>
  <c r="K11123" i="3" s="1"/>
  <c r="H11123" i="3"/>
  <c r="G11123" i="3"/>
  <c r="M11122" i="3"/>
  <c r="L11122" i="3"/>
  <c r="J11122" i="3"/>
  <c r="K11122" i="3" s="1"/>
  <c r="H11122" i="3"/>
  <c r="G11122" i="3"/>
  <c r="M11121" i="3"/>
  <c r="L11121" i="3"/>
  <c r="J11121" i="3"/>
  <c r="K11121" i="3" s="1"/>
  <c r="H11121" i="3"/>
  <c r="G11121" i="3"/>
  <c r="M11120" i="3"/>
  <c r="L11120" i="3"/>
  <c r="J11120" i="3"/>
  <c r="K11120" i="3" s="1"/>
  <c r="H11120" i="3"/>
  <c r="G11120" i="3"/>
  <c r="M11119" i="3"/>
  <c r="L11119" i="3"/>
  <c r="J11119" i="3"/>
  <c r="K11119" i="3" s="1"/>
  <c r="H11119" i="3"/>
  <c r="G11119" i="3"/>
  <c r="M11118" i="3"/>
  <c r="L11118" i="3"/>
  <c r="J11118" i="3"/>
  <c r="K11118" i="3" s="1"/>
  <c r="H11118" i="3"/>
  <c r="G11118" i="3"/>
  <c r="M11117" i="3"/>
  <c r="L11117" i="3"/>
  <c r="J11117" i="3"/>
  <c r="K11117" i="3" s="1"/>
  <c r="H11117" i="3"/>
  <c r="G11117" i="3"/>
  <c r="M11116" i="3"/>
  <c r="L11116" i="3"/>
  <c r="J11116" i="3"/>
  <c r="K11116" i="3" s="1"/>
  <c r="H11116" i="3"/>
  <c r="G11116" i="3"/>
  <c r="M11115" i="3"/>
  <c r="L11115" i="3"/>
  <c r="J11115" i="3"/>
  <c r="K11115" i="3" s="1"/>
  <c r="H11115" i="3"/>
  <c r="G11115" i="3"/>
  <c r="M11114" i="3"/>
  <c r="L11114" i="3"/>
  <c r="J11114" i="3"/>
  <c r="K11114" i="3" s="1"/>
  <c r="H11114" i="3"/>
  <c r="G11114" i="3"/>
  <c r="S465" i="1"/>
  <c r="X464" i="23"/>
  <c r="Z464" i="23"/>
  <c r="AA464" i="23"/>
  <c r="AB464" i="23"/>
  <c r="AE464" i="23"/>
  <c r="AH464" i="23"/>
  <c r="AM464" i="23"/>
  <c r="AO464" i="23"/>
  <c r="F464" i="23"/>
  <c r="E464" i="23"/>
  <c r="E465" i="23" s="1"/>
  <c r="M11113" i="3"/>
  <c r="L11113" i="3"/>
  <c r="J11113" i="3"/>
  <c r="K11113" i="3" s="1"/>
  <c r="H11113" i="3"/>
  <c r="G11113" i="3"/>
  <c r="M11112" i="3"/>
  <c r="L11112" i="3"/>
  <c r="J11112" i="3"/>
  <c r="K11112" i="3" s="1"/>
  <c r="H11112" i="3"/>
  <c r="I11112" i="3" s="1"/>
  <c r="G11112" i="3"/>
  <c r="M11111" i="3"/>
  <c r="L11111" i="3"/>
  <c r="J11111" i="3"/>
  <c r="K11111" i="3" s="1"/>
  <c r="H11111" i="3"/>
  <c r="G11111" i="3"/>
  <c r="M11110" i="3"/>
  <c r="L11110" i="3"/>
  <c r="J11110" i="3"/>
  <c r="K11110" i="3" s="1"/>
  <c r="H11110" i="3"/>
  <c r="G11110" i="3"/>
  <c r="M11109" i="3"/>
  <c r="L11109" i="3"/>
  <c r="J11109" i="3"/>
  <c r="K11109" i="3" s="1"/>
  <c r="H11109" i="3"/>
  <c r="G11109" i="3"/>
  <c r="M11108" i="3"/>
  <c r="L11108" i="3"/>
  <c r="J11108" i="3"/>
  <c r="K11108" i="3" s="1"/>
  <c r="H11108" i="3"/>
  <c r="G11108" i="3"/>
  <c r="M11107" i="3"/>
  <c r="L11107" i="3"/>
  <c r="J11107" i="3"/>
  <c r="K11107" i="3" s="1"/>
  <c r="H11107" i="3"/>
  <c r="G11107" i="3"/>
  <c r="M11106" i="3"/>
  <c r="L11106" i="3"/>
  <c r="J11106" i="3"/>
  <c r="K11106" i="3" s="1"/>
  <c r="H11106" i="3"/>
  <c r="G11106" i="3"/>
  <c r="M11105" i="3"/>
  <c r="L11105" i="3"/>
  <c r="J11105" i="3"/>
  <c r="K11105" i="3" s="1"/>
  <c r="H11105" i="3"/>
  <c r="G11105" i="3"/>
  <c r="M11104" i="3"/>
  <c r="L11104" i="3"/>
  <c r="J11104" i="3"/>
  <c r="K11104" i="3" s="1"/>
  <c r="H11104" i="3"/>
  <c r="G11104" i="3"/>
  <c r="M11103" i="3"/>
  <c r="L11103" i="3"/>
  <c r="J11103" i="3"/>
  <c r="K11103" i="3" s="1"/>
  <c r="H11103" i="3"/>
  <c r="G11103" i="3"/>
  <c r="M11102" i="3"/>
  <c r="L11102" i="3"/>
  <c r="J11102" i="3"/>
  <c r="K11102" i="3" s="1"/>
  <c r="H11102" i="3"/>
  <c r="G11102" i="3"/>
  <c r="M11101" i="3"/>
  <c r="L11101" i="3"/>
  <c r="J11101" i="3"/>
  <c r="K11101" i="3" s="1"/>
  <c r="H11101" i="3"/>
  <c r="G11101" i="3"/>
  <c r="M11100" i="3"/>
  <c r="L11100" i="3"/>
  <c r="J11100" i="3"/>
  <c r="K11100" i="3" s="1"/>
  <c r="H11100" i="3"/>
  <c r="G11100" i="3"/>
  <c r="M11099" i="3"/>
  <c r="L11099" i="3"/>
  <c r="J11099" i="3"/>
  <c r="K11099" i="3" s="1"/>
  <c r="H11099" i="3"/>
  <c r="G11099" i="3"/>
  <c r="M11098" i="3"/>
  <c r="L11098" i="3"/>
  <c r="J11098" i="3"/>
  <c r="K11098" i="3" s="1"/>
  <c r="H11098" i="3"/>
  <c r="G11098" i="3"/>
  <c r="M11097" i="3"/>
  <c r="L11097" i="3"/>
  <c r="J11097" i="3"/>
  <c r="K11097" i="3" s="1"/>
  <c r="H11097" i="3"/>
  <c r="G11097" i="3"/>
  <c r="M11096" i="3"/>
  <c r="L11096" i="3"/>
  <c r="J11096" i="3"/>
  <c r="K11096" i="3" s="1"/>
  <c r="H11096" i="3"/>
  <c r="G11096" i="3"/>
  <c r="M11095" i="3"/>
  <c r="L11095" i="3"/>
  <c r="J11095" i="3"/>
  <c r="K11095" i="3" s="1"/>
  <c r="H11095" i="3"/>
  <c r="G11095" i="3"/>
  <c r="M11094" i="3"/>
  <c r="L11094" i="3"/>
  <c r="J11094" i="3"/>
  <c r="K11094" i="3" s="1"/>
  <c r="H11094" i="3"/>
  <c r="G11094" i="3"/>
  <c r="M11093" i="3"/>
  <c r="L11093" i="3"/>
  <c r="J11093" i="3"/>
  <c r="K11093" i="3" s="1"/>
  <c r="H11093" i="3"/>
  <c r="G11093" i="3"/>
  <c r="M11092" i="3"/>
  <c r="L11092" i="3"/>
  <c r="J11092" i="3"/>
  <c r="K11092" i="3" s="1"/>
  <c r="H11092" i="3"/>
  <c r="G11092" i="3"/>
  <c r="M11091" i="3"/>
  <c r="L11091" i="3"/>
  <c r="J11091" i="3"/>
  <c r="K11091" i="3" s="1"/>
  <c r="H11091" i="3"/>
  <c r="G11091" i="3"/>
  <c r="M11090" i="3"/>
  <c r="L11090" i="3"/>
  <c r="J11090" i="3"/>
  <c r="K11090" i="3" s="1"/>
  <c r="H11090" i="3"/>
  <c r="G11090" i="3"/>
  <c r="S464" i="1"/>
  <c r="F464" i="1"/>
  <c r="AD176" i="5"/>
  <c r="AH463" i="23"/>
  <c r="L11067" i="3"/>
  <c r="M11072" i="3"/>
  <c r="AB463" i="23"/>
  <c r="O433" i="23"/>
  <c r="O434" i="23"/>
  <c r="O435" i="23"/>
  <c r="O436" i="23"/>
  <c r="O437" i="23"/>
  <c r="O438" i="23"/>
  <c r="O441" i="23"/>
  <c r="O442" i="23"/>
  <c r="O443" i="23"/>
  <c r="O444" i="23"/>
  <c r="O445" i="23"/>
  <c r="O446" i="23"/>
  <c r="O447" i="23"/>
  <c r="O448" i="23"/>
  <c r="O449" i="23"/>
  <c r="O450" i="23"/>
  <c r="O451" i="23"/>
  <c r="O452" i="23"/>
  <c r="O453" i="23"/>
  <c r="O454" i="23"/>
  <c r="O455" i="23"/>
  <c r="O456" i="23"/>
  <c r="O457" i="23"/>
  <c r="O458" i="23"/>
  <c r="O459" i="23"/>
  <c r="O463" i="23"/>
  <c r="O421" i="23"/>
  <c r="O422" i="23"/>
  <c r="O423" i="23"/>
  <c r="O424" i="23"/>
  <c r="O425" i="23"/>
  <c r="O426" i="23"/>
  <c r="O427" i="23"/>
  <c r="O428" i="23"/>
  <c r="O429" i="23"/>
  <c r="O430" i="23"/>
  <c r="O431" i="23"/>
  <c r="L437" i="23"/>
  <c r="L438" i="23"/>
  <c r="L455" i="23"/>
  <c r="M461" i="1"/>
  <c r="M462" i="1"/>
  <c r="M463" i="1"/>
  <c r="AH458" i="23"/>
  <c r="AE463" i="23"/>
  <c r="Z463" i="23"/>
  <c r="X463" i="23"/>
  <c r="AA463" i="23"/>
  <c r="AM463" i="23"/>
  <c r="AO463" i="23"/>
  <c r="F463" i="23"/>
  <c r="M11089" i="3"/>
  <c r="L11089" i="3"/>
  <c r="J11089" i="3"/>
  <c r="K11089" i="3" s="1"/>
  <c r="H11089" i="3"/>
  <c r="G11089" i="3"/>
  <c r="M11088" i="3"/>
  <c r="L11088" i="3"/>
  <c r="J11088" i="3"/>
  <c r="K11088" i="3" s="1"/>
  <c r="H11088" i="3"/>
  <c r="G11088" i="3"/>
  <c r="M11087" i="3"/>
  <c r="L11087" i="3"/>
  <c r="J11087" i="3"/>
  <c r="K11087" i="3" s="1"/>
  <c r="H11087" i="3"/>
  <c r="G11087" i="3"/>
  <c r="M11086" i="3"/>
  <c r="L11086" i="3"/>
  <c r="J11086" i="3"/>
  <c r="K11086" i="3" s="1"/>
  <c r="H11086" i="3"/>
  <c r="G11086" i="3"/>
  <c r="M11085" i="3"/>
  <c r="L11085" i="3"/>
  <c r="J11085" i="3"/>
  <c r="K11085" i="3" s="1"/>
  <c r="H11085" i="3"/>
  <c r="G11085" i="3"/>
  <c r="M11084" i="3"/>
  <c r="L11084" i="3"/>
  <c r="J11084" i="3"/>
  <c r="K11084" i="3" s="1"/>
  <c r="H11084" i="3"/>
  <c r="G11084" i="3"/>
  <c r="M11083" i="3"/>
  <c r="L11083" i="3"/>
  <c r="J11083" i="3"/>
  <c r="K11083" i="3" s="1"/>
  <c r="H11083" i="3"/>
  <c r="G11083" i="3"/>
  <c r="M11082" i="3"/>
  <c r="L11082" i="3"/>
  <c r="J11082" i="3"/>
  <c r="K11082" i="3" s="1"/>
  <c r="H11082" i="3"/>
  <c r="G11082" i="3"/>
  <c r="M11081" i="3"/>
  <c r="L11081" i="3"/>
  <c r="J11081" i="3"/>
  <c r="K11081" i="3" s="1"/>
  <c r="H11081" i="3"/>
  <c r="G11081" i="3"/>
  <c r="M11080" i="3"/>
  <c r="L11080" i="3"/>
  <c r="J11080" i="3"/>
  <c r="K11080" i="3" s="1"/>
  <c r="H11080" i="3"/>
  <c r="G11080" i="3"/>
  <c r="M11079" i="3"/>
  <c r="L11079" i="3"/>
  <c r="J11079" i="3"/>
  <c r="K11079" i="3" s="1"/>
  <c r="H11079" i="3"/>
  <c r="G11079" i="3"/>
  <c r="M11078" i="3"/>
  <c r="L11078" i="3"/>
  <c r="J11078" i="3"/>
  <c r="K11078" i="3" s="1"/>
  <c r="H11078" i="3"/>
  <c r="G11078" i="3"/>
  <c r="M11077" i="3"/>
  <c r="L11077" i="3"/>
  <c r="J11077" i="3"/>
  <c r="K11077" i="3" s="1"/>
  <c r="H11077" i="3"/>
  <c r="G11077" i="3"/>
  <c r="M11076" i="3"/>
  <c r="L11076" i="3"/>
  <c r="J11076" i="3"/>
  <c r="K11076" i="3" s="1"/>
  <c r="H11076" i="3"/>
  <c r="G11076" i="3"/>
  <c r="M11075" i="3"/>
  <c r="L11075" i="3"/>
  <c r="J11075" i="3"/>
  <c r="K11075" i="3" s="1"/>
  <c r="H11075" i="3"/>
  <c r="G11075" i="3"/>
  <c r="M11074" i="3"/>
  <c r="L11074" i="3"/>
  <c r="J11074" i="3"/>
  <c r="K11074" i="3" s="1"/>
  <c r="H11074" i="3"/>
  <c r="G11074" i="3"/>
  <c r="M11073" i="3"/>
  <c r="L11073" i="3"/>
  <c r="J11073" i="3"/>
  <c r="K11073" i="3" s="1"/>
  <c r="H11073" i="3"/>
  <c r="G11073" i="3"/>
  <c r="L11072" i="3"/>
  <c r="J11072" i="3"/>
  <c r="K11072" i="3" s="1"/>
  <c r="H11072" i="3"/>
  <c r="G11072" i="3"/>
  <c r="M11071" i="3"/>
  <c r="L11071" i="3"/>
  <c r="J11071" i="3"/>
  <c r="K11071" i="3" s="1"/>
  <c r="H11071" i="3"/>
  <c r="G11071" i="3"/>
  <c r="M11070" i="3"/>
  <c r="L11070" i="3"/>
  <c r="J11070" i="3"/>
  <c r="K11070" i="3" s="1"/>
  <c r="H11070" i="3"/>
  <c r="G11070" i="3"/>
  <c r="M11069" i="3"/>
  <c r="L11069" i="3"/>
  <c r="J11069" i="3"/>
  <c r="K11069" i="3" s="1"/>
  <c r="H11069" i="3"/>
  <c r="G11069" i="3"/>
  <c r="M11068" i="3"/>
  <c r="L11068" i="3"/>
  <c r="J11068" i="3"/>
  <c r="K11068" i="3" s="1"/>
  <c r="H11068" i="3"/>
  <c r="G11068" i="3"/>
  <c r="M11067" i="3"/>
  <c r="J11067" i="3"/>
  <c r="K11067" i="3" s="1"/>
  <c r="H11067" i="3"/>
  <c r="G11067" i="3"/>
  <c r="M11066" i="3"/>
  <c r="L11066" i="3"/>
  <c r="J11066" i="3"/>
  <c r="K11066" i="3" s="1"/>
  <c r="H11066" i="3"/>
  <c r="G11066" i="3"/>
  <c r="S463" i="1"/>
  <c r="F463" i="1"/>
  <c r="X460" i="23"/>
  <c r="Z460" i="23"/>
  <c r="AA460" i="23"/>
  <c r="AB460" i="23"/>
  <c r="AE460" i="23"/>
  <c r="AH460" i="23"/>
  <c r="AM460" i="23"/>
  <c r="AO460" i="23"/>
  <c r="X461" i="23"/>
  <c r="Z461" i="23"/>
  <c r="AA461" i="23"/>
  <c r="AB461" i="23"/>
  <c r="AE461" i="23"/>
  <c r="AH461" i="23"/>
  <c r="AM461" i="23"/>
  <c r="AO461" i="23"/>
  <c r="X462" i="23"/>
  <c r="Z462" i="23"/>
  <c r="AA462" i="23"/>
  <c r="AB462" i="23"/>
  <c r="AE462" i="23"/>
  <c r="AH462" i="23"/>
  <c r="AM462" i="23"/>
  <c r="AO462" i="23"/>
  <c r="F462" i="23"/>
  <c r="F461" i="23"/>
  <c r="F460" i="23"/>
  <c r="M11065" i="3"/>
  <c r="L11065" i="3"/>
  <c r="J11065" i="3"/>
  <c r="K11065" i="3" s="1"/>
  <c r="H11065" i="3"/>
  <c r="G11065" i="3"/>
  <c r="M11064" i="3"/>
  <c r="L11064" i="3"/>
  <c r="J11064" i="3"/>
  <c r="K11064" i="3" s="1"/>
  <c r="H11064" i="3"/>
  <c r="G11064" i="3"/>
  <c r="M11063" i="3"/>
  <c r="L11063" i="3"/>
  <c r="J11063" i="3"/>
  <c r="K11063" i="3" s="1"/>
  <c r="H11063" i="3"/>
  <c r="G11063" i="3"/>
  <c r="M11062" i="3"/>
  <c r="L11062" i="3"/>
  <c r="J11062" i="3"/>
  <c r="K11062" i="3" s="1"/>
  <c r="H11062" i="3"/>
  <c r="G11062" i="3"/>
  <c r="M11061" i="3"/>
  <c r="L11061" i="3"/>
  <c r="J11061" i="3"/>
  <c r="K11061" i="3" s="1"/>
  <c r="H11061" i="3"/>
  <c r="G11061" i="3"/>
  <c r="M11060" i="3"/>
  <c r="L11060" i="3"/>
  <c r="J11060" i="3"/>
  <c r="K11060" i="3" s="1"/>
  <c r="H11060" i="3"/>
  <c r="G11060" i="3"/>
  <c r="M11059" i="3"/>
  <c r="L11059" i="3"/>
  <c r="J11059" i="3"/>
  <c r="K11059" i="3" s="1"/>
  <c r="H11059" i="3"/>
  <c r="G11059" i="3"/>
  <c r="M11058" i="3"/>
  <c r="L11058" i="3"/>
  <c r="J11058" i="3"/>
  <c r="K11058" i="3" s="1"/>
  <c r="H11058" i="3"/>
  <c r="G11058" i="3"/>
  <c r="M11057" i="3"/>
  <c r="L11057" i="3"/>
  <c r="J11057" i="3"/>
  <c r="K11057" i="3" s="1"/>
  <c r="H11057" i="3"/>
  <c r="G11057" i="3"/>
  <c r="M11056" i="3"/>
  <c r="L11056" i="3"/>
  <c r="J11056" i="3"/>
  <c r="K11056" i="3" s="1"/>
  <c r="H11056" i="3"/>
  <c r="G11056" i="3"/>
  <c r="M11055" i="3"/>
  <c r="L11055" i="3"/>
  <c r="J11055" i="3"/>
  <c r="K11055" i="3" s="1"/>
  <c r="H11055" i="3"/>
  <c r="I11055" i="3" s="1"/>
  <c r="G11055" i="3"/>
  <c r="M11054" i="3"/>
  <c r="L11054" i="3"/>
  <c r="J11054" i="3"/>
  <c r="K11054" i="3" s="1"/>
  <c r="H11054" i="3"/>
  <c r="G11054" i="3"/>
  <c r="M11053" i="3"/>
  <c r="L11053" i="3"/>
  <c r="J11053" i="3"/>
  <c r="K11053" i="3" s="1"/>
  <c r="H11053" i="3"/>
  <c r="G11053" i="3"/>
  <c r="M11052" i="3"/>
  <c r="L11052" i="3"/>
  <c r="J11052" i="3"/>
  <c r="K11052" i="3" s="1"/>
  <c r="H11052" i="3"/>
  <c r="G11052" i="3"/>
  <c r="M11051" i="3"/>
  <c r="L11051" i="3"/>
  <c r="J11051" i="3"/>
  <c r="K11051" i="3" s="1"/>
  <c r="H11051" i="3"/>
  <c r="I11051" i="3" s="1"/>
  <c r="G11051" i="3"/>
  <c r="M11050" i="3"/>
  <c r="L11050" i="3"/>
  <c r="J11050" i="3"/>
  <c r="K11050" i="3" s="1"/>
  <c r="H11050" i="3"/>
  <c r="G11050" i="3"/>
  <c r="M11049" i="3"/>
  <c r="L11049" i="3"/>
  <c r="J11049" i="3"/>
  <c r="K11049" i="3" s="1"/>
  <c r="H11049" i="3"/>
  <c r="G11049" i="3"/>
  <c r="M11048" i="3"/>
  <c r="L11048" i="3"/>
  <c r="J11048" i="3"/>
  <c r="K11048" i="3" s="1"/>
  <c r="H11048" i="3"/>
  <c r="G11048" i="3"/>
  <c r="M11047" i="3"/>
  <c r="L11047" i="3"/>
  <c r="J11047" i="3"/>
  <c r="K11047" i="3" s="1"/>
  <c r="H11047" i="3"/>
  <c r="I11047" i="3" s="1"/>
  <c r="G11047" i="3"/>
  <c r="M11046" i="3"/>
  <c r="L11046" i="3"/>
  <c r="K11046" i="3"/>
  <c r="J11046" i="3"/>
  <c r="H11046" i="3"/>
  <c r="G11046" i="3"/>
  <c r="M11045" i="3"/>
  <c r="L11045" i="3"/>
  <c r="J11045" i="3"/>
  <c r="K11045" i="3" s="1"/>
  <c r="H11045" i="3"/>
  <c r="I11045" i="3" s="1"/>
  <c r="G11045" i="3"/>
  <c r="M11044" i="3"/>
  <c r="L11044" i="3"/>
  <c r="K11044" i="3"/>
  <c r="J11044" i="3"/>
  <c r="H11044" i="3"/>
  <c r="G11044" i="3"/>
  <c r="M11043" i="3"/>
  <c r="L11043" i="3"/>
  <c r="J11043" i="3"/>
  <c r="K11043" i="3" s="1"/>
  <c r="H11043" i="3"/>
  <c r="G11043" i="3"/>
  <c r="M11042" i="3"/>
  <c r="L11042" i="3"/>
  <c r="J11042" i="3"/>
  <c r="K11042" i="3" s="1"/>
  <c r="H11042" i="3"/>
  <c r="G11042" i="3"/>
  <c r="S462" i="1"/>
  <c r="F462" i="1"/>
  <c r="AP477" i="23" l="1"/>
  <c r="AP476" i="23"/>
  <c r="AP475" i="23"/>
  <c r="AP474" i="23"/>
  <c r="AP478" i="23"/>
  <c r="AP479" i="23"/>
  <c r="AP480" i="23"/>
  <c r="AG497" i="23"/>
  <c r="Y497" i="23"/>
  <c r="AL504" i="23"/>
  <c r="AR484" i="23"/>
  <c r="C499" i="23"/>
  <c r="AC513" i="23" s="1"/>
  <c r="AD513" i="23" s="1"/>
  <c r="S498" i="23"/>
  <c r="AC512" i="23"/>
  <c r="AD512" i="23" s="1"/>
  <c r="AR483" i="23"/>
  <c r="AR482" i="23"/>
  <c r="AR481" i="23"/>
  <c r="AR485" i="23"/>
  <c r="AR486" i="23"/>
  <c r="AR487" i="23"/>
  <c r="E500" i="23"/>
  <c r="I11043" i="3"/>
  <c r="I11064" i="3"/>
  <c r="I11042" i="3"/>
  <c r="I11044" i="3"/>
  <c r="I11046" i="3"/>
  <c r="I11049" i="3"/>
  <c r="I11053" i="3"/>
  <c r="I11057" i="3"/>
  <c r="I11058" i="3"/>
  <c r="I11062" i="3"/>
  <c r="E486" i="1"/>
  <c r="E487" i="1" s="1"/>
  <c r="E488" i="1" s="1"/>
  <c r="E489" i="1" s="1"/>
  <c r="E490" i="1" s="1"/>
  <c r="E491" i="1" s="1"/>
  <c r="E492" i="1" s="1"/>
  <c r="E493" i="1" s="1"/>
  <c r="E494" i="1" s="1"/>
  <c r="AF473" i="23"/>
  <c r="AJ473" i="23" s="1"/>
  <c r="AK479" i="23"/>
  <c r="E466" i="23"/>
  <c r="AI470" i="23"/>
  <c r="AN470" i="23"/>
  <c r="AK477" i="23"/>
  <c r="AF471" i="23"/>
  <c r="AJ471" i="23" s="1"/>
  <c r="AI469" i="23"/>
  <c r="AN469" i="23"/>
  <c r="AN467" i="23"/>
  <c r="AI467" i="23"/>
  <c r="AK475" i="23"/>
  <c r="AF469" i="23"/>
  <c r="AJ469" i="23" s="1"/>
  <c r="AI468" i="23"/>
  <c r="AN468" i="23"/>
  <c r="AK473" i="23"/>
  <c r="AF467" i="23"/>
  <c r="AJ467" i="23" s="1"/>
  <c r="AI472" i="23"/>
  <c r="AN472" i="23"/>
  <c r="Y455" i="23"/>
  <c r="AN473" i="23"/>
  <c r="AI473" i="23"/>
  <c r="AK474" i="23"/>
  <c r="AF468" i="23"/>
  <c r="AJ468" i="23" s="1"/>
  <c r="AK476" i="23"/>
  <c r="AF470" i="23"/>
  <c r="AJ470" i="23" s="1"/>
  <c r="AI471" i="23"/>
  <c r="AN471" i="23"/>
  <c r="AK478" i="23"/>
  <c r="AF472" i="23"/>
  <c r="AJ472" i="23" s="1"/>
  <c r="I11061" i="3"/>
  <c r="I11065" i="3"/>
  <c r="I11059" i="3"/>
  <c r="I11060" i="3"/>
  <c r="I11063" i="3"/>
  <c r="I11050" i="3"/>
  <c r="I11054" i="3"/>
  <c r="I11116" i="3"/>
  <c r="I11120" i="3"/>
  <c r="I11124" i="3"/>
  <c r="I11128" i="3"/>
  <c r="I11132" i="3"/>
  <c r="I11136" i="3"/>
  <c r="I11048" i="3"/>
  <c r="I11052" i="3"/>
  <c r="I11056" i="3"/>
  <c r="I11114" i="3"/>
  <c r="I11118" i="3"/>
  <c r="I11122" i="3"/>
  <c r="I11126" i="3"/>
  <c r="I11130" i="3"/>
  <c r="I11134" i="3"/>
  <c r="I11137" i="3"/>
  <c r="I11089" i="3"/>
  <c r="I11086" i="3"/>
  <c r="I11113" i="3"/>
  <c r="E34" i="35"/>
  <c r="F33" i="35"/>
  <c r="I11138" i="3"/>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I11115" i="3"/>
  <c r="I11117" i="3"/>
  <c r="I11119" i="3"/>
  <c r="I11121" i="3"/>
  <c r="I11123" i="3"/>
  <c r="I11125" i="3"/>
  <c r="I11127" i="3"/>
  <c r="I11129" i="3"/>
  <c r="I11131" i="3"/>
  <c r="I11133" i="3"/>
  <c r="I11135" i="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M11041" i="3"/>
  <c r="L11041" i="3"/>
  <c r="J11041" i="3"/>
  <c r="K11041" i="3" s="1"/>
  <c r="H11041" i="3"/>
  <c r="G11041" i="3"/>
  <c r="M11040" i="3"/>
  <c r="L11040" i="3"/>
  <c r="J11040" i="3"/>
  <c r="K11040" i="3" s="1"/>
  <c r="H11040" i="3"/>
  <c r="G11040" i="3"/>
  <c r="M11039" i="3"/>
  <c r="L11039" i="3"/>
  <c r="J11039" i="3"/>
  <c r="K11039" i="3" s="1"/>
  <c r="H11039" i="3"/>
  <c r="G11039" i="3"/>
  <c r="M11038" i="3"/>
  <c r="L11038" i="3"/>
  <c r="J11038" i="3"/>
  <c r="K11038" i="3" s="1"/>
  <c r="H11038" i="3"/>
  <c r="G11038" i="3"/>
  <c r="M11037" i="3"/>
  <c r="L11037" i="3"/>
  <c r="J11037" i="3"/>
  <c r="K11037" i="3" s="1"/>
  <c r="H11037" i="3"/>
  <c r="G11037" i="3"/>
  <c r="M11036" i="3"/>
  <c r="L11036" i="3"/>
  <c r="J11036" i="3"/>
  <c r="K11036" i="3" s="1"/>
  <c r="H11036" i="3"/>
  <c r="G11036" i="3"/>
  <c r="M11035" i="3"/>
  <c r="L11035" i="3"/>
  <c r="J11035" i="3"/>
  <c r="K11035" i="3" s="1"/>
  <c r="H11035" i="3"/>
  <c r="G11035" i="3"/>
  <c r="M11034" i="3"/>
  <c r="L11034" i="3"/>
  <c r="J11034" i="3"/>
  <c r="K11034" i="3" s="1"/>
  <c r="H11034" i="3"/>
  <c r="G11034" i="3"/>
  <c r="M11033" i="3"/>
  <c r="L11033" i="3"/>
  <c r="J11033" i="3"/>
  <c r="K11033" i="3" s="1"/>
  <c r="H11033" i="3"/>
  <c r="G11033" i="3"/>
  <c r="M11032" i="3"/>
  <c r="L11032" i="3"/>
  <c r="J11032" i="3"/>
  <c r="K11032" i="3" s="1"/>
  <c r="H11032" i="3"/>
  <c r="G11032" i="3"/>
  <c r="M11031" i="3"/>
  <c r="L11031" i="3"/>
  <c r="J11031" i="3"/>
  <c r="K11031" i="3" s="1"/>
  <c r="H11031" i="3"/>
  <c r="G11031" i="3"/>
  <c r="M11030" i="3"/>
  <c r="L11030" i="3"/>
  <c r="J11030" i="3"/>
  <c r="K11030" i="3" s="1"/>
  <c r="H11030" i="3"/>
  <c r="G11030" i="3"/>
  <c r="M11029" i="3"/>
  <c r="L11029" i="3"/>
  <c r="J11029" i="3"/>
  <c r="K11029" i="3" s="1"/>
  <c r="H11029" i="3"/>
  <c r="G11029" i="3"/>
  <c r="M11028" i="3"/>
  <c r="L11028" i="3"/>
  <c r="J11028" i="3"/>
  <c r="K11028" i="3" s="1"/>
  <c r="H11028" i="3"/>
  <c r="G11028" i="3"/>
  <c r="M11027" i="3"/>
  <c r="L11027" i="3"/>
  <c r="J11027" i="3"/>
  <c r="K11027" i="3" s="1"/>
  <c r="H11027" i="3"/>
  <c r="G11027" i="3"/>
  <c r="M11026" i="3"/>
  <c r="L11026" i="3"/>
  <c r="J11026" i="3"/>
  <c r="K11026" i="3" s="1"/>
  <c r="H11026" i="3"/>
  <c r="G11026" i="3"/>
  <c r="M11025" i="3"/>
  <c r="L11025" i="3"/>
  <c r="J11025" i="3"/>
  <c r="K11025" i="3" s="1"/>
  <c r="H11025" i="3"/>
  <c r="G11025" i="3"/>
  <c r="M11024" i="3"/>
  <c r="L11024" i="3"/>
  <c r="J11024" i="3"/>
  <c r="K11024" i="3" s="1"/>
  <c r="H11024" i="3"/>
  <c r="G11024" i="3"/>
  <c r="M11023" i="3"/>
  <c r="L11023" i="3"/>
  <c r="J11023" i="3"/>
  <c r="K11023" i="3" s="1"/>
  <c r="H11023" i="3"/>
  <c r="G11023" i="3"/>
  <c r="M11022" i="3"/>
  <c r="L11022" i="3"/>
  <c r="J11022" i="3"/>
  <c r="K11022" i="3" s="1"/>
  <c r="H11022" i="3"/>
  <c r="G11022" i="3"/>
  <c r="M11021" i="3"/>
  <c r="L11021" i="3"/>
  <c r="J11021" i="3"/>
  <c r="K11021" i="3" s="1"/>
  <c r="H11021" i="3"/>
  <c r="G11021" i="3"/>
  <c r="M11020" i="3"/>
  <c r="L11020" i="3"/>
  <c r="J11020" i="3"/>
  <c r="K11020" i="3" s="1"/>
  <c r="H11020" i="3"/>
  <c r="G11020" i="3"/>
  <c r="M11019" i="3"/>
  <c r="L11019" i="3"/>
  <c r="J11019" i="3"/>
  <c r="K11019" i="3" s="1"/>
  <c r="H11019" i="3"/>
  <c r="G11019" i="3"/>
  <c r="M11018" i="3"/>
  <c r="L11018" i="3"/>
  <c r="J11018" i="3"/>
  <c r="K11018" i="3" s="1"/>
  <c r="H11018" i="3"/>
  <c r="G11018" i="3"/>
  <c r="S461" i="1"/>
  <c r="F461" i="1"/>
  <c r="M11017" i="3"/>
  <c r="L11017" i="3"/>
  <c r="J11017" i="3"/>
  <c r="K11017" i="3" s="1"/>
  <c r="H11017" i="3"/>
  <c r="G11017" i="3"/>
  <c r="M11016" i="3"/>
  <c r="L11016" i="3"/>
  <c r="J11016" i="3"/>
  <c r="K11016" i="3" s="1"/>
  <c r="H11016" i="3"/>
  <c r="G11016" i="3"/>
  <c r="M11015" i="3"/>
  <c r="L11015" i="3"/>
  <c r="J11015" i="3"/>
  <c r="K11015" i="3" s="1"/>
  <c r="H11015" i="3"/>
  <c r="G11015" i="3"/>
  <c r="M11014" i="3"/>
  <c r="L11014" i="3"/>
  <c r="J11014" i="3"/>
  <c r="K11014" i="3" s="1"/>
  <c r="H11014" i="3"/>
  <c r="G11014" i="3"/>
  <c r="M11013" i="3"/>
  <c r="L11013" i="3"/>
  <c r="J11013" i="3"/>
  <c r="K11013" i="3" s="1"/>
  <c r="H11013" i="3"/>
  <c r="G11013" i="3"/>
  <c r="M11012" i="3"/>
  <c r="L11012" i="3"/>
  <c r="J11012" i="3"/>
  <c r="K11012" i="3" s="1"/>
  <c r="H11012" i="3"/>
  <c r="G11012" i="3"/>
  <c r="M11011" i="3"/>
  <c r="L11011" i="3"/>
  <c r="J11011" i="3"/>
  <c r="K11011" i="3" s="1"/>
  <c r="H11011" i="3"/>
  <c r="G11011" i="3"/>
  <c r="M11010" i="3"/>
  <c r="L11010" i="3"/>
  <c r="J11010" i="3"/>
  <c r="K11010" i="3" s="1"/>
  <c r="H11010" i="3"/>
  <c r="G11010" i="3"/>
  <c r="I11010" i="3" s="1"/>
  <c r="M11009" i="3"/>
  <c r="L11009" i="3"/>
  <c r="J11009" i="3"/>
  <c r="K11009" i="3" s="1"/>
  <c r="H11009" i="3"/>
  <c r="G11009" i="3"/>
  <c r="M11008" i="3"/>
  <c r="L11008" i="3"/>
  <c r="J11008" i="3"/>
  <c r="K11008" i="3" s="1"/>
  <c r="H11008" i="3"/>
  <c r="G11008" i="3"/>
  <c r="M11007" i="3"/>
  <c r="L11007" i="3"/>
  <c r="J11007" i="3"/>
  <c r="K11007" i="3" s="1"/>
  <c r="H11007" i="3"/>
  <c r="G11007" i="3"/>
  <c r="M11006" i="3"/>
  <c r="L11006" i="3"/>
  <c r="J11006" i="3"/>
  <c r="K11006" i="3" s="1"/>
  <c r="H11006" i="3"/>
  <c r="G11006" i="3"/>
  <c r="I11006" i="3" s="1"/>
  <c r="M11005" i="3"/>
  <c r="L11005" i="3"/>
  <c r="J11005" i="3"/>
  <c r="K11005" i="3" s="1"/>
  <c r="H11005" i="3"/>
  <c r="G11005" i="3"/>
  <c r="M11004" i="3"/>
  <c r="L11004" i="3"/>
  <c r="J11004" i="3"/>
  <c r="K11004" i="3" s="1"/>
  <c r="H11004" i="3"/>
  <c r="G11004" i="3"/>
  <c r="M11003" i="3"/>
  <c r="L11003" i="3"/>
  <c r="J11003" i="3"/>
  <c r="K11003" i="3" s="1"/>
  <c r="H11003" i="3"/>
  <c r="G11003" i="3"/>
  <c r="M11002" i="3"/>
  <c r="L11002" i="3"/>
  <c r="J11002" i="3"/>
  <c r="K11002" i="3" s="1"/>
  <c r="H11002" i="3"/>
  <c r="G11002" i="3"/>
  <c r="I11002" i="3" s="1"/>
  <c r="M11001" i="3"/>
  <c r="L11001" i="3"/>
  <c r="J11001" i="3"/>
  <c r="K11001" i="3" s="1"/>
  <c r="H11001" i="3"/>
  <c r="G11001" i="3"/>
  <c r="M11000" i="3"/>
  <c r="L11000" i="3"/>
  <c r="J11000" i="3"/>
  <c r="K11000" i="3" s="1"/>
  <c r="H11000" i="3"/>
  <c r="G11000" i="3"/>
  <c r="M10999" i="3"/>
  <c r="L10999" i="3"/>
  <c r="J10999" i="3"/>
  <c r="K10999" i="3" s="1"/>
  <c r="H10999" i="3"/>
  <c r="G10999" i="3"/>
  <c r="M10998" i="3"/>
  <c r="L10998" i="3"/>
  <c r="J10998" i="3"/>
  <c r="K10998" i="3" s="1"/>
  <c r="H10998" i="3"/>
  <c r="G10998" i="3"/>
  <c r="I10998" i="3" s="1"/>
  <c r="M10997" i="3"/>
  <c r="L10997" i="3"/>
  <c r="J10997" i="3"/>
  <c r="K10997" i="3" s="1"/>
  <c r="H10997" i="3"/>
  <c r="G10997" i="3"/>
  <c r="M10996" i="3"/>
  <c r="L10996" i="3"/>
  <c r="J10996" i="3"/>
  <c r="K10996" i="3" s="1"/>
  <c r="H10996" i="3"/>
  <c r="G10996" i="3"/>
  <c r="M10995" i="3"/>
  <c r="L10995" i="3"/>
  <c r="J10995" i="3"/>
  <c r="K10995" i="3" s="1"/>
  <c r="H10995" i="3"/>
  <c r="G10995" i="3"/>
  <c r="M10994" i="3"/>
  <c r="L10994" i="3"/>
  <c r="J10994" i="3"/>
  <c r="K10994" i="3" s="1"/>
  <c r="H10994" i="3"/>
  <c r="G10994" i="3"/>
  <c r="I10994" i="3" s="1"/>
  <c r="M457" i="1"/>
  <c r="M458" i="1"/>
  <c r="M459" i="1"/>
  <c r="S460" i="1"/>
  <c r="F460" i="1"/>
  <c r="M10970" i="3"/>
  <c r="X459" i="23"/>
  <c r="Z459" i="23"/>
  <c r="AA459" i="23"/>
  <c r="AB459" i="23"/>
  <c r="AE459" i="23"/>
  <c r="AH459" i="23"/>
  <c r="AM459" i="23"/>
  <c r="AO459" i="23"/>
  <c r="F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X458" i="23"/>
  <c r="Z458" i="23"/>
  <c r="AA458" i="23"/>
  <c r="AB458" i="23"/>
  <c r="AE458" i="23"/>
  <c r="AM458" i="23"/>
  <c r="AO458" i="23"/>
  <c r="F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M10965" i="3"/>
  <c r="L10965" i="3"/>
  <c r="J10965" i="3"/>
  <c r="K10965" i="3" s="1"/>
  <c r="H10965" i="3"/>
  <c r="G10965" i="3"/>
  <c r="M10964" i="3"/>
  <c r="L10964" i="3"/>
  <c r="J10964" i="3"/>
  <c r="K10964" i="3" s="1"/>
  <c r="H10964" i="3"/>
  <c r="G10964" i="3"/>
  <c r="M10963" i="3"/>
  <c r="L10963" i="3"/>
  <c r="J10963" i="3"/>
  <c r="K10963" i="3" s="1"/>
  <c r="H10963" i="3"/>
  <c r="G10963" i="3"/>
  <c r="M10962" i="3"/>
  <c r="L10962" i="3"/>
  <c r="J10962" i="3"/>
  <c r="K10962" i="3" s="1"/>
  <c r="H10962" i="3"/>
  <c r="G10962" i="3"/>
  <c r="M10961" i="3"/>
  <c r="L10961" i="3"/>
  <c r="J10961" i="3"/>
  <c r="K10961" i="3" s="1"/>
  <c r="H10961" i="3"/>
  <c r="G10961" i="3"/>
  <c r="M10960" i="3"/>
  <c r="L10960" i="3"/>
  <c r="J10960" i="3"/>
  <c r="K10960" i="3" s="1"/>
  <c r="H10960" i="3"/>
  <c r="G10960" i="3"/>
  <c r="M10959" i="3"/>
  <c r="L10959" i="3"/>
  <c r="J10959" i="3"/>
  <c r="K10959" i="3" s="1"/>
  <c r="H10959" i="3"/>
  <c r="G10959" i="3"/>
  <c r="M10958" i="3"/>
  <c r="L10958" i="3"/>
  <c r="J10958" i="3"/>
  <c r="K10958" i="3" s="1"/>
  <c r="H10958" i="3"/>
  <c r="G10958" i="3"/>
  <c r="M10957" i="3"/>
  <c r="L10957" i="3"/>
  <c r="J10957" i="3"/>
  <c r="K10957" i="3" s="1"/>
  <c r="H10957" i="3"/>
  <c r="G10957" i="3"/>
  <c r="I10957" i="3" s="1"/>
  <c r="M10956" i="3"/>
  <c r="L10956" i="3"/>
  <c r="J10956" i="3"/>
  <c r="K10956" i="3" s="1"/>
  <c r="H10956" i="3"/>
  <c r="G10956" i="3"/>
  <c r="M10955" i="3"/>
  <c r="L10955" i="3"/>
  <c r="J10955" i="3"/>
  <c r="K10955" i="3" s="1"/>
  <c r="H10955" i="3"/>
  <c r="G10955" i="3"/>
  <c r="M10954" i="3"/>
  <c r="L10954" i="3"/>
  <c r="J10954" i="3"/>
  <c r="K10954" i="3" s="1"/>
  <c r="H10954" i="3"/>
  <c r="G10954" i="3"/>
  <c r="M10953" i="3"/>
  <c r="L10953" i="3"/>
  <c r="J10953" i="3"/>
  <c r="K10953" i="3" s="1"/>
  <c r="H10953" i="3"/>
  <c r="G10953" i="3"/>
  <c r="M10952" i="3"/>
  <c r="L10952" i="3"/>
  <c r="J10952" i="3"/>
  <c r="K10952" i="3" s="1"/>
  <c r="H10952" i="3"/>
  <c r="G10952" i="3"/>
  <c r="M10951" i="3"/>
  <c r="L10951" i="3"/>
  <c r="J10951" i="3"/>
  <c r="K10951" i="3" s="1"/>
  <c r="H10951" i="3"/>
  <c r="G10951" i="3"/>
  <c r="M10950" i="3"/>
  <c r="L10950" i="3"/>
  <c r="J10950" i="3"/>
  <c r="K10950" i="3" s="1"/>
  <c r="H10950" i="3"/>
  <c r="G10950" i="3"/>
  <c r="M10949" i="3"/>
  <c r="L10949" i="3"/>
  <c r="J10949" i="3"/>
  <c r="K10949" i="3" s="1"/>
  <c r="H10949" i="3"/>
  <c r="G10949" i="3"/>
  <c r="M10948" i="3"/>
  <c r="L10948" i="3"/>
  <c r="J10948" i="3"/>
  <c r="K10948" i="3" s="1"/>
  <c r="H10948" i="3"/>
  <c r="G10948" i="3"/>
  <c r="M10947" i="3"/>
  <c r="L10947" i="3"/>
  <c r="J10947" i="3"/>
  <c r="K10947" i="3" s="1"/>
  <c r="H10947" i="3"/>
  <c r="G10947" i="3"/>
  <c r="M10946" i="3"/>
  <c r="L10946" i="3"/>
  <c r="J10946" i="3"/>
  <c r="K10946" i="3" s="1"/>
  <c r="H10946" i="3"/>
  <c r="G10946" i="3"/>
  <c r="F458" i="1"/>
  <c r="AL505" i="23" l="1"/>
  <c r="AG498" i="23"/>
  <c r="Y498" i="23"/>
  <c r="AI466" i="23"/>
  <c r="C500" i="23"/>
  <c r="S499" i="23"/>
  <c r="AP472" i="23"/>
  <c r="AR480" i="23"/>
  <c r="E501" i="23"/>
  <c r="AC514" i="23"/>
  <c r="AD514" i="23" s="1"/>
  <c r="AP473" i="23"/>
  <c r="AI465" i="23"/>
  <c r="E495" i="1"/>
  <c r="I11001" i="3"/>
  <c r="AF465" i="23"/>
  <c r="AJ465" i="23" s="1"/>
  <c r="AR479" i="23"/>
  <c r="AK472" i="23"/>
  <c r="AF466" i="23"/>
  <c r="AJ466" i="23" s="1"/>
  <c r="AN465" i="23"/>
  <c r="E467" i="23"/>
  <c r="AK471" i="23"/>
  <c r="AN466" i="23"/>
  <c r="I10948" i="3"/>
  <c r="I10952" i="3"/>
  <c r="I10966" i="3"/>
  <c r="I11014" i="3"/>
  <c r="I10999" i="3"/>
  <c r="I11007" i="3"/>
  <c r="I11015" i="3"/>
  <c r="I10950" i="3"/>
  <c r="I11000" i="3"/>
  <c r="I11008" i="3"/>
  <c r="I11016" i="3"/>
  <c r="I11009" i="3"/>
  <c r="I10954" i="3"/>
  <c r="I10958" i="3"/>
  <c r="I10961" i="3"/>
  <c r="I10964" i="3"/>
  <c r="I10996" i="3"/>
  <c r="I11003" i="3"/>
  <c r="I11005" i="3"/>
  <c r="I11012" i="3"/>
  <c r="I10949" i="3"/>
  <c r="I10956" i="3"/>
  <c r="I10995" i="3"/>
  <c r="I10997" i="3"/>
  <c r="I11004" i="3"/>
  <c r="I11011" i="3"/>
  <c r="I11013" i="3"/>
  <c r="I11018" i="3"/>
  <c r="I11020" i="3"/>
  <c r="I11022" i="3"/>
  <c r="I11024" i="3"/>
  <c r="I11026" i="3"/>
  <c r="I11028" i="3"/>
  <c r="E35" i="35"/>
  <c r="F34" i="35"/>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E22" i="23"/>
  <c r="AP22" i="23" s="1"/>
  <c r="AE23" i="23"/>
  <c r="AP23" i="23" s="1"/>
  <c r="AE24" i="23"/>
  <c r="AP24" i="23" s="1"/>
  <c r="AE25" i="23"/>
  <c r="AP25" i="23" s="1"/>
  <c r="AE26" i="23"/>
  <c r="AP26" i="23" s="1"/>
  <c r="AE27" i="23"/>
  <c r="AP27" i="23" s="1"/>
  <c r="AE28" i="23"/>
  <c r="AP28" i="23" s="1"/>
  <c r="AE29" i="23"/>
  <c r="AP29" i="23" s="1"/>
  <c r="AE30" i="23"/>
  <c r="AP30" i="23" s="1"/>
  <c r="AE31" i="23"/>
  <c r="AP31" i="23" s="1"/>
  <c r="AE32" i="23"/>
  <c r="AP32" i="23" s="1"/>
  <c r="AE33" i="23"/>
  <c r="AP33" i="23" s="1"/>
  <c r="AE34" i="23"/>
  <c r="AP34" i="23" s="1"/>
  <c r="AE35" i="23"/>
  <c r="AP35" i="23" s="1"/>
  <c r="AE36" i="23"/>
  <c r="AP36" i="23" s="1"/>
  <c r="AE37" i="23"/>
  <c r="AE38" i="23"/>
  <c r="AE39" i="23"/>
  <c r="AP39" i="23" s="1"/>
  <c r="AE40" i="23"/>
  <c r="AP40" i="23" s="1"/>
  <c r="AE41" i="23"/>
  <c r="AE42" i="23"/>
  <c r="AE43" i="23"/>
  <c r="AP43" i="23" s="1"/>
  <c r="AE44" i="23"/>
  <c r="AP44" i="23" s="1"/>
  <c r="AE45" i="23"/>
  <c r="AE46" i="23"/>
  <c r="AE47" i="23"/>
  <c r="AP47" i="23" s="1"/>
  <c r="AE48" i="23"/>
  <c r="AP48" i="23" s="1"/>
  <c r="AE49" i="23"/>
  <c r="AE50" i="23"/>
  <c r="AE51" i="23"/>
  <c r="AP51" i="23" s="1"/>
  <c r="AE52" i="23"/>
  <c r="AP52" i="23" s="1"/>
  <c r="AE53" i="23"/>
  <c r="AE54" i="23"/>
  <c r="AE55" i="23"/>
  <c r="AP55" i="23" s="1"/>
  <c r="AE56" i="23"/>
  <c r="AP56" i="23" s="1"/>
  <c r="AE57" i="23"/>
  <c r="AE58" i="23"/>
  <c r="AE59" i="23"/>
  <c r="AP59" i="23" s="1"/>
  <c r="AE60" i="23"/>
  <c r="AP60" i="23" s="1"/>
  <c r="AE61" i="23"/>
  <c r="AE62" i="23"/>
  <c r="AE63" i="23"/>
  <c r="AP63" i="23" s="1"/>
  <c r="AE64" i="23"/>
  <c r="AP64" i="23" s="1"/>
  <c r="AE65" i="23"/>
  <c r="AE66" i="23"/>
  <c r="AE67" i="23"/>
  <c r="AP67" i="23" s="1"/>
  <c r="AE68" i="23"/>
  <c r="AP68" i="23" s="1"/>
  <c r="AE69" i="23"/>
  <c r="AE70" i="23"/>
  <c r="AE71" i="23"/>
  <c r="AP71" i="23" s="1"/>
  <c r="AE72" i="23"/>
  <c r="AP72" i="23" s="1"/>
  <c r="AE73" i="23"/>
  <c r="AE74" i="23"/>
  <c r="AE75" i="23"/>
  <c r="AP75" i="23" s="1"/>
  <c r="AE76" i="23"/>
  <c r="AP76" i="23" s="1"/>
  <c r="AE77" i="23"/>
  <c r="AE78" i="23"/>
  <c r="AE79" i="23"/>
  <c r="AP79" i="23" s="1"/>
  <c r="AE80" i="23"/>
  <c r="AP80" i="23" s="1"/>
  <c r="AE81" i="23"/>
  <c r="AE82" i="23"/>
  <c r="AE83" i="23"/>
  <c r="AP83" i="23" s="1"/>
  <c r="AE84" i="23"/>
  <c r="AP84" i="23" s="1"/>
  <c r="AE85" i="23"/>
  <c r="AE86" i="23"/>
  <c r="AE87" i="23"/>
  <c r="AP87" i="23" s="1"/>
  <c r="AE88" i="23"/>
  <c r="AP88" i="23" s="1"/>
  <c r="AE89" i="23"/>
  <c r="AE90" i="23"/>
  <c r="AE91" i="23"/>
  <c r="AP91" i="23" s="1"/>
  <c r="AE92" i="23"/>
  <c r="AP92" i="23" s="1"/>
  <c r="AE93" i="23"/>
  <c r="AE94" i="23"/>
  <c r="AE95" i="23"/>
  <c r="AP95" i="23" s="1"/>
  <c r="AE96" i="23"/>
  <c r="AP96" i="23" s="1"/>
  <c r="AE97" i="23"/>
  <c r="AE98" i="23"/>
  <c r="AE99" i="23"/>
  <c r="AP99" i="23" s="1"/>
  <c r="AE100" i="23"/>
  <c r="AP100" i="23" s="1"/>
  <c r="AE101" i="23"/>
  <c r="AE102" i="23"/>
  <c r="AE103" i="23"/>
  <c r="AP103" i="23" s="1"/>
  <c r="AE104" i="23"/>
  <c r="AP104" i="23" s="1"/>
  <c r="AE105" i="23"/>
  <c r="AE106" i="23"/>
  <c r="AE107" i="23"/>
  <c r="AP107" i="23" s="1"/>
  <c r="AE108" i="23"/>
  <c r="AP108" i="23" s="1"/>
  <c r="AE109" i="23"/>
  <c r="AE110" i="23"/>
  <c r="AE111" i="23"/>
  <c r="AP111" i="23" s="1"/>
  <c r="AE112" i="23"/>
  <c r="AP112" i="23" s="1"/>
  <c r="AE113" i="23"/>
  <c r="AE114" i="23"/>
  <c r="AE115" i="23"/>
  <c r="AP115" i="23" s="1"/>
  <c r="AE116" i="23"/>
  <c r="AP116" i="23" s="1"/>
  <c r="AE117" i="23"/>
  <c r="AE118" i="23"/>
  <c r="AE119" i="23"/>
  <c r="AP119" i="23" s="1"/>
  <c r="AE120" i="23"/>
  <c r="AP120" i="23" s="1"/>
  <c r="AE121" i="23"/>
  <c r="AE122" i="23"/>
  <c r="AE123" i="23"/>
  <c r="AP123" i="23" s="1"/>
  <c r="AE124" i="23"/>
  <c r="AP124" i="23" s="1"/>
  <c r="AE125" i="23"/>
  <c r="AE126" i="23"/>
  <c r="AE127" i="23"/>
  <c r="AP127" i="23" s="1"/>
  <c r="AE128" i="23"/>
  <c r="AP128" i="23" s="1"/>
  <c r="AE129" i="23"/>
  <c r="AE130" i="23"/>
  <c r="AE131" i="23"/>
  <c r="AP131" i="23" s="1"/>
  <c r="AE132" i="23"/>
  <c r="AP132" i="23" s="1"/>
  <c r="AE133" i="23"/>
  <c r="AE134" i="23"/>
  <c r="AE135" i="23"/>
  <c r="AE136" i="23"/>
  <c r="AP136" i="23" s="1"/>
  <c r="AE137" i="23"/>
  <c r="AE138" i="23"/>
  <c r="AE153" i="23"/>
  <c r="AE154" i="23"/>
  <c r="AE155" i="23"/>
  <c r="AE156" i="23"/>
  <c r="AE157" i="23"/>
  <c r="AE158" i="23"/>
  <c r="AE159" i="23"/>
  <c r="AE160" i="23"/>
  <c r="AE161" i="23"/>
  <c r="AE162" i="23"/>
  <c r="AE163" i="23"/>
  <c r="AE164" i="23"/>
  <c r="AE165" i="23"/>
  <c r="AE166" i="23"/>
  <c r="AE167" i="23"/>
  <c r="AE168" i="23"/>
  <c r="AE169" i="23"/>
  <c r="AE170" i="23"/>
  <c r="AP170" i="23" s="1"/>
  <c r="AE171" i="23"/>
  <c r="AE172" i="23"/>
  <c r="AE173" i="23"/>
  <c r="AE174" i="23"/>
  <c r="AP174" i="23" s="1"/>
  <c r="AE175" i="23"/>
  <c r="AE176" i="23"/>
  <c r="AE177" i="23"/>
  <c r="AE178" i="23"/>
  <c r="AP178" i="23" s="1"/>
  <c r="AE179" i="23"/>
  <c r="AE180" i="23"/>
  <c r="AE181" i="23"/>
  <c r="AE182" i="23"/>
  <c r="AP182" i="23" s="1"/>
  <c r="AE183" i="23"/>
  <c r="AE184" i="23"/>
  <c r="AE185" i="23"/>
  <c r="AE186" i="23"/>
  <c r="AP186" i="23" s="1"/>
  <c r="AE187" i="23"/>
  <c r="AE188" i="23"/>
  <c r="AE189" i="23"/>
  <c r="AE190" i="23"/>
  <c r="AP190" i="23" s="1"/>
  <c r="AE191" i="23"/>
  <c r="AE192" i="23"/>
  <c r="AE193" i="23"/>
  <c r="AE194" i="23"/>
  <c r="AP194" i="23" s="1"/>
  <c r="AE457" i="23"/>
  <c r="X457" i="23"/>
  <c r="Z457" i="23"/>
  <c r="AA457" i="23"/>
  <c r="AB457" i="23"/>
  <c r="AH457" i="23"/>
  <c r="AM457" i="23"/>
  <c r="AO457" i="23"/>
  <c r="F457" i="23"/>
  <c r="AA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E502" i="23" l="1"/>
  <c r="AN464" i="23"/>
  <c r="AP471" i="23"/>
  <c r="AP187" i="23"/>
  <c r="AP167" i="23"/>
  <c r="AP137" i="23"/>
  <c r="AP133" i="23"/>
  <c r="AP129" i="23"/>
  <c r="AP125" i="23"/>
  <c r="AP121" i="23"/>
  <c r="AP117" i="23"/>
  <c r="AP113" i="23"/>
  <c r="AP109" i="23"/>
  <c r="AP105" i="23"/>
  <c r="AP101" i="23"/>
  <c r="AP97" i="23"/>
  <c r="AP93" i="23"/>
  <c r="AP89" i="23"/>
  <c r="AP85" i="23"/>
  <c r="AP81" i="23"/>
  <c r="AP77" i="23"/>
  <c r="AP73" i="23"/>
  <c r="AP69" i="23"/>
  <c r="AP65" i="23"/>
  <c r="AP61" i="23"/>
  <c r="AP57" i="23"/>
  <c r="AP53" i="23"/>
  <c r="AP49" i="23"/>
  <c r="AP45" i="23"/>
  <c r="AP41" i="23"/>
  <c r="AP37" i="23"/>
  <c r="AL506" i="23"/>
  <c r="Y499" i="23"/>
  <c r="AG499" i="23"/>
  <c r="C501" i="23"/>
  <c r="S500" i="23"/>
  <c r="AP193" i="23"/>
  <c r="AP189" i="23"/>
  <c r="AP185" i="23"/>
  <c r="AP181" i="23"/>
  <c r="AP177" i="23"/>
  <c r="AP173" i="23"/>
  <c r="AP169" i="23"/>
  <c r="AP135" i="23"/>
  <c r="AP192" i="23"/>
  <c r="AP188" i="23"/>
  <c r="AP184" i="23"/>
  <c r="AP180" i="23"/>
  <c r="AP176" i="23"/>
  <c r="AP172" i="23"/>
  <c r="AP168" i="23"/>
  <c r="AP138" i="23"/>
  <c r="AP134" i="23"/>
  <c r="AP130" i="23"/>
  <c r="AP126" i="23"/>
  <c r="AP122" i="23"/>
  <c r="AP118" i="23"/>
  <c r="AP114" i="23"/>
  <c r="AP110" i="23"/>
  <c r="AP106" i="23"/>
  <c r="AP102" i="23"/>
  <c r="AP98" i="23"/>
  <c r="AP94" i="23"/>
  <c r="AP90" i="23"/>
  <c r="AP86" i="23"/>
  <c r="AP82" i="23"/>
  <c r="AP78" i="23"/>
  <c r="AP74" i="23"/>
  <c r="AP70" i="23"/>
  <c r="AP66" i="23"/>
  <c r="AP62" i="23"/>
  <c r="AP58" i="23"/>
  <c r="AP54" i="23"/>
  <c r="AP50" i="23"/>
  <c r="AP46" i="23"/>
  <c r="AP42" i="23"/>
  <c r="AP38" i="23"/>
  <c r="AP191" i="23"/>
  <c r="AP183" i="23"/>
  <c r="AP179" i="23"/>
  <c r="AP175" i="23"/>
  <c r="AP171" i="23"/>
  <c r="E496" i="1"/>
  <c r="E497" i="1" s="1"/>
  <c r="AR477" i="23"/>
  <c r="AK469" i="23"/>
  <c r="AF463" i="23"/>
  <c r="AJ463" i="23" s="1"/>
  <c r="AI464" i="23"/>
  <c r="AR478" i="23"/>
  <c r="AK470" i="23"/>
  <c r="AF464" i="23"/>
  <c r="AJ464" i="23" s="1"/>
  <c r="E468" i="23"/>
  <c r="E36" i="35"/>
  <c r="F35" i="35"/>
  <c r="I10941" i="3"/>
  <c r="I10945" i="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E503" i="23" l="1"/>
  <c r="AL507" i="23"/>
  <c r="AG500" i="23"/>
  <c r="Y500" i="23"/>
  <c r="C502" i="23"/>
  <c r="AC516" i="23" s="1"/>
  <c r="AD516" i="23" s="1"/>
  <c r="S501" i="23"/>
  <c r="AC515" i="23"/>
  <c r="AD515" i="23" s="1"/>
  <c r="E498" i="1"/>
  <c r="E499" i="1" s="1"/>
  <c r="E500" i="1" s="1"/>
  <c r="E501" i="1" s="1"/>
  <c r="E469" i="23"/>
  <c r="E37" i="35"/>
  <c r="F36" i="35"/>
  <c r="AE456" i="23"/>
  <c r="AH456" i="23"/>
  <c r="AM456" i="23"/>
  <c r="AO456" i="23"/>
  <c r="X456" i="23"/>
  <c r="Z456" i="23"/>
  <c r="AB456" i="23"/>
  <c r="J456" i="23"/>
  <c r="J457" i="23" s="1"/>
  <c r="J458" i="23" s="1"/>
  <c r="J459" i="23" s="1"/>
  <c r="J460" i="23" s="1"/>
  <c r="J461" i="23" s="1"/>
  <c r="J462" i="23" s="1"/>
  <c r="J463" i="23" s="1"/>
  <c r="J464" i="23" s="1"/>
  <c r="J465" i="23" s="1"/>
  <c r="J466" i="23" s="1"/>
  <c r="J467" i="23" s="1"/>
  <c r="J468" i="23" s="1"/>
  <c r="J469" i="23" s="1"/>
  <c r="J470" i="23" s="1"/>
  <c r="J471" i="23" s="1"/>
  <c r="J472" i="23" s="1"/>
  <c r="J473" i="23" s="1"/>
  <c r="J474" i="23" s="1"/>
  <c r="J475" i="23" s="1"/>
  <c r="J476" i="23" s="1"/>
  <c r="J477" i="23" s="1"/>
  <c r="J478" i="23" s="1"/>
  <c r="J479" i="23" s="1"/>
  <c r="F456" i="23"/>
  <c r="C456" i="23"/>
  <c r="AC470" i="23" s="1"/>
  <c r="AB455" i="23"/>
  <c r="AA455" i="23"/>
  <c r="AC469" i="23" s="1"/>
  <c r="X455" i="23"/>
  <c r="Z455" i="23"/>
  <c r="AE455" i="23"/>
  <c r="AH455" i="23"/>
  <c r="AM455" i="23"/>
  <c r="AO455" i="23"/>
  <c r="M10921" i="3"/>
  <c r="L10921" i="3"/>
  <c r="J10921" i="3"/>
  <c r="K10921" i="3" s="1"/>
  <c r="H10921" i="3"/>
  <c r="G10921" i="3"/>
  <c r="M10920" i="3"/>
  <c r="L10920" i="3"/>
  <c r="J10920" i="3"/>
  <c r="K10920" i="3" s="1"/>
  <c r="H10920" i="3"/>
  <c r="G10920" i="3"/>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50" i="5"/>
  <c r="F251" i="5"/>
  <c r="F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T454" i="23"/>
  <c r="V454" i="23"/>
  <c r="W454" i="23"/>
  <c r="X454" i="23"/>
  <c r="Z454" i="23"/>
  <c r="AA454" i="23"/>
  <c r="AB454" i="23"/>
  <c r="AE454" i="23"/>
  <c r="AH454" i="23"/>
  <c r="AM454" i="23"/>
  <c r="AO454" i="23"/>
  <c r="AT454" i="23"/>
  <c r="F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Z453" i="23"/>
  <c r="Z452" i="23"/>
  <c r="AE453" i="23"/>
  <c r="AP467" i="23" s="1"/>
  <c r="T453" i="23"/>
  <c r="V453" i="23"/>
  <c r="W453" i="23"/>
  <c r="X453" i="23"/>
  <c r="AA453" i="23"/>
  <c r="AB453" i="23"/>
  <c r="AH453" i="23"/>
  <c r="AM453" i="23"/>
  <c r="AO453" i="23"/>
  <c r="AT453" i="23"/>
  <c r="F453" i="23"/>
  <c r="M10849" i="3"/>
  <c r="L10849" i="3"/>
  <c r="J10849" i="3"/>
  <c r="K10849" i="3" s="1"/>
  <c r="H10849" i="3"/>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X28" i="23"/>
  <c r="X22" i="23"/>
  <c r="X23" i="23"/>
  <c r="X24" i="23"/>
  <c r="X25" i="23"/>
  <c r="X26" i="23"/>
  <c r="X27" i="23"/>
  <c r="X21" i="23"/>
  <c r="X29" i="23"/>
  <c r="X30" i="23"/>
  <c r="X31" i="23"/>
  <c r="X32" i="23"/>
  <c r="X33" i="23"/>
  <c r="X34" i="23"/>
  <c r="X35" i="23"/>
  <c r="X36" i="23"/>
  <c r="X37" i="23"/>
  <c r="X38" i="23"/>
  <c r="X39" i="23"/>
  <c r="X40" i="23"/>
  <c r="X41" i="23"/>
  <c r="X42" i="23"/>
  <c r="X43" i="23"/>
  <c r="X44" i="23"/>
  <c r="X45" i="23"/>
  <c r="X46" i="23"/>
  <c r="X47" i="23"/>
  <c r="X48" i="23"/>
  <c r="X12" i="23"/>
  <c r="X13" i="23"/>
  <c r="X14" i="23"/>
  <c r="X15" i="23"/>
  <c r="X16" i="23"/>
  <c r="X17" i="23"/>
  <c r="X18" i="23"/>
  <c r="X19" i="23"/>
  <c r="X20" i="23"/>
  <c r="X49" i="23"/>
  <c r="X50" i="23"/>
  <c r="X51" i="23"/>
  <c r="X52" i="23"/>
  <c r="X53" i="23"/>
  <c r="X54" i="23"/>
  <c r="X55" i="23"/>
  <c r="X56" i="23"/>
  <c r="X57" i="23"/>
  <c r="X58" i="23"/>
  <c r="X59" i="23"/>
  <c r="X60" i="23"/>
  <c r="X61" i="23"/>
  <c r="X62" i="23"/>
  <c r="X63" i="23"/>
  <c r="X64" i="23"/>
  <c r="X2" i="23"/>
  <c r="X3" i="23"/>
  <c r="X4" i="23"/>
  <c r="X5" i="23"/>
  <c r="X6" i="23"/>
  <c r="X7" i="23"/>
  <c r="X8" i="23"/>
  <c r="X9" i="23"/>
  <c r="X10" i="23"/>
  <c r="X11"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B25" i="16"/>
  <c r="L26" i="15"/>
  <c r="G10810" i="3"/>
  <c r="AM452" i="23"/>
  <c r="AE195" i="23"/>
  <c r="AP195" i="23" s="1"/>
  <c r="AE196" i="23"/>
  <c r="AP196" i="23" s="1"/>
  <c r="AE197" i="23"/>
  <c r="AP197" i="23" s="1"/>
  <c r="AE198" i="23"/>
  <c r="AP198" i="23" s="1"/>
  <c r="AE199" i="23"/>
  <c r="AP199" i="23" s="1"/>
  <c r="AE200" i="23"/>
  <c r="AP200" i="23" s="1"/>
  <c r="AE201" i="23"/>
  <c r="AP201" i="23" s="1"/>
  <c r="AE202" i="23"/>
  <c r="AP202" i="23" s="1"/>
  <c r="AE203" i="23"/>
  <c r="AP203" i="23" s="1"/>
  <c r="AE204" i="23"/>
  <c r="AP204" i="23" s="1"/>
  <c r="AE205" i="23"/>
  <c r="AP205" i="23" s="1"/>
  <c r="AE206" i="23"/>
  <c r="AP206" i="23" s="1"/>
  <c r="AE207" i="23"/>
  <c r="AP207" i="23" s="1"/>
  <c r="AE208" i="23"/>
  <c r="AP208" i="23" s="1"/>
  <c r="AE209" i="23"/>
  <c r="AP209" i="23" s="1"/>
  <c r="AE210" i="23"/>
  <c r="AE211" i="23"/>
  <c r="AE212" i="23"/>
  <c r="AE213" i="23"/>
  <c r="AP213" i="23" s="1"/>
  <c r="AE214" i="23"/>
  <c r="AE215" i="23"/>
  <c r="AE216" i="23"/>
  <c r="AE217" i="23"/>
  <c r="AP217" i="23" s="1"/>
  <c r="AE218" i="23"/>
  <c r="AE219" i="23"/>
  <c r="AE220" i="23"/>
  <c r="AE221" i="23"/>
  <c r="AP221" i="23" s="1"/>
  <c r="AE222" i="23"/>
  <c r="AE223" i="23"/>
  <c r="AE224" i="23"/>
  <c r="AE225" i="23"/>
  <c r="AP225" i="23" s="1"/>
  <c r="AE226" i="23"/>
  <c r="AE227" i="23"/>
  <c r="AE228" i="23"/>
  <c r="AE229" i="23"/>
  <c r="AP229" i="23" s="1"/>
  <c r="AE230" i="23"/>
  <c r="AE231" i="23"/>
  <c r="AE232" i="23"/>
  <c r="AE233" i="23"/>
  <c r="AP233" i="23" s="1"/>
  <c r="AE234" i="23"/>
  <c r="AE235" i="23"/>
  <c r="AE236" i="23"/>
  <c r="AE237" i="23"/>
  <c r="AP237" i="23" s="1"/>
  <c r="AE238" i="23"/>
  <c r="AE239" i="23"/>
  <c r="AE240" i="23"/>
  <c r="AE241" i="23"/>
  <c r="AP241" i="23" s="1"/>
  <c r="AE242" i="23"/>
  <c r="AE243" i="23"/>
  <c r="AE244" i="23"/>
  <c r="AE245" i="23"/>
  <c r="AP245" i="23" s="1"/>
  <c r="AE246" i="23"/>
  <c r="AE247" i="23"/>
  <c r="AE248" i="23"/>
  <c r="AE249" i="23"/>
  <c r="AP249" i="23" s="1"/>
  <c r="AE250" i="23"/>
  <c r="AE251" i="23"/>
  <c r="AE252" i="23"/>
  <c r="AE253" i="23"/>
  <c r="AP253" i="23" s="1"/>
  <c r="AE254" i="23"/>
  <c r="AE255" i="23"/>
  <c r="AE256" i="23"/>
  <c r="AE257" i="23"/>
  <c r="AP257" i="23" s="1"/>
  <c r="AE258" i="23"/>
  <c r="AE259" i="23"/>
  <c r="AE260" i="23"/>
  <c r="AE261" i="23"/>
  <c r="AP261" i="23" s="1"/>
  <c r="AE262" i="23"/>
  <c r="AE263" i="23"/>
  <c r="AE264" i="23"/>
  <c r="AE265" i="23"/>
  <c r="AP265" i="23" s="1"/>
  <c r="AE266" i="23"/>
  <c r="AE267" i="23"/>
  <c r="AE268" i="23"/>
  <c r="AE269" i="23"/>
  <c r="AP269" i="23" s="1"/>
  <c r="AE270" i="23"/>
  <c r="AE271" i="23"/>
  <c r="AE272" i="23"/>
  <c r="AE273" i="23"/>
  <c r="AP273" i="23" s="1"/>
  <c r="AE274" i="23"/>
  <c r="AE275" i="23"/>
  <c r="AE276" i="23"/>
  <c r="AE277" i="23"/>
  <c r="AP277" i="23" s="1"/>
  <c r="AE278" i="23"/>
  <c r="AE279" i="23"/>
  <c r="AE280" i="23"/>
  <c r="AE281" i="23"/>
  <c r="AP281" i="23" s="1"/>
  <c r="AE282" i="23"/>
  <c r="AE283" i="23"/>
  <c r="AE284" i="23"/>
  <c r="AE285" i="23"/>
  <c r="AP285" i="23" s="1"/>
  <c r="AE286" i="23"/>
  <c r="AE287" i="23"/>
  <c r="AE288" i="23"/>
  <c r="AE289" i="23"/>
  <c r="AP289" i="23" s="1"/>
  <c r="AE290" i="23"/>
  <c r="AE291" i="23"/>
  <c r="AE292" i="23"/>
  <c r="AE293" i="23"/>
  <c r="AP293" i="23" s="1"/>
  <c r="AE294" i="23"/>
  <c r="AE295" i="23"/>
  <c r="AE296" i="23"/>
  <c r="AE297" i="23"/>
  <c r="AP297" i="23" s="1"/>
  <c r="AE298" i="23"/>
  <c r="AE299" i="23"/>
  <c r="AE300" i="23"/>
  <c r="AE301" i="23"/>
  <c r="AP301" i="23" s="1"/>
  <c r="AE302" i="23"/>
  <c r="AE303" i="23"/>
  <c r="AE304" i="23"/>
  <c r="AE305" i="23"/>
  <c r="AP305" i="23" s="1"/>
  <c r="AE306" i="23"/>
  <c r="AE307" i="23"/>
  <c r="AE308" i="23"/>
  <c r="AE309" i="23"/>
  <c r="AP309" i="23" s="1"/>
  <c r="AE310" i="23"/>
  <c r="AE311" i="23"/>
  <c r="AE312" i="23"/>
  <c r="AE313" i="23"/>
  <c r="AP313" i="23" s="1"/>
  <c r="AE314" i="23"/>
  <c r="AE315" i="23"/>
  <c r="AE316" i="23"/>
  <c r="AE317" i="23"/>
  <c r="AP317" i="23" s="1"/>
  <c r="AE318" i="23"/>
  <c r="AE319" i="23"/>
  <c r="AE320" i="23"/>
  <c r="AE321" i="23"/>
  <c r="AP321" i="23" s="1"/>
  <c r="AE322" i="23"/>
  <c r="AE323" i="23"/>
  <c r="AE324" i="23"/>
  <c r="AE325" i="23"/>
  <c r="AP325" i="23" s="1"/>
  <c r="AE326" i="23"/>
  <c r="AE327" i="23"/>
  <c r="AE328" i="23"/>
  <c r="AE329" i="23"/>
  <c r="AP329" i="23" s="1"/>
  <c r="AE330" i="23"/>
  <c r="AE331" i="23"/>
  <c r="AE332" i="23"/>
  <c r="AE333" i="23"/>
  <c r="AP333" i="23" s="1"/>
  <c r="AE334" i="23"/>
  <c r="AE335" i="23"/>
  <c r="AE336" i="23"/>
  <c r="AE337" i="23"/>
  <c r="AP337" i="23" s="1"/>
  <c r="AE338" i="23"/>
  <c r="AE339" i="23"/>
  <c r="AE340" i="23"/>
  <c r="AE341" i="23"/>
  <c r="AP341" i="23" s="1"/>
  <c r="AE342" i="23"/>
  <c r="AE343" i="23"/>
  <c r="AE344" i="23"/>
  <c r="AE345" i="23"/>
  <c r="AP345" i="23" s="1"/>
  <c r="AE346" i="23"/>
  <c r="AE347" i="23"/>
  <c r="AE348" i="23"/>
  <c r="AE349" i="23"/>
  <c r="AP349" i="23" s="1"/>
  <c r="AE350" i="23"/>
  <c r="AE351" i="23"/>
  <c r="AE352" i="23"/>
  <c r="AE353" i="23"/>
  <c r="AP353" i="23" s="1"/>
  <c r="AE354" i="23"/>
  <c r="AE355" i="23"/>
  <c r="AE356" i="23"/>
  <c r="AE357" i="23"/>
  <c r="AP357" i="23" s="1"/>
  <c r="AE358" i="23"/>
  <c r="AE359" i="23"/>
  <c r="AE360" i="23"/>
  <c r="AE361" i="23"/>
  <c r="AP361" i="23" s="1"/>
  <c r="AE362" i="23"/>
  <c r="AE363" i="23"/>
  <c r="AE364" i="23"/>
  <c r="AE365" i="23"/>
  <c r="AP365" i="23" s="1"/>
  <c r="AE366" i="23"/>
  <c r="AE367" i="23"/>
  <c r="AE368" i="23"/>
  <c r="AE369" i="23"/>
  <c r="AP369" i="23" s="1"/>
  <c r="AE370" i="23"/>
  <c r="AE371" i="23"/>
  <c r="AE372" i="23"/>
  <c r="AE373" i="23"/>
  <c r="AP373" i="23" s="1"/>
  <c r="AE374" i="23"/>
  <c r="AE375" i="23"/>
  <c r="AE376" i="23"/>
  <c r="AE377" i="23"/>
  <c r="AP377" i="23" s="1"/>
  <c r="AE378" i="23"/>
  <c r="AE379" i="23"/>
  <c r="AE380" i="23"/>
  <c r="AE381" i="23"/>
  <c r="AP381" i="23" s="1"/>
  <c r="AE382" i="23"/>
  <c r="AE383" i="23"/>
  <c r="AE384" i="23"/>
  <c r="AE385" i="23"/>
  <c r="AP385" i="23" s="1"/>
  <c r="AE386" i="23"/>
  <c r="AE387" i="23"/>
  <c r="AE388" i="23"/>
  <c r="AE389" i="23"/>
  <c r="AE390" i="23"/>
  <c r="AE391" i="23"/>
  <c r="AE392" i="23"/>
  <c r="AE393" i="23"/>
  <c r="AP393" i="23" s="1"/>
  <c r="AE394" i="23"/>
  <c r="AE395" i="23"/>
  <c r="AE396" i="23"/>
  <c r="AE397" i="23"/>
  <c r="AP397" i="23" s="1"/>
  <c r="AE398" i="23"/>
  <c r="AE399" i="23"/>
  <c r="AE400" i="23"/>
  <c r="AE401" i="23"/>
  <c r="AP401" i="23" s="1"/>
  <c r="AE402" i="23"/>
  <c r="AE404" i="23"/>
  <c r="AE405" i="23"/>
  <c r="AE406" i="23"/>
  <c r="AE407" i="23"/>
  <c r="AE408" i="23"/>
  <c r="AE410" i="23"/>
  <c r="AP410" i="23" s="1"/>
  <c r="AE411" i="23"/>
  <c r="AP411" i="23" s="1"/>
  <c r="AE412" i="23"/>
  <c r="AP412" i="23" s="1"/>
  <c r="AE413" i="23"/>
  <c r="AP413" i="23" s="1"/>
  <c r="AE414" i="23"/>
  <c r="AP414" i="23" s="1"/>
  <c r="AE415" i="23"/>
  <c r="AP415" i="23" s="1"/>
  <c r="AE416" i="23"/>
  <c r="AP416" i="23" s="1"/>
  <c r="AE417" i="23"/>
  <c r="AP417" i="23" s="1"/>
  <c r="AE418" i="23"/>
  <c r="AE419" i="23"/>
  <c r="AE420" i="23"/>
  <c r="AE421" i="23"/>
  <c r="AE422" i="23"/>
  <c r="AE423" i="23"/>
  <c r="AP423" i="23" s="1"/>
  <c r="AE424" i="23"/>
  <c r="AE425" i="23"/>
  <c r="AE426" i="23"/>
  <c r="AE427" i="23"/>
  <c r="AE428" i="23"/>
  <c r="AE429" i="23"/>
  <c r="AE430" i="23"/>
  <c r="AE431" i="23"/>
  <c r="AE432" i="23"/>
  <c r="AE433" i="23"/>
  <c r="AE434" i="23"/>
  <c r="AE435" i="23"/>
  <c r="AE436" i="23"/>
  <c r="AE437" i="23"/>
  <c r="AE438" i="23"/>
  <c r="AE439" i="23"/>
  <c r="AE440" i="23"/>
  <c r="AE441" i="23"/>
  <c r="AE442" i="23"/>
  <c r="AE443" i="23"/>
  <c r="AP457" i="23" s="1"/>
  <c r="AE444" i="23"/>
  <c r="AP458" i="23" s="1"/>
  <c r="AE445" i="23"/>
  <c r="AP459" i="23" s="1"/>
  <c r="AE446" i="23"/>
  <c r="AP460" i="23" s="1"/>
  <c r="AE447" i="23"/>
  <c r="AP461" i="23" s="1"/>
  <c r="AE448" i="23"/>
  <c r="AP462" i="23" s="1"/>
  <c r="AE449" i="23"/>
  <c r="AP463" i="23" s="1"/>
  <c r="AE450" i="23"/>
  <c r="AP464" i="23" s="1"/>
  <c r="AE451" i="23"/>
  <c r="AP465" i="23" s="1"/>
  <c r="AE452" i="23"/>
  <c r="AP466" i="23" s="1"/>
  <c r="AT452" i="23"/>
  <c r="D25" i="33"/>
  <c r="AH452" i="23"/>
  <c r="AO452" i="23"/>
  <c r="T452" i="23"/>
  <c r="AA452" i="23"/>
  <c r="AB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B8"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5" i="23"/>
  <c r="L116" i="23"/>
  <c r="L117" i="23"/>
  <c r="L118" i="23"/>
  <c r="L121" i="23"/>
  <c r="L127" i="23"/>
  <c r="L128" i="23"/>
  <c r="L129" i="23"/>
  <c r="L130" i="23"/>
  <c r="L131" i="23"/>
  <c r="L132" i="23"/>
  <c r="L133" i="23"/>
  <c r="L134" i="23"/>
  <c r="L135" i="23"/>
  <c r="L137" i="23"/>
  <c r="T446" i="23"/>
  <c r="Z446" i="23"/>
  <c r="AA446" i="23"/>
  <c r="AB446" i="23"/>
  <c r="AH446" i="23"/>
  <c r="AM446" i="23"/>
  <c r="AO446" i="23"/>
  <c r="AT446" i="23"/>
  <c r="T447" i="23"/>
  <c r="Z447" i="23"/>
  <c r="AA447" i="23"/>
  <c r="AB447" i="23"/>
  <c r="AH447" i="23"/>
  <c r="AM447" i="23"/>
  <c r="AO447" i="23"/>
  <c r="AT447" i="23"/>
  <c r="T448" i="23"/>
  <c r="Z448" i="23"/>
  <c r="AA448" i="23"/>
  <c r="AB448" i="23"/>
  <c r="AH448" i="23"/>
  <c r="AM448" i="23"/>
  <c r="AO448" i="23"/>
  <c r="AT448" i="23"/>
  <c r="T449" i="23"/>
  <c r="Z449" i="23"/>
  <c r="AA449" i="23"/>
  <c r="AB449" i="23"/>
  <c r="AH449" i="23"/>
  <c r="AM449" i="23"/>
  <c r="AO449" i="23"/>
  <c r="AT449" i="23"/>
  <c r="T450" i="23"/>
  <c r="Z450" i="23"/>
  <c r="AA450" i="23"/>
  <c r="AB450" i="23"/>
  <c r="AH450" i="23"/>
  <c r="AM450" i="23"/>
  <c r="AO450" i="23"/>
  <c r="AT450" i="23"/>
  <c r="T451" i="23"/>
  <c r="Z451" i="23"/>
  <c r="AA451" i="23"/>
  <c r="AB451" i="23"/>
  <c r="AH451" i="23"/>
  <c r="AM451" i="23"/>
  <c r="AO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E504" i="23" l="1"/>
  <c r="AN454" i="23"/>
  <c r="AN461" i="23"/>
  <c r="AP456" i="23"/>
  <c r="AP470" i="23"/>
  <c r="AN458" i="23"/>
  <c r="AN457" i="23"/>
  <c r="AI456" i="23"/>
  <c r="AS454" i="23"/>
  <c r="AP455" i="23"/>
  <c r="AP469" i="23"/>
  <c r="AN455" i="23"/>
  <c r="AN462" i="23"/>
  <c r="AI463" i="23"/>
  <c r="AN456" i="23"/>
  <c r="AN463" i="23"/>
  <c r="AL508" i="23"/>
  <c r="Y501" i="23"/>
  <c r="AG501" i="23"/>
  <c r="AR471" i="23"/>
  <c r="AF456" i="23"/>
  <c r="AJ456" i="23" s="1"/>
  <c r="AF454" i="23"/>
  <c r="AJ454" i="23" s="1"/>
  <c r="AN459" i="23"/>
  <c r="AN453" i="23"/>
  <c r="AN460" i="23"/>
  <c r="AP454" i="23"/>
  <c r="AP468" i="23"/>
  <c r="C503" i="23"/>
  <c r="AC517" i="23" s="1"/>
  <c r="AD517" i="23" s="1"/>
  <c r="S502" i="23"/>
  <c r="AP424" i="23"/>
  <c r="AP402" i="23"/>
  <c r="AP398" i="23"/>
  <c r="AP394" i="23"/>
  <c r="AP390" i="23"/>
  <c r="AP386" i="23"/>
  <c r="AP382" i="23"/>
  <c r="AP378" i="23"/>
  <c r="AP374" i="23"/>
  <c r="AP370" i="23"/>
  <c r="AP366" i="23"/>
  <c r="AP362" i="23"/>
  <c r="AP358" i="23"/>
  <c r="AP354" i="23"/>
  <c r="AP350" i="23"/>
  <c r="AP346" i="23"/>
  <c r="AP342" i="23"/>
  <c r="AP338" i="23"/>
  <c r="AP334" i="23"/>
  <c r="AP330" i="23"/>
  <c r="AP326" i="23"/>
  <c r="AP322" i="23"/>
  <c r="AP318" i="23"/>
  <c r="AP314" i="23"/>
  <c r="AP310" i="23"/>
  <c r="AP306" i="23"/>
  <c r="AP302" i="23"/>
  <c r="AP298" i="23"/>
  <c r="AP294" i="23"/>
  <c r="AP290" i="23"/>
  <c r="AP286" i="23"/>
  <c r="AP282" i="23"/>
  <c r="AP278" i="23"/>
  <c r="AP274" i="23"/>
  <c r="AP270" i="23"/>
  <c r="AP266" i="23"/>
  <c r="AP262" i="23"/>
  <c r="AP258" i="23"/>
  <c r="AP254" i="23"/>
  <c r="AP250" i="23"/>
  <c r="AP246" i="23"/>
  <c r="AP242" i="23"/>
  <c r="AP238" i="23"/>
  <c r="AP234" i="23"/>
  <c r="AP230" i="23"/>
  <c r="AP226" i="23"/>
  <c r="AP222" i="23"/>
  <c r="AP218" i="23"/>
  <c r="AP214" i="23"/>
  <c r="AP210" i="23"/>
  <c r="AP419" i="23"/>
  <c r="AP406" i="23"/>
  <c r="AP400" i="23"/>
  <c r="AP392" i="23"/>
  <c r="AP388" i="23"/>
  <c r="AP384" i="23"/>
  <c r="AP380" i="23"/>
  <c r="AP376" i="23"/>
  <c r="AP368" i="23"/>
  <c r="AP364" i="23"/>
  <c r="AP360" i="23"/>
  <c r="AP356" i="23"/>
  <c r="AP352" i="23"/>
  <c r="AP348" i="23"/>
  <c r="AP344" i="23"/>
  <c r="AP340" i="23"/>
  <c r="AP336" i="23"/>
  <c r="AP332" i="23"/>
  <c r="AP328" i="23"/>
  <c r="AP324" i="23"/>
  <c r="AP320" i="23"/>
  <c r="AP316" i="23"/>
  <c r="AP312" i="23"/>
  <c r="AP308" i="23"/>
  <c r="AP304" i="23"/>
  <c r="AP300" i="23"/>
  <c r="AP296" i="23"/>
  <c r="AP292" i="23"/>
  <c r="AP288" i="23"/>
  <c r="AP284" i="23"/>
  <c r="AP280" i="23"/>
  <c r="AP276" i="23"/>
  <c r="AP272" i="23"/>
  <c r="AP268" i="23"/>
  <c r="AP264" i="23"/>
  <c r="AP260" i="23"/>
  <c r="AP256" i="23"/>
  <c r="AP252" i="23"/>
  <c r="AP248" i="23"/>
  <c r="AP244" i="23"/>
  <c r="AP240" i="23"/>
  <c r="AP236" i="23"/>
  <c r="AP232" i="23"/>
  <c r="AP228" i="23"/>
  <c r="AP224" i="23"/>
  <c r="AP220" i="23"/>
  <c r="AP216" i="23"/>
  <c r="AP212" i="23"/>
  <c r="AP396" i="23"/>
  <c r="AP372" i="23"/>
  <c r="AP421" i="23"/>
  <c r="AP408" i="23"/>
  <c r="AP404" i="23"/>
  <c r="AP453" i="23"/>
  <c r="AP439" i="23"/>
  <c r="AP389" i="23"/>
  <c r="AP403" i="23"/>
  <c r="AP452" i="23"/>
  <c r="AP438" i="23"/>
  <c r="AP448" i="23"/>
  <c r="AP434" i="23"/>
  <c r="AP444" i="23"/>
  <c r="AP430" i="23"/>
  <c r="AP440" i="23"/>
  <c r="AP426" i="23"/>
  <c r="AP422" i="23"/>
  <c r="AP418" i="23"/>
  <c r="AP405" i="23"/>
  <c r="AP449" i="23"/>
  <c r="AP435" i="23"/>
  <c r="AP441" i="23"/>
  <c r="AP427" i="23"/>
  <c r="AP437" i="23"/>
  <c r="AP451" i="23"/>
  <c r="AP433" i="23"/>
  <c r="AP447" i="23"/>
  <c r="AP429" i="23"/>
  <c r="AP443" i="23"/>
  <c r="AP425" i="23"/>
  <c r="AP399" i="23"/>
  <c r="AP395" i="23"/>
  <c r="AP409" i="23"/>
  <c r="AP391" i="23"/>
  <c r="AP387" i="23"/>
  <c r="AP383" i="23"/>
  <c r="AP379" i="23"/>
  <c r="AP375" i="23"/>
  <c r="AP371" i="23"/>
  <c r="AP367" i="23"/>
  <c r="AP363" i="23"/>
  <c r="AP359" i="23"/>
  <c r="AP355" i="23"/>
  <c r="AP351" i="23"/>
  <c r="AP347" i="23"/>
  <c r="AP343" i="23"/>
  <c r="AP339" i="23"/>
  <c r="AP331" i="23"/>
  <c r="AP319" i="23"/>
  <c r="AP311" i="23"/>
  <c r="AP299" i="23"/>
  <c r="AP291" i="23"/>
  <c r="AP279" i="23"/>
  <c r="AP267" i="23"/>
  <c r="AP259" i="23"/>
  <c r="AP247" i="23"/>
  <c r="AP235" i="23"/>
  <c r="AP227" i="23"/>
  <c r="AP211" i="23"/>
  <c r="AP445" i="23"/>
  <c r="AP431" i="23"/>
  <c r="AP335" i="23"/>
  <c r="AP327" i="23"/>
  <c r="AP323" i="23"/>
  <c r="AP315" i="23"/>
  <c r="AP307" i="23"/>
  <c r="AP303" i="23"/>
  <c r="AP295" i="23"/>
  <c r="AP287" i="23"/>
  <c r="AP283" i="23"/>
  <c r="AP275" i="23"/>
  <c r="AP271" i="23"/>
  <c r="AP263" i="23"/>
  <c r="AP255" i="23"/>
  <c r="AP251" i="23"/>
  <c r="AP243" i="23"/>
  <c r="AP239" i="23"/>
  <c r="AP231" i="23"/>
  <c r="AP223" i="23"/>
  <c r="AP219" i="23"/>
  <c r="AP215" i="23"/>
  <c r="AP436" i="23"/>
  <c r="AP450" i="23"/>
  <c r="AP432" i="23"/>
  <c r="AP446" i="23"/>
  <c r="AP428" i="23"/>
  <c r="AP442" i="23"/>
  <c r="AP420" i="23"/>
  <c r="AP407" i="23"/>
  <c r="E502" i="1"/>
  <c r="E503" i="1" s="1"/>
  <c r="AR473" i="23"/>
  <c r="AK465" i="23"/>
  <c r="AF459" i="23"/>
  <c r="AJ459" i="23" s="1"/>
  <c r="AR475" i="23"/>
  <c r="AK467" i="23"/>
  <c r="AF461" i="23"/>
  <c r="AJ461" i="23" s="1"/>
  <c r="S456" i="23"/>
  <c r="U456" i="23"/>
  <c r="C457" i="23"/>
  <c r="AC471" i="23" s="1"/>
  <c r="AR474" i="23"/>
  <c r="AK466" i="23"/>
  <c r="AF460" i="23"/>
  <c r="AJ460" i="23" s="1"/>
  <c r="E470" i="23"/>
  <c r="AR476" i="23"/>
  <c r="AD469" i="23"/>
  <c r="AK468" i="23"/>
  <c r="AF462" i="23"/>
  <c r="AJ462" i="23" s="1"/>
  <c r="AR472" i="23"/>
  <c r="AK464" i="23"/>
  <c r="AF458" i="23"/>
  <c r="AJ458" i="23" s="1"/>
  <c r="I10854" i="3"/>
  <c r="I10861" i="3"/>
  <c r="I10865" i="3"/>
  <c r="I10912" i="3"/>
  <c r="I10916" i="3"/>
  <c r="I10920" i="3"/>
  <c r="I10731" i="3"/>
  <c r="I10841" i="3"/>
  <c r="I10845" i="3"/>
  <c r="I10849" i="3"/>
  <c r="I10836" i="3"/>
  <c r="E38" i="35"/>
  <c r="F37" i="35"/>
  <c r="AR469" i="23"/>
  <c r="AK461" i="23"/>
  <c r="AF455" i="23"/>
  <c r="AJ455" i="23" s="1"/>
  <c r="AK463" i="23"/>
  <c r="AF457" i="23"/>
  <c r="AJ457" i="23" s="1"/>
  <c r="AR467" i="23"/>
  <c r="AK459" i="23"/>
  <c r="AR470" i="23"/>
  <c r="AK462" i="23"/>
  <c r="AR468" i="23"/>
  <c r="AK460" i="23"/>
  <c r="AS453" i="23"/>
  <c r="AI462" i="23"/>
  <c r="AI458" i="23"/>
  <c r="AI460" i="23"/>
  <c r="AI461" i="23"/>
  <c r="AI459" i="23"/>
  <c r="L456" i="23"/>
  <c r="AD470" i="23" s="1"/>
  <c r="AI457" i="23"/>
  <c r="AI453" i="23"/>
  <c r="AI454" i="23"/>
  <c r="AI455"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F453" i="23"/>
  <c r="AJ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E505" i="23" l="1"/>
  <c r="C504" i="23"/>
  <c r="AC518" i="23" s="1"/>
  <c r="AD518" i="23" s="1"/>
  <c r="S503" i="23"/>
  <c r="AL509" i="23"/>
  <c r="AG502" i="23"/>
  <c r="Y502" i="23"/>
  <c r="E504" i="1"/>
  <c r="AL463" i="23"/>
  <c r="Y456" i="23"/>
  <c r="E471" i="23"/>
  <c r="S457" i="23"/>
  <c r="U457" i="23"/>
  <c r="C458" i="23"/>
  <c r="AC472" i="23" s="1"/>
  <c r="E39" i="35"/>
  <c r="F38" i="35"/>
  <c r="L457" i="23"/>
  <c r="AD471" i="23" s="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T444" i="23"/>
  <c r="Z444" i="23"/>
  <c r="AA444" i="23"/>
  <c r="AB444" i="23"/>
  <c r="AH444" i="23"/>
  <c r="AM444" i="23"/>
  <c r="AO444" i="23"/>
  <c r="AT444" i="23"/>
  <c r="T445" i="23"/>
  <c r="Z445" i="23"/>
  <c r="AA445" i="23"/>
  <c r="AB445" i="23"/>
  <c r="AH445" i="23"/>
  <c r="AM445" i="23"/>
  <c r="AO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N4" i="12"/>
  <c r="AN5" i="12"/>
  <c r="AN6" i="12"/>
  <c r="AN7" i="12"/>
  <c r="AN8" i="12"/>
  <c r="AN9" i="12"/>
  <c r="AN10" i="12"/>
  <c r="AN11" i="12"/>
  <c r="AN12" i="12"/>
  <c r="AN13" i="12"/>
  <c r="AN14" i="12"/>
  <c r="AN15" i="12"/>
  <c r="AN16" i="12"/>
  <c r="AN17" i="12"/>
  <c r="AN18" i="12"/>
  <c r="AN19" i="12"/>
  <c r="AN20" i="12"/>
  <c r="AN21" i="12"/>
  <c r="AN22" i="12"/>
  <c r="AN23" i="12"/>
  <c r="AN24" i="12"/>
  <c r="AN25" i="12"/>
  <c r="AN26" i="12"/>
  <c r="AH443" i="23"/>
  <c r="AM443" i="23"/>
  <c r="AO443" i="23"/>
  <c r="AT443" i="23"/>
  <c r="T443" i="23"/>
  <c r="Z443" i="23"/>
  <c r="AA443" i="23"/>
  <c r="F443" i="23"/>
  <c r="E506" i="23" l="1"/>
  <c r="AC519" i="23"/>
  <c r="AD519" i="23" s="1"/>
  <c r="AN452" i="23"/>
  <c r="AN451" i="23"/>
  <c r="AL510" i="23"/>
  <c r="Y503" i="23"/>
  <c r="AG503" i="23"/>
  <c r="C505" i="23"/>
  <c r="S504" i="23"/>
  <c r="E505" i="1"/>
  <c r="E506" i="1" s="1"/>
  <c r="E472" i="23"/>
  <c r="S458" i="23"/>
  <c r="U458" i="23"/>
  <c r="C459" i="23"/>
  <c r="AC473" i="23" s="1"/>
  <c r="AL464" i="23"/>
  <c r="Y457" i="23"/>
  <c r="E40" i="35"/>
  <c r="F39" i="35"/>
  <c r="AF450" i="23"/>
  <c r="AJ450" i="23" s="1"/>
  <c r="AR464" i="23"/>
  <c r="AK456" i="23"/>
  <c r="AR466" i="23"/>
  <c r="AK458" i="23"/>
  <c r="AF451" i="23"/>
  <c r="AJ451" i="23" s="1"/>
  <c r="AR465" i="23"/>
  <c r="AK457" i="23"/>
  <c r="L458" i="23"/>
  <c r="AD472" i="23" s="1"/>
  <c r="AF452" i="23"/>
  <c r="AJ452" i="23" s="1"/>
  <c r="AS451" i="23"/>
  <c r="AI451" i="23"/>
  <c r="AI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E507" i="23" l="1"/>
  <c r="AL511" i="23"/>
  <c r="AG504" i="23"/>
  <c r="Y504" i="23"/>
  <c r="C506" i="23"/>
  <c r="AC520" i="23" s="1"/>
  <c r="AD520" i="23" s="1"/>
  <c r="S505" i="23"/>
  <c r="E507" i="1"/>
  <c r="E508" i="1" s="1"/>
  <c r="E509" i="1" s="1"/>
  <c r="E510" i="1" s="1"/>
  <c r="Y458" i="23"/>
  <c r="AL465" i="23"/>
  <c r="S459" i="23"/>
  <c r="U459" i="23"/>
  <c r="C460" i="23"/>
  <c r="AC474" i="23" s="1"/>
  <c r="E473" i="23"/>
  <c r="E41" i="35"/>
  <c r="F40" i="35"/>
  <c r="L459" i="23"/>
  <c r="AD473" i="23" s="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E508" i="23" l="1"/>
  <c r="C507" i="23"/>
  <c r="AC521" i="23" s="1"/>
  <c r="AD521" i="23" s="1"/>
  <c r="S506" i="23"/>
  <c r="AG505" i="23"/>
  <c r="AL512" i="23"/>
  <c r="Y505" i="23"/>
  <c r="E511" i="1"/>
  <c r="AL466" i="23"/>
  <c r="Y459" i="23"/>
  <c r="E474" i="23"/>
  <c r="C461" i="23"/>
  <c r="AC475" i="23" s="1"/>
  <c r="S460" i="23"/>
  <c r="U460" i="23"/>
  <c r="E42" i="35"/>
  <c r="F41" i="35"/>
  <c r="L460" i="23"/>
  <c r="AD474" i="23" s="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B443" i="23"/>
  <c r="T441" i="23"/>
  <c r="Z441" i="23"/>
  <c r="AB441" i="23"/>
  <c r="AH441" i="23"/>
  <c r="AM441" i="23"/>
  <c r="AO441" i="23"/>
  <c r="AT441" i="23"/>
  <c r="T442" i="23"/>
  <c r="Z442" i="23"/>
  <c r="AA442" i="23"/>
  <c r="AB442" i="23"/>
  <c r="AH442" i="23"/>
  <c r="AM442" i="23"/>
  <c r="AO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F10994" i="3" s="1"/>
  <c r="F11018" i="3" s="1"/>
  <c r="F11042" i="3" s="1"/>
  <c r="F11066" i="3" s="1"/>
  <c r="F11090" i="3" s="1"/>
  <c r="F11114" i="3" s="1"/>
  <c r="F11138" i="3" s="1"/>
  <c r="F11162" i="3" s="1"/>
  <c r="F11186" i="3" s="1"/>
  <c r="F11210" i="3" s="1"/>
  <c r="F11234" i="3" s="1"/>
  <c r="F11258" i="3" s="1"/>
  <c r="F11282"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T440" i="23"/>
  <c r="Z440" i="23"/>
  <c r="AA440" i="23"/>
  <c r="AB440" i="23"/>
  <c r="AH440" i="23"/>
  <c r="AM440" i="23"/>
  <c r="AO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B439" i="23"/>
  <c r="AN446" i="23" s="1"/>
  <c r="T439" i="23"/>
  <c r="Z439" i="23"/>
  <c r="AA439" i="23"/>
  <c r="AH439" i="23"/>
  <c r="AM439" i="23"/>
  <c r="AO439" i="23"/>
  <c r="AT439" i="23"/>
  <c r="J439" i="23"/>
  <c r="J440" i="23" s="1"/>
  <c r="J441" i="23" s="1"/>
  <c r="J442" i="23" s="1"/>
  <c r="J443" i="23" s="1"/>
  <c r="J444" i="23" s="1"/>
  <c r="J445" i="23" s="1"/>
  <c r="J446" i="23" s="1"/>
  <c r="J447" i="23" s="1"/>
  <c r="J448" i="23" s="1"/>
  <c r="J449" i="23" s="1"/>
  <c r="J450" i="23" s="1"/>
  <c r="J451" i="23" s="1"/>
  <c r="J452" i="23" s="1"/>
  <c r="J453" i="23" s="1"/>
  <c r="J454"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B438" i="23"/>
  <c r="AN445" i="23" s="1"/>
  <c r="AB428" i="23"/>
  <c r="AB429" i="23"/>
  <c r="AB430" i="23"/>
  <c r="AB431" i="23"/>
  <c r="AB432" i="23"/>
  <c r="AB433" i="23"/>
  <c r="AB434" i="23"/>
  <c r="AB435" i="23"/>
  <c r="AB436" i="23"/>
  <c r="AB437" i="23"/>
  <c r="AN444" i="23" s="1"/>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S437" i="23"/>
  <c r="T437" i="23"/>
  <c r="Z437" i="23"/>
  <c r="AA437" i="23"/>
  <c r="AH437" i="23"/>
  <c r="AM437" i="23"/>
  <c r="AO437" i="23"/>
  <c r="AT437" i="23"/>
  <c r="S438" i="23"/>
  <c r="T438" i="23"/>
  <c r="U438" i="23"/>
  <c r="Z438" i="23"/>
  <c r="AA438" i="23"/>
  <c r="AH438" i="23"/>
  <c r="AM438" i="23"/>
  <c r="AO438" i="23"/>
  <c r="AT438" i="23"/>
  <c r="P433" i="1"/>
  <c r="P434" i="1"/>
  <c r="P435" i="1"/>
  <c r="P436" i="1"/>
  <c r="P437" i="1"/>
  <c r="N434" i="1"/>
  <c r="N435" i="1"/>
  <c r="O441" i="1" s="1"/>
  <c r="N436" i="1"/>
  <c r="N437" i="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E509" i="23" l="1"/>
  <c r="AR460" i="23"/>
  <c r="AC453" i="23"/>
  <c r="AR459" i="23"/>
  <c r="AC452" i="23"/>
  <c r="AN440" i="23"/>
  <c r="AN447" i="23"/>
  <c r="AN443" i="23"/>
  <c r="AN450" i="23"/>
  <c r="AL513" i="23"/>
  <c r="Y506" i="23"/>
  <c r="AG506" i="23"/>
  <c r="AR458" i="23"/>
  <c r="AC451" i="23"/>
  <c r="AN442" i="23"/>
  <c r="AN449" i="23"/>
  <c r="AN441" i="23"/>
  <c r="AN448" i="23"/>
  <c r="C508" i="23"/>
  <c r="AC522" i="23" s="1"/>
  <c r="AD522" i="23" s="1"/>
  <c r="S507" i="23"/>
  <c r="E512" i="1"/>
  <c r="AI439" i="23"/>
  <c r="AN439" i="23"/>
  <c r="AN435" i="23"/>
  <c r="AI438" i="23"/>
  <c r="AN438" i="23"/>
  <c r="AN436" i="23"/>
  <c r="AN437" i="23"/>
  <c r="O443" i="1"/>
  <c r="L439" i="23"/>
  <c r="E475" i="23"/>
  <c r="AL467" i="23"/>
  <c r="Y460" i="23"/>
  <c r="AS442" i="23"/>
  <c r="C462" i="23"/>
  <c r="AC476" i="23" s="1"/>
  <c r="S461" i="23"/>
  <c r="U461" i="23"/>
  <c r="F11306" i="3"/>
  <c r="F11330" i="3" s="1"/>
  <c r="F11354" i="3" s="1"/>
  <c r="F11378" i="3" s="1"/>
  <c r="F11402" i="3" s="1"/>
  <c r="F11426" i="3" s="1"/>
  <c r="F11450" i="3" s="1"/>
  <c r="F11474" i="3" s="1"/>
  <c r="F11498" i="3" s="1"/>
  <c r="F11522" i="3" s="1"/>
  <c r="F11546" i="3" s="1"/>
  <c r="F11570" i="3" s="1"/>
  <c r="F11594" i="3" s="1"/>
  <c r="F11618" i="3" s="1"/>
  <c r="F11642" i="3" s="1"/>
  <c r="F11666" i="3" s="1"/>
  <c r="F11690" i="3" s="1"/>
  <c r="F11714" i="3" s="1"/>
  <c r="F11738" i="3" s="1"/>
  <c r="F11762" i="3" s="1"/>
  <c r="F11786" i="3" s="1"/>
  <c r="E43" i="35"/>
  <c r="F42" i="35"/>
  <c r="AR461" i="23"/>
  <c r="AF448" i="23"/>
  <c r="AJ448" i="23" s="1"/>
  <c r="AR462" i="23"/>
  <c r="AK454" i="23"/>
  <c r="AF449" i="23"/>
  <c r="AJ449" i="23" s="1"/>
  <c r="AR463" i="23"/>
  <c r="AK455" i="23"/>
  <c r="L461" i="23"/>
  <c r="AD475" i="23" s="1"/>
  <c r="O442" i="1"/>
  <c r="O438" i="1"/>
  <c r="AF446" i="23"/>
  <c r="AJ446" i="23" s="1"/>
  <c r="AF447" i="23"/>
  <c r="AJ447" i="23" s="1"/>
  <c r="AK453" i="23"/>
  <c r="AD453" i="23"/>
  <c r="AI446" i="23"/>
  <c r="AS446" i="23"/>
  <c r="AI448" i="23"/>
  <c r="AS448" i="23"/>
  <c r="AS450" i="23"/>
  <c r="AI450" i="23"/>
  <c r="AK452" i="23"/>
  <c r="AD451" i="23"/>
  <c r="AK450" i="23"/>
  <c r="AS447" i="23"/>
  <c r="AI447" i="23"/>
  <c r="AS449" i="23"/>
  <c r="AI449" i="23"/>
  <c r="AD452" i="23"/>
  <c r="AK451" i="23"/>
  <c r="E440" i="23"/>
  <c r="AC454" i="23" s="1"/>
  <c r="I10562" i="3"/>
  <c r="I10570" i="3"/>
  <c r="I10582" i="3"/>
  <c r="K10466" i="3"/>
  <c r="K10467" i="3"/>
  <c r="I10580" i="3"/>
  <c r="I10584" i="3"/>
  <c r="AL445" i="23"/>
  <c r="AI441" i="23"/>
  <c r="AF444" i="23"/>
  <c r="AJ444" i="23" s="1"/>
  <c r="AS444" i="23"/>
  <c r="AI444" i="23"/>
  <c r="AI442" i="23"/>
  <c r="AS443" i="23"/>
  <c r="AI443" i="23"/>
  <c r="AI440" i="23"/>
  <c r="AS441" i="23"/>
  <c r="AF445" i="23"/>
  <c r="AJ445" i="23" s="1"/>
  <c r="AI445" i="23"/>
  <c r="AS445" i="23"/>
  <c r="AL444" i="23"/>
  <c r="C441" i="23"/>
  <c r="AI437" i="23"/>
  <c r="AS439" i="23"/>
  <c r="AS440" i="23"/>
  <c r="U439" i="23"/>
  <c r="S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S437"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T436" i="23"/>
  <c r="Z436" i="23"/>
  <c r="AA436" i="23"/>
  <c r="AH436" i="23"/>
  <c r="AI436" i="23"/>
  <c r="AM436" i="23"/>
  <c r="AO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AA435" i="23"/>
  <c r="T434" i="23"/>
  <c r="Z434" i="23"/>
  <c r="AA434" i="23"/>
  <c r="AH434" i="23"/>
  <c r="AM434" i="23"/>
  <c r="AO434" i="23"/>
  <c r="T435" i="23"/>
  <c r="Z435" i="23"/>
  <c r="AH435" i="23"/>
  <c r="AI435" i="23"/>
  <c r="AM435" i="23"/>
  <c r="AO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T433" i="23"/>
  <c r="T428" i="23"/>
  <c r="T429" i="23"/>
  <c r="T430" i="23"/>
  <c r="T431" i="23"/>
  <c r="T432" i="23"/>
  <c r="Z429" i="23"/>
  <c r="Z430" i="23"/>
  <c r="Z431" i="23"/>
  <c r="Z432" i="23"/>
  <c r="Z433" i="23"/>
  <c r="M433" i="1"/>
  <c r="M430" i="1"/>
  <c r="N430" i="1"/>
  <c r="P430" i="1"/>
  <c r="M431" i="1"/>
  <c r="N431" i="1"/>
  <c r="O437" i="1" s="1"/>
  <c r="P431" i="1"/>
  <c r="M429" i="1"/>
  <c r="AM433" i="23"/>
  <c r="AO433" i="23"/>
  <c r="AH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H432" i="23"/>
  <c r="AM432" i="23"/>
  <c r="AO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M213" i="23"/>
  <c r="AM214" i="23"/>
  <c r="AM215" i="23"/>
  <c r="AM216" i="23"/>
  <c r="AM217" i="23"/>
  <c r="AM218" i="23"/>
  <c r="AM219" i="23"/>
  <c r="AM220" i="23"/>
  <c r="AM221" i="23"/>
  <c r="AM222" i="23"/>
  <c r="AM223" i="23"/>
  <c r="AM224" i="23"/>
  <c r="AM225" i="23"/>
  <c r="AM226" i="23"/>
  <c r="AM227" i="23"/>
  <c r="AM228" i="23"/>
  <c r="AM229" i="23"/>
  <c r="AM230" i="23"/>
  <c r="AM231" i="23"/>
  <c r="AM232" i="23"/>
  <c r="AM233" i="23"/>
  <c r="AM234" i="23"/>
  <c r="AM235" i="23"/>
  <c r="AM236" i="23"/>
  <c r="AM237" i="23"/>
  <c r="AM238" i="23"/>
  <c r="AM239" i="23"/>
  <c r="AM240" i="23"/>
  <c r="AM241" i="23"/>
  <c r="AM242" i="23"/>
  <c r="AM243" i="23"/>
  <c r="AM244" i="23"/>
  <c r="AM245" i="23"/>
  <c r="AM246" i="23"/>
  <c r="AM247" i="23"/>
  <c r="AM248" i="23"/>
  <c r="AM249" i="23"/>
  <c r="AM250" i="23"/>
  <c r="AM251" i="23"/>
  <c r="AM252" i="23"/>
  <c r="AM253" i="23"/>
  <c r="AM254" i="23"/>
  <c r="AM255" i="23"/>
  <c r="AM256" i="23"/>
  <c r="AM257" i="23"/>
  <c r="AM258" i="23"/>
  <c r="AM259" i="23"/>
  <c r="AM260" i="23"/>
  <c r="AM261" i="23"/>
  <c r="AM262" i="23"/>
  <c r="AM263" i="23"/>
  <c r="AM264" i="23"/>
  <c r="AM265" i="23"/>
  <c r="AM266" i="23"/>
  <c r="AM267" i="23"/>
  <c r="AM268" i="23"/>
  <c r="AM269" i="23"/>
  <c r="AM270" i="23"/>
  <c r="AM271" i="23"/>
  <c r="AM272" i="23"/>
  <c r="AM273" i="23"/>
  <c r="AM274" i="23"/>
  <c r="AM275" i="23"/>
  <c r="AM276" i="23"/>
  <c r="AM277" i="23"/>
  <c r="AM278" i="23"/>
  <c r="AM279" i="23"/>
  <c r="AM280" i="23"/>
  <c r="AM281" i="23"/>
  <c r="AM282" i="23"/>
  <c r="AM283" i="23"/>
  <c r="AM284" i="23"/>
  <c r="AM285" i="23"/>
  <c r="AM286" i="23"/>
  <c r="AM287" i="23"/>
  <c r="AM288" i="23"/>
  <c r="AM289" i="23"/>
  <c r="AM290" i="23"/>
  <c r="AM291" i="23"/>
  <c r="AM292" i="23"/>
  <c r="AM293" i="23"/>
  <c r="AM294" i="23"/>
  <c r="AM295" i="23"/>
  <c r="AM296" i="23"/>
  <c r="AM297" i="23"/>
  <c r="AM298" i="23"/>
  <c r="AM299" i="23"/>
  <c r="AM300" i="23"/>
  <c r="AM301" i="23"/>
  <c r="AM302" i="23"/>
  <c r="AM303" i="23"/>
  <c r="AM304" i="23"/>
  <c r="AM305" i="23"/>
  <c r="AM306" i="23"/>
  <c r="AM307" i="23"/>
  <c r="AM308" i="23"/>
  <c r="AM309" i="23"/>
  <c r="AM310" i="23"/>
  <c r="AM311" i="23"/>
  <c r="AM312" i="23"/>
  <c r="AM313" i="23"/>
  <c r="AM314" i="23"/>
  <c r="AM315" i="23"/>
  <c r="AM316" i="23"/>
  <c r="AM317" i="23"/>
  <c r="AM318" i="23"/>
  <c r="AM319" i="23"/>
  <c r="AM320" i="23"/>
  <c r="AM321" i="23"/>
  <c r="AM322" i="23"/>
  <c r="AM323" i="23"/>
  <c r="AM324" i="23"/>
  <c r="AM325" i="23"/>
  <c r="AM326" i="23"/>
  <c r="AM327" i="23"/>
  <c r="AM328" i="23"/>
  <c r="AM329" i="23"/>
  <c r="AM330" i="23"/>
  <c r="AM331" i="23"/>
  <c r="AM332" i="23"/>
  <c r="AM333" i="23"/>
  <c r="AM334" i="23"/>
  <c r="AM335" i="23"/>
  <c r="AM336" i="23"/>
  <c r="AM337" i="23"/>
  <c r="AM338" i="23"/>
  <c r="AM339" i="23"/>
  <c r="AM340" i="23"/>
  <c r="AM341" i="23"/>
  <c r="AM342" i="23"/>
  <c r="AM343" i="23"/>
  <c r="AM344" i="23"/>
  <c r="AM345" i="23"/>
  <c r="AM346" i="23"/>
  <c r="AM347" i="23"/>
  <c r="AM348" i="23"/>
  <c r="AM349" i="23"/>
  <c r="AM350" i="23"/>
  <c r="AM351" i="23"/>
  <c r="AM352" i="23"/>
  <c r="AM353" i="23"/>
  <c r="AM354" i="23"/>
  <c r="AM355" i="23"/>
  <c r="AM356" i="23"/>
  <c r="AM357" i="23"/>
  <c r="AM358" i="23"/>
  <c r="AM359" i="23"/>
  <c r="AM360" i="23"/>
  <c r="AM361" i="23"/>
  <c r="AM362" i="23"/>
  <c r="AM363" i="23"/>
  <c r="AM364" i="23"/>
  <c r="AM365" i="23"/>
  <c r="AM366" i="23"/>
  <c r="AM367" i="23"/>
  <c r="AM368" i="23"/>
  <c r="AM369" i="23"/>
  <c r="AM370" i="23"/>
  <c r="AM371" i="23"/>
  <c r="AM372" i="23"/>
  <c r="AM373" i="23"/>
  <c r="AM374" i="23"/>
  <c r="AM375" i="23"/>
  <c r="AM376" i="23"/>
  <c r="AM377" i="23"/>
  <c r="AM378" i="23"/>
  <c r="AM379" i="23"/>
  <c r="AM380" i="23"/>
  <c r="AM381" i="23"/>
  <c r="AM382" i="23"/>
  <c r="AM383" i="23"/>
  <c r="AM384" i="23"/>
  <c r="AM385" i="23"/>
  <c r="AM386" i="23"/>
  <c r="AM387" i="23"/>
  <c r="AM388" i="23"/>
  <c r="AM389" i="23"/>
  <c r="AM390" i="23"/>
  <c r="AM391" i="23"/>
  <c r="AM392" i="23"/>
  <c r="AM393" i="23"/>
  <c r="AM394" i="23"/>
  <c r="AM395" i="23"/>
  <c r="AM396" i="23"/>
  <c r="AM397" i="23"/>
  <c r="AM398" i="23"/>
  <c r="AM399" i="23"/>
  <c r="AM400" i="23"/>
  <c r="AM401" i="23"/>
  <c r="AM402" i="23"/>
  <c r="AM403" i="23"/>
  <c r="AM404" i="23"/>
  <c r="AM405" i="23"/>
  <c r="AM406" i="23"/>
  <c r="AM407" i="23"/>
  <c r="AM408" i="23"/>
  <c r="AM409" i="23"/>
  <c r="AM410" i="23"/>
  <c r="AM411" i="23"/>
  <c r="AM412" i="23"/>
  <c r="AM413" i="23"/>
  <c r="AM414" i="23"/>
  <c r="AM415" i="23"/>
  <c r="AM416" i="23"/>
  <c r="AM417" i="23"/>
  <c r="AM418" i="23"/>
  <c r="AM419" i="23"/>
  <c r="AM420" i="23"/>
  <c r="AM421" i="23"/>
  <c r="AM422" i="23"/>
  <c r="AM423" i="23"/>
  <c r="AM424" i="23"/>
  <c r="AM425" i="23"/>
  <c r="AM426" i="23"/>
  <c r="AM427" i="23"/>
  <c r="AM431" i="23"/>
  <c r="AM430" i="23"/>
  <c r="AO430" i="23"/>
  <c r="AT430" i="23"/>
  <c r="AO431" i="23"/>
  <c r="AT431" i="23"/>
  <c r="AB424" i="23"/>
  <c r="AN431" i="23" s="1"/>
  <c r="AH430" i="23"/>
  <c r="AH431" i="23"/>
  <c r="J431" i="23"/>
  <c r="J432" i="23" s="1"/>
  <c r="J433" i="23" s="1"/>
  <c r="J434" i="23" s="1"/>
  <c r="J435" i="23" s="1"/>
  <c r="J436" i="23" s="1"/>
  <c r="F431" i="23"/>
  <c r="J430" i="23"/>
  <c r="F430" i="23"/>
  <c r="F429" i="23"/>
  <c r="AM429" i="23"/>
  <c r="AO429" i="23"/>
  <c r="AT429" i="23"/>
  <c r="AH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J506" i="1" s="1"/>
  <c r="J507"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E510" i="23" l="1"/>
  <c r="AR456" i="23"/>
  <c r="AR455" i="23"/>
  <c r="AR457" i="23"/>
  <c r="AL514" i="23"/>
  <c r="AG507" i="23"/>
  <c r="Y507" i="23"/>
  <c r="C509" i="23"/>
  <c r="AC523" i="23" s="1"/>
  <c r="AD523" i="23" s="1"/>
  <c r="S508" i="23"/>
  <c r="E513" i="1"/>
  <c r="E514" i="1" s="1"/>
  <c r="E515" i="1" s="1"/>
  <c r="E516" i="1" s="1"/>
  <c r="E517" i="1" s="1"/>
  <c r="AI431" i="23"/>
  <c r="AL468" i="23"/>
  <c r="Y461" i="23"/>
  <c r="S462" i="23"/>
  <c r="U462" i="23"/>
  <c r="C463" i="23"/>
  <c r="E476" i="23"/>
  <c r="E44" i="35"/>
  <c r="F43" i="35"/>
  <c r="U440" i="23"/>
  <c r="L440" i="23"/>
  <c r="AD454" i="23" s="1"/>
  <c r="L462" i="23"/>
  <c r="AD476" i="23" s="1"/>
  <c r="AK448" i="23"/>
  <c r="AK449" i="23"/>
  <c r="E441" i="23"/>
  <c r="AC455" i="23" s="1"/>
  <c r="AK447" i="23"/>
  <c r="AL446" i="23"/>
  <c r="S440" i="23"/>
  <c r="Y440" i="23" s="1"/>
  <c r="AF441" i="23"/>
  <c r="AJ441" i="23" s="1"/>
  <c r="AF443" i="23"/>
  <c r="AJ443" i="23" s="1"/>
  <c r="C442" i="23"/>
  <c r="C443" i="23" s="1"/>
  <c r="AF442" i="23"/>
  <c r="AJ442" i="23" s="1"/>
  <c r="I10445" i="3"/>
  <c r="I10449" i="3"/>
  <c r="I10453" i="3"/>
  <c r="I10457" i="3"/>
  <c r="I10461" i="3"/>
  <c r="I10465" i="3"/>
  <c r="O436" i="1"/>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E511" i="23" l="1"/>
  <c r="E518" i="1"/>
  <c r="R517" i="1"/>
  <c r="T517" i="1"/>
  <c r="AL515" i="23"/>
  <c r="AG508" i="23"/>
  <c r="Y508" i="23"/>
  <c r="L463" i="23"/>
  <c r="AC477" i="23"/>
  <c r="C510" i="23"/>
  <c r="AC524" i="23" s="1"/>
  <c r="AD524" i="23" s="1"/>
  <c r="S509" i="23"/>
  <c r="AL516" i="23" s="1"/>
  <c r="T516" i="1"/>
  <c r="R516" i="1"/>
  <c r="AL469" i="23"/>
  <c r="Y462" i="23"/>
  <c r="AG462" i="23"/>
  <c r="E477" i="23"/>
  <c r="C464" i="23"/>
  <c r="AC478" i="23" s="1"/>
  <c r="S463" i="23"/>
  <c r="U463" i="23"/>
  <c r="E45" i="35"/>
  <c r="F44" i="35"/>
  <c r="U441" i="23"/>
  <c r="L441" i="23"/>
  <c r="AD455" i="23" s="1"/>
  <c r="S441" i="23"/>
  <c r="Y441" i="23" s="1"/>
  <c r="AL447" i="23"/>
  <c r="E442" i="23"/>
  <c r="C444"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M428" i="23"/>
  <c r="M10227" i="3"/>
  <c r="Z428" i="23"/>
  <c r="AA428" i="23"/>
  <c r="AH428" i="23"/>
  <c r="AO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B427" i="23"/>
  <c r="AA429" i="23"/>
  <c r="AA430" i="23"/>
  <c r="AA431" i="23"/>
  <c r="AH427" i="23"/>
  <c r="T426" i="23"/>
  <c r="T427" i="23"/>
  <c r="Z426" i="23"/>
  <c r="AA426" i="23"/>
  <c r="AB426" i="23"/>
  <c r="AH426" i="23"/>
  <c r="AO426" i="23"/>
  <c r="AT426" i="23"/>
  <c r="Z427" i="23"/>
  <c r="AA427" i="23"/>
  <c r="AO427" i="23"/>
  <c r="AT427" i="23"/>
  <c r="F427" i="23"/>
  <c r="F426" i="23"/>
  <c r="N425" i="1"/>
  <c r="P425" i="1"/>
  <c r="N426" i="1"/>
  <c r="P426" i="1"/>
  <c r="M425" i="1"/>
  <c r="M426" i="1"/>
  <c r="S427" i="1"/>
  <c r="F427" i="1"/>
  <c r="E512" i="23" l="1"/>
  <c r="E513" i="23" s="1"/>
  <c r="E514" i="23" s="1"/>
  <c r="E515" i="23" s="1"/>
  <c r="E516" i="23" s="1"/>
  <c r="E517" i="23" s="1"/>
  <c r="E518" i="23" s="1"/>
  <c r="E519" i="23" s="1"/>
  <c r="E520" i="23" s="1"/>
  <c r="E521" i="23" s="1"/>
  <c r="E522" i="23" s="1"/>
  <c r="E523" i="23" s="1"/>
  <c r="E524" i="23" s="1"/>
  <c r="E525" i="23" s="1"/>
  <c r="R518" i="1"/>
  <c r="E519" i="1"/>
  <c r="T518" i="1"/>
  <c r="U442" i="23"/>
  <c r="AC456" i="23"/>
  <c r="Y509" i="23"/>
  <c r="AG509" i="23"/>
  <c r="AD477" i="23"/>
  <c r="C511" i="23"/>
  <c r="AC525" i="23" s="1"/>
  <c r="AD525" i="23" s="1"/>
  <c r="S510" i="23"/>
  <c r="AL517" i="23" s="1"/>
  <c r="AN433" i="23"/>
  <c r="AN434" i="23"/>
  <c r="AG463" i="23"/>
  <c r="AL470" i="23"/>
  <c r="Y463" i="23"/>
  <c r="C465" i="23"/>
  <c r="AC479" i="23" s="1"/>
  <c r="S464" i="23"/>
  <c r="U464" i="23"/>
  <c r="AD478" i="23"/>
  <c r="E478" i="23"/>
  <c r="E46" i="35"/>
  <c r="F45" i="35"/>
  <c r="S442" i="23"/>
  <c r="Y442" i="23" s="1"/>
  <c r="L442" i="23"/>
  <c r="AD456" i="23" s="1"/>
  <c r="AL448" i="23"/>
  <c r="O431" i="1"/>
  <c r="AR448" i="23"/>
  <c r="AR447" i="23"/>
  <c r="AR452" i="23"/>
  <c r="AR451" i="23"/>
  <c r="AR449" i="23"/>
  <c r="AR450" i="23"/>
  <c r="E443" i="23"/>
  <c r="C445" i="23"/>
  <c r="C446" i="23" s="1"/>
  <c r="AC460" i="23" s="1"/>
  <c r="AK444" i="23"/>
  <c r="AK443" i="23"/>
  <c r="AK442" i="23"/>
  <c r="AK439" i="23"/>
  <c r="AK440" i="23"/>
  <c r="AK441" i="23"/>
  <c r="O433" i="1"/>
  <c r="O434" i="1"/>
  <c r="AI434" i="23"/>
  <c r="AS434" i="23"/>
  <c r="AS433" i="23"/>
  <c r="AI433" i="23"/>
  <c r="AF436" i="23"/>
  <c r="AJ436" i="23" s="1"/>
  <c r="AF438" i="23"/>
  <c r="AJ438" i="23" s="1"/>
  <c r="AF434" i="23"/>
  <c r="AJ434" i="23" s="1"/>
  <c r="AF437" i="23"/>
  <c r="AJ437" i="23" s="1"/>
  <c r="AF435" i="23"/>
  <c r="AJ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29" i="3"/>
  <c r="I10231" i="3"/>
  <c r="I10233" i="3"/>
  <c r="I10235" i="3"/>
  <c r="I10236" i="3"/>
  <c r="I10247" i="3"/>
  <c r="I10228" i="3"/>
  <c r="I10230" i="3"/>
  <c r="I10237" i="3"/>
  <c r="I10238" i="3"/>
  <c r="I10245" i="3"/>
  <c r="I10246" i="3"/>
  <c r="I10227" i="3"/>
  <c r="I10232" i="3"/>
  <c r="I10240" i="3"/>
  <c r="I10248" i="3"/>
  <c r="I10234" i="3"/>
  <c r="I10242" i="3"/>
  <c r="E520" i="1" l="1"/>
  <c r="E521" i="1" s="1"/>
  <c r="R519" i="1"/>
  <c r="T519" i="1"/>
  <c r="E479" i="23"/>
  <c r="L443" i="23"/>
  <c r="AC457" i="23"/>
  <c r="AG510" i="23"/>
  <c r="Y510" i="23"/>
  <c r="AL449" i="23"/>
  <c r="C512" i="23"/>
  <c r="S511" i="23"/>
  <c r="AL518" i="23" s="1"/>
  <c r="C466" i="23"/>
  <c r="AC480" i="23" s="1"/>
  <c r="S465" i="23"/>
  <c r="U465" i="23"/>
  <c r="AD479" i="23"/>
  <c r="AG464" i="23"/>
  <c r="AL471" i="23"/>
  <c r="Y464" i="23"/>
  <c r="E47" i="35"/>
  <c r="F46" i="35"/>
  <c r="C447" i="23"/>
  <c r="AC461" i="23" s="1"/>
  <c r="E444" i="23"/>
  <c r="U443" i="23"/>
  <c r="S443" i="23"/>
  <c r="Y443" i="23" s="1"/>
  <c r="S426" i="1"/>
  <c r="F426" i="1"/>
  <c r="T425" i="23"/>
  <c r="Z425" i="23"/>
  <c r="AA425" i="23"/>
  <c r="AB425" i="23"/>
  <c r="AH425" i="23"/>
  <c r="AO425" i="23"/>
  <c r="AT425" i="23"/>
  <c r="F425" i="23"/>
  <c r="P418" i="1"/>
  <c r="N422" i="1"/>
  <c r="P422" i="1"/>
  <c r="N423" i="1"/>
  <c r="P423" i="1"/>
  <c r="N424" i="1"/>
  <c r="O430" i="1" s="1"/>
  <c r="P424" i="1"/>
  <c r="M422" i="1"/>
  <c r="M423" i="1"/>
  <c r="M424" i="1"/>
  <c r="S425" i="1"/>
  <c r="F425" i="1"/>
  <c r="T424" i="23"/>
  <c r="Z424" i="23"/>
  <c r="AA424" i="23"/>
  <c r="AH424" i="23"/>
  <c r="AO424" i="23"/>
  <c r="AT424" i="23"/>
  <c r="F424" i="2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B423" i="23"/>
  <c r="T423" i="23"/>
  <c r="Z423" i="23"/>
  <c r="AA423" i="23"/>
  <c r="AH423" i="23"/>
  <c r="AO423" i="23"/>
  <c r="F423" i="23"/>
  <c r="E522" i="1" l="1"/>
  <c r="T521" i="1"/>
  <c r="R521" i="1"/>
  <c r="R520" i="1"/>
  <c r="T520" i="1"/>
  <c r="AD457" i="23"/>
  <c r="L444" i="23"/>
  <c r="AD458" i="23" s="1"/>
  <c r="AC458" i="23"/>
  <c r="C513" i="23"/>
  <c r="S512" i="23"/>
  <c r="AL519" i="23" s="1"/>
  <c r="AG511" i="23"/>
  <c r="Y511" i="23"/>
  <c r="AN430" i="23"/>
  <c r="AN432" i="23"/>
  <c r="AL472" i="23"/>
  <c r="Y465" i="23"/>
  <c r="AG465" i="23"/>
  <c r="C467" i="23"/>
  <c r="AC481" i="23" s="1"/>
  <c r="S466" i="23"/>
  <c r="U466" i="23"/>
  <c r="AD480" i="23"/>
  <c r="E48" i="35"/>
  <c r="F47" i="35"/>
  <c r="AL450" i="23"/>
  <c r="E445" i="23"/>
  <c r="S444" i="23"/>
  <c r="Y444" i="23" s="1"/>
  <c r="U444" i="23"/>
  <c r="AR446" i="23"/>
  <c r="C448" i="23"/>
  <c r="AC462" i="23" s="1"/>
  <c r="AR444" i="23"/>
  <c r="AR445" i="23"/>
  <c r="AK437" i="23"/>
  <c r="AK438" i="23"/>
  <c r="AS432" i="23"/>
  <c r="AF430" i="23"/>
  <c r="AJ430" i="23" s="1"/>
  <c r="AK436" i="23"/>
  <c r="O429" i="1"/>
  <c r="O428" i="1"/>
  <c r="AI430" i="23"/>
  <c r="AI432" i="23"/>
  <c r="AF431" i="23"/>
  <c r="AJ431" i="23" s="1"/>
  <c r="AS430" i="23"/>
  <c r="E523" i="1" l="1"/>
  <c r="T522" i="1"/>
  <c r="R522" i="1"/>
  <c r="L445" i="23"/>
  <c r="AC459" i="23"/>
  <c r="AG512" i="23"/>
  <c r="Y512" i="23"/>
  <c r="C514" i="23"/>
  <c r="S513" i="23"/>
  <c r="AL520" i="23" s="1"/>
  <c r="C468" i="23"/>
  <c r="AC482" i="23" s="1"/>
  <c r="AD482" i="23" s="1"/>
  <c r="S467" i="23"/>
  <c r="U467" i="23"/>
  <c r="AD481" i="23"/>
  <c r="Y466" i="23"/>
  <c r="AL473" i="23"/>
  <c r="AG466" i="23"/>
  <c r="E49" i="35"/>
  <c r="F48" i="35"/>
  <c r="AL451" i="23"/>
  <c r="AG444" i="23"/>
  <c r="C449" i="23"/>
  <c r="AC463" i="23" s="1"/>
  <c r="L446" i="23"/>
  <c r="AD460" i="23" s="1"/>
  <c r="U445" i="23"/>
  <c r="S445" i="23"/>
  <c r="Y445" i="23" s="1"/>
  <c r="AB422" i="23"/>
  <c r="T422" i="23"/>
  <c r="Z422" i="23"/>
  <c r="AA422" i="23"/>
  <c r="AH422" i="23"/>
  <c r="AO422" i="23"/>
  <c r="F422" i="2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N421" i="1"/>
  <c r="O427" i="1" s="1"/>
  <c r="M421" i="1"/>
  <c r="P421" i="1"/>
  <c r="S422" i="1"/>
  <c r="F422" i="1"/>
  <c r="R523" i="1" l="1"/>
  <c r="E524" i="1"/>
  <c r="T523" i="1"/>
  <c r="Y513" i="23"/>
  <c r="AG513" i="23"/>
  <c r="C515" i="23"/>
  <c r="S514" i="23"/>
  <c r="AL521" i="23" s="1"/>
  <c r="AD459" i="23"/>
  <c r="AN429" i="23"/>
  <c r="C469" i="23"/>
  <c r="AC483" i="23" s="1"/>
  <c r="AD483" i="23" s="1"/>
  <c r="U468" i="23"/>
  <c r="S468" i="23"/>
  <c r="Y467" i="23"/>
  <c r="AL474" i="23"/>
  <c r="AG467" i="23"/>
  <c r="E50" i="35"/>
  <c r="F49" i="35"/>
  <c r="L447" i="23"/>
  <c r="AD461" i="23" s="1"/>
  <c r="U446" i="23"/>
  <c r="S446" i="23"/>
  <c r="Y446" i="23" s="1"/>
  <c r="C450" i="23"/>
  <c r="AC464" i="23" s="1"/>
  <c r="AL452" i="23"/>
  <c r="AG445" i="23"/>
  <c r="AR443" i="23"/>
  <c r="AF429" i="23"/>
  <c r="AJ429" i="23" s="1"/>
  <c r="AK435" i="23"/>
  <c r="AI429" i="23"/>
  <c r="AS429" i="23"/>
  <c r="E525" i="1" l="1"/>
  <c r="R524" i="1"/>
  <c r="T524" i="1"/>
  <c r="AG514" i="23"/>
  <c r="Y514" i="23"/>
  <c r="C516" i="23"/>
  <c r="S515" i="23"/>
  <c r="AL522" i="23" s="1"/>
  <c r="AL475" i="23"/>
  <c r="AG468" i="23"/>
  <c r="Y468" i="23"/>
  <c r="C470" i="23"/>
  <c r="AC484" i="23" s="1"/>
  <c r="AD484" i="23" s="1"/>
  <c r="S469" i="23"/>
  <c r="U469" i="23"/>
  <c r="E51" i="35"/>
  <c r="F50" i="35"/>
  <c r="AG446" i="23"/>
  <c r="AL453" i="23"/>
  <c r="C451" i="23"/>
  <c r="AC465" i="23" s="1"/>
  <c r="L448" i="23"/>
  <c r="AD462" i="23" s="1"/>
  <c r="U447" i="23"/>
  <c r="S447" i="23"/>
  <c r="Y447" i="23" s="1"/>
  <c r="AO402" i="23"/>
  <c r="AO403" i="23"/>
  <c r="AO404" i="23"/>
  <c r="AO405" i="23"/>
  <c r="AO406" i="23"/>
  <c r="AO407" i="23"/>
  <c r="AO408" i="23"/>
  <c r="AO409" i="23"/>
  <c r="AO410" i="23"/>
  <c r="AO411" i="23"/>
  <c r="AO412" i="23"/>
  <c r="AO413" i="23"/>
  <c r="AO414" i="23"/>
  <c r="AO415" i="23"/>
  <c r="AO416" i="23"/>
  <c r="AO417" i="23"/>
  <c r="Z421" i="23"/>
  <c r="AA421" i="23"/>
  <c r="AB421" i="23"/>
  <c r="AH421" i="23"/>
  <c r="AO421" i="23"/>
  <c r="T421" i="23"/>
  <c r="F421" i="23"/>
  <c r="S421" i="1"/>
  <c r="F421" i="1"/>
  <c r="AA400" i="23"/>
  <c r="AO419" i="23"/>
  <c r="AO420" i="23"/>
  <c r="AO418" i="23"/>
  <c r="Z418" i="23"/>
  <c r="AA418" i="23"/>
  <c r="AB418" i="23"/>
  <c r="AH418" i="23"/>
  <c r="Z419" i="23"/>
  <c r="AA419" i="23"/>
  <c r="AB419" i="23"/>
  <c r="AH419" i="23"/>
  <c r="Z420" i="23"/>
  <c r="AA420" i="23"/>
  <c r="AB420" i="23"/>
  <c r="AH420" i="23"/>
  <c r="T420" i="23"/>
  <c r="Q420" i="23"/>
  <c r="F420" i="23"/>
  <c r="T419" i="23"/>
  <c r="Q419" i="23"/>
  <c r="F419" i="23"/>
  <c r="T418" i="23"/>
  <c r="Q418" i="23"/>
  <c r="F418" i="23"/>
  <c r="N419" i="1"/>
  <c r="P419" i="1"/>
  <c r="N420" i="1"/>
  <c r="P420" i="1"/>
  <c r="M419" i="1"/>
  <c r="M420" i="1"/>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F11017" i="3" s="1"/>
  <c r="F11041" i="3" s="1"/>
  <c r="F11065" i="3" s="1"/>
  <c r="F11089" i="3" s="1"/>
  <c r="F11113" i="3" s="1"/>
  <c r="F11137" i="3" s="1"/>
  <c r="F11161" i="3" s="1"/>
  <c r="F11185" i="3" s="1"/>
  <c r="F11209" i="3" s="1"/>
  <c r="F11233" i="3" s="1"/>
  <c r="F11257" i="3" s="1"/>
  <c r="F11281" i="3" s="1"/>
  <c r="F11305" i="3" s="1"/>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F11016" i="3" s="1"/>
  <c r="F11040" i="3" s="1"/>
  <c r="F11064" i="3" s="1"/>
  <c r="F11088" i="3" s="1"/>
  <c r="F11112" i="3" s="1"/>
  <c r="F11136" i="3" s="1"/>
  <c r="F11160" i="3" s="1"/>
  <c r="F11184" i="3" s="1"/>
  <c r="F11208" i="3" s="1"/>
  <c r="F11232" i="3" s="1"/>
  <c r="F11256" i="3" s="1"/>
  <c r="F11280" i="3" s="1"/>
  <c r="F11304" i="3" s="1"/>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F11015" i="3" s="1"/>
  <c r="F11039" i="3" s="1"/>
  <c r="F11063" i="3" s="1"/>
  <c r="F11087" i="3" s="1"/>
  <c r="F11111" i="3" s="1"/>
  <c r="F11135" i="3" s="1"/>
  <c r="F11159" i="3" s="1"/>
  <c r="F11183" i="3" s="1"/>
  <c r="F11207" i="3" s="1"/>
  <c r="F11231" i="3" s="1"/>
  <c r="F11255" i="3" s="1"/>
  <c r="F11279" i="3" s="1"/>
  <c r="F11303" i="3" s="1"/>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F11014" i="3" s="1"/>
  <c r="F11038" i="3" s="1"/>
  <c r="F11062" i="3" s="1"/>
  <c r="F11086" i="3" s="1"/>
  <c r="F11110" i="3" s="1"/>
  <c r="F11134" i="3" s="1"/>
  <c r="F11158" i="3" s="1"/>
  <c r="F11182" i="3" s="1"/>
  <c r="F11206" i="3" s="1"/>
  <c r="F11230" i="3" s="1"/>
  <c r="F11254" i="3" s="1"/>
  <c r="F11278" i="3" s="1"/>
  <c r="F11302" i="3" s="1"/>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F11013" i="3" s="1"/>
  <c r="F11037" i="3" s="1"/>
  <c r="F11061" i="3" s="1"/>
  <c r="F11085" i="3" s="1"/>
  <c r="F11109" i="3" s="1"/>
  <c r="F11133" i="3" s="1"/>
  <c r="F11157" i="3" s="1"/>
  <c r="F11181" i="3" s="1"/>
  <c r="F11205" i="3" s="1"/>
  <c r="F11229" i="3" s="1"/>
  <c r="F11253" i="3" s="1"/>
  <c r="F11277" i="3" s="1"/>
  <c r="F11301" i="3" s="1"/>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F11012" i="3" s="1"/>
  <c r="F11036" i="3" s="1"/>
  <c r="F11060" i="3" s="1"/>
  <c r="F11084" i="3" s="1"/>
  <c r="F11108" i="3" s="1"/>
  <c r="F11132" i="3" s="1"/>
  <c r="F11156" i="3" s="1"/>
  <c r="F11180" i="3" s="1"/>
  <c r="F11204" i="3" s="1"/>
  <c r="F11228" i="3" s="1"/>
  <c r="F11252" i="3" s="1"/>
  <c r="F11276" i="3" s="1"/>
  <c r="F11300" i="3" s="1"/>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F11011" i="3" s="1"/>
  <c r="F11035" i="3" s="1"/>
  <c r="F11059" i="3" s="1"/>
  <c r="F11083" i="3" s="1"/>
  <c r="F11107" i="3" s="1"/>
  <c r="F11131" i="3" s="1"/>
  <c r="F11155" i="3" s="1"/>
  <c r="F11179" i="3" s="1"/>
  <c r="F11203" i="3" s="1"/>
  <c r="F11227" i="3" s="1"/>
  <c r="F11251" i="3" s="1"/>
  <c r="F11275" i="3" s="1"/>
  <c r="F11299" i="3" s="1"/>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F11010" i="3" s="1"/>
  <c r="F11034" i="3" s="1"/>
  <c r="F11058" i="3" s="1"/>
  <c r="F11082" i="3" s="1"/>
  <c r="F11106" i="3" s="1"/>
  <c r="F11130" i="3" s="1"/>
  <c r="F11154" i="3" s="1"/>
  <c r="F11178" i="3" s="1"/>
  <c r="F11202" i="3" s="1"/>
  <c r="F11226" i="3" s="1"/>
  <c r="F11250" i="3" s="1"/>
  <c r="F11274" i="3" s="1"/>
  <c r="F11298" i="3" s="1"/>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F11009" i="3" s="1"/>
  <c r="F11033" i="3" s="1"/>
  <c r="F11057" i="3" s="1"/>
  <c r="F11081" i="3" s="1"/>
  <c r="F11105" i="3" s="1"/>
  <c r="F11129" i="3" s="1"/>
  <c r="F11153" i="3" s="1"/>
  <c r="F11177" i="3" s="1"/>
  <c r="F11201" i="3" s="1"/>
  <c r="F11225" i="3" s="1"/>
  <c r="F11249" i="3" s="1"/>
  <c r="F11273" i="3" s="1"/>
  <c r="F11297" i="3" s="1"/>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F11008" i="3" s="1"/>
  <c r="F11032" i="3" s="1"/>
  <c r="F11056" i="3" s="1"/>
  <c r="F11080" i="3" s="1"/>
  <c r="F11104" i="3" s="1"/>
  <c r="F11128" i="3" s="1"/>
  <c r="F11152" i="3" s="1"/>
  <c r="F11176" i="3" s="1"/>
  <c r="F11200" i="3" s="1"/>
  <c r="F11224" i="3" s="1"/>
  <c r="F11248" i="3" s="1"/>
  <c r="F11272" i="3" s="1"/>
  <c r="F11296" i="3" s="1"/>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F11007" i="3" s="1"/>
  <c r="F11031" i="3" s="1"/>
  <c r="F11055" i="3" s="1"/>
  <c r="F11079" i="3" s="1"/>
  <c r="F11103" i="3" s="1"/>
  <c r="F11127" i="3" s="1"/>
  <c r="F11151" i="3" s="1"/>
  <c r="F11175" i="3" s="1"/>
  <c r="F11199" i="3" s="1"/>
  <c r="F11223" i="3" s="1"/>
  <c r="F11247" i="3" s="1"/>
  <c r="F11271" i="3" s="1"/>
  <c r="F11295" i="3" s="1"/>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F11006" i="3" s="1"/>
  <c r="F11030" i="3" s="1"/>
  <c r="F11054" i="3" s="1"/>
  <c r="F11078" i="3" s="1"/>
  <c r="F11102" i="3" s="1"/>
  <c r="F11126" i="3" s="1"/>
  <c r="F11150" i="3" s="1"/>
  <c r="F11174" i="3" s="1"/>
  <c r="F11198" i="3" s="1"/>
  <c r="F11222" i="3" s="1"/>
  <c r="F11246" i="3" s="1"/>
  <c r="F11270" i="3" s="1"/>
  <c r="F11294" i="3" s="1"/>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F11005" i="3" s="1"/>
  <c r="F11029" i="3" s="1"/>
  <c r="F11053" i="3" s="1"/>
  <c r="F11077" i="3" s="1"/>
  <c r="F11101" i="3" s="1"/>
  <c r="F11125" i="3" s="1"/>
  <c r="F11149" i="3" s="1"/>
  <c r="F11173" i="3" s="1"/>
  <c r="F11197" i="3" s="1"/>
  <c r="F11221" i="3" s="1"/>
  <c r="F11245" i="3" s="1"/>
  <c r="F11269" i="3" s="1"/>
  <c r="F11293" i="3" s="1"/>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F11004" i="3" s="1"/>
  <c r="F11028" i="3" s="1"/>
  <c r="F11052" i="3" s="1"/>
  <c r="F11076" i="3" s="1"/>
  <c r="F11100" i="3" s="1"/>
  <c r="F11124" i="3" s="1"/>
  <c r="F11148" i="3" s="1"/>
  <c r="F11172" i="3" s="1"/>
  <c r="F11196" i="3" s="1"/>
  <c r="F11220" i="3" s="1"/>
  <c r="F11244" i="3" s="1"/>
  <c r="F11268" i="3" s="1"/>
  <c r="F11292" i="3" s="1"/>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F11003" i="3" s="1"/>
  <c r="F11027" i="3" s="1"/>
  <c r="F11051" i="3" s="1"/>
  <c r="F11075" i="3" s="1"/>
  <c r="F11099" i="3" s="1"/>
  <c r="F11123" i="3" s="1"/>
  <c r="F11147" i="3" s="1"/>
  <c r="F11171" i="3" s="1"/>
  <c r="F11195" i="3" s="1"/>
  <c r="F11219" i="3" s="1"/>
  <c r="F11243" i="3" s="1"/>
  <c r="F11267" i="3" s="1"/>
  <c r="F11291" i="3" s="1"/>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F11002" i="3" s="1"/>
  <c r="F11026" i="3" s="1"/>
  <c r="F11050" i="3" s="1"/>
  <c r="F11074" i="3" s="1"/>
  <c r="F11098" i="3" s="1"/>
  <c r="F11122" i="3" s="1"/>
  <c r="F11146" i="3" s="1"/>
  <c r="F11170" i="3" s="1"/>
  <c r="F11194" i="3" s="1"/>
  <c r="F11218" i="3" s="1"/>
  <c r="F11242" i="3" s="1"/>
  <c r="F11266" i="3" s="1"/>
  <c r="F11290" i="3" s="1"/>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F11001" i="3" s="1"/>
  <c r="F11025" i="3" s="1"/>
  <c r="F11049" i="3" s="1"/>
  <c r="F11073" i="3" s="1"/>
  <c r="F11097" i="3" s="1"/>
  <c r="F11121" i="3" s="1"/>
  <c r="F11145" i="3" s="1"/>
  <c r="F11169" i="3" s="1"/>
  <c r="F11193" i="3" s="1"/>
  <c r="F11217" i="3" s="1"/>
  <c r="F11241" i="3" s="1"/>
  <c r="F11265" i="3" s="1"/>
  <c r="F11289" i="3" s="1"/>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F11000" i="3" s="1"/>
  <c r="F11024" i="3" s="1"/>
  <c r="F11048" i="3" s="1"/>
  <c r="F11072" i="3" s="1"/>
  <c r="F11096" i="3" s="1"/>
  <c r="F11120" i="3" s="1"/>
  <c r="F11144" i="3" s="1"/>
  <c r="F11168" i="3" s="1"/>
  <c r="F11192" i="3" s="1"/>
  <c r="F11216" i="3" s="1"/>
  <c r="F11240" i="3" s="1"/>
  <c r="F11264" i="3" s="1"/>
  <c r="F11288" i="3" s="1"/>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F10999" i="3" s="1"/>
  <c r="F11023" i="3" s="1"/>
  <c r="F11047" i="3" s="1"/>
  <c r="F11071" i="3" s="1"/>
  <c r="F11095" i="3" s="1"/>
  <c r="F11119" i="3" s="1"/>
  <c r="F11143" i="3" s="1"/>
  <c r="F11167" i="3" s="1"/>
  <c r="F11191" i="3" s="1"/>
  <c r="F11215" i="3" s="1"/>
  <c r="F11239" i="3" s="1"/>
  <c r="F11263" i="3" s="1"/>
  <c r="F11287" i="3" s="1"/>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F10998" i="3" s="1"/>
  <c r="F11022" i="3" s="1"/>
  <c r="F11046" i="3" s="1"/>
  <c r="F11070" i="3" s="1"/>
  <c r="F11094" i="3" s="1"/>
  <c r="F11118" i="3" s="1"/>
  <c r="F11142" i="3" s="1"/>
  <c r="F11166" i="3" s="1"/>
  <c r="F11190" i="3" s="1"/>
  <c r="F11214" i="3" s="1"/>
  <c r="F11238" i="3" s="1"/>
  <c r="F11262" i="3" s="1"/>
  <c r="F11286" i="3" s="1"/>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F10997" i="3" s="1"/>
  <c r="F11021" i="3" s="1"/>
  <c r="F11045" i="3" s="1"/>
  <c r="F11069" i="3" s="1"/>
  <c r="F11093" i="3" s="1"/>
  <c r="F11117" i="3" s="1"/>
  <c r="F11141" i="3" s="1"/>
  <c r="F11165" i="3" s="1"/>
  <c r="F11189" i="3" s="1"/>
  <c r="F11213" i="3" s="1"/>
  <c r="F11237" i="3" s="1"/>
  <c r="F11261" i="3" s="1"/>
  <c r="F11285" i="3" s="1"/>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F10996" i="3" s="1"/>
  <c r="F11020" i="3" s="1"/>
  <c r="F11044" i="3" s="1"/>
  <c r="F11068" i="3" s="1"/>
  <c r="F11092" i="3" s="1"/>
  <c r="F11116" i="3" s="1"/>
  <c r="F11140" i="3" s="1"/>
  <c r="F11164" i="3" s="1"/>
  <c r="F11188" i="3" s="1"/>
  <c r="F11212" i="3" s="1"/>
  <c r="F11236" i="3" s="1"/>
  <c r="F11260" i="3" s="1"/>
  <c r="F11284" i="3" s="1"/>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F10995" i="3" s="1"/>
  <c r="F11019" i="3" s="1"/>
  <c r="F11043" i="3" s="1"/>
  <c r="F11067" i="3" s="1"/>
  <c r="F11091" i="3" s="1"/>
  <c r="F11115" i="3" s="1"/>
  <c r="F11139" i="3" s="1"/>
  <c r="F11163" i="3" s="1"/>
  <c r="F11187" i="3" s="1"/>
  <c r="F11211" i="3" s="1"/>
  <c r="F11235" i="3" s="1"/>
  <c r="F11259" i="3" s="1"/>
  <c r="F11283" i="3" s="1"/>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T525" i="1" l="1"/>
  <c r="E526" i="1"/>
  <c r="R525" i="1"/>
  <c r="S516" i="23"/>
  <c r="C517" i="23"/>
  <c r="AG515" i="23"/>
  <c r="Y515" i="23"/>
  <c r="O425" i="1"/>
  <c r="AN427" i="23"/>
  <c r="AN426" i="23"/>
  <c r="AN425" i="23"/>
  <c r="AN428" i="23"/>
  <c r="C471" i="23"/>
  <c r="AC485" i="23" s="1"/>
  <c r="AD485" i="23" s="1"/>
  <c r="U470" i="23"/>
  <c r="S470" i="23"/>
  <c r="AL476" i="23"/>
  <c r="AG469" i="23"/>
  <c r="Y469" i="23"/>
  <c r="F11310" i="3"/>
  <c r="F11334" i="3" s="1"/>
  <c r="F11358" i="3" s="1"/>
  <c r="F11382" i="3" s="1"/>
  <c r="F11406" i="3" s="1"/>
  <c r="F11430" i="3" s="1"/>
  <c r="F11454" i="3" s="1"/>
  <c r="F11478" i="3" s="1"/>
  <c r="F11502" i="3" s="1"/>
  <c r="F11526" i="3" s="1"/>
  <c r="F11550" i="3" s="1"/>
  <c r="F11574" i="3" s="1"/>
  <c r="F11598" i="3" s="1"/>
  <c r="F11622" i="3" s="1"/>
  <c r="F11646" i="3" s="1"/>
  <c r="F11670" i="3" s="1"/>
  <c r="F11694" i="3" s="1"/>
  <c r="F11718" i="3" s="1"/>
  <c r="F11742" i="3" s="1"/>
  <c r="F11766" i="3" s="1"/>
  <c r="F11790" i="3" s="1"/>
  <c r="F11314" i="3"/>
  <c r="F11338" i="3" s="1"/>
  <c r="F11362" i="3" s="1"/>
  <c r="F11386" i="3" s="1"/>
  <c r="F11410" i="3" s="1"/>
  <c r="F11434" i="3" s="1"/>
  <c r="F11458" i="3" s="1"/>
  <c r="F11482" i="3" s="1"/>
  <c r="F11506" i="3" s="1"/>
  <c r="F11530" i="3" s="1"/>
  <c r="F11554" i="3" s="1"/>
  <c r="F11578" i="3" s="1"/>
  <c r="F11602" i="3" s="1"/>
  <c r="F11626" i="3" s="1"/>
  <c r="F11650" i="3" s="1"/>
  <c r="F11674" i="3" s="1"/>
  <c r="F11698" i="3" s="1"/>
  <c r="F11722" i="3" s="1"/>
  <c r="F11746" i="3" s="1"/>
  <c r="F11770" i="3" s="1"/>
  <c r="F11794" i="3" s="1"/>
  <c r="F11318" i="3"/>
  <c r="F11342" i="3" s="1"/>
  <c r="F11366" i="3" s="1"/>
  <c r="F11390" i="3" s="1"/>
  <c r="F11414" i="3" s="1"/>
  <c r="F11438" i="3" s="1"/>
  <c r="F11462" i="3" s="1"/>
  <c r="F11486" i="3" s="1"/>
  <c r="F11510" i="3" s="1"/>
  <c r="F11534" i="3" s="1"/>
  <c r="F11558" i="3" s="1"/>
  <c r="F11582" i="3" s="1"/>
  <c r="F11606" i="3" s="1"/>
  <c r="F11630" i="3" s="1"/>
  <c r="F11654" i="3" s="1"/>
  <c r="F11678" i="3" s="1"/>
  <c r="F11702" i="3" s="1"/>
  <c r="F11726" i="3" s="1"/>
  <c r="F11750" i="3" s="1"/>
  <c r="F11774" i="3" s="1"/>
  <c r="F11798" i="3" s="1"/>
  <c r="F11322" i="3"/>
  <c r="F11346" i="3" s="1"/>
  <c r="F11370" i="3" s="1"/>
  <c r="F11394" i="3" s="1"/>
  <c r="F11418" i="3" s="1"/>
  <c r="F11442" i="3" s="1"/>
  <c r="F11466" i="3" s="1"/>
  <c r="F11490" i="3" s="1"/>
  <c r="F11514" i="3" s="1"/>
  <c r="F11538" i="3" s="1"/>
  <c r="F11562" i="3" s="1"/>
  <c r="F11586" i="3" s="1"/>
  <c r="F11610" i="3" s="1"/>
  <c r="F11634" i="3" s="1"/>
  <c r="F11658" i="3" s="1"/>
  <c r="F11682" i="3" s="1"/>
  <c r="F11706" i="3" s="1"/>
  <c r="F11730" i="3" s="1"/>
  <c r="F11754" i="3" s="1"/>
  <c r="F11778" i="3" s="1"/>
  <c r="F11802" i="3" s="1"/>
  <c r="F11326" i="3"/>
  <c r="F11350" i="3" s="1"/>
  <c r="F11374" i="3" s="1"/>
  <c r="F11398" i="3" s="1"/>
  <c r="F11422" i="3" s="1"/>
  <c r="F11446" i="3" s="1"/>
  <c r="F11470" i="3" s="1"/>
  <c r="F11494" i="3" s="1"/>
  <c r="F11518" i="3" s="1"/>
  <c r="F11542" i="3" s="1"/>
  <c r="F11566" i="3" s="1"/>
  <c r="F11590" i="3" s="1"/>
  <c r="F11614" i="3" s="1"/>
  <c r="F11638" i="3" s="1"/>
  <c r="F11662" i="3" s="1"/>
  <c r="F11686" i="3" s="1"/>
  <c r="F11710" i="3" s="1"/>
  <c r="F11734" i="3" s="1"/>
  <c r="F11758" i="3" s="1"/>
  <c r="F11782" i="3" s="1"/>
  <c r="F11806" i="3" s="1"/>
  <c r="F11309" i="3"/>
  <c r="F11333" i="3" s="1"/>
  <c r="F11357" i="3" s="1"/>
  <c r="F11381" i="3" s="1"/>
  <c r="F11405" i="3" s="1"/>
  <c r="F11429" i="3" s="1"/>
  <c r="F11453" i="3" s="1"/>
  <c r="F11477" i="3" s="1"/>
  <c r="F11501" i="3" s="1"/>
  <c r="F11525" i="3" s="1"/>
  <c r="F11549" i="3" s="1"/>
  <c r="F11573" i="3" s="1"/>
  <c r="F11597" i="3" s="1"/>
  <c r="F11621" i="3" s="1"/>
  <c r="F11645" i="3" s="1"/>
  <c r="F11669" i="3" s="1"/>
  <c r="F11693" i="3" s="1"/>
  <c r="F11717" i="3" s="1"/>
  <c r="F11741" i="3" s="1"/>
  <c r="F11765" i="3" s="1"/>
  <c r="F11789" i="3" s="1"/>
  <c r="F11313" i="3"/>
  <c r="F11337" i="3" s="1"/>
  <c r="F11361" i="3" s="1"/>
  <c r="F11385" i="3" s="1"/>
  <c r="F11409" i="3" s="1"/>
  <c r="F11433" i="3" s="1"/>
  <c r="F11457" i="3" s="1"/>
  <c r="F11481" i="3" s="1"/>
  <c r="F11505" i="3" s="1"/>
  <c r="F11529" i="3" s="1"/>
  <c r="F11553" i="3" s="1"/>
  <c r="F11577" i="3" s="1"/>
  <c r="F11601" i="3" s="1"/>
  <c r="F11625" i="3" s="1"/>
  <c r="F11649" i="3" s="1"/>
  <c r="F11673" i="3" s="1"/>
  <c r="F11697" i="3" s="1"/>
  <c r="F11721" i="3" s="1"/>
  <c r="F11745" i="3" s="1"/>
  <c r="F11769" i="3" s="1"/>
  <c r="F11793" i="3" s="1"/>
  <c r="F11317" i="3"/>
  <c r="F11341" i="3" s="1"/>
  <c r="F11365" i="3" s="1"/>
  <c r="F11389" i="3" s="1"/>
  <c r="F11413" i="3" s="1"/>
  <c r="F11437" i="3" s="1"/>
  <c r="F11461" i="3" s="1"/>
  <c r="F11485" i="3" s="1"/>
  <c r="F11509" i="3" s="1"/>
  <c r="F11533" i="3" s="1"/>
  <c r="F11557" i="3" s="1"/>
  <c r="F11581" i="3" s="1"/>
  <c r="F11605" i="3" s="1"/>
  <c r="F11629" i="3" s="1"/>
  <c r="F11653" i="3" s="1"/>
  <c r="F11677" i="3" s="1"/>
  <c r="F11701" i="3" s="1"/>
  <c r="F11725" i="3" s="1"/>
  <c r="F11749" i="3" s="1"/>
  <c r="F11773" i="3" s="1"/>
  <c r="F11797" i="3" s="1"/>
  <c r="F11321" i="3"/>
  <c r="F11345" i="3" s="1"/>
  <c r="F11369" i="3" s="1"/>
  <c r="F11393" i="3" s="1"/>
  <c r="F11417" i="3" s="1"/>
  <c r="F11441" i="3" s="1"/>
  <c r="F11465" i="3" s="1"/>
  <c r="F11489" i="3" s="1"/>
  <c r="F11513" i="3" s="1"/>
  <c r="F11537" i="3" s="1"/>
  <c r="F11561" i="3" s="1"/>
  <c r="F11585" i="3" s="1"/>
  <c r="F11609" i="3" s="1"/>
  <c r="F11633" i="3" s="1"/>
  <c r="F11657" i="3" s="1"/>
  <c r="F11681" i="3" s="1"/>
  <c r="F11705" i="3" s="1"/>
  <c r="F11729" i="3" s="1"/>
  <c r="F11753" i="3" s="1"/>
  <c r="F11777" i="3" s="1"/>
  <c r="F11801" i="3" s="1"/>
  <c r="F11325" i="3"/>
  <c r="F11349" i="3" s="1"/>
  <c r="F11373" i="3" s="1"/>
  <c r="F11397" i="3" s="1"/>
  <c r="F11421" i="3" s="1"/>
  <c r="F11445" i="3" s="1"/>
  <c r="F11469" i="3" s="1"/>
  <c r="F11493" i="3" s="1"/>
  <c r="F11517" i="3" s="1"/>
  <c r="F11541" i="3" s="1"/>
  <c r="F11565" i="3" s="1"/>
  <c r="F11589" i="3" s="1"/>
  <c r="F11613" i="3" s="1"/>
  <c r="F11637" i="3" s="1"/>
  <c r="F11661" i="3" s="1"/>
  <c r="F11685" i="3" s="1"/>
  <c r="F11709" i="3" s="1"/>
  <c r="F11733" i="3" s="1"/>
  <c r="F11757" i="3" s="1"/>
  <c r="F11781" i="3" s="1"/>
  <c r="F11805" i="3" s="1"/>
  <c r="F11329" i="3"/>
  <c r="F11353" i="3" s="1"/>
  <c r="F11377" i="3" s="1"/>
  <c r="F11401" i="3" s="1"/>
  <c r="F11425" i="3" s="1"/>
  <c r="F11449" i="3" s="1"/>
  <c r="F11473" i="3" s="1"/>
  <c r="F11497" i="3" s="1"/>
  <c r="F11521" i="3" s="1"/>
  <c r="F11545" i="3" s="1"/>
  <c r="F11569" i="3" s="1"/>
  <c r="F11593" i="3" s="1"/>
  <c r="F11617" i="3" s="1"/>
  <c r="F11641" i="3" s="1"/>
  <c r="F11665" i="3" s="1"/>
  <c r="F11689" i="3" s="1"/>
  <c r="F11713" i="3" s="1"/>
  <c r="F11737" i="3" s="1"/>
  <c r="F11761" i="3" s="1"/>
  <c r="F11785" i="3" s="1"/>
  <c r="F11809" i="3" s="1"/>
  <c r="F11308" i="3"/>
  <c r="F11332" i="3" s="1"/>
  <c r="F11356" i="3" s="1"/>
  <c r="F11380" i="3" s="1"/>
  <c r="F11404" i="3" s="1"/>
  <c r="F11428" i="3" s="1"/>
  <c r="F11452" i="3" s="1"/>
  <c r="F11476" i="3" s="1"/>
  <c r="F11500" i="3" s="1"/>
  <c r="F11524" i="3" s="1"/>
  <c r="F11548" i="3" s="1"/>
  <c r="F11572" i="3" s="1"/>
  <c r="F11596" i="3" s="1"/>
  <c r="F11620" i="3" s="1"/>
  <c r="F11644" i="3" s="1"/>
  <c r="F11668" i="3" s="1"/>
  <c r="F11692" i="3" s="1"/>
  <c r="F11716" i="3" s="1"/>
  <c r="F11740" i="3" s="1"/>
  <c r="F11764" i="3" s="1"/>
  <c r="F11788" i="3" s="1"/>
  <c r="F11312" i="3"/>
  <c r="F11336" i="3" s="1"/>
  <c r="F11360" i="3" s="1"/>
  <c r="F11384" i="3" s="1"/>
  <c r="F11408" i="3" s="1"/>
  <c r="F11432" i="3" s="1"/>
  <c r="F11456" i="3" s="1"/>
  <c r="F11480" i="3" s="1"/>
  <c r="F11504" i="3" s="1"/>
  <c r="F11528" i="3" s="1"/>
  <c r="F11552" i="3" s="1"/>
  <c r="F11576" i="3" s="1"/>
  <c r="F11600" i="3" s="1"/>
  <c r="F11624" i="3" s="1"/>
  <c r="F11648" i="3" s="1"/>
  <c r="F11672" i="3" s="1"/>
  <c r="F11696" i="3" s="1"/>
  <c r="F11720" i="3" s="1"/>
  <c r="F11744" i="3" s="1"/>
  <c r="F11768" i="3" s="1"/>
  <c r="F11792" i="3" s="1"/>
  <c r="F11316" i="3"/>
  <c r="F11340" i="3" s="1"/>
  <c r="F11364" i="3" s="1"/>
  <c r="F11388" i="3" s="1"/>
  <c r="F11412" i="3" s="1"/>
  <c r="F11436" i="3" s="1"/>
  <c r="F11460" i="3" s="1"/>
  <c r="F11484" i="3" s="1"/>
  <c r="F11508" i="3" s="1"/>
  <c r="F11532" i="3" s="1"/>
  <c r="F11556" i="3" s="1"/>
  <c r="F11580" i="3" s="1"/>
  <c r="F11604" i="3" s="1"/>
  <c r="F11628" i="3" s="1"/>
  <c r="F11652" i="3" s="1"/>
  <c r="F11676" i="3" s="1"/>
  <c r="F11700" i="3" s="1"/>
  <c r="F11724" i="3" s="1"/>
  <c r="F11748" i="3" s="1"/>
  <c r="F11772" i="3" s="1"/>
  <c r="F11796" i="3" s="1"/>
  <c r="F11320" i="3"/>
  <c r="F11344" i="3" s="1"/>
  <c r="F11368" i="3" s="1"/>
  <c r="F11392" i="3" s="1"/>
  <c r="F11416" i="3" s="1"/>
  <c r="F11440" i="3" s="1"/>
  <c r="F11464" i="3" s="1"/>
  <c r="F11488" i="3" s="1"/>
  <c r="F11512" i="3" s="1"/>
  <c r="F11536" i="3" s="1"/>
  <c r="F11560" i="3" s="1"/>
  <c r="F11584" i="3" s="1"/>
  <c r="F11608" i="3" s="1"/>
  <c r="F11632" i="3" s="1"/>
  <c r="F11656" i="3" s="1"/>
  <c r="F11680" i="3" s="1"/>
  <c r="F11704" i="3" s="1"/>
  <c r="F11728" i="3" s="1"/>
  <c r="F11752" i="3" s="1"/>
  <c r="F11776" i="3" s="1"/>
  <c r="F11800" i="3" s="1"/>
  <c r="F11324" i="3"/>
  <c r="F11348" i="3" s="1"/>
  <c r="F11372" i="3" s="1"/>
  <c r="F11396" i="3" s="1"/>
  <c r="F11420" i="3" s="1"/>
  <c r="F11444" i="3" s="1"/>
  <c r="F11468" i="3" s="1"/>
  <c r="F11492" i="3" s="1"/>
  <c r="F11516" i="3" s="1"/>
  <c r="F11540" i="3" s="1"/>
  <c r="F11564" i="3" s="1"/>
  <c r="F11588" i="3" s="1"/>
  <c r="F11612" i="3" s="1"/>
  <c r="F11636" i="3" s="1"/>
  <c r="F11660" i="3" s="1"/>
  <c r="F11684" i="3" s="1"/>
  <c r="F11708" i="3" s="1"/>
  <c r="F11732" i="3" s="1"/>
  <c r="F11756" i="3" s="1"/>
  <c r="F11780" i="3" s="1"/>
  <c r="F11804" i="3" s="1"/>
  <c r="F11328" i="3"/>
  <c r="F11352" i="3" s="1"/>
  <c r="F11376" i="3" s="1"/>
  <c r="F11400" i="3" s="1"/>
  <c r="F11424" i="3" s="1"/>
  <c r="F11448" i="3" s="1"/>
  <c r="F11472" i="3" s="1"/>
  <c r="F11496" i="3" s="1"/>
  <c r="F11520" i="3" s="1"/>
  <c r="F11544" i="3" s="1"/>
  <c r="F11568" i="3" s="1"/>
  <c r="F11592" i="3" s="1"/>
  <c r="F11616" i="3" s="1"/>
  <c r="F11640" i="3" s="1"/>
  <c r="F11664" i="3" s="1"/>
  <c r="F11688" i="3" s="1"/>
  <c r="F11712" i="3" s="1"/>
  <c r="F11736" i="3" s="1"/>
  <c r="F11760" i="3" s="1"/>
  <c r="F11784" i="3" s="1"/>
  <c r="F11808" i="3" s="1"/>
  <c r="F11307" i="3"/>
  <c r="F11331" i="3" s="1"/>
  <c r="F11355" i="3" s="1"/>
  <c r="F11379" i="3" s="1"/>
  <c r="F11403" i="3" s="1"/>
  <c r="F11427" i="3" s="1"/>
  <c r="F11451" i="3" s="1"/>
  <c r="F11475" i="3" s="1"/>
  <c r="F11499" i="3" s="1"/>
  <c r="F11523" i="3" s="1"/>
  <c r="F11547" i="3" s="1"/>
  <c r="F11571" i="3" s="1"/>
  <c r="F11595" i="3" s="1"/>
  <c r="F11619" i="3" s="1"/>
  <c r="F11643" i="3" s="1"/>
  <c r="F11667" i="3" s="1"/>
  <c r="F11691" i="3" s="1"/>
  <c r="F11715" i="3" s="1"/>
  <c r="F11739" i="3" s="1"/>
  <c r="F11763" i="3" s="1"/>
  <c r="F11787" i="3" s="1"/>
  <c r="F11311" i="3"/>
  <c r="F11335" i="3" s="1"/>
  <c r="F11359" i="3" s="1"/>
  <c r="F11383" i="3" s="1"/>
  <c r="F11407" i="3" s="1"/>
  <c r="F11431" i="3" s="1"/>
  <c r="F11455" i="3" s="1"/>
  <c r="F11479" i="3" s="1"/>
  <c r="F11503" i="3" s="1"/>
  <c r="F11527" i="3" s="1"/>
  <c r="F11551" i="3" s="1"/>
  <c r="F11575" i="3" s="1"/>
  <c r="F11599" i="3" s="1"/>
  <c r="F11623" i="3" s="1"/>
  <c r="F11647" i="3" s="1"/>
  <c r="F11671" i="3" s="1"/>
  <c r="F11695" i="3" s="1"/>
  <c r="F11719" i="3" s="1"/>
  <c r="F11743" i="3" s="1"/>
  <c r="F11767" i="3" s="1"/>
  <c r="F11791" i="3" s="1"/>
  <c r="F11315" i="3"/>
  <c r="F11339" i="3" s="1"/>
  <c r="F11363" i="3" s="1"/>
  <c r="F11387" i="3" s="1"/>
  <c r="F11411" i="3" s="1"/>
  <c r="F11435" i="3" s="1"/>
  <c r="F11459" i="3" s="1"/>
  <c r="F11483" i="3" s="1"/>
  <c r="F11507" i="3" s="1"/>
  <c r="F11531" i="3" s="1"/>
  <c r="F11555" i="3" s="1"/>
  <c r="F11579" i="3" s="1"/>
  <c r="F11603" i="3" s="1"/>
  <c r="F11627" i="3" s="1"/>
  <c r="F11651" i="3" s="1"/>
  <c r="F11675" i="3" s="1"/>
  <c r="F11699" i="3" s="1"/>
  <c r="F11723" i="3" s="1"/>
  <c r="F11747" i="3" s="1"/>
  <c r="F11771" i="3" s="1"/>
  <c r="F11795" i="3" s="1"/>
  <c r="F11319" i="3"/>
  <c r="F11343" i="3" s="1"/>
  <c r="F11367" i="3" s="1"/>
  <c r="F11391" i="3" s="1"/>
  <c r="F11415" i="3" s="1"/>
  <c r="F11439" i="3" s="1"/>
  <c r="F11463" i="3" s="1"/>
  <c r="F11487" i="3" s="1"/>
  <c r="F11511" i="3" s="1"/>
  <c r="F11535" i="3" s="1"/>
  <c r="F11559" i="3" s="1"/>
  <c r="F11583" i="3" s="1"/>
  <c r="F11607" i="3" s="1"/>
  <c r="F11631" i="3" s="1"/>
  <c r="F11655" i="3" s="1"/>
  <c r="F11679" i="3" s="1"/>
  <c r="F11703" i="3" s="1"/>
  <c r="F11727" i="3" s="1"/>
  <c r="F11751" i="3" s="1"/>
  <c r="F11775" i="3" s="1"/>
  <c r="F11799" i="3" s="1"/>
  <c r="F11323" i="3"/>
  <c r="F11347" i="3" s="1"/>
  <c r="F11371" i="3" s="1"/>
  <c r="F11395" i="3" s="1"/>
  <c r="F11419" i="3" s="1"/>
  <c r="F11443" i="3" s="1"/>
  <c r="F11467" i="3" s="1"/>
  <c r="F11491" i="3" s="1"/>
  <c r="F11515" i="3" s="1"/>
  <c r="F11539" i="3" s="1"/>
  <c r="F11563" i="3" s="1"/>
  <c r="F11587" i="3" s="1"/>
  <c r="F11611" i="3" s="1"/>
  <c r="F11635" i="3" s="1"/>
  <c r="F11659" i="3" s="1"/>
  <c r="F11683" i="3" s="1"/>
  <c r="F11707" i="3" s="1"/>
  <c r="F11731" i="3" s="1"/>
  <c r="F11755" i="3" s="1"/>
  <c r="F11779" i="3" s="1"/>
  <c r="F11803" i="3" s="1"/>
  <c r="F11327" i="3"/>
  <c r="F11351" i="3" s="1"/>
  <c r="F11375" i="3" s="1"/>
  <c r="F11399" i="3" s="1"/>
  <c r="F11423" i="3" s="1"/>
  <c r="F11447" i="3" s="1"/>
  <c r="F11471" i="3" s="1"/>
  <c r="F11495" i="3" s="1"/>
  <c r="F11519" i="3" s="1"/>
  <c r="F11543" i="3" s="1"/>
  <c r="F11567" i="3" s="1"/>
  <c r="F11591" i="3" s="1"/>
  <c r="F11615" i="3" s="1"/>
  <c r="F11639" i="3" s="1"/>
  <c r="F11663" i="3" s="1"/>
  <c r="F11687" i="3" s="1"/>
  <c r="F11711" i="3" s="1"/>
  <c r="F11735" i="3" s="1"/>
  <c r="F11759" i="3" s="1"/>
  <c r="F11783" i="3" s="1"/>
  <c r="F11807" i="3" s="1"/>
  <c r="E52" i="35"/>
  <c r="F51" i="35"/>
  <c r="AG447" i="23"/>
  <c r="AL454" i="23"/>
  <c r="L449" i="23"/>
  <c r="S448" i="23"/>
  <c r="Y448" i="23" s="1"/>
  <c r="U448" i="23"/>
  <c r="C452" i="23"/>
  <c r="AR441" i="23"/>
  <c r="AR440" i="23"/>
  <c r="AK431" i="23"/>
  <c r="AR439" i="23"/>
  <c r="AR421" i="23"/>
  <c r="AR442" i="23"/>
  <c r="AF427" i="23"/>
  <c r="AJ427" i="23" s="1"/>
  <c r="AK433" i="23"/>
  <c r="AF426" i="23"/>
  <c r="AJ426" i="23" s="1"/>
  <c r="AK432" i="23"/>
  <c r="AF428" i="23"/>
  <c r="AJ428" i="23" s="1"/>
  <c r="AK434" i="23"/>
  <c r="O426" i="1"/>
  <c r="AI428" i="23"/>
  <c r="AI427" i="23"/>
  <c r="AI426" i="23"/>
  <c r="AI425" i="23"/>
  <c r="AS428" i="23"/>
  <c r="AS427" i="23"/>
  <c r="AS426" i="23"/>
  <c r="AS425" i="23"/>
  <c r="AF425" i="23"/>
  <c r="AJ425" i="23" s="1"/>
  <c r="E527" i="1" l="1"/>
  <c r="E528" i="1" s="1"/>
  <c r="T526" i="1"/>
  <c r="R526" i="1"/>
  <c r="C518" i="23"/>
  <c r="S517" i="23"/>
  <c r="AL523" i="23"/>
  <c r="Y516" i="23"/>
  <c r="AG516" i="23"/>
  <c r="C453" i="23"/>
  <c r="AC467" i="23" s="1"/>
  <c r="AC466" i="23"/>
  <c r="Y470" i="23"/>
  <c r="AL477" i="23"/>
  <c r="AG470" i="23"/>
  <c r="C472" i="23"/>
  <c r="AC486" i="23" s="1"/>
  <c r="AD486" i="23" s="1"/>
  <c r="U471" i="23"/>
  <c r="S471" i="23"/>
  <c r="E53" i="35"/>
  <c r="F52" i="35"/>
  <c r="AD463" i="23"/>
  <c r="S453" i="23"/>
  <c r="Y453" i="23" s="1"/>
  <c r="C454" i="23"/>
  <c r="AC468" i="23" s="1"/>
  <c r="AG448" i="23"/>
  <c r="AL455" i="23"/>
  <c r="AG455" i="23"/>
  <c r="L450" i="23"/>
  <c r="AD464" i="23" s="1"/>
  <c r="U449" i="23"/>
  <c r="S449" i="23"/>
  <c r="Y449" i="23" s="1"/>
  <c r="AA432" i="23"/>
  <c r="AA433" i="23"/>
  <c r="S419" i="1"/>
  <c r="F419" i="1"/>
  <c r="N418" i="1"/>
  <c r="O424" i="1" s="1"/>
  <c r="M418" i="1"/>
  <c r="E529" i="1" l="1"/>
  <c r="R528" i="1"/>
  <c r="T528" i="1"/>
  <c r="T527" i="1"/>
  <c r="R527" i="1"/>
  <c r="AL524" i="23"/>
  <c r="AG517" i="23"/>
  <c r="Y517" i="23"/>
  <c r="C519" i="23"/>
  <c r="S518" i="23"/>
  <c r="AR454" i="23"/>
  <c r="C473" i="23"/>
  <c r="AC487" i="23" s="1"/>
  <c r="AD487" i="23" s="1"/>
  <c r="U472" i="23"/>
  <c r="S472" i="23"/>
  <c r="AL479" i="23" s="1"/>
  <c r="AL478" i="23"/>
  <c r="Y471" i="23"/>
  <c r="AG471" i="23"/>
  <c r="E54" i="35"/>
  <c r="F53" i="35"/>
  <c r="S454" i="23"/>
  <c r="Y454" i="23" s="1"/>
  <c r="U455" i="23"/>
  <c r="AG449" i="23"/>
  <c r="AG456" i="23"/>
  <c r="AL456" i="23"/>
  <c r="AR453" i="23"/>
  <c r="AF439" i="23"/>
  <c r="AJ439" i="23" s="1"/>
  <c r="L451" i="23"/>
  <c r="AD465" i="23" s="1"/>
  <c r="U450" i="23"/>
  <c r="S450" i="23"/>
  <c r="Y450" i="23" s="1"/>
  <c r="AK446" i="23"/>
  <c r="AK445" i="23"/>
  <c r="AF440" i="23"/>
  <c r="AJ440" i="23" s="1"/>
  <c r="AF433" i="23"/>
  <c r="AJ433" i="23" s="1"/>
  <c r="AF432" i="23"/>
  <c r="AJ432" i="23" s="1"/>
  <c r="S418" i="1"/>
  <c r="F418" i="1"/>
  <c r="P417" i="1"/>
  <c r="N417" i="1"/>
  <c r="M417" i="1"/>
  <c r="AH417" i="23"/>
  <c r="Z417" i="23"/>
  <c r="AA417" i="23"/>
  <c r="AB417" i="23"/>
  <c r="T417" i="23"/>
  <c r="F417" i="23"/>
  <c r="S417" i="1"/>
  <c r="F417" i="1"/>
  <c r="AH409" i="23"/>
  <c r="AH410" i="23"/>
  <c r="AH411" i="23"/>
  <c r="AH412" i="23"/>
  <c r="AH413" i="23"/>
  <c r="AH414" i="23"/>
  <c r="AH415" i="23"/>
  <c r="AH416"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210" i="23"/>
  <c r="AB211" i="23"/>
  <c r="AB212" i="23"/>
  <c r="AB213" i="23"/>
  <c r="AB214" i="23"/>
  <c r="AB215" i="23"/>
  <c r="AB216" i="23"/>
  <c r="AB217" i="23"/>
  <c r="AB218" i="23"/>
  <c r="AN218" i="23" s="1"/>
  <c r="AB219" i="23"/>
  <c r="AB220" i="23"/>
  <c r="AB221" i="23"/>
  <c r="AN221" i="23" s="1"/>
  <c r="AB222" i="23"/>
  <c r="AN222" i="23" s="1"/>
  <c r="AB223" i="23"/>
  <c r="AB224" i="23"/>
  <c r="AB225" i="23"/>
  <c r="AN225" i="23" s="1"/>
  <c r="AB226" i="23"/>
  <c r="AN226" i="23" s="1"/>
  <c r="AB227" i="23"/>
  <c r="AB228" i="23"/>
  <c r="AB229" i="23"/>
  <c r="AN229" i="23" s="1"/>
  <c r="AB230" i="23"/>
  <c r="AN230" i="23" s="1"/>
  <c r="AB231" i="23"/>
  <c r="AB232" i="23"/>
  <c r="AB233" i="23"/>
  <c r="AN233" i="23" s="1"/>
  <c r="AB234" i="23"/>
  <c r="AN234" i="23" s="1"/>
  <c r="AB235" i="23"/>
  <c r="AB236" i="23"/>
  <c r="AB237" i="23"/>
  <c r="AN237" i="23" s="1"/>
  <c r="AB238" i="23"/>
  <c r="AN238" i="23" s="1"/>
  <c r="AB239" i="23"/>
  <c r="AB240" i="23"/>
  <c r="AB241" i="23"/>
  <c r="AN241" i="23" s="1"/>
  <c r="AB242" i="23"/>
  <c r="AN242" i="23" s="1"/>
  <c r="AB243" i="23"/>
  <c r="AB244" i="23"/>
  <c r="AB245" i="23"/>
  <c r="AN245" i="23" s="1"/>
  <c r="AB246" i="23"/>
  <c r="AN246" i="23" s="1"/>
  <c r="AB247" i="23"/>
  <c r="AB248" i="23"/>
  <c r="AB249" i="23"/>
  <c r="AN249" i="23" s="1"/>
  <c r="AB250" i="23"/>
  <c r="AN250" i="23" s="1"/>
  <c r="AB251" i="23"/>
  <c r="AB252" i="23"/>
  <c r="AB253" i="23"/>
  <c r="AN253" i="23" s="1"/>
  <c r="AB254" i="23"/>
  <c r="AN254" i="23" s="1"/>
  <c r="AB255" i="23"/>
  <c r="AB256" i="23"/>
  <c r="AB257" i="23"/>
  <c r="AN257" i="23" s="1"/>
  <c r="AB258" i="23"/>
  <c r="AN258" i="23" s="1"/>
  <c r="AB259" i="23"/>
  <c r="AB260" i="23"/>
  <c r="AB261" i="23"/>
  <c r="AN261" i="23" s="1"/>
  <c r="AB262" i="23"/>
  <c r="AN262" i="23" s="1"/>
  <c r="AB263" i="23"/>
  <c r="AB264" i="23"/>
  <c r="AB265" i="23"/>
  <c r="AN265" i="23" s="1"/>
  <c r="AB266" i="23"/>
  <c r="AN266" i="23" s="1"/>
  <c r="AB267" i="23"/>
  <c r="AB268" i="23"/>
  <c r="AB269" i="23"/>
  <c r="AN269" i="23" s="1"/>
  <c r="AB270" i="23"/>
  <c r="AN270" i="23" s="1"/>
  <c r="AB271" i="23"/>
  <c r="AB272" i="23"/>
  <c r="AB273" i="23"/>
  <c r="AN273" i="23" s="1"/>
  <c r="AB274" i="23"/>
  <c r="AN274" i="23" s="1"/>
  <c r="AB275" i="23"/>
  <c r="AB276" i="23"/>
  <c r="AB277" i="23"/>
  <c r="AN277" i="23" s="1"/>
  <c r="AB278" i="23"/>
  <c r="AN278" i="23" s="1"/>
  <c r="AB279" i="23"/>
  <c r="AB280" i="23"/>
  <c r="AB281" i="23"/>
  <c r="AN281" i="23" s="1"/>
  <c r="AB282" i="23"/>
  <c r="AN282" i="23" s="1"/>
  <c r="AB283" i="23"/>
  <c r="AB284" i="23"/>
  <c r="AB285" i="23"/>
  <c r="AN285" i="23" s="1"/>
  <c r="AB286" i="23"/>
  <c r="AN286" i="23" s="1"/>
  <c r="AB287" i="23"/>
  <c r="AB288" i="23"/>
  <c r="AB289" i="23"/>
  <c r="AN289" i="23" s="1"/>
  <c r="AB290" i="23"/>
  <c r="AN290" i="23" s="1"/>
  <c r="AB291" i="23"/>
  <c r="AB292" i="23"/>
  <c r="AB293" i="23"/>
  <c r="AN293" i="23" s="1"/>
  <c r="AB294" i="23"/>
  <c r="AN294" i="23" s="1"/>
  <c r="AB295" i="23"/>
  <c r="AB296" i="23"/>
  <c r="AB297" i="23"/>
  <c r="AN297" i="23" s="1"/>
  <c r="AB298" i="23"/>
  <c r="AN298" i="23" s="1"/>
  <c r="AB299" i="23"/>
  <c r="AB300" i="23"/>
  <c r="AB301" i="23"/>
  <c r="AN301" i="23" s="1"/>
  <c r="AB302" i="23"/>
  <c r="AN302" i="23" s="1"/>
  <c r="AB303" i="23"/>
  <c r="AB304" i="23"/>
  <c r="AB305" i="23"/>
  <c r="AN305" i="23" s="1"/>
  <c r="AB306" i="23"/>
  <c r="AN306" i="23" s="1"/>
  <c r="AB307" i="23"/>
  <c r="AB308" i="23"/>
  <c r="AB309" i="23"/>
  <c r="AN309" i="23" s="1"/>
  <c r="AB310" i="23"/>
  <c r="AN310" i="23" s="1"/>
  <c r="AB311" i="23"/>
  <c r="AB312" i="23"/>
  <c r="AB313" i="23"/>
  <c r="AN313" i="23" s="1"/>
  <c r="AB314" i="23"/>
  <c r="AN314" i="23" s="1"/>
  <c r="AB315" i="23"/>
  <c r="AB316" i="23"/>
  <c r="AB317" i="23"/>
  <c r="AB318" i="23"/>
  <c r="AN318" i="23" s="1"/>
  <c r="AB319" i="23"/>
  <c r="AB320" i="23"/>
  <c r="AB321" i="23"/>
  <c r="AN321" i="23" s="1"/>
  <c r="AB322" i="23"/>
  <c r="AN322" i="23" s="1"/>
  <c r="AB323" i="23"/>
  <c r="AB324" i="23"/>
  <c r="AB325" i="23"/>
  <c r="AN325" i="23" s="1"/>
  <c r="AB326" i="23"/>
  <c r="AN326" i="23" s="1"/>
  <c r="AB327" i="23"/>
  <c r="AB328" i="23"/>
  <c r="AB329" i="23"/>
  <c r="AB330" i="23"/>
  <c r="AN330" i="23" s="1"/>
  <c r="AB331" i="23"/>
  <c r="AB332" i="23"/>
  <c r="AB333" i="23"/>
  <c r="AB334" i="23"/>
  <c r="AN334" i="23" s="1"/>
  <c r="AB335" i="23"/>
  <c r="AB336" i="23"/>
  <c r="AB337" i="23"/>
  <c r="AN337" i="23" s="1"/>
  <c r="AB338" i="23"/>
  <c r="AN338" i="23" s="1"/>
  <c r="AB339" i="23"/>
  <c r="AB340" i="23"/>
  <c r="AB341" i="23"/>
  <c r="AN341" i="23" s="1"/>
  <c r="AB342" i="23"/>
  <c r="AN342" i="23" s="1"/>
  <c r="AB343" i="23"/>
  <c r="AB344" i="23"/>
  <c r="AB345" i="23"/>
  <c r="AB346" i="23"/>
  <c r="AN346" i="23" s="1"/>
  <c r="AB347" i="23"/>
  <c r="AB348" i="23"/>
  <c r="AB349" i="23"/>
  <c r="AB350" i="23"/>
  <c r="AN350" i="23" s="1"/>
  <c r="AB351" i="23"/>
  <c r="AB352" i="23"/>
  <c r="AB353" i="23"/>
  <c r="AB354" i="23"/>
  <c r="AN354" i="23" s="1"/>
  <c r="AB355" i="23"/>
  <c r="AB356" i="23"/>
  <c r="AB357" i="23"/>
  <c r="AB358" i="23"/>
  <c r="AN358" i="23" s="1"/>
  <c r="AB359" i="23"/>
  <c r="AB360" i="23"/>
  <c r="AB361" i="23"/>
  <c r="AB362" i="23"/>
  <c r="AN362" i="23" s="1"/>
  <c r="AB363" i="23"/>
  <c r="AB364" i="23"/>
  <c r="AB365" i="23"/>
  <c r="AB366" i="23"/>
  <c r="AN366" i="23" s="1"/>
  <c r="AB367" i="23"/>
  <c r="AB368" i="23"/>
  <c r="AB369" i="23"/>
  <c r="AB370" i="23"/>
  <c r="AN370" i="23" s="1"/>
  <c r="AB371" i="23"/>
  <c r="AB372" i="23"/>
  <c r="AB373" i="23"/>
  <c r="AB374" i="23"/>
  <c r="AN374" i="23" s="1"/>
  <c r="AB375" i="23"/>
  <c r="AB376" i="23"/>
  <c r="AB377" i="23"/>
  <c r="AB378" i="23"/>
  <c r="AN378" i="23" s="1"/>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B414" i="23"/>
  <c r="AB415" i="23"/>
  <c r="AB416" i="23"/>
  <c r="AA9" i="23"/>
  <c r="AC23" i="23" s="1"/>
  <c r="AD23" i="23" s="1"/>
  <c r="AA10" i="23"/>
  <c r="AC24" i="23" s="1"/>
  <c r="AD24" i="23" s="1"/>
  <c r="AA11" i="23"/>
  <c r="AC25" i="23" s="1"/>
  <c r="AD25" i="23" s="1"/>
  <c r="AA12" i="23"/>
  <c r="AC26" i="23" s="1"/>
  <c r="AD26" i="23" s="1"/>
  <c r="AA13" i="23"/>
  <c r="AC27" i="23" s="1"/>
  <c r="AD27" i="23" s="1"/>
  <c r="AA14" i="23"/>
  <c r="AC28" i="23" s="1"/>
  <c r="AD28" i="23" s="1"/>
  <c r="AA15" i="23"/>
  <c r="AC29" i="23" s="1"/>
  <c r="AD29" i="23" s="1"/>
  <c r="AA16" i="23"/>
  <c r="AC30" i="23" s="1"/>
  <c r="AD30" i="23" s="1"/>
  <c r="AA17" i="23"/>
  <c r="AC31" i="23" s="1"/>
  <c r="AD31" i="23" s="1"/>
  <c r="AA18" i="23"/>
  <c r="AC32" i="23" s="1"/>
  <c r="AD32" i="23" s="1"/>
  <c r="AA19" i="23"/>
  <c r="AC33" i="23" s="1"/>
  <c r="AD33" i="23" s="1"/>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C113" i="23" s="1"/>
  <c r="AA100" i="23"/>
  <c r="AC114" i="23" s="1"/>
  <c r="AA101" i="23"/>
  <c r="AA102" i="23"/>
  <c r="AA103" i="23"/>
  <c r="AA104" i="23"/>
  <c r="AA105" i="23"/>
  <c r="AC119" i="23" s="1"/>
  <c r="AA106" i="23"/>
  <c r="AC120" i="23" s="1"/>
  <c r="AA107" i="23"/>
  <c r="AA108" i="23"/>
  <c r="AC122" i="23" s="1"/>
  <c r="AA109" i="23"/>
  <c r="AC123" i="23" s="1"/>
  <c r="AA110" i="23"/>
  <c r="AC124" i="23" s="1"/>
  <c r="AA111" i="23"/>
  <c r="AC125" i="23" s="1"/>
  <c r="AA112" i="23"/>
  <c r="AC126" i="23" s="1"/>
  <c r="AA113" i="23"/>
  <c r="AA114" i="23"/>
  <c r="AA115" i="23"/>
  <c r="AA116" i="23"/>
  <c r="AA117" i="23"/>
  <c r="AA118" i="23"/>
  <c r="AA119" i="23"/>
  <c r="AA120" i="23"/>
  <c r="AA121" i="23"/>
  <c r="AA122" i="23"/>
  <c r="AA123" i="23"/>
  <c r="AA124" i="23"/>
  <c r="AA125" i="23"/>
  <c r="AA126" i="23"/>
  <c r="AA127" i="23"/>
  <c r="AC141" i="23" s="1"/>
  <c r="AA128" i="23"/>
  <c r="AC142" i="23" s="1"/>
  <c r="AA129" i="23"/>
  <c r="AC143" i="23" s="1"/>
  <c r="AA130" i="23"/>
  <c r="AC144" i="23" s="1"/>
  <c r="AA131" i="23"/>
  <c r="AC145" i="23" s="1"/>
  <c r="AA132" i="23"/>
  <c r="AC146" i="23" s="1"/>
  <c r="AA133" i="23"/>
  <c r="AC147" i="23" s="1"/>
  <c r="AA134" i="23"/>
  <c r="AC148" i="23" s="1"/>
  <c r="AA135" i="23"/>
  <c r="AC149" i="23" s="1"/>
  <c r="AA136" i="23"/>
  <c r="AA137" i="23"/>
  <c r="AC151" i="23" s="1"/>
  <c r="AA138"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1" i="23"/>
  <c r="AA402" i="23"/>
  <c r="AA403" i="23"/>
  <c r="AA404" i="23"/>
  <c r="AA405" i="23"/>
  <c r="AA406" i="23"/>
  <c r="AA407" i="23"/>
  <c r="AA408" i="23"/>
  <c r="AA409" i="23"/>
  <c r="AA410" i="23"/>
  <c r="AA411" i="23"/>
  <c r="AA412" i="23"/>
  <c r="AA413" i="23"/>
  <c r="AA414" i="23"/>
  <c r="AA415" i="23"/>
  <c r="AA416" i="23"/>
  <c r="AA8" i="23"/>
  <c r="Z409" i="23"/>
  <c r="Z410" i="23"/>
  <c r="Z411" i="23"/>
  <c r="Z412" i="23"/>
  <c r="Z413" i="23"/>
  <c r="Z414" i="23"/>
  <c r="Z415" i="23"/>
  <c r="Z416" i="23"/>
  <c r="Z408" i="23"/>
  <c r="T398" i="23"/>
  <c r="T399" i="23"/>
  <c r="T400" i="23"/>
  <c r="T401" i="23"/>
  <c r="T402" i="23"/>
  <c r="T403" i="23"/>
  <c r="T404" i="23"/>
  <c r="T405" i="23"/>
  <c r="T406" i="23"/>
  <c r="T407" i="23"/>
  <c r="T408" i="23"/>
  <c r="T409" i="23"/>
  <c r="T410" i="23"/>
  <c r="T411" i="23"/>
  <c r="T412" i="23"/>
  <c r="T413" i="23"/>
  <c r="T414" i="23"/>
  <c r="T415" i="23"/>
  <c r="T416" i="23"/>
  <c r="F416" i="23"/>
  <c r="F415" i="23"/>
  <c r="F414" i="23"/>
  <c r="F413" i="23"/>
  <c r="F412" i="23"/>
  <c r="F411" i="23"/>
  <c r="F410" i="23"/>
  <c r="F409" i="23"/>
  <c r="S416" i="1"/>
  <c r="F416" i="1"/>
  <c r="N414" i="1"/>
  <c r="N415" i="1"/>
  <c r="M414" i="1"/>
  <c r="M415" i="1"/>
  <c r="S415" i="1"/>
  <c r="F415" i="1"/>
  <c r="E530" i="1" l="1"/>
  <c r="R529" i="1"/>
  <c r="T529" i="1"/>
  <c r="C520" i="23"/>
  <c r="S519" i="23"/>
  <c r="AL525" i="23"/>
  <c r="AG518" i="23"/>
  <c r="Y518" i="23"/>
  <c r="AN409" i="23"/>
  <c r="AN405" i="23"/>
  <c r="AQ307" i="23"/>
  <c r="O420" i="1"/>
  <c r="AN401" i="23"/>
  <c r="AN397" i="23"/>
  <c r="AN393" i="23"/>
  <c r="AN389" i="23"/>
  <c r="AN385" i="23"/>
  <c r="AN381" i="23"/>
  <c r="AN377" i="23"/>
  <c r="AN373" i="23"/>
  <c r="AN369" i="23"/>
  <c r="AN365" i="23"/>
  <c r="AN361" i="23"/>
  <c r="AN357" i="23"/>
  <c r="AN353" i="23"/>
  <c r="AN349" i="23"/>
  <c r="AN345" i="23"/>
  <c r="AN333" i="23"/>
  <c r="AN329" i="23"/>
  <c r="AN317" i="23"/>
  <c r="AN217" i="23"/>
  <c r="AK413" i="23"/>
  <c r="AN413" i="23"/>
  <c r="AN420" i="23"/>
  <c r="AN416" i="23"/>
  <c r="AN423" i="23"/>
  <c r="AN408" i="23"/>
  <c r="AN400" i="23"/>
  <c r="AN392" i="23"/>
  <c r="AN388" i="23"/>
  <c r="AN380" i="23"/>
  <c r="AN368" i="23"/>
  <c r="AN360" i="23"/>
  <c r="AN352" i="23"/>
  <c r="AN344" i="23"/>
  <c r="AN336" i="23"/>
  <c r="AN332" i="23"/>
  <c r="AN324" i="23"/>
  <c r="AN316" i="23"/>
  <c r="AN308" i="23"/>
  <c r="AN300" i="23"/>
  <c r="AN288" i="23"/>
  <c r="AN280" i="23"/>
  <c r="AN272" i="23"/>
  <c r="AN264" i="23"/>
  <c r="AN256" i="23"/>
  <c r="AN248" i="23"/>
  <c r="AN240" i="23"/>
  <c r="AN232" i="23"/>
  <c r="AN224" i="23"/>
  <c r="AN375" i="23"/>
  <c r="AN371" i="23"/>
  <c r="AN367" i="23"/>
  <c r="AN363" i="23"/>
  <c r="AN359" i="23"/>
  <c r="AN355" i="23"/>
  <c r="AN351" i="23"/>
  <c r="AN347" i="23"/>
  <c r="AN343" i="23"/>
  <c r="AN339" i="23"/>
  <c r="AN335" i="23"/>
  <c r="AN331" i="23"/>
  <c r="AN327" i="23"/>
  <c r="AN323" i="23"/>
  <c r="AN319" i="23"/>
  <c r="AN315" i="23"/>
  <c r="AN311" i="23"/>
  <c r="AN307" i="23"/>
  <c r="AN303" i="23"/>
  <c r="AN299" i="23"/>
  <c r="AN295" i="23"/>
  <c r="AN291" i="23"/>
  <c r="AN287" i="23"/>
  <c r="AN283" i="23"/>
  <c r="AN279" i="23"/>
  <c r="AN275" i="23"/>
  <c r="AN271" i="23"/>
  <c r="AN267" i="23"/>
  <c r="AN263" i="23"/>
  <c r="AN259" i="23"/>
  <c r="AN255" i="23"/>
  <c r="AN251" i="23"/>
  <c r="AN247" i="23"/>
  <c r="AN243" i="23"/>
  <c r="AN239" i="23"/>
  <c r="AN235" i="23"/>
  <c r="AN231" i="23"/>
  <c r="AN227" i="23"/>
  <c r="AN223" i="23"/>
  <c r="AN219" i="23"/>
  <c r="AN412" i="23"/>
  <c r="AN419" i="23"/>
  <c r="AN404" i="23"/>
  <c r="AN396" i="23"/>
  <c r="AN384" i="23"/>
  <c r="AN376" i="23"/>
  <c r="AN372" i="23"/>
  <c r="AN364" i="23"/>
  <c r="AN356" i="23"/>
  <c r="AN348" i="23"/>
  <c r="AN340" i="23"/>
  <c r="AN328" i="23"/>
  <c r="AN320" i="23"/>
  <c r="AN312" i="23"/>
  <c r="AN304" i="23"/>
  <c r="AN296" i="23"/>
  <c r="AN292" i="23"/>
  <c r="AN284" i="23"/>
  <c r="AN276" i="23"/>
  <c r="AN268" i="23"/>
  <c r="AN260" i="23"/>
  <c r="AN252" i="23"/>
  <c r="AN244" i="23"/>
  <c r="AN236" i="23"/>
  <c r="AN228" i="23"/>
  <c r="AN220" i="23"/>
  <c r="AN415" i="23"/>
  <c r="AN422" i="23"/>
  <c r="AN411" i="23"/>
  <c r="AN418" i="23"/>
  <c r="AN407" i="23"/>
  <c r="AN403" i="23"/>
  <c r="AN399" i="23"/>
  <c r="AN395" i="23"/>
  <c r="AN391" i="23"/>
  <c r="AN387" i="23"/>
  <c r="AN383" i="23"/>
  <c r="AN379" i="23"/>
  <c r="AN414" i="23"/>
  <c r="AN421" i="23"/>
  <c r="AN410" i="23"/>
  <c r="AN406" i="23"/>
  <c r="AN402" i="23"/>
  <c r="AN398" i="23"/>
  <c r="AN394" i="23"/>
  <c r="AN390" i="23"/>
  <c r="AN386" i="23"/>
  <c r="AN382" i="23"/>
  <c r="AN417" i="23"/>
  <c r="AN424" i="23"/>
  <c r="Y472" i="23"/>
  <c r="AG472" i="23"/>
  <c r="C474" i="23"/>
  <c r="AC488" i="23" s="1"/>
  <c r="AD488" i="23" s="1"/>
  <c r="U473" i="23"/>
  <c r="S473" i="23"/>
  <c r="AF409" i="23"/>
  <c r="AJ409" i="23" s="1"/>
  <c r="E55" i="35"/>
  <c r="F54" i="35"/>
  <c r="AG450" i="23"/>
  <c r="AL457" i="23"/>
  <c r="AG457" i="23"/>
  <c r="AC130" i="23"/>
  <c r="AD130" i="23" s="1"/>
  <c r="AC118" i="23"/>
  <c r="AD118" i="23" s="1"/>
  <c r="AC106" i="23"/>
  <c r="AD106" i="23" s="1"/>
  <c r="AC94" i="23"/>
  <c r="AD94" i="23" s="1"/>
  <c r="AC82" i="23"/>
  <c r="AD82" i="23" s="1"/>
  <c r="AC70" i="23"/>
  <c r="AD70" i="23" s="1"/>
  <c r="AC58" i="23"/>
  <c r="AD58" i="23" s="1"/>
  <c r="AC46" i="23"/>
  <c r="AD46" i="23" s="1"/>
  <c r="AC34" i="23"/>
  <c r="AD34" i="23" s="1"/>
  <c r="AC121" i="23"/>
  <c r="AD121" i="23" s="1"/>
  <c r="AC117" i="23"/>
  <c r="AD117" i="23" s="1"/>
  <c r="AC109" i="23"/>
  <c r="AD109" i="23" s="1"/>
  <c r="AC105" i="23"/>
  <c r="AD105" i="23" s="1"/>
  <c r="AC101" i="23"/>
  <c r="AD101" i="23" s="1"/>
  <c r="AC97" i="23"/>
  <c r="AD97" i="23" s="1"/>
  <c r="AC93" i="23"/>
  <c r="AD93" i="23" s="1"/>
  <c r="AC89" i="23"/>
  <c r="AD89" i="23" s="1"/>
  <c r="AC85" i="23"/>
  <c r="AD85" i="23" s="1"/>
  <c r="AC81" i="23"/>
  <c r="AD81" i="23" s="1"/>
  <c r="AC77" i="23"/>
  <c r="AD77" i="23" s="1"/>
  <c r="AC73" i="23"/>
  <c r="AD73" i="23" s="1"/>
  <c r="AC69" i="23"/>
  <c r="AD69" i="23" s="1"/>
  <c r="AC65" i="23"/>
  <c r="AD65" i="23" s="1"/>
  <c r="AC61" i="23"/>
  <c r="AD61" i="23" s="1"/>
  <c r="AC57" i="23"/>
  <c r="AD57" i="23" s="1"/>
  <c r="AC53" i="23"/>
  <c r="AD53" i="23" s="1"/>
  <c r="AC49" i="23"/>
  <c r="AD49" i="23" s="1"/>
  <c r="AC45" i="23"/>
  <c r="AD45" i="23" s="1"/>
  <c r="AC41" i="23"/>
  <c r="AD41" i="23" s="1"/>
  <c r="AC37" i="23"/>
  <c r="AD37" i="23" s="1"/>
  <c r="AC110" i="23"/>
  <c r="AD110" i="23" s="1"/>
  <c r="AC98" i="23"/>
  <c r="AD98" i="23" s="1"/>
  <c r="AC86" i="23"/>
  <c r="AD86" i="23" s="1"/>
  <c r="AC78" i="23"/>
  <c r="AD78" i="23" s="1"/>
  <c r="AC66" i="23"/>
  <c r="AD66" i="23" s="1"/>
  <c r="AC54" i="23"/>
  <c r="AD54" i="23" s="1"/>
  <c r="AC42" i="23"/>
  <c r="AD42" i="23" s="1"/>
  <c r="AC132" i="23"/>
  <c r="AD132" i="23" s="1"/>
  <c r="AC116" i="23"/>
  <c r="AD116" i="23" s="1"/>
  <c r="AC112" i="23"/>
  <c r="AD112" i="23" s="1"/>
  <c r="AC108" i="23"/>
  <c r="AD108" i="23" s="1"/>
  <c r="AC104" i="23"/>
  <c r="AD104" i="23" s="1"/>
  <c r="AC100" i="23"/>
  <c r="AD100" i="23" s="1"/>
  <c r="AC96" i="23"/>
  <c r="AD96" i="23" s="1"/>
  <c r="AC92" i="23"/>
  <c r="AD92" i="23" s="1"/>
  <c r="AC88" i="23"/>
  <c r="AD88" i="23" s="1"/>
  <c r="AC84" i="23"/>
  <c r="AD84" i="23" s="1"/>
  <c r="AC80" i="23"/>
  <c r="AD80" i="23" s="1"/>
  <c r="AC76" i="23"/>
  <c r="AD76" i="23" s="1"/>
  <c r="AC72" i="23"/>
  <c r="AD72" i="23" s="1"/>
  <c r="AC68" i="23"/>
  <c r="AD68" i="23" s="1"/>
  <c r="AC64" i="23"/>
  <c r="AD64" i="23" s="1"/>
  <c r="AC60" i="23"/>
  <c r="AD60" i="23" s="1"/>
  <c r="AC56" i="23"/>
  <c r="AD56" i="23" s="1"/>
  <c r="AC52" i="23"/>
  <c r="AD52" i="23" s="1"/>
  <c r="AC48" i="23"/>
  <c r="AD48" i="23" s="1"/>
  <c r="AC44" i="23"/>
  <c r="AD44" i="23" s="1"/>
  <c r="AC40" i="23"/>
  <c r="AD40" i="23" s="1"/>
  <c r="AC36" i="23"/>
  <c r="AD36" i="23" s="1"/>
  <c r="AC102" i="23"/>
  <c r="AD102" i="23" s="1"/>
  <c r="AC90" i="23"/>
  <c r="AD90" i="23" s="1"/>
  <c r="AC74" i="23"/>
  <c r="AD74" i="23" s="1"/>
  <c r="AC62" i="23"/>
  <c r="AD62" i="23" s="1"/>
  <c r="AC50" i="23"/>
  <c r="AD50" i="23" s="1"/>
  <c r="AC38" i="23"/>
  <c r="AD38" i="23" s="1"/>
  <c r="AC129" i="23"/>
  <c r="AD129" i="23" s="1"/>
  <c r="AC22" i="23"/>
  <c r="AD22" i="23" s="1"/>
  <c r="AC135" i="23"/>
  <c r="AD135" i="23" s="1"/>
  <c r="AC131" i="23"/>
  <c r="AD131" i="23" s="1"/>
  <c r="AC115" i="23"/>
  <c r="AD115" i="23" s="1"/>
  <c r="AC111" i="23"/>
  <c r="AD111" i="23" s="1"/>
  <c r="AC107" i="23"/>
  <c r="AD107" i="23" s="1"/>
  <c r="AC103" i="23"/>
  <c r="AD103" i="23" s="1"/>
  <c r="AC99" i="23"/>
  <c r="AD99" i="23" s="1"/>
  <c r="AC95" i="23"/>
  <c r="AD95" i="23" s="1"/>
  <c r="AC91" i="23"/>
  <c r="AD91" i="23" s="1"/>
  <c r="AC87" i="23"/>
  <c r="AD87" i="23" s="1"/>
  <c r="AC83" i="23"/>
  <c r="AD83" i="23" s="1"/>
  <c r="AC79" i="23"/>
  <c r="AD79" i="23" s="1"/>
  <c r="AC75" i="23"/>
  <c r="AD75" i="23" s="1"/>
  <c r="AC71" i="23"/>
  <c r="AD71" i="23" s="1"/>
  <c r="AC67" i="23"/>
  <c r="AD67" i="23" s="1"/>
  <c r="AC63" i="23"/>
  <c r="AD63" i="23" s="1"/>
  <c r="AC59" i="23"/>
  <c r="AD59" i="23" s="1"/>
  <c r="AC55" i="23"/>
  <c r="AD55" i="23" s="1"/>
  <c r="AC51" i="23"/>
  <c r="AD51" i="23" s="1"/>
  <c r="AC47" i="23"/>
  <c r="AD47" i="23" s="1"/>
  <c r="AC43" i="23"/>
  <c r="AD43" i="23" s="1"/>
  <c r="AC39" i="23"/>
  <c r="AD39" i="23" s="1"/>
  <c r="AC35" i="23"/>
  <c r="AD35" i="23" s="1"/>
  <c r="U451" i="23"/>
  <c r="S451" i="23"/>
  <c r="Y451" i="23" s="1"/>
  <c r="AI401" i="23"/>
  <c r="AI397" i="23"/>
  <c r="AI393" i="23"/>
  <c r="AI389" i="23"/>
  <c r="AI385" i="23"/>
  <c r="AI381" i="23"/>
  <c r="AI377" i="23"/>
  <c r="AI373" i="23"/>
  <c r="AI369" i="23"/>
  <c r="AI365" i="23"/>
  <c r="AI361" i="23"/>
  <c r="AI357" i="23"/>
  <c r="AI353" i="23"/>
  <c r="AI349" i="23"/>
  <c r="AI345" i="23"/>
  <c r="AI341" i="23"/>
  <c r="AI337" i="23"/>
  <c r="AI333" i="23"/>
  <c r="AI329" i="23"/>
  <c r="AI325" i="23"/>
  <c r="AI321" i="23"/>
  <c r="AK420" i="23"/>
  <c r="AK412" i="23"/>
  <c r="AI400" i="23"/>
  <c r="AI396" i="23"/>
  <c r="AI392" i="23"/>
  <c r="AI388" i="23"/>
  <c r="AI384" i="23"/>
  <c r="AI380" i="23"/>
  <c r="AI376" i="23"/>
  <c r="AI372" i="23"/>
  <c r="AI368" i="23"/>
  <c r="AI364" i="23"/>
  <c r="AI360" i="23"/>
  <c r="AI356" i="23"/>
  <c r="AI328" i="23"/>
  <c r="AI324" i="23"/>
  <c r="AI320" i="23"/>
  <c r="AI316" i="23"/>
  <c r="AI312" i="23"/>
  <c r="AI308" i="23"/>
  <c r="AI304" i="23"/>
  <c r="AI300" i="23"/>
  <c r="AI296" i="23"/>
  <c r="AI292" i="23"/>
  <c r="AI288" i="23"/>
  <c r="AI284" i="23"/>
  <c r="AI280" i="23"/>
  <c r="AI276" i="23"/>
  <c r="AI272" i="23"/>
  <c r="AI268" i="23"/>
  <c r="AI264" i="23"/>
  <c r="AI260" i="23"/>
  <c r="AI256" i="23"/>
  <c r="AI252" i="23"/>
  <c r="AI248" i="23"/>
  <c r="AI244" i="23"/>
  <c r="AI240" i="23"/>
  <c r="AI236" i="23"/>
  <c r="AI232" i="23"/>
  <c r="AI228" i="23"/>
  <c r="AI224" i="23"/>
  <c r="AI220" i="23"/>
  <c r="AI142" i="23"/>
  <c r="AI138" i="23"/>
  <c r="AK423" i="23"/>
  <c r="AK419" i="23"/>
  <c r="AR423" i="23"/>
  <c r="AF400" i="23"/>
  <c r="AJ400" i="23" s="1"/>
  <c r="AK421" i="23"/>
  <c r="AR400" i="23"/>
  <c r="AK422" i="23"/>
  <c r="AR422" i="23"/>
  <c r="O421" i="1"/>
  <c r="AR436" i="23"/>
  <c r="AK428" i="23"/>
  <c r="AK416" i="23"/>
  <c r="AI408" i="23"/>
  <c r="AK408" i="23"/>
  <c r="AR435" i="23"/>
  <c r="AK427" i="23"/>
  <c r="AK415" i="23"/>
  <c r="AK407" i="23"/>
  <c r="AR434" i="23"/>
  <c r="AK426" i="23"/>
  <c r="AR426" i="23"/>
  <c r="AK418" i="23"/>
  <c r="AK414" i="23"/>
  <c r="AI410" i="23"/>
  <c r="AK410" i="23"/>
  <c r="AI406" i="23"/>
  <c r="AK406" i="23"/>
  <c r="AI402" i="23"/>
  <c r="AI398" i="23"/>
  <c r="AI394" i="23"/>
  <c r="AI390" i="23"/>
  <c r="AI386" i="23"/>
  <c r="AI382" i="23"/>
  <c r="AI378" i="23"/>
  <c r="AI374" i="23"/>
  <c r="AI370" i="23"/>
  <c r="AI366" i="23"/>
  <c r="AI362" i="23"/>
  <c r="AI358" i="23"/>
  <c r="AI354" i="23"/>
  <c r="AI350" i="23"/>
  <c r="AI346" i="23"/>
  <c r="AI342" i="23"/>
  <c r="AI338" i="23"/>
  <c r="AI334" i="23"/>
  <c r="AI330" i="23"/>
  <c r="AI326" i="23"/>
  <c r="AI322" i="23"/>
  <c r="AI318" i="23"/>
  <c r="AI314" i="23"/>
  <c r="AI310" i="23"/>
  <c r="AI306" i="23"/>
  <c r="AI302" i="23"/>
  <c r="AI298" i="23"/>
  <c r="AI294" i="23"/>
  <c r="AI290" i="23"/>
  <c r="AI286" i="23"/>
  <c r="AI282" i="23"/>
  <c r="AI278" i="23"/>
  <c r="AI274" i="23"/>
  <c r="AI270" i="23"/>
  <c r="AI266" i="23"/>
  <c r="AI262" i="23"/>
  <c r="AI258" i="23"/>
  <c r="AI254" i="23"/>
  <c r="AI250" i="23"/>
  <c r="AI246" i="23"/>
  <c r="AI242" i="23"/>
  <c r="AI238" i="23"/>
  <c r="AI234" i="23"/>
  <c r="AI230" i="23"/>
  <c r="AI226" i="23"/>
  <c r="AI222" i="23"/>
  <c r="AI218" i="23"/>
  <c r="AI140" i="23"/>
  <c r="AK417" i="23"/>
  <c r="AR432" i="23"/>
  <c r="AK424" i="23"/>
  <c r="AI404" i="23"/>
  <c r="AK404" i="23"/>
  <c r="AK411" i="23"/>
  <c r="AK403" i="23"/>
  <c r="AR437" i="23"/>
  <c r="AK429" i="23"/>
  <c r="AR433" i="23"/>
  <c r="AK425" i="23"/>
  <c r="AI409" i="23"/>
  <c r="AK409" i="23"/>
  <c r="AI405" i="23"/>
  <c r="AK405" i="23"/>
  <c r="AR438" i="23"/>
  <c r="AK430" i="23"/>
  <c r="O422" i="1"/>
  <c r="O423" i="1"/>
  <c r="AI415" i="23"/>
  <c r="AI422" i="23"/>
  <c r="AI411" i="23"/>
  <c r="AI418" i="23"/>
  <c r="AI407" i="23"/>
  <c r="AI403" i="23"/>
  <c r="AI399" i="23"/>
  <c r="AI395" i="23"/>
  <c r="AI391" i="23"/>
  <c r="AI387" i="23"/>
  <c r="AI383" i="23"/>
  <c r="AI379" i="23"/>
  <c r="AI375" i="23"/>
  <c r="AI371" i="23"/>
  <c r="AI367" i="23"/>
  <c r="AI363" i="23"/>
  <c r="AI359" i="23"/>
  <c r="AI355" i="23"/>
  <c r="AI351" i="23"/>
  <c r="AI347" i="23"/>
  <c r="AI343" i="23"/>
  <c r="AI339" i="23"/>
  <c r="AI335" i="23"/>
  <c r="AI331" i="23"/>
  <c r="AI327" i="23"/>
  <c r="AI323" i="23"/>
  <c r="AI319" i="23"/>
  <c r="AI315" i="23"/>
  <c r="AI311" i="23"/>
  <c r="AI307" i="23"/>
  <c r="AI303" i="23"/>
  <c r="AI299" i="23"/>
  <c r="AI295" i="23"/>
  <c r="AI291" i="23"/>
  <c r="AI287" i="23"/>
  <c r="AI283" i="23"/>
  <c r="AI279" i="23"/>
  <c r="AI275" i="23"/>
  <c r="AI271" i="23"/>
  <c r="AI267" i="23"/>
  <c r="AI263" i="23"/>
  <c r="AI259" i="23"/>
  <c r="AI255" i="23"/>
  <c r="AI251" i="23"/>
  <c r="AI247" i="23"/>
  <c r="AI243" i="23"/>
  <c r="AI239" i="23"/>
  <c r="AI235" i="23"/>
  <c r="AI231" i="23"/>
  <c r="AI227" i="23"/>
  <c r="AI223" i="23"/>
  <c r="AI219" i="23"/>
  <c r="AI141" i="23"/>
  <c r="AI414" i="23"/>
  <c r="AI421" i="23"/>
  <c r="AI413" i="23"/>
  <c r="AI420" i="23"/>
  <c r="AI317" i="23"/>
  <c r="AI313" i="23"/>
  <c r="AI309" i="23"/>
  <c r="AI305" i="23"/>
  <c r="AI301" i="23"/>
  <c r="AI297" i="23"/>
  <c r="AI293" i="23"/>
  <c r="AI289" i="23"/>
  <c r="AI285" i="23"/>
  <c r="AI281" i="23"/>
  <c r="AI277" i="23"/>
  <c r="AI273" i="23"/>
  <c r="AI269" i="23"/>
  <c r="AI265" i="23"/>
  <c r="AI261" i="23"/>
  <c r="AI257" i="23"/>
  <c r="AI253" i="23"/>
  <c r="AI249" i="23"/>
  <c r="AI245" i="23"/>
  <c r="AI241" i="23"/>
  <c r="AI237" i="23"/>
  <c r="AI233" i="23"/>
  <c r="AI229" i="23"/>
  <c r="AI225" i="23"/>
  <c r="AI221" i="23"/>
  <c r="AI217" i="23"/>
  <c r="AI143" i="23"/>
  <c r="AI139" i="23"/>
  <c r="AI416" i="23"/>
  <c r="AI423" i="23"/>
  <c r="AI412" i="23"/>
  <c r="AI419" i="23"/>
  <c r="AI352" i="23"/>
  <c r="AI348" i="23"/>
  <c r="AI344" i="23"/>
  <c r="AI340" i="23"/>
  <c r="AI336" i="23"/>
  <c r="AI332" i="23"/>
  <c r="AI417" i="23"/>
  <c r="AI424" i="23"/>
  <c r="AF290" i="23"/>
  <c r="AF286" i="23"/>
  <c r="AF282" i="23"/>
  <c r="AF278" i="23"/>
  <c r="AF274" i="23"/>
  <c r="AF270" i="23"/>
  <c r="AF266" i="23"/>
  <c r="AF262" i="23"/>
  <c r="AF258" i="23"/>
  <c r="AF254" i="23"/>
  <c r="AF250" i="23"/>
  <c r="AF246" i="23"/>
  <c r="AF242" i="23"/>
  <c r="AF238" i="23"/>
  <c r="AF234" i="23"/>
  <c r="AF230" i="23"/>
  <c r="AF226" i="23"/>
  <c r="AF222" i="23"/>
  <c r="AF218" i="23"/>
  <c r="AF214" i="23"/>
  <c r="AF135" i="23"/>
  <c r="AF131" i="23"/>
  <c r="AF127" i="23"/>
  <c r="AF123" i="23"/>
  <c r="AF119" i="23"/>
  <c r="AF115" i="23"/>
  <c r="AF111" i="23"/>
  <c r="AF107" i="23"/>
  <c r="AF103" i="23"/>
  <c r="AF99" i="23"/>
  <c r="AF95" i="23"/>
  <c r="AF91" i="23"/>
  <c r="AF87" i="23"/>
  <c r="AF83" i="23"/>
  <c r="AF79" i="23"/>
  <c r="AF75" i="23"/>
  <c r="AF71" i="23"/>
  <c r="AF67" i="23"/>
  <c r="AF63" i="23"/>
  <c r="AF59" i="23"/>
  <c r="AF55" i="23"/>
  <c r="AF51" i="23"/>
  <c r="AF47" i="23"/>
  <c r="AF43" i="23"/>
  <c r="AF39" i="23"/>
  <c r="AF35" i="23"/>
  <c r="AF31" i="23"/>
  <c r="AF27" i="23"/>
  <c r="AF23" i="23"/>
  <c r="AS408" i="23"/>
  <c r="AS404" i="23"/>
  <c r="AR427" i="23"/>
  <c r="AR429" i="23"/>
  <c r="AS409" i="23"/>
  <c r="AS405" i="23"/>
  <c r="AS401" i="23"/>
  <c r="AR431" i="23"/>
  <c r="AR430" i="23"/>
  <c r="AR428" i="23"/>
  <c r="AF376" i="23"/>
  <c r="AJ376" i="23" s="1"/>
  <c r="AF372" i="23"/>
  <c r="AJ372" i="23" s="1"/>
  <c r="AF368" i="23"/>
  <c r="AF364" i="23"/>
  <c r="AF360" i="23"/>
  <c r="AF356" i="23"/>
  <c r="AF352" i="23"/>
  <c r="AF348" i="23"/>
  <c r="AF344" i="23"/>
  <c r="AF336" i="23"/>
  <c r="AF328" i="23"/>
  <c r="AF320" i="23"/>
  <c r="AK327" i="23"/>
  <c r="AK319" i="23"/>
  <c r="AF232" i="23"/>
  <c r="AF224" i="23"/>
  <c r="AF216" i="23"/>
  <c r="AF208" i="23"/>
  <c r="AF200" i="23"/>
  <c r="AF192" i="23"/>
  <c r="AF184" i="23"/>
  <c r="AF176" i="23"/>
  <c r="AF168" i="23"/>
  <c r="AF160" i="23"/>
  <c r="AF137" i="23"/>
  <c r="AF133" i="23"/>
  <c r="AF129" i="23"/>
  <c r="AF125" i="23"/>
  <c r="AF121" i="23"/>
  <c r="AF117" i="23"/>
  <c r="AF113" i="23"/>
  <c r="AF109" i="23"/>
  <c r="AF105" i="23"/>
  <c r="AF101" i="23"/>
  <c r="AF97" i="23"/>
  <c r="AF93" i="23"/>
  <c r="AF89" i="23"/>
  <c r="AF85" i="23"/>
  <c r="AF81" i="23"/>
  <c r="AF77" i="23"/>
  <c r="AF73" i="23"/>
  <c r="AF69" i="23"/>
  <c r="AF65" i="23"/>
  <c r="AF61" i="23"/>
  <c r="AF57" i="23"/>
  <c r="AF53" i="23"/>
  <c r="AF49" i="23"/>
  <c r="AF45" i="23"/>
  <c r="AF41" i="23"/>
  <c r="AF37" i="23"/>
  <c r="AF33" i="23"/>
  <c r="AF29" i="23"/>
  <c r="AF25" i="23"/>
  <c r="AF21" i="23"/>
  <c r="AS410" i="23"/>
  <c r="AS406" i="23"/>
  <c r="AS402" i="23"/>
  <c r="AF210" i="23"/>
  <c r="AK396" i="23"/>
  <c r="AK392" i="23"/>
  <c r="AK388" i="23"/>
  <c r="AK384" i="23"/>
  <c r="AK380" i="23"/>
  <c r="AK376" i="23"/>
  <c r="AK372" i="23"/>
  <c r="AK368" i="23"/>
  <c r="AK364" i="23"/>
  <c r="AK360" i="23"/>
  <c r="AK356" i="23"/>
  <c r="AK352" i="23"/>
  <c r="AK348" i="23"/>
  <c r="AK344" i="23"/>
  <c r="AK340" i="23"/>
  <c r="AK336" i="23"/>
  <c r="AK332" i="23"/>
  <c r="AF413" i="23"/>
  <c r="AJ413" i="23" s="1"/>
  <c r="AF420" i="23"/>
  <c r="AJ420" i="23" s="1"/>
  <c r="AS415" i="23"/>
  <c r="AS422" i="23"/>
  <c r="AS411" i="23"/>
  <c r="AS418" i="23"/>
  <c r="AS407" i="23"/>
  <c r="AS403" i="23"/>
  <c r="AS399" i="23"/>
  <c r="AS417" i="23"/>
  <c r="AS424" i="23"/>
  <c r="AF410" i="23"/>
  <c r="AJ410" i="23" s="1"/>
  <c r="AS412" i="23"/>
  <c r="AS419" i="23"/>
  <c r="AF416" i="23"/>
  <c r="AJ416" i="23" s="1"/>
  <c r="AF423" i="23"/>
  <c r="AJ423" i="23" s="1"/>
  <c r="AF412" i="23"/>
  <c r="AJ412" i="23" s="1"/>
  <c r="AF419" i="23"/>
  <c r="AJ419" i="23" s="1"/>
  <c r="AF408" i="23"/>
  <c r="AJ408" i="23" s="1"/>
  <c r="AF404" i="23"/>
  <c r="AJ404" i="23" s="1"/>
  <c r="AR425" i="23"/>
  <c r="AS414" i="23"/>
  <c r="AS421" i="23"/>
  <c r="AK398" i="23"/>
  <c r="AS398" i="23"/>
  <c r="AK394" i="23"/>
  <c r="AK390" i="23"/>
  <c r="AK386" i="23"/>
  <c r="AK382" i="23"/>
  <c r="AK378" i="23"/>
  <c r="AK374" i="23"/>
  <c r="AK370" i="23"/>
  <c r="AK366" i="23"/>
  <c r="AK362" i="23"/>
  <c r="AK358" i="23"/>
  <c r="AK354" i="23"/>
  <c r="AK350" i="23"/>
  <c r="AK346" i="23"/>
  <c r="AK342" i="23"/>
  <c r="AK338" i="23"/>
  <c r="AK334" i="23"/>
  <c r="AK286" i="23"/>
  <c r="AK282" i="23"/>
  <c r="AK278" i="23"/>
  <c r="AK274" i="23"/>
  <c r="AK270" i="23"/>
  <c r="AK266" i="23"/>
  <c r="AK262" i="23"/>
  <c r="AK258" i="23"/>
  <c r="AK254" i="23"/>
  <c r="AK250" i="23"/>
  <c r="AK246" i="23"/>
  <c r="AK242" i="23"/>
  <c r="AK238" i="23"/>
  <c r="AK234" i="23"/>
  <c r="AK230" i="23"/>
  <c r="AK226" i="23"/>
  <c r="AF424" i="23"/>
  <c r="AJ424" i="23" s="1"/>
  <c r="AF417" i="23"/>
  <c r="AJ417" i="23" s="1"/>
  <c r="AF414" i="23"/>
  <c r="AJ414" i="23" s="1"/>
  <c r="AF421" i="23"/>
  <c r="AJ421" i="23" s="1"/>
  <c r="AS416" i="23"/>
  <c r="AS423" i="23"/>
  <c r="AK400" i="23"/>
  <c r="AS400" i="23"/>
  <c r="AF422" i="23"/>
  <c r="AJ422" i="23" s="1"/>
  <c r="AF418" i="23"/>
  <c r="AJ418" i="23" s="1"/>
  <c r="AR424" i="23"/>
  <c r="AS413" i="23"/>
  <c r="AS420" i="23"/>
  <c r="AF405" i="23"/>
  <c r="AJ405" i="23" s="1"/>
  <c r="AF373" i="23"/>
  <c r="AJ373" i="23" s="1"/>
  <c r="AF369" i="23"/>
  <c r="AF365" i="23"/>
  <c r="AF361" i="23"/>
  <c r="AF357" i="23"/>
  <c r="AF353" i="23"/>
  <c r="AK399" i="23"/>
  <c r="AK395" i="23"/>
  <c r="AK391" i="23"/>
  <c r="AK387" i="23"/>
  <c r="AK383" i="23"/>
  <c r="AK379" i="23"/>
  <c r="AK375" i="23"/>
  <c r="AK371" i="23"/>
  <c r="AK367" i="23"/>
  <c r="AK363" i="23"/>
  <c r="AK359" i="23"/>
  <c r="AK355" i="23"/>
  <c r="AK351" i="23"/>
  <c r="AK347" i="23"/>
  <c r="AK343" i="23"/>
  <c r="AK339" i="23"/>
  <c r="AK335" i="23"/>
  <c r="AK331" i="23"/>
  <c r="AK141" i="23"/>
  <c r="AK137" i="23"/>
  <c r="AK222" i="23"/>
  <c r="AK218" i="23"/>
  <c r="AK214" i="23"/>
  <c r="AK210" i="23"/>
  <c r="AK140" i="23"/>
  <c r="AK136" i="23"/>
  <c r="AK402" i="23"/>
  <c r="AK330" i="23"/>
  <c r="AK326" i="23"/>
  <c r="AK322" i="23"/>
  <c r="AK318" i="23"/>
  <c r="AK314" i="23"/>
  <c r="AK401" i="23"/>
  <c r="AK397" i="23"/>
  <c r="AK393" i="23"/>
  <c r="AK389" i="23"/>
  <c r="AK385" i="23"/>
  <c r="AK381" i="23"/>
  <c r="AK377" i="23"/>
  <c r="AK373" i="23"/>
  <c r="AK369" i="23"/>
  <c r="AK365" i="23"/>
  <c r="AK361" i="23"/>
  <c r="AK357" i="23"/>
  <c r="AK353" i="23"/>
  <c r="AK349" i="23"/>
  <c r="AK345" i="23"/>
  <c r="AK341" i="23"/>
  <c r="AK337" i="23"/>
  <c r="AK333" i="23"/>
  <c r="AK143" i="23"/>
  <c r="AK139" i="23"/>
  <c r="AF396" i="23"/>
  <c r="AJ396" i="23" s="1"/>
  <c r="AR417" i="23"/>
  <c r="AF384" i="23"/>
  <c r="AJ384" i="23" s="1"/>
  <c r="AR405" i="23"/>
  <c r="AF380" i="23"/>
  <c r="AJ380" i="23" s="1"/>
  <c r="AR401" i="23"/>
  <c r="AR412" i="23"/>
  <c r="AR408" i="23"/>
  <c r="AF392" i="23"/>
  <c r="AJ392" i="23" s="1"/>
  <c r="AR413" i="23"/>
  <c r="AF406" i="23"/>
  <c r="AJ406" i="23" s="1"/>
  <c r="AF402" i="23"/>
  <c r="AJ402" i="23" s="1"/>
  <c r="AF398" i="23"/>
  <c r="AJ398" i="23" s="1"/>
  <c r="AR419" i="23"/>
  <c r="AF394" i="23"/>
  <c r="AJ394" i="23" s="1"/>
  <c r="AR415" i="23"/>
  <c r="AF390" i="23"/>
  <c r="AJ390" i="23" s="1"/>
  <c r="AR411" i="23"/>
  <c r="AF386" i="23"/>
  <c r="AJ386" i="23" s="1"/>
  <c r="AR407" i="23"/>
  <c r="AF382" i="23"/>
  <c r="AJ382" i="23" s="1"/>
  <c r="AR403" i="23"/>
  <c r="AF378" i="23"/>
  <c r="AJ378" i="23" s="1"/>
  <c r="AR399" i="23"/>
  <c r="AF374" i="23"/>
  <c r="AJ374" i="23" s="1"/>
  <c r="AF370" i="23"/>
  <c r="AF366" i="23"/>
  <c r="AF362" i="23"/>
  <c r="AF358" i="23"/>
  <c r="AF354" i="23"/>
  <c r="AF350" i="23"/>
  <c r="AF346" i="23"/>
  <c r="AF342" i="23"/>
  <c r="AF338" i="23"/>
  <c r="AF334" i="23"/>
  <c r="AF330" i="23"/>
  <c r="AF326" i="23"/>
  <c r="AF322" i="23"/>
  <c r="AF318" i="23"/>
  <c r="AF314" i="23"/>
  <c r="AF388" i="23"/>
  <c r="AJ388" i="23" s="1"/>
  <c r="AR409" i="23"/>
  <c r="AR420" i="23"/>
  <c r="AR416" i="23"/>
  <c r="AR404" i="23"/>
  <c r="AF401" i="23"/>
  <c r="AJ401" i="23" s="1"/>
  <c r="AF397" i="23"/>
  <c r="AJ397" i="23" s="1"/>
  <c r="AR418" i="23"/>
  <c r="AF393" i="23"/>
  <c r="AJ393" i="23" s="1"/>
  <c r="AR414" i="23"/>
  <c r="AF389" i="23"/>
  <c r="AJ389" i="23" s="1"/>
  <c r="AR410" i="23"/>
  <c r="AF385" i="23"/>
  <c r="AJ385" i="23" s="1"/>
  <c r="AR406" i="23"/>
  <c r="AF381" i="23"/>
  <c r="AJ381" i="23" s="1"/>
  <c r="AR402" i="23"/>
  <c r="AF377" i="23"/>
  <c r="AJ377" i="23" s="1"/>
  <c r="AR398" i="23"/>
  <c r="AF349" i="23"/>
  <c r="AF345" i="23"/>
  <c r="AF341" i="23"/>
  <c r="AF337" i="23"/>
  <c r="AF333" i="23"/>
  <c r="AF329" i="23"/>
  <c r="AF325" i="23"/>
  <c r="AF321" i="23"/>
  <c r="AF298" i="23"/>
  <c r="AK317" i="23"/>
  <c r="AF317" i="23"/>
  <c r="AF305" i="23"/>
  <c r="AK324" i="23"/>
  <c r="AF289" i="23"/>
  <c r="AF312" i="23"/>
  <c r="AF304" i="23"/>
  <c r="AK323" i="23"/>
  <c r="AF296" i="23"/>
  <c r="AK315" i="23"/>
  <c r="AF280" i="23"/>
  <c r="AF272" i="23"/>
  <c r="AF256" i="23"/>
  <c r="AF248" i="23"/>
  <c r="AF240" i="23"/>
  <c r="AK310" i="23"/>
  <c r="AK306" i="23"/>
  <c r="AK302" i="23"/>
  <c r="AK298" i="23"/>
  <c r="AK294" i="23"/>
  <c r="AK290" i="23"/>
  <c r="AF302" i="23"/>
  <c r="AK321" i="23"/>
  <c r="AF313" i="23"/>
  <c r="AF301" i="23"/>
  <c r="AK320" i="23"/>
  <c r="AF285" i="23"/>
  <c r="AF288" i="23"/>
  <c r="AF264" i="23"/>
  <c r="AK309" i="23"/>
  <c r="AK305" i="23"/>
  <c r="AK301" i="23"/>
  <c r="AK297" i="23"/>
  <c r="AK293" i="23"/>
  <c r="AK289" i="23"/>
  <c r="AK285" i="23"/>
  <c r="AK281" i="23"/>
  <c r="AK277" i="23"/>
  <c r="AK273" i="23"/>
  <c r="AK269" i="23"/>
  <c r="AK265" i="23"/>
  <c r="AK261" i="23"/>
  <c r="AK257" i="23"/>
  <c r="AK253" i="23"/>
  <c r="AK249" i="23"/>
  <c r="AK245" i="23"/>
  <c r="AK241" i="23"/>
  <c r="AK237" i="23"/>
  <c r="AK233" i="23"/>
  <c r="AK229" i="23"/>
  <c r="AK225" i="23"/>
  <c r="AK221" i="23"/>
  <c r="AK217" i="23"/>
  <c r="AK213" i="23"/>
  <c r="AF310" i="23"/>
  <c r="AK329" i="23"/>
  <c r="AF294" i="23"/>
  <c r="AK313" i="23"/>
  <c r="AK308" i="23"/>
  <c r="AK304" i="23"/>
  <c r="AK300" i="23"/>
  <c r="AK296" i="23"/>
  <c r="AK292" i="23"/>
  <c r="AK288" i="23"/>
  <c r="AK284" i="23"/>
  <c r="AK280" i="23"/>
  <c r="AK276" i="23"/>
  <c r="AK272" i="23"/>
  <c r="AK268" i="23"/>
  <c r="AK264" i="23"/>
  <c r="AK260" i="23"/>
  <c r="AK256" i="23"/>
  <c r="AK252" i="23"/>
  <c r="AK248" i="23"/>
  <c r="AK244" i="23"/>
  <c r="AK240" i="23"/>
  <c r="AK236" i="23"/>
  <c r="AK232" i="23"/>
  <c r="AK228" i="23"/>
  <c r="AK224" i="23"/>
  <c r="AK220" i="23"/>
  <c r="AK216" i="23"/>
  <c r="AK212" i="23"/>
  <c r="AK142" i="23"/>
  <c r="AK138" i="23"/>
  <c r="AF306" i="23"/>
  <c r="AK325" i="23"/>
  <c r="AF309" i="23"/>
  <c r="AK328" i="23"/>
  <c r="AF297" i="23"/>
  <c r="AK316" i="23"/>
  <c r="AF293" i="23"/>
  <c r="AK312" i="23"/>
  <c r="AF281" i="23"/>
  <c r="AF277" i="23"/>
  <c r="AF273" i="23"/>
  <c r="AF269" i="23"/>
  <c r="AF265" i="23"/>
  <c r="AF261" i="23"/>
  <c r="AF257" i="23"/>
  <c r="AF253" i="23"/>
  <c r="AF249" i="23"/>
  <c r="AF245" i="23"/>
  <c r="AF241" i="23"/>
  <c r="AF237" i="23"/>
  <c r="AF233" i="23"/>
  <c r="AF229" i="23"/>
  <c r="AF225" i="23"/>
  <c r="AF221" i="23"/>
  <c r="AF217" i="23"/>
  <c r="AF213" i="23"/>
  <c r="AF209" i="23"/>
  <c r="AF205" i="23"/>
  <c r="AF201" i="23"/>
  <c r="AF197" i="23"/>
  <c r="AF193" i="23"/>
  <c r="AF189" i="23"/>
  <c r="AF185" i="23"/>
  <c r="AF181" i="23"/>
  <c r="AF177" i="23"/>
  <c r="AF173" i="23"/>
  <c r="AF169" i="23"/>
  <c r="AF165" i="23"/>
  <c r="AF161" i="23"/>
  <c r="AK311" i="23"/>
  <c r="AK307" i="23"/>
  <c r="AK303" i="23"/>
  <c r="AK299" i="23"/>
  <c r="AK295" i="23"/>
  <c r="AK291" i="23"/>
  <c r="AK287" i="23"/>
  <c r="AK283" i="23"/>
  <c r="AK279" i="23"/>
  <c r="AK275" i="23"/>
  <c r="AK271" i="23"/>
  <c r="AK267" i="23"/>
  <c r="AK263" i="23"/>
  <c r="AK259" i="23"/>
  <c r="AK255" i="23"/>
  <c r="AK251" i="23"/>
  <c r="AK247" i="23"/>
  <c r="AK243" i="23"/>
  <c r="AK239" i="23"/>
  <c r="AK235" i="23"/>
  <c r="AK231" i="23"/>
  <c r="AK227" i="23"/>
  <c r="AK223" i="23"/>
  <c r="AK219" i="23"/>
  <c r="AK215" i="23"/>
  <c r="AK211" i="23"/>
  <c r="AF157" i="23"/>
  <c r="AF153" i="23"/>
  <c r="AF138" i="23"/>
  <c r="AF134" i="23"/>
  <c r="AF130" i="23"/>
  <c r="AF126" i="23"/>
  <c r="AF122" i="23"/>
  <c r="AF118" i="23"/>
  <c r="AF114" i="23"/>
  <c r="AF110" i="23"/>
  <c r="AF106" i="23"/>
  <c r="AF102" i="23"/>
  <c r="AF98" i="23"/>
  <c r="AF94" i="23"/>
  <c r="AF90" i="23"/>
  <c r="AF86" i="23"/>
  <c r="AF82" i="23"/>
  <c r="AF78" i="23"/>
  <c r="AF74" i="23"/>
  <c r="AF70" i="23"/>
  <c r="AF66" i="23"/>
  <c r="AF62" i="23"/>
  <c r="AF58" i="23"/>
  <c r="AF54" i="23"/>
  <c r="AF50" i="23"/>
  <c r="AF46" i="23"/>
  <c r="AF42" i="23"/>
  <c r="AF38" i="23"/>
  <c r="AF34" i="23"/>
  <c r="AF30" i="23"/>
  <c r="AF26" i="23"/>
  <c r="AF22" i="23"/>
  <c r="AF252" i="23"/>
  <c r="AF259" i="23"/>
  <c r="AF164" i="23"/>
  <c r="AF171" i="23"/>
  <c r="AF340" i="23"/>
  <c r="AF347" i="23"/>
  <c r="AF332" i="23"/>
  <c r="AF339" i="23"/>
  <c r="AF308" i="23"/>
  <c r="AF315" i="23"/>
  <c r="AF300" i="23"/>
  <c r="AF307" i="23"/>
  <c r="AF292" i="23"/>
  <c r="AF299" i="23"/>
  <c r="AF284" i="23"/>
  <c r="AF291" i="23"/>
  <c r="AF260" i="23"/>
  <c r="AF267" i="23"/>
  <c r="AF236" i="23"/>
  <c r="AF243" i="23"/>
  <c r="AF228" i="23"/>
  <c r="AF235" i="23"/>
  <c r="AF204" i="23"/>
  <c r="AF211" i="23"/>
  <c r="AF196" i="23"/>
  <c r="AF203" i="23"/>
  <c r="AF172" i="23"/>
  <c r="AF179" i="23"/>
  <c r="AF156" i="23"/>
  <c r="AF163" i="23"/>
  <c r="AF155" i="23"/>
  <c r="AF415" i="23"/>
  <c r="AJ415" i="23" s="1"/>
  <c r="AF411" i="23"/>
  <c r="AJ411" i="23" s="1"/>
  <c r="AF407" i="23"/>
  <c r="AJ407" i="23" s="1"/>
  <c r="AF403" i="23"/>
  <c r="AJ403" i="23" s="1"/>
  <c r="AF399" i="23"/>
  <c r="AJ399" i="23" s="1"/>
  <c r="AF395" i="23"/>
  <c r="AJ395" i="23" s="1"/>
  <c r="AF391" i="23"/>
  <c r="AJ391" i="23" s="1"/>
  <c r="AF387" i="23"/>
  <c r="AJ387" i="23" s="1"/>
  <c r="AF383" i="23"/>
  <c r="AJ383" i="23" s="1"/>
  <c r="AF379" i="23"/>
  <c r="AJ379" i="23" s="1"/>
  <c r="AF375" i="23"/>
  <c r="AJ375" i="23" s="1"/>
  <c r="AF371" i="23"/>
  <c r="AJ371" i="23" s="1"/>
  <c r="AF367" i="23"/>
  <c r="AF363" i="23"/>
  <c r="AF359" i="23"/>
  <c r="AF355" i="23"/>
  <c r="AF351" i="23"/>
  <c r="AF343" i="23"/>
  <c r="AF335" i="23"/>
  <c r="AF327" i="23"/>
  <c r="AF319" i="23"/>
  <c r="AF311" i="23"/>
  <c r="AF303" i="23"/>
  <c r="AF295" i="23"/>
  <c r="AF287" i="23"/>
  <c r="AF279" i="23"/>
  <c r="AF271" i="23"/>
  <c r="AF263" i="23"/>
  <c r="AF255" i="23"/>
  <c r="AF247" i="23"/>
  <c r="AF239" i="23"/>
  <c r="AF231" i="23"/>
  <c r="AF223" i="23"/>
  <c r="AF215" i="23"/>
  <c r="AF207" i="23"/>
  <c r="AF199" i="23"/>
  <c r="AF191" i="23"/>
  <c r="AF183" i="23"/>
  <c r="AF175" i="23"/>
  <c r="AF167" i="23"/>
  <c r="AF159" i="23"/>
  <c r="AF324" i="23"/>
  <c r="AF331" i="23"/>
  <c r="AF316" i="23"/>
  <c r="AF323" i="23"/>
  <c r="AF276" i="23"/>
  <c r="AF283" i="23"/>
  <c r="AF268" i="23"/>
  <c r="AF275" i="23"/>
  <c r="AF244" i="23"/>
  <c r="AF251" i="23"/>
  <c r="AF220" i="23"/>
  <c r="AF227" i="23"/>
  <c r="AF212" i="23"/>
  <c r="AF219" i="23"/>
  <c r="AF188" i="23"/>
  <c r="AF195" i="23"/>
  <c r="AF180" i="23"/>
  <c r="AF187" i="23"/>
  <c r="AF136" i="23"/>
  <c r="AF132" i="23"/>
  <c r="AF128" i="23"/>
  <c r="AF124" i="23"/>
  <c r="AF120" i="23"/>
  <c r="AF116" i="23"/>
  <c r="AF112" i="23"/>
  <c r="AF108" i="23"/>
  <c r="AF104" i="23"/>
  <c r="AF100" i="23"/>
  <c r="AF96" i="23"/>
  <c r="AF92" i="23"/>
  <c r="AF88" i="23"/>
  <c r="AF84" i="23"/>
  <c r="AF80" i="23"/>
  <c r="AF76" i="23"/>
  <c r="AF72" i="23"/>
  <c r="AF68" i="23"/>
  <c r="AF64" i="23"/>
  <c r="AF60" i="23"/>
  <c r="AF56" i="23"/>
  <c r="AF52" i="23"/>
  <c r="AF48" i="23"/>
  <c r="AF44" i="23"/>
  <c r="AF40" i="23"/>
  <c r="AF36" i="23"/>
  <c r="AF32" i="23"/>
  <c r="AF28" i="23"/>
  <c r="AF24" i="23"/>
  <c r="AF206" i="23"/>
  <c r="AF202" i="23"/>
  <c r="AF198" i="23"/>
  <c r="AF194" i="23"/>
  <c r="AF190" i="23"/>
  <c r="AF186" i="23"/>
  <c r="AF182" i="23"/>
  <c r="AF178" i="23"/>
  <c r="AF174" i="23"/>
  <c r="AF170" i="23"/>
  <c r="AF166" i="23"/>
  <c r="AF162" i="23"/>
  <c r="AF158" i="23"/>
  <c r="AF154" i="23"/>
  <c r="N413" i="1"/>
  <c r="O419" i="1" s="1"/>
  <c r="M413" i="1"/>
  <c r="S414" i="1"/>
  <c r="F414" i="1"/>
  <c r="M411" i="1"/>
  <c r="M412" i="1"/>
  <c r="N411" i="1"/>
  <c r="N412" i="1"/>
  <c r="S413" i="1"/>
  <c r="F413" i="1"/>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S410" i="1"/>
  <c r="F410" i="1"/>
  <c r="F409" i="1"/>
  <c r="S409" i="1"/>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3" i="23"/>
  <c r="AJ2" i="23"/>
  <c r="AH392" i="23"/>
  <c r="AH393" i="23"/>
  <c r="AH394" i="23"/>
  <c r="AH395" i="23"/>
  <c r="AH396" i="23"/>
  <c r="AH397" i="23"/>
  <c r="AH398" i="23"/>
  <c r="AH399" i="23"/>
  <c r="AH400" i="23"/>
  <c r="AH401" i="23"/>
  <c r="AH402" i="23"/>
  <c r="AH403" i="23"/>
  <c r="AH404" i="23"/>
  <c r="AH405" i="23"/>
  <c r="AH406" i="23"/>
  <c r="AH407" i="23"/>
  <c r="AH408" i="23"/>
  <c r="F408" i="23"/>
  <c r="S408" i="1"/>
  <c r="F408" i="1"/>
  <c r="Z406" i="23"/>
  <c r="Z407" i="23"/>
  <c r="F406" i="23"/>
  <c r="F407" i="23"/>
  <c r="S407" i="1"/>
  <c r="F407" i="1"/>
  <c r="S406" i="1"/>
  <c r="F406" i="1"/>
  <c r="R530" i="1" l="1"/>
  <c r="T530" i="1"/>
  <c r="Y519" i="23"/>
  <c r="AG519" i="23"/>
  <c r="C521" i="23"/>
  <c r="S520" i="23"/>
  <c r="AG480" i="23"/>
  <c r="AL480" i="23"/>
  <c r="C475" i="23"/>
  <c r="AC489" i="23" s="1"/>
  <c r="AD489" i="23" s="1"/>
  <c r="S474" i="23"/>
  <c r="U474" i="23"/>
  <c r="AG473" i="23"/>
  <c r="Y473" i="23"/>
  <c r="E56" i="35"/>
  <c r="F55" i="35"/>
  <c r="U453" i="23"/>
  <c r="L452" i="23"/>
  <c r="AD466" i="23" s="1"/>
  <c r="AG451" i="23"/>
  <c r="AL458" i="23"/>
  <c r="AG458" i="23"/>
  <c r="U452" i="23"/>
  <c r="S452" i="23"/>
  <c r="Y452" i="23" s="1"/>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M404" i="1"/>
  <c r="M405" i="1"/>
  <c r="Y520" i="23" l="1"/>
  <c r="AG520" i="23"/>
  <c r="C522" i="23"/>
  <c r="S521" i="23"/>
  <c r="AL481" i="23"/>
  <c r="AG481" i="23"/>
  <c r="C476" i="23"/>
  <c r="AC490" i="23" s="1"/>
  <c r="AD490" i="23" s="1"/>
  <c r="U475" i="23"/>
  <c r="S475" i="23"/>
  <c r="Y474" i="23"/>
  <c r="AG474" i="23"/>
  <c r="E57" i="35"/>
  <c r="F56" i="35"/>
  <c r="AG453" i="23"/>
  <c r="AG460" i="23"/>
  <c r="AL460" i="23"/>
  <c r="AG452" i="23"/>
  <c r="AL459" i="23"/>
  <c r="AG459" i="23"/>
  <c r="L453" i="23"/>
  <c r="AD467" i="23" s="1"/>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Y112" i="23" s="1"/>
  <c r="S115" i="23"/>
  <c r="Y115" i="23" s="1"/>
  <c r="S116" i="23"/>
  <c r="Y116" i="23" s="1"/>
  <c r="S117" i="23"/>
  <c r="Y117" i="23" s="1"/>
  <c r="S118" i="23"/>
  <c r="Y118" i="23" s="1"/>
  <c r="S121" i="23"/>
  <c r="Y121" i="23" s="1"/>
  <c r="S127" i="23"/>
  <c r="Y127" i="23" s="1"/>
  <c r="S128" i="23"/>
  <c r="S129" i="23"/>
  <c r="Y129" i="23" s="1"/>
  <c r="S130" i="23"/>
  <c r="Y130" i="23" s="1"/>
  <c r="S131" i="23"/>
  <c r="Y131" i="23" s="1"/>
  <c r="S132" i="23"/>
  <c r="Y132" i="23" s="1"/>
  <c r="S133" i="23"/>
  <c r="Y133" i="23" s="1"/>
  <c r="S134" i="23"/>
  <c r="Y134" i="23" s="1"/>
  <c r="S135" i="23"/>
  <c r="Y135" i="23" s="1"/>
  <c r="S137" i="23"/>
  <c r="Y137" i="23" s="1"/>
  <c r="F404" i="23"/>
  <c r="F405" i="23"/>
  <c r="Z405" i="23"/>
  <c r="Z404" i="23"/>
  <c r="Z403" i="23"/>
  <c r="F403" i="23"/>
  <c r="Z402" i="23"/>
  <c r="F402" i="23"/>
  <c r="Z401" i="23"/>
  <c r="F401" i="23"/>
  <c r="P402" i="23" s="1"/>
  <c r="Z400" i="23"/>
  <c r="F400" i="23"/>
  <c r="P401" i="23" s="1"/>
  <c r="Z399" i="23"/>
  <c r="F399" i="23"/>
  <c r="Z398" i="23"/>
  <c r="F398" i="23"/>
  <c r="Z397" i="23"/>
  <c r="T397" i="23"/>
  <c r="F397" i="23"/>
  <c r="Z396" i="23"/>
  <c r="T396" i="23"/>
  <c r="F396" i="23"/>
  <c r="Z395" i="23"/>
  <c r="T395" i="23"/>
  <c r="F395" i="23"/>
  <c r="Z394" i="23"/>
  <c r="T394" i="23"/>
  <c r="F394" i="23"/>
  <c r="Z393" i="23"/>
  <c r="T393" i="23"/>
  <c r="F393" i="23"/>
  <c r="Z392" i="23"/>
  <c r="T392" i="23"/>
  <c r="F392" i="23"/>
  <c r="Z391" i="23"/>
  <c r="T391" i="23"/>
  <c r="F391" i="23"/>
  <c r="Z390" i="23"/>
  <c r="T390" i="23"/>
  <c r="J390" i="23"/>
  <c r="J391" i="23" s="1"/>
  <c r="J392" i="23" s="1"/>
  <c r="J393" i="23" s="1"/>
  <c r="J394" i="23" s="1"/>
  <c r="J395" i="23" s="1"/>
  <c r="J396" i="23" s="1"/>
  <c r="J397" i="23" s="1"/>
  <c r="J398" i="23" s="1"/>
  <c r="F390" i="23"/>
  <c r="Z389" i="23"/>
  <c r="T389" i="23"/>
  <c r="F389" i="23"/>
  <c r="Z388" i="23"/>
  <c r="T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Z387" i="23"/>
  <c r="T387" i="23"/>
  <c r="F387" i="23"/>
  <c r="Z386" i="23"/>
  <c r="T386" i="23"/>
  <c r="F386" i="23"/>
  <c r="Z385" i="23"/>
  <c r="T385" i="23"/>
  <c r="F385" i="23"/>
  <c r="Z384" i="23"/>
  <c r="T384" i="23"/>
  <c r="F384" i="23"/>
  <c r="Z383" i="23"/>
  <c r="T383" i="23"/>
  <c r="F383" i="23"/>
  <c r="Z382" i="23"/>
  <c r="T382" i="23"/>
  <c r="F382" i="23"/>
  <c r="Z381" i="23"/>
  <c r="T381" i="23"/>
  <c r="F381" i="23"/>
  <c r="Z380" i="23"/>
  <c r="T380" i="23"/>
  <c r="F380" i="23"/>
  <c r="Z379" i="23"/>
  <c r="T379" i="23"/>
  <c r="F379" i="23"/>
  <c r="Z378" i="23"/>
  <c r="T378" i="23"/>
  <c r="F378" i="23"/>
  <c r="Z377" i="23"/>
  <c r="T377" i="23"/>
  <c r="F377" i="23"/>
  <c r="Z376" i="23"/>
  <c r="T376" i="23"/>
  <c r="F376" i="23"/>
  <c r="Z375" i="23"/>
  <c r="T375" i="23"/>
  <c r="F375" i="23"/>
  <c r="Z374" i="23"/>
  <c r="T374" i="23"/>
  <c r="F374" i="23"/>
  <c r="Z373" i="23"/>
  <c r="T373" i="23"/>
  <c r="F373" i="23"/>
  <c r="Z372" i="23"/>
  <c r="T372" i="23"/>
  <c r="F372" i="23"/>
  <c r="Z371" i="23"/>
  <c r="T371" i="23"/>
  <c r="F371" i="23"/>
  <c r="Z370" i="23"/>
  <c r="T370" i="23"/>
  <c r="F370" i="23"/>
  <c r="Z369" i="23"/>
  <c r="T369" i="23"/>
  <c r="F369" i="23"/>
  <c r="Z368" i="23"/>
  <c r="T368" i="23"/>
  <c r="F368" i="23"/>
  <c r="Z367" i="23"/>
  <c r="T367" i="23"/>
  <c r="F367" i="23"/>
  <c r="Z366" i="23"/>
  <c r="T366" i="23"/>
  <c r="F366" i="23"/>
  <c r="Z365" i="23"/>
  <c r="T365" i="23"/>
  <c r="F365" i="23"/>
  <c r="Z364" i="23"/>
  <c r="T364" i="23"/>
  <c r="F364" i="23"/>
  <c r="Z363" i="23"/>
  <c r="T363" i="23"/>
  <c r="F363" i="23"/>
  <c r="Z362" i="23"/>
  <c r="T362" i="23"/>
  <c r="F362" i="23"/>
  <c r="Z361" i="23"/>
  <c r="T361" i="23"/>
  <c r="F361" i="23"/>
  <c r="Z360" i="23"/>
  <c r="T360" i="23"/>
  <c r="F360" i="23"/>
  <c r="Z359" i="23"/>
  <c r="T359" i="23"/>
  <c r="F359" i="23"/>
  <c r="Z358" i="23"/>
  <c r="T358" i="23"/>
  <c r="F358" i="23"/>
  <c r="Z357" i="23"/>
  <c r="T357" i="23"/>
  <c r="F357" i="23"/>
  <c r="Z356" i="23"/>
  <c r="T356" i="23"/>
  <c r="F356" i="23"/>
  <c r="Z355" i="23"/>
  <c r="T355" i="23"/>
  <c r="F355" i="23"/>
  <c r="Z354" i="23"/>
  <c r="T354" i="23"/>
  <c r="F354" i="23"/>
  <c r="Z353" i="23"/>
  <c r="T353" i="23"/>
  <c r="F353" i="23"/>
  <c r="Z352" i="23"/>
  <c r="T352" i="23"/>
  <c r="F352" i="23"/>
  <c r="Z351" i="23"/>
  <c r="T351" i="23"/>
  <c r="F351" i="23"/>
  <c r="Z350" i="23"/>
  <c r="T350" i="23"/>
  <c r="F350" i="23"/>
  <c r="Z349" i="23"/>
  <c r="T349" i="23"/>
  <c r="F349" i="23"/>
  <c r="Z348" i="23"/>
  <c r="T348" i="23"/>
  <c r="F348" i="23"/>
  <c r="Z347" i="23"/>
  <c r="T347" i="23"/>
  <c r="F347" i="23"/>
  <c r="Z346" i="23"/>
  <c r="T346" i="23"/>
  <c r="F346" i="23"/>
  <c r="Z345" i="23"/>
  <c r="T345" i="23"/>
  <c r="F345" i="23"/>
  <c r="Z344" i="23"/>
  <c r="T344" i="23"/>
  <c r="F344" i="23"/>
  <c r="Z343" i="23"/>
  <c r="T343" i="23"/>
  <c r="F343" i="23"/>
  <c r="Z342" i="23"/>
  <c r="T342" i="23"/>
  <c r="F342" i="23"/>
  <c r="Z341" i="23"/>
  <c r="T341" i="23"/>
  <c r="F341" i="23"/>
  <c r="Z340" i="23"/>
  <c r="T340" i="23"/>
  <c r="F340" i="23"/>
  <c r="Z339" i="23"/>
  <c r="T339" i="23"/>
  <c r="F339" i="23"/>
  <c r="Z338" i="23"/>
  <c r="T338" i="23"/>
  <c r="F338" i="23"/>
  <c r="Z337" i="23"/>
  <c r="T337" i="23"/>
  <c r="F337" i="23"/>
  <c r="Z336" i="23"/>
  <c r="T336" i="23"/>
  <c r="F336" i="23"/>
  <c r="Z335" i="23"/>
  <c r="T335" i="23"/>
  <c r="F335" i="23"/>
  <c r="Z334" i="23"/>
  <c r="T334" i="23"/>
  <c r="F334" i="23"/>
  <c r="Z333" i="23"/>
  <c r="T333" i="23"/>
  <c r="F333" i="23"/>
  <c r="Z332" i="23"/>
  <c r="T332" i="23"/>
  <c r="F332" i="23"/>
  <c r="Z331" i="23"/>
  <c r="T331" i="23"/>
  <c r="F331" i="23"/>
  <c r="Z330" i="23"/>
  <c r="T330" i="23"/>
  <c r="F330" i="23"/>
  <c r="Z329" i="23"/>
  <c r="T329" i="23"/>
  <c r="F329" i="23"/>
  <c r="Z328" i="23"/>
  <c r="T328" i="23"/>
  <c r="F328" i="23"/>
  <c r="Z327" i="23"/>
  <c r="T327" i="23"/>
  <c r="F327" i="23"/>
  <c r="Z326" i="23"/>
  <c r="T326" i="23"/>
  <c r="F326" i="23"/>
  <c r="Z325" i="23"/>
  <c r="T325" i="23"/>
  <c r="F325" i="23"/>
  <c r="Z324" i="23"/>
  <c r="T324" i="23"/>
  <c r="F324" i="23"/>
  <c r="Z323" i="23"/>
  <c r="T323" i="23"/>
  <c r="F323" i="23"/>
  <c r="Z322" i="23"/>
  <c r="T322" i="23"/>
  <c r="F322" i="23"/>
  <c r="Z321" i="23"/>
  <c r="T321" i="23"/>
  <c r="F321" i="23"/>
  <c r="Z320" i="23"/>
  <c r="T320" i="23"/>
  <c r="F320" i="23"/>
  <c r="Z319" i="23"/>
  <c r="T319" i="23"/>
  <c r="F319" i="23"/>
  <c r="Z318" i="23"/>
  <c r="T318" i="23"/>
  <c r="F318" i="23"/>
  <c r="Z317" i="23"/>
  <c r="T317" i="23"/>
  <c r="F317" i="23"/>
  <c r="Z316" i="23"/>
  <c r="T316" i="23"/>
  <c r="F316" i="23"/>
  <c r="Z315" i="23"/>
  <c r="T315" i="23"/>
  <c r="F315" i="23"/>
  <c r="Z314" i="23"/>
  <c r="T314" i="23"/>
  <c r="F314" i="23"/>
  <c r="Z313" i="23"/>
  <c r="T313" i="23"/>
  <c r="F313" i="23"/>
  <c r="Z312" i="23"/>
  <c r="T312" i="23"/>
  <c r="F312" i="23"/>
  <c r="Z311" i="23"/>
  <c r="T311" i="23"/>
  <c r="F311" i="23"/>
  <c r="Z310" i="23"/>
  <c r="T310" i="23"/>
  <c r="F310" i="23"/>
  <c r="Z309" i="23"/>
  <c r="T309" i="23"/>
  <c r="F309" i="23"/>
  <c r="Z308" i="23"/>
  <c r="T308" i="23"/>
  <c r="F308" i="23"/>
  <c r="Z307" i="23"/>
  <c r="T307" i="23"/>
  <c r="F307" i="23"/>
  <c r="Z306" i="23"/>
  <c r="T306" i="23"/>
  <c r="F306" i="23"/>
  <c r="Z305" i="23"/>
  <c r="T305" i="23"/>
  <c r="F305" i="23"/>
  <c r="Z304" i="23"/>
  <c r="T304" i="23"/>
  <c r="F304" i="23"/>
  <c r="Z303" i="23"/>
  <c r="T303" i="23"/>
  <c r="F303" i="23"/>
  <c r="Z302" i="23"/>
  <c r="T302" i="23"/>
  <c r="F302" i="23"/>
  <c r="Z301" i="23"/>
  <c r="T301" i="23"/>
  <c r="F301" i="23"/>
  <c r="Z300" i="23"/>
  <c r="T300" i="23"/>
  <c r="F300" i="23"/>
  <c r="Z299" i="23"/>
  <c r="T299" i="23"/>
  <c r="F299" i="23"/>
  <c r="Z298" i="23"/>
  <c r="T298" i="23"/>
  <c r="F298" i="23"/>
  <c r="Z297" i="23"/>
  <c r="T297" i="23"/>
  <c r="F297" i="23"/>
  <c r="Z296" i="23"/>
  <c r="T296" i="23"/>
  <c r="F296" i="23"/>
  <c r="Z295" i="23"/>
  <c r="T295" i="23"/>
  <c r="F295" i="23"/>
  <c r="Z294" i="23"/>
  <c r="T294" i="23"/>
  <c r="F294" i="23"/>
  <c r="Z293" i="23"/>
  <c r="T293" i="23"/>
  <c r="F293" i="23"/>
  <c r="Z292" i="23"/>
  <c r="T292" i="23"/>
  <c r="F292" i="23"/>
  <c r="Z291" i="23"/>
  <c r="T291" i="23"/>
  <c r="F291" i="23"/>
  <c r="Z290" i="23"/>
  <c r="T290" i="23"/>
  <c r="F290" i="23"/>
  <c r="Z289" i="23"/>
  <c r="T289" i="23"/>
  <c r="F289" i="23"/>
  <c r="Z288" i="23"/>
  <c r="T288" i="23"/>
  <c r="F288" i="23"/>
  <c r="Z287" i="23"/>
  <c r="T287" i="23"/>
  <c r="F287" i="23"/>
  <c r="Z286" i="23"/>
  <c r="T286" i="23"/>
  <c r="F286" i="23"/>
  <c r="Z285" i="23"/>
  <c r="T285" i="23"/>
  <c r="F285" i="23"/>
  <c r="Z284" i="23"/>
  <c r="T284" i="23"/>
  <c r="F284" i="23"/>
  <c r="Z283" i="23"/>
  <c r="T283" i="23"/>
  <c r="F283" i="23"/>
  <c r="Z282" i="23"/>
  <c r="T282" i="23"/>
  <c r="F282" i="23"/>
  <c r="Z281" i="23"/>
  <c r="T281" i="23"/>
  <c r="F281" i="23"/>
  <c r="Z280" i="23"/>
  <c r="T280" i="23"/>
  <c r="F280" i="23"/>
  <c r="Z279" i="23"/>
  <c r="T279" i="23"/>
  <c r="F279" i="23"/>
  <c r="Z278" i="23"/>
  <c r="T278" i="23"/>
  <c r="F278" i="23"/>
  <c r="Z277" i="23"/>
  <c r="T277" i="23"/>
  <c r="F277" i="23"/>
  <c r="Z276" i="23"/>
  <c r="T276" i="23"/>
  <c r="F276" i="23"/>
  <c r="Z275" i="23"/>
  <c r="T275" i="23"/>
  <c r="F275" i="23"/>
  <c r="Z274" i="23"/>
  <c r="T274" i="23"/>
  <c r="F274" i="23"/>
  <c r="Z273" i="23"/>
  <c r="T273" i="23"/>
  <c r="F273" i="23"/>
  <c r="Z272" i="23"/>
  <c r="T272" i="23"/>
  <c r="F272" i="23"/>
  <c r="Z271" i="23"/>
  <c r="T271" i="23"/>
  <c r="F271" i="23"/>
  <c r="Z270" i="23"/>
  <c r="T270" i="23"/>
  <c r="F270" i="23"/>
  <c r="Z269" i="23"/>
  <c r="T269" i="23"/>
  <c r="F269" i="23"/>
  <c r="Z268" i="23"/>
  <c r="T268" i="23"/>
  <c r="F268" i="23"/>
  <c r="Z267" i="23"/>
  <c r="T267" i="23"/>
  <c r="F267" i="23"/>
  <c r="Z266" i="23"/>
  <c r="T266" i="23"/>
  <c r="F266" i="23"/>
  <c r="Z265" i="23"/>
  <c r="T265" i="23"/>
  <c r="F265" i="23"/>
  <c r="Z264" i="23"/>
  <c r="T264" i="23"/>
  <c r="F264" i="23"/>
  <c r="Z263" i="23"/>
  <c r="T263" i="23"/>
  <c r="F263" i="23"/>
  <c r="Z262" i="23"/>
  <c r="T262" i="23"/>
  <c r="F262" i="23"/>
  <c r="Z261" i="23"/>
  <c r="T261" i="23"/>
  <c r="F261" i="23"/>
  <c r="Z260" i="23"/>
  <c r="T260" i="23"/>
  <c r="F260" i="23"/>
  <c r="Z259" i="23"/>
  <c r="T259" i="23"/>
  <c r="F259" i="23"/>
  <c r="Z258" i="23"/>
  <c r="T258" i="23"/>
  <c r="F258" i="23"/>
  <c r="Z257" i="23"/>
  <c r="T257" i="23"/>
  <c r="F257" i="23"/>
  <c r="Z256" i="23"/>
  <c r="T256" i="23"/>
  <c r="F256" i="23"/>
  <c r="Z255" i="23"/>
  <c r="T255" i="23"/>
  <c r="F255" i="23"/>
  <c r="Z254" i="23"/>
  <c r="T254" i="23"/>
  <c r="F254" i="23"/>
  <c r="Z253" i="23"/>
  <c r="T253" i="23"/>
  <c r="F253" i="23"/>
  <c r="Z252" i="23"/>
  <c r="T252" i="23"/>
  <c r="F252" i="23"/>
  <c r="Z251" i="23"/>
  <c r="T251" i="23"/>
  <c r="F251" i="23"/>
  <c r="Z250" i="23"/>
  <c r="T250" i="23"/>
  <c r="F250" i="23"/>
  <c r="Z249" i="23"/>
  <c r="T249" i="23"/>
  <c r="F249" i="23"/>
  <c r="Z248" i="23"/>
  <c r="T248" i="23"/>
  <c r="F248" i="23"/>
  <c r="Z247" i="23"/>
  <c r="T247" i="23"/>
  <c r="F247" i="23"/>
  <c r="Z246" i="23"/>
  <c r="T246" i="23"/>
  <c r="F246" i="23"/>
  <c r="Z245" i="23"/>
  <c r="F245" i="23"/>
  <c r="Z244" i="23"/>
  <c r="F244" i="23"/>
  <c r="Z243" i="23"/>
  <c r="F243" i="23"/>
  <c r="Z242" i="23"/>
  <c r="F242" i="23"/>
  <c r="Z241" i="23"/>
  <c r="F241" i="23"/>
  <c r="Z240" i="23"/>
  <c r="F240" i="23"/>
  <c r="Z239" i="23"/>
  <c r="F239" i="23"/>
  <c r="Z238" i="23"/>
  <c r="F238" i="23"/>
  <c r="Z237" i="23"/>
  <c r="F237" i="23"/>
  <c r="Z236" i="23"/>
  <c r="F236" i="23"/>
  <c r="Z235" i="23"/>
  <c r="F235" i="23"/>
  <c r="Z234" i="23"/>
  <c r="F234" i="23"/>
  <c r="Z233" i="23"/>
  <c r="F233" i="23"/>
  <c r="Z232" i="23"/>
  <c r="F232" i="23"/>
  <c r="Z231" i="23"/>
  <c r="F231" i="23"/>
  <c r="Z230" i="23"/>
  <c r="F230" i="23"/>
  <c r="Z229" i="23"/>
  <c r="F229" i="23"/>
  <c r="Z228" i="23"/>
  <c r="F228" i="23"/>
  <c r="Z227" i="23"/>
  <c r="F227" i="23"/>
  <c r="Z226" i="23"/>
  <c r="F226" i="23"/>
  <c r="Z225" i="23"/>
  <c r="F225" i="23"/>
  <c r="Z224" i="23"/>
  <c r="F224" i="23"/>
  <c r="Z223" i="23"/>
  <c r="F223" i="23"/>
  <c r="Z222" i="23"/>
  <c r="F222" i="23"/>
  <c r="Z221" i="23"/>
  <c r="F221" i="23"/>
  <c r="Z220" i="23"/>
  <c r="F220" i="23"/>
  <c r="Z219" i="23"/>
  <c r="F219" i="23"/>
  <c r="Z218" i="23"/>
  <c r="F218" i="23"/>
  <c r="Z217" i="23"/>
  <c r="F217" i="23"/>
  <c r="Z216" i="23"/>
  <c r="F216" i="23"/>
  <c r="Z215" i="23"/>
  <c r="F215" i="23"/>
  <c r="Z214" i="23"/>
  <c r="F214" i="23"/>
  <c r="Z213" i="23"/>
  <c r="F213" i="23"/>
  <c r="Z212" i="23"/>
  <c r="F212" i="23"/>
  <c r="Z211" i="23"/>
  <c r="F211" i="23"/>
  <c r="Z210" i="23"/>
  <c r="F210" i="23"/>
  <c r="Z209" i="23"/>
  <c r="F209" i="23"/>
  <c r="Z208" i="23"/>
  <c r="F208" i="23"/>
  <c r="Z207" i="23"/>
  <c r="F207" i="23"/>
  <c r="Z206" i="23"/>
  <c r="F206" i="23"/>
  <c r="Z205" i="23"/>
  <c r="F205" i="23"/>
  <c r="Z204" i="23"/>
  <c r="F204" i="23"/>
  <c r="Z203" i="23"/>
  <c r="F203" i="23"/>
  <c r="D203" i="23"/>
  <c r="Z202" i="23"/>
  <c r="M202" i="23"/>
  <c r="F202" i="23"/>
  <c r="D202" i="23"/>
  <c r="Z201" i="23"/>
  <c r="M201" i="23"/>
  <c r="F201" i="23"/>
  <c r="D201" i="23"/>
  <c r="Z200" i="23"/>
  <c r="M200" i="23"/>
  <c r="F200" i="23"/>
  <c r="Z199" i="23"/>
  <c r="M199" i="23"/>
  <c r="F199" i="23"/>
  <c r="D199" i="23"/>
  <c r="Z198" i="23"/>
  <c r="M198" i="23"/>
  <c r="F198" i="23"/>
  <c r="D198" i="23"/>
  <c r="Z197" i="23"/>
  <c r="M197" i="23"/>
  <c r="F197" i="23"/>
  <c r="D197" i="23"/>
  <c r="Z196" i="23"/>
  <c r="M196" i="23"/>
  <c r="F196" i="23"/>
  <c r="D196" i="23"/>
  <c r="Z195" i="23"/>
  <c r="M195" i="23"/>
  <c r="F195" i="23"/>
  <c r="D195" i="23"/>
  <c r="Z194" i="23"/>
  <c r="M194" i="23"/>
  <c r="F194" i="23"/>
  <c r="D194" i="23"/>
  <c r="Z193" i="23"/>
  <c r="M193" i="23"/>
  <c r="F193" i="23"/>
  <c r="D193" i="23"/>
  <c r="Z192" i="23"/>
  <c r="M192" i="23"/>
  <c r="F192" i="23"/>
  <c r="D192" i="23"/>
  <c r="Z191" i="23"/>
  <c r="M191" i="23"/>
  <c r="F191" i="23"/>
  <c r="D191" i="23"/>
  <c r="Z190" i="23"/>
  <c r="M190" i="23"/>
  <c r="F190" i="23"/>
  <c r="D190" i="23"/>
  <c r="Z189" i="23"/>
  <c r="M189" i="23"/>
  <c r="F189" i="23"/>
  <c r="D189" i="23"/>
  <c r="Z188" i="23"/>
  <c r="M188" i="23"/>
  <c r="F188" i="23"/>
  <c r="D188" i="23"/>
  <c r="Z187" i="23"/>
  <c r="M187" i="23"/>
  <c r="F187" i="23"/>
  <c r="D187" i="23"/>
  <c r="Z186" i="23"/>
  <c r="M186" i="23"/>
  <c r="F186" i="23"/>
  <c r="D186" i="23"/>
  <c r="Z185" i="23"/>
  <c r="M185" i="23"/>
  <c r="F185" i="23"/>
  <c r="D185" i="23"/>
  <c r="Z184" i="23"/>
  <c r="M184" i="23"/>
  <c r="F184" i="23"/>
  <c r="D184" i="23"/>
  <c r="Z183" i="23"/>
  <c r="M183" i="23"/>
  <c r="F183" i="23"/>
  <c r="D183" i="23"/>
  <c r="Z182" i="23"/>
  <c r="M182" i="23"/>
  <c r="F182" i="23"/>
  <c r="D182" i="23"/>
  <c r="Z181" i="23"/>
  <c r="M181" i="23"/>
  <c r="F181" i="23"/>
  <c r="D181" i="23"/>
  <c r="Z180" i="23"/>
  <c r="M180" i="23"/>
  <c r="F180" i="23"/>
  <c r="D180" i="23"/>
  <c r="Z179" i="23"/>
  <c r="M179" i="23"/>
  <c r="F179" i="23"/>
  <c r="D179" i="23"/>
  <c r="Z178" i="23"/>
  <c r="M178" i="23"/>
  <c r="F178" i="23"/>
  <c r="D178" i="23"/>
  <c r="Z177" i="23"/>
  <c r="M177" i="23"/>
  <c r="F177" i="23"/>
  <c r="D177" i="23"/>
  <c r="Z176" i="23"/>
  <c r="M176" i="23"/>
  <c r="F176" i="23"/>
  <c r="D176" i="23"/>
  <c r="Z175" i="23"/>
  <c r="M175" i="23"/>
  <c r="F175" i="23"/>
  <c r="D175" i="23"/>
  <c r="Z174" i="23"/>
  <c r="M174" i="23"/>
  <c r="F174" i="23"/>
  <c r="Z173" i="23"/>
  <c r="M173" i="23"/>
  <c r="F173" i="23"/>
  <c r="D173" i="23"/>
  <c r="Z172" i="23"/>
  <c r="M172" i="23"/>
  <c r="F172" i="23"/>
  <c r="D172" i="23"/>
  <c r="Z171" i="23"/>
  <c r="M171" i="23"/>
  <c r="F171" i="23"/>
  <c r="D171" i="23"/>
  <c r="Z170" i="23"/>
  <c r="R170" i="23"/>
  <c r="M170" i="23"/>
  <c r="F170" i="23"/>
  <c r="D170" i="23"/>
  <c r="Z169" i="23"/>
  <c r="R169" i="23"/>
  <c r="M169" i="23"/>
  <c r="J169" i="23"/>
  <c r="F169" i="23"/>
  <c r="D169" i="23"/>
  <c r="Z168" i="23"/>
  <c r="R168" i="23"/>
  <c r="M168" i="23"/>
  <c r="F168" i="23"/>
  <c r="D168" i="23"/>
  <c r="Z167" i="23"/>
  <c r="R167" i="23"/>
  <c r="M167" i="23"/>
  <c r="J167" i="23"/>
  <c r="F167" i="23"/>
  <c r="D167" i="23"/>
  <c r="Z166" i="23"/>
  <c r="R166" i="23"/>
  <c r="M166" i="23"/>
  <c r="F166" i="23"/>
  <c r="D166" i="23"/>
  <c r="Z165" i="23"/>
  <c r="R165" i="23"/>
  <c r="M165" i="23"/>
  <c r="F165" i="23"/>
  <c r="D165" i="23"/>
  <c r="Z164" i="23"/>
  <c r="R164" i="23"/>
  <c r="M164" i="23"/>
  <c r="F164" i="23"/>
  <c r="D164" i="23"/>
  <c r="Z163" i="23"/>
  <c r="R163" i="23"/>
  <c r="M163" i="23"/>
  <c r="J163" i="23"/>
  <c r="F163" i="23"/>
  <c r="D163" i="23"/>
  <c r="Z162" i="23"/>
  <c r="R162" i="23"/>
  <c r="M162" i="23"/>
  <c r="F162" i="23"/>
  <c r="D162" i="23"/>
  <c r="Z161" i="23"/>
  <c r="R161" i="23"/>
  <c r="M161" i="23"/>
  <c r="F161" i="23"/>
  <c r="Z160" i="23"/>
  <c r="R160" i="23"/>
  <c r="M160" i="23"/>
  <c r="F160" i="23"/>
  <c r="Z159" i="23"/>
  <c r="R159" i="23"/>
  <c r="M159" i="23"/>
  <c r="J159" i="23"/>
  <c r="F159" i="23"/>
  <c r="Z158" i="23"/>
  <c r="R158" i="23"/>
  <c r="M158" i="23"/>
  <c r="F158" i="23"/>
  <c r="Z157" i="23"/>
  <c r="R157" i="23"/>
  <c r="M157" i="23"/>
  <c r="F157" i="23"/>
  <c r="D157" i="23"/>
  <c r="Z156" i="23"/>
  <c r="R156" i="23"/>
  <c r="M156" i="23"/>
  <c r="J156" i="23"/>
  <c r="J157" i="23" s="1"/>
  <c r="F156" i="23"/>
  <c r="D156" i="23"/>
  <c r="Z155" i="23"/>
  <c r="R155" i="23"/>
  <c r="M155" i="23"/>
  <c r="F155" i="23"/>
  <c r="Z154" i="23"/>
  <c r="R154" i="23"/>
  <c r="M154" i="23"/>
  <c r="F154" i="23"/>
  <c r="D154" i="23"/>
  <c r="Z153" i="23"/>
  <c r="R153" i="23"/>
  <c r="M153" i="23"/>
  <c r="F153" i="23"/>
  <c r="D153" i="23"/>
  <c r="Z152" i="23"/>
  <c r="R152" i="23"/>
  <c r="M152" i="23"/>
  <c r="J152" i="23"/>
  <c r="F152" i="23"/>
  <c r="D152" i="23"/>
  <c r="Z151" i="23"/>
  <c r="R151" i="23"/>
  <c r="M151" i="23"/>
  <c r="F151" i="23"/>
  <c r="D151" i="23"/>
  <c r="Z150" i="23"/>
  <c r="R150" i="23"/>
  <c r="M150" i="23"/>
  <c r="F150" i="23"/>
  <c r="E150" i="23"/>
  <c r="Z149" i="23"/>
  <c r="R149" i="23"/>
  <c r="M149" i="23"/>
  <c r="F149" i="23"/>
  <c r="D149" i="23"/>
  <c r="Z148" i="23"/>
  <c r="R148" i="23"/>
  <c r="J148" i="23"/>
  <c r="F148" i="23"/>
  <c r="D148" i="23"/>
  <c r="Z147" i="23"/>
  <c r="R147" i="23"/>
  <c r="M147" i="23"/>
  <c r="F147" i="23"/>
  <c r="Z146" i="23"/>
  <c r="R146" i="23"/>
  <c r="M146" i="23"/>
  <c r="F146" i="23"/>
  <c r="R145" i="23"/>
  <c r="J145" i="23"/>
  <c r="F145" i="23"/>
  <c r="D145" i="23"/>
  <c r="R144" i="23"/>
  <c r="F144" i="23"/>
  <c r="D144" i="23"/>
  <c r="R143" i="23"/>
  <c r="J143" i="23"/>
  <c r="F143" i="23"/>
  <c r="F142" i="23"/>
  <c r="C142" i="23"/>
  <c r="C143" i="23" s="1"/>
  <c r="R141" i="23"/>
  <c r="F141" i="23"/>
  <c r="E141" i="23"/>
  <c r="L141" i="23" s="1"/>
  <c r="R140" i="23"/>
  <c r="F140" i="23"/>
  <c r="F139" i="23"/>
  <c r="B139" i="23"/>
  <c r="Z138" i="23"/>
  <c r="R138" i="23"/>
  <c r="F138" i="23"/>
  <c r="C138" i="23"/>
  <c r="L138" i="23" s="1"/>
  <c r="AC152" i="23" s="1"/>
  <c r="Z137" i="23"/>
  <c r="U137" i="23"/>
  <c r="T137" i="23"/>
  <c r="R137" i="23"/>
  <c r="M137" i="23"/>
  <c r="F137" i="23"/>
  <c r="Z136" i="23"/>
  <c r="F136" i="23"/>
  <c r="C136" i="23"/>
  <c r="Z135" i="23"/>
  <c r="U135" i="23"/>
  <c r="T135" i="23"/>
  <c r="R135" i="23"/>
  <c r="M135" i="23"/>
  <c r="F135" i="23"/>
  <c r="Z134" i="23"/>
  <c r="U134" i="23"/>
  <c r="T134" i="23"/>
  <c r="R134" i="23"/>
  <c r="M134" i="23"/>
  <c r="F134" i="23"/>
  <c r="Z133" i="23"/>
  <c r="U133" i="23"/>
  <c r="T133" i="23"/>
  <c r="R133" i="23"/>
  <c r="N133" i="23"/>
  <c r="F133" i="23"/>
  <c r="Z132" i="23"/>
  <c r="U132" i="23"/>
  <c r="T132" i="23"/>
  <c r="N132" i="23"/>
  <c r="F132" i="23"/>
  <c r="Z131" i="23"/>
  <c r="U131" i="23"/>
  <c r="T131" i="23"/>
  <c r="N131" i="23"/>
  <c r="F131" i="23"/>
  <c r="Z130" i="23"/>
  <c r="U130" i="23"/>
  <c r="T130" i="23"/>
  <c r="R130" i="23"/>
  <c r="F130" i="23"/>
  <c r="Z129" i="23"/>
  <c r="U129" i="23"/>
  <c r="T129" i="23"/>
  <c r="R129" i="23"/>
  <c r="F129" i="23"/>
  <c r="Z128" i="23"/>
  <c r="U128" i="23"/>
  <c r="T128" i="23"/>
  <c r="R128" i="23"/>
  <c r="F128" i="23"/>
  <c r="Z127" i="23"/>
  <c r="U127" i="23"/>
  <c r="T127" i="23"/>
  <c r="R127" i="23"/>
  <c r="M127" i="23"/>
  <c r="F127" i="23"/>
  <c r="Z126" i="23"/>
  <c r="R126" i="23"/>
  <c r="F126" i="23"/>
  <c r="Z125" i="23"/>
  <c r="F125" i="23"/>
  <c r="Z124" i="23"/>
  <c r="F124" i="23"/>
  <c r="Z123" i="23"/>
  <c r="M123" i="23"/>
  <c r="F123" i="23"/>
  <c r="Z122" i="23"/>
  <c r="F122" i="23"/>
  <c r="E122" i="23"/>
  <c r="C122" i="23"/>
  <c r="C123" i="23" s="1"/>
  <c r="Z121" i="23"/>
  <c r="U121" i="23"/>
  <c r="T121" i="23"/>
  <c r="R121" i="23"/>
  <c r="M121" i="23"/>
  <c r="F121" i="23"/>
  <c r="Z120" i="23"/>
  <c r="F120" i="23"/>
  <c r="Z119" i="23"/>
  <c r="F119" i="23"/>
  <c r="E119" i="23"/>
  <c r="C119" i="23"/>
  <c r="Z118" i="23"/>
  <c r="U118" i="23"/>
  <c r="T118" i="23"/>
  <c r="R118" i="23"/>
  <c r="F118" i="23"/>
  <c r="Z117" i="23"/>
  <c r="U117" i="23"/>
  <c r="T117" i="23"/>
  <c r="R117" i="23"/>
  <c r="F117" i="23"/>
  <c r="Z116" i="23"/>
  <c r="U116" i="23"/>
  <c r="T116" i="23"/>
  <c r="R116" i="23"/>
  <c r="F116" i="23"/>
  <c r="Z115" i="23"/>
  <c r="U115" i="23"/>
  <c r="T115" i="23"/>
  <c r="R115" i="23"/>
  <c r="F115" i="23"/>
  <c r="Z114" i="23"/>
  <c r="F114" i="23"/>
  <c r="C114" i="23"/>
  <c r="Z113" i="23"/>
  <c r="R113" i="23"/>
  <c r="F113" i="23"/>
  <c r="E113" i="23"/>
  <c r="Z112" i="23"/>
  <c r="U112" i="23"/>
  <c r="T112" i="23"/>
  <c r="R112" i="23"/>
  <c r="F112" i="23"/>
  <c r="Z111" i="23"/>
  <c r="U111" i="23"/>
  <c r="T111" i="23"/>
  <c r="R111" i="23"/>
  <c r="F111" i="23"/>
  <c r="Z110" i="23"/>
  <c r="U110" i="23"/>
  <c r="T110" i="23"/>
  <c r="R110" i="23"/>
  <c r="F110" i="23"/>
  <c r="Z109" i="23"/>
  <c r="U109" i="23"/>
  <c r="T109" i="23"/>
  <c r="R109" i="23"/>
  <c r="F109" i="23"/>
  <c r="Z108" i="23"/>
  <c r="U108" i="23"/>
  <c r="T108" i="23"/>
  <c r="R108" i="23"/>
  <c r="F108" i="23"/>
  <c r="Z107" i="23"/>
  <c r="U107" i="23"/>
  <c r="T107" i="23"/>
  <c r="R107" i="23"/>
  <c r="F107" i="23"/>
  <c r="Z106" i="23"/>
  <c r="U106" i="23"/>
  <c r="T106" i="23"/>
  <c r="R106" i="23"/>
  <c r="F106" i="23"/>
  <c r="Z105" i="23"/>
  <c r="U105" i="23"/>
  <c r="T105" i="23"/>
  <c r="R105" i="23"/>
  <c r="F105" i="23"/>
  <c r="Z104" i="23"/>
  <c r="U104" i="23"/>
  <c r="T104" i="23"/>
  <c r="R104" i="23"/>
  <c r="F104" i="23"/>
  <c r="Z103" i="23"/>
  <c r="U103" i="23"/>
  <c r="T103" i="23"/>
  <c r="R103" i="23"/>
  <c r="F103" i="23"/>
  <c r="Z102" i="23"/>
  <c r="U102" i="23"/>
  <c r="T102" i="23"/>
  <c r="R102" i="23"/>
  <c r="F102" i="23"/>
  <c r="Z101" i="23"/>
  <c r="U101" i="23"/>
  <c r="T101" i="23"/>
  <c r="R101" i="23"/>
  <c r="F101" i="23"/>
  <c r="Z100" i="23"/>
  <c r="U100" i="23"/>
  <c r="T100" i="23"/>
  <c r="R100" i="23"/>
  <c r="F100" i="23"/>
  <c r="Z99" i="23"/>
  <c r="U99" i="23"/>
  <c r="T99" i="23"/>
  <c r="R99" i="23"/>
  <c r="F99" i="23"/>
  <c r="Z98" i="23"/>
  <c r="U98" i="23"/>
  <c r="T98" i="23"/>
  <c r="R98" i="23"/>
  <c r="F98" i="23"/>
  <c r="Z97" i="23"/>
  <c r="U97" i="23"/>
  <c r="T97" i="23"/>
  <c r="R97" i="23"/>
  <c r="F97" i="23"/>
  <c r="Z96" i="23"/>
  <c r="U96" i="23"/>
  <c r="T96" i="23"/>
  <c r="R96" i="23"/>
  <c r="F96" i="23"/>
  <c r="Z95" i="23"/>
  <c r="U95" i="23"/>
  <c r="T95" i="23"/>
  <c r="R95" i="23"/>
  <c r="F95" i="23"/>
  <c r="Z94" i="23"/>
  <c r="U94" i="23"/>
  <c r="T94" i="23"/>
  <c r="R94" i="23"/>
  <c r="F94" i="23"/>
  <c r="Z93" i="23"/>
  <c r="U93" i="23"/>
  <c r="T93" i="23"/>
  <c r="R93" i="23"/>
  <c r="F93" i="23"/>
  <c r="Z92" i="23"/>
  <c r="U92" i="23"/>
  <c r="T92" i="23"/>
  <c r="R92" i="23"/>
  <c r="F92" i="23"/>
  <c r="Z91" i="23"/>
  <c r="U91" i="23"/>
  <c r="T91" i="23"/>
  <c r="R91" i="23"/>
  <c r="F91" i="23"/>
  <c r="Z90" i="23"/>
  <c r="U90" i="23"/>
  <c r="T90" i="23"/>
  <c r="R90" i="23"/>
  <c r="F90" i="23"/>
  <c r="Z89" i="23"/>
  <c r="U89" i="23"/>
  <c r="T89" i="23"/>
  <c r="R89" i="23"/>
  <c r="F89" i="23"/>
  <c r="Z88" i="23"/>
  <c r="U88" i="23"/>
  <c r="T88" i="23"/>
  <c r="R88" i="23"/>
  <c r="F88" i="23"/>
  <c r="Z87" i="23"/>
  <c r="U87" i="23"/>
  <c r="T87" i="23"/>
  <c r="R87" i="23"/>
  <c r="F87" i="23"/>
  <c r="Z86" i="23"/>
  <c r="U86" i="23"/>
  <c r="T86" i="23"/>
  <c r="R86" i="23"/>
  <c r="F86" i="23"/>
  <c r="Z85" i="23"/>
  <c r="U85" i="23"/>
  <c r="T85" i="23"/>
  <c r="R85" i="23"/>
  <c r="F85" i="23"/>
  <c r="Z84" i="23"/>
  <c r="U84" i="23"/>
  <c r="T84" i="23"/>
  <c r="R84" i="23"/>
  <c r="F84" i="23"/>
  <c r="Z83" i="23"/>
  <c r="U83" i="23"/>
  <c r="T83" i="23"/>
  <c r="R83" i="23"/>
  <c r="F83" i="23"/>
  <c r="Z82" i="23"/>
  <c r="U82" i="23"/>
  <c r="T82" i="23"/>
  <c r="R82" i="23"/>
  <c r="F82" i="23"/>
  <c r="Z81" i="23"/>
  <c r="U81" i="23"/>
  <c r="T81" i="23"/>
  <c r="R81" i="23"/>
  <c r="F81" i="23"/>
  <c r="Z80" i="23"/>
  <c r="U80" i="23"/>
  <c r="T80" i="23"/>
  <c r="R80" i="23"/>
  <c r="F80" i="23"/>
  <c r="Z79" i="23"/>
  <c r="U79" i="23"/>
  <c r="T79" i="23"/>
  <c r="R79" i="23"/>
  <c r="F79" i="23"/>
  <c r="Z78" i="23"/>
  <c r="U78" i="23"/>
  <c r="T78" i="23"/>
  <c r="R78" i="23"/>
  <c r="F78" i="23"/>
  <c r="Z77" i="23"/>
  <c r="U77" i="23"/>
  <c r="T77" i="23"/>
  <c r="R77" i="23"/>
  <c r="F77" i="23"/>
  <c r="Z76" i="23"/>
  <c r="U76" i="23"/>
  <c r="T76" i="23"/>
  <c r="R76" i="23"/>
  <c r="F76" i="23"/>
  <c r="Z75" i="23"/>
  <c r="U75" i="23"/>
  <c r="T75" i="23"/>
  <c r="R75" i="23"/>
  <c r="F75" i="23"/>
  <c r="Z74" i="23"/>
  <c r="U74" i="23"/>
  <c r="T74" i="23"/>
  <c r="R74" i="23"/>
  <c r="F74" i="23"/>
  <c r="Z73" i="23"/>
  <c r="U73" i="23"/>
  <c r="T73" i="23"/>
  <c r="R73" i="23"/>
  <c r="F73" i="23"/>
  <c r="Z72" i="23"/>
  <c r="U72" i="23"/>
  <c r="T72" i="23"/>
  <c r="R72" i="23"/>
  <c r="F72" i="23"/>
  <c r="Z71" i="23"/>
  <c r="U71" i="23"/>
  <c r="T71" i="23"/>
  <c r="R71" i="23"/>
  <c r="F71" i="23"/>
  <c r="Z70" i="23"/>
  <c r="U70" i="23"/>
  <c r="T70" i="23"/>
  <c r="R70" i="23"/>
  <c r="F70" i="23"/>
  <c r="Z69" i="23"/>
  <c r="U69" i="23"/>
  <c r="T69" i="23"/>
  <c r="R69" i="23"/>
  <c r="F69" i="23"/>
  <c r="Z68" i="23"/>
  <c r="U68" i="23"/>
  <c r="T68" i="23"/>
  <c r="R68" i="23"/>
  <c r="F68" i="23"/>
  <c r="Z67" i="23"/>
  <c r="U67" i="23"/>
  <c r="T67" i="23"/>
  <c r="R67" i="23"/>
  <c r="F67" i="23"/>
  <c r="Z66" i="23"/>
  <c r="U66" i="23"/>
  <c r="T66" i="23"/>
  <c r="R66" i="23"/>
  <c r="F66" i="23"/>
  <c r="Z65" i="23"/>
  <c r="U65" i="23"/>
  <c r="T65" i="23"/>
  <c r="R65" i="23"/>
  <c r="F65" i="23"/>
  <c r="Z64" i="23"/>
  <c r="U64" i="23"/>
  <c r="T64" i="23"/>
  <c r="R64" i="23"/>
  <c r="F64" i="23"/>
  <c r="Z63" i="23"/>
  <c r="U63" i="23"/>
  <c r="T63" i="23"/>
  <c r="R63" i="23"/>
  <c r="F63" i="23"/>
  <c r="Z62" i="23"/>
  <c r="U62" i="23"/>
  <c r="T62" i="23"/>
  <c r="R62" i="23"/>
  <c r="F62" i="23"/>
  <c r="Z61" i="23"/>
  <c r="U61" i="23"/>
  <c r="T61" i="23"/>
  <c r="R61" i="23"/>
  <c r="F61" i="23"/>
  <c r="Z60" i="23"/>
  <c r="U60" i="23"/>
  <c r="T60" i="23"/>
  <c r="R60" i="23"/>
  <c r="F60" i="23"/>
  <c r="Z59" i="23"/>
  <c r="U59" i="23"/>
  <c r="T59" i="23"/>
  <c r="R59" i="23"/>
  <c r="F59" i="23"/>
  <c r="Z58" i="23"/>
  <c r="U58" i="23"/>
  <c r="T58" i="23"/>
  <c r="R58" i="23"/>
  <c r="F58" i="23"/>
  <c r="U57" i="23"/>
  <c r="T57" i="23"/>
  <c r="R57" i="23"/>
  <c r="F57" i="23"/>
  <c r="U56" i="23"/>
  <c r="T56" i="23"/>
  <c r="R56" i="23"/>
  <c r="F56" i="23"/>
  <c r="U55" i="23"/>
  <c r="T55" i="23"/>
  <c r="R55" i="23"/>
  <c r="F55" i="23"/>
  <c r="U54" i="23"/>
  <c r="T54" i="23"/>
  <c r="R54" i="23"/>
  <c r="F54" i="23"/>
  <c r="U53" i="23"/>
  <c r="T53" i="23"/>
  <c r="R53" i="23"/>
  <c r="F53" i="23"/>
  <c r="U52" i="23"/>
  <c r="T52" i="23"/>
  <c r="R52" i="23"/>
  <c r="F52" i="23"/>
  <c r="U51" i="23"/>
  <c r="T51" i="23"/>
  <c r="R51" i="23"/>
  <c r="F51" i="23"/>
  <c r="U50" i="23"/>
  <c r="T50" i="23"/>
  <c r="R50" i="23"/>
  <c r="F50" i="23"/>
  <c r="U49" i="23"/>
  <c r="T49" i="23"/>
  <c r="R49" i="23"/>
  <c r="F49" i="23"/>
  <c r="U48" i="23"/>
  <c r="T48" i="23"/>
  <c r="R48" i="23"/>
  <c r="F48" i="23"/>
  <c r="U47" i="23"/>
  <c r="T47" i="23"/>
  <c r="R47" i="23"/>
  <c r="F47" i="23"/>
  <c r="U46" i="23"/>
  <c r="T46" i="23"/>
  <c r="R46" i="23"/>
  <c r="F46" i="23"/>
  <c r="U45" i="23"/>
  <c r="T45" i="23"/>
  <c r="R45" i="23"/>
  <c r="F45" i="23"/>
  <c r="U44" i="23"/>
  <c r="T44" i="23"/>
  <c r="R44" i="23"/>
  <c r="F44" i="23"/>
  <c r="U43" i="23"/>
  <c r="T43" i="23"/>
  <c r="R43" i="23"/>
  <c r="F43" i="23"/>
  <c r="U42" i="23"/>
  <c r="T42" i="23"/>
  <c r="R42" i="23"/>
  <c r="F42" i="23"/>
  <c r="U41" i="23"/>
  <c r="T41" i="23"/>
  <c r="R41" i="23"/>
  <c r="F41" i="23"/>
  <c r="U40" i="23"/>
  <c r="T40" i="23"/>
  <c r="R40" i="23"/>
  <c r="F40" i="23"/>
  <c r="U39" i="23"/>
  <c r="T39" i="23"/>
  <c r="R39" i="23"/>
  <c r="F39" i="23"/>
  <c r="U38" i="23"/>
  <c r="T38" i="23"/>
  <c r="R38" i="23"/>
  <c r="F38" i="23"/>
  <c r="U37" i="23"/>
  <c r="T37" i="23"/>
  <c r="R37" i="23"/>
  <c r="F37" i="23"/>
  <c r="U36" i="23"/>
  <c r="T36" i="23"/>
  <c r="R36" i="23"/>
  <c r="F36" i="23"/>
  <c r="U35" i="23"/>
  <c r="T35" i="23"/>
  <c r="R35" i="23"/>
  <c r="F35" i="23"/>
  <c r="U34" i="23"/>
  <c r="T34" i="23"/>
  <c r="R34" i="23"/>
  <c r="F34" i="23"/>
  <c r="U33" i="23"/>
  <c r="T33" i="23"/>
  <c r="R33" i="23"/>
  <c r="F33" i="23"/>
  <c r="U32" i="23"/>
  <c r="T32" i="23"/>
  <c r="R32" i="23"/>
  <c r="F32" i="23"/>
  <c r="U31" i="23"/>
  <c r="T31" i="23"/>
  <c r="R31" i="23"/>
  <c r="F31" i="23"/>
  <c r="U30" i="23"/>
  <c r="T30" i="23"/>
  <c r="R30" i="23"/>
  <c r="F30" i="23"/>
  <c r="U29" i="23"/>
  <c r="T29" i="23"/>
  <c r="R29" i="23"/>
  <c r="F29" i="23"/>
  <c r="U28" i="23"/>
  <c r="T28" i="23"/>
  <c r="R28" i="23"/>
  <c r="F28" i="23"/>
  <c r="U27" i="23"/>
  <c r="T27" i="23"/>
  <c r="R27" i="23"/>
  <c r="F27" i="23"/>
  <c r="U26" i="23"/>
  <c r="T26" i="23"/>
  <c r="R26" i="23"/>
  <c r="F26" i="23"/>
  <c r="U25" i="23"/>
  <c r="T25" i="23"/>
  <c r="R25" i="23"/>
  <c r="F25" i="23"/>
  <c r="U24" i="23"/>
  <c r="T24" i="23"/>
  <c r="R24" i="23"/>
  <c r="F24" i="23"/>
  <c r="U23" i="23"/>
  <c r="T23" i="23"/>
  <c r="R23" i="23"/>
  <c r="F23" i="23"/>
  <c r="U22" i="23"/>
  <c r="T22" i="23"/>
  <c r="R22" i="23"/>
  <c r="F22" i="23"/>
  <c r="U21" i="23"/>
  <c r="T21" i="23"/>
  <c r="R21" i="23"/>
  <c r="F21" i="23"/>
  <c r="U20" i="23"/>
  <c r="T20" i="23"/>
  <c r="R20" i="23"/>
  <c r="F20" i="23"/>
  <c r="U19" i="23"/>
  <c r="T19" i="23"/>
  <c r="R19" i="23"/>
  <c r="F19" i="23"/>
  <c r="U18" i="23"/>
  <c r="T18" i="23"/>
  <c r="R18" i="23"/>
  <c r="F18" i="23"/>
  <c r="U17" i="23"/>
  <c r="T17" i="23"/>
  <c r="R17" i="23"/>
  <c r="F17" i="23"/>
  <c r="U16" i="23"/>
  <c r="T16" i="23"/>
  <c r="F16" i="23"/>
  <c r="U15" i="23"/>
  <c r="T15" i="23"/>
  <c r="F15" i="23"/>
  <c r="U14" i="23"/>
  <c r="T14" i="23"/>
  <c r="F14" i="23"/>
  <c r="F13" i="23"/>
  <c r="F12" i="23"/>
  <c r="F11" i="23"/>
  <c r="F10" i="23"/>
  <c r="F9" i="23"/>
  <c r="F8" i="23"/>
  <c r="F7" i="23"/>
  <c r="F6" i="23"/>
  <c r="F5" i="23"/>
  <c r="F4" i="23"/>
  <c r="F3" i="23"/>
  <c r="S405" i="1"/>
  <c r="F405" i="1"/>
  <c r="M403" i="1"/>
  <c r="F404" i="1"/>
  <c r="S404" i="1"/>
  <c r="S403" i="1"/>
  <c r="F403" i="1"/>
  <c r="M395" i="1"/>
  <c r="M396" i="1"/>
  <c r="M397" i="1"/>
  <c r="M398" i="1"/>
  <c r="M399" i="1"/>
  <c r="M400" i="1"/>
  <c r="M401" i="1"/>
  <c r="M402" i="1"/>
  <c r="S402" i="1"/>
  <c r="F402" i="1"/>
  <c r="S401" i="1"/>
  <c r="F401" i="1"/>
  <c r="S400" i="1"/>
  <c r="F400" i="1"/>
  <c r="S399" i="1"/>
  <c r="F399" i="1"/>
  <c r="S398" i="1"/>
  <c r="F398" i="1"/>
  <c r="S397" i="1"/>
  <c r="F397" i="1"/>
  <c r="S396" i="1"/>
  <c r="F396" i="1"/>
  <c r="M393" i="1"/>
  <c r="M394" i="1"/>
  <c r="S395" i="1"/>
  <c r="F395" i="1"/>
  <c r="S394" i="1"/>
  <c r="F394" i="1"/>
  <c r="M391" i="1"/>
  <c r="M392" i="1"/>
  <c r="S522" i="23" l="1"/>
  <c r="C523" i="23"/>
  <c r="Y521" i="23"/>
  <c r="AG521" i="23"/>
  <c r="AG482" i="23"/>
  <c r="AL482" i="23"/>
  <c r="AE141" i="23"/>
  <c r="AE145" i="23"/>
  <c r="AE149" i="23"/>
  <c r="AE142" i="23"/>
  <c r="AE146" i="23"/>
  <c r="AE150" i="23"/>
  <c r="AE139" i="23"/>
  <c r="AE143" i="23"/>
  <c r="AE147" i="23"/>
  <c r="AE151" i="23"/>
  <c r="AE140" i="23"/>
  <c r="AE144" i="23"/>
  <c r="AE148" i="23"/>
  <c r="AE152" i="23"/>
  <c r="Y475" i="23"/>
  <c r="AG475" i="23"/>
  <c r="C477" i="23"/>
  <c r="AC491" i="23" s="1"/>
  <c r="AD491" i="23" s="1"/>
  <c r="S476" i="23"/>
  <c r="U476" i="23"/>
  <c r="E58" i="35"/>
  <c r="F57" i="35"/>
  <c r="L454" i="23"/>
  <c r="AD468" i="23" s="1"/>
  <c r="U454" i="23"/>
  <c r="AT213" i="23"/>
  <c r="AT214" i="23"/>
  <c r="AT215" i="23"/>
  <c r="W139" i="23"/>
  <c r="X142" i="23"/>
  <c r="X146" i="23"/>
  <c r="X150" i="23"/>
  <c r="X154" i="23"/>
  <c r="X158" i="23"/>
  <c r="X162" i="23"/>
  <c r="X166" i="23"/>
  <c r="X139" i="23"/>
  <c r="X143" i="23"/>
  <c r="X147" i="23"/>
  <c r="X151" i="23"/>
  <c r="X155" i="23"/>
  <c r="X159" i="23"/>
  <c r="X163" i="23"/>
  <c r="X145" i="23"/>
  <c r="X157" i="23"/>
  <c r="X165" i="23"/>
  <c r="X140" i="23"/>
  <c r="X144" i="23"/>
  <c r="X148" i="23"/>
  <c r="X152" i="23"/>
  <c r="X156" i="23"/>
  <c r="X160" i="23"/>
  <c r="X164" i="23"/>
  <c r="X141" i="23"/>
  <c r="X149" i="23"/>
  <c r="X153" i="23"/>
  <c r="X161" i="23"/>
  <c r="V142" i="23"/>
  <c r="V146" i="23"/>
  <c r="V150" i="23"/>
  <c r="V141" i="23"/>
  <c r="V139" i="23"/>
  <c r="V143" i="23"/>
  <c r="V147" i="23"/>
  <c r="V151" i="23"/>
  <c r="V145" i="23"/>
  <c r="V140" i="23"/>
  <c r="V144" i="23"/>
  <c r="V148" i="23"/>
  <c r="V152" i="23"/>
  <c r="V149" i="23"/>
  <c r="AT205" i="23"/>
  <c r="AT209" i="23"/>
  <c r="AT211" i="23"/>
  <c r="L119" i="23"/>
  <c r="AC133" i="23" s="1"/>
  <c r="AD133" i="23" s="1"/>
  <c r="L122" i="23"/>
  <c r="AC136" i="23" s="1"/>
  <c r="AD136" i="23" s="1"/>
  <c r="AT207" i="23"/>
  <c r="AT210" i="23"/>
  <c r="AT212" i="23"/>
  <c r="AT226" i="23"/>
  <c r="AD113" i="23"/>
  <c r="L113" i="23"/>
  <c r="AC127" i="23" s="1"/>
  <c r="AD127" i="23" s="1"/>
  <c r="L136" i="23"/>
  <c r="AD122" i="23"/>
  <c r="T141" i="23"/>
  <c r="AD141" i="23"/>
  <c r="E120" i="23"/>
  <c r="AD119" i="23"/>
  <c r="T138" i="2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B158" i="23"/>
  <c r="AT181" i="23"/>
  <c r="AT185" i="23"/>
  <c r="AT184" i="23"/>
  <c r="AB170" i="23"/>
  <c r="AT193" i="23"/>
  <c r="AB176" i="23"/>
  <c r="AT199" i="23"/>
  <c r="AT203" i="23"/>
  <c r="AT204" i="23"/>
  <c r="AB183" i="23"/>
  <c r="AT206" i="23"/>
  <c r="AB185" i="23"/>
  <c r="AT208" i="23"/>
  <c r="AB193" i="23"/>
  <c r="AT216" i="23"/>
  <c r="AB194" i="23"/>
  <c r="AT217" i="23"/>
  <c r="AB195" i="23"/>
  <c r="AT218" i="23"/>
  <c r="AB196" i="23"/>
  <c r="AT219" i="23"/>
  <c r="AB197" i="23"/>
  <c r="AT220" i="23"/>
  <c r="AB198" i="23"/>
  <c r="AT221" i="23"/>
  <c r="AB199" i="23"/>
  <c r="AT222" i="23"/>
  <c r="AB200" i="23"/>
  <c r="AT223" i="23"/>
  <c r="AB201" i="23"/>
  <c r="AT224" i="23"/>
  <c r="AB202" i="23"/>
  <c r="AT225" i="23"/>
  <c r="AB204" i="23"/>
  <c r="AT227" i="23"/>
  <c r="AB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B208" i="23"/>
  <c r="AN215" i="23" s="1"/>
  <c r="AT231" i="23"/>
  <c r="AB209" i="23"/>
  <c r="AN216" i="23" s="1"/>
  <c r="AT232" i="23"/>
  <c r="AB182" i="23"/>
  <c r="AB184" i="23"/>
  <c r="AB192" i="23"/>
  <c r="AB203" i="23"/>
  <c r="AB171" i="23"/>
  <c r="AB174" i="23"/>
  <c r="AB177" i="23"/>
  <c r="AB179" i="23"/>
  <c r="AB159" i="23"/>
  <c r="AB163" i="23"/>
  <c r="AB169" i="23"/>
  <c r="AB172" i="23"/>
  <c r="AB175" i="23"/>
  <c r="AB146" i="23"/>
  <c r="AB150" i="23"/>
  <c r="AB144" i="23"/>
  <c r="AB148" i="23"/>
  <c r="AB145" i="23"/>
  <c r="AB149" i="23"/>
  <c r="AB147" i="23"/>
  <c r="AB162" i="23"/>
  <c r="AB161" i="23"/>
  <c r="AB180" i="23"/>
  <c r="AB181" i="23"/>
  <c r="AB186" i="23"/>
  <c r="AB187" i="23"/>
  <c r="AB188" i="23"/>
  <c r="AB189" i="23"/>
  <c r="AB190" i="23"/>
  <c r="AB191" i="23"/>
  <c r="AB155" i="23"/>
  <c r="AB166" i="23"/>
  <c r="AB164" i="23"/>
  <c r="AB168" i="23"/>
  <c r="AB165" i="23"/>
  <c r="AB167" i="23"/>
  <c r="AB178" i="23"/>
  <c r="Z144" i="23"/>
  <c r="AA141" i="23"/>
  <c r="AC155" i="23" s="1"/>
  <c r="AA145" i="23"/>
  <c r="AA139" i="23"/>
  <c r="AA143" i="23"/>
  <c r="AA144" i="23"/>
  <c r="AA142" i="23"/>
  <c r="AA140" i="23"/>
  <c r="AB151" i="23"/>
  <c r="AB154" i="23"/>
  <c r="AB152" i="23"/>
  <c r="AB153" i="23"/>
  <c r="AB156" i="23"/>
  <c r="AB157" i="23"/>
  <c r="E154" i="23"/>
  <c r="AB160" i="23"/>
  <c r="AI160" i="23" s="1"/>
  <c r="AB173" i="23"/>
  <c r="AB206" i="23"/>
  <c r="AN213" i="23" s="1"/>
  <c r="AB207" i="23"/>
  <c r="AN214" i="23" s="1"/>
  <c r="AG108" i="23"/>
  <c r="AG104" i="23"/>
  <c r="AG100" i="23"/>
  <c r="AG96" i="23"/>
  <c r="AG92" i="23"/>
  <c r="AG88" i="23"/>
  <c r="AG84" i="23"/>
  <c r="AG128" i="23"/>
  <c r="AG95" i="23"/>
  <c r="AG135" i="23"/>
  <c r="AG116" i="23"/>
  <c r="R122" i="23"/>
  <c r="AG111" i="23"/>
  <c r="AG107" i="23"/>
  <c r="AG103" i="23"/>
  <c r="AG99" i="23"/>
  <c r="AG91" i="23"/>
  <c r="AG87" i="23"/>
  <c r="AG83" i="23"/>
  <c r="U122" i="23"/>
  <c r="AG115" i="23"/>
  <c r="Y128" i="23"/>
  <c r="C139" i="23"/>
  <c r="L139" i="23" s="1"/>
  <c r="AG110" i="23"/>
  <c r="AG106" i="23"/>
  <c r="AG102" i="23"/>
  <c r="AG98" i="23"/>
  <c r="AG94" i="23"/>
  <c r="AG90" i="23"/>
  <c r="AG86" i="23"/>
  <c r="AG82" i="23"/>
  <c r="Z139" i="23"/>
  <c r="AG134" i="23"/>
  <c r="Z145" i="23"/>
  <c r="AG118" i="23"/>
  <c r="Z140" i="23"/>
  <c r="Z141" i="23"/>
  <c r="U136" i="23"/>
  <c r="S136" i="23"/>
  <c r="U113" i="23"/>
  <c r="S113" i="23"/>
  <c r="C120" i="23"/>
  <c r="S119" i="23"/>
  <c r="T113" i="23"/>
  <c r="E114" i="23"/>
  <c r="L114" i="23" s="1"/>
  <c r="AC128" i="23" s="1"/>
  <c r="AD128" i="23" s="1"/>
  <c r="R114" i="23"/>
  <c r="U119" i="23"/>
  <c r="T122" i="23"/>
  <c r="S122" i="23"/>
  <c r="AG129" i="23" s="1"/>
  <c r="U138" i="23"/>
  <c r="S138" i="23"/>
  <c r="AJ139" i="23"/>
  <c r="AJ143" i="23"/>
  <c r="AJ147" i="23"/>
  <c r="AJ151" i="23"/>
  <c r="AJ155" i="23"/>
  <c r="AJ159" i="23"/>
  <c r="AJ163" i="23"/>
  <c r="AJ167" i="23"/>
  <c r="AJ171" i="23"/>
  <c r="AJ175" i="23"/>
  <c r="AJ179" i="23"/>
  <c r="AJ183" i="23"/>
  <c r="AJ187" i="23"/>
  <c r="AJ191" i="23"/>
  <c r="AJ195" i="23"/>
  <c r="AJ199" i="23"/>
  <c r="AJ203" i="23"/>
  <c r="AJ207" i="23"/>
  <c r="AJ211" i="23"/>
  <c r="AJ215" i="23"/>
  <c r="AJ219" i="23"/>
  <c r="AJ223" i="23"/>
  <c r="AJ227" i="23"/>
  <c r="AJ231" i="23"/>
  <c r="AJ235" i="23"/>
  <c r="AJ239" i="23"/>
  <c r="AJ243" i="23"/>
  <c r="AJ247" i="23"/>
  <c r="AJ251" i="23"/>
  <c r="AJ255" i="23"/>
  <c r="AJ259" i="23"/>
  <c r="AJ263" i="23"/>
  <c r="AJ267" i="23"/>
  <c r="AJ271" i="23"/>
  <c r="AJ275" i="23"/>
  <c r="AJ279" i="23"/>
  <c r="AJ283" i="23"/>
  <c r="AJ287" i="23"/>
  <c r="AJ291" i="23"/>
  <c r="AJ295" i="23"/>
  <c r="AJ299" i="23"/>
  <c r="AJ303" i="23"/>
  <c r="AJ307" i="23"/>
  <c r="AJ311" i="23"/>
  <c r="AJ315" i="23"/>
  <c r="AJ319" i="23"/>
  <c r="AJ323" i="23"/>
  <c r="AJ327" i="23"/>
  <c r="AJ331" i="23"/>
  <c r="AJ335" i="23"/>
  <c r="AJ339" i="23"/>
  <c r="AJ343" i="23"/>
  <c r="AJ347" i="23"/>
  <c r="AJ351" i="23"/>
  <c r="AJ355" i="23"/>
  <c r="AJ359" i="23"/>
  <c r="AJ363" i="23"/>
  <c r="AJ367" i="23"/>
  <c r="AJ361" i="23"/>
  <c r="AJ150" i="23"/>
  <c r="AJ162" i="23"/>
  <c r="AJ174" i="23"/>
  <c r="AJ140" i="23"/>
  <c r="AJ144" i="23"/>
  <c r="AJ148" i="23"/>
  <c r="AJ152" i="23"/>
  <c r="AJ156" i="23"/>
  <c r="AJ160" i="23"/>
  <c r="AJ164" i="23"/>
  <c r="AJ168" i="23"/>
  <c r="AJ172" i="23"/>
  <c r="AJ176" i="23"/>
  <c r="AJ180" i="23"/>
  <c r="AJ184" i="23"/>
  <c r="AJ188" i="23"/>
  <c r="AJ192" i="23"/>
  <c r="AJ196" i="23"/>
  <c r="AJ200" i="23"/>
  <c r="AJ204" i="23"/>
  <c r="AJ208" i="23"/>
  <c r="AJ212" i="23"/>
  <c r="AJ216" i="23"/>
  <c r="AJ220" i="23"/>
  <c r="AJ224" i="23"/>
  <c r="AJ228" i="23"/>
  <c r="AJ232" i="23"/>
  <c r="AJ236" i="23"/>
  <c r="AJ240" i="23"/>
  <c r="AJ244" i="23"/>
  <c r="AJ248" i="23"/>
  <c r="AJ252" i="23"/>
  <c r="AJ256" i="23"/>
  <c r="AJ260" i="23"/>
  <c r="AJ264" i="23"/>
  <c r="AJ268" i="23"/>
  <c r="AJ272" i="23"/>
  <c r="AJ276" i="23"/>
  <c r="AJ280" i="23"/>
  <c r="AJ284" i="23"/>
  <c r="AJ288" i="23"/>
  <c r="AJ292" i="23"/>
  <c r="AJ296" i="23"/>
  <c r="AJ300" i="23"/>
  <c r="AJ304" i="23"/>
  <c r="AJ308" i="23"/>
  <c r="AJ312" i="23"/>
  <c r="AJ316" i="23"/>
  <c r="AJ320" i="23"/>
  <c r="AJ324" i="23"/>
  <c r="AJ328" i="23"/>
  <c r="AJ332" i="23"/>
  <c r="AJ336" i="23"/>
  <c r="AJ340" i="23"/>
  <c r="AJ344" i="23"/>
  <c r="AJ348" i="23"/>
  <c r="AJ352" i="23"/>
  <c r="AJ356" i="23"/>
  <c r="AJ360" i="23"/>
  <c r="AJ364" i="23"/>
  <c r="AJ368" i="23"/>
  <c r="AJ365" i="23"/>
  <c r="AJ146" i="23"/>
  <c r="AJ158" i="23"/>
  <c r="AJ170" i="23"/>
  <c r="AJ182" i="23"/>
  <c r="AJ186" i="23"/>
  <c r="AJ141" i="23"/>
  <c r="AJ145" i="23"/>
  <c r="AJ149" i="23"/>
  <c r="AJ153" i="23"/>
  <c r="AJ157" i="23"/>
  <c r="AJ161" i="23"/>
  <c r="AJ165" i="23"/>
  <c r="AJ169" i="23"/>
  <c r="AJ173" i="23"/>
  <c r="AJ177" i="23"/>
  <c r="AJ181" i="23"/>
  <c r="AJ185" i="23"/>
  <c r="AJ189" i="23"/>
  <c r="AJ193" i="23"/>
  <c r="AJ197" i="23"/>
  <c r="AJ201" i="23"/>
  <c r="AJ205" i="23"/>
  <c r="AJ209" i="23"/>
  <c r="AJ213" i="23"/>
  <c r="AJ217" i="23"/>
  <c r="AJ221" i="23"/>
  <c r="AJ225" i="23"/>
  <c r="AJ229" i="23"/>
  <c r="AJ233" i="23"/>
  <c r="AJ237" i="23"/>
  <c r="AJ241" i="23"/>
  <c r="AJ245" i="23"/>
  <c r="AJ249" i="23"/>
  <c r="AJ253" i="23"/>
  <c r="AJ257" i="23"/>
  <c r="AJ261" i="23"/>
  <c r="AJ265" i="23"/>
  <c r="AJ269" i="23"/>
  <c r="AJ273" i="23"/>
  <c r="AJ277" i="23"/>
  <c r="AJ281" i="23"/>
  <c r="AJ285" i="23"/>
  <c r="AJ289" i="23"/>
  <c r="AJ293" i="23"/>
  <c r="AJ297" i="23"/>
  <c r="AJ301" i="23"/>
  <c r="AJ305" i="23"/>
  <c r="AJ309" i="23"/>
  <c r="AJ313" i="23"/>
  <c r="AJ317" i="23"/>
  <c r="AJ321" i="23"/>
  <c r="AJ325" i="23"/>
  <c r="AJ329" i="23"/>
  <c r="AJ333" i="23"/>
  <c r="AJ337" i="23"/>
  <c r="AJ341" i="23"/>
  <c r="AJ345" i="23"/>
  <c r="AJ349" i="23"/>
  <c r="AJ353" i="23"/>
  <c r="AJ357" i="23"/>
  <c r="AJ369" i="23"/>
  <c r="AJ142" i="23"/>
  <c r="AJ154" i="23"/>
  <c r="AJ166" i="23"/>
  <c r="AJ178" i="23"/>
  <c r="AJ190" i="23"/>
  <c r="AJ206" i="23"/>
  <c r="AJ222" i="23"/>
  <c r="AJ238" i="23"/>
  <c r="AJ254" i="23"/>
  <c r="AJ270" i="23"/>
  <c r="AJ286" i="23"/>
  <c r="AJ302" i="23"/>
  <c r="AJ318" i="23"/>
  <c r="AJ334" i="23"/>
  <c r="AJ350" i="23"/>
  <c r="AJ366" i="23"/>
  <c r="AJ194" i="23"/>
  <c r="AJ210" i="23"/>
  <c r="AJ226" i="23"/>
  <c r="AJ242" i="23"/>
  <c r="AJ258" i="23"/>
  <c r="AJ274" i="23"/>
  <c r="AJ290" i="23"/>
  <c r="AJ306" i="23"/>
  <c r="AJ322" i="23"/>
  <c r="AJ338" i="23"/>
  <c r="AJ354" i="23"/>
  <c r="AJ370" i="23"/>
  <c r="AJ198" i="23"/>
  <c r="AJ214" i="23"/>
  <c r="AJ230" i="23"/>
  <c r="AJ246" i="23"/>
  <c r="AJ262" i="23"/>
  <c r="AJ278" i="23"/>
  <c r="AJ294" i="23"/>
  <c r="AJ310" i="23"/>
  <c r="AJ326" i="23"/>
  <c r="AJ342" i="23"/>
  <c r="AJ358" i="23"/>
  <c r="AJ202" i="23"/>
  <c r="AJ218" i="23"/>
  <c r="AJ234" i="23"/>
  <c r="AJ250" i="23"/>
  <c r="AJ266" i="23"/>
  <c r="AJ282" i="23"/>
  <c r="AJ298" i="23"/>
  <c r="AJ314" i="23"/>
  <c r="AJ330" i="23"/>
  <c r="AJ346" i="23"/>
  <c r="AJ362" i="23"/>
  <c r="U141" i="23"/>
  <c r="S141" i="23"/>
  <c r="E142" i="23"/>
  <c r="L142" i="23" s="1"/>
  <c r="Z143" i="23"/>
  <c r="E151" i="23"/>
  <c r="AG137" i="23"/>
  <c r="AG109" i="23"/>
  <c r="AG105" i="23"/>
  <c r="AG101" i="23"/>
  <c r="AG97" i="23"/>
  <c r="AG93" i="23"/>
  <c r="AG89" i="23"/>
  <c r="AG85" i="23"/>
  <c r="AG81" i="23"/>
  <c r="AG117" i="23"/>
  <c r="AG112" i="23"/>
  <c r="C144" i="23"/>
  <c r="T119" i="23"/>
  <c r="R123" i="23"/>
  <c r="C124" i="23"/>
  <c r="T136" i="23"/>
  <c r="Z142" i="23"/>
  <c r="R119" i="23"/>
  <c r="E123" i="23"/>
  <c r="L123" i="23" s="1"/>
  <c r="AC137" i="23" s="1"/>
  <c r="AD137" i="23" s="1"/>
  <c r="J399" i="23"/>
  <c r="J400" i="23" s="1"/>
  <c r="J401" i="23" s="1"/>
  <c r="J402" i="23" s="1"/>
  <c r="J403" i="23" s="1"/>
  <c r="O401" i="23"/>
  <c r="F393" i="1"/>
  <c r="S393" i="1"/>
  <c r="C524" i="23" l="1"/>
  <c r="S523" i="23"/>
  <c r="Y522" i="23"/>
  <c r="AG522" i="23"/>
  <c r="AL483" i="23"/>
  <c r="AG483" i="23"/>
  <c r="AQ513" i="23"/>
  <c r="AQ509" i="23"/>
  <c r="AQ510" i="23"/>
  <c r="AQ508" i="23"/>
  <c r="AQ514" i="23"/>
  <c r="AQ512" i="23"/>
  <c r="AQ306" i="23"/>
  <c r="AQ515" i="23"/>
  <c r="AQ511" i="23"/>
  <c r="AQ506" i="23"/>
  <c r="AQ503" i="23"/>
  <c r="AQ502" i="23"/>
  <c r="AQ493" i="23"/>
  <c r="AQ491" i="23"/>
  <c r="AQ487" i="23"/>
  <c r="AQ482" i="23"/>
  <c r="AQ501" i="23"/>
  <c r="AQ489" i="23"/>
  <c r="AQ484" i="23"/>
  <c r="AQ507" i="23"/>
  <c r="AQ495" i="23"/>
  <c r="AQ497" i="23"/>
  <c r="AQ496" i="23"/>
  <c r="AQ488" i="23"/>
  <c r="AQ486" i="23"/>
  <c r="AQ483" i="23"/>
  <c r="AQ499" i="23"/>
  <c r="AQ492" i="23"/>
  <c r="AQ505" i="23"/>
  <c r="AQ498" i="23"/>
  <c r="AQ500" i="23"/>
  <c r="AQ504" i="23"/>
  <c r="AQ490" i="23"/>
  <c r="AQ485" i="23"/>
  <c r="AQ494" i="23"/>
  <c r="AP144" i="23"/>
  <c r="AP158" i="23"/>
  <c r="AP143" i="23"/>
  <c r="AP157" i="23"/>
  <c r="AP142" i="23"/>
  <c r="AP156" i="23"/>
  <c r="AP140" i="23"/>
  <c r="AP154" i="23"/>
  <c r="AP139" i="23"/>
  <c r="AP153" i="23"/>
  <c r="AP149" i="23"/>
  <c r="AP163" i="23"/>
  <c r="AP150" i="23"/>
  <c r="AP164" i="23"/>
  <c r="AP145" i="23"/>
  <c r="AP159" i="23"/>
  <c r="AP152" i="23"/>
  <c r="AP166" i="23"/>
  <c r="AP151" i="23"/>
  <c r="AP165" i="23"/>
  <c r="AP148" i="23"/>
  <c r="AP162" i="23"/>
  <c r="AP147" i="23"/>
  <c r="AP161" i="23"/>
  <c r="AP146" i="23"/>
  <c r="AP160" i="23"/>
  <c r="AP141" i="23"/>
  <c r="AP155" i="23"/>
  <c r="AQ481" i="23"/>
  <c r="AQ480" i="23"/>
  <c r="AQ479" i="23"/>
  <c r="AQ478" i="23"/>
  <c r="Y476" i="23"/>
  <c r="AG476" i="23"/>
  <c r="S477" i="23"/>
  <c r="C478" i="23"/>
  <c r="U477" i="23"/>
  <c r="AQ477" i="23"/>
  <c r="AQ473" i="23"/>
  <c r="AQ475" i="23"/>
  <c r="AQ472" i="23"/>
  <c r="AQ476" i="23"/>
  <c r="AQ471" i="23"/>
  <c r="AQ474" i="23"/>
  <c r="E59" i="35"/>
  <c r="F58" i="35"/>
  <c r="S120" i="23"/>
  <c r="AQ467" i="23"/>
  <c r="AQ466" i="23"/>
  <c r="AQ461" i="23"/>
  <c r="AQ459" i="23"/>
  <c r="AQ455" i="23"/>
  <c r="AQ470" i="23"/>
  <c r="AQ454" i="23"/>
  <c r="AQ468" i="23"/>
  <c r="AQ465" i="23"/>
  <c r="AQ458" i="23"/>
  <c r="AQ457" i="23"/>
  <c r="AQ462" i="23"/>
  <c r="AQ469" i="23"/>
  <c r="AQ463" i="23"/>
  <c r="AQ460" i="23"/>
  <c r="AQ456" i="23"/>
  <c r="AQ464" i="23"/>
  <c r="AG461" i="23"/>
  <c r="AL461" i="23"/>
  <c r="AG454" i="23"/>
  <c r="AQ453" i="23"/>
  <c r="L120" i="23"/>
  <c r="AC134" i="23" s="1"/>
  <c r="AD134" i="23" s="1"/>
  <c r="AC153" i="23"/>
  <c r="AQ452" i="23"/>
  <c r="AQ448" i="23"/>
  <c r="AQ449" i="23"/>
  <c r="AQ450" i="23"/>
  <c r="AQ447" i="23"/>
  <c r="AQ451" i="23"/>
  <c r="AQ446" i="23"/>
  <c r="AC156" i="23"/>
  <c r="AC150" i="23"/>
  <c r="M136" i="23"/>
  <c r="E152" i="23"/>
  <c r="E155" i="23"/>
  <c r="C140" i="23"/>
  <c r="T123" i="23"/>
  <c r="AD123" i="23"/>
  <c r="U142" i="23"/>
  <c r="AD142" i="23"/>
  <c r="U114" i="23"/>
  <c r="AD114" i="23"/>
  <c r="AQ443" i="23"/>
  <c r="AQ444" i="23"/>
  <c r="AQ445" i="23"/>
  <c r="AQ439" i="23"/>
  <c r="AQ441" i="23"/>
  <c r="AQ440" i="23"/>
  <c r="AQ442" i="23"/>
  <c r="AQ434" i="23"/>
  <c r="AQ433" i="23"/>
  <c r="AQ436" i="23"/>
  <c r="AQ438" i="23"/>
  <c r="AQ435" i="23"/>
  <c r="AQ437" i="23"/>
  <c r="AI161" i="23"/>
  <c r="AK153" i="23"/>
  <c r="AI153" i="23"/>
  <c r="AQ432" i="23"/>
  <c r="AK178" i="23"/>
  <c r="AI178" i="23"/>
  <c r="AI164" i="23"/>
  <c r="AK190" i="23"/>
  <c r="AI190" i="23"/>
  <c r="AK186" i="23"/>
  <c r="AI186" i="23"/>
  <c r="AI162" i="23"/>
  <c r="AK148" i="23"/>
  <c r="AI148" i="23"/>
  <c r="AK175" i="23"/>
  <c r="AI175" i="23"/>
  <c r="AI159" i="23"/>
  <c r="AK171" i="23"/>
  <c r="AI171" i="23"/>
  <c r="AK182" i="23"/>
  <c r="AI182" i="23"/>
  <c r="AK204" i="23"/>
  <c r="AI204" i="23"/>
  <c r="AI211" i="23"/>
  <c r="AK201" i="23"/>
  <c r="AI201" i="23"/>
  <c r="AK199" i="23"/>
  <c r="AI199" i="23"/>
  <c r="AK197" i="23"/>
  <c r="AI197" i="23"/>
  <c r="AK195" i="23"/>
  <c r="AI195" i="23"/>
  <c r="AK193" i="23"/>
  <c r="AI193" i="23"/>
  <c r="AK183" i="23"/>
  <c r="AI183" i="23"/>
  <c r="AK176" i="23"/>
  <c r="AI176" i="23"/>
  <c r="AI207" i="23"/>
  <c r="AI214" i="23"/>
  <c r="AK152" i="23"/>
  <c r="AI152" i="23"/>
  <c r="AK167" i="23"/>
  <c r="AI167" i="23"/>
  <c r="AK166" i="23"/>
  <c r="AI166" i="23"/>
  <c r="AK189" i="23"/>
  <c r="AI189" i="23"/>
  <c r="AK181" i="23"/>
  <c r="AI181" i="23"/>
  <c r="AK147" i="23"/>
  <c r="AI147" i="23"/>
  <c r="AK144" i="23"/>
  <c r="AI144" i="23"/>
  <c r="AK172" i="23"/>
  <c r="AI172" i="23"/>
  <c r="AK179" i="23"/>
  <c r="AI179" i="23"/>
  <c r="AK203" i="23"/>
  <c r="AI203" i="23"/>
  <c r="AI210" i="23"/>
  <c r="AI208" i="23"/>
  <c r="AI215" i="23"/>
  <c r="AI206" i="23"/>
  <c r="AI213" i="23"/>
  <c r="AK157" i="23"/>
  <c r="AI157" i="23"/>
  <c r="AK154" i="23"/>
  <c r="AI154" i="23"/>
  <c r="AK165" i="23"/>
  <c r="AI165" i="23"/>
  <c r="AK155" i="23"/>
  <c r="AI155" i="23"/>
  <c r="AK188" i="23"/>
  <c r="AI188" i="23"/>
  <c r="AK180" i="23"/>
  <c r="AI180" i="23"/>
  <c r="AK149" i="23"/>
  <c r="AI149" i="23"/>
  <c r="AK150" i="23"/>
  <c r="AI150" i="23"/>
  <c r="AK169" i="23"/>
  <c r="AI169" i="23"/>
  <c r="AK177" i="23"/>
  <c r="AI177" i="23"/>
  <c r="AK192" i="23"/>
  <c r="AI192" i="23"/>
  <c r="AK205" i="23"/>
  <c r="AI205" i="23"/>
  <c r="AI212" i="23"/>
  <c r="AK202" i="23"/>
  <c r="AI202" i="23"/>
  <c r="AK200" i="23"/>
  <c r="AI200" i="23"/>
  <c r="AK198" i="23"/>
  <c r="AI198" i="23"/>
  <c r="AK196" i="23"/>
  <c r="AI196" i="23"/>
  <c r="AK194" i="23"/>
  <c r="AI194" i="23"/>
  <c r="AK185" i="23"/>
  <c r="AI185" i="23"/>
  <c r="AK170" i="23"/>
  <c r="AI170" i="23"/>
  <c r="AI158" i="23"/>
  <c r="AK173" i="23"/>
  <c r="AI173" i="23"/>
  <c r="AK156" i="23"/>
  <c r="AI156" i="23"/>
  <c r="AK151" i="23"/>
  <c r="AI151" i="23"/>
  <c r="AK168" i="23"/>
  <c r="AI168" i="23"/>
  <c r="AK191" i="23"/>
  <c r="AI191" i="23"/>
  <c r="AK187" i="23"/>
  <c r="AI187" i="23"/>
  <c r="AK145" i="23"/>
  <c r="AI145" i="23"/>
  <c r="AK146" i="23"/>
  <c r="AI146" i="23"/>
  <c r="AI163" i="23"/>
  <c r="AK174" i="23"/>
  <c r="AI174" i="23"/>
  <c r="AK184" i="23"/>
  <c r="AI184" i="23"/>
  <c r="AI209" i="23"/>
  <c r="AI216" i="23"/>
  <c r="AK207" i="23"/>
  <c r="AK208" i="23"/>
  <c r="AK206" i="23"/>
  <c r="AK209" i="23"/>
  <c r="AQ428" i="23"/>
  <c r="AQ426" i="23"/>
  <c r="AQ431" i="23"/>
  <c r="AQ429" i="23"/>
  <c r="AQ430" i="23"/>
  <c r="AQ427" i="23"/>
  <c r="AK163" i="23"/>
  <c r="AK160" i="23"/>
  <c r="AQ422" i="23"/>
  <c r="AQ423" i="23"/>
  <c r="AQ425" i="23"/>
  <c r="AQ424" i="23"/>
  <c r="AK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K164" i="23"/>
  <c r="AK162" i="23"/>
  <c r="AK159" i="23"/>
  <c r="AK158" i="23"/>
  <c r="AF145" i="23"/>
  <c r="AF152" i="23"/>
  <c r="AF144" i="23"/>
  <c r="AF151" i="23"/>
  <c r="AF141" i="23"/>
  <c r="AF148" i="23"/>
  <c r="AF142" i="23"/>
  <c r="AF149" i="23"/>
  <c r="AF143" i="23"/>
  <c r="AF150" i="23"/>
  <c r="AF140" i="23"/>
  <c r="AF147" i="23"/>
  <c r="AF139" i="23"/>
  <c r="AF146" i="23"/>
  <c r="S142" i="23"/>
  <c r="AG142" i="23" s="1"/>
  <c r="T139" i="23"/>
  <c r="S139" i="23"/>
  <c r="Y139" i="23" s="1"/>
  <c r="U139" i="23"/>
  <c r="T114" i="23"/>
  <c r="T142" i="23"/>
  <c r="E143" i="23"/>
  <c r="L143" i="23" s="1"/>
  <c r="AC157" i="23" s="1"/>
  <c r="S114" i="23"/>
  <c r="AG121" i="23" s="1"/>
  <c r="AG138" i="23"/>
  <c r="Y138" i="23"/>
  <c r="AG122" i="23"/>
  <c r="Y122" i="23"/>
  <c r="S140" i="23"/>
  <c r="J404" i="23"/>
  <c r="R120" i="23"/>
  <c r="S123" i="23"/>
  <c r="Y141" i="23"/>
  <c r="AG141" i="23"/>
  <c r="Y120" i="23"/>
  <c r="AG120" i="23"/>
  <c r="AG127" i="23"/>
  <c r="T120" i="23"/>
  <c r="U120" i="23"/>
  <c r="AG119" i="23"/>
  <c r="Y119" i="23"/>
  <c r="Y113" i="23"/>
  <c r="AG113" i="23"/>
  <c r="AG136" i="23"/>
  <c r="Y136" i="23"/>
  <c r="C125" i="23"/>
  <c r="R124" i="23"/>
  <c r="U123" i="23"/>
  <c r="E124" i="23"/>
  <c r="L124" i="23" s="1"/>
  <c r="AC138" i="23" s="1"/>
  <c r="AD138" i="23" s="1"/>
  <c r="C145" i="23"/>
  <c r="E156" i="23"/>
  <c r="S392" i="1"/>
  <c r="F392" i="1"/>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Y523" i="23" l="1"/>
  <c r="AG523" i="23"/>
  <c r="C525" i="23"/>
  <c r="S525" i="23" s="1"/>
  <c r="S524" i="23"/>
  <c r="AL484" i="23"/>
  <c r="AG484" i="23"/>
  <c r="C479" i="23"/>
  <c r="AC493" i="23" s="1"/>
  <c r="AD493" i="23" s="1"/>
  <c r="AC492" i="23"/>
  <c r="AD492" i="23" s="1"/>
  <c r="S479" i="23"/>
  <c r="Y477" i="23"/>
  <c r="AG477" i="23"/>
  <c r="S478" i="23"/>
  <c r="U478" i="23"/>
  <c r="E60" i="35"/>
  <c r="F59" i="35"/>
  <c r="T140" i="23"/>
  <c r="L140" i="23"/>
  <c r="AC154" i="23" s="1"/>
  <c r="U140" i="23"/>
  <c r="AD120" i="23"/>
  <c r="M120" i="23"/>
  <c r="S143" i="23"/>
  <c r="Y143" i="23" s="1"/>
  <c r="AD143" i="23"/>
  <c r="S124" i="23"/>
  <c r="AG124" i="23" s="1"/>
  <c r="M139" i="23"/>
  <c r="AG139" i="23"/>
  <c r="Y114" i="23"/>
  <c r="U143" i="23"/>
  <c r="Y142" i="23"/>
  <c r="E144" i="23"/>
  <c r="L144" i="23" s="1"/>
  <c r="AC158" i="23" s="1"/>
  <c r="AG114" i="23"/>
  <c r="T143" i="23"/>
  <c r="T124" i="23"/>
  <c r="AG123" i="23"/>
  <c r="Y123" i="23"/>
  <c r="AG130" i="23"/>
  <c r="AG140" i="23"/>
  <c r="Y140" i="23"/>
  <c r="J405" i="23"/>
  <c r="E157" i="23"/>
  <c r="C146" i="23"/>
  <c r="U124" i="23"/>
  <c r="E125" i="23"/>
  <c r="L125" i="23" s="1"/>
  <c r="AC139" i="23" s="1"/>
  <c r="AD139" i="23" s="1"/>
  <c r="R125" i="23"/>
  <c r="M386" i="1"/>
  <c r="M387" i="1"/>
  <c r="M388" i="1"/>
  <c r="F389" i="1"/>
  <c r="S389" i="1"/>
  <c r="S388" i="1"/>
  <c r="F388" i="1"/>
  <c r="S387" i="1"/>
  <c r="F387" i="1"/>
  <c r="BH36" i="18"/>
  <c r="M384" i="1"/>
  <c r="M385" i="1"/>
  <c r="S386" i="1"/>
  <c r="F386" i="1"/>
  <c r="BE36" i="18"/>
  <c r="BF36" i="18"/>
  <c r="BG36" i="18"/>
  <c r="S385" i="1"/>
  <c r="F385" i="1"/>
  <c r="S384" i="1"/>
  <c r="F384" i="1"/>
  <c r="E4922" i="3"/>
  <c r="M380" i="1"/>
  <c r="M381" i="1"/>
  <c r="M382" i="1"/>
  <c r="M383" i="1"/>
  <c r="BC36" i="18"/>
  <c r="BD36" i="18"/>
  <c r="S383" i="1"/>
  <c r="F383" i="1"/>
  <c r="S382" i="1"/>
  <c r="F382" i="1"/>
  <c r="S381" i="1"/>
  <c r="F381" i="1"/>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S380" i="1"/>
  <c r="F380" i="1"/>
  <c r="S379" i="1"/>
  <c r="F379" i="1"/>
  <c r="Y524" i="23" l="1"/>
  <c r="AG524" i="23"/>
  <c r="Y525" i="23"/>
  <c r="AG525" i="23"/>
  <c r="AL486" i="23"/>
  <c r="AG486" i="23"/>
  <c r="AL485" i="23"/>
  <c r="AG485" i="23"/>
  <c r="U479" i="23"/>
  <c r="Y479" i="23"/>
  <c r="AG479" i="23"/>
  <c r="Y478" i="23"/>
  <c r="AG478" i="23"/>
  <c r="E61" i="35"/>
  <c r="F60" i="35"/>
  <c r="E145" i="23"/>
  <c r="L145" i="23" s="1"/>
  <c r="AC159" i="23" s="1"/>
  <c r="S144" i="23"/>
  <c r="Y144" i="23" s="1"/>
  <c r="Y124" i="23"/>
  <c r="AG143" i="23"/>
  <c r="AG131" i="23"/>
  <c r="AD145" i="23"/>
  <c r="T144" i="23"/>
  <c r="AD144" i="23"/>
  <c r="AD124" i="23"/>
  <c r="N124" i="23"/>
  <c r="S125" i="23"/>
  <c r="AG132" i="23" s="1"/>
  <c r="AD125" i="23"/>
  <c r="U144" i="23"/>
  <c r="J406" i="23"/>
  <c r="E126" i="23"/>
  <c r="L126" i="23" s="1"/>
  <c r="AC140" i="23" s="1"/>
  <c r="AD140" i="23" s="1"/>
  <c r="U125" i="23"/>
  <c r="C147" i="23"/>
  <c r="T125" i="23"/>
  <c r="E158" i="23"/>
  <c r="F378" i="1"/>
  <c r="S378" i="1"/>
  <c r="M375" i="1"/>
  <c r="M376" i="1"/>
  <c r="M377" i="1"/>
  <c r="F376" i="1"/>
  <c r="F377" i="1"/>
  <c r="S376" i="1"/>
  <c r="S377" i="1"/>
  <c r="M373" i="1"/>
  <c r="M374" i="1"/>
  <c r="F375" i="1"/>
  <c r="S375" i="1"/>
  <c r="S374" i="1"/>
  <c r="F374" i="1"/>
  <c r="D39" i="18"/>
  <c r="M369" i="1"/>
  <c r="M371" i="1"/>
  <c r="M372" i="1"/>
  <c r="S373" i="1"/>
  <c r="F373" i="1"/>
  <c r="S372" i="1"/>
  <c r="F372" i="1"/>
  <c r="S371" i="1"/>
  <c r="F371" i="1"/>
  <c r="S370" i="1"/>
  <c r="F370" i="1"/>
  <c r="S369" i="1"/>
  <c r="F369" i="1"/>
  <c r="M367" i="1"/>
  <c r="M368" i="1"/>
  <c r="T145" i="23" l="1"/>
  <c r="E146" i="23"/>
  <c r="L146" i="23" s="1"/>
  <c r="AC160" i="23" s="1"/>
  <c r="S145" i="23"/>
  <c r="AG145" i="23" s="1"/>
  <c r="U145" i="23"/>
  <c r="E62" i="35"/>
  <c r="F61" i="35"/>
  <c r="AG144" i="23"/>
  <c r="AG125" i="23"/>
  <c r="Y125" i="23"/>
  <c r="S146" i="23"/>
  <c r="AG146" i="23" s="1"/>
  <c r="AD146" i="23"/>
  <c r="S126" i="23"/>
  <c r="Y126" i="23" s="1"/>
  <c r="AD126" i="23"/>
  <c r="T146" i="23"/>
  <c r="J407" i="23"/>
  <c r="E159" i="23"/>
  <c r="C148" i="23"/>
  <c r="U126" i="23"/>
  <c r="T126" i="23"/>
  <c r="S368" i="1"/>
  <c r="F368" i="1"/>
  <c r="E147" i="23" l="1"/>
  <c r="L147" i="23" s="1"/>
  <c r="AC161" i="23" s="1"/>
  <c r="U146" i="23"/>
  <c r="Y145" i="23"/>
  <c r="E63" i="35"/>
  <c r="F62" i="35"/>
  <c r="Y146" i="23"/>
  <c r="AG126" i="23"/>
  <c r="AG133" i="23"/>
  <c r="S147" i="23"/>
  <c r="AG147" i="23" s="1"/>
  <c r="AD147" i="23"/>
  <c r="J408" i="23"/>
  <c r="E160" i="23"/>
  <c r="C149" i="23"/>
  <c r="L149" i="23" s="1"/>
  <c r="AC163" i="23" s="1"/>
  <c r="M365" i="1"/>
  <c r="M366" i="1"/>
  <c r="S367" i="1"/>
  <c r="F367" i="1"/>
  <c r="S366" i="1"/>
  <c r="F366" i="1"/>
  <c r="E148" i="23" l="1"/>
  <c r="L148" i="23" s="1"/>
  <c r="AC162" i="23" s="1"/>
  <c r="U147" i="23"/>
  <c r="T147" i="23"/>
  <c r="E64" i="35"/>
  <c r="F63" i="35"/>
  <c r="Y147" i="23"/>
  <c r="S149" i="23"/>
  <c r="Y149" i="23" s="1"/>
  <c r="AD149" i="23"/>
  <c r="U148" i="23"/>
  <c r="J409" i="23"/>
  <c r="C150" i="23"/>
  <c r="L150" i="23" s="1"/>
  <c r="AC164" i="23" s="1"/>
  <c r="U149" i="23"/>
  <c r="T149" i="23"/>
  <c r="E161" i="23"/>
  <c r="S365" i="1"/>
  <c r="F365" i="1"/>
  <c r="M362" i="1"/>
  <c r="M363" i="1"/>
  <c r="M364" i="1"/>
  <c r="S364" i="1"/>
  <c r="F364" i="1"/>
  <c r="S363" i="1"/>
  <c r="F363" i="1"/>
  <c r="T148" i="23" l="1"/>
  <c r="S148" i="23"/>
  <c r="AG148" i="23" s="1"/>
  <c r="E65" i="35"/>
  <c r="F64" i="35"/>
  <c r="AG149" i="23"/>
  <c r="AD148" i="23"/>
  <c r="M148" i="23"/>
  <c r="S150" i="23"/>
  <c r="Y150" i="23" s="1"/>
  <c r="AD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E162" i="23"/>
  <c r="C151" i="23"/>
  <c r="L151" i="23" s="1"/>
  <c r="AC165" i="23" s="1"/>
  <c r="T150" i="23"/>
  <c r="U150" i="23"/>
  <c r="M359" i="1"/>
  <c r="M360" i="1"/>
  <c r="M361" i="1"/>
  <c r="S362" i="1"/>
  <c r="F362" i="1"/>
  <c r="Y148" i="23" l="1"/>
  <c r="E66" i="35"/>
  <c r="F65" i="35"/>
  <c r="AG150" i="23"/>
  <c r="S151" i="23"/>
  <c r="Y151" i="23" s="1"/>
  <c r="AD151" i="23"/>
  <c r="C152" i="23"/>
  <c r="L152" i="23" s="1"/>
  <c r="AC166" i="23" s="1"/>
  <c r="T151" i="23"/>
  <c r="U151" i="23"/>
  <c r="E163" i="23"/>
  <c r="S361" i="1"/>
  <c r="F361" i="1"/>
  <c r="S360" i="1"/>
  <c r="F360" i="1"/>
  <c r="E67" i="35" l="1"/>
  <c r="F66" i="35"/>
  <c r="AG151" i="23"/>
  <c r="S152" i="23"/>
  <c r="AG152" i="23" s="1"/>
  <c r="AD152" i="23"/>
  <c r="E164" i="23"/>
  <c r="T152" i="23"/>
  <c r="C153" i="23"/>
  <c r="L153" i="23" s="1"/>
  <c r="AC167" i="23" s="1"/>
  <c r="U152" i="23"/>
  <c r="S359" i="1"/>
  <c r="F359" i="1"/>
  <c r="M353" i="1"/>
  <c r="M354" i="1"/>
  <c r="M355" i="1"/>
  <c r="M356" i="1"/>
  <c r="M357" i="1"/>
  <c r="M358" i="1"/>
  <c r="S358" i="1"/>
  <c r="F358" i="1"/>
  <c r="S357" i="1"/>
  <c r="F357" i="1"/>
  <c r="S356" i="1"/>
  <c r="F356" i="1"/>
  <c r="F355" i="1"/>
  <c r="S355" i="1"/>
  <c r="E68" i="35" l="1"/>
  <c r="F67" i="35"/>
  <c r="Y152" i="23"/>
  <c r="S153" i="23"/>
  <c r="AG153" i="23" s="1"/>
  <c r="AD153" i="23"/>
  <c r="T153" i="23"/>
  <c r="C154" i="23"/>
  <c r="L154" i="23" s="1"/>
  <c r="AC168" i="23" s="1"/>
  <c r="U153" i="23"/>
  <c r="E165" i="23"/>
  <c r="S354" i="1"/>
  <c r="F354" i="1"/>
  <c r="S353" i="1"/>
  <c r="F353" i="1"/>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F340" i="1"/>
  <c r="F7994" i="3"/>
  <c r="F7996" i="3"/>
  <c r="F7995" i="3"/>
  <c r="S339" i="1"/>
  <c r="F339" i="1"/>
  <c r="M338" i="1"/>
  <c r="S338" i="1"/>
  <c r="F338" i="1"/>
  <c r="M337" i="1"/>
  <c r="S337" i="1"/>
  <c r="F337" i="1"/>
  <c r="M335" i="1"/>
  <c r="M336" i="1"/>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S330" i="1"/>
  <c r="F330" i="1"/>
  <c r="M324" i="1"/>
  <c r="M325" i="1"/>
  <c r="M326" i="1"/>
  <c r="M327" i="1"/>
  <c r="M328" i="1"/>
  <c r="M329" i="1"/>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E69" i="35" l="1"/>
  <c r="F68" i="35"/>
  <c r="Y153" i="23"/>
  <c r="S154" i="23"/>
  <c r="AG154" i="23" s="1"/>
  <c r="AD154" i="23"/>
  <c r="E166" i="23"/>
  <c r="C155" i="23"/>
  <c r="L155" i="23" s="1"/>
  <c r="AC169" i="23" s="1"/>
  <c r="T154" i="23"/>
  <c r="U154" i="23"/>
  <c r="S318" i="1"/>
  <c r="F318" i="1"/>
  <c r="S317" i="1"/>
  <c r="F317" i="1"/>
  <c r="M314" i="1"/>
  <c r="M315" i="1"/>
  <c r="M316" i="1"/>
  <c r="S316" i="1"/>
  <c r="F316" i="1"/>
  <c r="S315" i="1"/>
  <c r="F315" i="1"/>
  <c r="M311" i="1"/>
  <c r="M312" i="1"/>
  <c r="M313" i="1"/>
  <c r="S314" i="1"/>
  <c r="F314" i="1"/>
  <c r="S313" i="1"/>
  <c r="F313" i="1"/>
  <c r="S312" i="1"/>
  <c r="F312" i="1"/>
  <c r="S311" i="1"/>
  <c r="F311" i="1"/>
  <c r="E70" i="35" l="1"/>
  <c r="F69" i="35"/>
  <c r="Y154" i="23"/>
  <c r="S155" i="23"/>
  <c r="AG155" i="23" s="1"/>
  <c r="AD155" i="23"/>
  <c r="C156" i="23"/>
  <c r="L156" i="23" s="1"/>
  <c r="AC170" i="23" s="1"/>
  <c r="T155" i="23"/>
  <c r="U155" i="23"/>
  <c r="E167" i="23"/>
  <c r="M309" i="1"/>
  <c r="M310" i="1"/>
  <c r="M305" i="1"/>
  <c r="M306" i="1"/>
  <c r="S310" i="1"/>
  <c r="F310" i="1"/>
  <c r="E71" i="35" l="1"/>
  <c r="F70" i="35"/>
  <c r="Y155" i="23"/>
  <c r="S156" i="23"/>
  <c r="AG156" i="23" s="1"/>
  <c r="AD156" i="23"/>
  <c r="E168" i="23"/>
  <c r="T156" i="23"/>
  <c r="C157" i="23"/>
  <c r="L157" i="23" s="1"/>
  <c r="AC171" i="23" s="1"/>
  <c r="U156" i="23"/>
  <c r="S309" i="1"/>
  <c r="F309" i="1"/>
  <c r="E72" i="35" l="1"/>
  <c r="F71" i="35"/>
  <c r="Y156" i="23"/>
  <c r="S157" i="23"/>
  <c r="AG157" i="23" s="1"/>
  <c r="AD157" i="23"/>
  <c r="C158" i="23"/>
  <c r="L158" i="23" s="1"/>
  <c r="AC172" i="23" s="1"/>
  <c r="T157" i="23"/>
  <c r="U157" i="23"/>
  <c r="E169" i="23"/>
  <c r="S308" i="1"/>
  <c r="F308" i="1"/>
  <c r="F307" i="1"/>
  <c r="E73" i="35" l="1"/>
  <c r="F72" i="35"/>
  <c r="Y157" i="23"/>
  <c r="S158" i="23"/>
  <c r="AG158" i="23" s="1"/>
  <c r="AD158" i="23"/>
  <c r="E170" i="23"/>
  <c r="C159" i="23"/>
  <c r="L159" i="23" s="1"/>
  <c r="AC173" i="23" s="1"/>
  <c r="T158" i="23"/>
  <c r="U158" i="23"/>
  <c r="S307" i="1"/>
  <c r="E74" i="35" l="1"/>
  <c r="F73" i="35"/>
  <c r="Y158" i="23"/>
  <c r="S159" i="23"/>
  <c r="AG159" i="23" s="1"/>
  <c r="AD159" i="23"/>
  <c r="C160" i="23"/>
  <c r="L160" i="23" s="1"/>
  <c r="AC174" i="23" s="1"/>
  <c r="T159" i="23"/>
  <c r="U159" i="23"/>
  <c r="E171" i="23"/>
  <c r="S306" i="1"/>
  <c r="F306" i="1"/>
  <c r="M304" i="1"/>
  <c r="S305" i="1"/>
  <c r="F305" i="1"/>
  <c r="S304" i="1"/>
  <c r="F304" i="1"/>
  <c r="E75" i="35" l="1"/>
  <c r="F74" i="35"/>
  <c r="Y159" i="23"/>
  <c r="S160" i="23"/>
  <c r="AG160" i="23" s="1"/>
  <c r="AD160" i="23"/>
  <c r="E172" i="23"/>
  <c r="C161" i="23"/>
  <c r="L161" i="23" s="1"/>
  <c r="AC175" i="23" s="1"/>
  <c r="T160" i="23"/>
  <c r="U160" i="23"/>
  <c r="M301" i="1"/>
  <c r="M302" i="1"/>
  <c r="M303" i="1"/>
  <c r="S303" i="1"/>
  <c r="F303" i="1"/>
  <c r="S302" i="1"/>
  <c r="F302" i="1"/>
  <c r="M299" i="1"/>
  <c r="M300" i="1"/>
  <c r="S301" i="1"/>
  <c r="F301" i="1"/>
  <c r="S300" i="1"/>
  <c r="S299" i="1"/>
  <c r="F300" i="1"/>
  <c r="M296" i="1"/>
  <c r="M297" i="1"/>
  <c r="M298" i="1"/>
  <c r="S298" i="1"/>
  <c r="F299" i="1"/>
  <c r="F298" i="1"/>
  <c r="S297" i="1"/>
  <c r="F297" i="1"/>
  <c r="M295" i="1"/>
  <c r="E76" i="35" l="1"/>
  <c r="F75" i="35"/>
  <c r="Y160" i="23"/>
  <c r="S161" i="23"/>
  <c r="Y161" i="23" s="1"/>
  <c r="AD161" i="23"/>
  <c r="C162" i="23"/>
  <c r="L162" i="23" s="1"/>
  <c r="AC176" i="23" s="1"/>
  <c r="T161" i="23"/>
  <c r="U161" i="23"/>
  <c r="E173" i="23"/>
  <c r="S296" i="1"/>
  <c r="F296" i="1"/>
  <c r="AG161" i="23" l="1"/>
  <c r="E77" i="35"/>
  <c r="F76" i="35"/>
  <c r="S162" i="23"/>
  <c r="AG162" i="23" s="1"/>
  <c r="AD162" i="23"/>
  <c r="E174" i="23"/>
  <c r="T162" i="23"/>
  <c r="C163" i="23"/>
  <c r="L163" i="23" s="1"/>
  <c r="AC177" i="23" s="1"/>
  <c r="U162" i="23"/>
  <c r="S295" i="1"/>
  <c r="F295" i="1"/>
  <c r="E78" i="35" l="1"/>
  <c r="F77" i="35"/>
  <c r="S163" i="23"/>
  <c r="AG163" i="23" s="1"/>
  <c r="AD163" i="23"/>
  <c r="Y162" i="23"/>
  <c r="C164" i="23"/>
  <c r="L164" i="23" s="1"/>
  <c r="AC178" i="23" s="1"/>
  <c r="T163" i="23"/>
  <c r="U163" i="23"/>
  <c r="E175" i="23"/>
  <c r="M293" i="1"/>
  <c r="M294" i="1"/>
  <c r="S294" i="1"/>
  <c r="F294" i="1"/>
  <c r="S293" i="1"/>
  <c r="F293" i="1"/>
  <c r="M288" i="1"/>
  <c r="M289" i="1"/>
  <c r="M290" i="1"/>
  <c r="M291" i="1"/>
  <c r="M292" i="1"/>
  <c r="F292" i="1"/>
  <c r="S292" i="1"/>
  <c r="S291" i="1"/>
  <c r="F291" i="1"/>
  <c r="S290" i="1"/>
  <c r="F290" i="1"/>
  <c r="S289" i="1"/>
  <c r="F289" i="1"/>
  <c r="E79" i="35" l="1"/>
  <c r="F78" i="35"/>
  <c r="S164" i="23"/>
  <c r="Y164" i="23" s="1"/>
  <c r="AD164" i="23"/>
  <c r="Y163" i="23"/>
  <c r="C165" i="23"/>
  <c r="L165" i="23" s="1"/>
  <c r="AC179" i="23" s="1"/>
  <c r="T164" i="23"/>
  <c r="U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E80" i="35" l="1"/>
  <c r="F79" i="35"/>
  <c r="AG164" i="23"/>
  <c r="S165" i="23"/>
  <c r="AG165" i="23" s="1"/>
  <c r="AD165" i="23"/>
  <c r="E177" i="23"/>
  <c r="T165" i="23"/>
  <c r="C166" i="23"/>
  <c r="U165" i="23"/>
  <c r="S287" i="1"/>
  <c r="S286" i="1"/>
  <c r="S285" i="1"/>
  <c r="E81" i="35" l="1"/>
  <c r="F80" i="35"/>
  <c r="AD166" i="23"/>
  <c r="L166" i="23"/>
  <c r="AC180" i="23" s="1"/>
  <c r="Y165" i="23"/>
  <c r="T166" i="23"/>
  <c r="S166" i="23"/>
  <c r="C167" i="23"/>
  <c r="U166" i="23"/>
  <c r="E178" i="23"/>
  <c r="M284" i="1"/>
  <c r="M282" i="1"/>
  <c r="M283" i="1"/>
  <c r="S284" i="1"/>
  <c r="S283" i="1"/>
  <c r="E82" i="35" l="1"/>
  <c r="F81" i="35"/>
  <c r="AD167" i="23"/>
  <c r="L167" i="23"/>
  <c r="AC181" i="23" s="1"/>
  <c r="Y166" i="23"/>
  <c r="AG166" i="23"/>
  <c r="C168" i="23"/>
  <c r="T167" i="23"/>
  <c r="S167" i="23"/>
  <c r="U167" i="23"/>
  <c r="E179" i="23"/>
  <c r="S282" i="1"/>
  <c r="E83" i="35" l="1"/>
  <c r="F82" i="35"/>
  <c r="AD168" i="23"/>
  <c r="L168" i="23"/>
  <c r="AC182" i="23" s="1"/>
  <c r="Y167" i="23"/>
  <c r="AG167" i="23"/>
  <c r="E180" i="23"/>
  <c r="T168" i="23"/>
  <c r="S168" i="23"/>
  <c r="C169" i="23"/>
  <c r="U168" i="23"/>
  <c r="M277" i="1"/>
  <c r="M278" i="1"/>
  <c r="M279" i="1"/>
  <c r="M280" i="1"/>
  <c r="M281" i="1"/>
  <c r="S281" i="1"/>
  <c r="S280" i="1"/>
  <c r="S279" i="1"/>
  <c r="S278" i="1"/>
  <c r="M274" i="1"/>
  <c r="M275" i="1"/>
  <c r="M276" i="1"/>
  <c r="S277" i="1"/>
  <c r="E84" i="35" l="1"/>
  <c r="F83" i="35"/>
  <c r="AD169" i="23"/>
  <c r="L169" i="23"/>
  <c r="AC183" i="23" s="1"/>
  <c r="Y168" i="23"/>
  <c r="AG168" i="23"/>
  <c r="E181" i="23"/>
  <c r="S169" i="23"/>
  <c r="C170" i="23"/>
  <c r="T169" i="23"/>
  <c r="U169" i="23"/>
  <c r="S276" i="1"/>
  <c r="E85" i="35" l="1"/>
  <c r="F84" i="35"/>
  <c r="AD170" i="23"/>
  <c r="L170" i="23"/>
  <c r="AC184" i="23" s="1"/>
  <c r="Y169" i="23"/>
  <c r="AG169" i="23"/>
  <c r="T170" i="23"/>
  <c r="S170" i="23"/>
  <c r="C171" i="23"/>
  <c r="U170" i="23"/>
  <c r="E182" i="23"/>
  <c r="S275" i="1"/>
  <c r="M273" i="1"/>
  <c r="S274" i="1"/>
  <c r="E86" i="35" l="1"/>
  <c r="F85" i="35"/>
  <c r="AD171" i="23"/>
  <c r="L171" i="23"/>
  <c r="AC185" i="23" s="1"/>
  <c r="Y170" i="23"/>
  <c r="AG170" i="23"/>
  <c r="S171" i="23"/>
  <c r="C172" i="23"/>
  <c r="R171" i="23"/>
  <c r="T171" i="23"/>
  <c r="U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E87" i="35" l="1"/>
  <c r="F86" i="35"/>
  <c r="AD172" i="23"/>
  <c r="L172" i="23"/>
  <c r="AC186" i="23" s="1"/>
  <c r="Y171" i="23"/>
  <c r="AG171" i="23"/>
  <c r="T172" i="23"/>
  <c r="C173" i="23"/>
  <c r="S172" i="23"/>
  <c r="R172" i="23"/>
  <c r="U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E88" i="35" l="1"/>
  <c r="F87" i="35"/>
  <c r="AD173" i="23"/>
  <c r="L173" i="23"/>
  <c r="AC187" i="23" s="1"/>
  <c r="Y172" i="23"/>
  <c r="AG172" i="23"/>
  <c r="E185" i="23"/>
  <c r="R173" i="23"/>
  <c r="T173" i="23"/>
  <c r="C174" i="23"/>
  <c r="S173" i="23"/>
  <c r="U173" i="23"/>
  <c r="E6264" i="3"/>
  <c r="E6262" i="3"/>
  <c r="E6261" i="3"/>
  <c r="E6260" i="3"/>
  <c r="E6258" i="3"/>
  <c r="E6254" i="3"/>
  <c r="E6248" i="3"/>
  <c r="E6247" i="3"/>
  <c r="E6246" i="3"/>
  <c r="E6245" i="3"/>
  <c r="E6243" i="3"/>
  <c r="E6242" i="3"/>
  <c r="E6253" i="3"/>
  <c r="E6252" i="3"/>
  <c r="E6251" i="3"/>
  <c r="S262" i="1"/>
  <c r="E89" i="35" l="1"/>
  <c r="F88" i="35"/>
  <c r="AD174" i="23"/>
  <c r="L174" i="23"/>
  <c r="AC188" i="23" s="1"/>
  <c r="Y173" i="23"/>
  <c r="AG173" i="23"/>
  <c r="T174" i="23"/>
  <c r="C175" i="23"/>
  <c r="S174" i="23"/>
  <c r="R174" i="23"/>
  <c r="U174" i="23"/>
  <c r="E186" i="23"/>
  <c r="E6241" i="3"/>
  <c r="E6238" i="3"/>
  <c r="E6236" i="3"/>
  <c r="E6234" i="3"/>
  <c r="E6233" i="3"/>
  <c r="E6232" i="3"/>
  <c r="E6230" i="3"/>
  <c r="E6228" i="3"/>
  <c r="E6227" i="3"/>
  <c r="E6225" i="3"/>
  <c r="E6224" i="3"/>
  <c r="E6223" i="3"/>
  <c r="E6222" i="3"/>
  <c r="E6221" i="3"/>
  <c r="E6219" i="3"/>
  <c r="E6218" i="3"/>
  <c r="E6240" i="3"/>
  <c r="E6239" i="3"/>
  <c r="E6229" i="3"/>
  <c r="S261" i="1"/>
  <c r="E90" i="35" l="1"/>
  <c r="F89" i="35"/>
  <c r="AD175" i="23"/>
  <c r="L175" i="23"/>
  <c r="AC189" i="23" s="1"/>
  <c r="Y174" i="23"/>
  <c r="AG174" i="23"/>
  <c r="T175" i="23"/>
  <c r="C176" i="23"/>
  <c r="S175" i="23"/>
  <c r="R175" i="23"/>
  <c r="U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E91" i="35" l="1"/>
  <c r="F90" i="35"/>
  <c r="AD176" i="23"/>
  <c r="L176" i="23"/>
  <c r="AC190" i="23" s="1"/>
  <c r="Y175" i="23"/>
  <c r="AG175" i="23"/>
  <c r="E188" i="23"/>
  <c r="R176" i="23"/>
  <c r="T176" i="23"/>
  <c r="S176" i="23"/>
  <c r="C177" i="23"/>
  <c r="U176" i="23"/>
  <c r="M254" i="1"/>
  <c r="M255" i="1"/>
  <c r="M256" i="1"/>
  <c r="E92" i="35" l="1"/>
  <c r="F91" i="35"/>
  <c r="AD177" i="23"/>
  <c r="L177" i="23"/>
  <c r="AC191" i="23" s="1"/>
  <c r="Y176" i="23"/>
  <c r="AG176" i="23"/>
  <c r="C178" i="23"/>
  <c r="S177" i="23"/>
  <c r="R177" i="23"/>
  <c r="T177" i="23"/>
  <c r="U177" i="23"/>
  <c r="E189" i="23"/>
  <c r="S256" i="1"/>
  <c r="E93" i="35" l="1"/>
  <c r="F92" i="35"/>
  <c r="AD178" i="23"/>
  <c r="L178" i="23"/>
  <c r="AC192" i="23" s="1"/>
  <c r="Y177" i="23"/>
  <c r="AG177" i="23"/>
  <c r="E190" i="23"/>
  <c r="T178" i="23"/>
  <c r="C179" i="23"/>
  <c r="S178" i="23"/>
  <c r="R178" i="23"/>
  <c r="U178" i="23"/>
  <c r="S255" i="1"/>
  <c r="E94" i="35" l="1"/>
  <c r="F93" i="35"/>
  <c r="AD179" i="23"/>
  <c r="L179" i="23"/>
  <c r="AC193" i="23" s="1"/>
  <c r="Y178" i="23"/>
  <c r="AG178" i="23"/>
  <c r="T179" i="23"/>
  <c r="C180" i="23"/>
  <c r="S179" i="23"/>
  <c r="R179" i="23"/>
  <c r="U179" i="23"/>
  <c r="E191" i="23"/>
  <c r="S254" i="1"/>
  <c r="M252" i="1"/>
  <c r="M253" i="1"/>
  <c r="M250" i="1"/>
  <c r="M251" i="1"/>
  <c r="S253" i="1"/>
  <c r="E95" i="35" l="1"/>
  <c r="F94" i="35"/>
  <c r="AD180" i="23"/>
  <c r="L180" i="23"/>
  <c r="AC194" i="23" s="1"/>
  <c r="Y179" i="23"/>
  <c r="AG179" i="23"/>
  <c r="E192" i="23"/>
  <c r="R180" i="23"/>
  <c r="T180" i="23"/>
  <c r="C181" i="23"/>
  <c r="S180" i="23"/>
  <c r="U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E96" i="35" l="1"/>
  <c r="F95" i="35"/>
  <c r="AD181" i="23"/>
  <c r="L181" i="23"/>
  <c r="AC195" i="23" s="1"/>
  <c r="Y180" i="23"/>
  <c r="AG180" i="23"/>
  <c r="E193" i="23"/>
  <c r="C182" i="23"/>
  <c r="S181" i="23"/>
  <c r="R181" i="23"/>
  <c r="T181" i="23"/>
  <c r="U181" i="23"/>
  <c r="M247" i="1"/>
  <c r="S248" i="1"/>
  <c r="E97" i="35" l="1"/>
  <c r="F96" i="35"/>
  <c r="AD182" i="23"/>
  <c r="L182" i="23"/>
  <c r="AC196" i="23" s="1"/>
  <c r="Y181" i="23"/>
  <c r="AG181" i="23"/>
  <c r="T182" i="23"/>
  <c r="C183" i="23"/>
  <c r="S182" i="23"/>
  <c r="R182" i="23"/>
  <c r="U182" i="23"/>
  <c r="E194" i="23"/>
  <c r="S247" i="1"/>
  <c r="M246" i="1"/>
  <c r="E98" i="35" l="1"/>
  <c r="F97" i="35"/>
  <c r="AD183" i="23"/>
  <c r="L183" i="23"/>
  <c r="AC197" i="23" s="1"/>
  <c r="Y182" i="23"/>
  <c r="AG182" i="23"/>
  <c r="T183" i="23"/>
  <c r="C184" i="23"/>
  <c r="S183" i="23"/>
  <c r="R183" i="23"/>
  <c r="U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11015" i="3" s="1"/>
  <c r="D11039" i="3" s="1"/>
  <c r="D11063" i="3" s="1"/>
  <c r="D11087" i="3" s="1"/>
  <c r="D11111" i="3" s="1"/>
  <c r="D11135" i="3" s="1"/>
  <c r="D11159" i="3" s="1"/>
  <c r="D11183" i="3" s="1"/>
  <c r="D11207" i="3" s="1"/>
  <c r="D11231" i="3" s="1"/>
  <c r="D11255" i="3" s="1"/>
  <c r="D11279" i="3" s="1"/>
  <c r="D11303"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11014" i="3" s="1"/>
  <c r="D11038" i="3" s="1"/>
  <c r="D11062" i="3" s="1"/>
  <c r="D11086" i="3" s="1"/>
  <c r="D11110" i="3" s="1"/>
  <c r="D11134" i="3" s="1"/>
  <c r="D11158" i="3" s="1"/>
  <c r="D11182" i="3" s="1"/>
  <c r="D11206" i="3" s="1"/>
  <c r="D11230" i="3" s="1"/>
  <c r="D11254" i="3" s="1"/>
  <c r="D11278" i="3" s="1"/>
  <c r="D11302"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11012" i="3" s="1"/>
  <c r="D11036" i="3" s="1"/>
  <c r="D11060" i="3" s="1"/>
  <c r="D11084" i="3" s="1"/>
  <c r="D11108" i="3" s="1"/>
  <c r="D11132" i="3" s="1"/>
  <c r="D11156" i="3" s="1"/>
  <c r="D11180" i="3" s="1"/>
  <c r="D11204" i="3" s="1"/>
  <c r="D11228" i="3" s="1"/>
  <c r="D11252" i="3" s="1"/>
  <c r="D11276" i="3" s="1"/>
  <c r="D11300"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11010" i="3" s="1"/>
  <c r="D11034" i="3" s="1"/>
  <c r="D11058" i="3" s="1"/>
  <c r="D11082" i="3" s="1"/>
  <c r="D11106" i="3" s="1"/>
  <c r="D11130" i="3" s="1"/>
  <c r="D11154" i="3" s="1"/>
  <c r="D11178" i="3" s="1"/>
  <c r="D11202" i="3" s="1"/>
  <c r="D11226" i="3" s="1"/>
  <c r="D11250" i="3" s="1"/>
  <c r="D11274" i="3" s="1"/>
  <c r="D11298"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11009" i="3" s="1"/>
  <c r="D11033" i="3" s="1"/>
  <c r="D11057" i="3" s="1"/>
  <c r="D11081" i="3" s="1"/>
  <c r="D11105" i="3" s="1"/>
  <c r="D11129" i="3" s="1"/>
  <c r="D11153" i="3" s="1"/>
  <c r="D11177" i="3" s="1"/>
  <c r="D11201" i="3" s="1"/>
  <c r="D11225" i="3" s="1"/>
  <c r="D11249" i="3" s="1"/>
  <c r="D11273" i="3" s="1"/>
  <c r="D11297"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D10994" i="3" s="1"/>
  <c r="D11018" i="3" s="1"/>
  <c r="D11042" i="3" s="1"/>
  <c r="D11066" i="3" s="1"/>
  <c r="D11090" i="3" s="1"/>
  <c r="D11114" i="3" s="1"/>
  <c r="D11138" i="3" s="1"/>
  <c r="D11162" i="3" s="1"/>
  <c r="D11186" i="3" s="1"/>
  <c r="D11210" i="3" s="1"/>
  <c r="D11234" i="3" s="1"/>
  <c r="D11258" i="3" s="1"/>
  <c r="D11282" i="3" s="1"/>
  <c r="D11306" i="3" s="1"/>
  <c r="D11330" i="3" s="1"/>
  <c r="D11354" i="3" s="1"/>
  <c r="D11378" i="3" s="1"/>
  <c r="D11402" i="3" s="1"/>
  <c r="D11426" i="3" s="1"/>
  <c r="D11450" i="3" s="1"/>
  <c r="D11474" i="3" s="1"/>
  <c r="D11498" i="3" s="1"/>
  <c r="D11522" i="3" s="1"/>
  <c r="D11546" i="3" s="1"/>
  <c r="D11570" i="3" s="1"/>
  <c r="D11594" i="3" s="1"/>
  <c r="D11618" i="3" s="1"/>
  <c r="D11642" i="3" s="1"/>
  <c r="D11666" i="3" s="1"/>
  <c r="D11690" i="3" s="1"/>
  <c r="D11714" i="3" s="1"/>
  <c r="D11738" i="3" s="1"/>
  <c r="D11762" i="3" s="1"/>
  <c r="D11786" i="3" s="1"/>
  <c r="D11324" i="3" l="1"/>
  <c r="D11348" i="3" s="1"/>
  <c r="D11372" i="3" s="1"/>
  <c r="D11396" i="3" s="1"/>
  <c r="D11420" i="3" s="1"/>
  <c r="D11444" i="3" s="1"/>
  <c r="D11468" i="3" s="1"/>
  <c r="D11492" i="3" s="1"/>
  <c r="D11516" i="3" s="1"/>
  <c r="D11540" i="3" s="1"/>
  <c r="D11564" i="3" s="1"/>
  <c r="D11588" i="3" s="1"/>
  <c r="D11612" i="3" s="1"/>
  <c r="D11636" i="3" s="1"/>
  <c r="D11660" i="3" s="1"/>
  <c r="D11684" i="3" s="1"/>
  <c r="D11708" i="3" s="1"/>
  <c r="D11732" i="3" s="1"/>
  <c r="D11756" i="3" s="1"/>
  <c r="D11780" i="3" s="1"/>
  <c r="D11804" i="3" s="1"/>
  <c r="D11326" i="3"/>
  <c r="D11350" i="3" s="1"/>
  <c r="D11374" i="3" s="1"/>
  <c r="D11398" i="3" s="1"/>
  <c r="D11422" i="3" s="1"/>
  <c r="D11446" i="3" s="1"/>
  <c r="D11470" i="3" s="1"/>
  <c r="D11494" i="3" s="1"/>
  <c r="D11518" i="3" s="1"/>
  <c r="D11542" i="3" s="1"/>
  <c r="D11566" i="3" s="1"/>
  <c r="D11590" i="3" s="1"/>
  <c r="D11614" i="3" s="1"/>
  <c r="D11638" i="3" s="1"/>
  <c r="D11662" i="3" s="1"/>
  <c r="D11686" i="3" s="1"/>
  <c r="D11710" i="3" s="1"/>
  <c r="D11734" i="3" s="1"/>
  <c r="D11758" i="3" s="1"/>
  <c r="D11782" i="3" s="1"/>
  <c r="D11806" i="3" s="1"/>
  <c r="D11321" i="3"/>
  <c r="D11345" i="3" s="1"/>
  <c r="D11369" i="3" s="1"/>
  <c r="D11393" i="3" s="1"/>
  <c r="D11417" i="3" s="1"/>
  <c r="D11441" i="3" s="1"/>
  <c r="D11465" i="3" s="1"/>
  <c r="D11489" i="3" s="1"/>
  <c r="D11513" i="3" s="1"/>
  <c r="D11537" i="3" s="1"/>
  <c r="D11561" i="3" s="1"/>
  <c r="D11585" i="3" s="1"/>
  <c r="D11609" i="3" s="1"/>
  <c r="D11633" i="3" s="1"/>
  <c r="D11657" i="3" s="1"/>
  <c r="D11681" i="3" s="1"/>
  <c r="D11705" i="3" s="1"/>
  <c r="D11729" i="3" s="1"/>
  <c r="D11753" i="3" s="1"/>
  <c r="D11777" i="3" s="1"/>
  <c r="D11801" i="3" s="1"/>
  <c r="D11327" i="3"/>
  <c r="D11351" i="3" s="1"/>
  <c r="D11375" i="3" s="1"/>
  <c r="D11399" i="3" s="1"/>
  <c r="D11423" i="3" s="1"/>
  <c r="D11447" i="3" s="1"/>
  <c r="D11471" i="3" s="1"/>
  <c r="D11495" i="3" s="1"/>
  <c r="D11519" i="3" s="1"/>
  <c r="D11543" i="3" s="1"/>
  <c r="D11567" i="3" s="1"/>
  <c r="D11591" i="3" s="1"/>
  <c r="D11615" i="3" s="1"/>
  <c r="D11639" i="3" s="1"/>
  <c r="D11663" i="3" s="1"/>
  <c r="D11687" i="3" s="1"/>
  <c r="D11711" i="3" s="1"/>
  <c r="D11735" i="3" s="1"/>
  <c r="D11759" i="3" s="1"/>
  <c r="D11783" i="3" s="1"/>
  <c r="D11807" i="3" s="1"/>
  <c r="D11322" i="3"/>
  <c r="D11346" i="3" s="1"/>
  <c r="D11370" i="3" s="1"/>
  <c r="D11394" i="3" s="1"/>
  <c r="D11418" i="3" s="1"/>
  <c r="D11442" i="3" s="1"/>
  <c r="D11466" i="3" s="1"/>
  <c r="D11490" i="3" s="1"/>
  <c r="D11514" i="3" s="1"/>
  <c r="D11538" i="3" s="1"/>
  <c r="D11562" i="3" s="1"/>
  <c r="D11586" i="3" s="1"/>
  <c r="D11610" i="3" s="1"/>
  <c r="D11634" i="3" s="1"/>
  <c r="D11658" i="3" s="1"/>
  <c r="D11682" i="3" s="1"/>
  <c r="D11706" i="3" s="1"/>
  <c r="D11730" i="3" s="1"/>
  <c r="D11754" i="3" s="1"/>
  <c r="D11778" i="3" s="1"/>
  <c r="D11802" i="3" s="1"/>
  <c r="E99" i="35"/>
  <c r="F98" i="35"/>
  <c r="AD184" i="23"/>
  <c r="L184" i="23"/>
  <c r="AC198" i="23" s="1"/>
  <c r="Y183" i="23"/>
  <c r="AG183" i="23"/>
  <c r="E196" i="23"/>
  <c r="R184" i="23"/>
  <c r="T184" i="23"/>
  <c r="C185" i="23"/>
  <c r="S184" i="23"/>
  <c r="U184" i="23"/>
  <c r="M242" i="1"/>
  <c r="E5785" i="3"/>
  <c r="E5784" i="3"/>
  <c r="E5782" i="3"/>
  <c r="E5781" i="3"/>
  <c r="E5777" i="3"/>
  <c r="E5776" i="3"/>
  <c r="E5774" i="3"/>
  <c r="E5772" i="3"/>
  <c r="E5771" i="3"/>
  <c r="E5769" i="3"/>
  <c r="E5767" i="3"/>
  <c r="E5765" i="3"/>
  <c r="E5762" i="3"/>
  <c r="E5783" i="3"/>
  <c r="E5780" i="3"/>
  <c r="E5779" i="3"/>
  <c r="E5766" i="3"/>
  <c r="E5718" i="3"/>
  <c r="E100" i="35" l="1"/>
  <c r="F99" i="35"/>
  <c r="AD185" i="23"/>
  <c r="L185" i="23"/>
  <c r="AC199" i="23" s="1"/>
  <c r="Y184" i="23"/>
  <c r="AG184" i="23"/>
  <c r="C186" i="23"/>
  <c r="S185" i="23"/>
  <c r="R185" i="23"/>
  <c r="T185" i="23"/>
  <c r="U185" i="23"/>
  <c r="E197" i="23"/>
  <c r="M241" i="1"/>
  <c r="E5761" i="3"/>
  <c r="E5760" i="3"/>
  <c r="E5759" i="3"/>
  <c r="E5758" i="3"/>
  <c r="E5755" i="3"/>
  <c r="E5754" i="3"/>
  <c r="E5753" i="3"/>
  <c r="E5752" i="3"/>
  <c r="E5750" i="3"/>
  <c r="E5747" i="3"/>
  <c r="E5744" i="3"/>
  <c r="E5743" i="3"/>
  <c r="E5741" i="3"/>
  <c r="E5739" i="3"/>
  <c r="E5738" i="3"/>
  <c r="E5749" i="3"/>
  <c r="M240" i="1"/>
  <c r="E101" i="35" l="1"/>
  <c r="F100" i="35"/>
  <c r="AD186" i="23"/>
  <c r="L186" i="23"/>
  <c r="AC200" i="23" s="1"/>
  <c r="Y185" i="23"/>
  <c r="AG185" i="23"/>
  <c r="E198" i="23"/>
  <c r="T186" i="23"/>
  <c r="C187" i="23"/>
  <c r="S186" i="23"/>
  <c r="R186" i="23"/>
  <c r="U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E102" i="35" l="1"/>
  <c r="F101" i="35"/>
  <c r="AD187" i="23"/>
  <c r="L187" i="23"/>
  <c r="AC201" i="23" s="1"/>
  <c r="Y186" i="23"/>
  <c r="AG186" i="23"/>
  <c r="T187" i="23"/>
  <c r="C188" i="23"/>
  <c r="L188" i="23" s="1"/>
  <c r="AC202" i="23" s="1"/>
  <c r="S187" i="23"/>
  <c r="R187" i="23"/>
  <c r="U187" i="23"/>
  <c r="U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E103" i="35" l="1"/>
  <c r="F102" i="35"/>
  <c r="U198" i="23"/>
  <c r="AD188" i="23"/>
  <c r="Y187" i="23"/>
  <c r="AG187" i="23"/>
  <c r="E200" i="23"/>
  <c r="R188" i="23"/>
  <c r="T188" i="23"/>
  <c r="C189" i="23"/>
  <c r="L189" i="23" s="1"/>
  <c r="AC203" i="23" s="1"/>
  <c r="S188" i="23"/>
  <c r="U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E104" i="35" l="1"/>
  <c r="F103" i="35"/>
  <c r="U199" i="23"/>
  <c r="AD189" i="23"/>
  <c r="Y188" i="23"/>
  <c r="AG188" i="23"/>
  <c r="C190" i="23"/>
  <c r="L190" i="23" s="1"/>
  <c r="AC204" i="23" s="1"/>
  <c r="S189" i="23"/>
  <c r="R189" i="23"/>
  <c r="T189" i="23"/>
  <c r="U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E105" i="35" l="1"/>
  <c r="F104" i="35"/>
  <c r="U200" i="23"/>
  <c r="AD190" i="23"/>
  <c r="Y189" i="23"/>
  <c r="AG189" i="23"/>
  <c r="E202" i="23"/>
  <c r="T190" i="23"/>
  <c r="C191" i="23"/>
  <c r="L191" i="23" s="1"/>
  <c r="AC205" i="23" s="1"/>
  <c r="S190" i="23"/>
  <c r="R190" i="23"/>
  <c r="U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E106" i="35" l="1"/>
  <c r="F105" i="35"/>
  <c r="U201" i="23"/>
  <c r="AD191" i="23"/>
  <c r="Y190" i="23"/>
  <c r="AG190" i="23"/>
  <c r="T191" i="23"/>
  <c r="C192" i="23"/>
  <c r="L192" i="23" s="1"/>
  <c r="AC206" i="23" s="1"/>
  <c r="S191" i="23"/>
  <c r="R191" i="23"/>
  <c r="U191" i="23"/>
  <c r="E203" i="23"/>
  <c r="C160" i="1"/>
  <c r="E107" i="35" l="1"/>
  <c r="F106" i="35"/>
  <c r="U202" i="23"/>
  <c r="AD192" i="23"/>
  <c r="Y191" i="23"/>
  <c r="AG191" i="23"/>
  <c r="E204" i="23"/>
  <c r="C193" i="23"/>
  <c r="R192" i="23"/>
  <c r="T192" i="23"/>
  <c r="S192" i="23"/>
  <c r="U192" i="23"/>
  <c r="C161" i="1"/>
  <c r="E108" i="35" l="1"/>
  <c r="F107" i="35"/>
  <c r="AD193" i="23"/>
  <c r="L193" i="23"/>
  <c r="AC207" i="23" s="1"/>
  <c r="Y192" i="23"/>
  <c r="AG192" i="23"/>
  <c r="E205" i="23"/>
  <c r="R193" i="23"/>
  <c r="C194" i="23"/>
  <c r="T193" i="23"/>
  <c r="S193" i="23"/>
  <c r="U193" i="23"/>
  <c r="U203" i="23"/>
  <c r="C162" i="1"/>
  <c r="E109" i="35" l="1"/>
  <c r="F108" i="35"/>
  <c r="AD194" i="23"/>
  <c r="L194" i="23"/>
  <c r="AC208" i="23" s="1"/>
  <c r="Y193" i="23"/>
  <c r="AG193" i="23"/>
  <c r="C195" i="23"/>
  <c r="L195" i="23" s="1"/>
  <c r="AC209" i="23" s="1"/>
  <c r="S194" i="23"/>
  <c r="R194" i="23"/>
  <c r="T194" i="23"/>
  <c r="U194" i="23"/>
  <c r="U204" i="23"/>
  <c r="E206" i="23"/>
  <c r="C163" i="1"/>
  <c r="E110" i="35" l="1"/>
  <c r="F109" i="35"/>
  <c r="U205" i="23"/>
  <c r="AD195" i="23"/>
  <c r="Y194" i="23"/>
  <c r="AG194" i="23"/>
  <c r="E207" i="23"/>
  <c r="T195" i="23"/>
  <c r="R195" i="23"/>
  <c r="C196" i="23"/>
  <c r="L196" i="23" s="1"/>
  <c r="AC210" i="23" s="1"/>
  <c r="S195" i="23"/>
  <c r="U195" i="23"/>
  <c r="C164" i="1"/>
  <c r="E5081" i="3"/>
  <c r="M213" i="1"/>
  <c r="M212" i="1"/>
  <c r="E5078" i="3"/>
  <c r="E5067" i="3"/>
  <c r="E5087" i="3"/>
  <c r="E5086" i="3"/>
  <c r="E5083" i="3"/>
  <c r="E5082" i="3"/>
  <c r="E5075" i="3"/>
  <c r="E5073" i="3"/>
  <c r="E5071" i="3"/>
  <c r="E5070" i="3"/>
  <c r="E5069" i="3"/>
  <c r="E5066" i="3"/>
  <c r="E5085" i="3"/>
  <c r="E5084" i="3"/>
  <c r="E5080" i="3"/>
  <c r="E111" i="35" l="1"/>
  <c r="F110" i="35"/>
  <c r="U206" i="23"/>
  <c r="AD196" i="23"/>
  <c r="Y195" i="23"/>
  <c r="AG195" i="23"/>
  <c r="C197" i="23"/>
  <c r="S196" i="23"/>
  <c r="T196" i="23"/>
  <c r="R196" i="23"/>
  <c r="U196" i="23"/>
  <c r="E208" i="23"/>
  <c r="C165" i="1"/>
  <c r="M211" i="1"/>
  <c r="E112" i="35" l="1"/>
  <c r="F111" i="35"/>
  <c r="AD197" i="23"/>
  <c r="L197" i="23"/>
  <c r="AC211" i="23" s="1"/>
  <c r="U207" i="23"/>
  <c r="Y196" i="23"/>
  <c r="AG196" i="23"/>
  <c r="E209" i="23"/>
  <c r="R197" i="23"/>
  <c r="T197" i="23"/>
  <c r="C198" i="23"/>
  <c r="L198" i="23" s="1"/>
  <c r="AC212" i="23" s="1"/>
  <c r="S197" i="23"/>
  <c r="C166" i="1"/>
  <c r="M210" i="1"/>
  <c r="E113" i="35" l="1"/>
  <c r="F112" i="35"/>
  <c r="U208" i="23"/>
  <c r="AD198" i="23"/>
  <c r="Y197" i="23"/>
  <c r="AG197" i="23"/>
  <c r="C199" i="23"/>
  <c r="L199" i="23" s="1"/>
  <c r="AC213" i="23" s="1"/>
  <c r="S198" i="23"/>
  <c r="R198" i="23"/>
  <c r="T198" i="23"/>
  <c r="E210" i="23"/>
  <c r="C167" i="1"/>
  <c r="E5015" i="3"/>
  <c r="E5014" i="3"/>
  <c r="E5013" i="3"/>
  <c r="E5010" i="3"/>
  <c r="E5009" i="3"/>
  <c r="E5004" i="3"/>
  <c r="E5003" i="3"/>
  <c r="E4999" i="3"/>
  <c r="E4995" i="3"/>
  <c r="E4994" i="3"/>
  <c r="E5008" i="3"/>
  <c r="E5006" i="3"/>
  <c r="E5001" i="3"/>
  <c r="E5000" i="3"/>
  <c r="E4997" i="3"/>
  <c r="M209" i="1"/>
  <c r="M208" i="1"/>
  <c r="E114" i="35" l="1"/>
  <c r="F113" i="35"/>
  <c r="U209" i="23"/>
  <c r="AD199" i="23"/>
  <c r="Y198" i="23"/>
  <c r="AG198" i="23"/>
  <c r="E211" i="23"/>
  <c r="T199" i="23"/>
  <c r="R199" i="23"/>
  <c r="C200" i="23"/>
  <c r="L200" i="23" s="1"/>
  <c r="AC214" i="23" s="1"/>
  <c r="S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E115" i="35" l="1"/>
  <c r="F114" i="35"/>
  <c r="U210" i="23"/>
  <c r="AD200" i="23"/>
  <c r="Y199" i="23"/>
  <c r="AG199" i="23"/>
  <c r="R200" i="23"/>
  <c r="T200" i="23"/>
  <c r="C201" i="23"/>
  <c r="S200" i="23"/>
  <c r="E212" i="23"/>
  <c r="C169" i="1"/>
  <c r="M207" i="1"/>
  <c r="E4942" i="3"/>
  <c r="E4941" i="3"/>
  <c r="E4938" i="3"/>
  <c r="E4937" i="3"/>
  <c r="E4936" i="3"/>
  <c r="E4934" i="3"/>
  <c r="E4931" i="3"/>
  <c r="E4929" i="3"/>
  <c r="E4927" i="3"/>
  <c r="E4923" i="3"/>
  <c r="E4945" i="3"/>
  <c r="E4944" i="3"/>
  <c r="E4943" i="3"/>
  <c r="E4928" i="3"/>
  <c r="E4925" i="3"/>
  <c r="M206" i="1"/>
  <c r="E116" i="35" l="1"/>
  <c r="F115" i="35"/>
  <c r="AD201" i="23"/>
  <c r="L201" i="23"/>
  <c r="AC215" i="23" s="1"/>
  <c r="Y200" i="23"/>
  <c r="AG200" i="23"/>
  <c r="C202" i="23"/>
  <c r="L202" i="23" s="1"/>
  <c r="AC216" i="23" s="1"/>
  <c r="S201" i="23"/>
  <c r="T201" i="23"/>
  <c r="R201" i="23"/>
  <c r="U211" i="23"/>
  <c r="E213" i="23"/>
  <c r="C170" i="1"/>
  <c r="E4918" i="3"/>
  <c r="E4915" i="3"/>
  <c r="E4914" i="3"/>
  <c r="E4913" i="3"/>
  <c r="E4912" i="3"/>
  <c r="E4910" i="3"/>
  <c r="E4907" i="3"/>
  <c r="E4905" i="3"/>
  <c r="E4903" i="3"/>
  <c r="E4902" i="3"/>
  <c r="E4901" i="3"/>
  <c r="E4899" i="3"/>
  <c r="E4898" i="3"/>
  <c r="E4920" i="3"/>
  <c r="E4919" i="3"/>
  <c r="E4917" i="3"/>
  <c r="M204" i="1"/>
  <c r="M205" i="1"/>
  <c r="E117" i="35" l="1"/>
  <c r="F116" i="35"/>
  <c r="U212" i="23"/>
  <c r="AD202" i="23"/>
  <c r="Y201" i="23"/>
  <c r="AG201" i="23"/>
  <c r="E214" i="23"/>
  <c r="T202" i="23"/>
  <c r="R202" i="23"/>
  <c r="C203" i="23"/>
  <c r="L203" i="23" s="1"/>
  <c r="AC217" i="23" s="1"/>
  <c r="S202" i="23"/>
  <c r="C171" i="1"/>
  <c r="E4896" i="3"/>
  <c r="E4895" i="3"/>
  <c r="E4894" i="3"/>
  <c r="E4892" i="3"/>
  <c r="E4890" i="3"/>
  <c r="E4889" i="3"/>
  <c r="E4888" i="3"/>
  <c r="E4886" i="3"/>
  <c r="E4883" i="3"/>
  <c r="E4881" i="3"/>
  <c r="E4879" i="3"/>
  <c r="E4878" i="3"/>
  <c r="E4875" i="3"/>
  <c r="E4893" i="3"/>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E118" i="35" l="1"/>
  <c r="F117" i="35"/>
  <c r="U213" i="23"/>
  <c r="Y202" i="23"/>
  <c r="AG202" i="23"/>
  <c r="R203" i="23"/>
  <c r="T203" i="23"/>
  <c r="C204" i="23"/>
  <c r="L204" i="23" s="1"/>
  <c r="AC218" i="23" s="1"/>
  <c r="S203" i="23"/>
  <c r="E215" i="23"/>
  <c r="C172" i="1"/>
  <c r="E119" i="35" l="1"/>
  <c r="F118" i="35"/>
  <c r="AD204" i="23"/>
  <c r="N204" i="23"/>
  <c r="AD203" i="23"/>
  <c r="N203" i="23"/>
  <c r="Y203" i="23"/>
  <c r="AG203" i="23"/>
  <c r="E216" i="23"/>
  <c r="U215" i="23"/>
  <c r="C205" i="23"/>
  <c r="L205" i="23" s="1"/>
  <c r="AC219" i="23" s="1"/>
  <c r="S204" i="23"/>
  <c r="T204" i="23"/>
  <c r="R204" i="23"/>
  <c r="U214" i="23"/>
  <c r="C173" i="1"/>
  <c r="E4816" i="3"/>
  <c r="E4811" i="3"/>
  <c r="E4805" i="3"/>
  <c r="L201" i="1"/>
  <c r="K201" i="1" s="1"/>
  <c r="E4800" i="3"/>
  <c r="E4798" i="3"/>
  <c r="E4797" i="3"/>
  <c r="E4795" i="3"/>
  <c r="E4794" i="3"/>
  <c r="E4793" i="3"/>
  <c r="E4790" i="3"/>
  <c r="E4785" i="3"/>
  <c r="E4783" i="3"/>
  <c r="E4781" i="3"/>
  <c r="E4779" i="3"/>
  <c r="E4778" i="3"/>
  <c r="E4789" i="3"/>
  <c r="E4782" i="3"/>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E4674" i="3"/>
  <c r="E4673" i="3"/>
  <c r="E4679" i="3"/>
  <c r="E4661" i="3"/>
  <c r="L195" i="1"/>
  <c r="K195" i="1" s="1"/>
  <c r="E4656" i="3"/>
  <c r="E4654" i="3"/>
  <c r="E4651" i="3"/>
  <c r="E4638" i="3"/>
  <c r="E4637" i="3"/>
  <c r="E4635" i="3"/>
  <c r="E4634" i="3"/>
  <c r="E4657" i="3"/>
  <c r="E4650" i="3"/>
  <c r="E4646" i="3"/>
  <c r="E4639" i="3"/>
  <c r="E120" i="35" l="1"/>
  <c r="F119" i="35"/>
  <c r="AD205" i="23"/>
  <c r="N205" i="23"/>
  <c r="Y204" i="23"/>
  <c r="AG204" i="23"/>
  <c r="T205" i="23"/>
  <c r="R205" i="23"/>
  <c r="C206" i="23"/>
  <c r="L206" i="23" s="1"/>
  <c r="AC220" i="23" s="1"/>
  <c r="S205" i="23"/>
  <c r="E217" i="23"/>
  <c r="U216" i="23"/>
  <c r="C174" i="1"/>
  <c r="E4643" i="3"/>
  <c r="E121" i="35" l="1"/>
  <c r="F120" i="35"/>
  <c r="AD206" i="23"/>
  <c r="N206" i="23"/>
  <c r="Y205" i="23"/>
  <c r="AG205" i="23"/>
  <c r="C207" i="23"/>
  <c r="L207" i="23" s="1"/>
  <c r="AC221" i="23" s="1"/>
  <c r="S206" i="23"/>
  <c r="T206" i="23"/>
  <c r="R206" i="23"/>
  <c r="E218" i="23"/>
  <c r="U217" i="23"/>
  <c r="C175" i="1"/>
  <c r="L194" i="1"/>
  <c r="K194" i="1" s="1"/>
  <c r="E122" i="35" l="1"/>
  <c r="F121" i="35"/>
  <c r="AD207" i="23"/>
  <c r="N207" i="23"/>
  <c r="Y206" i="23"/>
  <c r="AG206" i="23"/>
  <c r="E219" i="23"/>
  <c r="U218" i="23"/>
  <c r="R207" i="23"/>
  <c r="T207" i="23"/>
  <c r="C208" i="23"/>
  <c r="L208" i="23" s="1"/>
  <c r="AC222" i="23" s="1"/>
  <c r="S207" i="23"/>
  <c r="C176" i="1"/>
  <c r="E4624" i="3"/>
  <c r="E4630" i="3"/>
  <c r="E4626" i="3"/>
  <c r="E4625" i="3"/>
  <c r="E4632" i="3"/>
  <c r="E4622" i="3"/>
  <c r="E4615" i="3"/>
  <c r="E4611" i="3"/>
  <c r="E4633" i="3"/>
  <c r="E4616" i="3"/>
  <c r="E4613" i="3"/>
  <c r="E123" i="35" l="1"/>
  <c r="F122" i="35"/>
  <c r="AD208" i="23"/>
  <c r="N208" i="23"/>
  <c r="Y207" i="23"/>
  <c r="AG207" i="23"/>
  <c r="C209" i="23"/>
  <c r="L209" i="23" s="1"/>
  <c r="AC223" i="23" s="1"/>
  <c r="S208" i="23"/>
  <c r="R208" i="23"/>
  <c r="T208" i="23"/>
  <c r="E220" i="23"/>
  <c r="U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E124" i="35" l="1"/>
  <c r="F123" i="35"/>
  <c r="AD209" i="23"/>
  <c r="N209" i="23"/>
  <c r="Y208" i="23"/>
  <c r="AG208" i="23"/>
  <c r="E221" i="23"/>
  <c r="U220" i="23"/>
  <c r="T209" i="23"/>
  <c r="R209" i="23"/>
  <c r="C210" i="23"/>
  <c r="L210" i="23" s="1"/>
  <c r="AC224" i="23" s="1"/>
  <c r="S209" i="23"/>
  <c r="C178" i="1"/>
  <c r="E4521" i="3"/>
  <c r="E4607" i="3"/>
  <c r="E4602" i="3"/>
  <c r="E4606" i="3"/>
  <c r="E4601" i="3"/>
  <c r="E4608" i="3"/>
  <c r="E4598" i="3"/>
  <c r="E4597" i="3"/>
  <c r="E4595" i="3"/>
  <c r="E4591" i="3"/>
  <c r="E4593" i="3"/>
  <c r="E4586" i="3"/>
  <c r="E4600" i="3"/>
  <c r="E4589" i="3"/>
  <c r="L192" i="1"/>
  <c r="K192" i="1" s="1"/>
  <c r="E125" i="35" l="1"/>
  <c r="F124" i="35"/>
  <c r="AD210" i="23"/>
  <c r="N210" i="23"/>
  <c r="Y209" i="23"/>
  <c r="AG209" i="23"/>
  <c r="C211" i="23"/>
  <c r="L211" i="23" s="1"/>
  <c r="AC225" i="23" s="1"/>
  <c r="S210" i="23"/>
  <c r="T210" i="23"/>
  <c r="R210" i="23"/>
  <c r="E222" i="23"/>
  <c r="U221" i="23"/>
  <c r="C179" i="1"/>
  <c r="E4582" i="3"/>
  <c r="E4578" i="3"/>
  <c r="E4576" i="3"/>
  <c r="E4571" i="3"/>
  <c r="E4567" i="3"/>
  <c r="E4584" i="3"/>
  <c r="E4583" i="3"/>
  <c r="E4574" i="3"/>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E4480" i="3"/>
  <c r="E4469" i="3"/>
  <c r="E4482" i="3"/>
  <c r="E4489" i="3"/>
  <c r="E4464" i="3"/>
  <c r="E4462" i="3"/>
  <c r="E4458" i="3"/>
  <c r="E4457" i="3"/>
  <c r="E4451" i="3"/>
  <c r="E4447" i="3"/>
  <c r="E4445" i="3"/>
  <c r="E4454" i="3"/>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E4353" i="3"/>
  <c r="E4346" i="3"/>
  <c r="E4347" i="3"/>
  <c r="E4367" i="3"/>
  <c r="E4366" i="3"/>
  <c r="E4362" i="3"/>
  <c r="E4358" i="3"/>
  <c r="E4351" i="3"/>
  <c r="E4349" i="3"/>
  <c r="E4369" i="3"/>
  <c r="E4368" i="3"/>
  <c r="E4361" i="3"/>
  <c r="E4360" i="3"/>
  <c r="E4343" i="3"/>
  <c r="E4337" i="3"/>
  <c r="E4329" i="3"/>
  <c r="E4327" i="3"/>
  <c r="E4342" i="3"/>
  <c r="E4334" i="3"/>
  <c r="E4325" i="3"/>
  <c r="E4338" i="3"/>
  <c r="E4336" i="3"/>
  <c r="E126" i="35" l="1"/>
  <c r="F125" i="35"/>
  <c r="AD211" i="23"/>
  <c r="N211" i="23"/>
  <c r="Y210" i="23"/>
  <c r="AG210" i="23"/>
  <c r="E223" i="23"/>
  <c r="U222" i="23"/>
  <c r="R211" i="23"/>
  <c r="T211" i="23"/>
  <c r="C212" i="23"/>
  <c r="L212" i="23" s="1"/>
  <c r="AC226" i="23" s="1"/>
  <c r="S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E127" i="35" l="1"/>
  <c r="F126" i="35"/>
  <c r="AD212" i="23"/>
  <c r="N212" i="23"/>
  <c r="Y211" i="23"/>
  <c r="AG211" i="23"/>
  <c r="F1484" i="3"/>
  <c r="F1509" i="3" s="1"/>
  <c r="C213" i="23"/>
  <c r="L213" i="23" s="1"/>
  <c r="AC227" i="23" s="1"/>
  <c r="S212" i="23"/>
  <c r="R212" i="23"/>
  <c r="T212" i="23"/>
  <c r="E224" i="23"/>
  <c r="U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E128" i="35" l="1"/>
  <c r="F127" i="35"/>
  <c r="AD213" i="23"/>
  <c r="N213" i="23"/>
  <c r="Y212" i="23"/>
  <c r="AG212" i="23"/>
  <c r="E225" i="23"/>
  <c r="U224" i="23"/>
  <c r="T213" i="23"/>
  <c r="R213" i="23"/>
  <c r="C214" i="23"/>
  <c r="L214" i="23" s="1"/>
  <c r="AC228" i="23" s="1"/>
  <c r="S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E129" i="35" l="1"/>
  <c r="F128" i="35"/>
  <c r="AD214" i="23"/>
  <c r="N214" i="23"/>
  <c r="Y213" i="23"/>
  <c r="AG213" i="23"/>
  <c r="C215" i="23"/>
  <c r="L215" i="23" s="1"/>
  <c r="AC229" i="23" s="1"/>
  <c r="S214" i="23"/>
  <c r="T214" i="23"/>
  <c r="R214" i="23"/>
  <c r="E226" i="23"/>
  <c r="U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E130" i="35" l="1"/>
  <c r="F129" i="35"/>
  <c r="AD215" i="23"/>
  <c r="N215" i="23"/>
  <c r="Y214" i="23"/>
  <c r="AG214" i="23"/>
  <c r="E227" i="23"/>
  <c r="U226" i="23"/>
  <c r="R215" i="23"/>
  <c r="T215" i="23"/>
  <c r="C216" i="23"/>
  <c r="L216" i="23" s="1"/>
  <c r="AC230" i="23" s="1"/>
  <c r="S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E131" i="35" l="1"/>
  <c r="F130" i="35"/>
  <c r="AD216" i="23"/>
  <c r="N216" i="23"/>
  <c r="Y215" i="23"/>
  <c r="AG215" i="23"/>
  <c r="C217" i="23"/>
  <c r="L217" i="23" s="1"/>
  <c r="AC231" i="23" s="1"/>
  <c r="S216" i="23"/>
  <c r="R216" i="23"/>
  <c r="T216" i="23"/>
  <c r="E228" i="23"/>
  <c r="U227" i="23"/>
  <c r="C185" i="1"/>
  <c r="F1474" i="3"/>
  <c r="F1499" i="3" s="1"/>
  <c r="F1524" i="3" s="1"/>
  <c r="F1549" i="3" s="1"/>
  <c r="F1574" i="3" s="1"/>
  <c r="F1599" i="3" s="1"/>
  <c r="F1624" i="3" s="1"/>
  <c r="F1649" i="3" s="1"/>
  <c r="F1674" i="3" s="1"/>
  <c r="F1724" i="3" s="1"/>
  <c r="F1749" i="3" s="1"/>
  <c r="F1824" i="3" s="1"/>
  <c r="F1473" i="3"/>
  <c r="E132" i="35" l="1"/>
  <c r="F131" i="35"/>
  <c r="AD217" i="23"/>
  <c r="N217" i="23"/>
  <c r="Y216" i="23"/>
  <c r="AG216" i="23"/>
  <c r="E229" i="23"/>
  <c r="U228" i="23"/>
  <c r="T217" i="23"/>
  <c r="R217" i="23"/>
  <c r="C218" i="23"/>
  <c r="L218" i="23" s="1"/>
  <c r="AC232" i="23" s="1"/>
  <c r="S217" i="23"/>
  <c r="C186" i="1"/>
  <c r="F1498" i="3"/>
  <c r="F1523" i="3" s="1"/>
  <c r="F1548" i="3" s="1"/>
  <c r="F1573" i="3" s="1"/>
  <c r="F1598" i="3" s="1"/>
  <c r="F1623" i="3" s="1"/>
  <c r="F1648" i="3" s="1"/>
  <c r="F1673" i="3" s="1"/>
  <c r="F1698" i="3" s="1"/>
  <c r="F1748" i="3" s="1"/>
  <c r="F1773" i="3" s="1"/>
  <c r="F1848" i="3" s="1"/>
  <c r="F1497" i="3"/>
  <c r="E133" i="35" l="1"/>
  <c r="F132" i="35"/>
  <c r="AD218" i="23"/>
  <c r="N218" i="23"/>
  <c r="Y217" i="23"/>
  <c r="AG217" i="23"/>
  <c r="C219" i="23"/>
  <c r="L219" i="23" s="1"/>
  <c r="AC233" i="23" s="1"/>
  <c r="S218" i="23"/>
  <c r="T218" i="23"/>
  <c r="R218" i="23"/>
  <c r="E230" i="23"/>
  <c r="U229" i="23"/>
  <c r="C187" i="1"/>
  <c r="F1522" i="3"/>
  <c r="F1547" i="3" s="1"/>
  <c r="F1572" i="3" s="1"/>
  <c r="F1597" i="3" s="1"/>
  <c r="F1622" i="3" s="1"/>
  <c r="F1647" i="3" s="1"/>
  <c r="F1672" i="3" s="1"/>
  <c r="F1697" i="3" s="1"/>
  <c r="F1722" i="3" s="1"/>
  <c r="F1772" i="3" s="1"/>
  <c r="F1797" i="3" s="1"/>
  <c r="F1872" i="3" s="1"/>
  <c r="F1521" i="3"/>
  <c r="E134" i="35" l="1"/>
  <c r="F133" i="35"/>
  <c r="AD219" i="23"/>
  <c r="N219" i="23"/>
  <c r="Y218" i="23"/>
  <c r="AG218" i="23"/>
  <c r="E231" i="23"/>
  <c r="U230" i="23"/>
  <c r="R219" i="23"/>
  <c r="T219" i="23"/>
  <c r="C220" i="23"/>
  <c r="L220" i="23" s="1"/>
  <c r="AC234" i="23" s="1"/>
  <c r="S219" i="23"/>
  <c r="C188" i="1"/>
  <c r="F1546" i="3"/>
  <c r="F1571" i="3" s="1"/>
  <c r="F1596" i="3" s="1"/>
  <c r="F1621" i="3" s="1"/>
  <c r="F1646" i="3" s="1"/>
  <c r="F1671" i="3" s="1"/>
  <c r="F1696" i="3" s="1"/>
  <c r="F1721" i="3" s="1"/>
  <c r="F1746" i="3" s="1"/>
  <c r="F1796" i="3" s="1"/>
  <c r="F1821" i="3" s="1"/>
  <c r="F1896" i="3" s="1"/>
  <c r="F1545" i="3"/>
  <c r="E135" i="35" l="1"/>
  <c r="F134" i="35"/>
  <c r="AD220" i="23"/>
  <c r="N220" i="23"/>
  <c r="Y219" i="23"/>
  <c r="AG219" i="23"/>
  <c r="C221" i="23"/>
  <c r="L221" i="23" s="1"/>
  <c r="AC235" i="23" s="1"/>
  <c r="S220" i="23"/>
  <c r="R220" i="23"/>
  <c r="T220" i="23"/>
  <c r="E232" i="23"/>
  <c r="U231" i="23"/>
  <c r="C189" i="1"/>
  <c r="F1570" i="3"/>
  <c r="F1595" i="3" s="1"/>
  <c r="F1620" i="3" s="1"/>
  <c r="F1645" i="3" s="1"/>
  <c r="F1670" i="3" s="1"/>
  <c r="F1695" i="3" s="1"/>
  <c r="F1720" i="3" s="1"/>
  <c r="F1745" i="3" s="1"/>
  <c r="F1770" i="3" s="1"/>
  <c r="F1820" i="3" s="1"/>
  <c r="F1845" i="3" s="1"/>
  <c r="F1920" i="3" s="1"/>
  <c r="F1569" i="3"/>
  <c r="E136" i="35" l="1"/>
  <c r="F135" i="35"/>
  <c r="AD221" i="23"/>
  <c r="N221" i="23"/>
  <c r="Y220" i="23"/>
  <c r="AG220" i="23"/>
  <c r="E233" i="23"/>
  <c r="U232" i="23"/>
  <c r="T221" i="23"/>
  <c r="R221" i="23"/>
  <c r="C222" i="23"/>
  <c r="L222" i="23" s="1"/>
  <c r="AC236" i="23" s="1"/>
  <c r="S221" i="23"/>
  <c r="C190" i="1"/>
  <c r="F1593" i="3"/>
  <c r="F1594" i="3"/>
  <c r="F1619" i="3" s="1"/>
  <c r="F1644" i="3" s="1"/>
  <c r="F1669" i="3" s="1"/>
  <c r="F1694" i="3" s="1"/>
  <c r="F1719" i="3" s="1"/>
  <c r="F1744" i="3" s="1"/>
  <c r="F1769" i="3" s="1"/>
  <c r="F1794" i="3" s="1"/>
  <c r="F1844" i="3" s="1"/>
  <c r="F1869" i="3" s="1"/>
  <c r="F1944" i="3" s="1"/>
  <c r="E137" i="35" l="1"/>
  <c r="F136" i="35"/>
  <c r="AD222" i="23"/>
  <c r="N222" i="23"/>
  <c r="Y221" i="23"/>
  <c r="AG221" i="23"/>
  <c r="C223" i="23"/>
  <c r="L223" i="23" s="1"/>
  <c r="AC237" i="23" s="1"/>
  <c r="S222" i="23"/>
  <c r="T222" i="23"/>
  <c r="R222" i="23"/>
  <c r="E234" i="23"/>
  <c r="U233" i="23"/>
  <c r="C191" i="1"/>
  <c r="F1617" i="3"/>
  <c r="F1618" i="3"/>
  <c r="F1643" i="3" s="1"/>
  <c r="F1668" i="3" s="1"/>
  <c r="F1693" i="3" s="1"/>
  <c r="F1718" i="3" s="1"/>
  <c r="F1743" i="3" s="1"/>
  <c r="F1768" i="3" s="1"/>
  <c r="F1793" i="3" s="1"/>
  <c r="F1818" i="3" s="1"/>
  <c r="F1868" i="3" s="1"/>
  <c r="F1893" i="3" s="1"/>
  <c r="F1968" i="3" s="1"/>
  <c r="E138" i="35" l="1"/>
  <c r="F137" i="35"/>
  <c r="AD223" i="23"/>
  <c r="N223" i="23"/>
  <c r="Y222" i="23"/>
  <c r="AG222" i="23"/>
  <c r="U234" i="23"/>
  <c r="E235" i="23"/>
  <c r="R223" i="23"/>
  <c r="T223" i="23"/>
  <c r="C224" i="23"/>
  <c r="L224" i="23" s="1"/>
  <c r="AC238" i="23" s="1"/>
  <c r="S223" i="23"/>
  <c r="C192" i="1"/>
  <c r="Q191" i="1"/>
  <c r="F1641" i="3"/>
  <c r="F1642" i="3"/>
  <c r="F1667" i="3" s="1"/>
  <c r="F1692" i="3" s="1"/>
  <c r="F1717" i="3" s="1"/>
  <c r="F1742" i="3" s="1"/>
  <c r="F1767" i="3" s="1"/>
  <c r="F1792" i="3" s="1"/>
  <c r="F1817" i="3" s="1"/>
  <c r="F1842" i="3" s="1"/>
  <c r="F1892" i="3" s="1"/>
  <c r="F1917" i="3" s="1"/>
  <c r="F1992" i="3" s="1"/>
  <c r="E139" i="35" l="1"/>
  <c r="F138" i="35"/>
  <c r="AD224" i="23"/>
  <c r="N224" i="23"/>
  <c r="Y223" i="23"/>
  <c r="AG223" i="23"/>
  <c r="E236" i="23"/>
  <c r="U235" i="23"/>
  <c r="C225" i="23"/>
  <c r="L225" i="23" s="1"/>
  <c r="AC239" i="23" s="1"/>
  <c r="S224" i="23"/>
  <c r="R224" i="23"/>
  <c r="T224" i="23"/>
  <c r="C193" i="1"/>
  <c r="Q192" i="1"/>
  <c r="F1665" i="3"/>
  <c r="F1666" i="3"/>
  <c r="F1691" i="3" s="1"/>
  <c r="F1716" i="3" s="1"/>
  <c r="F1741" i="3" s="1"/>
  <c r="F1766" i="3" s="1"/>
  <c r="F1791" i="3" s="1"/>
  <c r="F1816" i="3" s="1"/>
  <c r="F1841" i="3" s="1"/>
  <c r="F1866" i="3" s="1"/>
  <c r="F1916" i="3" s="1"/>
  <c r="F1941" i="3" s="1"/>
  <c r="F2016" i="3" s="1"/>
  <c r="E140" i="35" l="1"/>
  <c r="F139" i="35"/>
  <c r="AD225" i="23"/>
  <c r="N225" i="23"/>
  <c r="Y224" i="23"/>
  <c r="AG224" i="23"/>
  <c r="T225" i="23"/>
  <c r="R225" i="23"/>
  <c r="C226" i="23"/>
  <c r="L226" i="23" s="1"/>
  <c r="AC240" i="23" s="1"/>
  <c r="S225" i="23"/>
  <c r="E237" i="23"/>
  <c r="U236" i="23"/>
  <c r="C194" i="1"/>
  <c r="Q193" i="1"/>
  <c r="F1690" i="3"/>
  <c r="F1715" i="3" s="1"/>
  <c r="F1740" i="3" s="1"/>
  <c r="F1765" i="3" s="1"/>
  <c r="F1790" i="3" s="1"/>
  <c r="F1815" i="3" s="1"/>
  <c r="F1840" i="3" s="1"/>
  <c r="F1865" i="3" s="1"/>
  <c r="F1890" i="3" s="1"/>
  <c r="F1940" i="3" s="1"/>
  <c r="F1965" i="3" s="1"/>
  <c r="F2040" i="3" s="1"/>
  <c r="F1689" i="3"/>
  <c r="E141" i="35" l="1"/>
  <c r="F140" i="35"/>
  <c r="AD226" i="23"/>
  <c r="N226" i="23"/>
  <c r="Y225" i="23"/>
  <c r="AG225" i="23"/>
  <c r="C227" i="23"/>
  <c r="L227" i="23" s="1"/>
  <c r="AC241" i="23" s="1"/>
  <c r="S226" i="23"/>
  <c r="T226" i="23"/>
  <c r="R226" i="23"/>
  <c r="E238" i="23"/>
  <c r="U237" i="23"/>
  <c r="C195" i="1"/>
  <c r="Q194" i="1"/>
  <c r="F1714" i="3"/>
  <c r="F1739" i="3" s="1"/>
  <c r="F1764" i="3" s="1"/>
  <c r="F1789" i="3" s="1"/>
  <c r="F1814" i="3" s="1"/>
  <c r="F1839" i="3" s="1"/>
  <c r="F1864" i="3" s="1"/>
  <c r="F1889" i="3" s="1"/>
  <c r="F1914" i="3" s="1"/>
  <c r="F1964" i="3" s="1"/>
  <c r="F1989" i="3" s="1"/>
  <c r="F2064" i="3" s="1"/>
  <c r="F1713" i="3"/>
  <c r="E142" i="35" l="1"/>
  <c r="F141" i="35"/>
  <c r="AD227" i="23"/>
  <c r="N227" i="23"/>
  <c r="Y226" i="23"/>
  <c r="AG226" i="23"/>
  <c r="E239" i="23"/>
  <c r="U238" i="23"/>
  <c r="R227" i="23"/>
  <c r="T227" i="23"/>
  <c r="C228" i="23"/>
  <c r="L228" i="23" s="1"/>
  <c r="AC242" i="23" s="1"/>
  <c r="S227" i="23"/>
  <c r="C196" i="1"/>
  <c r="Q195" i="1"/>
  <c r="F1738" i="3"/>
  <c r="F1763" i="3" s="1"/>
  <c r="F1788" i="3" s="1"/>
  <c r="F1813" i="3" s="1"/>
  <c r="F1838" i="3" s="1"/>
  <c r="F1863" i="3" s="1"/>
  <c r="F1888" i="3" s="1"/>
  <c r="F1913" i="3" s="1"/>
  <c r="F1938" i="3" s="1"/>
  <c r="F1988" i="3" s="1"/>
  <c r="F2013" i="3" s="1"/>
  <c r="F2088" i="3" s="1"/>
  <c r="F1737" i="3"/>
  <c r="E143" i="35" l="1"/>
  <c r="F142" i="35"/>
  <c r="AD228" i="23"/>
  <c r="N228" i="23"/>
  <c r="Y227" i="23"/>
  <c r="AG227" i="23"/>
  <c r="C229" i="23"/>
  <c r="L229" i="23" s="1"/>
  <c r="AC243" i="23" s="1"/>
  <c r="S228" i="23"/>
  <c r="R228" i="23"/>
  <c r="T228" i="23"/>
  <c r="E240" i="23"/>
  <c r="U239" i="23"/>
  <c r="C197" i="1"/>
  <c r="Q196" i="1"/>
  <c r="F1761" i="3"/>
  <c r="F1762" i="3"/>
  <c r="F1787" i="3" s="1"/>
  <c r="F1812" i="3" s="1"/>
  <c r="F1837" i="3" s="1"/>
  <c r="F1862" i="3" s="1"/>
  <c r="F1887" i="3" s="1"/>
  <c r="F1912" i="3" s="1"/>
  <c r="F1937" i="3" s="1"/>
  <c r="F1962" i="3" s="1"/>
  <c r="F2012" i="3" s="1"/>
  <c r="F2037" i="3" s="1"/>
  <c r="F2112" i="3" s="1"/>
  <c r="E144" i="35" l="1"/>
  <c r="F143" i="35"/>
  <c r="AD229" i="23"/>
  <c r="N229" i="23"/>
  <c r="Y228" i="23"/>
  <c r="AG228" i="23"/>
  <c r="E241" i="23"/>
  <c r="U240" i="23"/>
  <c r="T229" i="23"/>
  <c r="R229" i="23"/>
  <c r="C230" i="23"/>
  <c r="L230" i="23" s="1"/>
  <c r="AC244" i="23" s="1"/>
  <c r="S229" i="23"/>
  <c r="C198" i="1"/>
  <c r="Q197" i="1"/>
  <c r="F1786" i="3"/>
  <c r="F1811" i="3" s="1"/>
  <c r="F1836" i="3" s="1"/>
  <c r="F1861" i="3" s="1"/>
  <c r="F1886" i="3" s="1"/>
  <c r="F1911" i="3" s="1"/>
  <c r="F1936" i="3" s="1"/>
  <c r="F1961" i="3" s="1"/>
  <c r="F1986" i="3" s="1"/>
  <c r="F2036" i="3" s="1"/>
  <c r="F2061" i="3" s="1"/>
  <c r="F2136" i="3" s="1"/>
  <c r="F1785" i="3"/>
  <c r="E145" i="35" l="1"/>
  <c r="F144" i="35"/>
  <c r="AD230" i="23"/>
  <c r="N230" i="23"/>
  <c r="Y229" i="23"/>
  <c r="AG229" i="23"/>
  <c r="C231" i="23"/>
  <c r="L231" i="23" s="1"/>
  <c r="AC245" i="23" s="1"/>
  <c r="S230" i="23"/>
  <c r="T230" i="23"/>
  <c r="R230" i="23"/>
  <c r="E242" i="23"/>
  <c r="U241" i="23"/>
  <c r="C199" i="1"/>
  <c r="Q198" i="1"/>
  <c r="F1810" i="3"/>
  <c r="F1835" i="3" s="1"/>
  <c r="F1860" i="3" s="1"/>
  <c r="F1885" i="3" s="1"/>
  <c r="F1910" i="3" s="1"/>
  <c r="F1935" i="3" s="1"/>
  <c r="F1960" i="3" s="1"/>
  <c r="F1985" i="3" s="1"/>
  <c r="F2010" i="3" s="1"/>
  <c r="F2060" i="3" s="1"/>
  <c r="F2085" i="3" s="1"/>
  <c r="F2160" i="3" s="1"/>
  <c r="F1809" i="3"/>
  <c r="E146" i="35" l="1"/>
  <c r="F145" i="35"/>
  <c r="AD231" i="23"/>
  <c r="N231" i="23"/>
  <c r="Y230" i="23"/>
  <c r="AG230" i="23"/>
  <c r="E243" i="23"/>
  <c r="U242" i="23"/>
  <c r="R231" i="23"/>
  <c r="T231" i="23"/>
  <c r="C232" i="23"/>
  <c r="S231" i="23"/>
  <c r="C200" i="1"/>
  <c r="Q199" i="1"/>
  <c r="F1834" i="3"/>
  <c r="F1859" i="3" s="1"/>
  <c r="F1884" i="3" s="1"/>
  <c r="F1909" i="3" s="1"/>
  <c r="F1934" i="3" s="1"/>
  <c r="F1959" i="3" s="1"/>
  <c r="F1984" i="3" s="1"/>
  <c r="F2009" i="3" s="1"/>
  <c r="F2034" i="3" s="1"/>
  <c r="F2084" i="3" s="1"/>
  <c r="F2109" i="3" s="1"/>
  <c r="F2184" i="3" s="1"/>
  <c r="F1833" i="3"/>
  <c r="E147" i="35" l="1"/>
  <c r="F146" i="35"/>
  <c r="AD232" i="23"/>
  <c r="L232" i="23"/>
  <c r="AC246" i="23" s="1"/>
  <c r="Y231" i="23"/>
  <c r="AG231" i="23"/>
  <c r="C233" i="23"/>
  <c r="S232" i="23"/>
  <c r="T232" i="23"/>
  <c r="E244" i="23"/>
  <c r="U243" i="23"/>
  <c r="C201" i="1"/>
  <c r="Q200" i="1"/>
  <c r="F1857" i="3"/>
  <c r="F1858" i="3"/>
  <c r="F1883" i="3" s="1"/>
  <c r="F1908" i="3" s="1"/>
  <c r="F1933" i="3" s="1"/>
  <c r="F1958" i="3" s="1"/>
  <c r="F1983" i="3" s="1"/>
  <c r="F2008" i="3" s="1"/>
  <c r="F2033" i="3" s="1"/>
  <c r="F2058" i="3" s="1"/>
  <c r="F2108" i="3" s="1"/>
  <c r="F2133" i="3" s="1"/>
  <c r="F2208" i="3" s="1"/>
  <c r="E148" i="35" l="1"/>
  <c r="F147" i="35"/>
  <c r="AD233" i="23"/>
  <c r="L233" i="23"/>
  <c r="AC247" i="23" s="1"/>
  <c r="Y232" i="23"/>
  <c r="AG232" i="23"/>
  <c r="E245" i="23"/>
  <c r="U244" i="23"/>
  <c r="T233" i="23"/>
  <c r="C234" i="23"/>
  <c r="L234" i="23" s="1"/>
  <c r="AC248" i="23" s="1"/>
  <c r="R233" i="23"/>
  <c r="S233" i="23"/>
  <c r="C202" i="1"/>
  <c r="Q201" i="1"/>
  <c r="F1881" i="3"/>
  <c r="F1882" i="3"/>
  <c r="F1907" i="3" s="1"/>
  <c r="F1932" i="3" s="1"/>
  <c r="F1957" i="3" s="1"/>
  <c r="F1982" i="3" s="1"/>
  <c r="F2007" i="3" s="1"/>
  <c r="F2032" i="3" s="1"/>
  <c r="F2057" i="3" s="1"/>
  <c r="F2082" i="3" s="1"/>
  <c r="F2132" i="3" s="1"/>
  <c r="F2157" i="3" s="1"/>
  <c r="F2232" i="3" s="1"/>
  <c r="E149" i="35" l="1"/>
  <c r="F148" i="35"/>
  <c r="AD234" i="23"/>
  <c r="N234" i="23"/>
  <c r="Y233" i="23"/>
  <c r="AG233" i="23"/>
  <c r="T234" i="23"/>
  <c r="R234" i="23"/>
  <c r="S234" i="23"/>
  <c r="C235" i="23"/>
  <c r="L235" i="23" s="1"/>
  <c r="AC249" i="23" s="1"/>
  <c r="E246" i="23"/>
  <c r="U245" i="23"/>
  <c r="C203" i="1"/>
  <c r="Q202" i="1"/>
  <c r="F1906" i="3"/>
  <c r="F1931" i="3" s="1"/>
  <c r="F1956" i="3" s="1"/>
  <c r="F1981" i="3" s="1"/>
  <c r="F2006" i="3" s="1"/>
  <c r="F2031" i="3" s="1"/>
  <c r="F2056" i="3" s="1"/>
  <c r="F2081" i="3" s="1"/>
  <c r="F2106" i="3" s="1"/>
  <c r="F2156" i="3" s="1"/>
  <c r="F2181" i="3" s="1"/>
  <c r="F2256" i="3" s="1"/>
  <c r="F1905" i="3"/>
  <c r="E150" i="35" l="1"/>
  <c r="F149" i="35"/>
  <c r="E247" i="23"/>
  <c r="AD235" i="23"/>
  <c r="N235" i="23"/>
  <c r="Y234" i="23"/>
  <c r="AG234" i="23"/>
  <c r="C236" i="23"/>
  <c r="L236" i="23" s="1"/>
  <c r="AC250" i="23" s="1"/>
  <c r="S235" i="23"/>
  <c r="R235" i="23"/>
  <c r="T235" i="23"/>
  <c r="C204" i="1"/>
  <c r="Q203" i="1"/>
  <c r="F1930" i="3"/>
  <c r="F1955" i="3" s="1"/>
  <c r="F1980" i="3" s="1"/>
  <c r="F2005" i="3" s="1"/>
  <c r="F2030" i="3" s="1"/>
  <c r="F2055" i="3" s="1"/>
  <c r="F2080" i="3" s="1"/>
  <c r="F2105" i="3" s="1"/>
  <c r="F2130" i="3" s="1"/>
  <c r="F2180" i="3" s="1"/>
  <c r="F2205" i="3" s="1"/>
  <c r="F2280" i="3" s="1"/>
  <c r="F1929" i="3"/>
  <c r="E151" i="35" l="1"/>
  <c r="F150" i="35"/>
  <c r="AD236" i="23"/>
  <c r="N236" i="23"/>
  <c r="E248" i="23"/>
  <c r="Y235" i="23"/>
  <c r="AG235" i="23"/>
  <c r="R236" i="23"/>
  <c r="T236" i="23"/>
  <c r="C237" i="23"/>
  <c r="L237" i="23" s="1"/>
  <c r="AC251" i="23" s="1"/>
  <c r="S236" i="23"/>
  <c r="Q204" i="1"/>
  <c r="C205" i="1"/>
  <c r="F1953" i="3"/>
  <c r="F1954" i="3"/>
  <c r="F1979" i="3" s="1"/>
  <c r="F2004" i="3" s="1"/>
  <c r="F2029" i="3" s="1"/>
  <c r="F2054" i="3" s="1"/>
  <c r="F2079" i="3" s="1"/>
  <c r="F2104" i="3" s="1"/>
  <c r="F2129" i="3" s="1"/>
  <c r="F2154" i="3" s="1"/>
  <c r="F2204" i="3" s="1"/>
  <c r="F2229" i="3" s="1"/>
  <c r="F2304" i="3" s="1"/>
  <c r="E152" i="35" l="1"/>
  <c r="F151" i="35"/>
  <c r="E249" i="23"/>
  <c r="AD237" i="23"/>
  <c r="N237" i="23"/>
  <c r="Y236" i="23"/>
  <c r="AG236" i="23"/>
  <c r="T237" i="23"/>
  <c r="C238" i="23"/>
  <c r="L238" i="23" s="1"/>
  <c r="AC252" i="23" s="1"/>
  <c r="S237" i="23"/>
  <c r="R237" i="23"/>
  <c r="C206" i="1"/>
  <c r="Q205" i="1"/>
  <c r="F1977" i="3"/>
  <c r="F1978" i="3"/>
  <c r="F2003" i="3" s="1"/>
  <c r="F2028" i="3" s="1"/>
  <c r="F2053" i="3" s="1"/>
  <c r="F2078" i="3" s="1"/>
  <c r="F2103" i="3" s="1"/>
  <c r="F2128" i="3" s="1"/>
  <c r="F2153" i="3" s="1"/>
  <c r="F2178" i="3" s="1"/>
  <c r="F2228" i="3" s="1"/>
  <c r="F2253" i="3" s="1"/>
  <c r="F2328" i="3" s="1"/>
  <c r="E153" i="35" l="1"/>
  <c r="F152" i="35"/>
  <c r="AD238" i="23"/>
  <c r="N238" i="23"/>
  <c r="E250" i="23"/>
  <c r="Y237" i="23"/>
  <c r="AG237" i="23"/>
  <c r="T238" i="23"/>
  <c r="C239" i="23"/>
  <c r="L239" i="23" s="1"/>
  <c r="AC253" i="23" s="1"/>
  <c r="S238" i="23"/>
  <c r="R238" i="23"/>
  <c r="C207" i="1"/>
  <c r="Q206" i="1"/>
  <c r="F2001" i="3"/>
  <c r="F2002" i="3"/>
  <c r="F2027" i="3" s="1"/>
  <c r="F2052" i="3" s="1"/>
  <c r="F2077" i="3" s="1"/>
  <c r="F2102" i="3" s="1"/>
  <c r="F2127" i="3" s="1"/>
  <c r="F2152" i="3" s="1"/>
  <c r="F2177" i="3" s="1"/>
  <c r="F2202" i="3" s="1"/>
  <c r="F2252" i="3" s="1"/>
  <c r="F2277" i="3" s="1"/>
  <c r="F2352" i="3" s="1"/>
  <c r="E154" i="35" l="1"/>
  <c r="F153" i="35"/>
  <c r="AD239" i="23"/>
  <c r="N239" i="23"/>
  <c r="E251" i="23"/>
  <c r="Y238" i="23"/>
  <c r="AG238" i="23"/>
  <c r="C240" i="23"/>
  <c r="L240" i="23" s="1"/>
  <c r="AC254" i="23" s="1"/>
  <c r="S239" i="23"/>
  <c r="R239" i="23"/>
  <c r="T239" i="23"/>
  <c r="C208" i="1"/>
  <c r="Q207" i="1"/>
  <c r="F2025" i="3"/>
  <c r="F2026" i="3"/>
  <c r="F2051" i="3" s="1"/>
  <c r="F2076" i="3" s="1"/>
  <c r="F2101" i="3" s="1"/>
  <c r="F2126" i="3" s="1"/>
  <c r="F2151" i="3" s="1"/>
  <c r="F2176" i="3" s="1"/>
  <c r="F2201" i="3" s="1"/>
  <c r="F2226" i="3" s="1"/>
  <c r="F2276" i="3" s="1"/>
  <c r="F2301" i="3" s="1"/>
  <c r="F2376" i="3" s="1"/>
  <c r="E155" i="35" l="1"/>
  <c r="F154" i="35"/>
  <c r="E252" i="23"/>
  <c r="AD240" i="23"/>
  <c r="N240" i="23"/>
  <c r="Y239" i="23"/>
  <c r="AG239" i="23"/>
  <c r="R240" i="23"/>
  <c r="T240" i="23"/>
  <c r="C241" i="23"/>
  <c r="L241" i="23" s="1"/>
  <c r="AC255" i="23" s="1"/>
  <c r="S240" i="23"/>
  <c r="C209" i="1"/>
  <c r="Q208" i="1"/>
  <c r="F2049" i="3"/>
  <c r="F2050" i="3"/>
  <c r="F2075" i="3" s="1"/>
  <c r="F2100" i="3" s="1"/>
  <c r="F2125" i="3" s="1"/>
  <c r="F2150" i="3" s="1"/>
  <c r="F2175" i="3" s="1"/>
  <c r="F2200" i="3" s="1"/>
  <c r="F2225" i="3" s="1"/>
  <c r="F2250" i="3" s="1"/>
  <c r="F2300" i="3" s="1"/>
  <c r="F2325" i="3" s="1"/>
  <c r="F2400" i="3" s="1"/>
  <c r="E156" i="35" l="1"/>
  <c r="F155" i="35"/>
  <c r="AD241" i="23"/>
  <c r="N241" i="23"/>
  <c r="E253" i="23"/>
  <c r="Y240" i="23"/>
  <c r="AG240" i="23"/>
  <c r="T241" i="23"/>
  <c r="C242" i="23"/>
  <c r="L242" i="23" s="1"/>
  <c r="AC256" i="23" s="1"/>
  <c r="S241" i="23"/>
  <c r="R241" i="23"/>
  <c r="C210" i="1"/>
  <c r="Q209" i="1"/>
  <c r="F2073" i="3"/>
  <c r="F2074" i="3"/>
  <c r="F2099" i="3" s="1"/>
  <c r="F2124" i="3" s="1"/>
  <c r="F2149" i="3" s="1"/>
  <c r="F2174" i="3" s="1"/>
  <c r="F2199" i="3" s="1"/>
  <c r="F2224" i="3" s="1"/>
  <c r="F2249" i="3" s="1"/>
  <c r="F2274" i="3" s="1"/>
  <c r="F2324" i="3" s="1"/>
  <c r="F2349" i="3" s="1"/>
  <c r="F2424" i="3" s="1"/>
  <c r="E157" i="35" l="1"/>
  <c r="F156" i="35"/>
  <c r="AD242" i="23"/>
  <c r="N242" i="23"/>
  <c r="E254" i="23"/>
  <c r="Y241" i="23"/>
  <c r="AG241" i="23"/>
  <c r="T242" i="23"/>
  <c r="C243" i="23"/>
  <c r="L243" i="23" s="1"/>
  <c r="AC257" i="23" s="1"/>
  <c r="S242" i="23"/>
  <c r="R242" i="23"/>
  <c r="C211" i="1"/>
  <c r="Q210" i="1"/>
  <c r="F2098" i="3"/>
  <c r="F2123" i="3" s="1"/>
  <c r="F2148" i="3" s="1"/>
  <c r="F2173" i="3" s="1"/>
  <c r="F2198" i="3" s="1"/>
  <c r="F2223" i="3" s="1"/>
  <c r="F2248" i="3" s="1"/>
  <c r="F2273" i="3" s="1"/>
  <c r="F2298" i="3" s="1"/>
  <c r="F2348" i="3" s="1"/>
  <c r="F2373" i="3" s="1"/>
  <c r="F2448" i="3" s="1"/>
  <c r="F2097" i="3"/>
  <c r="E158" i="35" l="1"/>
  <c r="F157" i="35"/>
  <c r="AD243" i="23"/>
  <c r="N243" i="23"/>
  <c r="E255" i="23"/>
  <c r="Y242" i="23"/>
  <c r="AG242" i="23"/>
  <c r="C244" i="23"/>
  <c r="L244" i="23" s="1"/>
  <c r="AC258" i="23" s="1"/>
  <c r="S243" i="23"/>
  <c r="R243" i="23"/>
  <c r="T243" i="23"/>
  <c r="C212" i="1"/>
  <c r="Q211" i="1"/>
  <c r="F2121" i="3"/>
  <c r="F2122" i="3"/>
  <c r="F2147" i="3" s="1"/>
  <c r="F2172" i="3" s="1"/>
  <c r="F2197" i="3" s="1"/>
  <c r="F2222" i="3" s="1"/>
  <c r="F2247" i="3" s="1"/>
  <c r="F2272" i="3" s="1"/>
  <c r="F2297" i="3" s="1"/>
  <c r="F2322" i="3" s="1"/>
  <c r="F2372" i="3" s="1"/>
  <c r="F2397" i="3" s="1"/>
  <c r="F2472" i="3" s="1"/>
  <c r="E159" i="35" l="1"/>
  <c r="F158" i="35"/>
  <c r="E256" i="23"/>
  <c r="AD244" i="23"/>
  <c r="N244" i="23"/>
  <c r="Y243" i="23"/>
  <c r="AG243" i="23"/>
  <c r="R244" i="23"/>
  <c r="T244" i="23"/>
  <c r="C245" i="23"/>
  <c r="L245" i="23" s="1"/>
  <c r="AC259" i="23" s="1"/>
  <c r="S244" i="23"/>
  <c r="Q212" i="1"/>
  <c r="C213" i="1"/>
  <c r="F2145" i="3"/>
  <c r="F2146" i="3"/>
  <c r="F2171" i="3" s="1"/>
  <c r="F2196" i="3" s="1"/>
  <c r="F2221" i="3" s="1"/>
  <c r="F2246" i="3" s="1"/>
  <c r="F2271" i="3" s="1"/>
  <c r="F2296" i="3" s="1"/>
  <c r="F2321" i="3" s="1"/>
  <c r="F2346" i="3" s="1"/>
  <c r="F2396" i="3" s="1"/>
  <c r="F2421" i="3" s="1"/>
  <c r="F2496" i="3" s="1"/>
  <c r="E160" i="35" l="1"/>
  <c r="F159" i="35"/>
  <c r="AD245" i="23"/>
  <c r="N245" i="23"/>
  <c r="E257" i="23"/>
  <c r="Y244" i="23"/>
  <c r="AG244" i="23"/>
  <c r="T245" i="23"/>
  <c r="C246" i="23"/>
  <c r="L246" i="23" s="1"/>
  <c r="AC260" i="23" s="1"/>
  <c r="S245" i="23"/>
  <c r="R245" i="23"/>
  <c r="C214" i="1"/>
  <c r="Q213" i="1"/>
  <c r="F2170" i="3"/>
  <c r="F2195" i="3" s="1"/>
  <c r="F2220" i="3" s="1"/>
  <c r="F2245" i="3" s="1"/>
  <c r="F2270" i="3" s="1"/>
  <c r="F2295" i="3" s="1"/>
  <c r="F2320" i="3" s="1"/>
  <c r="F2345" i="3" s="1"/>
  <c r="F2370" i="3" s="1"/>
  <c r="F2420" i="3" s="1"/>
  <c r="F2445" i="3" s="1"/>
  <c r="F2520" i="3" s="1"/>
  <c r="F2169" i="3"/>
  <c r="E161" i="35" l="1"/>
  <c r="F160" i="35"/>
  <c r="E258" i="23"/>
  <c r="AD246" i="23"/>
  <c r="N246" i="23"/>
  <c r="Y245" i="23"/>
  <c r="AG245" i="23"/>
  <c r="S246" i="23"/>
  <c r="C247" i="23"/>
  <c r="L247" i="23" s="1"/>
  <c r="AC261" i="23" s="1"/>
  <c r="R246" i="23"/>
  <c r="C215" i="1"/>
  <c r="Q214" i="1"/>
  <c r="F2194" i="3"/>
  <c r="F2219" i="3" s="1"/>
  <c r="F2244" i="3" s="1"/>
  <c r="F2269" i="3" s="1"/>
  <c r="F2294" i="3" s="1"/>
  <c r="F2319" i="3" s="1"/>
  <c r="F2344" i="3" s="1"/>
  <c r="F2369" i="3" s="1"/>
  <c r="F2394" i="3" s="1"/>
  <c r="F2444" i="3" s="1"/>
  <c r="F2469" i="3" s="1"/>
  <c r="F2544" i="3" s="1"/>
  <c r="F2193" i="3"/>
  <c r="E162" i="35" l="1"/>
  <c r="F161" i="35"/>
  <c r="AD247" i="23"/>
  <c r="N247" i="23"/>
  <c r="E259" i="23"/>
  <c r="Y246" i="23"/>
  <c r="AG246" i="23"/>
  <c r="S247" i="23"/>
  <c r="C248" i="23"/>
  <c r="L248" i="23" s="1"/>
  <c r="AC262" i="23" s="1"/>
  <c r="R247" i="23"/>
  <c r="C216" i="1"/>
  <c r="Q215" i="1"/>
  <c r="F2218" i="3"/>
  <c r="F2243" i="3" s="1"/>
  <c r="F2268" i="3" s="1"/>
  <c r="F2293" i="3" s="1"/>
  <c r="F2318" i="3" s="1"/>
  <c r="F2343" i="3" s="1"/>
  <c r="F2368" i="3" s="1"/>
  <c r="F2393" i="3" s="1"/>
  <c r="F2418" i="3" s="1"/>
  <c r="F2468" i="3" s="1"/>
  <c r="F2493" i="3" s="1"/>
  <c r="F2568" i="3" s="1"/>
  <c r="F2217" i="3"/>
  <c r="E163" i="35" l="1"/>
  <c r="F162" i="35"/>
  <c r="AD248" i="23"/>
  <c r="N248" i="23"/>
  <c r="E260" i="23"/>
  <c r="Y247" i="23"/>
  <c r="AG247" i="23"/>
  <c r="S248" i="23"/>
  <c r="C249" i="23"/>
  <c r="L249" i="23" s="1"/>
  <c r="AC263" i="23" s="1"/>
  <c r="R248" i="23"/>
  <c r="C217" i="1"/>
  <c r="Q216" i="1"/>
  <c r="F2242" i="3"/>
  <c r="F2267" i="3" s="1"/>
  <c r="F2292" i="3" s="1"/>
  <c r="F2317" i="3" s="1"/>
  <c r="F2342" i="3" s="1"/>
  <c r="F2367" i="3" s="1"/>
  <c r="F2392" i="3" s="1"/>
  <c r="F2417" i="3" s="1"/>
  <c r="F2442" i="3" s="1"/>
  <c r="F2492" i="3" s="1"/>
  <c r="F2517" i="3" s="1"/>
  <c r="F2592" i="3" s="1"/>
  <c r="F2241" i="3"/>
  <c r="E164" i="35" l="1"/>
  <c r="F163" i="35"/>
  <c r="E261" i="23"/>
  <c r="AD249" i="23"/>
  <c r="N249" i="23"/>
  <c r="Y248" i="23"/>
  <c r="AG248" i="23"/>
  <c r="S249" i="23"/>
  <c r="C250" i="23"/>
  <c r="L250" i="23" s="1"/>
  <c r="AC264" i="23" s="1"/>
  <c r="R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E165" i="35" l="1"/>
  <c r="F164" i="35"/>
  <c r="AD250" i="23"/>
  <c r="N250" i="23"/>
  <c r="E262" i="23"/>
  <c r="Y249" i="23"/>
  <c r="AG249" i="23"/>
  <c r="S250" i="23"/>
  <c r="C251" i="23"/>
  <c r="L251" i="23" s="1"/>
  <c r="AC265" i="23" s="1"/>
  <c r="R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E166" i="35" l="1"/>
  <c r="F165" i="35"/>
  <c r="AD251" i="23"/>
  <c r="N251" i="23"/>
  <c r="E263" i="23"/>
  <c r="Y250" i="23"/>
  <c r="AG250" i="23"/>
  <c r="S251" i="23"/>
  <c r="C252" i="23"/>
  <c r="L252" i="23" s="1"/>
  <c r="AC266" i="23" s="1"/>
  <c r="R251" i="23"/>
  <c r="C220" i="1"/>
  <c r="Q219" i="1"/>
  <c r="F2314" i="3"/>
  <c r="F2339" i="3" s="1"/>
  <c r="F2364" i="3" s="1"/>
  <c r="F2389" i="3" s="1"/>
  <c r="F2414" i="3" s="1"/>
  <c r="F2439" i="3" s="1"/>
  <c r="F2464" i="3" s="1"/>
  <c r="F2489" i="3" s="1"/>
  <c r="F2514" i="3" s="1"/>
  <c r="F2564" i="3" s="1"/>
  <c r="F2589" i="3" s="1"/>
  <c r="F2664" i="3" s="1"/>
  <c r="F2313" i="3"/>
  <c r="E4293" i="3"/>
  <c r="E4288" i="3"/>
  <c r="E4277" i="3"/>
  <c r="K179" i="1"/>
  <c r="E167" i="35" l="1"/>
  <c r="F166" i="35"/>
  <c r="AD252" i="23"/>
  <c r="N252" i="23"/>
  <c r="E264" i="23"/>
  <c r="Y251" i="23"/>
  <c r="AG251" i="23"/>
  <c r="S252" i="23"/>
  <c r="C253" i="23"/>
  <c r="L253" i="23" s="1"/>
  <c r="AC267" i="23" s="1"/>
  <c r="R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E168" i="35" l="1"/>
  <c r="F167" i="35"/>
  <c r="E265" i="23"/>
  <c r="AD253" i="23"/>
  <c r="N253" i="23"/>
  <c r="Y252" i="23"/>
  <c r="AG252" i="23"/>
  <c r="S253" i="23"/>
  <c r="C254" i="23"/>
  <c r="L254" i="23" s="1"/>
  <c r="AC268" i="23" s="1"/>
  <c r="R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E4238" i="3"/>
  <c r="E4235" i="3"/>
  <c r="L177" i="1"/>
  <c r="K177" i="1" s="1"/>
  <c r="E169" i="35" l="1"/>
  <c r="F168" i="35"/>
  <c r="AD254" i="23"/>
  <c r="N254" i="23"/>
  <c r="E266" i="23"/>
  <c r="Y253" i="23"/>
  <c r="AG253" i="23"/>
  <c r="S254" i="23"/>
  <c r="C255" i="23"/>
  <c r="L255" i="23" s="1"/>
  <c r="AC269" i="23" s="1"/>
  <c r="R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E4183" i="3"/>
  <c r="E4223" i="3"/>
  <c r="E4222" i="3"/>
  <c r="E4217" i="3"/>
  <c r="E4203" i="3"/>
  <c r="E4202" i="3"/>
  <c r="E4225" i="3"/>
  <c r="E4218" i="3"/>
  <c r="E4214" i="3"/>
  <c r="E4224" i="3"/>
  <c r="E4216" i="3"/>
  <c r="L176" i="1"/>
  <c r="K176" i="1" s="1"/>
  <c r="E4198" i="3"/>
  <c r="E4193" i="3"/>
  <c r="E4190" i="3"/>
  <c r="E4187" i="3"/>
  <c r="E4181" i="3"/>
  <c r="E4179" i="3"/>
  <c r="E4199" i="3"/>
  <c r="F4199" i="3" s="1"/>
  <c r="E4145" i="3"/>
  <c r="E170" i="35" l="1"/>
  <c r="F169" i="35"/>
  <c r="AD255" i="23"/>
  <c r="N255" i="23"/>
  <c r="E267" i="23"/>
  <c r="Y254" i="23"/>
  <c r="AG254" i="23"/>
  <c r="S255" i="23"/>
  <c r="C256" i="23"/>
  <c r="L256" i="23" s="1"/>
  <c r="AC270" i="23" s="1"/>
  <c r="R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L175" i="1"/>
  <c r="K175" i="1" s="1"/>
  <c r="E4197" i="3"/>
  <c r="E4192" i="3"/>
  <c r="E4189" i="3"/>
  <c r="E4184" i="3"/>
  <c r="E4200" i="3"/>
  <c r="E4194" i="3"/>
  <c r="E4166" i="3"/>
  <c r="E4165" i="3"/>
  <c r="E4174" i="3"/>
  <c r="E4155" i="3"/>
  <c r="E4170" i="3"/>
  <c r="E4176" i="3"/>
  <c r="E4160" i="3"/>
  <c r="F4160" i="3" s="1"/>
  <c r="E4169" i="3"/>
  <c r="E4159" i="3"/>
  <c r="L174" i="1"/>
  <c r="K174" i="1" s="1"/>
  <c r="E171" i="35" l="1"/>
  <c r="F170" i="35"/>
  <c r="AD256" i="23"/>
  <c r="N256" i="23"/>
  <c r="E268" i="23"/>
  <c r="Y255" i="23"/>
  <c r="AG255" i="23"/>
  <c r="S256" i="23"/>
  <c r="C257" i="23"/>
  <c r="L257" i="23" s="1"/>
  <c r="AC271" i="23" s="1"/>
  <c r="R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E172" i="35" l="1"/>
  <c r="F171" i="35"/>
  <c r="AD257" i="23"/>
  <c r="N257" i="23"/>
  <c r="E269" i="23"/>
  <c r="Y256" i="23"/>
  <c r="AG256" i="23"/>
  <c r="S257" i="23"/>
  <c r="C258" i="23"/>
  <c r="L258" i="23" s="1"/>
  <c r="AC272" i="23" s="1"/>
  <c r="R257" i="23"/>
  <c r="C226" i="1"/>
  <c r="Q225" i="1"/>
  <c r="F2457" i="3"/>
  <c r="F2458" i="3"/>
  <c r="F2483" i="3" s="1"/>
  <c r="F2508" i="3" s="1"/>
  <c r="F2533" i="3" s="1"/>
  <c r="F2558" i="3" s="1"/>
  <c r="F2583" i="3" s="1"/>
  <c r="F2608" i="3" s="1"/>
  <c r="F2633" i="3" s="1"/>
  <c r="F2658" i="3" s="1"/>
  <c r="F2708" i="3" s="1"/>
  <c r="F2733" i="3" s="1"/>
  <c r="E4120" i="3"/>
  <c r="E4110" i="3"/>
  <c r="E4109" i="3"/>
  <c r="L172" i="1"/>
  <c r="K172" i="1" s="1"/>
  <c r="E173" i="35" l="1"/>
  <c r="F172" i="35"/>
  <c r="AD258" i="23"/>
  <c r="N258" i="23"/>
  <c r="E270" i="23"/>
  <c r="Y257" i="23"/>
  <c r="AG257" i="23"/>
  <c r="S258" i="23"/>
  <c r="C259" i="23"/>
  <c r="L259" i="23" s="1"/>
  <c r="AC273" i="23" s="1"/>
  <c r="R258" i="23"/>
  <c r="Q226" i="1"/>
  <c r="C227" i="1"/>
  <c r="F2481" i="3"/>
  <c r="F2482" i="3"/>
  <c r="F2507" i="3" s="1"/>
  <c r="F2532" i="3" s="1"/>
  <c r="F2557" i="3" s="1"/>
  <c r="F2582" i="3" s="1"/>
  <c r="F2607" i="3" s="1"/>
  <c r="F2632" i="3" s="1"/>
  <c r="F2657" i="3" s="1"/>
  <c r="F2682" i="3" s="1"/>
  <c r="F2732" i="3" s="1"/>
  <c r="F2757" i="3" s="1"/>
  <c r="E4097" i="3"/>
  <c r="E4091" i="3"/>
  <c r="E4087" i="3"/>
  <c r="E4101" i="3"/>
  <c r="E4094" i="3"/>
  <c r="E174" i="35" l="1"/>
  <c r="F173" i="35"/>
  <c r="AD259" i="23"/>
  <c r="N259" i="23"/>
  <c r="E271" i="23"/>
  <c r="Y258" i="23"/>
  <c r="AG258" i="23"/>
  <c r="S259" i="23"/>
  <c r="C260" i="23"/>
  <c r="L260" i="23" s="1"/>
  <c r="AC274" i="23" s="1"/>
  <c r="R259" i="23"/>
  <c r="Q227" i="1"/>
  <c r="C228" i="1"/>
  <c r="F2505" i="3"/>
  <c r="F2506" i="3"/>
  <c r="F2531" i="3" s="1"/>
  <c r="F2556" i="3" s="1"/>
  <c r="F2581" i="3" s="1"/>
  <c r="F2606" i="3" s="1"/>
  <c r="F2631" i="3" s="1"/>
  <c r="F2656" i="3" s="1"/>
  <c r="F2681" i="3" s="1"/>
  <c r="F2706" i="3" s="1"/>
  <c r="F2756" i="3" s="1"/>
  <c r="F2781" i="3" s="1"/>
  <c r="L171" i="1"/>
  <c r="K171" i="1" s="1"/>
  <c r="E175" i="35" l="1"/>
  <c r="F174" i="35"/>
  <c r="AD260" i="23"/>
  <c r="N260" i="23"/>
  <c r="E272" i="23"/>
  <c r="Y259" i="23"/>
  <c r="AG259" i="23"/>
  <c r="S260" i="23"/>
  <c r="C261" i="23"/>
  <c r="L261" i="23" s="1"/>
  <c r="AC275" i="23" s="1"/>
  <c r="R260" i="23"/>
  <c r="C229" i="1"/>
  <c r="Q228" i="1"/>
  <c r="F2529" i="3"/>
  <c r="F2530" i="3"/>
  <c r="F2555" i="3" s="1"/>
  <c r="F2580" i="3" s="1"/>
  <c r="F2605" i="3" s="1"/>
  <c r="F2630" i="3" s="1"/>
  <c r="F2655" i="3" s="1"/>
  <c r="F2680" i="3" s="1"/>
  <c r="F2705" i="3" s="1"/>
  <c r="F2730" i="3" s="1"/>
  <c r="F2780" i="3" s="1"/>
  <c r="F2805" i="3" s="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11017" i="3" s="1"/>
  <c r="D11041" i="3" s="1"/>
  <c r="D11065" i="3" s="1"/>
  <c r="D11089" i="3" s="1"/>
  <c r="D11113" i="3" s="1"/>
  <c r="D11137" i="3" s="1"/>
  <c r="D11161" i="3" s="1"/>
  <c r="D11185" i="3" s="1"/>
  <c r="D11209" i="3" s="1"/>
  <c r="D11233" i="3" s="1"/>
  <c r="D11257" i="3" s="1"/>
  <c r="D11281" i="3" s="1"/>
  <c r="D11305"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11016" i="3" s="1"/>
  <c r="D11040" i="3" s="1"/>
  <c r="D11064" i="3" s="1"/>
  <c r="D11088" i="3" s="1"/>
  <c r="D11112" i="3" s="1"/>
  <c r="D11136" i="3" s="1"/>
  <c r="D11160" i="3" s="1"/>
  <c r="D11184" i="3" s="1"/>
  <c r="D11208" i="3" s="1"/>
  <c r="D11232" i="3" s="1"/>
  <c r="D11256" i="3" s="1"/>
  <c r="D11280" i="3" s="1"/>
  <c r="D11304"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11013" i="3" s="1"/>
  <c r="D11037" i="3" s="1"/>
  <c r="D11061" i="3" s="1"/>
  <c r="D11085" i="3" s="1"/>
  <c r="D11109" i="3" s="1"/>
  <c r="D11133" i="3" s="1"/>
  <c r="D11157" i="3" s="1"/>
  <c r="D11181" i="3" s="1"/>
  <c r="D11205" i="3" s="1"/>
  <c r="D11229" i="3" s="1"/>
  <c r="D11253" i="3" s="1"/>
  <c r="D11277" i="3" s="1"/>
  <c r="D11301"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11008" i="3" s="1"/>
  <c r="D11032" i="3" s="1"/>
  <c r="D11056" i="3" s="1"/>
  <c r="D11080" i="3" s="1"/>
  <c r="D11104" i="3" s="1"/>
  <c r="D11128" i="3" s="1"/>
  <c r="D11152" i="3" s="1"/>
  <c r="D11176" i="3" s="1"/>
  <c r="D11200" i="3" s="1"/>
  <c r="D11224" i="3" s="1"/>
  <c r="D11248" i="3" s="1"/>
  <c r="D11272" i="3" s="1"/>
  <c r="D11296"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11007" i="3" s="1"/>
  <c r="D11031" i="3" s="1"/>
  <c r="D11055" i="3" s="1"/>
  <c r="D11079" i="3" s="1"/>
  <c r="D11103" i="3" s="1"/>
  <c r="D11127" i="3" s="1"/>
  <c r="D11151" i="3" s="1"/>
  <c r="D11175" i="3" s="1"/>
  <c r="D11199" i="3" s="1"/>
  <c r="D11223" i="3" s="1"/>
  <c r="D11247" i="3" s="1"/>
  <c r="D11271" i="3" s="1"/>
  <c r="D11295"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11006" i="3" s="1"/>
  <c r="D11030" i="3" s="1"/>
  <c r="D11054" i="3" s="1"/>
  <c r="D11078" i="3" s="1"/>
  <c r="D11102" i="3" s="1"/>
  <c r="D11126" i="3" s="1"/>
  <c r="D11150" i="3" s="1"/>
  <c r="D11174" i="3" s="1"/>
  <c r="D11198" i="3" s="1"/>
  <c r="D11222" i="3" s="1"/>
  <c r="D11246" i="3" s="1"/>
  <c r="D11270" i="3" s="1"/>
  <c r="D11294"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11005" i="3" s="1"/>
  <c r="D11029" i="3" s="1"/>
  <c r="D11053" i="3" s="1"/>
  <c r="D11077" i="3" s="1"/>
  <c r="D11101" i="3" s="1"/>
  <c r="D11125" i="3" s="1"/>
  <c r="D11149" i="3" s="1"/>
  <c r="D11173" i="3" s="1"/>
  <c r="D11197" i="3" s="1"/>
  <c r="D11221" i="3" s="1"/>
  <c r="D11245" i="3" s="1"/>
  <c r="D11269" i="3" s="1"/>
  <c r="D11293"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11004" i="3" s="1"/>
  <c r="D11028" i="3" s="1"/>
  <c r="D11052" i="3" s="1"/>
  <c r="D11076" i="3" s="1"/>
  <c r="D11100" i="3" s="1"/>
  <c r="D11124" i="3" s="1"/>
  <c r="D11148" i="3" s="1"/>
  <c r="D11172" i="3" s="1"/>
  <c r="D11196" i="3" s="1"/>
  <c r="D11220" i="3" s="1"/>
  <c r="D11244" i="3" s="1"/>
  <c r="D11268" i="3" s="1"/>
  <c r="D11292"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11003" i="3" s="1"/>
  <c r="D11027" i="3" s="1"/>
  <c r="D11051" i="3" s="1"/>
  <c r="D11075" i="3" s="1"/>
  <c r="D11099" i="3" s="1"/>
  <c r="D11123" i="3" s="1"/>
  <c r="D11147" i="3" s="1"/>
  <c r="D11171" i="3" s="1"/>
  <c r="D11195" i="3" s="1"/>
  <c r="D11219" i="3" s="1"/>
  <c r="D11243" i="3" s="1"/>
  <c r="D11267" i="3" s="1"/>
  <c r="D11291"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11002" i="3" s="1"/>
  <c r="D11026" i="3" s="1"/>
  <c r="D11050" i="3" s="1"/>
  <c r="D11074" i="3" s="1"/>
  <c r="D11098" i="3" s="1"/>
  <c r="D11122" i="3" s="1"/>
  <c r="D11146" i="3" s="1"/>
  <c r="D11170" i="3" s="1"/>
  <c r="D11194" i="3" s="1"/>
  <c r="D11218" i="3" s="1"/>
  <c r="D11242" i="3" s="1"/>
  <c r="D11266" i="3" s="1"/>
  <c r="D11290"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11001" i="3" s="1"/>
  <c r="D11025" i="3" s="1"/>
  <c r="D11049" i="3" s="1"/>
  <c r="D11073" i="3" s="1"/>
  <c r="D11097" i="3" s="1"/>
  <c r="D11121" i="3" s="1"/>
  <c r="D11145" i="3" s="1"/>
  <c r="D11169" i="3" s="1"/>
  <c r="D11193" i="3" s="1"/>
  <c r="D11217" i="3" s="1"/>
  <c r="D11241" i="3" s="1"/>
  <c r="D11265" i="3" s="1"/>
  <c r="D11289"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10999" i="3" s="1"/>
  <c r="D11023" i="3" s="1"/>
  <c r="D11047" i="3" s="1"/>
  <c r="D11071" i="3" s="1"/>
  <c r="D11095" i="3" s="1"/>
  <c r="D11119" i="3" s="1"/>
  <c r="D11143" i="3" s="1"/>
  <c r="D11167" i="3" s="1"/>
  <c r="D11191" i="3" s="1"/>
  <c r="D11215" i="3" s="1"/>
  <c r="D11239" i="3" s="1"/>
  <c r="D11263" i="3" s="1"/>
  <c r="D11287"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10998" i="3" s="1"/>
  <c r="D11022" i="3" s="1"/>
  <c r="D11046" i="3" s="1"/>
  <c r="D11070" i="3" s="1"/>
  <c r="D11094" i="3" s="1"/>
  <c r="D11118" i="3" s="1"/>
  <c r="D11142" i="3" s="1"/>
  <c r="D11166" i="3" s="1"/>
  <c r="D11190" i="3" s="1"/>
  <c r="D11214" i="3" s="1"/>
  <c r="D11238" i="3" s="1"/>
  <c r="D11262" i="3" s="1"/>
  <c r="D11286"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10995" i="3" s="1"/>
  <c r="D11019" i="3" s="1"/>
  <c r="D11043" i="3" s="1"/>
  <c r="D11067" i="3" s="1"/>
  <c r="D11091" i="3" s="1"/>
  <c r="D11115" i="3" s="1"/>
  <c r="D11139" i="3" s="1"/>
  <c r="D11163" i="3" s="1"/>
  <c r="D11187" i="3" s="1"/>
  <c r="D11211" i="3" s="1"/>
  <c r="D11235" i="3" s="1"/>
  <c r="D11259" i="3" s="1"/>
  <c r="D11283"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D11313" i="3" l="1"/>
  <c r="D11337" i="3" s="1"/>
  <c r="D11361" i="3" s="1"/>
  <c r="D11385" i="3" s="1"/>
  <c r="D11409" i="3" s="1"/>
  <c r="D11433" i="3" s="1"/>
  <c r="D11457" i="3" s="1"/>
  <c r="D11481" i="3" s="1"/>
  <c r="D11505" i="3" s="1"/>
  <c r="D11529" i="3" s="1"/>
  <c r="D11553" i="3" s="1"/>
  <c r="D11577" i="3" s="1"/>
  <c r="D11601" i="3" s="1"/>
  <c r="D11625" i="3" s="1"/>
  <c r="D11649" i="3" s="1"/>
  <c r="D11673" i="3" s="1"/>
  <c r="D11697" i="3" s="1"/>
  <c r="D11721" i="3" s="1"/>
  <c r="D11745" i="3" s="1"/>
  <c r="D11769" i="3" s="1"/>
  <c r="D11793" i="3" s="1"/>
  <c r="D11310" i="3"/>
  <c r="D11334" i="3" s="1"/>
  <c r="D11358" i="3" s="1"/>
  <c r="D11382" i="3" s="1"/>
  <c r="D11406" i="3" s="1"/>
  <c r="D11430" i="3" s="1"/>
  <c r="D11454" i="3" s="1"/>
  <c r="D11478" i="3" s="1"/>
  <c r="D11502" i="3" s="1"/>
  <c r="D11526" i="3" s="1"/>
  <c r="D11550" i="3" s="1"/>
  <c r="D11574" i="3" s="1"/>
  <c r="D11598" i="3" s="1"/>
  <c r="D11622" i="3" s="1"/>
  <c r="D11646" i="3" s="1"/>
  <c r="D11670" i="3" s="1"/>
  <c r="D11694" i="3" s="1"/>
  <c r="D11718" i="3" s="1"/>
  <c r="D11742" i="3" s="1"/>
  <c r="D11766" i="3" s="1"/>
  <c r="D11790" i="3" s="1"/>
  <c r="D11314" i="3"/>
  <c r="D11338" i="3" s="1"/>
  <c r="D11362" i="3" s="1"/>
  <c r="D11386" i="3" s="1"/>
  <c r="D11410" i="3" s="1"/>
  <c r="D11434" i="3" s="1"/>
  <c r="D11458" i="3" s="1"/>
  <c r="D11482" i="3" s="1"/>
  <c r="D11506" i="3" s="1"/>
  <c r="D11530" i="3" s="1"/>
  <c r="D11554" i="3" s="1"/>
  <c r="D11578" i="3" s="1"/>
  <c r="D11602" i="3" s="1"/>
  <c r="D11626" i="3" s="1"/>
  <c r="D11650" i="3" s="1"/>
  <c r="D11674" i="3" s="1"/>
  <c r="D11698" i="3" s="1"/>
  <c r="D11722" i="3" s="1"/>
  <c r="D11746" i="3" s="1"/>
  <c r="D11770" i="3" s="1"/>
  <c r="D11794" i="3" s="1"/>
  <c r="D11318" i="3"/>
  <c r="D11342" i="3" s="1"/>
  <c r="D11366" i="3" s="1"/>
  <c r="D11390" i="3" s="1"/>
  <c r="D11414" i="3" s="1"/>
  <c r="D11438" i="3" s="1"/>
  <c r="D11462" i="3" s="1"/>
  <c r="D11486" i="3" s="1"/>
  <c r="D11510" i="3" s="1"/>
  <c r="D11534" i="3" s="1"/>
  <c r="D11558" i="3" s="1"/>
  <c r="D11582" i="3" s="1"/>
  <c r="D11606" i="3" s="1"/>
  <c r="D11630" i="3" s="1"/>
  <c r="D11654" i="3" s="1"/>
  <c r="D11678" i="3" s="1"/>
  <c r="D11702" i="3" s="1"/>
  <c r="D11726" i="3" s="1"/>
  <c r="D11750" i="3" s="1"/>
  <c r="D11774" i="3" s="1"/>
  <c r="D11798" i="3" s="1"/>
  <c r="D11325" i="3"/>
  <c r="D11349" i="3" s="1"/>
  <c r="D11373" i="3" s="1"/>
  <c r="D11397" i="3" s="1"/>
  <c r="D11421" i="3" s="1"/>
  <c r="D11445" i="3" s="1"/>
  <c r="D11469" i="3" s="1"/>
  <c r="D11493" i="3" s="1"/>
  <c r="D11517" i="3" s="1"/>
  <c r="D11541" i="3" s="1"/>
  <c r="D11565" i="3" s="1"/>
  <c r="D11589" i="3" s="1"/>
  <c r="D11613" i="3" s="1"/>
  <c r="D11637" i="3" s="1"/>
  <c r="D11661" i="3" s="1"/>
  <c r="D11685" i="3" s="1"/>
  <c r="D11709" i="3" s="1"/>
  <c r="D11733" i="3" s="1"/>
  <c r="D11757" i="3" s="1"/>
  <c r="D11781" i="3" s="1"/>
  <c r="D11805" i="3" s="1"/>
  <c r="D11307" i="3"/>
  <c r="D11331" i="3" s="1"/>
  <c r="D11355" i="3" s="1"/>
  <c r="D11379" i="3" s="1"/>
  <c r="D11403" i="3" s="1"/>
  <c r="D11427" i="3" s="1"/>
  <c r="D11451" i="3" s="1"/>
  <c r="D11475" i="3" s="1"/>
  <c r="D11499" i="3" s="1"/>
  <c r="D11523" i="3" s="1"/>
  <c r="D11547" i="3" s="1"/>
  <c r="D11571" i="3" s="1"/>
  <c r="D11595" i="3" s="1"/>
  <c r="D11619" i="3" s="1"/>
  <c r="D11643" i="3" s="1"/>
  <c r="D11667" i="3" s="1"/>
  <c r="D11691" i="3" s="1"/>
  <c r="D11715" i="3" s="1"/>
  <c r="D11739" i="3" s="1"/>
  <c r="D11763" i="3" s="1"/>
  <c r="D11787" i="3" s="1"/>
  <c r="D11329" i="3"/>
  <c r="D11353" i="3" s="1"/>
  <c r="D11377" i="3" s="1"/>
  <c r="D11401" i="3" s="1"/>
  <c r="D11425" i="3" s="1"/>
  <c r="D11449" i="3" s="1"/>
  <c r="D11473" i="3" s="1"/>
  <c r="D11497" i="3" s="1"/>
  <c r="D11521" i="3" s="1"/>
  <c r="D11545" i="3" s="1"/>
  <c r="D11569" i="3" s="1"/>
  <c r="D11593" i="3" s="1"/>
  <c r="D11617" i="3" s="1"/>
  <c r="D11641" i="3" s="1"/>
  <c r="D11665" i="3" s="1"/>
  <c r="D11689" i="3" s="1"/>
  <c r="D11713" i="3" s="1"/>
  <c r="D11737" i="3" s="1"/>
  <c r="D11761" i="3" s="1"/>
  <c r="D11785" i="3" s="1"/>
  <c r="D11809" i="3" s="1"/>
  <c r="D11315" i="3"/>
  <c r="D11339" i="3" s="1"/>
  <c r="D11363" i="3" s="1"/>
  <c r="D11387" i="3" s="1"/>
  <c r="D11411" i="3" s="1"/>
  <c r="D11435" i="3" s="1"/>
  <c r="D11459" i="3" s="1"/>
  <c r="D11483" i="3" s="1"/>
  <c r="D11507" i="3" s="1"/>
  <c r="D11531" i="3" s="1"/>
  <c r="D11555" i="3" s="1"/>
  <c r="D11579" i="3" s="1"/>
  <c r="D11603" i="3" s="1"/>
  <c r="D11627" i="3" s="1"/>
  <c r="D11651" i="3" s="1"/>
  <c r="D11675" i="3" s="1"/>
  <c r="D11699" i="3" s="1"/>
  <c r="D11723" i="3" s="1"/>
  <c r="D11747" i="3" s="1"/>
  <c r="D11771" i="3" s="1"/>
  <c r="D11795" i="3" s="1"/>
  <c r="D11319" i="3"/>
  <c r="D11343" i="3" s="1"/>
  <c r="D11367" i="3" s="1"/>
  <c r="D11391" i="3" s="1"/>
  <c r="D11415" i="3" s="1"/>
  <c r="D11439" i="3" s="1"/>
  <c r="D11463" i="3" s="1"/>
  <c r="D11487" i="3" s="1"/>
  <c r="D11511" i="3" s="1"/>
  <c r="D11535" i="3" s="1"/>
  <c r="D11559" i="3" s="1"/>
  <c r="D11583" i="3" s="1"/>
  <c r="D11607" i="3" s="1"/>
  <c r="D11631" i="3" s="1"/>
  <c r="D11655" i="3" s="1"/>
  <c r="D11679" i="3" s="1"/>
  <c r="D11703" i="3" s="1"/>
  <c r="D11727" i="3" s="1"/>
  <c r="D11751" i="3" s="1"/>
  <c r="D11775" i="3" s="1"/>
  <c r="D11799" i="3" s="1"/>
  <c r="D11317" i="3"/>
  <c r="D11341" i="3" s="1"/>
  <c r="D11365" i="3" s="1"/>
  <c r="D11389" i="3" s="1"/>
  <c r="D11413" i="3" s="1"/>
  <c r="D11437" i="3" s="1"/>
  <c r="D11461" i="3" s="1"/>
  <c r="D11485" i="3" s="1"/>
  <c r="D11509" i="3" s="1"/>
  <c r="D11533" i="3" s="1"/>
  <c r="D11557" i="3" s="1"/>
  <c r="D11581" i="3" s="1"/>
  <c r="D11605" i="3" s="1"/>
  <c r="D11629" i="3" s="1"/>
  <c r="D11653" i="3" s="1"/>
  <c r="D11677" i="3" s="1"/>
  <c r="D11701" i="3" s="1"/>
  <c r="D11725" i="3" s="1"/>
  <c r="D11749" i="3" s="1"/>
  <c r="D11773" i="3" s="1"/>
  <c r="D11797" i="3" s="1"/>
  <c r="D11311" i="3"/>
  <c r="D11335" i="3" s="1"/>
  <c r="D11359" i="3" s="1"/>
  <c r="D11383" i="3" s="1"/>
  <c r="D11407" i="3" s="1"/>
  <c r="D11431" i="3" s="1"/>
  <c r="D11455" i="3" s="1"/>
  <c r="D11479" i="3" s="1"/>
  <c r="D11503" i="3" s="1"/>
  <c r="D11527" i="3" s="1"/>
  <c r="D11551" i="3" s="1"/>
  <c r="D11575" i="3" s="1"/>
  <c r="D11599" i="3" s="1"/>
  <c r="D11623" i="3" s="1"/>
  <c r="D11647" i="3" s="1"/>
  <c r="D11671" i="3" s="1"/>
  <c r="D11695" i="3" s="1"/>
  <c r="D11719" i="3" s="1"/>
  <c r="D11743" i="3" s="1"/>
  <c r="D11767" i="3" s="1"/>
  <c r="D11791" i="3" s="1"/>
  <c r="D11316" i="3"/>
  <c r="D11340" i="3" s="1"/>
  <c r="D11364" i="3" s="1"/>
  <c r="D11388" i="3" s="1"/>
  <c r="D11412" i="3" s="1"/>
  <c r="D11436" i="3" s="1"/>
  <c r="D11460" i="3" s="1"/>
  <c r="D11484" i="3" s="1"/>
  <c r="D11508" i="3" s="1"/>
  <c r="D11532" i="3" s="1"/>
  <c r="D11556" i="3" s="1"/>
  <c r="D11580" i="3" s="1"/>
  <c r="D11604" i="3" s="1"/>
  <c r="D11628" i="3" s="1"/>
  <c r="D11652" i="3" s="1"/>
  <c r="D11676" i="3" s="1"/>
  <c r="D11700" i="3" s="1"/>
  <c r="D11724" i="3" s="1"/>
  <c r="D11748" i="3" s="1"/>
  <c r="D11772" i="3" s="1"/>
  <c r="D11796" i="3" s="1"/>
  <c r="D11320" i="3"/>
  <c r="D11344" i="3" s="1"/>
  <c r="D11368" i="3" s="1"/>
  <c r="D11392" i="3" s="1"/>
  <c r="D11416" i="3" s="1"/>
  <c r="D11440" i="3" s="1"/>
  <c r="D11464" i="3" s="1"/>
  <c r="D11488" i="3" s="1"/>
  <c r="D11512" i="3" s="1"/>
  <c r="D11536" i="3" s="1"/>
  <c r="D11560" i="3" s="1"/>
  <c r="D11584" i="3" s="1"/>
  <c r="D11608" i="3" s="1"/>
  <c r="D11632" i="3" s="1"/>
  <c r="D11656" i="3" s="1"/>
  <c r="D11680" i="3" s="1"/>
  <c r="D11704" i="3" s="1"/>
  <c r="D11728" i="3" s="1"/>
  <c r="D11752" i="3" s="1"/>
  <c r="D11776" i="3" s="1"/>
  <c r="D11800" i="3" s="1"/>
  <c r="D11328" i="3"/>
  <c r="D11352" i="3" s="1"/>
  <c r="D11376" i="3" s="1"/>
  <c r="D11400" i="3" s="1"/>
  <c r="D11424" i="3" s="1"/>
  <c r="D11448" i="3" s="1"/>
  <c r="D11472" i="3" s="1"/>
  <c r="D11496" i="3" s="1"/>
  <c r="D11520" i="3" s="1"/>
  <c r="D11544" i="3" s="1"/>
  <c r="D11568" i="3" s="1"/>
  <c r="D11592" i="3" s="1"/>
  <c r="D11616" i="3" s="1"/>
  <c r="D11640" i="3" s="1"/>
  <c r="D11664" i="3" s="1"/>
  <c r="D11688" i="3" s="1"/>
  <c r="D11712" i="3" s="1"/>
  <c r="D11736" i="3" s="1"/>
  <c r="D11760" i="3" s="1"/>
  <c r="D11784" i="3" s="1"/>
  <c r="D11808" i="3" s="1"/>
  <c r="E176" i="35"/>
  <c r="F175" i="35"/>
  <c r="AD261" i="23"/>
  <c r="N261" i="23"/>
  <c r="E273" i="23"/>
  <c r="Y260" i="23"/>
  <c r="AG260" i="23"/>
  <c r="S261" i="23"/>
  <c r="C262" i="23"/>
  <c r="L262" i="23" s="1"/>
  <c r="AC276" i="23" s="1"/>
  <c r="R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E3987" i="3"/>
  <c r="E3986" i="3"/>
  <c r="L167" i="1"/>
  <c r="K167" i="1" s="1"/>
  <c r="J167" i="1"/>
  <c r="E3963" i="3"/>
  <c r="E3962" i="3"/>
  <c r="E3974" i="3"/>
  <c r="Q167" i="1"/>
  <c r="Q166" i="1"/>
  <c r="E177" i="35" l="1"/>
  <c r="F176" i="35"/>
  <c r="AD262" i="23"/>
  <c r="N262" i="23"/>
  <c r="E274" i="23"/>
  <c r="Y261" i="23"/>
  <c r="AG261" i="23"/>
  <c r="S262" i="23"/>
  <c r="C263" i="23"/>
  <c r="L263" i="23" s="1"/>
  <c r="AC277" i="23" s="1"/>
  <c r="R262" i="23"/>
  <c r="C231" i="1"/>
  <c r="Q230" i="1"/>
  <c r="F2577" i="3"/>
  <c r="F2578" i="3"/>
  <c r="F2603" i="3" s="1"/>
  <c r="F2628" i="3" s="1"/>
  <c r="F2653" i="3" s="1"/>
  <c r="F2678" i="3" s="1"/>
  <c r="F2703" i="3" s="1"/>
  <c r="F2728" i="3" s="1"/>
  <c r="F2753" i="3" s="1"/>
  <c r="F2778" i="3" s="1"/>
  <c r="F2828" i="3" s="1"/>
  <c r="F2853" i="3" s="1"/>
  <c r="L166" i="1"/>
  <c r="K166" i="1" s="1"/>
  <c r="E3939" i="3"/>
  <c r="E3938" i="3"/>
  <c r="E3947" i="3"/>
  <c r="E3943" i="3"/>
  <c r="L165" i="1"/>
  <c r="K165" i="1" s="1"/>
  <c r="E178" i="35" l="1"/>
  <c r="F177" i="35"/>
  <c r="AD263" i="23"/>
  <c r="N263" i="23"/>
  <c r="E275" i="23"/>
  <c r="Y262" i="23"/>
  <c r="AG262" i="23"/>
  <c r="S263" i="23"/>
  <c r="C264" i="23"/>
  <c r="L264" i="23" s="1"/>
  <c r="AC278" i="23" s="1"/>
  <c r="R263" i="23"/>
  <c r="C232" i="1"/>
  <c r="Q231" i="1"/>
  <c r="F2601" i="3"/>
  <c r="F2602" i="3"/>
  <c r="F2627" i="3" s="1"/>
  <c r="F2652" i="3" s="1"/>
  <c r="F2677" i="3" s="1"/>
  <c r="F2702" i="3" s="1"/>
  <c r="F2727" i="3" s="1"/>
  <c r="F2752" i="3" s="1"/>
  <c r="F2777" i="3" s="1"/>
  <c r="F2802" i="3" s="1"/>
  <c r="F2852" i="3" s="1"/>
  <c r="F2877" i="3" s="1"/>
  <c r="E3926" i="3"/>
  <c r="E3923" i="3"/>
  <c r="E3915" i="3"/>
  <c r="Q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11011" i="3" s="1"/>
  <c r="D11035" i="3" s="1"/>
  <c r="D11059" i="3" s="1"/>
  <c r="D11083" i="3" s="1"/>
  <c r="D11107" i="3" s="1"/>
  <c r="D11131" i="3" s="1"/>
  <c r="D11155" i="3" s="1"/>
  <c r="D11179" i="3" s="1"/>
  <c r="D11203" i="3" s="1"/>
  <c r="D11227" i="3" s="1"/>
  <c r="D11251" i="3" s="1"/>
  <c r="D11275" i="3" s="1"/>
  <c r="D11299"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10996" i="3" s="1"/>
  <c r="D11020" i="3" s="1"/>
  <c r="D11044" i="3" s="1"/>
  <c r="D11068" i="3" s="1"/>
  <c r="D11092" i="3" s="1"/>
  <c r="D11116" i="3" s="1"/>
  <c r="D11140" i="3" s="1"/>
  <c r="D11164" i="3" s="1"/>
  <c r="D11188" i="3" s="1"/>
  <c r="D11212" i="3" s="1"/>
  <c r="D11236" i="3" s="1"/>
  <c r="D11260" i="3" s="1"/>
  <c r="D11284"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10997" i="3" s="1"/>
  <c r="D11021" i="3" s="1"/>
  <c r="D11045" i="3" s="1"/>
  <c r="D11069" i="3" s="1"/>
  <c r="D11093" i="3" s="1"/>
  <c r="D11117" i="3" s="1"/>
  <c r="D11141" i="3" s="1"/>
  <c r="D11165" i="3" s="1"/>
  <c r="D11189" i="3" s="1"/>
  <c r="D11213" i="3" s="1"/>
  <c r="D11237" i="3" s="1"/>
  <c r="D11261" i="3" s="1"/>
  <c r="D11285"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D11323" i="3" l="1"/>
  <c r="D11347" i="3" s="1"/>
  <c r="D11371" i="3" s="1"/>
  <c r="D11395" i="3" s="1"/>
  <c r="D11419" i="3" s="1"/>
  <c r="D11443" i="3" s="1"/>
  <c r="D11467" i="3" s="1"/>
  <c r="D11491" i="3" s="1"/>
  <c r="D11515" i="3" s="1"/>
  <c r="D11539" i="3" s="1"/>
  <c r="D11563" i="3" s="1"/>
  <c r="D11587" i="3" s="1"/>
  <c r="D11611" i="3" s="1"/>
  <c r="D11635" i="3" s="1"/>
  <c r="D11659" i="3" s="1"/>
  <c r="D11683" i="3" s="1"/>
  <c r="D11707" i="3" s="1"/>
  <c r="D11731" i="3" s="1"/>
  <c r="D11755" i="3" s="1"/>
  <c r="D11779" i="3" s="1"/>
  <c r="D11803" i="3" s="1"/>
  <c r="D11308" i="3"/>
  <c r="D11332" i="3" s="1"/>
  <c r="D11356" i="3" s="1"/>
  <c r="D11380" i="3" s="1"/>
  <c r="D11404" i="3" s="1"/>
  <c r="D11428" i="3" s="1"/>
  <c r="D11452" i="3" s="1"/>
  <c r="D11476" i="3" s="1"/>
  <c r="D11500" i="3" s="1"/>
  <c r="D11524" i="3" s="1"/>
  <c r="D11548" i="3" s="1"/>
  <c r="D11572" i="3" s="1"/>
  <c r="D11596" i="3" s="1"/>
  <c r="D11620" i="3" s="1"/>
  <c r="D11644" i="3" s="1"/>
  <c r="D11668" i="3" s="1"/>
  <c r="D11692" i="3" s="1"/>
  <c r="D11716" i="3" s="1"/>
  <c r="D11740" i="3" s="1"/>
  <c r="D11764" i="3" s="1"/>
  <c r="D11788" i="3" s="1"/>
  <c r="D11309" i="3"/>
  <c r="D11333" i="3" s="1"/>
  <c r="D11357" i="3" s="1"/>
  <c r="D11381" i="3" s="1"/>
  <c r="D11405" i="3" s="1"/>
  <c r="D11429" i="3" s="1"/>
  <c r="D11453" i="3" s="1"/>
  <c r="D11477" i="3" s="1"/>
  <c r="D11501" i="3" s="1"/>
  <c r="D11525" i="3" s="1"/>
  <c r="D11549" i="3" s="1"/>
  <c r="D11573" i="3" s="1"/>
  <c r="D11597" i="3" s="1"/>
  <c r="D11621" i="3" s="1"/>
  <c r="D11645" i="3" s="1"/>
  <c r="D11669" i="3" s="1"/>
  <c r="D11693" i="3" s="1"/>
  <c r="D11717" i="3" s="1"/>
  <c r="D11741" i="3" s="1"/>
  <c r="D11765" i="3" s="1"/>
  <c r="D11789" i="3" s="1"/>
  <c r="E179" i="35"/>
  <c r="F178" i="35"/>
  <c r="AD264" i="23"/>
  <c r="N264" i="23"/>
  <c r="E276" i="23"/>
  <c r="Y263" i="23"/>
  <c r="AG263" i="23"/>
  <c r="S264" i="23"/>
  <c r="C265" i="23"/>
  <c r="L265" i="23" s="1"/>
  <c r="AC279" i="23" s="1"/>
  <c r="R264" i="23"/>
  <c r="C233" i="1"/>
  <c r="F2625" i="3"/>
  <c r="F2626" i="3"/>
  <c r="F2651" i="3" s="1"/>
  <c r="F2676" i="3" s="1"/>
  <c r="F2701" i="3" s="1"/>
  <c r="F2726" i="3" s="1"/>
  <c r="F2751" i="3" s="1"/>
  <c r="F2776" i="3" s="1"/>
  <c r="F2801" i="3" s="1"/>
  <c r="F2826" i="3" s="1"/>
  <c r="F2876" i="3" s="1"/>
  <c r="F2901" i="3" s="1"/>
  <c r="Q164" i="1"/>
  <c r="E180" i="35" l="1"/>
  <c r="F179" i="35"/>
  <c r="AD265" i="23"/>
  <c r="N265" i="23"/>
  <c r="E277" i="23"/>
  <c r="Y264" i="23"/>
  <c r="AG264" i="23"/>
  <c r="S265" i="23"/>
  <c r="C266" i="23"/>
  <c r="L266" i="23" s="1"/>
  <c r="AC280" i="23" s="1"/>
  <c r="R265" i="23"/>
  <c r="Q233" i="1"/>
  <c r="C234" i="1"/>
  <c r="F2650" i="3"/>
  <c r="F2675" i="3" s="1"/>
  <c r="F2700" i="3" s="1"/>
  <c r="F2725" i="3" s="1"/>
  <c r="F2750" i="3" s="1"/>
  <c r="F2775" i="3" s="1"/>
  <c r="F2800" i="3" s="1"/>
  <c r="F2825" i="3" s="1"/>
  <c r="F2850" i="3" s="1"/>
  <c r="F2900" i="3" s="1"/>
  <c r="F2925" i="3" s="1"/>
  <c r="F2649" i="3"/>
  <c r="L163" i="1"/>
  <c r="K163" i="1" s="1"/>
  <c r="J163" i="1"/>
  <c r="E181" i="35" l="1"/>
  <c r="F180" i="35"/>
  <c r="AD266" i="23"/>
  <c r="N266" i="23"/>
  <c r="E278" i="23"/>
  <c r="Y265" i="23"/>
  <c r="AG265" i="23"/>
  <c r="S266" i="23"/>
  <c r="C267" i="23"/>
  <c r="L267" i="23" s="1"/>
  <c r="AC281" i="23" s="1"/>
  <c r="R266" i="23"/>
  <c r="Q234" i="1"/>
  <c r="C235" i="1"/>
  <c r="F2674" i="3"/>
  <c r="F2699" i="3" s="1"/>
  <c r="F2724" i="3" s="1"/>
  <c r="F2749" i="3" s="1"/>
  <c r="F2774" i="3" s="1"/>
  <c r="F2799" i="3" s="1"/>
  <c r="F2824" i="3" s="1"/>
  <c r="F2849" i="3" s="1"/>
  <c r="F2874" i="3" s="1"/>
  <c r="F2924" i="3" s="1"/>
  <c r="F2949" i="3" s="1"/>
  <c r="F2673" i="3"/>
  <c r="E3867" i="3"/>
  <c r="E3866" i="3"/>
  <c r="Q163" i="1"/>
  <c r="L162" i="1"/>
  <c r="K162" i="1" s="1"/>
  <c r="E3880" i="3"/>
  <c r="E3846" i="3"/>
  <c r="Q162" i="1"/>
  <c r="E182" i="35" l="1"/>
  <c r="F181" i="35"/>
  <c r="E279" i="23"/>
  <c r="AD267" i="23"/>
  <c r="N267" i="23"/>
  <c r="Y266" i="23"/>
  <c r="AG266" i="23"/>
  <c r="S267" i="23"/>
  <c r="C268" i="23"/>
  <c r="L268" i="23" s="1"/>
  <c r="AC282" i="23" s="1"/>
  <c r="R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E183" i="35" l="1"/>
  <c r="F182" i="35"/>
  <c r="AD268" i="23"/>
  <c r="N268" i="23"/>
  <c r="E280" i="23"/>
  <c r="Y267" i="23"/>
  <c r="AG267" i="23"/>
  <c r="S268" i="23"/>
  <c r="C269" i="23"/>
  <c r="L269" i="23" s="1"/>
  <c r="AC283" i="23" s="1"/>
  <c r="R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E184" i="35" l="1"/>
  <c r="F183" i="35"/>
  <c r="AD269" i="23"/>
  <c r="N269" i="23"/>
  <c r="E281" i="23"/>
  <c r="Y268" i="23"/>
  <c r="AG268" i="23"/>
  <c r="S269" i="23"/>
  <c r="C270" i="23"/>
  <c r="L270" i="23" s="1"/>
  <c r="AC284" i="23" s="1"/>
  <c r="R269" i="23"/>
  <c r="Q237" i="1"/>
  <c r="C238" i="1"/>
  <c r="F2746" i="3"/>
  <c r="F2771" i="3" s="1"/>
  <c r="F2796" i="3" s="1"/>
  <c r="F2821" i="3" s="1"/>
  <c r="F2846" i="3" s="1"/>
  <c r="F2871" i="3" s="1"/>
  <c r="F2896" i="3" s="1"/>
  <c r="F2921" i="3" s="1"/>
  <c r="F2946" i="3" s="1"/>
  <c r="F2996" i="3" s="1"/>
  <c r="F3021" i="3" s="1"/>
  <c r="F2745" i="3"/>
  <c r="Q160" i="1"/>
  <c r="L159" i="1"/>
  <c r="K159" i="1" s="1"/>
  <c r="J159" i="1"/>
  <c r="E185" i="35" l="1"/>
  <c r="F184" i="35"/>
  <c r="E282" i="23"/>
  <c r="AD270" i="23"/>
  <c r="N270" i="23"/>
  <c r="Y269" i="23"/>
  <c r="AG269" i="23"/>
  <c r="S270" i="23"/>
  <c r="C271" i="23"/>
  <c r="L271" i="23" s="1"/>
  <c r="AC285" i="23" s="1"/>
  <c r="R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E186" i="35" l="1"/>
  <c r="F185" i="35"/>
  <c r="AD271" i="23"/>
  <c r="N271" i="23"/>
  <c r="E283" i="23"/>
  <c r="Y270" i="23"/>
  <c r="AG270" i="23"/>
  <c r="S271" i="23"/>
  <c r="C272" i="23"/>
  <c r="L272" i="23" s="1"/>
  <c r="AC286" i="23" s="1"/>
  <c r="R271" i="23"/>
  <c r="C240" i="1"/>
  <c r="Q239" i="1"/>
  <c r="F2793" i="3"/>
  <c r="F2794" i="3"/>
  <c r="F2819" i="3" s="1"/>
  <c r="F2844" i="3" s="1"/>
  <c r="F2869" i="3" s="1"/>
  <c r="F2894" i="3" s="1"/>
  <c r="F2919" i="3" s="1"/>
  <c r="F2944" i="3" s="1"/>
  <c r="F2969" i="3" s="1"/>
  <c r="F2994" i="3" s="1"/>
  <c r="F3044" i="3" s="1"/>
  <c r="F3069" i="3" s="1"/>
  <c r="E3790" i="3"/>
  <c r="E3781" i="3"/>
  <c r="L158" i="1"/>
  <c r="K158" i="1" s="1"/>
  <c r="E187" i="35" l="1"/>
  <c r="F186" i="35"/>
  <c r="E284" i="23"/>
  <c r="AD272" i="23"/>
  <c r="N272" i="23"/>
  <c r="Y271" i="23"/>
  <c r="AG271" i="23"/>
  <c r="S272" i="23"/>
  <c r="C273" i="23"/>
  <c r="L273" i="23" s="1"/>
  <c r="AC287" i="23" s="1"/>
  <c r="R272" i="23"/>
  <c r="Q240" i="1"/>
  <c r="C241" i="1"/>
  <c r="F2817" i="3"/>
  <c r="F2818" i="3"/>
  <c r="F2843" i="3" s="1"/>
  <c r="F2868" i="3" s="1"/>
  <c r="F2893" i="3" s="1"/>
  <c r="F2918" i="3" s="1"/>
  <c r="F2943" i="3" s="1"/>
  <c r="F2968" i="3" s="1"/>
  <c r="F2993" i="3" s="1"/>
  <c r="F3018" i="3" s="1"/>
  <c r="F3068" i="3" s="1"/>
  <c r="F3093" i="3" s="1"/>
  <c r="E3746" i="3"/>
  <c r="E3748" i="3"/>
  <c r="Q158" i="1"/>
  <c r="E188" i="35" l="1"/>
  <c r="F187" i="35"/>
  <c r="AD273" i="23"/>
  <c r="N273" i="23"/>
  <c r="E285" i="23"/>
  <c r="Y272" i="23"/>
  <c r="AG272" i="23"/>
  <c r="S273" i="23"/>
  <c r="C274" i="23"/>
  <c r="L274" i="23" s="1"/>
  <c r="AC288" i="23" s="1"/>
  <c r="R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E189" i="35" l="1"/>
  <c r="F188" i="35"/>
  <c r="AD274" i="23"/>
  <c r="N274" i="23"/>
  <c r="E286" i="23"/>
  <c r="Y273" i="23"/>
  <c r="AG273" i="23"/>
  <c r="S274" i="23"/>
  <c r="C275" i="23"/>
  <c r="L275" i="23" s="1"/>
  <c r="AC289" i="23" s="1"/>
  <c r="R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E190" i="35" l="1"/>
  <c r="F189" i="35"/>
  <c r="AD275" i="23"/>
  <c r="N275" i="23"/>
  <c r="E287" i="23"/>
  <c r="Y274" i="23"/>
  <c r="AG274" i="23"/>
  <c r="S275" i="23"/>
  <c r="C276" i="23"/>
  <c r="L276" i="23" s="1"/>
  <c r="AC290" i="23" s="1"/>
  <c r="R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E191" i="35" l="1"/>
  <c r="F190" i="35"/>
  <c r="AD276" i="23"/>
  <c r="N276" i="23"/>
  <c r="E288" i="23"/>
  <c r="Y275" i="23"/>
  <c r="AG275" i="23"/>
  <c r="S276" i="23"/>
  <c r="C277" i="23"/>
  <c r="L277" i="23" s="1"/>
  <c r="AC291" i="23" s="1"/>
  <c r="R276" i="23"/>
  <c r="Q244" i="1"/>
  <c r="C245" i="1"/>
  <c r="F2913" i="3"/>
  <c r="F2914" i="3"/>
  <c r="F2939" i="3" s="1"/>
  <c r="F2964" i="3" s="1"/>
  <c r="F2989" i="3" s="1"/>
  <c r="F3014" i="3" s="1"/>
  <c r="F3039" i="3" s="1"/>
  <c r="F3064" i="3" s="1"/>
  <c r="F3089" i="3" s="1"/>
  <c r="F3114" i="3" s="1"/>
  <c r="F3164" i="3" s="1"/>
  <c r="F3189" i="3" s="1"/>
  <c r="Q156" i="1"/>
  <c r="L155" i="1"/>
  <c r="K155" i="1" s="1"/>
  <c r="E192" i="35" l="1"/>
  <c r="F191" i="35"/>
  <c r="AD277" i="23"/>
  <c r="N277" i="23"/>
  <c r="E289" i="23"/>
  <c r="Y276" i="23"/>
  <c r="AG276" i="23"/>
  <c r="S277" i="23"/>
  <c r="C278" i="23"/>
  <c r="L278" i="23" s="1"/>
  <c r="AC292" i="23" s="1"/>
  <c r="R277" i="23"/>
  <c r="Q245" i="1"/>
  <c r="C246" i="1"/>
  <c r="F2938" i="3"/>
  <c r="F2963" i="3" s="1"/>
  <c r="F2988" i="3" s="1"/>
  <c r="F3013" i="3" s="1"/>
  <c r="F3038" i="3" s="1"/>
  <c r="F3063" i="3" s="1"/>
  <c r="F3088" i="3" s="1"/>
  <c r="F3113" i="3" s="1"/>
  <c r="F3138" i="3" s="1"/>
  <c r="F3188" i="3" s="1"/>
  <c r="F3213" i="3" s="1"/>
  <c r="F2937" i="3"/>
  <c r="E3676" i="3"/>
  <c r="E3686" i="3"/>
  <c r="E3688" i="3"/>
  <c r="Q155" i="1"/>
  <c r="E193" i="35" l="1"/>
  <c r="F192" i="35"/>
  <c r="AD278" i="23"/>
  <c r="N278" i="23"/>
  <c r="E290" i="23"/>
  <c r="Y277" i="23"/>
  <c r="AG277" i="23"/>
  <c r="C279" i="23"/>
  <c r="L279" i="23" s="1"/>
  <c r="AC293" i="23" s="1"/>
  <c r="S278" i="23"/>
  <c r="R278" i="23"/>
  <c r="U278" i="23"/>
  <c r="Q246" i="1"/>
  <c r="C247" i="1"/>
  <c r="F2962" i="3"/>
  <c r="F2987" i="3" s="1"/>
  <c r="F3012" i="3" s="1"/>
  <c r="F3037" i="3" s="1"/>
  <c r="F3062" i="3" s="1"/>
  <c r="F3087" i="3" s="1"/>
  <c r="F3112" i="3" s="1"/>
  <c r="F3137" i="3" s="1"/>
  <c r="F3162" i="3" s="1"/>
  <c r="F3212" i="3" s="1"/>
  <c r="F3237" i="3" s="1"/>
  <c r="F2961" i="3"/>
  <c r="L154" i="1"/>
  <c r="K154" i="1" s="1"/>
  <c r="Q154" i="1"/>
  <c r="E194" i="35" l="1"/>
  <c r="F193" i="35"/>
  <c r="E291" i="23"/>
  <c r="AD279" i="23"/>
  <c r="N279" i="23"/>
  <c r="Y278" i="23"/>
  <c r="AG278" i="23"/>
  <c r="R279" i="23"/>
  <c r="S279" i="23"/>
  <c r="C280" i="23"/>
  <c r="L280" i="23" s="1"/>
  <c r="AC294" i="23" s="1"/>
  <c r="U279" i="23"/>
  <c r="Q247" i="1"/>
  <c r="C248" i="1"/>
  <c r="F2985" i="3"/>
  <c r="F2986" i="3"/>
  <c r="F3011" i="3" s="1"/>
  <c r="F3036" i="3" s="1"/>
  <c r="F3061" i="3" s="1"/>
  <c r="F3086" i="3" s="1"/>
  <c r="F3111" i="3" s="1"/>
  <c r="F3136" i="3" s="1"/>
  <c r="F3161" i="3" s="1"/>
  <c r="F3186" i="3" s="1"/>
  <c r="F3236" i="3" s="1"/>
  <c r="F3261" i="3" s="1"/>
  <c r="E195" i="35" l="1"/>
  <c r="F194" i="35"/>
  <c r="AD280" i="23"/>
  <c r="N280" i="23"/>
  <c r="E292" i="23"/>
  <c r="Y279" i="23"/>
  <c r="AG279" i="23"/>
  <c r="U280" i="23"/>
  <c r="S280" i="23"/>
  <c r="C281" i="23"/>
  <c r="L281" i="23" s="1"/>
  <c r="AC295" i="23" s="1"/>
  <c r="R280" i="23"/>
  <c r="Q248" i="1"/>
  <c r="C249" i="1"/>
  <c r="F3009" i="3"/>
  <c r="F3010" i="3"/>
  <c r="F3035" i="3" s="1"/>
  <c r="F3060" i="3" s="1"/>
  <c r="F3085" i="3" s="1"/>
  <c r="F3110" i="3" s="1"/>
  <c r="F3135" i="3" s="1"/>
  <c r="F3160" i="3" s="1"/>
  <c r="F3185" i="3" s="1"/>
  <c r="F3210" i="3" s="1"/>
  <c r="F3260" i="3" s="1"/>
  <c r="F3285" i="3" s="1"/>
  <c r="L153" i="1"/>
  <c r="K153" i="1" s="1"/>
  <c r="Q153" i="1"/>
  <c r="E196" i="35" l="1"/>
  <c r="F195" i="35"/>
  <c r="E293" i="23"/>
  <c r="AD281" i="23"/>
  <c r="N281" i="23"/>
  <c r="Y280" i="23"/>
  <c r="AG280" i="23"/>
  <c r="C282" i="23"/>
  <c r="L282" i="23" s="1"/>
  <c r="AC296" i="23" s="1"/>
  <c r="R281" i="23"/>
  <c r="U281" i="23"/>
  <c r="S281" i="23"/>
  <c r="Q249" i="1"/>
  <c r="C250" i="1"/>
  <c r="F3033" i="3"/>
  <c r="F3034" i="3"/>
  <c r="F3059" i="3" s="1"/>
  <c r="F3084" i="3" s="1"/>
  <c r="F3109" i="3" s="1"/>
  <c r="F3134" i="3" s="1"/>
  <c r="F3159" i="3" s="1"/>
  <c r="F3184" i="3" s="1"/>
  <c r="F3209" i="3" s="1"/>
  <c r="F3234" i="3" s="1"/>
  <c r="F3284" i="3" s="1"/>
  <c r="F3309" i="3" s="1"/>
  <c r="L152" i="1"/>
  <c r="K152" i="1" s="1"/>
  <c r="J152" i="1"/>
  <c r="E3606" i="3"/>
  <c r="Q152" i="1"/>
  <c r="E197" i="35" l="1"/>
  <c r="F196" i="35"/>
  <c r="AD282" i="23"/>
  <c r="N282" i="23"/>
  <c r="E294" i="23"/>
  <c r="Y281" i="23"/>
  <c r="AG281" i="23"/>
  <c r="C283" i="23"/>
  <c r="L283" i="23" s="1"/>
  <c r="AC297" i="23" s="1"/>
  <c r="S282" i="23"/>
  <c r="R282" i="23"/>
  <c r="U282" i="23"/>
  <c r="Q250" i="1"/>
  <c r="C251" i="1"/>
  <c r="F3057" i="3"/>
  <c r="F3058" i="3"/>
  <c r="F3083" i="3" s="1"/>
  <c r="F3108" i="3" s="1"/>
  <c r="F3133" i="3" s="1"/>
  <c r="F3158" i="3" s="1"/>
  <c r="F3183" i="3" s="1"/>
  <c r="F3208" i="3" s="1"/>
  <c r="F3233" i="3" s="1"/>
  <c r="F3258" i="3" s="1"/>
  <c r="F3308" i="3" s="1"/>
  <c r="F3333" i="3" s="1"/>
  <c r="E3578" i="3"/>
  <c r="Q151" i="1"/>
  <c r="L151" i="1"/>
  <c r="K151" i="1" s="1"/>
  <c r="E3582" i="3"/>
  <c r="L150" i="1"/>
  <c r="K150" i="1" s="1"/>
  <c r="Q150" i="1"/>
  <c r="E3554" i="3"/>
  <c r="E198" i="35" l="1"/>
  <c r="F197" i="35"/>
  <c r="AD283" i="23"/>
  <c r="N283" i="23"/>
  <c r="E295" i="23"/>
  <c r="Y282" i="23"/>
  <c r="AG282" i="23"/>
  <c r="R283" i="23"/>
  <c r="U283" i="23"/>
  <c r="S283" i="23"/>
  <c r="C284" i="23"/>
  <c r="L284" i="23" s="1"/>
  <c r="AC298" i="23" s="1"/>
  <c r="Q251" i="1"/>
  <c r="C252" i="1"/>
  <c r="F3081" i="3"/>
  <c r="F3082" i="3"/>
  <c r="F3107" i="3" s="1"/>
  <c r="F3132" i="3" s="1"/>
  <c r="F3157" i="3" s="1"/>
  <c r="F3182" i="3" s="1"/>
  <c r="F3207" i="3" s="1"/>
  <c r="F3232" i="3" s="1"/>
  <c r="F3257" i="3" s="1"/>
  <c r="F3282" i="3" s="1"/>
  <c r="F3332" i="3" s="1"/>
  <c r="F3357" i="3" s="1"/>
  <c r="R158" i="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J148" i="1"/>
  <c r="E3506" i="3"/>
  <c r="Q148" i="1"/>
  <c r="E199" i="35" l="1"/>
  <c r="F198" i="35"/>
  <c r="E296" i="23"/>
  <c r="AD284" i="23"/>
  <c r="N284" i="23"/>
  <c r="Y283" i="23"/>
  <c r="AG283" i="23"/>
  <c r="U284" i="23"/>
  <c r="S284" i="23"/>
  <c r="C285" i="23"/>
  <c r="L285" i="23" s="1"/>
  <c r="AC299" i="23" s="1"/>
  <c r="R284" i="23"/>
  <c r="Q252" i="1"/>
  <c r="C253" i="1"/>
  <c r="F3105" i="3"/>
  <c r="F3106" i="3"/>
  <c r="F3131" i="3" s="1"/>
  <c r="F3156" i="3" s="1"/>
  <c r="F3181" i="3" s="1"/>
  <c r="F3206" i="3" s="1"/>
  <c r="F3231" i="3" s="1"/>
  <c r="F3256" i="3" s="1"/>
  <c r="F3281" i="3" s="1"/>
  <c r="F3306" i="3" s="1"/>
  <c r="F3356" i="3" s="1"/>
  <c r="F3381" i="3" s="1"/>
  <c r="R159" i="1"/>
  <c r="L147" i="1"/>
  <c r="K147" i="1" s="1"/>
  <c r="Q147" i="1"/>
  <c r="Q146" i="1"/>
  <c r="L146" i="1"/>
  <c r="K146" i="1" s="1"/>
  <c r="E3458" i="3"/>
  <c r="E200" i="35" l="1"/>
  <c r="F199" i="35"/>
  <c r="AD285" i="23"/>
  <c r="N285" i="23"/>
  <c r="E297" i="23"/>
  <c r="Y284" i="23"/>
  <c r="AG284" i="23"/>
  <c r="R285" i="23"/>
  <c r="S285" i="23"/>
  <c r="C286" i="23"/>
  <c r="L286" i="23" s="1"/>
  <c r="AC300" i="23" s="1"/>
  <c r="U285" i="23"/>
  <c r="Q253" i="1"/>
  <c r="C254" i="1"/>
  <c r="F3129" i="3"/>
  <c r="F3130" i="3"/>
  <c r="F3155" i="3" s="1"/>
  <c r="F3180" i="3" s="1"/>
  <c r="F3205" i="3" s="1"/>
  <c r="F3230" i="3" s="1"/>
  <c r="F3255" i="3" s="1"/>
  <c r="F3280" i="3" s="1"/>
  <c r="F3305" i="3" s="1"/>
  <c r="F3330" i="3" s="1"/>
  <c r="F3380" i="3" s="1"/>
  <c r="F3405" i="3" s="1"/>
  <c r="R160" i="1"/>
  <c r="J145" i="1"/>
  <c r="E201" i="35" l="1"/>
  <c r="F200" i="35"/>
  <c r="E298" i="23"/>
  <c r="AD286" i="23"/>
  <c r="N286" i="23"/>
  <c r="Y285" i="23"/>
  <c r="AG285" i="23"/>
  <c r="U286" i="23"/>
  <c r="C287" i="23"/>
  <c r="L287" i="23" s="1"/>
  <c r="AC301" i="23" s="1"/>
  <c r="S286" i="23"/>
  <c r="R286" i="23"/>
  <c r="C255" i="1"/>
  <c r="Q254" i="1"/>
  <c r="F3153" i="3"/>
  <c r="F3154" i="3"/>
  <c r="F3179" i="3" s="1"/>
  <c r="F3204" i="3" s="1"/>
  <c r="F3229" i="3" s="1"/>
  <c r="F3254" i="3" s="1"/>
  <c r="F3279" i="3" s="1"/>
  <c r="F3304" i="3" s="1"/>
  <c r="F3329" i="3" s="1"/>
  <c r="F3354" i="3" s="1"/>
  <c r="F3404" i="3" s="1"/>
  <c r="F3429" i="3" s="1"/>
  <c r="E3438" i="3"/>
  <c r="E3434" i="3"/>
  <c r="Q145" i="1"/>
  <c r="E202" i="35" l="1"/>
  <c r="F201" i="35"/>
  <c r="AD287" i="23"/>
  <c r="N287" i="23"/>
  <c r="E299" i="23"/>
  <c r="Y286" i="23"/>
  <c r="AG286" i="23"/>
  <c r="R287" i="23"/>
  <c r="S287" i="23"/>
  <c r="C288" i="23"/>
  <c r="L288" i="23" s="1"/>
  <c r="AC302" i="23" s="1"/>
  <c r="U287" i="23"/>
  <c r="S161" i="1"/>
  <c r="R161" i="1"/>
  <c r="C256" i="1"/>
  <c r="Q255" i="1"/>
  <c r="F3177" i="3"/>
  <c r="F3178" i="3"/>
  <c r="F3203" i="3" s="1"/>
  <c r="F3228" i="3" s="1"/>
  <c r="F3253" i="3" s="1"/>
  <c r="F3278" i="3" s="1"/>
  <c r="F3303" i="3" s="1"/>
  <c r="F3328" i="3" s="1"/>
  <c r="F3353" i="3" s="1"/>
  <c r="F3378" i="3" s="1"/>
  <c r="F3428" i="3" s="1"/>
  <c r="F3453" i="3" s="1"/>
  <c r="R162" i="1"/>
  <c r="E3414" i="3"/>
  <c r="E3410" i="3"/>
  <c r="E203" i="35" l="1"/>
  <c r="F202" i="35"/>
  <c r="E300" i="23"/>
  <c r="AD288" i="23"/>
  <c r="N288" i="23"/>
  <c r="Y287" i="23"/>
  <c r="AG287" i="23"/>
  <c r="C289" i="23"/>
  <c r="L289" i="23" s="1"/>
  <c r="AC303" i="23" s="1"/>
  <c r="S288" i="23"/>
  <c r="U288" i="23"/>
  <c r="R288" i="23"/>
  <c r="Q256" i="1"/>
  <c r="C257" i="1"/>
  <c r="T162" i="1"/>
  <c r="S162" i="1"/>
  <c r="F3201" i="3"/>
  <c r="F3202" i="3"/>
  <c r="F3227" i="3" s="1"/>
  <c r="F3252" i="3" s="1"/>
  <c r="F3277" i="3" s="1"/>
  <c r="F3302" i="3" s="1"/>
  <c r="F3327" i="3" s="1"/>
  <c r="F3352" i="3" s="1"/>
  <c r="F3377" i="3" s="1"/>
  <c r="F3402" i="3" s="1"/>
  <c r="F3452" i="3" s="1"/>
  <c r="F3477" i="3" s="1"/>
  <c r="R163" i="1"/>
  <c r="Q144" i="1"/>
  <c r="E204" i="35" l="1"/>
  <c r="F203" i="35"/>
  <c r="AD289" i="23"/>
  <c r="N289" i="23"/>
  <c r="E301" i="23"/>
  <c r="Y288" i="23"/>
  <c r="AG288" i="23"/>
  <c r="R289" i="23"/>
  <c r="C290" i="23"/>
  <c r="L290" i="23" s="1"/>
  <c r="AC304" i="23" s="1"/>
  <c r="U289" i="23"/>
  <c r="S289" i="23"/>
  <c r="Q257" i="1"/>
  <c r="C258" i="1"/>
  <c r="S163" i="1"/>
  <c r="T163" i="1"/>
  <c r="F3225" i="3"/>
  <c r="F3226" i="3"/>
  <c r="R164" i="1"/>
  <c r="J143" i="1"/>
  <c r="E3390" i="3"/>
  <c r="E3386" i="3"/>
  <c r="Q143" i="1"/>
  <c r="E205" i="35" l="1"/>
  <c r="F204" i="35"/>
  <c r="AD290" i="23"/>
  <c r="N290" i="23"/>
  <c r="E302" i="23"/>
  <c r="Y289" i="23"/>
  <c r="AG289" i="23"/>
  <c r="U290" i="23"/>
  <c r="C291" i="23"/>
  <c r="L291" i="23" s="1"/>
  <c r="AC305" i="23" s="1"/>
  <c r="S290" i="23"/>
  <c r="R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R165" i="1"/>
  <c r="E206" i="35" l="1"/>
  <c r="F205" i="35"/>
  <c r="AD291" i="23"/>
  <c r="N291" i="23"/>
  <c r="E303" i="23"/>
  <c r="Y290" i="23"/>
  <c r="AG290" i="23"/>
  <c r="R291" i="23"/>
  <c r="C292" i="23"/>
  <c r="L292" i="23" s="1"/>
  <c r="AC306" i="23" s="1"/>
  <c r="U291" i="23"/>
  <c r="S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R166" i="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F4611" i="3" l="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207" i="35"/>
  <c r="F206" i="35"/>
  <c r="AD292" i="23"/>
  <c r="N292" i="23"/>
  <c r="E304" i="23"/>
  <c r="Y291" i="23"/>
  <c r="AG291" i="23"/>
  <c r="C293" i="23"/>
  <c r="L293" i="23" s="1"/>
  <c r="AC307" i="23" s="1"/>
  <c r="S292" i="23"/>
  <c r="U292" i="23"/>
  <c r="R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R167" i="1"/>
  <c r="B139" i="1"/>
  <c r="C139" i="1" s="1"/>
  <c r="C140" i="1" s="1"/>
  <c r="E208" i="35" l="1"/>
  <c r="F207" i="35"/>
  <c r="E305" i="23"/>
  <c r="AD293" i="23"/>
  <c r="N293" i="23"/>
  <c r="Y292" i="23"/>
  <c r="AG292" i="23"/>
  <c r="R293" i="23"/>
  <c r="S293" i="23"/>
  <c r="C294" i="23"/>
  <c r="L294" i="23" s="1"/>
  <c r="AC308" i="23" s="1"/>
  <c r="U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R168" i="1"/>
  <c r="E209" i="35" l="1"/>
  <c r="F208" i="35"/>
  <c r="AD294" i="23"/>
  <c r="N294" i="23"/>
  <c r="E306" i="23"/>
  <c r="Y293" i="23"/>
  <c r="AG293" i="23"/>
  <c r="U294" i="23"/>
  <c r="C295" i="23"/>
  <c r="L295" i="23" s="1"/>
  <c r="AC309" i="23" s="1"/>
  <c r="S294" i="23"/>
  <c r="R294" i="23"/>
  <c r="C263" i="1"/>
  <c r="Q262" i="1"/>
  <c r="S168" i="1"/>
  <c r="T168" i="1"/>
  <c r="F3345" i="3"/>
  <c r="F3371" i="3"/>
  <c r="F3396" i="3" s="1"/>
  <c r="F3421" i="3" s="1"/>
  <c r="F3446" i="3" s="1"/>
  <c r="F3471" i="3" s="1"/>
  <c r="F3496" i="3" s="1"/>
  <c r="F3521" i="3" s="1"/>
  <c r="F3546" i="3" s="1"/>
  <c r="F3596" i="3" s="1"/>
  <c r="T141" i="1"/>
  <c r="S141" i="1"/>
  <c r="R169" i="1"/>
  <c r="Q140" i="1"/>
  <c r="E210" i="35" l="1"/>
  <c r="F209" i="35"/>
  <c r="AD295" i="23"/>
  <c r="N295" i="23"/>
  <c r="E307" i="23"/>
  <c r="Y294" i="23"/>
  <c r="AG294" i="23"/>
  <c r="R295" i="23"/>
  <c r="S295" i="23"/>
  <c r="C296" i="23"/>
  <c r="L296" i="23" s="1"/>
  <c r="AC310" i="23" s="1"/>
  <c r="U295" i="23"/>
  <c r="Q263" i="1"/>
  <c r="C264" i="1"/>
  <c r="S169" i="1"/>
  <c r="T169" i="1"/>
  <c r="F3395" i="3"/>
  <c r="F3420" i="3" s="1"/>
  <c r="F3445" i="3" s="1"/>
  <c r="F3470" i="3" s="1"/>
  <c r="F3495" i="3" s="1"/>
  <c r="F3520" i="3" s="1"/>
  <c r="F3545" i="3" s="1"/>
  <c r="F3570" i="3" s="1"/>
  <c r="F3620" i="3" s="1"/>
  <c r="F3369" i="3"/>
  <c r="T142" i="1"/>
  <c r="S142" i="1"/>
  <c r="L139" i="1"/>
  <c r="E211" i="35" l="1"/>
  <c r="F210" i="35"/>
  <c r="E308" i="23"/>
  <c r="AD296" i="23"/>
  <c r="N296" i="23"/>
  <c r="Y295" i="23"/>
  <c r="AG295" i="23"/>
  <c r="C297" i="23"/>
  <c r="L297" i="23" s="1"/>
  <c r="AC311" i="23" s="1"/>
  <c r="S296" i="23"/>
  <c r="U296" i="23"/>
  <c r="R296" i="23"/>
  <c r="R171" i="1"/>
  <c r="R170" i="1"/>
  <c r="C265" i="1"/>
  <c r="Q264" i="1"/>
  <c r="R172" i="1"/>
  <c r="T170" i="1"/>
  <c r="S170" i="1"/>
  <c r="F3419" i="3"/>
  <c r="F3444" i="3" s="1"/>
  <c r="F3469" i="3" s="1"/>
  <c r="F3494" i="3" s="1"/>
  <c r="F3519" i="3" s="1"/>
  <c r="F3544" i="3" s="1"/>
  <c r="F3569" i="3" s="1"/>
  <c r="F3594" i="3" s="1"/>
  <c r="F3644" i="3" s="1"/>
  <c r="F3393" i="3"/>
  <c r="T143" i="1"/>
  <c r="S143" i="1"/>
  <c r="Q138" i="1"/>
  <c r="L137" i="1"/>
  <c r="K137" i="1" s="1"/>
  <c r="Q137" i="1"/>
  <c r="E212" i="35" l="1"/>
  <c r="F211" i="35"/>
  <c r="AD297" i="23"/>
  <c r="N297" i="23"/>
  <c r="E309" i="23"/>
  <c r="T171" i="1"/>
  <c r="Y296" i="23"/>
  <c r="AG296" i="23"/>
  <c r="R297" i="23"/>
  <c r="C298" i="23"/>
  <c r="L298" i="23" s="1"/>
  <c r="AC312" i="23" s="1"/>
  <c r="U297" i="23"/>
  <c r="S297" i="23"/>
  <c r="R173" i="1"/>
  <c r="S171" i="1"/>
  <c r="Q265" i="1"/>
  <c r="C266" i="1"/>
  <c r="S172" i="1"/>
  <c r="T172" i="1"/>
  <c r="F3443" i="3"/>
  <c r="F3468" i="3" s="1"/>
  <c r="F3493" i="3" s="1"/>
  <c r="F3518" i="3" s="1"/>
  <c r="F3543" i="3" s="1"/>
  <c r="F3568" i="3" s="1"/>
  <c r="F3593" i="3" s="1"/>
  <c r="F3618" i="3" s="1"/>
  <c r="F3668" i="3" s="1"/>
  <c r="F3417" i="3"/>
  <c r="S138" i="1"/>
  <c r="T138" i="1"/>
  <c r="T144" i="1"/>
  <c r="S144" i="1"/>
  <c r="L136" i="1"/>
  <c r="S173" i="1" l="1"/>
  <c r="E213" i="35"/>
  <c r="F212" i="35"/>
  <c r="E310" i="23"/>
  <c r="AD298" i="23"/>
  <c r="N298" i="23"/>
  <c r="R174" i="1"/>
  <c r="Y297" i="23"/>
  <c r="AG297" i="23"/>
  <c r="U298" i="23"/>
  <c r="C299" i="23"/>
  <c r="L299" i="23" s="1"/>
  <c r="AC313" i="23" s="1"/>
  <c r="S298" i="23"/>
  <c r="R298" i="23"/>
  <c r="T173" i="1"/>
  <c r="C267" i="1"/>
  <c r="Q266" i="1"/>
  <c r="F3467" i="3"/>
  <c r="F3492" i="3" s="1"/>
  <c r="F3517" i="3" s="1"/>
  <c r="F3542" i="3" s="1"/>
  <c r="F3567" i="3" s="1"/>
  <c r="F3592" i="3" s="1"/>
  <c r="F3617" i="3" s="1"/>
  <c r="F3642" i="3" s="1"/>
  <c r="F3692" i="3" s="1"/>
  <c r="F3441" i="3"/>
  <c r="T145" i="1"/>
  <c r="S145" i="1"/>
  <c r="S139" i="1"/>
  <c r="T139" i="1"/>
  <c r="L135" i="1"/>
  <c r="E214" i="35" l="1"/>
  <c r="F213" i="35"/>
  <c r="AD299" i="23"/>
  <c r="N299" i="23"/>
  <c r="E311" i="23"/>
  <c r="S174" i="1"/>
  <c r="R175" i="1"/>
  <c r="T174" i="1"/>
  <c r="Y298" i="23"/>
  <c r="AG298" i="23"/>
  <c r="R299" i="23"/>
  <c r="C300" i="23"/>
  <c r="L300" i="23" s="1"/>
  <c r="AC314" i="23" s="1"/>
  <c r="U299" i="23"/>
  <c r="S299" i="23"/>
  <c r="C268" i="1"/>
  <c r="Q267" i="1"/>
  <c r="F3491" i="3"/>
  <c r="F3516" i="3" s="1"/>
  <c r="F3541" i="3" s="1"/>
  <c r="F3566" i="3" s="1"/>
  <c r="F3591" i="3" s="1"/>
  <c r="F3616" i="3" s="1"/>
  <c r="F3641" i="3" s="1"/>
  <c r="F3666" i="3" s="1"/>
  <c r="F3716" i="3" s="1"/>
  <c r="F3465" i="3"/>
  <c r="R176" i="1"/>
  <c r="T146" i="1"/>
  <c r="S146" i="1"/>
  <c r="T140" i="1"/>
  <c r="S140" i="1"/>
  <c r="S136" i="1"/>
  <c r="T136" i="1"/>
  <c r="T149" i="1"/>
  <c r="S149" i="1"/>
  <c r="Q135" i="1"/>
  <c r="L134" i="1"/>
  <c r="Q134" i="1"/>
  <c r="S175" i="1" l="1"/>
  <c r="E215" i="35"/>
  <c r="F214" i="35"/>
  <c r="E312" i="23"/>
  <c r="AD300" i="23"/>
  <c r="N300" i="23"/>
  <c r="T175" i="1"/>
  <c r="Y299" i="23"/>
  <c r="AG299" i="23"/>
  <c r="C301" i="23"/>
  <c r="L301" i="23" s="1"/>
  <c r="AC315" i="23" s="1"/>
  <c r="S300" i="23"/>
  <c r="U300" i="23"/>
  <c r="R300" i="23"/>
  <c r="C269" i="1"/>
  <c r="Q268" i="1"/>
  <c r="S176" i="1"/>
  <c r="T176" i="1"/>
  <c r="F3515" i="3"/>
  <c r="F3540" i="3" s="1"/>
  <c r="F3565" i="3" s="1"/>
  <c r="F3590" i="3" s="1"/>
  <c r="F3615" i="3" s="1"/>
  <c r="F3640" i="3" s="1"/>
  <c r="F3665" i="3" s="1"/>
  <c r="F3690" i="3" s="1"/>
  <c r="F3740" i="3" s="1"/>
  <c r="F3489" i="3"/>
  <c r="R177" i="1"/>
  <c r="S150" i="1"/>
  <c r="T150" i="1"/>
  <c r="T147" i="1"/>
  <c r="S147" i="1"/>
  <c r="M133" i="1"/>
  <c r="E216" i="35" l="1"/>
  <c r="F215" i="35"/>
  <c r="AD301" i="23"/>
  <c r="N301" i="23"/>
  <c r="E313" i="23"/>
  <c r="Y300" i="23"/>
  <c r="AG300" i="23"/>
  <c r="R301" i="23"/>
  <c r="S301" i="23"/>
  <c r="C302" i="23"/>
  <c r="L302" i="23" s="1"/>
  <c r="AC316" i="23" s="1"/>
  <c r="U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R178" i="1"/>
  <c r="T148" i="1"/>
  <c r="S148" i="1"/>
  <c r="S151" i="1"/>
  <c r="T151" i="1"/>
  <c r="Q133" i="1"/>
  <c r="M132" i="1"/>
  <c r="E217" i="35" l="1"/>
  <c r="F216" i="35"/>
  <c r="AD302" i="23"/>
  <c r="N302" i="23"/>
  <c r="E314" i="23"/>
  <c r="Y301" i="23"/>
  <c r="AG301" i="23"/>
  <c r="U302" i="23"/>
  <c r="C303" i="23"/>
  <c r="L303" i="23" s="1"/>
  <c r="AC317" i="23" s="1"/>
  <c r="S302" i="23"/>
  <c r="R302" i="23"/>
  <c r="C271" i="1"/>
  <c r="Q270" i="1"/>
  <c r="T178" i="1"/>
  <c r="S178" i="1"/>
  <c r="F3563" i="3"/>
  <c r="F3588" i="3" s="1"/>
  <c r="F3613" i="3" s="1"/>
  <c r="F3638" i="3" s="1"/>
  <c r="F3663" i="3" s="1"/>
  <c r="F3688" i="3" s="1"/>
  <c r="F3713" i="3" s="1"/>
  <c r="F3738" i="3" s="1"/>
  <c r="F3788" i="3" s="1"/>
  <c r="F3537" i="3"/>
  <c r="R179" i="1"/>
  <c r="S152" i="1"/>
  <c r="T152" i="1"/>
  <c r="M131" i="1"/>
  <c r="E218" i="35" l="1"/>
  <c r="F217" i="35"/>
  <c r="AD303" i="23"/>
  <c r="N303" i="23"/>
  <c r="E315" i="23"/>
  <c r="Y302" i="23"/>
  <c r="AG302" i="23"/>
  <c r="R303" i="23"/>
  <c r="S303" i="23"/>
  <c r="C304" i="23"/>
  <c r="L304" i="23" s="1"/>
  <c r="AC318" i="23" s="1"/>
  <c r="U303" i="23"/>
  <c r="C272" i="1"/>
  <c r="Q271" i="1"/>
  <c r="S179" i="1"/>
  <c r="T179" i="1"/>
  <c r="F3561" i="3"/>
  <c r="F3587" i="3"/>
  <c r="F3612" i="3" s="1"/>
  <c r="F3637" i="3" s="1"/>
  <c r="F3662" i="3" s="1"/>
  <c r="F3687" i="3" s="1"/>
  <c r="F3712" i="3" s="1"/>
  <c r="F3737" i="3" s="1"/>
  <c r="F3762" i="3" s="1"/>
  <c r="F3812" i="3" s="1"/>
  <c r="R180" i="1"/>
  <c r="T153" i="1"/>
  <c r="S153" i="1"/>
  <c r="Q130" i="1"/>
  <c r="E219" i="35" l="1"/>
  <c r="F218" i="35"/>
  <c r="E316" i="23"/>
  <c r="AD304" i="23"/>
  <c r="N304" i="23"/>
  <c r="Y303" i="23"/>
  <c r="AG303" i="23"/>
  <c r="C305" i="23"/>
  <c r="L305" i="23" s="1"/>
  <c r="AC319" i="23" s="1"/>
  <c r="S304" i="23"/>
  <c r="U304" i="23"/>
  <c r="R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R181" i="1"/>
  <c r="S154" i="1"/>
  <c r="T154" i="1"/>
  <c r="Q129" i="1"/>
  <c r="E220" i="35" l="1"/>
  <c r="F219" i="35"/>
  <c r="AD305" i="23"/>
  <c r="N305" i="23"/>
  <c r="E317" i="23"/>
  <c r="Y304" i="23"/>
  <c r="AG304" i="23"/>
  <c r="R305" i="23"/>
  <c r="C306" i="23"/>
  <c r="L306" i="23" s="1"/>
  <c r="AC320" i="23" s="1"/>
  <c r="U305" i="23"/>
  <c r="S305" i="23"/>
  <c r="C274" i="1"/>
  <c r="Q273" i="1"/>
  <c r="R182" i="1"/>
  <c r="S181" i="1"/>
  <c r="T181" i="1"/>
  <c r="F3609" i="3"/>
  <c r="F3635" i="3"/>
  <c r="F3660" i="3" s="1"/>
  <c r="F3685" i="3" s="1"/>
  <c r="F3710" i="3" s="1"/>
  <c r="F3735" i="3" s="1"/>
  <c r="F3760" i="3" s="1"/>
  <c r="F3785" i="3" s="1"/>
  <c r="F3810" i="3" s="1"/>
  <c r="S155" i="1"/>
  <c r="T155" i="1"/>
  <c r="E221" i="35" l="1"/>
  <c r="F220" i="35"/>
  <c r="AD306" i="23"/>
  <c r="N306" i="23"/>
  <c r="E318" i="23"/>
  <c r="Y305" i="23"/>
  <c r="AG305" i="23"/>
  <c r="U306" i="23"/>
  <c r="C307" i="23"/>
  <c r="S306" i="23"/>
  <c r="R306" i="23"/>
  <c r="C275" i="1"/>
  <c r="Q274" i="1"/>
  <c r="R183" i="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E222" i="35" l="1"/>
  <c r="F221" i="35"/>
  <c r="AD307" i="23"/>
  <c r="L307" i="23"/>
  <c r="AC321" i="23" s="1"/>
  <c r="E319" i="23"/>
  <c r="Y306" i="23"/>
  <c r="AG306" i="23"/>
  <c r="U307" i="23"/>
  <c r="C308" i="23"/>
  <c r="S307" i="23"/>
  <c r="R307" i="23"/>
  <c r="S183" i="1"/>
  <c r="R184" i="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E223" i="35" l="1"/>
  <c r="F222" i="35"/>
  <c r="AD308" i="23"/>
  <c r="L308" i="23"/>
  <c r="AC322" i="23" s="1"/>
  <c r="E320" i="23"/>
  <c r="Y307" i="23"/>
  <c r="AG307" i="23"/>
  <c r="U308" i="23"/>
  <c r="C309" i="23"/>
  <c r="L309" i="23" s="1"/>
  <c r="AC323" i="23" s="1"/>
  <c r="S308" i="23"/>
  <c r="R308" i="23"/>
  <c r="Q276" i="1"/>
  <c r="C277" i="1"/>
  <c r="T184" i="1"/>
  <c r="R185" i="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E224" i="35" l="1"/>
  <c r="F223" i="35"/>
  <c r="AD309" i="23"/>
  <c r="N309" i="23"/>
  <c r="E321" i="23"/>
  <c r="Y308" i="23"/>
  <c r="AG308" i="23"/>
  <c r="R309" i="23"/>
  <c r="C310" i="23"/>
  <c r="L310" i="23" s="1"/>
  <c r="AC324" i="23" s="1"/>
  <c r="U309" i="23"/>
  <c r="S309" i="23"/>
  <c r="T185" i="1"/>
  <c r="R186" i="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225" i="35" l="1"/>
  <c r="F224" i="35"/>
  <c r="E322" i="23"/>
  <c r="AD310" i="23"/>
  <c r="N310" i="23"/>
  <c r="R187" i="1"/>
  <c r="S186" i="1"/>
  <c r="Y309" i="23"/>
  <c r="AG309" i="23"/>
  <c r="C311" i="23"/>
  <c r="L311" i="23" s="1"/>
  <c r="AC325" i="23" s="1"/>
  <c r="S310" i="23"/>
  <c r="U310" i="23"/>
  <c r="R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S160" i="1"/>
  <c r="T160" i="1"/>
  <c r="L123" i="1"/>
  <c r="K123" i="1" s="1"/>
  <c r="T187" i="1" l="1"/>
  <c r="R188" i="1"/>
  <c r="S187" i="1"/>
  <c r="E226" i="35"/>
  <c r="F225" i="35"/>
  <c r="AD311" i="23"/>
  <c r="N311" i="23"/>
  <c r="E323" i="23"/>
  <c r="Y310" i="23"/>
  <c r="AG310" i="23"/>
  <c r="R311" i="23"/>
  <c r="S311" i="23"/>
  <c r="C312" i="23"/>
  <c r="L312" i="23" s="1"/>
  <c r="AC326" i="23" s="1"/>
  <c r="U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R189" i="1"/>
  <c r="T161" i="1"/>
  <c r="L121" i="1"/>
  <c r="L120" i="1"/>
  <c r="E227" i="35" l="1"/>
  <c r="F226" i="35"/>
  <c r="E324" i="23"/>
  <c r="AD312" i="23"/>
  <c r="N312" i="23"/>
  <c r="Y311" i="23"/>
  <c r="AG311" i="23"/>
  <c r="U312" i="23"/>
  <c r="C313" i="23"/>
  <c r="L313" i="23" s="1"/>
  <c r="AC327" i="23" s="1"/>
  <c r="S312" i="23"/>
  <c r="R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R190" i="1"/>
  <c r="S122" i="1"/>
  <c r="T122" i="1"/>
  <c r="E228" i="35" l="1"/>
  <c r="F227" i="35"/>
  <c r="AD313" i="23"/>
  <c r="N313" i="23"/>
  <c r="E325" i="23"/>
  <c r="Y312" i="23"/>
  <c r="AG312" i="23"/>
  <c r="R313" i="23"/>
  <c r="S313" i="23"/>
  <c r="C314" i="23"/>
  <c r="L314" i="23" s="1"/>
  <c r="AC328" i="23" s="1"/>
  <c r="U313" i="23"/>
  <c r="Q281" i="1"/>
  <c r="C282" i="1"/>
  <c r="T190" i="1"/>
  <c r="S190" i="1"/>
  <c r="F3801" i="3"/>
  <c r="F3827" i="3"/>
  <c r="F3851" i="3" s="1"/>
  <c r="F3875" i="3" s="1"/>
  <c r="R191" i="1"/>
  <c r="T123" i="1"/>
  <c r="S123" i="1"/>
  <c r="E229" i="35" l="1"/>
  <c r="F228" i="35"/>
  <c r="AD314" i="23"/>
  <c r="N314" i="23"/>
  <c r="E326" i="23"/>
  <c r="Y313" i="23"/>
  <c r="AG313" i="23"/>
  <c r="C315" i="23"/>
  <c r="L315" i="23" s="1"/>
  <c r="AC329" i="23" s="1"/>
  <c r="S314" i="23"/>
  <c r="U314" i="23"/>
  <c r="R314" i="23"/>
  <c r="Q282" i="1"/>
  <c r="C283" i="1"/>
  <c r="R192" i="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T124" i="1"/>
  <c r="E230" i="35" l="1"/>
  <c r="F229" i="35"/>
  <c r="AD315" i="23"/>
  <c r="N315" i="23"/>
  <c r="E327" i="23"/>
  <c r="Y314" i="23"/>
  <c r="AG314" i="23"/>
  <c r="R315" i="23"/>
  <c r="C316" i="23"/>
  <c r="L316" i="23" s="1"/>
  <c r="AC330" i="23" s="1"/>
  <c r="U315" i="23"/>
  <c r="S315" i="23"/>
  <c r="Q283" i="1"/>
  <c r="C284" i="1"/>
  <c r="R193" i="1"/>
  <c r="S192" i="1"/>
  <c r="T192" i="1"/>
  <c r="S120" i="1"/>
  <c r="T119" i="1"/>
  <c r="T125" i="1"/>
  <c r="S119" i="1"/>
  <c r="S125" i="1"/>
  <c r="E231" i="35" l="1"/>
  <c r="F230" i="35"/>
  <c r="AD316" i="23"/>
  <c r="N316" i="23"/>
  <c r="E328" i="23"/>
  <c r="Y315" i="23"/>
  <c r="AG315" i="23"/>
  <c r="U316" i="23"/>
  <c r="C317" i="23"/>
  <c r="L317" i="23" s="1"/>
  <c r="AC331" i="23" s="1"/>
  <c r="S316" i="23"/>
  <c r="R316" i="23"/>
  <c r="S193" i="1"/>
  <c r="T193" i="1"/>
  <c r="R194" i="1"/>
  <c r="Q284" i="1"/>
  <c r="C285" i="1"/>
  <c r="T126" i="1"/>
  <c r="S126" i="1"/>
  <c r="T120" i="1"/>
  <c r="E232" i="35" l="1"/>
  <c r="F231" i="35"/>
  <c r="AD317" i="23"/>
  <c r="N317" i="23"/>
  <c r="E329" i="23"/>
  <c r="Y316" i="23"/>
  <c r="AG316" i="23"/>
  <c r="R317" i="23"/>
  <c r="C318" i="23"/>
  <c r="L318" i="23" s="1"/>
  <c r="AC332" i="23" s="1"/>
  <c r="U317" i="23"/>
  <c r="S317" i="23"/>
  <c r="R195" i="1"/>
  <c r="S194" i="1"/>
  <c r="T194" i="1"/>
  <c r="Q285" i="1"/>
  <c r="C286" i="1"/>
  <c r="E233" i="35" l="1"/>
  <c r="F232" i="35"/>
  <c r="AD318" i="23"/>
  <c r="N318" i="23"/>
  <c r="E330" i="23"/>
  <c r="Y317" i="23"/>
  <c r="AG317" i="23"/>
  <c r="C319" i="23"/>
  <c r="L319" i="23" s="1"/>
  <c r="AC333" i="23" s="1"/>
  <c r="S318" i="23"/>
  <c r="U318" i="23"/>
  <c r="R318" i="23"/>
  <c r="T195" i="1"/>
  <c r="R196" i="1"/>
  <c r="S195" i="1"/>
  <c r="C287" i="1"/>
  <c r="Q286" i="1"/>
  <c r="T113" i="1"/>
  <c r="S113" i="1"/>
  <c r="E234" i="35" l="1"/>
  <c r="F233" i="35"/>
  <c r="AD319" i="23"/>
  <c r="N319" i="23"/>
  <c r="E331" i="23"/>
  <c r="T196" i="1"/>
  <c r="Y318" i="23"/>
  <c r="AG318" i="23"/>
  <c r="R319" i="23"/>
  <c r="S319" i="23"/>
  <c r="C320" i="23"/>
  <c r="L320" i="23" s="1"/>
  <c r="AC334" i="23" s="1"/>
  <c r="U319" i="23"/>
  <c r="R197" i="1"/>
  <c r="S196" i="1"/>
  <c r="Q287" i="1"/>
  <c r="C288" i="1"/>
  <c r="T114" i="1"/>
  <c r="S114" i="1"/>
  <c r="E235" i="35" l="1"/>
  <c r="F234" i="35"/>
  <c r="E332" i="23"/>
  <c r="AD320" i="23"/>
  <c r="N320" i="23"/>
  <c r="S197" i="1"/>
  <c r="T197" i="1"/>
  <c r="R198" i="1"/>
  <c r="Y319" i="23"/>
  <c r="AG319" i="23"/>
  <c r="U320" i="23"/>
  <c r="C321" i="23"/>
  <c r="L321" i="23" s="1"/>
  <c r="AC335" i="23" s="1"/>
  <c r="S320" i="23"/>
  <c r="R320" i="23"/>
  <c r="Q288" i="1"/>
  <c r="C289" i="1"/>
  <c r="Q171" i="1"/>
  <c r="E236" i="35" l="1"/>
  <c r="F235" i="35"/>
  <c r="AD321" i="23"/>
  <c r="N321" i="23"/>
  <c r="E333" i="23"/>
  <c r="T198" i="1"/>
  <c r="R199" i="1"/>
  <c r="S198" i="1"/>
  <c r="Y320" i="23"/>
  <c r="AG320" i="23"/>
  <c r="R321" i="23"/>
  <c r="S321" i="23"/>
  <c r="C322" i="23"/>
  <c r="L322" i="23" s="1"/>
  <c r="AC336" i="23" s="1"/>
  <c r="U321" i="23"/>
  <c r="Q289" i="1"/>
  <c r="C290" i="1"/>
  <c r="Q172" i="1"/>
  <c r="T199" i="1" l="1"/>
  <c r="E237" i="35"/>
  <c r="F236" i="35"/>
  <c r="E334" i="23"/>
  <c r="AD322" i="23"/>
  <c r="N322" i="23"/>
  <c r="R200" i="1"/>
  <c r="S199" i="1"/>
  <c r="Y321" i="23"/>
  <c r="AG321" i="23"/>
  <c r="C323" i="23"/>
  <c r="L323" i="23" s="1"/>
  <c r="AC337" i="23" s="1"/>
  <c r="S322" i="23"/>
  <c r="U322" i="23"/>
  <c r="R322" i="23"/>
  <c r="C291" i="1"/>
  <c r="Q290" i="1"/>
  <c r="Q173" i="1"/>
  <c r="R201" i="1" l="1"/>
  <c r="T200" i="1"/>
  <c r="E238" i="35"/>
  <c r="F237" i="35"/>
  <c r="S200" i="1"/>
  <c r="AD323" i="23"/>
  <c r="N323" i="23"/>
  <c r="E335" i="23"/>
  <c r="Y322" i="23"/>
  <c r="AG322" i="23"/>
  <c r="R323" i="23"/>
  <c r="C324" i="23"/>
  <c r="L324" i="23" s="1"/>
  <c r="AC338" i="23" s="1"/>
  <c r="U323" i="23"/>
  <c r="S323" i="23"/>
  <c r="C292" i="1"/>
  <c r="Q291" i="1"/>
  <c r="T201" i="1"/>
  <c r="S201" i="1"/>
  <c r="R202" i="1"/>
  <c r="Q174" i="1"/>
  <c r="E239" i="35" l="1"/>
  <c r="F238" i="35"/>
  <c r="AD324" i="23"/>
  <c r="N324" i="23"/>
  <c r="E336" i="23"/>
  <c r="Y323" i="23"/>
  <c r="AG323" i="23"/>
  <c r="U324" i="23"/>
  <c r="C325" i="23"/>
  <c r="L325" i="23" s="1"/>
  <c r="AC339" i="23" s="1"/>
  <c r="S324" i="23"/>
  <c r="R324" i="23"/>
  <c r="Q292" i="1"/>
  <c r="C293" i="1"/>
  <c r="T202" i="1"/>
  <c r="S202" i="1"/>
  <c r="R203" i="1"/>
  <c r="Q175" i="1"/>
  <c r="E240" i="35" l="1"/>
  <c r="F239" i="35"/>
  <c r="AD325" i="23"/>
  <c r="N325" i="23"/>
  <c r="E337" i="23"/>
  <c r="Y324" i="23"/>
  <c r="AG324" i="23"/>
  <c r="U325" i="23"/>
  <c r="C326" i="23"/>
  <c r="L326" i="23" s="1"/>
  <c r="AC340" i="23" s="1"/>
  <c r="S325" i="23"/>
  <c r="C294" i="1"/>
  <c r="Q293" i="1"/>
  <c r="T203" i="1"/>
  <c r="S203" i="1"/>
  <c r="R204" i="1"/>
  <c r="Q176" i="1"/>
  <c r="E241" i="35" l="1"/>
  <c r="F240" i="35"/>
  <c r="AD326" i="23"/>
  <c r="N326" i="23"/>
  <c r="E338" i="23"/>
  <c r="Y325" i="23"/>
  <c r="AG325" i="23"/>
  <c r="U326" i="23"/>
  <c r="C327" i="23"/>
  <c r="L327" i="23" s="1"/>
  <c r="AC341" i="23" s="1"/>
  <c r="S326" i="23"/>
  <c r="Q294" i="1"/>
  <c r="C295" i="1"/>
  <c r="T204" i="1"/>
  <c r="R205" i="1"/>
  <c r="S204" i="1"/>
  <c r="Q177" i="1"/>
  <c r="E242" i="35" l="1"/>
  <c r="F241" i="35"/>
  <c r="AD327" i="23"/>
  <c r="N327" i="23"/>
  <c r="E339" i="23"/>
  <c r="Y326" i="23"/>
  <c r="AG326" i="23"/>
  <c r="U327" i="23"/>
  <c r="C328" i="23"/>
  <c r="L328" i="23" s="1"/>
  <c r="AC342" i="23" s="1"/>
  <c r="S327" i="23"/>
  <c r="C296" i="1"/>
  <c r="Q295" i="1"/>
  <c r="T205" i="1"/>
  <c r="S205" i="1"/>
  <c r="R206" i="1"/>
  <c r="Q178" i="1"/>
  <c r="E243" i="35" l="1"/>
  <c r="F242" i="35"/>
  <c r="AD328" i="23"/>
  <c r="N328" i="23"/>
  <c r="E340" i="23"/>
  <c r="Y327" i="23"/>
  <c r="AG327" i="23"/>
  <c r="U328" i="23"/>
  <c r="C329" i="23"/>
  <c r="L329" i="23" s="1"/>
  <c r="AC343" i="23" s="1"/>
  <c r="S328" i="23"/>
  <c r="C297" i="1"/>
  <c r="Q296" i="1"/>
  <c r="T206" i="1"/>
  <c r="S206" i="1"/>
  <c r="R207" i="1"/>
  <c r="Q179" i="1"/>
  <c r="E244" i="35" l="1"/>
  <c r="F243" i="35"/>
  <c r="AD329" i="23"/>
  <c r="N329" i="23"/>
  <c r="E341" i="23"/>
  <c r="Y328" i="23"/>
  <c r="AG328" i="23"/>
  <c r="U329" i="23"/>
  <c r="C330" i="23"/>
  <c r="L330" i="23" s="1"/>
  <c r="AC344" i="23" s="1"/>
  <c r="S329" i="23"/>
  <c r="Q297" i="1"/>
  <c r="C298" i="1"/>
  <c r="T207" i="1"/>
  <c r="S207" i="1"/>
  <c r="R208" i="1"/>
  <c r="Q180" i="1"/>
  <c r="E245" i="35" l="1"/>
  <c r="F244" i="35"/>
  <c r="AD330" i="23"/>
  <c r="N330" i="23"/>
  <c r="E342" i="23"/>
  <c r="Y329" i="23"/>
  <c r="AG329" i="23"/>
  <c r="U330" i="23"/>
  <c r="C331" i="23"/>
  <c r="L331" i="23" s="1"/>
  <c r="AC345" i="23" s="1"/>
  <c r="S330" i="23"/>
  <c r="Q298" i="1"/>
  <c r="C299" i="1"/>
  <c r="R209" i="1"/>
  <c r="S208" i="1"/>
  <c r="T208" i="1"/>
  <c r="Q181" i="1"/>
  <c r="E246" i="35" l="1"/>
  <c r="F245" i="35"/>
  <c r="AD331" i="23"/>
  <c r="N331" i="23"/>
  <c r="E343" i="23"/>
  <c r="Y330" i="23"/>
  <c r="AG330" i="23"/>
  <c r="U331" i="23"/>
  <c r="C332" i="23"/>
  <c r="L332" i="23" s="1"/>
  <c r="AC346" i="23" s="1"/>
  <c r="S331" i="23"/>
  <c r="Q299" i="1"/>
  <c r="C300" i="1"/>
  <c r="R210" i="1"/>
  <c r="S209" i="1"/>
  <c r="T209" i="1"/>
  <c r="Q182" i="1"/>
  <c r="E247" i="35" l="1"/>
  <c r="F246" i="35"/>
  <c r="AD332" i="23"/>
  <c r="N332" i="23"/>
  <c r="E344" i="23"/>
  <c r="Y331" i="23"/>
  <c r="AG331" i="23"/>
  <c r="U332" i="23"/>
  <c r="C333" i="23"/>
  <c r="L333" i="23" s="1"/>
  <c r="AC347" i="23" s="1"/>
  <c r="S332" i="23"/>
  <c r="C301" i="1"/>
  <c r="Q300" i="1"/>
  <c r="T210" i="1"/>
  <c r="S210" i="1"/>
  <c r="R211" i="1"/>
  <c r="Q183" i="1"/>
  <c r="E248" i="35" l="1"/>
  <c r="F247" i="35"/>
  <c r="AD333" i="23"/>
  <c r="N333" i="23"/>
  <c r="E345" i="23"/>
  <c r="Y332" i="23"/>
  <c r="AG332" i="23"/>
  <c r="U333" i="23"/>
  <c r="C334" i="23"/>
  <c r="L334" i="23" s="1"/>
  <c r="AC348" i="23" s="1"/>
  <c r="S333" i="23"/>
  <c r="C302" i="1"/>
  <c r="Q301" i="1"/>
  <c r="T211" i="1"/>
  <c r="R212" i="1"/>
  <c r="S211" i="1"/>
  <c r="Q184" i="1"/>
  <c r="E249" i="35" l="1"/>
  <c r="F248" i="35"/>
  <c r="AD334" i="23"/>
  <c r="N334" i="23"/>
  <c r="E346" i="23"/>
  <c r="Y333" i="23"/>
  <c r="AG333" i="23"/>
  <c r="U334" i="23"/>
  <c r="C335" i="23"/>
  <c r="L335" i="23" s="1"/>
  <c r="AC349" i="23" s="1"/>
  <c r="S334" i="23"/>
  <c r="Q302" i="1"/>
  <c r="C303" i="1"/>
  <c r="T212" i="1"/>
  <c r="S212" i="1"/>
  <c r="R213" i="1"/>
  <c r="Q185" i="1"/>
  <c r="E250" i="35" l="1"/>
  <c r="F249" i="35"/>
  <c r="AD335" i="23"/>
  <c r="N335" i="23"/>
  <c r="E347" i="23"/>
  <c r="Y334" i="23"/>
  <c r="AG334" i="23"/>
  <c r="C336" i="23"/>
  <c r="L336" i="23" s="1"/>
  <c r="AC350" i="23" s="1"/>
  <c r="U335" i="23"/>
  <c r="S335" i="23"/>
  <c r="AL342" i="23" s="1"/>
  <c r="Q303" i="1"/>
  <c r="C304" i="1"/>
  <c r="T213" i="1"/>
  <c r="S213" i="1"/>
  <c r="R214" i="1"/>
  <c r="Q186" i="1"/>
  <c r="E251" i="35" l="1"/>
  <c r="F250" i="35"/>
  <c r="AD336" i="23"/>
  <c r="N336" i="23"/>
  <c r="E348" i="23"/>
  <c r="Y335" i="23"/>
  <c r="AG335" i="23"/>
  <c r="U336" i="23"/>
  <c r="C337" i="23"/>
  <c r="L337" i="23" s="1"/>
  <c r="AC351" i="23" s="1"/>
  <c r="S336" i="23"/>
  <c r="AL343" i="23" s="1"/>
  <c r="C305" i="1"/>
  <c r="Q304" i="1"/>
  <c r="T214" i="1"/>
  <c r="R215" i="1"/>
  <c r="S214" i="1"/>
  <c r="Q187" i="1"/>
  <c r="E252" i="35" l="1"/>
  <c r="F251" i="35"/>
  <c r="AD337" i="23"/>
  <c r="N337" i="23"/>
  <c r="E349" i="23"/>
  <c r="Y336" i="23"/>
  <c r="AG336" i="23"/>
  <c r="U337" i="23"/>
  <c r="C338" i="23"/>
  <c r="L338" i="23" s="1"/>
  <c r="AC352" i="23" s="1"/>
  <c r="S337" i="23"/>
  <c r="AL344" i="23" s="1"/>
  <c r="Q305" i="1"/>
  <c r="C306" i="1"/>
  <c r="R216" i="1"/>
  <c r="T215" i="1"/>
  <c r="S215" i="1"/>
  <c r="Q188" i="1"/>
  <c r="E253" i="35" l="1"/>
  <c r="F252" i="35"/>
  <c r="AD338" i="23"/>
  <c r="N338" i="23"/>
  <c r="E350" i="23"/>
  <c r="Y337" i="23"/>
  <c r="AG337" i="23"/>
  <c r="U338" i="23"/>
  <c r="C339" i="23"/>
  <c r="L339" i="23" s="1"/>
  <c r="AC353" i="23" s="1"/>
  <c r="S338" i="23"/>
  <c r="AL345" i="23" s="1"/>
  <c r="Q306" i="1"/>
  <c r="C307" i="1"/>
  <c r="T216" i="1"/>
  <c r="R217" i="1"/>
  <c r="S216" i="1"/>
  <c r="Q189" i="1"/>
  <c r="E254" i="35" l="1"/>
  <c r="F253" i="35"/>
  <c r="AD339" i="23"/>
  <c r="N339" i="23"/>
  <c r="E351" i="23"/>
  <c r="Y338" i="23"/>
  <c r="AG338" i="23"/>
  <c r="U339" i="23"/>
  <c r="C340" i="23"/>
  <c r="L340" i="23" s="1"/>
  <c r="AC354" i="23" s="1"/>
  <c r="S339" i="23"/>
  <c r="AL346" i="23" s="1"/>
  <c r="Q307" i="1"/>
  <c r="C308" i="1"/>
  <c r="T217" i="1"/>
  <c r="R218" i="1"/>
  <c r="S217" i="1"/>
  <c r="Q190" i="1"/>
  <c r="E255" i="35" l="1"/>
  <c r="F254" i="35"/>
  <c r="E352" i="23"/>
  <c r="AD340" i="23"/>
  <c r="N340" i="23"/>
  <c r="Y339" i="23"/>
  <c r="AG339" i="23"/>
  <c r="U340" i="23"/>
  <c r="C341" i="23"/>
  <c r="L341" i="23" s="1"/>
  <c r="AC355" i="23" s="1"/>
  <c r="S340" i="23"/>
  <c r="AL347" i="23" s="1"/>
  <c r="Q308" i="1"/>
  <c r="C309" i="1"/>
  <c r="T218" i="1"/>
  <c r="R219" i="1"/>
  <c r="S218" i="1"/>
  <c r="E256" i="35" l="1"/>
  <c r="F255" i="35"/>
  <c r="AD341" i="23"/>
  <c r="N341" i="23"/>
  <c r="E353" i="23"/>
  <c r="Y340" i="23"/>
  <c r="AG340" i="23"/>
  <c r="U341" i="23"/>
  <c r="C342" i="23"/>
  <c r="L342" i="23" s="1"/>
  <c r="AC356" i="23" s="1"/>
  <c r="S341" i="23"/>
  <c r="AL348" i="23" s="1"/>
  <c r="C310" i="1"/>
  <c r="Q309" i="1"/>
  <c r="T219" i="1"/>
  <c r="R220" i="1"/>
  <c r="S219" i="1"/>
  <c r="E257" i="35" l="1"/>
  <c r="F256" i="35"/>
  <c r="AD342" i="23"/>
  <c r="N342" i="23"/>
  <c r="E354" i="23"/>
  <c r="Y341" i="23"/>
  <c r="AG341" i="23"/>
  <c r="U342" i="23"/>
  <c r="C343" i="23"/>
  <c r="L343" i="23" s="1"/>
  <c r="AC357" i="23" s="1"/>
  <c r="S342" i="23"/>
  <c r="AL349" i="23" s="1"/>
  <c r="C311" i="1"/>
  <c r="Q310" i="1"/>
  <c r="T220" i="1"/>
  <c r="R221" i="1"/>
  <c r="S220" i="1"/>
  <c r="E258" i="35" l="1"/>
  <c r="F257" i="35"/>
  <c r="AD343" i="23"/>
  <c r="N343" i="23"/>
  <c r="E355" i="23"/>
  <c r="Y342" i="23"/>
  <c r="AG342" i="23"/>
  <c r="U343" i="23"/>
  <c r="C344" i="23"/>
  <c r="L344" i="23" s="1"/>
  <c r="AC358" i="23" s="1"/>
  <c r="S343" i="23"/>
  <c r="AL350" i="23" s="1"/>
  <c r="C312" i="1"/>
  <c r="Q311" i="1"/>
  <c r="T221" i="1"/>
  <c r="R222" i="1"/>
  <c r="S221" i="1"/>
  <c r="E259" i="35" l="1"/>
  <c r="F258" i="35"/>
  <c r="AD344" i="23"/>
  <c r="N344" i="23"/>
  <c r="E356" i="23"/>
  <c r="Y343" i="23"/>
  <c r="AG343" i="23"/>
  <c r="U344" i="23"/>
  <c r="C345" i="23"/>
  <c r="L345" i="23" s="1"/>
  <c r="AC359" i="23" s="1"/>
  <c r="S344" i="23"/>
  <c r="AL351" i="23" s="1"/>
  <c r="C313" i="1"/>
  <c r="Q312" i="1"/>
  <c r="S222" i="1"/>
  <c r="T222" i="1"/>
  <c r="R223" i="1"/>
  <c r="E260" i="35" l="1"/>
  <c r="F259" i="35"/>
  <c r="AD345" i="23"/>
  <c r="N345" i="23"/>
  <c r="E357" i="23"/>
  <c r="Y344" i="23"/>
  <c r="AG344" i="23"/>
  <c r="U345" i="23"/>
  <c r="C346" i="23"/>
  <c r="L346" i="23" s="1"/>
  <c r="AC360" i="23" s="1"/>
  <c r="S345" i="23"/>
  <c r="AL352" i="23" s="1"/>
  <c r="C314" i="1"/>
  <c r="Q313" i="1"/>
  <c r="T223" i="1"/>
  <c r="R224" i="1"/>
  <c r="S223" i="1"/>
  <c r="E261" i="35" l="1"/>
  <c r="F260" i="35"/>
  <c r="AD346" i="23"/>
  <c r="N346" i="23"/>
  <c r="E358" i="23"/>
  <c r="Y345" i="23"/>
  <c r="AG345" i="23"/>
  <c r="U346" i="23"/>
  <c r="C347" i="23"/>
  <c r="L347" i="23" s="1"/>
  <c r="AC361" i="23" s="1"/>
  <c r="S346" i="23"/>
  <c r="AL353" i="23" s="1"/>
  <c r="C315" i="1"/>
  <c r="Q314" i="1"/>
  <c r="T224" i="1"/>
  <c r="R225" i="1"/>
  <c r="S224" i="1"/>
  <c r="E262" i="35" l="1"/>
  <c r="F261" i="35"/>
  <c r="AD347" i="23"/>
  <c r="N347" i="23"/>
  <c r="E359" i="23"/>
  <c r="Y346" i="23"/>
  <c r="AG346" i="23"/>
  <c r="U347" i="23"/>
  <c r="C348" i="23"/>
  <c r="L348" i="23" s="1"/>
  <c r="AC362" i="23" s="1"/>
  <c r="S347" i="23"/>
  <c r="AL354" i="23" s="1"/>
  <c r="Q315" i="1"/>
  <c r="C316" i="1"/>
  <c r="T225" i="1"/>
  <c r="R226" i="1"/>
  <c r="S225" i="1"/>
  <c r="E263" i="35" l="1"/>
  <c r="F262" i="35"/>
  <c r="AD348" i="23"/>
  <c r="N348" i="23"/>
  <c r="E360" i="23"/>
  <c r="Y347" i="23"/>
  <c r="AG347" i="23"/>
  <c r="U348" i="23"/>
  <c r="C349" i="23"/>
  <c r="S348" i="23"/>
  <c r="AL355" i="23" s="1"/>
  <c r="C317" i="1"/>
  <c r="Q316" i="1"/>
  <c r="R227" i="1"/>
  <c r="T226" i="1"/>
  <c r="S226" i="1"/>
  <c r="E264" i="35" l="1"/>
  <c r="F263" i="35"/>
  <c r="AD349" i="23"/>
  <c r="L349" i="23"/>
  <c r="AC363" i="23" s="1"/>
  <c r="E361" i="23"/>
  <c r="Y348" i="23"/>
  <c r="AG348" i="23"/>
  <c r="C350" i="23"/>
  <c r="L350" i="23" s="1"/>
  <c r="AC364" i="23" s="1"/>
  <c r="U349" i="23"/>
  <c r="S349" i="23"/>
  <c r="AL356" i="23" s="1"/>
  <c r="Q317" i="1"/>
  <c r="C318" i="1"/>
  <c r="T227" i="1"/>
  <c r="R228" i="1"/>
  <c r="S227" i="1"/>
  <c r="E265" i="35" l="1"/>
  <c r="F264" i="35"/>
  <c r="AD350" i="23"/>
  <c r="N350" i="23"/>
  <c r="E362" i="23"/>
  <c r="Y349" i="23"/>
  <c r="AG349" i="23"/>
  <c r="S350" i="23"/>
  <c r="AL357" i="23" s="1"/>
  <c r="U350" i="23"/>
  <c r="C351" i="23"/>
  <c r="L351" i="23" s="1"/>
  <c r="AC365" i="23" s="1"/>
  <c r="Q318" i="1"/>
  <c r="C319" i="1"/>
  <c r="R229" i="1"/>
  <c r="T228" i="1"/>
  <c r="S228" i="1"/>
  <c r="E266" i="35" l="1"/>
  <c r="F265" i="35"/>
  <c r="E363" i="23"/>
  <c r="AD351" i="23"/>
  <c r="N351" i="23"/>
  <c r="Y350" i="23"/>
  <c r="AG350" i="23"/>
  <c r="C352" i="23"/>
  <c r="L352" i="23" s="1"/>
  <c r="AC366" i="23" s="1"/>
  <c r="U351" i="23"/>
  <c r="S351" i="23"/>
  <c r="AL358" i="23" s="1"/>
  <c r="C320" i="1"/>
  <c r="Q319" i="1"/>
  <c r="T229" i="1"/>
  <c r="R230" i="1"/>
  <c r="S229" i="1"/>
  <c r="E267" i="35" l="1"/>
  <c r="F266" i="35"/>
  <c r="E364" i="23"/>
  <c r="AD352" i="23"/>
  <c r="N352" i="23"/>
  <c r="Y351" i="23"/>
  <c r="AG351" i="23"/>
  <c r="S352" i="23"/>
  <c r="AL359" i="23" s="1"/>
  <c r="C353" i="23"/>
  <c r="L353" i="23" s="1"/>
  <c r="AC367" i="23" s="1"/>
  <c r="U352" i="23"/>
  <c r="Q320" i="1"/>
  <c r="C321" i="1"/>
  <c r="R231" i="1"/>
  <c r="T230" i="1"/>
  <c r="S230" i="1"/>
  <c r="E268" i="35" l="1"/>
  <c r="F267" i="35"/>
  <c r="AD353" i="23"/>
  <c r="N353" i="23"/>
  <c r="E365" i="23"/>
  <c r="Y352" i="23"/>
  <c r="AG352" i="23"/>
  <c r="C354" i="23"/>
  <c r="L354" i="23" s="1"/>
  <c r="AC368" i="23" s="1"/>
  <c r="U353" i="23"/>
  <c r="S353" i="23"/>
  <c r="AL360" i="23" s="1"/>
  <c r="Q321" i="1"/>
  <c r="C322" i="1"/>
  <c r="T231" i="1"/>
  <c r="R232" i="1"/>
  <c r="S231" i="1"/>
  <c r="E269" i="35" l="1"/>
  <c r="F268" i="35"/>
  <c r="E366" i="23"/>
  <c r="AD354" i="23"/>
  <c r="N354" i="23"/>
  <c r="Y353" i="23"/>
  <c r="AG353" i="23"/>
  <c r="S354" i="23"/>
  <c r="AL361" i="23" s="1"/>
  <c r="U354" i="23"/>
  <c r="C355" i="23"/>
  <c r="L355" i="23" s="1"/>
  <c r="AC369" i="23" s="1"/>
  <c r="C323" i="1"/>
  <c r="Q322" i="1"/>
  <c r="R233" i="1"/>
  <c r="T232" i="1"/>
  <c r="S232" i="1"/>
  <c r="E270" i="35" l="1"/>
  <c r="F269" i="35"/>
  <c r="AD355" i="23"/>
  <c r="N355" i="23"/>
  <c r="E367" i="23"/>
  <c r="Y354" i="23"/>
  <c r="AG354" i="23"/>
  <c r="C356" i="23"/>
  <c r="L356" i="23" s="1"/>
  <c r="AC370" i="23" s="1"/>
  <c r="U355" i="23"/>
  <c r="S355" i="23"/>
  <c r="AL362" i="23" s="1"/>
  <c r="C324" i="1"/>
  <c r="Q323" i="1"/>
  <c r="T233" i="1"/>
  <c r="R234" i="1"/>
  <c r="S233" i="1"/>
  <c r="E271" i="35" l="1"/>
  <c r="F270" i="35"/>
  <c r="AD356" i="23"/>
  <c r="N356" i="23"/>
  <c r="E368" i="23"/>
  <c r="Y355" i="23"/>
  <c r="AG355" i="23"/>
  <c r="S356" i="23"/>
  <c r="AL363" i="23" s="1"/>
  <c r="C357" i="23"/>
  <c r="L357" i="23" s="1"/>
  <c r="AC371" i="23" s="1"/>
  <c r="U356" i="23"/>
  <c r="Q324" i="1"/>
  <c r="C325" i="1"/>
  <c r="C326" i="1" s="1"/>
  <c r="C327" i="1" s="1"/>
  <c r="C328" i="1" s="1"/>
  <c r="C329" i="1" s="1"/>
  <c r="C330" i="1" s="1"/>
  <c r="C331" i="1" s="1"/>
  <c r="T234" i="1"/>
  <c r="R235" i="1"/>
  <c r="S234" i="1"/>
  <c r="E272" i="35" l="1"/>
  <c r="F271" i="35"/>
  <c r="AD357" i="23"/>
  <c r="N357" i="23"/>
  <c r="E369" i="23"/>
  <c r="Y356" i="23"/>
  <c r="AG356" i="23"/>
  <c r="C358" i="23"/>
  <c r="L358" i="23" s="1"/>
  <c r="AC372" i="23" s="1"/>
  <c r="U357" i="23"/>
  <c r="S357" i="23"/>
  <c r="AL364" i="23" s="1"/>
  <c r="C332" i="1"/>
  <c r="R236" i="1"/>
  <c r="T235" i="1"/>
  <c r="S235" i="1"/>
  <c r="E273" i="35" l="1"/>
  <c r="F272" i="35"/>
  <c r="E370" i="23"/>
  <c r="AD358" i="23"/>
  <c r="N358" i="23"/>
  <c r="Y357" i="23"/>
  <c r="AG357" i="23"/>
  <c r="C359" i="23"/>
  <c r="L359" i="23" s="1"/>
  <c r="AC373" i="23" s="1"/>
  <c r="S358" i="23"/>
  <c r="AL365" i="23" s="1"/>
  <c r="U358" i="23"/>
  <c r="C333" i="1"/>
  <c r="T236" i="1"/>
  <c r="R237" i="1"/>
  <c r="S236" i="1"/>
  <c r="E274" i="35" l="1"/>
  <c r="F273" i="35"/>
  <c r="E371" i="23"/>
  <c r="AD359" i="23"/>
  <c r="N359" i="23"/>
  <c r="Y358" i="23"/>
  <c r="AG358" i="23"/>
  <c r="C360" i="23"/>
  <c r="L360" i="23" s="1"/>
  <c r="AC374" i="23" s="1"/>
  <c r="S359" i="23"/>
  <c r="AL366" i="23" s="1"/>
  <c r="U359" i="23"/>
  <c r="C334" i="1"/>
  <c r="R238" i="1"/>
  <c r="T237" i="1"/>
  <c r="S237" i="1"/>
  <c r="E275" i="35" l="1"/>
  <c r="F274" i="35"/>
  <c r="E372" i="23"/>
  <c r="AD360" i="23"/>
  <c r="N360" i="23"/>
  <c r="Y359" i="23"/>
  <c r="AG359" i="23"/>
  <c r="C361" i="23"/>
  <c r="L361" i="23" s="1"/>
  <c r="AC375" i="23" s="1"/>
  <c r="S360" i="23"/>
  <c r="AL367" i="23" s="1"/>
  <c r="U360" i="23"/>
  <c r="C335" i="1"/>
  <c r="C336" i="1" s="1"/>
  <c r="R239" i="1"/>
  <c r="T238" i="1"/>
  <c r="S238" i="1"/>
  <c r="E276" i="35" l="1"/>
  <c r="F275" i="35"/>
  <c r="AD361" i="23"/>
  <c r="N361" i="23"/>
  <c r="E373" i="23"/>
  <c r="Y360" i="23"/>
  <c r="AG360" i="23"/>
  <c r="C362" i="23"/>
  <c r="L362" i="23" s="1"/>
  <c r="AC376" i="23" s="1"/>
  <c r="S361" i="23"/>
  <c r="AL368" i="23" s="1"/>
  <c r="U361" i="23"/>
  <c r="C337" i="1"/>
  <c r="R240" i="1"/>
  <c r="T239" i="1"/>
  <c r="S239" i="1"/>
  <c r="E277" i="35" l="1"/>
  <c r="F276" i="35"/>
  <c r="AD362" i="23"/>
  <c r="N362" i="23"/>
  <c r="E374" i="23"/>
  <c r="Y361" i="23"/>
  <c r="AG361" i="23"/>
  <c r="C363" i="23"/>
  <c r="L363" i="23" s="1"/>
  <c r="AC377" i="23" s="1"/>
  <c r="S362" i="23"/>
  <c r="AL369" i="23" s="1"/>
  <c r="U362" i="23"/>
  <c r="C338" i="1"/>
  <c r="R241" i="1"/>
  <c r="T240" i="1"/>
  <c r="S240" i="1"/>
  <c r="E278" i="35" l="1"/>
  <c r="F277" i="35"/>
  <c r="AD363" i="23"/>
  <c r="N363" i="23"/>
  <c r="E375" i="23"/>
  <c r="Y362" i="23"/>
  <c r="AG362" i="23"/>
  <c r="U363" i="23"/>
  <c r="C364" i="23"/>
  <c r="L364" i="23" s="1"/>
  <c r="AC378" i="23" s="1"/>
  <c r="S363" i="23"/>
  <c r="AL370" i="23" s="1"/>
  <c r="C339" i="1"/>
  <c r="R242" i="1"/>
  <c r="T241" i="1"/>
  <c r="S241" i="1"/>
  <c r="E279" i="35" l="1"/>
  <c r="F278" i="35"/>
  <c r="AD364" i="23"/>
  <c r="N364" i="23"/>
  <c r="E376" i="23"/>
  <c r="Y363" i="23"/>
  <c r="AG363" i="23"/>
  <c r="U364" i="23"/>
  <c r="C365" i="23"/>
  <c r="L365" i="23" s="1"/>
  <c r="AC379" i="23" s="1"/>
  <c r="S364" i="23"/>
  <c r="AL371" i="23" s="1"/>
  <c r="C340" i="1"/>
  <c r="R243" i="1"/>
  <c r="T242" i="1"/>
  <c r="S242" i="1"/>
  <c r="E280" i="35" l="1"/>
  <c r="F279" i="35"/>
  <c r="AD365" i="23"/>
  <c r="N365" i="23"/>
  <c r="E377" i="23"/>
  <c r="Y364" i="23"/>
  <c r="AG364" i="23"/>
  <c r="U365" i="23"/>
  <c r="C366" i="23"/>
  <c r="L366" i="23" s="1"/>
  <c r="AC380" i="23" s="1"/>
  <c r="S365" i="23"/>
  <c r="AL372" i="23" s="1"/>
  <c r="C341" i="1"/>
  <c r="R244" i="1"/>
  <c r="T243" i="1"/>
  <c r="S243" i="1"/>
  <c r="E281" i="35" l="1"/>
  <c r="F280" i="35"/>
  <c r="AD366" i="23"/>
  <c r="N366" i="23"/>
  <c r="E378" i="23"/>
  <c r="Y365" i="23"/>
  <c r="AG365" i="23"/>
  <c r="U366" i="23"/>
  <c r="C367" i="23"/>
  <c r="L367" i="23" s="1"/>
  <c r="AC381" i="23" s="1"/>
  <c r="S366" i="23"/>
  <c r="AL373" i="23" s="1"/>
  <c r="C342" i="1"/>
  <c r="R245" i="1"/>
  <c r="T244" i="1"/>
  <c r="S244" i="1"/>
  <c r="E282" i="35" l="1"/>
  <c r="F281" i="35"/>
  <c r="AD367" i="23"/>
  <c r="N367" i="23"/>
  <c r="E379" i="23"/>
  <c r="Y366" i="23"/>
  <c r="AG366" i="23"/>
  <c r="U367" i="23"/>
  <c r="C368" i="23"/>
  <c r="L368" i="23" s="1"/>
  <c r="AC382" i="23" s="1"/>
  <c r="S367" i="23"/>
  <c r="AL374" i="23" s="1"/>
  <c r="C343" i="1"/>
  <c r="C344" i="1" s="1"/>
  <c r="C345" i="1" s="1"/>
  <c r="C346" i="1" s="1"/>
  <c r="C347" i="1" s="1"/>
  <c r="C348" i="1" s="1"/>
  <c r="C349" i="1" s="1"/>
  <c r="C350" i="1" s="1"/>
  <c r="C351" i="1" s="1"/>
  <c r="C352" i="1" s="1"/>
  <c r="C353" i="1" s="1"/>
  <c r="C354" i="1" s="1"/>
  <c r="C355" i="1" s="1"/>
  <c r="C356" i="1" s="1"/>
  <c r="C357" i="1" s="1"/>
  <c r="C358" i="1" s="1"/>
  <c r="C359" i="1" s="1"/>
  <c r="C360" i="1" s="1"/>
  <c r="C361" i="1" s="1"/>
  <c r="T245" i="1"/>
  <c r="S245" i="1"/>
  <c r="E283" i="35" l="1"/>
  <c r="F282" i="35"/>
  <c r="AD368" i="23"/>
  <c r="N368" i="23"/>
  <c r="E380" i="23"/>
  <c r="Y367" i="23"/>
  <c r="AG367" i="23"/>
  <c r="U368" i="23"/>
  <c r="C369" i="23"/>
  <c r="L369" i="23" s="1"/>
  <c r="AC383" i="23" s="1"/>
  <c r="S368" i="23"/>
  <c r="AL375" i="23" s="1"/>
  <c r="C362" i="1"/>
  <c r="R246" i="1"/>
  <c r="E284" i="35" l="1"/>
  <c r="F283" i="35"/>
  <c r="AD369" i="23"/>
  <c r="N369" i="23"/>
  <c r="E381" i="23"/>
  <c r="Y368" i="23"/>
  <c r="AG368" i="23"/>
  <c r="U369" i="23"/>
  <c r="C370" i="23"/>
  <c r="S369" i="23"/>
  <c r="AL376" i="23" s="1"/>
  <c r="C363" i="1"/>
  <c r="R247" i="1"/>
  <c r="E285" i="35" l="1"/>
  <c r="F284" i="35"/>
  <c r="AD370" i="23"/>
  <c r="L370" i="23"/>
  <c r="AC384" i="23" s="1"/>
  <c r="E382" i="23"/>
  <c r="Y369" i="23"/>
  <c r="AG369" i="23"/>
  <c r="C371" i="23"/>
  <c r="L371" i="23" s="1"/>
  <c r="AC385" i="23" s="1"/>
  <c r="S370" i="23"/>
  <c r="AL377" i="23" s="1"/>
  <c r="U370" i="23"/>
  <c r="C364" i="1"/>
  <c r="R248" i="1"/>
  <c r="E286" i="35" l="1"/>
  <c r="F285" i="35"/>
  <c r="AD371" i="23"/>
  <c r="N371" i="23"/>
  <c r="E383" i="23"/>
  <c r="Y370" i="23"/>
  <c r="AG370" i="23"/>
  <c r="U371" i="23"/>
  <c r="S371" i="23"/>
  <c r="AL378" i="23" s="1"/>
  <c r="C372" i="23"/>
  <c r="L372" i="23" s="1"/>
  <c r="AC386" i="23" s="1"/>
  <c r="C365" i="1"/>
  <c r="C366" i="1" s="1"/>
  <c r="C367" i="1" s="1"/>
  <c r="C368" i="1" s="1"/>
  <c r="C369" i="1" s="1"/>
  <c r="C370" i="1" s="1"/>
  <c r="C371" i="1" s="1"/>
  <c r="C372" i="1" s="1"/>
  <c r="C373" i="1" s="1"/>
  <c r="C374" i="1" s="1"/>
  <c r="C375" i="1" s="1"/>
  <c r="C376" i="1" s="1"/>
  <c r="C377" i="1" s="1"/>
  <c r="C378" i="1" s="1"/>
  <c r="C379" i="1" s="1"/>
  <c r="C380" i="1" s="1"/>
  <c r="C381" i="1" s="1"/>
  <c r="R249" i="1"/>
  <c r="E287" i="35" l="1"/>
  <c r="F286" i="35"/>
  <c r="E384" i="23"/>
  <c r="AD372" i="23"/>
  <c r="N372" i="23"/>
  <c r="Y371" i="23"/>
  <c r="AG371" i="23"/>
  <c r="C373" i="23"/>
  <c r="L373" i="23" s="1"/>
  <c r="AC387" i="23" s="1"/>
  <c r="S372" i="23"/>
  <c r="AL379" i="23" s="1"/>
  <c r="U372" i="23"/>
  <c r="C382" i="1"/>
  <c r="C383" i="1" s="1"/>
  <c r="C384" i="1" s="1"/>
  <c r="C385" i="1" s="1"/>
  <c r="C386" i="1" s="1"/>
  <c r="C387" i="1" s="1"/>
  <c r="C388" i="1" s="1"/>
  <c r="C389" i="1" s="1"/>
  <c r="C390" i="1" s="1"/>
  <c r="C391" i="1" s="1"/>
  <c r="C392" i="1" s="1"/>
  <c r="C393" i="1" s="1"/>
  <c r="C394" i="1" s="1"/>
  <c r="C395" i="1" s="1"/>
  <c r="C396" i="1" s="1"/>
  <c r="R250" i="1"/>
  <c r="E288" i="35" l="1"/>
  <c r="F287" i="35"/>
  <c r="AD373" i="23"/>
  <c r="N373" i="23"/>
  <c r="E385" i="23"/>
  <c r="Y372" i="23"/>
  <c r="AG372" i="23"/>
  <c r="S373" i="23"/>
  <c r="AL380" i="23" s="1"/>
  <c r="U373" i="23"/>
  <c r="C374" i="23"/>
  <c r="L374" i="23" s="1"/>
  <c r="AC388" i="23" s="1"/>
  <c r="C397" i="1"/>
  <c r="R251" i="1"/>
  <c r="E289" i="35" l="1"/>
  <c r="F288" i="35"/>
  <c r="E386" i="23"/>
  <c r="AD374" i="23"/>
  <c r="N374" i="23"/>
  <c r="Y373" i="23"/>
  <c r="AG373" i="23"/>
  <c r="C375" i="23"/>
  <c r="L375" i="23" s="1"/>
  <c r="AC389" i="23" s="1"/>
  <c r="S374" i="23"/>
  <c r="AL381" i="23" s="1"/>
  <c r="U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R252" i="1"/>
  <c r="E290" i="35" l="1"/>
  <c r="F289" i="35"/>
  <c r="C462" i="1"/>
  <c r="AD375" i="23"/>
  <c r="N375" i="23"/>
  <c r="E387" i="23"/>
  <c r="Y374" i="23"/>
  <c r="AG374" i="23"/>
  <c r="U375" i="23"/>
  <c r="S375" i="23"/>
  <c r="AL382" i="23" s="1"/>
  <c r="C376" i="23"/>
  <c r="L376" i="23" s="1"/>
  <c r="AC390" i="23" s="1"/>
  <c r="R253" i="1"/>
  <c r="E291" i="35" l="1"/>
  <c r="F290" i="35"/>
  <c r="C463" i="1"/>
  <c r="C464" i="1" s="1"/>
  <c r="C465" i="1" s="1"/>
  <c r="C466" i="1" s="1"/>
  <c r="C467" i="1" s="1"/>
  <c r="C468" i="1" s="1"/>
  <c r="C469" i="1" s="1"/>
  <c r="C470" i="1" s="1"/>
  <c r="C471" i="1" s="1"/>
  <c r="C472" i="1" s="1"/>
  <c r="C473" i="1" s="1"/>
  <c r="E388" i="23"/>
  <c r="AD376" i="23"/>
  <c r="N376" i="23"/>
  <c r="Y375" i="23"/>
  <c r="AG375" i="23"/>
  <c r="C377" i="23"/>
  <c r="L377" i="23" s="1"/>
  <c r="AC391" i="23" s="1"/>
  <c r="U376" i="23"/>
  <c r="S376" i="23"/>
  <c r="AL383" i="23" s="1"/>
  <c r="R254" i="1"/>
  <c r="C474" i="1" l="1"/>
  <c r="R473" i="1"/>
  <c r="T473" i="1"/>
  <c r="E292" i="35"/>
  <c r="F291" i="35"/>
  <c r="E389" i="23"/>
  <c r="AD377" i="23"/>
  <c r="N377" i="23"/>
  <c r="Y376" i="23"/>
  <c r="AG376" i="23"/>
  <c r="S377" i="23"/>
  <c r="AL384" i="23" s="1"/>
  <c r="U377" i="23"/>
  <c r="C378" i="23"/>
  <c r="L378" i="23" s="1"/>
  <c r="AC392" i="23" s="1"/>
  <c r="R255" i="1"/>
  <c r="C475" i="1" l="1"/>
  <c r="C476" i="1" s="1"/>
  <c r="R474" i="1"/>
  <c r="T474" i="1"/>
  <c r="E293" i="35"/>
  <c r="F292" i="35"/>
  <c r="AD378" i="23"/>
  <c r="N378" i="23"/>
  <c r="E390" i="23"/>
  <c r="Y377" i="23"/>
  <c r="AG377" i="23"/>
  <c r="U378" i="23"/>
  <c r="C379" i="23"/>
  <c r="L379" i="23" s="1"/>
  <c r="AC393" i="23" s="1"/>
  <c r="S378" i="23"/>
  <c r="AL385" i="23" s="1"/>
  <c r="R256" i="1"/>
  <c r="C477" i="1" l="1"/>
  <c r="R476" i="1"/>
  <c r="T476" i="1"/>
  <c r="R475" i="1"/>
  <c r="T475" i="1"/>
  <c r="E294" i="35"/>
  <c r="F293" i="35"/>
  <c r="E391" i="23"/>
  <c r="AD379" i="23"/>
  <c r="N379" i="23"/>
  <c r="Y378" i="23"/>
  <c r="AG378" i="23"/>
  <c r="C380" i="23"/>
  <c r="L380" i="23" s="1"/>
  <c r="AC394" i="23" s="1"/>
  <c r="U379" i="23"/>
  <c r="S379" i="23"/>
  <c r="AL386" i="23" s="1"/>
  <c r="R257" i="1"/>
  <c r="C478" i="1" l="1"/>
  <c r="T477" i="1"/>
  <c r="R477" i="1"/>
  <c r="E295" i="35"/>
  <c r="F294" i="35"/>
  <c r="AD380" i="23"/>
  <c r="N380" i="23"/>
  <c r="E392" i="23"/>
  <c r="Y379" i="23"/>
  <c r="AG379" i="23"/>
  <c r="S380" i="23"/>
  <c r="AL387" i="23" s="1"/>
  <c r="U380" i="23"/>
  <c r="C381" i="23"/>
  <c r="L381" i="23" s="1"/>
  <c r="AC395" i="23" s="1"/>
  <c r="R258" i="1"/>
  <c r="D7063" i="3"/>
  <c r="C479" i="1" l="1"/>
  <c r="R478" i="1"/>
  <c r="T478" i="1"/>
  <c r="E296" i="35"/>
  <c r="F295" i="35"/>
  <c r="E393" i="23"/>
  <c r="AD381" i="23"/>
  <c r="N381" i="23"/>
  <c r="Y380" i="23"/>
  <c r="AG380" i="23"/>
  <c r="C382" i="23"/>
  <c r="L382" i="23" s="1"/>
  <c r="AC396" i="23" s="1"/>
  <c r="U381" i="23"/>
  <c r="S381" i="23"/>
  <c r="AL388" i="23" s="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D11000" i="3" s="1"/>
  <c r="D11024" i="3" s="1"/>
  <c r="D11048" i="3" s="1"/>
  <c r="D11072" i="3" s="1"/>
  <c r="D11096" i="3" s="1"/>
  <c r="D11120" i="3" s="1"/>
  <c r="D11144" i="3" s="1"/>
  <c r="D11168" i="3" s="1"/>
  <c r="D11192" i="3" s="1"/>
  <c r="D11216" i="3" s="1"/>
  <c r="D11240" i="3" s="1"/>
  <c r="D11264" i="3" s="1"/>
  <c r="D11288" i="3" s="1"/>
  <c r="C480" i="1" l="1"/>
  <c r="T479" i="1"/>
  <c r="R479" i="1"/>
  <c r="D11312" i="3"/>
  <c r="D11336" i="3" s="1"/>
  <c r="D11360" i="3" s="1"/>
  <c r="D11384" i="3" s="1"/>
  <c r="D11408" i="3" s="1"/>
  <c r="D11432" i="3" s="1"/>
  <c r="D11456" i="3" s="1"/>
  <c r="D11480" i="3" s="1"/>
  <c r="D11504" i="3" s="1"/>
  <c r="D11528" i="3" s="1"/>
  <c r="D11552" i="3" s="1"/>
  <c r="D11576" i="3" s="1"/>
  <c r="D11600" i="3" s="1"/>
  <c r="D11624" i="3" s="1"/>
  <c r="D11648" i="3" s="1"/>
  <c r="D11672" i="3" s="1"/>
  <c r="D11696" i="3" s="1"/>
  <c r="D11720" i="3" s="1"/>
  <c r="D11744" i="3" s="1"/>
  <c r="D11768" i="3" s="1"/>
  <c r="D11792" i="3" s="1"/>
  <c r="E297" i="35"/>
  <c r="F296" i="35"/>
  <c r="AD382" i="23"/>
  <c r="N382" i="23"/>
  <c r="E394" i="23"/>
  <c r="Y381" i="23"/>
  <c r="AG381" i="23"/>
  <c r="U382" i="23"/>
  <c r="C383" i="23"/>
  <c r="L383" i="23" s="1"/>
  <c r="AC397" i="23" s="1"/>
  <c r="S382" i="23"/>
  <c r="AL389" i="23" s="1"/>
  <c r="R260" i="1"/>
  <c r="C481" i="1" l="1"/>
  <c r="T480" i="1"/>
  <c r="R480" i="1"/>
  <c r="E298" i="35"/>
  <c r="F297" i="35"/>
  <c r="E395" i="23"/>
  <c r="AD383" i="23"/>
  <c r="N383" i="23"/>
  <c r="Y382" i="23"/>
  <c r="AG382" i="23"/>
  <c r="C384" i="23"/>
  <c r="L384" i="23" s="1"/>
  <c r="AC398" i="23" s="1"/>
  <c r="S383" i="23"/>
  <c r="AL390" i="23" s="1"/>
  <c r="U383" i="23"/>
  <c r="R261" i="1"/>
  <c r="C482" i="1" l="1"/>
  <c r="T481" i="1"/>
  <c r="R481" i="1"/>
  <c r="E299" i="35"/>
  <c r="F298" i="35"/>
  <c r="AD384" i="23"/>
  <c r="N384" i="23"/>
  <c r="E396" i="23"/>
  <c r="Y383" i="23"/>
  <c r="AG383" i="23"/>
  <c r="C385" i="23"/>
  <c r="L385" i="23" s="1"/>
  <c r="AC399" i="23" s="1"/>
  <c r="S384" i="23"/>
  <c r="AL391" i="23" s="1"/>
  <c r="U384" i="23"/>
  <c r="R262" i="1"/>
  <c r="C483" i="1" l="1"/>
  <c r="T482" i="1"/>
  <c r="R482" i="1"/>
  <c r="E300" i="35"/>
  <c r="F299" i="35"/>
  <c r="AD385" i="23"/>
  <c r="N385" i="23"/>
  <c r="E397" i="23"/>
  <c r="Y384" i="23"/>
  <c r="AG384" i="23"/>
  <c r="S385" i="23"/>
  <c r="AL392" i="23" s="1"/>
  <c r="U385" i="23"/>
  <c r="C386" i="23"/>
  <c r="L386" i="23" s="1"/>
  <c r="AC400" i="23" s="1"/>
  <c r="R263" i="1"/>
  <c r="T483" i="1" l="1"/>
  <c r="C484" i="1"/>
  <c r="C485" i="1" s="1"/>
  <c r="R483" i="1"/>
  <c r="E301" i="35"/>
  <c r="F300" i="35"/>
  <c r="E398" i="23"/>
  <c r="AD386" i="23"/>
  <c r="N386" i="23"/>
  <c r="Y385" i="23"/>
  <c r="AG385" i="23"/>
  <c r="U386" i="23"/>
  <c r="C387" i="23"/>
  <c r="L387" i="23" s="1"/>
  <c r="AC401" i="23" s="1"/>
  <c r="S386" i="23"/>
  <c r="AL393" i="23" s="1"/>
  <c r="R264" i="1"/>
  <c r="C486" i="1" l="1"/>
  <c r="T485" i="1"/>
  <c r="R485" i="1"/>
  <c r="R484" i="1"/>
  <c r="T484" i="1"/>
  <c r="E302" i="35"/>
  <c r="F301" i="35"/>
  <c r="AD387" i="23"/>
  <c r="N387" i="23"/>
  <c r="E399" i="23"/>
  <c r="Y386" i="23"/>
  <c r="AG386" i="23"/>
  <c r="U387" i="23"/>
  <c r="C388" i="23"/>
  <c r="L388" i="23" s="1"/>
  <c r="AC402" i="23" s="1"/>
  <c r="S387" i="23"/>
  <c r="AL394" i="23" s="1"/>
  <c r="R265" i="1"/>
  <c r="C487" i="1" l="1"/>
  <c r="R486" i="1"/>
  <c r="T486" i="1"/>
  <c r="E303" i="35"/>
  <c r="F302" i="35"/>
  <c r="E400" i="23"/>
  <c r="AD388" i="23"/>
  <c r="N388" i="23"/>
  <c r="Y387" i="23"/>
  <c r="AG387" i="23"/>
  <c r="C389" i="23"/>
  <c r="L389" i="23" s="1"/>
  <c r="AC403" i="23" s="1"/>
  <c r="S388" i="23"/>
  <c r="AL395" i="23" s="1"/>
  <c r="U388" i="23"/>
  <c r="R266" i="1"/>
  <c r="C488" i="1" l="1"/>
  <c r="T487" i="1"/>
  <c r="R487" i="1"/>
  <c r="E304" i="35"/>
  <c r="F303" i="35"/>
  <c r="AD389" i="23"/>
  <c r="N389" i="23"/>
  <c r="E401" i="23"/>
  <c r="Q401" i="23"/>
  <c r="Y388" i="23"/>
  <c r="AG388" i="23"/>
  <c r="C390" i="23"/>
  <c r="L390" i="23" s="1"/>
  <c r="AC404" i="23" s="1"/>
  <c r="S389" i="23"/>
  <c r="AL396" i="23" s="1"/>
  <c r="U389" i="23"/>
  <c r="R267" i="1"/>
  <c r="C489" i="1" l="1"/>
  <c r="T488" i="1"/>
  <c r="R488" i="1"/>
  <c r="E305" i="35"/>
  <c r="F304" i="35"/>
  <c r="AD390" i="23"/>
  <c r="N390" i="23"/>
  <c r="E402" i="23"/>
  <c r="Y389" i="23"/>
  <c r="AG389" i="23"/>
  <c r="S390" i="23"/>
  <c r="AL397" i="23" s="1"/>
  <c r="C391" i="23"/>
  <c r="L391" i="23" s="1"/>
  <c r="AC405" i="23" s="1"/>
  <c r="U390" i="23"/>
  <c r="R268" i="1"/>
  <c r="C490" i="1" l="1"/>
  <c r="R489" i="1"/>
  <c r="T489" i="1"/>
  <c r="E306" i="35"/>
  <c r="F305" i="35"/>
  <c r="AD391" i="23"/>
  <c r="N391" i="23"/>
  <c r="E403" i="23"/>
  <c r="Y390" i="23"/>
  <c r="AG390" i="23"/>
  <c r="U391" i="23"/>
  <c r="S391" i="23"/>
  <c r="AL398" i="23" s="1"/>
  <c r="C392" i="23"/>
  <c r="L392" i="23" s="1"/>
  <c r="AC406" i="23" s="1"/>
  <c r="R269" i="1"/>
  <c r="C491" i="1" l="1"/>
  <c r="R490" i="1"/>
  <c r="T490" i="1"/>
  <c r="E307" i="35"/>
  <c r="F306" i="35"/>
  <c r="E404" i="23"/>
  <c r="AD392" i="23"/>
  <c r="N392" i="23"/>
  <c r="Y391" i="23"/>
  <c r="AG391" i="23"/>
  <c r="U392" i="23"/>
  <c r="C393" i="23"/>
  <c r="L393" i="23" s="1"/>
  <c r="AC407" i="23" s="1"/>
  <c r="S392" i="23"/>
  <c r="AL399" i="23" s="1"/>
  <c r="R270" i="1"/>
  <c r="C492" i="1" l="1"/>
  <c r="R491" i="1"/>
  <c r="T491" i="1"/>
  <c r="E308" i="35"/>
  <c r="F307" i="35"/>
  <c r="AD393" i="23"/>
  <c r="N393" i="23"/>
  <c r="E405" i="23"/>
  <c r="Y392" i="23"/>
  <c r="AG392" i="23"/>
  <c r="C394" i="23"/>
  <c r="L394" i="23" s="1"/>
  <c r="AC408" i="23" s="1"/>
  <c r="S393" i="23"/>
  <c r="AL400" i="23" s="1"/>
  <c r="U393" i="23"/>
  <c r="R271" i="1"/>
  <c r="C493" i="1" l="1"/>
  <c r="R492" i="1"/>
  <c r="T492" i="1"/>
  <c r="E309" i="35"/>
  <c r="F308" i="35"/>
  <c r="AD394" i="23"/>
  <c r="N394" i="23"/>
  <c r="E406" i="23"/>
  <c r="Y393" i="23"/>
  <c r="AG393" i="23"/>
  <c r="S394" i="23"/>
  <c r="AL401" i="23" s="1"/>
  <c r="U394" i="23"/>
  <c r="C395" i="23"/>
  <c r="L395" i="23" s="1"/>
  <c r="AC409" i="23" s="1"/>
  <c r="R272" i="1"/>
  <c r="C494" i="1" l="1"/>
  <c r="T493" i="1"/>
  <c r="R493" i="1"/>
  <c r="E310" i="35"/>
  <c r="F309" i="35"/>
  <c r="E407" i="23"/>
  <c r="N395" i="23"/>
  <c r="AD395" i="23"/>
  <c r="Y394" i="23"/>
  <c r="AG394" i="23"/>
  <c r="S395" i="23"/>
  <c r="AL402" i="23" s="1"/>
  <c r="U395" i="23"/>
  <c r="C396" i="23"/>
  <c r="L396" i="23" s="1"/>
  <c r="AC410" i="23" s="1"/>
  <c r="R273" i="1"/>
  <c r="C495" i="1" l="1"/>
  <c r="R494" i="1"/>
  <c r="T494" i="1"/>
  <c r="E311" i="35"/>
  <c r="F310" i="35"/>
  <c r="N396" i="23"/>
  <c r="AD396" i="23"/>
  <c r="E408" i="23"/>
  <c r="Y395" i="23"/>
  <c r="AG395" i="23"/>
  <c r="S396" i="23"/>
  <c r="AL403" i="23" s="1"/>
  <c r="U396" i="23"/>
  <c r="C397" i="23"/>
  <c r="L397" i="23" s="1"/>
  <c r="AC411" i="23" s="1"/>
  <c r="R274" i="1"/>
  <c r="C496" i="1" l="1"/>
  <c r="C497" i="1" s="1"/>
  <c r="T495" i="1"/>
  <c r="R495" i="1"/>
  <c r="E312" i="35"/>
  <c r="F311" i="35"/>
  <c r="E409" i="23"/>
  <c r="N397" i="23"/>
  <c r="AD397" i="23"/>
  <c r="Y396" i="23"/>
  <c r="AG396" i="23"/>
  <c r="S397" i="23"/>
  <c r="AL404" i="23" s="1"/>
  <c r="C398" i="23"/>
  <c r="L398" i="23" s="1"/>
  <c r="AC412" i="23" s="1"/>
  <c r="U397" i="23"/>
  <c r="R275" i="1"/>
  <c r="C498" i="1" l="1"/>
  <c r="T497" i="1"/>
  <c r="R497" i="1"/>
  <c r="R496" i="1"/>
  <c r="T496" i="1"/>
  <c r="E313" i="35"/>
  <c r="F312" i="35"/>
  <c r="U398" i="23"/>
  <c r="E410" i="23"/>
  <c r="Y397" i="23"/>
  <c r="AG397" i="23"/>
  <c r="S398" i="23"/>
  <c r="C399" i="23"/>
  <c r="L399" i="23" s="1"/>
  <c r="AC413" i="23" s="1"/>
  <c r="R276" i="1"/>
  <c r="C499" i="1" l="1"/>
  <c r="T498" i="1"/>
  <c r="R498" i="1"/>
  <c r="E314" i="35"/>
  <c r="F313" i="35"/>
  <c r="E411" i="23"/>
  <c r="N398" i="23"/>
  <c r="AD398" i="23"/>
  <c r="N399" i="23"/>
  <c r="AD399" i="23"/>
  <c r="Y398" i="23"/>
  <c r="AL405" i="23"/>
  <c r="C400" i="23"/>
  <c r="L400" i="23" s="1"/>
  <c r="AC414" i="23" s="1"/>
  <c r="U399" i="23"/>
  <c r="AG398" i="23"/>
  <c r="S399" i="23"/>
  <c r="R277" i="1"/>
  <c r="C500" i="1" l="1"/>
  <c r="T499" i="1"/>
  <c r="R499" i="1"/>
  <c r="E315" i="35"/>
  <c r="F314" i="35"/>
  <c r="N400" i="23"/>
  <c r="AD400" i="23"/>
  <c r="E412" i="23"/>
  <c r="Y399" i="23"/>
  <c r="AL406" i="23"/>
  <c r="C401" i="23"/>
  <c r="L401" i="23" s="1"/>
  <c r="AC415" i="23" s="1"/>
  <c r="U400" i="23"/>
  <c r="AG399" i="23"/>
  <c r="S400" i="23"/>
  <c r="T278" i="1"/>
  <c r="R278" i="1"/>
  <c r="C501" i="1" l="1"/>
  <c r="R500" i="1"/>
  <c r="T500" i="1"/>
  <c r="E316" i="35"/>
  <c r="F315" i="35"/>
  <c r="N401" i="23"/>
  <c r="AD401" i="23"/>
  <c r="E413" i="23"/>
  <c r="Y400" i="23"/>
  <c r="AL407" i="23"/>
  <c r="C402" i="23"/>
  <c r="L402" i="23" s="1"/>
  <c r="AC416" i="23" s="1"/>
  <c r="U401" i="23"/>
  <c r="AG400" i="23"/>
  <c r="S401" i="23"/>
  <c r="T279" i="1"/>
  <c r="R279" i="1"/>
  <c r="C502" i="1" l="1"/>
  <c r="T501" i="1"/>
  <c r="R501" i="1"/>
  <c r="E317" i="35"/>
  <c r="F316" i="35"/>
  <c r="N402" i="23"/>
  <c r="AD402" i="23"/>
  <c r="E414" i="23"/>
  <c r="Y401" i="23"/>
  <c r="AL408" i="23"/>
  <c r="C403" i="23"/>
  <c r="L403" i="23" s="1"/>
  <c r="AC417" i="23" s="1"/>
  <c r="U402" i="23"/>
  <c r="AG401" i="23"/>
  <c r="O402" i="23"/>
  <c r="S402" i="23"/>
  <c r="Q402" i="23"/>
  <c r="R280" i="1"/>
  <c r="T280" i="1"/>
  <c r="C503" i="1" l="1"/>
  <c r="T502" i="1"/>
  <c r="R502" i="1"/>
  <c r="E318" i="35"/>
  <c r="F317" i="35"/>
  <c r="N403" i="23"/>
  <c r="AD403" i="23"/>
  <c r="E415" i="23"/>
  <c r="Y402" i="23"/>
  <c r="AL409" i="23"/>
  <c r="C404" i="23"/>
  <c r="L404" i="23" s="1"/>
  <c r="AC418" i="23" s="1"/>
  <c r="U403" i="23"/>
  <c r="AG402" i="23"/>
  <c r="S403" i="23"/>
  <c r="R281" i="1"/>
  <c r="T281" i="1"/>
  <c r="C504" i="1" l="1"/>
  <c r="R503" i="1"/>
  <c r="T503" i="1"/>
  <c r="E319" i="35"/>
  <c r="F318" i="35"/>
  <c r="N404" i="23"/>
  <c r="AD404" i="23"/>
  <c r="E416" i="23"/>
  <c r="Y403" i="23"/>
  <c r="AL410" i="23"/>
  <c r="C405" i="23"/>
  <c r="L405" i="23" s="1"/>
  <c r="AC419" i="23" s="1"/>
  <c r="U404" i="23"/>
  <c r="AG403" i="23"/>
  <c r="S404" i="23"/>
  <c r="R282" i="1"/>
  <c r="T282" i="1"/>
  <c r="C505" i="1" l="1"/>
  <c r="C506" i="1" s="1"/>
  <c r="R504" i="1"/>
  <c r="T504" i="1"/>
  <c r="E320" i="35"/>
  <c r="F319" i="35"/>
  <c r="N405" i="23"/>
  <c r="AD405" i="23"/>
  <c r="E417" i="23"/>
  <c r="Y404" i="23"/>
  <c r="AL411" i="23"/>
  <c r="C406" i="23"/>
  <c r="L406" i="23" s="1"/>
  <c r="AC420" i="23" s="1"/>
  <c r="U405" i="23"/>
  <c r="AG404" i="23"/>
  <c r="S405" i="23"/>
  <c r="AL412" i="23" s="1"/>
  <c r="R283" i="1"/>
  <c r="T283" i="1"/>
  <c r="C507" i="1" l="1"/>
  <c r="R506" i="1"/>
  <c r="T506" i="1"/>
  <c r="R505" i="1"/>
  <c r="T505" i="1"/>
  <c r="E321" i="35"/>
  <c r="F320" i="35"/>
  <c r="E418" i="23"/>
  <c r="S406" i="23"/>
  <c r="Y406" i="23" s="1"/>
  <c r="AG405" i="23"/>
  <c r="Y405" i="23"/>
  <c r="C407" i="23"/>
  <c r="L407" i="23" s="1"/>
  <c r="AC421" i="23" s="1"/>
  <c r="U406" i="23"/>
  <c r="R284" i="1"/>
  <c r="T284" i="1"/>
  <c r="C508" i="1" l="1"/>
  <c r="R507" i="1"/>
  <c r="T507" i="1"/>
  <c r="AG406" i="23"/>
  <c r="E322" i="35"/>
  <c r="F321" i="35"/>
  <c r="N406" i="23"/>
  <c r="AD406" i="23"/>
  <c r="AL413" i="23"/>
  <c r="E419" i="23"/>
  <c r="S407" i="23"/>
  <c r="AL414" i="23" s="1"/>
  <c r="C408" i="23"/>
  <c r="L408" i="23" s="1"/>
  <c r="AC422" i="23" s="1"/>
  <c r="U407" i="23"/>
  <c r="R285" i="1"/>
  <c r="T285" i="1"/>
  <c r="C509" i="1" l="1"/>
  <c r="R508" i="1"/>
  <c r="T508" i="1"/>
  <c r="E323" i="35"/>
  <c r="F322" i="35"/>
  <c r="AG407" i="23"/>
  <c r="E420" i="23"/>
  <c r="N407" i="23"/>
  <c r="AD407" i="23"/>
  <c r="Y407" i="23"/>
  <c r="C409" i="23"/>
  <c r="L409" i="23" s="1"/>
  <c r="AC423" i="23" s="1"/>
  <c r="S408" i="23"/>
  <c r="U408" i="23"/>
  <c r="R286" i="1"/>
  <c r="T286" i="1"/>
  <c r="C510" i="1" l="1"/>
  <c r="T509" i="1"/>
  <c r="R509" i="1"/>
  <c r="E324" i="35"/>
  <c r="F323" i="35"/>
  <c r="N408" i="23"/>
  <c r="AD408" i="23"/>
  <c r="E421" i="23"/>
  <c r="Y408" i="23"/>
  <c r="AL415" i="23"/>
  <c r="AG408" i="23"/>
  <c r="C410" i="23"/>
  <c r="L410" i="23" s="1"/>
  <c r="AC424" i="23" s="1"/>
  <c r="S409" i="23"/>
  <c r="AL416" i="23" s="1"/>
  <c r="U409" i="23"/>
  <c r="R287" i="1"/>
  <c r="T287" i="1"/>
  <c r="C511" i="1" l="1"/>
  <c r="T510" i="1"/>
  <c r="R510" i="1"/>
  <c r="E325" i="35"/>
  <c r="F324" i="35"/>
  <c r="N409" i="23"/>
  <c r="AD409" i="23"/>
  <c r="E422" i="23"/>
  <c r="Y409" i="23"/>
  <c r="AG409" i="23"/>
  <c r="C411" i="23"/>
  <c r="L411" i="23" s="1"/>
  <c r="AC425" i="23" s="1"/>
  <c r="U410" i="23"/>
  <c r="S410" i="23"/>
  <c r="AL417" i="23" s="1"/>
  <c r="R288" i="1"/>
  <c r="T288" i="1"/>
  <c r="C512" i="1" l="1"/>
  <c r="R511" i="1"/>
  <c r="T511" i="1"/>
  <c r="E326" i="35"/>
  <c r="F325" i="35"/>
  <c r="N410" i="23"/>
  <c r="AD410" i="23"/>
  <c r="E423" i="23"/>
  <c r="Y410" i="23"/>
  <c r="AG410" i="23"/>
  <c r="C412" i="23"/>
  <c r="L412" i="23" s="1"/>
  <c r="AC426" i="23" s="1"/>
  <c r="U411" i="23"/>
  <c r="S411" i="23"/>
  <c r="AL418" i="23" s="1"/>
  <c r="R289" i="1"/>
  <c r="T289" i="1"/>
  <c r="C513" i="1" l="1"/>
  <c r="R512" i="1"/>
  <c r="T512" i="1"/>
  <c r="E327" i="35"/>
  <c r="F326" i="35"/>
  <c r="N411" i="23"/>
  <c r="AD411" i="23"/>
  <c r="E424" i="23"/>
  <c r="Y411" i="23"/>
  <c r="AG411" i="23"/>
  <c r="C413" i="23"/>
  <c r="L413" i="23" s="1"/>
  <c r="AC427" i="23" s="1"/>
  <c r="S412" i="23"/>
  <c r="AL419" i="23" s="1"/>
  <c r="U412" i="23"/>
  <c r="R290" i="1"/>
  <c r="T290" i="1"/>
  <c r="C514" i="1" l="1"/>
  <c r="T513" i="1"/>
  <c r="R513" i="1"/>
  <c r="E328" i="35"/>
  <c r="F327" i="35"/>
  <c r="N412" i="23"/>
  <c r="AD412" i="23"/>
  <c r="E425" i="23"/>
  <c r="Y412" i="23"/>
  <c r="AG412" i="23"/>
  <c r="C414" i="23"/>
  <c r="L414" i="23" s="1"/>
  <c r="AC428" i="23" s="1"/>
  <c r="S413" i="23"/>
  <c r="AL420" i="23" s="1"/>
  <c r="U413" i="23"/>
  <c r="R291" i="1"/>
  <c r="T291" i="1"/>
  <c r="C515" i="1" l="1"/>
  <c r="R514" i="1"/>
  <c r="T514" i="1"/>
  <c r="E329" i="35"/>
  <c r="F328" i="35"/>
  <c r="N413" i="23"/>
  <c r="AD413" i="23"/>
  <c r="E426" i="23"/>
  <c r="Y413" i="23"/>
  <c r="AG413" i="23"/>
  <c r="C415" i="23"/>
  <c r="L415" i="23" s="1"/>
  <c r="AC429" i="23" s="1"/>
  <c r="U414" i="23"/>
  <c r="S414" i="23"/>
  <c r="AL421" i="23" s="1"/>
  <c r="R292" i="1"/>
  <c r="T292" i="1"/>
  <c r="T515" i="1" l="1"/>
  <c r="R515" i="1"/>
  <c r="E330" i="35"/>
  <c r="F329" i="35"/>
  <c r="AD414" i="23"/>
  <c r="N414" i="23"/>
  <c r="E427" i="23"/>
  <c r="Y414" i="23"/>
  <c r="AG414" i="23"/>
  <c r="C416" i="23"/>
  <c r="L416" i="23" s="1"/>
  <c r="AC430" i="23" s="1"/>
  <c r="U415" i="23"/>
  <c r="S415" i="23"/>
  <c r="AL422" i="23" s="1"/>
  <c r="R293" i="1"/>
  <c r="T293" i="1"/>
  <c r="E331" i="35" l="1"/>
  <c r="F330" i="35"/>
  <c r="N415" i="23"/>
  <c r="AD415" i="23"/>
  <c r="C417" i="23"/>
  <c r="AD416" i="23"/>
  <c r="E428" i="23"/>
  <c r="Y415" i="23"/>
  <c r="AG415" i="23"/>
  <c r="S416" i="23"/>
  <c r="AL423" i="23" s="1"/>
  <c r="U416" i="23"/>
  <c r="R294" i="1"/>
  <c r="T294" i="1"/>
  <c r="E332" i="35" l="1"/>
  <c r="F331" i="35"/>
  <c r="AD417" i="23"/>
  <c r="L417" i="23"/>
  <c r="AC431" i="23" s="1"/>
  <c r="C418" i="23"/>
  <c r="L418" i="23" s="1"/>
  <c r="AC432" i="23" s="1"/>
  <c r="S417" i="23"/>
  <c r="AL424" i="23" s="1"/>
  <c r="AD418" i="23"/>
  <c r="U417" i="23"/>
  <c r="E429" i="23"/>
  <c r="Y416" i="23"/>
  <c r="AG416" i="23"/>
  <c r="R295" i="1"/>
  <c r="T295" i="1"/>
  <c r="U418" i="23" l="1"/>
  <c r="E333" i="35"/>
  <c r="F332" i="35"/>
  <c r="Y417" i="23"/>
  <c r="AG417" i="23"/>
  <c r="S418" i="23"/>
  <c r="AL425" i="23" s="1"/>
  <c r="C419" i="23"/>
  <c r="L419" i="23" s="1"/>
  <c r="AC433" i="23" s="1"/>
  <c r="N418" i="23"/>
  <c r="O418" i="23" s="1"/>
  <c r="E430" i="23"/>
  <c r="AD419" i="23"/>
  <c r="R296" i="1"/>
  <c r="T296" i="1"/>
  <c r="E334" i="35" l="1"/>
  <c r="F333" i="35"/>
  <c r="P418" i="23"/>
  <c r="Y418" i="23"/>
  <c r="C420" i="23"/>
  <c r="L420" i="23" s="1"/>
  <c r="AC434" i="23" s="1"/>
  <c r="AG418" i="23"/>
  <c r="S419" i="23"/>
  <c r="AL426" i="23" s="1"/>
  <c r="N419" i="23"/>
  <c r="U419" i="23"/>
  <c r="AD420" i="23"/>
  <c r="E431" i="23"/>
  <c r="R297" i="1"/>
  <c r="T297" i="1"/>
  <c r="C421" i="23" l="1"/>
  <c r="L421" i="23" s="1"/>
  <c r="AC435" i="23" s="1"/>
  <c r="E335" i="35"/>
  <c r="F334" i="35"/>
  <c r="O420" i="23"/>
  <c r="O419" i="23"/>
  <c r="AG419" i="23"/>
  <c r="S420" i="23"/>
  <c r="Y430" i="23" s="1"/>
  <c r="U420" i="23"/>
  <c r="Y429" i="23"/>
  <c r="Y419" i="23"/>
  <c r="E432" i="23"/>
  <c r="C422" i="23"/>
  <c r="L422" i="23" s="1"/>
  <c r="AD421" i="23"/>
  <c r="S421" i="23"/>
  <c r="U421" i="23"/>
  <c r="R298" i="1"/>
  <c r="T298" i="1"/>
  <c r="E336" i="35" l="1"/>
  <c r="F335" i="35"/>
  <c r="AL427" i="23"/>
  <c r="P420" i="23"/>
  <c r="P419" i="23"/>
  <c r="AG420" i="23"/>
  <c r="Y420" i="23"/>
  <c r="AL428" i="23"/>
  <c r="Y431" i="23"/>
  <c r="AD422" i="23"/>
  <c r="AC436" i="23"/>
  <c r="U422" i="23"/>
  <c r="S422" i="23"/>
  <c r="Y422" i="23" s="1"/>
  <c r="C423" i="23"/>
  <c r="AC437" i="23" s="1"/>
  <c r="E433" i="23"/>
  <c r="Y421" i="23"/>
  <c r="AG421" i="23"/>
  <c r="R299" i="1"/>
  <c r="T299" i="1"/>
  <c r="E337" i="35" l="1"/>
  <c r="F336" i="35"/>
  <c r="C424" i="23"/>
  <c r="L423" i="23"/>
  <c r="AD437" i="23" s="1"/>
  <c r="AD424" i="23"/>
  <c r="AD423" i="23"/>
  <c r="AG422" i="23"/>
  <c r="Y432" i="23"/>
  <c r="AL429" i="23"/>
  <c r="U423" i="23"/>
  <c r="S423" i="23"/>
  <c r="Y433" i="23" s="1"/>
  <c r="E434" i="23"/>
  <c r="R300" i="1"/>
  <c r="T300" i="1"/>
  <c r="L424" i="23" l="1"/>
  <c r="AC438" i="23"/>
  <c r="U424" i="23"/>
  <c r="S424" i="23"/>
  <c r="Y434" i="23" s="1"/>
  <c r="C425" i="23"/>
  <c r="AG423" i="23"/>
  <c r="AL430" i="23"/>
  <c r="E338" i="35"/>
  <c r="F337" i="35"/>
  <c r="L425" i="23"/>
  <c r="Y423" i="23"/>
  <c r="E435" i="23"/>
  <c r="AD425" i="23"/>
  <c r="AL431" i="23"/>
  <c r="R301" i="1"/>
  <c r="T301" i="1"/>
  <c r="C426" i="23" l="1"/>
  <c r="AC440" i="23" s="1"/>
  <c r="AC439" i="23"/>
  <c r="AD439" i="23" s="1"/>
  <c r="AD438" i="23"/>
  <c r="U425" i="23"/>
  <c r="Y424" i="23"/>
  <c r="S425" i="23"/>
  <c r="AL432" i="23" s="1"/>
  <c r="AG424" i="23"/>
  <c r="E339" i="35"/>
  <c r="F338" i="35"/>
  <c r="S426" i="23"/>
  <c r="Y436" i="23" s="1"/>
  <c r="AD426" i="23"/>
  <c r="U426" i="23"/>
  <c r="C427" i="23"/>
  <c r="AC441" i="23" s="1"/>
  <c r="E436" i="23"/>
  <c r="R302" i="1"/>
  <c r="T302" i="1"/>
  <c r="L426" i="23" l="1"/>
  <c r="AD440" i="23" s="1"/>
  <c r="AG425" i="23"/>
  <c r="AG426" i="23"/>
  <c r="Y425" i="23"/>
  <c r="Y435" i="23"/>
  <c r="Y426" i="23"/>
  <c r="E340" i="35"/>
  <c r="F339" i="35"/>
  <c r="AL433" i="23"/>
  <c r="S427" i="23"/>
  <c r="Y427" i="23" s="1"/>
  <c r="L427" i="23"/>
  <c r="AD441" i="23" s="1"/>
  <c r="C428" i="23"/>
  <c r="U427" i="23"/>
  <c r="AL434" i="23"/>
  <c r="AD428" i="23"/>
  <c r="AD427" i="23"/>
  <c r="U428" i="23"/>
  <c r="R303" i="1"/>
  <c r="T303" i="1"/>
  <c r="L428" i="23" l="1"/>
  <c r="AC442" i="23"/>
  <c r="AG427" i="23"/>
  <c r="S428" i="23"/>
  <c r="Y438" i="23" s="1"/>
  <c r="C429" i="23"/>
  <c r="E341" i="35"/>
  <c r="F340" i="35"/>
  <c r="Y437" i="23"/>
  <c r="L429" i="23"/>
  <c r="AL435" i="23"/>
  <c r="AD429" i="23"/>
  <c r="AG428" i="23"/>
  <c r="R304" i="1"/>
  <c r="T304" i="1"/>
  <c r="U429" i="23" l="1"/>
  <c r="AC443" i="23"/>
  <c r="AD443" i="23" s="1"/>
  <c r="AD442" i="23"/>
  <c r="S429" i="23"/>
  <c r="Y439" i="23" s="1"/>
  <c r="C430" i="23"/>
  <c r="Y428" i="23"/>
  <c r="E342" i="35"/>
  <c r="F341" i="35"/>
  <c r="AD430" i="23"/>
  <c r="AL436" i="23"/>
  <c r="AG429" i="23"/>
  <c r="R305" i="1"/>
  <c r="T305" i="1"/>
  <c r="U430" i="23" l="1"/>
  <c r="AC444" i="23"/>
  <c r="L430" i="23"/>
  <c r="AD444" i="23" s="1"/>
  <c r="S430" i="23"/>
  <c r="AL437" i="23" s="1"/>
  <c r="C431" i="23"/>
  <c r="E343" i="35"/>
  <c r="F342" i="35"/>
  <c r="AD431" i="23"/>
  <c r="R306" i="1"/>
  <c r="T306" i="1"/>
  <c r="AG430" i="23" l="1"/>
  <c r="AG437" i="23"/>
  <c r="C432" i="23"/>
  <c r="AC445" i="23"/>
  <c r="U431" i="23"/>
  <c r="S431" i="23"/>
  <c r="AG431" i="23" s="1"/>
  <c r="L431" i="23"/>
  <c r="AD445" i="23" s="1"/>
  <c r="E344" i="35"/>
  <c r="F343" i="35"/>
  <c r="AD432" i="23"/>
  <c r="U432" i="23"/>
  <c r="AG438" i="23"/>
  <c r="AL438" i="23"/>
  <c r="R307" i="1"/>
  <c r="T307" i="1"/>
  <c r="L432" i="23" l="1"/>
  <c r="AC446" i="23"/>
  <c r="AD446" i="23" s="1"/>
  <c r="S432" i="23"/>
  <c r="AL439" i="23" s="1"/>
  <c r="C433" i="23"/>
  <c r="E345" i="35"/>
  <c r="F344" i="35"/>
  <c r="AD433" i="23"/>
  <c r="R308" i="1"/>
  <c r="T308" i="1"/>
  <c r="L433" i="23" l="1"/>
  <c r="AC447" i="23"/>
  <c r="AD447" i="23" s="1"/>
  <c r="U433" i="23"/>
  <c r="AG439" i="23"/>
  <c r="C434" i="23"/>
  <c r="AG432" i="23"/>
  <c r="S433" i="23"/>
  <c r="AG440" i="23" s="1"/>
  <c r="E346" i="35"/>
  <c r="F345" i="35"/>
  <c r="AD434" i="23"/>
  <c r="AL440" i="23"/>
  <c r="C435" i="23"/>
  <c r="S434" i="23"/>
  <c r="U434" i="23"/>
  <c r="R309" i="1"/>
  <c r="T309" i="1"/>
  <c r="L435" i="23" l="1"/>
  <c r="AC449" i="23"/>
  <c r="AG433" i="23"/>
  <c r="L434" i="23"/>
  <c r="AC448" i="23"/>
  <c r="AD448" i="23" s="1"/>
  <c r="E347" i="35"/>
  <c r="F346" i="35"/>
  <c r="AD435" i="23"/>
  <c r="AD449" i="23"/>
  <c r="AL441" i="23"/>
  <c r="AG441" i="23"/>
  <c r="AG434" i="23"/>
  <c r="C436" i="23"/>
  <c r="U435" i="23"/>
  <c r="S435" i="23"/>
  <c r="R310" i="1"/>
  <c r="T310" i="1"/>
  <c r="L436" i="23" l="1"/>
  <c r="AC450" i="23"/>
  <c r="AD450" i="23" s="1"/>
  <c r="E348" i="35"/>
  <c r="F347" i="35"/>
  <c r="AD436" i="23"/>
  <c r="AL442" i="23"/>
  <c r="AG442" i="23"/>
  <c r="U437" i="23"/>
  <c r="S436" i="23"/>
  <c r="U436" i="23"/>
  <c r="AG435" i="23"/>
  <c r="R311" i="1"/>
  <c r="T311" i="1"/>
  <c r="E349" i="35" l="1"/>
  <c r="F348" i="35"/>
  <c r="AL443" i="23"/>
  <c r="AG443" i="23"/>
  <c r="AG436" i="23"/>
  <c r="R312" i="1"/>
  <c r="T312" i="1"/>
  <c r="E350" i="35" l="1"/>
  <c r="F349" i="35"/>
  <c r="R313" i="1"/>
  <c r="T313" i="1"/>
  <c r="E351" i="35" l="1"/>
  <c r="F350" i="35"/>
  <c r="R314" i="1"/>
  <c r="T314" i="1"/>
  <c r="E352" i="35" l="1"/>
  <c r="F351" i="35"/>
  <c r="R315" i="1"/>
  <c r="T315" i="1"/>
  <c r="E353" i="35" l="1"/>
  <c r="F352" i="35"/>
  <c r="T316" i="1"/>
  <c r="R316" i="1"/>
  <c r="E354" i="35" l="1"/>
  <c r="F353" i="35"/>
  <c r="T317" i="1"/>
  <c r="R317" i="1"/>
  <c r="E355" i="35" l="1"/>
  <c r="F354" i="35"/>
  <c r="T318" i="1"/>
  <c r="R318" i="1"/>
  <c r="E356" i="35" l="1"/>
  <c r="F355" i="35"/>
  <c r="R319" i="1"/>
  <c r="T319" i="1"/>
  <c r="E357" i="35" l="1"/>
  <c r="F356" i="35"/>
  <c r="R320" i="1"/>
  <c r="T320" i="1"/>
  <c r="E358" i="35" l="1"/>
  <c r="F357" i="35"/>
  <c r="R321" i="1"/>
  <c r="T321" i="1"/>
  <c r="E359" i="35" l="1"/>
  <c r="F358" i="35"/>
  <c r="R322" i="1"/>
  <c r="T322" i="1"/>
  <c r="E360" i="35" l="1"/>
  <c r="F359" i="35"/>
  <c r="R323" i="1"/>
  <c r="T323" i="1"/>
  <c r="E361" i="35" l="1"/>
  <c r="F360" i="35"/>
  <c r="T324" i="1"/>
  <c r="R324" i="1"/>
  <c r="E362" i="35" l="1"/>
  <c r="F361" i="35"/>
  <c r="R325" i="1"/>
  <c r="T325" i="1"/>
  <c r="E363" i="35" l="1"/>
  <c r="F362" i="35"/>
  <c r="R326" i="1"/>
  <c r="T326" i="1"/>
  <c r="E364" i="35" l="1"/>
  <c r="F363" i="35"/>
  <c r="R327" i="1"/>
  <c r="T327" i="1"/>
  <c r="E365" i="35" l="1"/>
  <c r="F364" i="35"/>
  <c r="T328" i="1"/>
  <c r="R328" i="1"/>
  <c r="E366" i="35" l="1"/>
  <c r="F365" i="35"/>
  <c r="R329" i="1"/>
  <c r="T329" i="1"/>
  <c r="E367" i="35" l="1"/>
  <c r="F366" i="35"/>
  <c r="R330" i="1"/>
  <c r="T330" i="1"/>
  <c r="E368" i="35" l="1"/>
  <c r="F367" i="35"/>
  <c r="T331" i="1"/>
  <c r="R331" i="1"/>
  <c r="E369" i="35" l="1"/>
  <c r="F368" i="35"/>
  <c r="T332" i="1"/>
  <c r="R332" i="1"/>
  <c r="E370" i="35" l="1"/>
  <c r="F369" i="35"/>
  <c r="T333" i="1"/>
  <c r="R333" i="1"/>
  <c r="E371" i="35" l="1"/>
  <c r="F370" i="35"/>
  <c r="R334" i="1"/>
  <c r="T334" i="1"/>
  <c r="E372" i="35" l="1"/>
  <c r="F371" i="35"/>
  <c r="R336" i="1"/>
  <c r="T336" i="1"/>
  <c r="T335" i="1"/>
  <c r="R335" i="1"/>
  <c r="E373" i="35" l="1"/>
  <c r="F372" i="35"/>
  <c r="T337" i="1"/>
  <c r="R337" i="1"/>
  <c r="E374" i="35" l="1"/>
  <c r="F373" i="35"/>
  <c r="T338" i="1"/>
  <c r="R338" i="1"/>
  <c r="E375" i="35" l="1"/>
  <c r="F374" i="35"/>
  <c r="R339" i="1"/>
  <c r="T339" i="1"/>
  <c r="E376" i="35" l="1"/>
  <c r="F375" i="35"/>
  <c r="R340" i="1"/>
  <c r="T340" i="1"/>
  <c r="E377" i="35" l="1"/>
  <c r="F376" i="35"/>
  <c r="R341" i="1"/>
  <c r="T341" i="1"/>
  <c r="E378" i="35" l="1"/>
  <c r="F377" i="35"/>
  <c r="R342" i="1"/>
  <c r="T342" i="1"/>
  <c r="E379" i="35" l="1"/>
  <c r="F378" i="35"/>
  <c r="T344" i="1"/>
  <c r="R344" i="1"/>
  <c r="R343" i="1"/>
  <c r="T343" i="1"/>
  <c r="E380" i="35" l="1"/>
  <c r="F379" i="35"/>
  <c r="R345" i="1"/>
  <c r="T345" i="1"/>
  <c r="E381" i="35" l="1"/>
  <c r="F380" i="35"/>
  <c r="R346" i="1"/>
  <c r="T346" i="1"/>
  <c r="E382" i="35" l="1"/>
  <c r="F381" i="35"/>
  <c r="T348" i="1"/>
  <c r="R348" i="1"/>
  <c r="R347" i="1"/>
  <c r="T347" i="1"/>
  <c r="E383" i="35" l="1"/>
  <c r="F382" i="35"/>
  <c r="R349" i="1"/>
  <c r="T349" i="1"/>
  <c r="E384" i="35" l="1"/>
  <c r="F383" i="35"/>
  <c r="R350" i="1"/>
  <c r="T350" i="1"/>
  <c r="E385" i="35" l="1"/>
  <c r="F384" i="35"/>
  <c r="R351" i="1"/>
  <c r="T351" i="1"/>
  <c r="E386" i="35" l="1"/>
  <c r="F385" i="35"/>
  <c r="T352" i="1"/>
  <c r="R352" i="1"/>
  <c r="E387" i="35" l="1"/>
  <c r="F386" i="35"/>
  <c r="R353" i="1"/>
  <c r="T353" i="1"/>
  <c r="E388" i="35" l="1"/>
  <c r="F387" i="35"/>
  <c r="R355" i="1"/>
  <c r="T355" i="1"/>
  <c r="T354" i="1"/>
  <c r="R354" i="1"/>
  <c r="E389" i="35" l="1"/>
  <c r="F388" i="35"/>
  <c r="R356" i="1"/>
  <c r="T356" i="1"/>
  <c r="E390" i="35" l="1"/>
  <c r="F389" i="35"/>
  <c r="R361" i="1"/>
  <c r="T361" i="1"/>
  <c r="R360" i="1"/>
  <c r="T360" i="1"/>
  <c r="R359" i="1"/>
  <c r="T359" i="1"/>
  <c r="R358" i="1"/>
  <c r="T358" i="1"/>
  <c r="T357" i="1"/>
  <c r="R357" i="1"/>
  <c r="E391" i="35" l="1"/>
  <c r="F390" i="35"/>
  <c r="R362" i="1"/>
  <c r="T362" i="1"/>
  <c r="E392" i="35" l="1"/>
  <c r="F391" i="35"/>
  <c r="R363" i="1"/>
  <c r="T363" i="1"/>
  <c r="E393" i="35" l="1"/>
  <c r="F392" i="35"/>
  <c r="T364" i="1"/>
  <c r="R364" i="1"/>
  <c r="E394" i="35" l="1"/>
  <c r="F393" i="35"/>
  <c r="R366" i="1"/>
  <c r="T366" i="1"/>
  <c r="R365" i="1"/>
  <c r="T365" i="1"/>
  <c r="E395" i="35" l="1"/>
  <c r="F394" i="35"/>
  <c r="R368" i="1"/>
  <c r="T368" i="1"/>
  <c r="R367" i="1"/>
  <c r="T367" i="1"/>
  <c r="E396" i="35" l="1"/>
  <c r="F395" i="35"/>
  <c r="T369" i="1"/>
  <c r="R369" i="1"/>
  <c r="E397" i="35" l="1"/>
  <c r="F396" i="35"/>
  <c r="R370" i="1"/>
  <c r="T370" i="1"/>
  <c r="E398" i="35" l="1"/>
  <c r="F397" i="35"/>
  <c r="R371" i="1"/>
  <c r="T371" i="1"/>
  <c r="E399" i="35" l="1"/>
  <c r="F398" i="35"/>
  <c r="T372" i="1"/>
  <c r="R372" i="1"/>
  <c r="E400" i="35" l="1"/>
  <c r="F399" i="35"/>
  <c r="T373" i="1"/>
  <c r="R373" i="1"/>
  <c r="E401" i="35" l="1"/>
  <c r="F400" i="35"/>
  <c r="T374" i="1"/>
  <c r="R374" i="1"/>
  <c r="E402" i="35" l="1"/>
  <c r="F401" i="35"/>
  <c r="R375" i="1"/>
  <c r="T375" i="1"/>
  <c r="E403" i="35" l="1"/>
  <c r="F402" i="35"/>
  <c r="T376" i="1"/>
  <c r="R376" i="1"/>
  <c r="E404" i="35" l="1"/>
  <c r="F403" i="35"/>
  <c r="T378" i="1"/>
  <c r="T377" i="1"/>
  <c r="R377" i="1"/>
  <c r="E405" i="35" l="1"/>
  <c r="F404" i="35"/>
  <c r="R378" i="1"/>
  <c r="E406" i="35" l="1"/>
  <c r="F405" i="35"/>
  <c r="T379" i="1"/>
  <c r="R379" i="1"/>
  <c r="E407" i="35" l="1"/>
  <c r="F406" i="35"/>
  <c r="R381" i="1"/>
  <c r="T381" i="1"/>
  <c r="T380" i="1"/>
  <c r="R380" i="1"/>
  <c r="E408" i="35" l="1"/>
  <c r="F407" i="35"/>
  <c r="R382" i="1"/>
  <c r="T382" i="1"/>
  <c r="E409" i="35" l="1"/>
  <c r="F408" i="35"/>
  <c r="T385" i="1"/>
  <c r="R385" i="1"/>
  <c r="R384" i="1"/>
  <c r="T384" i="1"/>
  <c r="T383" i="1"/>
  <c r="R383" i="1"/>
  <c r="E410" i="35" l="1"/>
  <c r="F409" i="35"/>
  <c r="R386" i="1"/>
  <c r="T386" i="1"/>
  <c r="E411" i="35" l="1"/>
  <c r="F410" i="35"/>
  <c r="R388" i="1"/>
  <c r="T388" i="1"/>
  <c r="R387" i="1"/>
  <c r="T387" i="1"/>
  <c r="E412" i="35" l="1"/>
  <c r="F411" i="35"/>
  <c r="T389" i="1"/>
  <c r="R389" i="1"/>
  <c r="E413" i="35" l="1"/>
  <c r="F412" i="35"/>
  <c r="R390" i="1"/>
  <c r="T390" i="1"/>
  <c r="E414" i="35" l="1"/>
  <c r="F413" i="35"/>
  <c r="T392" i="1"/>
  <c r="R392" i="1"/>
  <c r="R391" i="1"/>
  <c r="T391" i="1"/>
  <c r="E415" i="35" l="1"/>
  <c r="F414" i="35"/>
  <c r="R394" i="1"/>
  <c r="T394" i="1"/>
  <c r="R393" i="1"/>
  <c r="T393" i="1"/>
  <c r="E416" i="35" l="1"/>
  <c r="F415" i="35"/>
  <c r="R396" i="1"/>
  <c r="T396" i="1"/>
  <c r="T395" i="1"/>
  <c r="R395" i="1"/>
  <c r="E417" i="35" l="1"/>
  <c r="F416" i="35"/>
  <c r="R397" i="1"/>
  <c r="T397" i="1"/>
  <c r="E418" i="35" l="1"/>
  <c r="F417" i="35"/>
  <c r="T399" i="1"/>
  <c r="R399" i="1"/>
  <c r="R398" i="1"/>
  <c r="T398" i="1"/>
  <c r="E419" i="35" l="1"/>
  <c r="F418" i="35"/>
  <c r="T400" i="1"/>
  <c r="R400" i="1"/>
  <c r="E420" i="35" l="1"/>
  <c r="F419" i="35"/>
  <c r="R401" i="1"/>
  <c r="T401" i="1"/>
  <c r="E421" i="35" l="1"/>
  <c r="F420" i="35"/>
  <c r="R403" i="1"/>
  <c r="T403" i="1"/>
  <c r="R402" i="1"/>
  <c r="T402" i="1"/>
  <c r="E422" i="35" l="1"/>
  <c r="F421" i="35"/>
  <c r="R404" i="1"/>
  <c r="T404" i="1"/>
  <c r="E423" i="35" l="1"/>
  <c r="F422" i="35"/>
  <c r="R405" i="1"/>
  <c r="T405" i="1"/>
  <c r="E424" i="35" l="1"/>
  <c r="F423" i="35"/>
  <c r="R406" i="1"/>
  <c r="T406" i="1"/>
  <c r="E425" i="35" l="1"/>
  <c r="F424" i="35"/>
  <c r="R408" i="1"/>
  <c r="T408" i="1"/>
  <c r="R407" i="1"/>
  <c r="T407" i="1"/>
  <c r="E426" i="35" l="1"/>
  <c r="F425" i="35"/>
  <c r="R409" i="1"/>
  <c r="T409" i="1"/>
  <c r="E427" i="35" l="1"/>
  <c r="F426" i="35"/>
  <c r="T410" i="1"/>
  <c r="R410" i="1"/>
  <c r="E428" i="35" l="1"/>
  <c r="F427" i="35"/>
  <c r="T411" i="1"/>
  <c r="R411" i="1"/>
  <c r="E429" i="35" l="1"/>
  <c r="F428" i="35"/>
  <c r="R412" i="1"/>
  <c r="T412" i="1"/>
  <c r="E430" i="35" l="1"/>
  <c r="F429" i="35"/>
  <c r="R413" i="1"/>
  <c r="T413" i="1"/>
  <c r="E431" i="35" l="1"/>
  <c r="F430" i="35"/>
  <c r="R415" i="1"/>
  <c r="T415" i="1"/>
  <c r="R414" i="1"/>
  <c r="T414" i="1"/>
  <c r="E432" i="35" l="1"/>
  <c r="F431" i="35"/>
  <c r="R416" i="1"/>
  <c r="T416" i="1"/>
  <c r="E433" i="35" l="1"/>
  <c r="F432" i="35"/>
  <c r="T417" i="1"/>
  <c r="R417" i="1"/>
  <c r="E434" i="35" l="1"/>
  <c r="F433" i="35"/>
  <c r="R419" i="1"/>
  <c r="T419" i="1"/>
  <c r="R418" i="1"/>
  <c r="T418" i="1"/>
  <c r="E435" i="35" l="1"/>
  <c r="F434" i="35"/>
  <c r="R420" i="1"/>
  <c r="T420" i="1"/>
  <c r="E436" i="35" l="1"/>
  <c r="F435" i="35"/>
  <c r="R421" i="1"/>
  <c r="T421" i="1"/>
  <c r="E437" i="35" l="1"/>
  <c r="F436" i="35"/>
  <c r="T423" i="1"/>
  <c r="R423" i="1"/>
  <c r="R422" i="1"/>
  <c r="T422" i="1"/>
  <c r="E438" i="35" l="1"/>
  <c r="F437" i="35"/>
  <c r="T424" i="1"/>
  <c r="R424" i="1"/>
  <c r="E439" i="35" l="1"/>
  <c r="F438" i="35"/>
  <c r="T425" i="1"/>
  <c r="R425" i="1"/>
  <c r="E440" i="35" l="1"/>
  <c r="F439" i="35"/>
  <c r="R426" i="1"/>
  <c r="T426" i="1"/>
  <c r="E441" i="35" l="1"/>
  <c r="F440" i="35"/>
  <c r="T427" i="1"/>
  <c r="R427" i="1"/>
  <c r="E442" i="35" l="1"/>
  <c r="F441" i="35"/>
  <c r="R428" i="1"/>
  <c r="T428" i="1"/>
  <c r="E443" i="35" l="1"/>
  <c r="F442" i="35"/>
  <c r="T430" i="1"/>
  <c r="R430" i="1"/>
  <c r="R429" i="1"/>
  <c r="T429" i="1"/>
  <c r="E444" i="35" l="1"/>
  <c r="F443" i="35"/>
  <c r="R433" i="1"/>
  <c r="T433" i="1"/>
  <c r="R432" i="1"/>
  <c r="T432" i="1"/>
  <c r="R431" i="1"/>
  <c r="T431" i="1"/>
  <c r="E445" i="35" l="1"/>
  <c r="F444" i="35"/>
  <c r="R435" i="1"/>
  <c r="T435" i="1"/>
  <c r="R434" i="1"/>
  <c r="T434" i="1"/>
  <c r="E446" i="35" l="1"/>
  <c r="F445" i="35"/>
  <c r="R436" i="1"/>
  <c r="T436" i="1"/>
  <c r="E447" i="35" l="1"/>
  <c r="F446" i="35"/>
  <c r="T437" i="1"/>
  <c r="R437" i="1"/>
  <c r="E448" i="35" l="1"/>
  <c r="F447" i="35"/>
  <c r="R442" i="1"/>
  <c r="T442" i="1"/>
  <c r="T441" i="1"/>
  <c r="R441" i="1"/>
  <c r="T440" i="1"/>
  <c r="R440" i="1"/>
  <c r="R439" i="1"/>
  <c r="T439" i="1"/>
  <c r="R438" i="1"/>
  <c r="T438" i="1"/>
  <c r="E449" i="35" l="1"/>
  <c r="F448" i="35"/>
  <c r="R444" i="1"/>
  <c r="T444" i="1"/>
  <c r="R443" i="1"/>
  <c r="T443" i="1"/>
  <c r="E450" i="35" l="1"/>
  <c r="F449" i="35"/>
  <c r="T447" i="1"/>
  <c r="R447" i="1"/>
  <c r="R446" i="1"/>
  <c r="T446" i="1"/>
  <c r="R445" i="1"/>
  <c r="T445" i="1"/>
  <c r="E451" i="35" l="1"/>
  <c r="F450" i="35"/>
  <c r="T448" i="1"/>
  <c r="R448" i="1"/>
  <c r="F451" i="35" l="1"/>
  <c r="T449" i="1"/>
  <c r="R449" i="1"/>
  <c r="T450" i="1" l="1"/>
  <c r="R450" i="1"/>
  <c r="T451" i="1" l="1"/>
  <c r="R451" i="1"/>
  <c r="R455" i="1" l="1"/>
  <c r="T455" i="1"/>
  <c r="R454" i="1"/>
  <c r="T454" i="1"/>
  <c r="T453" i="1"/>
  <c r="R453" i="1"/>
  <c r="T452" i="1"/>
  <c r="R452" i="1"/>
  <c r="T458" i="1" l="1"/>
  <c r="R458" i="1"/>
  <c r="T457" i="1"/>
  <c r="R457" i="1"/>
  <c r="T456" i="1"/>
  <c r="R456" i="1"/>
  <c r="R459" i="1" l="1"/>
  <c r="T459" i="1"/>
  <c r="T461" i="1" l="1"/>
  <c r="R461" i="1"/>
  <c r="T460" i="1"/>
  <c r="R460" i="1"/>
  <c r="R462" i="1" l="1"/>
  <c r="T462" i="1"/>
  <c r="R466" i="1" l="1"/>
  <c r="T466" i="1"/>
  <c r="R465" i="1"/>
  <c r="T465" i="1"/>
  <c r="T464" i="1"/>
  <c r="R464" i="1"/>
  <c r="R463" i="1"/>
  <c r="T463" i="1"/>
  <c r="T467" i="1" l="1"/>
  <c r="R467" i="1"/>
  <c r="R468" i="1" l="1"/>
  <c r="T468" i="1"/>
  <c r="R469" i="1" l="1"/>
  <c r="T469" i="1"/>
  <c r="T472" i="1" l="1"/>
  <c r="R472" i="1"/>
  <c r="R471" i="1"/>
  <c r="T471" i="1"/>
  <c r="T470" i="1"/>
  <c r="R470" i="1"/>
  <c r="E452" i="35" l="1"/>
  <c r="E453" i="35" s="1"/>
  <c r="F453" i="35" s="1"/>
  <c r="F452" i="35" l="1"/>
  <c r="E454" i="35"/>
  <c r="F454" i="35" l="1"/>
  <c r="E455" i="35"/>
  <c r="F455" i="35" l="1"/>
  <c r="E456" i="35"/>
  <c r="F456" i="35" l="1"/>
  <c r="E457" i="35"/>
  <c r="F457" i="35" l="1"/>
  <c r="E458" i="35"/>
  <c r="F458" i="35" l="1"/>
  <c r="E459" i="35"/>
  <c r="F459" i="35" l="1"/>
  <c r="E460" i="35"/>
  <c r="E461" i="35" l="1"/>
  <c r="F460" i="35"/>
  <c r="F461" i="35" l="1"/>
  <c r="E462" i="35"/>
  <c r="F462" i="35" l="1"/>
  <c r="E463" i="35"/>
  <c r="F463" i="35" l="1"/>
  <c r="E464" i="35"/>
  <c r="E465" i="35" l="1"/>
  <c r="F464" i="35"/>
  <c r="F465" i="35" l="1"/>
  <c r="E466" i="35"/>
  <c r="E467" i="35" l="1"/>
  <c r="F466" i="35"/>
  <c r="F467" i="35" l="1"/>
  <c r="E468" i="35"/>
  <c r="E469" i="35" l="1"/>
  <c r="F468" i="35"/>
  <c r="F469" i="35" l="1"/>
  <c r="E470" i="35"/>
  <c r="E471" i="35" l="1"/>
  <c r="F470" i="35"/>
  <c r="F471" i="35" l="1"/>
  <c r="E472" i="35"/>
  <c r="F472" i="35" s="1"/>
</calcChain>
</file>

<file path=xl/sharedStrings.xml><?xml version="1.0" encoding="utf-8"?>
<sst xmlns="http://schemas.openxmlformats.org/spreadsheetml/2006/main" count="14821" uniqueCount="328">
  <si>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</si>
  <si>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</si>
  <si>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</si>
  <si>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</si>
  <si>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</si>
  <si>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</si>
  <si>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</si>
  <si>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</si>
  <si>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</si>
  <si>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</si>
  <si>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</si>
  <si>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</si>
  <si>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</si>
  <si>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</si>
  <si>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</si>
  <si>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</si>
  <si>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</si>
  <si>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</si>
  <si>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</si>
  <si>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</si>
  <si>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</si>
  <si>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</si>
  <si>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</si>
  <si>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</si>
  <si>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</si>
  <si>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</si>
  <si>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</si>
  <si>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</si>
  <si>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</si>
  <si>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</si>
  <si>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</si>
  <si>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</si>
  <si>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</si>
  <si>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</si>
  <si>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</si>
  <si>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</si>
  <si>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</si>
  <si>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</si>
  <si>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</si>
  <si>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</si>
  <si>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</si>
  <si>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</si>
  <si>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</si>
  <si>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</si>
  <si>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</si>
  <si>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</si>
  <si>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</si>
  <si>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</si>
  <si>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</si>
  <si>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</si>
  <si>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</si>
  <si>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</si>
  <si>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</si>
  <si>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</si>
  <si>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</si>
  <si>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</si>
  <si>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</si>
  <si>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</si>
  <si>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</si>
  <si>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</si>
  <si>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</si>
  <si>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</si>
  <si>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</si>
  <si>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</si>
  <si>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</si>
  <si>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</si>
  <si>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</si>
  <si>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</si>
  <si>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</si>
  <si>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</si>
  <si>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</si>
  <si>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</si>
  <si>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</si>
  <si>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</si>
  <si>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</si>
  <si>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</si>
  <si>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</si>
  <si>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</si>
  <si>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</si>
  <si>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</si>
  <si>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</si>
  <si>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</si>
  <si>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</si>
  <si>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</si>
  <si>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</si>
  <si>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</si>
  <si>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</si>
  <si>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</si>
  <si>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</si>
  <si>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</si>
  <si>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</si>
  <si>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</si>
  <si>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</si>
  <si>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</si>
  <si>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</si>
  <si>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</si>
  <si>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</si>
  <si>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</si>
  <si>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</si>
  <si>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</si>
  <si>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</si>
  <si>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</si>
  <si>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</si>
  <si>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</si>
  <si>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</si>
  <si>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</si>
  <si>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</si>
  <si>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</si>
  <si>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</si>
  <si>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</si>
  <si>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</si>
  <si>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</si>
  <si>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</si>
  <si>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</si>
  <si>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</si>
  <si>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</si>
  <si>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</si>
  <si>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</si>
  <si>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</si>
  <si>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</si>
  <si>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</si>
  <si>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</si>
  <si>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</si>
  <si>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</si>
  <si>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</si>
  <si>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</si>
  <si>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</si>
  <si>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</si>
  <si>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</si>
  <si>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</si>
  <si>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</si>
  <si>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</si>
  <si>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</si>
  <si>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</si>
  <si>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</si>
  <si>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</si>
  <si>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</si>
  <si>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</si>
  <si>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</si>
  <si>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</si>
  <si>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</si>
  <si>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</si>
  <si>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</si>
  <si>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</si>
  <si>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</si>
  <si>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</si>
  <si>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</si>
  <si>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</si>
  <si>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</si>
  <si>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</si>
  <si>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</si>
  <si>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</si>
  <si>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</si>
  <si>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</si>
  <si>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</si>
  <si>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</si>
  <si>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</si>
  <si>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</si>
  <si>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</si>
  <si>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</si>
  <si>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</si>
  <si>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</si>
  <si>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</si>
  <si>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</si>
  <si>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</si>
  <si>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</si>
  <si>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</si>
  <si>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</si>
  <si>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</si>
  <si>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</si>
  <si>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</si>
  <si>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</si>
  <si>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</si>
  <si>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</si>
  <si>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</si>
  <si>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</si>
  <si>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</si>
  <si>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</si>
  <si>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</si>
  <si>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</si>
  <si>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</si>
  <si>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</si>
  <si>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</si>
  <si>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</si>
  <si>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</si>
  <si>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</si>
  <si>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</si>
  <si>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</si>
  <si>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</si>
  <si>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</si>
  <si>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</si>
  <si>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</si>
  <si>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</si>
  <si>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</si>
  <si>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</si>
  <si>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</si>
  <si>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</si>
  <si>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</si>
  <si>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</si>
  <si>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</si>
  <si>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</si>
  <si>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</si>
  <si>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</si>
  <si>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</si>
  <si>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</si>
  <si>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</si>
  <si>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</si>
  <si>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</si>
  <si>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</si>
  <si>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</si>
  <si>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</si>
  <si>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</si>
  <si>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</si>
  <si>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</si>
  <si>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</si>
  <si>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</si>
  <si>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</si>
  <si>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</si>
  <si>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</si>
  <si>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</si>
  <si>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</si>
  <si>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</si>
  <si>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</si>
  <si>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</si>
  <si>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</si>
  <si>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</si>
  <si>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</si>
  <si>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</si>
  <si>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</si>
  <si>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</si>
  <si>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</si>
  <si>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</si>
  <si>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</si>
  <si>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</si>
  <si>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</si>
  <si>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</si>
  <si>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</si>
  <si>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</si>
  <si>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</si>
  <si>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</si>
  <si>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</si>
  <si>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</si>
  <si>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</si>
  <si>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</si>
  <si>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</si>
  <si>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</si>
  <si>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</si>
  <si>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</si>
  <si>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</si>
  <si>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</si>
  <si>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</si>
  <si>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</si>
  <si>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</si>
  <si>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</si>
  <si>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</si>
  <si>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</si>
  <si>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</si>
  <si>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</si>
  <si>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</si>
  <si>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</si>
  <si>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</si>
  <si>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</si>
  <si>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</si>
  <si>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</si>
  <si>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</si>
  <si>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</si>
  <si>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</si>
  <si>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</si>
  <si>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 NACION</t>
  </si>
  <si>
    <t>% AMBA</t>
  </si>
  <si>
    <t>crecim uti</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</si>
  <si>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</si>
  <si>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</si>
  <si>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</si>
  <si>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</si>
  <si>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</si>
  <si>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</si>
  <si>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</si>
  <si>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</si>
  <si>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</si>
  <si>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</si>
  <si>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</si>
  <si>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</si>
  <si>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</si>
  <si>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</si>
  <si>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</si>
  <si>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</si>
  <si>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</si>
  <si>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</si>
  <si>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</si>
  <si>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</si>
  <si>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</si>
  <si>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</si>
  <si>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</si>
  <si>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</si>
  <si>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</si>
  <si>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</si>
  <si>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</si>
  <si>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</si>
  <si>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</si>
  <si>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</si>
  <si>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</si>
  <si>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</si>
  <si>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</si>
  <si>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</si>
  <si>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</si>
  <si>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</si>
  <si>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</si>
  <si>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</si>
  <si>
    <t>PROM. FALL</t>
  </si>
  <si>
    <t>yo</t>
  </si>
  <si>
    <t>jorge</t>
  </si>
  <si>
    <t>contag</t>
  </si>
  <si>
    <t>fall</t>
  </si>
  <si>
    <t>1° dosis</t>
  </si>
  <si>
    <t>fall esperados</t>
  </si>
  <si>
    <t>dif</t>
  </si>
  <si>
    <t>maximo</t>
  </si>
  <si>
    <t>crcecim 14 días</t>
  </si>
  <si>
    <t>uenos Aires</t>
  </si>
  <si>
    <t>CASOS PROM. DIARIO</t>
  </si>
  <si>
    <t>RIESGO</t>
  </si>
  <si>
    <t>Nuevos FALL.</t>
  </si>
  <si>
    <t>CABA *</t>
  </si>
  <si>
    <t>Totales</t>
  </si>
  <si>
    <t>1°</t>
  </si>
  <si>
    <t>2°</t>
  </si>
  <si>
    <t>enos Aires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</si>
</sst>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_-;\-* #,##0_-;_-* &quot;-&quot;??_-;_-@_-"/>
    <numFmt numFmtId="166" formatCode="0.0"/>
    <numFmt numFmtId="167" formatCode="0.000"/>
  </numFmts>
  <fonts count="55"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b/>
      <sz val="12"/>
      <color rgb="FF314C59"/>
      <name val="Arial"/>
      <family val="2"/>
    </font>
    <font>
      <sz val="9"/>
      <color rgb="FF595959"/>
      <name val="Calibri"/>
      <family val="2"/>
      <scheme val="minor"/>
    </font>
    <font>
      <b/>
      <sz val="10"/>
      <color theme="1"/>
      <name val="Calibri"/>
      <family val="2"/>
      <scheme val="minor"/>
    </font>
    <font>
      <sz val="11"/>
      <color indexed="8"/>
      <name val="Calibri"/>
      <family val="2"/>
    </font>
    <font>
      <sz val="10"/>
      <name val="Arial"/>
      <family val="2"/>
    </font>
    <font>
      <b/>
      <sz val="11"/>
      <color indexed="8"/>
      <name val="Calibri"/>
      <family val="2"/>
    </font>
    <font>
      <sz val="9"/>
      <color theme="0"/>
      <name val="Calibri"/>
      <family val="2"/>
      <scheme val="minor"/>
    </font>
    <font>
      <b/>
      <sz val="10"/>
      <name val="Calibri"/>
      <family val="2"/>
      <scheme val="minor"/>
    </font>
    <font>
      <sz val="10"/>
      <name val="Calibri"/>
      <family val="2"/>
      <scheme val="minor"/>
    </font>
    <font>
      <sz val="11"/>
      <color rgb="FF000000"/>
      <name val="Calibri"/>
      <family val="2"/>
    </font>
    <font>
      <sz val="10"/>
      <color theme="0"/>
      <name val="Calibri"/>
      <family val="2"/>
      <scheme val="minor"/>
    </font>
    <font>
      <sz val="10"/>
      <color rgb="FF14171A"/>
      <name val="Segoe UI"/>
      <family val="2"/>
    </font>
    <font>
      <sz val="10"/>
      <color rgb="FFFF0000"/>
      <name val="Calibri"/>
      <family val="2"/>
      <scheme val="minor"/>
    </font>
    <font>
      <b/>
      <sz val="11"/>
      <color rgb="FF14171A"/>
      <name val="Segoe UI"/>
      <family val="2"/>
    </font>
    <font>
      <sz val="11"/>
      <color rgb="FF333333"/>
      <name val="Arial"/>
      <family val="2"/>
    </font>
    <font>
      <b/>
      <sz val="12"/>
      <color theme="0"/>
      <name val="Arial"/>
      <family val="2"/>
    </font>
    <font>
      <sz val="9"/>
      <color rgb="FF333333"/>
      <name val="Arial"/>
      <family val="2"/>
    </font>
    <font>
      <sz val="9"/>
      <color rgb="FFE02F44"/>
      <name val="Arial"/>
      <family val="2"/>
    </font>
    <font>
      <sz val="9"/>
      <color rgb="FFFF780A"/>
      <name val="Arial"/>
      <family val="2"/>
    </font>
    <font>
      <sz val="9"/>
      <color rgb="FFF2CC0C"/>
      <name val="Arial"/>
      <family val="2"/>
    </font>
  </fonts>
  <fills count="5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
      <patternFill patternType="solid">
        <fgColor rgb="FFFFFFFF"/>
        <bgColor indexed="64"/>
      </patternFill>
    </fill>
  </fills>
  <borders count="12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medium">
        <color theme="3"/>
      </left>
      <right style="thin">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CCCCCC"/>
      </right>
      <top style="medium">
        <color rgb="FFCCCCCC"/>
      </top>
      <bottom style="medium">
        <color rgb="FFCCCCCC"/>
      </bottom>
      <diagonal/>
    </border>
    <border>
      <left style="medium">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style="thin">
        <color theme="1"/>
      </right>
      <top/>
      <bottom style="thin">
        <color theme="1"/>
      </bottom>
      <diagonal/>
    </border>
    <border>
      <left style="thin">
        <color theme="1"/>
      </left>
      <right style="medium">
        <color theme="1"/>
      </right>
      <top/>
      <bottom style="thin">
        <color theme="1"/>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thin">
        <color theme="1"/>
      </left>
      <right style="medium">
        <color indexed="64"/>
      </right>
      <top style="medium">
        <color indexed="64"/>
      </top>
      <bottom style="thin">
        <color theme="1"/>
      </bottom>
      <diagonal/>
    </border>
    <border>
      <left style="medium">
        <color indexed="64"/>
      </left>
      <right style="thin">
        <color theme="1"/>
      </right>
      <top style="thin">
        <color theme="1"/>
      </top>
      <bottom style="thin">
        <color theme="1"/>
      </bottom>
      <diagonal/>
    </border>
    <border>
      <left style="thin">
        <color theme="1"/>
      </left>
      <right style="medium">
        <color indexed="64"/>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medium">
        <color theme="1"/>
      </left>
      <right style="thin">
        <color theme="1"/>
      </right>
      <top style="thin">
        <color theme="1"/>
      </top>
      <bottom/>
      <diagonal/>
    </border>
    <border>
      <left style="thin">
        <color theme="1"/>
      </left>
      <right style="medium">
        <color theme="1"/>
      </right>
      <top style="thin">
        <color theme="1"/>
      </top>
      <bottom/>
      <diagonal/>
    </border>
    <border>
      <left/>
      <right style="thick">
        <color rgb="FFF7F8FA"/>
      </right>
      <top/>
      <bottom style="thick">
        <color rgb="FFF7F8FA"/>
      </bottom>
      <diagonal/>
    </border>
    <border>
      <left/>
      <right/>
      <top/>
      <bottom style="thick">
        <color rgb="FFF7F8FA"/>
      </bottom>
      <diagonal/>
    </border>
    <border>
      <left/>
      <right/>
      <top style="medium">
        <color indexed="64"/>
      </top>
      <bottom style="thin">
        <color indexed="64"/>
      </bottom>
      <diagonal/>
    </border>
    <border>
      <left/>
      <right style="medium">
        <color indexed="64"/>
      </right>
      <top/>
      <bottom style="thin">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medium">
        <color indexed="64"/>
      </left>
      <right/>
      <top style="medium">
        <color indexed="64"/>
      </top>
      <bottom style="thin">
        <color theme="0"/>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9" borderId="19" applyNumberFormat="0" applyAlignment="0" applyProtection="0"/>
    <xf numFmtId="0" fontId="14" fillId="10" borderId="20" applyNumberFormat="0" applyAlignment="0" applyProtection="0"/>
    <xf numFmtId="0" fontId="15" fillId="10" borderId="19" applyNumberFormat="0" applyAlignment="0" applyProtection="0"/>
    <xf numFmtId="0" fontId="16" fillId="0" borderId="21" applyNumberFormat="0" applyFill="0" applyAlignment="0" applyProtection="0"/>
    <xf numFmtId="0" fontId="17" fillId="11" borderId="22" applyNumberFormat="0" applyAlignment="0" applyProtection="0"/>
    <xf numFmtId="0" fontId="18" fillId="0" borderId="0" applyNumberFormat="0" applyFill="0" applyBorder="0" applyAlignment="0" applyProtection="0"/>
    <xf numFmtId="0" fontId="1" fillId="12"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43" fontId="1" fillId="0" borderId="0" applyFont="0" applyFill="0" applyBorder="0" applyAlignment="0" applyProtection="0"/>
    <xf numFmtId="0" fontId="1" fillId="0" borderId="0"/>
    <xf numFmtId="0" fontId="38" fillId="0" borderId="0"/>
    <xf numFmtId="0" fontId="39" fillId="0" borderId="0"/>
  </cellStyleXfs>
  <cellXfs count="726">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4"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2" fillId="0" borderId="0" xfId="0" applyFont="1"/>
    <xf numFmtId="0" fontId="22" fillId="0" borderId="0" xfId="0" applyFont="1" applyAlignment="1">
      <alignment horizontal="center" vertical="center"/>
    </xf>
    <xf numFmtId="0" fontId="22" fillId="0" borderId="1" xfId="0" applyFont="1" applyBorder="1" applyAlignment="1">
      <alignment horizontal="center" vertical="center"/>
    </xf>
    <xf numFmtId="9" fontId="25" fillId="0" borderId="1" xfId="1" applyFont="1" applyBorder="1" applyAlignment="1">
      <alignment horizontal="center" vertical="center"/>
    </xf>
    <xf numFmtId="16" fontId="23" fillId="4" borderId="26" xfId="0" applyNumberFormat="1" applyFont="1" applyFill="1" applyBorder="1" applyAlignment="1">
      <alignment horizontal="center" vertical="center"/>
    </xf>
    <xf numFmtId="14" fontId="23" fillId="4" borderId="27" xfId="0" applyNumberFormat="1" applyFont="1" applyFill="1" applyBorder="1" applyAlignment="1">
      <alignment horizontal="center" vertical="center" wrapText="1"/>
    </xf>
    <xf numFmtId="0" fontId="17" fillId="4" borderId="27" xfId="0" applyFont="1" applyFill="1" applyBorder="1" applyAlignment="1">
      <alignment horizontal="center" vertical="center" wrapText="1"/>
    </xf>
    <xf numFmtId="0" fontId="23"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24" fillId="4" borderId="29" xfId="0" applyFont="1" applyFill="1" applyBorder="1" applyAlignment="1">
      <alignment horizontal="left" vertical="center"/>
    </xf>
    <xf numFmtId="9" fontId="25" fillId="0" borderId="11" xfId="1" applyFont="1" applyBorder="1" applyAlignment="1">
      <alignment horizontal="center" vertical="center"/>
    </xf>
    <xf numFmtId="0" fontId="24" fillId="4" borderId="30" xfId="0" applyFont="1" applyFill="1" applyBorder="1" applyAlignment="1">
      <alignment horizontal="left" vertical="center"/>
    </xf>
    <xf numFmtId="0" fontId="24" fillId="4" borderId="31" xfId="0" applyFont="1" applyFill="1" applyBorder="1" applyAlignment="1">
      <alignment horizontal="left" vertical="center"/>
    </xf>
    <xf numFmtId="9" fontId="25" fillId="0" borderId="13" xfId="1" applyFont="1" applyBorder="1" applyAlignment="1">
      <alignment horizontal="center" vertical="center"/>
    </xf>
    <xf numFmtId="9" fontId="25" fillId="0" borderId="14" xfId="1" applyFont="1" applyBorder="1" applyAlignment="1">
      <alignment horizontal="center" vertical="center"/>
    </xf>
    <xf numFmtId="0" fontId="22" fillId="0" borderId="13" xfId="0" applyFont="1" applyBorder="1" applyAlignment="1">
      <alignment horizontal="center" vertical="center"/>
    </xf>
    <xf numFmtId="0" fontId="22" fillId="3" borderId="0" xfId="0" applyFont="1" applyFill="1"/>
    <xf numFmtId="0" fontId="22" fillId="3" borderId="0" xfId="0" applyFont="1" applyFill="1" applyAlignment="1">
      <alignment horizontal="center" vertical="center"/>
    </xf>
    <xf numFmtId="0" fontId="26" fillId="0" borderId="1" xfId="0" applyFont="1" applyBorder="1" applyAlignment="1">
      <alignment horizontal="center" vertical="center"/>
    </xf>
    <xf numFmtId="9" fontId="27" fillId="0" borderId="11" xfId="1" applyFont="1" applyBorder="1" applyAlignment="1">
      <alignment horizontal="center" vertical="center"/>
    </xf>
    <xf numFmtId="0" fontId="26" fillId="0" borderId="13" xfId="0" applyFont="1" applyBorder="1" applyAlignment="1">
      <alignment horizontal="center" vertical="center"/>
    </xf>
    <xf numFmtId="9" fontId="27"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1" fillId="0" borderId="34" xfId="0" applyFont="1" applyBorder="1" applyAlignment="1">
      <alignment horizontal="center" vertical="center" wrapText="1"/>
    </xf>
    <xf numFmtId="14" fontId="32" fillId="0" borderId="1" xfId="0" applyNumberFormat="1" applyFont="1" applyFill="1" applyBorder="1" applyAlignment="1">
      <alignment horizontal="center" vertical="center"/>
    </xf>
    <xf numFmtId="14" fontId="32" fillId="0" borderId="5" xfId="0" applyNumberFormat="1" applyFont="1" applyFill="1" applyBorder="1" applyAlignment="1">
      <alignment horizontal="center" vertical="center"/>
    </xf>
    <xf numFmtId="14" fontId="32"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0" borderId="35" xfId="0" applyFill="1" applyBorder="1" applyAlignment="1">
      <alignment horizontal="center"/>
    </xf>
    <xf numFmtId="0" fontId="2" fillId="0" borderId="35" xfId="0" applyFont="1" applyBorder="1" applyAlignment="1">
      <alignment horizontal="center" wrapText="1"/>
    </xf>
    <xf numFmtId="14" fontId="32"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2" fillId="41" borderId="1" xfId="0" applyNumberFormat="1" applyFont="1" applyFill="1" applyBorder="1" applyAlignment="1">
      <alignment horizontal="center" vertical="center"/>
    </xf>
    <xf numFmtId="14" fontId="32" fillId="42" borderId="1" xfId="0" applyNumberFormat="1" applyFont="1" applyFill="1" applyBorder="1" applyAlignment="1">
      <alignment horizontal="center" vertical="center"/>
    </xf>
    <xf numFmtId="14" fontId="32" fillId="3"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2" fillId="3"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2" fillId="41" borderId="57" xfId="0" applyNumberFormat="1" applyFont="1" applyFill="1" applyBorder="1" applyAlignment="1">
      <alignment horizontal="center" vertical="center"/>
    </xf>
    <xf numFmtId="0" fontId="0" fillId="0" borderId="57" xfId="0" applyBorder="1" applyAlignment="1">
      <alignment horizontal="center"/>
    </xf>
    <xf numFmtId="14" fontId="32" fillId="41"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2" fillId="3" borderId="60" xfId="0" applyNumberFormat="1" applyFont="1" applyFill="1" applyBorder="1" applyAlignment="1">
      <alignment horizontal="center" vertical="center"/>
    </xf>
    <xf numFmtId="14" fontId="32" fillId="3"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39"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7" borderId="1" xfId="43" applyNumberFormat="1" applyFont="1" applyFill="1" applyBorder="1" applyAlignment="1">
      <alignment horizontal="center"/>
    </xf>
    <xf numFmtId="165" fontId="0" fillId="38"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8" borderId="1" xfId="43" applyNumberFormat="1" applyFont="1" applyFill="1" applyBorder="1" applyAlignment="1">
      <alignment horizontal="center"/>
    </xf>
    <xf numFmtId="165" fontId="29" fillId="0" borderId="1" xfId="43" applyNumberFormat="1" applyFont="1" applyBorder="1" applyAlignment="1">
      <alignment horizontal="center"/>
    </xf>
    <xf numFmtId="165" fontId="30"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8"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3" borderId="1" xfId="43" applyNumberFormat="1" applyFont="1" applyFill="1" applyBorder="1" applyAlignment="1">
      <alignment horizontal="center"/>
    </xf>
    <xf numFmtId="165" fontId="0" fillId="5" borderId="1" xfId="43" applyNumberFormat="1" applyFont="1" applyFill="1" applyBorder="1" applyAlignment="1">
      <alignment horizontal="center"/>
    </xf>
    <xf numFmtId="165" fontId="28"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4" borderId="1" xfId="0" applyNumberFormat="1" applyFont="1" applyFill="1" applyBorder="1" applyAlignment="1">
      <alignment horizontal="center" vertical="center" wrapText="1"/>
    </xf>
    <xf numFmtId="165" fontId="20" fillId="4" borderId="1" xfId="43" applyNumberFormat="1" applyFont="1" applyFill="1" applyBorder="1" applyAlignment="1">
      <alignment horizontal="center" vertical="center" wrapText="1"/>
    </xf>
    <xf numFmtId="165" fontId="17" fillId="4" borderId="1" xfId="43" applyNumberFormat="1" applyFont="1" applyFill="1" applyBorder="1" applyAlignment="1">
      <alignment horizontal="center" vertical="center" wrapText="1"/>
    </xf>
    <xf numFmtId="0" fontId="20" fillId="4" borderId="1" xfId="0" applyFont="1" applyFill="1" applyBorder="1" applyAlignment="1">
      <alignment horizontal="center" vertical="center" wrapText="1"/>
    </xf>
    <xf numFmtId="1" fontId="20" fillId="4"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3"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3" fillId="0" borderId="1" xfId="0" applyNumberFormat="1" applyFont="1" applyBorder="1" applyAlignment="1">
      <alignment horizontal="center" vertical="center"/>
    </xf>
    <xf numFmtId="0" fontId="27" fillId="3" borderId="0" xfId="0" applyFont="1" applyFill="1" applyBorder="1" applyAlignment="1">
      <alignment vertical="center"/>
    </xf>
    <xf numFmtId="9" fontId="27" fillId="0" borderId="2" xfId="1" applyFont="1" applyBorder="1" applyAlignment="1">
      <alignment horizontal="center" vertical="center"/>
    </xf>
    <xf numFmtId="9" fontId="27" fillId="0" borderId="64" xfId="1" applyFont="1" applyBorder="1" applyAlignment="1">
      <alignment horizontal="center" vertical="center"/>
    </xf>
    <xf numFmtId="1" fontId="35" fillId="0" borderId="1" xfId="0" applyNumberFormat="1" applyFont="1" applyBorder="1" applyAlignment="1">
      <alignment horizontal="center" vertical="center"/>
    </xf>
    <xf numFmtId="165" fontId="30" fillId="3" borderId="1" xfId="43" applyNumberFormat="1" applyFont="1" applyFill="1" applyBorder="1" applyAlignment="1">
      <alignment horizontal="center"/>
    </xf>
    <xf numFmtId="0" fontId="3" fillId="0" borderId="8" xfId="0" applyFont="1" applyBorder="1" applyAlignment="1">
      <alignment horizontal="center" vertical="center"/>
    </xf>
    <xf numFmtId="1" fontId="33"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3"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36" fillId="0" borderId="0" xfId="0" applyFont="1" applyAlignment="1">
      <alignment horizontal="center" vertical="center" readingOrder="1"/>
    </xf>
    <xf numFmtId="14" fontId="37" fillId="3"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7" fillId="3" borderId="0" xfId="0" applyFont="1" applyFill="1" applyBorder="1" applyAlignment="1">
      <alignment horizontal="center" vertical="center" wrapText="1"/>
    </xf>
    <xf numFmtId="14" fontId="0" fillId="0" borderId="0" xfId="0" applyNumberFormat="1"/>
    <xf numFmtId="0" fontId="20" fillId="4" borderId="0" xfId="0" applyFont="1" applyFill="1" applyAlignment="1">
      <alignment horizontal="center"/>
    </xf>
    <xf numFmtId="14" fontId="20" fillId="4" borderId="0" xfId="0" applyNumberFormat="1" applyFont="1" applyFill="1" applyAlignment="1">
      <alignment horizontal="center"/>
    </xf>
    <xf numFmtId="0" fontId="20" fillId="4" borderId="0" xfId="0" applyFont="1" applyFill="1"/>
    <xf numFmtId="166" fontId="33" fillId="0" borderId="0" xfId="0" applyNumberFormat="1" applyFont="1" applyAlignment="1">
      <alignment horizontal="center" vertical="center"/>
    </xf>
    <xf numFmtId="2" fontId="33" fillId="0" borderId="9" xfId="0" applyNumberFormat="1" applyFont="1" applyBorder="1" applyAlignment="1">
      <alignment horizontal="center" vertical="center"/>
    </xf>
    <xf numFmtId="2" fontId="35"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39" borderId="1" xfId="43" applyNumberFormat="1" applyFont="1" applyFill="1" applyBorder="1" applyAlignment="1">
      <alignment horizontal="center"/>
    </xf>
    <xf numFmtId="9" fontId="0" fillId="0" borderId="0" xfId="0" applyNumberFormat="1" applyAlignment="1">
      <alignment horizontal="center"/>
    </xf>
    <xf numFmtId="165" fontId="0" fillId="43" borderId="1" xfId="43" applyNumberFormat="1" applyFont="1" applyFill="1" applyBorder="1" applyAlignment="1">
      <alignment horizontal="center"/>
    </xf>
    <xf numFmtId="0" fontId="0" fillId="0" borderId="0" xfId="0" applyAlignment="1"/>
    <xf numFmtId="0" fontId="23" fillId="43"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4" fillId="4" borderId="29" xfId="0" applyFont="1" applyFill="1" applyBorder="1" applyAlignment="1">
      <alignment vertical="center"/>
    </xf>
    <xf numFmtId="49" fontId="3" fillId="0" borderId="1" xfId="0" applyNumberFormat="1" applyFont="1" applyBorder="1" applyAlignment="1">
      <alignment horizontal="center"/>
    </xf>
    <xf numFmtId="0" fontId="0" fillId="3" borderId="0" xfId="0" applyFill="1" applyAlignment="1">
      <alignment horizontal="center"/>
    </xf>
    <xf numFmtId="0" fontId="0" fillId="3" borderId="0" xfId="0" applyFill="1"/>
    <xf numFmtId="16" fontId="23" fillId="4" borderId="27" xfId="0" applyNumberFormat="1" applyFont="1" applyFill="1" applyBorder="1" applyAlignment="1">
      <alignment horizontal="center" vertical="center" wrapText="1"/>
    </xf>
    <xf numFmtId="16" fontId="23" fillId="4" borderId="27" xfId="0" applyNumberFormat="1" applyFont="1" applyFill="1" applyBorder="1" applyAlignment="1">
      <alignment horizontal="center" vertical="center"/>
    </xf>
    <xf numFmtId="49" fontId="0" fillId="0" borderId="27" xfId="0" applyNumberFormat="1" applyBorder="1" applyAlignment="1">
      <alignment horizontal="center"/>
    </xf>
    <xf numFmtId="16" fontId="23" fillId="4" borderId="28" xfId="0" applyNumberFormat="1" applyFont="1" applyFill="1" applyBorder="1" applyAlignment="1">
      <alignment horizontal="center" vertical="center" wrapText="1"/>
    </xf>
    <xf numFmtId="1" fontId="33" fillId="0" borderId="9" xfId="0" applyNumberFormat="1" applyFont="1" applyBorder="1" applyAlignment="1">
      <alignment horizontal="center" vertical="center"/>
    </xf>
    <xf numFmtId="0" fontId="24" fillId="4" borderId="67" xfId="0" applyFont="1" applyFill="1" applyBorder="1" applyAlignment="1">
      <alignment vertical="center"/>
    </xf>
    <xf numFmtId="2" fontId="33" fillId="0" borderId="68" xfId="0" applyNumberFormat="1" applyFont="1" applyBorder="1" applyAlignment="1">
      <alignment horizontal="center" vertical="center"/>
    </xf>
    <xf numFmtId="49" fontId="3" fillId="0" borderId="13" xfId="0" applyNumberFormat="1" applyFont="1" applyBorder="1" applyAlignment="1">
      <alignment horizontal="center"/>
    </xf>
    <xf numFmtId="1" fontId="33" fillId="0" borderId="68" xfId="0" applyNumberFormat="1" applyFont="1" applyBorder="1" applyAlignment="1">
      <alignment horizontal="center" vertical="center"/>
    </xf>
    <xf numFmtId="0" fontId="0" fillId="3" borderId="0" xfId="0" applyFill="1" applyAlignment="1"/>
    <xf numFmtId="49" fontId="0" fillId="3" borderId="0" xfId="0" applyNumberFormat="1" applyFill="1"/>
    <xf numFmtId="0" fontId="25" fillId="0" borderId="1" xfId="0" applyNumberFormat="1" applyFont="1" applyBorder="1" applyAlignment="1">
      <alignment horizontal="center"/>
    </xf>
    <xf numFmtId="0" fontId="25" fillId="0" borderId="13" xfId="0" applyNumberFormat="1" applyFont="1" applyBorder="1" applyAlignment="1">
      <alignment horizontal="center"/>
    </xf>
    <xf numFmtId="0" fontId="20" fillId="4"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5" fillId="0" borderId="72" xfId="1" applyNumberFormat="1" applyFont="1" applyBorder="1" applyAlignment="1">
      <alignment horizontal="center" vertical="center"/>
    </xf>
    <xf numFmtId="164" fontId="25" fillId="0" borderId="70"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5" fillId="0" borderId="73" xfId="1" applyNumberFormat="1" applyFont="1" applyBorder="1" applyAlignment="1">
      <alignment horizontal="center" vertical="center"/>
    </xf>
    <xf numFmtId="1" fontId="3" fillId="0" borderId="74" xfId="1" applyNumberFormat="1" applyFont="1" applyBorder="1" applyAlignment="1">
      <alignment horizontal="center" vertical="center"/>
    </xf>
    <xf numFmtId="0" fontId="3" fillId="0" borderId="75" xfId="0" applyFont="1" applyBorder="1" applyAlignment="1">
      <alignment horizontal="center" vertical="center"/>
    </xf>
    <xf numFmtId="9" fontId="3" fillId="0" borderId="75" xfId="1" applyFont="1" applyBorder="1" applyAlignment="1">
      <alignment horizontal="center" vertical="center"/>
    </xf>
    <xf numFmtId="1" fontId="40" fillId="0" borderId="75" xfId="45" applyNumberFormat="1" applyFont="1" applyBorder="1" applyAlignment="1">
      <alignment horizontal="center"/>
    </xf>
    <xf numFmtId="9" fontId="3" fillId="0" borderId="68" xfId="1" applyNumberFormat="1" applyFont="1" applyBorder="1" applyAlignment="1">
      <alignment horizontal="center" vertical="center"/>
    </xf>
    <xf numFmtId="164" fontId="25" fillId="0" borderId="69" xfId="1" applyNumberFormat="1" applyFont="1" applyBorder="1" applyAlignment="1">
      <alignment horizontal="center" vertical="center"/>
    </xf>
    <xf numFmtId="0" fontId="20" fillId="4" borderId="26" xfId="0" applyFont="1" applyFill="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9" fontId="20" fillId="4" borderId="77" xfId="1" applyFont="1" applyFill="1" applyBorder="1" applyAlignment="1">
      <alignment horizontal="center" vertical="center" wrapText="1"/>
    </xf>
    <xf numFmtId="0" fontId="20" fillId="4" borderId="77" xfId="0" applyFont="1" applyFill="1" applyBorder="1" applyAlignment="1">
      <alignment horizontal="center" vertical="center" wrapText="1"/>
    </xf>
    <xf numFmtId="0" fontId="20" fillId="4" borderId="78" xfId="0" applyFont="1" applyFill="1" applyBorder="1" applyAlignment="1">
      <alignment horizontal="center" vertical="center" wrapText="1"/>
    </xf>
    <xf numFmtId="0" fontId="20" fillId="4" borderId="79"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4" borderId="80" xfId="0" applyFont="1" applyFill="1" applyBorder="1" applyAlignment="1">
      <alignment horizontal="center" vertical="center"/>
    </xf>
    <xf numFmtId="0" fontId="17" fillId="4" borderId="81" xfId="0" applyFont="1" applyFill="1" applyBorder="1" applyAlignment="1">
      <alignment horizontal="center" vertical="center"/>
    </xf>
    <xf numFmtId="0" fontId="3" fillId="0" borderId="82" xfId="0" applyFont="1" applyBorder="1" applyAlignment="1">
      <alignment horizontal="center" vertical="center"/>
    </xf>
    <xf numFmtId="165" fontId="20" fillId="4" borderId="1" xfId="43" applyNumberFormat="1" applyFont="1" applyFill="1" applyBorder="1" applyAlignment="1">
      <alignment horizontal="center"/>
    </xf>
    <xf numFmtId="1" fontId="33" fillId="0" borderId="5" xfId="0" applyNumberFormat="1" applyFont="1" applyBorder="1" applyAlignment="1">
      <alignment horizontal="center" vertical="center"/>
    </xf>
    <xf numFmtId="2" fontId="33" fillId="0" borderId="1" xfId="0" applyNumberFormat="1" applyFont="1" applyBorder="1" applyAlignment="1">
      <alignment horizontal="center" vertical="center"/>
    </xf>
    <xf numFmtId="2" fontId="33" fillId="0" borderId="5" xfId="0" applyNumberFormat="1" applyFont="1" applyBorder="1" applyAlignment="1">
      <alignment horizontal="center" vertical="center"/>
    </xf>
    <xf numFmtId="0" fontId="20" fillId="4" borderId="0" xfId="0" applyFont="1" applyFill="1" applyAlignment="1">
      <alignment horizontal="center" vertical="center" wrapText="1"/>
    </xf>
    <xf numFmtId="14" fontId="32"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5" xfId="0" applyNumberFormat="1" applyBorder="1" applyAlignment="1">
      <alignment horizontal="center" vertical="center"/>
    </xf>
    <xf numFmtId="0" fontId="3" fillId="0" borderId="62" xfId="0" applyFont="1" applyBorder="1" applyAlignment="1">
      <alignment horizontal="center" vertical="center"/>
    </xf>
    <xf numFmtId="14" fontId="0" fillId="0" borderId="66" xfId="0" applyNumberFormat="1" applyBorder="1" applyAlignment="1">
      <alignment horizontal="center" vertical="center"/>
    </xf>
    <xf numFmtId="0" fontId="3" fillId="0" borderId="64" xfId="0" applyFont="1" applyBorder="1" applyAlignment="1">
      <alignment horizontal="center" vertical="center"/>
    </xf>
    <xf numFmtId="0" fontId="0" fillId="0" borderId="0" xfId="0" applyFill="1" applyBorder="1" applyAlignment="1">
      <alignment horizontal="center" vertical="center"/>
    </xf>
    <xf numFmtId="0" fontId="0" fillId="0" borderId="71" xfId="0" applyBorder="1" applyAlignment="1">
      <alignment horizontal="center" vertical="center"/>
    </xf>
    <xf numFmtId="0" fontId="0" fillId="0" borderId="63" xfId="0" applyBorder="1" applyAlignment="1">
      <alignment horizontal="center" vertical="center"/>
    </xf>
    <xf numFmtId="0" fontId="21" fillId="4"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1" xfId="0" applyNumberFormat="1" applyBorder="1" applyAlignment="1">
      <alignment horizontal="center"/>
    </xf>
    <xf numFmtId="0" fontId="0" fillId="40" borderId="1" xfId="0" applyFill="1" applyBorder="1" applyAlignment="1">
      <alignment horizontal="center"/>
    </xf>
    <xf numFmtId="14" fontId="22" fillId="3" borderId="0" xfId="0" applyNumberFormat="1" applyFont="1" applyFill="1"/>
    <xf numFmtId="14" fontId="22" fillId="0" borderId="0" xfId="0" applyNumberFormat="1" applyFont="1"/>
    <xf numFmtId="167" fontId="0" fillId="0" borderId="1" xfId="0" applyNumberFormat="1" applyBorder="1" applyAlignment="1">
      <alignment horizontal="center"/>
    </xf>
    <xf numFmtId="2" fontId="0" fillId="0" borderId="1" xfId="0" applyNumberFormat="1" applyBorder="1" applyAlignment="1">
      <alignment horizontal="center"/>
    </xf>
    <xf numFmtId="0" fontId="41" fillId="4"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5" borderId="0" xfId="0" applyFill="1"/>
    <xf numFmtId="1" fontId="3" fillId="0" borderId="5" xfId="0" applyNumberFormat="1" applyFont="1" applyBorder="1" applyAlignment="1">
      <alignment horizontal="center"/>
    </xf>
    <xf numFmtId="2" fontId="33"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4"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42" fillId="3" borderId="1" xfId="0" applyFont="1" applyFill="1" applyBorder="1" applyAlignment="1">
      <alignment horizontal="center"/>
    </xf>
    <xf numFmtId="0" fontId="42" fillId="3" borderId="1" xfId="0" applyFont="1" applyFill="1" applyBorder="1" applyAlignment="1">
      <alignment horizontal="center" vertical="center"/>
    </xf>
    <xf numFmtId="0" fontId="30" fillId="0" borderId="1" xfId="0" applyFont="1" applyBorder="1" applyAlignment="1">
      <alignment horizontal="center" vertical="center"/>
    </xf>
    <xf numFmtId="0" fontId="43" fillId="3" borderId="1" xfId="0" applyFont="1" applyFill="1" applyBorder="1" applyAlignment="1">
      <alignment horizontal="center" vertical="center"/>
    </xf>
    <xf numFmtId="0" fontId="30" fillId="3"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4" fontId="0" fillId="0" borderId="84" xfId="0" applyNumberFormat="1" applyBorder="1" applyAlignment="1">
      <alignment horizontal="center" vertical="center"/>
    </xf>
    <xf numFmtId="0" fontId="3" fillId="0" borderId="84" xfId="0" applyFont="1" applyBorder="1" applyAlignment="1">
      <alignment horizontal="center" vertical="center"/>
    </xf>
    <xf numFmtId="0" fontId="0" fillId="0" borderId="84" xfId="0" applyBorder="1" applyAlignment="1">
      <alignment horizontal="center" vertic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4" fontId="32" fillId="3"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4" borderId="1" xfId="0" applyNumberFormat="1" applyFont="1" applyFill="1" applyBorder="1" applyAlignment="1">
      <alignment horizontal="center"/>
    </xf>
    <xf numFmtId="1" fontId="43" fillId="3" borderId="1" xfId="0" applyNumberFormat="1" applyFont="1" applyFill="1" applyBorder="1" applyAlignment="1">
      <alignment horizontal="center"/>
    </xf>
    <xf numFmtId="1" fontId="42" fillId="3" borderId="1" xfId="0" applyNumberFormat="1" applyFont="1" applyFill="1" applyBorder="1" applyAlignment="1">
      <alignment horizontal="center"/>
    </xf>
    <xf numFmtId="1" fontId="0" fillId="3" borderId="0" xfId="0" applyNumberFormat="1" applyFill="1" applyAlignment="1">
      <alignment horizontal="center"/>
    </xf>
    <xf numFmtId="1" fontId="42" fillId="45" borderId="1" xfId="0" applyNumberFormat="1" applyFont="1" applyFill="1" applyBorder="1" applyAlignment="1">
      <alignment horizontal="center"/>
    </xf>
    <xf numFmtId="1" fontId="30" fillId="0" borderId="1" xfId="43" applyNumberFormat="1" applyFont="1" applyBorder="1" applyAlignment="1">
      <alignment horizontal="center"/>
    </xf>
    <xf numFmtId="1" fontId="0" fillId="0" borderId="1" xfId="43" applyNumberFormat="1" applyFont="1" applyBorder="1" applyAlignment="1">
      <alignment horizontal="center"/>
    </xf>
    <xf numFmtId="14" fontId="0" fillId="45"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4" fontId="32" fillId="44"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2" fillId="3"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89" xfId="0" applyFont="1" applyBorder="1" applyAlignment="1">
      <alignment horizontal="center" vertical="center"/>
    </xf>
    <xf numFmtId="0" fontId="3" fillId="0" borderId="91" xfId="0" applyFont="1" applyBorder="1" applyAlignment="1">
      <alignment horizontal="center" vertical="center"/>
    </xf>
    <xf numFmtId="0" fontId="3" fillId="0" borderId="92" xfId="0" applyFont="1" applyBorder="1" applyAlignment="1">
      <alignment horizontal="center" vertic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4"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0" fontId="3" fillId="37" borderId="10" xfId="0" applyFont="1" applyFill="1" applyBorder="1" applyAlignment="1">
      <alignment horizontal="left"/>
    </xf>
    <xf numFmtId="0" fontId="3" fillId="46" borderId="7" xfId="0" applyFont="1" applyFill="1" applyBorder="1" applyAlignment="1">
      <alignment horizontal="left"/>
    </xf>
    <xf numFmtId="0" fontId="3" fillId="0" borderId="10" xfId="0" applyFont="1" applyFill="1" applyBorder="1" applyAlignment="1">
      <alignment horizontal="left"/>
    </xf>
    <xf numFmtId="0" fontId="3" fillId="46" borderId="10" xfId="0" applyFont="1" applyFill="1" applyBorder="1" applyAlignment="1">
      <alignment horizontal="left"/>
    </xf>
    <xf numFmtId="0" fontId="3" fillId="0" borderId="25" xfId="0" applyFont="1" applyFill="1" applyBorder="1" applyAlignment="1">
      <alignment horizontal="left"/>
    </xf>
    <xf numFmtId="0" fontId="3" fillId="45" borderId="83" xfId="0" applyFont="1" applyFill="1" applyBorder="1" applyAlignment="1">
      <alignment horizontal="left"/>
    </xf>
    <xf numFmtId="0" fontId="3" fillId="45" borderId="85" xfId="0" applyFont="1" applyFill="1" applyBorder="1" applyAlignment="1">
      <alignment horizontal="left"/>
    </xf>
    <xf numFmtId="0" fontId="3" fillId="3" borderId="85" xfId="0" applyFont="1" applyFill="1" applyBorder="1" applyAlignment="1">
      <alignment horizontal="left"/>
    </xf>
    <xf numFmtId="0" fontId="3" fillId="37" borderId="85" xfId="0" applyFont="1" applyFill="1" applyBorder="1" applyAlignment="1">
      <alignment horizontal="left"/>
    </xf>
    <xf numFmtId="0" fontId="3" fillId="3" borderId="88" xfId="0" applyFont="1" applyFill="1" applyBorder="1" applyAlignment="1">
      <alignment horizontal="left"/>
    </xf>
    <xf numFmtId="0" fontId="3" fillId="3" borderId="86" xfId="0" applyFont="1" applyFill="1" applyBorder="1" applyAlignment="1">
      <alignment horizontal="left"/>
    </xf>
    <xf numFmtId="0" fontId="3" fillId="0" borderId="83" xfId="0" applyFont="1" applyFill="1" applyBorder="1" applyAlignment="1">
      <alignment horizontal="left"/>
    </xf>
    <xf numFmtId="0" fontId="3" fillId="0" borderId="85" xfId="0" applyFont="1" applyFill="1" applyBorder="1" applyAlignment="1">
      <alignment horizontal="left"/>
    </xf>
    <xf numFmtId="0" fontId="3" fillId="0" borderId="86" xfId="0" applyFont="1" applyFill="1" applyBorder="1" applyAlignment="1">
      <alignment horizontal="left"/>
    </xf>
    <xf numFmtId="0" fontId="3" fillId="0" borderId="88" xfId="0" applyFont="1" applyFill="1" applyBorder="1" applyAlignment="1">
      <alignment horizontal="left"/>
    </xf>
    <xf numFmtId="0" fontId="3" fillId="45" borderId="90" xfId="0" applyFont="1" applyFill="1" applyBorder="1" applyAlignment="1">
      <alignment horizontal="left"/>
    </xf>
    <xf numFmtId="0" fontId="3" fillId="46" borderId="93" xfId="0" applyFont="1" applyFill="1" applyBorder="1" applyAlignment="1">
      <alignment horizontal="left"/>
    </xf>
    <xf numFmtId="0" fontId="3" fillId="0" borderId="93" xfId="0" applyFont="1" applyFill="1" applyBorder="1" applyAlignment="1">
      <alignment horizontal="left"/>
    </xf>
    <xf numFmtId="0" fontId="3" fillId="45" borderId="93" xfId="0" applyFont="1" applyFill="1" applyBorder="1" applyAlignment="1">
      <alignment horizontal="left"/>
    </xf>
    <xf numFmtId="0" fontId="3" fillId="37" borderId="93" xfId="0" applyFont="1" applyFill="1" applyBorder="1" applyAlignment="1">
      <alignment horizontal="left"/>
    </xf>
    <xf numFmtId="0" fontId="3" fillId="48" borderId="93" xfId="0" applyFont="1" applyFill="1" applyBorder="1" applyAlignment="1">
      <alignment horizontal="left"/>
    </xf>
    <xf numFmtId="0" fontId="3" fillId="0" borderId="94" xfId="0" applyFont="1" applyFill="1" applyBorder="1" applyAlignment="1">
      <alignment horizontal="left"/>
    </xf>
    <xf numFmtId="0" fontId="3" fillId="0" borderId="58" xfId="0" applyFont="1" applyBorder="1" applyAlignment="1">
      <alignment horizontal="center" vertic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3"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0" fontId="0" fillId="0" borderId="0" xfId="0" applyFill="1" applyBorder="1" applyAlignment="1">
      <alignment horizontal="center"/>
    </xf>
    <xf numFmtId="0" fontId="3" fillId="0" borderId="0" xfId="0" applyFont="1" applyAlignment="1">
      <alignment horizontal="center" vertic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8" borderId="0" xfId="0" applyFill="1" applyAlignment="1">
      <alignment horizontal="center"/>
    </xf>
    <xf numFmtId="0" fontId="0" fillId="2" borderId="0" xfId="0" applyFill="1" applyAlignment="1">
      <alignment horizontal="center"/>
    </xf>
    <xf numFmtId="0" fontId="0" fillId="37" borderId="0" xfId="0" applyFill="1" applyAlignment="1">
      <alignment horizontal="center"/>
    </xf>
    <xf numFmtId="1" fontId="17" fillId="4" borderId="8" xfId="0" applyNumberFormat="1" applyFont="1" applyFill="1" applyBorder="1" applyAlignment="1">
      <alignment horizontal="center"/>
    </xf>
    <xf numFmtId="1" fontId="17" fillId="4" borderId="1" xfId="0" applyNumberFormat="1" applyFont="1" applyFill="1" applyBorder="1" applyAlignment="1">
      <alignment horizontal="center"/>
    </xf>
    <xf numFmtId="1" fontId="17" fillId="4"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0" borderId="0" xfId="0" applyFill="1" applyAlignment="1">
      <alignment horizontal="center"/>
    </xf>
    <xf numFmtId="1" fontId="17" fillId="4" borderId="5" xfId="0" applyNumberFormat="1" applyFont="1" applyFill="1" applyBorder="1" applyAlignment="1">
      <alignment horizontal="center"/>
    </xf>
    <xf numFmtId="0" fontId="26" fillId="0" borderId="0" xfId="0" applyFont="1"/>
    <xf numFmtId="16" fontId="26" fillId="0" borderId="0" xfId="0" applyNumberFormat="1" applyFont="1"/>
    <xf numFmtId="9" fontId="0" fillId="0" borderId="0" xfId="1" applyFont="1"/>
    <xf numFmtId="0" fontId="0" fillId="3" borderId="0" xfId="0" applyFill="1" applyAlignment="1">
      <alignment horizontal="center" vertical="center"/>
    </xf>
    <xf numFmtId="9" fontId="0" fillId="0" borderId="0" xfId="1" applyFont="1" applyAlignment="1">
      <alignment horizontal="center" vertical="center"/>
    </xf>
    <xf numFmtId="9" fontId="20" fillId="4" borderId="0" xfId="1" applyFont="1" applyFill="1" applyAlignment="1">
      <alignment horizontal="center" vertical="center"/>
    </xf>
    <xf numFmtId="9" fontId="0" fillId="0" borderId="0" xfId="0" applyNumberFormat="1"/>
    <xf numFmtId="0" fontId="32"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6" fillId="0" borderId="0" xfId="1" applyFont="1"/>
    <xf numFmtId="9" fontId="0" fillId="0" borderId="0" xfId="0" applyNumberFormat="1" applyAlignment="1">
      <alignment horizontal="center" vertical="center"/>
    </xf>
    <xf numFmtId="0" fontId="20" fillId="4" borderId="1" xfId="0" applyFont="1" applyFill="1" applyBorder="1" applyAlignment="1">
      <alignment horizontal="center" vertical="center"/>
    </xf>
    <xf numFmtId="0" fontId="20" fillId="4" borderId="0" xfId="0" applyFont="1" applyFill="1" applyAlignment="1">
      <alignment horizontal="center" vertical="center"/>
    </xf>
    <xf numFmtId="1"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4"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4" borderId="1" xfId="0" applyFill="1" applyBorder="1" applyAlignment="1">
      <alignment horizontal="center"/>
    </xf>
    <xf numFmtId="0" fontId="17" fillId="4" borderId="0" xfId="0" applyFont="1" applyFill="1" applyAlignment="1">
      <alignment horizontal="center" vertical="center" wrapText="1"/>
    </xf>
    <xf numFmtId="1" fontId="35" fillId="0" borderId="95" xfId="0" applyNumberFormat="1" applyFont="1" applyBorder="1" applyAlignment="1">
      <alignment horizontal="center" vertical="center"/>
    </xf>
    <xf numFmtId="1" fontId="35" fillId="0" borderId="13" xfId="0" applyNumberFormat="1" applyFont="1" applyBorder="1" applyAlignment="1">
      <alignment horizontal="center" vertical="center"/>
    </xf>
    <xf numFmtId="2" fontId="35" fillId="0" borderId="13" xfId="0" applyNumberFormat="1" applyFont="1" applyBorder="1" applyAlignment="1">
      <alignment horizontal="center" vertical="center"/>
    </xf>
    <xf numFmtId="1" fontId="35" fillId="0" borderId="96" xfId="0" applyNumberFormat="1" applyFont="1" applyBorder="1" applyAlignment="1">
      <alignment horizontal="center" vertical="center"/>
    </xf>
    <xf numFmtId="2" fontId="0" fillId="0" borderId="5" xfId="0" applyNumberFormat="1" applyBorder="1" applyAlignment="1">
      <alignment horizontal="center"/>
    </xf>
    <xf numFmtId="3" fontId="0" fillId="0" borderId="0" xfId="0" applyNumberFormat="1"/>
    <xf numFmtId="9" fontId="3" fillId="0" borderId="3" xfId="1" applyFont="1" applyFill="1" applyBorder="1" applyAlignment="1">
      <alignment horizontal="center" vertical="center"/>
    </xf>
    <xf numFmtId="0" fontId="20" fillId="4" borderId="15" xfId="0" applyFont="1" applyFill="1" applyBorder="1"/>
    <xf numFmtId="0" fontId="23" fillId="4"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23" fillId="4" borderId="97" xfId="0" applyFont="1" applyFill="1" applyBorder="1" applyAlignment="1">
      <alignment horizontal="left"/>
    </xf>
    <xf numFmtId="1" fontId="22" fillId="0" borderId="1" xfId="0" applyNumberFormat="1" applyFont="1" applyBorder="1" applyAlignment="1">
      <alignment horizontal="center" vertical="center"/>
    </xf>
    <xf numFmtId="9" fontId="25" fillId="0" borderId="0" xfId="1" applyFont="1" applyAlignment="1">
      <alignment horizontal="center" vertical="center"/>
    </xf>
    <xf numFmtId="9" fontId="25" fillId="48" borderId="0" xfId="1" applyFont="1" applyFill="1" applyAlignment="1">
      <alignment horizontal="center" vertical="center"/>
    </xf>
    <xf numFmtId="1" fontId="42" fillId="46" borderId="1" xfId="0" applyNumberFormat="1" applyFont="1" applyFill="1" applyBorder="1" applyAlignment="1">
      <alignment horizontal="center"/>
    </xf>
    <xf numFmtId="0" fontId="42" fillId="46" borderId="1" xfId="0" applyFont="1" applyFill="1" applyBorder="1" applyAlignment="1">
      <alignment horizontal="center" vertical="center"/>
    </xf>
    <xf numFmtId="0" fontId="3" fillId="0" borderId="98" xfId="0" applyFont="1" applyBorder="1" applyAlignment="1">
      <alignment horizontal="left"/>
    </xf>
    <xf numFmtId="0" fontId="3" fillId="0" borderId="99" xfId="0" applyFont="1" applyBorder="1" applyAlignment="1">
      <alignment horizontal="left"/>
    </xf>
    <xf numFmtId="0" fontId="3" fillId="0" borderId="100" xfId="0" applyFont="1" applyBorder="1" applyAlignment="1">
      <alignment horizontal="left"/>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0" fontId="0" fillId="0" borderId="0" xfId="0" applyAlignment="1">
      <alignment horizontal="center" vertical="center"/>
    </xf>
    <xf numFmtId="0" fontId="0" fillId="0" borderId="0" xfId="0" applyAlignment="1">
      <alignment horizontal="center"/>
    </xf>
    <xf numFmtId="165" fontId="3" fillId="0" borderId="2" xfId="0" applyNumberFormat="1" applyFont="1" applyBorder="1" applyAlignment="1">
      <alignment horizontal="center"/>
    </xf>
    <xf numFmtId="9" fontId="3" fillId="0" borderId="2" xfId="1" applyNumberFormat="1" applyFont="1" applyBorder="1" applyAlignment="1">
      <alignment horizontal="center"/>
    </xf>
    <xf numFmtId="0" fontId="0" fillId="0" borderId="6" xfId="0" applyBorder="1" applyAlignment="1">
      <alignment horizontal="center"/>
    </xf>
    <xf numFmtId="165" fontId="0" fillId="44" borderId="1" xfId="43" applyNumberFormat="1" applyFont="1" applyFill="1" applyBorder="1" applyAlignment="1">
      <alignment horizontal="center"/>
    </xf>
    <xf numFmtId="0" fontId="2" fillId="0" borderId="103" xfId="0" applyFont="1" applyBorder="1" applyAlignment="1">
      <alignment wrapText="1"/>
    </xf>
    <xf numFmtId="0" fontId="2" fillId="0" borderId="101" xfId="0" applyFont="1" applyBorder="1" applyAlignment="1">
      <alignment horizontal="center" wrapText="1"/>
    </xf>
    <xf numFmtId="0" fontId="31" fillId="0" borderId="101" xfId="0" applyFont="1" applyBorder="1" applyAlignment="1">
      <alignment horizontal="center" wrapText="1"/>
    </xf>
    <xf numFmtId="0" fontId="44" fillId="0" borderId="101" xfId="0" applyFont="1" applyBorder="1" applyAlignment="1">
      <alignment horizontal="center" wrapText="1"/>
    </xf>
    <xf numFmtId="0" fontId="2" fillId="0" borderId="102" xfId="0" applyFont="1" applyBorder="1" applyAlignment="1">
      <alignment vertical="center" wrapText="1"/>
    </xf>
    <xf numFmtId="0" fontId="0" fillId="0" borderId="0" xfId="0" applyAlignment="1">
      <alignment horizontal="center" vertical="center"/>
    </xf>
    <xf numFmtId="0" fontId="3" fillId="0" borderId="3" xfId="0" applyFont="1" applyBorder="1" applyAlignment="1">
      <alignment horizontal="center" vertical="center"/>
    </xf>
    <xf numFmtId="0" fontId="34" fillId="0" borderId="0" xfId="0" applyFont="1" applyFill="1" applyBorder="1" applyAlignment="1">
      <alignment horizontal="left" vertical="center" wrapText="1" indent="1"/>
    </xf>
    <xf numFmtId="14" fontId="45" fillId="4" borderId="1" xfId="0" applyNumberFormat="1" applyFont="1" applyFill="1" applyBorder="1" applyAlignment="1">
      <alignment horizontal="center" vertical="center" wrapText="1"/>
    </xf>
    <xf numFmtId="165" fontId="45" fillId="4" borderId="1" xfId="43"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1" fontId="45" fillId="4" borderId="1" xfId="0" applyNumberFormat="1" applyFont="1" applyFill="1" applyBorder="1" applyAlignment="1">
      <alignment horizontal="center" vertical="center" wrapText="1"/>
    </xf>
    <xf numFmtId="9" fontId="45" fillId="4" borderId="1" xfId="1" applyFont="1" applyFill="1" applyBorder="1" applyAlignment="1">
      <alignment horizontal="center" vertical="center" wrapText="1"/>
    </xf>
    <xf numFmtId="0" fontId="21" fillId="4" borderId="1" xfId="0" applyFont="1" applyFill="1" applyBorder="1" applyAlignment="1">
      <alignment horizontal="center" vertical="center" wrapText="1"/>
    </xf>
    <xf numFmtId="165" fontId="32" fillId="0" borderId="1" xfId="43" applyNumberFormat="1" applyFont="1" applyBorder="1" applyAlignment="1">
      <alignment horizontal="center" vertical="center"/>
    </xf>
    <xf numFmtId="0" fontId="32" fillId="0" borderId="1" xfId="0" applyFont="1" applyBorder="1" applyAlignment="1">
      <alignment horizontal="center" vertical="center"/>
    </xf>
    <xf numFmtId="1" fontId="32" fillId="0" borderId="1" xfId="0" applyNumberFormat="1" applyFont="1" applyBorder="1" applyAlignment="1">
      <alignment horizontal="center" vertical="center"/>
    </xf>
    <xf numFmtId="9" fontId="32" fillId="0" borderId="1" xfId="1" applyFont="1" applyBorder="1" applyAlignment="1">
      <alignment horizontal="center" vertical="center"/>
    </xf>
    <xf numFmtId="3" fontId="32" fillId="0" borderId="1" xfId="43" applyNumberFormat="1" applyFont="1" applyBorder="1" applyAlignment="1">
      <alignment horizontal="center" vertical="center"/>
    </xf>
    <xf numFmtId="0" fontId="32" fillId="0" borderId="1" xfId="0" applyFont="1" applyBorder="1" applyAlignment="1">
      <alignment horizontal="center"/>
    </xf>
    <xf numFmtId="3" fontId="32" fillId="0" borderId="1" xfId="0" applyNumberFormat="1" applyFont="1" applyBorder="1" applyAlignment="1">
      <alignment horizontal="center"/>
    </xf>
    <xf numFmtId="4" fontId="32" fillId="0" borderId="1" xfId="0" applyNumberFormat="1" applyFont="1" applyBorder="1" applyAlignment="1">
      <alignment horizontal="center"/>
    </xf>
    <xf numFmtId="0" fontId="37" fillId="0" borderId="1" xfId="0" applyFont="1" applyBorder="1" applyAlignment="1">
      <alignment horizontal="center"/>
    </xf>
    <xf numFmtId="165" fontId="32" fillId="0" borderId="1" xfId="43" applyNumberFormat="1" applyFont="1" applyBorder="1" applyAlignment="1">
      <alignment horizontal="center"/>
    </xf>
    <xf numFmtId="165" fontId="32" fillId="0" borderId="1" xfId="0" applyNumberFormat="1" applyFont="1" applyBorder="1" applyAlignment="1">
      <alignment horizontal="center"/>
    </xf>
    <xf numFmtId="165" fontId="37" fillId="0" borderId="1" xfId="0" applyNumberFormat="1" applyFont="1" applyBorder="1" applyAlignment="1">
      <alignment horizontal="center"/>
    </xf>
    <xf numFmtId="164" fontId="32" fillId="0" borderId="1" xfId="1" applyNumberFormat="1" applyFont="1" applyBorder="1" applyAlignment="1">
      <alignment horizontal="center" vertical="center"/>
    </xf>
    <xf numFmtId="164" fontId="32" fillId="0" borderId="1" xfId="1" applyNumberFormat="1" applyFont="1" applyBorder="1" applyAlignment="1">
      <alignment horizontal="center"/>
    </xf>
    <xf numFmtId="9" fontId="32" fillId="0" borderId="1" xfId="1" applyFont="1" applyBorder="1" applyAlignment="1">
      <alignment horizontal="center"/>
    </xf>
    <xf numFmtId="165" fontId="32" fillId="39" borderId="1" xfId="43" applyNumberFormat="1" applyFont="1" applyFill="1" applyBorder="1" applyAlignment="1">
      <alignment horizontal="center" vertical="center"/>
    </xf>
    <xf numFmtId="1" fontId="32" fillId="0" borderId="1" xfId="0" applyNumberFormat="1" applyFont="1" applyBorder="1" applyAlignment="1">
      <alignment horizontal="center"/>
    </xf>
    <xf numFmtId="165" fontId="32" fillId="0" borderId="1" xfId="43" applyNumberFormat="1" applyFont="1" applyFill="1" applyBorder="1" applyAlignment="1">
      <alignment horizontal="center" vertical="center"/>
    </xf>
    <xf numFmtId="165" fontId="32" fillId="0" borderId="1" xfId="43" applyNumberFormat="1" applyFont="1" applyFill="1" applyBorder="1" applyAlignment="1">
      <alignment horizontal="center"/>
    </xf>
    <xf numFmtId="14" fontId="32" fillId="2" borderId="1" xfId="0" applyNumberFormat="1" applyFont="1" applyFill="1" applyBorder="1" applyAlignment="1">
      <alignment horizontal="center" vertical="center"/>
    </xf>
    <xf numFmtId="165" fontId="32" fillId="3" borderId="1" xfId="43" applyNumberFormat="1" applyFont="1" applyFill="1" applyBorder="1" applyAlignment="1">
      <alignment horizontal="center"/>
    </xf>
    <xf numFmtId="0" fontId="45" fillId="4" borderId="1" xfId="0" applyFont="1" applyFill="1" applyBorder="1" applyAlignment="1">
      <alignment horizontal="center"/>
    </xf>
    <xf numFmtId="165" fontId="46" fillId="0" borderId="1" xfId="43" applyNumberFormat="1" applyFont="1" applyBorder="1" applyAlignment="1">
      <alignment horizontal="center" vertical="center"/>
    </xf>
    <xf numFmtId="9" fontId="32" fillId="40" borderId="1" xfId="1" applyFont="1" applyFill="1" applyBorder="1" applyAlignment="1">
      <alignment horizontal="center"/>
    </xf>
    <xf numFmtId="0" fontId="32" fillId="40" borderId="1" xfId="0" applyFont="1" applyFill="1" applyBorder="1" applyAlignment="1">
      <alignment horizontal="center"/>
    </xf>
    <xf numFmtId="165" fontId="43" fillId="0" borderId="1" xfId="43" applyNumberFormat="1" applyFont="1" applyBorder="1" applyAlignment="1">
      <alignment horizontal="center"/>
    </xf>
    <xf numFmtId="165" fontId="47" fillId="0" borderId="1" xfId="43" applyNumberFormat="1" applyFont="1" applyBorder="1" applyAlignment="1">
      <alignment horizontal="center"/>
    </xf>
    <xf numFmtId="9" fontId="32" fillId="37" borderId="1" xfId="1" applyFont="1" applyFill="1" applyBorder="1" applyAlignment="1">
      <alignment horizontal="center"/>
    </xf>
    <xf numFmtId="165" fontId="32" fillId="2" borderId="1" xfId="43" applyNumberFormat="1" applyFont="1" applyFill="1" applyBorder="1" applyAlignment="1">
      <alignment horizontal="center"/>
    </xf>
    <xf numFmtId="9" fontId="21" fillId="0" borderId="1" xfId="1" applyFont="1" applyBorder="1" applyAlignment="1">
      <alignment horizontal="center"/>
    </xf>
    <xf numFmtId="165" fontId="32" fillId="39" borderId="1" xfId="43" applyNumberFormat="1" applyFont="1" applyFill="1" applyBorder="1" applyAlignment="1">
      <alignment horizontal="center"/>
    </xf>
    <xf numFmtId="9" fontId="45" fillId="0" borderId="1" xfId="1" applyFont="1" applyBorder="1" applyAlignment="1">
      <alignment horizontal="center"/>
    </xf>
    <xf numFmtId="9" fontId="37" fillId="0" borderId="1" xfId="1" applyFont="1" applyBorder="1" applyAlignment="1">
      <alignment horizontal="center"/>
    </xf>
    <xf numFmtId="165" fontId="21" fillId="47" borderId="1" xfId="0" applyNumberFormat="1" applyFont="1" applyFill="1" applyBorder="1" applyAlignment="1">
      <alignment horizontal="center"/>
    </xf>
    <xf numFmtId="165" fontId="21" fillId="4" borderId="1" xfId="0" applyNumberFormat="1" applyFont="1" applyFill="1" applyBorder="1" applyAlignment="1">
      <alignment horizontal="center"/>
    </xf>
    <xf numFmtId="167" fontId="32" fillId="0" borderId="1" xfId="0" applyNumberFormat="1" applyFont="1" applyBorder="1" applyAlignment="1">
      <alignment horizontal="center"/>
    </xf>
    <xf numFmtId="165" fontId="42" fillId="3" borderId="1" xfId="0" applyNumberFormat="1" applyFont="1" applyFill="1" applyBorder="1" applyAlignment="1">
      <alignment horizontal="center"/>
    </xf>
    <xf numFmtId="14" fontId="32" fillId="0" borderId="1" xfId="0" applyNumberFormat="1" applyFont="1" applyBorder="1" applyAlignment="1">
      <alignment horizontal="center"/>
    </xf>
    <xf numFmtId="0" fontId="37" fillId="0" borderId="1" xfId="0" applyFont="1" applyBorder="1" applyAlignment="1">
      <alignment horizontal="center" vertical="center"/>
    </xf>
    <xf numFmtId="165" fontId="37"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0" fillId="0" borderId="71" xfId="1" applyFont="1" applyBorder="1" applyAlignment="1">
      <alignment horizontal="center"/>
    </xf>
    <xf numFmtId="9" fontId="0" fillId="0" borderId="0" xfId="1" applyFont="1" applyBorder="1" applyAlignment="1">
      <alignment horizontal="center"/>
    </xf>
    <xf numFmtId="9" fontId="0" fillId="0" borderId="63" xfId="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165" fontId="3" fillId="39" borderId="1" xfId="43" applyNumberFormat="1" applyFont="1" applyFill="1" applyBorder="1" applyAlignment="1">
      <alignment horizontal="center" vertical="center"/>
    </xf>
    <xf numFmtId="165" fontId="3" fillId="0" borderId="1" xfId="43" applyNumberFormat="1" applyFont="1" applyFill="1" applyBorder="1" applyAlignment="1">
      <alignment horizontal="center" vertical="center"/>
    </xf>
    <xf numFmtId="165" fontId="3" fillId="0" borderId="1" xfId="43" applyNumberFormat="1" applyFont="1" applyFill="1" applyBorder="1" applyAlignment="1">
      <alignment horizontal="center"/>
    </xf>
    <xf numFmtId="165" fontId="48" fillId="0" borderId="1" xfId="43" applyNumberFormat="1" applyFont="1" applyBorder="1" applyAlignment="1">
      <alignment horizontal="center" vertical="center"/>
    </xf>
    <xf numFmtId="0" fontId="0" fillId="0" borderId="0" xfId="0" applyAlignment="1">
      <alignment horizontal="center" vertical="center"/>
    </xf>
    <xf numFmtId="1" fontId="20" fillId="4" borderId="1" xfId="0" applyNumberFormat="1" applyFont="1" applyFill="1" applyBorder="1" applyAlignment="1">
      <alignment horizontal="center"/>
    </xf>
    <xf numFmtId="1" fontId="20" fillId="4" borderId="5" xfId="0" applyNumberFormat="1" applyFont="1" applyFill="1" applyBorder="1" applyAlignment="1">
      <alignment horizontal="center"/>
    </xf>
    <xf numFmtId="0" fontId="32" fillId="0" borderId="5" xfId="0" applyFont="1" applyBorder="1" applyAlignment="1">
      <alignment horizontal="center"/>
    </xf>
    <xf numFmtId="0" fontId="32" fillId="0" borderId="5" xfId="0" applyFont="1" applyBorder="1" applyAlignment="1">
      <alignment horizontal="center" vertical="center"/>
    </xf>
    <xf numFmtId="3" fontId="32" fillId="0" borderId="5" xfId="0" applyNumberFormat="1" applyFont="1" applyBorder="1" applyAlignment="1">
      <alignment horizontal="center"/>
    </xf>
    <xf numFmtId="4" fontId="32" fillId="0" borderId="5" xfId="0" applyNumberFormat="1" applyFont="1" applyBorder="1" applyAlignment="1">
      <alignment horizontal="center"/>
    </xf>
    <xf numFmtId="164" fontId="32" fillId="0" borderId="5" xfId="1" applyNumberFormat="1" applyFont="1" applyBorder="1" applyAlignment="1">
      <alignment horizontal="center"/>
    </xf>
    <xf numFmtId="9" fontId="32" fillId="0" borderId="5" xfId="1" applyFont="1" applyBorder="1" applyAlignment="1">
      <alignment horizontal="center"/>
    </xf>
    <xf numFmtId="1" fontId="0" fillId="0" borderId="48" xfId="0" applyNumberFormat="1" applyBorder="1" applyAlignment="1">
      <alignment horizontal="center"/>
    </xf>
    <xf numFmtId="1" fontId="0" fillId="0" borderId="65" xfId="0" applyNumberFormat="1" applyBorder="1" applyAlignment="1">
      <alignment horizont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xf>
    <xf numFmtId="165" fontId="3" fillId="0" borderId="1" xfId="43" applyNumberFormat="1" applyFont="1" applyBorder="1" applyAlignment="1">
      <alignment horizontal="center" wrapText="1"/>
    </xf>
    <xf numFmtId="1" fontId="29" fillId="3" borderId="1" xfId="0" applyNumberFormat="1" applyFont="1" applyFill="1" applyBorder="1" applyAlignment="1">
      <alignment horizontal="center"/>
    </xf>
    <xf numFmtId="166" fontId="29" fillId="3" borderId="1" xfId="0" applyNumberFormat="1" applyFont="1" applyFill="1" applyBorder="1" applyAlignment="1">
      <alignment horizontal="center"/>
    </xf>
    <xf numFmtId="14" fontId="0" fillId="0" borderId="60" xfId="0" applyNumberFormat="1" applyBorder="1" applyAlignment="1">
      <alignment horizontal="center" vertical="center"/>
    </xf>
    <xf numFmtId="0" fontId="3" fillId="0" borderId="60" xfId="0" applyFont="1" applyBorder="1" applyAlignment="1">
      <alignment horizontal="center" vertical="center"/>
    </xf>
    <xf numFmtId="1" fontId="33" fillId="0" borderId="60" xfId="0" applyNumberFormat="1" applyFont="1" applyBorder="1" applyAlignment="1">
      <alignment horizontal="center" vertical="center"/>
    </xf>
    <xf numFmtId="2" fontId="33" fillId="0" borderId="60" xfId="0" applyNumberFormat="1" applyFont="1" applyBorder="1" applyAlignment="1">
      <alignment horizontal="center" vertical="center"/>
    </xf>
    <xf numFmtId="1" fontId="3" fillId="0" borderId="60" xfId="0" applyNumberFormat="1" applyFont="1" applyBorder="1" applyAlignment="1">
      <alignment horizontal="center"/>
    </xf>
    <xf numFmtId="1" fontId="17" fillId="4" borderId="60" xfId="0" applyNumberFormat="1" applyFont="1" applyFill="1" applyBorder="1" applyAlignment="1">
      <alignment horizontal="center"/>
    </xf>
    <xf numFmtId="9" fontId="0" fillId="0" borderId="60" xfId="1" applyFont="1" applyBorder="1" applyAlignment="1">
      <alignment horizontal="center"/>
    </xf>
    <xf numFmtId="1" fontId="0" fillId="0" borderId="60" xfId="0" applyNumberFormat="1" applyBorder="1" applyAlignment="1">
      <alignment horizontal="center"/>
    </xf>
    <xf numFmtId="0" fontId="3" fillId="0" borderId="104" xfId="0" applyFont="1" applyBorder="1" applyAlignment="1">
      <alignment horizontal="left"/>
    </xf>
    <xf numFmtId="1" fontId="0" fillId="0" borderId="105" xfId="0" applyNumberFormat="1" applyBorder="1" applyAlignment="1">
      <alignment horizontal="center"/>
    </xf>
    <xf numFmtId="0" fontId="3" fillId="0" borderId="106" xfId="0" applyFont="1" applyBorder="1" applyAlignment="1">
      <alignment horizontal="left"/>
    </xf>
    <xf numFmtId="14" fontId="0" fillId="0" borderId="107" xfId="0" applyNumberFormat="1" applyBorder="1" applyAlignment="1">
      <alignment horizontal="center" vertical="center"/>
    </xf>
    <xf numFmtId="0" fontId="0" fillId="0" borderId="107" xfId="0" applyBorder="1" applyAlignment="1">
      <alignment horizontal="center" vertical="center"/>
    </xf>
    <xf numFmtId="0" fontId="3" fillId="0" borderId="107" xfId="0" applyFont="1" applyBorder="1" applyAlignment="1">
      <alignment horizontal="center" vertical="center"/>
    </xf>
    <xf numFmtId="1" fontId="33" fillId="0" borderId="107" xfId="0" applyNumberFormat="1" applyFont="1" applyBorder="1" applyAlignment="1">
      <alignment horizontal="center" vertical="center"/>
    </xf>
    <xf numFmtId="2" fontId="33" fillId="0" borderId="107" xfId="0" applyNumberFormat="1" applyFont="1" applyBorder="1" applyAlignment="1">
      <alignment horizontal="center" vertical="center"/>
    </xf>
    <xf numFmtId="1" fontId="3" fillId="0" borderId="107" xfId="0" applyNumberFormat="1" applyFont="1" applyBorder="1" applyAlignment="1">
      <alignment horizontal="center"/>
    </xf>
    <xf numFmtId="1" fontId="17" fillId="4" borderId="107" xfId="0" applyNumberFormat="1" applyFont="1" applyFill="1" applyBorder="1" applyAlignment="1">
      <alignment horizontal="center"/>
    </xf>
    <xf numFmtId="9" fontId="0" fillId="0" borderId="107" xfId="1" applyFont="1" applyBorder="1" applyAlignment="1">
      <alignment horizontal="center"/>
    </xf>
    <xf numFmtId="1" fontId="0" fillId="0" borderId="108" xfId="0" applyNumberFormat="1" applyBorder="1" applyAlignment="1">
      <alignment horizontal="center"/>
    </xf>
    <xf numFmtId="165" fontId="0" fillId="0" borderId="5" xfId="0" applyNumberFormat="1" applyBorder="1" applyAlignment="1">
      <alignment horizontal="center"/>
    </xf>
    <xf numFmtId="14" fontId="0" fillId="0" borderId="60" xfId="0" applyNumberFormat="1" applyBorder="1" applyAlignment="1">
      <alignment horizontal="center"/>
    </xf>
    <xf numFmtId="165" fontId="3" fillId="0" borderId="60" xfId="43" applyNumberFormat="1" applyFont="1" applyBorder="1" applyAlignment="1">
      <alignment horizontal="center" wrapText="1"/>
    </xf>
    <xf numFmtId="0" fontId="0" fillId="0" borderId="60" xfId="0" applyBorder="1" applyAlignment="1">
      <alignment horizontal="center"/>
    </xf>
    <xf numFmtId="165" fontId="0" fillId="0" borderId="60" xfId="0" applyNumberFormat="1" applyBorder="1" applyAlignment="1">
      <alignment horizontal="center"/>
    </xf>
    <xf numFmtId="3" fontId="3" fillId="0" borderId="60"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0" fontId="3" fillId="0" borderId="109" xfId="0" applyFont="1" applyBorder="1" applyAlignment="1">
      <alignment horizontal="left"/>
    </xf>
    <xf numFmtId="14" fontId="0" fillId="0" borderId="110" xfId="0" applyNumberFormat="1" applyBorder="1" applyAlignment="1">
      <alignment horizontal="center" vertical="center"/>
    </xf>
    <xf numFmtId="0" fontId="0" fillId="0" borderId="110" xfId="0" applyBorder="1" applyAlignment="1">
      <alignment horizontal="center" vertical="center"/>
    </xf>
    <xf numFmtId="0" fontId="3" fillId="0" borderId="110" xfId="0" applyFont="1" applyBorder="1" applyAlignment="1">
      <alignment horizontal="center" vertical="center"/>
    </xf>
    <xf numFmtId="1" fontId="33" fillId="0" borderId="110" xfId="0" applyNumberFormat="1" applyFont="1" applyBorder="1" applyAlignment="1">
      <alignment horizontal="center" vertical="center"/>
    </xf>
    <xf numFmtId="2" fontId="33" fillId="0" borderId="110" xfId="0" applyNumberFormat="1" applyFont="1" applyBorder="1" applyAlignment="1">
      <alignment horizontal="center" vertical="center"/>
    </xf>
    <xf numFmtId="1" fontId="3" fillId="0" borderId="110" xfId="0" applyNumberFormat="1" applyFont="1" applyBorder="1" applyAlignment="1">
      <alignment horizontal="center"/>
    </xf>
    <xf numFmtId="1" fontId="17" fillId="4" borderId="110" xfId="0" applyNumberFormat="1" applyFont="1" applyFill="1" applyBorder="1" applyAlignment="1">
      <alignment horizontal="center"/>
    </xf>
    <xf numFmtId="9" fontId="0" fillId="0" borderId="110" xfId="1" applyFont="1" applyBorder="1" applyAlignment="1">
      <alignment horizontal="center"/>
    </xf>
    <xf numFmtId="1" fontId="0" fillId="0" borderId="111" xfId="0" applyNumberFormat="1" applyBorder="1" applyAlignment="1">
      <alignment horizontal="center"/>
    </xf>
    <xf numFmtId="0" fontId="3" fillId="0" borderId="112" xfId="0" applyFont="1" applyBorder="1" applyAlignment="1">
      <alignment horizontal="left"/>
    </xf>
    <xf numFmtId="14" fontId="0" fillId="0" borderId="113" xfId="0" applyNumberFormat="1" applyBorder="1" applyAlignment="1">
      <alignment horizontal="center" vertical="center"/>
    </xf>
    <xf numFmtId="0" fontId="0" fillId="0" borderId="113" xfId="0" applyBorder="1" applyAlignment="1">
      <alignment horizontal="center" vertical="center"/>
    </xf>
    <xf numFmtId="0" fontId="3" fillId="0" borderId="113" xfId="0" applyFont="1" applyBorder="1" applyAlignment="1">
      <alignment horizontal="center" vertical="center"/>
    </xf>
    <xf numFmtId="1" fontId="33" fillId="0" borderId="113" xfId="0" applyNumberFormat="1" applyFont="1" applyBorder="1" applyAlignment="1">
      <alignment horizontal="center" vertical="center"/>
    </xf>
    <xf numFmtId="2" fontId="33" fillId="0" borderId="113" xfId="0" applyNumberFormat="1" applyFont="1" applyBorder="1" applyAlignment="1">
      <alignment horizontal="center" vertical="center"/>
    </xf>
    <xf numFmtId="1" fontId="3" fillId="0" borderId="113" xfId="0" applyNumberFormat="1" applyFont="1" applyBorder="1" applyAlignment="1">
      <alignment horizontal="center"/>
    </xf>
    <xf numFmtId="1" fontId="17" fillId="4" borderId="113" xfId="0" applyNumberFormat="1" applyFont="1" applyFill="1" applyBorder="1" applyAlignment="1">
      <alignment horizontal="center"/>
    </xf>
    <xf numFmtId="9" fontId="0" fillId="0" borderId="113" xfId="1" applyFont="1" applyBorder="1" applyAlignment="1">
      <alignment horizontal="center"/>
    </xf>
    <xf numFmtId="1" fontId="0" fillId="0" borderId="114" xfId="0" applyNumberFormat="1" applyBorder="1" applyAlignment="1">
      <alignment horizontal="center"/>
    </xf>
    <xf numFmtId="0" fontId="3" fillId="0" borderId="115" xfId="0" applyFont="1" applyBorder="1" applyAlignment="1">
      <alignment horizontal="left"/>
    </xf>
    <xf numFmtId="1" fontId="0" fillId="0" borderId="116" xfId="0" applyNumberFormat="1" applyBorder="1" applyAlignment="1">
      <alignment horizontal="center"/>
    </xf>
    <xf numFmtId="0" fontId="3" fillId="0" borderId="117" xfId="0" applyFont="1" applyBorder="1" applyAlignment="1">
      <alignment horizontal="left"/>
    </xf>
    <xf numFmtId="14" fontId="0" fillId="0" borderId="118" xfId="0" applyNumberFormat="1" applyBorder="1" applyAlignment="1">
      <alignment horizontal="center" vertical="center"/>
    </xf>
    <xf numFmtId="0" fontId="0" fillId="0" borderId="118" xfId="0" applyBorder="1" applyAlignment="1">
      <alignment horizontal="center" vertical="center"/>
    </xf>
    <xf numFmtId="0" fontId="3" fillId="0" borderId="118" xfId="0" applyFont="1" applyBorder="1" applyAlignment="1">
      <alignment horizontal="center" vertical="center"/>
    </xf>
    <xf numFmtId="1" fontId="33" fillId="0" borderId="118" xfId="0" applyNumberFormat="1" applyFont="1" applyBorder="1" applyAlignment="1">
      <alignment horizontal="center" vertical="center"/>
    </xf>
    <xf numFmtId="2" fontId="33" fillId="0" borderId="118" xfId="0" applyNumberFormat="1" applyFont="1" applyBorder="1" applyAlignment="1">
      <alignment horizontal="center" vertical="center"/>
    </xf>
    <xf numFmtId="1" fontId="3" fillId="0" borderId="118" xfId="0" applyNumberFormat="1" applyFont="1" applyBorder="1" applyAlignment="1">
      <alignment horizontal="center"/>
    </xf>
    <xf numFmtId="1" fontId="17" fillId="4" borderId="118" xfId="0" applyNumberFormat="1" applyFont="1" applyFill="1" applyBorder="1" applyAlignment="1">
      <alignment horizontal="center"/>
    </xf>
    <xf numFmtId="9" fontId="0" fillId="0" borderId="118" xfId="1" applyFont="1" applyBorder="1" applyAlignment="1">
      <alignment horizontal="center"/>
    </xf>
    <xf numFmtId="1" fontId="0" fillId="0" borderId="119" xfId="0" applyNumberFormat="1" applyBorder="1" applyAlignment="1">
      <alignment horizontal="center"/>
    </xf>
    <xf numFmtId="0" fontId="49" fillId="0" borderId="0" xfId="0" applyFont="1" applyFill="1" applyBorder="1" applyAlignment="1">
      <alignment horizontal="left" vertical="center" wrapText="1" indent="1"/>
    </xf>
    <xf numFmtId="165" fontId="0" fillId="49" borderId="1" xfId="43" applyNumberFormat="1" applyFont="1" applyFill="1" applyBorder="1" applyAlignment="1">
      <alignment horizontal="center"/>
    </xf>
    <xf numFmtId="0" fontId="0" fillId="0" borderId="0" xfId="0" applyAlignment="1">
      <alignment horizontal="center" vertical="center"/>
    </xf>
    <xf numFmtId="0" fontId="0" fillId="0" borderId="0" xfId="0" applyAlignment="1">
      <alignment horizontal="center"/>
    </xf>
    <xf numFmtId="14" fontId="0" fillId="0" borderId="61" xfId="0" applyNumberFormat="1" applyBorder="1" applyAlignment="1">
      <alignment horizontal="center"/>
    </xf>
    <xf numFmtId="0" fontId="0" fillId="0" borderId="61" xfId="0" applyBorder="1" applyAlignment="1">
      <alignment horizontal="center"/>
    </xf>
    <xf numFmtId="1" fontId="0" fillId="0" borderId="61" xfId="0" applyNumberFormat="1" applyBorder="1" applyAlignment="1">
      <alignment horizontal="center"/>
    </xf>
    <xf numFmtId="165" fontId="0" fillId="0" borderId="61" xfId="0" applyNumberFormat="1" applyBorder="1" applyAlignment="1">
      <alignment horizontal="center"/>
    </xf>
    <xf numFmtId="0" fontId="3" fillId="0" borderId="61" xfId="0" applyFont="1" applyBorder="1" applyAlignment="1">
      <alignment horizontal="center" vertical="center"/>
    </xf>
    <xf numFmtId="3" fontId="3" fillId="0" borderId="61" xfId="0" applyNumberFormat="1" applyFont="1" applyBorder="1" applyAlignment="1">
      <alignment horizontal="center"/>
    </xf>
    <xf numFmtId="166" fontId="0" fillId="0" borderId="0" xfId="0" applyNumberFormat="1"/>
    <xf numFmtId="165" fontId="0" fillId="4" borderId="1" xfId="43" applyNumberFormat="1" applyFont="1" applyFill="1" applyBorder="1" applyAlignment="1">
      <alignment horizontal="center"/>
    </xf>
    <xf numFmtId="0" fontId="3" fillId="0" borderId="120" xfId="0" applyFont="1" applyBorder="1" applyAlignment="1">
      <alignment horizontal="left"/>
    </xf>
    <xf numFmtId="14" fontId="0" fillId="0" borderId="61" xfId="0" applyNumberFormat="1" applyBorder="1" applyAlignment="1">
      <alignment horizontal="center" vertical="center"/>
    </xf>
    <xf numFmtId="0" fontId="0" fillId="0" borderId="61" xfId="0" applyBorder="1" applyAlignment="1">
      <alignment horizontal="center" vertical="center"/>
    </xf>
    <xf numFmtId="1" fontId="33" fillId="0" borderId="61" xfId="0" applyNumberFormat="1" applyFont="1" applyBorder="1" applyAlignment="1">
      <alignment horizontal="center" vertical="center"/>
    </xf>
    <xf numFmtId="2" fontId="33" fillId="0" borderId="61" xfId="0" applyNumberFormat="1" applyFont="1" applyBorder="1" applyAlignment="1">
      <alignment horizontal="center" vertical="center"/>
    </xf>
    <xf numFmtId="1" fontId="3" fillId="0" borderId="61" xfId="0" applyNumberFormat="1" applyFont="1" applyBorder="1" applyAlignment="1">
      <alignment horizontal="center"/>
    </xf>
    <xf numFmtId="1" fontId="17" fillId="4" borderId="61" xfId="0" applyNumberFormat="1" applyFont="1" applyFill="1" applyBorder="1" applyAlignment="1">
      <alignment horizontal="center"/>
    </xf>
    <xf numFmtId="9" fontId="0" fillId="0" borderId="61" xfId="1" applyFont="1" applyBorder="1" applyAlignment="1">
      <alignment horizontal="center"/>
    </xf>
    <xf numFmtId="1" fontId="0" fillId="0" borderId="121" xfId="0" applyNumberFormat="1" applyBorder="1" applyAlignment="1">
      <alignment horizontal="center"/>
    </xf>
    <xf numFmtId="14" fontId="3" fillId="0" borderId="1" xfId="0" applyNumberFormat="1" applyFont="1" applyBorder="1" applyAlignment="1">
      <alignment horizontal="center"/>
    </xf>
    <xf numFmtId="165" fontId="32" fillId="0" borderId="1" xfId="0" applyNumberFormat="1" applyFont="1" applyBorder="1" applyAlignment="1">
      <alignment horizontal="center" vertical="center"/>
    </xf>
    <xf numFmtId="9" fontId="17" fillId="4" borderId="2" xfId="1" applyNumberFormat="1" applyFont="1" applyFill="1" applyBorder="1" applyAlignment="1">
      <alignment horizontal="center"/>
    </xf>
    <xf numFmtId="167" fontId="45" fillId="4" borderId="1" xfId="0" applyNumberFormat="1" applyFont="1" applyFill="1" applyBorder="1" applyAlignment="1">
      <alignment horizontal="center" vertical="center" wrapText="1"/>
    </xf>
    <xf numFmtId="167" fontId="32" fillId="0" borderId="5" xfId="0" applyNumberFormat="1" applyFont="1" applyBorder="1" applyAlignment="1">
      <alignment horizontal="center"/>
    </xf>
    <xf numFmtId="167" fontId="0" fillId="0" borderId="0" xfId="0" applyNumberFormat="1" applyAlignment="1">
      <alignment horizontal="center"/>
    </xf>
    <xf numFmtId="0" fontId="0" fillId="0" borderId="0" xfId="0" applyAlignment="1">
      <alignment horizontal="center" vertical="center"/>
    </xf>
    <xf numFmtId="0" fontId="0" fillId="0" borderId="0" xfId="0" applyAlignment="1">
      <alignment horizontal="center"/>
    </xf>
    <xf numFmtId="20" fontId="0" fillId="0" borderId="0" xfId="0" applyNumberFormat="1" applyAlignment="1">
      <alignment horizontal="center"/>
    </xf>
    <xf numFmtId="166" fontId="50" fillId="0" borderId="2" xfId="0" applyNumberFormat="1" applyFont="1" applyBorder="1" applyAlignment="1">
      <alignment horizontal="center" vertical="center"/>
    </xf>
    <xf numFmtId="165" fontId="42" fillId="0" borderId="1" xfId="0" applyNumberFormat="1" applyFont="1" applyBorder="1" applyAlignment="1">
      <alignment horizontal="center"/>
    </xf>
    <xf numFmtId="165" fontId="37" fillId="0" borderId="5" xfId="0" applyNumberFormat="1" applyFont="1" applyBorder="1" applyAlignment="1">
      <alignment horizontal="center"/>
    </xf>
    <xf numFmtId="1" fontId="45" fillId="4" borderId="1" xfId="43" applyNumberFormat="1" applyFont="1" applyFill="1" applyBorder="1" applyAlignment="1">
      <alignment horizontal="center" vertical="center" wrapText="1"/>
    </xf>
    <xf numFmtId="1" fontId="32" fillId="0" borderId="1" xfId="43" applyNumberFormat="1" applyFont="1" applyBorder="1" applyAlignment="1">
      <alignment horizontal="center" vertical="center"/>
    </xf>
    <xf numFmtId="1" fontId="32" fillId="39" borderId="1" xfId="43" applyNumberFormat="1" applyFont="1" applyFill="1" applyBorder="1" applyAlignment="1">
      <alignment horizontal="center" vertical="center"/>
    </xf>
    <xf numFmtId="1" fontId="32" fillId="0" borderId="1" xfId="43" applyNumberFormat="1" applyFont="1" applyBorder="1" applyAlignment="1">
      <alignment horizontal="center"/>
    </xf>
    <xf numFmtId="1" fontId="32" fillId="0" borderId="1" xfId="43" applyNumberFormat="1" applyFont="1" applyFill="1" applyBorder="1" applyAlignment="1">
      <alignment horizontal="center"/>
    </xf>
    <xf numFmtId="1" fontId="32" fillId="5" borderId="1" xfId="43" applyNumberFormat="1" applyFont="1" applyFill="1" applyBorder="1" applyAlignment="1">
      <alignment horizontal="center"/>
    </xf>
    <xf numFmtId="1" fontId="47" fillId="0" borderId="1" xfId="43" applyNumberFormat="1" applyFont="1" applyBorder="1" applyAlignment="1">
      <alignment horizontal="center"/>
    </xf>
    <xf numFmtId="1" fontId="32" fillId="3" borderId="1" xfId="43" applyNumberFormat="1" applyFont="1" applyFill="1" applyBorder="1" applyAlignment="1">
      <alignment horizontal="center"/>
    </xf>
    <xf numFmtId="1" fontId="43" fillId="3" borderId="1" xfId="43" applyNumberFormat="1" applyFont="1" applyFill="1" applyBorder="1" applyAlignment="1">
      <alignment horizontal="center"/>
    </xf>
    <xf numFmtId="1" fontId="32" fillId="2" borderId="1" xfId="43" applyNumberFormat="1" applyFont="1" applyFill="1" applyBorder="1" applyAlignment="1">
      <alignment horizontal="center"/>
    </xf>
    <xf numFmtId="1" fontId="32" fillId="43" borderId="1" xfId="43" applyNumberFormat="1" applyFont="1" applyFill="1" applyBorder="1" applyAlignment="1">
      <alignment horizontal="center"/>
    </xf>
    <xf numFmtId="1" fontId="45" fillId="4" borderId="1" xfId="43" applyNumberFormat="1" applyFont="1" applyFill="1" applyBorder="1" applyAlignment="1">
      <alignment horizontal="center"/>
    </xf>
    <xf numFmtId="1" fontId="0" fillId="0" borderId="61" xfId="43" applyNumberFormat="1" applyFont="1" applyBorder="1" applyAlignment="1">
      <alignment horizontal="center"/>
    </xf>
    <xf numFmtId="1" fontId="0" fillId="0" borderId="0" xfId="43" applyNumberFormat="1" applyFont="1" applyAlignment="1">
      <alignment horizontal="center"/>
    </xf>
    <xf numFmtId="1" fontId="32" fillId="0" borderId="1" xfId="43" applyNumberFormat="1" applyFont="1" applyFill="1" applyBorder="1" applyAlignment="1">
      <alignment horizontal="center" vertical="center"/>
    </xf>
    <xf numFmtId="1" fontId="32" fillId="2" borderId="1" xfId="43" applyNumberFormat="1" applyFont="1" applyFill="1" applyBorder="1" applyAlignment="1">
      <alignment horizontal="center" vertical="center"/>
    </xf>
    <xf numFmtId="1" fontId="32" fillId="37" borderId="1" xfId="43" applyNumberFormat="1" applyFont="1" applyFill="1" applyBorder="1" applyAlignment="1">
      <alignment horizontal="center"/>
    </xf>
    <xf numFmtId="1" fontId="32" fillId="38" borderId="1" xfId="43" applyNumberFormat="1" applyFont="1" applyFill="1" applyBorder="1" applyAlignment="1">
      <alignment horizontal="center"/>
    </xf>
    <xf numFmtId="1" fontId="43" fillId="0" borderId="1" xfId="43" applyNumberFormat="1" applyFont="1" applyBorder="1" applyAlignment="1">
      <alignment horizontal="center"/>
    </xf>
    <xf numFmtId="1" fontId="32" fillId="0" borderId="4" xfId="43" applyNumberFormat="1" applyFont="1" applyBorder="1" applyAlignment="1">
      <alignment horizontal="center"/>
    </xf>
    <xf numFmtId="1" fontId="1" fillId="0" borderId="4" xfId="43" applyNumberFormat="1" applyFont="1" applyBorder="1" applyAlignment="1">
      <alignment horizontal="center"/>
    </xf>
    <xf numFmtId="1" fontId="1" fillId="0" borderId="0" xfId="43" applyNumberFormat="1" applyFont="1" applyAlignment="1">
      <alignment horizontal="center"/>
    </xf>
    <xf numFmtId="1" fontId="1" fillId="0" borderId="1" xfId="43" applyNumberFormat="1" applyFont="1" applyBorder="1" applyAlignment="1">
      <alignment horizontal="center"/>
    </xf>
    <xf numFmtId="1" fontId="1" fillId="0" borderId="61" xfId="43" applyNumberFormat="1" applyFont="1" applyBorder="1" applyAlignment="1">
      <alignment horizontal="center"/>
    </xf>
    <xf numFmtId="3" fontId="22" fillId="0" borderId="0" xfId="0" applyNumberFormat="1" applyFont="1" applyAlignment="1">
      <alignment horizontal="center" vertical="center"/>
    </xf>
    <xf numFmtId="3" fontId="22" fillId="3" borderId="0" xfId="0" applyNumberFormat="1" applyFont="1" applyFill="1"/>
    <xf numFmtId="1" fontId="22" fillId="0" borderId="0" xfId="0" applyNumberFormat="1" applyFont="1" applyAlignment="1">
      <alignment horizontal="center" vertical="center"/>
    </xf>
    <xf numFmtId="1" fontId="22" fillId="3" borderId="0" xfId="0" applyNumberFormat="1" applyFont="1" applyFill="1"/>
    <xf numFmtId="9" fontId="22" fillId="0" borderId="0" xfId="1" applyFont="1" applyAlignment="1">
      <alignment horizontal="center" vertical="center"/>
    </xf>
    <xf numFmtId="165" fontId="3" fillId="0" borderId="1" xfId="0" applyNumberFormat="1" applyFont="1" applyBorder="1" applyAlignment="1">
      <alignment horizontal="center" vertical="center"/>
    </xf>
    <xf numFmtId="1" fontId="32" fillId="39" borderId="1" xfId="43" applyNumberFormat="1" applyFont="1" applyFill="1" applyBorder="1" applyAlignment="1">
      <alignment horizontal="center"/>
    </xf>
    <xf numFmtId="0" fontId="25" fillId="3" borderId="0" xfId="0" applyFont="1" applyFill="1" applyBorder="1" applyAlignment="1">
      <alignment horizontal="center" vertical="center"/>
    </xf>
    <xf numFmtId="0" fontId="27" fillId="3" borderId="63"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34" fillId="50" borderId="122" xfId="0" applyFont="1" applyFill="1" applyBorder="1" applyAlignment="1">
      <alignment horizontal="left" vertical="center" wrapText="1" indent="1"/>
    </xf>
    <xf numFmtId="0" fontId="34" fillId="50" borderId="123" xfId="0" applyFont="1" applyFill="1" applyBorder="1" applyAlignment="1">
      <alignment horizontal="left" vertical="center" wrapText="1" indent="1"/>
    </xf>
    <xf numFmtId="1" fontId="0" fillId="0" borderId="66" xfId="0" applyNumberFormat="1" applyBorder="1" applyAlignment="1">
      <alignment horizontal="center"/>
    </xf>
    <xf numFmtId="14" fontId="23" fillId="4" borderId="124" xfId="0" applyNumberFormat="1" applyFont="1" applyFill="1" applyBorder="1" applyAlignment="1">
      <alignment horizontal="center" vertical="center" wrapText="1"/>
    </xf>
    <xf numFmtId="1" fontId="35" fillId="0" borderId="6" xfId="0" applyNumberFormat="1" applyFont="1" applyBorder="1" applyAlignment="1">
      <alignment horizontal="center" vertical="center"/>
    </xf>
    <xf numFmtId="2" fontId="35" fillId="0" borderId="6" xfId="0" applyNumberFormat="1" applyFont="1" applyBorder="1" applyAlignment="1">
      <alignment horizontal="center" vertical="center"/>
    </xf>
    <xf numFmtId="1" fontId="35" fillId="0" borderId="125" xfId="0" applyNumberFormat="1" applyFont="1" applyBorder="1" applyAlignment="1">
      <alignment horizontal="center" vertical="center"/>
    </xf>
    <xf numFmtId="14" fontId="23" fillId="4" borderId="126" xfId="0" applyNumberFormat="1" applyFont="1" applyFill="1" applyBorder="1" applyAlignment="1">
      <alignment horizontal="center" vertical="center" wrapText="1"/>
    </xf>
    <xf numFmtId="14" fontId="23" fillId="4" borderId="127" xfId="0" applyNumberFormat="1" applyFont="1" applyFill="1" applyBorder="1" applyAlignment="1">
      <alignment horizontal="center" vertical="center" wrapText="1"/>
    </xf>
    <xf numFmtId="43" fontId="0" fillId="0" borderId="0" xfId="43" applyFont="1"/>
    <xf numFmtId="0" fontId="34" fillId="50" borderId="1" xfId="0" applyFont="1" applyFill="1" applyBorder="1" applyAlignment="1">
      <alignment horizontal="left" vertical="center" wrapText="1" indent="1"/>
    </xf>
    <xf numFmtId="0" fontId="27" fillId="3" borderId="0" xfId="0" applyFont="1" applyFill="1" applyBorder="1" applyAlignment="1">
      <alignment horizontal="center" vertical="center" wrapText="1"/>
    </xf>
    <xf numFmtId="0" fontId="24" fillId="4" borderId="128" xfId="0" applyFont="1" applyFill="1" applyBorder="1" applyAlignment="1">
      <alignment horizontal="center" vertical="center"/>
    </xf>
    <xf numFmtId="20" fontId="0" fillId="0" borderId="0" xfId="0" applyNumberFormat="1"/>
    <xf numFmtId="0" fontId="51" fillId="50" borderId="122" xfId="0" applyFont="1" applyFill="1" applyBorder="1" applyAlignment="1">
      <alignment horizontal="center" vertical="center" wrapText="1"/>
    </xf>
    <xf numFmtId="0" fontId="52" fillId="50" borderId="122" xfId="0" applyFont="1" applyFill="1" applyBorder="1" applyAlignment="1">
      <alignment horizontal="center" vertical="center" wrapText="1"/>
    </xf>
    <xf numFmtId="0" fontId="52" fillId="50" borderId="123" xfId="0" applyFont="1" applyFill="1" applyBorder="1" applyAlignment="1">
      <alignment horizontal="center" vertical="center" wrapText="1"/>
    </xf>
    <xf numFmtId="0" fontId="53" fillId="50" borderId="123" xfId="0" applyFont="1" applyFill="1" applyBorder="1" applyAlignment="1">
      <alignment horizontal="center" vertical="center" wrapText="1"/>
    </xf>
    <xf numFmtId="0" fontId="54" fillId="50" borderId="122" xfId="0" applyFont="1" applyFill="1" applyBorder="1" applyAlignment="1">
      <alignment horizontal="center" vertical="center" wrapText="1"/>
    </xf>
    <xf numFmtId="0" fontId="53" fillId="50" borderId="122" xfId="0" applyFont="1" applyFill="1" applyBorder="1" applyAlignment="1">
      <alignment horizontal="center" vertical="center" wrapText="1"/>
    </xf>
    <xf numFmtId="0" fontId="3" fillId="0" borderId="6" xfId="0" applyFont="1" applyBorder="1" applyAlignment="1">
      <alignment horizontal="left"/>
    </xf>
    <xf numFmtId="0" fontId="0" fillId="0" borderId="71" xfId="0" applyBorder="1" applyAlignment="1">
      <alignment horizontal="center"/>
    </xf>
    <xf numFmtId="0" fontId="0" fillId="0" borderId="0" xfId="0" applyBorder="1" applyAlignment="1">
      <alignment horizontal="center"/>
    </xf>
    <xf numFmtId="0" fontId="0" fillId="0" borderId="63" xfId="0" applyBorder="1" applyAlignment="1">
      <alignment horizont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2499">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b/>
        <i val="0"/>
        <strike val="0"/>
        <color theme="0"/>
      </font>
      <fill>
        <patternFill>
          <bgColor rgb="FFFF0000"/>
        </patternFill>
      </fill>
    </dxf>
    <dxf>
      <font>
        <b/>
        <i val="0"/>
        <strike val="0"/>
        <color theme="1"/>
      </font>
      <fill>
        <patternFill>
          <bgColor rgb="FFFFFF00"/>
        </patternFill>
      </fill>
    </dxf>
    <dxf>
      <font>
        <b/>
        <i val="0"/>
        <strike val="0"/>
        <color theme="0"/>
      </font>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2155143319922644"/>
          <c:y val="1.3990167280797484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3.3270172157647437E-2"/>
          <c:y val="2.7354828905870893E-2"/>
          <c:w val="0.93200222549052247"/>
          <c:h val="0.88663991039719836"/>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UTI!$A$162:$A$332</c:f>
              <c:numCache>
                <c:formatCode>m/d/yyyy</c:formatCode>
                <c:ptCount val="171"/>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numCache>
            </c:numRef>
          </c:cat>
          <c:val>
            <c:numRef>
              <c:f>UTI!$B$162:$B$332</c:f>
              <c:numCache>
                <c:formatCode>0</c:formatCode>
                <c:ptCount val="171"/>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pt idx="104">
                  <c:v>7895</c:v>
                </c:pt>
                <c:pt idx="105">
                  <c:v>7910</c:v>
                </c:pt>
                <c:pt idx="106">
                  <c:v>7969</c:v>
                </c:pt>
                <c:pt idx="107">
                  <c:v>7890</c:v>
                </c:pt>
                <c:pt idx="108">
                  <c:v>7664</c:v>
                </c:pt>
                <c:pt idx="109">
                  <c:v>7520</c:v>
                </c:pt>
                <c:pt idx="110">
                  <c:v>7467</c:v>
                </c:pt>
                <c:pt idx="111">
                  <c:v>7386</c:v>
                </c:pt>
                <c:pt idx="112">
                  <c:v>7366</c:v>
                </c:pt>
                <c:pt idx="113">
                  <c:v>7345</c:v>
                </c:pt>
                <c:pt idx="114">
                  <c:v>7326</c:v>
                </c:pt>
                <c:pt idx="115">
                  <c:v>7241</c:v>
                </c:pt>
                <c:pt idx="116">
                  <c:v>7199</c:v>
                </c:pt>
                <c:pt idx="117">
                  <c:v>7057</c:v>
                </c:pt>
                <c:pt idx="118">
                  <c:v>7057</c:v>
                </c:pt>
                <c:pt idx="119">
                  <c:v>6953</c:v>
                </c:pt>
                <c:pt idx="120">
                  <c:v>6869</c:v>
                </c:pt>
                <c:pt idx="121">
                  <c:v>6636</c:v>
                </c:pt>
                <c:pt idx="122">
                  <c:v>6308</c:v>
                </c:pt>
                <c:pt idx="123">
                  <c:v>6046</c:v>
                </c:pt>
                <c:pt idx="124">
                  <c:v>5784</c:v>
                </c:pt>
                <c:pt idx="125">
                  <c:v>5667</c:v>
                </c:pt>
                <c:pt idx="126">
                  <c:v>5671</c:v>
                </c:pt>
                <c:pt idx="127">
                  <c:v>5607</c:v>
                </c:pt>
                <c:pt idx="128">
                  <c:v>5543</c:v>
                </c:pt>
                <c:pt idx="129">
                  <c:v>5546</c:v>
                </c:pt>
                <c:pt idx="130">
                  <c:v>5443</c:v>
                </c:pt>
                <c:pt idx="131">
                  <c:v>5405</c:v>
                </c:pt>
                <c:pt idx="132">
                  <c:v>5427</c:v>
                </c:pt>
                <c:pt idx="133">
                  <c:v>5349</c:v>
                </c:pt>
                <c:pt idx="134">
                  <c:v>5222</c:v>
                </c:pt>
                <c:pt idx="135">
                  <c:v>5199</c:v>
                </c:pt>
                <c:pt idx="136">
                  <c:v>5092</c:v>
                </c:pt>
                <c:pt idx="137">
                  <c:v>5013</c:v>
                </c:pt>
                <c:pt idx="138">
                  <c:v>4868</c:v>
                </c:pt>
                <c:pt idx="139">
                  <c:v>4873</c:v>
                </c:pt>
                <c:pt idx="140">
                  <c:v>4783</c:v>
                </c:pt>
                <c:pt idx="141">
                  <c:v>4681</c:v>
                </c:pt>
                <c:pt idx="142">
                  <c:v>4643</c:v>
                </c:pt>
                <c:pt idx="143">
                  <c:v>4583</c:v>
                </c:pt>
                <c:pt idx="144">
                  <c:v>4532</c:v>
                </c:pt>
                <c:pt idx="145">
                  <c:v>4358</c:v>
                </c:pt>
                <c:pt idx="146">
                  <c:v>4318</c:v>
                </c:pt>
                <c:pt idx="147">
                  <c:v>4219</c:v>
                </c:pt>
                <c:pt idx="148">
                  <c:v>4155</c:v>
                </c:pt>
                <c:pt idx="149">
                  <c:v>4160</c:v>
                </c:pt>
                <c:pt idx="150">
                  <c:v>4155</c:v>
                </c:pt>
                <c:pt idx="151">
                  <c:v>4090</c:v>
                </c:pt>
                <c:pt idx="152">
                  <c:v>3976</c:v>
                </c:pt>
                <c:pt idx="153">
                  <c:v>3955</c:v>
                </c:pt>
                <c:pt idx="154">
                  <c:v>3913</c:v>
                </c:pt>
                <c:pt idx="155">
                  <c:v>3819</c:v>
                </c:pt>
                <c:pt idx="156">
                  <c:v>3767</c:v>
                </c:pt>
                <c:pt idx="157">
                  <c:v>3748</c:v>
                </c:pt>
                <c:pt idx="158">
                  <c:v>3714</c:v>
                </c:pt>
                <c:pt idx="159">
                  <c:v>3657</c:v>
                </c:pt>
                <c:pt idx="160">
                  <c:v>3646</c:v>
                </c:pt>
                <c:pt idx="161">
                  <c:v>3675</c:v>
                </c:pt>
                <c:pt idx="162">
                  <c:v>3613</c:v>
                </c:pt>
                <c:pt idx="163">
                  <c:v>3652</c:v>
                </c:pt>
                <c:pt idx="164">
                  <c:v>3635</c:v>
                </c:pt>
                <c:pt idx="165">
                  <c:v>3623</c:v>
                </c:pt>
                <c:pt idx="166">
                  <c:v>3598</c:v>
                </c:pt>
                <c:pt idx="167">
                  <c:v>3571</c:v>
                </c:pt>
                <c:pt idx="168">
                  <c:v>3574</c:v>
                </c:pt>
                <c:pt idx="169">
                  <c:v>3528</c:v>
                </c:pt>
                <c:pt idx="170">
                  <c:v>3502</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layout>
                <c:manualLayout>
                  <c:x val="-1.2492110892877573E-2"/>
                  <c:y val="-1.9635399997835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CC-4169-9B48-DFB2DD494789}"/>
                </c:ext>
              </c:extLst>
            </c:dLbl>
            <c:dLbl>
              <c:idx val="135"/>
              <c:delete val="1"/>
              <c:extLst>
                <c:ext xmlns:c15="http://schemas.microsoft.com/office/drawing/2012/chart" uri="{CE6537A1-D6FC-4f65-9D91-7224C49458BB}">
                  <c15:layout>
                    <c:manualLayout>
                      <c:w val="2.2653430999931612E-2"/>
                      <c:h val="2.8793911568254432E-2"/>
                    </c:manualLayout>
                  </c15:layout>
                </c:ext>
                <c:ext xmlns:c16="http://schemas.microsoft.com/office/drawing/2014/chart" uri="{C3380CC4-5D6E-409C-BE32-E72D297353CC}">
                  <c16:uniqueId val="{00000007-19D3-4E07-B013-56BFEAE83C44}"/>
                </c:ext>
              </c:extLst>
            </c:dLbl>
            <c:dLbl>
              <c:idx val="163"/>
              <c:delete val="1"/>
              <c:extLst>
                <c:ext xmlns:c15="http://schemas.microsoft.com/office/drawing/2012/chart" uri="{CE6537A1-D6FC-4f65-9D91-7224C49458BB}"/>
                <c:ext xmlns:c16="http://schemas.microsoft.com/office/drawing/2014/chart" uri="{C3380CC4-5D6E-409C-BE32-E72D297353CC}">
                  <c16:uniqueId val="{00000027-0F08-448F-BC0C-AAE8E2ECA913}"/>
                </c:ext>
              </c:extLst>
            </c:dLbl>
            <c:dLbl>
              <c:idx val="164"/>
              <c:delete val="1"/>
              <c:extLst>
                <c:ext xmlns:c15="http://schemas.microsoft.com/office/drawing/2012/chart" uri="{CE6537A1-D6FC-4f65-9D91-7224C49458BB}"/>
                <c:ext xmlns:c16="http://schemas.microsoft.com/office/drawing/2014/chart" uri="{C3380CC4-5D6E-409C-BE32-E72D297353CC}">
                  <c16:uniqueId val="{00000007-6D2C-47BA-87B2-55D65BF31FE6}"/>
                </c:ext>
              </c:extLst>
            </c:dLbl>
            <c:dLbl>
              <c:idx val="165"/>
              <c:delete val="1"/>
              <c:extLst>
                <c:ext xmlns:c15="http://schemas.microsoft.com/office/drawing/2012/chart" uri="{CE6537A1-D6FC-4f65-9D91-7224C49458BB}"/>
                <c:ext xmlns:c16="http://schemas.microsoft.com/office/drawing/2014/chart" uri="{C3380CC4-5D6E-409C-BE32-E72D297353CC}">
                  <c16:uniqueId val="{00000009-6D2C-47BA-87B2-55D65BF31FE6}"/>
                </c:ext>
              </c:extLst>
            </c:dLbl>
            <c:dLbl>
              <c:idx val="166"/>
              <c:delete val="1"/>
              <c:extLst>
                <c:ext xmlns:c15="http://schemas.microsoft.com/office/drawing/2012/chart" uri="{CE6537A1-D6FC-4f65-9D91-7224C49458BB}"/>
                <c:ext xmlns:c16="http://schemas.microsoft.com/office/drawing/2014/chart" uri="{C3380CC4-5D6E-409C-BE32-E72D297353CC}">
                  <c16:uniqueId val="{0000000B-6D2C-47BA-87B2-55D65BF31FE6}"/>
                </c:ext>
              </c:extLst>
            </c:dLbl>
            <c:dLbl>
              <c:idx val="167"/>
              <c:delete val="1"/>
              <c:extLst>
                <c:ext xmlns:c15="http://schemas.microsoft.com/office/drawing/2012/chart" uri="{CE6537A1-D6FC-4f65-9D91-7224C49458BB}"/>
                <c:ext xmlns:c16="http://schemas.microsoft.com/office/drawing/2014/chart" uri="{C3380CC4-5D6E-409C-BE32-E72D297353CC}">
                  <c16:uniqueId val="{0000000D-6D2C-47BA-87B2-55D65BF31FE6}"/>
                </c:ext>
              </c:extLst>
            </c:dLbl>
            <c:dLbl>
              <c:idx val="168"/>
              <c:delete val="1"/>
              <c:extLst>
                <c:ext xmlns:c15="http://schemas.microsoft.com/office/drawing/2012/chart" uri="{CE6537A1-D6FC-4f65-9D91-7224C49458BB}"/>
                <c:ext xmlns:c16="http://schemas.microsoft.com/office/drawing/2014/chart" uri="{C3380CC4-5D6E-409C-BE32-E72D297353CC}">
                  <c16:uniqueId val="{0000000F-6D2C-47BA-87B2-55D65BF31FE6}"/>
                </c:ext>
              </c:extLst>
            </c:dLbl>
            <c:dLbl>
              <c:idx val="170"/>
              <c:layout>
                <c:manualLayout>
                  <c:x val="-1.1834631372199622E-2"/>
                  <c:y val="-3.5063214281849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D2C-47BA-87B2-55D65BF31FE6}"/>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UTI!$A$162:$A$332</c:f>
              <c:numCache>
                <c:formatCode>m/d/yyyy</c:formatCode>
                <c:ptCount val="171"/>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numCache>
            </c:numRef>
          </c:cat>
          <c:val>
            <c:numRef>
              <c:f>UTI!$C$162:$C$332</c:f>
              <c:numCache>
                <c:formatCode>General</c:formatCode>
                <c:ptCount val="171"/>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pt idx="104">
                  <c:v>78.099999999999994</c:v>
                </c:pt>
                <c:pt idx="105">
                  <c:v>76.8</c:v>
                </c:pt>
                <c:pt idx="106">
                  <c:v>77</c:v>
                </c:pt>
                <c:pt idx="107">
                  <c:v>76.400000000000006</c:v>
                </c:pt>
                <c:pt idx="108">
                  <c:v>75.599999999999994</c:v>
                </c:pt>
                <c:pt idx="109">
                  <c:v>76</c:v>
                </c:pt>
                <c:pt idx="110">
                  <c:v>74.900000000000006</c:v>
                </c:pt>
                <c:pt idx="111">
                  <c:v>74.599999999999994</c:v>
                </c:pt>
                <c:pt idx="112">
                  <c:v>72.5</c:v>
                </c:pt>
                <c:pt idx="113">
                  <c:v>72.5</c:v>
                </c:pt>
                <c:pt idx="114">
                  <c:v>72.599999999999994</c:v>
                </c:pt>
                <c:pt idx="115">
                  <c:v>72.8</c:v>
                </c:pt>
                <c:pt idx="116">
                  <c:v>72.7</c:v>
                </c:pt>
                <c:pt idx="117">
                  <c:v>72.400000000000006</c:v>
                </c:pt>
                <c:pt idx="118">
                  <c:v>71.599999999999994</c:v>
                </c:pt>
                <c:pt idx="119">
                  <c:v>71</c:v>
                </c:pt>
                <c:pt idx="120">
                  <c:v>69.5</c:v>
                </c:pt>
                <c:pt idx="121">
                  <c:v>69.2</c:v>
                </c:pt>
                <c:pt idx="122">
                  <c:v>67.7</c:v>
                </c:pt>
                <c:pt idx="123">
                  <c:v>66.3</c:v>
                </c:pt>
                <c:pt idx="124">
                  <c:v>64.900000000000006</c:v>
                </c:pt>
                <c:pt idx="125">
                  <c:v>65.099999999999994</c:v>
                </c:pt>
                <c:pt idx="126">
                  <c:v>64.900000000000006</c:v>
                </c:pt>
                <c:pt idx="127">
                  <c:v>64.900000000000006</c:v>
                </c:pt>
                <c:pt idx="128">
                  <c:v>64.900000000000006</c:v>
                </c:pt>
                <c:pt idx="129">
                  <c:v>64.599999999999994</c:v>
                </c:pt>
                <c:pt idx="130">
                  <c:v>64.3</c:v>
                </c:pt>
                <c:pt idx="131">
                  <c:v>63.7</c:v>
                </c:pt>
                <c:pt idx="132">
                  <c:v>63.1</c:v>
                </c:pt>
                <c:pt idx="133">
                  <c:v>62.8</c:v>
                </c:pt>
                <c:pt idx="134">
                  <c:v>63.1</c:v>
                </c:pt>
                <c:pt idx="135">
                  <c:v>62.7</c:v>
                </c:pt>
                <c:pt idx="136">
                  <c:v>62.2</c:v>
                </c:pt>
                <c:pt idx="137">
                  <c:v>62.2</c:v>
                </c:pt>
                <c:pt idx="138">
                  <c:v>61.5</c:v>
                </c:pt>
                <c:pt idx="139">
                  <c:v>61.1</c:v>
                </c:pt>
                <c:pt idx="140">
                  <c:v>60.7</c:v>
                </c:pt>
                <c:pt idx="141">
                  <c:v>60</c:v>
                </c:pt>
                <c:pt idx="142">
                  <c:v>59.2</c:v>
                </c:pt>
                <c:pt idx="143">
                  <c:v>59.3</c:v>
                </c:pt>
                <c:pt idx="144">
                  <c:v>58.6</c:v>
                </c:pt>
                <c:pt idx="145">
                  <c:v>58.5</c:v>
                </c:pt>
                <c:pt idx="146">
                  <c:v>56.9</c:v>
                </c:pt>
                <c:pt idx="147">
                  <c:v>57</c:v>
                </c:pt>
                <c:pt idx="148">
                  <c:v>56.6</c:v>
                </c:pt>
                <c:pt idx="149">
                  <c:v>56.5</c:v>
                </c:pt>
                <c:pt idx="150">
                  <c:v>56.4</c:v>
                </c:pt>
                <c:pt idx="151">
                  <c:v>55.9</c:v>
                </c:pt>
                <c:pt idx="152">
                  <c:v>55.3</c:v>
                </c:pt>
                <c:pt idx="153">
                  <c:v>55.3</c:v>
                </c:pt>
                <c:pt idx="154">
                  <c:v>54.2</c:v>
                </c:pt>
                <c:pt idx="155">
                  <c:v>53.7</c:v>
                </c:pt>
                <c:pt idx="156">
                  <c:v>53.6</c:v>
                </c:pt>
                <c:pt idx="157">
                  <c:v>53.8</c:v>
                </c:pt>
                <c:pt idx="158">
                  <c:v>53.5</c:v>
                </c:pt>
                <c:pt idx="159">
                  <c:v>52.4</c:v>
                </c:pt>
                <c:pt idx="160">
                  <c:v>52.1</c:v>
                </c:pt>
                <c:pt idx="161">
                  <c:v>51.6</c:v>
                </c:pt>
                <c:pt idx="162">
                  <c:v>51.4</c:v>
                </c:pt>
                <c:pt idx="163">
                  <c:v>51.6</c:v>
                </c:pt>
                <c:pt idx="164">
                  <c:v>51.7</c:v>
                </c:pt>
                <c:pt idx="165">
                  <c:v>51.6</c:v>
                </c:pt>
                <c:pt idx="166">
                  <c:v>51.3</c:v>
                </c:pt>
                <c:pt idx="167">
                  <c:v>50.5</c:v>
                </c:pt>
                <c:pt idx="168">
                  <c:v>50.4</c:v>
                </c:pt>
                <c:pt idx="169">
                  <c:v>50.5</c:v>
                </c:pt>
                <c:pt idx="170">
                  <c:v>50.2</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layout>
                <c:manualLayout>
                  <c:x val="-1.1177151851521962E-2"/>
                  <c:y val="2.664804285420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CA6-4646-B783-51C3AB46859E}"/>
                </c:ext>
              </c:extLst>
            </c:dLbl>
            <c:dLbl>
              <c:idx val="114"/>
              <c:layout>
                <c:manualLayout>
                  <c:x val="-1.6436988016944112E-2"/>
                  <c:y val="2.9453099996753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CA6-4646-B783-51C3AB46859E}"/>
                </c:ext>
              </c:extLst>
            </c:dLbl>
            <c:dLbl>
              <c:idx val="163"/>
              <c:delete val="1"/>
              <c:extLst>
                <c:ext xmlns:c15="http://schemas.microsoft.com/office/drawing/2012/chart" uri="{CE6537A1-D6FC-4f65-9D91-7224C49458BB}"/>
                <c:ext xmlns:c16="http://schemas.microsoft.com/office/drawing/2014/chart" uri="{C3380CC4-5D6E-409C-BE32-E72D297353CC}">
                  <c16:uniqueId val="{00000028-0F08-448F-BC0C-AAE8E2ECA913}"/>
                </c:ext>
              </c:extLst>
            </c:dLbl>
            <c:dLbl>
              <c:idx val="164"/>
              <c:delete val="1"/>
              <c:extLst>
                <c:ext xmlns:c15="http://schemas.microsoft.com/office/drawing/2012/chart" uri="{CE6537A1-D6FC-4f65-9D91-7224C49458BB}"/>
                <c:ext xmlns:c16="http://schemas.microsoft.com/office/drawing/2014/chart" uri="{C3380CC4-5D6E-409C-BE32-E72D297353CC}">
                  <c16:uniqueId val="{00000008-6D2C-47BA-87B2-55D65BF31FE6}"/>
                </c:ext>
              </c:extLst>
            </c:dLbl>
            <c:dLbl>
              <c:idx val="165"/>
              <c:delete val="1"/>
              <c:extLst>
                <c:ext xmlns:c15="http://schemas.microsoft.com/office/drawing/2012/chart" uri="{CE6537A1-D6FC-4f65-9D91-7224C49458BB}"/>
                <c:ext xmlns:c16="http://schemas.microsoft.com/office/drawing/2014/chart" uri="{C3380CC4-5D6E-409C-BE32-E72D297353CC}">
                  <c16:uniqueId val="{0000000A-6D2C-47BA-87B2-55D65BF31FE6}"/>
                </c:ext>
              </c:extLst>
            </c:dLbl>
            <c:dLbl>
              <c:idx val="166"/>
              <c:delete val="1"/>
              <c:extLst>
                <c:ext xmlns:c15="http://schemas.microsoft.com/office/drawing/2012/chart" uri="{CE6537A1-D6FC-4f65-9D91-7224C49458BB}"/>
                <c:ext xmlns:c16="http://schemas.microsoft.com/office/drawing/2014/chart" uri="{C3380CC4-5D6E-409C-BE32-E72D297353CC}">
                  <c16:uniqueId val="{0000000C-6D2C-47BA-87B2-55D65BF31FE6}"/>
                </c:ext>
              </c:extLst>
            </c:dLbl>
            <c:dLbl>
              <c:idx val="167"/>
              <c:delete val="1"/>
              <c:extLst>
                <c:ext xmlns:c15="http://schemas.microsoft.com/office/drawing/2012/chart" uri="{CE6537A1-D6FC-4f65-9D91-7224C49458BB}"/>
                <c:ext xmlns:c16="http://schemas.microsoft.com/office/drawing/2014/chart" uri="{C3380CC4-5D6E-409C-BE32-E72D297353CC}">
                  <c16:uniqueId val="{0000000E-6D2C-47BA-87B2-55D65BF31FE6}"/>
                </c:ext>
              </c:extLst>
            </c:dLbl>
            <c:dLbl>
              <c:idx val="168"/>
              <c:delete val="1"/>
              <c:extLst>
                <c:ext xmlns:c15="http://schemas.microsoft.com/office/drawing/2012/chart" uri="{CE6537A1-D6FC-4f65-9D91-7224C49458BB}"/>
                <c:ext xmlns:c16="http://schemas.microsoft.com/office/drawing/2014/chart" uri="{C3380CC4-5D6E-409C-BE32-E72D297353CC}">
                  <c16:uniqueId val="{00000010-6D2C-47BA-87B2-55D65BF31FE6}"/>
                </c:ext>
              </c:extLst>
            </c:dLbl>
            <c:dLbl>
              <c:idx val="170"/>
              <c:layout>
                <c:manualLayout>
                  <c:x val="-1.1834631372199622E-2"/>
                  <c:y val="2.664804285420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D2C-47BA-87B2-55D65BF31FE6}"/>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UTI!$A$162:$A$332</c:f>
              <c:numCache>
                <c:formatCode>m/d/yyyy</c:formatCode>
                <c:ptCount val="171"/>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numCache>
            </c:numRef>
          </c:cat>
          <c:val>
            <c:numRef>
              <c:f>UTI!$D$162:$D$332</c:f>
              <c:numCache>
                <c:formatCode>General</c:formatCode>
                <c:ptCount val="171"/>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pt idx="104">
                  <c:v>75.5</c:v>
                </c:pt>
                <c:pt idx="105">
                  <c:v>74.5</c:v>
                </c:pt>
                <c:pt idx="106">
                  <c:v>75.099999999999994</c:v>
                </c:pt>
                <c:pt idx="107">
                  <c:v>73.3</c:v>
                </c:pt>
                <c:pt idx="108">
                  <c:v>73</c:v>
                </c:pt>
                <c:pt idx="109">
                  <c:v>73.900000000000006</c:v>
                </c:pt>
                <c:pt idx="110">
                  <c:v>72.5</c:v>
                </c:pt>
                <c:pt idx="111">
                  <c:v>71</c:v>
                </c:pt>
                <c:pt idx="112">
                  <c:v>69.7</c:v>
                </c:pt>
                <c:pt idx="113">
                  <c:v>70.2</c:v>
                </c:pt>
                <c:pt idx="114">
                  <c:v>70.7</c:v>
                </c:pt>
                <c:pt idx="115">
                  <c:v>70.900000000000006</c:v>
                </c:pt>
                <c:pt idx="116">
                  <c:v>70.5</c:v>
                </c:pt>
                <c:pt idx="117">
                  <c:v>70.400000000000006</c:v>
                </c:pt>
                <c:pt idx="118">
                  <c:v>70.3</c:v>
                </c:pt>
                <c:pt idx="119">
                  <c:v>69.599999999999994</c:v>
                </c:pt>
                <c:pt idx="120">
                  <c:v>65.5</c:v>
                </c:pt>
                <c:pt idx="121">
                  <c:v>66.3</c:v>
                </c:pt>
                <c:pt idx="122">
                  <c:v>64.900000000000006</c:v>
                </c:pt>
                <c:pt idx="123">
                  <c:v>64.2</c:v>
                </c:pt>
                <c:pt idx="124">
                  <c:v>63.5</c:v>
                </c:pt>
                <c:pt idx="125">
                  <c:v>62.9</c:v>
                </c:pt>
                <c:pt idx="126">
                  <c:v>62.2</c:v>
                </c:pt>
                <c:pt idx="127">
                  <c:v>62.5</c:v>
                </c:pt>
                <c:pt idx="128">
                  <c:v>62.8</c:v>
                </c:pt>
                <c:pt idx="129">
                  <c:v>62.1</c:v>
                </c:pt>
                <c:pt idx="130">
                  <c:v>62.2</c:v>
                </c:pt>
                <c:pt idx="131">
                  <c:v>61</c:v>
                </c:pt>
                <c:pt idx="132">
                  <c:v>60.9</c:v>
                </c:pt>
                <c:pt idx="133">
                  <c:v>59.9</c:v>
                </c:pt>
                <c:pt idx="134">
                  <c:v>60.7</c:v>
                </c:pt>
                <c:pt idx="135">
                  <c:v>61.2</c:v>
                </c:pt>
                <c:pt idx="136">
                  <c:v>60.1</c:v>
                </c:pt>
                <c:pt idx="137">
                  <c:v>60.1</c:v>
                </c:pt>
                <c:pt idx="138">
                  <c:v>60</c:v>
                </c:pt>
                <c:pt idx="139">
                  <c:v>58.7</c:v>
                </c:pt>
                <c:pt idx="140">
                  <c:v>58</c:v>
                </c:pt>
                <c:pt idx="141">
                  <c:v>56.9</c:v>
                </c:pt>
                <c:pt idx="142">
                  <c:v>56.6</c:v>
                </c:pt>
                <c:pt idx="143">
                  <c:v>57</c:v>
                </c:pt>
                <c:pt idx="144">
                  <c:v>56.7</c:v>
                </c:pt>
                <c:pt idx="145">
                  <c:v>56.3</c:v>
                </c:pt>
                <c:pt idx="146">
                  <c:v>54.9</c:v>
                </c:pt>
                <c:pt idx="147">
                  <c:v>54.4</c:v>
                </c:pt>
                <c:pt idx="148">
                  <c:v>54.1</c:v>
                </c:pt>
                <c:pt idx="149">
                  <c:v>54.6</c:v>
                </c:pt>
                <c:pt idx="150">
                  <c:v>54.5</c:v>
                </c:pt>
                <c:pt idx="151">
                  <c:v>54</c:v>
                </c:pt>
                <c:pt idx="152">
                  <c:v>53.4</c:v>
                </c:pt>
                <c:pt idx="153">
                  <c:v>53.4</c:v>
                </c:pt>
                <c:pt idx="154">
                  <c:v>53</c:v>
                </c:pt>
                <c:pt idx="155">
                  <c:v>52.2</c:v>
                </c:pt>
                <c:pt idx="156">
                  <c:v>51.8</c:v>
                </c:pt>
                <c:pt idx="157">
                  <c:v>52.6</c:v>
                </c:pt>
                <c:pt idx="158">
                  <c:v>52.6</c:v>
                </c:pt>
                <c:pt idx="159">
                  <c:v>58.3</c:v>
                </c:pt>
                <c:pt idx="160">
                  <c:v>50.4</c:v>
                </c:pt>
                <c:pt idx="161">
                  <c:v>49.5</c:v>
                </c:pt>
                <c:pt idx="162">
                  <c:v>50</c:v>
                </c:pt>
                <c:pt idx="163">
                  <c:v>49.8</c:v>
                </c:pt>
                <c:pt idx="164">
                  <c:v>50.5</c:v>
                </c:pt>
                <c:pt idx="165">
                  <c:v>49.7</c:v>
                </c:pt>
                <c:pt idx="166">
                  <c:v>49.6</c:v>
                </c:pt>
                <c:pt idx="167">
                  <c:v>49</c:v>
                </c:pt>
                <c:pt idx="168">
                  <c:v>48.1</c:v>
                </c:pt>
                <c:pt idx="169">
                  <c:v>48</c:v>
                </c:pt>
                <c:pt idx="170">
                  <c:v>48.2</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majorUnit val="3"/>
        <c:major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w="25400">
          <a:noFill/>
        </a:ln>
        <a:effectLst/>
      </c:spPr>
    </c:plotArea>
    <c:legend>
      <c:legendPos val="b"/>
      <c:layout>
        <c:manualLayout>
          <c:xMode val="edge"/>
          <c:yMode val="edge"/>
          <c:x val="3.8907411921946723E-2"/>
          <c:y val="7.0547297570400846E-2"/>
          <c:w val="0.33905747004867864"/>
          <c:h val="4.8483458513830936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392360</xdr:colOff>
      <xdr:row>0</xdr:row>
      <xdr:rowOff>101974</xdr:rowOff>
    </xdr:from>
    <xdr:to>
      <xdr:col>12</xdr:col>
      <xdr:colOff>1313730</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05931"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541033</xdr:colOff>
      <xdr:row>287</xdr:row>
      <xdr:rowOff>154050</xdr:rowOff>
    </xdr:from>
    <xdr:to>
      <xdr:col>31</xdr:col>
      <xdr:colOff>45224</xdr:colOff>
      <xdr:row>335</xdr:row>
      <xdr:rowOff>65124</xdr:rowOff>
    </xdr:to>
    <xdr:graphicFrame macro="">
      <xdr:nvGraphicFramePr>
        <xdr:cNvPr id="3" name="Gráfico 2">
          <a:extLst>
            <a:ext uri="{FF2B5EF4-FFF2-40B4-BE49-F238E27FC236}">
              <a16:creationId xmlns:a16="http://schemas.microsoft.com/office/drawing/2014/main" id="{27407D91-FE02-4569-A259-6E27DEAB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494</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10"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2498">
      <pivotArea outline="0" collapsedLevelsAreSubtotals="1" fieldPosition="0"/>
    </format>
    <format dxfId="2497">
      <pivotArea outline="0" collapsedLevelsAreSubtotals="1" fieldPosition="0"/>
    </format>
    <format dxfId="2496">
      <pivotArea outline="0" collapsedLevelsAreSubtotals="1" fieldPosition="0"/>
    </format>
    <format dxfId="2495">
      <pivotArea collapsedLevelsAreSubtotals="1" fieldPosition="0">
        <references count="1">
          <reference field="0" count="1">
            <x v="23"/>
          </reference>
        </references>
      </pivotArea>
    </format>
    <format dxfId="2494">
      <pivotArea field="0" type="button" dataOnly="0" labelOnly="1" outline="0" axis="axisRow" fieldPosition="0"/>
    </format>
    <format dxfId="2493">
      <pivotArea field="0" type="button" dataOnly="0" labelOnly="1" outline="0" axis="axisRow" fieldPosition="0"/>
    </format>
    <format dxfId="2492">
      <pivotArea field="0" type="button" dataOnly="0" labelOnly="1" outline="0" axis="axisRow" fieldPosition="0"/>
    </format>
    <format dxfId="2491">
      <pivotArea dataOnly="0" labelOnly="1" fieldPosition="0">
        <references count="1">
          <reference field="0" count="0"/>
        </references>
      </pivotArea>
    </format>
    <format dxfId="2490">
      <pivotArea dataOnly="0" labelOnly="1" fieldPosition="0">
        <references count="1">
          <reference field="0" count="0"/>
        </references>
      </pivotArea>
    </format>
    <format dxfId="2489">
      <pivotArea dataOnly="0" labelOnly="1" fieldPosition="0">
        <references count="1">
          <reference field="0" count="0"/>
        </references>
      </pivotArea>
    </format>
    <format dxfId="2488">
      <pivotArea dataOnly="0" labelOnly="1" fieldPosition="0">
        <references count="1">
          <reference field="0" count="0"/>
        </references>
      </pivotArea>
    </format>
    <format dxfId="2487">
      <pivotArea dataOnly="0" labelOnly="1" fieldPosition="0">
        <references count="1">
          <reference field="0" count="0"/>
        </references>
      </pivotArea>
    </format>
    <format dxfId="2486">
      <pivotArea collapsedLevelsAreSubtotals="1" fieldPosition="0">
        <references count="3">
          <reference field="4294967294" count="1" selected="0">
            <x v="1"/>
          </reference>
          <reference field="0" count="1">
            <x v="0"/>
          </reference>
          <reference field="1" count="1" selected="0">
            <x v="420"/>
          </reference>
        </references>
      </pivotArea>
    </format>
    <format dxfId="2485">
      <pivotArea collapsedLevelsAreSubtotals="1" fieldPosition="0">
        <references count="3">
          <reference field="4294967294" count="1" selected="0">
            <x v="1"/>
          </reference>
          <reference field="0" count="1">
            <x v="0"/>
          </reference>
          <reference field="1" count="1" selected="0">
            <x v="421"/>
          </reference>
        </references>
      </pivotArea>
    </format>
    <format dxfId="2484">
      <pivotArea collapsedLevelsAreSubtotals="1" fieldPosition="0">
        <references count="3">
          <reference field="4294967294" count="1" selected="0">
            <x v="1"/>
          </reference>
          <reference field="0" count="1">
            <x v="0"/>
          </reference>
          <reference field="1" count="1" selected="0">
            <x v="422"/>
          </reference>
        </references>
      </pivotArea>
    </format>
    <format dxfId="2483">
      <pivotArea collapsedLevelsAreSubtotals="1" fieldPosition="0">
        <references count="3">
          <reference field="4294967294" count="1" selected="0">
            <x v="1"/>
          </reference>
          <reference field="0" count="1">
            <x v="0"/>
          </reference>
          <reference field="1" count="1" selected="0">
            <x v="423"/>
          </reference>
        </references>
      </pivotArea>
    </format>
    <format dxfId="2482">
      <pivotArea collapsedLevelsAreSubtotals="1" fieldPosition="0">
        <references count="3">
          <reference field="4294967294" count="1" selected="0">
            <x v="1"/>
          </reference>
          <reference field="0" count="1">
            <x v="0"/>
          </reference>
          <reference field="1" count="1" selected="0">
            <x v="433"/>
          </reference>
        </references>
      </pivotArea>
    </format>
    <format dxfId="2481">
      <pivotArea collapsedLevelsAreSubtotals="1" fieldPosition="0">
        <references count="3">
          <reference field="4294967294" count="1" selected="0">
            <x v="1"/>
          </reference>
          <reference field="0" count="1">
            <x v="0"/>
          </reference>
          <reference field="1" count="1" selected="0">
            <x v="434"/>
          </reference>
        </references>
      </pivotArea>
    </format>
    <format dxfId="2480">
      <pivotArea collapsedLevelsAreSubtotals="1" fieldPosition="0">
        <references count="3">
          <reference field="4294967294" count="1" selected="0">
            <x v="1"/>
          </reference>
          <reference field="0" count="1">
            <x v="0"/>
          </reference>
          <reference field="1" count="1" selected="0">
            <x v="435"/>
          </reference>
        </references>
      </pivotArea>
    </format>
    <format dxfId="2479">
      <pivotArea collapsedLevelsAreSubtotals="1" fieldPosition="0">
        <references count="3">
          <reference field="4294967294" count="1" selected="0">
            <x v="1"/>
          </reference>
          <reference field="0" count="1">
            <x v="0"/>
          </reference>
          <reference field="1" count="1" selected="0">
            <x v="457"/>
          </reference>
        </references>
      </pivotArea>
    </format>
    <format dxfId="2478">
      <pivotArea collapsedLevelsAreSubtotals="1" fieldPosition="0">
        <references count="3">
          <reference field="4294967294" count="1" selected="0">
            <x v="1"/>
          </reference>
          <reference field="0" count="1">
            <x v="0"/>
          </reference>
          <reference field="1" count="1" selected="0">
            <x v="456"/>
          </reference>
        </references>
      </pivotArea>
    </format>
    <format dxfId="2477">
      <pivotArea collapsedLevelsAreSubtotals="1" fieldPosition="0">
        <references count="3">
          <reference field="4294967294" count="1" selected="0">
            <x v="1"/>
          </reference>
          <reference field="0" count="1">
            <x v="0"/>
          </reference>
          <reference field="1" count="1" selected="0">
            <x v="455"/>
          </reference>
        </references>
      </pivotArea>
    </format>
    <format dxfId="2476">
      <pivotArea collapsedLevelsAreSubtotals="1" fieldPosition="0">
        <references count="3">
          <reference field="4294967294" count="1" selected="0">
            <x v="1"/>
          </reference>
          <reference field="0" count="1">
            <x v="0"/>
          </reference>
          <reference field="1" count="1" selected="0">
            <x v="454"/>
          </reference>
        </references>
      </pivotArea>
    </format>
    <format dxfId="2475">
      <pivotArea collapsedLevelsAreSubtotals="1" fieldPosition="0">
        <references count="3">
          <reference field="4294967294" count="1" selected="0">
            <x v="1"/>
          </reference>
          <reference field="0" count="1">
            <x v="0"/>
          </reference>
          <reference field="1" count="1" selected="0">
            <x v="453"/>
          </reference>
        </references>
      </pivotArea>
    </format>
    <format dxfId="2474">
      <pivotArea collapsedLevelsAreSubtotals="1" fieldPosition="0">
        <references count="3">
          <reference field="4294967294" count="1" selected="0">
            <x v="1"/>
          </reference>
          <reference field="0" count="1">
            <x v="0"/>
          </reference>
          <reference field="1" count="1" selected="0">
            <x v="452"/>
          </reference>
        </references>
      </pivotArea>
    </format>
    <format dxfId="2473">
      <pivotArea collapsedLevelsAreSubtotals="1" fieldPosition="0">
        <references count="3">
          <reference field="4294967294" count="1" selected="0">
            <x v="1"/>
          </reference>
          <reference field="0" count="1">
            <x v="0"/>
          </reference>
          <reference field="1" count="1" selected="0">
            <x v="451"/>
          </reference>
        </references>
      </pivotArea>
    </format>
    <format dxfId="2472">
      <pivotArea collapsedLevelsAreSubtotals="1" fieldPosition="0">
        <references count="3">
          <reference field="4294967294" count="1" selected="0">
            <x v="1"/>
          </reference>
          <reference field="0" count="1">
            <x v="0"/>
          </reference>
          <reference field="1" count="1" selected="0">
            <x v="450"/>
          </reference>
        </references>
      </pivotArea>
    </format>
    <format dxfId="2471">
      <pivotArea collapsedLevelsAreSubtotals="1" fieldPosition="0">
        <references count="3">
          <reference field="4294967294" count="1" selected="0">
            <x v="1"/>
          </reference>
          <reference field="0" count="1">
            <x v="0"/>
          </reference>
          <reference field="1" count="1" selected="0">
            <x v="449"/>
          </reference>
        </references>
      </pivotArea>
    </format>
    <format dxfId="2470">
      <pivotArea collapsedLevelsAreSubtotals="1" fieldPosition="0">
        <references count="3">
          <reference field="4294967294" count="1" selected="0">
            <x v="1"/>
          </reference>
          <reference field="0" count="1">
            <x v="0"/>
          </reference>
          <reference field="1" count="1" selected="0">
            <x v="448"/>
          </reference>
        </references>
      </pivotArea>
    </format>
    <format dxfId="2469">
      <pivotArea collapsedLevelsAreSubtotals="1" fieldPosition="0">
        <references count="3">
          <reference field="4294967294" count="1" selected="0">
            <x v="1"/>
          </reference>
          <reference field="0" count="1">
            <x v="0"/>
          </reference>
          <reference field="1" count="1" selected="0">
            <x v="447"/>
          </reference>
        </references>
      </pivotArea>
    </format>
    <format dxfId="2468">
      <pivotArea collapsedLevelsAreSubtotals="1" fieldPosition="0">
        <references count="3">
          <reference field="4294967294" count="1" selected="0">
            <x v="1"/>
          </reference>
          <reference field="0" count="1">
            <x v="0"/>
          </reference>
          <reference field="1" count="1" selected="0">
            <x v="446"/>
          </reference>
        </references>
      </pivotArea>
    </format>
    <format dxfId="2467">
      <pivotArea collapsedLevelsAreSubtotals="1" fieldPosition="0">
        <references count="3">
          <reference field="4294967294" count="1" selected="0">
            <x v="1"/>
          </reference>
          <reference field="0" count="1">
            <x v="0"/>
          </reference>
          <reference field="1" count="1" selected="0">
            <x v="445"/>
          </reference>
        </references>
      </pivotArea>
    </format>
    <format dxfId="2466">
      <pivotArea collapsedLevelsAreSubtotals="1" fieldPosition="0">
        <references count="3">
          <reference field="4294967294" count="1" selected="0">
            <x v="1"/>
          </reference>
          <reference field="0" count="1">
            <x v="0"/>
          </reference>
          <reference field="1" count="1" selected="0">
            <x v="444"/>
          </reference>
        </references>
      </pivotArea>
    </format>
    <format dxfId="2465">
      <pivotArea collapsedLevelsAreSubtotals="1" fieldPosition="0">
        <references count="3">
          <reference field="4294967294" count="1" selected="0">
            <x v="1"/>
          </reference>
          <reference field="0" count="1">
            <x v="0"/>
          </reference>
          <reference field="1" count="1" selected="0">
            <x v="443"/>
          </reference>
        </references>
      </pivotArea>
    </format>
    <format dxfId="2464">
      <pivotArea collapsedLevelsAreSubtotals="1" fieldPosition="0">
        <references count="3">
          <reference field="4294967294" count="1" selected="0">
            <x v="1"/>
          </reference>
          <reference field="0" count="1">
            <x v="0"/>
          </reference>
          <reference field="1" count="1" selected="0">
            <x v="442"/>
          </reference>
        </references>
      </pivotArea>
    </format>
    <format dxfId="2463">
      <pivotArea collapsedLevelsAreSubtotals="1" fieldPosition="0">
        <references count="3">
          <reference field="4294967294" count="1" selected="0">
            <x v="1"/>
          </reference>
          <reference field="0" count="1">
            <x v="0"/>
          </reference>
          <reference field="1" count="1" selected="0">
            <x v="441"/>
          </reference>
        </references>
      </pivotArea>
    </format>
    <format dxfId="2462">
      <pivotArea collapsedLevelsAreSubtotals="1" fieldPosition="0">
        <references count="3">
          <reference field="4294967294" count="1" selected="0">
            <x v="1"/>
          </reference>
          <reference field="0" count="1">
            <x v="0"/>
          </reference>
          <reference field="1" count="1" selected="0">
            <x v="440"/>
          </reference>
        </references>
      </pivotArea>
    </format>
    <format dxfId="2461">
      <pivotArea collapsedLevelsAreSubtotals="1" fieldPosition="0">
        <references count="3">
          <reference field="4294967294" count="1" selected="0">
            <x v="1"/>
          </reference>
          <reference field="0" count="1">
            <x v="0"/>
          </reference>
          <reference field="1" count="1" selected="0">
            <x v="439"/>
          </reference>
        </references>
      </pivotArea>
    </format>
    <format dxfId="2460">
      <pivotArea collapsedLevelsAreSubtotals="1" fieldPosition="0">
        <references count="3">
          <reference field="4294967294" count="1" selected="0">
            <x v="1"/>
          </reference>
          <reference field="0" count="1">
            <x v="0"/>
          </reference>
          <reference field="1" count="1" selected="0">
            <x v="438"/>
          </reference>
        </references>
      </pivotArea>
    </format>
    <format dxfId="2459">
      <pivotArea collapsedLevelsAreSubtotals="1" fieldPosition="0">
        <references count="3">
          <reference field="4294967294" count="1" selected="0">
            <x v="1"/>
          </reference>
          <reference field="0" count="1">
            <x v="0"/>
          </reference>
          <reference field="1" count="1" selected="0">
            <x v="437"/>
          </reference>
        </references>
      </pivotArea>
    </format>
    <format dxfId="2458">
      <pivotArea collapsedLevelsAreSubtotals="1" fieldPosition="0">
        <references count="3">
          <reference field="4294967294" count="1" selected="0">
            <x v="1"/>
          </reference>
          <reference field="0" count="1">
            <x v="0"/>
          </reference>
          <reference field="1" count="1" selected="0">
            <x v="436"/>
          </reference>
        </references>
      </pivotArea>
    </format>
    <format dxfId="2457">
      <pivotArea outline="0" collapsedLevelsAreSubtotals="1" fieldPosition="0">
        <references count="2">
          <reference field="4294967294" count="1" selected="0">
            <x v="1"/>
          </reference>
          <reference field="1" count="1" selected="0">
            <x v="458"/>
          </reference>
        </references>
      </pivotArea>
    </format>
    <format dxfId="2456">
      <pivotArea collapsedLevelsAreSubtotals="1" fieldPosition="0">
        <references count="3">
          <reference field="4294967294" count="1" selected="0">
            <x v="1"/>
          </reference>
          <reference field="0" count="1">
            <x v="0"/>
          </reference>
          <reference field="1" count="1" selected="0">
            <x v="459"/>
          </reference>
        </references>
      </pivotArea>
    </format>
    <format dxfId="2455">
      <pivotArea collapsedLevelsAreSubtotals="1" fieldPosition="0">
        <references count="3">
          <reference field="4294967294" count="1" selected="0">
            <x v="1"/>
          </reference>
          <reference field="0" count="1">
            <x v="0"/>
          </reference>
          <reference field="1" count="1" selected="0">
            <x v="460"/>
          </reference>
        </references>
      </pivotArea>
    </format>
    <format dxfId="2454">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534"/>
  <sheetViews>
    <sheetView topLeftCell="A520" zoomScale="85" zoomScaleNormal="85" workbookViewId="0">
      <selection activeCell="J534" sqref="J534"/>
    </sheetView>
  </sheetViews>
  <sheetFormatPr baseColWidth="10" defaultRowHeight="15" x14ac:dyDescent="0.25"/>
  <cols>
    <col min="1" max="1" width="11" style="37" customWidth="1"/>
    <col min="2" max="2" width="8.28515625" style="143" customWidth="1"/>
    <col min="3" max="3" width="11.28515625" style="158" customWidth="1"/>
    <col min="4" max="4" width="5.85546875" style="143" customWidth="1"/>
    <col min="5" max="5" width="9.140625" style="143" customWidth="1"/>
    <col min="6" max="6" width="8.42578125" style="143" customWidth="1"/>
    <col min="7" max="7" width="11.28515625" style="158" customWidth="1"/>
    <col min="8" max="8" width="7.85546875" style="143" customWidth="1"/>
    <col min="9" max="9" width="9.7109375" style="416" customWidth="1"/>
    <col min="10" max="10" width="11.140625" style="416"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4" customFormat="1" ht="42.75" customHeight="1" x14ac:dyDescent="0.25">
      <c r="A1" s="159" t="s">
        <v>42</v>
      </c>
      <c r="B1" s="160" t="s">
        <v>0</v>
      </c>
      <c r="C1" s="161" t="s">
        <v>1</v>
      </c>
      <c r="D1" s="160" t="s">
        <v>2</v>
      </c>
      <c r="E1" s="160" t="s">
        <v>3</v>
      </c>
      <c r="F1" s="160" t="s">
        <v>109</v>
      </c>
      <c r="G1" s="161" t="s">
        <v>4</v>
      </c>
      <c r="H1" s="160" t="s">
        <v>5</v>
      </c>
      <c r="I1" s="162" t="s">
        <v>6</v>
      </c>
      <c r="J1" s="162" t="s">
        <v>7</v>
      </c>
      <c r="K1" s="163" t="s">
        <v>8</v>
      </c>
      <c r="L1" s="163" t="s">
        <v>9</v>
      </c>
      <c r="M1" s="162" t="s">
        <v>10</v>
      </c>
      <c r="N1" s="162" t="s">
        <v>11</v>
      </c>
      <c r="O1" s="162" t="s">
        <v>12</v>
      </c>
      <c r="P1" s="162" t="s">
        <v>13</v>
      </c>
      <c r="Q1" s="162" t="s">
        <v>14</v>
      </c>
      <c r="R1" s="162" t="s">
        <v>108</v>
      </c>
      <c r="S1" s="162" t="s">
        <v>110</v>
      </c>
      <c r="T1" s="162" t="s">
        <v>111</v>
      </c>
    </row>
    <row r="2" spans="1:20" x14ac:dyDescent="0.25">
      <c r="A2" s="2">
        <v>43893</v>
      </c>
      <c r="B2" s="124">
        <v>1</v>
      </c>
      <c r="C2" s="148">
        <v>1</v>
      </c>
      <c r="D2" s="124">
        <v>0</v>
      </c>
      <c r="E2" s="124">
        <v>0</v>
      </c>
      <c r="F2" s="124"/>
      <c r="G2" s="148">
        <v>0</v>
      </c>
      <c r="H2" s="124"/>
      <c r="I2" s="124"/>
      <c r="J2" s="1"/>
      <c r="K2" s="14"/>
      <c r="L2" s="14"/>
      <c r="M2" s="1"/>
      <c r="N2" s="1">
        <v>1</v>
      </c>
      <c r="O2" s="1">
        <v>0</v>
      </c>
      <c r="P2" s="1">
        <v>0</v>
      </c>
      <c r="Q2" s="1">
        <v>0</v>
      </c>
      <c r="R2" s="15"/>
      <c r="S2" s="1"/>
      <c r="T2" s="4"/>
    </row>
    <row r="3" spans="1:20" x14ac:dyDescent="0.25">
      <c r="A3" s="2">
        <v>43894</v>
      </c>
      <c r="B3" s="124">
        <v>0</v>
      </c>
      <c r="C3" s="148">
        <v>1</v>
      </c>
      <c r="D3" s="124">
        <v>0</v>
      </c>
      <c r="E3" s="124">
        <v>0</v>
      </c>
      <c r="F3" s="126">
        <f t="shared" ref="F3:F66" si="0">G3-G2</f>
        <v>0</v>
      </c>
      <c r="G3" s="148">
        <v>0</v>
      </c>
      <c r="H3" s="124"/>
      <c r="I3" s="124"/>
      <c r="J3" s="1"/>
      <c r="K3" s="14"/>
      <c r="L3" s="14"/>
      <c r="M3" s="1"/>
      <c r="N3" s="1">
        <v>1</v>
      </c>
      <c r="O3" s="1">
        <v>0</v>
      </c>
      <c r="P3" s="1">
        <v>0</v>
      </c>
      <c r="Q3" s="1">
        <v>0</v>
      </c>
      <c r="R3" s="1"/>
      <c r="S3" s="1"/>
      <c r="T3" s="4"/>
    </row>
    <row r="4" spans="1:20" x14ac:dyDescent="0.25">
      <c r="A4" s="2">
        <v>43895</v>
      </c>
      <c r="B4" s="124">
        <v>1</v>
      </c>
      <c r="C4" s="148">
        <v>2</v>
      </c>
      <c r="D4" s="124">
        <v>0</v>
      </c>
      <c r="E4" s="124">
        <v>0</v>
      </c>
      <c r="F4" s="126">
        <f t="shared" si="0"/>
        <v>0</v>
      </c>
      <c r="G4" s="148">
        <v>0</v>
      </c>
      <c r="H4" s="124"/>
      <c r="I4" s="124"/>
      <c r="J4" s="1"/>
      <c r="K4" s="14"/>
      <c r="L4" s="14"/>
      <c r="M4" s="1"/>
      <c r="N4" s="1">
        <v>2</v>
      </c>
      <c r="O4" s="1">
        <v>0</v>
      </c>
      <c r="P4" s="1">
        <v>0</v>
      </c>
      <c r="Q4" s="1">
        <v>0</v>
      </c>
      <c r="R4" s="1"/>
      <c r="S4" s="1"/>
      <c r="T4" s="4"/>
    </row>
    <row r="5" spans="1:20" x14ac:dyDescent="0.25">
      <c r="A5" s="2">
        <v>43896</v>
      </c>
      <c r="B5" s="124">
        <v>6</v>
      </c>
      <c r="C5" s="148">
        <v>8</v>
      </c>
      <c r="D5" s="124">
        <v>0</v>
      </c>
      <c r="E5" s="126">
        <f t="shared" ref="E5:E68" si="1">E4+D5</f>
        <v>0</v>
      </c>
      <c r="F5" s="126">
        <f t="shared" si="0"/>
        <v>0</v>
      </c>
      <c r="G5" s="148">
        <v>0</v>
      </c>
      <c r="H5" s="124"/>
      <c r="I5" s="124"/>
      <c r="J5" s="1"/>
      <c r="K5" s="14"/>
      <c r="L5" s="14"/>
      <c r="M5" s="1"/>
      <c r="N5" s="1">
        <v>8</v>
      </c>
      <c r="O5" s="1">
        <v>0</v>
      </c>
      <c r="P5" s="1">
        <v>0</v>
      </c>
      <c r="Q5" s="1">
        <v>0</v>
      </c>
      <c r="R5" s="1"/>
      <c r="S5" s="1"/>
      <c r="T5" s="4"/>
    </row>
    <row r="6" spans="1:20" x14ac:dyDescent="0.25">
      <c r="A6" s="2">
        <v>43897</v>
      </c>
      <c r="B6" s="124">
        <v>1</v>
      </c>
      <c r="C6" s="148">
        <v>9</v>
      </c>
      <c r="D6" s="124">
        <v>0</v>
      </c>
      <c r="E6" s="126">
        <f t="shared" si="1"/>
        <v>0</v>
      </c>
      <c r="F6" s="126">
        <f t="shared" si="0"/>
        <v>0</v>
      </c>
      <c r="G6" s="148">
        <v>0</v>
      </c>
      <c r="H6" s="124"/>
      <c r="I6" s="124"/>
      <c r="J6" s="1"/>
      <c r="K6" s="14"/>
      <c r="L6" s="14"/>
      <c r="M6" s="1"/>
      <c r="N6" s="1">
        <v>9</v>
      </c>
      <c r="O6" s="1">
        <v>0</v>
      </c>
      <c r="P6" s="1">
        <v>0</v>
      </c>
      <c r="Q6" s="1">
        <v>0</v>
      </c>
      <c r="R6" s="20">
        <f t="shared" ref="R6:R69" si="2">G6-G5</f>
        <v>0</v>
      </c>
      <c r="S6" s="1"/>
      <c r="T6" s="4"/>
    </row>
    <row r="7" spans="1:20" x14ac:dyDescent="0.25">
      <c r="A7" s="2">
        <v>43898</v>
      </c>
      <c r="B7" s="124">
        <v>3</v>
      </c>
      <c r="C7" s="148">
        <v>12</v>
      </c>
      <c r="D7" s="124">
        <v>0</v>
      </c>
      <c r="E7" s="126">
        <f t="shared" si="1"/>
        <v>0</v>
      </c>
      <c r="F7" s="126">
        <f t="shared" si="0"/>
        <v>0</v>
      </c>
      <c r="G7" s="148">
        <v>0</v>
      </c>
      <c r="H7" s="124"/>
      <c r="I7" s="124"/>
      <c r="J7" s="1"/>
      <c r="K7" s="14"/>
      <c r="L7" s="14"/>
      <c r="M7" s="1"/>
      <c r="N7" s="1">
        <v>12</v>
      </c>
      <c r="O7" s="1">
        <v>0</v>
      </c>
      <c r="P7" s="1">
        <v>0</v>
      </c>
      <c r="Q7" s="1">
        <v>0</v>
      </c>
      <c r="R7" s="20">
        <f t="shared" si="2"/>
        <v>0</v>
      </c>
      <c r="S7" s="1"/>
      <c r="T7" s="4"/>
    </row>
    <row r="8" spans="1:20" x14ac:dyDescent="0.25">
      <c r="A8" s="2">
        <v>43899</v>
      </c>
      <c r="B8" s="124">
        <v>5</v>
      </c>
      <c r="C8" s="148">
        <v>17</v>
      </c>
      <c r="D8" s="124">
        <v>1</v>
      </c>
      <c r="E8" s="126">
        <f t="shared" si="1"/>
        <v>1</v>
      </c>
      <c r="F8" s="126">
        <f t="shared" si="0"/>
        <v>0</v>
      </c>
      <c r="G8" s="148">
        <v>0</v>
      </c>
      <c r="H8" s="124"/>
      <c r="I8" s="124"/>
      <c r="J8" s="1"/>
      <c r="K8" s="14"/>
      <c r="L8" s="14"/>
      <c r="M8" s="1"/>
      <c r="N8" s="1">
        <v>17</v>
      </c>
      <c r="O8" s="1">
        <v>0</v>
      </c>
      <c r="P8" s="1">
        <v>0</v>
      </c>
      <c r="Q8" s="1">
        <v>0</v>
      </c>
      <c r="R8" s="20">
        <f t="shared" si="2"/>
        <v>0</v>
      </c>
      <c r="S8" s="1"/>
      <c r="T8" s="4"/>
    </row>
    <row r="9" spans="1:20" x14ac:dyDescent="0.25">
      <c r="A9" s="2">
        <v>43900</v>
      </c>
      <c r="B9" s="124">
        <v>2</v>
      </c>
      <c r="C9" s="148">
        <v>19</v>
      </c>
      <c r="D9" s="124">
        <v>0</v>
      </c>
      <c r="E9" s="126">
        <f t="shared" si="1"/>
        <v>1</v>
      </c>
      <c r="F9" s="126">
        <f t="shared" si="0"/>
        <v>0</v>
      </c>
      <c r="G9" s="148">
        <v>0</v>
      </c>
      <c r="H9" s="124"/>
      <c r="I9" s="124"/>
      <c r="J9" s="1"/>
      <c r="K9" s="14"/>
      <c r="L9" s="14"/>
      <c r="M9" s="1"/>
      <c r="N9" s="1">
        <v>19</v>
      </c>
      <c r="O9" s="1">
        <v>0</v>
      </c>
      <c r="P9" s="1">
        <v>0</v>
      </c>
      <c r="Q9" s="1">
        <v>0</v>
      </c>
      <c r="R9" s="20">
        <f t="shared" si="2"/>
        <v>0</v>
      </c>
      <c r="S9" s="1"/>
      <c r="T9" s="4"/>
    </row>
    <row r="10" spans="1:20" x14ac:dyDescent="0.25">
      <c r="A10" s="2">
        <v>43901</v>
      </c>
      <c r="B10" s="124">
        <v>2</v>
      </c>
      <c r="C10" s="148">
        <v>21</v>
      </c>
      <c r="D10" s="124">
        <v>0</v>
      </c>
      <c r="E10" s="126">
        <f t="shared" si="1"/>
        <v>1</v>
      </c>
      <c r="F10" s="126">
        <f t="shared" si="0"/>
        <v>0</v>
      </c>
      <c r="G10" s="148">
        <v>0</v>
      </c>
      <c r="H10" s="124"/>
      <c r="I10" s="124"/>
      <c r="J10" s="1"/>
      <c r="K10" s="14"/>
      <c r="L10" s="14"/>
      <c r="M10" s="1"/>
      <c r="N10" s="1">
        <v>21</v>
      </c>
      <c r="O10" s="1">
        <v>0</v>
      </c>
      <c r="P10" s="1">
        <v>0</v>
      </c>
      <c r="Q10" s="1">
        <v>0</v>
      </c>
      <c r="R10" s="20">
        <f t="shared" si="2"/>
        <v>0</v>
      </c>
      <c r="S10" s="1"/>
      <c r="T10" s="4"/>
    </row>
    <row r="11" spans="1:20" x14ac:dyDescent="0.25">
      <c r="A11" s="2">
        <v>43902</v>
      </c>
      <c r="B11" s="124">
        <v>10</v>
      </c>
      <c r="C11" s="148">
        <v>31</v>
      </c>
      <c r="D11" s="124">
        <v>0</v>
      </c>
      <c r="E11" s="126">
        <f t="shared" si="1"/>
        <v>1</v>
      </c>
      <c r="F11" s="126">
        <f t="shared" si="0"/>
        <v>0</v>
      </c>
      <c r="G11" s="148">
        <v>0</v>
      </c>
      <c r="H11" s="124"/>
      <c r="I11" s="124"/>
      <c r="J11" s="1"/>
      <c r="K11" s="14"/>
      <c r="L11" s="14"/>
      <c r="M11" s="1"/>
      <c r="N11" s="1">
        <v>28</v>
      </c>
      <c r="O11" s="1">
        <v>3</v>
      </c>
      <c r="P11" s="1">
        <v>0</v>
      </c>
      <c r="Q11" s="1">
        <v>0</v>
      </c>
      <c r="R11" s="20">
        <f t="shared" si="2"/>
        <v>0</v>
      </c>
      <c r="S11" s="1"/>
      <c r="T11" s="4"/>
    </row>
    <row r="12" spans="1:20" x14ac:dyDescent="0.25">
      <c r="A12" s="2">
        <v>43903</v>
      </c>
      <c r="B12" s="124">
        <v>3</v>
      </c>
      <c r="C12" s="148">
        <v>34</v>
      </c>
      <c r="D12" s="124">
        <v>1</v>
      </c>
      <c r="E12" s="126">
        <f t="shared" si="1"/>
        <v>2</v>
      </c>
      <c r="F12" s="126">
        <f t="shared" si="0"/>
        <v>0</v>
      </c>
      <c r="G12" s="148">
        <v>0</v>
      </c>
      <c r="H12" s="124"/>
      <c r="I12" s="124"/>
      <c r="J12" s="1"/>
      <c r="K12" s="14"/>
      <c r="L12" s="14"/>
      <c r="M12" s="1"/>
      <c r="N12" s="1">
        <v>30</v>
      </c>
      <c r="O12" s="1">
        <v>4</v>
      </c>
      <c r="P12" s="1">
        <v>0</v>
      </c>
      <c r="Q12" s="1">
        <v>0</v>
      </c>
      <c r="R12" s="20">
        <f t="shared" si="2"/>
        <v>0</v>
      </c>
      <c r="S12" s="1"/>
      <c r="T12" s="4"/>
    </row>
    <row r="13" spans="1:20" x14ac:dyDescent="0.25">
      <c r="A13" s="2">
        <v>43904</v>
      </c>
      <c r="B13" s="124">
        <v>11</v>
      </c>
      <c r="C13" s="148">
        <v>45</v>
      </c>
      <c r="D13" s="124">
        <v>0</v>
      </c>
      <c r="E13" s="126">
        <f t="shared" si="1"/>
        <v>2</v>
      </c>
      <c r="F13" s="126">
        <f t="shared" si="0"/>
        <v>0</v>
      </c>
      <c r="G13" s="148">
        <v>0</v>
      </c>
      <c r="H13" s="124"/>
      <c r="I13" s="124"/>
      <c r="J13" s="1"/>
      <c r="K13" s="14"/>
      <c r="L13" s="14"/>
      <c r="M13" s="1"/>
      <c r="N13" s="1">
        <v>40</v>
      </c>
      <c r="O13" s="1">
        <v>5</v>
      </c>
      <c r="P13" s="1">
        <v>0</v>
      </c>
      <c r="Q13" s="1">
        <v>0</v>
      </c>
      <c r="R13" s="20">
        <f t="shared" si="2"/>
        <v>0</v>
      </c>
      <c r="S13" s="1"/>
      <c r="T13" s="4"/>
    </row>
    <row r="14" spans="1:20" x14ac:dyDescent="0.25">
      <c r="A14" s="2">
        <v>43905</v>
      </c>
      <c r="B14" s="124">
        <v>11</v>
      </c>
      <c r="C14" s="148">
        <v>56</v>
      </c>
      <c r="D14" s="124">
        <v>0</v>
      </c>
      <c r="E14" s="126">
        <f t="shared" si="1"/>
        <v>2</v>
      </c>
      <c r="F14" s="126">
        <f t="shared" si="0"/>
        <v>0</v>
      </c>
      <c r="G14" s="148">
        <v>0</v>
      </c>
      <c r="H14" s="124"/>
      <c r="I14" s="124"/>
      <c r="J14" s="1"/>
      <c r="K14" s="14"/>
      <c r="L14" s="14"/>
      <c r="M14" s="1"/>
      <c r="N14" s="1">
        <v>48</v>
      </c>
      <c r="O14" s="1">
        <v>8</v>
      </c>
      <c r="P14" s="1">
        <v>0</v>
      </c>
      <c r="Q14" s="1">
        <v>0</v>
      </c>
      <c r="R14" s="20">
        <f t="shared" si="2"/>
        <v>0</v>
      </c>
      <c r="S14" s="35">
        <f t="shared" ref="S14:S77" si="3">H14/(C14-E14-G14)</f>
        <v>0</v>
      </c>
      <c r="T14" s="28">
        <f>E14/C14</f>
        <v>3.5714285714285712E-2</v>
      </c>
    </row>
    <row r="15" spans="1:20" x14ac:dyDescent="0.25">
      <c r="A15" s="2">
        <v>43906</v>
      </c>
      <c r="B15" s="124">
        <v>9</v>
      </c>
      <c r="C15" s="148">
        <v>65</v>
      </c>
      <c r="D15" s="124">
        <v>0</v>
      </c>
      <c r="E15" s="126">
        <f t="shared" si="1"/>
        <v>2</v>
      </c>
      <c r="F15" s="126">
        <f t="shared" si="0"/>
        <v>0</v>
      </c>
      <c r="G15" s="148">
        <v>0</v>
      </c>
      <c r="H15" s="124"/>
      <c r="I15" s="124"/>
      <c r="J15" s="1"/>
      <c r="K15" s="14"/>
      <c r="L15" s="14"/>
      <c r="M15" s="1">
        <v>464</v>
      </c>
      <c r="N15" s="1">
        <v>56</v>
      </c>
      <c r="O15" s="1">
        <v>9</v>
      </c>
      <c r="P15" s="1">
        <v>0</v>
      </c>
      <c r="Q15" s="1">
        <v>0</v>
      </c>
      <c r="R15" s="20">
        <f t="shared" si="2"/>
        <v>0</v>
      </c>
      <c r="S15" s="35">
        <f t="shared" si="3"/>
        <v>0</v>
      </c>
      <c r="T15" s="28">
        <f t="shared" ref="T15:T78" si="4">E15/C15</f>
        <v>3.0769230769230771E-2</v>
      </c>
    </row>
    <row r="16" spans="1:20" x14ac:dyDescent="0.25">
      <c r="A16" s="2">
        <v>43907</v>
      </c>
      <c r="B16" s="124">
        <v>13</v>
      </c>
      <c r="C16" s="148">
        <v>78</v>
      </c>
      <c r="D16" s="124">
        <v>0</v>
      </c>
      <c r="E16" s="126">
        <f t="shared" si="1"/>
        <v>2</v>
      </c>
      <c r="F16" s="126">
        <f t="shared" si="0"/>
        <v>0</v>
      </c>
      <c r="G16" s="148">
        <v>0</v>
      </c>
      <c r="H16" s="124"/>
      <c r="I16" s="124"/>
      <c r="J16" s="1"/>
      <c r="K16" s="14">
        <v>686</v>
      </c>
      <c r="L16" s="14">
        <v>496</v>
      </c>
      <c r="M16" s="1">
        <v>496</v>
      </c>
      <c r="N16" s="1">
        <v>67</v>
      </c>
      <c r="O16" s="1">
        <v>11</v>
      </c>
      <c r="P16" s="1">
        <v>0</v>
      </c>
      <c r="Q16" s="1">
        <v>0</v>
      </c>
      <c r="R16" s="20">
        <f t="shared" si="2"/>
        <v>0</v>
      </c>
      <c r="S16" s="35">
        <f t="shared" si="3"/>
        <v>0</v>
      </c>
      <c r="T16" s="28">
        <f t="shared" si="4"/>
        <v>2.564102564102564E-2</v>
      </c>
    </row>
    <row r="17" spans="1:20" x14ac:dyDescent="0.25">
      <c r="A17" s="2">
        <v>43908</v>
      </c>
      <c r="B17" s="124">
        <v>19</v>
      </c>
      <c r="C17" s="148">
        <v>97</v>
      </c>
      <c r="D17" s="124">
        <v>1</v>
      </c>
      <c r="E17" s="126">
        <f t="shared" si="1"/>
        <v>3</v>
      </c>
      <c r="F17" s="126">
        <f t="shared" si="0"/>
        <v>18</v>
      </c>
      <c r="G17" s="148">
        <v>18</v>
      </c>
      <c r="H17" s="124"/>
      <c r="I17" s="124"/>
      <c r="J17" s="1"/>
      <c r="K17" s="14"/>
      <c r="L17" s="14">
        <v>562</v>
      </c>
      <c r="M17" s="1">
        <v>562</v>
      </c>
      <c r="N17" s="1">
        <v>80</v>
      </c>
      <c r="O17" s="1">
        <v>16</v>
      </c>
      <c r="P17" s="1">
        <v>0</v>
      </c>
      <c r="Q17" s="12">
        <f t="shared" ref="Q17:Q80" si="5">C17-P17-O17-N17</f>
        <v>1</v>
      </c>
      <c r="R17" s="20">
        <f t="shared" si="2"/>
        <v>18</v>
      </c>
      <c r="S17" s="35">
        <f t="shared" si="3"/>
        <v>0</v>
      </c>
      <c r="T17" s="28">
        <f t="shared" si="4"/>
        <v>3.0927835051546393E-2</v>
      </c>
    </row>
    <row r="18" spans="1:20" x14ac:dyDescent="0.25">
      <c r="A18" s="2">
        <v>43909</v>
      </c>
      <c r="B18" s="124">
        <v>31</v>
      </c>
      <c r="C18" s="148">
        <v>128</v>
      </c>
      <c r="D18" s="124">
        <v>0</v>
      </c>
      <c r="E18" s="126">
        <f t="shared" si="1"/>
        <v>3</v>
      </c>
      <c r="F18" s="126">
        <f t="shared" si="0"/>
        <v>5</v>
      </c>
      <c r="G18" s="148">
        <v>23</v>
      </c>
      <c r="H18" s="124"/>
      <c r="I18" s="124"/>
      <c r="J18" s="1"/>
      <c r="K18" s="14"/>
      <c r="L18" s="14">
        <v>705</v>
      </c>
      <c r="M18" s="1">
        <v>705</v>
      </c>
      <c r="N18" s="1">
        <v>100</v>
      </c>
      <c r="O18" s="1">
        <v>22</v>
      </c>
      <c r="P18" s="1">
        <v>0</v>
      </c>
      <c r="Q18" s="12">
        <f t="shared" si="5"/>
        <v>6</v>
      </c>
      <c r="R18" s="20">
        <f t="shared" si="2"/>
        <v>5</v>
      </c>
      <c r="S18" s="35">
        <f t="shared" si="3"/>
        <v>0</v>
      </c>
      <c r="T18" s="28">
        <f t="shared" si="4"/>
        <v>2.34375E-2</v>
      </c>
    </row>
    <row r="19" spans="1:20" x14ac:dyDescent="0.25">
      <c r="A19" s="2">
        <v>43910</v>
      </c>
      <c r="B19" s="124">
        <v>30</v>
      </c>
      <c r="C19" s="148">
        <v>158</v>
      </c>
      <c r="D19" s="124">
        <v>0</v>
      </c>
      <c r="E19" s="126">
        <f t="shared" si="1"/>
        <v>3</v>
      </c>
      <c r="F19" s="126">
        <f t="shared" si="0"/>
        <v>4</v>
      </c>
      <c r="G19" s="148">
        <v>27</v>
      </c>
      <c r="H19" s="124"/>
      <c r="I19" s="124"/>
      <c r="J19" s="1"/>
      <c r="K19" s="14"/>
      <c r="L19" s="14">
        <v>872</v>
      </c>
      <c r="M19" s="1">
        <v>872</v>
      </c>
      <c r="N19" s="1">
        <v>122</v>
      </c>
      <c r="O19" s="1">
        <v>26</v>
      </c>
      <c r="P19" s="1">
        <v>0</v>
      </c>
      <c r="Q19" s="12">
        <f t="shared" si="5"/>
        <v>10</v>
      </c>
      <c r="R19" s="20">
        <f t="shared" si="2"/>
        <v>4</v>
      </c>
      <c r="S19" s="35">
        <f t="shared" si="3"/>
        <v>0</v>
      </c>
      <c r="T19" s="28">
        <f t="shared" si="4"/>
        <v>1.8987341772151899E-2</v>
      </c>
    </row>
    <row r="20" spans="1:20" x14ac:dyDescent="0.25">
      <c r="A20" s="2">
        <v>43911</v>
      </c>
      <c r="B20" s="124">
        <v>67</v>
      </c>
      <c r="C20" s="148">
        <v>225</v>
      </c>
      <c r="D20" s="124">
        <v>1</v>
      </c>
      <c r="E20" s="126">
        <f t="shared" si="1"/>
        <v>4</v>
      </c>
      <c r="F20" s="126">
        <f t="shared" si="0"/>
        <v>4</v>
      </c>
      <c r="G20" s="148">
        <v>31</v>
      </c>
      <c r="H20" s="124"/>
      <c r="I20" s="124"/>
      <c r="J20" s="1"/>
      <c r="K20" s="14"/>
      <c r="L20" s="14">
        <v>1028</v>
      </c>
      <c r="M20" s="1">
        <v>1028</v>
      </c>
      <c r="N20" s="1">
        <v>167</v>
      </c>
      <c r="O20" s="1">
        <v>38</v>
      </c>
      <c r="P20" s="1">
        <v>0</v>
      </c>
      <c r="Q20" s="12">
        <f t="shared" si="5"/>
        <v>20</v>
      </c>
      <c r="R20" s="20">
        <f t="shared" si="2"/>
        <v>4</v>
      </c>
      <c r="S20" s="35">
        <f t="shared" si="3"/>
        <v>0</v>
      </c>
      <c r="T20" s="28">
        <f t="shared" si="4"/>
        <v>1.7777777777777778E-2</v>
      </c>
    </row>
    <row r="21" spans="1:20" x14ac:dyDescent="0.25">
      <c r="A21" s="2">
        <v>43912</v>
      </c>
      <c r="B21" s="124">
        <v>41</v>
      </c>
      <c r="C21" s="148">
        <v>266</v>
      </c>
      <c r="D21" s="124">
        <v>0</v>
      </c>
      <c r="E21" s="126">
        <f t="shared" si="1"/>
        <v>4</v>
      </c>
      <c r="F21" s="126">
        <f t="shared" si="0"/>
        <v>20</v>
      </c>
      <c r="G21" s="148">
        <v>51</v>
      </c>
      <c r="H21" s="124"/>
      <c r="I21" s="124"/>
      <c r="J21" s="1"/>
      <c r="K21" s="14"/>
      <c r="L21" s="14">
        <v>1271</v>
      </c>
      <c r="M21" s="1">
        <v>1271</v>
      </c>
      <c r="N21" s="1">
        <v>189</v>
      </c>
      <c r="O21" s="1">
        <v>59</v>
      </c>
      <c r="P21" s="1">
        <v>1</v>
      </c>
      <c r="Q21" s="12">
        <f t="shared" si="5"/>
        <v>17</v>
      </c>
      <c r="R21" s="20">
        <f t="shared" si="2"/>
        <v>20</v>
      </c>
      <c r="S21" s="35">
        <f t="shared" si="3"/>
        <v>0</v>
      </c>
      <c r="T21" s="28">
        <f t="shared" si="4"/>
        <v>1.5037593984962405E-2</v>
      </c>
    </row>
    <row r="22" spans="1:20" x14ac:dyDescent="0.25">
      <c r="A22" s="2">
        <v>43913</v>
      </c>
      <c r="B22" s="125">
        <v>36</v>
      </c>
      <c r="C22" s="553">
        <v>301</v>
      </c>
      <c r="D22" s="125">
        <v>0</v>
      </c>
      <c r="E22" s="126">
        <f t="shared" si="1"/>
        <v>4</v>
      </c>
      <c r="F22" s="126">
        <f t="shared" si="0"/>
        <v>1</v>
      </c>
      <c r="G22" s="148">
        <v>52</v>
      </c>
      <c r="H22" s="124"/>
      <c r="I22" s="124"/>
      <c r="J22" s="1"/>
      <c r="K22" s="14"/>
      <c r="L22" s="14">
        <v>1453</v>
      </c>
      <c r="M22" s="1">
        <v>1453</v>
      </c>
      <c r="N22" s="1">
        <v>206</v>
      </c>
      <c r="O22" s="1">
        <v>64</v>
      </c>
      <c r="P22" s="1">
        <v>1</v>
      </c>
      <c r="Q22" s="12">
        <f t="shared" si="5"/>
        <v>30</v>
      </c>
      <c r="R22" s="20">
        <f t="shared" si="2"/>
        <v>1</v>
      </c>
      <c r="S22" s="35">
        <f t="shared" si="3"/>
        <v>0</v>
      </c>
      <c r="T22" s="28">
        <f t="shared" si="4"/>
        <v>1.3289036544850499E-2</v>
      </c>
    </row>
    <row r="23" spans="1:20" x14ac:dyDescent="0.25">
      <c r="A23" s="2">
        <v>43914</v>
      </c>
      <c r="B23" s="124">
        <v>86</v>
      </c>
      <c r="C23" s="148">
        <v>387</v>
      </c>
      <c r="D23" s="125">
        <v>2</v>
      </c>
      <c r="E23" s="126">
        <f t="shared" si="1"/>
        <v>6</v>
      </c>
      <c r="F23" s="126">
        <f t="shared" si="0"/>
        <v>11</v>
      </c>
      <c r="G23" s="148">
        <v>63</v>
      </c>
      <c r="H23" s="124"/>
      <c r="I23" s="124"/>
      <c r="J23" s="1"/>
      <c r="K23" s="14"/>
      <c r="L23" s="14">
        <v>1453</v>
      </c>
      <c r="M23" s="1">
        <v>1453</v>
      </c>
      <c r="N23" s="1">
        <v>247</v>
      </c>
      <c r="O23" s="1">
        <v>84</v>
      </c>
      <c r="P23" s="1">
        <v>1</v>
      </c>
      <c r="Q23" s="12">
        <f t="shared" si="5"/>
        <v>55</v>
      </c>
      <c r="R23" s="20">
        <f t="shared" si="2"/>
        <v>11</v>
      </c>
      <c r="S23" s="35">
        <f t="shared" si="3"/>
        <v>0</v>
      </c>
      <c r="T23" s="28">
        <f t="shared" si="4"/>
        <v>1.5503875968992248E-2</v>
      </c>
    </row>
    <row r="24" spans="1:20" x14ac:dyDescent="0.25">
      <c r="A24" s="2">
        <v>43915</v>
      </c>
      <c r="B24" s="124">
        <v>117</v>
      </c>
      <c r="C24" s="148">
        <v>503</v>
      </c>
      <c r="D24" s="124">
        <v>2</v>
      </c>
      <c r="E24" s="126">
        <f t="shared" si="1"/>
        <v>8</v>
      </c>
      <c r="F24" s="126">
        <f t="shared" si="0"/>
        <v>9</v>
      </c>
      <c r="G24" s="148">
        <v>72</v>
      </c>
      <c r="H24" s="124"/>
      <c r="I24" s="124"/>
      <c r="J24" s="1"/>
      <c r="K24" s="14"/>
      <c r="L24" s="14">
        <v>1946</v>
      </c>
      <c r="M24" s="1">
        <v>1946</v>
      </c>
      <c r="N24" s="1">
        <v>250</v>
      </c>
      <c r="O24" s="1">
        <v>102</v>
      </c>
      <c r="P24" s="1">
        <v>1</v>
      </c>
      <c r="Q24" s="12">
        <f t="shared" si="5"/>
        <v>150</v>
      </c>
      <c r="R24" s="20">
        <f t="shared" si="2"/>
        <v>9</v>
      </c>
      <c r="S24" s="35">
        <f t="shared" si="3"/>
        <v>0</v>
      </c>
      <c r="T24" s="28">
        <f t="shared" si="4"/>
        <v>1.5904572564612324E-2</v>
      </c>
    </row>
    <row r="25" spans="1:20" x14ac:dyDescent="0.25">
      <c r="A25" s="2">
        <v>43916</v>
      </c>
      <c r="B25" s="124">
        <v>87</v>
      </c>
      <c r="C25" s="148">
        <v>589</v>
      </c>
      <c r="D25" s="124">
        <v>4</v>
      </c>
      <c r="E25" s="126">
        <f t="shared" si="1"/>
        <v>12</v>
      </c>
      <c r="F25" s="126">
        <f t="shared" si="0"/>
        <v>3</v>
      </c>
      <c r="G25" s="148">
        <v>75</v>
      </c>
      <c r="H25" s="124">
        <v>25</v>
      </c>
      <c r="I25" s="124"/>
      <c r="J25" s="1"/>
      <c r="K25" s="14"/>
      <c r="L25" s="14">
        <v>2558</v>
      </c>
      <c r="M25" s="1">
        <v>2558</v>
      </c>
      <c r="N25" s="1">
        <v>287</v>
      </c>
      <c r="O25" s="1">
        <v>126</v>
      </c>
      <c r="P25" s="1">
        <v>1</v>
      </c>
      <c r="Q25" s="12">
        <f t="shared" si="5"/>
        <v>175</v>
      </c>
      <c r="R25" s="20">
        <f t="shared" si="2"/>
        <v>3</v>
      </c>
      <c r="S25" s="35">
        <f t="shared" si="3"/>
        <v>4.9800796812749001E-2</v>
      </c>
      <c r="T25" s="28">
        <f t="shared" si="4"/>
        <v>2.037351443123939E-2</v>
      </c>
    </row>
    <row r="26" spans="1:20" x14ac:dyDescent="0.25">
      <c r="A26" s="2">
        <v>43917</v>
      </c>
      <c r="B26" s="124">
        <v>101</v>
      </c>
      <c r="C26" s="148">
        <v>690</v>
      </c>
      <c r="D26" s="124">
        <v>5</v>
      </c>
      <c r="E26" s="126">
        <f t="shared" si="1"/>
        <v>17</v>
      </c>
      <c r="F26" s="126">
        <f t="shared" si="0"/>
        <v>5</v>
      </c>
      <c r="G26" s="148">
        <v>80</v>
      </c>
      <c r="H26" s="124"/>
      <c r="I26" s="124"/>
      <c r="J26" s="1"/>
      <c r="K26" s="14"/>
      <c r="L26" s="14">
        <v>2817</v>
      </c>
      <c r="M26" s="1">
        <v>2817</v>
      </c>
      <c r="N26" s="1">
        <v>387</v>
      </c>
      <c r="O26" s="1">
        <v>167</v>
      </c>
      <c r="P26" s="1">
        <v>1</v>
      </c>
      <c r="Q26" s="12">
        <f t="shared" si="5"/>
        <v>135</v>
      </c>
      <c r="R26" s="20">
        <f t="shared" si="2"/>
        <v>5</v>
      </c>
      <c r="S26" s="35">
        <f t="shared" si="3"/>
        <v>0</v>
      </c>
      <c r="T26" s="28">
        <f t="shared" si="4"/>
        <v>2.4637681159420291E-2</v>
      </c>
    </row>
    <row r="27" spans="1:20" x14ac:dyDescent="0.25">
      <c r="A27" s="2">
        <v>43918</v>
      </c>
      <c r="B27" s="124">
        <v>55</v>
      </c>
      <c r="C27" s="148">
        <v>745</v>
      </c>
      <c r="D27" s="124">
        <v>2</v>
      </c>
      <c r="E27" s="126">
        <f t="shared" si="1"/>
        <v>19</v>
      </c>
      <c r="F27" s="126">
        <f t="shared" si="0"/>
        <v>11</v>
      </c>
      <c r="G27" s="148">
        <v>91</v>
      </c>
      <c r="H27" s="124">
        <v>44</v>
      </c>
      <c r="I27" s="124"/>
      <c r="J27" s="1"/>
      <c r="K27" s="14"/>
      <c r="L27" s="14">
        <v>3215</v>
      </c>
      <c r="M27" s="1">
        <v>3215</v>
      </c>
      <c r="N27" s="1">
        <v>408</v>
      </c>
      <c r="O27" s="1">
        <v>185</v>
      </c>
      <c r="P27" s="1">
        <v>1</v>
      </c>
      <c r="Q27" s="12">
        <f t="shared" si="5"/>
        <v>151</v>
      </c>
      <c r="R27" s="20">
        <f t="shared" si="2"/>
        <v>11</v>
      </c>
      <c r="S27" s="35">
        <f t="shared" si="3"/>
        <v>6.9291338582677164E-2</v>
      </c>
      <c r="T27" s="28">
        <f t="shared" si="4"/>
        <v>2.5503355704697986E-2</v>
      </c>
    </row>
    <row r="28" spans="1:20" x14ac:dyDescent="0.25">
      <c r="A28" s="2">
        <v>43919</v>
      </c>
      <c r="B28" s="124">
        <v>75</v>
      </c>
      <c r="C28" s="148">
        <v>820</v>
      </c>
      <c r="D28" s="124">
        <v>1</v>
      </c>
      <c r="E28" s="126">
        <f t="shared" si="1"/>
        <v>20</v>
      </c>
      <c r="F28" s="126">
        <f t="shared" si="0"/>
        <v>137</v>
      </c>
      <c r="G28" s="148">
        <v>228</v>
      </c>
      <c r="H28" s="124">
        <v>53</v>
      </c>
      <c r="I28" s="124"/>
      <c r="J28" s="1"/>
      <c r="K28" s="14"/>
      <c r="L28" s="14">
        <v>3580</v>
      </c>
      <c r="M28" s="1">
        <v>3580</v>
      </c>
      <c r="N28" s="1">
        <v>442</v>
      </c>
      <c r="O28" s="1">
        <v>207</v>
      </c>
      <c r="P28" s="1">
        <v>1</v>
      </c>
      <c r="Q28" s="12">
        <f t="shared" si="5"/>
        <v>170</v>
      </c>
      <c r="R28" s="20">
        <f t="shared" si="2"/>
        <v>137</v>
      </c>
      <c r="S28" s="35">
        <f t="shared" si="3"/>
        <v>9.2657342657342656E-2</v>
      </c>
      <c r="T28" s="28">
        <f t="shared" si="4"/>
        <v>2.4390243902439025E-2</v>
      </c>
    </row>
    <row r="29" spans="1:20" x14ac:dyDescent="0.25">
      <c r="A29" s="2">
        <v>43920</v>
      </c>
      <c r="B29" s="124">
        <v>146</v>
      </c>
      <c r="C29" s="148">
        <v>966</v>
      </c>
      <c r="D29" s="124">
        <v>4</v>
      </c>
      <c r="E29" s="126">
        <f t="shared" si="1"/>
        <v>24</v>
      </c>
      <c r="F29" s="126">
        <f t="shared" si="0"/>
        <v>12</v>
      </c>
      <c r="G29" s="148">
        <v>240</v>
      </c>
      <c r="H29" s="124">
        <v>55</v>
      </c>
      <c r="I29" s="124"/>
      <c r="J29" s="1"/>
      <c r="K29" s="14"/>
      <c r="L29" s="14">
        <v>4065</v>
      </c>
      <c r="M29" s="1">
        <v>4065</v>
      </c>
      <c r="N29" s="1">
        <v>489</v>
      </c>
      <c r="O29" s="1">
        <v>207</v>
      </c>
      <c r="P29" s="1">
        <v>1</v>
      </c>
      <c r="Q29" s="12">
        <f t="shared" si="5"/>
        <v>269</v>
      </c>
      <c r="R29" s="20">
        <f t="shared" si="2"/>
        <v>12</v>
      </c>
      <c r="S29" s="35">
        <f t="shared" si="3"/>
        <v>7.8347578347578342E-2</v>
      </c>
      <c r="T29" s="28">
        <f t="shared" si="4"/>
        <v>2.4844720496894408E-2</v>
      </c>
    </row>
    <row r="30" spans="1:20" x14ac:dyDescent="0.25">
      <c r="A30" s="2">
        <v>43921</v>
      </c>
      <c r="B30" s="124">
        <v>88</v>
      </c>
      <c r="C30" s="148">
        <v>1054</v>
      </c>
      <c r="D30" s="124">
        <v>3</v>
      </c>
      <c r="E30" s="126">
        <f t="shared" si="1"/>
        <v>27</v>
      </c>
      <c r="F30" s="126">
        <f t="shared" si="0"/>
        <v>8</v>
      </c>
      <c r="G30" s="148">
        <v>248</v>
      </c>
      <c r="H30" s="124">
        <v>55</v>
      </c>
      <c r="I30" s="124"/>
      <c r="J30" s="1"/>
      <c r="K30" s="14"/>
      <c r="L30" s="14">
        <v>4597</v>
      </c>
      <c r="M30" s="1">
        <v>4597</v>
      </c>
      <c r="N30" s="1">
        <v>529</v>
      </c>
      <c r="O30" s="1">
        <v>295</v>
      </c>
      <c r="P30" s="1">
        <v>1</v>
      </c>
      <c r="Q30" s="12">
        <f t="shared" si="5"/>
        <v>229</v>
      </c>
      <c r="R30" s="20">
        <f t="shared" si="2"/>
        <v>8</v>
      </c>
      <c r="S30" s="35">
        <f t="shared" si="3"/>
        <v>7.0603337612323486E-2</v>
      </c>
      <c r="T30" s="28">
        <f t="shared" si="4"/>
        <v>2.5616698292220113E-2</v>
      </c>
    </row>
    <row r="31" spans="1:20" x14ac:dyDescent="0.25">
      <c r="A31" s="2">
        <v>43922</v>
      </c>
      <c r="B31" s="124">
        <v>79</v>
      </c>
      <c r="C31" s="148">
        <v>1133</v>
      </c>
      <c r="D31" s="124">
        <v>5</v>
      </c>
      <c r="E31" s="126">
        <f t="shared" si="1"/>
        <v>32</v>
      </c>
      <c r="F31" s="126">
        <f t="shared" si="0"/>
        <v>8</v>
      </c>
      <c r="G31" s="148">
        <v>256</v>
      </c>
      <c r="H31" s="124">
        <v>72</v>
      </c>
      <c r="I31" s="124"/>
      <c r="J31" s="1"/>
      <c r="K31" s="14"/>
      <c r="L31" s="14">
        <v>5144</v>
      </c>
      <c r="M31" s="1">
        <v>5144</v>
      </c>
      <c r="N31" s="1">
        <v>580</v>
      </c>
      <c r="O31" s="1">
        <v>349</v>
      </c>
      <c r="P31" s="1">
        <v>1</v>
      </c>
      <c r="Q31" s="12">
        <f t="shared" si="5"/>
        <v>203</v>
      </c>
      <c r="R31" s="20">
        <f t="shared" si="2"/>
        <v>8</v>
      </c>
      <c r="S31" s="35">
        <f t="shared" si="3"/>
        <v>8.5207100591715976E-2</v>
      </c>
      <c r="T31" s="28">
        <f t="shared" si="4"/>
        <v>2.8243601059135041E-2</v>
      </c>
    </row>
    <row r="32" spans="1:20" x14ac:dyDescent="0.25">
      <c r="A32" s="2">
        <v>43923</v>
      </c>
      <c r="B32" s="124">
        <v>132</v>
      </c>
      <c r="C32" s="148">
        <v>1265</v>
      </c>
      <c r="D32" s="124">
        <v>4</v>
      </c>
      <c r="E32" s="126">
        <f t="shared" si="1"/>
        <v>36</v>
      </c>
      <c r="F32" s="126">
        <f t="shared" si="0"/>
        <v>10</v>
      </c>
      <c r="G32" s="148">
        <v>266</v>
      </c>
      <c r="H32" s="124">
        <v>82</v>
      </c>
      <c r="I32" s="124"/>
      <c r="J32" s="1"/>
      <c r="K32" s="14"/>
      <c r="L32" s="14">
        <v>6120</v>
      </c>
      <c r="M32" s="1">
        <v>6120</v>
      </c>
      <c r="N32" s="1">
        <v>622</v>
      </c>
      <c r="O32" s="1">
        <v>397</v>
      </c>
      <c r="P32" s="1">
        <v>103</v>
      </c>
      <c r="Q32" s="12">
        <f t="shared" si="5"/>
        <v>143</v>
      </c>
      <c r="R32" s="20">
        <f t="shared" si="2"/>
        <v>10</v>
      </c>
      <c r="S32" s="35">
        <f t="shared" si="3"/>
        <v>8.5150571131879543E-2</v>
      </c>
      <c r="T32" s="28">
        <f t="shared" si="4"/>
        <v>2.8458498023715414E-2</v>
      </c>
    </row>
    <row r="33" spans="1:20" x14ac:dyDescent="0.25">
      <c r="A33" s="2">
        <v>43924</v>
      </c>
      <c r="B33" s="124">
        <v>88</v>
      </c>
      <c r="C33" s="148">
        <v>1353</v>
      </c>
      <c r="D33" s="124">
        <v>6</v>
      </c>
      <c r="E33" s="126">
        <f t="shared" si="1"/>
        <v>42</v>
      </c>
      <c r="F33" s="126">
        <f t="shared" si="0"/>
        <v>13</v>
      </c>
      <c r="G33" s="148">
        <v>279</v>
      </c>
      <c r="H33" s="124">
        <v>86</v>
      </c>
      <c r="I33" s="124"/>
      <c r="J33" s="1"/>
      <c r="K33" s="14"/>
      <c r="L33" s="14">
        <v>7135</v>
      </c>
      <c r="M33" s="1">
        <v>7135</v>
      </c>
      <c r="N33" s="1">
        <v>656</v>
      </c>
      <c r="O33" s="1">
        <v>460</v>
      </c>
      <c r="P33" s="1">
        <v>113</v>
      </c>
      <c r="Q33" s="12">
        <f t="shared" si="5"/>
        <v>124</v>
      </c>
      <c r="R33" s="20">
        <f t="shared" si="2"/>
        <v>13</v>
      </c>
      <c r="S33" s="35">
        <f t="shared" si="3"/>
        <v>8.3333333333333329E-2</v>
      </c>
      <c r="T33" s="28">
        <f t="shared" si="4"/>
        <v>3.1042128603104215E-2</v>
      </c>
    </row>
    <row r="34" spans="1:20" x14ac:dyDescent="0.25">
      <c r="A34" s="2">
        <v>43925</v>
      </c>
      <c r="B34" s="124">
        <v>98</v>
      </c>
      <c r="C34" s="148">
        <v>1451</v>
      </c>
      <c r="D34" s="124">
        <v>1</v>
      </c>
      <c r="E34" s="126">
        <f t="shared" si="1"/>
        <v>43</v>
      </c>
      <c r="F34" s="126">
        <f t="shared" si="0"/>
        <v>1</v>
      </c>
      <c r="G34" s="148">
        <v>280</v>
      </c>
      <c r="H34" s="124">
        <v>87</v>
      </c>
      <c r="I34" s="124"/>
      <c r="J34" s="1"/>
      <c r="K34" s="14">
        <v>394</v>
      </c>
      <c r="L34" s="14">
        <v>7494</v>
      </c>
      <c r="M34" s="1">
        <v>7888</v>
      </c>
      <c r="N34" s="1">
        <v>674</v>
      </c>
      <c r="O34" s="1">
        <v>490</v>
      </c>
      <c r="P34" s="1">
        <v>119</v>
      </c>
      <c r="Q34" s="12">
        <f t="shared" si="5"/>
        <v>168</v>
      </c>
      <c r="R34" s="20">
        <f t="shared" si="2"/>
        <v>1</v>
      </c>
      <c r="S34" s="35">
        <f t="shared" si="3"/>
        <v>7.7127659574468085E-2</v>
      </c>
      <c r="T34" s="28">
        <f t="shared" si="4"/>
        <v>2.9634734665747762E-2</v>
      </c>
    </row>
    <row r="35" spans="1:20" x14ac:dyDescent="0.25">
      <c r="A35" s="2">
        <v>43926</v>
      </c>
      <c r="B35" s="124">
        <v>103</v>
      </c>
      <c r="C35" s="148">
        <v>1554</v>
      </c>
      <c r="D35" s="124">
        <v>3</v>
      </c>
      <c r="E35" s="126">
        <f t="shared" si="1"/>
        <v>46</v>
      </c>
      <c r="F35" s="126">
        <f t="shared" si="0"/>
        <v>45</v>
      </c>
      <c r="G35" s="148">
        <v>325</v>
      </c>
      <c r="H35" s="124">
        <v>94</v>
      </c>
      <c r="I35" s="124"/>
      <c r="J35" s="1"/>
      <c r="K35" s="14">
        <v>383</v>
      </c>
      <c r="L35" s="14">
        <v>8125</v>
      </c>
      <c r="M35" s="1">
        <v>8508</v>
      </c>
      <c r="N35" s="1">
        <v>695</v>
      </c>
      <c r="O35" s="1">
        <v>536</v>
      </c>
      <c r="P35" s="1">
        <v>148</v>
      </c>
      <c r="Q35" s="12">
        <f t="shared" si="5"/>
        <v>175</v>
      </c>
      <c r="R35" s="20">
        <f t="shared" si="2"/>
        <v>45</v>
      </c>
      <c r="S35" s="35">
        <f t="shared" si="3"/>
        <v>7.945900253592561E-2</v>
      </c>
      <c r="T35" s="28">
        <f t="shared" si="4"/>
        <v>2.9601029601029602E-2</v>
      </c>
    </row>
    <row r="36" spans="1:20" x14ac:dyDescent="0.25">
      <c r="A36" s="2">
        <v>43927</v>
      </c>
      <c r="B36" s="124">
        <v>74</v>
      </c>
      <c r="C36" s="148">
        <v>1628</v>
      </c>
      <c r="D36" s="124">
        <v>7</v>
      </c>
      <c r="E36" s="126">
        <f t="shared" si="1"/>
        <v>53</v>
      </c>
      <c r="F36" s="126">
        <f t="shared" si="0"/>
        <v>13</v>
      </c>
      <c r="G36" s="148">
        <v>338</v>
      </c>
      <c r="H36" s="124">
        <v>96</v>
      </c>
      <c r="I36" s="124"/>
      <c r="J36" s="1"/>
      <c r="K36" s="14">
        <v>458</v>
      </c>
      <c r="L36" s="14">
        <v>8707</v>
      </c>
      <c r="M36" s="1">
        <v>9165</v>
      </c>
      <c r="N36" s="1">
        <v>718</v>
      </c>
      <c r="O36" s="1">
        <v>563</v>
      </c>
      <c r="P36" s="1">
        <v>175</v>
      </c>
      <c r="Q36" s="12">
        <f t="shared" si="5"/>
        <v>172</v>
      </c>
      <c r="R36" s="20">
        <f t="shared" si="2"/>
        <v>13</v>
      </c>
      <c r="S36" s="35">
        <f t="shared" si="3"/>
        <v>7.7607113985448672E-2</v>
      </c>
      <c r="T36" s="28">
        <f t="shared" si="4"/>
        <v>3.2555282555282554E-2</v>
      </c>
    </row>
    <row r="37" spans="1:20" x14ac:dyDescent="0.25">
      <c r="A37" s="2">
        <v>43928</v>
      </c>
      <c r="B37" s="124">
        <v>87</v>
      </c>
      <c r="C37" s="148">
        <v>1715</v>
      </c>
      <c r="D37" s="124">
        <v>7</v>
      </c>
      <c r="E37" s="126">
        <f t="shared" si="1"/>
        <v>60</v>
      </c>
      <c r="F37" s="126">
        <f t="shared" si="0"/>
        <v>20</v>
      </c>
      <c r="G37" s="148">
        <v>358</v>
      </c>
      <c r="H37" s="124">
        <v>98</v>
      </c>
      <c r="I37" s="124">
        <v>1552</v>
      </c>
      <c r="J37" s="1"/>
      <c r="K37" s="14">
        <v>418</v>
      </c>
      <c r="L37" s="14">
        <v>10020</v>
      </c>
      <c r="M37" s="1">
        <v>10438</v>
      </c>
      <c r="N37" s="1">
        <v>738</v>
      </c>
      <c r="O37" s="1">
        <v>588</v>
      </c>
      <c r="P37" s="1">
        <v>205</v>
      </c>
      <c r="Q37" s="12">
        <f t="shared" si="5"/>
        <v>184</v>
      </c>
      <c r="R37" s="20">
        <f t="shared" si="2"/>
        <v>20</v>
      </c>
      <c r="S37" s="35">
        <f t="shared" si="3"/>
        <v>7.5558982266769464E-2</v>
      </c>
      <c r="T37" s="28">
        <f t="shared" si="4"/>
        <v>3.4985422740524783E-2</v>
      </c>
    </row>
    <row r="38" spans="1:20" x14ac:dyDescent="0.25">
      <c r="A38" s="2">
        <v>43929</v>
      </c>
      <c r="B38" s="124">
        <v>80</v>
      </c>
      <c r="C38" s="148">
        <v>1795</v>
      </c>
      <c r="D38" s="124">
        <v>5</v>
      </c>
      <c r="E38" s="126">
        <f t="shared" si="1"/>
        <v>65</v>
      </c>
      <c r="F38" s="126">
        <f t="shared" si="0"/>
        <v>7</v>
      </c>
      <c r="G38" s="148">
        <v>365</v>
      </c>
      <c r="H38" s="124">
        <v>98</v>
      </c>
      <c r="I38" s="124">
        <v>1520</v>
      </c>
      <c r="J38" s="1"/>
      <c r="K38" s="14">
        <v>450</v>
      </c>
      <c r="L38" s="14">
        <v>11385</v>
      </c>
      <c r="M38" s="1">
        <v>11835</v>
      </c>
      <c r="N38" s="1">
        <v>767</v>
      </c>
      <c r="O38" s="1">
        <v>618</v>
      </c>
      <c r="P38" s="1">
        <v>224</v>
      </c>
      <c r="Q38" s="12">
        <f t="shared" si="5"/>
        <v>186</v>
      </c>
      <c r="R38" s="20">
        <f t="shared" si="2"/>
        <v>7</v>
      </c>
      <c r="S38" s="35">
        <f t="shared" si="3"/>
        <v>7.179487179487179E-2</v>
      </c>
      <c r="T38" s="28">
        <f t="shared" si="4"/>
        <v>3.6211699164345405E-2</v>
      </c>
    </row>
    <row r="39" spans="1:20" x14ac:dyDescent="0.25">
      <c r="A39" s="2">
        <v>43930</v>
      </c>
      <c r="B39" s="124">
        <v>99</v>
      </c>
      <c r="C39" s="148">
        <v>1894</v>
      </c>
      <c r="D39" s="124">
        <v>14</v>
      </c>
      <c r="E39" s="126">
        <f t="shared" si="1"/>
        <v>79</v>
      </c>
      <c r="F39" s="126">
        <f t="shared" si="0"/>
        <v>10</v>
      </c>
      <c r="G39" s="148">
        <v>375</v>
      </c>
      <c r="H39" s="124">
        <v>98</v>
      </c>
      <c r="I39" s="124">
        <v>1529</v>
      </c>
      <c r="J39" s="1">
        <v>16379</v>
      </c>
      <c r="K39" s="14"/>
      <c r="L39" s="14"/>
      <c r="M39" s="1">
        <v>12983</v>
      </c>
      <c r="N39" s="1">
        <v>785</v>
      </c>
      <c r="O39" s="1">
        <v>641</v>
      </c>
      <c r="P39" s="1">
        <v>261</v>
      </c>
      <c r="Q39" s="12">
        <f t="shared" si="5"/>
        <v>207</v>
      </c>
      <c r="R39" s="20">
        <f t="shared" si="2"/>
        <v>10</v>
      </c>
      <c r="S39" s="35">
        <f t="shared" si="3"/>
        <v>6.805555555555555E-2</v>
      </c>
      <c r="T39" s="28">
        <f t="shared" si="4"/>
        <v>4.171066525871172E-2</v>
      </c>
    </row>
    <row r="40" spans="1:20" x14ac:dyDescent="0.25">
      <c r="A40" s="2">
        <v>43931</v>
      </c>
      <c r="B40" s="124">
        <v>81</v>
      </c>
      <c r="C40" s="148">
        <v>1975</v>
      </c>
      <c r="D40" s="124">
        <v>3</v>
      </c>
      <c r="E40" s="126">
        <f t="shared" si="1"/>
        <v>82</v>
      </c>
      <c r="F40" s="126">
        <f t="shared" si="0"/>
        <v>65</v>
      </c>
      <c r="G40" s="148">
        <v>440</v>
      </c>
      <c r="H40" s="124">
        <v>115</v>
      </c>
      <c r="I40" s="124">
        <v>1648</v>
      </c>
      <c r="J40" s="1">
        <v>18027</v>
      </c>
      <c r="K40" s="14">
        <v>566</v>
      </c>
      <c r="L40" s="14">
        <v>13584</v>
      </c>
      <c r="M40" s="1">
        <v>14150</v>
      </c>
      <c r="N40" s="1">
        <v>790</v>
      </c>
      <c r="O40" s="1">
        <v>672</v>
      </c>
      <c r="P40" s="1">
        <v>290</v>
      </c>
      <c r="Q40" s="12">
        <f t="shared" si="5"/>
        <v>223</v>
      </c>
      <c r="R40" s="20">
        <f t="shared" si="2"/>
        <v>65</v>
      </c>
      <c r="S40" s="35">
        <f t="shared" si="3"/>
        <v>7.9146593255333797E-2</v>
      </c>
      <c r="T40" s="28">
        <f t="shared" si="4"/>
        <v>4.1518987341772152E-2</v>
      </c>
    </row>
    <row r="41" spans="1:20" x14ac:dyDescent="0.25">
      <c r="A41" s="2">
        <v>43932</v>
      </c>
      <c r="B41" s="124">
        <v>167</v>
      </c>
      <c r="C41" s="148">
        <v>2142</v>
      </c>
      <c r="D41" s="124">
        <v>7</v>
      </c>
      <c r="E41" s="126">
        <f t="shared" si="1"/>
        <v>89</v>
      </c>
      <c r="F41" s="126">
        <f t="shared" si="0"/>
        <v>28</v>
      </c>
      <c r="G41" s="148">
        <v>468</v>
      </c>
      <c r="H41" s="124">
        <v>83</v>
      </c>
      <c r="I41" s="124">
        <v>1731</v>
      </c>
      <c r="J41" s="1">
        <v>19758</v>
      </c>
      <c r="K41" s="14">
        <v>464</v>
      </c>
      <c r="L41" s="14">
        <v>15016</v>
      </c>
      <c r="M41" s="1">
        <v>15480</v>
      </c>
      <c r="N41" s="1">
        <v>816</v>
      </c>
      <c r="O41" s="1">
        <v>712</v>
      </c>
      <c r="P41" s="1">
        <v>304</v>
      </c>
      <c r="Q41" s="12">
        <f t="shared" si="5"/>
        <v>310</v>
      </c>
      <c r="R41" s="20">
        <f t="shared" si="2"/>
        <v>28</v>
      </c>
      <c r="S41" s="35">
        <f t="shared" si="3"/>
        <v>5.2365930599369087E-2</v>
      </c>
      <c r="T41" s="28">
        <f t="shared" si="4"/>
        <v>4.1549953314659195E-2</v>
      </c>
    </row>
    <row r="42" spans="1:20" x14ac:dyDescent="0.25">
      <c r="A42" s="2">
        <v>43933</v>
      </c>
      <c r="B42" s="124">
        <v>66</v>
      </c>
      <c r="C42" s="148">
        <v>2208</v>
      </c>
      <c r="D42" s="124">
        <v>6</v>
      </c>
      <c r="E42" s="126">
        <f t="shared" si="1"/>
        <v>95</v>
      </c>
      <c r="F42" s="126">
        <f t="shared" si="0"/>
        <v>47</v>
      </c>
      <c r="G42" s="148">
        <v>515</v>
      </c>
      <c r="H42" s="124">
        <v>113</v>
      </c>
      <c r="I42" s="124">
        <v>1435</v>
      </c>
      <c r="J42" s="1">
        <v>21193</v>
      </c>
      <c r="K42" s="14">
        <v>477</v>
      </c>
      <c r="L42" s="14">
        <v>15939</v>
      </c>
      <c r="M42" s="1">
        <v>16416</v>
      </c>
      <c r="N42" s="1">
        <v>821</v>
      </c>
      <c r="O42" s="1">
        <v>766</v>
      </c>
      <c r="P42" s="1">
        <v>318</v>
      </c>
      <c r="Q42" s="12">
        <f t="shared" si="5"/>
        <v>303</v>
      </c>
      <c r="R42" s="20">
        <f t="shared" si="2"/>
        <v>47</v>
      </c>
      <c r="S42" s="35">
        <f t="shared" si="3"/>
        <v>7.07133917396746E-2</v>
      </c>
      <c r="T42" s="28">
        <f t="shared" si="4"/>
        <v>4.3025362318840576E-2</v>
      </c>
    </row>
    <row r="43" spans="1:20" x14ac:dyDescent="0.25">
      <c r="A43" s="2">
        <v>43934</v>
      </c>
      <c r="B43" s="124">
        <v>69</v>
      </c>
      <c r="C43" s="148">
        <v>2277</v>
      </c>
      <c r="D43" s="124">
        <v>3</v>
      </c>
      <c r="E43" s="126">
        <f t="shared" si="1"/>
        <v>98</v>
      </c>
      <c r="F43" s="126">
        <f t="shared" si="0"/>
        <v>44</v>
      </c>
      <c r="G43" s="148">
        <v>559</v>
      </c>
      <c r="H43" s="124">
        <v>116</v>
      </c>
      <c r="I43" s="124">
        <v>1612</v>
      </c>
      <c r="J43" s="1">
        <v>22805</v>
      </c>
      <c r="K43" s="14">
        <v>479</v>
      </c>
      <c r="L43" s="14">
        <v>17245</v>
      </c>
      <c r="M43" s="1">
        <v>17724</v>
      </c>
      <c r="N43" s="1">
        <v>830</v>
      </c>
      <c r="O43" s="1">
        <v>790</v>
      </c>
      <c r="P43" s="1">
        <v>354</v>
      </c>
      <c r="Q43" s="12">
        <f t="shared" si="5"/>
        <v>303</v>
      </c>
      <c r="R43" s="20">
        <f t="shared" si="2"/>
        <v>44</v>
      </c>
      <c r="S43" s="35">
        <f t="shared" si="3"/>
        <v>7.160493827160494E-2</v>
      </c>
      <c r="T43" s="28">
        <f t="shared" si="4"/>
        <v>4.3039086517347384E-2</v>
      </c>
    </row>
    <row r="44" spans="1:20" x14ac:dyDescent="0.25">
      <c r="A44" s="2">
        <v>43935</v>
      </c>
      <c r="B44" s="124">
        <v>166</v>
      </c>
      <c r="C44" s="148">
        <v>2443</v>
      </c>
      <c r="D44" s="124">
        <v>7</v>
      </c>
      <c r="E44" s="126">
        <f t="shared" si="1"/>
        <v>105</v>
      </c>
      <c r="F44" s="126">
        <f t="shared" si="0"/>
        <v>37</v>
      </c>
      <c r="G44" s="148">
        <v>596</v>
      </c>
      <c r="H44" s="124">
        <v>117</v>
      </c>
      <c r="I44" s="124">
        <v>1569</v>
      </c>
      <c r="J44" s="1">
        <v>24374</v>
      </c>
      <c r="K44" s="14">
        <v>486</v>
      </c>
      <c r="L44" s="14">
        <v>18415</v>
      </c>
      <c r="M44" s="1">
        <v>18901</v>
      </c>
      <c r="N44" s="1">
        <v>833</v>
      </c>
      <c r="O44" s="1">
        <v>857</v>
      </c>
      <c r="P44" s="1">
        <v>393</v>
      </c>
      <c r="Q44" s="12">
        <f t="shared" si="5"/>
        <v>360</v>
      </c>
      <c r="R44" s="20">
        <f t="shared" si="2"/>
        <v>37</v>
      </c>
      <c r="S44" s="35">
        <f t="shared" si="3"/>
        <v>6.7164179104477612E-2</v>
      </c>
      <c r="T44" s="28">
        <f t="shared" si="4"/>
        <v>4.2979942693409739E-2</v>
      </c>
    </row>
    <row r="45" spans="1:20" x14ac:dyDescent="0.25">
      <c r="A45" s="2">
        <v>43936</v>
      </c>
      <c r="B45" s="124">
        <v>128</v>
      </c>
      <c r="C45" s="148">
        <v>2571</v>
      </c>
      <c r="D45" s="124">
        <v>7</v>
      </c>
      <c r="E45" s="126">
        <f t="shared" si="1"/>
        <v>112</v>
      </c>
      <c r="F45" s="126">
        <f t="shared" si="0"/>
        <v>35</v>
      </c>
      <c r="G45" s="148">
        <v>631</v>
      </c>
      <c r="H45" s="124">
        <v>121</v>
      </c>
      <c r="I45" s="124">
        <v>2083</v>
      </c>
      <c r="J45" s="1">
        <v>26457</v>
      </c>
      <c r="K45" s="14">
        <v>497</v>
      </c>
      <c r="L45" s="14">
        <v>20148</v>
      </c>
      <c r="M45" s="1">
        <v>20645</v>
      </c>
      <c r="N45" s="1">
        <v>840</v>
      </c>
      <c r="O45" s="1">
        <v>903</v>
      </c>
      <c r="P45" s="1">
        <v>425</v>
      </c>
      <c r="Q45" s="12">
        <f t="shared" si="5"/>
        <v>403</v>
      </c>
      <c r="R45" s="20">
        <f t="shared" si="2"/>
        <v>35</v>
      </c>
      <c r="S45" s="35">
        <f t="shared" si="3"/>
        <v>6.6192560175054704E-2</v>
      </c>
      <c r="T45" s="28">
        <f t="shared" si="4"/>
        <v>4.3562816024893036E-2</v>
      </c>
    </row>
    <row r="46" spans="1:20" x14ac:dyDescent="0.25">
      <c r="A46" s="2">
        <v>43937</v>
      </c>
      <c r="B46" s="124">
        <v>98</v>
      </c>
      <c r="C46" s="148">
        <v>2669</v>
      </c>
      <c r="D46" s="124">
        <v>10</v>
      </c>
      <c r="E46" s="126">
        <f t="shared" si="1"/>
        <v>122</v>
      </c>
      <c r="F46" s="126">
        <f t="shared" si="0"/>
        <v>35</v>
      </c>
      <c r="G46" s="148">
        <v>666</v>
      </c>
      <c r="H46" s="124">
        <v>126</v>
      </c>
      <c r="I46" s="124">
        <v>2193</v>
      </c>
      <c r="J46" s="1">
        <v>28650</v>
      </c>
      <c r="K46" s="14">
        <v>508</v>
      </c>
      <c r="L46" s="14">
        <v>21802</v>
      </c>
      <c r="M46" s="1">
        <v>22310</v>
      </c>
      <c r="N46" s="1">
        <v>845</v>
      </c>
      <c r="O46" s="1">
        <v>951</v>
      </c>
      <c r="P46" s="1">
        <v>448</v>
      </c>
      <c r="Q46" s="12">
        <f t="shared" si="5"/>
        <v>425</v>
      </c>
      <c r="R46" s="20">
        <f t="shared" si="2"/>
        <v>35</v>
      </c>
      <c r="S46" s="35">
        <f t="shared" si="3"/>
        <v>6.6985645933014357E-2</v>
      </c>
      <c r="T46" s="28">
        <f t="shared" si="4"/>
        <v>4.5710003746721621E-2</v>
      </c>
    </row>
    <row r="47" spans="1:20" x14ac:dyDescent="0.25">
      <c r="A47" s="2">
        <v>43938</v>
      </c>
      <c r="B47" s="124">
        <v>89</v>
      </c>
      <c r="C47" s="148">
        <v>2758</v>
      </c>
      <c r="D47" s="124">
        <v>7</v>
      </c>
      <c r="E47" s="126">
        <f t="shared" si="1"/>
        <v>129</v>
      </c>
      <c r="F47" s="126">
        <f t="shared" si="0"/>
        <v>19</v>
      </c>
      <c r="G47" s="148">
        <v>685</v>
      </c>
      <c r="H47" s="124">
        <v>127</v>
      </c>
      <c r="I47" s="124">
        <v>2292</v>
      </c>
      <c r="J47" s="1">
        <v>30942</v>
      </c>
      <c r="K47" s="14">
        <v>505</v>
      </c>
      <c r="L47" s="14">
        <v>23291</v>
      </c>
      <c r="M47" s="1">
        <v>23796</v>
      </c>
      <c r="N47" s="1">
        <v>851</v>
      </c>
      <c r="O47" s="1">
        <v>997</v>
      </c>
      <c r="P47" s="1">
        <v>474</v>
      </c>
      <c r="Q47" s="12">
        <f t="shared" si="5"/>
        <v>436</v>
      </c>
      <c r="R47" s="20">
        <f t="shared" si="2"/>
        <v>19</v>
      </c>
      <c r="S47" s="35">
        <f t="shared" si="3"/>
        <v>6.5329218106995879E-2</v>
      </c>
      <c r="T47" s="28">
        <f t="shared" si="4"/>
        <v>4.6773023930384336E-2</v>
      </c>
    </row>
    <row r="48" spans="1:20" x14ac:dyDescent="0.25">
      <c r="A48" s="2">
        <v>43939</v>
      </c>
      <c r="B48" s="124">
        <v>81</v>
      </c>
      <c r="C48" s="148">
        <v>2839</v>
      </c>
      <c r="D48" s="124">
        <v>3</v>
      </c>
      <c r="E48" s="126">
        <f t="shared" si="1"/>
        <v>132</v>
      </c>
      <c r="F48" s="126">
        <f t="shared" si="0"/>
        <v>24</v>
      </c>
      <c r="G48" s="148">
        <v>709</v>
      </c>
      <c r="H48" s="124">
        <v>123</v>
      </c>
      <c r="I48" s="124">
        <v>1770</v>
      </c>
      <c r="J48" s="1">
        <v>32712</v>
      </c>
      <c r="K48" s="14">
        <v>503</v>
      </c>
      <c r="L48" s="14">
        <v>24756</v>
      </c>
      <c r="M48" s="1">
        <v>25259</v>
      </c>
      <c r="N48" s="1">
        <v>856</v>
      </c>
      <c r="O48" s="1">
        <v>1184</v>
      </c>
      <c r="P48" s="1">
        <v>496</v>
      </c>
      <c r="Q48" s="12">
        <f t="shared" si="5"/>
        <v>303</v>
      </c>
      <c r="R48" s="20">
        <f t="shared" si="2"/>
        <v>24</v>
      </c>
      <c r="S48" s="35">
        <f t="shared" si="3"/>
        <v>6.1561561561561562E-2</v>
      </c>
      <c r="T48" s="28">
        <f t="shared" si="4"/>
        <v>4.6495244804508631E-2</v>
      </c>
    </row>
    <row r="49" spans="1:21" x14ac:dyDescent="0.25">
      <c r="A49" s="2">
        <v>43940</v>
      </c>
      <c r="B49" s="124">
        <v>102</v>
      </c>
      <c r="C49" s="148">
        <v>2941</v>
      </c>
      <c r="D49" s="124">
        <v>2</v>
      </c>
      <c r="E49" s="126">
        <f t="shared" si="1"/>
        <v>134</v>
      </c>
      <c r="F49" s="126">
        <f t="shared" si="0"/>
        <v>28</v>
      </c>
      <c r="G49" s="148">
        <v>737</v>
      </c>
      <c r="H49" s="124">
        <v>126</v>
      </c>
      <c r="I49" s="124">
        <v>1856</v>
      </c>
      <c r="J49" s="1">
        <v>34568</v>
      </c>
      <c r="K49" s="14">
        <v>536</v>
      </c>
      <c r="L49" s="14">
        <v>26122</v>
      </c>
      <c r="M49" s="1">
        <v>26658</v>
      </c>
      <c r="N49" s="1">
        <v>858</v>
      </c>
      <c r="O49" s="1">
        <v>1235</v>
      </c>
      <c r="P49" s="1">
        <v>538</v>
      </c>
      <c r="Q49" s="12">
        <f t="shared" si="5"/>
        <v>310</v>
      </c>
      <c r="R49" s="20">
        <f t="shared" si="2"/>
        <v>28</v>
      </c>
      <c r="S49" s="35">
        <f t="shared" si="3"/>
        <v>6.0869565217391307E-2</v>
      </c>
      <c r="T49" s="28">
        <f t="shared" si="4"/>
        <v>4.5562733764025844E-2</v>
      </c>
    </row>
    <row r="50" spans="1:21" x14ac:dyDescent="0.25">
      <c r="A50" s="2">
        <v>43941</v>
      </c>
      <c r="B50" s="124">
        <v>90</v>
      </c>
      <c r="C50" s="148">
        <v>3031</v>
      </c>
      <c r="D50" s="124">
        <v>8</v>
      </c>
      <c r="E50" s="126">
        <f t="shared" si="1"/>
        <v>142</v>
      </c>
      <c r="F50" s="126">
        <f t="shared" si="0"/>
        <v>103</v>
      </c>
      <c r="G50" s="148">
        <v>840</v>
      </c>
      <c r="H50" s="124">
        <v>129</v>
      </c>
      <c r="I50" s="124">
        <v>2043</v>
      </c>
      <c r="J50" s="1">
        <v>36611</v>
      </c>
      <c r="K50" s="14">
        <v>566</v>
      </c>
      <c r="L50" s="14">
        <v>27732</v>
      </c>
      <c r="M50" s="1">
        <v>28298</v>
      </c>
      <c r="N50" s="1">
        <v>863</v>
      </c>
      <c r="O50" s="1">
        <v>1293</v>
      </c>
      <c r="P50" s="1">
        <v>576</v>
      </c>
      <c r="Q50" s="12">
        <f t="shared" si="5"/>
        <v>299</v>
      </c>
      <c r="R50" s="20">
        <f t="shared" si="2"/>
        <v>103</v>
      </c>
      <c r="S50" s="35">
        <f t="shared" si="3"/>
        <v>6.2957540263543194E-2</v>
      </c>
      <c r="T50" s="28">
        <f t="shared" si="4"/>
        <v>4.6849224678323982E-2</v>
      </c>
    </row>
    <row r="51" spans="1:21" x14ac:dyDescent="0.25">
      <c r="A51" s="2">
        <v>43942</v>
      </c>
      <c r="B51" s="124">
        <v>113</v>
      </c>
      <c r="C51" s="148">
        <v>3144</v>
      </c>
      <c r="D51" s="124">
        <v>9</v>
      </c>
      <c r="E51" s="126">
        <f t="shared" si="1"/>
        <v>151</v>
      </c>
      <c r="F51" s="126">
        <f t="shared" si="0"/>
        <v>32</v>
      </c>
      <c r="G51" s="148">
        <v>872</v>
      </c>
      <c r="H51" s="124">
        <v>131</v>
      </c>
      <c r="I51" s="124">
        <v>2617</v>
      </c>
      <c r="J51" s="1">
        <v>39228</v>
      </c>
      <c r="K51" s="14">
        <v>533</v>
      </c>
      <c r="L51" s="14">
        <v>29829</v>
      </c>
      <c r="M51" s="1">
        <v>30362</v>
      </c>
      <c r="N51" s="1">
        <v>866</v>
      </c>
      <c r="O51" s="1">
        <v>1346</v>
      </c>
      <c r="P51" s="1">
        <v>618</v>
      </c>
      <c r="Q51" s="12">
        <f t="shared" si="5"/>
        <v>314</v>
      </c>
      <c r="R51" s="20">
        <f t="shared" si="2"/>
        <v>32</v>
      </c>
      <c r="S51" s="35">
        <f t="shared" si="3"/>
        <v>6.1763319189061763E-2</v>
      </c>
      <c r="T51" s="28">
        <f t="shared" si="4"/>
        <v>4.8027989821882951E-2</v>
      </c>
    </row>
    <row r="52" spans="1:21" x14ac:dyDescent="0.25">
      <c r="A52" s="2">
        <v>43943</v>
      </c>
      <c r="B52" s="124">
        <v>144</v>
      </c>
      <c r="C52" s="148">
        <v>3288</v>
      </c>
      <c r="D52" s="124">
        <v>8</v>
      </c>
      <c r="E52" s="126">
        <f t="shared" si="1"/>
        <v>159</v>
      </c>
      <c r="F52" s="126">
        <f t="shared" si="0"/>
        <v>47</v>
      </c>
      <c r="G52" s="148">
        <v>919</v>
      </c>
      <c r="H52" s="124">
        <v>136</v>
      </c>
      <c r="I52" s="124">
        <v>2558</v>
      </c>
      <c r="J52" s="1">
        <v>41786</v>
      </c>
      <c r="K52" s="14">
        <v>569</v>
      </c>
      <c r="L52" s="14">
        <v>31845</v>
      </c>
      <c r="M52" s="1">
        <v>32414</v>
      </c>
      <c r="N52" s="1">
        <v>870</v>
      </c>
      <c r="O52" s="1">
        <v>1408</v>
      </c>
      <c r="P52" s="1">
        <v>669</v>
      </c>
      <c r="Q52" s="12">
        <f t="shared" si="5"/>
        <v>341</v>
      </c>
      <c r="R52" s="20">
        <f t="shared" si="2"/>
        <v>47</v>
      </c>
      <c r="S52" s="35">
        <f t="shared" si="3"/>
        <v>6.1538461538461542E-2</v>
      </c>
      <c r="T52" s="28">
        <f t="shared" si="4"/>
        <v>4.8357664233576646E-2</v>
      </c>
    </row>
    <row r="53" spans="1:21" x14ac:dyDescent="0.25">
      <c r="A53" s="2">
        <v>43944</v>
      </c>
      <c r="B53" s="124">
        <v>147</v>
      </c>
      <c r="C53" s="148">
        <v>3435</v>
      </c>
      <c r="D53" s="124">
        <v>6</v>
      </c>
      <c r="E53" s="126">
        <f t="shared" si="1"/>
        <v>165</v>
      </c>
      <c r="F53" s="126">
        <f t="shared" si="0"/>
        <v>57</v>
      </c>
      <c r="G53" s="148">
        <v>976</v>
      </c>
      <c r="H53" s="124">
        <v>141</v>
      </c>
      <c r="I53" s="124">
        <v>2868</v>
      </c>
      <c r="J53" s="1">
        <v>44654</v>
      </c>
      <c r="K53" s="14">
        <v>557</v>
      </c>
      <c r="L53" s="14">
        <v>33874</v>
      </c>
      <c r="M53" s="1">
        <v>34431</v>
      </c>
      <c r="N53" s="1">
        <v>875</v>
      </c>
      <c r="O53" s="1">
        <v>1490</v>
      </c>
      <c r="P53" s="1">
        <v>722</v>
      </c>
      <c r="Q53" s="12">
        <f t="shared" si="5"/>
        <v>348</v>
      </c>
      <c r="R53" s="20">
        <f t="shared" si="2"/>
        <v>57</v>
      </c>
      <c r="S53" s="35">
        <f t="shared" si="3"/>
        <v>6.1464690496948561E-2</v>
      </c>
      <c r="T53" s="28">
        <f t="shared" si="4"/>
        <v>4.8034934497816595E-2</v>
      </c>
    </row>
    <row r="54" spans="1:21" x14ac:dyDescent="0.25">
      <c r="A54" s="2">
        <v>43945</v>
      </c>
      <c r="B54" s="124">
        <v>172</v>
      </c>
      <c r="C54" s="148">
        <v>3607</v>
      </c>
      <c r="D54" s="124">
        <v>11</v>
      </c>
      <c r="E54" s="126">
        <f t="shared" si="1"/>
        <v>176</v>
      </c>
      <c r="F54" s="126">
        <f t="shared" si="0"/>
        <v>54</v>
      </c>
      <c r="G54" s="148">
        <v>1030</v>
      </c>
      <c r="H54" s="124">
        <v>144</v>
      </c>
      <c r="I54" s="124">
        <v>2752</v>
      </c>
      <c r="J54" s="1">
        <v>47406</v>
      </c>
      <c r="K54" s="14">
        <v>543</v>
      </c>
      <c r="L54" s="14">
        <v>36067</v>
      </c>
      <c r="M54" s="1">
        <v>36610</v>
      </c>
      <c r="N54" s="1">
        <v>887</v>
      </c>
      <c r="O54" s="1">
        <v>1562</v>
      </c>
      <c r="P54" s="1">
        <v>755</v>
      </c>
      <c r="Q54" s="12">
        <f t="shared" si="5"/>
        <v>403</v>
      </c>
      <c r="R54" s="20">
        <f t="shared" si="2"/>
        <v>54</v>
      </c>
      <c r="S54" s="35">
        <f t="shared" si="3"/>
        <v>5.9975010412328195E-2</v>
      </c>
      <c r="T54" s="28">
        <f t="shared" si="4"/>
        <v>4.8794011644025505E-2</v>
      </c>
      <c r="U54" s="68"/>
    </row>
    <row r="55" spans="1:21" x14ac:dyDescent="0.25">
      <c r="A55" s="2">
        <v>43946</v>
      </c>
      <c r="B55" s="124">
        <v>173</v>
      </c>
      <c r="C55" s="148">
        <v>3780</v>
      </c>
      <c r="D55" s="124">
        <v>9</v>
      </c>
      <c r="E55" s="126">
        <f t="shared" si="1"/>
        <v>185</v>
      </c>
      <c r="F55" s="126">
        <f t="shared" si="0"/>
        <v>77</v>
      </c>
      <c r="G55" s="148">
        <v>1107</v>
      </c>
      <c r="H55" s="124">
        <v>139</v>
      </c>
      <c r="I55" s="124">
        <v>2499</v>
      </c>
      <c r="J55" s="1">
        <v>49905</v>
      </c>
      <c r="K55" s="14">
        <v>561</v>
      </c>
      <c r="L55" s="14">
        <v>37654</v>
      </c>
      <c r="M55" s="1">
        <v>38215</v>
      </c>
      <c r="N55" s="1">
        <v>888</v>
      </c>
      <c r="O55" s="1">
        <v>1641</v>
      </c>
      <c r="P55" s="1">
        <v>797</v>
      </c>
      <c r="Q55" s="12">
        <f t="shared" si="5"/>
        <v>454</v>
      </c>
      <c r="R55" s="20">
        <f t="shared" si="2"/>
        <v>77</v>
      </c>
      <c r="S55" s="35">
        <f t="shared" si="3"/>
        <v>5.5868167202572344E-2</v>
      </c>
      <c r="T55" s="28">
        <f t="shared" si="4"/>
        <v>4.8941798941798939E-2</v>
      </c>
      <c r="U55" s="68"/>
    </row>
    <row r="56" spans="1:21" x14ac:dyDescent="0.25">
      <c r="A56" s="2">
        <v>43947</v>
      </c>
      <c r="B56" s="124">
        <v>112</v>
      </c>
      <c r="C56" s="148">
        <v>3892</v>
      </c>
      <c r="D56" s="124">
        <v>7</v>
      </c>
      <c r="E56" s="126">
        <f t="shared" si="1"/>
        <v>192</v>
      </c>
      <c r="F56" s="126">
        <f t="shared" si="0"/>
        <v>33</v>
      </c>
      <c r="G56" s="148">
        <v>1140</v>
      </c>
      <c r="H56" s="124">
        <v>151</v>
      </c>
      <c r="I56" s="124">
        <v>1995</v>
      </c>
      <c r="J56" s="1">
        <v>51900</v>
      </c>
      <c r="K56" s="14">
        <v>570</v>
      </c>
      <c r="L56" s="14">
        <v>39420</v>
      </c>
      <c r="M56" s="1">
        <v>39990</v>
      </c>
      <c r="N56" s="1">
        <v>900</v>
      </c>
      <c r="O56" s="1">
        <v>1684</v>
      </c>
      <c r="P56" s="1">
        <v>829</v>
      </c>
      <c r="Q56" s="12">
        <f t="shared" si="5"/>
        <v>479</v>
      </c>
      <c r="R56" s="20">
        <f t="shared" si="2"/>
        <v>33</v>
      </c>
      <c r="S56" s="35">
        <f t="shared" si="3"/>
        <v>5.8984374999999999E-2</v>
      </c>
      <c r="T56" s="28">
        <f t="shared" si="4"/>
        <v>4.9331963001027747E-2</v>
      </c>
      <c r="U56" s="68"/>
    </row>
    <row r="57" spans="1:21" x14ac:dyDescent="0.25">
      <c r="A57" s="2">
        <v>43948</v>
      </c>
      <c r="B57" s="124">
        <v>111</v>
      </c>
      <c r="C57" s="148">
        <v>4003</v>
      </c>
      <c r="D57" s="124">
        <v>5</v>
      </c>
      <c r="E57" s="126">
        <f t="shared" si="1"/>
        <v>197</v>
      </c>
      <c r="F57" s="126">
        <f t="shared" si="0"/>
        <v>22</v>
      </c>
      <c r="G57" s="148">
        <v>1162</v>
      </c>
      <c r="H57" s="124">
        <v>155</v>
      </c>
      <c r="I57" s="124">
        <v>1700</v>
      </c>
      <c r="J57" s="1">
        <v>53600</v>
      </c>
      <c r="K57" s="14">
        <v>600</v>
      </c>
      <c r="L57" s="14">
        <v>40959</v>
      </c>
      <c r="M57" s="1">
        <v>41559</v>
      </c>
      <c r="N57" s="1">
        <v>905</v>
      </c>
      <c r="O57" s="1">
        <v>1725</v>
      </c>
      <c r="P57" s="1">
        <v>897</v>
      </c>
      <c r="Q57" s="12">
        <f t="shared" si="5"/>
        <v>476</v>
      </c>
      <c r="R57" s="20">
        <f t="shared" si="2"/>
        <v>22</v>
      </c>
      <c r="S57" s="35">
        <f t="shared" si="3"/>
        <v>5.8623298033282902E-2</v>
      </c>
      <c r="T57" s="28">
        <f t="shared" si="4"/>
        <v>4.921309018236323E-2</v>
      </c>
      <c r="U57" s="68"/>
    </row>
    <row r="58" spans="1:21" x14ac:dyDescent="0.25">
      <c r="A58" s="2">
        <v>43949</v>
      </c>
      <c r="B58" s="124">
        <v>124</v>
      </c>
      <c r="C58" s="148">
        <v>4127</v>
      </c>
      <c r="D58" s="124">
        <v>10</v>
      </c>
      <c r="E58" s="126">
        <f t="shared" si="1"/>
        <v>207</v>
      </c>
      <c r="F58" s="126">
        <f t="shared" si="0"/>
        <v>30</v>
      </c>
      <c r="G58" s="148">
        <v>1192</v>
      </c>
      <c r="H58" s="124">
        <v>154</v>
      </c>
      <c r="I58" s="124">
        <v>2458</v>
      </c>
      <c r="J58" s="1">
        <v>56058</v>
      </c>
      <c r="K58" s="14">
        <v>612</v>
      </c>
      <c r="L58" s="14">
        <v>42710</v>
      </c>
      <c r="M58" s="1">
        <v>43322</v>
      </c>
      <c r="N58" s="1">
        <v>909</v>
      </c>
      <c r="O58" s="1">
        <v>1766</v>
      </c>
      <c r="P58" s="1">
        <v>984</v>
      </c>
      <c r="Q58" s="12">
        <f t="shared" si="5"/>
        <v>468</v>
      </c>
      <c r="R58" s="20">
        <f t="shared" si="2"/>
        <v>30</v>
      </c>
      <c r="S58" s="35">
        <f t="shared" si="3"/>
        <v>5.6451612903225805E-2</v>
      </c>
      <c r="T58" s="28">
        <f t="shared" si="4"/>
        <v>5.0157499394233099E-2</v>
      </c>
      <c r="U58" s="68"/>
    </row>
    <row r="59" spans="1:21" x14ac:dyDescent="0.25">
      <c r="A59" s="2">
        <v>43950</v>
      </c>
      <c r="B59" s="124">
        <v>158</v>
      </c>
      <c r="C59" s="148">
        <v>4285</v>
      </c>
      <c r="D59" s="124">
        <v>7</v>
      </c>
      <c r="E59" s="126">
        <f t="shared" si="1"/>
        <v>214</v>
      </c>
      <c r="F59" s="126">
        <f t="shared" si="0"/>
        <v>64</v>
      </c>
      <c r="G59" s="148">
        <v>1256</v>
      </c>
      <c r="H59" s="124">
        <v>157</v>
      </c>
      <c r="I59" s="124">
        <v>2627</v>
      </c>
      <c r="J59" s="1">
        <v>58685</v>
      </c>
      <c r="K59" s="14">
        <v>618</v>
      </c>
      <c r="L59" s="14">
        <v>44828</v>
      </c>
      <c r="M59" s="1">
        <v>45446</v>
      </c>
      <c r="N59" s="1">
        <v>912</v>
      </c>
      <c r="O59" s="1">
        <v>1835</v>
      </c>
      <c r="P59" s="1">
        <v>1041</v>
      </c>
      <c r="Q59" s="12">
        <f t="shared" si="5"/>
        <v>497</v>
      </c>
      <c r="R59" s="20">
        <f t="shared" si="2"/>
        <v>64</v>
      </c>
      <c r="S59" s="35">
        <f t="shared" si="3"/>
        <v>5.5772646536412077E-2</v>
      </c>
      <c r="T59" s="28">
        <f t="shared" si="4"/>
        <v>4.9941656942823806E-2</v>
      </c>
      <c r="U59" s="68"/>
    </row>
    <row r="60" spans="1:21" x14ac:dyDescent="0.25">
      <c r="A60" s="2">
        <v>43951</v>
      </c>
      <c r="B60" s="124">
        <v>143</v>
      </c>
      <c r="C60" s="148">
        <v>4428</v>
      </c>
      <c r="D60" s="124">
        <v>4</v>
      </c>
      <c r="E60" s="126">
        <f t="shared" si="1"/>
        <v>218</v>
      </c>
      <c r="F60" s="126">
        <f t="shared" si="0"/>
        <v>36</v>
      </c>
      <c r="G60" s="148">
        <v>1292</v>
      </c>
      <c r="H60" s="124">
        <v>157</v>
      </c>
      <c r="I60" s="124">
        <v>2845</v>
      </c>
      <c r="J60" s="1">
        <v>61530</v>
      </c>
      <c r="K60" s="14">
        <v>638</v>
      </c>
      <c r="L60" s="14">
        <v>46829</v>
      </c>
      <c r="M60" s="1">
        <v>47467</v>
      </c>
      <c r="N60" s="1">
        <v>915</v>
      </c>
      <c r="O60" s="1">
        <v>1904</v>
      </c>
      <c r="P60" s="1">
        <v>1149</v>
      </c>
      <c r="Q60" s="12">
        <f t="shared" si="5"/>
        <v>460</v>
      </c>
      <c r="R60" s="20">
        <f t="shared" si="2"/>
        <v>36</v>
      </c>
      <c r="S60" s="35">
        <f t="shared" si="3"/>
        <v>5.3803975325565453E-2</v>
      </c>
      <c r="T60" s="28">
        <f t="shared" si="4"/>
        <v>4.9232158988256551E-2</v>
      </c>
      <c r="U60" s="68"/>
    </row>
    <row r="61" spans="1:21" x14ac:dyDescent="0.25">
      <c r="A61" s="2">
        <v>43952</v>
      </c>
      <c r="B61" s="124">
        <v>105</v>
      </c>
      <c r="C61" s="148">
        <v>4532</v>
      </c>
      <c r="D61" s="124">
        <v>7</v>
      </c>
      <c r="E61" s="126">
        <f t="shared" si="1"/>
        <v>225</v>
      </c>
      <c r="F61" s="126">
        <f t="shared" si="0"/>
        <v>28</v>
      </c>
      <c r="G61" s="148">
        <v>1320</v>
      </c>
      <c r="H61" s="124">
        <v>164</v>
      </c>
      <c r="I61" s="124">
        <v>2336</v>
      </c>
      <c r="J61" s="1">
        <v>63866</v>
      </c>
      <c r="K61" s="14">
        <v>656</v>
      </c>
      <c r="L61" s="14">
        <v>48591</v>
      </c>
      <c r="M61" s="1">
        <v>49247</v>
      </c>
      <c r="N61" s="1">
        <v>916</v>
      </c>
      <c r="O61" s="1">
        <v>1949</v>
      </c>
      <c r="P61" s="1">
        <v>1224</v>
      </c>
      <c r="Q61" s="12">
        <f t="shared" si="5"/>
        <v>443</v>
      </c>
      <c r="R61" s="20">
        <f t="shared" si="2"/>
        <v>28</v>
      </c>
      <c r="S61" s="35">
        <f t="shared" si="3"/>
        <v>5.4904586541680615E-2</v>
      </c>
      <c r="T61" s="28">
        <f t="shared" si="4"/>
        <v>4.9646954986760812E-2</v>
      </c>
      <c r="U61" s="68"/>
    </row>
    <row r="62" spans="1:21" x14ac:dyDescent="0.25">
      <c r="A62" s="2">
        <v>43953</v>
      </c>
      <c r="B62" s="124">
        <v>149</v>
      </c>
      <c r="C62" s="148">
        <v>4681</v>
      </c>
      <c r="D62" s="124">
        <v>12</v>
      </c>
      <c r="E62" s="126">
        <f t="shared" si="1"/>
        <v>237</v>
      </c>
      <c r="F62" s="126">
        <f t="shared" si="0"/>
        <v>34</v>
      </c>
      <c r="G62" s="148">
        <v>1354</v>
      </c>
      <c r="H62" s="124">
        <v>164</v>
      </c>
      <c r="I62" s="124">
        <v>1947</v>
      </c>
      <c r="J62" s="1">
        <v>65813</v>
      </c>
      <c r="K62" s="14">
        <v>681</v>
      </c>
      <c r="L62" s="14">
        <v>50098</v>
      </c>
      <c r="M62" s="1">
        <v>50779</v>
      </c>
      <c r="N62" s="1">
        <v>917</v>
      </c>
      <c r="O62" s="1">
        <v>2012</v>
      </c>
      <c r="P62" s="1">
        <v>1267</v>
      </c>
      <c r="Q62" s="12">
        <f t="shared" si="5"/>
        <v>485</v>
      </c>
      <c r="R62" s="20">
        <f t="shared" si="2"/>
        <v>34</v>
      </c>
      <c r="S62" s="35">
        <f t="shared" si="3"/>
        <v>5.307443365695793E-2</v>
      </c>
      <c r="T62" s="28">
        <f t="shared" si="4"/>
        <v>5.0630207220679339E-2</v>
      </c>
      <c r="U62" s="68"/>
    </row>
    <row r="63" spans="1:21" x14ac:dyDescent="0.25">
      <c r="A63" s="2">
        <v>43954</v>
      </c>
      <c r="B63" s="124">
        <v>103</v>
      </c>
      <c r="C63" s="148">
        <v>4784</v>
      </c>
      <c r="D63" s="124">
        <v>9</v>
      </c>
      <c r="E63" s="126">
        <f t="shared" si="1"/>
        <v>246</v>
      </c>
      <c r="F63" s="126">
        <f t="shared" si="0"/>
        <v>88</v>
      </c>
      <c r="G63" s="148">
        <v>1442</v>
      </c>
      <c r="H63" s="124">
        <v>146</v>
      </c>
      <c r="I63" s="124">
        <v>1497</v>
      </c>
      <c r="J63" s="1">
        <v>67920</v>
      </c>
      <c r="K63" s="14">
        <v>674</v>
      </c>
      <c r="L63" s="14">
        <v>51590</v>
      </c>
      <c r="M63" s="1">
        <v>52264</v>
      </c>
      <c r="N63" s="1">
        <v>920</v>
      </c>
      <c r="O63" s="1">
        <v>2076</v>
      </c>
      <c r="P63" s="1">
        <v>1314</v>
      </c>
      <c r="Q63" s="12">
        <f t="shared" si="5"/>
        <v>474</v>
      </c>
      <c r="R63" s="20">
        <f t="shared" si="2"/>
        <v>88</v>
      </c>
      <c r="S63" s="35">
        <f t="shared" si="3"/>
        <v>4.7157622739018086E-2</v>
      </c>
      <c r="T63" s="28">
        <f t="shared" si="4"/>
        <v>5.1421404682274248E-2</v>
      </c>
      <c r="U63" s="68"/>
    </row>
    <row r="64" spans="1:21" x14ac:dyDescent="0.25">
      <c r="A64" s="2">
        <v>43955</v>
      </c>
      <c r="B64" s="124">
        <v>104</v>
      </c>
      <c r="C64" s="148">
        <v>4887</v>
      </c>
      <c r="D64" s="124">
        <v>14</v>
      </c>
      <c r="E64" s="126">
        <f t="shared" si="1"/>
        <v>260</v>
      </c>
      <c r="F64" s="126">
        <f t="shared" si="0"/>
        <v>30</v>
      </c>
      <c r="G64" s="148">
        <v>1472</v>
      </c>
      <c r="H64" s="124">
        <v>148</v>
      </c>
      <c r="I64" s="124">
        <v>1798</v>
      </c>
      <c r="J64" s="1">
        <v>69718</v>
      </c>
      <c r="K64" s="14">
        <v>692</v>
      </c>
      <c r="L64" s="14">
        <v>53203</v>
      </c>
      <c r="M64" s="1">
        <v>53895</v>
      </c>
      <c r="N64" s="1">
        <v>924</v>
      </c>
      <c r="O64" s="1">
        <v>2136</v>
      </c>
      <c r="P64" s="1">
        <v>1378</v>
      </c>
      <c r="Q64" s="12">
        <f t="shared" si="5"/>
        <v>449</v>
      </c>
      <c r="R64" s="20">
        <f t="shared" si="2"/>
        <v>30</v>
      </c>
      <c r="S64" s="35">
        <f t="shared" si="3"/>
        <v>4.6909667194928686E-2</v>
      </c>
      <c r="T64" s="28">
        <f t="shared" si="4"/>
        <v>5.3202373644362595E-2</v>
      </c>
      <c r="U64" s="68"/>
    </row>
    <row r="65" spans="1:21" x14ac:dyDescent="0.25">
      <c r="A65" s="2">
        <v>43956</v>
      </c>
      <c r="B65" s="124">
        <v>134</v>
      </c>
      <c r="C65" s="148">
        <v>5020</v>
      </c>
      <c r="D65" s="124">
        <v>4</v>
      </c>
      <c r="E65" s="126">
        <f t="shared" si="1"/>
        <v>264</v>
      </c>
      <c r="F65" s="126">
        <f t="shared" si="0"/>
        <v>52</v>
      </c>
      <c r="G65" s="148">
        <v>1524</v>
      </c>
      <c r="H65" s="124">
        <v>143</v>
      </c>
      <c r="I65" s="124">
        <v>2597</v>
      </c>
      <c r="J65" s="1">
        <v>72315</v>
      </c>
      <c r="K65" s="14">
        <v>666</v>
      </c>
      <c r="L65" s="14">
        <v>55227</v>
      </c>
      <c r="M65" s="1">
        <v>55893</v>
      </c>
      <c r="N65" s="1">
        <v>929</v>
      </c>
      <c r="O65" s="1">
        <v>2204</v>
      </c>
      <c r="P65" s="1">
        <v>1446</v>
      </c>
      <c r="Q65" s="12">
        <f t="shared" si="5"/>
        <v>441</v>
      </c>
      <c r="R65" s="20">
        <f t="shared" si="2"/>
        <v>52</v>
      </c>
      <c r="S65" s="35">
        <f t="shared" si="3"/>
        <v>4.4245049504950493E-2</v>
      </c>
      <c r="T65" s="28">
        <f t="shared" si="4"/>
        <v>5.2589641434262951E-2</v>
      </c>
      <c r="U65" s="68"/>
    </row>
    <row r="66" spans="1:21" x14ac:dyDescent="0.25">
      <c r="A66" s="2">
        <v>43957</v>
      </c>
      <c r="B66" s="124">
        <v>188</v>
      </c>
      <c r="C66" s="148">
        <v>5208</v>
      </c>
      <c r="D66" s="124">
        <v>9</v>
      </c>
      <c r="E66" s="126">
        <f t="shared" si="1"/>
        <v>273</v>
      </c>
      <c r="F66" s="126">
        <f t="shared" si="0"/>
        <v>77</v>
      </c>
      <c r="G66" s="148">
        <v>1601</v>
      </c>
      <c r="H66" s="124">
        <v>151</v>
      </c>
      <c r="I66" s="124">
        <v>2883</v>
      </c>
      <c r="J66" s="1">
        <v>75198</v>
      </c>
      <c r="K66" s="14">
        <v>652</v>
      </c>
      <c r="L66" s="14">
        <v>57176</v>
      </c>
      <c r="M66" s="1">
        <v>57828</v>
      </c>
      <c r="N66" s="1">
        <v>927</v>
      </c>
      <c r="O66" s="1">
        <v>2292</v>
      </c>
      <c r="P66" s="1">
        <v>1510</v>
      </c>
      <c r="Q66" s="12">
        <f t="shared" si="5"/>
        <v>479</v>
      </c>
      <c r="R66" s="20">
        <f t="shared" si="2"/>
        <v>77</v>
      </c>
      <c r="S66" s="35">
        <f t="shared" si="3"/>
        <v>4.5290941811637675E-2</v>
      </c>
      <c r="T66" s="28">
        <f t="shared" si="4"/>
        <v>5.2419354838709679E-2</v>
      </c>
      <c r="U66" s="68"/>
    </row>
    <row r="67" spans="1:21" x14ac:dyDescent="0.25">
      <c r="A67" s="2">
        <v>43958</v>
      </c>
      <c r="B67" s="124">
        <v>163</v>
      </c>
      <c r="C67" s="148">
        <v>5371</v>
      </c>
      <c r="D67" s="124">
        <v>9</v>
      </c>
      <c r="E67" s="126">
        <f t="shared" si="1"/>
        <v>282</v>
      </c>
      <c r="F67" s="126">
        <f t="shared" ref="F67:F130" si="6">G67-G66</f>
        <v>0</v>
      </c>
      <c r="G67" s="148">
        <v>1601</v>
      </c>
      <c r="H67" s="124">
        <v>151</v>
      </c>
      <c r="I67" s="124">
        <v>2703</v>
      </c>
      <c r="J67" s="1">
        <v>77901</v>
      </c>
      <c r="K67" s="14">
        <v>688</v>
      </c>
      <c r="L67" s="14">
        <v>59080</v>
      </c>
      <c r="M67" s="1">
        <v>59768</v>
      </c>
      <c r="N67" s="1">
        <v>929</v>
      </c>
      <c r="O67" s="1">
        <v>2374</v>
      </c>
      <c r="P67" s="1">
        <v>1595</v>
      </c>
      <c r="Q67" s="12">
        <f t="shared" si="5"/>
        <v>473</v>
      </c>
      <c r="R67" s="20">
        <f t="shared" si="2"/>
        <v>0</v>
      </c>
      <c r="S67" s="35">
        <f t="shared" si="3"/>
        <v>4.3291284403669722E-2</v>
      </c>
      <c r="T67" s="28">
        <f t="shared" si="4"/>
        <v>5.2504189164029047E-2</v>
      </c>
      <c r="U67" s="68"/>
    </row>
    <row r="68" spans="1:21" x14ac:dyDescent="0.25">
      <c r="A68" s="2">
        <v>43959</v>
      </c>
      <c r="B68" s="124">
        <v>240</v>
      </c>
      <c r="C68" s="148">
        <v>5611</v>
      </c>
      <c r="D68" s="124">
        <v>11</v>
      </c>
      <c r="E68" s="126">
        <f t="shared" si="1"/>
        <v>293</v>
      </c>
      <c r="F68" s="126">
        <f t="shared" si="6"/>
        <v>127</v>
      </c>
      <c r="G68" s="148">
        <v>1728</v>
      </c>
      <c r="H68" s="124">
        <v>157</v>
      </c>
      <c r="I68" s="124">
        <v>2828</v>
      </c>
      <c r="J68" s="1">
        <v>80729</v>
      </c>
      <c r="K68" s="14">
        <v>678</v>
      </c>
      <c r="L68" s="14">
        <v>61025</v>
      </c>
      <c r="M68" s="1">
        <v>61703</v>
      </c>
      <c r="N68" s="1">
        <v>931</v>
      </c>
      <c r="O68" s="1">
        <v>2469</v>
      </c>
      <c r="P68" s="1">
        <v>1644</v>
      </c>
      <c r="Q68" s="12">
        <f t="shared" si="5"/>
        <v>567</v>
      </c>
      <c r="R68" s="20">
        <f t="shared" si="2"/>
        <v>127</v>
      </c>
      <c r="S68" s="35">
        <f t="shared" si="3"/>
        <v>4.3732590529247911E-2</v>
      </c>
      <c r="T68" s="28">
        <f t="shared" si="4"/>
        <v>5.2218855818927108E-2</v>
      </c>
      <c r="U68" s="68"/>
    </row>
    <row r="69" spans="1:21" x14ac:dyDescent="0.25">
      <c r="A69" s="2">
        <v>43960</v>
      </c>
      <c r="B69" s="124">
        <v>165</v>
      </c>
      <c r="C69" s="148">
        <v>5776</v>
      </c>
      <c r="D69" s="124">
        <v>7</v>
      </c>
      <c r="E69" s="126">
        <f t="shared" ref="E69:E132" si="7">E68+D69</f>
        <v>300</v>
      </c>
      <c r="F69" s="126">
        <f t="shared" si="6"/>
        <v>29</v>
      </c>
      <c r="G69" s="148">
        <v>1757</v>
      </c>
      <c r="H69" s="124">
        <v>160</v>
      </c>
      <c r="I69" s="124">
        <v>2289</v>
      </c>
      <c r="J69" s="1">
        <v>83018</v>
      </c>
      <c r="K69" s="14">
        <v>698</v>
      </c>
      <c r="L69" s="14">
        <v>62760</v>
      </c>
      <c r="M69" s="1">
        <v>63458</v>
      </c>
      <c r="N69" s="1">
        <v>930</v>
      </c>
      <c r="O69" s="1">
        <v>2530</v>
      </c>
      <c r="P69" s="1">
        <v>1703</v>
      </c>
      <c r="Q69" s="12">
        <f t="shared" si="5"/>
        <v>613</v>
      </c>
      <c r="R69" s="20">
        <f t="shared" si="2"/>
        <v>29</v>
      </c>
      <c r="S69" s="35">
        <f t="shared" si="3"/>
        <v>4.3022317827372952E-2</v>
      </c>
      <c r="T69" s="28">
        <f t="shared" si="4"/>
        <v>5.1939058171745149E-2</v>
      </c>
      <c r="U69" s="68"/>
    </row>
    <row r="70" spans="1:21" x14ac:dyDescent="0.25">
      <c r="A70" s="2">
        <v>43961</v>
      </c>
      <c r="B70" s="124">
        <v>258</v>
      </c>
      <c r="C70" s="148">
        <v>6034</v>
      </c>
      <c r="D70" s="124">
        <v>5</v>
      </c>
      <c r="E70" s="126">
        <f t="shared" si="7"/>
        <v>305</v>
      </c>
      <c r="F70" s="126">
        <f t="shared" si="6"/>
        <v>80</v>
      </c>
      <c r="G70" s="148">
        <v>1837</v>
      </c>
      <c r="H70" s="124">
        <v>164</v>
      </c>
      <c r="I70" s="124">
        <v>2140</v>
      </c>
      <c r="J70" s="1">
        <v>85158</v>
      </c>
      <c r="K70" s="14">
        <v>713</v>
      </c>
      <c r="L70" s="14">
        <v>64104</v>
      </c>
      <c r="M70" s="1">
        <v>64817</v>
      </c>
      <c r="N70" s="1">
        <v>929</v>
      </c>
      <c r="O70" s="1">
        <v>2667</v>
      </c>
      <c r="P70" s="1">
        <v>1768</v>
      </c>
      <c r="Q70" s="12">
        <f t="shared" si="5"/>
        <v>670</v>
      </c>
      <c r="R70" s="20">
        <f t="shared" ref="R70:R133" si="8">G70-G69</f>
        <v>80</v>
      </c>
      <c r="S70" s="35">
        <f t="shared" si="3"/>
        <v>4.2137718396711203E-2</v>
      </c>
      <c r="T70" s="28">
        <f t="shared" si="4"/>
        <v>5.0546900894928734E-2</v>
      </c>
      <c r="U70" s="68"/>
    </row>
    <row r="71" spans="1:21" x14ac:dyDescent="0.25">
      <c r="A71" s="2">
        <v>43962</v>
      </c>
      <c r="B71" s="124">
        <v>244</v>
      </c>
      <c r="C71" s="148">
        <v>6278</v>
      </c>
      <c r="D71" s="124">
        <v>9</v>
      </c>
      <c r="E71" s="126">
        <f t="shared" si="7"/>
        <v>314</v>
      </c>
      <c r="F71" s="126">
        <f t="shared" si="6"/>
        <v>25</v>
      </c>
      <c r="G71" s="148">
        <v>1862</v>
      </c>
      <c r="H71" s="124">
        <v>170</v>
      </c>
      <c r="I71" s="124">
        <v>2389</v>
      </c>
      <c r="J71" s="1">
        <v>87547</v>
      </c>
      <c r="K71" s="14">
        <v>733</v>
      </c>
      <c r="L71" s="14">
        <v>65976</v>
      </c>
      <c r="M71" s="1">
        <v>66709</v>
      </c>
      <c r="N71" s="1">
        <v>929</v>
      </c>
      <c r="O71" s="1">
        <v>2800</v>
      </c>
      <c r="P71" s="1">
        <v>1833</v>
      </c>
      <c r="Q71" s="12">
        <f t="shared" si="5"/>
        <v>716</v>
      </c>
      <c r="R71" s="20">
        <f t="shared" si="8"/>
        <v>25</v>
      </c>
      <c r="S71" s="35">
        <f t="shared" si="3"/>
        <v>4.1443198439785472E-2</v>
      </c>
      <c r="T71" s="28">
        <f t="shared" si="4"/>
        <v>5.0015928639694167E-2</v>
      </c>
      <c r="U71" s="68"/>
    </row>
    <row r="72" spans="1:21" x14ac:dyDescent="0.25">
      <c r="A72" s="2">
        <v>43963</v>
      </c>
      <c r="B72" s="124">
        <v>285</v>
      </c>
      <c r="C72" s="148">
        <v>6563</v>
      </c>
      <c r="D72" s="124">
        <v>5</v>
      </c>
      <c r="E72" s="126">
        <f t="shared" si="7"/>
        <v>319</v>
      </c>
      <c r="F72" s="126">
        <f t="shared" si="6"/>
        <v>404</v>
      </c>
      <c r="G72" s="148">
        <v>2266</v>
      </c>
      <c r="H72" s="124">
        <v>147</v>
      </c>
      <c r="I72" s="124">
        <v>2927</v>
      </c>
      <c r="J72" s="1">
        <v>90474</v>
      </c>
      <c r="K72" s="14">
        <v>689</v>
      </c>
      <c r="L72" s="14">
        <v>68237</v>
      </c>
      <c r="M72" s="1">
        <v>68926</v>
      </c>
      <c r="N72" s="1">
        <v>932</v>
      </c>
      <c r="O72" s="1">
        <v>2973</v>
      </c>
      <c r="P72" s="1">
        <v>1923</v>
      </c>
      <c r="Q72" s="12">
        <f t="shared" si="5"/>
        <v>735</v>
      </c>
      <c r="R72" s="20">
        <f t="shared" si="8"/>
        <v>404</v>
      </c>
      <c r="S72" s="35">
        <f t="shared" si="3"/>
        <v>3.6953242835595777E-2</v>
      </c>
      <c r="T72" s="28">
        <f t="shared" si="4"/>
        <v>4.8605820508913607E-2</v>
      </c>
      <c r="U72" s="68"/>
    </row>
    <row r="73" spans="1:21" x14ac:dyDescent="0.25">
      <c r="A73" s="2">
        <v>43964</v>
      </c>
      <c r="B73" s="124">
        <v>316</v>
      </c>
      <c r="C73" s="148">
        <v>6879</v>
      </c>
      <c r="D73" s="124">
        <v>10</v>
      </c>
      <c r="E73" s="126">
        <f t="shared" si="7"/>
        <v>329</v>
      </c>
      <c r="F73" s="126">
        <f t="shared" si="6"/>
        <v>119</v>
      </c>
      <c r="G73" s="148">
        <v>2385</v>
      </c>
      <c r="H73" s="124">
        <v>147</v>
      </c>
      <c r="I73" s="124">
        <v>3199</v>
      </c>
      <c r="J73" s="1">
        <v>93673</v>
      </c>
      <c r="K73" s="14">
        <v>712</v>
      </c>
      <c r="L73" s="14">
        <v>70497</v>
      </c>
      <c r="M73" s="1">
        <v>71209</v>
      </c>
      <c r="N73" s="1">
        <v>936</v>
      </c>
      <c r="O73" s="1">
        <v>3109</v>
      </c>
      <c r="P73" s="1">
        <v>2036</v>
      </c>
      <c r="Q73" s="12">
        <f t="shared" si="5"/>
        <v>798</v>
      </c>
      <c r="R73" s="20">
        <f t="shared" si="8"/>
        <v>119</v>
      </c>
      <c r="S73" s="35">
        <f t="shared" si="3"/>
        <v>3.5294117647058823E-2</v>
      </c>
      <c r="T73" s="28">
        <f t="shared" si="4"/>
        <v>4.7826718999854627E-2</v>
      </c>
      <c r="U73" s="68"/>
    </row>
    <row r="74" spans="1:21" x14ac:dyDescent="0.25">
      <c r="A74" s="2">
        <v>43965</v>
      </c>
      <c r="B74" s="124">
        <v>255</v>
      </c>
      <c r="C74" s="148">
        <v>7134</v>
      </c>
      <c r="D74" s="124">
        <v>24</v>
      </c>
      <c r="E74" s="126">
        <f t="shared" si="7"/>
        <v>353</v>
      </c>
      <c r="F74" s="126">
        <f t="shared" si="6"/>
        <v>112</v>
      </c>
      <c r="G74" s="148">
        <v>2497</v>
      </c>
      <c r="H74" s="124">
        <v>149</v>
      </c>
      <c r="I74" s="124">
        <v>3220</v>
      </c>
      <c r="J74" s="1">
        <v>96893</v>
      </c>
      <c r="K74" s="14">
        <v>737</v>
      </c>
      <c r="L74" s="14">
        <v>72972</v>
      </c>
      <c r="M74" s="1">
        <v>73709</v>
      </c>
      <c r="N74" s="1">
        <v>935</v>
      </c>
      <c r="O74" s="1">
        <v>3225</v>
      </c>
      <c r="P74" s="1">
        <v>2169</v>
      </c>
      <c r="Q74" s="12">
        <f t="shared" si="5"/>
        <v>805</v>
      </c>
      <c r="R74" s="20">
        <f t="shared" si="8"/>
        <v>112</v>
      </c>
      <c r="S74" s="35">
        <f t="shared" si="3"/>
        <v>3.4780578898225958E-2</v>
      </c>
      <c r="T74" s="28">
        <f t="shared" si="4"/>
        <v>4.9481356882534341E-2</v>
      </c>
      <c r="U74" s="68"/>
    </row>
    <row r="75" spans="1:21" x14ac:dyDescent="0.25">
      <c r="A75" s="2">
        <v>43966</v>
      </c>
      <c r="B75" s="124">
        <v>345</v>
      </c>
      <c r="C75" s="148">
        <v>7479</v>
      </c>
      <c r="D75" s="124">
        <v>3</v>
      </c>
      <c r="E75" s="126">
        <f t="shared" si="7"/>
        <v>356</v>
      </c>
      <c r="F75" s="126">
        <f t="shared" si="6"/>
        <v>37</v>
      </c>
      <c r="G75" s="148">
        <v>2534</v>
      </c>
      <c r="H75" s="124">
        <v>151</v>
      </c>
      <c r="I75" s="124">
        <v>3469</v>
      </c>
      <c r="J75" s="1">
        <v>100362</v>
      </c>
      <c r="K75" s="14">
        <v>610</v>
      </c>
      <c r="L75" s="14">
        <v>75647</v>
      </c>
      <c r="M75" s="1">
        <v>76257</v>
      </c>
      <c r="N75" s="1">
        <v>937</v>
      </c>
      <c r="O75" s="1">
        <v>3367</v>
      </c>
      <c r="P75" s="1">
        <v>2272</v>
      </c>
      <c r="Q75" s="12">
        <f t="shared" si="5"/>
        <v>903</v>
      </c>
      <c r="R75" s="20">
        <f t="shared" si="8"/>
        <v>37</v>
      </c>
      <c r="S75" s="35">
        <f t="shared" si="3"/>
        <v>3.2904772281542823E-2</v>
      </c>
      <c r="T75" s="28">
        <f t="shared" si="4"/>
        <v>4.7599946516914023E-2</v>
      </c>
      <c r="U75" s="68"/>
    </row>
    <row r="76" spans="1:21" x14ac:dyDescent="0.25">
      <c r="A76" s="2">
        <v>43967</v>
      </c>
      <c r="B76" s="124">
        <v>327</v>
      </c>
      <c r="C76" s="148">
        <v>7805</v>
      </c>
      <c r="D76" s="124">
        <v>7</v>
      </c>
      <c r="E76" s="126">
        <f t="shared" si="7"/>
        <v>363</v>
      </c>
      <c r="F76" s="126">
        <f t="shared" si="6"/>
        <v>35</v>
      </c>
      <c r="G76" s="148">
        <v>2569</v>
      </c>
      <c r="H76" s="124">
        <v>154</v>
      </c>
      <c r="I76" s="124">
        <v>2858</v>
      </c>
      <c r="J76" s="1">
        <v>103220</v>
      </c>
      <c r="K76" s="14">
        <v>626</v>
      </c>
      <c r="L76" s="14">
        <v>77581</v>
      </c>
      <c r="M76" s="1">
        <v>78207</v>
      </c>
      <c r="N76" s="1">
        <v>987</v>
      </c>
      <c r="O76" s="1">
        <v>3482</v>
      </c>
      <c r="P76" s="1">
        <v>2372</v>
      </c>
      <c r="Q76" s="12">
        <f t="shared" si="5"/>
        <v>964</v>
      </c>
      <c r="R76" s="20">
        <f t="shared" si="8"/>
        <v>35</v>
      </c>
      <c r="S76" s="35">
        <f t="shared" si="3"/>
        <v>3.160270880361174E-2</v>
      </c>
      <c r="T76" s="28">
        <f t="shared" si="4"/>
        <v>4.6508648302370274E-2</v>
      </c>
      <c r="U76" s="68"/>
    </row>
    <row r="77" spans="1:21" x14ac:dyDescent="0.25">
      <c r="A77" s="2">
        <v>43968</v>
      </c>
      <c r="B77" s="124">
        <v>263</v>
      </c>
      <c r="C77" s="148">
        <v>8086</v>
      </c>
      <c r="D77" s="124">
        <v>10</v>
      </c>
      <c r="E77" s="126">
        <f t="shared" si="7"/>
        <v>373</v>
      </c>
      <c r="F77" s="126">
        <f t="shared" si="6"/>
        <v>56</v>
      </c>
      <c r="G77" s="148">
        <v>2625</v>
      </c>
      <c r="H77" s="124">
        <v>159</v>
      </c>
      <c r="I77" s="124">
        <v>2609</v>
      </c>
      <c r="J77" s="1">
        <v>105829</v>
      </c>
      <c r="K77" s="14">
        <v>640</v>
      </c>
      <c r="L77" s="14">
        <v>79462</v>
      </c>
      <c r="M77" s="1">
        <v>80102</v>
      </c>
      <c r="N77" s="1">
        <v>939</v>
      </c>
      <c r="O77" s="1">
        <v>3561</v>
      </c>
      <c r="P77" s="1">
        <v>2468</v>
      </c>
      <c r="Q77" s="12">
        <f t="shared" si="5"/>
        <v>1118</v>
      </c>
      <c r="R77" s="20">
        <f t="shared" si="8"/>
        <v>56</v>
      </c>
      <c r="S77" s="35">
        <f t="shared" si="3"/>
        <v>3.125E-2</v>
      </c>
      <c r="T77" s="28">
        <f t="shared" si="4"/>
        <v>4.6129112045510762E-2</v>
      </c>
      <c r="U77" s="68"/>
    </row>
    <row r="78" spans="1:21" x14ac:dyDescent="0.25">
      <c r="A78" s="2">
        <v>43969</v>
      </c>
      <c r="B78" s="124">
        <v>303</v>
      </c>
      <c r="C78" s="148">
        <v>8371</v>
      </c>
      <c r="D78" s="124">
        <v>9</v>
      </c>
      <c r="E78" s="126">
        <f t="shared" si="7"/>
        <v>382</v>
      </c>
      <c r="F78" s="126">
        <f t="shared" si="6"/>
        <v>247</v>
      </c>
      <c r="G78" s="148">
        <v>2872</v>
      </c>
      <c r="H78" s="124">
        <v>156</v>
      </c>
      <c r="I78" s="124">
        <v>2805</v>
      </c>
      <c r="J78" s="1">
        <v>108634</v>
      </c>
      <c r="K78" s="14">
        <v>657</v>
      </c>
      <c r="L78" s="14">
        <v>81466</v>
      </c>
      <c r="M78" s="1">
        <v>82123</v>
      </c>
      <c r="N78" s="1">
        <v>939</v>
      </c>
      <c r="O78" s="1">
        <v>3718</v>
      </c>
      <c r="P78" s="1">
        <v>2607</v>
      </c>
      <c r="Q78" s="12">
        <f t="shared" si="5"/>
        <v>1107</v>
      </c>
      <c r="R78" s="20">
        <f t="shared" si="8"/>
        <v>247</v>
      </c>
      <c r="S78" s="35">
        <f t="shared" ref="S78:S141" si="9">H78/(C78-E78-G78)</f>
        <v>3.0486613249951142E-2</v>
      </c>
      <c r="T78" s="28">
        <f t="shared" si="4"/>
        <v>4.5633735515470078E-2</v>
      </c>
      <c r="U78" s="68"/>
    </row>
    <row r="79" spans="1:21" x14ac:dyDescent="0.25">
      <c r="A79" s="2">
        <v>43970</v>
      </c>
      <c r="B79" s="124">
        <v>438</v>
      </c>
      <c r="C79" s="148">
        <v>8809</v>
      </c>
      <c r="D79" s="124">
        <v>11</v>
      </c>
      <c r="E79" s="126">
        <f t="shared" si="7"/>
        <v>393</v>
      </c>
      <c r="F79" s="126">
        <f t="shared" si="6"/>
        <v>61</v>
      </c>
      <c r="G79" s="148">
        <v>2933</v>
      </c>
      <c r="H79" s="124">
        <v>161</v>
      </c>
      <c r="I79" s="124">
        <v>3736</v>
      </c>
      <c r="J79" s="1">
        <v>112370</v>
      </c>
      <c r="K79" s="14">
        <v>681</v>
      </c>
      <c r="L79" s="14">
        <v>84449</v>
      </c>
      <c r="M79" s="1">
        <v>85130</v>
      </c>
      <c r="N79" s="1">
        <v>940</v>
      </c>
      <c r="O79" s="1">
        <v>3879</v>
      </c>
      <c r="P79" s="1">
        <v>2758</v>
      </c>
      <c r="Q79" s="12">
        <f t="shared" si="5"/>
        <v>1232</v>
      </c>
      <c r="R79" s="20">
        <f t="shared" si="8"/>
        <v>61</v>
      </c>
      <c r="S79" s="35">
        <f t="shared" si="9"/>
        <v>2.9363487142075505E-2</v>
      </c>
      <c r="T79" s="28">
        <f t="shared" ref="T79:T142" si="10">E79/C79</f>
        <v>4.4613463503235327E-2</v>
      </c>
      <c r="U79" s="68"/>
    </row>
    <row r="80" spans="1:21" x14ac:dyDescent="0.25">
      <c r="A80" s="2">
        <v>43971</v>
      </c>
      <c r="B80" s="124">
        <v>474</v>
      </c>
      <c r="C80" s="148">
        <v>9283</v>
      </c>
      <c r="D80" s="124">
        <v>10</v>
      </c>
      <c r="E80" s="126">
        <f t="shared" si="7"/>
        <v>403</v>
      </c>
      <c r="F80" s="126">
        <f t="shared" si="6"/>
        <v>99</v>
      </c>
      <c r="G80" s="148">
        <v>3032</v>
      </c>
      <c r="H80" s="124">
        <v>171</v>
      </c>
      <c r="I80" s="124">
        <v>4319</v>
      </c>
      <c r="J80" s="1">
        <v>116689</v>
      </c>
      <c r="K80" s="14">
        <v>705</v>
      </c>
      <c r="L80" s="14">
        <v>87447</v>
      </c>
      <c r="M80" s="1">
        <v>88152</v>
      </c>
      <c r="N80" s="1">
        <v>945</v>
      </c>
      <c r="O80" s="1">
        <v>4068</v>
      </c>
      <c r="P80" s="1">
        <v>2919</v>
      </c>
      <c r="Q80" s="12">
        <f t="shared" si="5"/>
        <v>1351</v>
      </c>
      <c r="R80" s="20">
        <f t="shared" si="8"/>
        <v>99</v>
      </c>
      <c r="S80" s="35">
        <f t="shared" si="9"/>
        <v>2.924076607387141E-2</v>
      </c>
      <c r="T80" s="28">
        <f t="shared" si="10"/>
        <v>4.341268986319078E-2</v>
      </c>
      <c r="U80" s="68"/>
    </row>
    <row r="81" spans="1:21" x14ac:dyDescent="0.25">
      <c r="A81" s="2">
        <v>43972</v>
      </c>
      <c r="B81" s="124">
        <v>648</v>
      </c>
      <c r="C81" s="148">
        <v>9931</v>
      </c>
      <c r="D81" s="124">
        <v>13</v>
      </c>
      <c r="E81" s="126">
        <f t="shared" si="7"/>
        <v>416</v>
      </c>
      <c r="F81" s="126">
        <f t="shared" si="6"/>
        <v>30</v>
      </c>
      <c r="G81" s="148">
        <v>3062</v>
      </c>
      <c r="H81" s="124">
        <v>172</v>
      </c>
      <c r="I81" s="124">
        <v>4589</v>
      </c>
      <c r="J81" s="1">
        <v>121278</v>
      </c>
      <c r="K81" s="14">
        <v>731</v>
      </c>
      <c r="L81" s="14">
        <v>90667</v>
      </c>
      <c r="M81" s="1">
        <v>91398</v>
      </c>
      <c r="N81" s="1">
        <v>947</v>
      </c>
      <c r="O81" s="1">
        <v>4334</v>
      </c>
      <c r="P81" s="1">
        <v>3154</v>
      </c>
      <c r="Q81" s="12">
        <f t="shared" ref="Q81:Q89" si="11">C81-P81-O81-N81</f>
        <v>1496</v>
      </c>
      <c r="R81" s="20">
        <f t="shared" si="8"/>
        <v>30</v>
      </c>
      <c r="S81" s="35">
        <f t="shared" si="9"/>
        <v>2.66542693320936E-2</v>
      </c>
      <c r="T81" s="28">
        <f t="shared" si="10"/>
        <v>4.1889034336924778E-2</v>
      </c>
      <c r="U81" s="68"/>
    </row>
    <row r="82" spans="1:21" x14ac:dyDescent="0.25">
      <c r="A82" s="2">
        <v>43973</v>
      </c>
      <c r="B82" s="124">
        <v>718</v>
      </c>
      <c r="C82" s="148">
        <v>10649</v>
      </c>
      <c r="D82" s="124">
        <v>17</v>
      </c>
      <c r="E82" s="126">
        <f t="shared" si="7"/>
        <v>433</v>
      </c>
      <c r="F82" s="126">
        <f t="shared" si="6"/>
        <v>468</v>
      </c>
      <c r="G82" s="148">
        <v>3530</v>
      </c>
      <c r="H82" s="124">
        <v>173</v>
      </c>
      <c r="I82" s="124">
        <v>4615</v>
      </c>
      <c r="J82" s="1">
        <v>125893</v>
      </c>
      <c r="K82" s="14">
        <v>754</v>
      </c>
      <c r="L82" s="14">
        <v>93528</v>
      </c>
      <c r="M82" s="1">
        <v>94282</v>
      </c>
      <c r="N82" s="1">
        <v>948</v>
      </c>
      <c r="O82" s="1">
        <v>4648</v>
      </c>
      <c r="P82" s="1">
        <v>3314</v>
      </c>
      <c r="Q82" s="12">
        <f t="shared" si="11"/>
        <v>1739</v>
      </c>
      <c r="R82" s="20">
        <f t="shared" si="8"/>
        <v>468</v>
      </c>
      <c r="S82" s="35">
        <f t="shared" si="9"/>
        <v>2.5874962608435536E-2</v>
      </c>
      <c r="T82" s="28">
        <f t="shared" si="10"/>
        <v>4.0661094938491876E-2</v>
      </c>
      <c r="U82" s="68"/>
    </row>
    <row r="83" spans="1:21" x14ac:dyDescent="0.25">
      <c r="A83" s="2">
        <v>43974</v>
      </c>
      <c r="B83" s="124">
        <v>704</v>
      </c>
      <c r="C83" s="148">
        <v>11353</v>
      </c>
      <c r="D83" s="124">
        <v>12</v>
      </c>
      <c r="E83" s="126">
        <f t="shared" si="7"/>
        <v>445</v>
      </c>
      <c r="F83" s="126">
        <f t="shared" si="6"/>
        <v>202</v>
      </c>
      <c r="G83" s="148">
        <v>3732</v>
      </c>
      <c r="H83" s="124">
        <v>181</v>
      </c>
      <c r="I83" s="124">
        <v>3525</v>
      </c>
      <c r="J83" s="1">
        <v>129418</v>
      </c>
      <c r="K83" s="14">
        <v>773</v>
      </c>
      <c r="L83" s="14">
        <v>95859</v>
      </c>
      <c r="M83" s="1">
        <v>96632</v>
      </c>
      <c r="N83" s="1">
        <v>951</v>
      </c>
      <c r="O83" s="1">
        <v>4955</v>
      </c>
      <c r="P83" s="1">
        <v>3540</v>
      </c>
      <c r="Q83" s="12">
        <f t="shared" si="11"/>
        <v>1907</v>
      </c>
      <c r="R83" s="20">
        <f t="shared" si="8"/>
        <v>202</v>
      </c>
      <c r="S83" s="35">
        <f t="shared" si="9"/>
        <v>2.5222965440356744E-2</v>
      </c>
      <c r="T83" s="28">
        <f t="shared" si="10"/>
        <v>3.9196688100061661E-2</v>
      </c>
      <c r="U83" s="68"/>
    </row>
    <row r="84" spans="1:21" x14ac:dyDescent="0.25">
      <c r="A84" s="2">
        <v>43975</v>
      </c>
      <c r="B84" s="124">
        <v>723</v>
      </c>
      <c r="C84" s="148">
        <v>12076</v>
      </c>
      <c r="D84" s="124">
        <v>7</v>
      </c>
      <c r="E84" s="126">
        <f t="shared" si="7"/>
        <v>452</v>
      </c>
      <c r="F84" s="126">
        <f t="shared" si="6"/>
        <v>267</v>
      </c>
      <c r="G84" s="148">
        <v>3999</v>
      </c>
      <c r="H84" s="124">
        <v>181</v>
      </c>
      <c r="I84" s="124">
        <v>4050</v>
      </c>
      <c r="J84" s="1">
        <v>133468</v>
      </c>
      <c r="K84" s="14">
        <v>793</v>
      </c>
      <c r="L84" s="14">
        <v>98352</v>
      </c>
      <c r="M84" s="1">
        <v>99145</v>
      </c>
      <c r="N84" s="1">
        <v>955</v>
      </c>
      <c r="O84" s="1">
        <v>5302</v>
      </c>
      <c r="P84" s="1">
        <v>3766</v>
      </c>
      <c r="Q84" s="12">
        <f t="shared" si="11"/>
        <v>2053</v>
      </c>
      <c r="R84" s="20">
        <f t="shared" si="8"/>
        <v>267</v>
      </c>
      <c r="S84" s="35">
        <f t="shared" si="9"/>
        <v>2.3737704918032787E-2</v>
      </c>
      <c r="T84" s="28">
        <f t="shared" si="10"/>
        <v>3.742961245445512E-2</v>
      </c>
      <c r="U84" s="68"/>
    </row>
    <row r="85" spans="1:21" x14ac:dyDescent="0.25">
      <c r="A85" s="2">
        <v>43976</v>
      </c>
      <c r="B85" s="124">
        <v>552</v>
      </c>
      <c r="C85" s="148">
        <v>12628</v>
      </c>
      <c r="D85" s="124">
        <v>15</v>
      </c>
      <c r="E85" s="126">
        <f t="shared" si="7"/>
        <v>467</v>
      </c>
      <c r="F85" s="126">
        <f t="shared" si="6"/>
        <v>168</v>
      </c>
      <c r="G85" s="148">
        <v>4167</v>
      </c>
      <c r="H85" s="124">
        <v>203</v>
      </c>
      <c r="I85" s="124">
        <v>3194</v>
      </c>
      <c r="J85" s="1">
        <v>136662</v>
      </c>
      <c r="K85" s="14">
        <v>709</v>
      </c>
      <c r="L85" s="14">
        <v>100639</v>
      </c>
      <c r="M85" s="1">
        <v>101348</v>
      </c>
      <c r="N85" s="1">
        <v>956</v>
      </c>
      <c r="O85" s="1">
        <v>5563</v>
      </c>
      <c r="P85" s="1">
        <v>4057</v>
      </c>
      <c r="Q85" s="12">
        <f t="shared" si="11"/>
        <v>2052</v>
      </c>
      <c r="R85" s="20">
        <f t="shared" si="8"/>
        <v>168</v>
      </c>
      <c r="S85" s="35">
        <f t="shared" si="9"/>
        <v>2.5394045534150613E-2</v>
      </c>
      <c r="T85" s="28">
        <f t="shared" si="10"/>
        <v>3.6981311371555275E-2</v>
      </c>
      <c r="U85" s="68"/>
    </row>
    <row r="86" spans="1:21" x14ac:dyDescent="0.25">
      <c r="A86" s="2">
        <v>43977</v>
      </c>
      <c r="B86" s="124">
        <v>600</v>
      </c>
      <c r="C86" s="148">
        <v>13228</v>
      </c>
      <c r="D86" s="124">
        <v>23</v>
      </c>
      <c r="E86" s="126">
        <f t="shared" si="7"/>
        <v>490</v>
      </c>
      <c r="F86" s="126">
        <f t="shared" si="6"/>
        <v>182</v>
      </c>
      <c r="G86" s="148">
        <v>4349</v>
      </c>
      <c r="H86" s="124">
        <v>250</v>
      </c>
      <c r="I86" s="124">
        <v>3556</v>
      </c>
      <c r="J86" s="1">
        <v>140218</v>
      </c>
      <c r="K86" s="14">
        <v>727</v>
      </c>
      <c r="L86" s="14">
        <v>103173</v>
      </c>
      <c r="M86" s="1">
        <v>103900</v>
      </c>
      <c r="N86" s="3">
        <v>959</v>
      </c>
      <c r="O86" s="3">
        <v>5813</v>
      </c>
      <c r="P86" s="3">
        <v>4354</v>
      </c>
      <c r="Q86" s="12">
        <f t="shared" si="11"/>
        <v>2102</v>
      </c>
      <c r="R86" s="20">
        <f t="shared" si="8"/>
        <v>182</v>
      </c>
      <c r="S86" s="35">
        <f t="shared" si="9"/>
        <v>2.9800929789009417E-2</v>
      </c>
      <c r="T86" s="28">
        <f t="shared" si="10"/>
        <v>3.704263683096462E-2</v>
      </c>
      <c r="U86" s="68"/>
    </row>
    <row r="87" spans="1:21" x14ac:dyDescent="0.25">
      <c r="A87" s="2">
        <v>43978</v>
      </c>
      <c r="B87" s="124">
        <v>706</v>
      </c>
      <c r="C87" s="148">
        <v>13933</v>
      </c>
      <c r="D87" s="124">
        <v>10</v>
      </c>
      <c r="E87" s="126">
        <f t="shared" si="7"/>
        <v>500</v>
      </c>
      <c r="F87" s="126">
        <f t="shared" si="6"/>
        <v>268</v>
      </c>
      <c r="G87" s="148">
        <v>4617</v>
      </c>
      <c r="H87" s="124">
        <v>254</v>
      </c>
      <c r="I87" s="124">
        <v>4863</v>
      </c>
      <c r="J87" s="1">
        <v>145081</v>
      </c>
      <c r="K87" s="14">
        <v>642</v>
      </c>
      <c r="L87" s="14">
        <v>106456</v>
      </c>
      <c r="M87" s="1">
        <v>107098</v>
      </c>
      <c r="N87" s="1">
        <v>961</v>
      </c>
      <c r="O87" s="1">
        <v>6091</v>
      </c>
      <c r="P87" s="1">
        <v>4694</v>
      </c>
      <c r="Q87" s="12">
        <f t="shared" si="11"/>
        <v>2187</v>
      </c>
      <c r="R87" s="20">
        <f t="shared" si="8"/>
        <v>268</v>
      </c>
      <c r="S87" s="35">
        <f t="shared" si="9"/>
        <v>2.8811252268602542E-2</v>
      </c>
      <c r="T87" s="28">
        <f t="shared" si="10"/>
        <v>3.5886025981482814E-2</v>
      </c>
      <c r="U87" s="68"/>
    </row>
    <row r="88" spans="1:21" x14ac:dyDescent="0.25">
      <c r="A88" s="2">
        <v>43979</v>
      </c>
      <c r="B88" s="124">
        <v>769</v>
      </c>
      <c r="C88" s="148">
        <v>14702</v>
      </c>
      <c r="D88" s="124">
        <v>8</v>
      </c>
      <c r="E88" s="126">
        <f t="shared" si="7"/>
        <v>508</v>
      </c>
      <c r="F88" s="126">
        <f t="shared" si="6"/>
        <v>171</v>
      </c>
      <c r="G88" s="148">
        <v>4788</v>
      </c>
      <c r="H88" s="124">
        <v>259</v>
      </c>
      <c r="I88" s="124">
        <v>5405</v>
      </c>
      <c r="J88" s="1">
        <v>150486</v>
      </c>
      <c r="K88" s="14">
        <v>664</v>
      </c>
      <c r="L88" s="14">
        <v>110132</v>
      </c>
      <c r="M88" s="4">
        <v>110796</v>
      </c>
      <c r="N88" s="1">
        <v>967</v>
      </c>
      <c r="O88" s="1">
        <v>6450</v>
      </c>
      <c r="P88" s="1">
        <v>5051</v>
      </c>
      <c r="Q88" s="12">
        <f t="shared" si="11"/>
        <v>2234</v>
      </c>
      <c r="R88" s="20">
        <f t="shared" si="8"/>
        <v>171</v>
      </c>
      <c r="S88" s="35">
        <f t="shared" si="9"/>
        <v>2.7535615564533277E-2</v>
      </c>
      <c r="T88" s="28">
        <f t="shared" si="10"/>
        <v>3.4553122024214393E-2</v>
      </c>
      <c r="U88" s="68"/>
    </row>
    <row r="89" spans="1:21" x14ac:dyDescent="0.25">
      <c r="A89" s="2">
        <v>43980</v>
      </c>
      <c r="B89" s="126">
        <v>717</v>
      </c>
      <c r="C89" s="154">
        <v>15419</v>
      </c>
      <c r="D89" s="126">
        <v>12</v>
      </c>
      <c r="E89" s="126">
        <f t="shared" si="7"/>
        <v>520</v>
      </c>
      <c r="F89" s="126">
        <f t="shared" si="6"/>
        <v>312</v>
      </c>
      <c r="G89" s="148">
        <v>5100</v>
      </c>
      <c r="H89" s="124">
        <v>244</v>
      </c>
      <c r="I89" s="126">
        <v>4921</v>
      </c>
      <c r="J89" s="4">
        <v>155400</v>
      </c>
      <c r="K89" s="7">
        <v>798</v>
      </c>
      <c r="L89" s="7">
        <v>113314</v>
      </c>
      <c r="M89" s="4">
        <v>114112</v>
      </c>
      <c r="N89" s="4">
        <v>968</v>
      </c>
      <c r="O89" s="4">
        <v>6727</v>
      </c>
      <c r="P89" s="4">
        <v>5408</v>
      </c>
      <c r="Q89" s="12">
        <f t="shared" si="11"/>
        <v>2316</v>
      </c>
      <c r="R89" s="20">
        <f t="shared" si="8"/>
        <v>312</v>
      </c>
      <c r="S89" s="35">
        <f t="shared" si="9"/>
        <v>2.4900500051025613E-2</v>
      </c>
      <c r="T89" s="28">
        <f t="shared" si="10"/>
        <v>3.3724625462092227E-2</v>
      </c>
      <c r="U89" s="68"/>
    </row>
    <row r="90" spans="1:21" x14ac:dyDescent="0.25">
      <c r="A90" s="2">
        <v>43981</v>
      </c>
      <c r="B90" s="124">
        <v>795</v>
      </c>
      <c r="C90" s="148">
        <v>16214</v>
      </c>
      <c r="D90" s="124">
        <v>8</v>
      </c>
      <c r="E90" s="126">
        <f t="shared" si="7"/>
        <v>528</v>
      </c>
      <c r="F90" s="126">
        <f t="shared" si="6"/>
        <v>236</v>
      </c>
      <c r="G90" s="148">
        <v>5336</v>
      </c>
      <c r="H90" s="124">
        <v>256</v>
      </c>
      <c r="I90" s="126">
        <v>4663</v>
      </c>
      <c r="J90" s="4">
        <v>160070</v>
      </c>
      <c r="K90" s="7">
        <v>819</v>
      </c>
      <c r="L90" s="7">
        <v>116215</v>
      </c>
      <c r="M90" s="4">
        <v>117034</v>
      </c>
      <c r="N90" s="1">
        <v>969</v>
      </c>
      <c r="O90" s="1">
        <v>7030</v>
      </c>
      <c r="P90" s="1">
        <v>5724</v>
      </c>
      <c r="Q90" s="12">
        <f t="shared" ref="Q90:Q95" si="12">C90-P90-O90-N90</f>
        <v>2491</v>
      </c>
      <c r="R90" s="20">
        <f t="shared" si="8"/>
        <v>236</v>
      </c>
      <c r="S90" s="35">
        <f t="shared" si="9"/>
        <v>2.4734299516908212E-2</v>
      </c>
      <c r="T90" s="28">
        <f t="shared" si="10"/>
        <v>3.2564450474898234E-2</v>
      </c>
      <c r="U90" s="68"/>
    </row>
    <row r="91" spans="1:21" x14ac:dyDescent="0.25">
      <c r="A91" s="2">
        <v>43982</v>
      </c>
      <c r="B91" s="124">
        <v>637</v>
      </c>
      <c r="C91" s="148">
        <v>16851</v>
      </c>
      <c r="D91" s="124">
        <v>11</v>
      </c>
      <c r="E91" s="126">
        <f t="shared" si="7"/>
        <v>539</v>
      </c>
      <c r="F91" s="126">
        <f t="shared" si="6"/>
        <v>185</v>
      </c>
      <c r="G91" s="148">
        <v>5521</v>
      </c>
      <c r="H91" s="124">
        <v>272</v>
      </c>
      <c r="I91" s="126">
        <v>4014</v>
      </c>
      <c r="J91" s="4">
        <v>164084</v>
      </c>
      <c r="K91" s="7">
        <v>837.57099999999627</v>
      </c>
      <c r="L91" s="7">
        <v>118815.429</v>
      </c>
      <c r="M91" s="4">
        <v>119653</v>
      </c>
      <c r="N91" s="4">
        <v>970</v>
      </c>
      <c r="O91" s="4">
        <v>7308</v>
      </c>
      <c r="P91" s="4">
        <v>5975</v>
      </c>
      <c r="Q91" s="12">
        <f t="shared" si="12"/>
        <v>2598</v>
      </c>
      <c r="R91" s="20">
        <f t="shared" si="8"/>
        <v>185</v>
      </c>
      <c r="S91" s="35">
        <f t="shared" si="9"/>
        <v>2.5206190343805022E-2</v>
      </c>
      <c r="T91" s="28">
        <f t="shared" si="10"/>
        <v>3.1986232271081834E-2</v>
      </c>
      <c r="U91" s="68"/>
    </row>
    <row r="92" spans="1:21" x14ac:dyDescent="0.25">
      <c r="A92" s="2">
        <v>43983</v>
      </c>
      <c r="B92" s="124">
        <v>564</v>
      </c>
      <c r="C92" s="148">
        <v>17415</v>
      </c>
      <c r="D92" s="124">
        <v>17</v>
      </c>
      <c r="E92" s="126">
        <f t="shared" si="7"/>
        <v>556</v>
      </c>
      <c r="F92" s="126">
        <f t="shared" si="6"/>
        <v>188</v>
      </c>
      <c r="G92" s="148">
        <v>5709</v>
      </c>
      <c r="H92" s="124">
        <v>271</v>
      </c>
      <c r="I92" s="126">
        <v>3715</v>
      </c>
      <c r="J92" s="4">
        <v>167799</v>
      </c>
      <c r="K92" s="7">
        <v>732</v>
      </c>
      <c r="L92" s="7">
        <v>121411</v>
      </c>
      <c r="M92" s="4">
        <v>122143</v>
      </c>
      <c r="N92" s="1">
        <v>974</v>
      </c>
      <c r="O92" s="1">
        <v>7532</v>
      </c>
      <c r="P92" s="1">
        <v>6263</v>
      </c>
      <c r="Q92" s="12">
        <f t="shared" si="12"/>
        <v>2646</v>
      </c>
      <c r="R92" s="20">
        <f t="shared" si="8"/>
        <v>188</v>
      </c>
      <c r="S92" s="35">
        <f t="shared" si="9"/>
        <v>2.430493273542601E-2</v>
      </c>
      <c r="T92" s="28">
        <f t="shared" si="10"/>
        <v>3.1926500143554408E-2</v>
      </c>
      <c r="U92" s="68"/>
    </row>
    <row r="93" spans="1:21" x14ac:dyDescent="0.25">
      <c r="A93" s="2">
        <v>43984</v>
      </c>
      <c r="B93" s="124">
        <v>904</v>
      </c>
      <c r="C93" s="148">
        <v>18319</v>
      </c>
      <c r="D93" s="124">
        <v>13</v>
      </c>
      <c r="E93" s="126">
        <f t="shared" si="7"/>
        <v>569</v>
      </c>
      <c r="F93" s="126">
        <f t="shared" si="6"/>
        <v>187</v>
      </c>
      <c r="G93" s="148">
        <v>5896</v>
      </c>
      <c r="H93" s="124">
        <v>288</v>
      </c>
      <c r="I93" s="126">
        <v>5148</v>
      </c>
      <c r="J93" s="4">
        <v>172947</v>
      </c>
      <c r="K93" s="7">
        <v>879</v>
      </c>
      <c r="L93" s="7">
        <v>124692</v>
      </c>
      <c r="M93" s="4">
        <v>125571</v>
      </c>
      <c r="N93" s="1">
        <v>974</v>
      </c>
      <c r="O93" s="4">
        <v>7854</v>
      </c>
      <c r="P93" s="4">
        <v>6596</v>
      </c>
      <c r="Q93" s="12">
        <f t="shared" si="12"/>
        <v>2895</v>
      </c>
      <c r="R93" s="20">
        <f t="shared" si="8"/>
        <v>187</v>
      </c>
      <c r="S93" s="35">
        <f t="shared" si="9"/>
        <v>2.4295596423148304E-2</v>
      </c>
      <c r="T93" s="28">
        <f t="shared" si="10"/>
        <v>3.1060647415251923E-2</v>
      </c>
      <c r="U93" s="68"/>
    </row>
    <row r="94" spans="1:21" x14ac:dyDescent="0.25">
      <c r="A94" s="2">
        <v>43985</v>
      </c>
      <c r="B94" s="124">
        <v>949</v>
      </c>
      <c r="C94" s="148">
        <v>19268</v>
      </c>
      <c r="D94" s="126">
        <v>14</v>
      </c>
      <c r="E94" s="126">
        <f t="shared" si="7"/>
        <v>583</v>
      </c>
      <c r="F94" s="126">
        <f t="shared" si="6"/>
        <v>97</v>
      </c>
      <c r="G94" s="148">
        <v>5993</v>
      </c>
      <c r="H94" s="124">
        <v>293</v>
      </c>
      <c r="I94" s="126">
        <v>5501</v>
      </c>
      <c r="J94" s="4">
        <v>178448</v>
      </c>
      <c r="K94" s="7">
        <v>902</v>
      </c>
      <c r="L94" s="7">
        <v>128031</v>
      </c>
      <c r="M94" s="4">
        <v>128933</v>
      </c>
      <c r="N94" s="1">
        <v>977</v>
      </c>
      <c r="O94" s="1">
        <v>8217</v>
      </c>
      <c r="P94" s="1">
        <v>6941</v>
      </c>
      <c r="Q94" s="12">
        <f t="shared" si="12"/>
        <v>3133</v>
      </c>
      <c r="R94" s="20">
        <f t="shared" si="8"/>
        <v>97</v>
      </c>
      <c r="S94" s="35">
        <f t="shared" si="9"/>
        <v>2.3085408131106207E-2</v>
      </c>
      <c r="T94" s="28">
        <f t="shared" si="10"/>
        <v>3.0257421631720988E-2</v>
      </c>
      <c r="U94" s="68"/>
    </row>
    <row r="95" spans="1:21" x14ac:dyDescent="0.25">
      <c r="A95" s="2">
        <v>43986</v>
      </c>
      <c r="B95" s="124">
        <v>929</v>
      </c>
      <c r="C95" s="154">
        <v>20197</v>
      </c>
      <c r="D95" s="126">
        <v>25</v>
      </c>
      <c r="E95" s="126">
        <f t="shared" si="7"/>
        <v>608</v>
      </c>
      <c r="F95" s="126">
        <f t="shared" si="6"/>
        <v>95</v>
      </c>
      <c r="G95" s="148">
        <v>6088</v>
      </c>
      <c r="H95" s="124">
        <v>248</v>
      </c>
      <c r="I95" s="126">
        <v>5414</v>
      </c>
      <c r="J95" s="4">
        <v>183862</v>
      </c>
      <c r="K95" s="7">
        <v>794</v>
      </c>
      <c r="L95" s="7">
        <v>131608</v>
      </c>
      <c r="M95" s="4">
        <v>132402</v>
      </c>
      <c r="N95" s="1">
        <v>978</v>
      </c>
      <c r="O95" s="4">
        <v>8541</v>
      </c>
      <c r="P95" s="4">
        <v>7349</v>
      </c>
      <c r="Q95" s="12">
        <f t="shared" si="12"/>
        <v>3329</v>
      </c>
      <c r="R95" s="20">
        <f t="shared" si="8"/>
        <v>95</v>
      </c>
      <c r="S95" s="35">
        <f t="shared" si="9"/>
        <v>1.8369009702984964E-2</v>
      </c>
      <c r="T95" s="28">
        <f t="shared" si="10"/>
        <v>3.0103480714957668E-2</v>
      </c>
      <c r="U95" s="68"/>
    </row>
    <row r="96" spans="1:21" x14ac:dyDescent="0.25">
      <c r="A96" s="2">
        <v>43987</v>
      </c>
      <c r="B96" s="124">
        <v>840</v>
      </c>
      <c r="C96" s="148">
        <v>21037</v>
      </c>
      <c r="D96" s="124">
        <v>24</v>
      </c>
      <c r="E96" s="126">
        <f t="shared" si="7"/>
        <v>632</v>
      </c>
      <c r="F96" s="126">
        <f t="shared" si="6"/>
        <v>92</v>
      </c>
      <c r="G96" s="148">
        <v>6180</v>
      </c>
      <c r="H96" s="124">
        <v>249</v>
      </c>
      <c r="I96" s="126">
        <v>5416</v>
      </c>
      <c r="J96" s="4">
        <v>189278</v>
      </c>
      <c r="K96" s="7">
        <v>812</v>
      </c>
      <c r="L96" s="7">
        <v>134642</v>
      </c>
      <c r="M96" s="4">
        <v>135454</v>
      </c>
      <c r="N96" s="8">
        <v>980</v>
      </c>
      <c r="O96" s="8">
        <v>8883</v>
      </c>
      <c r="P96" s="8">
        <v>7770</v>
      </c>
      <c r="Q96" s="12">
        <f>C96-P96-O96-N96</f>
        <v>3404</v>
      </c>
      <c r="R96" s="20">
        <f t="shared" si="8"/>
        <v>92</v>
      </c>
      <c r="S96" s="35">
        <f t="shared" si="9"/>
        <v>1.750439367311072E-2</v>
      </c>
      <c r="T96" s="28">
        <f t="shared" si="10"/>
        <v>3.004230641251129E-2</v>
      </c>
      <c r="U96" s="68"/>
    </row>
    <row r="97" spans="1:21" x14ac:dyDescent="0.25">
      <c r="A97" s="2">
        <v>43988</v>
      </c>
      <c r="B97" s="124">
        <v>983</v>
      </c>
      <c r="C97" s="148">
        <v>22020</v>
      </c>
      <c r="D97" s="126">
        <v>16</v>
      </c>
      <c r="E97" s="126">
        <f t="shared" si="7"/>
        <v>648</v>
      </c>
      <c r="F97" s="126">
        <f t="shared" si="6"/>
        <v>729</v>
      </c>
      <c r="G97" s="148">
        <v>6909</v>
      </c>
      <c r="H97" s="124">
        <v>247</v>
      </c>
      <c r="I97" s="126">
        <v>4635</v>
      </c>
      <c r="J97" s="4">
        <v>193923</v>
      </c>
      <c r="K97" s="7">
        <v>832</v>
      </c>
      <c r="L97" s="7">
        <v>137840</v>
      </c>
      <c r="M97" s="4">
        <v>138672</v>
      </c>
      <c r="N97" s="4">
        <v>983</v>
      </c>
      <c r="O97" s="4">
        <v>9219</v>
      </c>
      <c r="P97" s="4">
        <v>8141</v>
      </c>
      <c r="Q97" s="12">
        <f>C97-P97-O97-N97</f>
        <v>3677</v>
      </c>
      <c r="R97" s="20">
        <f t="shared" si="8"/>
        <v>729</v>
      </c>
      <c r="S97" s="35">
        <f t="shared" si="9"/>
        <v>1.7078061259766301E-2</v>
      </c>
      <c r="T97" s="28">
        <f t="shared" si="10"/>
        <v>2.9427792915531336E-2</v>
      </c>
      <c r="U97" s="68"/>
    </row>
    <row r="98" spans="1:21" x14ac:dyDescent="0.25">
      <c r="A98" s="2">
        <v>43989</v>
      </c>
      <c r="B98" s="124">
        <v>774</v>
      </c>
      <c r="C98" s="148">
        <v>22794</v>
      </c>
      <c r="D98" s="126">
        <v>16</v>
      </c>
      <c r="E98" s="126">
        <f t="shared" si="7"/>
        <v>664</v>
      </c>
      <c r="F98" s="126">
        <f t="shared" si="6"/>
        <v>396</v>
      </c>
      <c r="G98" s="148">
        <v>7305</v>
      </c>
      <c r="H98" s="124">
        <v>235</v>
      </c>
      <c r="I98" s="126">
        <v>4607</v>
      </c>
      <c r="J98" s="4">
        <v>198520</v>
      </c>
      <c r="K98" s="7">
        <v>847.49400000000605</v>
      </c>
      <c r="L98" s="7">
        <v>140401.50599999999</v>
      </c>
      <c r="M98" s="4">
        <v>141249</v>
      </c>
      <c r="N98" s="4">
        <v>985</v>
      </c>
      <c r="O98" s="4">
        <v>9476</v>
      </c>
      <c r="P98" s="4">
        <v>8441</v>
      </c>
      <c r="Q98" s="12">
        <f>C98-P98-O98-N98</f>
        <v>3892</v>
      </c>
      <c r="R98" s="20">
        <f t="shared" si="8"/>
        <v>396</v>
      </c>
      <c r="S98" s="35">
        <f t="shared" si="9"/>
        <v>1.5851602023608771E-2</v>
      </c>
      <c r="T98" s="28">
        <f t="shared" si="10"/>
        <v>2.9130472931473195E-2</v>
      </c>
      <c r="U98" s="68"/>
    </row>
    <row r="99" spans="1:21" x14ac:dyDescent="0.25">
      <c r="A99" s="2">
        <v>43990</v>
      </c>
      <c r="B99" s="127">
        <v>826</v>
      </c>
      <c r="C99" s="554">
        <v>23620</v>
      </c>
      <c r="D99" s="126">
        <v>29</v>
      </c>
      <c r="E99" s="126">
        <f t="shared" si="7"/>
        <v>693</v>
      </c>
      <c r="F99" s="126">
        <f t="shared" si="6"/>
        <v>263</v>
      </c>
      <c r="G99" s="148">
        <v>7568</v>
      </c>
      <c r="H99" s="124">
        <v>265</v>
      </c>
      <c r="I99" s="126">
        <v>4531</v>
      </c>
      <c r="J99" s="4">
        <v>203810</v>
      </c>
      <c r="K99" s="7">
        <v>866</v>
      </c>
      <c r="L99" s="7">
        <v>143482</v>
      </c>
      <c r="M99" s="4">
        <v>144348</v>
      </c>
      <c r="N99" s="4">
        <v>986</v>
      </c>
      <c r="O99" s="11">
        <v>9822</v>
      </c>
      <c r="P99" s="11">
        <v>8919</v>
      </c>
      <c r="Q99" s="12">
        <f>C99-P99-O99-N99</f>
        <v>3893</v>
      </c>
      <c r="R99" s="20">
        <f t="shared" si="8"/>
        <v>263</v>
      </c>
      <c r="S99" s="35">
        <f t="shared" si="9"/>
        <v>1.7253727456214597E-2</v>
      </c>
      <c r="T99" s="28">
        <f t="shared" si="10"/>
        <v>2.9339542760372567E-2</v>
      </c>
      <c r="U99" s="68"/>
    </row>
    <row r="100" spans="1:21" x14ac:dyDescent="0.25">
      <c r="A100" s="2">
        <v>43991</v>
      </c>
      <c r="B100" s="127">
        <v>1141</v>
      </c>
      <c r="C100" s="554">
        <v>24761</v>
      </c>
      <c r="D100" s="126">
        <v>24</v>
      </c>
      <c r="E100" s="126">
        <f t="shared" si="7"/>
        <v>717</v>
      </c>
      <c r="F100" s="126">
        <f t="shared" si="6"/>
        <v>423</v>
      </c>
      <c r="G100" s="148">
        <v>7991</v>
      </c>
      <c r="H100" s="124">
        <v>263</v>
      </c>
      <c r="I100" s="126">
        <v>5468</v>
      </c>
      <c r="J100" s="4">
        <v>208519</v>
      </c>
      <c r="K100" s="7">
        <v>739</v>
      </c>
      <c r="L100" s="7">
        <v>147178</v>
      </c>
      <c r="M100" s="4">
        <v>147917</v>
      </c>
      <c r="N100" s="11">
        <v>992</v>
      </c>
      <c r="O100" s="11">
        <v>10260</v>
      </c>
      <c r="P100" s="11">
        <v>9406</v>
      </c>
      <c r="Q100" s="12">
        <f>C100-P100-O100-N100</f>
        <v>4103</v>
      </c>
      <c r="R100" s="20">
        <f t="shared" si="8"/>
        <v>423</v>
      </c>
      <c r="S100" s="35">
        <f t="shared" si="9"/>
        <v>1.6383230548807078E-2</v>
      </c>
      <c r="T100" s="28">
        <f t="shared" si="10"/>
        <v>2.8956827268688663E-2</v>
      </c>
      <c r="U100" s="68"/>
    </row>
    <row r="101" spans="1:21" x14ac:dyDescent="0.25">
      <c r="A101" s="2">
        <v>43992</v>
      </c>
      <c r="B101" s="127">
        <v>1226</v>
      </c>
      <c r="C101" s="154">
        <v>25987</v>
      </c>
      <c r="D101" s="126">
        <v>18</v>
      </c>
      <c r="E101" s="126">
        <f t="shared" si="7"/>
        <v>735</v>
      </c>
      <c r="F101" s="126">
        <f t="shared" si="6"/>
        <v>341</v>
      </c>
      <c r="G101" s="148">
        <v>8332</v>
      </c>
      <c r="H101" s="124">
        <v>325</v>
      </c>
      <c r="I101" s="126">
        <v>6288</v>
      </c>
      <c r="J101" s="4">
        <v>214807</v>
      </c>
      <c r="K101" s="7">
        <v>757</v>
      </c>
      <c r="L101" s="7">
        <v>150755</v>
      </c>
      <c r="M101" s="4">
        <v>151512</v>
      </c>
      <c r="N101" s="4">
        <v>996</v>
      </c>
      <c r="O101" s="4">
        <v>10657</v>
      </c>
      <c r="P101" s="4">
        <v>9948</v>
      </c>
      <c r="Q101" s="12">
        <f t="shared" ref="Q101:Q124" si="13">C101-P101-O101-N101</f>
        <v>4386</v>
      </c>
      <c r="R101" s="20">
        <f t="shared" si="8"/>
        <v>341</v>
      </c>
      <c r="S101" s="35">
        <f t="shared" si="9"/>
        <v>1.9208037825059102E-2</v>
      </c>
      <c r="T101" s="28">
        <f t="shared" si="10"/>
        <v>2.8283372455458498E-2</v>
      </c>
      <c r="U101" s="68"/>
    </row>
    <row r="102" spans="1:21" x14ac:dyDescent="0.25">
      <c r="A102" s="2">
        <v>43993</v>
      </c>
      <c r="B102" s="127">
        <v>1386</v>
      </c>
      <c r="C102" s="154">
        <v>27373</v>
      </c>
      <c r="D102" s="126">
        <v>30</v>
      </c>
      <c r="E102" s="126">
        <f t="shared" si="7"/>
        <v>765</v>
      </c>
      <c r="F102" s="126">
        <f t="shared" si="6"/>
        <v>411</v>
      </c>
      <c r="G102" s="148">
        <v>8743</v>
      </c>
      <c r="H102" s="124">
        <v>295</v>
      </c>
      <c r="I102" s="126">
        <v>6498</v>
      </c>
      <c r="J102" s="4">
        <v>221305</v>
      </c>
      <c r="K102" s="7">
        <v>777</v>
      </c>
      <c r="L102" s="7">
        <v>154725</v>
      </c>
      <c r="M102" s="4">
        <v>155502</v>
      </c>
      <c r="N102" s="4">
        <v>999</v>
      </c>
      <c r="O102" s="4">
        <v>11091</v>
      </c>
      <c r="P102" s="4">
        <v>10542</v>
      </c>
      <c r="Q102" s="12">
        <f t="shared" si="13"/>
        <v>4741</v>
      </c>
      <c r="R102" s="20">
        <f t="shared" si="8"/>
        <v>411</v>
      </c>
      <c r="S102" s="35">
        <f t="shared" si="9"/>
        <v>1.6512734396865379E-2</v>
      </c>
      <c r="T102" s="28">
        <f t="shared" si="10"/>
        <v>2.7947247287473057E-2</v>
      </c>
      <c r="U102" s="68"/>
    </row>
    <row r="103" spans="1:21" x14ac:dyDescent="0.25">
      <c r="A103" s="2">
        <v>43994</v>
      </c>
      <c r="B103" s="127">
        <v>1391</v>
      </c>
      <c r="C103" s="154">
        <v>28764</v>
      </c>
      <c r="D103" s="126">
        <v>20</v>
      </c>
      <c r="E103" s="126">
        <f t="shared" si="7"/>
        <v>785</v>
      </c>
      <c r="F103" s="126">
        <f t="shared" si="6"/>
        <v>340</v>
      </c>
      <c r="G103" s="148">
        <v>9083</v>
      </c>
      <c r="H103" s="124">
        <v>280</v>
      </c>
      <c r="I103" s="126">
        <v>7019</v>
      </c>
      <c r="J103" s="4">
        <v>228324</v>
      </c>
      <c r="K103" s="7">
        <v>797</v>
      </c>
      <c r="L103" s="24">
        <v>158691</v>
      </c>
      <c r="M103" s="4">
        <v>159488</v>
      </c>
      <c r="N103" s="4">
        <v>1005</v>
      </c>
      <c r="O103" s="4">
        <v>11529</v>
      </c>
      <c r="P103" s="4">
        <v>11161</v>
      </c>
      <c r="Q103" s="12">
        <f t="shared" si="13"/>
        <v>5069</v>
      </c>
      <c r="R103" s="20">
        <f t="shared" si="8"/>
        <v>340</v>
      </c>
      <c r="S103" s="35">
        <f t="shared" si="9"/>
        <v>1.4817950889077053E-2</v>
      </c>
      <c r="T103" s="28">
        <f t="shared" si="10"/>
        <v>2.7291058267278543E-2</v>
      </c>
      <c r="U103" s="68"/>
    </row>
    <row r="104" spans="1:21" x14ac:dyDescent="0.25">
      <c r="A104" s="2">
        <v>43995</v>
      </c>
      <c r="B104" s="128">
        <v>1531</v>
      </c>
      <c r="C104" s="154">
        <v>30295</v>
      </c>
      <c r="D104" s="126">
        <v>30</v>
      </c>
      <c r="E104" s="126">
        <f t="shared" si="7"/>
        <v>815</v>
      </c>
      <c r="F104" s="126">
        <f t="shared" si="6"/>
        <v>481</v>
      </c>
      <c r="G104" s="149">
        <v>9564</v>
      </c>
      <c r="H104" s="150">
        <v>293</v>
      </c>
      <c r="I104" s="126">
        <v>6046</v>
      </c>
      <c r="J104" s="4">
        <v>234370</v>
      </c>
      <c r="K104" s="7">
        <v>815</v>
      </c>
      <c r="L104" s="24">
        <v>162346</v>
      </c>
      <c r="M104" s="4">
        <v>163161</v>
      </c>
      <c r="N104" s="4">
        <v>1011</v>
      </c>
      <c r="O104" s="4">
        <v>11950</v>
      </c>
      <c r="P104" s="4">
        <v>11707</v>
      </c>
      <c r="Q104" s="12">
        <f t="shared" si="13"/>
        <v>5627</v>
      </c>
      <c r="R104" s="20">
        <f t="shared" si="8"/>
        <v>481</v>
      </c>
      <c r="S104" s="35">
        <f t="shared" si="9"/>
        <v>1.4711789515967062E-2</v>
      </c>
      <c r="T104" s="28">
        <f t="shared" si="10"/>
        <v>2.6902129064202012E-2</v>
      </c>
      <c r="U104" s="68"/>
    </row>
    <row r="105" spans="1:21" x14ac:dyDescent="0.25">
      <c r="A105" s="2">
        <v>43996</v>
      </c>
      <c r="B105" s="127">
        <v>1282</v>
      </c>
      <c r="C105" s="154">
        <v>31577</v>
      </c>
      <c r="D105" s="126">
        <v>18</v>
      </c>
      <c r="E105" s="126">
        <f t="shared" si="7"/>
        <v>833</v>
      </c>
      <c r="F105" s="126">
        <f t="shared" si="6"/>
        <v>327</v>
      </c>
      <c r="G105" s="149">
        <v>9891</v>
      </c>
      <c r="H105" s="151">
        <v>316</v>
      </c>
      <c r="I105" s="126">
        <v>5571</v>
      </c>
      <c r="J105" s="4">
        <v>239941</v>
      </c>
      <c r="K105" s="7">
        <v>832</v>
      </c>
      <c r="L105" s="7">
        <v>165611</v>
      </c>
      <c r="M105" s="4">
        <v>166443</v>
      </c>
      <c r="N105" s="11">
        <v>1022</v>
      </c>
      <c r="O105" s="11">
        <v>12386</v>
      </c>
      <c r="P105" s="11">
        <v>12167</v>
      </c>
      <c r="Q105" s="12">
        <f t="shared" si="13"/>
        <v>6002</v>
      </c>
      <c r="R105" s="20">
        <f t="shared" si="8"/>
        <v>327</v>
      </c>
      <c r="S105" s="35">
        <f t="shared" si="9"/>
        <v>1.5153694912003069E-2</v>
      </c>
      <c r="T105" s="28">
        <f t="shared" si="10"/>
        <v>2.6379960097539349E-2</v>
      </c>
      <c r="U105" s="68"/>
    </row>
    <row r="106" spans="1:21" x14ac:dyDescent="0.25">
      <c r="A106" s="2">
        <v>43997</v>
      </c>
      <c r="B106" s="127">
        <v>1208</v>
      </c>
      <c r="C106" s="154">
        <v>32785</v>
      </c>
      <c r="D106" s="126">
        <v>21</v>
      </c>
      <c r="E106" s="126">
        <f t="shared" si="7"/>
        <v>854</v>
      </c>
      <c r="F106" s="126">
        <f t="shared" si="6"/>
        <v>273</v>
      </c>
      <c r="G106" s="149">
        <v>10164</v>
      </c>
      <c r="H106" s="152">
        <v>324</v>
      </c>
      <c r="I106" s="126">
        <v>5118</v>
      </c>
      <c r="J106" s="4">
        <v>245059</v>
      </c>
      <c r="K106" s="7">
        <v>847</v>
      </c>
      <c r="L106" s="7">
        <v>168596</v>
      </c>
      <c r="M106" s="4">
        <v>169443</v>
      </c>
      <c r="N106" s="11">
        <v>1028</v>
      </c>
      <c r="O106" s="11">
        <v>12835</v>
      </c>
      <c r="P106" s="11">
        <v>12828</v>
      </c>
      <c r="Q106" s="12">
        <f t="shared" si="13"/>
        <v>6094</v>
      </c>
      <c r="R106" s="20">
        <f t="shared" si="8"/>
        <v>273</v>
      </c>
      <c r="S106" s="35">
        <f t="shared" si="9"/>
        <v>1.4884917535719208E-2</v>
      </c>
      <c r="T106" s="28">
        <f t="shared" si="10"/>
        <v>2.6048497788622844E-2</v>
      </c>
      <c r="U106" s="68"/>
    </row>
    <row r="107" spans="1:21" x14ac:dyDescent="0.25">
      <c r="A107" s="2">
        <v>43998</v>
      </c>
      <c r="B107" s="127">
        <v>1374</v>
      </c>
      <c r="C107" s="154">
        <v>34159</v>
      </c>
      <c r="D107" s="126">
        <v>24</v>
      </c>
      <c r="E107" s="126">
        <f t="shared" si="7"/>
        <v>878</v>
      </c>
      <c r="F107" s="126">
        <f t="shared" si="6"/>
        <v>348</v>
      </c>
      <c r="G107" s="149">
        <v>10512</v>
      </c>
      <c r="H107" s="152">
        <v>345</v>
      </c>
      <c r="I107" s="129">
        <v>5556</v>
      </c>
      <c r="J107" s="11">
        <v>250615</v>
      </c>
      <c r="K107" s="7">
        <v>863</v>
      </c>
      <c r="L107" s="7">
        <v>171855</v>
      </c>
      <c r="M107" s="4">
        <v>172718</v>
      </c>
      <c r="N107" s="11">
        <v>1030</v>
      </c>
      <c r="O107" s="11">
        <v>13340</v>
      </c>
      <c r="P107" s="11">
        <v>13602</v>
      </c>
      <c r="Q107" s="12">
        <f t="shared" si="13"/>
        <v>6187</v>
      </c>
      <c r="R107" s="20">
        <f t="shared" si="8"/>
        <v>348</v>
      </c>
      <c r="S107" s="35">
        <f t="shared" si="9"/>
        <v>1.5152180596424964E-2</v>
      </c>
      <c r="T107" s="28">
        <f t="shared" si="10"/>
        <v>2.5703328551772594E-2</v>
      </c>
      <c r="U107" s="68"/>
    </row>
    <row r="108" spans="1:21" x14ac:dyDescent="0.25">
      <c r="A108" s="2">
        <v>43999</v>
      </c>
      <c r="B108" s="126">
        <v>1393</v>
      </c>
      <c r="C108" s="154">
        <v>35552</v>
      </c>
      <c r="D108" s="126">
        <v>35</v>
      </c>
      <c r="E108" s="126">
        <f t="shared" si="7"/>
        <v>913</v>
      </c>
      <c r="F108" s="126">
        <f t="shared" si="6"/>
        <v>209</v>
      </c>
      <c r="G108" s="149">
        <v>10721</v>
      </c>
      <c r="H108" s="152">
        <v>353</v>
      </c>
      <c r="I108" s="126">
        <v>6477</v>
      </c>
      <c r="J108" s="4">
        <v>257092</v>
      </c>
      <c r="K108" s="7">
        <v>882</v>
      </c>
      <c r="L108" s="7">
        <v>175554</v>
      </c>
      <c r="M108" s="4">
        <v>176436</v>
      </c>
      <c r="N108" s="11">
        <v>1036</v>
      </c>
      <c r="O108" s="11">
        <v>13805</v>
      </c>
      <c r="P108" s="11">
        <v>14433</v>
      </c>
      <c r="Q108" s="12">
        <f t="shared" si="13"/>
        <v>6278</v>
      </c>
      <c r="R108" s="20">
        <f t="shared" si="8"/>
        <v>209</v>
      </c>
      <c r="S108" s="35">
        <f t="shared" si="9"/>
        <v>1.4758759093569697E-2</v>
      </c>
      <c r="T108" s="28">
        <f t="shared" si="10"/>
        <v>2.5680693069306929E-2</v>
      </c>
      <c r="U108" s="68"/>
    </row>
    <row r="109" spans="1:21" x14ac:dyDescent="0.25">
      <c r="A109" s="2">
        <v>44000</v>
      </c>
      <c r="B109" s="127">
        <v>1958</v>
      </c>
      <c r="C109" s="154">
        <v>37510</v>
      </c>
      <c r="D109" s="126">
        <v>34</v>
      </c>
      <c r="E109" s="126">
        <f t="shared" si="7"/>
        <v>947</v>
      </c>
      <c r="F109" s="126">
        <f t="shared" si="6"/>
        <v>1130</v>
      </c>
      <c r="G109" s="149">
        <v>11851</v>
      </c>
      <c r="H109" s="126">
        <v>364</v>
      </c>
      <c r="I109" s="126">
        <v>7512</v>
      </c>
      <c r="J109" s="4">
        <v>264604</v>
      </c>
      <c r="K109" s="7">
        <v>906</v>
      </c>
      <c r="L109" s="7">
        <v>180447</v>
      </c>
      <c r="M109" s="4">
        <v>181353</v>
      </c>
      <c r="N109" s="11">
        <v>1049</v>
      </c>
      <c r="O109" s="11">
        <v>14420</v>
      </c>
      <c r="P109" s="11">
        <v>15347</v>
      </c>
      <c r="Q109" s="12">
        <f t="shared" si="13"/>
        <v>6694</v>
      </c>
      <c r="R109" s="20">
        <f t="shared" si="8"/>
        <v>1130</v>
      </c>
      <c r="S109" s="35">
        <f t="shared" si="9"/>
        <v>1.4729685982518614E-2</v>
      </c>
      <c r="T109" s="28">
        <f t="shared" si="10"/>
        <v>2.5246600906424953E-2</v>
      </c>
      <c r="U109" s="68"/>
    </row>
    <row r="110" spans="1:21" x14ac:dyDescent="0.25">
      <c r="A110" s="2">
        <v>44001</v>
      </c>
      <c r="B110" s="127">
        <v>2060</v>
      </c>
      <c r="C110" s="154">
        <v>39570</v>
      </c>
      <c r="D110" s="126">
        <v>31</v>
      </c>
      <c r="E110" s="126">
        <f t="shared" si="7"/>
        <v>978</v>
      </c>
      <c r="F110" s="126">
        <f t="shared" si="6"/>
        <v>355</v>
      </c>
      <c r="G110" s="149">
        <v>12206</v>
      </c>
      <c r="H110" s="126">
        <v>364</v>
      </c>
      <c r="I110" s="126">
        <v>8625</v>
      </c>
      <c r="J110" s="4">
        <v>273229</v>
      </c>
      <c r="K110" s="7">
        <v>931</v>
      </c>
      <c r="L110" s="7">
        <v>185302</v>
      </c>
      <c r="M110" s="4">
        <v>186233</v>
      </c>
      <c r="N110" s="11">
        <v>1044</v>
      </c>
      <c r="O110" s="11">
        <v>15003</v>
      </c>
      <c r="P110" s="11">
        <v>16383</v>
      </c>
      <c r="Q110" s="12">
        <f t="shared" si="13"/>
        <v>7140</v>
      </c>
      <c r="R110" s="20">
        <f t="shared" si="8"/>
        <v>355</v>
      </c>
      <c r="S110" s="35">
        <f t="shared" si="9"/>
        <v>1.3795194421284015E-2</v>
      </c>
      <c r="T110" s="28">
        <f t="shared" si="10"/>
        <v>2.4715693707354058E-2</v>
      </c>
      <c r="U110" s="68"/>
    </row>
    <row r="111" spans="1:21" x14ac:dyDescent="0.25">
      <c r="A111" s="2">
        <v>44002</v>
      </c>
      <c r="B111" s="127">
        <v>1634</v>
      </c>
      <c r="C111" s="555">
        <v>41204</v>
      </c>
      <c r="D111" s="129">
        <v>14</v>
      </c>
      <c r="E111" s="126">
        <f t="shared" si="7"/>
        <v>992</v>
      </c>
      <c r="F111" s="126">
        <f t="shared" si="6"/>
        <v>522</v>
      </c>
      <c r="G111" s="149">
        <v>12728</v>
      </c>
      <c r="H111" s="126">
        <v>381</v>
      </c>
      <c r="I111" s="126">
        <v>6443</v>
      </c>
      <c r="J111" s="4">
        <v>279672</v>
      </c>
      <c r="K111" s="7">
        <v>950</v>
      </c>
      <c r="L111" s="7">
        <v>188951</v>
      </c>
      <c r="M111" s="4">
        <v>189901</v>
      </c>
      <c r="N111" s="4">
        <v>1046</v>
      </c>
      <c r="O111" s="4">
        <v>15528</v>
      </c>
      <c r="P111" s="4">
        <v>17095</v>
      </c>
      <c r="Q111" s="12">
        <f t="shared" si="13"/>
        <v>7535</v>
      </c>
      <c r="R111" s="20">
        <f t="shared" si="8"/>
        <v>522</v>
      </c>
      <c r="S111" s="35">
        <f t="shared" si="9"/>
        <v>1.38626109736574E-2</v>
      </c>
      <c r="T111" s="28">
        <f t="shared" si="10"/>
        <v>2.4075332491991067E-2</v>
      </c>
      <c r="U111" s="68"/>
    </row>
    <row r="112" spans="1:21" x14ac:dyDescent="0.25">
      <c r="A112" s="2">
        <v>44003</v>
      </c>
      <c r="B112" s="127">
        <v>1581</v>
      </c>
      <c r="C112" s="154">
        <v>42785</v>
      </c>
      <c r="D112" s="129">
        <v>19</v>
      </c>
      <c r="E112" s="126">
        <f t="shared" si="7"/>
        <v>1011</v>
      </c>
      <c r="F112" s="126">
        <f t="shared" si="6"/>
        <v>425</v>
      </c>
      <c r="G112" s="153">
        <v>13153</v>
      </c>
      <c r="H112" s="126">
        <v>397</v>
      </c>
      <c r="I112" s="126">
        <v>5719</v>
      </c>
      <c r="J112" s="7">
        <v>285391</v>
      </c>
      <c r="K112" s="7">
        <v>773.26800000001094</v>
      </c>
      <c r="L112" s="7">
        <v>192543.73199999999</v>
      </c>
      <c r="M112" s="4">
        <v>193317</v>
      </c>
      <c r="N112" s="4">
        <v>1047</v>
      </c>
      <c r="O112" s="4">
        <v>16101</v>
      </c>
      <c r="P112" s="4">
        <v>17750</v>
      </c>
      <c r="Q112" s="12">
        <f t="shared" si="13"/>
        <v>7887</v>
      </c>
      <c r="R112" s="20">
        <f t="shared" si="8"/>
        <v>425</v>
      </c>
      <c r="S112" s="35">
        <f t="shared" si="9"/>
        <v>1.3870933929632089E-2</v>
      </c>
      <c r="T112" s="28">
        <f t="shared" si="10"/>
        <v>2.3629776790931402E-2</v>
      </c>
      <c r="U112" s="68"/>
    </row>
    <row r="113" spans="1:22" x14ac:dyDescent="0.25">
      <c r="A113" s="2">
        <v>44004</v>
      </c>
      <c r="B113" s="127">
        <v>2146</v>
      </c>
      <c r="C113" s="555">
        <v>44931</v>
      </c>
      <c r="D113" s="126">
        <v>32</v>
      </c>
      <c r="E113" s="126">
        <f t="shared" si="7"/>
        <v>1043</v>
      </c>
      <c r="F113" s="126">
        <f t="shared" si="6"/>
        <v>423</v>
      </c>
      <c r="G113" s="153">
        <v>13576</v>
      </c>
      <c r="H113" s="126">
        <v>414</v>
      </c>
      <c r="I113" s="126">
        <v>7120</v>
      </c>
      <c r="J113" s="7">
        <v>292511</v>
      </c>
      <c r="K113" s="14">
        <v>790</v>
      </c>
      <c r="L113" s="14">
        <v>196839</v>
      </c>
      <c r="M113" s="4">
        <v>197629</v>
      </c>
      <c r="N113" s="12">
        <v>1050</v>
      </c>
      <c r="O113" s="12">
        <v>16924</v>
      </c>
      <c r="P113" s="12">
        <v>18537</v>
      </c>
      <c r="Q113" s="12">
        <f t="shared" si="13"/>
        <v>8420</v>
      </c>
      <c r="R113" s="20">
        <f t="shared" si="8"/>
        <v>423</v>
      </c>
      <c r="S113" s="35">
        <f t="shared" si="9"/>
        <v>1.3657957244655582E-2</v>
      </c>
      <c r="T113" s="28">
        <f t="shared" si="10"/>
        <v>2.3213371614252964E-2</v>
      </c>
      <c r="U113" s="68"/>
    </row>
    <row r="114" spans="1:22" x14ac:dyDescent="0.25">
      <c r="A114" s="2">
        <v>44005</v>
      </c>
      <c r="B114" s="126">
        <v>2285</v>
      </c>
      <c r="C114" s="154">
        <f>C113+B114</f>
        <v>47216</v>
      </c>
      <c r="D114" s="126">
        <v>35</v>
      </c>
      <c r="E114" s="126">
        <f t="shared" si="7"/>
        <v>1078</v>
      </c>
      <c r="F114" s="126">
        <f t="shared" si="6"/>
        <v>240</v>
      </c>
      <c r="G114" s="153">
        <v>13816</v>
      </c>
      <c r="H114" s="126">
        <v>433</v>
      </c>
      <c r="I114" s="126">
        <v>7832</v>
      </c>
      <c r="J114" s="12">
        <v>300343</v>
      </c>
      <c r="K114" s="14">
        <v>812</v>
      </c>
      <c r="L114" s="31">
        <v>202380</v>
      </c>
      <c r="M114" s="12">
        <v>203192</v>
      </c>
      <c r="N114" s="11">
        <v>1052</v>
      </c>
      <c r="O114" s="12">
        <v>17655</v>
      </c>
      <c r="P114" s="12">
        <v>19603</v>
      </c>
      <c r="Q114" s="12">
        <f t="shared" si="13"/>
        <v>8906</v>
      </c>
      <c r="R114" s="20">
        <f t="shared" si="8"/>
        <v>240</v>
      </c>
      <c r="S114" s="35">
        <f t="shared" si="9"/>
        <v>1.3396448239589135E-2</v>
      </c>
      <c r="T114" s="28">
        <f t="shared" si="10"/>
        <v>2.2831243646221619E-2</v>
      </c>
      <c r="U114" s="68"/>
    </row>
    <row r="115" spans="1:22" x14ac:dyDescent="0.25">
      <c r="A115" s="2">
        <v>44006</v>
      </c>
      <c r="B115" s="127">
        <v>2635</v>
      </c>
      <c r="C115" s="154">
        <v>49851</v>
      </c>
      <c r="D115" s="126">
        <v>38</v>
      </c>
      <c r="E115" s="126">
        <f t="shared" si="7"/>
        <v>1116</v>
      </c>
      <c r="F115" s="126">
        <f t="shared" si="6"/>
        <v>972</v>
      </c>
      <c r="G115" s="153">
        <v>14788</v>
      </c>
      <c r="H115" s="126">
        <v>457</v>
      </c>
      <c r="I115" s="126">
        <v>9258</v>
      </c>
      <c r="J115" s="4">
        <v>309601</v>
      </c>
      <c r="K115" s="14">
        <v>832.92800000001444</v>
      </c>
      <c r="L115" s="14">
        <v>207399.07199999999</v>
      </c>
      <c r="M115" s="1">
        <v>208232</v>
      </c>
      <c r="N115" s="10">
        <v>1060</v>
      </c>
      <c r="O115" s="10">
        <v>18460</v>
      </c>
      <c r="P115" s="10">
        <v>20816</v>
      </c>
      <c r="Q115" s="12">
        <f t="shared" si="13"/>
        <v>9515</v>
      </c>
      <c r="R115" s="20">
        <f t="shared" si="8"/>
        <v>972</v>
      </c>
      <c r="S115" s="35">
        <f t="shared" si="9"/>
        <v>1.3462161604854627E-2</v>
      </c>
      <c r="T115" s="28">
        <f t="shared" si="10"/>
        <v>2.2386712402960824E-2</v>
      </c>
      <c r="U115" s="68"/>
    </row>
    <row r="116" spans="1:22" x14ac:dyDescent="0.25">
      <c r="A116" s="2">
        <v>44007</v>
      </c>
      <c r="B116" s="126">
        <v>2606</v>
      </c>
      <c r="C116" s="555">
        <v>52457</v>
      </c>
      <c r="D116" s="126">
        <v>34</v>
      </c>
      <c r="E116" s="126">
        <f t="shared" si="7"/>
        <v>1150</v>
      </c>
      <c r="F116" s="126">
        <f t="shared" si="6"/>
        <v>3628</v>
      </c>
      <c r="G116" s="153">
        <v>18416</v>
      </c>
      <c r="H116" s="126">
        <v>472</v>
      </c>
      <c r="I116" s="126">
        <v>9120</v>
      </c>
      <c r="J116" s="4">
        <v>318721</v>
      </c>
      <c r="K116" s="7">
        <v>852</v>
      </c>
      <c r="L116" s="7">
        <v>212323</v>
      </c>
      <c r="M116" s="4">
        <v>213175</v>
      </c>
      <c r="N116" s="4">
        <v>1061</v>
      </c>
      <c r="O116" s="4">
        <v>19202</v>
      </c>
      <c r="P116" s="4">
        <v>22078</v>
      </c>
      <c r="Q116" s="12">
        <f t="shared" si="13"/>
        <v>10116</v>
      </c>
      <c r="R116" s="20">
        <f t="shared" si="8"/>
        <v>3628</v>
      </c>
      <c r="S116" s="35">
        <f t="shared" si="9"/>
        <v>1.4350430208871728E-2</v>
      </c>
      <c r="T116" s="28">
        <f t="shared" si="10"/>
        <v>2.1922717654459842E-2</v>
      </c>
      <c r="U116" s="68"/>
    </row>
    <row r="117" spans="1:22" x14ac:dyDescent="0.25">
      <c r="A117" s="2">
        <v>44008</v>
      </c>
      <c r="B117" s="127">
        <v>2886</v>
      </c>
      <c r="C117" s="154">
        <v>55343</v>
      </c>
      <c r="D117" s="129">
        <v>34</v>
      </c>
      <c r="E117" s="126">
        <f t="shared" si="7"/>
        <v>1184</v>
      </c>
      <c r="F117" s="126">
        <f t="shared" si="6"/>
        <v>727</v>
      </c>
      <c r="G117" s="153">
        <v>19143</v>
      </c>
      <c r="H117" s="126">
        <v>507</v>
      </c>
      <c r="I117" s="126">
        <v>10315</v>
      </c>
      <c r="J117" s="4">
        <v>329036</v>
      </c>
      <c r="K117" s="7">
        <v>874</v>
      </c>
      <c r="L117" s="7">
        <v>217766</v>
      </c>
      <c r="M117" s="4">
        <v>218640</v>
      </c>
      <c r="N117" s="11">
        <v>1061</v>
      </c>
      <c r="O117" s="11">
        <v>20095</v>
      </c>
      <c r="P117" s="11">
        <v>23464</v>
      </c>
      <c r="Q117" s="12">
        <f t="shared" si="13"/>
        <v>10723</v>
      </c>
      <c r="R117" s="20">
        <f t="shared" si="8"/>
        <v>727</v>
      </c>
      <c r="S117" s="35">
        <f t="shared" si="9"/>
        <v>1.4479095270733379E-2</v>
      </c>
      <c r="T117" s="28">
        <f t="shared" si="10"/>
        <v>2.1393852881123176E-2</v>
      </c>
      <c r="U117" s="68"/>
    </row>
    <row r="118" spans="1:22" x14ac:dyDescent="0.25">
      <c r="A118" s="2">
        <v>44009</v>
      </c>
      <c r="B118" s="129">
        <v>2401</v>
      </c>
      <c r="C118" s="154">
        <v>57744</v>
      </c>
      <c r="D118" s="126">
        <v>23</v>
      </c>
      <c r="E118" s="126">
        <f t="shared" si="7"/>
        <v>1207</v>
      </c>
      <c r="F118" s="126">
        <f t="shared" si="6"/>
        <v>991</v>
      </c>
      <c r="G118" s="153">
        <v>20134</v>
      </c>
      <c r="H118" s="126">
        <v>542</v>
      </c>
      <c r="I118" s="126">
        <v>7915</v>
      </c>
      <c r="J118" s="4">
        <v>336951</v>
      </c>
      <c r="K118" s="7">
        <v>892.88399999999092</v>
      </c>
      <c r="L118" s="7">
        <v>222328.11600000001</v>
      </c>
      <c r="M118" s="4">
        <v>223221</v>
      </c>
      <c r="N118" s="11">
        <v>1062</v>
      </c>
      <c r="O118" s="4">
        <v>20807</v>
      </c>
      <c r="P118" s="4">
        <v>24743</v>
      </c>
      <c r="Q118" s="12">
        <f t="shared" si="13"/>
        <v>11132</v>
      </c>
      <c r="R118" s="20">
        <f t="shared" si="8"/>
        <v>991</v>
      </c>
      <c r="S118" s="35">
        <f t="shared" si="9"/>
        <v>1.4888882784385903E-2</v>
      </c>
      <c r="T118" s="28">
        <f t="shared" si="10"/>
        <v>2.090260459961208E-2</v>
      </c>
      <c r="U118" s="68"/>
    </row>
    <row r="119" spans="1:22" x14ac:dyDescent="0.25">
      <c r="A119" s="2">
        <v>44010</v>
      </c>
      <c r="B119" s="127">
        <v>2189</v>
      </c>
      <c r="C119" s="154">
        <f>C118+B119</f>
        <v>59933</v>
      </c>
      <c r="D119" s="126">
        <v>25</v>
      </c>
      <c r="E119" s="126">
        <f t="shared" si="7"/>
        <v>1232</v>
      </c>
      <c r="F119" s="126">
        <f t="shared" si="6"/>
        <v>1004</v>
      </c>
      <c r="G119" s="153">
        <v>21138</v>
      </c>
      <c r="H119" s="126">
        <v>535</v>
      </c>
      <c r="I119" s="126">
        <v>7458</v>
      </c>
      <c r="J119" s="4">
        <v>344409</v>
      </c>
      <c r="K119" s="7">
        <v>908</v>
      </c>
      <c r="L119" s="7">
        <v>226138</v>
      </c>
      <c r="M119" s="4">
        <v>227046</v>
      </c>
      <c r="N119" s="4">
        <v>1063</v>
      </c>
      <c r="O119" s="4">
        <v>21599</v>
      </c>
      <c r="P119" s="4">
        <v>25600</v>
      </c>
      <c r="Q119" s="12">
        <f t="shared" si="13"/>
        <v>11671</v>
      </c>
      <c r="R119" s="20">
        <f t="shared" si="8"/>
        <v>1004</v>
      </c>
      <c r="S119" s="35">
        <f t="shared" si="9"/>
        <v>1.4242738865372841E-2</v>
      </c>
      <c r="T119" s="28">
        <f t="shared" si="10"/>
        <v>2.055628785477116E-2</v>
      </c>
      <c r="U119" s="68"/>
      <c r="V119" s="196"/>
    </row>
    <row r="120" spans="1:22" x14ac:dyDescent="0.25">
      <c r="A120" s="36">
        <v>44011</v>
      </c>
      <c r="B120" s="129">
        <v>2335</v>
      </c>
      <c r="C120" s="154">
        <f>C119+B120</f>
        <v>62268</v>
      </c>
      <c r="D120" s="126">
        <v>48</v>
      </c>
      <c r="E120" s="126">
        <f t="shared" si="7"/>
        <v>1280</v>
      </c>
      <c r="F120" s="126">
        <f t="shared" si="6"/>
        <v>890</v>
      </c>
      <c r="G120" s="153">
        <v>22028</v>
      </c>
      <c r="H120" s="126">
        <v>555</v>
      </c>
      <c r="I120" s="126">
        <v>7933</v>
      </c>
      <c r="J120" s="4">
        <v>350402</v>
      </c>
      <c r="K120" s="7">
        <v>928</v>
      </c>
      <c r="L120" s="7">
        <f>M120-K120</f>
        <v>231088</v>
      </c>
      <c r="M120" s="4">
        <v>232016</v>
      </c>
      <c r="N120" s="4">
        <v>1064</v>
      </c>
      <c r="O120" s="4">
        <v>22481</v>
      </c>
      <c r="P120" s="4">
        <v>27136</v>
      </c>
      <c r="Q120" s="12">
        <f t="shared" si="13"/>
        <v>11587</v>
      </c>
      <c r="R120" s="20">
        <f t="shared" si="8"/>
        <v>890</v>
      </c>
      <c r="S120" s="35">
        <f t="shared" si="9"/>
        <v>1.4245379876796714E-2</v>
      </c>
      <c r="T120" s="28">
        <f t="shared" si="10"/>
        <v>2.0556305004175501E-2</v>
      </c>
      <c r="U120" s="68"/>
      <c r="V120" s="196"/>
    </row>
    <row r="121" spans="1:22" x14ac:dyDescent="0.25">
      <c r="A121" s="2">
        <v>44012</v>
      </c>
      <c r="B121" s="126">
        <v>2262</v>
      </c>
      <c r="C121" s="154">
        <v>64530</v>
      </c>
      <c r="D121" s="126">
        <v>27</v>
      </c>
      <c r="E121" s="126">
        <f t="shared" si="7"/>
        <v>1307</v>
      </c>
      <c r="F121" s="126">
        <f t="shared" si="6"/>
        <v>1012</v>
      </c>
      <c r="G121" s="153">
        <v>23040</v>
      </c>
      <c r="H121" s="126">
        <v>576</v>
      </c>
      <c r="I121" s="126">
        <v>10506</v>
      </c>
      <c r="J121" s="4">
        <v>362908</v>
      </c>
      <c r="K121" s="7">
        <v>946</v>
      </c>
      <c r="L121" s="7">
        <f>M121-K121</f>
        <v>235617</v>
      </c>
      <c r="M121" s="4">
        <v>236563</v>
      </c>
      <c r="N121" s="12">
        <v>1065</v>
      </c>
      <c r="O121" s="4">
        <v>23565</v>
      </c>
      <c r="P121" s="12">
        <v>28732</v>
      </c>
      <c r="Q121" s="12">
        <f t="shared" si="13"/>
        <v>11168</v>
      </c>
      <c r="R121" s="20">
        <f t="shared" si="8"/>
        <v>1012</v>
      </c>
      <c r="S121" s="35">
        <f t="shared" si="9"/>
        <v>1.4334420028370206E-2</v>
      </c>
      <c r="T121" s="28">
        <f t="shared" si="10"/>
        <v>2.0254145358747869E-2</v>
      </c>
      <c r="U121" s="68"/>
      <c r="V121" s="196"/>
    </row>
    <row r="122" spans="1:22" x14ac:dyDescent="0.25">
      <c r="A122" s="2">
        <v>44013</v>
      </c>
      <c r="B122" s="129">
        <v>2667</v>
      </c>
      <c r="C122" s="154">
        <f>C121+B122</f>
        <v>67197</v>
      </c>
      <c r="D122" s="126">
        <v>44</v>
      </c>
      <c r="E122" s="126">
        <f t="shared" si="7"/>
        <v>1351</v>
      </c>
      <c r="F122" s="126">
        <f t="shared" si="6"/>
        <v>1146</v>
      </c>
      <c r="G122" s="153">
        <v>24186</v>
      </c>
      <c r="H122" s="126">
        <v>594</v>
      </c>
      <c r="I122" s="126">
        <v>9200</v>
      </c>
      <c r="J122" s="4">
        <v>372108</v>
      </c>
      <c r="K122" s="7">
        <v>966</v>
      </c>
      <c r="L122" s="7">
        <v>240610</v>
      </c>
      <c r="M122" s="4">
        <v>246576</v>
      </c>
      <c r="N122" s="11">
        <v>1066</v>
      </c>
      <c r="O122" s="11">
        <v>24124</v>
      </c>
      <c r="P122" s="11">
        <v>30493</v>
      </c>
      <c r="Q122" s="12">
        <f t="shared" si="13"/>
        <v>11514</v>
      </c>
      <c r="R122" s="20">
        <f t="shared" si="8"/>
        <v>1146</v>
      </c>
      <c r="S122" s="35">
        <f t="shared" si="9"/>
        <v>1.4258281325012001E-2</v>
      </c>
      <c r="T122" s="28">
        <f t="shared" si="10"/>
        <v>2.0105064214176228E-2</v>
      </c>
      <c r="U122" s="68"/>
      <c r="V122" s="196"/>
    </row>
    <row r="123" spans="1:22" x14ac:dyDescent="0.25">
      <c r="A123" s="2">
        <v>44014</v>
      </c>
      <c r="B123" s="129">
        <v>2744</v>
      </c>
      <c r="C123" s="154">
        <f>C122+B123</f>
        <v>69941</v>
      </c>
      <c r="D123" s="126">
        <v>34</v>
      </c>
      <c r="E123" s="126">
        <f t="shared" si="7"/>
        <v>1385</v>
      </c>
      <c r="F123" s="126">
        <f t="shared" si="6"/>
        <v>1038</v>
      </c>
      <c r="G123" s="153">
        <v>25224</v>
      </c>
      <c r="H123" s="126">
        <v>620</v>
      </c>
      <c r="I123" s="126">
        <v>9323</v>
      </c>
      <c r="J123" s="4">
        <v>381431</v>
      </c>
      <c r="K123" s="7">
        <f>M123-L123</f>
        <v>737.55600000001141</v>
      </c>
      <c r="L123" s="7">
        <f>M123*0.997</f>
        <v>245114.44399999999</v>
      </c>
      <c r="M123" s="4">
        <v>245852</v>
      </c>
      <c r="N123" s="4">
        <v>1067</v>
      </c>
      <c r="O123" s="4">
        <v>24969</v>
      </c>
      <c r="P123" s="4">
        <v>32144</v>
      </c>
      <c r="Q123" s="12">
        <f t="shared" si="13"/>
        <v>11761</v>
      </c>
      <c r="R123" s="20">
        <f t="shared" si="8"/>
        <v>1038</v>
      </c>
      <c r="S123" s="35">
        <f t="shared" si="9"/>
        <v>1.4308132557924859E-2</v>
      </c>
      <c r="T123" s="28">
        <f t="shared" si="10"/>
        <v>1.9802404884116612E-2</v>
      </c>
      <c r="U123" s="68"/>
      <c r="V123" s="196"/>
    </row>
    <row r="124" spans="1:22" ht="16.5" customHeight="1" x14ac:dyDescent="0.25">
      <c r="A124" s="2">
        <v>44015</v>
      </c>
      <c r="B124" s="127">
        <v>2845</v>
      </c>
      <c r="C124" s="148">
        <f>C123+B124</f>
        <v>72786</v>
      </c>
      <c r="D124" s="124">
        <v>52</v>
      </c>
      <c r="E124" s="126">
        <f t="shared" si="7"/>
        <v>1437</v>
      </c>
      <c r="F124" s="126">
        <f t="shared" si="6"/>
        <v>706</v>
      </c>
      <c r="G124" s="153">
        <v>25930</v>
      </c>
      <c r="H124" s="124">
        <v>637</v>
      </c>
      <c r="I124" s="126">
        <v>8951</v>
      </c>
      <c r="J124" s="4">
        <v>390382</v>
      </c>
      <c r="K124" s="7">
        <v>751</v>
      </c>
      <c r="L124" s="7">
        <v>249794</v>
      </c>
      <c r="M124" s="4">
        <f>L124+K124</f>
        <v>250545</v>
      </c>
      <c r="N124" s="11">
        <v>1068</v>
      </c>
      <c r="O124" s="11">
        <v>25848</v>
      </c>
      <c r="P124" s="11">
        <v>33867</v>
      </c>
      <c r="Q124" s="12">
        <f t="shared" si="13"/>
        <v>12003</v>
      </c>
      <c r="R124" s="20">
        <f t="shared" si="8"/>
        <v>706</v>
      </c>
      <c r="S124" s="35">
        <f t="shared" si="9"/>
        <v>1.4024967524604241E-2</v>
      </c>
      <c r="T124" s="28">
        <f t="shared" si="10"/>
        <v>1.9742807682796144E-2</v>
      </c>
      <c r="U124" s="68"/>
      <c r="V124" s="196"/>
    </row>
    <row r="125" spans="1:22" x14ac:dyDescent="0.25">
      <c r="A125" s="2">
        <v>44016</v>
      </c>
      <c r="B125" s="127">
        <v>2590</v>
      </c>
      <c r="C125" s="148">
        <f>C124+B125</f>
        <v>75376</v>
      </c>
      <c r="D125" s="124">
        <v>44</v>
      </c>
      <c r="E125" s="126">
        <f t="shared" si="7"/>
        <v>1481</v>
      </c>
      <c r="F125" s="126">
        <f t="shared" si="6"/>
        <v>1667</v>
      </c>
      <c r="G125" s="153">
        <v>27597</v>
      </c>
      <c r="H125" s="124">
        <v>658</v>
      </c>
      <c r="I125" s="126">
        <v>9072</v>
      </c>
      <c r="J125" s="4">
        <v>399454</v>
      </c>
      <c r="K125" s="7">
        <v>765</v>
      </c>
      <c r="L125" s="7">
        <v>254498</v>
      </c>
      <c r="M125" s="4">
        <v>255263</v>
      </c>
      <c r="N125" s="4">
        <v>1069</v>
      </c>
      <c r="O125" s="4">
        <v>26548</v>
      </c>
      <c r="P125" s="4">
        <v>35186</v>
      </c>
      <c r="Q125" s="12">
        <f>C125-P125-O125-N125</f>
        <v>12573</v>
      </c>
      <c r="R125" s="20">
        <f t="shared" si="8"/>
        <v>1667</v>
      </c>
      <c r="S125" s="35">
        <f t="shared" si="9"/>
        <v>1.4212276988206833E-2</v>
      </c>
      <c r="T125" s="28">
        <f t="shared" si="10"/>
        <v>1.9648163871789429E-2</v>
      </c>
      <c r="U125" s="68"/>
      <c r="V125" s="196"/>
    </row>
    <row r="126" spans="1:22" x14ac:dyDescent="0.25">
      <c r="A126" s="2">
        <v>44017</v>
      </c>
      <c r="B126" s="129">
        <v>2439</v>
      </c>
      <c r="C126" s="154">
        <v>77815</v>
      </c>
      <c r="D126" s="126">
        <v>26</v>
      </c>
      <c r="E126" s="126">
        <f t="shared" si="7"/>
        <v>1507</v>
      </c>
      <c r="F126" s="126">
        <f t="shared" si="6"/>
        <v>934</v>
      </c>
      <c r="G126" s="153">
        <v>28531</v>
      </c>
      <c r="H126" s="124">
        <v>676</v>
      </c>
      <c r="I126" s="126">
        <v>6756</v>
      </c>
      <c r="J126" s="4">
        <v>406210</v>
      </c>
      <c r="K126" s="7">
        <v>776</v>
      </c>
      <c r="L126" s="7">
        <v>258025</v>
      </c>
      <c r="M126" s="4">
        <v>258801</v>
      </c>
      <c r="N126" s="11">
        <v>1072</v>
      </c>
      <c r="O126" s="11">
        <v>27239</v>
      </c>
      <c r="P126" s="11">
        <v>36235</v>
      </c>
      <c r="Q126" s="4">
        <f>77815-P126-O126-N126</f>
        <v>13269</v>
      </c>
      <c r="R126" s="20">
        <f t="shared" si="8"/>
        <v>934</v>
      </c>
      <c r="S126" s="35">
        <f t="shared" si="9"/>
        <v>1.4149067542960001E-2</v>
      </c>
      <c r="T126" s="28">
        <f t="shared" si="10"/>
        <v>1.9366446057957978E-2</v>
      </c>
      <c r="U126" s="68"/>
      <c r="V126" s="196"/>
    </row>
    <row r="127" spans="1:22" x14ac:dyDescent="0.25">
      <c r="A127" s="36">
        <v>44018</v>
      </c>
      <c r="B127" s="126">
        <v>2632</v>
      </c>
      <c r="C127" s="154">
        <v>80447</v>
      </c>
      <c r="D127" s="126">
        <v>75</v>
      </c>
      <c r="E127" s="126">
        <f t="shared" si="7"/>
        <v>1582</v>
      </c>
      <c r="F127" s="126">
        <f t="shared" si="6"/>
        <v>1564</v>
      </c>
      <c r="G127" s="153">
        <v>30095</v>
      </c>
      <c r="H127" s="124">
        <v>688</v>
      </c>
      <c r="I127" s="126">
        <v>8487</v>
      </c>
      <c r="J127" s="13">
        <v>414697</v>
      </c>
      <c r="K127" s="7">
        <v>789</v>
      </c>
      <c r="L127" s="7">
        <f>M127-K127</f>
        <v>262367</v>
      </c>
      <c r="M127" s="4">
        <v>263156</v>
      </c>
      <c r="N127" s="4">
        <v>1073</v>
      </c>
      <c r="O127" s="4">
        <v>27991</v>
      </c>
      <c r="P127" s="4">
        <v>38006</v>
      </c>
      <c r="Q127" s="4">
        <f>80447-P127-O127-N127</f>
        <v>13377</v>
      </c>
      <c r="R127" s="20">
        <f t="shared" si="8"/>
        <v>1564</v>
      </c>
      <c r="S127" s="35">
        <f t="shared" si="9"/>
        <v>1.41070330120976E-2</v>
      </c>
      <c r="T127" s="28">
        <f t="shared" si="10"/>
        <v>1.966512113565453E-2</v>
      </c>
      <c r="U127" s="68"/>
      <c r="V127" s="196"/>
    </row>
    <row r="128" spans="1:22" x14ac:dyDescent="0.25">
      <c r="A128" s="2">
        <v>44019</v>
      </c>
      <c r="B128" s="126">
        <v>2979</v>
      </c>
      <c r="C128" s="154">
        <v>83426</v>
      </c>
      <c r="D128" s="126">
        <v>61</v>
      </c>
      <c r="E128" s="126">
        <f t="shared" si="7"/>
        <v>1643</v>
      </c>
      <c r="F128" s="126">
        <f t="shared" si="6"/>
        <v>6407</v>
      </c>
      <c r="G128" s="153">
        <v>36502</v>
      </c>
      <c r="H128" s="126">
        <v>646</v>
      </c>
      <c r="I128" s="126">
        <v>9805</v>
      </c>
      <c r="J128" s="13">
        <v>423782</v>
      </c>
      <c r="K128" s="7">
        <v>803</v>
      </c>
      <c r="L128" s="7">
        <v>266938</v>
      </c>
      <c r="M128" s="4">
        <v>267741</v>
      </c>
      <c r="N128" s="11">
        <v>1074</v>
      </c>
      <c r="O128" s="11">
        <v>28792</v>
      </c>
      <c r="P128" s="11">
        <v>39718</v>
      </c>
      <c r="Q128" s="4">
        <f>83426-P128-O128-N128</f>
        <v>13842</v>
      </c>
      <c r="R128" s="20">
        <f t="shared" si="8"/>
        <v>6407</v>
      </c>
      <c r="S128" s="35">
        <f t="shared" si="9"/>
        <v>1.4266469380093195E-2</v>
      </c>
      <c r="T128" s="28">
        <f t="shared" si="10"/>
        <v>1.969410016062139E-2</v>
      </c>
      <c r="U128" s="68"/>
      <c r="V128" s="196"/>
    </row>
    <row r="129" spans="1:22" x14ac:dyDescent="0.25">
      <c r="A129" s="2">
        <v>44020</v>
      </c>
      <c r="B129" s="126">
        <v>3604</v>
      </c>
      <c r="C129" s="555">
        <v>87030</v>
      </c>
      <c r="D129" s="126">
        <v>51</v>
      </c>
      <c r="E129" s="126">
        <f t="shared" si="7"/>
        <v>1694</v>
      </c>
      <c r="F129" s="126">
        <f t="shared" si="6"/>
        <v>1811</v>
      </c>
      <c r="G129" s="153">
        <v>38313</v>
      </c>
      <c r="H129" s="126">
        <v>671</v>
      </c>
      <c r="I129" s="126">
        <v>10910</v>
      </c>
      <c r="J129" s="13">
        <v>434692</v>
      </c>
      <c r="K129" s="7">
        <v>819</v>
      </c>
      <c r="L129" s="7">
        <v>272349</v>
      </c>
      <c r="M129" s="4">
        <v>273168</v>
      </c>
      <c r="N129" s="11">
        <v>1074</v>
      </c>
      <c r="O129" s="11">
        <v>29747</v>
      </c>
      <c r="P129" s="11">
        <v>41495</v>
      </c>
      <c r="Q129" s="4">
        <f>87030-P129-O129-N129</f>
        <v>14714</v>
      </c>
      <c r="R129" s="20">
        <f t="shared" si="8"/>
        <v>1811</v>
      </c>
      <c r="S129" s="35">
        <f t="shared" si="9"/>
        <v>1.4269612742700381E-2</v>
      </c>
      <c r="T129" s="28">
        <f t="shared" si="10"/>
        <v>1.9464552453177065E-2</v>
      </c>
      <c r="U129" s="68"/>
      <c r="V129" s="196"/>
    </row>
    <row r="130" spans="1:22" x14ac:dyDescent="0.25">
      <c r="A130" s="2">
        <v>44021</v>
      </c>
      <c r="B130" s="129">
        <v>3663</v>
      </c>
      <c r="C130" s="555">
        <v>90693</v>
      </c>
      <c r="D130" s="126">
        <v>26</v>
      </c>
      <c r="E130" s="126">
        <f t="shared" si="7"/>
        <v>1720</v>
      </c>
      <c r="F130" s="126">
        <f t="shared" si="6"/>
        <v>671</v>
      </c>
      <c r="G130" s="153">
        <v>38984</v>
      </c>
      <c r="H130" s="126">
        <v>662</v>
      </c>
      <c r="I130" s="126">
        <v>11041</v>
      </c>
      <c r="J130" s="13">
        <v>445733</v>
      </c>
      <c r="K130" s="7">
        <v>836</v>
      </c>
      <c r="L130" s="7">
        <v>277811</v>
      </c>
      <c r="M130" s="4">
        <v>278647</v>
      </c>
      <c r="N130" s="11">
        <v>1076</v>
      </c>
      <c r="O130" s="11">
        <v>30597</v>
      </c>
      <c r="P130" s="11">
        <v>43374</v>
      </c>
      <c r="Q130" s="4">
        <f>90693-P130-O130-N130</f>
        <v>15646</v>
      </c>
      <c r="R130" s="20">
        <f t="shared" si="8"/>
        <v>671</v>
      </c>
      <c r="S130" s="35">
        <f t="shared" si="9"/>
        <v>1.3242913440957011E-2</v>
      </c>
      <c r="T130" s="28">
        <f t="shared" si="10"/>
        <v>1.8965079995148466E-2</v>
      </c>
      <c r="U130" s="68"/>
      <c r="V130" s="196"/>
    </row>
    <row r="131" spans="1:22" x14ac:dyDescent="0.25">
      <c r="A131" s="2">
        <v>44022</v>
      </c>
      <c r="B131" s="129">
        <v>3367</v>
      </c>
      <c r="C131" s="154">
        <v>94060</v>
      </c>
      <c r="D131" s="126">
        <v>54</v>
      </c>
      <c r="E131" s="126">
        <f t="shared" si="7"/>
        <v>1774</v>
      </c>
      <c r="F131" s="126">
        <f t="shared" ref="F131:F194" si="14">G131-G130</f>
        <v>2424</v>
      </c>
      <c r="G131" s="153">
        <v>41408</v>
      </c>
      <c r="H131" s="126">
        <v>686</v>
      </c>
      <c r="I131" s="126">
        <v>10309</v>
      </c>
      <c r="J131" s="13">
        <v>456042</v>
      </c>
      <c r="K131" s="7">
        <v>851</v>
      </c>
      <c r="L131" s="7">
        <v>283021</v>
      </c>
      <c r="M131" s="4">
        <f>L131+K131</f>
        <v>283872</v>
      </c>
      <c r="N131" s="4">
        <v>1078</v>
      </c>
      <c r="O131" s="4">
        <v>31739</v>
      </c>
      <c r="P131" s="4">
        <v>45328</v>
      </c>
      <c r="Q131" s="4">
        <v>15915</v>
      </c>
      <c r="R131" s="20">
        <f t="shared" si="8"/>
        <v>2424</v>
      </c>
      <c r="S131" s="35">
        <f t="shared" si="9"/>
        <v>1.3483234403868076E-2</v>
      </c>
      <c r="T131" s="28">
        <f t="shared" si="10"/>
        <v>1.8860301934935146E-2</v>
      </c>
      <c r="U131" s="68"/>
      <c r="V131" s="196"/>
    </row>
    <row r="132" spans="1:22" x14ac:dyDescent="0.25">
      <c r="A132" s="2">
        <v>44023</v>
      </c>
      <c r="B132" s="129">
        <v>3449</v>
      </c>
      <c r="C132" s="555">
        <v>97509</v>
      </c>
      <c r="D132" s="126">
        <v>36</v>
      </c>
      <c r="E132" s="126">
        <f t="shared" si="7"/>
        <v>1810</v>
      </c>
      <c r="F132" s="126">
        <f t="shared" si="14"/>
        <v>1286</v>
      </c>
      <c r="G132" s="153">
        <v>42694</v>
      </c>
      <c r="H132" s="126">
        <v>701</v>
      </c>
      <c r="I132" s="126">
        <v>10266</v>
      </c>
      <c r="J132" s="4">
        <v>466308</v>
      </c>
      <c r="K132" s="7">
        <v>867</v>
      </c>
      <c r="L132" s="7">
        <v>288165</v>
      </c>
      <c r="M132" s="4">
        <f>L132+K132</f>
        <v>289032</v>
      </c>
      <c r="N132" s="11">
        <v>1080</v>
      </c>
      <c r="O132" s="11">
        <v>32616</v>
      </c>
      <c r="P132" s="11">
        <v>46824</v>
      </c>
      <c r="Q132" s="11">
        <v>16989</v>
      </c>
      <c r="R132" s="20">
        <f t="shared" si="8"/>
        <v>1286</v>
      </c>
      <c r="S132" s="35">
        <f t="shared" si="9"/>
        <v>1.3225167437034242E-2</v>
      </c>
      <c r="T132" s="28">
        <f t="shared" si="10"/>
        <v>1.8562389112799844E-2</v>
      </c>
      <c r="U132" s="68"/>
      <c r="V132" s="196"/>
    </row>
    <row r="133" spans="1:22" x14ac:dyDescent="0.25">
      <c r="A133" s="2">
        <v>44024</v>
      </c>
      <c r="B133" s="129">
        <v>2657</v>
      </c>
      <c r="C133" s="555">
        <v>100166</v>
      </c>
      <c r="D133" s="129">
        <v>35</v>
      </c>
      <c r="E133" s="126">
        <f t="shared" ref="E133:E196" si="15">E132+D133</f>
        <v>1845</v>
      </c>
      <c r="F133" s="126">
        <f t="shared" si="14"/>
        <v>1479</v>
      </c>
      <c r="G133" s="153">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8"/>
        <v>1479</v>
      </c>
      <c r="S133" s="35">
        <f t="shared" si="9"/>
        <v>1.3573908546945408E-2</v>
      </c>
      <c r="T133" s="28">
        <f t="shared" si="10"/>
        <v>1.8419423756564104E-2</v>
      </c>
      <c r="U133" s="68"/>
      <c r="V133" s="196"/>
    </row>
    <row r="134" spans="1:22" x14ac:dyDescent="0.25">
      <c r="A134" s="36">
        <v>44025</v>
      </c>
      <c r="B134" s="126">
        <v>3099</v>
      </c>
      <c r="C134" s="154">
        <v>103265</v>
      </c>
      <c r="D134" s="126">
        <v>58</v>
      </c>
      <c r="E134" s="126">
        <f t="shared" si="15"/>
        <v>1903</v>
      </c>
      <c r="F134" s="126">
        <f t="shared" si="14"/>
        <v>1294</v>
      </c>
      <c r="G134" s="153">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6">G134-G133</f>
        <v>1294</v>
      </c>
      <c r="S134" s="35">
        <f t="shared" si="9"/>
        <v>1.3453797298506128E-2</v>
      </c>
      <c r="T134" s="28">
        <f t="shared" si="10"/>
        <v>1.8428315498958989E-2</v>
      </c>
      <c r="U134" s="68"/>
      <c r="V134" s="196"/>
    </row>
    <row r="135" spans="1:22" x14ac:dyDescent="0.25">
      <c r="A135" s="2">
        <v>44026</v>
      </c>
      <c r="B135" s="126">
        <v>3645</v>
      </c>
      <c r="C135" s="555">
        <v>106910</v>
      </c>
      <c r="D135" s="126">
        <v>65</v>
      </c>
      <c r="E135" s="126">
        <f t="shared" si="15"/>
        <v>1968</v>
      </c>
      <c r="F135" s="126">
        <f t="shared" si="14"/>
        <v>1831</v>
      </c>
      <c r="G135" s="153">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6"/>
        <v>1831</v>
      </c>
      <c r="S135" s="35">
        <f t="shared" si="9"/>
        <v>1.3392547359655818E-2</v>
      </c>
      <c r="T135" s="28">
        <f t="shared" si="10"/>
        <v>1.840800673463661E-2</v>
      </c>
      <c r="U135" s="68"/>
      <c r="V135" s="196"/>
    </row>
    <row r="136" spans="1:22" x14ac:dyDescent="0.25">
      <c r="A136" s="2">
        <v>44027</v>
      </c>
      <c r="B136" s="129">
        <v>4250</v>
      </c>
      <c r="C136" s="154">
        <f>C135+B136</f>
        <v>111160</v>
      </c>
      <c r="D136" s="126">
        <v>82</v>
      </c>
      <c r="E136" s="126">
        <f t="shared" si="15"/>
        <v>2050</v>
      </c>
      <c r="F136" s="126">
        <f t="shared" si="14"/>
        <v>1822</v>
      </c>
      <c r="G136" s="153">
        <v>49120</v>
      </c>
      <c r="H136" s="126">
        <v>783</v>
      </c>
      <c r="I136" s="126">
        <v>13163</v>
      </c>
      <c r="J136" s="4">
        <v>508228</v>
      </c>
      <c r="K136" s="7">
        <v>932</v>
      </c>
      <c r="L136" s="7">
        <f>M136-K136</f>
        <v>308815</v>
      </c>
      <c r="M136" s="4">
        <v>309747</v>
      </c>
      <c r="N136" s="4">
        <v>1085</v>
      </c>
      <c r="O136" s="4">
        <v>36398</v>
      </c>
      <c r="P136" s="4">
        <v>55836</v>
      </c>
      <c r="Q136" s="4">
        <v>17841</v>
      </c>
      <c r="R136" s="20">
        <f t="shared" si="16"/>
        <v>1822</v>
      </c>
      <c r="S136" s="35">
        <f t="shared" si="9"/>
        <v>1.3052175362560427E-2</v>
      </c>
      <c r="T136" s="28">
        <f t="shared" si="10"/>
        <v>1.8441885570349047E-2</v>
      </c>
      <c r="U136" s="68"/>
      <c r="V136" s="196"/>
    </row>
    <row r="137" spans="1:22" s="23" customFormat="1" x14ac:dyDescent="0.25">
      <c r="A137" s="2">
        <v>44028</v>
      </c>
      <c r="B137" s="126">
        <v>3624</v>
      </c>
      <c r="C137" s="554">
        <v>114783</v>
      </c>
      <c r="D137" s="126">
        <v>62</v>
      </c>
      <c r="E137" s="126">
        <f t="shared" si="15"/>
        <v>2112</v>
      </c>
      <c r="F137" s="126">
        <f t="shared" si="14"/>
        <v>660</v>
      </c>
      <c r="G137" s="153">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6"/>
        <v>660</v>
      </c>
      <c r="S137" s="35">
        <f t="shared" si="9"/>
        <v>1.2609117361784675E-2</v>
      </c>
      <c r="T137" s="28">
        <f t="shared" si="10"/>
        <v>1.8399937272941116E-2</v>
      </c>
      <c r="U137" s="68"/>
      <c r="V137" s="196"/>
    </row>
    <row r="138" spans="1:22" x14ac:dyDescent="0.25">
      <c r="A138" s="2">
        <v>44029</v>
      </c>
      <c r="B138" s="129">
        <v>4518</v>
      </c>
      <c r="C138" s="154">
        <f>C137+B138</f>
        <v>119301</v>
      </c>
      <c r="D138" s="126">
        <v>66</v>
      </c>
      <c r="E138" s="126">
        <f t="shared" si="15"/>
        <v>2178</v>
      </c>
      <c r="F138" s="126">
        <f t="shared" si="14"/>
        <v>0</v>
      </c>
      <c r="G138" s="153">
        <v>49780</v>
      </c>
      <c r="H138" s="126">
        <v>823</v>
      </c>
      <c r="I138" s="126">
        <v>12472</v>
      </c>
      <c r="J138" s="7">
        <v>531753</v>
      </c>
      <c r="K138" s="7">
        <v>967</v>
      </c>
      <c r="L138" s="7">
        <v>321616</v>
      </c>
      <c r="M138" s="7">
        <v>322583</v>
      </c>
      <c r="N138" s="7">
        <v>1093</v>
      </c>
      <c r="O138" s="7">
        <v>38304</v>
      </c>
      <c r="P138" s="7">
        <v>60041</v>
      </c>
      <c r="Q138" s="4">
        <f>119301-P138-O138-N138</f>
        <v>19863</v>
      </c>
      <c r="R138" s="20">
        <f t="shared" si="16"/>
        <v>0</v>
      </c>
      <c r="S138" s="35">
        <f t="shared" si="9"/>
        <v>1.2221017774675913E-2</v>
      </c>
      <c r="T138" s="28">
        <f t="shared" si="10"/>
        <v>1.825634319913496E-2</v>
      </c>
      <c r="U138" s="68"/>
      <c r="V138" s="196"/>
    </row>
    <row r="139" spans="1:22" x14ac:dyDescent="0.25">
      <c r="A139" s="2">
        <v>44030</v>
      </c>
      <c r="B139" s="126">
        <f>3223+82</f>
        <v>3305</v>
      </c>
      <c r="C139" s="154">
        <f>C138+B139</f>
        <v>122606</v>
      </c>
      <c r="D139" s="126">
        <v>42</v>
      </c>
      <c r="E139" s="126">
        <f t="shared" si="15"/>
        <v>2220</v>
      </c>
      <c r="F139" s="126">
        <f t="shared" si="14"/>
        <v>2827</v>
      </c>
      <c r="G139" s="153">
        <v>52607</v>
      </c>
      <c r="H139" s="126">
        <v>824</v>
      </c>
      <c r="I139" s="192">
        <v>9485</v>
      </c>
      <c r="J139" s="7">
        <v>541238</v>
      </c>
      <c r="K139" s="7">
        <v>980</v>
      </c>
      <c r="L139" s="7">
        <f>M139-K139</f>
        <v>325386</v>
      </c>
      <c r="M139" s="7">
        <v>326366</v>
      </c>
      <c r="N139" s="7">
        <v>1093</v>
      </c>
      <c r="O139" s="7">
        <v>39113</v>
      </c>
      <c r="P139" s="7">
        <v>62057</v>
      </c>
      <c r="Q139" s="7">
        <v>20261</v>
      </c>
      <c r="R139" s="20">
        <f t="shared" si="16"/>
        <v>2827</v>
      </c>
      <c r="S139" s="35">
        <f t="shared" si="9"/>
        <v>1.2157157821744199E-2</v>
      </c>
      <c r="T139" s="28">
        <f t="shared" si="10"/>
        <v>1.8106781071073195E-2</v>
      </c>
      <c r="U139" s="68"/>
      <c r="V139" s="196"/>
    </row>
    <row r="140" spans="1:22" x14ac:dyDescent="0.25">
      <c r="A140" s="2">
        <v>44031</v>
      </c>
      <c r="B140" s="126">
        <v>4231</v>
      </c>
      <c r="C140" s="154">
        <f>C139+B140</f>
        <v>126837</v>
      </c>
      <c r="D140" s="126">
        <v>40</v>
      </c>
      <c r="E140" s="126">
        <f t="shared" si="15"/>
        <v>2260</v>
      </c>
      <c r="F140" s="126">
        <f t="shared" si="14"/>
        <v>3306</v>
      </c>
      <c r="G140" s="153">
        <v>55913</v>
      </c>
      <c r="H140" s="126">
        <v>842</v>
      </c>
      <c r="I140" s="192">
        <v>11068</v>
      </c>
      <c r="J140" s="4">
        <v>552306</v>
      </c>
      <c r="K140" s="7">
        <v>997</v>
      </c>
      <c r="L140" s="7">
        <v>331436</v>
      </c>
      <c r="M140" s="4">
        <v>332433</v>
      </c>
      <c r="N140" s="4">
        <v>1095</v>
      </c>
      <c r="O140" s="4">
        <v>40138</v>
      </c>
      <c r="P140" s="4">
        <v>63648</v>
      </c>
      <c r="Q140" s="4">
        <f>126755-P140-O140-N140</f>
        <v>21874</v>
      </c>
      <c r="R140" s="20">
        <f t="shared" si="16"/>
        <v>3306</v>
      </c>
      <c r="S140" s="35">
        <f t="shared" si="9"/>
        <v>1.2262612140277292E-2</v>
      </c>
      <c r="T140" s="28">
        <f t="shared" si="10"/>
        <v>1.7818144547726608E-2</v>
      </c>
      <c r="U140" s="68"/>
      <c r="V140" s="196"/>
    </row>
    <row r="141" spans="1:22" x14ac:dyDescent="0.25">
      <c r="A141" s="36">
        <v>44032</v>
      </c>
      <c r="B141" s="126">
        <v>3937</v>
      </c>
      <c r="C141" s="154">
        <v>130774</v>
      </c>
      <c r="D141" s="126">
        <v>113</v>
      </c>
      <c r="E141" s="126">
        <f t="shared" si="15"/>
        <v>2373</v>
      </c>
      <c r="F141" s="126">
        <f t="shared" si="14"/>
        <v>2685</v>
      </c>
      <c r="G141" s="153">
        <v>58598</v>
      </c>
      <c r="H141" s="126">
        <v>853</v>
      </c>
      <c r="I141" s="126">
        <v>11207</v>
      </c>
      <c r="J141" s="4">
        <v>563513</v>
      </c>
      <c r="K141" s="7">
        <v>1014</v>
      </c>
      <c r="L141" s="7">
        <v>337237</v>
      </c>
      <c r="M141" s="4">
        <v>338251</v>
      </c>
      <c r="N141" s="4">
        <v>1095</v>
      </c>
      <c r="O141" s="4">
        <v>41086</v>
      </c>
      <c r="P141" s="4">
        <v>66293</v>
      </c>
      <c r="Q141" s="4">
        <f>130744-P141-N141-O141</f>
        <v>22270</v>
      </c>
      <c r="R141" s="20">
        <f t="shared" si="16"/>
        <v>2685</v>
      </c>
      <c r="S141" s="35">
        <f t="shared" si="9"/>
        <v>1.2220105153073649E-2</v>
      </c>
      <c r="T141" s="28">
        <f t="shared" si="10"/>
        <v>1.8145808799914356E-2</v>
      </c>
      <c r="U141" s="68"/>
      <c r="V141" s="196"/>
    </row>
    <row r="142" spans="1:22" x14ac:dyDescent="0.25">
      <c r="A142" s="2">
        <v>44033</v>
      </c>
      <c r="B142" s="126">
        <v>5344</v>
      </c>
      <c r="C142" s="154">
        <f t="shared" ref="C142:C154" si="17">C141+B142</f>
        <v>136118</v>
      </c>
      <c r="D142" s="126">
        <v>117</v>
      </c>
      <c r="E142" s="126">
        <f t="shared" si="15"/>
        <v>2490</v>
      </c>
      <c r="F142" s="126">
        <f t="shared" si="14"/>
        <v>1933</v>
      </c>
      <c r="G142" s="153">
        <v>60531</v>
      </c>
      <c r="H142" s="126">
        <v>890</v>
      </c>
      <c r="I142" s="126">
        <v>14689</v>
      </c>
      <c r="J142" s="4">
        <v>578202</v>
      </c>
      <c r="K142" s="7">
        <v>1037</v>
      </c>
      <c r="L142" s="7">
        <v>344681</v>
      </c>
      <c r="M142" s="4">
        <v>345718</v>
      </c>
      <c r="N142" s="4">
        <v>1096</v>
      </c>
      <c r="O142" s="4">
        <v>42253</v>
      </c>
      <c r="P142" s="4">
        <v>69442</v>
      </c>
      <c r="Q142" s="4">
        <v>23327</v>
      </c>
      <c r="R142" s="20">
        <f t="shared" si="16"/>
        <v>1933</v>
      </c>
      <c r="S142" s="35">
        <f t="shared" ref="S142:S147" si="18">H142/(C142-E142-G142)</f>
        <v>1.2175602281899393E-2</v>
      </c>
      <c r="T142" s="28">
        <f t="shared" si="10"/>
        <v>1.8292951703668875E-2</v>
      </c>
      <c r="U142" s="68"/>
      <c r="V142" s="196"/>
    </row>
    <row r="143" spans="1:22" x14ac:dyDescent="0.25">
      <c r="A143" s="2">
        <v>44034</v>
      </c>
      <c r="B143" s="126">
        <v>5782</v>
      </c>
      <c r="C143" s="154">
        <f t="shared" si="17"/>
        <v>141900</v>
      </c>
      <c r="D143" s="126">
        <v>98</v>
      </c>
      <c r="E143" s="126">
        <f t="shared" si="15"/>
        <v>2588</v>
      </c>
      <c r="F143" s="126">
        <f t="shared" si="14"/>
        <v>2284</v>
      </c>
      <c r="G143" s="153">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6"/>
        <v>2284</v>
      </c>
      <c r="S143" s="35">
        <f t="shared" si="18"/>
        <v>1.1791312077597814E-2</v>
      </c>
      <c r="T143" s="28">
        <f t="shared" ref="T143:T196" si="19">E143/C143</f>
        <v>1.8238195912614517E-2</v>
      </c>
      <c r="U143" s="68"/>
      <c r="V143" s="196"/>
    </row>
    <row r="144" spans="1:22" x14ac:dyDescent="0.25">
      <c r="A144" s="2">
        <v>44035</v>
      </c>
      <c r="B144" s="130">
        <v>6127</v>
      </c>
      <c r="C144" s="154">
        <f t="shared" si="17"/>
        <v>148027</v>
      </c>
      <c r="D144" s="126">
        <v>114</v>
      </c>
      <c r="E144" s="126">
        <f t="shared" si="15"/>
        <v>2702</v>
      </c>
      <c r="F144" s="126">
        <f t="shared" si="14"/>
        <v>2632</v>
      </c>
      <c r="G144" s="153">
        <v>65447</v>
      </c>
      <c r="H144" s="126">
        <v>913</v>
      </c>
      <c r="I144" s="129">
        <v>16218</v>
      </c>
      <c r="J144" s="4">
        <v>609262</v>
      </c>
      <c r="K144" s="7">
        <v>1082</v>
      </c>
      <c r="L144" s="7">
        <v>359756</v>
      </c>
      <c r="M144" s="4">
        <v>360838</v>
      </c>
      <c r="N144" s="4">
        <v>1101</v>
      </c>
      <c r="O144" s="4">
        <v>45026</v>
      </c>
      <c r="P144" s="4">
        <v>76114</v>
      </c>
      <c r="Q144" s="4">
        <f>148027-P144-O144-N144</f>
        <v>25786</v>
      </c>
      <c r="R144" s="20">
        <f t="shared" si="16"/>
        <v>2632</v>
      </c>
      <c r="S144" s="35">
        <f t="shared" si="18"/>
        <v>1.1429930644232455E-2</v>
      </c>
      <c r="T144" s="28">
        <f t="shared" si="19"/>
        <v>1.8253426739716402E-2</v>
      </c>
      <c r="U144" s="68"/>
      <c r="V144" s="196"/>
    </row>
    <row r="145" spans="1:22" x14ac:dyDescent="0.25">
      <c r="A145" s="2">
        <v>44036</v>
      </c>
      <c r="B145" s="126">
        <v>5493</v>
      </c>
      <c r="C145" s="154">
        <f t="shared" si="17"/>
        <v>153520</v>
      </c>
      <c r="D145" s="126">
        <v>105</v>
      </c>
      <c r="E145" s="126">
        <f t="shared" si="15"/>
        <v>2807</v>
      </c>
      <c r="F145" s="126">
        <f t="shared" si="14"/>
        <v>2575</v>
      </c>
      <c r="G145" s="153">
        <v>68022</v>
      </c>
      <c r="H145" s="126">
        <v>955</v>
      </c>
      <c r="I145" s="192">
        <v>14631</v>
      </c>
      <c r="J145" s="4">
        <f>J144+I145</f>
        <v>623893</v>
      </c>
      <c r="K145" s="7">
        <v>736</v>
      </c>
      <c r="L145" s="7">
        <v>367243</v>
      </c>
      <c r="M145" s="4">
        <v>367979</v>
      </c>
      <c r="N145" s="4">
        <v>1105</v>
      </c>
      <c r="O145" s="4">
        <v>46528</v>
      </c>
      <c r="P145" s="4">
        <v>79424</v>
      </c>
      <c r="Q145" s="4">
        <f>153520-P145-O145-N145</f>
        <v>26463</v>
      </c>
      <c r="R145" s="20">
        <f t="shared" si="16"/>
        <v>2575</v>
      </c>
      <c r="S145" s="35">
        <f t="shared" si="18"/>
        <v>1.1549019844964991E-2</v>
      </c>
      <c r="T145" s="28">
        <f t="shared" si="19"/>
        <v>1.8284262636789995E-2</v>
      </c>
      <c r="U145" s="68"/>
      <c r="V145" s="196"/>
    </row>
    <row r="146" spans="1:22" x14ac:dyDescent="0.25">
      <c r="A146" s="2">
        <v>44037</v>
      </c>
      <c r="B146" s="126">
        <v>4814</v>
      </c>
      <c r="C146" s="154">
        <f t="shared" si="17"/>
        <v>158334</v>
      </c>
      <c r="D146" s="126">
        <v>86</v>
      </c>
      <c r="E146" s="126">
        <f t="shared" si="15"/>
        <v>2893</v>
      </c>
      <c r="F146" s="126">
        <f t="shared" si="14"/>
        <v>2496</v>
      </c>
      <c r="G146" s="153">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6"/>
        <v>2496</v>
      </c>
      <c r="S146" s="35">
        <f t="shared" si="18"/>
        <v>1.1539865525240512E-2</v>
      </c>
      <c r="T146" s="28">
        <f t="shared" si="19"/>
        <v>1.8271502014728359E-2</v>
      </c>
      <c r="U146" s="68"/>
      <c r="V146" s="196"/>
    </row>
    <row r="147" spans="1:22" x14ac:dyDescent="0.25">
      <c r="A147" s="2">
        <v>44038</v>
      </c>
      <c r="B147" s="126">
        <v>4192</v>
      </c>
      <c r="C147" s="154">
        <f t="shared" si="17"/>
        <v>162526</v>
      </c>
      <c r="D147" s="126">
        <v>45</v>
      </c>
      <c r="E147" s="126">
        <f t="shared" si="15"/>
        <v>2938</v>
      </c>
      <c r="F147" s="126">
        <f t="shared" si="14"/>
        <v>2057</v>
      </c>
      <c r="G147" s="153">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6"/>
        <v>2057</v>
      </c>
      <c r="S147" s="35">
        <f t="shared" si="18"/>
        <v>1.1412087848942112E-2</v>
      </c>
      <c r="T147" s="28">
        <f t="shared" si="19"/>
        <v>1.8077107662773956E-2</v>
      </c>
      <c r="U147" s="68"/>
      <c r="V147" s="196"/>
    </row>
    <row r="148" spans="1:22" x14ac:dyDescent="0.25">
      <c r="A148" s="36">
        <v>44039</v>
      </c>
      <c r="B148" s="126">
        <v>4890</v>
      </c>
      <c r="C148" s="154">
        <f t="shared" si="17"/>
        <v>167416</v>
      </c>
      <c r="D148" s="126">
        <v>121</v>
      </c>
      <c r="E148" s="126">
        <f t="shared" si="15"/>
        <v>3059</v>
      </c>
      <c r="F148" s="126">
        <f t="shared" si="14"/>
        <v>2508</v>
      </c>
      <c r="G148" s="153">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6"/>
        <v>2508</v>
      </c>
      <c r="S148" s="35">
        <f t="shared" ref="S148:S160" si="20">H148/(C148-E148-G148)</f>
        <v>1.1223872572081458E-2</v>
      </c>
      <c r="T148" s="28">
        <f t="shared" si="19"/>
        <v>1.8271849763463469E-2</v>
      </c>
      <c r="U148" s="68"/>
      <c r="V148" s="196"/>
    </row>
    <row r="149" spans="1:22" x14ac:dyDescent="0.25">
      <c r="A149" s="2">
        <v>44040</v>
      </c>
      <c r="B149" s="126">
        <v>5939</v>
      </c>
      <c r="C149" s="154">
        <f t="shared" si="17"/>
        <v>173355</v>
      </c>
      <c r="D149" s="126">
        <v>120</v>
      </c>
      <c r="E149" s="126">
        <f t="shared" si="15"/>
        <v>3179</v>
      </c>
      <c r="F149" s="126">
        <f t="shared" si="14"/>
        <v>2772</v>
      </c>
      <c r="G149" s="153">
        <v>77855</v>
      </c>
      <c r="H149" s="126">
        <v>1024</v>
      </c>
      <c r="I149" s="126">
        <v>14899</v>
      </c>
      <c r="J149" s="13">
        <v>675011</v>
      </c>
      <c r="K149" s="7">
        <f t="shared" ref="K149:K180" si="21">M149-L149</f>
        <v>785.48800000001211</v>
      </c>
      <c r="L149" s="7">
        <f t="shared" ref="L149:L160" si="22">0.998*M149</f>
        <v>391958.51199999999</v>
      </c>
      <c r="M149" s="4">
        <v>392744</v>
      </c>
      <c r="N149" s="4">
        <v>1119</v>
      </c>
      <c r="O149" s="4">
        <v>51090</v>
      </c>
      <c r="P149" s="4">
        <v>92345</v>
      </c>
      <c r="Q149" s="4">
        <f>173355-P149-O149-N149</f>
        <v>28801</v>
      </c>
      <c r="R149" s="20">
        <f t="shared" si="16"/>
        <v>2772</v>
      </c>
      <c r="S149" s="35">
        <f t="shared" si="20"/>
        <v>1.1091734274975357E-2</v>
      </c>
      <c r="T149" s="28">
        <f t="shared" si="19"/>
        <v>1.8338092353840384E-2</v>
      </c>
      <c r="U149" s="68"/>
      <c r="V149" s="196"/>
    </row>
    <row r="150" spans="1:22" x14ac:dyDescent="0.25">
      <c r="A150" s="2">
        <v>44041</v>
      </c>
      <c r="B150" s="126">
        <v>5641</v>
      </c>
      <c r="C150" s="154">
        <f t="shared" si="17"/>
        <v>178996</v>
      </c>
      <c r="D150" s="126">
        <v>109</v>
      </c>
      <c r="E150" s="126">
        <f t="shared" si="15"/>
        <v>3288</v>
      </c>
      <c r="F150" s="126">
        <f t="shared" si="14"/>
        <v>2741</v>
      </c>
      <c r="G150" s="153">
        <v>80596</v>
      </c>
      <c r="H150" s="126">
        <v>1057</v>
      </c>
      <c r="I150" s="126">
        <v>15812</v>
      </c>
      <c r="J150" s="13">
        <v>690823</v>
      </c>
      <c r="K150" s="7">
        <f t="shared" si="21"/>
        <v>801.66200000001118</v>
      </c>
      <c r="L150" s="7">
        <f t="shared" si="22"/>
        <v>400029.33799999999</v>
      </c>
      <c r="M150" s="4">
        <v>400831</v>
      </c>
      <c r="N150" s="4">
        <v>1115</v>
      </c>
      <c r="O150" s="4">
        <v>52375</v>
      </c>
      <c r="P150" s="4">
        <v>96710</v>
      </c>
      <c r="Q150" s="4">
        <f>178996-P150-O150-N150</f>
        <v>28796</v>
      </c>
      <c r="R150" s="20">
        <f t="shared" si="16"/>
        <v>2741</v>
      </c>
      <c r="S150" s="35">
        <f t="shared" si="20"/>
        <v>1.1113213895197241E-2</v>
      </c>
      <c r="T150" s="28">
        <f t="shared" si="19"/>
        <v>1.8369125567051777E-2</v>
      </c>
      <c r="U150" s="68"/>
      <c r="V150" s="196"/>
    </row>
    <row r="151" spans="1:22" x14ac:dyDescent="0.25">
      <c r="A151" s="2">
        <v>44042</v>
      </c>
      <c r="B151" s="126">
        <v>6377</v>
      </c>
      <c r="C151" s="154">
        <f t="shared" si="17"/>
        <v>185373</v>
      </c>
      <c r="D151" s="126">
        <v>153</v>
      </c>
      <c r="E151" s="126">
        <f t="shared" si="15"/>
        <v>3441</v>
      </c>
      <c r="F151" s="126">
        <f t="shared" si="14"/>
        <v>3184</v>
      </c>
      <c r="G151" s="153">
        <v>83780</v>
      </c>
      <c r="H151" s="126">
        <v>1076</v>
      </c>
      <c r="I151" s="126">
        <v>16685</v>
      </c>
      <c r="J151" s="4">
        <v>707508</v>
      </c>
      <c r="K151" s="7">
        <f t="shared" si="21"/>
        <v>818.0800000000163</v>
      </c>
      <c r="L151" s="7">
        <f t="shared" si="22"/>
        <v>408221.92</v>
      </c>
      <c r="M151" s="4">
        <v>409040</v>
      </c>
      <c r="N151" s="4">
        <v>1117</v>
      </c>
      <c r="O151" s="4">
        <v>53660</v>
      </c>
      <c r="P151" s="4">
        <v>100811</v>
      </c>
      <c r="Q151" s="4">
        <f>185373-P151-O151-N151</f>
        <v>29785</v>
      </c>
      <c r="R151" s="20">
        <f t="shared" si="16"/>
        <v>3184</v>
      </c>
      <c r="S151" s="35">
        <f t="shared" si="20"/>
        <v>1.0962588638030809E-2</v>
      </c>
      <c r="T151" s="28">
        <f t="shared" si="19"/>
        <v>1.856257383761389E-2</v>
      </c>
      <c r="U151" s="68"/>
      <c r="V151" s="196"/>
    </row>
    <row r="152" spans="1:22" x14ac:dyDescent="0.25">
      <c r="A152" s="2">
        <v>44043</v>
      </c>
      <c r="B152" s="126">
        <v>5929</v>
      </c>
      <c r="C152" s="154">
        <f t="shared" si="17"/>
        <v>191302</v>
      </c>
      <c r="D152" s="126">
        <v>101</v>
      </c>
      <c r="E152" s="126">
        <f t="shared" si="15"/>
        <v>3542</v>
      </c>
      <c r="F152" s="126">
        <f t="shared" si="14"/>
        <v>2719</v>
      </c>
      <c r="G152" s="153">
        <v>86499</v>
      </c>
      <c r="H152" s="126">
        <v>1104</v>
      </c>
      <c r="I152" s="126">
        <v>15442</v>
      </c>
      <c r="J152" s="4">
        <f>J151+I152</f>
        <v>722950</v>
      </c>
      <c r="K152" s="7">
        <f t="shared" si="21"/>
        <v>833.97600000002421</v>
      </c>
      <c r="L152" s="7">
        <f t="shared" si="22"/>
        <v>416154.02399999998</v>
      </c>
      <c r="M152" s="4">
        <v>416988</v>
      </c>
      <c r="N152" s="4">
        <v>1122</v>
      </c>
      <c r="O152" s="4">
        <v>54915</v>
      </c>
      <c r="P152" s="4">
        <v>104695</v>
      </c>
      <c r="Q152" s="4">
        <f>191302-P152-O152-N152</f>
        <v>30570</v>
      </c>
      <c r="R152" s="20">
        <f t="shared" si="16"/>
        <v>2719</v>
      </c>
      <c r="S152" s="35">
        <f t="shared" si="20"/>
        <v>1.0902519232478447E-2</v>
      </c>
      <c r="T152" s="28">
        <f t="shared" si="19"/>
        <v>1.8515227232334217E-2</v>
      </c>
      <c r="U152" s="68"/>
      <c r="V152" s="196"/>
    </row>
    <row r="153" spans="1:22" x14ac:dyDescent="0.25">
      <c r="A153" s="2">
        <v>44044</v>
      </c>
      <c r="B153" s="126">
        <v>5241</v>
      </c>
      <c r="C153" s="154">
        <f t="shared" si="17"/>
        <v>196543</v>
      </c>
      <c r="D153" s="126">
        <v>53</v>
      </c>
      <c r="E153" s="126">
        <f t="shared" si="15"/>
        <v>3595</v>
      </c>
      <c r="F153" s="126">
        <f t="shared" si="14"/>
        <v>2527</v>
      </c>
      <c r="G153" s="153">
        <v>89026</v>
      </c>
      <c r="H153" s="126">
        <v>1128</v>
      </c>
      <c r="I153" s="126">
        <v>13057</v>
      </c>
      <c r="J153" s="4">
        <v>736007</v>
      </c>
      <c r="K153" s="7">
        <f t="shared" si="21"/>
        <v>846.24599999998463</v>
      </c>
      <c r="L153" s="7">
        <f t="shared" si="22"/>
        <v>422276.75400000002</v>
      </c>
      <c r="M153" s="4">
        <v>423123</v>
      </c>
      <c r="N153" s="4">
        <v>1123</v>
      </c>
      <c r="O153" s="4">
        <v>55946</v>
      </c>
      <c r="P153" s="4">
        <v>107909</v>
      </c>
      <c r="Q153" s="4">
        <f>196543-P153-O153-N153</f>
        <v>31565</v>
      </c>
      <c r="R153" s="20">
        <f t="shared" si="16"/>
        <v>2527</v>
      </c>
      <c r="S153" s="35">
        <f t="shared" si="20"/>
        <v>1.0854294567079155E-2</v>
      </c>
      <c r="T153" s="28">
        <f t="shared" si="19"/>
        <v>1.8291162748100925E-2</v>
      </c>
      <c r="U153" s="68"/>
      <c r="V153" s="196"/>
    </row>
    <row r="154" spans="1:22" x14ac:dyDescent="0.25">
      <c r="A154" s="2">
        <v>44045</v>
      </c>
      <c r="B154" s="126">
        <v>5376</v>
      </c>
      <c r="C154" s="154">
        <f t="shared" si="17"/>
        <v>201919</v>
      </c>
      <c r="D154" s="126">
        <v>46</v>
      </c>
      <c r="E154" s="126">
        <f t="shared" si="15"/>
        <v>3641</v>
      </c>
      <c r="F154" s="126">
        <f t="shared" si="14"/>
        <v>2276</v>
      </c>
      <c r="G154" s="153">
        <v>91302</v>
      </c>
      <c r="H154" s="126">
        <v>1112</v>
      </c>
      <c r="I154" s="126">
        <v>11900</v>
      </c>
      <c r="J154" s="4">
        <v>747907</v>
      </c>
      <c r="K154" s="7">
        <f t="shared" si="21"/>
        <v>856.68800000002375</v>
      </c>
      <c r="L154" s="7">
        <f t="shared" si="22"/>
        <v>427487.31199999998</v>
      </c>
      <c r="M154" s="4">
        <v>428344</v>
      </c>
      <c r="N154" s="4">
        <v>1123</v>
      </c>
      <c r="O154" s="4">
        <v>56975</v>
      </c>
      <c r="P154" s="4">
        <v>110459</v>
      </c>
      <c r="Q154" s="4">
        <f>201919-P154-O154-N154</f>
        <v>33362</v>
      </c>
      <c r="R154" s="20">
        <f t="shared" si="16"/>
        <v>2276</v>
      </c>
      <c r="S154" s="35">
        <f t="shared" si="20"/>
        <v>1.0394854920729883E-2</v>
      </c>
      <c r="T154" s="28">
        <f t="shared" si="19"/>
        <v>1.8031983121944938E-2</v>
      </c>
      <c r="U154" s="68"/>
      <c r="V154" s="196"/>
    </row>
    <row r="155" spans="1:22" x14ac:dyDescent="0.25">
      <c r="A155" s="36">
        <v>44046</v>
      </c>
      <c r="B155" s="129">
        <v>4824</v>
      </c>
      <c r="C155" s="154">
        <f>C154+B155</f>
        <v>206743</v>
      </c>
      <c r="D155" s="126">
        <v>164</v>
      </c>
      <c r="E155" s="126">
        <f t="shared" si="15"/>
        <v>3805</v>
      </c>
      <c r="F155" s="126">
        <f t="shared" si="14"/>
        <v>2827</v>
      </c>
      <c r="G155" s="153">
        <v>94129</v>
      </c>
      <c r="H155" s="126">
        <v>1150</v>
      </c>
      <c r="I155" s="126">
        <v>12839</v>
      </c>
      <c r="J155" s="4">
        <v>760746</v>
      </c>
      <c r="K155" s="7">
        <f t="shared" si="21"/>
        <v>869.87800000002608</v>
      </c>
      <c r="L155" s="7">
        <f t="shared" si="22"/>
        <v>434069.12199999997</v>
      </c>
      <c r="M155" s="4">
        <v>434939</v>
      </c>
      <c r="N155" s="4">
        <v>1123</v>
      </c>
      <c r="O155" s="4">
        <v>58084</v>
      </c>
      <c r="P155" s="4">
        <v>114826</v>
      </c>
      <c r="Q155" s="4">
        <f>206743-N155-O155-P155</f>
        <v>32710</v>
      </c>
      <c r="R155" s="20">
        <f t="shared" si="16"/>
        <v>2827</v>
      </c>
      <c r="S155" s="35">
        <f t="shared" si="20"/>
        <v>1.0568978669043921E-2</v>
      </c>
      <c r="T155" s="28">
        <f t="shared" si="19"/>
        <v>1.840449253420914E-2</v>
      </c>
      <c r="U155" s="68"/>
      <c r="V155" s="196"/>
    </row>
    <row r="156" spans="1:22" x14ac:dyDescent="0.25">
      <c r="A156" s="2">
        <v>44047</v>
      </c>
      <c r="B156" s="129">
        <v>6792</v>
      </c>
      <c r="C156" s="154">
        <f>C155+B156</f>
        <v>213535</v>
      </c>
      <c r="D156" s="145">
        <v>168</v>
      </c>
      <c r="E156" s="126">
        <f t="shared" si="15"/>
        <v>3973</v>
      </c>
      <c r="F156" s="126">
        <f t="shared" si="14"/>
        <v>2819</v>
      </c>
      <c r="G156" s="153">
        <v>96948</v>
      </c>
      <c r="H156" s="126">
        <v>1207</v>
      </c>
      <c r="I156" s="126">
        <v>16532</v>
      </c>
      <c r="J156" s="4">
        <f>J155+I156</f>
        <v>777278</v>
      </c>
      <c r="K156" s="7">
        <f t="shared" si="21"/>
        <v>885.76199999998789</v>
      </c>
      <c r="L156" s="7">
        <f t="shared" si="22"/>
        <v>441995.23800000001</v>
      </c>
      <c r="M156" s="4">
        <v>442881</v>
      </c>
      <c r="N156" s="4">
        <v>1123</v>
      </c>
      <c r="O156" s="4">
        <v>59408</v>
      </c>
      <c r="P156" s="4">
        <v>119544</v>
      </c>
      <c r="Q156" s="4">
        <f>213535-P156-O156-N156</f>
        <v>33460</v>
      </c>
      <c r="R156" s="20">
        <f t="shared" si="16"/>
        <v>2819</v>
      </c>
      <c r="S156" s="35">
        <f t="shared" si="20"/>
        <v>1.0718027953895608E-2</v>
      </c>
      <c r="T156" s="28">
        <f t="shared" si="19"/>
        <v>1.8605849158217624E-2</v>
      </c>
      <c r="U156" s="68"/>
      <c r="V156" s="196"/>
    </row>
    <row r="157" spans="1:22" x14ac:dyDescent="0.25">
      <c r="A157" s="2">
        <v>44048</v>
      </c>
      <c r="B157" s="129">
        <v>7147</v>
      </c>
      <c r="C157" s="154">
        <f>C156+B157</f>
        <v>220682</v>
      </c>
      <c r="D157" s="126">
        <v>127</v>
      </c>
      <c r="E157" s="126">
        <f t="shared" si="15"/>
        <v>4100</v>
      </c>
      <c r="F157" s="126">
        <f t="shared" si="14"/>
        <v>2904</v>
      </c>
      <c r="G157" s="153">
        <v>99852</v>
      </c>
      <c r="H157" s="126">
        <v>1219</v>
      </c>
      <c r="I157" s="126">
        <v>17266</v>
      </c>
      <c r="J157" s="4">
        <f>J156+I157</f>
        <v>794544</v>
      </c>
      <c r="K157" s="7">
        <f t="shared" si="21"/>
        <v>902.90999999997439</v>
      </c>
      <c r="L157" s="7">
        <f t="shared" si="22"/>
        <v>450552.09</v>
      </c>
      <c r="M157" s="4">
        <v>451455</v>
      </c>
      <c r="N157" s="4">
        <v>1124</v>
      </c>
      <c r="O157" s="4">
        <v>60922</v>
      </c>
      <c r="P157" s="4">
        <v>124163</v>
      </c>
      <c r="Q157" s="4">
        <f>220682-P157-O157-N157</f>
        <v>34473</v>
      </c>
      <c r="R157" s="20">
        <f t="shared" si="16"/>
        <v>2904</v>
      </c>
      <c r="S157" s="35">
        <f t="shared" si="20"/>
        <v>1.0442902424398184E-2</v>
      </c>
      <c r="T157" s="28">
        <f t="shared" si="19"/>
        <v>1.8578769451065333E-2</v>
      </c>
      <c r="U157" s="68"/>
      <c r="V157" s="196"/>
    </row>
    <row r="158" spans="1:22" x14ac:dyDescent="0.25">
      <c r="A158" s="2">
        <v>44049</v>
      </c>
      <c r="B158" s="129">
        <v>7513</v>
      </c>
      <c r="C158" s="154">
        <f>C157+B158</f>
        <v>228195</v>
      </c>
      <c r="D158" s="126">
        <v>145</v>
      </c>
      <c r="E158" s="126">
        <f t="shared" si="15"/>
        <v>4245</v>
      </c>
      <c r="F158" s="126">
        <f t="shared" si="14"/>
        <v>3445</v>
      </c>
      <c r="G158" s="153">
        <v>103297</v>
      </c>
      <c r="H158" s="126">
        <v>1245</v>
      </c>
      <c r="I158" s="126">
        <v>18020</v>
      </c>
      <c r="J158" s="4">
        <v>812564</v>
      </c>
      <c r="K158" s="7">
        <f t="shared" si="21"/>
        <v>919.37199999997392</v>
      </c>
      <c r="L158" s="7">
        <f t="shared" si="22"/>
        <v>458766.62800000003</v>
      </c>
      <c r="M158" s="4">
        <v>459686</v>
      </c>
      <c r="N158" s="4">
        <v>1127</v>
      </c>
      <c r="O158" s="4">
        <v>62150</v>
      </c>
      <c r="P158" s="4">
        <v>128781</v>
      </c>
      <c r="Q158" s="4">
        <f>228195-P158-O158-N158</f>
        <v>36137</v>
      </c>
      <c r="R158" s="96">
        <f t="shared" ref="R158:R221" si="23">C158-E158-G158</f>
        <v>120653</v>
      </c>
      <c r="S158" s="35">
        <f t="shared" si="20"/>
        <v>1.0318848267345197E-2</v>
      </c>
      <c r="T158" s="28">
        <f t="shared" si="19"/>
        <v>1.8602511010320122E-2</v>
      </c>
      <c r="U158" s="68"/>
      <c r="V158" s="196"/>
    </row>
    <row r="159" spans="1:22" x14ac:dyDescent="0.25">
      <c r="A159" s="2">
        <v>44050</v>
      </c>
      <c r="B159" s="129">
        <v>7482</v>
      </c>
      <c r="C159" s="154">
        <f>C158+B159</f>
        <v>235677</v>
      </c>
      <c r="D159" s="126">
        <v>159</v>
      </c>
      <c r="E159" s="126">
        <f t="shared" si="15"/>
        <v>4404</v>
      </c>
      <c r="F159" s="126">
        <f t="shared" si="14"/>
        <v>4945</v>
      </c>
      <c r="G159" s="153">
        <v>108242</v>
      </c>
      <c r="H159" s="126">
        <v>1293</v>
      </c>
      <c r="I159" s="126">
        <v>17493</v>
      </c>
      <c r="J159" s="4">
        <f>J158+I159</f>
        <v>830057</v>
      </c>
      <c r="K159" s="7">
        <f t="shared" si="21"/>
        <v>940.32600000000093</v>
      </c>
      <c r="L159" s="7">
        <f t="shared" si="22"/>
        <v>469222.674</v>
      </c>
      <c r="M159" s="4">
        <v>470163</v>
      </c>
      <c r="N159" s="4">
        <v>1130</v>
      </c>
      <c r="O159" s="4">
        <v>63695</v>
      </c>
      <c r="P159" s="4">
        <v>133585</v>
      </c>
      <c r="Q159" s="4">
        <f>235677-P159-O159-N159</f>
        <v>37267</v>
      </c>
      <c r="R159" s="96">
        <f t="shared" si="23"/>
        <v>123031</v>
      </c>
      <c r="S159" s="35">
        <f t="shared" si="20"/>
        <v>1.0509546374490981E-2</v>
      </c>
      <c r="T159" s="28">
        <f t="shared" si="19"/>
        <v>1.8686592242772949E-2</v>
      </c>
      <c r="U159" s="68"/>
      <c r="V159" s="196"/>
    </row>
    <row r="160" spans="1:22" x14ac:dyDescent="0.25">
      <c r="A160" s="2">
        <v>44051</v>
      </c>
      <c r="B160" s="129">
        <v>6134</v>
      </c>
      <c r="C160" s="154">
        <f>B160+C159</f>
        <v>241811</v>
      </c>
      <c r="D160" s="126">
        <v>112</v>
      </c>
      <c r="E160" s="126">
        <f t="shared" si="15"/>
        <v>4516</v>
      </c>
      <c r="F160" s="126">
        <f t="shared" si="14"/>
        <v>61867</v>
      </c>
      <c r="G160" s="153">
        <v>170109</v>
      </c>
      <c r="H160" s="126">
        <v>1502</v>
      </c>
      <c r="I160" s="126">
        <v>15163</v>
      </c>
      <c r="J160" s="4">
        <v>845220</v>
      </c>
      <c r="K160" s="7">
        <f t="shared" si="21"/>
        <v>955.79399999999441</v>
      </c>
      <c r="L160" s="7">
        <f t="shared" si="22"/>
        <v>476941.20600000001</v>
      </c>
      <c r="M160" s="4">
        <v>477897</v>
      </c>
      <c r="N160" s="4">
        <v>1130</v>
      </c>
      <c r="O160" s="4">
        <v>64762</v>
      </c>
      <c r="P160" s="4">
        <v>136987</v>
      </c>
      <c r="Q160" s="4">
        <f>241811-P160-O160-N160</f>
        <v>38932</v>
      </c>
      <c r="R160" s="96">
        <f t="shared" si="23"/>
        <v>67186</v>
      </c>
      <c r="S160" s="35">
        <f t="shared" si="20"/>
        <v>2.2355847944512251E-2</v>
      </c>
      <c r="T160" s="28">
        <f t="shared" si="19"/>
        <v>1.8675742625438876E-2</v>
      </c>
      <c r="U160" s="68"/>
      <c r="V160" s="196"/>
    </row>
    <row r="161" spans="1:22" x14ac:dyDescent="0.25">
      <c r="A161" s="2">
        <v>44052</v>
      </c>
      <c r="B161" s="129">
        <v>4688</v>
      </c>
      <c r="C161" s="154">
        <f t="shared" ref="C161:C169" si="24">C160+B161</f>
        <v>246499</v>
      </c>
      <c r="D161" s="126">
        <v>83</v>
      </c>
      <c r="E161" s="126">
        <f t="shared" si="15"/>
        <v>4599</v>
      </c>
      <c r="F161" s="126">
        <f t="shared" si="14"/>
        <v>4865</v>
      </c>
      <c r="G161" s="153">
        <v>174974</v>
      </c>
      <c r="H161" s="126">
        <v>1565</v>
      </c>
      <c r="I161" s="126">
        <v>10835</v>
      </c>
      <c r="J161" s="4">
        <v>856055</v>
      </c>
      <c r="K161" s="7">
        <f t="shared" si="21"/>
        <v>966.1020000000135</v>
      </c>
      <c r="L161" s="7">
        <f t="shared" ref="L161:L178" si="25">0.998*M161</f>
        <v>482084.89799999999</v>
      </c>
      <c r="M161" s="4">
        <v>483051</v>
      </c>
      <c r="N161" s="4">
        <v>1131</v>
      </c>
      <c r="O161" s="4">
        <v>65737</v>
      </c>
      <c r="P161" s="4">
        <v>139746</v>
      </c>
      <c r="Q161" s="4">
        <f>246499-P161-O161-N161</f>
        <v>39885</v>
      </c>
      <c r="R161" s="96">
        <f t="shared" si="23"/>
        <v>66926</v>
      </c>
      <c r="S161" s="35">
        <f>H161/(C161-E161-G161)</f>
        <v>2.3384036099572663E-2</v>
      </c>
      <c r="T161" s="28">
        <f t="shared" si="19"/>
        <v>1.8657276500107504E-2</v>
      </c>
      <c r="U161" s="68"/>
      <c r="V161" s="196"/>
    </row>
    <row r="162" spans="1:22" x14ac:dyDescent="0.25">
      <c r="A162" s="36">
        <v>44053</v>
      </c>
      <c r="B162" s="129">
        <v>7369</v>
      </c>
      <c r="C162" s="154">
        <f t="shared" si="24"/>
        <v>253868</v>
      </c>
      <c r="D162" s="126">
        <v>157</v>
      </c>
      <c r="E162" s="126">
        <f t="shared" si="15"/>
        <v>4756</v>
      </c>
      <c r="F162" s="126">
        <f t="shared" si="14"/>
        <v>6424</v>
      </c>
      <c r="G162" s="153">
        <v>181398</v>
      </c>
      <c r="H162" s="126">
        <v>1569</v>
      </c>
      <c r="I162" s="126">
        <v>16588</v>
      </c>
      <c r="J162" s="4">
        <v>872643</v>
      </c>
      <c r="K162" s="7">
        <f t="shared" si="21"/>
        <v>983.05200000002515</v>
      </c>
      <c r="L162" s="7">
        <f t="shared" si="25"/>
        <v>490542.94799999997</v>
      </c>
      <c r="M162" s="4">
        <v>491526</v>
      </c>
      <c r="N162" s="4">
        <v>1136</v>
      </c>
      <c r="O162" s="4">
        <v>67245</v>
      </c>
      <c r="P162" s="4">
        <v>144896</v>
      </c>
      <c r="Q162" s="4">
        <f>253686-P162-O162-N162</f>
        <v>40409</v>
      </c>
      <c r="R162" s="96">
        <f t="shared" si="23"/>
        <v>67714</v>
      </c>
      <c r="S162" s="35">
        <f t="shared" ref="S162:S205" si="26">H162/(C162-E162-G162)</f>
        <v>2.3170983843813688E-2</v>
      </c>
      <c r="T162" s="28">
        <f t="shared" si="19"/>
        <v>1.8734145303858699E-2</v>
      </c>
      <c r="U162" s="68"/>
      <c r="V162" s="196"/>
    </row>
    <row r="163" spans="1:22" x14ac:dyDescent="0.25">
      <c r="A163" s="2">
        <v>44054</v>
      </c>
      <c r="B163" s="129">
        <v>7043</v>
      </c>
      <c r="C163" s="154">
        <f t="shared" si="24"/>
        <v>260911</v>
      </c>
      <c r="D163" s="126">
        <v>241</v>
      </c>
      <c r="E163" s="126">
        <f t="shared" si="15"/>
        <v>4997</v>
      </c>
      <c r="F163" s="126">
        <f t="shared" si="14"/>
        <v>5885</v>
      </c>
      <c r="G163" s="153">
        <v>187283</v>
      </c>
      <c r="H163" s="126">
        <v>1585</v>
      </c>
      <c r="I163" s="126">
        <v>19174</v>
      </c>
      <c r="J163" s="4">
        <f>J162+I163</f>
        <v>891817</v>
      </c>
      <c r="K163" s="7">
        <f t="shared" si="21"/>
        <v>1003.3040000000037</v>
      </c>
      <c r="L163" s="7">
        <f t="shared" si="25"/>
        <v>500648.696</v>
      </c>
      <c r="M163" s="4">
        <v>501652</v>
      </c>
      <c r="N163" s="4">
        <v>1137</v>
      </c>
      <c r="O163" s="4">
        <v>68717</v>
      </c>
      <c r="P163" s="4">
        <v>151086</v>
      </c>
      <c r="Q163" s="4">
        <f>260911-P163-O163-N163</f>
        <v>39971</v>
      </c>
      <c r="R163" s="96">
        <f t="shared" si="23"/>
        <v>68631</v>
      </c>
      <c r="S163" s="35">
        <f t="shared" si="26"/>
        <v>2.3094519969110168E-2</v>
      </c>
      <c r="T163" s="28">
        <f t="shared" si="19"/>
        <v>1.9152124670864776E-2</v>
      </c>
      <c r="U163" s="68"/>
      <c r="V163" s="196"/>
    </row>
    <row r="164" spans="1:22" x14ac:dyDescent="0.25">
      <c r="A164" s="2">
        <v>44055</v>
      </c>
      <c r="B164" s="129">
        <v>7663</v>
      </c>
      <c r="C164" s="154">
        <f t="shared" si="24"/>
        <v>268574</v>
      </c>
      <c r="D164" s="126">
        <v>209</v>
      </c>
      <c r="E164" s="126">
        <f t="shared" si="15"/>
        <v>5206</v>
      </c>
      <c r="F164" s="126">
        <f t="shared" si="14"/>
        <v>5151</v>
      </c>
      <c r="G164" s="153">
        <v>192434</v>
      </c>
      <c r="H164" s="126">
        <v>1662</v>
      </c>
      <c r="I164" s="126">
        <v>19779</v>
      </c>
      <c r="J164" s="4">
        <v>911596</v>
      </c>
      <c r="K164" s="7">
        <f t="shared" si="21"/>
        <v>1024.2339999999967</v>
      </c>
      <c r="L164" s="7">
        <f t="shared" si="25"/>
        <v>511092.766</v>
      </c>
      <c r="M164" s="4">
        <v>512117</v>
      </c>
      <c r="N164" s="4">
        <v>1142</v>
      </c>
      <c r="O164" s="4">
        <v>70280</v>
      </c>
      <c r="P164" s="4">
        <v>156764</v>
      </c>
      <c r="Q164" s="4">
        <f>268574-P164-O164-N164</f>
        <v>40388</v>
      </c>
      <c r="R164" s="96">
        <f t="shared" si="23"/>
        <v>70934</v>
      </c>
      <c r="S164" s="35">
        <f t="shared" si="26"/>
        <v>2.3430230918882342E-2</v>
      </c>
      <c r="T164" s="28">
        <f t="shared" si="19"/>
        <v>1.9383856963071631E-2</v>
      </c>
      <c r="U164" s="68"/>
      <c r="V164" s="196"/>
    </row>
    <row r="165" spans="1:22" x14ac:dyDescent="0.25">
      <c r="A165" s="2">
        <v>44056</v>
      </c>
      <c r="B165" s="129">
        <v>7498</v>
      </c>
      <c r="C165" s="154">
        <f t="shared" si="24"/>
        <v>276072</v>
      </c>
      <c r="D165" s="126">
        <v>149</v>
      </c>
      <c r="E165" s="126">
        <f t="shared" si="15"/>
        <v>5355</v>
      </c>
      <c r="F165" s="126">
        <f t="shared" si="14"/>
        <v>6571</v>
      </c>
      <c r="G165" s="153">
        <v>199005</v>
      </c>
      <c r="H165" s="126">
        <v>1682</v>
      </c>
      <c r="I165" s="126">
        <v>18501</v>
      </c>
      <c r="J165" s="4">
        <v>930097</v>
      </c>
      <c r="K165" s="7">
        <f t="shared" si="21"/>
        <v>1045.8319999999949</v>
      </c>
      <c r="L165" s="7">
        <f t="shared" si="25"/>
        <v>521870.16800000001</v>
      </c>
      <c r="M165" s="4">
        <v>522916</v>
      </c>
      <c r="N165" s="4">
        <v>1143</v>
      </c>
      <c r="O165" s="4">
        <v>71620</v>
      </c>
      <c r="P165" s="4">
        <v>162959</v>
      </c>
      <c r="Q165" s="4">
        <f>276072-P165-O165-N165</f>
        <v>40350</v>
      </c>
      <c r="R165" s="96">
        <f t="shared" si="23"/>
        <v>71712</v>
      </c>
      <c r="S165" s="35">
        <f t="shared" si="26"/>
        <v>2.3454930834448908E-2</v>
      </c>
      <c r="T165" s="28">
        <f t="shared" si="19"/>
        <v>1.9397113796400939E-2</v>
      </c>
      <c r="U165" s="68"/>
      <c r="V165" s="196"/>
    </row>
    <row r="166" spans="1:22" x14ac:dyDescent="0.25">
      <c r="A166" s="2">
        <v>44057</v>
      </c>
      <c r="B166" s="129">
        <v>6365</v>
      </c>
      <c r="C166" s="154">
        <f t="shared" si="24"/>
        <v>282437</v>
      </c>
      <c r="D166" s="126">
        <v>164</v>
      </c>
      <c r="E166" s="126">
        <f t="shared" si="15"/>
        <v>5519</v>
      </c>
      <c r="F166" s="126">
        <f t="shared" si="14"/>
        <v>6692</v>
      </c>
      <c r="G166" s="153">
        <v>205697</v>
      </c>
      <c r="H166" s="126">
        <v>1718</v>
      </c>
      <c r="I166" s="126">
        <v>19073</v>
      </c>
      <c r="J166" s="4">
        <v>949170</v>
      </c>
      <c r="K166" s="7">
        <f t="shared" si="21"/>
        <v>1066.9579999999842</v>
      </c>
      <c r="L166" s="7">
        <f t="shared" si="25"/>
        <v>532412.04200000002</v>
      </c>
      <c r="M166" s="4">
        <v>533479</v>
      </c>
      <c r="N166" s="4">
        <v>1148</v>
      </c>
      <c r="O166" s="4">
        <v>72902</v>
      </c>
      <c r="P166" s="4">
        <v>168252</v>
      </c>
      <c r="Q166" s="4">
        <f>282437-P166-O166-N166</f>
        <v>40135</v>
      </c>
      <c r="R166" s="96">
        <f t="shared" si="23"/>
        <v>71221</v>
      </c>
      <c r="S166" s="35">
        <f t="shared" si="26"/>
        <v>2.4122098819168505E-2</v>
      </c>
      <c r="T166" s="28">
        <f t="shared" si="19"/>
        <v>1.9540640921692273E-2</v>
      </c>
      <c r="U166" s="68"/>
      <c r="V166" s="196"/>
    </row>
    <row r="167" spans="1:22" x14ac:dyDescent="0.25">
      <c r="A167" s="29">
        <v>44058</v>
      </c>
      <c r="B167" s="126">
        <v>6663</v>
      </c>
      <c r="C167" s="154">
        <f t="shared" si="24"/>
        <v>289100</v>
      </c>
      <c r="D167" s="126">
        <v>110</v>
      </c>
      <c r="E167" s="126">
        <f t="shared" si="15"/>
        <v>5629</v>
      </c>
      <c r="F167" s="126">
        <f t="shared" si="14"/>
        <v>6005</v>
      </c>
      <c r="G167" s="153">
        <v>211702</v>
      </c>
      <c r="H167" s="126">
        <v>1716</v>
      </c>
      <c r="I167" s="126">
        <v>17756</v>
      </c>
      <c r="J167" s="4">
        <f>J166+I167</f>
        <v>966926</v>
      </c>
      <c r="K167" s="7">
        <f t="shared" si="21"/>
        <v>1086.1879999999655</v>
      </c>
      <c r="L167" s="7">
        <f t="shared" si="25"/>
        <v>542007.81200000003</v>
      </c>
      <c r="M167" s="4">
        <v>543094</v>
      </c>
      <c r="N167" s="4">
        <v>1151</v>
      </c>
      <c r="O167" s="4">
        <v>74109</v>
      </c>
      <c r="P167" s="4">
        <v>171954</v>
      </c>
      <c r="Q167" s="4">
        <f>289100-P167-O167-N167</f>
        <v>41886</v>
      </c>
      <c r="R167" s="96">
        <f t="shared" si="23"/>
        <v>71769</v>
      </c>
      <c r="S167" s="35">
        <f t="shared" si="26"/>
        <v>2.3910044726831919E-2</v>
      </c>
      <c r="T167" s="28">
        <f t="shared" si="19"/>
        <v>1.9470771359391213E-2</v>
      </c>
      <c r="U167" s="68"/>
      <c r="V167" s="196"/>
    </row>
    <row r="168" spans="1:22" x14ac:dyDescent="0.25">
      <c r="A168" s="29">
        <v>44059</v>
      </c>
      <c r="B168" s="126">
        <v>5469</v>
      </c>
      <c r="C168" s="154">
        <f t="shared" si="24"/>
        <v>294569</v>
      </c>
      <c r="D168" s="126">
        <v>65</v>
      </c>
      <c r="E168" s="126">
        <f t="shared" si="15"/>
        <v>5694</v>
      </c>
      <c r="F168" s="126">
        <f t="shared" si="14"/>
        <v>6148</v>
      </c>
      <c r="G168" s="153">
        <v>217850</v>
      </c>
      <c r="H168" s="126">
        <v>1708</v>
      </c>
      <c r="I168" s="126">
        <v>14533</v>
      </c>
      <c r="J168" s="220">
        <v>981459</v>
      </c>
      <c r="K168" s="7">
        <f t="shared" si="21"/>
        <v>1101.25</v>
      </c>
      <c r="L168" s="7">
        <f t="shared" si="25"/>
        <v>549523.75</v>
      </c>
      <c r="M168" s="4">
        <v>550625</v>
      </c>
      <c r="N168" s="4">
        <v>1154</v>
      </c>
      <c r="O168" s="4">
        <v>75051</v>
      </c>
      <c r="P168" s="4">
        <v>175520</v>
      </c>
      <c r="Q168" s="4">
        <f>294569-P168-O168-N168</f>
        <v>42844</v>
      </c>
      <c r="R168" s="96">
        <f t="shared" si="23"/>
        <v>71025</v>
      </c>
      <c r="S168" s="35">
        <f t="shared" si="26"/>
        <v>2.4047870468145018E-2</v>
      </c>
      <c r="T168" s="28">
        <f t="shared" si="19"/>
        <v>1.9329936279785041E-2</v>
      </c>
      <c r="U168" s="68"/>
      <c r="V168" s="196"/>
    </row>
    <row r="169" spans="1:22" x14ac:dyDescent="0.25">
      <c r="A169" s="36">
        <v>44060</v>
      </c>
      <c r="B169" s="126">
        <v>4557</v>
      </c>
      <c r="C169" s="154">
        <f t="shared" si="24"/>
        <v>299126</v>
      </c>
      <c r="D169" s="126">
        <v>111</v>
      </c>
      <c r="E169" s="126">
        <f t="shared" si="15"/>
        <v>5805</v>
      </c>
      <c r="F169" s="126">
        <f t="shared" si="14"/>
        <v>5681</v>
      </c>
      <c r="G169" s="153">
        <v>223531</v>
      </c>
      <c r="H169" s="133">
        <v>1749</v>
      </c>
      <c r="I169" s="133">
        <v>13483</v>
      </c>
      <c r="J169" s="27">
        <f>J168+I169</f>
        <v>994942</v>
      </c>
      <c r="K169" s="7">
        <f t="shared" si="21"/>
        <v>1116.6300000000047</v>
      </c>
      <c r="L169" s="7">
        <f t="shared" si="25"/>
        <v>557198.37</v>
      </c>
      <c r="M169" s="4">
        <v>558315</v>
      </c>
      <c r="N169" s="4">
        <v>1157</v>
      </c>
      <c r="O169" s="4">
        <v>76226</v>
      </c>
      <c r="P169" s="4">
        <v>180483</v>
      </c>
      <c r="Q169" s="4">
        <f>299126-P169-O169-N169</f>
        <v>41260</v>
      </c>
      <c r="R169" s="96">
        <f t="shared" si="23"/>
        <v>69790</v>
      </c>
      <c r="S169" s="35">
        <f t="shared" si="26"/>
        <v>2.506089697664422E-2</v>
      </c>
      <c r="T169" s="28">
        <f t="shared" si="19"/>
        <v>1.9406537713204469E-2</v>
      </c>
      <c r="U169" s="68"/>
      <c r="V169" s="196"/>
    </row>
    <row r="170" spans="1:22" x14ac:dyDescent="0.25">
      <c r="A170" s="2">
        <v>44061</v>
      </c>
      <c r="B170" s="126">
        <v>6840</v>
      </c>
      <c r="C170" s="154">
        <f t="shared" ref="C170:C177" si="27">C169+B170</f>
        <v>305966</v>
      </c>
      <c r="D170" s="126">
        <v>233</v>
      </c>
      <c r="E170" s="126">
        <f t="shared" si="15"/>
        <v>6038</v>
      </c>
      <c r="F170" s="126">
        <f t="shared" si="14"/>
        <v>5194</v>
      </c>
      <c r="G170" s="153">
        <v>228725</v>
      </c>
      <c r="H170" s="126">
        <v>1799</v>
      </c>
      <c r="I170" s="126">
        <v>18037</v>
      </c>
      <c r="J170" s="4">
        <f t="shared" ref="J170:J233" si="28">J171-I171</f>
        <v>969683</v>
      </c>
      <c r="K170" s="7">
        <f t="shared" si="21"/>
        <v>1136.4399999999441</v>
      </c>
      <c r="L170" s="7">
        <f t="shared" si="25"/>
        <v>567083.56000000006</v>
      </c>
      <c r="M170" s="4">
        <v>568220</v>
      </c>
      <c r="N170" s="4">
        <v>1161</v>
      </c>
      <c r="O170" s="4">
        <v>77895</v>
      </c>
      <c r="P170" s="4">
        <v>185880</v>
      </c>
      <c r="Q170" s="4">
        <f>305966-P170-O170-N170</f>
        <v>41030</v>
      </c>
      <c r="R170" s="96">
        <f t="shared" si="23"/>
        <v>71203</v>
      </c>
      <c r="S170" s="35">
        <f t="shared" si="26"/>
        <v>2.5265789362807746E-2</v>
      </c>
      <c r="T170" s="28">
        <f t="shared" si="19"/>
        <v>1.9734218834772492E-2</v>
      </c>
      <c r="U170" s="68"/>
      <c r="V170" s="196"/>
    </row>
    <row r="171" spans="1:22" x14ac:dyDescent="0.25">
      <c r="A171" s="2">
        <v>44062</v>
      </c>
      <c r="B171" s="126">
        <v>6693</v>
      </c>
      <c r="C171" s="154">
        <f t="shared" si="27"/>
        <v>312659</v>
      </c>
      <c r="D171" s="126">
        <v>283</v>
      </c>
      <c r="E171" s="126">
        <f t="shared" si="15"/>
        <v>6321</v>
      </c>
      <c r="F171" s="126">
        <f t="shared" si="14"/>
        <v>4926</v>
      </c>
      <c r="G171" s="153">
        <v>233651</v>
      </c>
      <c r="H171" s="126">
        <v>1795</v>
      </c>
      <c r="I171" s="126">
        <v>18013</v>
      </c>
      <c r="J171" s="4">
        <f t="shared" si="28"/>
        <v>987696</v>
      </c>
      <c r="K171" s="7">
        <f t="shared" si="21"/>
        <v>1156.0860000000102</v>
      </c>
      <c r="L171" s="7">
        <f t="shared" si="25"/>
        <v>576886.91399999999</v>
      </c>
      <c r="M171" s="4">
        <v>578043</v>
      </c>
      <c r="N171" s="4">
        <v>1163</v>
      </c>
      <c r="O171" s="4">
        <v>79219</v>
      </c>
      <c r="P171" s="4">
        <v>191037</v>
      </c>
      <c r="Q171" s="7">
        <f>C171-P171-O171-N171</f>
        <v>41240</v>
      </c>
      <c r="R171" s="96">
        <f t="shared" si="23"/>
        <v>72687</v>
      </c>
      <c r="S171" s="35">
        <f t="shared" si="26"/>
        <v>2.4694924814616093E-2</v>
      </c>
      <c r="T171" s="28">
        <f t="shared" si="19"/>
        <v>2.0216913634342845E-2</v>
      </c>
      <c r="U171" s="68"/>
      <c r="V171" s="196"/>
    </row>
    <row r="172" spans="1:22" x14ac:dyDescent="0.25">
      <c r="A172" s="2">
        <v>44063</v>
      </c>
      <c r="B172" s="131">
        <v>8225</v>
      </c>
      <c r="C172" s="154">
        <f t="shared" si="27"/>
        <v>320884</v>
      </c>
      <c r="D172" s="126">
        <v>187</v>
      </c>
      <c r="E172" s="126">
        <f t="shared" si="15"/>
        <v>6508</v>
      </c>
      <c r="F172" s="126">
        <f t="shared" si="14"/>
        <v>6155</v>
      </c>
      <c r="G172" s="153">
        <v>239806</v>
      </c>
      <c r="H172" s="126">
        <v>1832</v>
      </c>
      <c r="I172" s="126">
        <v>21695</v>
      </c>
      <c r="J172" s="4">
        <f t="shared" si="28"/>
        <v>1009391</v>
      </c>
      <c r="K172" s="7">
        <f t="shared" si="21"/>
        <v>1178.905999999959</v>
      </c>
      <c r="L172" s="7">
        <f t="shared" si="25"/>
        <v>588274.09400000004</v>
      </c>
      <c r="M172" s="4">
        <v>589453</v>
      </c>
      <c r="N172" s="4">
        <v>1172</v>
      </c>
      <c r="O172" s="4">
        <v>80662</v>
      </c>
      <c r="P172" s="4">
        <v>196370</v>
      </c>
      <c r="Q172" s="7">
        <f>C172-P172-O172-N172</f>
        <v>42680</v>
      </c>
      <c r="R172" s="96">
        <f t="shared" si="23"/>
        <v>74570</v>
      </c>
      <c r="S172" s="35">
        <f t="shared" si="26"/>
        <v>2.4567520450583344E-2</v>
      </c>
      <c r="T172" s="28">
        <f t="shared" si="19"/>
        <v>2.0281472432405481E-2</v>
      </c>
      <c r="U172" s="68"/>
      <c r="V172" s="196"/>
    </row>
    <row r="173" spans="1:22" x14ac:dyDescent="0.25">
      <c r="A173" s="2">
        <v>44064</v>
      </c>
      <c r="B173" s="126">
        <v>8159</v>
      </c>
      <c r="C173" s="154">
        <f t="shared" si="27"/>
        <v>329043</v>
      </c>
      <c r="D173" s="126">
        <v>214</v>
      </c>
      <c r="E173" s="126">
        <f t="shared" si="15"/>
        <v>6722</v>
      </c>
      <c r="F173" s="126">
        <f t="shared" si="14"/>
        <v>5975</v>
      </c>
      <c r="G173" s="153">
        <v>245781</v>
      </c>
      <c r="H173" s="133">
        <v>1853</v>
      </c>
      <c r="I173" s="133">
        <v>21032</v>
      </c>
      <c r="J173" s="4">
        <f t="shared" si="28"/>
        <v>1030423</v>
      </c>
      <c r="K173" s="7">
        <f t="shared" si="21"/>
        <v>1201.0119999999879</v>
      </c>
      <c r="L173" s="7">
        <f t="shared" si="25"/>
        <v>599304.98800000001</v>
      </c>
      <c r="M173" s="4">
        <v>600506</v>
      </c>
      <c r="N173" s="4">
        <v>1175</v>
      </c>
      <c r="O173" s="4">
        <v>82187</v>
      </c>
      <c r="P173" s="4">
        <v>201933</v>
      </c>
      <c r="Q173" s="7">
        <f>C173-P173-O173-N173</f>
        <v>43748</v>
      </c>
      <c r="R173" s="96">
        <f t="shared" si="23"/>
        <v>76540</v>
      </c>
      <c r="S173" s="35">
        <f t="shared" si="26"/>
        <v>2.4209563626861771E-2</v>
      </c>
      <c r="T173" s="28">
        <f t="shared" si="19"/>
        <v>2.0428940898302047E-2</v>
      </c>
      <c r="U173" s="68"/>
      <c r="V173" s="196"/>
    </row>
    <row r="174" spans="1:22" x14ac:dyDescent="0.25">
      <c r="A174" s="2">
        <v>44065</v>
      </c>
      <c r="B174" s="126">
        <v>7759</v>
      </c>
      <c r="C174" s="154">
        <f t="shared" si="27"/>
        <v>336802</v>
      </c>
      <c r="D174" s="126">
        <v>118</v>
      </c>
      <c r="E174" s="126">
        <f t="shared" si="15"/>
        <v>6840</v>
      </c>
      <c r="F174" s="126">
        <f t="shared" si="14"/>
        <v>5619</v>
      </c>
      <c r="G174" s="153">
        <v>251400</v>
      </c>
      <c r="H174" s="133">
        <v>1907</v>
      </c>
      <c r="I174" s="133">
        <v>18837</v>
      </c>
      <c r="J174" s="4">
        <f t="shared" si="28"/>
        <v>1049260</v>
      </c>
      <c r="K174" s="7">
        <f t="shared" si="21"/>
        <v>1220.3220000000438</v>
      </c>
      <c r="L174" s="7">
        <f t="shared" si="25"/>
        <v>608940.67799999996</v>
      </c>
      <c r="M174" s="4">
        <v>610161</v>
      </c>
      <c r="N174" s="4">
        <v>1178</v>
      </c>
      <c r="O174" s="4">
        <v>83443</v>
      </c>
      <c r="P174" s="4">
        <v>205996</v>
      </c>
      <c r="Q174" s="7">
        <f>C174-P174-O174-N174</f>
        <v>46185</v>
      </c>
      <c r="R174" s="96">
        <f t="shared" si="23"/>
        <v>78562</v>
      </c>
      <c r="S174" s="35">
        <f t="shared" si="26"/>
        <v>2.4273821949543035E-2</v>
      </c>
      <c r="T174" s="28">
        <f t="shared" si="19"/>
        <v>2.0308668000783844E-2</v>
      </c>
      <c r="U174" s="68"/>
      <c r="V174" s="196"/>
    </row>
    <row r="175" spans="1:22" x14ac:dyDescent="0.25">
      <c r="A175" s="2">
        <v>44066</v>
      </c>
      <c r="B175" s="126">
        <v>5352</v>
      </c>
      <c r="C175" s="154">
        <f t="shared" si="27"/>
        <v>342154</v>
      </c>
      <c r="D175" s="126">
        <v>137</v>
      </c>
      <c r="E175" s="126">
        <f t="shared" si="15"/>
        <v>6977</v>
      </c>
      <c r="F175" s="126">
        <f t="shared" si="14"/>
        <v>5389</v>
      </c>
      <c r="G175" s="153">
        <v>256789</v>
      </c>
      <c r="H175" s="126">
        <v>1922</v>
      </c>
      <c r="I175" s="126">
        <v>13322</v>
      </c>
      <c r="J175" s="4">
        <f t="shared" si="28"/>
        <v>1062582</v>
      </c>
      <c r="K175" s="7">
        <f t="shared" si="21"/>
        <v>1234.4039999999804</v>
      </c>
      <c r="L175" s="7">
        <f t="shared" si="25"/>
        <v>615967.59600000002</v>
      </c>
      <c r="M175" s="4">
        <v>617202</v>
      </c>
      <c r="N175" s="4">
        <v>1179</v>
      </c>
      <c r="O175" s="4">
        <v>84223</v>
      </c>
      <c r="P175" s="4">
        <v>209236</v>
      </c>
      <c r="Q175" s="7">
        <f t="shared" ref="Q175:Q198" si="29">C175-P175-O175-N175</f>
        <v>47516</v>
      </c>
      <c r="R175" s="96">
        <f t="shared" si="23"/>
        <v>78388</v>
      </c>
      <c r="S175" s="35">
        <f t="shared" si="26"/>
        <v>2.4519059039648926E-2</v>
      </c>
      <c r="T175" s="28">
        <f t="shared" si="19"/>
        <v>2.0391402701707417E-2</v>
      </c>
      <c r="U175" s="68"/>
      <c r="V175" s="196"/>
    </row>
    <row r="176" spans="1:22" x14ac:dyDescent="0.25">
      <c r="A176" s="36">
        <v>44067</v>
      </c>
      <c r="B176" s="126">
        <v>8713</v>
      </c>
      <c r="C176" s="154">
        <f t="shared" si="27"/>
        <v>350867</v>
      </c>
      <c r="D176" s="126">
        <v>381</v>
      </c>
      <c r="E176" s="126">
        <f t="shared" si="15"/>
        <v>7358</v>
      </c>
      <c r="F176" s="126">
        <f t="shared" si="14"/>
        <v>6413</v>
      </c>
      <c r="G176" s="153">
        <v>263202</v>
      </c>
      <c r="H176" s="126">
        <v>1960</v>
      </c>
      <c r="I176" s="126">
        <v>21220</v>
      </c>
      <c r="J176" s="4">
        <f t="shared" si="28"/>
        <v>1083802</v>
      </c>
      <c r="K176" s="7">
        <f t="shared" si="21"/>
        <v>1256.7859999999637</v>
      </c>
      <c r="L176" s="7">
        <f t="shared" si="25"/>
        <v>627136.21400000004</v>
      </c>
      <c r="M176" s="4">
        <v>628393</v>
      </c>
      <c r="N176" s="4">
        <v>1180</v>
      </c>
      <c r="O176" s="4">
        <v>85600</v>
      </c>
      <c r="P176" s="4">
        <v>213348</v>
      </c>
      <c r="Q176" s="7">
        <f t="shared" si="29"/>
        <v>50739</v>
      </c>
      <c r="R176" s="96">
        <f t="shared" si="23"/>
        <v>80307</v>
      </c>
      <c r="S176" s="35">
        <f t="shared" si="26"/>
        <v>2.4406340667687747E-2</v>
      </c>
      <c r="T176" s="28">
        <f t="shared" si="19"/>
        <v>2.0970909204912402E-2</v>
      </c>
      <c r="U176" s="68"/>
      <c r="V176" s="196"/>
    </row>
    <row r="177" spans="1:22" s="32" customFormat="1" x14ac:dyDescent="0.25">
      <c r="A177" s="2">
        <v>44068</v>
      </c>
      <c r="B177" s="126">
        <v>8771</v>
      </c>
      <c r="C177" s="154">
        <f t="shared" si="27"/>
        <v>359638</v>
      </c>
      <c r="D177" s="126">
        <v>199</v>
      </c>
      <c r="E177" s="126">
        <f t="shared" si="15"/>
        <v>7557</v>
      </c>
      <c r="F177" s="126">
        <f t="shared" si="14"/>
        <v>5599</v>
      </c>
      <c r="G177" s="153">
        <v>268801</v>
      </c>
      <c r="H177" s="126">
        <v>1990</v>
      </c>
      <c r="I177" s="126">
        <v>21476</v>
      </c>
      <c r="J177" s="4">
        <f t="shared" si="28"/>
        <v>1105278</v>
      </c>
      <c r="K177" s="7">
        <f t="shared" si="21"/>
        <v>1278.204000000027</v>
      </c>
      <c r="L177" s="7">
        <f t="shared" si="25"/>
        <v>637823.79599999997</v>
      </c>
      <c r="M177" s="4">
        <v>639102</v>
      </c>
      <c r="N177" s="4">
        <v>1183</v>
      </c>
      <c r="O177" s="4">
        <v>87216</v>
      </c>
      <c r="P177" s="4">
        <v>219449</v>
      </c>
      <c r="Q177" s="4">
        <f t="shared" si="29"/>
        <v>51790</v>
      </c>
      <c r="R177" s="96">
        <f t="shared" si="23"/>
        <v>83280</v>
      </c>
      <c r="S177" s="35">
        <f t="shared" si="26"/>
        <v>2.3895292987512008E-2</v>
      </c>
      <c r="T177" s="28">
        <f t="shared" si="19"/>
        <v>2.1012796200623962E-2</v>
      </c>
      <c r="U177" s="68"/>
      <c r="V177" s="196"/>
    </row>
    <row r="178" spans="1:22" x14ac:dyDescent="0.25">
      <c r="A178" s="2">
        <v>44069</v>
      </c>
      <c r="B178" s="126">
        <v>10550</v>
      </c>
      <c r="C178" s="154">
        <f t="shared" ref="C178:C192" si="30">C177+B178</f>
        <v>370188</v>
      </c>
      <c r="D178" s="126">
        <v>276</v>
      </c>
      <c r="E178" s="126">
        <f t="shared" si="15"/>
        <v>7833</v>
      </c>
      <c r="F178" s="126">
        <f t="shared" si="14"/>
        <v>5657</v>
      </c>
      <c r="G178" s="153">
        <v>274458</v>
      </c>
      <c r="H178" s="126">
        <v>2022</v>
      </c>
      <c r="I178" s="126">
        <v>24237</v>
      </c>
      <c r="J178" s="4">
        <f t="shared" si="28"/>
        <v>1129515</v>
      </c>
      <c r="K178" s="7">
        <f t="shared" si="21"/>
        <v>1301.7900000000373</v>
      </c>
      <c r="L178" s="7">
        <f t="shared" si="25"/>
        <v>649593.21</v>
      </c>
      <c r="M178" s="4">
        <v>650895</v>
      </c>
      <c r="N178" s="4">
        <v>1187</v>
      </c>
      <c r="O178" s="4">
        <v>88811</v>
      </c>
      <c r="P178" s="4">
        <v>226073</v>
      </c>
      <c r="Q178" s="4">
        <f t="shared" si="29"/>
        <v>54117</v>
      </c>
      <c r="R178" s="96">
        <f t="shared" si="23"/>
        <v>87897</v>
      </c>
      <c r="S178" s="35">
        <f t="shared" si="26"/>
        <v>2.3004198095498141E-2</v>
      </c>
      <c r="T178" s="28">
        <f t="shared" si="19"/>
        <v>2.1159518947129568E-2</v>
      </c>
      <c r="U178" s="68"/>
      <c r="V178" s="196"/>
    </row>
    <row r="179" spans="1:22" x14ac:dyDescent="0.25">
      <c r="A179" s="2">
        <v>44070</v>
      </c>
      <c r="B179" s="126">
        <v>10104</v>
      </c>
      <c r="C179" s="154">
        <f t="shared" si="30"/>
        <v>380292</v>
      </c>
      <c r="D179" s="126">
        <v>210</v>
      </c>
      <c r="E179" s="126">
        <f t="shared" si="15"/>
        <v>8043</v>
      </c>
      <c r="F179" s="126">
        <f t="shared" si="14"/>
        <v>0</v>
      </c>
      <c r="G179" s="153">
        <v>274458</v>
      </c>
      <c r="H179" s="126">
        <v>2075</v>
      </c>
      <c r="I179" s="126">
        <v>24067</v>
      </c>
      <c r="J179" s="4">
        <f t="shared" si="28"/>
        <v>1153582</v>
      </c>
      <c r="K179" s="7">
        <f t="shared" si="21"/>
        <v>1061.1663999999873</v>
      </c>
      <c r="L179" s="7">
        <f t="shared" ref="L179:L190" si="31">0.9984*M179</f>
        <v>662167.83360000001</v>
      </c>
      <c r="M179" s="4">
        <v>663229</v>
      </c>
      <c r="N179" s="4">
        <v>1187</v>
      </c>
      <c r="O179" s="4">
        <v>90269</v>
      </c>
      <c r="P179" s="4">
        <v>232379</v>
      </c>
      <c r="Q179" s="4">
        <f t="shared" si="29"/>
        <v>56457</v>
      </c>
      <c r="R179" s="96">
        <f t="shared" si="23"/>
        <v>97791</v>
      </c>
      <c r="S179" s="35">
        <f t="shared" si="26"/>
        <v>2.1218721559243692E-2</v>
      </c>
      <c r="T179" s="28">
        <f t="shared" si="19"/>
        <v>2.1149537723643936E-2</v>
      </c>
      <c r="U179" s="68"/>
      <c r="V179" s="196"/>
    </row>
    <row r="180" spans="1:22" x14ac:dyDescent="0.25">
      <c r="A180" s="2">
        <v>44071</v>
      </c>
      <c r="B180" s="132">
        <v>11717</v>
      </c>
      <c r="C180" s="155">
        <f t="shared" si="30"/>
        <v>392009</v>
      </c>
      <c r="D180" s="133">
        <v>222</v>
      </c>
      <c r="E180" s="126">
        <f t="shared" si="15"/>
        <v>8265</v>
      </c>
      <c r="F180" s="126">
        <f t="shared" si="14"/>
        <v>12762</v>
      </c>
      <c r="G180" s="153">
        <v>287220</v>
      </c>
      <c r="H180" s="133">
        <v>2114</v>
      </c>
      <c r="I180" s="133">
        <v>25481</v>
      </c>
      <c r="J180" s="4">
        <f t="shared" si="28"/>
        <v>1179063</v>
      </c>
      <c r="K180" s="7">
        <f t="shared" si="21"/>
        <v>1081.8352000000887</v>
      </c>
      <c r="L180" s="7">
        <f t="shared" si="31"/>
        <v>675065.16479999991</v>
      </c>
      <c r="M180" s="4">
        <v>676147</v>
      </c>
      <c r="N180" s="4">
        <v>1190</v>
      </c>
      <c r="O180" s="4">
        <v>92043</v>
      </c>
      <c r="P180" s="4">
        <v>239019</v>
      </c>
      <c r="Q180" s="4">
        <f t="shared" si="29"/>
        <v>59757</v>
      </c>
      <c r="R180" s="96">
        <f t="shared" si="23"/>
        <v>96524</v>
      </c>
      <c r="S180" s="35">
        <f t="shared" si="26"/>
        <v>2.1901288798640752E-2</v>
      </c>
      <c r="T180" s="28">
        <f t="shared" si="19"/>
        <v>2.1083699608937551E-2</v>
      </c>
      <c r="U180" s="68"/>
      <c r="V180" s="196"/>
    </row>
    <row r="181" spans="1:22" x14ac:dyDescent="0.25">
      <c r="A181" s="34">
        <v>44072</v>
      </c>
      <c r="B181" s="133">
        <v>9230</v>
      </c>
      <c r="C181" s="155">
        <f t="shared" si="30"/>
        <v>401239</v>
      </c>
      <c r="D181" s="133">
        <v>82</v>
      </c>
      <c r="E181" s="126">
        <f t="shared" si="15"/>
        <v>8347</v>
      </c>
      <c r="F181" s="126">
        <f t="shared" si="14"/>
        <v>6787</v>
      </c>
      <c r="G181" s="153">
        <v>294007</v>
      </c>
      <c r="H181" s="133">
        <v>2192</v>
      </c>
      <c r="I181" s="133">
        <v>19910</v>
      </c>
      <c r="J181" s="4">
        <f t="shared" si="28"/>
        <v>1198973</v>
      </c>
      <c r="K181" s="7">
        <f t="shared" ref="K181:K193" si="32">M181-L181</f>
        <v>1097.3584000000264</v>
      </c>
      <c r="L181" s="7">
        <f t="shared" si="31"/>
        <v>684751.64159999997</v>
      </c>
      <c r="M181" s="7">
        <v>685849</v>
      </c>
      <c r="N181" s="4">
        <v>1191</v>
      </c>
      <c r="O181" s="4">
        <v>93278</v>
      </c>
      <c r="P181" s="4">
        <v>244308</v>
      </c>
      <c r="Q181" s="4">
        <f t="shared" si="29"/>
        <v>62462</v>
      </c>
      <c r="R181" s="96">
        <f t="shared" si="23"/>
        <v>98885</v>
      </c>
      <c r="S181" s="35">
        <f t="shared" si="26"/>
        <v>2.2167163877231128E-2</v>
      </c>
      <c r="T181" s="28">
        <f t="shared" si="19"/>
        <v>2.0803062513863307E-2</v>
      </c>
      <c r="U181" s="68"/>
      <c r="V181" s="196"/>
    </row>
    <row r="182" spans="1:22" x14ac:dyDescent="0.25">
      <c r="A182" s="2">
        <v>44073</v>
      </c>
      <c r="B182" s="126">
        <v>7187</v>
      </c>
      <c r="C182" s="154">
        <f t="shared" si="30"/>
        <v>408426</v>
      </c>
      <c r="D182" s="126">
        <v>104</v>
      </c>
      <c r="E182" s="126">
        <f t="shared" si="15"/>
        <v>8451</v>
      </c>
      <c r="F182" s="126">
        <f t="shared" si="14"/>
        <v>6188</v>
      </c>
      <c r="G182" s="153">
        <v>300195</v>
      </c>
      <c r="H182" s="126">
        <v>2232</v>
      </c>
      <c r="I182" s="126">
        <v>15637</v>
      </c>
      <c r="J182" s="4">
        <f t="shared" si="28"/>
        <v>1214610</v>
      </c>
      <c r="K182" s="7">
        <f t="shared" si="32"/>
        <v>1109.0415999999968</v>
      </c>
      <c r="L182" s="7">
        <f t="shared" si="31"/>
        <v>692041.9584</v>
      </c>
      <c r="M182" s="4">
        <v>693151</v>
      </c>
      <c r="N182" s="4">
        <v>1191</v>
      </c>
      <c r="O182" s="4">
        <v>94301</v>
      </c>
      <c r="P182" s="4">
        <v>247931</v>
      </c>
      <c r="Q182" s="4">
        <f t="shared" si="29"/>
        <v>65003</v>
      </c>
      <c r="R182" s="96">
        <f t="shared" si="23"/>
        <v>99780</v>
      </c>
      <c r="S182" s="35">
        <f t="shared" si="26"/>
        <v>2.2369212266987373E-2</v>
      </c>
      <c r="T182" s="28">
        <f t="shared" si="19"/>
        <v>2.0691630797255806E-2</v>
      </c>
      <c r="U182" s="68"/>
      <c r="V182" s="196"/>
    </row>
    <row r="183" spans="1:22" x14ac:dyDescent="0.25">
      <c r="A183" s="36">
        <v>44074</v>
      </c>
      <c r="B183" s="133">
        <v>9309</v>
      </c>
      <c r="C183" s="155">
        <f t="shared" si="30"/>
        <v>417735</v>
      </c>
      <c r="D183" s="133">
        <v>203</v>
      </c>
      <c r="E183" s="126">
        <f t="shared" si="15"/>
        <v>8654</v>
      </c>
      <c r="F183" s="126">
        <f t="shared" si="14"/>
        <v>8181</v>
      </c>
      <c r="G183" s="153">
        <v>308376</v>
      </c>
      <c r="H183" s="133">
        <v>2273</v>
      </c>
      <c r="I183" s="133">
        <v>19845</v>
      </c>
      <c r="J183" s="4">
        <f t="shared" si="28"/>
        <v>1234455</v>
      </c>
      <c r="K183" s="7">
        <f t="shared" si="32"/>
        <v>1125.2863999999827</v>
      </c>
      <c r="L183" s="7">
        <f t="shared" si="31"/>
        <v>702178.71360000002</v>
      </c>
      <c r="M183" s="4">
        <v>703304</v>
      </c>
      <c r="N183" s="4">
        <v>1197</v>
      </c>
      <c r="O183" s="4">
        <v>95857</v>
      </c>
      <c r="P183" s="4">
        <v>255688</v>
      </c>
      <c r="Q183" s="4">
        <f t="shared" si="29"/>
        <v>64993</v>
      </c>
      <c r="R183" s="96">
        <f t="shared" si="23"/>
        <v>100705</v>
      </c>
      <c r="S183" s="35">
        <f t="shared" si="26"/>
        <v>2.2570875328931036E-2</v>
      </c>
      <c r="T183" s="28">
        <f t="shared" si="19"/>
        <v>2.0716482937747614E-2</v>
      </c>
      <c r="U183" s="68"/>
      <c r="V183" s="196"/>
    </row>
    <row r="184" spans="1:22" x14ac:dyDescent="0.25">
      <c r="A184" s="38">
        <v>44075</v>
      </c>
      <c r="B184" s="126">
        <v>10504</v>
      </c>
      <c r="C184" s="154">
        <f t="shared" si="30"/>
        <v>428239</v>
      </c>
      <c r="D184" s="126">
        <v>259</v>
      </c>
      <c r="E184" s="126">
        <f t="shared" si="15"/>
        <v>8913</v>
      </c>
      <c r="F184" s="126">
        <f t="shared" si="14"/>
        <v>7154</v>
      </c>
      <c r="G184" s="153">
        <v>315530</v>
      </c>
      <c r="H184" s="126">
        <v>2314</v>
      </c>
      <c r="I184" s="126">
        <v>23115</v>
      </c>
      <c r="J184" s="4">
        <f t="shared" si="28"/>
        <v>1257570</v>
      </c>
      <c r="K184" s="7">
        <f t="shared" si="32"/>
        <v>1148.1040000000503</v>
      </c>
      <c r="L184" s="7">
        <f t="shared" si="31"/>
        <v>716416.89599999995</v>
      </c>
      <c r="M184" s="4">
        <v>717565</v>
      </c>
      <c r="N184" s="4">
        <v>1200</v>
      </c>
      <c r="O184" s="4">
        <v>97726</v>
      </c>
      <c r="P184" s="4">
        <v>263555</v>
      </c>
      <c r="Q184" s="4">
        <f t="shared" si="29"/>
        <v>65758</v>
      </c>
      <c r="R184" s="96">
        <f t="shared" si="23"/>
        <v>103796</v>
      </c>
      <c r="S184" s="35">
        <f t="shared" si="26"/>
        <v>2.229373000886354E-2</v>
      </c>
      <c r="T184" s="28">
        <f t="shared" si="19"/>
        <v>2.0813144062077484E-2</v>
      </c>
      <c r="U184" s="68"/>
      <c r="V184" s="196"/>
    </row>
    <row r="185" spans="1:22" x14ac:dyDescent="0.25">
      <c r="A185" s="38">
        <v>44076</v>
      </c>
      <c r="B185" s="126">
        <v>10933</v>
      </c>
      <c r="C185" s="154">
        <f t="shared" si="30"/>
        <v>439172</v>
      </c>
      <c r="D185" s="126">
        <v>197</v>
      </c>
      <c r="E185" s="126">
        <f t="shared" si="15"/>
        <v>9110</v>
      </c>
      <c r="F185" s="126">
        <f t="shared" si="14"/>
        <v>6931</v>
      </c>
      <c r="G185" s="153">
        <v>322461</v>
      </c>
      <c r="H185" s="126">
        <v>2359</v>
      </c>
      <c r="I185" s="126">
        <v>23821</v>
      </c>
      <c r="J185" s="4">
        <f t="shared" si="28"/>
        <v>1281391</v>
      </c>
      <c r="K185" s="7">
        <f t="shared" si="32"/>
        <v>1166.611200000043</v>
      </c>
      <c r="L185" s="7">
        <f t="shared" si="31"/>
        <v>727965.38879999996</v>
      </c>
      <c r="M185" s="4">
        <v>729132</v>
      </c>
      <c r="N185" s="4">
        <v>1200</v>
      </c>
      <c r="O185" s="4">
        <v>99630</v>
      </c>
      <c r="P185" s="4">
        <v>272419</v>
      </c>
      <c r="Q185" s="4">
        <f t="shared" si="29"/>
        <v>65923</v>
      </c>
      <c r="R185" s="96">
        <f t="shared" si="23"/>
        <v>107601</v>
      </c>
      <c r="S185" s="35">
        <f t="shared" si="26"/>
        <v>2.1923588070742836E-2</v>
      </c>
      <c r="T185" s="28">
        <f t="shared" si="19"/>
        <v>2.0743581102620385E-2</v>
      </c>
      <c r="U185" s="68"/>
      <c r="V185" s="196"/>
    </row>
    <row r="186" spans="1:22" x14ac:dyDescent="0.25">
      <c r="A186" s="38">
        <v>44077</v>
      </c>
      <c r="B186" s="134">
        <v>12026</v>
      </c>
      <c r="C186" s="154">
        <f t="shared" si="30"/>
        <v>451198</v>
      </c>
      <c r="D186" s="126">
        <v>243</v>
      </c>
      <c r="E186" s="126">
        <f t="shared" si="15"/>
        <v>9353</v>
      </c>
      <c r="F186" s="126">
        <f t="shared" si="14"/>
        <v>9160</v>
      </c>
      <c r="G186" s="153">
        <v>331621</v>
      </c>
      <c r="H186" s="126">
        <v>2394</v>
      </c>
      <c r="I186" s="126">
        <v>25351</v>
      </c>
      <c r="J186" s="4">
        <f t="shared" si="28"/>
        <v>1306742</v>
      </c>
      <c r="K186" s="7">
        <f t="shared" si="32"/>
        <v>1185.8656000000192</v>
      </c>
      <c r="L186" s="7">
        <f t="shared" si="31"/>
        <v>739980.13439999998</v>
      </c>
      <c r="M186" s="4">
        <v>741166</v>
      </c>
      <c r="N186" s="4">
        <v>1202</v>
      </c>
      <c r="O186" s="4">
        <v>101394</v>
      </c>
      <c r="P186" s="4">
        <v>280927</v>
      </c>
      <c r="Q186" s="4">
        <f t="shared" si="29"/>
        <v>67675</v>
      </c>
      <c r="R186" s="96">
        <f t="shared" si="23"/>
        <v>110224</v>
      </c>
      <c r="S186" s="35">
        <f t="shared" si="26"/>
        <v>2.1719407751487878E-2</v>
      </c>
      <c r="T186" s="28">
        <f t="shared" si="19"/>
        <v>2.0729258551677978E-2</v>
      </c>
      <c r="U186" s="68"/>
      <c r="V186" s="196"/>
    </row>
    <row r="187" spans="1:22" x14ac:dyDescent="0.25">
      <c r="A187" s="38">
        <v>44078</v>
      </c>
      <c r="B187" s="126">
        <v>10684</v>
      </c>
      <c r="C187" s="154">
        <f t="shared" si="30"/>
        <v>461882</v>
      </c>
      <c r="D187" s="126">
        <v>262</v>
      </c>
      <c r="E187" s="126">
        <f t="shared" si="15"/>
        <v>9615</v>
      </c>
      <c r="F187" s="126">
        <f t="shared" si="14"/>
        <v>8760</v>
      </c>
      <c r="G187" s="153">
        <v>340381</v>
      </c>
      <c r="H187" s="126">
        <v>2425</v>
      </c>
      <c r="I187" s="126">
        <v>24486</v>
      </c>
      <c r="J187" s="4">
        <f t="shared" si="28"/>
        <v>1331228</v>
      </c>
      <c r="K187" s="7">
        <f t="shared" si="32"/>
        <v>1205.8336000000127</v>
      </c>
      <c r="L187" s="7">
        <f t="shared" si="31"/>
        <v>752440.16639999999</v>
      </c>
      <c r="M187" s="4">
        <v>753646</v>
      </c>
      <c r="N187" s="4">
        <v>1205</v>
      </c>
      <c r="O187" s="4">
        <v>103049</v>
      </c>
      <c r="P187" s="4">
        <v>289005</v>
      </c>
      <c r="Q187" s="4">
        <f t="shared" si="29"/>
        <v>68623</v>
      </c>
      <c r="R187" s="96">
        <f t="shared" si="23"/>
        <v>111886</v>
      </c>
      <c r="S187" s="35">
        <f t="shared" si="26"/>
        <v>2.1673846593854459E-2</v>
      </c>
      <c r="T187" s="28">
        <f t="shared" si="19"/>
        <v>2.0817005209122677E-2</v>
      </c>
      <c r="U187" s="68"/>
      <c r="V187" s="196"/>
    </row>
    <row r="188" spans="1:22" x14ac:dyDescent="0.25">
      <c r="A188" s="38">
        <v>44079</v>
      </c>
      <c r="B188" s="133">
        <v>9924</v>
      </c>
      <c r="C188" s="155">
        <f t="shared" si="30"/>
        <v>471806</v>
      </c>
      <c r="D188" s="133">
        <v>117</v>
      </c>
      <c r="E188" s="126">
        <f t="shared" si="15"/>
        <v>9732</v>
      </c>
      <c r="F188" s="126">
        <f t="shared" si="14"/>
        <v>8751</v>
      </c>
      <c r="G188" s="153">
        <v>349132</v>
      </c>
      <c r="H188" s="133">
        <v>2456</v>
      </c>
      <c r="I188" s="133">
        <v>22363</v>
      </c>
      <c r="J188" s="4">
        <f t="shared" si="28"/>
        <v>1353591</v>
      </c>
      <c r="K188" s="7">
        <f t="shared" si="32"/>
        <v>1223.704000000027</v>
      </c>
      <c r="L188" s="7">
        <f t="shared" si="31"/>
        <v>763591.29599999997</v>
      </c>
      <c r="M188" s="7">
        <v>764815</v>
      </c>
      <c r="N188" s="4">
        <v>1207</v>
      </c>
      <c r="O188" s="4">
        <v>104581</v>
      </c>
      <c r="P188" s="4">
        <v>294844</v>
      </c>
      <c r="Q188" s="4">
        <f t="shared" si="29"/>
        <v>71174</v>
      </c>
      <c r="R188" s="96">
        <f t="shared" si="23"/>
        <v>112942</v>
      </c>
      <c r="S188" s="35">
        <f t="shared" si="26"/>
        <v>2.1745674771121461E-2</v>
      </c>
      <c r="T188" s="28">
        <f t="shared" si="19"/>
        <v>2.0627122164618508E-2</v>
      </c>
      <c r="U188" s="68"/>
      <c r="V188" s="196"/>
    </row>
    <row r="189" spans="1:22" x14ac:dyDescent="0.25">
      <c r="A189" s="38">
        <v>44080</v>
      </c>
      <c r="B189" s="126">
        <v>6986</v>
      </c>
      <c r="C189" s="154">
        <f t="shared" si="30"/>
        <v>478792</v>
      </c>
      <c r="D189" s="126">
        <v>119</v>
      </c>
      <c r="E189" s="126">
        <f t="shared" si="15"/>
        <v>9851</v>
      </c>
      <c r="F189" s="126">
        <f t="shared" si="14"/>
        <v>8256</v>
      </c>
      <c r="G189" s="153">
        <v>357388</v>
      </c>
      <c r="H189" s="126">
        <v>2512</v>
      </c>
      <c r="I189" s="126">
        <v>15262</v>
      </c>
      <c r="J189" s="4">
        <f t="shared" si="28"/>
        <v>1368853</v>
      </c>
      <c r="K189" s="7">
        <f t="shared" si="32"/>
        <v>1235.9904000000097</v>
      </c>
      <c r="L189" s="7">
        <f t="shared" si="31"/>
        <v>771258.00959999999</v>
      </c>
      <c r="M189" s="7">
        <v>772494</v>
      </c>
      <c r="N189" s="4">
        <v>1210</v>
      </c>
      <c r="O189" s="4">
        <v>105702</v>
      </c>
      <c r="P189" s="4">
        <v>299270</v>
      </c>
      <c r="Q189" s="4">
        <f t="shared" si="29"/>
        <v>72610</v>
      </c>
      <c r="R189" s="96">
        <f t="shared" si="23"/>
        <v>111553</v>
      </c>
      <c r="S189" s="35">
        <f t="shared" si="26"/>
        <v>2.2518444147624897E-2</v>
      </c>
      <c r="T189" s="28">
        <f t="shared" si="19"/>
        <v>2.057469631906966E-2</v>
      </c>
      <c r="U189" s="68"/>
      <c r="V189" s="196"/>
    </row>
    <row r="190" spans="1:22" x14ac:dyDescent="0.25">
      <c r="A190" s="40">
        <v>44081</v>
      </c>
      <c r="B190" s="133">
        <v>9215</v>
      </c>
      <c r="C190" s="155">
        <f t="shared" si="30"/>
        <v>488007</v>
      </c>
      <c r="D190" s="133">
        <v>269</v>
      </c>
      <c r="E190" s="126">
        <f t="shared" si="15"/>
        <v>10120</v>
      </c>
      <c r="F190" s="126">
        <f t="shared" si="14"/>
        <v>9202</v>
      </c>
      <c r="G190" s="153">
        <v>366590</v>
      </c>
      <c r="H190" s="133">
        <v>2698</v>
      </c>
      <c r="I190" s="133">
        <v>20475</v>
      </c>
      <c r="J190" s="4">
        <f t="shared" si="28"/>
        <v>1389328</v>
      </c>
      <c r="K190" s="7">
        <f t="shared" si="32"/>
        <v>1252.6800000000512</v>
      </c>
      <c r="L190" s="7">
        <f t="shared" si="31"/>
        <v>781672.32</v>
      </c>
      <c r="M190" s="4">
        <v>782925</v>
      </c>
      <c r="N190" s="4">
        <v>1217</v>
      </c>
      <c r="O190" s="4">
        <v>107504</v>
      </c>
      <c r="P190" s="4">
        <v>307566</v>
      </c>
      <c r="Q190" s="4">
        <f t="shared" si="29"/>
        <v>71720</v>
      </c>
      <c r="R190" s="96">
        <f t="shared" si="23"/>
        <v>111297</v>
      </c>
      <c r="S190" s="35">
        <f t="shared" si="26"/>
        <v>2.4241444064080794E-2</v>
      </c>
      <c r="T190" s="28">
        <f t="shared" si="19"/>
        <v>2.073740745522093E-2</v>
      </c>
      <c r="U190" s="68"/>
      <c r="V190" s="196"/>
    </row>
    <row r="191" spans="1:22" x14ac:dyDescent="0.25">
      <c r="A191" s="38">
        <v>44082</v>
      </c>
      <c r="B191" s="126">
        <v>12027</v>
      </c>
      <c r="C191" s="154">
        <f t="shared" si="30"/>
        <v>500034</v>
      </c>
      <c r="D191" s="126">
        <v>278</v>
      </c>
      <c r="E191" s="126">
        <f t="shared" si="15"/>
        <v>10398</v>
      </c>
      <c r="F191" s="126">
        <f t="shared" si="14"/>
        <v>15900</v>
      </c>
      <c r="G191" s="153">
        <v>382490</v>
      </c>
      <c r="H191" s="126">
        <v>2719</v>
      </c>
      <c r="I191" s="126">
        <v>25995</v>
      </c>
      <c r="J191" s="4">
        <f t="shared" si="28"/>
        <v>1415323</v>
      </c>
      <c r="K191" s="7">
        <f t="shared" si="32"/>
        <v>1273.516799999983</v>
      </c>
      <c r="L191" s="7">
        <f t="shared" ref="L191:L202" si="33">0.9984*M191</f>
        <v>794674.48320000002</v>
      </c>
      <c r="M191" s="4">
        <v>795948</v>
      </c>
      <c r="N191" s="4">
        <v>1221</v>
      </c>
      <c r="O191" s="4">
        <v>109701</v>
      </c>
      <c r="P191" s="4">
        <v>316074</v>
      </c>
      <c r="Q191" s="4">
        <f t="shared" si="29"/>
        <v>73038</v>
      </c>
      <c r="R191" s="96">
        <f t="shared" si="23"/>
        <v>107146</v>
      </c>
      <c r="S191" s="35">
        <f t="shared" si="26"/>
        <v>2.5376588953390702E-2</v>
      </c>
      <c r="T191" s="28">
        <f t="shared" si="19"/>
        <v>2.0794585968154165E-2</v>
      </c>
      <c r="U191" s="68"/>
      <c r="V191" s="196"/>
    </row>
    <row r="192" spans="1:22" x14ac:dyDescent="0.25">
      <c r="A192" s="38">
        <v>44083</v>
      </c>
      <c r="B192" s="126">
        <v>12259</v>
      </c>
      <c r="C192" s="154">
        <f t="shared" si="30"/>
        <v>512293</v>
      </c>
      <c r="D192" s="126">
        <v>253</v>
      </c>
      <c r="E192" s="126">
        <f t="shared" si="15"/>
        <v>10651</v>
      </c>
      <c r="F192" s="126">
        <f t="shared" si="14"/>
        <v>7608</v>
      </c>
      <c r="G192" s="153">
        <v>390098</v>
      </c>
      <c r="H192" s="126">
        <v>2829</v>
      </c>
      <c r="I192" s="126">
        <v>27171</v>
      </c>
      <c r="J192" s="4">
        <f t="shared" si="28"/>
        <v>1442494</v>
      </c>
      <c r="K192" s="7">
        <f t="shared" si="32"/>
        <v>1293.7232000000076</v>
      </c>
      <c r="L192" s="7">
        <f t="shared" si="33"/>
        <v>807283.27679999999</v>
      </c>
      <c r="M192" s="4">
        <v>808577</v>
      </c>
      <c r="N192" s="4">
        <v>1222</v>
      </c>
      <c r="O192" s="4">
        <v>112220</v>
      </c>
      <c r="P192" s="4">
        <v>324064</v>
      </c>
      <c r="Q192" s="4">
        <f t="shared" si="29"/>
        <v>74787</v>
      </c>
      <c r="R192" s="96">
        <f t="shared" si="23"/>
        <v>111544</v>
      </c>
      <c r="S192" s="35">
        <f t="shared" si="26"/>
        <v>2.5362188911998852E-2</v>
      </c>
      <c r="T192" s="28">
        <f t="shared" si="19"/>
        <v>2.0790836493959512E-2</v>
      </c>
      <c r="U192" s="68"/>
      <c r="V192" s="196"/>
    </row>
    <row r="193" spans="1:22" x14ac:dyDescent="0.25">
      <c r="A193" s="38">
        <v>44084</v>
      </c>
      <c r="B193" s="126">
        <v>11905</v>
      </c>
      <c r="C193" s="154">
        <f t="shared" ref="C193:C207" si="34">C192+B193</f>
        <v>524198</v>
      </c>
      <c r="D193" s="126">
        <v>250</v>
      </c>
      <c r="E193" s="126">
        <f t="shared" si="15"/>
        <v>10901</v>
      </c>
      <c r="F193" s="126">
        <f t="shared" si="14"/>
        <v>10023</v>
      </c>
      <c r="G193" s="153">
        <v>400121</v>
      </c>
      <c r="H193" s="126">
        <v>2880</v>
      </c>
      <c r="I193" s="126">
        <v>28057</v>
      </c>
      <c r="J193" s="4">
        <f t="shared" si="28"/>
        <v>1470551</v>
      </c>
      <c r="K193" s="7">
        <f t="shared" si="32"/>
        <v>1315.7488000000594</v>
      </c>
      <c r="L193" s="7">
        <f t="shared" si="33"/>
        <v>821027.25119999994</v>
      </c>
      <c r="M193" s="4">
        <v>822343</v>
      </c>
      <c r="N193" s="4">
        <v>1227</v>
      </c>
      <c r="O193" s="4">
        <v>114335</v>
      </c>
      <c r="P193" s="4">
        <v>332280</v>
      </c>
      <c r="Q193" s="4">
        <f t="shared" si="29"/>
        <v>76356</v>
      </c>
      <c r="R193" s="96">
        <f t="shared" si="23"/>
        <v>113176</v>
      </c>
      <c r="S193" s="35">
        <f t="shared" si="26"/>
        <v>2.5447091256096697E-2</v>
      </c>
      <c r="T193" s="28">
        <f t="shared" si="19"/>
        <v>2.0795577243713254E-2</v>
      </c>
      <c r="U193" s="68"/>
      <c r="V193" s="196"/>
    </row>
    <row r="194" spans="1:22" s="42" customFormat="1" x14ac:dyDescent="0.25">
      <c r="A194" s="40">
        <v>44085</v>
      </c>
      <c r="B194" s="124">
        <v>11507</v>
      </c>
      <c r="C194" s="148">
        <f t="shared" si="34"/>
        <v>535705</v>
      </c>
      <c r="D194" s="124">
        <v>241</v>
      </c>
      <c r="E194" s="126">
        <f t="shared" si="15"/>
        <v>11142</v>
      </c>
      <c r="F194" s="126">
        <f t="shared" si="14"/>
        <v>9650</v>
      </c>
      <c r="G194" s="153">
        <v>409771</v>
      </c>
      <c r="H194" s="124">
        <v>3093</v>
      </c>
      <c r="I194" s="126">
        <v>26254</v>
      </c>
      <c r="J194" s="4">
        <f t="shared" si="28"/>
        <v>1496805</v>
      </c>
      <c r="K194" s="7">
        <f t="shared" ref="K194:K202" si="35">M194-L194</f>
        <v>1338.017600000021</v>
      </c>
      <c r="L194" s="7">
        <f t="shared" si="33"/>
        <v>834922.98239999998</v>
      </c>
      <c r="M194" s="4">
        <v>836261</v>
      </c>
      <c r="N194" s="4">
        <v>1229</v>
      </c>
      <c r="O194" s="4">
        <v>116159</v>
      </c>
      <c r="P194" s="4">
        <v>340885</v>
      </c>
      <c r="Q194" s="4">
        <f t="shared" si="29"/>
        <v>77432</v>
      </c>
      <c r="R194" s="96">
        <f t="shared" si="23"/>
        <v>114792</v>
      </c>
      <c r="S194" s="35">
        <f t="shared" si="26"/>
        <v>2.694438636838804E-2</v>
      </c>
      <c r="T194" s="28">
        <f t="shared" si="19"/>
        <v>2.0798760511848872E-2</v>
      </c>
      <c r="U194" s="68"/>
      <c r="V194" s="196"/>
    </row>
    <row r="195" spans="1:22" x14ac:dyDescent="0.25">
      <c r="A195" s="38">
        <v>44086</v>
      </c>
      <c r="B195" s="124">
        <v>10776</v>
      </c>
      <c r="C195" s="148">
        <f t="shared" si="34"/>
        <v>546481</v>
      </c>
      <c r="D195" s="124">
        <v>115</v>
      </c>
      <c r="E195" s="126">
        <f t="shared" si="15"/>
        <v>11257</v>
      </c>
      <c r="F195" s="126">
        <f t="shared" ref="F195:F258" si="36">G195-G194</f>
        <v>9742</v>
      </c>
      <c r="G195" s="153">
        <v>419513</v>
      </c>
      <c r="H195" s="124">
        <v>2962</v>
      </c>
      <c r="I195" s="126">
        <v>23140</v>
      </c>
      <c r="J195" s="4">
        <f t="shared" si="28"/>
        <v>1519945</v>
      </c>
      <c r="K195" s="7">
        <f t="shared" si="35"/>
        <v>1355.5903999999864</v>
      </c>
      <c r="L195" s="7">
        <f t="shared" si="33"/>
        <v>845888.40960000001</v>
      </c>
      <c r="M195" s="4">
        <v>847244</v>
      </c>
      <c r="N195" s="4">
        <v>1232</v>
      </c>
      <c r="O195" s="4">
        <v>117339</v>
      </c>
      <c r="P195" s="4">
        <v>347893</v>
      </c>
      <c r="Q195" s="4">
        <f t="shared" si="29"/>
        <v>80017</v>
      </c>
      <c r="R195" s="96">
        <f t="shared" si="23"/>
        <v>115711</v>
      </c>
      <c r="S195" s="35">
        <f t="shared" si="26"/>
        <v>2.5598257728305866E-2</v>
      </c>
      <c r="T195" s="28">
        <f t="shared" si="19"/>
        <v>2.0599069318054972E-2</v>
      </c>
      <c r="U195" s="68"/>
      <c r="V195" s="196"/>
    </row>
    <row r="196" spans="1:22" ht="16.5" x14ac:dyDescent="0.25">
      <c r="A196" s="38">
        <v>44087</v>
      </c>
      <c r="B196" s="124">
        <v>9056</v>
      </c>
      <c r="C196" s="556">
        <f t="shared" si="34"/>
        <v>555537</v>
      </c>
      <c r="D196" s="124">
        <v>89</v>
      </c>
      <c r="E196" s="126">
        <f t="shared" si="15"/>
        <v>11346</v>
      </c>
      <c r="F196" s="126">
        <f t="shared" si="36"/>
        <v>9440</v>
      </c>
      <c r="G196" s="153">
        <v>428953</v>
      </c>
      <c r="H196" s="124">
        <v>2984</v>
      </c>
      <c r="I196" s="126">
        <v>17955</v>
      </c>
      <c r="J196" s="4">
        <f t="shared" si="28"/>
        <v>1537900</v>
      </c>
      <c r="K196" s="7">
        <f t="shared" si="35"/>
        <v>1368.1983999999939</v>
      </c>
      <c r="L196" s="7">
        <f t="shared" si="33"/>
        <v>853755.80160000001</v>
      </c>
      <c r="M196" s="4">
        <v>855124</v>
      </c>
      <c r="N196" s="4">
        <v>1235</v>
      </c>
      <c r="O196" s="4">
        <v>118561</v>
      </c>
      <c r="P196" s="4">
        <v>353007</v>
      </c>
      <c r="Q196" s="4">
        <f t="shared" si="29"/>
        <v>82734</v>
      </c>
      <c r="R196" s="96">
        <f t="shared" si="23"/>
        <v>115238</v>
      </c>
      <c r="S196" s="35">
        <f t="shared" si="26"/>
        <v>2.5894236276228326E-2</v>
      </c>
      <c r="T196" s="28">
        <f t="shared" si="19"/>
        <v>2.0423482144303621E-2</v>
      </c>
      <c r="U196" s="68"/>
      <c r="V196" s="196"/>
    </row>
    <row r="197" spans="1:22" ht="16.5" x14ac:dyDescent="0.25">
      <c r="A197" s="40">
        <v>44088</v>
      </c>
      <c r="B197" s="126">
        <v>9909</v>
      </c>
      <c r="C197" s="556">
        <f t="shared" si="34"/>
        <v>565446</v>
      </c>
      <c r="D197" s="126">
        <v>313</v>
      </c>
      <c r="E197" s="126">
        <f t="shared" ref="E197:E260" si="37">E196+D197</f>
        <v>11659</v>
      </c>
      <c r="F197" s="126">
        <f t="shared" si="36"/>
        <v>9930</v>
      </c>
      <c r="G197" s="153">
        <v>438883</v>
      </c>
      <c r="H197" s="126">
        <v>2992</v>
      </c>
      <c r="I197" s="126">
        <v>21207</v>
      </c>
      <c r="J197" s="4">
        <f t="shared" si="28"/>
        <v>1559107</v>
      </c>
      <c r="K197" s="7">
        <f t="shared" si="35"/>
        <v>1385.3168000000296</v>
      </c>
      <c r="L197" s="7">
        <f t="shared" si="33"/>
        <v>864437.68319999997</v>
      </c>
      <c r="M197" s="4">
        <v>865823</v>
      </c>
      <c r="N197" s="4">
        <v>1236</v>
      </c>
      <c r="O197" s="4">
        <v>120192</v>
      </c>
      <c r="P197" s="4">
        <v>361677</v>
      </c>
      <c r="Q197" s="4">
        <f t="shared" si="29"/>
        <v>82341</v>
      </c>
      <c r="R197" s="96">
        <f t="shared" si="23"/>
        <v>114904</v>
      </c>
      <c r="S197" s="35">
        <f t="shared" si="26"/>
        <v>2.6039128315811459E-2</v>
      </c>
      <c r="T197" s="28">
        <f t="shared" ref="T197:T210" si="38">E197/C187</f>
        <v>2.5242377923365707E-2</v>
      </c>
      <c r="U197" s="68"/>
      <c r="V197" s="196"/>
    </row>
    <row r="198" spans="1:22" ht="16.5" x14ac:dyDescent="0.25">
      <c r="A198" s="38">
        <v>44089</v>
      </c>
      <c r="B198" s="126">
        <v>11892</v>
      </c>
      <c r="C198" s="556">
        <f t="shared" si="34"/>
        <v>577338</v>
      </c>
      <c r="D198" s="126">
        <v>185</v>
      </c>
      <c r="E198" s="126">
        <f t="shared" si="37"/>
        <v>11844</v>
      </c>
      <c r="F198" s="126">
        <f t="shared" si="36"/>
        <v>9380</v>
      </c>
      <c r="G198" s="153">
        <v>448263</v>
      </c>
      <c r="H198" s="126">
        <v>3049</v>
      </c>
      <c r="I198" s="126">
        <v>25791</v>
      </c>
      <c r="J198" s="4">
        <f t="shared" si="28"/>
        <v>1584898</v>
      </c>
      <c r="K198" s="7">
        <f t="shared" si="35"/>
        <v>1407.344000000041</v>
      </c>
      <c r="L198" s="7">
        <f t="shared" si="33"/>
        <v>878182.65599999996</v>
      </c>
      <c r="M198" s="4">
        <v>879590</v>
      </c>
      <c r="N198" s="4">
        <v>1242</v>
      </c>
      <c r="O198" s="4">
        <v>125970</v>
      </c>
      <c r="P198" s="4">
        <v>371507</v>
      </c>
      <c r="Q198" s="4">
        <f t="shared" si="29"/>
        <v>78619</v>
      </c>
      <c r="R198" s="96">
        <f t="shared" si="23"/>
        <v>117231</v>
      </c>
      <c r="S198" s="35">
        <f t="shared" si="26"/>
        <v>2.6008478985933756E-2</v>
      </c>
      <c r="T198" s="28">
        <f t="shared" si="38"/>
        <v>2.5103538318715743E-2</v>
      </c>
      <c r="U198" s="68"/>
      <c r="V198" s="196"/>
    </row>
    <row r="199" spans="1:22" ht="16.5" x14ac:dyDescent="0.25">
      <c r="A199" s="38">
        <v>44090</v>
      </c>
      <c r="B199" s="126">
        <v>11674</v>
      </c>
      <c r="C199" s="556">
        <f t="shared" si="34"/>
        <v>589012</v>
      </c>
      <c r="D199" s="126">
        <v>264</v>
      </c>
      <c r="E199" s="126">
        <f t="shared" si="37"/>
        <v>12108</v>
      </c>
      <c r="F199" s="126">
        <f t="shared" si="36"/>
        <v>8084</v>
      </c>
      <c r="G199" s="153">
        <v>456347</v>
      </c>
      <c r="H199" s="126">
        <v>3118</v>
      </c>
      <c r="I199" s="126">
        <v>25422</v>
      </c>
      <c r="J199" s="4">
        <f t="shared" si="28"/>
        <v>1610320</v>
      </c>
      <c r="K199" s="7">
        <f t="shared" si="35"/>
        <v>1429.5023999999976</v>
      </c>
      <c r="L199" s="7">
        <f t="shared" si="33"/>
        <v>892009.4976</v>
      </c>
      <c r="M199" s="4">
        <v>893439</v>
      </c>
      <c r="N199" s="4">
        <v>1247</v>
      </c>
      <c r="O199" s="4">
        <v>128236</v>
      </c>
      <c r="P199" s="4">
        <v>380805</v>
      </c>
      <c r="Q199" s="7">
        <f>C199-P199-O199-N199</f>
        <v>78724</v>
      </c>
      <c r="R199" s="96">
        <f t="shared" si="23"/>
        <v>120557</v>
      </c>
      <c r="S199" s="35">
        <f t="shared" si="26"/>
        <v>2.5863284587373608E-2</v>
      </c>
      <c r="T199" s="28">
        <f t="shared" si="38"/>
        <v>2.5288643085097495E-2</v>
      </c>
      <c r="U199" s="68"/>
      <c r="V199" s="196"/>
    </row>
    <row r="200" spans="1:22" ht="16.5" x14ac:dyDescent="0.25">
      <c r="A200" s="38">
        <v>44091</v>
      </c>
      <c r="B200" s="126">
        <v>12701</v>
      </c>
      <c r="C200" s="556">
        <f t="shared" si="34"/>
        <v>601713</v>
      </c>
      <c r="D200" s="126">
        <v>344</v>
      </c>
      <c r="E200" s="126">
        <f t="shared" si="37"/>
        <v>12452</v>
      </c>
      <c r="F200" s="126">
        <f t="shared" si="36"/>
        <v>10939</v>
      </c>
      <c r="G200" s="153">
        <v>467286</v>
      </c>
      <c r="H200" s="126">
        <v>3108</v>
      </c>
      <c r="I200" s="126">
        <v>28633</v>
      </c>
      <c r="J200" s="4">
        <f t="shared" si="28"/>
        <v>1638953</v>
      </c>
      <c r="K200" s="7">
        <f t="shared" si="35"/>
        <v>1451.9024000000209</v>
      </c>
      <c r="L200" s="7">
        <f t="shared" si="33"/>
        <v>905987.09759999998</v>
      </c>
      <c r="M200" s="4">
        <v>907439</v>
      </c>
      <c r="N200" s="4">
        <v>1251</v>
      </c>
      <c r="O200" s="4">
        <v>130230</v>
      </c>
      <c r="P200" s="4">
        <v>390634</v>
      </c>
      <c r="Q200" s="4">
        <f>C200-P200-O200-N200</f>
        <v>79598</v>
      </c>
      <c r="R200" s="96">
        <f t="shared" si="23"/>
        <v>121975</v>
      </c>
      <c r="S200" s="35">
        <f t="shared" si="26"/>
        <v>2.5480631276901006E-2</v>
      </c>
      <c r="T200" s="28">
        <f t="shared" si="38"/>
        <v>2.5516027434032709E-2</v>
      </c>
      <c r="U200" s="68"/>
      <c r="V200" s="196"/>
    </row>
    <row r="201" spans="1:22" ht="16.5" x14ac:dyDescent="0.25">
      <c r="A201" s="38">
        <v>44092</v>
      </c>
      <c r="B201" s="126">
        <v>11945</v>
      </c>
      <c r="C201" s="556">
        <f t="shared" si="34"/>
        <v>613658</v>
      </c>
      <c r="D201" s="126">
        <v>197</v>
      </c>
      <c r="E201" s="126">
        <f t="shared" si="37"/>
        <v>12649</v>
      </c>
      <c r="F201" s="126">
        <f t="shared" si="36"/>
        <v>10791</v>
      </c>
      <c r="G201" s="153">
        <v>478077</v>
      </c>
      <c r="H201" s="126">
        <v>3225</v>
      </c>
      <c r="I201" s="126">
        <v>25698</v>
      </c>
      <c r="J201" s="4">
        <f t="shared" si="28"/>
        <v>1664651</v>
      </c>
      <c r="K201" s="7">
        <f t="shared" si="35"/>
        <v>1474.3456000000006</v>
      </c>
      <c r="L201" s="7">
        <f t="shared" si="33"/>
        <v>919991.6544</v>
      </c>
      <c r="M201" s="4">
        <v>921466</v>
      </c>
      <c r="N201" s="4">
        <v>1254</v>
      </c>
      <c r="O201" s="4">
        <v>132427</v>
      </c>
      <c r="P201" s="4">
        <v>400216</v>
      </c>
      <c r="Q201" s="4">
        <f>C201-P201-O201-N201</f>
        <v>79761</v>
      </c>
      <c r="R201" s="96">
        <f t="shared" si="23"/>
        <v>122932</v>
      </c>
      <c r="S201" s="35">
        <f t="shared" si="26"/>
        <v>2.6234015553314026E-2</v>
      </c>
      <c r="T201" s="28">
        <f t="shared" si="38"/>
        <v>2.5296279852969998E-2</v>
      </c>
      <c r="U201" s="68"/>
      <c r="V201" s="196"/>
    </row>
    <row r="202" spans="1:22" x14ac:dyDescent="0.25">
      <c r="A202" s="38">
        <v>44093</v>
      </c>
      <c r="B202" s="126">
        <v>9276</v>
      </c>
      <c r="C202" s="154">
        <f t="shared" si="34"/>
        <v>622934</v>
      </c>
      <c r="D202" s="126">
        <v>143</v>
      </c>
      <c r="E202" s="126">
        <f t="shared" si="37"/>
        <v>12792</v>
      </c>
      <c r="F202" s="126">
        <f t="shared" si="36"/>
        <v>10154</v>
      </c>
      <c r="G202" s="153">
        <v>488231</v>
      </c>
      <c r="H202" s="126">
        <v>3213</v>
      </c>
      <c r="I202" s="126">
        <v>21093</v>
      </c>
      <c r="J202" s="4">
        <f t="shared" si="28"/>
        <v>1685744</v>
      </c>
      <c r="K202" s="7">
        <f t="shared" si="35"/>
        <v>1492.0336000000825</v>
      </c>
      <c r="L202" s="7">
        <f t="shared" si="33"/>
        <v>931028.96639999992</v>
      </c>
      <c r="M202" s="4">
        <v>932521</v>
      </c>
      <c r="N202" s="27">
        <v>1261</v>
      </c>
      <c r="O202" s="27">
        <v>133793</v>
      </c>
      <c r="P202" s="27">
        <v>406757</v>
      </c>
      <c r="Q202" s="27">
        <f>C202-P202-O202-N202</f>
        <v>81123</v>
      </c>
      <c r="R202" s="96">
        <f t="shared" si="23"/>
        <v>121911</v>
      </c>
      <c r="S202" s="71">
        <f t="shared" si="26"/>
        <v>2.6355291975293453E-2</v>
      </c>
      <c r="T202" s="72">
        <f t="shared" si="38"/>
        <v>2.4970085478427384E-2</v>
      </c>
      <c r="U202" s="68"/>
      <c r="V202" s="196"/>
    </row>
    <row r="203" spans="1:22" x14ac:dyDescent="0.25">
      <c r="A203" s="38">
        <v>44094</v>
      </c>
      <c r="B203" s="126">
        <v>8431</v>
      </c>
      <c r="C203" s="154">
        <f t="shared" si="34"/>
        <v>631365</v>
      </c>
      <c r="D203" s="126">
        <v>253</v>
      </c>
      <c r="E203" s="126">
        <f t="shared" si="37"/>
        <v>13045</v>
      </c>
      <c r="F203" s="126">
        <f t="shared" si="36"/>
        <v>10148</v>
      </c>
      <c r="G203" s="153">
        <v>498379</v>
      </c>
      <c r="H203" s="126">
        <v>3261</v>
      </c>
      <c r="I203" s="126">
        <v>15454</v>
      </c>
      <c r="J203" s="4">
        <f t="shared" si="28"/>
        <v>1701198</v>
      </c>
      <c r="K203" s="7">
        <v>1348</v>
      </c>
      <c r="L203" s="7">
        <v>939868</v>
      </c>
      <c r="M203" s="70">
        <f t="shared" ref="M203:M213" si="39">L203+K203</f>
        <v>941216</v>
      </c>
      <c r="N203" s="77">
        <v>1262</v>
      </c>
      <c r="O203" s="77">
        <v>134820</v>
      </c>
      <c r="P203" s="77">
        <v>412203</v>
      </c>
      <c r="Q203" s="77">
        <f>C203-P203-O203-N203</f>
        <v>83080</v>
      </c>
      <c r="R203" s="96">
        <f t="shared" si="23"/>
        <v>119941</v>
      </c>
      <c r="S203" s="82">
        <f t="shared" si="26"/>
        <v>2.7188367614076923E-2</v>
      </c>
      <c r="T203" s="83">
        <f t="shared" si="38"/>
        <v>2.4885634817378165E-2</v>
      </c>
      <c r="U203" s="68"/>
      <c r="V203" s="196"/>
    </row>
    <row r="204" spans="1:22" x14ac:dyDescent="0.25">
      <c r="A204" s="38">
        <v>44095</v>
      </c>
      <c r="B204" s="126">
        <v>8782</v>
      </c>
      <c r="C204" s="154">
        <f t="shared" si="34"/>
        <v>640147</v>
      </c>
      <c r="D204" s="126">
        <v>429</v>
      </c>
      <c r="E204" s="126">
        <f t="shared" si="37"/>
        <v>13474</v>
      </c>
      <c r="F204" s="126">
        <f t="shared" si="36"/>
        <v>10184</v>
      </c>
      <c r="G204" s="153">
        <v>508563</v>
      </c>
      <c r="H204" s="126">
        <v>3387</v>
      </c>
      <c r="I204" s="126">
        <v>18575</v>
      </c>
      <c r="J204" s="4">
        <f t="shared" si="28"/>
        <v>1719773</v>
      </c>
      <c r="K204" s="7">
        <v>1383</v>
      </c>
      <c r="L204" s="7">
        <v>949102</v>
      </c>
      <c r="M204" s="70">
        <f t="shared" si="39"/>
        <v>950485</v>
      </c>
      <c r="N204" s="84">
        <v>6401</v>
      </c>
      <c r="O204" s="84">
        <v>138272</v>
      </c>
      <c r="P204" s="94">
        <v>417376</v>
      </c>
      <c r="Q204" s="77">
        <f t="shared" ref="Q204:Q231" si="40">C204-P204-O204-N204</f>
        <v>78098</v>
      </c>
      <c r="R204" s="96">
        <f t="shared" si="23"/>
        <v>118110</v>
      </c>
      <c r="S204" s="82">
        <f t="shared" si="26"/>
        <v>2.8676657353314705E-2</v>
      </c>
      <c r="T204" s="83">
        <f t="shared" si="38"/>
        <v>2.5151902632978972E-2</v>
      </c>
      <c r="U204" s="68"/>
      <c r="V204" s="196"/>
    </row>
    <row r="205" spans="1:22" x14ac:dyDescent="0.25">
      <c r="A205" s="38">
        <v>44096</v>
      </c>
      <c r="B205" s="126">
        <v>12027</v>
      </c>
      <c r="C205" s="154">
        <f t="shared" si="34"/>
        <v>652174</v>
      </c>
      <c r="D205" s="126">
        <v>469</v>
      </c>
      <c r="E205" s="126">
        <f t="shared" si="37"/>
        <v>13943</v>
      </c>
      <c r="F205" s="126">
        <f t="shared" si="36"/>
        <v>8665</v>
      </c>
      <c r="G205" s="153">
        <v>517228</v>
      </c>
      <c r="H205" s="126">
        <v>3362</v>
      </c>
      <c r="I205" s="126">
        <v>25766</v>
      </c>
      <c r="J205" s="4">
        <f t="shared" si="28"/>
        <v>1745539</v>
      </c>
      <c r="K205" s="7">
        <v>1448</v>
      </c>
      <c r="L205" s="7">
        <v>961776</v>
      </c>
      <c r="M205" s="70">
        <f t="shared" si="39"/>
        <v>963224</v>
      </c>
      <c r="N205" s="85">
        <v>6521</v>
      </c>
      <c r="O205" s="85">
        <v>140870</v>
      </c>
      <c r="P205" s="85">
        <v>425218</v>
      </c>
      <c r="Q205" s="77">
        <f t="shared" si="40"/>
        <v>79565</v>
      </c>
      <c r="R205" s="96">
        <f t="shared" si="23"/>
        <v>121003</v>
      </c>
      <c r="S205" s="82">
        <f t="shared" si="26"/>
        <v>2.7784435096650496E-2</v>
      </c>
      <c r="T205" s="83">
        <f t="shared" si="38"/>
        <v>2.5514153282547792E-2</v>
      </c>
      <c r="U205" s="68"/>
      <c r="V205" s="196"/>
    </row>
    <row r="206" spans="1:22" x14ac:dyDescent="0.25">
      <c r="A206" s="38">
        <v>44097</v>
      </c>
      <c r="B206" s="126">
        <v>12625</v>
      </c>
      <c r="C206" s="154">
        <f t="shared" si="34"/>
        <v>664799</v>
      </c>
      <c r="D206" s="126">
        <v>424</v>
      </c>
      <c r="E206" s="126">
        <f t="shared" si="37"/>
        <v>14367</v>
      </c>
      <c r="F206" s="126">
        <f t="shared" si="36"/>
        <v>8258</v>
      </c>
      <c r="G206" s="153">
        <v>525486</v>
      </c>
      <c r="H206" s="126">
        <v>3511</v>
      </c>
      <c r="I206" s="126">
        <v>24903</v>
      </c>
      <c r="J206" s="4">
        <f t="shared" si="28"/>
        <v>1770442</v>
      </c>
      <c r="K206" s="7">
        <v>1456</v>
      </c>
      <c r="L206" s="7">
        <v>974788</v>
      </c>
      <c r="M206" s="70">
        <f t="shared" si="39"/>
        <v>976244</v>
      </c>
      <c r="N206" s="85">
        <v>6647</v>
      </c>
      <c r="O206" s="85">
        <v>143597</v>
      </c>
      <c r="P206" s="85">
        <v>433450</v>
      </c>
      <c r="Q206" s="77">
        <f t="shared" si="40"/>
        <v>81105</v>
      </c>
      <c r="R206" s="96">
        <f t="shared" si="23"/>
        <v>124946</v>
      </c>
      <c r="S206" s="82">
        <f t="shared" ref="S206:S211" si="41">H206/(C206-E206-G206)</f>
        <v>2.8100139260160389E-2</v>
      </c>
      <c r="T206" s="83">
        <f t="shared" si="38"/>
        <v>2.5861463772890014E-2</v>
      </c>
      <c r="U206" s="68"/>
      <c r="V206" s="196"/>
    </row>
    <row r="207" spans="1:22" x14ac:dyDescent="0.25">
      <c r="A207" s="38">
        <v>44098</v>
      </c>
      <c r="B207" s="135">
        <v>13467</v>
      </c>
      <c r="C207" s="135">
        <f t="shared" si="34"/>
        <v>678266</v>
      </c>
      <c r="D207" s="126">
        <v>391</v>
      </c>
      <c r="E207" s="126">
        <f t="shared" si="37"/>
        <v>14758</v>
      </c>
      <c r="F207" s="126">
        <f t="shared" si="36"/>
        <v>11103</v>
      </c>
      <c r="G207" s="153">
        <v>536589</v>
      </c>
      <c r="H207" s="126">
        <v>3527</v>
      </c>
      <c r="I207" s="126">
        <v>27253</v>
      </c>
      <c r="J207" s="4">
        <f t="shared" si="28"/>
        <v>1797695</v>
      </c>
      <c r="K207" s="7">
        <v>1488</v>
      </c>
      <c r="L207" s="7">
        <v>988976</v>
      </c>
      <c r="M207" s="26">
        <f t="shared" si="39"/>
        <v>990464</v>
      </c>
      <c r="N207" s="85">
        <v>6740</v>
      </c>
      <c r="O207" s="85">
        <v>143045</v>
      </c>
      <c r="P207" s="85">
        <v>449054</v>
      </c>
      <c r="Q207" s="77">
        <f t="shared" si="40"/>
        <v>79427</v>
      </c>
      <c r="R207" s="96">
        <f t="shared" si="23"/>
        <v>126919</v>
      </c>
      <c r="S207" s="82">
        <f t="shared" si="41"/>
        <v>2.7789377476973503E-2</v>
      </c>
      <c r="T207" s="83">
        <f t="shared" si="38"/>
        <v>2.6099751346724532E-2</v>
      </c>
      <c r="U207" s="68"/>
      <c r="V207" s="196"/>
    </row>
    <row r="208" spans="1:22" x14ac:dyDescent="0.25">
      <c r="A208" s="38">
        <v>44099</v>
      </c>
      <c r="B208" s="126">
        <v>12969</v>
      </c>
      <c r="C208" s="154">
        <f t="shared" ref="C208:C230" si="42">C207+B208</f>
        <v>691235</v>
      </c>
      <c r="D208" s="126">
        <v>442</v>
      </c>
      <c r="E208" s="126">
        <f t="shared" si="37"/>
        <v>15200</v>
      </c>
      <c r="F208" s="126">
        <f t="shared" si="36"/>
        <v>10335</v>
      </c>
      <c r="G208" s="153">
        <v>546924</v>
      </c>
      <c r="H208" s="126">
        <v>3595</v>
      </c>
      <c r="I208" s="126">
        <v>25098</v>
      </c>
      <c r="J208" s="4">
        <f t="shared" si="28"/>
        <v>1822793</v>
      </c>
      <c r="K208" s="7">
        <v>1500</v>
      </c>
      <c r="L208" s="7">
        <v>1001959</v>
      </c>
      <c r="M208" s="26">
        <f t="shared" si="39"/>
        <v>1003459</v>
      </c>
      <c r="N208" s="85">
        <v>6798</v>
      </c>
      <c r="O208" s="85">
        <v>145075</v>
      </c>
      <c r="P208" s="85">
        <v>458440</v>
      </c>
      <c r="Q208" s="77">
        <f t="shared" si="40"/>
        <v>80922</v>
      </c>
      <c r="R208" s="96">
        <f t="shared" si="23"/>
        <v>129111</v>
      </c>
      <c r="S208" s="82">
        <f t="shared" si="41"/>
        <v>2.7844258041530155E-2</v>
      </c>
      <c r="T208" s="83">
        <f t="shared" si="38"/>
        <v>2.6327731761983449E-2</v>
      </c>
      <c r="U208" s="68"/>
      <c r="V208" s="196"/>
    </row>
    <row r="209" spans="1:22" x14ac:dyDescent="0.25">
      <c r="A209" s="38">
        <v>44100</v>
      </c>
      <c r="B209" s="126">
        <v>11249</v>
      </c>
      <c r="C209" s="154">
        <f t="shared" si="42"/>
        <v>702484</v>
      </c>
      <c r="D209" s="126">
        <v>337</v>
      </c>
      <c r="E209" s="126">
        <f t="shared" si="37"/>
        <v>15537</v>
      </c>
      <c r="F209" s="126">
        <f t="shared" si="36"/>
        <v>9565</v>
      </c>
      <c r="G209" s="153">
        <v>556489</v>
      </c>
      <c r="H209" s="126">
        <v>3633</v>
      </c>
      <c r="I209" s="126">
        <v>22101</v>
      </c>
      <c r="J209" s="4">
        <f t="shared" si="28"/>
        <v>1844894</v>
      </c>
      <c r="K209" s="7">
        <v>1537</v>
      </c>
      <c r="L209" s="7">
        <v>1014163</v>
      </c>
      <c r="M209" s="26">
        <f t="shared" si="39"/>
        <v>1015700</v>
      </c>
      <c r="N209" s="85">
        <v>6835</v>
      </c>
      <c r="O209" s="85">
        <v>146416</v>
      </c>
      <c r="P209" s="85">
        <v>464913</v>
      </c>
      <c r="Q209" s="77">
        <f t="shared" si="40"/>
        <v>84320</v>
      </c>
      <c r="R209" s="96">
        <f t="shared" si="23"/>
        <v>130458</v>
      </c>
      <c r="S209" s="82">
        <f t="shared" si="41"/>
        <v>2.7848043048337396E-2</v>
      </c>
      <c r="T209" s="83">
        <f t="shared" si="38"/>
        <v>2.6378070395849322E-2</v>
      </c>
      <c r="U209" s="68"/>
      <c r="V209" s="196"/>
    </row>
    <row r="210" spans="1:22" x14ac:dyDescent="0.25">
      <c r="A210" s="38">
        <v>44101</v>
      </c>
      <c r="B210" s="126">
        <v>8841</v>
      </c>
      <c r="C210" s="154">
        <f t="shared" si="42"/>
        <v>711325</v>
      </c>
      <c r="D210" s="126">
        <v>206</v>
      </c>
      <c r="E210" s="126">
        <f t="shared" si="37"/>
        <v>15743</v>
      </c>
      <c r="F210" s="126">
        <f t="shared" si="36"/>
        <v>9446</v>
      </c>
      <c r="G210" s="153">
        <v>565935</v>
      </c>
      <c r="H210" s="126">
        <v>3604</v>
      </c>
      <c r="I210" s="126">
        <v>15171</v>
      </c>
      <c r="J210" s="4">
        <f t="shared" si="28"/>
        <v>1860065</v>
      </c>
      <c r="K210" s="7">
        <v>1567</v>
      </c>
      <c r="L210" s="7">
        <v>1021244</v>
      </c>
      <c r="M210" s="26">
        <f t="shared" si="39"/>
        <v>1022811</v>
      </c>
      <c r="N210" s="85">
        <v>6874</v>
      </c>
      <c r="O210" s="85">
        <v>147538</v>
      </c>
      <c r="P210" s="85">
        <v>469799</v>
      </c>
      <c r="Q210" s="77">
        <f t="shared" si="40"/>
        <v>87114</v>
      </c>
      <c r="R210" s="96">
        <f t="shared" si="23"/>
        <v>129647</v>
      </c>
      <c r="S210" s="82">
        <f t="shared" si="41"/>
        <v>2.7798560707150956E-2</v>
      </c>
      <c r="T210" s="83">
        <f t="shared" si="38"/>
        <v>2.6163636152119033E-2</v>
      </c>
      <c r="U210" s="68"/>
      <c r="V210" s="196"/>
    </row>
    <row r="211" spans="1:22" x14ac:dyDescent="0.25">
      <c r="A211" s="38">
        <v>44102</v>
      </c>
      <c r="B211" s="126">
        <v>11807</v>
      </c>
      <c r="C211" s="154">
        <f t="shared" si="42"/>
        <v>723132</v>
      </c>
      <c r="D211" s="126">
        <v>365</v>
      </c>
      <c r="E211" s="126">
        <f t="shared" si="37"/>
        <v>16108</v>
      </c>
      <c r="F211" s="126">
        <f t="shared" si="36"/>
        <v>10780</v>
      </c>
      <c r="G211" s="153">
        <v>576715</v>
      </c>
      <c r="H211" s="126">
        <v>3678</v>
      </c>
      <c r="I211" s="126">
        <v>21356</v>
      </c>
      <c r="J211" s="4">
        <f t="shared" si="28"/>
        <v>1881421</v>
      </c>
      <c r="K211" s="7">
        <v>1611</v>
      </c>
      <c r="L211" s="7">
        <v>1031143</v>
      </c>
      <c r="M211" s="26">
        <f t="shared" si="39"/>
        <v>1032754</v>
      </c>
      <c r="N211" s="85">
        <v>6984</v>
      </c>
      <c r="O211" s="85">
        <v>149538</v>
      </c>
      <c r="P211" s="85">
        <v>478119</v>
      </c>
      <c r="Q211" s="77">
        <f t="shared" si="40"/>
        <v>88491</v>
      </c>
      <c r="R211" s="96">
        <f t="shared" si="23"/>
        <v>130309</v>
      </c>
      <c r="S211" s="82">
        <f t="shared" si="41"/>
        <v>2.8225218519058546E-2</v>
      </c>
      <c r="T211" s="83">
        <f>E211/C201</f>
        <v>2.6249148548540067E-2</v>
      </c>
      <c r="U211" s="68"/>
      <c r="V211" s="196"/>
    </row>
    <row r="212" spans="1:22" x14ac:dyDescent="0.25">
      <c r="A212" s="38">
        <v>44103</v>
      </c>
      <c r="B212" s="126">
        <v>13477</v>
      </c>
      <c r="C212" s="154">
        <f t="shared" si="42"/>
        <v>736609</v>
      </c>
      <c r="D212" s="126">
        <v>406</v>
      </c>
      <c r="E212" s="126">
        <f t="shared" si="37"/>
        <v>16514</v>
      </c>
      <c r="F212" s="126">
        <f t="shared" si="36"/>
        <v>9142</v>
      </c>
      <c r="G212" s="153">
        <v>585857</v>
      </c>
      <c r="H212" s="126">
        <v>3768</v>
      </c>
      <c r="I212" s="126">
        <v>25072</v>
      </c>
      <c r="J212" s="4">
        <f t="shared" si="28"/>
        <v>1906493</v>
      </c>
      <c r="K212" s="7">
        <v>1774</v>
      </c>
      <c r="L212" s="30">
        <v>1043210</v>
      </c>
      <c r="M212" s="26">
        <f t="shared" si="39"/>
        <v>1044984</v>
      </c>
      <c r="N212" s="85">
        <v>7083</v>
      </c>
      <c r="O212" s="85">
        <v>151787</v>
      </c>
      <c r="P212" s="85">
        <v>487971</v>
      </c>
      <c r="Q212" s="77">
        <f t="shared" si="40"/>
        <v>89768</v>
      </c>
      <c r="R212" s="96">
        <f t="shared" si="23"/>
        <v>134238</v>
      </c>
      <c r="S212" s="82">
        <f t="shared" ref="S212:S220" si="43">H212/(C212-E212-G212)</f>
        <v>2.8069548116032718E-2</v>
      </c>
      <c r="T212" s="83">
        <f>E212/C202</f>
        <v>2.6510031560325813E-2</v>
      </c>
      <c r="U212" s="68"/>
      <c r="V212" s="196"/>
    </row>
    <row r="213" spans="1:22" x14ac:dyDescent="0.25">
      <c r="A213" s="38">
        <v>44104</v>
      </c>
      <c r="B213" s="126">
        <v>14392</v>
      </c>
      <c r="C213" s="154">
        <f t="shared" si="42"/>
        <v>751001</v>
      </c>
      <c r="D213" s="126">
        <v>416</v>
      </c>
      <c r="E213" s="126">
        <f t="shared" si="37"/>
        <v>16930</v>
      </c>
      <c r="F213" s="126">
        <f t="shared" si="36"/>
        <v>8788</v>
      </c>
      <c r="G213" s="153">
        <v>594645</v>
      </c>
      <c r="H213" s="126">
        <v>3792</v>
      </c>
      <c r="I213" s="126">
        <v>26524</v>
      </c>
      <c r="J213" s="4">
        <f t="shared" si="28"/>
        <v>1933017</v>
      </c>
      <c r="K213" s="70">
        <v>2013</v>
      </c>
      <c r="L213" s="8">
        <v>1055774</v>
      </c>
      <c r="M213" s="79">
        <f t="shared" si="39"/>
        <v>1057787</v>
      </c>
      <c r="N213" s="85">
        <v>7162</v>
      </c>
      <c r="O213" s="85">
        <v>153949</v>
      </c>
      <c r="P213" s="85">
        <v>498519</v>
      </c>
      <c r="Q213" s="77">
        <f t="shared" si="40"/>
        <v>91371</v>
      </c>
      <c r="R213" s="96">
        <f t="shared" si="23"/>
        <v>139426</v>
      </c>
      <c r="S213" s="82">
        <f t="shared" si="43"/>
        <v>2.7197222899602656E-2</v>
      </c>
      <c r="T213" s="83">
        <f>E213/C203</f>
        <v>2.6814916886428612E-2</v>
      </c>
      <c r="U213" s="68"/>
      <c r="V213" s="196"/>
    </row>
    <row r="214" spans="1:22" x14ac:dyDescent="0.25">
      <c r="A214" s="38">
        <v>44105</v>
      </c>
      <c r="B214" s="126">
        <v>14001</v>
      </c>
      <c r="C214" s="154">
        <f t="shared" si="42"/>
        <v>765002</v>
      </c>
      <c r="D214" s="139">
        <v>3340</v>
      </c>
      <c r="E214" s="126">
        <f t="shared" si="37"/>
        <v>20270</v>
      </c>
      <c r="F214" s="126">
        <f t="shared" si="36"/>
        <v>8495</v>
      </c>
      <c r="G214" s="153">
        <v>603140</v>
      </c>
      <c r="H214" s="137">
        <v>3799</v>
      </c>
      <c r="I214" s="126">
        <v>26662</v>
      </c>
      <c r="J214" s="4">
        <f t="shared" si="28"/>
        <v>1959679</v>
      </c>
      <c r="K214" s="70">
        <v>1482</v>
      </c>
      <c r="L214" s="8">
        <v>1068705</v>
      </c>
      <c r="M214" s="79">
        <f t="shared" ref="M214:M225" si="44">L214+K214</f>
        <v>1070187</v>
      </c>
      <c r="N214" s="85">
        <v>7226</v>
      </c>
      <c r="O214" s="85">
        <v>155848</v>
      </c>
      <c r="P214" s="85">
        <v>508945</v>
      </c>
      <c r="Q214" s="77">
        <f t="shared" si="40"/>
        <v>92983</v>
      </c>
      <c r="R214" s="96">
        <f t="shared" si="23"/>
        <v>141592</v>
      </c>
      <c r="S214" s="82">
        <f t="shared" si="43"/>
        <v>2.6830611898977345E-2</v>
      </c>
      <c r="T214" s="83">
        <f>E214/C204</f>
        <v>3.166460203671969E-2</v>
      </c>
      <c r="U214" s="68"/>
      <c r="V214" s="196"/>
    </row>
    <row r="215" spans="1:22" x14ac:dyDescent="0.25">
      <c r="A215" s="38">
        <v>44106</v>
      </c>
      <c r="B215" s="135">
        <v>14687</v>
      </c>
      <c r="C215" s="154">
        <f t="shared" si="42"/>
        <v>779689</v>
      </c>
      <c r="D215" s="126">
        <v>312</v>
      </c>
      <c r="E215" s="126">
        <f t="shared" si="37"/>
        <v>20582</v>
      </c>
      <c r="F215" s="126">
        <f t="shared" si="36"/>
        <v>11375</v>
      </c>
      <c r="G215" s="153">
        <v>614515</v>
      </c>
      <c r="H215" s="137">
        <v>3828</v>
      </c>
      <c r="I215" s="126">
        <v>27537</v>
      </c>
      <c r="J215" s="4">
        <f t="shared" si="28"/>
        <v>1987216</v>
      </c>
      <c r="K215" s="7">
        <v>1492</v>
      </c>
      <c r="L215" s="8">
        <v>1082729</v>
      </c>
      <c r="M215" s="26">
        <f t="shared" si="44"/>
        <v>1084221</v>
      </c>
      <c r="N215" s="85">
        <v>7323</v>
      </c>
      <c r="O215" s="85">
        <v>158001</v>
      </c>
      <c r="P215" s="85">
        <v>520163</v>
      </c>
      <c r="Q215" s="77">
        <f t="shared" si="40"/>
        <v>94202</v>
      </c>
      <c r="R215" s="96">
        <f t="shared" si="23"/>
        <v>144592</v>
      </c>
      <c r="S215" s="82">
        <f t="shared" si="43"/>
        <v>2.6474493747925196E-2</v>
      </c>
      <c r="T215" s="28">
        <f t="shared" ref="T215:T232" si="45">E215/C195</f>
        <v>3.7662791570063733E-2</v>
      </c>
      <c r="U215" s="68"/>
      <c r="V215" s="196"/>
    </row>
    <row r="216" spans="1:22" x14ac:dyDescent="0.25">
      <c r="A216" s="40">
        <v>44107</v>
      </c>
      <c r="B216" s="133">
        <v>11129</v>
      </c>
      <c r="C216" s="155">
        <f t="shared" si="42"/>
        <v>790818</v>
      </c>
      <c r="D216" s="133">
        <v>197</v>
      </c>
      <c r="E216" s="126">
        <f t="shared" si="37"/>
        <v>20779</v>
      </c>
      <c r="F216" s="126">
        <f t="shared" si="36"/>
        <v>11599</v>
      </c>
      <c r="G216" s="153">
        <v>626114</v>
      </c>
      <c r="H216" s="137">
        <v>3820</v>
      </c>
      <c r="I216" s="133">
        <v>20525</v>
      </c>
      <c r="J216" s="4">
        <f t="shared" si="28"/>
        <v>2007741</v>
      </c>
      <c r="K216" s="30">
        <v>1499</v>
      </c>
      <c r="L216" s="30">
        <v>1095695</v>
      </c>
      <c r="M216" s="80">
        <f t="shared" si="44"/>
        <v>1097194</v>
      </c>
      <c r="N216" s="85">
        <v>7387</v>
      </c>
      <c r="O216" s="85">
        <v>159347</v>
      </c>
      <c r="P216" s="85">
        <v>527803</v>
      </c>
      <c r="Q216" s="77">
        <f t="shared" si="40"/>
        <v>96281</v>
      </c>
      <c r="R216" s="96">
        <f t="shared" si="23"/>
        <v>143925</v>
      </c>
      <c r="S216" s="82">
        <f t="shared" si="43"/>
        <v>2.6541601528573908E-2</v>
      </c>
      <c r="T216" s="28">
        <f t="shared" si="45"/>
        <v>3.7403449275205794E-2</v>
      </c>
      <c r="U216" s="68"/>
      <c r="V216" s="196"/>
    </row>
    <row r="217" spans="1:22" x14ac:dyDescent="0.25">
      <c r="A217" s="38">
        <v>44108</v>
      </c>
      <c r="B217" s="126">
        <v>7668</v>
      </c>
      <c r="C217" s="154">
        <f t="shared" si="42"/>
        <v>798486</v>
      </c>
      <c r="D217" s="126">
        <v>221</v>
      </c>
      <c r="E217" s="126">
        <f t="shared" si="37"/>
        <v>21000</v>
      </c>
      <c r="F217" s="126">
        <f t="shared" si="36"/>
        <v>10558</v>
      </c>
      <c r="G217" s="153">
        <v>636672</v>
      </c>
      <c r="H217" s="137">
        <v>3950</v>
      </c>
      <c r="I217" s="126">
        <v>13213</v>
      </c>
      <c r="J217" s="4">
        <f t="shared" si="28"/>
        <v>2020954</v>
      </c>
      <c r="K217" s="7">
        <v>1504</v>
      </c>
      <c r="L217" s="7">
        <v>1103068</v>
      </c>
      <c r="M217" s="26">
        <f t="shared" si="44"/>
        <v>1104572</v>
      </c>
      <c r="N217" s="85">
        <v>7425</v>
      </c>
      <c r="O217" s="85">
        <v>160401</v>
      </c>
      <c r="P217" s="85">
        <v>533573</v>
      </c>
      <c r="Q217" s="77">
        <f t="shared" si="40"/>
        <v>97087</v>
      </c>
      <c r="R217" s="96">
        <f t="shared" si="23"/>
        <v>140814</v>
      </c>
      <c r="S217" s="82">
        <f t="shared" si="43"/>
        <v>2.8051188092093116E-2</v>
      </c>
      <c r="T217" s="28">
        <f t="shared" si="45"/>
        <v>3.7138824927579292E-2</v>
      </c>
      <c r="U217" s="68"/>
      <c r="V217" s="196"/>
    </row>
    <row r="218" spans="1:22" x14ac:dyDescent="0.25">
      <c r="A218" s="38">
        <v>44109</v>
      </c>
      <c r="B218" s="136">
        <v>11242</v>
      </c>
      <c r="C218" s="154">
        <f t="shared" si="42"/>
        <v>809728</v>
      </c>
      <c r="D218" s="126">
        <v>450</v>
      </c>
      <c r="E218" s="126">
        <f t="shared" si="37"/>
        <v>21450</v>
      </c>
      <c r="F218" s="126">
        <f t="shared" si="36"/>
        <v>12345</v>
      </c>
      <c r="G218" s="153">
        <v>649017</v>
      </c>
      <c r="H218" s="137">
        <v>3978</v>
      </c>
      <c r="I218" s="126">
        <v>20263</v>
      </c>
      <c r="J218" s="4">
        <f t="shared" si="28"/>
        <v>2041217</v>
      </c>
      <c r="K218" s="7">
        <v>1508</v>
      </c>
      <c r="L218" s="7">
        <v>1113469</v>
      </c>
      <c r="M218" s="26">
        <f t="shared" si="44"/>
        <v>1114977</v>
      </c>
      <c r="N218" s="85">
        <v>7503</v>
      </c>
      <c r="O218" s="85">
        <v>162682</v>
      </c>
      <c r="P218" s="85">
        <v>544916</v>
      </c>
      <c r="Q218" s="77">
        <f t="shared" si="40"/>
        <v>94627</v>
      </c>
      <c r="R218" s="96">
        <f t="shared" si="23"/>
        <v>139261</v>
      </c>
      <c r="S218" s="82">
        <f t="shared" si="43"/>
        <v>2.8565068468559038E-2</v>
      </c>
      <c r="T218" s="28">
        <f t="shared" si="45"/>
        <v>3.7153279361483223E-2</v>
      </c>
      <c r="U218" s="68"/>
      <c r="V218" s="196"/>
    </row>
    <row r="219" spans="1:22" x14ac:dyDescent="0.25">
      <c r="A219" s="38">
        <v>44110</v>
      </c>
      <c r="B219" s="136">
        <v>14740</v>
      </c>
      <c r="C219" s="154">
        <f t="shared" si="42"/>
        <v>824468</v>
      </c>
      <c r="D219" s="126">
        <v>359</v>
      </c>
      <c r="E219" s="126">
        <f t="shared" si="37"/>
        <v>21809</v>
      </c>
      <c r="F219" s="126">
        <f t="shared" si="36"/>
        <v>11255</v>
      </c>
      <c r="G219" s="153">
        <v>660272</v>
      </c>
      <c r="H219" s="137">
        <v>4007</v>
      </c>
      <c r="I219" s="126">
        <v>26481</v>
      </c>
      <c r="J219" s="4">
        <f t="shared" si="28"/>
        <v>2067698</v>
      </c>
      <c r="K219" s="7">
        <v>1528</v>
      </c>
      <c r="L219" s="7">
        <v>1127417</v>
      </c>
      <c r="M219" s="26">
        <f t="shared" si="44"/>
        <v>1128945</v>
      </c>
      <c r="N219" s="85">
        <v>7581</v>
      </c>
      <c r="O219" s="85">
        <v>165737</v>
      </c>
      <c r="P219" s="85">
        <v>556132</v>
      </c>
      <c r="Q219" s="77">
        <f t="shared" si="40"/>
        <v>95018</v>
      </c>
      <c r="R219" s="96">
        <f t="shared" si="23"/>
        <v>142387</v>
      </c>
      <c r="S219" s="82">
        <f t="shared" si="43"/>
        <v>2.8141614051844621E-2</v>
      </c>
      <c r="T219" s="28">
        <f t="shared" si="45"/>
        <v>3.7026410327803169E-2</v>
      </c>
      <c r="U219" s="68"/>
      <c r="V219" s="196"/>
    </row>
    <row r="220" spans="1:22" x14ac:dyDescent="0.25">
      <c r="A220" s="38">
        <v>44111</v>
      </c>
      <c r="B220" s="136">
        <v>16447</v>
      </c>
      <c r="C220" s="154">
        <f t="shared" si="42"/>
        <v>840915</v>
      </c>
      <c r="D220" s="126">
        <v>400</v>
      </c>
      <c r="E220" s="126">
        <f t="shared" si="37"/>
        <v>22209</v>
      </c>
      <c r="F220" s="126">
        <f t="shared" si="36"/>
        <v>10453</v>
      </c>
      <c r="G220" s="153">
        <v>670725</v>
      </c>
      <c r="H220" s="137">
        <v>3997</v>
      </c>
      <c r="I220" s="193">
        <v>29441</v>
      </c>
      <c r="J220" s="4">
        <f t="shared" si="28"/>
        <v>2097139</v>
      </c>
      <c r="K220" s="7">
        <v>1542</v>
      </c>
      <c r="L220" s="7">
        <v>1142661</v>
      </c>
      <c r="M220" s="26">
        <f t="shared" si="44"/>
        <v>1144203</v>
      </c>
      <c r="N220" s="85">
        <v>7669</v>
      </c>
      <c r="O220" s="85">
        <v>168593</v>
      </c>
      <c r="P220" s="85">
        <v>568246</v>
      </c>
      <c r="Q220" s="77">
        <f t="shared" si="40"/>
        <v>96407</v>
      </c>
      <c r="R220" s="96">
        <f t="shared" si="23"/>
        <v>147981</v>
      </c>
      <c r="S220" s="82">
        <f t="shared" si="43"/>
        <v>2.7010224285550173E-2</v>
      </c>
      <c r="T220" s="28">
        <f t="shared" si="45"/>
        <v>3.6909623026260024E-2</v>
      </c>
      <c r="U220" s="68"/>
      <c r="V220" s="196"/>
    </row>
    <row r="221" spans="1:22" x14ac:dyDescent="0.25">
      <c r="A221" s="38">
        <v>44112</v>
      </c>
      <c r="B221" s="126">
        <v>15454</v>
      </c>
      <c r="C221" s="154">
        <f t="shared" si="42"/>
        <v>856369</v>
      </c>
      <c r="D221" s="126">
        <v>483</v>
      </c>
      <c r="E221" s="126">
        <f t="shared" si="37"/>
        <v>22692</v>
      </c>
      <c r="F221" s="126">
        <f t="shared" si="36"/>
        <v>14119</v>
      </c>
      <c r="G221" s="153">
        <v>684844</v>
      </c>
      <c r="H221" s="137">
        <v>4043</v>
      </c>
      <c r="I221" s="126">
        <v>25841</v>
      </c>
      <c r="J221" s="4">
        <f t="shared" si="28"/>
        <v>2122980</v>
      </c>
      <c r="K221" s="7">
        <v>1544</v>
      </c>
      <c r="L221" s="7">
        <v>1155668</v>
      </c>
      <c r="M221" s="26">
        <f t="shared" si="44"/>
        <v>1157212</v>
      </c>
      <c r="N221" s="85">
        <v>7761</v>
      </c>
      <c r="O221" s="85">
        <v>171322</v>
      </c>
      <c r="P221" s="85">
        <v>578517</v>
      </c>
      <c r="Q221" s="77">
        <f t="shared" si="40"/>
        <v>98769</v>
      </c>
      <c r="R221" s="96">
        <f t="shared" si="23"/>
        <v>148833</v>
      </c>
      <c r="S221" s="82">
        <f t="shared" ref="S221:S227" si="46">H221/(C221-E221-G221)</f>
        <v>2.7164674500950729E-2</v>
      </c>
      <c r="T221" s="28">
        <f t="shared" si="45"/>
        <v>3.6978251729790863E-2</v>
      </c>
      <c r="U221" s="68"/>
      <c r="V221" s="196"/>
    </row>
    <row r="222" spans="1:22" x14ac:dyDescent="0.25">
      <c r="A222" s="75">
        <v>44113</v>
      </c>
      <c r="B222" s="133">
        <v>15099</v>
      </c>
      <c r="C222" s="154">
        <f t="shared" si="42"/>
        <v>871468</v>
      </c>
      <c r="D222" s="146">
        <v>514</v>
      </c>
      <c r="E222" s="126">
        <f t="shared" si="37"/>
        <v>23206</v>
      </c>
      <c r="F222" s="126">
        <f t="shared" si="36"/>
        <v>12297</v>
      </c>
      <c r="G222" s="153">
        <v>697141</v>
      </c>
      <c r="H222" s="137">
        <v>4092</v>
      </c>
      <c r="I222" s="133">
        <v>25174</v>
      </c>
      <c r="J222" s="4">
        <f t="shared" si="28"/>
        <v>2148154</v>
      </c>
      <c r="K222" s="30">
        <v>1564</v>
      </c>
      <c r="L222" s="30">
        <v>1172099</v>
      </c>
      <c r="M222" s="80">
        <f t="shared" si="44"/>
        <v>1173663</v>
      </c>
      <c r="N222" s="85">
        <v>7817</v>
      </c>
      <c r="O222" s="85">
        <v>174267</v>
      </c>
      <c r="P222" s="85">
        <v>588788</v>
      </c>
      <c r="Q222" s="77">
        <f t="shared" si="40"/>
        <v>100596</v>
      </c>
      <c r="R222" s="96">
        <f t="shared" ref="R222:R247" si="47">C222-E222-G222</f>
        <v>151121</v>
      </c>
      <c r="S222" s="82">
        <f t="shared" si="46"/>
        <v>2.7077639772103149E-2</v>
      </c>
      <c r="T222" s="28">
        <f t="shared" si="45"/>
        <v>3.7252742666157253E-2</v>
      </c>
      <c r="U222" s="68"/>
      <c r="V222" s="196"/>
    </row>
    <row r="223" spans="1:22" x14ac:dyDescent="0.25">
      <c r="A223" s="76">
        <v>44114</v>
      </c>
      <c r="B223" s="137">
        <v>12414</v>
      </c>
      <c r="C223" s="154">
        <f t="shared" si="42"/>
        <v>883882</v>
      </c>
      <c r="D223" s="137">
        <v>357</v>
      </c>
      <c r="E223" s="126">
        <f t="shared" si="37"/>
        <v>23563</v>
      </c>
      <c r="F223" s="126">
        <f t="shared" si="36"/>
        <v>12323</v>
      </c>
      <c r="G223" s="153">
        <v>709464</v>
      </c>
      <c r="H223" s="137">
        <v>4200</v>
      </c>
      <c r="I223" s="137">
        <v>19871</v>
      </c>
      <c r="J223" s="4">
        <f t="shared" si="28"/>
        <v>2168025</v>
      </c>
      <c r="K223" s="78">
        <v>1566</v>
      </c>
      <c r="L223" s="78">
        <v>1182752</v>
      </c>
      <c r="M223" s="81">
        <f t="shared" si="44"/>
        <v>1184318</v>
      </c>
      <c r="N223" s="85">
        <v>7886</v>
      </c>
      <c r="O223" s="85">
        <v>176230</v>
      </c>
      <c r="P223" s="85">
        <v>594738</v>
      </c>
      <c r="Q223" s="77">
        <f t="shared" si="40"/>
        <v>105028</v>
      </c>
      <c r="R223" s="96">
        <f t="shared" si="47"/>
        <v>150855</v>
      </c>
      <c r="S223" s="82">
        <f t="shared" si="46"/>
        <v>2.7841304563985283E-2</v>
      </c>
      <c r="T223" s="28">
        <f t="shared" si="45"/>
        <v>3.7320725729174088E-2</v>
      </c>
      <c r="U223" s="68"/>
      <c r="V223" s="196"/>
    </row>
    <row r="224" spans="1:22" x14ac:dyDescent="0.25">
      <c r="A224" s="86">
        <v>44115</v>
      </c>
      <c r="B224" s="138">
        <v>10324</v>
      </c>
      <c r="C224" s="155">
        <f t="shared" si="42"/>
        <v>894206</v>
      </c>
      <c r="D224" s="138">
        <v>283</v>
      </c>
      <c r="E224" s="126">
        <f t="shared" si="37"/>
        <v>23846</v>
      </c>
      <c r="F224" s="126">
        <f t="shared" si="36"/>
        <v>11916</v>
      </c>
      <c r="G224" s="153">
        <v>721380</v>
      </c>
      <c r="H224" s="138">
        <v>4237</v>
      </c>
      <c r="I224" s="138">
        <v>14237</v>
      </c>
      <c r="J224" s="4">
        <f t="shared" si="28"/>
        <v>2182262</v>
      </c>
      <c r="K224" s="88">
        <v>1567</v>
      </c>
      <c r="L224" s="88">
        <v>1189378</v>
      </c>
      <c r="M224" s="93">
        <f t="shared" si="44"/>
        <v>1190945</v>
      </c>
      <c r="N224" s="89">
        <v>7932</v>
      </c>
      <c r="O224" s="89">
        <v>177557</v>
      </c>
      <c r="P224" s="89">
        <v>599352</v>
      </c>
      <c r="Q224" s="87">
        <f t="shared" si="40"/>
        <v>109365</v>
      </c>
      <c r="R224" s="96">
        <f t="shared" si="47"/>
        <v>148980</v>
      </c>
      <c r="S224" s="90">
        <f t="shared" si="46"/>
        <v>2.844005906833132E-2</v>
      </c>
      <c r="T224" s="72">
        <f t="shared" si="45"/>
        <v>3.7250818952521844E-2</v>
      </c>
      <c r="U224" s="68"/>
      <c r="V224" s="196"/>
    </row>
    <row r="225" spans="1:22" x14ac:dyDescent="0.25">
      <c r="A225" s="74">
        <v>44116</v>
      </c>
      <c r="B225" s="126">
        <v>9524</v>
      </c>
      <c r="C225" s="154">
        <f t="shared" si="42"/>
        <v>903730</v>
      </c>
      <c r="D225" s="126">
        <v>318</v>
      </c>
      <c r="E225" s="126">
        <f t="shared" si="37"/>
        <v>24164</v>
      </c>
      <c r="F225" s="126">
        <f t="shared" si="36"/>
        <v>11202</v>
      </c>
      <c r="G225" s="154">
        <v>732582</v>
      </c>
      <c r="H225" s="126">
        <v>4287</v>
      </c>
      <c r="I225" s="126">
        <v>13956</v>
      </c>
      <c r="J225" s="4">
        <f t="shared" si="28"/>
        <v>2196218</v>
      </c>
      <c r="K225" s="7">
        <v>1567</v>
      </c>
      <c r="L225" s="7">
        <v>1196534</v>
      </c>
      <c r="M225" s="11">
        <f t="shared" si="44"/>
        <v>1198101</v>
      </c>
      <c r="N225" s="8">
        <v>7963</v>
      </c>
      <c r="O225" s="8">
        <v>179298</v>
      </c>
      <c r="P225" s="8">
        <v>608522</v>
      </c>
      <c r="Q225" s="4">
        <f t="shared" si="40"/>
        <v>107947</v>
      </c>
      <c r="R225" s="96">
        <f t="shared" si="47"/>
        <v>146984</v>
      </c>
      <c r="S225" s="35">
        <f t="shared" si="46"/>
        <v>2.9166439884613291E-2</v>
      </c>
      <c r="T225" s="28">
        <f t="shared" si="45"/>
        <v>3.7051461726471772E-2</v>
      </c>
      <c r="U225" s="68"/>
      <c r="V225" s="196"/>
    </row>
    <row r="226" spans="1:22" x14ac:dyDescent="0.25">
      <c r="A226" s="74">
        <v>44117</v>
      </c>
      <c r="B226" s="126">
        <v>13305</v>
      </c>
      <c r="C226" s="154">
        <f t="shared" si="42"/>
        <v>917035</v>
      </c>
      <c r="D226" s="126">
        <v>384</v>
      </c>
      <c r="E226" s="126">
        <f t="shared" si="37"/>
        <v>24548</v>
      </c>
      <c r="F226" s="126">
        <f t="shared" si="36"/>
        <v>9653</v>
      </c>
      <c r="G226" s="154">
        <v>742235</v>
      </c>
      <c r="H226" s="126">
        <v>4294</v>
      </c>
      <c r="I226" s="126">
        <v>20544</v>
      </c>
      <c r="J226" s="4">
        <f t="shared" si="28"/>
        <v>2216762</v>
      </c>
      <c r="K226" s="7">
        <v>1574</v>
      </c>
      <c r="L226" s="7">
        <v>1207475</v>
      </c>
      <c r="M226" s="7">
        <f t="shared" ref="M226:M231" si="48">K226+L226</f>
        <v>1209049</v>
      </c>
      <c r="N226" s="8">
        <v>8033</v>
      </c>
      <c r="O226" s="8">
        <v>182045</v>
      </c>
      <c r="P226" s="8">
        <v>619199</v>
      </c>
      <c r="Q226" s="4">
        <f t="shared" si="40"/>
        <v>107758</v>
      </c>
      <c r="R226" s="96">
        <f t="shared" si="47"/>
        <v>150252</v>
      </c>
      <c r="S226" s="35">
        <f t="shared" si="46"/>
        <v>2.8578654527061202E-2</v>
      </c>
      <c r="T226" s="28">
        <f t="shared" si="45"/>
        <v>3.6925446638758484E-2</v>
      </c>
      <c r="U226" s="68"/>
      <c r="V226" s="196"/>
    </row>
    <row r="227" spans="1:22" x14ac:dyDescent="0.25">
      <c r="A227" s="74">
        <v>44118</v>
      </c>
      <c r="B227" s="126">
        <v>14932</v>
      </c>
      <c r="C227" s="154">
        <f t="shared" si="42"/>
        <v>931967</v>
      </c>
      <c r="D227" s="126">
        <v>349</v>
      </c>
      <c r="E227" s="126">
        <f t="shared" si="37"/>
        <v>24897</v>
      </c>
      <c r="F227" s="126">
        <f t="shared" si="36"/>
        <v>8911</v>
      </c>
      <c r="G227" s="154">
        <v>751146</v>
      </c>
      <c r="H227" s="126">
        <v>4316</v>
      </c>
      <c r="I227" s="126">
        <v>23519</v>
      </c>
      <c r="J227" s="4">
        <f t="shared" si="28"/>
        <v>2240281</v>
      </c>
      <c r="K227" s="7">
        <v>1574</v>
      </c>
      <c r="L227" s="7">
        <v>1219715</v>
      </c>
      <c r="M227" s="7">
        <f t="shared" si="48"/>
        <v>1221289</v>
      </c>
      <c r="N227" s="8">
        <v>8098</v>
      </c>
      <c r="O227" s="8">
        <v>184890</v>
      </c>
      <c r="P227" s="8">
        <v>629734</v>
      </c>
      <c r="Q227" s="4">
        <f t="shared" si="40"/>
        <v>109245</v>
      </c>
      <c r="R227" s="96">
        <f t="shared" si="47"/>
        <v>155924</v>
      </c>
      <c r="S227" s="35">
        <f t="shared" si="46"/>
        <v>2.768015186885919E-2</v>
      </c>
      <c r="T227" s="28">
        <f t="shared" si="45"/>
        <v>3.670683773032999E-2</v>
      </c>
      <c r="U227" s="68"/>
      <c r="V227" s="196"/>
    </row>
    <row r="228" spans="1:22" x14ac:dyDescent="0.25">
      <c r="A228" s="74">
        <v>44119</v>
      </c>
      <c r="B228" s="139">
        <v>17096</v>
      </c>
      <c r="C228" s="154">
        <f t="shared" si="42"/>
        <v>949063</v>
      </c>
      <c r="D228" s="126">
        <v>421</v>
      </c>
      <c r="E228" s="126">
        <f t="shared" si="37"/>
        <v>25318</v>
      </c>
      <c r="F228" s="126">
        <f t="shared" si="36"/>
        <v>13713</v>
      </c>
      <c r="G228" s="154">
        <v>764859</v>
      </c>
      <c r="H228" s="126">
        <v>4278</v>
      </c>
      <c r="I228" s="126">
        <v>27662</v>
      </c>
      <c r="J228" s="4">
        <f t="shared" si="28"/>
        <v>2267943</v>
      </c>
      <c r="K228" s="7">
        <v>1575</v>
      </c>
      <c r="L228" s="7">
        <v>1234321</v>
      </c>
      <c r="M228" s="7">
        <f t="shared" si="48"/>
        <v>1235896</v>
      </c>
      <c r="N228" s="8">
        <v>8172</v>
      </c>
      <c r="O228" s="8">
        <v>187747</v>
      </c>
      <c r="P228" s="8">
        <v>642465</v>
      </c>
      <c r="Q228" s="4">
        <f t="shared" si="40"/>
        <v>110679</v>
      </c>
      <c r="R228" s="96">
        <f t="shared" si="47"/>
        <v>158886</v>
      </c>
      <c r="S228" s="35">
        <f t="shared" ref="S228:S245" si="49">H228/(C228-E228-G228)</f>
        <v>2.6924965069294968E-2</v>
      </c>
      <c r="T228" s="28">
        <f t="shared" si="45"/>
        <v>3.6627196250189877E-2</v>
      </c>
      <c r="U228" s="68"/>
      <c r="V228" s="196"/>
    </row>
    <row r="229" spans="1:22" x14ac:dyDescent="0.25">
      <c r="A229" s="74">
        <v>44120</v>
      </c>
      <c r="B229" s="126">
        <v>16546</v>
      </c>
      <c r="C229" s="154">
        <f t="shared" si="42"/>
        <v>965609</v>
      </c>
      <c r="D229" s="126">
        <v>379</v>
      </c>
      <c r="E229" s="126">
        <f t="shared" si="37"/>
        <v>25697</v>
      </c>
      <c r="F229" s="126">
        <f t="shared" si="36"/>
        <v>13642</v>
      </c>
      <c r="G229" s="154">
        <v>778501</v>
      </c>
      <c r="H229" s="126">
        <v>4346</v>
      </c>
      <c r="I229" s="126">
        <v>27412</v>
      </c>
      <c r="J229" s="4">
        <f t="shared" si="28"/>
        <v>2295355</v>
      </c>
      <c r="K229" s="7">
        <v>1597</v>
      </c>
      <c r="L229" s="7">
        <v>1248101</v>
      </c>
      <c r="M229" s="7">
        <f t="shared" si="48"/>
        <v>1249698</v>
      </c>
      <c r="N229" s="8">
        <v>8249</v>
      </c>
      <c r="O229" s="8">
        <v>190484</v>
      </c>
      <c r="P229" s="8">
        <v>653179</v>
      </c>
      <c r="Q229" s="4">
        <f t="shared" si="40"/>
        <v>113697</v>
      </c>
      <c r="R229" s="96">
        <f t="shared" si="47"/>
        <v>161411</v>
      </c>
      <c r="S229" s="35">
        <f t="shared" si="49"/>
        <v>2.6925054674092844E-2</v>
      </c>
      <c r="T229" s="28">
        <f t="shared" si="45"/>
        <v>3.6580192573781041E-2</v>
      </c>
      <c r="U229" s="68"/>
      <c r="V229" s="196"/>
    </row>
    <row r="230" spans="1:22" x14ac:dyDescent="0.25">
      <c r="A230" s="74">
        <v>44121</v>
      </c>
      <c r="B230" s="126">
        <v>13510</v>
      </c>
      <c r="C230" s="154">
        <f t="shared" si="42"/>
        <v>979119</v>
      </c>
      <c r="D230" s="126">
        <v>383</v>
      </c>
      <c r="E230" s="126">
        <f t="shared" si="37"/>
        <v>26080</v>
      </c>
      <c r="F230" s="126">
        <f t="shared" si="36"/>
        <v>12673</v>
      </c>
      <c r="G230" s="154">
        <v>791174</v>
      </c>
      <c r="H230" s="126">
        <v>4386</v>
      </c>
      <c r="I230" s="126">
        <v>20955</v>
      </c>
      <c r="J230" s="4">
        <f t="shared" si="28"/>
        <v>2316310</v>
      </c>
      <c r="K230" s="7">
        <v>1611</v>
      </c>
      <c r="L230" s="7">
        <v>1260920</v>
      </c>
      <c r="M230" s="7">
        <f t="shared" si="48"/>
        <v>1262531</v>
      </c>
      <c r="N230" s="8">
        <v>8311</v>
      </c>
      <c r="O230" s="8">
        <v>192192</v>
      </c>
      <c r="P230" s="8">
        <v>661955</v>
      </c>
      <c r="Q230" s="4">
        <f t="shared" si="40"/>
        <v>116661</v>
      </c>
      <c r="R230" s="96">
        <f t="shared" si="47"/>
        <v>161865</v>
      </c>
      <c r="S230" s="35">
        <f t="shared" si="49"/>
        <v>2.7096654619590401E-2</v>
      </c>
      <c r="T230" s="28">
        <f t="shared" si="45"/>
        <v>3.666397216462236E-2</v>
      </c>
      <c r="U230" s="68"/>
      <c r="V230" s="196"/>
    </row>
    <row r="231" spans="1:22" x14ac:dyDescent="0.25">
      <c r="A231" s="74">
        <v>44122</v>
      </c>
      <c r="B231" s="126">
        <v>10561</v>
      </c>
      <c r="C231" s="154">
        <f t="shared" ref="C231:C241" si="50">C230+B231</f>
        <v>989680</v>
      </c>
      <c r="D231" s="126">
        <v>159</v>
      </c>
      <c r="E231" s="126">
        <f t="shared" si="37"/>
        <v>26239</v>
      </c>
      <c r="F231" s="126">
        <f t="shared" si="36"/>
        <v>12791</v>
      </c>
      <c r="G231" s="154">
        <v>803965</v>
      </c>
      <c r="H231" s="126">
        <v>4387</v>
      </c>
      <c r="I231" s="126">
        <v>13890</v>
      </c>
      <c r="J231" s="4">
        <f t="shared" si="28"/>
        <v>2330200</v>
      </c>
      <c r="K231" s="7">
        <v>1617</v>
      </c>
      <c r="L231" s="7">
        <v>1269203</v>
      </c>
      <c r="M231" s="4">
        <f t="shared" si="48"/>
        <v>1270820</v>
      </c>
      <c r="N231" s="8">
        <v>8370</v>
      </c>
      <c r="O231" s="8">
        <v>193297</v>
      </c>
      <c r="P231" s="8">
        <v>669231</v>
      </c>
      <c r="Q231" s="4">
        <f t="shared" si="40"/>
        <v>118782</v>
      </c>
      <c r="R231" s="96">
        <f t="shared" si="47"/>
        <v>159476</v>
      </c>
      <c r="S231" s="35">
        <f t="shared" si="49"/>
        <v>2.7508841455767638E-2</v>
      </c>
      <c r="T231" s="28">
        <f t="shared" si="45"/>
        <v>3.6285214870867284E-2</v>
      </c>
      <c r="U231" s="68"/>
      <c r="V231" s="196"/>
    </row>
    <row r="232" spans="1:22" x14ac:dyDescent="0.25">
      <c r="A232" s="74">
        <v>44123</v>
      </c>
      <c r="B232" s="126">
        <v>12982</v>
      </c>
      <c r="C232" s="154">
        <f t="shared" si="50"/>
        <v>1002662</v>
      </c>
      <c r="D232" s="126">
        <v>448</v>
      </c>
      <c r="E232" s="126">
        <f t="shared" si="37"/>
        <v>26687</v>
      </c>
      <c r="F232" s="126">
        <f t="shared" si="36"/>
        <v>12282</v>
      </c>
      <c r="G232" s="154">
        <v>816247</v>
      </c>
      <c r="H232" s="126">
        <v>4392</v>
      </c>
      <c r="I232" s="126">
        <v>28395</v>
      </c>
      <c r="J232" s="4">
        <f t="shared" si="28"/>
        <v>2358595</v>
      </c>
      <c r="K232" s="7">
        <v>1656</v>
      </c>
      <c r="L232" s="7">
        <v>1281757</v>
      </c>
      <c r="M232" s="4">
        <v>1283413</v>
      </c>
      <c r="N232" s="4">
        <v>8406</v>
      </c>
      <c r="O232" s="4">
        <v>195959</v>
      </c>
      <c r="P232" s="4">
        <v>676839</v>
      </c>
      <c r="Q232" s="4">
        <v>121458</v>
      </c>
      <c r="R232" s="96">
        <f t="shared" si="47"/>
        <v>159728</v>
      </c>
      <c r="S232" s="35">
        <f t="shared" si="49"/>
        <v>2.7496744465591506E-2</v>
      </c>
      <c r="T232" s="28">
        <f t="shared" si="45"/>
        <v>3.622953290008675E-2</v>
      </c>
      <c r="U232" s="68"/>
      <c r="V232" s="196"/>
    </row>
    <row r="233" spans="1:22" x14ac:dyDescent="0.25">
      <c r="A233" s="74">
        <v>44124</v>
      </c>
      <c r="B233" s="126">
        <v>16337</v>
      </c>
      <c r="C233" s="154">
        <f t="shared" si="50"/>
        <v>1018999</v>
      </c>
      <c r="D233" s="126">
        <v>381</v>
      </c>
      <c r="E233" s="126">
        <f t="shared" si="37"/>
        <v>27068</v>
      </c>
      <c r="F233" s="126">
        <f t="shared" si="36"/>
        <v>13400</v>
      </c>
      <c r="G233" s="154">
        <v>829647</v>
      </c>
      <c r="H233" s="126">
        <v>4451</v>
      </c>
      <c r="I233" s="126">
        <v>37474</v>
      </c>
      <c r="J233" s="4">
        <f t="shared" si="28"/>
        <v>2396069</v>
      </c>
      <c r="K233" s="7">
        <v>1707</v>
      </c>
      <c r="L233" s="7">
        <v>1298433</v>
      </c>
      <c r="M233" s="4">
        <v>1283413</v>
      </c>
      <c r="N233" s="4">
        <v>8482</v>
      </c>
      <c r="O233" s="4">
        <v>199382</v>
      </c>
      <c r="P233" s="4">
        <v>689632</v>
      </c>
      <c r="Q233" s="12">
        <f>C233-N233-O233-P233</f>
        <v>121503</v>
      </c>
      <c r="R233" s="96">
        <f t="shared" si="47"/>
        <v>162284</v>
      </c>
      <c r="S233" s="35">
        <f t="shared" si="49"/>
        <v>2.7427226343940254E-2</v>
      </c>
      <c r="T233" s="28">
        <f t="shared" ref="T233:T245" si="51">E233/C213</f>
        <v>3.6042561860769824E-2</v>
      </c>
      <c r="U233" s="68"/>
      <c r="V233" s="196"/>
    </row>
    <row r="234" spans="1:22" x14ac:dyDescent="0.25">
      <c r="A234" s="74">
        <v>44125</v>
      </c>
      <c r="B234" s="139">
        <v>18326</v>
      </c>
      <c r="C234" s="154">
        <f t="shared" si="50"/>
        <v>1037325</v>
      </c>
      <c r="D234" s="126">
        <v>420</v>
      </c>
      <c r="E234" s="126">
        <f t="shared" si="37"/>
        <v>27488</v>
      </c>
      <c r="F234" s="126">
        <f t="shared" si="36"/>
        <v>10873</v>
      </c>
      <c r="G234" s="154">
        <v>840520</v>
      </c>
      <c r="H234" s="126">
        <v>4573</v>
      </c>
      <c r="I234" s="126">
        <v>38340</v>
      </c>
      <c r="J234" s="4">
        <f t="shared" ref="J234:J297" si="52">J235-I235</f>
        <v>2434409</v>
      </c>
      <c r="K234" s="7">
        <v>1753</v>
      </c>
      <c r="L234" s="7">
        <v>1314443</v>
      </c>
      <c r="M234" s="7">
        <f>K234+L234</f>
        <v>1316196</v>
      </c>
      <c r="N234" s="4">
        <v>8552</v>
      </c>
      <c r="O234" s="4">
        <v>202216</v>
      </c>
      <c r="P234" s="4">
        <v>702103</v>
      </c>
      <c r="Q234" s="12">
        <f>C234-N234-O234-P234</f>
        <v>124454</v>
      </c>
      <c r="R234" s="96">
        <f t="shared" si="47"/>
        <v>169317</v>
      </c>
      <c r="S234" s="35">
        <f t="shared" si="49"/>
        <v>2.7008510663430133E-2</v>
      </c>
      <c r="T234" s="28">
        <f t="shared" si="51"/>
        <v>3.5931932204098814E-2</v>
      </c>
      <c r="U234" s="68"/>
      <c r="V234" s="196"/>
    </row>
    <row r="235" spans="1:22" x14ac:dyDescent="0.25">
      <c r="A235" s="74">
        <v>44126</v>
      </c>
      <c r="B235" s="126">
        <v>16325</v>
      </c>
      <c r="C235" s="154">
        <f t="shared" si="50"/>
        <v>1053650</v>
      </c>
      <c r="D235" s="124">
        <v>435</v>
      </c>
      <c r="E235" s="126">
        <f t="shared" si="37"/>
        <v>27923</v>
      </c>
      <c r="F235" s="126">
        <f t="shared" si="36"/>
        <v>11334</v>
      </c>
      <c r="G235" s="148">
        <v>851854</v>
      </c>
      <c r="H235" s="124">
        <v>4611</v>
      </c>
      <c r="I235" s="124">
        <v>39196</v>
      </c>
      <c r="J235" s="4">
        <f t="shared" si="52"/>
        <v>2473605</v>
      </c>
      <c r="K235" s="95">
        <v>1832</v>
      </c>
      <c r="L235" s="95">
        <v>1332741</v>
      </c>
      <c r="M235" s="95">
        <f>L235+K235</f>
        <v>1334573</v>
      </c>
      <c r="N235" s="95">
        <v>8614</v>
      </c>
      <c r="O235" s="95">
        <v>205085</v>
      </c>
      <c r="P235" s="95">
        <v>714929</v>
      </c>
      <c r="Q235" s="95">
        <f>C235-N235-O235-P235</f>
        <v>125022</v>
      </c>
      <c r="R235" s="96">
        <f t="shared" si="47"/>
        <v>173873</v>
      </c>
      <c r="S235" s="35">
        <f t="shared" si="49"/>
        <v>2.6519356081737819E-2</v>
      </c>
      <c r="T235" s="28">
        <f t="shared" si="51"/>
        <v>3.5812997233512334E-2</v>
      </c>
      <c r="U235" s="68"/>
      <c r="V235" s="196"/>
    </row>
    <row r="236" spans="1:22" x14ac:dyDescent="0.25">
      <c r="A236" s="74">
        <v>44127</v>
      </c>
      <c r="B236" s="126">
        <v>15718</v>
      </c>
      <c r="C236" s="154">
        <f t="shared" si="50"/>
        <v>1069368</v>
      </c>
      <c r="D236" s="124">
        <v>380</v>
      </c>
      <c r="E236" s="126">
        <f t="shared" si="37"/>
        <v>28303</v>
      </c>
      <c r="F236" s="126">
        <f t="shared" si="36"/>
        <v>14841</v>
      </c>
      <c r="G236" s="148">
        <v>866695</v>
      </c>
      <c r="H236" s="124">
        <v>4696</v>
      </c>
      <c r="I236" s="124">
        <v>35671</v>
      </c>
      <c r="J236" s="4">
        <f t="shared" si="52"/>
        <v>2509276</v>
      </c>
      <c r="K236" s="95">
        <v>1839</v>
      </c>
      <c r="L236" s="95">
        <v>1348372</v>
      </c>
      <c r="M236" s="95">
        <f t="shared" ref="M236:M299" si="53">L236+K236</f>
        <v>1350211</v>
      </c>
      <c r="N236" s="95">
        <v>8671</v>
      </c>
      <c r="O236" s="97">
        <v>208116</v>
      </c>
      <c r="P236" s="97">
        <v>727467</v>
      </c>
      <c r="Q236" s="95">
        <f t="shared" ref="Q236:Q299" si="54">C236-N236-O236-P236</f>
        <v>125114</v>
      </c>
      <c r="R236" s="96">
        <f t="shared" si="47"/>
        <v>174370</v>
      </c>
      <c r="S236" s="35">
        <f t="shared" si="49"/>
        <v>2.6931238171703849E-2</v>
      </c>
      <c r="T236" s="28">
        <f t="shared" si="51"/>
        <v>3.578952426474865E-2</v>
      </c>
      <c r="U236" s="68"/>
      <c r="V236" s="196"/>
    </row>
    <row r="237" spans="1:22" x14ac:dyDescent="0.25">
      <c r="A237" s="74">
        <v>44128</v>
      </c>
      <c r="B237" s="126">
        <v>11968</v>
      </c>
      <c r="C237" s="154">
        <f t="shared" si="50"/>
        <v>1081336</v>
      </c>
      <c r="D237" s="124">
        <v>273</v>
      </c>
      <c r="E237" s="126">
        <f t="shared" si="37"/>
        <v>28576</v>
      </c>
      <c r="F237" s="126">
        <f t="shared" si="36"/>
        <v>14418</v>
      </c>
      <c r="G237" s="148">
        <v>881113</v>
      </c>
      <c r="H237" s="124">
        <v>4850</v>
      </c>
      <c r="I237" s="124">
        <v>27027</v>
      </c>
      <c r="J237" s="4">
        <f t="shared" si="52"/>
        <v>2536303</v>
      </c>
      <c r="K237" s="95">
        <v>1868</v>
      </c>
      <c r="L237" s="95">
        <v>1359984</v>
      </c>
      <c r="M237" s="95">
        <f t="shared" si="53"/>
        <v>1361852</v>
      </c>
      <c r="N237" s="95">
        <v>8708</v>
      </c>
      <c r="O237" s="97">
        <v>210053</v>
      </c>
      <c r="P237" s="97">
        <v>735763</v>
      </c>
      <c r="Q237" s="95">
        <f t="shared" si="54"/>
        <v>126812</v>
      </c>
      <c r="R237" s="96">
        <f t="shared" si="47"/>
        <v>171647</v>
      </c>
      <c r="S237" s="35">
        <f t="shared" si="49"/>
        <v>2.8255664241146072E-2</v>
      </c>
      <c r="T237" s="28">
        <f t="shared" si="51"/>
        <v>3.5787728275761876E-2</v>
      </c>
      <c r="U237" s="68"/>
      <c r="V237" s="196"/>
    </row>
    <row r="238" spans="1:22" x14ac:dyDescent="0.25">
      <c r="A238" s="74">
        <v>44129</v>
      </c>
      <c r="B238" s="126">
        <v>9253</v>
      </c>
      <c r="C238" s="154">
        <f t="shared" si="50"/>
        <v>1090589</v>
      </c>
      <c r="D238" s="124">
        <v>282</v>
      </c>
      <c r="E238" s="126">
        <f t="shared" si="37"/>
        <v>28858</v>
      </c>
      <c r="F238" s="126">
        <f t="shared" si="36"/>
        <v>13706</v>
      </c>
      <c r="G238" s="148">
        <v>894819</v>
      </c>
      <c r="H238" s="124">
        <v>4863</v>
      </c>
      <c r="I238" s="124">
        <v>20303</v>
      </c>
      <c r="J238" s="4">
        <f t="shared" si="52"/>
        <v>2556606</v>
      </c>
      <c r="K238" s="95">
        <v>1904</v>
      </c>
      <c r="L238" s="95">
        <v>1367953</v>
      </c>
      <c r="M238" s="95">
        <f t="shared" si="53"/>
        <v>1369857</v>
      </c>
      <c r="N238" s="95">
        <v>8749</v>
      </c>
      <c r="O238" s="95">
        <v>211123</v>
      </c>
      <c r="P238" s="95">
        <v>741313</v>
      </c>
      <c r="Q238" s="95">
        <f t="shared" si="54"/>
        <v>129404</v>
      </c>
      <c r="R238" s="96">
        <f t="shared" si="47"/>
        <v>166912</v>
      </c>
      <c r="S238" s="35">
        <f t="shared" si="49"/>
        <v>2.9135113113496931E-2</v>
      </c>
      <c r="T238" s="28">
        <f t="shared" si="51"/>
        <v>3.5639128201074927E-2</v>
      </c>
      <c r="U238" s="68"/>
      <c r="V238" s="196"/>
    </row>
    <row r="239" spans="1:22" x14ac:dyDescent="0.25">
      <c r="A239" s="74">
        <v>44130</v>
      </c>
      <c r="B239" s="126">
        <v>11712</v>
      </c>
      <c r="C239" s="154">
        <f t="shared" si="50"/>
        <v>1102301</v>
      </c>
      <c r="D239" s="124">
        <v>405</v>
      </c>
      <c r="E239" s="126">
        <f t="shared" si="37"/>
        <v>29263</v>
      </c>
      <c r="F239" s="126">
        <f t="shared" si="36"/>
        <v>14767</v>
      </c>
      <c r="G239" s="148">
        <v>909586</v>
      </c>
      <c r="H239" s="124">
        <v>5038</v>
      </c>
      <c r="I239" s="124">
        <v>26448</v>
      </c>
      <c r="J239" s="4">
        <f t="shared" si="52"/>
        <v>2583054</v>
      </c>
      <c r="K239" s="95">
        <v>1956</v>
      </c>
      <c r="L239" s="95">
        <v>1378916</v>
      </c>
      <c r="M239" s="95">
        <f t="shared" si="53"/>
        <v>1380872</v>
      </c>
      <c r="N239" s="97">
        <v>8816</v>
      </c>
      <c r="O239" s="97">
        <v>213578</v>
      </c>
      <c r="P239" s="97">
        <v>753406</v>
      </c>
      <c r="Q239" s="95">
        <f t="shared" si="54"/>
        <v>126501</v>
      </c>
      <c r="R239" s="96">
        <f t="shared" si="47"/>
        <v>163452</v>
      </c>
      <c r="S239" s="35">
        <f t="shared" si="49"/>
        <v>3.0822504466142965E-2</v>
      </c>
      <c r="T239" s="28">
        <f t="shared" si="51"/>
        <v>3.5493190760587434E-2</v>
      </c>
      <c r="U239" s="68"/>
      <c r="V239" s="196"/>
    </row>
    <row r="240" spans="1:22" x14ac:dyDescent="0.25">
      <c r="A240" s="74">
        <v>44131</v>
      </c>
      <c r="B240" s="126">
        <v>14308</v>
      </c>
      <c r="C240" s="154">
        <f t="shared" si="50"/>
        <v>1116609</v>
      </c>
      <c r="D240" s="124">
        <v>429</v>
      </c>
      <c r="E240" s="126">
        <f t="shared" si="37"/>
        <v>29692</v>
      </c>
      <c r="F240" s="126">
        <f t="shared" si="36"/>
        <v>11758</v>
      </c>
      <c r="G240" s="148">
        <v>921344</v>
      </c>
      <c r="H240" s="124">
        <v>4952</v>
      </c>
      <c r="I240" s="124">
        <v>32847</v>
      </c>
      <c r="J240" s="4">
        <f t="shared" si="52"/>
        <v>2615901</v>
      </c>
      <c r="K240" s="95">
        <v>2043</v>
      </c>
      <c r="L240" s="95">
        <v>1392805</v>
      </c>
      <c r="M240" s="95">
        <f t="shared" si="53"/>
        <v>1394848</v>
      </c>
      <c r="N240" s="95">
        <v>8868</v>
      </c>
      <c r="O240" s="95">
        <v>216480</v>
      </c>
      <c r="P240" s="95">
        <v>765831</v>
      </c>
      <c r="Q240" s="95">
        <f t="shared" si="54"/>
        <v>125430</v>
      </c>
      <c r="R240" s="96">
        <f t="shared" si="47"/>
        <v>165573</v>
      </c>
      <c r="S240" s="35">
        <f t="shared" si="49"/>
        <v>2.9908257988923315E-2</v>
      </c>
      <c r="T240" s="28">
        <f t="shared" si="51"/>
        <v>3.5309157287002846E-2</v>
      </c>
      <c r="U240" s="68"/>
      <c r="V240" s="196"/>
    </row>
    <row r="241" spans="1:24" x14ac:dyDescent="0.25">
      <c r="A241" s="74">
        <v>44132</v>
      </c>
      <c r="B241" s="126">
        <v>13924</v>
      </c>
      <c r="C241" s="154">
        <f t="shared" si="50"/>
        <v>1130533</v>
      </c>
      <c r="D241" s="124">
        <v>343</v>
      </c>
      <c r="E241" s="126">
        <f t="shared" si="37"/>
        <v>30035</v>
      </c>
      <c r="F241" s="126">
        <f t="shared" si="36"/>
        <v>9803</v>
      </c>
      <c r="G241" s="148">
        <v>931147</v>
      </c>
      <c r="H241" s="124">
        <v>5037</v>
      </c>
      <c r="I241" s="124">
        <v>32827</v>
      </c>
      <c r="J241" s="4">
        <f t="shared" si="52"/>
        <v>2648728</v>
      </c>
      <c r="K241" s="95">
        <v>2109</v>
      </c>
      <c r="L241" s="95">
        <v>1406416</v>
      </c>
      <c r="M241" s="95">
        <f t="shared" si="53"/>
        <v>1408525</v>
      </c>
      <c r="N241" s="97">
        <v>8959</v>
      </c>
      <c r="O241" s="97">
        <v>219233</v>
      </c>
      <c r="P241" s="97">
        <v>777424</v>
      </c>
      <c r="Q241" s="95">
        <f t="shared" si="54"/>
        <v>124917</v>
      </c>
      <c r="R241" s="96">
        <f t="shared" si="47"/>
        <v>169351</v>
      </c>
      <c r="S241" s="35">
        <f t="shared" si="49"/>
        <v>2.9742959888043177E-2</v>
      </c>
      <c r="T241" s="28">
        <f t="shared" si="51"/>
        <v>3.5072497953569079E-2</v>
      </c>
      <c r="U241" s="68"/>
      <c r="V241" s="196"/>
      <c r="W241" s="42"/>
      <c r="X241" s="101"/>
    </row>
    <row r="242" spans="1:24" x14ac:dyDescent="0.25">
      <c r="A242" s="74">
        <v>44133</v>
      </c>
      <c r="B242" s="126">
        <v>13267</v>
      </c>
      <c r="C242" s="154">
        <f>C241+B242</f>
        <v>1143800</v>
      </c>
      <c r="D242" s="124">
        <v>370</v>
      </c>
      <c r="E242" s="126">
        <f t="shared" si="37"/>
        <v>30405</v>
      </c>
      <c r="F242" s="126">
        <f t="shared" si="36"/>
        <v>14987</v>
      </c>
      <c r="G242" s="148">
        <v>946134</v>
      </c>
      <c r="H242" s="124">
        <v>4981</v>
      </c>
      <c r="I242" s="124">
        <v>31568</v>
      </c>
      <c r="J242" s="4">
        <f t="shared" si="52"/>
        <v>2680296</v>
      </c>
      <c r="K242" s="95">
        <v>2160</v>
      </c>
      <c r="L242" s="95">
        <v>1420288</v>
      </c>
      <c r="M242" s="95">
        <f t="shared" si="53"/>
        <v>1422448</v>
      </c>
      <c r="N242" s="95">
        <v>9010</v>
      </c>
      <c r="O242" s="95">
        <v>221851</v>
      </c>
      <c r="P242" s="95">
        <v>788337</v>
      </c>
      <c r="Q242" s="95">
        <f t="shared" si="54"/>
        <v>124602</v>
      </c>
      <c r="R242" s="96">
        <f t="shared" si="47"/>
        <v>167261</v>
      </c>
      <c r="S242" s="35">
        <f t="shared" si="49"/>
        <v>2.9779805214604719E-2</v>
      </c>
      <c r="T242" s="28">
        <f t="shared" si="51"/>
        <v>3.4889405003970315E-2</v>
      </c>
      <c r="U242" s="68"/>
      <c r="V242" s="196"/>
      <c r="W242" s="42"/>
      <c r="X242" s="101"/>
    </row>
    <row r="243" spans="1:24" x14ac:dyDescent="0.25">
      <c r="A243" s="74">
        <v>44134</v>
      </c>
      <c r="B243" s="126">
        <v>13379</v>
      </c>
      <c r="C243" s="154">
        <f>C242+B243</f>
        <v>1157179</v>
      </c>
      <c r="D243" s="124">
        <v>350</v>
      </c>
      <c r="E243" s="126">
        <f t="shared" si="37"/>
        <v>30755</v>
      </c>
      <c r="F243" s="126">
        <f t="shared" si="36"/>
        <v>14967</v>
      </c>
      <c r="G243" s="148">
        <v>961101</v>
      </c>
      <c r="H243" s="124">
        <v>4981</v>
      </c>
      <c r="I243" s="124">
        <v>32761</v>
      </c>
      <c r="J243" s="4">
        <f t="shared" si="52"/>
        <v>2713057</v>
      </c>
      <c r="K243" s="95">
        <v>2198</v>
      </c>
      <c r="L243" s="95">
        <v>1435121</v>
      </c>
      <c r="M243" s="95">
        <f t="shared" si="53"/>
        <v>1437319</v>
      </c>
      <c r="N243" s="95">
        <v>9073</v>
      </c>
      <c r="O243" s="95">
        <v>224367</v>
      </c>
      <c r="P243" s="95">
        <v>799735</v>
      </c>
      <c r="Q243" s="95">
        <f t="shared" si="54"/>
        <v>124004</v>
      </c>
      <c r="R243" s="96">
        <f t="shared" si="47"/>
        <v>165323</v>
      </c>
      <c r="S243" s="35">
        <f t="shared" si="49"/>
        <v>3.0128899185231334E-2</v>
      </c>
      <c r="T243" s="28">
        <f t="shared" si="51"/>
        <v>3.4795368612552356E-2</v>
      </c>
      <c r="U243" s="68"/>
      <c r="V243" s="196"/>
      <c r="W243" s="42"/>
      <c r="X243" s="101"/>
    </row>
    <row r="244" spans="1:24" x14ac:dyDescent="0.25">
      <c r="A244" s="105">
        <v>44135</v>
      </c>
      <c r="B244" s="126">
        <v>9745</v>
      </c>
      <c r="C244" s="154">
        <f t="shared" ref="C244:C256" si="55">C243+B244</f>
        <v>1166924</v>
      </c>
      <c r="D244" s="124">
        <v>209</v>
      </c>
      <c r="E244" s="126">
        <f t="shared" si="37"/>
        <v>30964</v>
      </c>
      <c r="F244" s="126">
        <f t="shared" si="36"/>
        <v>12838</v>
      </c>
      <c r="G244" s="148">
        <v>973939</v>
      </c>
      <c r="H244" s="124">
        <v>4969</v>
      </c>
      <c r="I244" s="124">
        <v>26699</v>
      </c>
      <c r="J244" s="4">
        <f t="shared" si="52"/>
        <v>2739756</v>
      </c>
      <c r="K244" s="97">
        <v>2357</v>
      </c>
      <c r="L244" s="98">
        <v>1447945</v>
      </c>
      <c r="M244" s="95">
        <f t="shared" si="53"/>
        <v>1450302</v>
      </c>
      <c r="N244" s="97">
        <v>9103</v>
      </c>
      <c r="O244" s="97">
        <v>225845</v>
      </c>
      <c r="P244" s="97">
        <v>808139</v>
      </c>
      <c r="Q244" s="95">
        <f t="shared" si="54"/>
        <v>123837</v>
      </c>
      <c r="R244" s="96">
        <f t="shared" si="47"/>
        <v>162021</v>
      </c>
      <c r="S244" s="35">
        <f t="shared" si="49"/>
        <v>3.0668863912702675E-2</v>
      </c>
      <c r="T244" s="28">
        <f t="shared" si="51"/>
        <v>3.462736774300329E-2</v>
      </c>
      <c r="U244" s="68"/>
      <c r="V244" s="196"/>
      <c r="W244" s="42"/>
      <c r="X244" s="101"/>
    </row>
    <row r="245" spans="1:24" x14ac:dyDescent="0.25">
      <c r="A245" s="105">
        <v>44136</v>
      </c>
      <c r="B245" s="126">
        <v>6609</v>
      </c>
      <c r="C245" s="154">
        <f t="shared" si="55"/>
        <v>1173533</v>
      </c>
      <c r="D245" s="124">
        <v>139</v>
      </c>
      <c r="E245" s="126">
        <f t="shared" si="37"/>
        <v>31103</v>
      </c>
      <c r="F245" s="126">
        <f t="shared" si="36"/>
        <v>11377</v>
      </c>
      <c r="G245" s="148">
        <v>985316</v>
      </c>
      <c r="H245" s="124">
        <v>5119</v>
      </c>
      <c r="I245" s="124">
        <v>15645</v>
      </c>
      <c r="J245" s="4">
        <f t="shared" si="52"/>
        <v>2755401</v>
      </c>
      <c r="K245" s="97">
        <v>2393</v>
      </c>
      <c r="L245" s="97">
        <v>1455146</v>
      </c>
      <c r="M245" s="95">
        <f t="shared" si="53"/>
        <v>1457539</v>
      </c>
      <c r="N245" s="97">
        <v>9123</v>
      </c>
      <c r="O245" s="97">
        <v>226864</v>
      </c>
      <c r="P245" s="97">
        <v>813376</v>
      </c>
      <c r="Q245" s="95">
        <f t="shared" si="54"/>
        <v>124170</v>
      </c>
      <c r="R245" s="96">
        <f t="shared" si="47"/>
        <v>157114</v>
      </c>
      <c r="S245" s="35">
        <f t="shared" si="49"/>
        <v>3.258143768219255E-2</v>
      </c>
      <c r="T245" s="28">
        <f t="shared" si="51"/>
        <v>3.4416252641828862E-2</v>
      </c>
      <c r="U245" s="68"/>
      <c r="V245" s="196"/>
      <c r="W245" s="42"/>
      <c r="X245" s="101"/>
    </row>
    <row r="246" spans="1:24" x14ac:dyDescent="0.25">
      <c r="A246" s="74">
        <v>44137</v>
      </c>
      <c r="B246" s="126">
        <v>9598</v>
      </c>
      <c r="C246" s="154">
        <f t="shared" si="55"/>
        <v>1183131</v>
      </c>
      <c r="D246" s="124">
        <v>478</v>
      </c>
      <c r="E246" s="126">
        <f t="shared" si="37"/>
        <v>31581</v>
      </c>
      <c r="F246" s="126">
        <f t="shared" si="36"/>
        <v>12700</v>
      </c>
      <c r="G246" s="148">
        <v>998016</v>
      </c>
      <c r="H246" s="124">
        <v>4992</v>
      </c>
      <c r="I246" s="124">
        <v>249864</v>
      </c>
      <c r="J246" s="4">
        <f t="shared" si="52"/>
        <v>3005265</v>
      </c>
      <c r="K246" s="97">
        <v>2514</v>
      </c>
      <c r="L246" s="97">
        <v>1467420</v>
      </c>
      <c r="M246" s="95">
        <f t="shared" si="53"/>
        <v>1469934</v>
      </c>
      <c r="N246" s="97">
        <v>9159</v>
      </c>
      <c r="O246" s="97">
        <v>229301</v>
      </c>
      <c r="P246" s="97">
        <v>822808</v>
      </c>
      <c r="Q246" s="95">
        <f t="shared" si="54"/>
        <v>121863</v>
      </c>
      <c r="R246" s="96">
        <f t="shared" si="47"/>
        <v>153534</v>
      </c>
      <c r="S246" s="8">
        <f t="shared" ref="S246:S252" si="56">H246-H245</f>
        <v>-127</v>
      </c>
      <c r="T246" s="4"/>
      <c r="U246" s="68"/>
      <c r="V246" s="196"/>
      <c r="W246" s="42"/>
      <c r="X246" s="101"/>
    </row>
    <row r="247" spans="1:24" x14ac:dyDescent="0.25">
      <c r="A247" s="74">
        <v>44138</v>
      </c>
      <c r="B247" s="126">
        <v>12145</v>
      </c>
      <c r="C247" s="154">
        <f t="shared" si="55"/>
        <v>1195276</v>
      </c>
      <c r="D247" s="124">
        <v>429</v>
      </c>
      <c r="E247" s="126">
        <f t="shared" si="37"/>
        <v>32010</v>
      </c>
      <c r="F247" s="126">
        <f t="shared" si="36"/>
        <v>11262</v>
      </c>
      <c r="G247" s="148">
        <v>1009278</v>
      </c>
      <c r="H247" s="124">
        <v>4854</v>
      </c>
      <c r="I247" s="124">
        <v>30999</v>
      </c>
      <c r="J247" s="4">
        <f t="shared" si="52"/>
        <v>3036264</v>
      </c>
      <c r="K247" s="97">
        <v>2583</v>
      </c>
      <c r="L247" s="97">
        <v>1482833</v>
      </c>
      <c r="M247" s="95">
        <f t="shared" si="53"/>
        <v>1485416</v>
      </c>
      <c r="N247" s="97">
        <v>9211</v>
      </c>
      <c r="O247" s="97">
        <v>232229</v>
      </c>
      <c r="P247" s="97">
        <v>832741</v>
      </c>
      <c r="Q247" s="95">
        <f t="shared" si="54"/>
        <v>121095</v>
      </c>
      <c r="R247" s="96">
        <f t="shared" si="47"/>
        <v>153988</v>
      </c>
      <c r="S247" s="8">
        <f t="shared" si="56"/>
        <v>-138</v>
      </c>
      <c r="T247" s="4"/>
      <c r="U247" s="68"/>
      <c r="V247" s="196"/>
      <c r="W247" s="42"/>
      <c r="X247" s="101"/>
    </row>
    <row r="248" spans="1:24" x14ac:dyDescent="0.25">
      <c r="A248" s="74">
        <v>44139</v>
      </c>
      <c r="B248" s="126">
        <v>10652</v>
      </c>
      <c r="C248" s="154">
        <f t="shared" si="55"/>
        <v>1205928</v>
      </c>
      <c r="D248" s="124">
        <v>465</v>
      </c>
      <c r="E248" s="126">
        <f t="shared" si="37"/>
        <v>32475</v>
      </c>
      <c r="F248" s="126">
        <f t="shared" si="36"/>
        <v>8369</v>
      </c>
      <c r="G248" s="148">
        <v>1017647</v>
      </c>
      <c r="H248" s="124">
        <v>4816</v>
      </c>
      <c r="I248" s="124">
        <v>36435</v>
      </c>
      <c r="J248" s="4">
        <f t="shared" si="52"/>
        <v>3072699</v>
      </c>
      <c r="K248" s="97">
        <v>2640</v>
      </c>
      <c r="L248" s="97">
        <v>1503103</v>
      </c>
      <c r="M248" s="95">
        <f t="shared" si="53"/>
        <v>1505743</v>
      </c>
      <c r="N248" s="97">
        <v>9251</v>
      </c>
      <c r="O248" s="97">
        <v>234718</v>
      </c>
      <c r="P248" s="97">
        <v>842950</v>
      </c>
      <c r="Q248" s="95">
        <f t="shared" si="54"/>
        <v>119009</v>
      </c>
      <c r="R248" s="96">
        <f t="shared" ref="R248:R309" si="57">C248-E248-G248</f>
        <v>155806</v>
      </c>
      <c r="S248" s="39">
        <f t="shared" si="56"/>
        <v>-38</v>
      </c>
      <c r="T248" s="4"/>
      <c r="U248" s="68"/>
      <c r="V248" s="196"/>
      <c r="W248" s="42"/>
      <c r="X248" s="101"/>
    </row>
    <row r="249" spans="1:24" x14ac:dyDescent="0.25">
      <c r="A249" s="74">
        <v>44140</v>
      </c>
      <c r="B249" s="126">
        <v>11100</v>
      </c>
      <c r="C249" s="154">
        <f t="shared" si="55"/>
        <v>1217028</v>
      </c>
      <c r="D249" s="124">
        <v>247</v>
      </c>
      <c r="E249" s="126">
        <f t="shared" si="37"/>
        <v>32722</v>
      </c>
      <c r="F249" s="126">
        <f t="shared" si="36"/>
        <v>12490</v>
      </c>
      <c r="G249" s="148">
        <v>1030137</v>
      </c>
      <c r="H249" s="124">
        <v>4713</v>
      </c>
      <c r="I249" s="124">
        <v>28900</v>
      </c>
      <c r="J249" s="4">
        <f t="shared" si="52"/>
        <v>3101599</v>
      </c>
      <c r="K249" s="97">
        <v>2667</v>
      </c>
      <c r="L249" s="97">
        <v>1516132</v>
      </c>
      <c r="M249" s="95">
        <f t="shared" si="53"/>
        <v>1518799</v>
      </c>
      <c r="N249" s="97">
        <v>9294</v>
      </c>
      <c r="O249" s="97">
        <v>237018</v>
      </c>
      <c r="P249" s="97">
        <v>851916</v>
      </c>
      <c r="Q249" s="95">
        <f t="shared" si="54"/>
        <v>118800</v>
      </c>
      <c r="R249" s="96">
        <f t="shared" si="57"/>
        <v>154169</v>
      </c>
      <c r="S249" s="39">
        <f t="shared" si="56"/>
        <v>-103</v>
      </c>
      <c r="T249" s="4"/>
      <c r="U249" s="68"/>
      <c r="V249" s="196"/>
      <c r="W249" s="42"/>
      <c r="X249" s="101"/>
    </row>
    <row r="250" spans="1:24" x14ac:dyDescent="0.25">
      <c r="A250" s="74">
        <v>44141</v>
      </c>
      <c r="B250" s="126">
        <v>11786</v>
      </c>
      <c r="C250" s="154">
        <f t="shared" si="55"/>
        <v>1228814</v>
      </c>
      <c r="D250" s="124">
        <v>369</v>
      </c>
      <c r="E250" s="126">
        <f t="shared" si="37"/>
        <v>33091</v>
      </c>
      <c r="F250" s="126">
        <f t="shared" si="36"/>
        <v>12100</v>
      </c>
      <c r="G250" s="148">
        <v>1042237</v>
      </c>
      <c r="H250" s="124">
        <v>4666</v>
      </c>
      <c r="I250" s="124">
        <v>34727</v>
      </c>
      <c r="J250" s="4">
        <f t="shared" si="52"/>
        <v>3136326</v>
      </c>
      <c r="K250" s="97">
        <v>2702</v>
      </c>
      <c r="L250" s="97">
        <v>1534460</v>
      </c>
      <c r="M250" s="95">
        <f t="shared" si="53"/>
        <v>1537162</v>
      </c>
      <c r="N250" s="97">
        <v>9349</v>
      </c>
      <c r="O250" s="97">
        <v>239488</v>
      </c>
      <c r="P250" s="97">
        <v>861070</v>
      </c>
      <c r="Q250" s="95">
        <f t="shared" si="54"/>
        <v>118907</v>
      </c>
      <c r="R250" s="96">
        <f t="shared" si="57"/>
        <v>153486</v>
      </c>
      <c r="S250" s="39">
        <f t="shared" si="56"/>
        <v>-47</v>
      </c>
      <c r="T250" s="4"/>
      <c r="U250" s="68"/>
      <c r="V250" s="196"/>
      <c r="W250" s="42"/>
      <c r="X250" s="101"/>
    </row>
    <row r="251" spans="1:24" x14ac:dyDescent="0.25">
      <c r="A251" s="105">
        <v>44142</v>
      </c>
      <c r="B251" s="126">
        <v>8037</v>
      </c>
      <c r="C251" s="154">
        <f t="shared" si="55"/>
        <v>1236851</v>
      </c>
      <c r="D251" s="124">
        <v>213</v>
      </c>
      <c r="E251" s="126">
        <f t="shared" si="37"/>
        <v>33304</v>
      </c>
      <c r="F251" s="126">
        <f t="shared" si="36"/>
        <v>11076</v>
      </c>
      <c r="G251" s="148">
        <v>1053313</v>
      </c>
      <c r="H251" s="124">
        <v>4593</v>
      </c>
      <c r="I251" s="124">
        <v>37062</v>
      </c>
      <c r="J251" s="4">
        <f t="shared" si="52"/>
        <v>3173388</v>
      </c>
      <c r="K251" s="97">
        <v>2727</v>
      </c>
      <c r="L251" s="97">
        <v>1559126</v>
      </c>
      <c r="M251" s="95">
        <f t="shared" si="53"/>
        <v>1561853</v>
      </c>
      <c r="N251" s="97">
        <v>9387</v>
      </c>
      <c r="O251" s="97">
        <v>240865</v>
      </c>
      <c r="P251" s="97">
        <v>866690</v>
      </c>
      <c r="Q251" s="95">
        <f t="shared" si="54"/>
        <v>119909</v>
      </c>
      <c r="R251" s="96">
        <f t="shared" si="57"/>
        <v>150234</v>
      </c>
      <c r="S251" s="39">
        <f t="shared" si="56"/>
        <v>-73</v>
      </c>
      <c r="T251" s="4"/>
      <c r="U251" s="68"/>
      <c r="V251" s="196"/>
      <c r="W251" s="42"/>
      <c r="X251" s="101"/>
    </row>
    <row r="252" spans="1:24" x14ac:dyDescent="0.25">
      <c r="A252" s="105">
        <v>44143</v>
      </c>
      <c r="B252" s="126">
        <v>5331</v>
      </c>
      <c r="C252" s="154">
        <f t="shared" si="55"/>
        <v>1242182</v>
      </c>
      <c r="D252" s="124">
        <v>211</v>
      </c>
      <c r="E252" s="126">
        <f t="shared" si="37"/>
        <v>33515</v>
      </c>
      <c r="F252" s="126">
        <f t="shared" si="36"/>
        <v>9598</v>
      </c>
      <c r="G252" s="148">
        <v>1062911</v>
      </c>
      <c r="H252" s="124">
        <v>4608</v>
      </c>
      <c r="I252" s="124">
        <v>14025</v>
      </c>
      <c r="J252" s="4">
        <f t="shared" si="52"/>
        <v>3187413</v>
      </c>
      <c r="K252" s="97">
        <v>2760</v>
      </c>
      <c r="L252" s="97">
        <v>1566231</v>
      </c>
      <c r="M252" s="95">
        <f t="shared" si="53"/>
        <v>1568991</v>
      </c>
      <c r="N252" s="97">
        <v>9403</v>
      </c>
      <c r="O252" s="97">
        <v>241673</v>
      </c>
      <c r="P252" s="97">
        <v>871132</v>
      </c>
      <c r="Q252" s="95">
        <f t="shared" si="54"/>
        <v>119974</v>
      </c>
      <c r="R252" s="96">
        <f t="shared" si="57"/>
        <v>145756</v>
      </c>
      <c r="S252" s="39">
        <f t="shared" si="56"/>
        <v>15</v>
      </c>
      <c r="T252" s="4"/>
      <c r="U252" s="68"/>
      <c r="V252" s="196"/>
      <c r="W252" s="42"/>
      <c r="X252" s="101"/>
    </row>
    <row r="253" spans="1:24" x14ac:dyDescent="0.25">
      <c r="A253" s="74">
        <v>44144</v>
      </c>
      <c r="B253" s="126">
        <v>8317</v>
      </c>
      <c r="C253" s="154">
        <f t="shared" si="55"/>
        <v>1250499</v>
      </c>
      <c r="D253" s="124">
        <v>348</v>
      </c>
      <c r="E253" s="126">
        <f t="shared" si="37"/>
        <v>33863</v>
      </c>
      <c r="F253" s="126">
        <f t="shared" si="36"/>
        <v>10666</v>
      </c>
      <c r="G253" s="148">
        <v>1073577</v>
      </c>
      <c r="H253" s="124">
        <v>4577</v>
      </c>
      <c r="I253" s="124">
        <v>29570</v>
      </c>
      <c r="J253" s="4">
        <f t="shared" si="52"/>
        <v>3216983</v>
      </c>
      <c r="K253" s="97">
        <v>2798</v>
      </c>
      <c r="L253" s="97">
        <v>1581460</v>
      </c>
      <c r="M253" s="95">
        <f t="shared" si="53"/>
        <v>1584258</v>
      </c>
      <c r="N253" s="97">
        <v>9444</v>
      </c>
      <c r="O253" s="97">
        <v>243982</v>
      </c>
      <c r="P253" s="97">
        <v>878724</v>
      </c>
      <c r="Q253" s="95">
        <f t="shared" si="54"/>
        <v>118349</v>
      </c>
      <c r="R253" s="96">
        <f t="shared" si="57"/>
        <v>143059</v>
      </c>
      <c r="S253" s="39">
        <f t="shared" ref="S253:S261" si="58">H253-H252</f>
        <v>-31</v>
      </c>
      <c r="T253" s="4"/>
      <c r="U253" s="68"/>
      <c r="V253" s="196"/>
      <c r="W253" s="42"/>
      <c r="X253" s="101"/>
    </row>
    <row r="254" spans="1:24" x14ac:dyDescent="0.25">
      <c r="A254" s="74">
        <v>44145</v>
      </c>
      <c r="B254" s="126">
        <v>11977</v>
      </c>
      <c r="C254" s="154">
        <f t="shared" si="55"/>
        <v>1262476</v>
      </c>
      <c r="D254" s="126">
        <v>279</v>
      </c>
      <c r="E254" s="126">
        <f t="shared" si="37"/>
        <v>34142</v>
      </c>
      <c r="F254" s="126">
        <f t="shared" si="36"/>
        <v>8320</v>
      </c>
      <c r="G254" s="148">
        <v>1081897</v>
      </c>
      <c r="H254" s="126">
        <v>4494</v>
      </c>
      <c r="I254" s="126">
        <v>31535</v>
      </c>
      <c r="J254" s="4">
        <f t="shared" si="52"/>
        <v>3248518</v>
      </c>
      <c r="K254" s="7">
        <v>2879</v>
      </c>
      <c r="L254" s="7">
        <v>1599337</v>
      </c>
      <c r="M254" s="100">
        <f t="shared" si="53"/>
        <v>1602216</v>
      </c>
      <c r="N254" s="27">
        <v>9481</v>
      </c>
      <c r="O254" s="27">
        <v>246898</v>
      </c>
      <c r="P254" s="27">
        <v>885833</v>
      </c>
      <c r="Q254" s="100">
        <f t="shared" si="54"/>
        <v>120264</v>
      </c>
      <c r="R254" s="96">
        <f t="shared" si="57"/>
        <v>146437</v>
      </c>
      <c r="S254" s="67">
        <f t="shared" si="58"/>
        <v>-83</v>
      </c>
      <c r="T254" s="4"/>
      <c r="U254" s="68"/>
      <c r="V254" s="196"/>
      <c r="W254" s="42"/>
      <c r="X254" s="101"/>
    </row>
    <row r="255" spans="1:24" x14ac:dyDescent="0.25">
      <c r="A255" s="74">
        <v>44146</v>
      </c>
      <c r="B255" s="126">
        <v>10880</v>
      </c>
      <c r="C255" s="154">
        <f t="shared" si="55"/>
        <v>1273356</v>
      </c>
      <c r="D255" s="126">
        <v>348</v>
      </c>
      <c r="E255" s="126">
        <f t="shared" si="37"/>
        <v>34490</v>
      </c>
      <c r="F255" s="126">
        <f t="shared" si="36"/>
        <v>7632</v>
      </c>
      <c r="G255" s="154">
        <v>1089529</v>
      </c>
      <c r="H255" s="126">
        <v>4418</v>
      </c>
      <c r="I255" s="126">
        <v>56473</v>
      </c>
      <c r="J255" s="4">
        <f t="shared" si="52"/>
        <v>3304991</v>
      </c>
      <c r="K255" s="7">
        <v>2939</v>
      </c>
      <c r="L255" s="7">
        <v>1635003</v>
      </c>
      <c r="M255" s="95">
        <f t="shared" si="53"/>
        <v>1637942</v>
      </c>
      <c r="N255" s="4">
        <v>9521</v>
      </c>
      <c r="O255" s="4">
        <v>249148</v>
      </c>
      <c r="P255" s="4">
        <v>892532</v>
      </c>
      <c r="Q255" s="95">
        <f t="shared" si="54"/>
        <v>122155</v>
      </c>
      <c r="R255" s="96">
        <f t="shared" si="57"/>
        <v>149337</v>
      </c>
      <c r="S255" s="39">
        <f t="shared" si="58"/>
        <v>-76</v>
      </c>
      <c r="T255" s="4"/>
      <c r="U255" s="68"/>
      <c r="V255" s="196"/>
      <c r="W255" s="42"/>
      <c r="X255" s="101"/>
    </row>
    <row r="256" spans="1:24" x14ac:dyDescent="0.25">
      <c r="A256" s="74">
        <v>44147</v>
      </c>
      <c r="B256" s="126">
        <v>11163</v>
      </c>
      <c r="C256" s="154">
        <f t="shared" si="55"/>
        <v>1284519</v>
      </c>
      <c r="D256" s="126">
        <v>249</v>
      </c>
      <c r="E256" s="126">
        <f t="shared" si="37"/>
        <v>34739</v>
      </c>
      <c r="F256" s="126">
        <f t="shared" si="36"/>
        <v>10651</v>
      </c>
      <c r="G256" s="154">
        <v>1100180</v>
      </c>
      <c r="H256" s="126">
        <v>4397</v>
      </c>
      <c r="I256" s="126">
        <v>31520</v>
      </c>
      <c r="J256" s="4">
        <f t="shared" si="52"/>
        <v>3336511</v>
      </c>
      <c r="K256" s="7">
        <v>2991</v>
      </c>
      <c r="L256" s="7">
        <v>1655824</v>
      </c>
      <c r="M256" s="95">
        <f t="shared" si="53"/>
        <v>1658815</v>
      </c>
      <c r="N256" s="4">
        <v>9553</v>
      </c>
      <c r="O256" s="4">
        <v>251515</v>
      </c>
      <c r="P256" s="4">
        <v>901700</v>
      </c>
      <c r="Q256" s="95">
        <f t="shared" si="54"/>
        <v>121751</v>
      </c>
      <c r="R256" s="96">
        <f t="shared" si="57"/>
        <v>149600</v>
      </c>
      <c r="S256" s="39">
        <f t="shared" si="58"/>
        <v>-21</v>
      </c>
      <c r="T256" s="4"/>
      <c r="U256" s="68"/>
      <c r="V256" s="196"/>
      <c r="W256" s="42"/>
      <c r="X256" s="101"/>
    </row>
    <row r="257" spans="1:24" x14ac:dyDescent="0.25">
      <c r="A257" s="74">
        <v>44148</v>
      </c>
      <c r="B257" s="126">
        <v>11859</v>
      </c>
      <c r="C257" s="154">
        <f t="shared" ref="C257:C282" si="59">C256+B257</f>
        <v>1296378</v>
      </c>
      <c r="D257" s="126">
        <v>263</v>
      </c>
      <c r="E257" s="126">
        <f t="shared" si="37"/>
        <v>35002</v>
      </c>
      <c r="F257" s="126">
        <f t="shared" si="36"/>
        <v>10297</v>
      </c>
      <c r="G257" s="154">
        <v>1110477</v>
      </c>
      <c r="H257" s="126">
        <v>4381</v>
      </c>
      <c r="I257" s="126">
        <v>31738</v>
      </c>
      <c r="J257" s="4">
        <f t="shared" si="52"/>
        <v>3368249</v>
      </c>
      <c r="K257" s="99">
        <v>3104</v>
      </c>
      <c r="L257" s="99">
        <v>1671421</v>
      </c>
      <c r="M257" s="95">
        <f t="shared" si="53"/>
        <v>1674525</v>
      </c>
      <c r="N257" s="8">
        <v>9613</v>
      </c>
      <c r="O257" s="8">
        <v>253981</v>
      </c>
      <c r="P257" s="8">
        <v>910204</v>
      </c>
      <c r="Q257" s="95">
        <f t="shared" si="54"/>
        <v>122580</v>
      </c>
      <c r="R257" s="96">
        <f t="shared" si="57"/>
        <v>150899</v>
      </c>
      <c r="S257" s="39">
        <f t="shared" si="58"/>
        <v>-16</v>
      </c>
      <c r="T257" s="4"/>
      <c r="U257" s="68"/>
      <c r="V257" s="196"/>
      <c r="W257" s="42"/>
      <c r="X257" s="101"/>
    </row>
    <row r="258" spans="1:24" x14ac:dyDescent="0.25">
      <c r="A258" s="105">
        <v>44149</v>
      </c>
      <c r="B258" s="126">
        <v>8468</v>
      </c>
      <c r="C258" s="154">
        <f t="shared" si="59"/>
        <v>1304846</v>
      </c>
      <c r="D258" s="126">
        <v>262</v>
      </c>
      <c r="E258" s="126">
        <f t="shared" si="37"/>
        <v>35264</v>
      </c>
      <c r="F258" s="126">
        <f t="shared" si="36"/>
        <v>8889</v>
      </c>
      <c r="G258" s="154">
        <v>1119366</v>
      </c>
      <c r="H258" s="126">
        <v>4346</v>
      </c>
      <c r="I258" s="126">
        <v>25314</v>
      </c>
      <c r="J258" s="4">
        <f t="shared" si="52"/>
        <v>3393563</v>
      </c>
      <c r="K258" s="8">
        <v>3156</v>
      </c>
      <c r="L258" s="8">
        <v>1683861</v>
      </c>
      <c r="M258" s="95">
        <f t="shared" si="53"/>
        <v>1687017</v>
      </c>
      <c r="N258" s="8">
        <v>9646</v>
      </c>
      <c r="O258" s="8">
        <v>255493</v>
      </c>
      <c r="P258" s="8">
        <v>915339</v>
      </c>
      <c r="Q258" s="95">
        <f t="shared" si="54"/>
        <v>124368</v>
      </c>
      <c r="R258" s="96">
        <f t="shared" si="57"/>
        <v>150216</v>
      </c>
      <c r="S258" s="39">
        <f t="shared" si="58"/>
        <v>-35</v>
      </c>
      <c r="T258" s="4"/>
      <c r="U258" s="68"/>
      <c r="V258" s="196"/>
      <c r="W258" s="42"/>
      <c r="X258" s="101"/>
    </row>
    <row r="259" spans="1:24" x14ac:dyDescent="0.25">
      <c r="A259" s="105">
        <v>44150</v>
      </c>
      <c r="B259" s="126">
        <v>5645</v>
      </c>
      <c r="C259" s="154">
        <f t="shared" si="59"/>
        <v>1310491</v>
      </c>
      <c r="D259" s="126">
        <v>129</v>
      </c>
      <c r="E259" s="126">
        <f t="shared" si="37"/>
        <v>35393</v>
      </c>
      <c r="F259" s="126">
        <f t="shared" ref="F259:F286" si="60">G259-G258</f>
        <v>9736</v>
      </c>
      <c r="G259" s="154">
        <v>1129102</v>
      </c>
      <c r="H259" s="126">
        <v>4365</v>
      </c>
      <c r="I259" s="126">
        <v>17718</v>
      </c>
      <c r="J259" s="4">
        <f t="shared" si="52"/>
        <v>3411281</v>
      </c>
      <c r="K259" s="8">
        <v>3168</v>
      </c>
      <c r="L259" s="8">
        <v>1693448</v>
      </c>
      <c r="M259" s="95">
        <f t="shared" si="53"/>
        <v>1696616</v>
      </c>
      <c r="N259" s="8">
        <v>9672</v>
      </c>
      <c r="O259" s="8">
        <v>256696</v>
      </c>
      <c r="P259" s="8">
        <v>918729</v>
      </c>
      <c r="Q259" s="95">
        <f t="shared" si="54"/>
        <v>125394</v>
      </c>
      <c r="R259" s="96">
        <f t="shared" si="57"/>
        <v>145996</v>
      </c>
      <c r="S259" s="39">
        <f t="shared" si="58"/>
        <v>19</v>
      </c>
      <c r="T259" s="4"/>
      <c r="U259" s="68"/>
      <c r="V259" s="196"/>
      <c r="W259" s="42"/>
      <c r="X259" s="101"/>
    </row>
    <row r="260" spans="1:24" x14ac:dyDescent="0.25">
      <c r="A260" s="74">
        <v>44151</v>
      </c>
      <c r="B260" s="126">
        <v>7893</v>
      </c>
      <c r="C260" s="154">
        <f t="shared" si="59"/>
        <v>1318384</v>
      </c>
      <c r="D260" s="126">
        <v>292</v>
      </c>
      <c r="E260" s="126">
        <f t="shared" si="37"/>
        <v>35685</v>
      </c>
      <c r="F260" s="126">
        <f t="shared" si="60"/>
        <v>11094</v>
      </c>
      <c r="G260" s="154">
        <v>1140196</v>
      </c>
      <c r="H260" s="126">
        <v>4322</v>
      </c>
      <c r="I260" s="126">
        <v>21572</v>
      </c>
      <c r="J260" s="4">
        <f t="shared" si="52"/>
        <v>3432853</v>
      </c>
      <c r="K260" s="7">
        <v>3225</v>
      </c>
      <c r="L260" s="7">
        <v>1704129</v>
      </c>
      <c r="M260" s="95">
        <f t="shared" si="53"/>
        <v>1707354</v>
      </c>
      <c r="N260" s="4">
        <v>9692</v>
      </c>
      <c r="O260" s="4">
        <v>258870</v>
      </c>
      <c r="P260" s="4">
        <v>926820</v>
      </c>
      <c r="Q260" s="95">
        <f t="shared" si="54"/>
        <v>123002</v>
      </c>
      <c r="R260" s="96">
        <f t="shared" si="57"/>
        <v>142503</v>
      </c>
      <c r="S260" s="39">
        <f t="shared" si="58"/>
        <v>-43</v>
      </c>
      <c r="T260" s="4"/>
      <c r="U260" s="68"/>
      <c r="V260" s="196"/>
      <c r="W260" s="42"/>
      <c r="X260" s="101"/>
    </row>
    <row r="261" spans="1:24" x14ac:dyDescent="0.25">
      <c r="A261" s="74">
        <v>44152</v>
      </c>
      <c r="B261" s="126">
        <v>10621</v>
      </c>
      <c r="C261" s="154">
        <f t="shared" si="59"/>
        <v>1329005</v>
      </c>
      <c r="D261" s="126">
        <v>377</v>
      </c>
      <c r="E261" s="126">
        <f t="shared" ref="E261:E324" si="61">E260+D261</f>
        <v>36062</v>
      </c>
      <c r="F261" s="126">
        <f t="shared" si="60"/>
        <v>8637</v>
      </c>
      <c r="G261" s="154">
        <v>1148833</v>
      </c>
      <c r="H261" s="126">
        <v>4379</v>
      </c>
      <c r="I261" s="126">
        <v>34573</v>
      </c>
      <c r="J261" s="4">
        <f t="shared" si="52"/>
        <v>3467426</v>
      </c>
      <c r="K261" s="7">
        <v>3279</v>
      </c>
      <c r="L261" s="7">
        <v>1716729</v>
      </c>
      <c r="M261" s="95">
        <f t="shared" si="53"/>
        <v>1720008</v>
      </c>
      <c r="N261" s="4">
        <v>9722</v>
      </c>
      <c r="O261" s="4">
        <v>261348</v>
      </c>
      <c r="P261" s="4">
        <v>934997</v>
      </c>
      <c r="Q261" s="95">
        <f t="shared" si="54"/>
        <v>122938</v>
      </c>
      <c r="R261" s="96">
        <f t="shared" si="57"/>
        <v>144110</v>
      </c>
      <c r="S261" s="39">
        <f t="shared" si="58"/>
        <v>57</v>
      </c>
      <c r="T261" s="4"/>
      <c r="U261" s="68"/>
      <c r="V261" s="196"/>
      <c r="W261" s="42"/>
      <c r="X261" s="101"/>
    </row>
    <row r="262" spans="1:24" x14ac:dyDescent="0.25">
      <c r="A262" s="74">
        <v>44153</v>
      </c>
      <c r="B262" s="126">
        <v>10332</v>
      </c>
      <c r="C262" s="154">
        <f t="shared" si="59"/>
        <v>1339337</v>
      </c>
      <c r="D262" s="126">
        <v>239</v>
      </c>
      <c r="E262" s="126">
        <f t="shared" si="61"/>
        <v>36301</v>
      </c>
      <c r="F262" s="126">
        <f t="shared" si="60"/>
        <v>7641</v>
      </c>
      <c r="G262" s="154">
        <v>1156474</v>
      </c>
      <c r="H262" s="126">
        <v>4267</v>
      </c>
      <c r="I262" s="126">
        <v>34573</v>
      </c>
      <c r="J262" s="4">
        <f t="shared" si="52"/>
        <v>3501999</v>
      </c>
      <c r="K262" s="7">
        <v>3346</v>
      </c>
      <c r="L262" s="7">
        <v>1734731</v>
      </c>
      <c r="M262" s="95">
        <f t="shared" si="53"/>
        <v>1738077</v>
      </c>
      <c r="N262" s="4">
        <v>9766</v>
      </c>
      <c r="O262" s="4">
        <v>264014</v>
      </c>
      <c r="P262" s="4">
        <v>943339</v>
      </c>
      <c r="Q262" s="95">
        <f t="shared" si="54"/>
        <v>122218</v>
      </c>
      <c r="R262" s="96">
        <f t="shared" si="57"/>
        <v>146562</v>
      </c>
      <c r="S262" s="39">
        <f t="shared" ref="S262:S287" si="62">H262-H261</f>
        <v>-112</v>
      </c>
      <c r="T262" s="4"/>
      <c r="U262" s="68"/>
      <c r="V262" s="196"/>
      <c r="W262" s="42"/>
      <c r="X262" s="101"/>
    </row>
    <row r="263" spans="1:24" x14ac:dyDescent="0.25">
      <c r="A263" s="74">
        <v>44154</v>
      </c>
      <c r="B263" s="126">
        <v>10097</v>
      </c>
      <c r="C263" s="154">
        <f t="shared" si="59"/>
        <v>1349434</v>
      </c>
      <c r="D263" s="126">
        <v>184</v>
      </c>
      <c r="E263" s="126">
        <f t="shared" si="61"/>
        <v>36485</v>
      </c>
      <c r="F263" s="126">
        <f t="shared" si="60"/>
        <v>11040</v>
      </c>
      <c r="G263" s="154">
        <v>1167514</v>
      </c>
      <c r="H263" s="126">
        <v>4292</v>
      </c>
      <c r="I263" s="126">
        <v>48691</v>
      </c>
      <c r="J263" s="4">
        <f t="shared" si="52"/>
        <v>3550690</v>
      </c>
      <c r="K263" s="7">
        <v>3474</v>
      </c>
      <c r="L263" s="7">
        <v>1767560</v>
      </c>
      <c r="M263" s="95">
        <f t="shared" si="53"/>
        <v>1771034</v>
      </c>
      <c r="N263" s="4">
        <v>9802</v>
      </c>
      <c r="O263" s="4">
        <v>266642</v>
      </c>
      <c r="P263" s="4">
        <v>951081</v>
      </c>
      <c r="Q263" s="95">
        <f t="shared" si="54"/>
        <v>121909</v>
      </c>
      <c r="R263" s="96">
        <f t="shared" si="57"/>
        <v>145435</v>
      </c>
      <c r="S263" s="39">
        <f t="shared" si="62"/>
        <v>25</v>
      </c>
      <c r="T263" s="4"/>
      <c r="U263" s="68"/>
      <c r="V263" s="196"/>
      <c r="W263" s="42"/>
      <c r="X263" s="101"/>
    </row>
    <row r="264" spans="1:24" x14ac:dyDescent="0.25">
      <c r="A264" s="74">
        <v>44155</v>
      </c>
      <c r="B264" s="126">
        <v>9608</v>
      </c>
      <c r="C264" s="154">
        <f t="shared" si="59"/>
        <v>1359042</v>
      </c>
      <c r="D264" s="126">
        <v>260</v>
      </c>
      <c r="E264" s="126">
        <f t="shared" si="61"/>
        <v>36745</v>
      </c>
      <c r="F264" s="126">
        <f t="shared" si="60"/>
        <v>10305</v>
      </c>
      <c r="G264" s="154">
        <v>1177819</v>
      </c>
      <c r="H264" s="126">
        <v>4187</v>
      </c>
      <c r="I264" s="126">
        <v>37816</v>
      </c>
      <c r="J264" s="4">
        <f t="shared" si="52"/>
        <v>3588506</v>
      </c>
      <c r="K264" s="7">
        <v>3601</v>
      </c>
      <c r="L264" s="7">
        <v>1789964</v>
      </c>
      <c r="M264" s="95">
        <f t="shared" si="53"/>
        <v>1793565</v>
      </c>
      <c r="N264" s="4">
        <v>9840</v>
      </c>
      <c r="O264" s="4">
        <v>268940</v>
      </c>
      <c r="P264" s="4">
        <v>957937</v>
      </c>
      <c r="Q264" s="95">
        <f t="shared" si="54"/>
        <v>122325</v>
      </c>
      <c r="R264" s="96">
        <f t="shared" si="57"/>
        <v>144478</v>
      </c>
      <c r="S264" s="39">
        <f t="shared" si="62"/>
        <v>-105</v>
      </c>
      <c r="T264" s="4"/>
      <c r="U264" s="68"/>
      <c r="V264" s="196"/>
      <c r="W264" s="42"/>
      <c r="X264" s="101"/>
    </row>
    <row r="265" spans="1:24" x14ac:dyDescent="0.25">
      <c r="A265" s="105">
        <v>44156</v>
      </c>
      <c r="B265" s="126">
        <v>7140</v>
      </c>
      <c r="C265" s="154">
        <f t="shared" si="59"/>
        <v>1366182</v>
      </c>
      <c r="D265" s="126">
        <v>112</v>
      </c>
      <c r="E265" s="126">
        <f t="shared" si="61"/>
        <v>36857</v>
      </c>
      <c r="F265" s="126">
        <f t="shared" si="60"/>
        <v>9234</v>
      </c>
      <c r="G265" s="154">
        <v>1187053</v>
      </c>
      <c r="H265" s="126">
        <v>4132</v>
      </c>
      <c r="I265" s="126">
        <v>39055</v>
      </c>
      <c r="J265" s="4">
        <f t="shared" si="52"/>
        <v>3627561</v>
      </c>
      <c r="K265" s="7">
        <v>3625</v>
      </c>
      <c r="L265" s="7">
        <v>1815364</v>
      </c>
      <c r="M265" s="95">
        <f t="shared" si="53"/>
        <v>1818989</v>
      </c>
      <c r="N265" s="4">
        <v>9862</v>
      </c>
      <c r="O265" s="4">
        <v>270149</v>
      </c>
      <c r="P265" s="4">
        <v>962192</v>
      </c>
      <c r="Q265" s="95">
        <f t="shared" si="54"/>
        <v>123979</v>
      </c>
      <c r="R265" s="96">
        <f t="shared" si="57"/>
        <v>142272</v>
      </c>
      <c r="S265" s="39">
        <f t="shared" si="62"/>
        <v>-55</v>
      </c>
      <c r="T265" s="4"/>
      <c r="U265" s="68"/>
      <c r="V265" s="196"/>
      <c r="W265" s="42"/>
      <c r="X265" s="101"/>
    </row>
    <row r="266" spans="1:24" x14ac:dyDescent="0.25">
      <c r="A266" s="105">
        <v>44157</v>
      </c>
      <c r="B266" s="126">
        <v>4184</v>
      </c>
      <c r="C266" s="154">
        <f t="shared" si="59"/>
        <v>1370366</v>
      </c>
      <c r="D266" s="126">
        <v>100</v>
      </c>
      <c r="E266" s="126">
        <f t="shared" si="61"/>
        <v>36957</v>
      </c>
      <c r="F266" s="126">
        <f t="shared" si="60"/>
        <v>8439</v>
      </c>
      <c r="G266" s="154">
        <v>1195492</v>
      </c>
      <c r="H266" s="126">
        <v>4245</v>
      </c>
      <c r="I266" s="126">
        <v>15740</v>
      </c>
      <c r="J266" s="4">
        <f t="shared" si="52"/>
        <v>3643301</v>
      </c>
      <c r="K266" s="7">
        <v>3691</v>
      </c>
      <c r="L266" s="7">
        <v>1823849</v>
      </c>
      <c r="M266" s="95">
        <f t="shared" si="53"/>
        <v>1827540</v>
      </c>
      <c r="N266" s="4">
        <v>9876</v>
      </c>
      <c r="O266" s="4">
        <v>270893</v>
      </c>
      <c r="P266" s="4">
        <v>965274</v>
      </c>
      <c r="Q266" s="95">
        <f t="shared" si="54"/>
        <v>124323</v>
      </c>
      <c r="R266" s="96">
        <f t="shared" si="57"/>
        <v>137917</v>
      </c>
      <c r="S266" s="39">
        <f t="shared" si="62"/>
        <v>113</v>
      </c>
      <c r="T266" s="4"/>
      <c r="U266" s="68"/>
      <c r="V266" s="196"/>
      <c r="W266" s="42"/>
      <c r="X266" s="101"/>
    </row>
    <row r="267" spans="1:24" x14ac:dyDescent="0.25">
      <c r="A267" s="74">
        <v>44158</v>
      </c>
      <c r="B267" s="126">
        <v>4265</v>
      </c>
      <c r="C267" s="154">
        <f t="shared" si="59"/>
        <v>1374631</v>
      </c>
      <c r="D267" s="126">
        <v>120</v>
      </c>
      <c r="E267" s="126">
        <f t="shared" si="61"/>
        <v>37077</v>
      </c>
      <c r="F267" s="126">
        <f t="shared" si="60"/>
        <v>8308</v>
      </c>
      <c r="G267" s="154">
        <v>1203800</v>
      </c>
      <c r="H267" s="126">
        <v>4165</v>
      </c>
      <c r="I267" s="126">
        <v>13149</v>
      </c>
      <c r="J267" s="4">
        <f t="shared" si="52"/>
        <v>3656450</v>
      </c>
      <c r="K267" s="7">
        <v>3798</v>
      </c>
      <c r="L267" s="7">
        <v>1830584</v>
      </c>
      <c r="M267" s="95">
        <f t="shared" si="53"/>
        <v>1834382</v>
      </c>
      <c r="N267" s="4">
        <v>9894</v>
      </c>
      <c r="O267" s="4">
        <v>272054</v>
      </c>
      <c r="P267" s="4">
        <v>972396</v>
      </c>
      <c r="Q267" s="95">
        <f t="shared" si="54"/>
        <v>120287</v>
      </c>
      <c r="R267" s="96">
        <f t="shared" si="57"/>
        <v>133754</v>
      </c>
      <c r="S267" s="39">
        <f t="shared" si="62"/>
        <v>-80</v>
      </c>
      <c r="T267" s="4"/>
      <c r="U267" s="68"/>
      <c r="V267" s="196"/>
      <c r="W267" s="42"/>
      <c r="X267" s="101"/>
    </row>
    <row r="268" spans="1:24" x14ac:dyDescent="0.25">
      <c r="A268" s="74">
        <v>44159</v>
      </c>
      <c r="B268" s="126">
        <v>7164</v>
      </c>
      <c r="C268" s="154">
        <f t="shared" si="59"/>
        <v>1381795</v>
      </c>
      <c r="D268" s="126">
        <v>311</v>
      </c>
      <c r="E268" s="126">
        <f t="shared" si="61"/>
        <v>37388</v>
      </c>
      <c r="F268" s="126">
        <f t="shared" si="60"/>
        <v>6834</v>
      </c>
      <c r="G268" s="154">
        <v>1210634</v>
      </c>
      <c r="H268" s="126">
        <v>4148</v>
      </c>
      <c r="I268" s="126">
        <v>22043</v>
      </c>
      <c r="J268" s="4">
        <f t="shared" si="52"/>
        <v>3678493</v>
      </c>
      <c r="K268" s="8">
        <v>3828</v>
      </c>
      <c r="L268" s="8">
        <v>1842058</v>
      </c>
      <c r="M268" s="95">
        <f t="shared" si="53"/>
        <v>1845886</v>
      </c>
      <c r="N268" s="4">
        <v>9912</v>
      </c>
      <c r="O268" s="4">
        <v>273939</v>
      </c>
      <c r="P268" s="4">
        <v>979797</v>
      </c>
      <c r="Q268" s="95">
        <f t="shared" si="54"/>
        <v>118147</v>
      </c>
      <c r="R268" s="96">
        <f t="shared" si="57"/>
        <v>133773</v>
      </c>
      <c r="S268" s="39">
        <f t="shared" si="62"/>
        <v>-17</v>
      </c>
      <c r="T268" s="4"/>
      <c r="U268" s="68"/>
      <c r="V268" s="196"/>
      <c r="W268" s="42"/>
      <c r="X268" s="101"/>
    </row>
    <row r="269" spans="1:24" x14ac:dyDescent="0.25">
      <c r="A269" s="74">
        <v>44160</v>
      </c>
      <c r="B269" s="126">
        <v>8593</v>
      </c>
      <c r="C269" s="154">
        <f t="shared" si="59"/>
        <v>1390388</v>
      </c>
      <c r="D269" s="126">
        <v>282</v>
      </c>
      <c r="E269" s="126">
        <f t="shared" si="61"/>
        <v>37670</v>
      </c>
      <c r="F269" s="126">
        <f t="shared" si="60"/>
        <v>6650</v>
      </c>
      <c r="G269" s="154">
        <v>1217284</v>
      </c>
      <c r="H269" s="126">
        <v>4039</v>
      </c>
      <c r="I269" s="126">
        <v>29437</v>
      </c>
      <c r="J269" s="4">
        <f t="shared" si="52"/>
        <v>3707930</v>
      </c>
      <c r="K269" s="8">
        <v>3872</v>
      </c>
      <c r="L269" s="8">
        <v>1855809</v>
      </c>
      <c r="M269" s="95">
        <f t="shared" si="53"/>
        <v>1859681</v>
      </c>
      <c r="N269" s="4">
        <v>9949</v>
      </c>
      <c r="O269" s="4">
        <v>275968</v>
      </c>
      <c r="P269" s="4">
        <v>986401</v>
      </c>
      <c r="Q269" s="95">
        <f t="shared" si="54"/>
        <v>118070</v>
      </c>
      <c r="R269" s="96">
        <f t="shared" si="57"/>
        <v>135434</v>
      </c>
      <c r="S269" s="39">
        <f t="shared" si="62"/>
        <v>-109</v>
      </c>
      <c r="T269" s="4"/>
      <c r="U269" s="68"/>
      <c r="V269" s="196"/>
      <c r="W269" s="42"/>
      <c r="X269" s="101"/>
    </row>
    <row r="270" spans="1:24" x14ac:dyDescent="0.25">
      <c r="A270" s="74">
        <v>44161</v>
      </c>
      <c r="B270" s="126">
        <v>9043</v>
      </c>
      <c r="C270" s="154">
        <f t="shared" si="59"/>
        <v>1399431</v>
      </c>
      <c r="D270" s="126">
        <v>229</v>
      </c>
      <c r="E270" s="126">
        <f t="shared" si="61"/>
        <v>37899</v>
      </c>
      <c r="F270" s="126">
        <f t="shared" si="60"/>
        <v>9378</v>
      </c>
      <c r="G270" s="154">
        <v>1226662</v>
      </c>
      <c r="H270" s="126">
        <v>3960</v>
      </c>
      <c r="I270" s="126">
        <v>32781</v>
      </c>
      <c r="J270" s="4">
        <f t="shared" si="52"/>
        <v>3740711</v>
      </c>
      <c r="K270" s="8">
        <v>3941</v>
      </c>
      <c r="L270" s="8">
        <v>1871509</v>
      </c>
      <c r="M270" s="95">
        <f t="shared" si="53"/>
        <v>1875450</v>
      </c>
      <c r="N270" s="4">
        <v>9979</v>
      </c>
      <c r="O270" s="4">
        <v>278371</v>
      </c>
      <c r="P270" s="4">
        <v>992925</v>
      </c>
      <c r="Q270" s="95">
        <f t="shared" si="54"/>
        <v>118156</v>
      </c>
      <c r="R270" s="96">
        <f t="shared" si="57"/>
        <v>134870</v>
      </c>
      <c r="S270" s="39">
        <f t="shared" si="62"/>
        <v>-79</v>
      </c>
      <c r="T270" s="4"/>
      <c r="U270" s="68"/>
      <c r="V270" s="196"/>
      <c r="W270" s="42"/>
      <c r="X270" s="101"/>
    </row>
    <row r="271" spans="1:24" x14ac:dyDescent="0.25">
      <c r="A271" s="74">
        <v>44162</v>
      </c>
      <c r="B271" s="126">
        <v>7846</v>
      </c>
      <c r="C271" s="154">
        <f t="shared" si="59"/>
        <v>1407277</v>
      </c>
      <c r="D271" s="126">
        <v>275</v>
      </c>
      <c r="E271" s="126">
        <f t="shared" si="61"/>
        <v>38174</v>
      </c>
      <c r="F271" s="126">
        <f t="shared" si="60"/>
        <v>8595</v>
      </c>
      <c r="G271" s="154">
        <v>1235257</v>
      </c>
      <c r="H271" s="126">
        <v>4120</v>
      </c>
      <c r="I271" s="126">
        <v>55323</v>
      </c>
      <c r="J271" s="4">
        <f t="shared" si="52"/>
        <v>3796034</v>
      </c>
      <c r="K271" s="7">
        <v>4020</v>
      </c>
      <c r="L271" s="8">
        <v>1912056</v>
      </c>
      <c r="M271" s="95">
        <f t="shared" si="53"/>
        <v>1916076</v>
      </c>
      <c r="N271" s="4">
        <v>10016</v>
      </c>
      <c r="O271" s="4">
        <v>280344</v>
      </c>
      <c r="P271" s="4">
        <v>999456</v>
      </c>
      <c r="Q271" s="95">
        <f t="shared" si="54"/>
        <v>117461</v>
      </c>
      <c r="R271" s="96">
        <f t="shared" si="57"/>
        <v>133846</v>
      </c>
      <c r="S271" s="39">
        <f t="shared" si="62"/>
        <v>160</v>
      </c>
      <c r="T271" s="4"/>
      <c r="U271" s="68"/>
      <c r="V271" s="196"/>
      <c r="W271" s="42"/>
      <c r="X271" s="101"/>
    </row>
    <row r="272" spans="1:24" x14ac:dyDescent="0.25">
      <c r="A272" s="105">
        <v>44163</v>
      </c>
      <c r="B272" s="126">
        <v>6098</v>
      </c>
      <c r="C272" s="154">
        <f t="shared" si="59"/>
        <v>1413375</v>
      </c>
      <c r="D272" s="126">
        <v>106</v>
      </c>
      <c r="E272" s="126">
        <f t="shared" si="61"/>
        <v>38280</v>
      </c>
      <c r="F272" s="126">
        <f t="shared" si="60"/>
        <v>7620</v>
      </c>
      <c r="G272" s="154">
        <v>1242877</v>
      </c>
      <c r="H272" s="126">
        <v>4021</v>
      </c>
      <c r="I272" s="126">
        <v>25472</v>
      </c>
      <c r="J272" s="4">
        <f t="shared" si="52"/>
        <v>3821506</v>
      </c>
      <c r="K272" s="7">
        <v>4105</v>
      </c>
      <c r="L272" s="8">
        <v>1926130</v>
      </c>
      <c r="M272" s="95">
        <f t="shared" si="53"/>
        <v>1930235</v>
      </c>
      <c r="N272" s="4">
        <v>10046</v>
      </c>
      <c r="O272" s="4">
        <v>281257</v>
      </c>
      <c r="P272" s="4">
        <v>1003512</v>
      </c>
      <c r="Q272" s="95">
        <f t="shared" si="54"/>
        <v>118560</v>
      </c>
      <c r="R272" s="96">
        <f t="shared" si="57"/>
        <v>132218</v>
      </c>
      <c r="S272" s="39">
        <f t="shared" si="62"/>
        <v>-99</v>
      </c>
      <c r="T272" s="4"/>
      <c r="U272" s="68"/>
      <c r="V272" s="196"/>
      <c r="W272" s="42"/>
      <c r="X272" s="101"/>
    </row>
    <row r="273" spans="1:25" x14ac:dyDescent="0.25">
      <c r="A273" s="105">
        <v>44164</v>
      </c>
      <c r="B273" s="126">
        <v>5432</v>
      </c>
      <c r="C273" s="154">
        <f t="shared" si="59"/>
        <v>1418807</v>
      </c>
      <c r="D273" s="126">
        <v>151</v>
      </c>
      <c r="E273" s="126">
        <f t="shared" si="61"/>
        <v>38431</v>
      </c>
      <c r="F273" s="126">
        <f t="shared" si="60"/>
        <v>6966</v>
      </c>
      <c r="G273" s="154">
        <v>1249843</v>
      </c>
      <c r="H273" s="126">
        <v>4013</v>
      </c>
      <c r="I273" s="126">
        <v>17338</v>
      </c>
      <c r="J273" s="4">
        <f t="shared" si="52"/>
        <v>3838844</v>
      </c>
      <c r="K273" s="7">
        <v>4139</v>
      </c>
      <c r="L273" s="7">
        <v>1935553</v>
      </c>
      <c r="M273" s="95">
        <f t="shared" si="53"/>
        <v>1939692</v>
      </c>
      <c r="N273" s="4">
        <v>10067</v>
      </c>
      <c r="O273" s="4">
        <v>281995</v>
      </c>
      <c r="P273" s="4">
        <v>1006055</v>
      </c>
      <c r="Q273" s="95">
        <f t="shared" si="54"/>
        <v>120690</v>
      </c>
      <c r="R273" s="96">
        <f t="shared" si="57"/>
        <v>130533</v>
      </c>
      <c r="S273" s="39">
        <f t="shared" si="62"/>
        <v>-8</v>
      </c>
      <c r="T273" s="4"/>
      <c r="U273" s="68"/>
      <c r="V273" s="196"/>
      <c r="W273" s="42"/>
      <c r="X273" s="101"/>
    </row>
    <row r="274" spans="1:25" x14ac:dyDescent="0.25">
      <c r="A274" s="74">
        <v>44165</v>
      </c>
      <c r="B274" s="126">
        <v>5726</v>
      </c>
      <c r="C274" s="154">
        <f t="shared" si="59"/>
        <v>1424533</v>
      </c>
      <c r="D274" s="126">
        <v>256</v>
      </c>
      <c r="E274" s="126">
        <f t="shared" si="61"/>
        <v>38687</v>
      </c>
      <c r="F274" s="126">
        <f t="shared" si="60"/>
        <v>7384</v>
      </c>
      <c r="G274" s="154">
        <v>1257227</v>
      </c>
      <c r="H274" s="126">
        <v>4062</v>
      </c>
      <c r="I274" s="126">
        <v>19291</v>
      </c>
      <c r="J274" s="4">
        <f t="shared" si="52"/>
        <v>3858135</v>
      </c>
      <c r="K274" s="7">
        <v>4209</v>
      </c>
      <c r="L274" s="7">
        <v>1945524</v>
      </c>
      <c r="M274" s="95">
        <f t="shared" si="53"/>
        <v>1949733</v>
      </c>
      <c r="N274" s="4">
        <v>10089</v>
      </c>
      <c r="O274" s="4">
        <v>283567</v>
      </c>
      <c r="P274" s="4">
        <v>1009382</v>
      </c>
      <c r="Q274" s="95">
        <f t="shared" si="54"/>
        <v>121495</v>
      </c>
      <c r="R274" s="96">
        <f t="shared" si="57"/>
        <v>128619</v>
      </c>
      <c r="S274" s="39">
        <f t="shared" si="62"/>
        <v>49</v>
      </c>
      <c r="T274" s="4"/>
      <c r="U274" s="68"/>
      <c r="V274" s="196"/>
      <c r="W274" s="42"/>
      <c r="X274" s="101"/>
    </row>
    <row r="275" spans="1:25" x14ac:dyDescent="0.25">
      <c r="A275" s="74">
        <v>44166</v>
      </c>
      <c r="B275" s="126">
        <v>8037</v>
      </c>
      <c r="C275" s="154">
        <f t="shared" si="59"/>
        <v>1432570</v>
      </c>
      <c r="D275" s="126">
        <v>198</v>
      </c>
      <c r="E275" s="126">
        <f t="shared" si="61"/>
        <v>38885</v>
      </c>
      <c r="F275" s="126">
        <f t="shared" si="60"/>
        <v>6024</v>
      </c>
      <c r="G275" s="154">
        <v>1263251</v>
      </c>
      <c r="H275" s="126">
        <v>3946</v>
      </c>
      <c r="I275" s="126">
        <v>33764</v>
      </c>
      <c r="J275" s="4">
        <f t="shared" si="52"/>
        <v>3891899</v>
      </c>
      <c r="K275" s="7">
        <v>4328</v>
      </c>
      <c r="L275" s="7">
        <v>1964346</v>
      </c>
      <c r="M275" s="95">
        <f t="shared" si="53"/>
        <v>1968674</v>
      </c>
      <c r="N275" s="4">
        <v>10120</v>
      </c>
      <c r="O275" s="4">
        <v>285518</v>
      </c>
      <c r="P275" s="4">
        <v>1015923</v>
      </c>
      <c r="Q275" s="95">
        <f t="shared" si="54"/>
        <v>121009</v>
      </c>
      <c r="R275" s="96">
        <f t="shared" si="57"/>
        <v>130434</v>
      </c>
      <c r="S275" s="39">
        <f t="shared" si="62"/>
        <v>-116</v>
      </c>
      <c r="T275" s="4"/>
      <c r="U275" s="68"/>
      <c r="V275" s="196"/>
      <c r="W275" s="42"/>
      <c r="X275" s="101"/>
    </row>
    <row r="276" spans="1:25" x14ac:dyDescent="0.25">
      <c r="A276" s="74">
        <v>44167</v>
      </c>
      <c r="B276" s="126">
        <v>7533</v>
      </c>
      <c r="C276" s="154">
        <f t="shared" si="59"/>
        <v>1440103</v>
      </c>
      <c r="D276" s="126">
        <v>228</v>
      </c>
      <c r="E276" s="126">
        <f t="shared" si="61"/>
        <v>39113</v>
      </c>
      <c r="F276" s="126">
        <f t="shared" si="60"/>
        <v>5107</v>
      </c>
      <c r="G276" s="154">
        <v>1268358</v>
      </c>
      <c r="H276" s="126">
        <v>3983</v>
      </c>
      <c r="I276" s="126">
        <v>49474</v>
      </c>
      <c r="J276" s="4">
        <f t="shared" si="52"/>
        <v>3941373</v>
      </c>
      <c r="K276" s="102">
        <v>4476</v>
      </c>
      <c r="L276" s="102">
        <v>2000098</v>
      </c>
      <c r="M276" s="103">
        <f t="shared" si="53"/>
        <v>2004574</v>
      </c>
      <c r="N276" s="69">
        <v>10155</v>
      </c>
      <c r="O276" s="69">
        <v>287233</v>
      </c>
      <c r="P276" s="69">
        <v>1022204</v>
      </c>
      <c r="Q276" s="103">
        <f t="shared" si="54"/>
        <v>120511</v>
      </c>
      <c r="R276" s="96">
        <f t="shared" si="57"/>
        <v>132632</v>
      </c>
      <c r="S276" s="104">
        <f t="shared" si="62"/>
        <v>37</v>
      </c>
      <c r="T276" s="4"/>
      <c r="U276" s="68"/>
      <c r="V276" s="196"/>
      <c r="W276" s="42"/>
      <c r="X276" s="101"/>
    </row>
    <row r="277" spans="1:25" x14ac:dyDescent="0.25">
      <c r="A277" s="74">
        <v>44168</v>
      </c>
      <c r="B277" s="126">
        <v>7629</v>
      </c>
      <c r="C277" s="154">
        <f t="shared" si="59"/>
        <v>1447732</v>
      </c>
      <c r="D277" s="126">
        <v>149</v>
      </c>
      <c r="E277" s="126">
        <f t="shared" si="61"/>
        <v>39262</v>
      </c>
      <c r="F277" s="126">
        <f t="shared" si="60"/>
        <v>6317</v>
      </c>
      <c r="G277" s="154">
        <v>1274675</v>
      </c>
      <c r="H277" s="126">
        <v>3916</v>
      </c>
      <c r="I277" s="126">
        <v>47112</v>
      </c>
      <c r="J277" s="4">
        <f t="shared" si="52"/>
        <v>3988485</v>
      </c>
      <c r="K277" s="102">
        <v>4554</v>
      </c>
      <c r="L277" s="102">
        <v>2033435</v>
      </c>
      <c r="M277" s="103">
        <f t="shared" si="53"/>
        <v>2037989</v>
      </c>
      <c r="N277" s="69">
        <v>10186</v>
      </c>
      <c r="O277" s="69">
        <v>288999</v>
      </c>
      <c r="P277" s="69">
        <v>1028077</v>
      </c>
      <c r="Q277" s="103">
        <f t="shared" si="54"/>
        <v>120470</v>
      </c>
      <c r="R277" s="96">
        <f t="shared" si="57"/>
        <v>133795</v>
      </c>
      <c r="S277" s="104">
        <f t="shared" si="62"/>
        <v>-67</v>
      </c>
      <c r="T277" s="4"/>
      <c r="U277" s="68"/>
      <c r="V277" s="196"/>
      <c r="W277" s="42"/>
      <c r="X277" s="101"/>
    </row>
    <row r="278" spans="1:25" x14ac:dyDescent="0.25">
      <c r="A278" s="74">
        <v>44169</v>
      </c>
      <c r="B278" s="126">
        <v>6899</v>
      </c>
      <c r="C278" s="154">
        <f t="shared" si="59"/>
        <v>1454631</v>
      </c>
      <c r="D278" s="144">
        <v>207</v>
      </c>
      <c r="E278" s="126">
        <f t="shared" si="61"/>
        <v>39469</v>
      </c>
      <c r="F278" s="126">
        <f t="shared" si="60"/>
        <v>7280</v>
      </c>
      <c r="G278" s="154">
        <v>1281955</v>
      </c>
      <c r="H278" s="126">
        <v>3929</v>
      </c>
      <c r="I278" s="126">
        <v>32923</v>
      </c>
      <c r="J278" s="4">
        <f t="shared" si="52"/>
        <v>4021408</v>
      </c>
      <c r="K278" s="102">
        <v>4609</v>
      </c>
      <c r="L278" s="102">
        <v>2054205</v>
      </c>
      <c r="M278" s="103">
        <f t="shared" si="53"/>
        <v>2058814</v>
      </c>
      <c r="N278" s="69">
        <v>10211</v>
      </c>
      <c r="O278" s="69">
        <v>290538</v>
      </c>
      <c r="P278" s="69">
        <v>1033772</v>
      </c>
      <c r="Q278" s="103">
        <f t="shared" si="54"/>
        <v>120110</v>
      </c>
      <c r="R278" s="96">
        <f t="shared" si="57"/>
        <v>133207</v>
      </c>
      <c r="S278" s="104">
        <f t="shared" si="62"/>
        <v>13</v>
      </c>
      <c r="T278" s="12">
        <f t="shared" ref="T278:T287" si="63">(C278-G278-E278)-(C277-E277-G277)</f>
        <v>-588</v>
      </c>
      <c r="U278" s="68"/>
      <c r="V278" s="196"/>
      <c r="W278" s="42"/>
      <c r="X278" s="101"/>
    </row>
    <row r="279" spans="1:25" x14ac:dyDescent="0.25">
      <c r="A279" s="105">
        <v>44170</v>
      </c>
      <c r="B279" s="126">
        <v>5201</v>
      </c>
      <c r="C279" s="154">
        <f t="shared" si="59"/>
        <v>1459832</v>
      </c>
      <c r="D279" s="126">
        <v>121</v>
      </c>
      <c r="E279" s="126">
        <f t="shared" si="61"/>
        <v>39590</v>
      </c>
      <c r="F279" s="126">
        <f t="shared" si="60"/>
        <v>6830</v>
      </c>
      <c r="G279" s="154">
        <v>1288785</v>
      </c>
      <c r="H279" s="126">
        <v>3757</v>
      </c>
      <c r="I279" s="126">
        <v>28567</v>
      </c>
      <c r="J279" s="4">
        <f t="shared" si="52"/>
        <v>4049975</v>
      </c>
      <c r="K279" s="102">
        <v>4687</v>
      </c>
      <c r="L279" s="102">
        <v>2072109</v>
      </c>
      <c r="M279" s="103">
        <f t="shared" si="53"/>
        <v>2076796</v>
      </c>
      <c r="N279" s="69">
        <v>10228</v>
      </c>
      <c r="O279" s="69">
        <v>291315</v>
      </c>
      <c r="P279" s="69">
        <v>1037782</v>
      </c>
      <c r="Q279" s="103">
        <f t="shared" si="54"/>
        <v>120507</v>
      </c>
      <c r="R279" s="96">
        <f t="shared" si="57"/>
        <v>131457</v>
      </c>
      <c r="S279" s="104">
        <f t="shared" si="62"/>
        <v>-172</v>
      </c>
      <c r="T279" s="12">
        <f t="shared" si="63"/>
        <v>-1750</v>
      </c>
      <c r="U279" s="68"/>
      <c r="V279" s="196"/>
      <c r="W279" s="42"/>
      <c r="X279" s="101"/>
    </row>
    <row r="280" spans="1:25" x14ac:dyDescent="0.25">
      <c r="A280" s="105">
        <v>44171</v>
      </c>
      <c r="B280" s="126">
        <v>3278</v>
      </c>
      <c r="C280" s="154">
        <f t="shared" si="59"/>
        <v>1463110</v>
      </c>
      <c r="D280" s="126">
        <v>137</v>
      </c>
      <c r="E280" s="126">
        <f t="shared" si="61"/>
        <v>39727</v>
      </c>
      <c r="F280" s="126">
        <f t="shared" si="60"/>
        <v>5907</v>
      </c>
      <c r="G280" s="154">
        <v>1294692</v>
      </c>
      <c r="H280" s="126">
        <v>3735</v>
      </c>
      <c r="I280" s="126">
        <v>16826</v>
      </c>
      <c r="J280" s="4">
        <f t="shared" si="52"/>
        <v>4066801</v>
      </c>
      <c r="K280" s="102">
        <v>4696</v>
      </c>
      <c r="L280" s="102">
        <v>2083087</v>
      </c>
      <c r="M280" s="103">
        <f t="shared" si="53"/>
        <v>2087783</v>
      </c>
      <c r="N280" s="69">
        <v>10245</v>
      </c>
      <c r="O280" s="69">
        <v>291769</v>
      </c>
      <c r="P280" s="69">
        <v>1041718</v>
      </c>
      <c r="Q280" s="103">
        <f t="shared" si="54"/>
        <v>119378</v>
      </c>
      <c r="R280" s="96">
        <f t="shared" si="57"/>
        <v>128691</v>
      </c>
      <c r="S280" s="104">
        <f t="shared" si="62"/>
        <v>-22</v>
      </c>
      <c r="T280" s="12">
        <f t="shared" si="63"/>
        <v>-2766</v>
      </c>
      <c r="U280" s="68"/>
      <c r="V280" s="196"/>
      <c r="W280" s="42"/>
      <c r="X280" s="101"/>
    </row>
    <row r="281" spans="1:25" x14ac:dyDescent="0.25">
      <c r="A281" s="105">
        <v>44172</v>
      </c>
      <c r="B281" s="126">
        <v>3199</v>
      </c>
      <c r="C281" s="183">
        <f t="shared" si="59"/>
        <v>1466309</v>
      </c>
      <c r="D281" s="126">
        <v>118</v>
      </c>
      <c r="E281" s="126">
        <f t="shared" si="61"/>
        <v>39845</v>
      </c>
      <c r="F281" s="126">
        <f t="shared" si="60"/>
        <v>6004</v>
      </c>
      <c r="G281" s="154">
        <v>1300696</v>
      </c>
      <c r="H281" s="126">
        <v>3723</v>
      </c>
      <c r="I281" s="126">
        <v>9951</v>
      </c>
      <c r="J281" s="4">
        <f t="shared" si="52"/>
        <v>4076752</v>
      </c>
      <c r="K281" s="7">
        <v>4703</v>
      </c>
      <c r="L281" s="7">
        <v>2088287</v>
      </c>
      <c r="M281" s="103">
        <f t="shared" si="53"/>
        <v>2092990</v>
      </c>
      <c r="N281" s="4">
        <v>10262</v>
      </c>
      <c r="O281" s="4">
        <v>292290</v>
      </c>
      <c r="P281" s="4">
        <v>1047405</v>
      </c>
      <c r="Q281" s="103">
        <f t="shared" si="54"/>
        <v>116352</v>
      </c>
      <c r="R281" s="96">
        <f t="shared" si="57"/>
        <v>125768</v>
      </c>
      <c r="S281" s="104">
        <f t="shared" si="62"/>
        <v>-12</v>
      </c>
      <c r="T281" s="12">
        <f t="shared" si="63"/>
        <v>-2923</v>
      </c>
      <c r="U281" s="68"/>
      <c r="V281" s="196"/>
      <c r="W281" s="42"/>
      <c r="X281" s="101"/>
    </row>
    <row r="282" spans="1:25" x14ac:dyDescent="0.25">
      <c r="A282" s="105">
        <v>44173</v>
      </c>
      <c r="B282" s="126">
        <v>3610</v>
      </c>
      <c r="C282" s="154">
        <f t="shared" si="59"/>
        <v>1469919</v>
      </c>
      <c r="D282" s="126">
        <v>121</v>
      </c>
      <c r="E282" s="126">
        <f t="shared" si="61"/>
        <v>39966</v>
      </c>
      <c r="F282" s="126">
        <f t="shared" si="60"/>
        <v>4891</v>
      </c>
      <c r="G282" s="154">
        <v>1305587</v>
      </c>
      <c r="H282" s="126">
        <v>3715</v>
      </c>
      <c r="I282" s="126">
        <v>13302</v>
      </c>
      <c r="J282" s="4">
        <f t="shared" si="52"/>
        <v>4090054</v>
      </c>
      <c r="K282" s="7">
        <v>4726</v>
      </c>
      <c r="L282" s="7">
        <v>2095475</v>
      </c>
      <c r="M282" s="103">
        <f t="shared" si="53"/>
        <v>2100201</v>
      </c>
      <c r="N282" s="4">
        <v>10276</v>
      </c>
      <c r="O282" s="4">
        <v>292866</v>
      </c>
      <c r="P282" s="4">
        <v>1053314</v>
      </c>
      <c r="Q282" s="103">
        <f t="shared" si="54"/>
        <v>113463</v>
      </c>
      <c r="R282" s="96">
        <f t="shared" si="57"/>
        <v>124366</v>
      </c>
      <c r="S282" s="104">
        <f t="shared" si="62"/>
        <v>-8</v>
      </c>
      <c r="T282" s="12">
        <f t="shared" si="63"/>
        <v>-1402</v>
      </c>
      <c r="U282" s="68"/>
      <c r="V282" s="196"/>
      <c r="X282" s="101"/>
    </row>
    <row r="283" spans="1:25" x14ac:dyDescent="0.25">
      <c r="A283" s="74">
        <v>44174</v>
      </c>
      <c r="B283" s="126">
        <v>5303</v>
      </c>
      <c r="C283" s="154">
        <f t="shared" ref="C283:C289" si="64">C282+B283</f>
        <v>1475222</v>
      </c>
      <c r="D283" s="126">
        <v>213</v>
      </c>
      <c r="E283" s="126">
        <f t="shared" si="61"/>
        <v>40179</v>
      </c>
      <c r="F283" s="126">
        <f t="shared" si="60"/>
        <v>5901</v>
      </c>
      <c r="G283" s="154">
        <v>1311488</v>
      </c>
      <c r="H283" s="126">
        <v>3688</v>
      </c>
      <c r="I283" s="126">
        <v>20785</v>
      </c>
      <c r="J283" s="4">
        <f t="shared" si="52"/>
        <v>4110839</v>
      </c>
      <c r="K283" s="7">
        <v>4782</v>
      </c>
      <c r="L283" s="7">
        <v>2108441</v>
      </c>
      <c r="M283" s="103">
        <f t="shared" si="53"/>
        <v>2113223</v>
      </c>
      <c r="N283" s="4">
        <v>10316</v>
      </c>
      <c r="O283" s="4">
        <v>294068</v>
      </c>
      <c r="P283" s="4">
        <v>1058646</v>
      </c>
      <c r="Q283" s="103">
        <f t="shared" si="54"/>
        <v>112192</v>
      </c>
      <c r="R283" s="96">
        <f t="shared" si="57"/>
        <v>123555</v>
      </c>
      <c r="S283" s="104">
        <f t="shared" si="62"/>
        <v>-27</v>
      </c>
      <c r="T283" s="12">
        <f t="shared" si="63"/>
        <v>-811</v>
      </c>
      <c r="U283" s="68"/>
      <c r="V283" s="196"/>
      <c r="X283" s="37"/>
    </row>
    <row r="284" spans="1:25" x14ac:dyDescent="0.25">
      <c r="A284" s="74">
        <v>44175</v>
      </c>
      <c r="B284" s="126">
        <v>6994</v>
      </c>
      <c r="C284" s="154">
        <f t="shared" si="64"/>
        <v>1482216</v>
      </c>
      <c r="D284" s="126">
        <v>209</v>
      </c>
      <c r="E284" s="126">
        <f t="shared" si="61"/>
        <v>40388</v>
      </c>
      <c r="F284" s="126">
        <f t="shared" si="60"/>
        <v>6699</v>
      </c>
      <c r="G284" s="154">
        <v>1318187</v>
      </c>
      <c r="H284" s="126">
        <v>3665</v>
      </c>
      <c r="I284" s="126">
        <v>28166</v>
      </c>
      <c r="J284" s="4">
        <f t="shared" si="52"/>
        <v>4139005</v>
      </c>
      <c r="K284" s="7">
        <v>4881</v>
      </c>
      <c r="L284" s="7">
        <v>2124880</v>
      </c>
      <c r="M284" s="103">
        <f t="shared" si="53"/>
        <v>2129761</v>
      </c>
      <c r="N284" s="4">
        <v>10335</v>
      </c>
      <c r="O284" s="4">
        <v>295491</v>
      </c>
      <c r="P284" s="4">
        <v>1064115</v>
      </c>
      <c r="Q284" s="103">
        <f t="shared" si="54"/>
        <v>112275</v>
      </c>
      <c r="R284" s="96">
        <f t="shared" si="57"/>
        <v>123641</v>
      </c>
      <c r="S284" s="104">
        <f t="shared" si="62"/>
        <v>-23</v>
      </c>
      <c r="T284" s="12">
        <f t="shared" si="63"/>
        <v>86</v>
      </c>
      <c r="U284" s="68"/>
      <c r="V284" s="196"/>
      <c r="X284" s="37"/>
    </row>
    <row r="285" spans="1:25" x14ac:dyDescent="0.25">
      <c r="A285" s="74">
        <v>44176</v>
      </c>
      <c r="B285" s="126">
        <v>7112</v>
      </c>
      <c r="C285" s="154">
        <f t="shared" si="64"/>
        <v>1489328</v>
      </c>
      <c r="D285" s="126">
        <v>177</v>
      </c>
      <c r="E285" s="126">
        <f t="shared" si="61"/>
        <v>40565</v>
      </c>
      <c r="F285" s="126">
        <f t="shared" si="60"/>
        <v>6605</v>
      </c>
      <c r="G285" s="154">
        <v>1324792</v>
      </c>
      <c r="H285" s="126">
        <v>3620</v>
      </c>
      <c r="I285" s="126">
        <v>36805</v>
      </c>
      <c r="J285" s="4">
        <f t="shared" si="52"/>
        <v>4175810</v>
      </c>
      <c r="K285" s="7">
        <v>4940</v>
      </c>
      <c r="L285" s="7">
        <v>2147972</v>
      </c>
      <c r="M285" s="103">
        <f t="shared" si="53"/>
        <v>2152912</v>
      </c>
      <c r="N285" s="4">
        <v>10375</v>
      </c>
      <c r="O285" s="4">
        <v>296884</v>
      </c>
      <c r="P285" s="4">
        <v>1068414</v>
      </c>
      <c r="Q285" s="103">
        <f t="shared" si="54"/>
        <v>113655</v>
      </c>
      <c r="R285" s="96">
        <f t="shared" si="57"/>
        <v>123971</v>
      </c>
      <c r="S285" s="104">
        <f t="shared" si="62"/>
        <v>-45</v>
      </c>
      <c r="T285" s="12">
        <f t="shared" si="63"/>
        <v>330</v>
      </c>
      <c r="U285" s="68"/>
      <c r="V285" s="196"/>
      <c r="W285" s="42"/>
      <c r="X285" s="37"/>
      <c r="Y285" s="42"/>
    </row>
    <row r="286" spans="1:25" x14ac:dyDescent="0.25">
      <c r="A286" s="106">
        <v>44177</v>
      </c>
      <c r="B286" s="126">
        <v>5274</v>
      </c>
      <c r="C286" s="154">
        <f t="shared" si="64"/>
        <v>1494602</v>
      </c>
      <c r="D286" s="126">
        <v>62</v>
      </c>
      <c r="E286" s="126">
        <f t="shared" si="61"/>
        <v>40627</v>
      </c>
      <c r="F286" s="126">
        <f t="shared" si="60"/>
        <v>5368</v>
      </c>
      <c r="G286" s="154">
        <v>1330160</v>
      </c>
      <c r="H286" s="126">
        <v>3594</v>
      </c>
      <c r="I286" s="126">
        <v>27204</v>
      </c>
      <c r="J286" s="4">
        <f t="shared" si="52"/>
        <v>4203014</v>
      </c>
      <c r="K286" s="7">
        <v>4983</v>
      </c>
      <c r="L286" s="7">
        <v>2164993</v>
      </c>
      <c r="M286" s="103">
        <f t="shared" si="53"/>
        <v>2169976</v>
      </c>
      <c r="N286" s="4">
        <v>10396</v>
      </c>
      <c r="O286" s="4">
        <v>297737</v>
      </c>
      <c r="P286" s="4">
        <v>1071431</v>
      </c>
      <c r="Q286" s="103">
        <f t="shared" si="54"/>
        <v>115038</v>
      </c>
      <c r="R286" s="96">
        <f t="shared" si="57"/>
        <v>123815</v>
      </c>
      <c r="S286" s="104">
        <f t="shared" si="62"/>
        <v>-26</v>
      </c>
      <c r="T286" s="12">
        <f t="shared" si="63"/>
        <v>-156</v>
      </c>
      <c r="U286" s="68"/>
      <c r="V286" s="196"/>
    </row>
    <row r="287" spans="1:25" x14ac:dyDescent="0.25">
      <c r="A287" s="106">
        <v>44178</v>
      </c>
      <c r="B287" s="126">
        <v>3558</v>
      </c>
      <c r="C287" s="154">
        <f t="shared" si="64"/>
        <v>1498160</v>
      </c>
      <c r="D287" s="126">
        <v>98</v>
      </c>
      <c r="E287" s="126">
        <f t="shared" si="61"/>
        <v>40725</v>
      </c>
      <c r="F287" s="126">
        <f t="shared" ref="F287:F332" si="65">G287-G286</f>
        <v>5157</v>
      </c>
      <c r="G287" s="154">
        <v>1335317</v>
      </c>
      <c r="H287" s="126">
        <v>3537</v>
      </c>
      <c r="I287" s="126">
        <v>21793</v>
      </c>
      <c r="J287" s="4">
        <f t="shared" si="52"/>
        <v>4224807</v>
      </c>
      <c r="K287" s="7">
        <v>5042</v>
      </c>
      <c r="L287" s="7">
        <v>2180522</v>
      </c>
      <c r="M287" s="103">
        <f t="shared" si="53"/>
        <v>2185564</v>
      </c>
      <c r="N287" s="4">
        <v>10424</v>
      </c>
      <c r="O287" s="4">
        <v>298310</v>
      </c>
      <c r="P287" s="4">
        <v>1073462</v>
      </c>
      <c r="Q287" s="103">
        <f t="shared" si="54"/>
        <v>115964</v>
      </c>
      <c r="R287" s="96">
        <f t="shared" si="57"/>
        <v>122118</v>
      </c>
      <c r="S287" s="104">
        <f t="shared" si="62"/>
        <v>-57</v>
      </c>
      <c r="T287" s="12">
        <f t="shared" si="63"/>
        <v>-1697</v>
      </c>
      <c r="U287" s="68"/>
      <c r="V287" s="196"/>
    </row>
    <row r="288" spans="1:25" x14ac:dyDescent="0.25">
      <c r="A288" s="107">
        <v>44179</v>
      </c>
      <c r="B288" s="126">
        <v>5062</v>
      </c>
      <c r="C288" s="154">
        <f t="shared" si="64"/>
        <v>1503222</v>
      </c>
      <c r="D288" s="126">
        <v>275</v>
      </c>
      <c r="E288" s="126">
        <f t="shared" si="61"/>
        <v>41000</v>
      </c>
      <c r="F288" s="126">
        <f t="shared" si="65"/>
        <v>4803</v>
      </c>
      <c r="G288" s="154">
        <v>1340120</v>
      </c>
      <c r="H288" s="126">
        <v>3478</v>
      </c>
      <c r="I288" s="126">
        <v>43000</v>
      </c>
      <c r="J288" s="4">
        <f t="shared" si="52"/>
        <v>4267807</v>
      </c>
      <c r="K288" s="7">
        <v>5131</v>
      </c>
      <c r="L288" s="7">
        <v>2215097</v>
      </c>
      <c r="M288" s="103">
        <f t="shared" si="53"/>
        <v>2220228</v>
      </c>
      <c r="N288" s="4">
        <v>10451</v>
      </c>
      <c r="O288" s="4">
        <v>299430</v>
      </c>
      <c r="P288" s="4">
        <v>1076117</v>
      </c>
      <c r="Q288" s="103">
        <f t="shared" si="54"/>
        <v>117224</v>
      </c>
      <c r="R288" s="96">
        <f t="shared" si="57"/>
        <v>122102</v>
      </c>
      <c r="S288" s="104">
        <f t="shared" ref="S288:S295" si="66">H288-H287</f>
        <v>-59</v>
      </c>
      <c r="T288" s="12">
        <f t="shared" ref="T288:T295" si="67">(C288-G288-E288)-(C287-E287-G287)</f>
        <v>-16</v>
      </c>
      <c r="U288" s="68"/>
      <c r="V288" s="196"/>
    </row>
    <row r="289" spans="1:22" x14ac:dyDescent="0.25">
      <c r="A289" s="107">
        <v>44180</v>
      </c>
      <c r="B289" s="126">
        <v>6981</v>
      </c>
      <c r="C289" s="154">
        <f t="shared" si="64"/>
        <v>1510203</v>
      </c>
      <c r="D289" s="126">
        <v>164</v>
      </c>
      <c r="E289" s="126">
        <f t="shared" si="61"/>
        <v>41164</v>
      </c>
      <c r="F289" s="126">
        <f t="shared" si="65"/>
        <v>4180</v>
      </c>
      <c r="G289" s="154">
        <v>1344300</v>
      </c>
      <c r="H289" s="126">
        <v>3475</v>
      </c>
      <c r="I289" s="126">
        <v>36591</v>
      </c>
      <c r="J289" s="4">
        <f t="shared" si="52"/>
        <v>4304398</v>
      </c>
      <c r="K289" s="7">
        <v>5271</v>
      </c>
      <c r="L289" s="7">
        <v>2238751</v>
      </c>
      <c r="M289" s="103">
        <f t="shared" si="53"/>
        <v>2244022</v>
      </c>
      <c r="N289" s="4">
        <v>10483</v>
      </c>
      <c r="O289" s="4">
        <v>301009</v>
      </c>
      <c r="P289" s="4">
        <v>1078240</v>
      </c>
      <c r="Q289" s="103">
        <f t="shared" si="54"/>
        <v>120471</v>
      </c>
      <c r="R289" s="96">
        <f t="shared" si="57"/>
        <v>124739</v>
      </c>
      <c r="S289" s="104">
        <f t="shared" si="66"/>
        <v>-3</v>
      </c>
      <c r="T289" s="12">
        <f t="shared" si="67"/>
        <v>2637</v>
      </c>
      <c r="U289" s="68"/>
      <c r="V289" s="196"/>
    </row>
    <row r="290" spans="1:22" x14ac:dyDescent="0.25">
      <c r="A290" s="107">
        <v>44181</v>
      </c>
      <c r="B290" s="126">
        <v>6843</v>
      </c>
      <c r="C290" s="154">
        <f t="shared" ref="C290:C295" si="68">C289+B290</f>
        <v>1517046</v>
      </c>
      <c r="D290" s="126">
        <v>162</v>
      </c>
      <c r="E290" s="126">
        <f t="shared" si="61"/>
        <v>41326</v>
      </c>
      <c r="F290" s="126">
        <f t="shared" si="65"/>
        <v>3614</v>
      </c>
      <c r="G290" s="154">
        <v>1347914</v>
      </c>
      <c r="H290" s="126">
        <v>3443</v>
      </c>
      <c r="I290" s="126">
        <v>34599</v>
      </c>
      <c r="J290" s="4">
        <f t="shared" si="52"/>
        <v>4338997</v>
      </c>
      <c r="K290" s="7">
        <v>5417</v>
      </c>
      <c r="L290" s="7">
        <v>2259690</v>
      </c>
      <c r="M290" s="103">
        <f t="shared" si="53"/>
        <v>2265107</v>
      </c>
      <c r="N290" s="4">
        <v>10548</v>
      </c>
      <c r="O290" s="4">
        <v>302498</v>
      </c>
      <c r="P290" s="4">
        <v>1083034</v>
      </c>
      <c r="Q290" s="103">
        <f t="shared" si="54"/>
        <v>120966</v>
      </c>
      <c r="R290" s="96">
        <f t="shared" si="57"/>
        <v>127806</v>
      </c>
      <c r="S290" s="104">
        <f t="shared" si="66"/>
        <v>-32</v>
      </c>
      <c r="T290" s="12">
        <f t="shared" si="67"/>
        <v>3067</v>
      </c>
      <c r="U290" s="68"/>
      <c r="V290" s="196"/>
    </row>
    <row r="291" spans="1:22" x14ac:dyDescent="0.25">
      <c r="A291" s="107">
        <v>44182</v>
      </c>
      <c r="B291" s="126">
        <v>7326</v>
      </c>
      <c r="C291" s="154">
        <f t="shared" si="68"/>
        <v>1524372</v>
      </c>
      <c r="D291" s="126">
        <v>169</v>
      </c>
      <c r="E291" s="126">
        <f t="shared" si="61"/>
        <v>41495</v>
      </c>
      <c r="F291" s="126">
        <f t="shared" si="65"/>
        <v>4642</v>
      </c>
      <c r="G291" s="154">
        <v>1352556</v>
      </c>
      <c r="H291" s="126">
        <v>3471</v>
      </c>
      <c r="I291" s="126">
        <v>31936</v>
      </c>
      <c r="J291" s="4">
        <f t="shared" si="52"/>
        <v>4370933</v>
      </c>
      <c r="K291" s="7">
        <v>5509</v>
      </c>
      <c r="L291" s="7">
        <v>2279140</v>
      </c>
      <c r="M291" s="103">
        <f t="shared" si="53"/>
        <v>2284649</v>
      </c>
      <c r="N291" s="4">
        <v>10614</v>
      </c>
      <c r="O291" s="4">
        <v>304151</v>
      </c>
      <c r="P291" s="4">
        <v>1088190</v>
      </c>
      <c r="Q291" s="103">
        <f t="shared" si="54"/>
        <v>121417</v>
      </c>
      <c r="R291" s="96">
        <f t="shared" si="57"/>
        <v>130321</v>
      </c>
      <c r="S291" s="104">
        <f t="shared" si="66"/>
        <v>28</v>
      </c>
      <c r="T291" s="12">
        <f t="shared" si="67"/>
        <v>2515</v>
      </c>
      <c r="U291" s="68"/>
      <c r="V291" s="196"/>
    </row>
    <row r="292" spans="1:22" x14ac:dyDescent="0.25">
      <c r="A292" s="109">
        <v>44183</v>
      </c>
      <c r="B292" s="133">
        <v>7002</v>
      </c>
      <c r="C292" s="155">
        <f t="shared" si="68"/>
        <v>1531374</v>
      </c>
      <c r="D292" s="133">
        <v>138</v>
      </c>
      <c r="E292" s="126">
        <f t="shared" si="61"/>
        <v>41633</v>
      </c>
      <c r="F292" s="133">
        <f t="shared" si="65"/>
        <v>4199</v>
      </c>
      <c r="G292" s="154">
        <v>1356755</v>
      </c>
      <c r="H292" s="133">
        <v>3434</v>
      </c>
      <c r="I292" s="133">
        <v>32002</v>
      </c>
      <c r="J292" s="4">
        <f t="shared" si="52"/>
        <v>4402935</v>
      </c>
      <c r="K292" s="30">
        <v>5573</v>
      </c>
      <c r="L292" s="30">
        <v>2298394</v>
      </c>
      <c r="M292" s="110">
        <f t="shared" si="53"/>
        <v>2303967</v>
      </c>
      <c r="N292" s="27">
        <v>10658</v>
      </c>
      <c r="O292" s="27">
        <v>305458</v>
      </c>
      <c r="P292" s="27">
        <v>1093180</v>
      </c>
      <c r="Q292" s="110">
        <f t="shared" si="54"/>
        <v>122078</v>
      </c>
      <c r="R292" s="96">
        <f t="shared" si="57"/>
        <v>132986</v>
      </c>
      <c r="S292" s="104">
        <f t="shared" si="66"/>
        <v>-37</v>
      </c>
      <c r="T292" s="12">
        <f t="shared" si="67"/>
        <v>2665</v>
      </c>
      <c r="U292" s="68"/>
      <c r="V292" s="196"/>
    </row>
    <row r="293" spans="1:22" x14ac:dyDescent="0.25">
      <c r="A293" s="114">
        <v>44184</v>
      </c>
      <c r="B293" s="140">
        <v>5795</v>
      </c>
      <c r="C293" s="347">
        <f t="shared" si="68"/>
        <v>1537169</v>
      </c>
      <c r="D293" s="140">
        <v>91</v>
      </c>
      <c r="E293" s="126">
        <f t="shared" si="61"/>
        <v>41724</v>
      </c>
      <c r="F293" s="140">
        <f t="shared" si="65"/>
        <v>5862</v>
      </c>
      <c r="G293" s="154">
        <v>1362617</v>
      </c>
      <c r="H293" s="140">
        <v>3452</v>
      </c>
      <c r="I293" s="140">
        <v>27403</v>
      </c>
      <c r="J293" s="4">
        <f t="shared" si="52"/>
        <v>4430338</v>
      </c>
      <c r="K293" s="112">
        <v>5632</v>
      </c>
      <c r="L293" s="112">
        <v>2314565</v>
      </c>
      <c r="M293" s="113">
        <f t="shared" si="53"/>
        <v>2320197</v>
      </c>
      <c r="N293" s="111">
        <v>10688</v>
      </c>
      <c r="O293" s="111">
        <v>306243</v>
      </c>
      <c r="P293" s="111">
        <v>1096091</v>
      </c>
      <c r="Q293" s="113">
        <f t="shared" si="54"/>
        <v>124147</v>
      </c>
      <c r="R293" s="96">
        <f t="shared" si="57"/>
        <v>132828</v>
      </c>
      <c r="S293" s="108">
        <f t="shared" si="66"/>
        <v>18</v>
      </c>
      <c r="T293" s="12">
        <f t="shared" si="67"/>
        <v>-158</v>
      </c>
      <c r="U293" s="68"/>
      <c r="V293" s="196"/>
    </row>
    <row r="294" spans="1:22" x14ac:dyDescent="0.25">
      <c r="A294" s="116">
        <v>44185</v>
      </c>
      <c r="B294" s="133">
        <v>4116</v>
      </c>
      <c r="C294" s="155">
        <f t="shared" si="68"/>
        <v>1541285</v>
      </c>
      <c r="D294" s="133">
        <v>50</v>
      </c>
      <c r="E294" s="126">
        <f t="shared" si="61"/>
        <v>41774</v>
      </c>
      <c r="F294" s="133">
        <f t="shared" si="65"/>
        <v>5729</v>
      </c>
      <c r="G294" s="154">
        <v>1368346</v>
      </c>
      <c r="H294" s="133">
        <v>3462</v>
      </c>
      <c r="I294" s="133">
        <v>32148</v>
      </c>
      <c r="J294" s="4">
        <f t="shared" si="52"/>
        <v>4462486</v>
      </c>
      <c r="K294" s="117">
        <v>5765</v>
      </c>
      <c r="L294" s="118">
        <v>2338847</v>
      </c>
      <c r="M294" s="119">
        <f t="shared" si="53"/>
        <v>2344612</v>
      </c>
      <c r="N294" s="115">
        <v>10715</v>
      </c>
      <c r="O294" s="115">
        <v>306830</v>
      </c>
      <c r="P294" s="115">
        <v>1098359</v>
      </c>
      <c r="Q294" s="119">
        <f t="shared" si="54"/>
        <v>125381</v>
      </c>
      <c r="R294" s="96">
        <f t="shared" si="57"/>
        <v>131165</v>
      </c>
      <c r="S294" s="120">
        <f t="shared" si="66"/>
        <v>10</v>
      </c>
      <c r="T294" s="92">
        <f t="shared" si="67"/>
        <v>-1663</v>
      </c>
      <c r="U294" s="68"/>
      <c r="V294" s="196"/>
    </row>
    <row r="295" spans="1:22" x14ac:dyDescent="0.25">
      <c r="A295" s="107">
        <v>44186</v>
      </c>
      <c r="B295" s="126">
        <v>5853</v>
      </c>
      <c r="C295" s="154">
        <f t="shared" si="68"/>
        <v>1547138</v>
      </c>
      <c r="D295" s="126">
        <v>184</v>
      </c>
      <c r="E295" s="126">
        <f t="shared" si="61"/>
        <v>41958</v>
      </c>
      <c r="F295" s="126">
        <f t="shared" si="65"/>
        <v>6055</v>
      </c>
      <c r="G295" s="154">
        <v>1374401</v>
      </c>
      <c r="H295" s="126">
        <v>3367</v>
      </c>
      <c r="I295" s="126">
        <v>24076</v>
      </c>
      <c r="J295" s="4">
        <f t="shared" si="52"/>
        <v>4486562</v>
      </c>
      <c r="K295" s="7">
        <v>5890</v>
      </c>
      <c r="L295" s="7">
        <v>2353622</v>
      </c>
      <c r="M295" s="103">
        <f t="shared" si="53"/>
        <v>2359512</v>
      </c>
      <c r="N295" s="4">
        <v>10750</v>
      </c>
      <c r="O295" s="4">
        <v>308256</v>
      </c>
      <c r="P295" s="4">
        <v>1103443</v>
      </c>
      <c r="Q295" s="103">
        <f t="shared" si="54"/>
        <v>124689</v>
      </c>
      <c r="R295" s="96">
        <f t="shared" si="57"/>
        <v>130779</v>
      </c>
      <c r="S295" s="104">
        <f t="shared" si="66"/>
        <v>-95</v>
      </c>
      <c r="T295" s="12">
        <f t="shared" si="67"/>
        <v>-386</v>
      </c>
      <c r="U295" s="68"/>
      <c r="V295" s="196"/>
    </row>
    <row r="296" spans="1:22" x14ac:dyDescent="0.25">
      <c r="A296" s="107">
        <v>44187</v>
      </c>
      <c r="B296" s="126">
        <v>8141</v>
      </c>
      <c r="C296" s="154">
        <f t="shared" ref="C296:C332" si="69">C295+B296</f>
        <v>1555279</v>
      </c>
      <c r="D296" s="126">
        <v>255</v>
      </c>
      <c r="E296" s="126">
        <f t="shared" si="61"/>
        <v>42213</v>
      </c>
      <c r="F296" s="126">
        <f t="shared" si="65"/>
        <v>5325</v>
      </c>
      <c r="G296" s="154">
        <v>1379726</v>
      </c>
      <c r="H296" s="126">
        <v>3399</v>
      </c>
      <c r="I296" s="126">
        <v>37688</v>
      </c>
      <c r="J296" s="4">
        <f t="shared" si="52"/>
        <v>4524250</v>
      </c>
      <c r="K296" s="7">
        <v>5936</v>
      </c>
      <c r="L296" s="7">
        <v>2390200</v>
      </c>
      <c r="M296" s="103">
        <f t="shared" si="53"/>
        <v>2396136</v>
      </c>
      <c r="N296" s="4">
        <v>10808</v>
      </c>
      <c r="O296" s="4">
        <v>309842</v>
      </c>
      <c r="P296" s="4">
        <v>1109025</v>
      </c>
      <c r="Q296" s="103">
        <f t="shared" si="54"/>
        <v>125604</v>
      </c>
      <c r="R296" s="96">
        <f t="shared" si="57"/>
        <v>133340</v>
      </c>
      <c r="S296" s="39">
        <f>H296-H295</f>
        <v>32</v>
      </c>
      <c r="T296" s="91">
        <f t="shared" ref="T296:T306" si="70">(C296-G296-E296)-(C295-E295-G295)</f>
        <v>2561</v>
      </c>
      <c r="U296" s="68"/>
      <c r="V296" s="196"/>
    </row>
    <row r="297" spans="1:22" x14ac:dyDescent="0.25">
      <c r="A297" s="107">
        <v>44188</v>
      </c>
      <c r="B297" s="126">
        <v>8586</v>
      </c>
      <c r="C297" s="154">
        <f t="shared" si="69"/>
        <v>1563865</v>
      </c>
      <c r="D297" s="126">
        <v>60</v>
      </c>
      <c r="E297" s="126">
        <f t="shared" si="61"/>
        <v>42273</v>
      </c>
      <c r="F297" s="126">
        <f t="shared" si="65"/>
        <v>4551</v>
      </c>
      <c r="G297" s="154">
        <v>1384277</v>
      </c>
      <c r="H297" s="126">
        <v>3390</v>
      </c>
      <c r="I297" s="126">
        <v>39323</v>
      </c>
      <c r="J297" s="4">
        <f t="shared" si="52"/>
        <v>4563573</v>
      </c>
      <c r="K297" s="7">
        <v>5897</v>
      </c>
      <c r="L297" s="7">
        <v>2402139</v>
      </c>
      <c r="M297" s="103">
        <f t="shared" si="53"/>
        <v>2408036</v>
      </c>
      <c r="N297" s="4">
        <v>10873</v>
      </c>
      <c r="O297" s="4">
        <v>311072</v>
      </c>
      <c r="P297" s="4">
        <v>1114236</v>
      </c>
      <c r="Q297" s="103">
        <f t="shared" si="54"/>
        <v>127684</v>
      </c>
      <c r="R297" s="96">
        <f t="shared" si="57"/>
        <v>137315</v>
      </c>
      <c r="S297" s="39">
        <f>H297-H296</f>
        <v>-9</v>
      </c>
      <c r="T297" s="91">
        <f t="shared" si="70"/>
        <v>3975</v>
      </c>
      <c r="U297" s="68"/>
      <c r="V297" s="196"/>
    </row>
    <row r="298" spans="1:22" x14ac:dyDescent="0.25">
      <c r="A298" s="109">
        <v>44189</v>
      </c>
      <c r="B298" s="133">
        <v>7815</v>
      </c>
      <c r="C298" s="155">
        <f t="shared" si="69"/>
        <v>1571680</v>
      </c>
      <c r="D298" s="133">
        <v>78</v>
      </c>
      <c r="E298" s="126">
        <f t="shared" si="61"/>
        <v>42351</v>
      </c>
      <c r="F298" s="133">
        <f t="shared" si="65"/>
        <v>6439</v>
      </c>
      <c r="G298" s="155">
        <v>1390716</v>
      </c>
      <c r="H298" s="133">
        <v>3390</v>
      </c>
      <c r="I298" s="126">
        <v>24457</v>
      </c>
      <c r="J298" s="4">
        <f t="shared" ref="J298:J361" si="71">J299-I299</f>
        <v>4588030</v>
      </c>
      <c r="K298" s="7">
        <v>5908</v>
      </c>
      <c r="L298" s="7">
        <v>2423214</v>
      </c>
      <c r="M298" s="103">
        <f t="shared" si="53"/>
        <v>2429122</v>
      </c>
      <c r="N298" s="4">
        <v>10910</v>
      </c>
      <c r="O298" s="4">
        <v>311984</v>
      </c>
      <c r="P298" s="4">
        <v>1119801</v>
      </c>
      <c r="Q298" s="103">
        <f t="shared" si="54"/>
        <v>128985</v>
      </c>
      <c r="R298" s="96">
        <f t="shared" si="57"/>
        <v>138613</v>
      </c>
      <c r="S298" s="39">
        <f>H298-H297</f>
        <v>0</v>
      </c>
      <c r="T298" s="91">
        <f t="shared" si="70"/>
        <v>1298</v>
      </c>
      <c r="U298" s="68"/>
      <c r="V298" s="196"/>
    </row>
    <row r="299" spans="1:22" x14ac:dyDescent="0.25">
      <c r="A299" s="122">
        <v>44190</v>
      </c>
      <c r="B299" s="141">
        <v>2874</v>
      </c>
      <c r="C299" s="156">
        <f t="shared" si="69"/>
        <v>1574554</v>
      </c>
      <c r="D299" s="141">
        <v>30</v>
      </c>
      <c r="E299" s="126">
        <f t="shared" si="61"/>
        <v>42381</v>
      </c>
      <c r="F299" s="141">
        <f t="shared" si="65"/>
        <v>5946</v>
      </c>
      <c r="G299" s="156">
        <v>1396662</v>
      </c>
      <c r="H299" s="141">
        <v>3390</v>
      </c>
      <c r="I299" s="192">
        <v>24454</v>
      </c>
      <c r="J299" s="4">
        <f t="shared" si="71"/>
        <v>4612484</v>
      </c>
      <c r="K299" s="7">
        <v>5907</v>
      </c>
      <c r="L299" s="7">
        <v>2430506</v>
      </c>
      <c r="M299" s="103">
        <f t="shared" si="53"/>
        <v>2436413</v>
      </c>
      <c r="N299" s="4">
        <v>10934</v>
      </c>
      <c r="O299" s="4">
        <v>312308</v>
      </c>
      <c r="P299" s="4">
        <v>1125100</v>
      </c>
      <c r="Q299" s="103">
        <f t="shared" si="54"/>
        <v>126212</v>
      </c>
      <c r="R299" s="96">
        <f t="shared" si="57"/>
        <v>135511</v>
      </c>
      <c r="S299" s="39">
        <f>H299-H298</f>
        <v>0</v>
      </c>
      <c r="T299" s="91">
        <f t="shared" si="70"/>
        <v>-3102</v>
      </c>
      <c r="U299" s="68"/>
      <c r="V299" s="196"/>
    </row>
    <row r="300" spans="1:22" x14ac:dyDescent="0.25">
      <c r="A300" s="122">
        <v>44191</v>
      </c>
      <c r="B300" s="141">
        <v>3713</v>
      </c>
      <c r="C300" s="156">
        <f t="shared" si="69"/>
        <v>1578267</v>
      </c>
      <c r="D300" s="141">
        <v>79</v>
      </c>
      <c r="E300" s="126">
        <f t="shared" si="61"/>
        <v>42460</v>
      </c>
      <c r="F300" s="141">
        <f t="shared" si="65"/>
        <v>5565</v>
      </c>
      <c r="G300" s="156">
        <v>1402227</v>
      </c>
      <c r="H300" s="141">
        <v>3262</v>
      </c>
      <c r="I300" s="192">
        <v>14984</v>
      </c>
      <c r="J300" s="4">
        <f t="shared" si="71"/>
        <v>4627468</v>
      </c>
      <c r="K300" s="7">
        <v>5931</v>
      </c>
      <c r="L300" s="7">
        <v>2439459</v>
      </c>
      <c r="M300" s="103">
        <f>L300+K300</f>
        <v>2445390</v>
      </c>
      <c r="N300" s="4">
        <v>10957</v>
      </c>
      <c r="O300" s="4">
        <v>312971</v>
      </c>
      <c r="P300" s="4">
        <v>1128587</v>
      </c>
      <c r="Q300" s="103">
        <f>C300-N300-O300-P300</f>
        <v>125752</v>
      </c>
      <c r="R300" s="96">
        <f t="shared" si="57"/>
        <v>133580</v>
      </c>
      <c r="S300" s="39">
        <f>H300-H297</f>
        <v>-128</v>
      </c>
      <c r="T300" s="91">
        <f t="shared" si="70"/>
        <v>-1931</v>
      </c>
      <c r="U300" s="68"/>
      <c r="V300" s="196"/>
    </row>
    <row r="301" spans="1:22" x14ac:dyDescent="0.25">
      <c r="A301" s="123">
        <v>44192</v>
      </c>
      <c r="B301" s="142">
        <v>5030</v>
      </c>
      <c r="C301" s="157">
        <f t="shared" si="69"/>
        <v>1583297</v>
      </c>
      <c r="D301" s="142">
        <v>149</v>
      </c>
      <c r="E301" s="126">
        <f t="shared" si="61"/>
        <v>42609</v>
      </c>
      <c r="F301" s="142">
        <f t="shared" si="65"/>
        <v>5699</v>
      </c>
      <c r="G301" s="157">
        <v>1407926</v>
      </c>
      <c r="H301" s="142">
        <v>3313</v>
      </c>
      <c r="I301" s="194">
        <v>21455</v>
      </c>
      <c r="J301" s="4">
        <f t="shared" si="71"/>
        <v>4648923</v>
      </c>
      <c r="K301" s="30">
        <v>5941</v>
      </c>
      <c r="L301" s="30">
        <v>2453195</v>
      </c>
      <c r="M301" s="110">
        <f>L301+K301</f>
        <v>2459136</v>
      </c>
      <c r="N301" s="27">
        <v>10979</v>
      </c>
      <c r="O301" s="27">
        <v>313631</v>
      </c>
      <c r="P301" s="27">
        <v>1131589</v>
      </c>
      <c r="Q301" s="110">
        <f>C301-N301-O301-P301</f>
        <v>127098</v>
      </c>
      <c r="R301" s="96">
        <f t="shared" si="57"/>
        <v>132762</v>
      </c>
      <c r="S301" s="67">
        <f t="shared" ref="S301:S306" si="72">H301-H300</f>
        <v>51</v>
      </c>
      <c r="T301" s="121">
        <f t="shared" si="70"/>
        <v>-818</v>
      </c>
      <c r="U301" s="68"/>
      <c r="V301" s="196"/>
    </row>
    <row r="302" spans="1:22" x14ac:dyDescent="0.25">
      <c r="A302" s="107">
        <v>44193</v>
      </c>
      <c r="B302" s="126">
        <v>7216</v>
      </c>
      <c r="C302" s="154">
        <f t="shared" si="69"/>
        <v>1590513</v>
      </c>
      <c r="D302" s="126">
        <v>218</v>
      </c>
      <c r="E302" s="126">
        <f t="shared" si="61"/>
        <v>42827</v>
      </c>
      <c r="F302" s="126">
        <f t="shared" si="65"/>
        <v>6754</v>
      </c>
      <c r="G302" s="154">
        <v>1414680</v>
      </c>
      <c r="H302" s="126">
        <v>3319</v>
      </c>
      <c r="I302" s="126">
        <v>28978</v>
      </c>
      <c r="J302" s="4">
        <f t="shared" si="71"/>
        <v>4677901</v>
      </c>
      <c r="K302" s="7">
        <v>6049</v>
      </c>
      <c r="L302" s="7">
        <v>2470756</v>
      </c>
      <c r="M302" s="103">
        <f>L302+K302</f>
        <v>2476805</v>
      </c>
      <c r="N302" s="4">
        <v>11048</v>
      </c>
      <c r="O302" s="4">
        <v>315189</v>
      </c>
      <c r="P302" s="4">
        <v>1138116</v>
      </c>
      <c r="Q302" s="103">
        <f>C302-N302-O302-P302</f>
        <v>126160</v>
      </c>
      <c r="R302" s="96">
        <f t="shared" si="57"/>
        <v>133006</v>
      </c>
      <c r="S302" s="39">
        <f t="shared" si="72"/>
        <v>6</v>
      </c>
      <c r="T302" s="91">
        <f t="shared" si="70"/>
        <v>244</v>
      </c>
      <c r="U302" s="68"/>
      <c r="V302" s="196"/>
    </row>
    <row r="303" spans="1:22" x14ac:dyDescent="0.25">
      <c r="A303" s="107">
        <v>44194</v>
      </c>
      <c r="B303" s="126">
        <v>11650</v>
      </c>
      <c r="C303" s="154">
        <f t="shared" si="69"/>
        <v>1602163</v>
      </c>
      <c r="D303" s="126">
        <v>151</v>
      </c>
      <c r="E303" s="126">
        <f t="shared" si="61"/>
        <v>42978</v>
      </c>
      <c r="F303" s="126">
        <f t="shared" si="65"/>
        <v>6205</v>
      </c>
      <c r="G303" s="154">
        <v>1420885</v>
      </c>
      <c r="H303" s="126">
        <v>3345</v>
      </c>
      <c r="I303" s="126">
        <v>45084</v>
      </c>
      <c r="J303" s="4">
        <f t="shared" si="71"/>
        <v>4722985</v>
      </c>
      <c r="K303" s="7">
        <v>6141</v>
      </c>
      <c r="L303" s="7">
        <v>2494970</v>
      </c>
      <c r="M303" s="103">
        <f>L303+K303</f>
        <v>2501111</v>
      </c>
      <c r="N303" s="4">
        <v>11121</v>
      </c>
      <c r="O303" s="4">
        <v>316933</v>
      </c>
      <c r="P303" s="4">
        <v>1144766</v>
      </c>
      <c r="Q303" s="103">
        <f>C303-N303-O303-P303</f>
        <v>129343</v>
      </c>
      <c r="R303" s="96">
        <f t="shared" si="57"/>
        <v>138300</v>
      </c>
      <c r="S303" s="39">
        <f t="shared" si="72"/>
        <v>26</v>
      </c>
      <c r="T303" s="91">
        <f t="shared" si="70"/>
        <v>5294</v>
      </c>
      <c r="U303" s="68"/>
      <c r="V303" s="196"/>
    </row>
    <row r="304" spans="1:22" x14ac:dyDescent="0.25">
      <c r="A304" s="107">
        <v>44195</v>
      </c>
      <c r="B304" s="126">
        <v>11765</v>
      </c>
      <c r="C304" s="154">
        <f t="shared" si="69"/>
        <v>1613928</v>
      </c>
      <c r="D304" s="126">
        <v>145</v>
      </c>
      <c r="E304" s="126">
        <f t="shared" si="61"/>
        <v>43123</v>
      </c>
      <c r="F304" s="126">
        <f t="shared" si="65"/>
        <v>5791</v>
      </c>
      <c r="G304" s="154">
        <v>1426676</v>
      </c>
      <c r="H304" s="126">
        <v>3440</v>
      </c>
      <c r="I304" s="126">
        <v>54126</v>
      </c>
      <c r="J304" s="4">
        <f t="shared" si="71"/>
        <v>4777111</v>
      </c>
      <c r="K304" s="7">
        <v>6228</v>
      </c>
      <c r="L304" s="7">
        <v>2530000</v>
      </c>
      <c r="M304" s="4">
        <f>L304+K304</f>
        <v>2536228</v>
      </c>
      <c r="N304" s="4">
        <v>11167</v>
      </c>
      <c r="O304" s="4">
        <v>318837</v>
      </c>
      <c r="P304" s="4">
        <v>1151278</v>
      </c>
      <c r="Q304" s="103">
        <f>C304-N304-O304-P304</f>
        <v>132646</v>
      </c>
      <c r="R304" s="96">
        <f t="shared" si="57"/>
        <v>144129</v>
      </c>
      <c r="S304" s="39">
        <f t="shared" si="72"/>
        <v>95</v>
      </c>
      <c r="T304" s="91">
        <f t="shared" si="70"/>
        <v>5829</v>
      </c>
      <c r="U304" s="68"/>
      <c r="V304" s="196"/>
    </row>
    <row r="305" spans="1:23" x14ac:dyDescent="0.25">
      <c r="A305" s="107">
        <v>44196</v>
      </c>
      <c r="B305" s="126">
        <v>11587</v>
      </c>
      <c r="C305" s="154">
        <f t="shared" si="69"/>
        <v>1625515</v>
      </c>
      <c r="D305" s="126">
        <v>82</v>
      </c>
      <c r="E305" s="126">
        <f t="shared" si="61"/>
        <v>43205</v>
      </c>
      <c r="F305" s="126">
        <f t="shared" si="65"/>
        <v>7240</v>
      </c>
      <c r="G305" s="154">
        <v>1433916</v>
      </c>
      <c r="H305" s="126">
        <v>3440</v>
      </c>
      <c r="I305" s="195">
        <v>42835</v>
      </c>
      <c r="J305" s="4">
        <f t="shared" si="71"/>
        <v>4819946</v>
      </c>
      <c r="K305" s="7">
        <v>6253</v>
      </c>
      <c r="L305" s="7">
        <v>2558714</v>
      </c>
      <c r="M305" s="4">
        <f t="shared" ref="M305:M329" si="73">L305+K305</f>
        <v>2564967</v>
      </c>
      <c r="N305" s="4">
        <v>11236</v>
      </c>
      <c r="O305" s="4">
        <v>320315</v>
      </c>
      <c r="P305" s="4">
        <v>1155875</v>
      </c>
      <c r="Q305" s="103">
        <f t="shared" ref="Q305:Q324" si="74">C305-N305-O305-P305</f>
        <v>138089</v>
      </c>
      <c r="R305" s="96">
        <f t="shared" si="57"/>
        <v>148394</v>
      </c>
      <c r="S305" s="39">
        <f t="shared" si="72"/>
        <v>0</v>
      </c>
      <c r="T305" s="91">
        <f t="shared" si="70"/>
        <v>4265</v>
      </c>
      <c r="U305" s="68"/>
      <c r="V305" s="196"/>
    </row>
    <row r="306" spans="1:23" x14ac:dyDescent="0.25">
      <c r="A306" s="107">
        <v>44197</v>
      </c>
      <c r="B306" s="126">
        <v>4079</v>
      </c>
      <c r="C306" s="154">
        <f t="shared" si="69"/>
        <v>1629594</v>
      </c>
      <c r="D306" s="126">
        <v>72</v>
      </c>
      <c r="E306" s="126">
        <f t="shared" si="61"/>
        <v>43277</v>
      </c>
      <c r="F306" s="126">
        <f t="shared" si="65"/>
        <v>6235</v>
      </c>
      <c r="G306" s="154">
        <v>1440151</v>
      </c>
      <c r="H306" s="126">
        <v>3440</v>
      </c>
      <c r="I306" s="195">
        <v>42835</v>
      </c>
      <c r="J306" s="4">
        <f t="shared" si="71"/>
        <v>4862781</v>
      </c>
      <c r="K306" s="7">
        <v>6254</v>
      </c>
      <c r="L306" s="7">
        <v>2565699</v>
      </c>
      <c r="M306" s="4">
        <f t="shared" si="73"/>
        <v>2571953</v>
      </c>
      <c r="N306" s="4">
        <v>11273</v>
      </c>
      <c r="O306" s="4">
        <v>320768</v>
      </c>
      <c r="P306" s="4">
        <v>1157648</v>
      </c>
      <c r="Q306" s="103">
        <f t="shared" si="74"/>
        <v>139905</v>
      </c>
      <c r="R306" s="96">
        <f t="shared" si="57"/>
        <v>146166</v>
      </c>
      <c r="S306" s="39">
        <f t="shared" si="72"/>
        <v>0</v>
      </c>
      <c r="T306" s="91">
        <f t="shared" si="70"/>
        <v>-2228</v>
      </c>
      <c r="U306" s="68"/>
      <c r="V306" s="196"/>
    </row>
    <row r="307" spans="1:23" x14ac:dyDescent="0.25">
      <c r="A307" s="107">
        <v>44198</v>
      </c>
      <c r="B307" s="126">
        <v>5240</v>
      </c>
      <c r="C307" s="154">
        <f t="shared" si="69"/>
        <v>1634834</v>
      </c>
      <c r="D307" s="126">
        <v>58</v>
      </c>
      <c r="E307" s="126">
        <f t="shared" si="61"/>
        <v>43335</v>
      </c>
      <c r="F307" s="126">
        <f t="shared" si="65"/>
        <v>6941</v>
      </c>
      <c r="G307" s="154">
        <v>1447092</v>
      </c>
      <c r="H307" s="126">
        <v>3438</v>
      </c>
      <c r="I307" s="126">
        <v>17270</v>
      </c>
      <c r="J307" s="4">
        <f t="shared" si="71"/>
        <v>4880051</v>
      </c>
      <c r="K307" s="7"/>
      <c r="L307" s="7"/>
      <c r="M307" s="4"/>
      <c r="N307" s="4">
        <v>11297</v>
      </c>
      <c r="O307" s="4">
        <v>321585</v>
      </c>
      <c r="P307" s="4">
        <v>1162294</v>
      </c>
      <c r="Q307" s="103">
        <f t="shared" si="74"/>
        <v>139658</v>
      </c>
      <c r="R307" s="96">
        <f t="shared" si="57"/>
        <v>144407</v>
      </c>
      <c r="S307" s="39">
        <f t="shared" ref="S307:S350" si="75">H307-H306</f>
        <v>-2</v>
      </c>
      <c r="T307" s="91">
        <f t="shared" ref="T307:T318" si="76">(C307-G307-E307)-(C306-E306-G306)</f>
        <v>-1759</v>
      </c>
      <c r="U307" s="68"/>
      <c r="V307" s="196"/>
    </row>
    <row r="308" spans="1:23" x14ac:dyDescent="0.25">
      <c r="A308" s="107">
        <v>44199</v>
      </c>
      <c r="B308" s="126">
        <v>5884</v>
      </c>
      <c r="C308" s="154">
        <f t="shared" si="69"/>
        <v>1640718</v>
      </c>
      <c r="D308" s="126">
        <v>107</v>
      </c>
      <c r="E308" s="126">
        <f t="shared" si="61"/>
        <v>43442</v>
      </c>
      <c r="F308" s="126">
        <f t="shared" si="65"/>
        <v>5868</v>
      </c>
      <c r="G308" s="154">
        <v>1452960</v>
      </c>
      <c r="H308" s="126">
        <v>3433</v>
      </c>
      <c r="I308" s="126">
        <v>22180</v>
      </c>
      <c r="J308" s="4">
        <f t="shared" si="71"/>
        <v>4902231</v>
      </c>
      <c r="K308" s="7"/>
      <c r="L308" s="7"/>
      <c r="M308" s="4"/>
      <c r="N308" s="4">
        <v>11322</v>
      </c>
      <c r="O308" s="4">
        <v>322365</v>
      </c>
      <c r="P308" s="4">
        <v>1165866</v>
      </c>
      <c r="Q308" s="103">
        <f t="shared" si="74"/>
        <v>141165</v>
      </c>
      <c r="R308" s="96">
        <f t="shared" si="57"/>
        <v>144316</v>
      </c>
      <c r="S308" s="39">
        <f t="shared" si="75"/>
        <v>-5</v>
      </c>
      <c r="T308" s="91">
        <f t="shared" si="76"/>
        <v>-91</v>
      </c>
      <c r="U308" s="68"/>
      <c r="V308" s="196"/>
    </row>
    <row r="309" spans="1:23" x14ac:dyDescent="0.25">
      <c r="A309" s="109">
        <v>44200</v>
      </c>
      <c r="B309" s="133">
        <v>8222</v>
      </c>
      <c r="C309" s="155">
        <f t="shared" si="69"/>
        <v>1648940</v>
      </c>
      <c r="D309" s="133">
        <v>152</v>
      </c>
      <c r="E309" s="126">
        <f t="shared" si="61"/>
        <v>43594</v>
      </c>
      <c r="F309" s="133">
        <f t="shared" si="65"/>
        <v>5123</v>
      </c>
      <c r="G309" s="155">
        <v>1458083</v>
      </c>
      <c r="H309" s="133">
        <v>3502</v>
      </c>
      <c r="I309" s="133">
        <v>31819</v>
      </c>
      <c r="J309" s="4">
        <f t="shared" si="71"/>
        <v>4934050</v>
      </c>
      <c r="K309" s="30">
        <v>6347</v>
      </c>
      <c r="L309" s="30">
        <v>2612496</v>
      </c>
      <c r="M309" s="30">
        <f>L309+K309</f>
        <v>2618843</v>
      </c>
      <c r="N309" s="27">
        <v>11385</v>
      </c>
      <c r="O309" s="27">
        <v>323665</v>
      </c>
      <c r="P309" s="27">
        <v>1174600</v>
      </c>
      <c r="Q309" s="110">
        <f t="shared" si="74"/>
        <v>139290</v>
      </c>
      <c r="R309" s="96">
        <f t="shared" si="57"/>
        <v>147263</v>
      </c>
      <c r="S309" s="67">
        <f t="shared" si="75"/>
        <v>69</v>
      </c>
      <c r="T309" s="121">
        <f t="shared" si="76"/>
        <v>2947</v>
      </c>
      <c r="U309" s="68"/>
      <c r="V309" s="196"/>
    </row>
    <row r="310" spans="1:23" x14ac:dyDescent="0.25">
      <c r="A310" s="107">
        <v>44201</v>
      </c>
      <c r="B310" s="126">
        <v>13790</v>
      </c>
      <c r="C310" s="154">
        <f t="shared" si="69"/>
        <v>1662730</v>
      </c>
      <c r="D310" s="126">
        <v>151</v>
      </c>
      <c r="E310" s="126">
        <f t="shared" si="61"/>
        <v>43745</v>
      </c>
      <c r="F310" s="126">
        <f t="shared" si="65"/>
        <v>8533</v>
      </c>
      <c r="G310" s="154">
        <v>1466616</v>
      </c>
      <c r="H310" s="126">
        <v>3460</v>
      </c>
      <c r="I310" s="126">
        <v>50068</v>
      </c>
      <c r="J310" s="4">
        <f t="shared" si="71"/>
        <v>4984118</v>
      </c>
      <c r="K310" s="7">
        <v>6429</v>
      </c>
      <c r="L310" s="7">
        <v>2640401</v>
      </c>
      <c r="M310" s="4">
        <f t="shared" si="73"/>
        <v>2646830</v>
      </c>
      <c r="N310" s="4">
        <v>11472</v>
      </c>
      <c r="O310" s="4">
        <v>325591</v>
      </c>
      <c r="P310" s="4">
        <v>1184842</v>
      </c>
      <c r="Q310" s="103">
        <f t="shared" si="74"/>
        <v>140825</v>
      </c>
      <c r="R310" s="96">
        <f t="shared" ref="R310:R317" si="77">C310-E310-G310</f>
        <v>152369</v>
      </c>
      <c r="S310" s="39">
        <f t="shared" si="75"/>
        <v>-42</v>
      </c>
      <c r="T310" s="91">
        <f t="shared" si="76"/>
        <v>5106</v>
      </c>
      <c r="U310" s="68"/>
      <c r="V310" s="196"/>
    </row>
    <row r="311" spans="1:23" x14ac:dyDescent="0.25">
      <c r="A311" s="107">
        <v>44202</v>
      </c>
      <c r="B311" s="126">
        <v>13441</v>
      </c>
      <c r="C311" s="154">
        <f t="shared" si="69"/>
        <v>1676171</v>
      </c>
      <c r="D311" s="126">
        <v>191</v>
      </c>
      <c r="E311" s="126">
        <f t="shared" si="61"/>
        <v>43936</v>
      </c>
      <c r="F311" s="126">
        <f t="shared" si="65"/>
        <v>7432</v>
      </c>
      <c r="G311" s="154">
        <v>1474048</v>
      </c>
      <c r="H311" s="126">
        <v>3521</v>
      </c>
      <c r="I311" s="126">
        <v>49116</v>
      </c>
      <c r="J311" s="4">
        <f t="shared" si="71"/>
        <v>5033234</v>
      </c>
      <c r="K311" s="7">
        <v>6530</v>
      </c>
      <c r="L311" s="7">
        <v>2668047</v>
      </c>
      <c r="M311" s="4">
        <f t="shared" si="73"/>
        <v>2674577</v>
      </c>
      <c r="N311" s="4">
        <v>11560</v>
      </c>
      <c r="O311" s="4">
        <v>327631</v>
      </c>
      <c r="P311" s="4">
        <v>1194273</v>
      </c>
      <c r="Q311" s="103">
        <f t="shared" si="74"/>
        <v>142707</v>
      </c>
      <c r="R311" s="96">
        <f t="shared" si="77"/>
        <v>158187</v>
      </c>
      <c r="S311" s="39">
        <f t="shared" si="75"/>
        <v>61</v>
      </c>
      <c r="T311" s="91">
        <f t="shared" si="76"/>
        <v>5818</v>
      </c>
      <c r="U311" s="68"/>
      <c r="V311" s="196"/>
    </row>
    <row r="312" spans="1:23" x14ac:dyDescent="0.25">
      <c r="A312" s="107">
        <v>44203</v>
      </c>
      <c r="B312" s="126">
        <v>13835</v>
      </c>
      <c r="C312" s="154">
        <f t="shared" si="69"/>
        <v>1690006</v>
      </c>
      <c r="D312" s="126">
        <v>146</v>
      </c>
      <c r="E312" s="126">
        <f t="shared" si="61"/>
        <v>44082</v>
      </c>
      <c r="F312" s="126">
        <f t="shared" si="65"/>
        <v>10746</v>
      </c>
      <c r="G312" s="154">
        <v>1484794</v>
      </c>
      <c r="H312" s="126">
        <v>3559</v>
      </c>
      <c r="I312" s="126">
        <v>49166</v>
      </c>
      <c r="J312" s="4">
        <f t="shared" si="71"/>
        <v>5082400</v>
      </c>
      <c r="K312" s="7">
        <v>6628</v>
      </c>
      <c r="L312" s="7">
        <v>2696083</v>
      </c>
      <c r="M312" s="4">
        <f t="shared" si="73"/>
        <v>2702711</v>
      </c>
      <c r="N312" s="4">
        <v>11682</v>
      </c>
      <c r="O312" s="4">
        <v>329806</v>
      </c>
      <c r="P312" s="4">
        <v>1200435</v>
      </c>
      <c r="Q312" s="103">
        <f t="shared" si="74"/>
        <v>148083</v>
      </c>
      <c r="R312" s="96">
        <f t="shared" si="77"/>
        <v>161130</v>
      </c>
      <c r="S312" s="39">
        <f t="shared" si="75"/>
        <v>38</v>
      </c>
      <c r="T312" s="91">
        <f t="shared" si="76"/>
        <v>2943</v>
      </c>
      <c r="U312" s="68"/>
      <c r="V312" s="196"/>
    </row>
    <row r="313" spans="1:23" x14ac:dyDescent="0.25">
      <c r="A313" s="107">
        <v>44204</v>
      </c>
      <c r="B313" s="126">
        <v>13346</v>
      </c>
      <c r="C313" s="154">
        <f t="shared" si="69"/>
        <v>1703352</v>
      </c>
      <c r="D313" s="126">
        <v>150</v>
      </c>
      <c r="E313" s="126">
        <f t="shared" si="61"/>
        <v>44232</v>
      </c>
      <c r="F313" s="126">
        <f t="shared" si="65"/>
        <v>10102</v>
      </c>
      <c r="G313" s="154">
        <v>1494896</v>
      </c>
      <c r="H313" s="126">
        <v>3602</v>
      </c>
      <c r="I313" s="126">
        <v>58329</v>
      </c>
      <c r="J313" s="4">
        <f t="shared" si="71"/>
        <v>5140729</v>
      </c>
      <c r="K313" s="7">
        <v>6768</v>
      </c>
      <c r="L313" s="7">
        <v>2723301</v>
      </c>
      <c r="M313" s="4">
        <f t="shared" si="73"/>
        <v>2730069</v>
      </c>
      <c r="N313" s="4">
        <v>11779</v>
      </c>
      <c r="O313" s="4">
        <v>332037</v>
      </c>
      <c r="P313" s="4">
        <v>1203533</v>
      </c>
      <c r="Q313" s="103">
        <f t="shared" si="74"/>
        <v>156003</v>
      </c>
      <c r="R313" s="96">
        <f t="shared" si="77"/>
        <v>164224</v>
      </c>
      <c r="S313" s="39">
        <f t="shared" si="75"/>
        <v>43</v>
      </c>
      <c r="T313" s="91">
        <f t="shared" si="76"/>
        <v>3094</v>
      </c>
      <c r="U313" s="68"/>
      <c r="V313" s="196"/>
    </row>
    <row r="314" spans="1:23" x14ac:dyDescent="0.25">
      <c r="A314" s="107">
        <v>44205</v>
      </c>
      <c r="B314" s="126">
        <v>11057</v>
      </c>
      <c r="C314" s="154">
        <f t="shared" si="69"/>
        <v>1714409</v>
      </c>
      <c r="D314" s="126">
        <v>142</v>
      </c>
      <c r="E314" s="126">
        <f t="shared" si="61"/>
        <v>44374</v>
      </c>
      <c r="F314" s="126">
        <f t="shared" si="65"/>
        <v>9434</v>
      </c>
      <c r="G314" s="154">
        <v>1504330</v>
      </c>
      <c r="H314" s="126">
        <v>3597</v>
      </c>
      <c r="I314" s="126">
        <v>31990</v>
      </c>
      <c r="J314" s="4">
        <f t="shared" si="71"/>
        <v>5172719</v>
      </c>
      <c r="K314" s="7">
        <v>6802</v>
      </c>
      <c r="L314" s="7">
        <v>2743144</v>
      </c>
      <c r="M314" s="4">
        <f t="shared" si="73"/>
        <v>2749946</v>
      </c>
      <c r="N314" s="4">
        <v>11857</v>
      </c>
      <c r="O314" s="4">
        <v>333247</v>
      </c>
      <c r="P314" s="4">
        <v>1209389</v>
      </c>
      <c r="Q314" s="103">
        <f t="shared" si="74"/>
        <v>159916</v>
      </c>
      <c r="R314" s="96">
        <f t="shared" si="77"/>
        <v>165705</v>
      </c>
      <c r="S314" s="39">
        <f t="shared" si="75"/>
        <v>-5</v>
      </c>
      <c r="T314" s="91">
        <f t="shared" si="76"/>
        <v>1481</v>
      </c>
      <c r="U314" s="68"/>
      <c r="V314" s="196"/>
    </row>
    <row r="315" spans="1:23" x14ac:dyDescent="0.25">
      <c r="A315" s="107">
        <v>44206</v>
      </c>
      <c r="B315" s="126">
        <v>7808</v>
      </c>
      <c r="C315" s="154">
        <f t="shared" si="69"/>
        <v>1722217</v>
      </c>
      <c r="D315" s="126">
        <v>78</v>
      </c>
      <c r="E315" s="126">
        <f t="shared" si="61"/>
        <v>44452</v>
      </c>
      <c r="F315" s="126">
        <f t="shared" si="65"/>
        <v>7420</v>
      </c>
      <c r="G315" s="154">
        <v>1511750</v>
      </c>
      <c r="H315" s="126">
        <v>3612</v>
      </c>
      <c r="I315" s="126">
        <v>38365</v>
      </c>
      <c r="J315" s="4">
        <f t="shared" si="71"/>
        <v>5211084</v>
      </c>
      <c r="K315" s="7">
        <v>6832</v>
      </c>
      <c r="L315" s="7">
        <v>2767568</v>
      </c>
      <c r="M315" s="4">
        <f t="shared" si="73"/>
        <v>2774400</v>
      </c>
      <c r="N315" s="4">
        <v>11922</v>
      </c>
      <c r="O315" s="4">
        <v>334269</v>
      </c>
      <c r="P315" s="4">
        <v>1213524</v>
      </c>
      <c r="Q315" s="103">
        <f t="shared" si="74"/>
        <v>162502</v>
      </c>
      <c r="R315" s="96">
        <f t="shared" si="77"/>
        <v>166015</v>
      </c>
      <c r="S315" s="39">
        <f t="shared" si="75"/>
        <v>15</v>
      </c>
      <c r="T315" s="91">
        <f t="shared" si="76"/>
        <v>310</v>
      </c>
      <c r="U315" s="68"/>
      <c r="V315" s="196"/>
    </row>
    <row r="316" spans="1:23" x14ac:dyDescent="0.25">
      <c r="A316" s="109">
        <v>44207</v>
      </c>
      <c r="B316" s="133">
        <v>8704</v>
      </c>
      <c r="C316" s="155">
        <f t="shared" si="69"/>
        <v>1730921</v>
      </c>
      <c r="D316" s="133">
        <v>160</v>
      </c>
      <c r="E316" s="126">
        <f t="shared" si="61"/>
        <v>44612</v>
      </c>
      <c r="F316" s="133">
        <f t="shared" si="65"/>
        <v>6965</v>
      </c>
      <c r="G316" s="155">
        <v>1518715</v>
      </c>
      <c r="H316" s="133">
        <v>3606</v>
      </c>
      <c r="I316" s="133">
        <v>32363</v>
      </c>
      <c r="J316" s="4">
        <f t="shared" si="71"/>
        <v>5243447</v>
      </c>
      <c r="K316" s="30">
        <v>6966</v>
      </c>
      <c r="L316" s="30">
        <v>2785278</v>
      </c>
      <c r="M316" s="27">
        <f t="shared" si="73"/>
        <v>2792244</v>
      </c>
      <c r="N316" s="27">
        <v>11973</v>
      </c>
      <c r="O316" s="27">
        <v>335669</v>
      </c>
      <c r="P316" s="27">
        <v>1223533</v>
      </c>
      <c r="Q316" s="110">
        <f t="shared" si="74"/>
        <v>159746</v>
      </c>
      <c r="R316" s="96">
        <f t="shared" si="77"/>
        <v>167594</v>
      </c>
      <c r="S316" s="39">
        <f t="shared" si="75"/>
        <v>-6</v>
      </c>
      <c r="T316" s="91">
        <f t="shared" si="76"/>
        <v>1579</v>
      </c>
      <c r="U316" s="68"/>
      <c r="V316" s="196"/>
    </row>
    <row r="317" spans="1:23" x14ac:dyDescent="0.25">
      <c r="A317" s="107">
        <v>44208</v>
      </c>
      <c r="B317" s="126">
        <v>13783</v>
      </c>
      <c r="C317" s="154">
        <f t="shared" si="69"/>
        <v>1744704</v>
      </c>
      <c r="D317" s="126">
        <v>192</v>
      </c>
      <c r="E317" s="126">
        <f t="shared" si="61"/>
        <v>44804</v>
      </c>
      <c r="F317" s="126">
        <f t="shared" si="65"/>
        <v>9146</v>
      </c>
      <c r="G317" s="154">
        <v>1527861</v>
      </c>
      <c r="H317" s="126">
        <v>3619</v>
      </c>
      <c r="I317" s="126">
        <v>54031</v>
      </c>
      <c r="J317" s="4">
        <f t="shared" si="71"/>
        <v>5297478</v>
      </c>
      <c r="K317" s="7">
        <v>7093</v>
      </c>
      <c r="L317" s="7">
        <v>2816031</v>
      </c>
      <c r="M317" s="4">
        <f t="shared" si="73"/>
        <v>2823124</v>
      </c>
      <c r="N317" s="4">
        <v>12085</v>
      </c>
      <c r="O317" s="4">
        <v>337864</v>
      </c>
      <c r="P317" s="4">
        <v>1234734</v>
      </c>
      <c r="Q317" s="103">
        <f t="shared" si="74"/>
        <v>160021</v>
      </c>
      <c r="R317" s="167">
        <f t="shared" si="77"/>
        <v>172039</v>
      </c>
      <c r="S317" s="39">
        <f t="shared" si="75"/>
        <v>13</v>
      </c>
      <c r="T317" s="91">
        <f t="shared" si="76"/>
        <v>4445</v>
      </c>
      <c r="U317" s="68"/>
      <c r="V317" s="196"/>
    </row>
    <row r="318" spans="1:23" x14ac:dyDescent="0.25">
      <c r="A318" s="107">
        <v>44209</v>
      </c>
      <c r="B318" s="126">
        <v>12725</v>
      </c>
      <c r="C318" s="154">
        <f t="shared" si="69"/>
        <v>1757429</v>
      </c>
      <c r="D318" s="126">
        <v>134</v>
      </c>
      <c r="E318" s="126">
        <f t="shared" si="61"/>
        <v>44938</v>
      </c>
      <c r="F318" s="126">
        <f t="shared" si="65"/>
        <v>8562</v>
      </c>
      <c r="G318" s="154">
        <v>1536423</v>
      </c>
      <c r="H318" s="126">
        <v>3636</v>
      </c>
      <c r="I318" s="126">
        <v>50648</v>
      </c>
      <c r="J318" s="4">
        <f t="shared" si="71"/>
        <v>5348126</v>
      </c>
      <c r="K318" s="7">
        <v>7265</v>
      </c>
      <c r="L318" s="7">
        <v>2845101</v>
      </c>
      <c r="M318" s="4">
        <f t="shared" si="73"/>
        <v>2852366</v>
      </c>
      <c r="N318" s="4">
        <v>12177</v>
      </c>
      <c r="O318" s="4">
        <v>339755</v>
      </c>
      <c r="P318" s="4">
        <v>1245296</v>
      </c>
      <c r="Q318" s="103">
        <f t="shared" si="74"/>
        <v>160201</v>
      </c>
      <c r="R318" s="96">
        <f t="shared" ref="R318:R331" si="78">C318-E318-G318</f>
        <v>176068</v>
      </c>
      <c r="S318" s="39">
        <f t="shared" si="75"/>
        <v>17</v>
      </c>
      <c r="T318" s="91">
        <f t="shared" si="76"/>
        <v>4029</v>
      </c>
      <c r="U318" s="68"/>
      <c r="V318" s="196"/>
      <c r="W318" s="68"/>
    </row>
    <row r="319" spans="1:23" x14ac:dyDescent="0.25">
      <c r="A319" s="107">
        <v>44210</v>
      </c>
      <c r="B319" s="126">
        <v>13286</v>
      </c>
      <c r="C319" s="154">
        <f t="shared" si="69"/>
        <v>1770715</v>
      </c>
      <c r="D319" s="173">
        <v>142</v>
      </c>
      <c r="E319" s="126">
        <f t="shared" si="61"/>
        <v>45080</v>
      </c>
      <c r="F319" s="126">
        <f t="shared" si="65"/>
        <v>13067</v>
      </c>
      <c r="G319" s="154">
        <v>1549490</v>
      </c>
      <c r="H319" s="126">
        <v>3634</v>
      </c>
      <c r="I319" s="126">
        <v>50729</v>
      </c>
      <c r="J319" s="4">
        <f t="shared" si="71"/>
        <v>5398855</v>
      </c>
      <c r="K319" s="7">
        <v>7473</v>
      </c>
      <c r="L319" s="7">
        <v>2874691</v>
      </c>
      <c r="M319" s="4">
        <f t="shared" si="73"/>
        <v>2882164</v>
      </c>
      <c r="N319" s="4">
        <v>12303</v>
      </c>
      <c r="O319" s="4">
        <v>342210</v>
      </c>
      <c r="P319" s="4">
        <v>1255146</v>
      </c>
      <c r="Q319" s="103">
        <f t="shared" si="74"/>
        <v>161056</v>
      </c>
      <c r="R319" s="96">
        <f t="shared" si="78"/>
        <v>176145</v>
      </c>
      <c r="S319" s="39">
        <f t="shared" si="75"/>
        <v>-2</v>
      </c>
      <c r="T319" s="91">
        <f t="shared" ref="T319:T334" si="79">(C319-G319-E319)-(C318-E318-G318)</f>
        <v>77</v>
      </c>
      <c r="U319" s="68"/>
      <c r="V319" s="196"/>
    </row>
    <row r="320" spans="1:23" x14ac:dyDescent="0.25">
      <c r="A320" s="107">
        <v>44211</v>
      </c>
      <c r="B320" s="126">
        <v>12332</v>
      </c>
      <c r="C320" s="154">
        <f t="shared" si="69"/>
        <v>1783047</v>
      </c>
      <c r="D320" s="126">
        <v>103</v>
      </c>
      <c r="E320" s="126">
        <f t="shared" si="61"/>
        <v>45183</v>
      </c>
      <c r="F320" s="126">
        <f t="shared" si="65"/>
        <v>12473</v>
      </c>
      <c r="G320" s="154">
        <v>1561963</v>
      </c>
      <c r="H320" s="126">
        <v>3578</v>
      </c>
      <c r="I320" s="126">
        <v>52120</v>
      </c>
      <c r="J320" s="4">
        <f t="shared" si="71"/>
        <v>5450975</v>
      </c>
      <c r="K320" s="7">
        <v>7640</v>
      </c>
      <c r="L320" s="7">
        <v>2906590</v>
      </c>
      <c r="M320" s="4">
        <f t="shared" si="73"/>
        <v>2914230</v>
      </c>
      <c r="N320" s="4">
        <v>12408</v>
      </c>
      <c r="O320" s="4">
        <v>344202</v>
      </c>
      <c r="P320" s="4">
        <v>1264935</v>
      </c>
      <c r="Q320" s="103">
        <f t="shared" si="74"/>
        <v>161502</v>
      </c>
      <c r="R320" s="96">
        <f t="shared" si="78"/>
        <v>175901</v>
      </c>
      <c r="S320" s="39">
        <f t="shared" si="75"/>
        <v>-56</v>
      </c>
      <c r="T320" s="91">
        <f t="shared" si="79"/>
        <v>-244</v>
      </c>
      <c r="U320" s="68"/>
      <c r="V320" s="196"/>
    </row>
    <row r="321" spans="1:22" x14ac:dyDescent="0.25">
      <c r="A321" s="107">
        <v>44212</v>
      </c>
      <c r="B321" s="126">
        <v>8932</v>
      </c>
      <c r="C321" s="154">
        <f t="shared" si="69"/>
        <v>1791979</v>
      </c>
      <c r="D321" s="126">
        <v>68</v>
      </c>
      <c r="E321" s="126">
        <f t="shared" si="61"/>
        <v>45251</v>
      </c>
      <c r="F321" s="126">
        <f t="shared" si="65"/>
        <v>11141</v>
      </c>
      <c r="G321" s="154">
        <v>1573104</v>
      </c>
      <c r="H321" s="126">
        <v>3578</v>
      </c>
      <c r="I321" s="126">
        <v>43513</v>
      </c>
      <c r="J321" s="4">
        <f t="shared" si="71"/>
        <v>5494488</v>
      </c>
      <c r="K321" s="7">
        <v>7674</v>
      </c>
      <c r="L321" s="7">
        <v>2934432</v>
      </c>
      <c r="M321" s="4">
        <f t="shared" si="73"/>
        <v>2942106</v>
      </c>
      <c r="N321" s="4">
        <v>12474</v>
      </c>
      <c r="O321" s="4">
        <v>345365</v>
      </c>
      <c r="P321" s="4">
        <v>1271065</v>
      </c>
      <c r="Q321" s="103">
        <f t="shared" si="74"/>
        <v>163075</v>
      </c>
      <c r="R321" s="96">
        <f t="shared" si="78"/>
        <v>173624</v>
      </c>
      <c r="S321" s="39">
        <f t="shared" si="75"/>
        <v>0</v>
      </c>
      <c r="T321" s="91">
        <f t="shared" si="79"/>
        <v>-2277</v>
      </c>
      <c r="U321" s="68"/>
      <c r="V321" s="196"/>
    </row>
    <row r="322" spans="1:22" x14ac:dyDescent="0.25">
      <c r="A322" s="107">
        <v>44213</v>
      </c>
      <c r="B322" s="126">
        <v>7264</v>
      </c>
      <c r="C322" s="154">
        <f t="shared" si="69"/>
        <v>1799243</v>
      </c>
      <c r="D322" s="126">
        <v>112</v>
      </c>
      <c r="E322" s="126">
        <f t="shared" si="61"/>
        <v>45363</v>
      </c>
      <c r="F322" s="126">
        <f t="shared" si="65"/>
        <v>10361</v>
      </c>
      <c r="G322" s="154">
        <v>1583465</v>
      </c>
      <c r="H322" s="126">
        <v>3547</v>
      </c>
      <c r="I322" s="126">
        <v>39591</v>
      </c>
      <c r="J322" s="4">
        <f t="shared" si="71"/>
        <v>5534079</v>
      </c>
      <c r="K322" s="7">
        <v>7844</v>
      </c>
      <c r="L322" s="7">
        <v>2961095</v>
      </c>
      <c r="M322" s="4">
        <f t="shared" si="73"/>
        <v>2968939</v>
      </c>
      <c r="N322" s="4">
        <v>12530</v>
      </c>
      <c r="O322" s="4">
        <v>346241</v>
      </c>
      <c r="P322" s="4">
        <v>1275780</v>
      </c>
      <c r="Q322" s="103">
        <f t="shared" si="74"/>
        <v>164692</v>
      </c>
      <c r="R322" s="96">
        <f t="shared" si="78"/>
        <v>170415</v>
      </c>
      <c r="S322" s="39">
        <f t="shared" si="75"/>
        <v>-31</v>
      </c>
      <c r="T322" s="91">
        <f t="shared" si="79"/>
        <v>-3209</v>
      </c>
      <c r="U322" s="68"/>
      <c r="V322" s="196"/>
    </row>
    <row r="323" spans="1:22" x14ac:dyDescent="0.25">
      <c r="A323" s="107">
        <v>44214</v>
      </c>
      <c r="B323" s="126">
        <v>8185</v>
      </c>
      <c r="C323" s="154">
        <f t="shared" si="69"/>
        <v>1807428</v>
      </c>
      <c r="D323" s="126">
        <v>423</v>
      </c>
      <c r="E323" s="126">
        <f t="shared" si="61"/>
        <v>45786</v>
      </c>
      <c r="F323" s="126">
        <f t="shared" si="65"/>
        <v>11303</v>
      </c>
      <c r="G323" s="154">
        <v>1594768</v>
      </c>
      <c r="H323" s="126">
        <v>3564</v>
      </c>
      <c r="I323" s="126">
        <v>41451</v>
      </c>
      <c r="J323" s="4">
        <f t="shared" si="71"/>
        <v>5575530</v>
      </c>
      <c r="K323" s="7">
        <v>8070</v>
      </c>
      <c r="L323" s="7">
        <v>2987077</v>
      </c>
      <c r="M323" s="4">
        <f t="shared" si="73"/>
        <v>2995147</v>
      </c>
      <c r="N323" s="4">
        <v>12585</v>
      </c>
      <c r="O323" s="4">
        <v>347936</v>
      </c>
      <c r="P323" s="4">
        <v>1285430</v>
      </c>
      <c r="Q323" s="103">
        <f t="shared" si="74"/>
        <v>161477</v>
      </c>
      <c r="R323" s="96">
        <f t="shared" si="78"/>
        <v>166874</v>
      </c>
      <c r="S323" s="39">
        <f t="shared" si="75"/>
        <v>17</v>
      </c>
      <c r="T323" s="91">
        <f t="shared" si="79"/>
        <v>-3541</v>
      </c>
      <c r="U323" s="68"/>
      <c r="V323" s="196"/>
    </row>
    <row r="324" spans="1:22" x14ac:dyDescent="0.25">
      <c r="A324" s="107">
        <v>44215</v>
      </c>
      <c r="B324" s="126">
        <v>12141</v>
      </c>
      <c r="C324" s="154">
        <f t="shared" si="69"/>
        <v>1819569</v>
      </c>
      <c r="D324" s="126">
        <v>234</v>
      </c>
      <c r="E324" s="126">
        <f t="shared" si="61"/>
        <v>46020</v>
      </c>
      <c r="F324" s="126">
        <f t="shared" si="65"/>
        <v>9605</v>
      </c>
      <c r="G324" s="154">
        <v>1604373</v>
      </c>
      <c r="H324" s="126">
        <v>3562</v>
      </c>
      <c r="I324" s="126">
        <v>49566</v>
      </c>
      <c r="J324" s="4">
        <f t="shared" si="71"/>
        <v>5625096</v>
      </c>
      <c r="K324" s="7">
        <v>8115</v>
      </c>
      <c r="L324" s="7">
        <v>3016503</v>
      </c>
      <c r="M324" s="4">
        <f t="shared" si="73"/>
        <v>3024618</v>
      </c>
      <c r="N324" s="4">
        <v>12688</v>
      </c>
      <c r="O324" s="4">
        <v>349683</v>
      </c>
      <c r="P324" s="4">
        <v>1295213</v>
      </c>
      <c r="Q324" s="103">
        <f t="shared" si="74"/>
        <v>161985</v>
      </c>
      <c r="R324" s="96">
        <f t="shared" si="78"/>
        <v>169176</v>
      </c>
      <c r="S324" s="39">
        <f t="shared" si="75"/>
        <v>-2</v>
      </c>
      <c r="T324" s="91">
        <f t="shared" si="79"/>
        <v>2302</v>
      </c>
      <c r="U324" s="68"/>
      <c r="V324" s="196"/>
    </row>
    <row r="325" spans="1:22" x14ac:dyDescent="0.25">
      <c r="A325" s="181">
        <v>44216</v>
      </c>
      <c r="B325" s="182">
        <v>12112</v>
      </c>
      <c r="C325" s="154">
        <f t="shared" si="69"/>
        <v>1831681</v>
      </c>
      <c r="D325" s="154">
        <v>149</v>
      </c>
      <c r="E325" s="126">
        <f t="shared" ref="E325:E388" si="80">E324+D325</f>
        <v>46169</v>
      </c>
      <c r="F325" s="126">
        <f t="shared" si="65"/>
        <v>9400</v>
      </c>
      <c r="G325" s="154">
        <v>1613773</v>
      </c>
      <c r="H325" s="126">
        <v>3605</v>
      </c>
      <c r="I325" s="126">
        <v>54998</v>
      </c>
      <c r="J325" s="4">
        <f t="shared" si="71"/>
        <v>5680094</v>
      </c>
      <c r="K325" s="7">
        <v>8185</v>
      </c>
      <c r="L325" s="7">
        <v>3071885</v>
      </c>
      <c r="M325" s="4">
        <f t="shared" si="73"/>
        <v>3080070</v>
      </c>
      <c r="N325" s="288">
        <f t="shared" ref="N325:N349" si="81">B325/(B325+(L325-L324))</f>
        <v>0.17945298841378493</v>
      </c>
      <c r="O325" s="200"/>
      <c r="P325" s="4"/>
      <c r="Q325" s="4"/>
      <c r="R325" s="178">
        <f t="shared" si="78"/>
        <v>171739</v>
      </c>
      <c r="S325" s="39">
        <f t="shared" si="75"/>
        <v>43</v>
      </c>
      <c r="T325" s="91">
        <f t="shared" si="79"/>
        <v>2563</v>
      </c>
      <c r="U325" s="68"/>
      <c r="V325" s="196"/>
    </row>
    <row r="326" spans="1:22" x14ac:dyDescent="0.25">
      <c r="A326" s="107">
        <v>44217</v>
      </c>
      <c r="B326" s="147">
        <v>11396</v>
      </c>
      <c r="C326" s="154">
        <f t="shared" si="69"/>
        <v>1843077</v>
      </c>
      <c r="D326" s="126">
        <v>142</v>
      </c>
      <c r="E326" s="126">
        <f t="shared" si="80"/>
        <v>46311</v>
      </c>
      <c r="F326" s="126">
        <f t="shared" si="65"/>
        <v>11982</v>
      </c>
      <c r="G326" s="154">
        <v>1625755</v>
      </c>
      <c r="H326" s="126">
        <v>3616</v>
      </c>
      <c r="I326" s="126">
        <v>53963</v>
      </c>
      <c r="J326" s="4">
        <f t="shared" si="71"/>
        <v>5734057</v>
      </c>
      <c r="K326" s="7">
        <v>8272</v>
      </c>
      <c r="L326" s="7">
        <v>3085519</v>
      </c>
      <c r="M326" s="4">
        <f t="shared" si="73"/>
        <v>3093791</v>
      </c>
      <c r="N326" s="288">
        <f t="shared" si="81"/>
        <v>0.45529364762285257</v>
      </c>
      <c r="O326" s="200"/>
      <c r="P326" s="4"/>
      <c r="Q326" s="4"/>
      <c r="R326" s="178">
        <f t="shared" si="78"/>
        <v>171011</v>
      </c>
      <c r="S326" s="39">
        <f t="shared" si="75"/>
        <v>11</v>
      </c>
      <c r="T326" s="91">
        <f t="shared" si="79"/>
        <v>-728</v>
      </c>
      <c r="U326" s="68"/>
      <c r="V326" s="196"/>
    </row>
    <row r="327" spans="1:22" x14ac:dyDescent="0.25">
      <c r="A327" s="107">
        <v>44218</v>
      </c>
      <c r="B327" s="126">
        <v>10753</v>
      </c>
      <c r="C327" s="154">
        <f t="shared" si="69"/>
        <v>1853830</v>
      </c>
      <c r="D327" s="126">
        <v>220</v>
      </c>
      <c r="E327" s="126">
        <f t="shared" si="80"/>
        <v>46531</v>
      </c>
      <c r="F327" s="126">
        <f t="shared" si="65"/>
        <v>11071</v>
      </c>
      <c r="G327" s="154">
        <v>1636826</v>
      </c>
      <c r="H327" s="126">
        <v>3631</v>
      </c>
      <c r="I327" s="126">
        <v>55439</v>
      </c>
      <c r="J327" s="4">
        <f t="shared" si="71"/>
        <v>5789496</v>
      </c>
      <c r="K327" s="7">
        <v>8396</v>
      </c>
      <c r="L327" s="7">
        <v>3122500</v>
      </c>
      <c r="M327" s="4">
        <f t="shared" si="73"/>
        <v>3130896</v>
      </c>
      <c r="N327" s="288">
        <f t="shared" si="81"/>
        <v>0.22526920015083587</v>
      </c>
      <c r="O327" s="200"/>
      <c r="P327" s="4"/>
      <c r="Q327" s="4"/>
      <c r="R327" s="178">
        <f t="shared" si="78"/>
        <v>170473</v>
      </c>
      <c r="S327" s="39">
        <f t="shared" si="75"/>
        <v>15</v>
      </c>
      <c r="T327" s="91">
        <f t="shared" si="79"/>
        <v>-538</v>
      </c>
      <c r="U327" s="68"/>
      <c r="V327" s="196"/>
    </row>
    <row r="328" spans="1:22" x14ac:dyDescent="0.25">
      <c r="A328" s="107">
        <v>44219</v>
      </c>
      <c r="B328" s="126">
        <v>8362</v>
      </c>
      <c r="C328" s="154">
        <f t="shared" si="69"/>
        <v>1862192</v>
      </c>
      <c r="D328" s="126">
        <v>162</v>
      </c>
      <c r="E328" s="126">
        <f t="shared" si="80"/>
        <v>46693</v>
      </c>
      <c r="F328" s="126">
        <f t="shared" si="65"/>
        <v>9842</v>
      </c>
      <c r="G328" s="154">
        <v>1646668</v>
      </c>
      <c r="H328" s="126">
        <v>3618</v>
      </c>
      <c r="I328" s="126">
        <v>46643</v>
      </c>
      <c r="J328" s="4">
        <f t="shared" si="71"/>
        <v>5836139</v>
      </c>
      <c r="K328" s="7">
        <v>8444</v>
      </c>
      <c r="L328" s="7">
        <v>3152824</v>
      </c>
      <c r="M328" s="4">
        <f t="shared" si="73"/>
        <v>3161268</v>
      </c>
      <c r="N328" s="288">
        <f t="shared" si="81"/>
        <v>0.2161505454169467</v>
      </c>
      <c r="O328" s="200"/>
      <c r="P328" s="4"/>
      <c r="Q328" s="4"/>
      <c r="R328" s="178">
        <f t="shared" si="78"/>
        <v>168831</v>
      </c>
      <c r="S328" s="39">
        <f t="shared" si="75"/>
        <v>-13</v>
      </c>
      <c r="T328" s="91">
        <f t="shared" si="79"/>
        <v>-1642</v>
      </c>
      <c r="U328" s="68"/>
      <c r="V328" s="196"/>
    </row>
    <row r="329" spans="1:22" x14ac:dyDescent="0.25">
      <c r="A329" s="107">
        <v>44220</v>
      </c>
      <c r="B329" s="126">
        <v>5031</v>
      </c>
      <c r="C329" s="154">
        <f t="shared" si="69"/>
        <v>1867223</v>
      </c>
      <c r="D329" s="126">
        <v>90</v>
      </c>
      <c r="E329" s="126">
        <f t="shared" si="80"/>
        <v>46783</v>
      </c>
      <c r="F329" s="126">
        <f t="shared" si="65"/>
        <v>9481</v>
      </c>
      <c r="G329" s="154">
        <v>1656149</v>
      </c>
      <c r="H329" s="126">
        <v>3619</v>
      </c>
      <c r="I329" s="126">
        <v>29659</v>
      </c>
      <c r="J329" s="4">
        <f t="shared" si="71"/>
        <v>5865798</v>
      </c>
      <c r="K329" s="7">
        <v>8475</v>
      </c>
      <c r="L329" s="7">
        <v>3173796</v>
      </c>
      <c r="M329" s="4">
        <f t="shared" si="73"/>
        <v>3182271</v>
      </c>
      <c r="N329" s="288">
        <f t="shared" si="81"/>
        <v>0.19347767565280929</v>
      </c>
      <c r="O329" s="200"/>
      <c r="P329" s="4"/>
      <c r="Q329" s="4"/>
      <c r="R329" s="178">
        <f t="shared" si="78"/>
        <v>164291</v>
      </c>
      <c r="S329" s="39">
        <f t="shared" si="75"/>
        <v>1</v>
      </c>
      <c r="T329" s="91">
        <f t="shared" si="79"/>
        <v>-4540</v>
      </c>
      <c r="U329" s="68"/>
      <c r="V329" s="196"/>
    </row>
    <row r="330" spans="1:22" x14ac:dyDescent="0.25">
      <c r="A330" s="107">
        <v>44221</v>
      </c>
      <c r="B330" s="126">
        <v>7578</v>
      </c>
      <c r="C330" s="154">
        <f t="shared" si="69"/>
        <v>1874801</v>
      </c>
      <c r="D330" s="126">
        <v>208</v>
      </c>
      <c r="E330" s="126">
        <f t="shared" si="80"/>
        <v>46991</v>
      </c>
      <c r="F330" s="126">
        <f t="shared" si="65"/>
        <v>10378</v>
      </c>
      <c r="G330" s="154">
        <v>1666527</v>
      </c>
      <c r="H330" s="126">
        <v>3598</v>
      </c>
      <c r="I330" s="126">
        <v>36906</v>
      </c>
      <c r="J330" s="4">
        <f t="shared" si="71"/>
        <v>5902704</v>
      </c>
      <c r="K330" s="7">
        <v>8672</v>
      </c>
      <c r="L330" s="7">
        <v>3197613</v>
      </c>
      <c r="M330" s="7">
        <f>L330+K330</f>
        <v>3206285</v>
      </c>
      <c r="N330" s="288">
        <f t="shared" si="81"/>
        <v>0.24137601528905878</v>
      </c>
      <c r="O330" s="200"/>
      <c r="P330" s="4"/>
      <c r="Q330" s="4"/>
      <c r="R330" s="178">
        <f t="shared" si="78"/>
        <v>161283</v>
      </c>
      <c r="S330" s="39">
        <f t="shared" si="75"/>
        <v>-21</v>
      </c>
      <c r="T330" s="91">
        <f t="shared" si="79"/>
        <v>-3008</v>
      </c>
      <c r="U330" s="68"/>
      <c r="V330" s="196"/>
    </row>
    <row r="331" spans="1:22" x14ac:dyDescent="0.25">
      <c r="A331" s="107">
        <v>44222</v>
      </c>
      <c r="B331" s="126">
        <v>10409</v>
      </c>
      <c r="C331" s="154">
        <f t="shared" si="69"/>
        <v>1885210</v>
      </c>
      <c r="D331" s="126">
        <v>219</v>
      </c>
      <c r="E331" s="126">
        <f t="shared" si="80"/>
        <v>47210</v>
      </c>
      <c r="F331" s="126">
        <f t="shared" si="65"/>
        <v>8028</v>
      </c>
      <c r="G331" s="154">
        <v>1674555</v>
      </c>
      <c r="H331" s="126">
        <v>3614</v>
      </c>
      <c r="I331" s="126">
        <v>55123</v>
      </c>
      <c r="J331" s="4">
        <f t="shared" si="71"/>
        <v>5957827</v>
      </c>
      <c r="K331" s="7">
        <v>8865</v>
      </c>
      <c r="L331" s="7">
        <v>3232986</v>
      </c>
      <c r="M331" s="7">
        <f t="shared" ref="M331:M395" si="82">L331+K331</f>
        <v>3241851</v>
      </c>
      <c r="N331" s="288">
        <f t="shared" si="81"/>
        <v>0.22736009785505221</v>
      </c>
      <c r="O331" s="200">
        <f t="shared" ref="O331:O376" si="83">AVERAGE(N325:N331)</f>
        <v>0.24834002434304864</v>
      </c>
      <c r="P331" s="4"/>
      <c r="Q331" s="4"/>
      <c r="R331" s="20">
        <f t="shared" si="78"/>
        <v>163445</v>
      </c>
      <c r="S331" s="39">
        <f t="shared" si="75"/>
        <v>16</v>
      </c>
      <c r="T331" s="91">
        <f t="shared" si="79"/>
        <v>2162</v>
      </c>
      <c r="U331" s="68"/>
      <c r="V331" s="196"/>
    </row>
    <row r="332" spans="1:22" x14ac:dyDescent="0.25">
      <c r="A332" s="109">
        <v>44223</v>
      </c>
      <c r="B332" s="143">
        <v>10843</v>
      </c>
      <c r="C332" s="154">
        <f t="shared" si="69"/>
        <v>1896053</v>
      </c>
      <c r="D332" s="126">
        <v>182</v>
      </c>
      <c r="E332" s="126">
        <f t="shared" si="80"/>
        <v>47392</v>
      </c>
      <c r="F332" s="126">
        <f t="shared" si="65"/>
        <v>8008</v>
      </c>
      <c r="G332" s="154">
        <v>1682563</v>
      </c>
      <c r="H332" s="126">
        <v>3627</v>
      </c>
      <c r="I332" s="126">
        <v>49154</v>
      </c>
      <c r="J332" s="4">
        <f t="shared" si="71"/>
        <v>6006981</v>
      </c>
      <c r="K332" s="7">
        <v>8965</v>
      </c>
      <c r="L332" s="7">
        <v>3261828</v>
      </c>
      <c r="M332" s="7">
        <f t="shared" si="82"/>
        <v>3270793</v>
      </c>
      <c r="N332" s="288">
        <f t="shared" si="81"/>
        <v>0.27322665994708328</v>
      </c>
      <c r="O332" s="200">
        <f t="shared" si="83"/>
        <v>0.26173626313351983</v>
      </c>
      <c r="P332" s="4"/>
      <c r="Q332" s="4"/>
      <c r="R332" s="20">
        <f>C332-E332-G332</f>
        <v>166098</v>
      </c>
      <c r="S332" s="39">
        <f t="shared" si="75"/>
        <v>13</v>
      </c>
      <c r="T332" s="91">
        <f t="shared" si="79"/>
        <v>2653</v>
      </c>
      <c r="U332" s="68"/>
      <c r="V332" s="196"/>
    </row>
    <row r="333" spans="1:22" x14ac:dyDescent="0.25">
      <c r="A333" s="107">
        <v>44224</v>
      </c>
      <c r="B333" s="183">
        <v>9471</v>
      </c>
      <c r="C333" s="154">
        <f t="shared" ref="C333:C339" si="84">C332+B333</f>
        <v>1905524</v>
      </c>
      <c r="D333" s="126">
        <v>166</v>
      </c>
      <c r="E333" s="126">
        <f t="shared" si="80"/>
        <v>47558</v>
      </c>
      <c r="F333" s="126">
        <f t="shared" ref="F333:F363" si="85">G333-G332</f>
        <v>10583</v>
      </c>
      <c r="G333" s="154">
        <v>1693146</v>
      </c>
      <c r="H333" s="126">
        <v>3607</v>
      </c>
      <c r="I333" s="126">
        <v>46742</v>
      </c>
      <c r="J333" s="4">
        <f t="shared" si="71"/>
        <v>6053723</v>
      </c>
      <c r="K333" s="7">
        <v>9050</v>
      </c>
      <c r="L333" s="7">
        <v>3289093</v>
      </c>
      <c r="M333" s="7">
        <f t="shared" si="82"/>
        <v>3298143</v>
      </c>
      <c r="N333" s="288">
        <f t="shared" si="81"/>
        <v>0.2578125</v>
      </c>
      <c r="O333" s="200">
        <f t="shared" si="83"/>
        <v>0.23352467061596949</v>
      </c>
      <c r="P333" s="4"/>
      <c r="Q333" s="4"/>
      <c r="R333" s="20">
        <f>C333-E333-G333</f>
        <v>164820</v>
      </c>
      <c r="S333" s="39">
        <f t="shared" si="75"/>
        <v>-20</v>
      </c>
      <c r="T333" s="91">
        <f t="shared" si="79"/>
        <v>-1278</v>
      </c>
      <c r="U333" s="68"/>
      <c r="V333" s="196"/>
    </row>
    <row r="334" spans="1:22" x14ac:dyDescent="0.25">
      <c r="A334" s="107">
        <v>44225</v>
      </c>
      <c r="B334" s="126">
        <v>9838</v>
      </c>
      <c r="C334" s="154">
        <f t="shared" si="84"/>
        <v>1915362</v>
      </c>
      <c r="D334" s="126">
        <v>174</v>
      </c>
      <c r="E334" s="126">
        <f t="shared" si="80"/>
        <v>47732</v>
      </c>
      <c r="F334" s="126">
        <f t="shared" si="85"/>
        <v>10313</v>
      </c>
      <c r="G334" s="154">
        <v>1703459</v>
      </c>
      <c r="H334" s="126">
        <v>3628</v>
      </c>
      <c r="I334" s="126">
        <v>45809</v>
      </c>
      <c r="J334" s="4">
        <f t="shared" si="71"/>
        <v>6099532</v>
      </c>
      <c r="K334" s="7">
        <v>9141</v>
      </c>
      <c r="L334" s="7">
        <v>3315527</v>
      </c>
      <c r="M334" s="7">
        <f t="shared" si="82"/>
        <v>3324668</v>
      </c>
      <c r="N334" s="288">
        <f t="shared" si="81"/>
        <v>0.27122849580943981</v>
      </c>
      <c r="O334" s="200">
        <f t="shared" si="83"/>
        <v>0.24009028428148427</v>
      </c>
      <c r="P334" s="4"/>
      <c r="Q334" s="4"/>
      <c r="R334" s="4">
        <f>C334-E334-G334</f>
        <v>164171</v>
      </c>
      <c r="S334" s="39">
        <f t="shared" si="75"/>
        <v>21</v>
      </c>
      <c r="T334" s="91">
        <f t="shared" si="79"/>
        <v>-649</v>
      </c>
      <c r="U334" s="68"/>
      <c r="V334" s="196"/>
    </row>
    <row r="335" spans="1:22" x14ac:dyDescent="0.25">
      <c r="A335" s="107">
        <v>44226</v>
      </c>
      <c r="B335" s="126">
        <v>6902</v>
      </c>
      <c r="C335" s="154">
        <f t="shared" si="84"/>
        <v>1922264</v>
      </c>
      <c r="D335" s="126">
        <v>156</v>
      </c>
      <c r="E335" s="126">
        <f t="shared" si="80"/>
        <v>47888</v>
      </c>
      <c r="F335" s="126">
        <f t="shared" si="85"/>
        <v>9409</v>
      </c>
      <c r="G335" s="154">
        <v>1712868</v>
      </c>
      <c r="H335" s="126">
        <v>3624</v>
      </c>
      <c r="I335" s="126">
        <v>40578</v>
      </c>
      <c r="J335" s="4">
        <f t="shared" si="71"/>
        <v>6140110</v>
      </c>
      <c r="K335" s="7">
        <v>9295</v>
      </c>
      <c r="L335" s="7">
        <v>3342833</v>
      </c>
      <c r="M335" s="7">
        <f t="shared" si="82"/>
        <v>3352128</v>
      </c>
      <c r="N335" s="288">
        <f t="shared" si="81"/>
        <v>0.20176566884939195</v>
      </c>
      <c r="O335" s="200">
        <f t="shared" si="83"/>
        <v>0.23803530191469077</v>
      </c>
      <c r="P335" s="4"/>
      <c r="Q335" s="4"/>
      <c r="R335" s="4">
        <f t="shared" ref="R335:R345" si="86">C335-E335-G335</f>
        <v>161508</v>
      </c>
      <c r="S335" s="39">
        <f t="shared" si="75"/>
        <v>-4</v>
      </c>
      <c r="T335" s="91">
        <f t="shared" ref="T335:T345" si="87">(C335-G335-E335)-(C334-E334-G334)</f>
        <v>-2663</v>
      </c>
      <c r="U335" s="68"/>
      <c r="V335" s="196"/>
    </row>
    <row r="336" spans="1:22" x14ac:dyDescent="0.25">
      <c r="A336" s="107">
        <v>44227</v>
      </c>
      <c r="B336" s="126">
        <v>4975</v>
      </c>
      <c r="C336" s="154">
        <f t="shared" si="84"/>
        <v>1927239</v>
      </c>
      <c r="D336" s="126">
        <v>43</v>
      </c>
      <c r="E336" s="126">
        <f t="shared" si="80"/>
        <v>47931</v>
      </c>
      <c r="F336" s="126">
        <f t="shared" si="85"/>
        <v>8782</v>
      </c>
      <c r="G336" s="154">
        <v>1721650</v>
      </c>
      <c r="H336" s="126">
        <v>3617</v>
      </c>
      <c r="I336" s="126">
        <v>34412</v>
      </c>
      <c r="J336" s="4">
        <f t="shared" si="71"/>
        <v>6174522</v>
      </c>
      <c r="K336" s="7">
        <v>9403</v>
      </c>
      <c r="L336" s="7">
        <v>3366882</v>
      </c>
      <c r="M336" s="7">
        <f t="shared" si="82"/>
        <v>3376285</v>
      </c>
      <c r="N336" s="288">
        <f t="shared" si="81"/>
        <v>0.1714098676957001</v>
      </c>
      <c r="O336" s="200">
        <f t="shared" si="83"/>
        <v>0.234882757920818</v>
      </c>
      <c r="P336" s="4"/>
      <c r="Q336" s="4"/>
      <c r="R336" s="4">
        <f t="shared" si="86"/>
        <v>157658</v>
      </c>
      <c r="S336" s="39">
        <f t="shared" si="75"/>
        <v>-7</v>
      </c>
      <c r="T336" s="91">
        <f t="shared" si="87"/>
        <v>-3850</v>
      </c>
      <c r="U336" s="68"/>
      <c r="V336" s="196"/>
    </row>
    <row r="337" spans="1:24" x14ac:dyDescent="0.25">
      <c r="A337" s="107">
        <v>44228</v>
      </c>
      <c r="B337" s="126">
        <v>6614</v>
      </c>
      <c r="C337" s="154">
        <f t="shared" si="84"/>
        <v>1933853</v>
      </c>
      <c r="D337" s="126">
        <v>275</v>
      </c>
      <c r="E337" s="126">
        <f t="shared" si="80"/>
        <v>48206</v>
      </c>
      <c r="F337" s="126">
        <f t="shared" si="85"/>
        <v>8349</v>
      </c>
      <c r="G337" s="154">
        <v>1729999</v>
      </c>
      <c r="H337" s="126">
        <v>3554</v>
      </c>
      <c r="I337" s="126">
        <v>34947</v>
      </c>
      <c r="J337" s="4">
        <f t="shared" si="71"/>
        <v>6209469</v>
      </c>
      <c r="K337" s="7">
        <v>9467</v>
      </c>
      <c r="L337" s="7">
        <v>3389599</v>
      </c>
      <c r="M337" s="4">
        <f t="shared" si="82"/>
        <v>3399066</v>
      </c>
      <c r="N337" s="288">
        <f t="shared" si="81"/>
        <v>0.22549520984623778</v>
      </c>
      <c r="O337" s="200">
        <f t="shared" si="83"/>
        <v>0.23261407142898644</v>
      </c>
      <c r="P337" s="4"/>
      <c r="Q337" s="4"/>
      <c r="R337" s="4">
        <f t="shared" si="86"/>
        <v>155648</v>
      </c>
      <c r="S337" s="39">
        <f t="shared" si="75"/>
        <v>-63</v>
      </c>
      <c r="T337" s="91">
        <f t="shared" si="87"/>
        <v>-2010</v>
      </c>
      <c r="U337" s="68"/>
      <c r="V337" s="196"/>
      <c r="W337" s="166"/>
      <c r="X337" s="166"/>
    </row>
    <row r="338" spans="1:24" x14ac:dyDescent="0.25">
      <c r="A338" s="107">
        <v>44229</v>
      </c>
      <c r="B338" s="126">
        <v>9695</v>
      </c>
      <c r="C338" s="154">
        <f t="shared" si="84"/>
        <v>1943548</v>
      </c>
      <c r="D338" s="126">
        <v>176</v>
      </c>
      <c r="E338" s="126">
        <f t="shared" si="80"/>
        <v>48382</v>
      </c>
      <c r="F338" s="126">
        <f t="shared" si="85"/>
        <v>8769</v>
      </c>
      <c r="G338" s="154">
        <v>1738768</v>
      </c>
      <c r="H338" s="126">
        <v>3586</v>
      </c>
      <c r="I338" s="126">
        <v>66202</v>
      </c>
      <c r="J338" s="4">
        <f t="shared" si="71"/>
        <v>6275671</v>
      </c>
      <c r="K338" s="7">
        <v>9653</v>
      </c>
      <c r="L338" s="7">
        <v>3427133</v>
      </c>
      <c r="M338" s="4">
        <f t="shared" si="82"/>
        <v>3436786</v>
      </c>
      <c r="N338" s="288">
        <f t="shared" si="81"/>
        <v>0.20527641914925152</v>
      </c>
      <c r="O338" s="200">
        <f t="shared" si="83"/>
        <v>0.22945926018530066</v>
      </c>
      <c r="P338" s="4"/>
      <c r="Q338" s="4"/>
      <c r="R338" s="4">
        <f t="shared" si="86"/>
        <v>156398</v>
      </c>
      <c r="S338" s="39">
        <f t="shared" si="75"/>
        <v>32</v>
      </c>
      <c r="T338" s="91">
        <f t="shared" si="87"/>
        <v>750</v>
      </c>
      <c r="U338" s="68"/>
      <c r="V338" s="196"/>
    </row>
    <row r="339" spans="1:24" x14ac:dyDescent="0.25">
      <c r="A339" s="107">
        <v>44230</v>
      </c>
      <c r="B339" s="126">
        <v>9196</v>
      </c>
      <c r="C339" s="154">
        <f t="shared" si="84"/>
        <v>1952744</v>
      </c>
      <c r="D339" s="126">
        <v>113</v>
      </c>
      <c r="E339" s="126">
        <f t="shared" si="80"/>
        <v>48495</v>
      </c>
      <c r="F339" s="126">
        <f t="shared" si="85"/>
        <v>6440</v>
      </c>
      <c r="G339" s="154">
        <v>1745208</v>
      </c>
      <c r="H339" s="126">
        <v>3571</v>
      </c>
      <c r="I339" s="126">
        <v>48160</v>
      </c>
      <c r="J339" s="4">
        <f t="shared" si="71"/>
        <v>6323831</v>
      </c>
      <c r="K339" s="7">
        <v>9845</v>
      </c>
      <c r="L339" s="7">
        <v>3462532</v>
      </c>
      <c r="M339" s="4">
        <f t="shared" si="82"/>
        <v>3472377</v>
      </c>
      <c r="N339" s="288">
        <f t="shared" si="81"/>
        <v>0.20621145868370894</v>
      </c>
      <c r="O339" s="200">
        <f t="shared" si="83"/>
        <v>0.2198856600048186</v>
      </c>
      <c r="P339" s="4"/>
      <c r="Q339" s="4"/>
      <c r="R339" s="4">
        <f t="shared" si="86"/>
        <v>159041</v>
      </c>
      <c r="S339" s="39">
        <f t="shared" si="75"/>
        <v>-15</v>
      </c>
      <c r="T339" s="91">
        <f t="shared" si="87"/>
        <v>2643</v>
      </c>
      <c r="U339" s="68"/>
      <c r="V339" s="196"/>
    </row>
    <row r="340" spans="1:24" x14ac:dyDescent="0.25">
      <c r="A340" s="107">
        <v>44231</v>
      </c>
      <c r="B340" s="183">
        <v>8891</v>
      </c>
      <c r="C340" s="154">
        <f t="shared" ref="C340:C374" si="88">C339+B340</f>
        <v>1961635</v>
      </c>
      <c r="D340" s="126">
        <v>162</v>
      </c>
      <c r="E340" s="126">
        <f t="shared" si="80"/>
        <v>48657</v>
      </c>
      <c r="F340" s="126">
        <f t="shared" si="85"/>
        <v>9497</v>
      </c>
      <c r="G340" s="154">
        <v>1754705</v>
      </c>
      <c r="H340" s="126">
        <v>3570</v>
      </c>
      <c r="I340" s="126">
        <v>52557</v>
      </c>
      <c r="J340" s="4">
        <f t="shared" si="71"/>
        <v>6376388</v>
      </c>
      <c r="K340" s="7">
        <v>9900</v>
      </c>
      <c r="L340" s="7">
        <v>3486103</v>
      </c>
      <c r="M340" s="4">
        <f t="shared" si="82"/>
        <v>3496003</v>
      </c>
      <c r="N340" s="288">
        <f t="shared" si="81"/>
        <v>0.27388947076581849</v>
      </c>
      <c r="O340" s="200">
        <f t="shared" si="83"/>
        <v>0.22218237011422121</v>
      </c>
      <c r="P340" s="4"/>
      <c r="Q340" s="4"/>
      <c r="R340" s="4">
        <f t="shared" si="86"/>
        <v>158273</v>
      </c>
      <c r="S340" s="39">
        <f t="shared" si="75"/>
        <v>-1</v>
      </c>
      <c r="T340" s="91">
        <f t="shared" si="87"/>
        <v>-768</v>
      </c>
      <c r="U340" s="68"/>
      <c r="V340" s="196"/>
    </row>
    <row r="341" spans="1:24" x14ac:dyDescent="0.25">
      <c r="A341" s="107">
        <v>44232</v>
      </c>
      <c r="B341" s="126">
        <v>8374</v>
      </c>
      <c r="C341" s="154">
        <f t="shared" si="88"/>
        <v>1970009</v>
      </c>
      <c r="D341" s="126">
        <v>284</v>
      </c>
      <c r="E341" s="126">
        <f t="shared" si="80"/>
        <v>48941</v>
      </c>
      <c r="F341" s="126">
        <f t="shared" si="85"/>
        <v>9057</v>
      </c>
      <c r="G341" s="154">
        <v>1763762</v>
      </c>
      <c r="H341" s="126">
        <v>3550</v>
      </c>
      <c r="I341" s="126">
        <v>47745</v>
      </c>
      <c r="J341" s="4">
        <f t="shared" si="71"/>
        <v>6424133</v>
      </c>
      <c r="K341" s="7">
        <v>10282</v>
      </c>
      <c r="L341" s="7">
        <v>3524708</v>
      </c>
      <c r="M341" s="4">
        <f t="shared" si="82"/>
        <v>3534990</v>
      </c>
      <c r="N341" s="288">
        <f t="shared" si="81"/>
        <v>0.17824985631878074</v>
      </c>
      <c r="O341" s="200">
        <f t="shared" si="83"/>
        <v>0.20889970732984137</v>
      </c>
      <c r="P341" s="4"/>
      <c r="Q341" s="4"/>
      <c r="R341" s="4">
        <f t="shared" si="86"/>
        <v>157306</v>
      </c>
      <c r="S341" s="39">
        <f t="shared" si="75"/>
        <v>-20</v>
      </c>
      <c r="T341" s="91">
        <f t="shared" si="87"/>
        <v>-967</v>
      </c>
      <c r="U341" s="68"/>
      <c r="V341" s="196"/>
    </row>
    <row r="342" spans="1:24" x14ac:dyDescent="0.25">
      <c r="A342" s="107">
        <v>44233</v>
      </c>
      <c r="B342" s="126">
        <v>6680</v>
      </c>
      <c r="C342" s="154">
        <f t="shared" si="88"/>
        <v>1976689</v>
      </c>
      <c r="D342" s="126">
        <v>125</v>
      </c>
      <c r="E342" s="126">
        <f t="shared" si="80"/>
        <v>49066</v>
      </c>
      <c r="F342" s="126">
        <f t="shared" si="85"/>
        <v>8297</v>
      </c>
      <c r="G342" s="154">
        <v>1772059</v>
      </c>
      <c r="H342" s="126">
        <v>3550</v>
      </c>
      <c r="I342" s="126">
        <v>42244</v>
      </c>
      <c r="J342" s="4">
        <f t="shared" si="71"/>
        <v>6466377</v>
      </c>
      <c r="K342" s="7">
        <v>10351</v>
      </c>
      <c r="L342" s="7">
        <v>3551197</v>
      </c>
      <c r="M342" s="4">
        <f t="shared" si="82"/>
        <v>3561548</v>
      </c>
      <c r="N342" s="288">
        <f t="shared" si="81"/>
        <v>0.20139286683348911</v>
      </c>
      <c r="O342" s="200">
        <f t="shared" si="83"/>
        <v>0.20884644989899806</v>
      </c>
      <c r="P342" s="4"/>
      <c r="Q342" s="4"/>
      <c r="R342" s="4">
        <f t="shared" si="86"/>
        <v>155564</v>
      </c>
      <c r="S342" s="39">
        <f t="shared" si="75"/>
        <v>0</v>
      </c>
      <c r="T342" s="91">
        <f t="shared" si="87"/>
        <v>-1742</v>
      </c>
      <c r="U342" s="68"/>
      <c r="V342" s="196"/>
    </row>
    <row r="343" spans="1:24" x14ac:dyDescent="0.25">
      <c r="A343" s="107">
        <v>44234</v>
      </c>
      <c r="B343" s="126">
        <v>3658</v>
      </c>
      <c r="C343" s="154">
        <f t="shared" si="88"/>
        <v>1980347</v>
      </c>
      <c r="D343" s="126">
        <v>61</v>
      </c>
      <c r="E343" s="126">
        <f t="shared" si="80"/>
        <v>49127</v>
      </c>
      <c r="F343" s="126">
        <f t="shared" si="85"/>
        <v>6906</v>
      </c>
      <c r="G343" s="154">
        <v>1778965</v>
      </c>
      <c r="H343" s="126">
        <v>3550</v>
      </c>
      <c r="I343" s="126">
        <v>24721</v>
      </c>
      <c r="J343" s="4">
        <f t="shared" si="71"/>
        <v>6491098</v>
      </c>
      <c r="K343" s="7">
        <v>10480</v>
      </c>
      <c r="L343" s="7">
        <v>3568763</v>
      </c>
      <c r="M343" s="4">
        <f t="shared" si="82"/>
        <v>3579243</v>
      </c>
      <c r="N343" s="288">
        <f t="shared" si="81"/>
        <v>0.17235205427817565</v>
      </c>
      <c r="O343" s="200">
        <f t="shared" si="83"/>
        <v>0.20898104798220887</v>
      </c>
      <c r="P343" s="4"/>
      <c r="Q343" s="4"/>
      <c r="R343" s="4">
        <f t="shared" si="86"/>
        <v>152255</v>
      </c>
      <c r="S343" s="39">
        <f t="shared" si="75"/>
        <v>0</v>
      </c>
      <c r="T343" s="91">
        <f t="shared" si="87"/>
        <v>-3309</v>
      </c>
      <c r="U343" s="166"/>
      <c r="V343" s="196"/>
    </row>
    <row r="344" spans="1:24" x14ac:dyDescent="0.25">
      <c r="A344" s="107">
        <v>44235</v>
      </c>
      <c r="B344" s="126">
        <v>5154</v>
      </c>
      <c r="C344" s="154">
        <f t="shared" si="88"/>
        <v>1985501</v>
      </c>
      <c r="D344" s="126">
        <v>226</v>
      </c>
      <c r="E344" s="126">
        <f t="shared" si="80"/>
        <v>49353</v>
      </c>
      <c r="F344" s="126">
        <f t="shared" si="85"/>
        <v>7213</v>
      </c>
      <c r="G344" s="154">
        <v>1786178</v>
      </c>
      <c r="H344" s="126">
        <v>3526</v>
      </c>
      <c r="I344" s="126">
        <v>30651</v>
      </c>
      <c r="J344" s="4">
        <f t="shared" si="71"/>
        <v>6521749</v>
      </c>
      <c r="K344" s="7">
        <v>10625</v>
      </c>
      <c r="L344" s="7">
        <v>3587360</v>
      </c>
      <c r="M344" s="4">
        <f t="shared" si="82"/>
        <v>3597985</v>
      </c>
      <c r="N344" s="288">
        <f t="shared" si="81"/>
        <v>0.21700138941518252</v>
      </c>
      <c r="O344" s="200">
        <f t="shared" si="83"/>
        <v>0.20776764506348669</v>
      </c>
      <c r="P344" s="4"/>
      <c r="Q344" s="4"/>
      <c r="R344" s="4">
        <f t="shared" si="86"/>
        <v>149970</v>
      </c>
      <c r="S344" s="39">
        <f t="shared" si="75"/>
        <v>-24</v>
      </c>
      <c r="T344" s="91">
        <f t="shared" si="87"/>
        <v>-2285</v>
      </c>
      <c r="U344" s="166"/>
      <c r="V344" s="196"/>
    </row>
    <row r="345" spans="1:24" x14ac:dyDescent="0.25">
      <c r="A345" s="107">
        <v>44236</v>
      </c>
      <c r="B345" s="126">
        <v>7794</v>
      </c>
      <c r="C345" s="154">
        <f t="shared" si="88"/>
        <v>1993295</v>
      </c>
      <c r="D345" s="126">
        <v>168</v>
      </c>
      <c r="E345" s="126">
        <f t="shared" si="80"/>
        <v>49521</v>
      </c>
      <c r="F345" s="126">
        <f t="shared" si="85"/>
        <v>6143</v>
      </c>
      <c r="G345" s="154">
        <v>1792321</v>
      </c>
      <c r="H345" s="126">
        <v>3553</v>
      </c>
      <c r="I345" s="126">
        <v>49781</v>
      </c>
      <c r="J345" s="4">
        <f t="shared" si="71"/>
        <v>6571530</v>
      </c>
      <c r="K345" s="7">
        <v>10844</v>
      </c>
      <c r="L345" s="7">
        <v>3619021</v>
      </c>
      <c r="M345" s="4">
        <f t="shared" si="82"/>
        <v>3629865</v>
      </c>
      <c r="N345" s="288">
        <f t="shared" si="81"/>
        <v>0.19754150297807629</v>
      </c>
      <c r="O345" s="200">
        <f t="shared" si="83"/>
        <v>0.20666265703903311</v>
      </c>
      <c r="P345" s="4"/>
      <c r="Q345" s="4"/>
      <c r="R345" s="4">
        <f t="shared" si="86"/>
        <v>151453</v>
      </c>
      <c r="S345" s="39">
        <f t="shared" si="75"/>
        <v>27</v>
      </c>
      <c r="T345" s="91">
        <f t="shared" si="87"/>
        <v>1483</v>
      </c>
      <c r="U345" s="166"/>
      <c r="V345" s="196"/>
    </row>
    <row r="346" spans="1:24" x14ac:dyDescent="0.25">
      <c r="A346" s="107">
        <v>44237</v>
      </c>
      <c r="B346" s="126">
        <v>7739</v>
      </c>
      <c r="C346" s="154">
        <f t="shared" si="88"/>
        <v>2001034</v>
      </c>
      <c r="D346" s="126">
        <v>109</v>
      </c>
      <c r="E346" s="126">
        <f t="shared" si="80"/>
        <v>49630</v>
      </c>
      <c r="F346" s="126">
        <f t="shared" si="85"/>
        <v>5799</v>
      </c>
      <c r="G346" s="154">
        <v>1798120</v>
      </c>
      <c r="H346" s="126">
        <v>3561</v>
      </c>
      <c r="I346" s="126">
        <v>50352</v>
      </c>
      <c r="J346" s="4">
        <f t="shared" si="71"/>
        <v>6621882</v>
      </c>
      <c r="K346" s="7">
        <v>10852</v>
      </c>
      <c r="L346" s="7">
        <v>3639228</v>
      </c>
      <c r="M346" s="4">
        <f t="shared" si="82"/>
        <v>3650080</v>
      </c>
      <c r="N346" s="288">
        <f t="shared" si="81"/>
        <v>0.27692693050883849</v>
      </c>
      <c r="O346" s="200">
        <f t="shared" si="83"/>
        <v>0.21676486729976591</v>
      </c>
      <c r="P346" s="4"/>
      <c r="Q346" s="4"/>
      <c r="R346" s="4">
        <f t="shared" ref="R346:R352" si="89">C346-E346-G346</f>
        <v>153284</v>
      </c>
      <c r="S346" s="39">
        <f t="shared" si="75"/>
        <v>8</v>
      </c>
      <c r="T346" s="91">
        <f t="shared" ref="T346:T367" si="90">(C346-G346-E346)-(C345-E345-G345)</f>
        <v>1831</v>
      </c>
      <c r="U346" s="166"/>
      <c r="V346" s="196"/>
    </row>
    <row r="347" spans="1:24" x14ac:dyDescent="0.25">
      <c r="A347" s="107">
        <v>44238</v>
      </c>
      <c r="B347" s="147">
        <v>7311</v>
      </c>
      <c r="C347" s="154">
        <f t="shared" si="88"/>
        <v>2008345</v>
      </c>
      <c r="D347" s="147">
        <v>197</v>
      </c>
      <c r="E347" s="126">
        <f t="shared" si="80"/>
        <v>49827</v>
      </c>
      <c r="F347" s="126">
        <f t="shared" si="85"/>
        <v>8140</v>
      </c>
      <c r="G347" s="154">
        <v>1806260</v>
      </c>
      <c r="H347" s="126">
        <v>3541</v>
      </c>
      <c r="I347" s="126">
        <v>51007</v>
      </c>
      <c r="J347" s="4">
        <f t="shared" si="71"/>
        <v>6672889</v>
      </c>
      <c r="K347" s="7">
        <v>11150</v>
      </c>
      <c r="L347" s="7">
        <v>3684608</v>
      </c>
      <c r="M347" s="4">
        <f t="shared" si="82"/>
        <v>3695758</v>
      </c>
      <c r="N347" s="288">
        <f t="shared" si="81"/>
        <v>0.13875234859843236</v>
      </c>
      <c r="O347" s="200">
        <f t="shared" si="83"/>
        <v>0.19745956413299645</v>
      </c>
      <c r="P347" s="4"/>
      <c r="Q347" s="4"/>
      <c r="R347" s="4">
        <f t="shared" si="89"/>
        <v>152258</v>
      </c>
      <c r="S347" s="39">
        <f t="shared" si="75"/>
        <v>-20</v>
      </c>
      <c r="T347" s="91">
        <f t="shared" si="90"/>
        <v>-1026</v>
      </c>
      <c r="U347" s="166"/>
      <c r="V347" s="196"/>
    </row>
    <row r="348" spans="1:24" x14ac:dyDescent="0.25">
      <c r="A348" s="107">
        <v>44239</v>
      </c>
      <c r="B348" s="126">
        <v>7151</v>
      </c>
      <c r="C348" s="154">
        <f t="shared" si="88"/>
        <v>2015496</v>
      </c>
      <c r="D348" s="144">
        <v>158</v>
      </c>
      <c r="E348" s="126">
        <f t="shared" si="80"/>
        <v>49985</v>
      </c>
      <c r="F348" s="126">
        <f t="shared" si="85"/>
        <v>7900</v>
      </c>
      <c r="G348" s="154">
        <v>1814160</v>
      </c>
      <c r="H348" s="126">
        <v>3538</v>
      </c>
      <c r="I348" s="126">
        <v>49074</v>
      </c>
      <c r="J348" s="4">
        <f t="shared" si="71"/>
        <v>6721963</v>
      </c>
      <c r="K348" s="7">
        <v>11298</v>
      </c>
      <c r="L348" s="7">
        <v>3716607</v>
      </c>
      <c r="M348" s="4">
        <f t="shared" si="82"/>
        <v>3727905</v>
      </c>
      <c r="N348" s="288">
        <f t="shared" si="81"/>
        <v>0.18265644955300128</v>
      </c>
      <c r="O348" s="200">
        <f t="shared" si="83"/>
        <v>0.1980890774521708</v>
      </c>
      <c r="P348" s="4"/>
      <c r="Q348" s="4"/>
      <c r="R348" s="20">
        <f t="shared" si="89"/>
        <v>151351</v>
      </c>
      <c r="S348" s="39">
        <f t="shared" si="75"/>
        <v>-3</v>
      </c>
      <c r="T348" s="91">
        <f t="shared" si="90"/>
        <v>-907</v>
      </c>
      <c r="U348" s="166"/>
      <c r="V348" s="196"/>
    </row>
    <row r="349" spans="1:24" x14ac:dyDescent="0.25">
      <c r="A349" s="107">
        <v>44240</v>
      </c>
      <c r="B349" s="126">
        <v>6057</v>
      </c>
      <c r="C349" s="154">
        <f t="shared" si="88"/>
        <v>2021553</v>
      </c>
      <c r="D349" s="144">
        <v>159</v>
      </c>
      <c r="E349" s="126">
        <f t="shared" si="80"/>
        <v>50144</v>
      </c>
      <c r="F349" s="126">
        <f t="shared" si="85"/>
        <v>6805</v>
      </c>
      <c r="G349" s="154">
        <v>1820965</v>
      </c>
      <c r="H349" s="126">
        <v>3514</v>
      </c>
      <c r="I349" s="126">
        <v>54719</v>
      </c>
      <c r="J349" s="4">
        <f t="shared" si="71"/>
        <v>6776682</v>
      </c>
      <c r="K349" s="7">
        <v>11298</v>
      </c>
      <c r="L349" s="7">
        <v>3716607</v>
      </c>
      <c r="M349" s="4">
        <f>L349+K349</f>
        <v>3727905</v>
      </c>
      <c r="N349" s="288">
        <f t="shared" si="81"/>
        <v>1</v>
      </c>
      <c r="O349" s="200">
        <f t="shared" si="83"/>
        <v>0.31217581076167239</v>
      </c>
      <c r="P349" s="4"/>
      <c r="Q349" s="4"/>
      <c r="R349" s="20">
        <f t="shared" si="89"/>
        <v>150444</v>
      </c>
      <c r="S349" s="39">
        <f t="shared" si="75"/>
        <v>-24</v>
      </c>
      <c r="T349" s="91">
        <f t="shared" si="90"/>
        <v>-907</v>
      </c>
      <c r="U349" s="166"/>
      <c r="V349" s="196"/>
    </row>
    <row r="350" spans="1:24" x14ac:dyDescent="0.25">
      <c r="A350" s="107">
        <v>44241</v>
      </c>
      <c r="B350" s="126">
        <v>4245</v>
      </c>
      <c r="C350" s="154">
        <f t="shared" si="88"/>
        <v>2025798</v>
      </c>
      <c r="D350" s="144">
        <v>47</v>
      </c>
      <c r="E350" s="126">
        <f t="shared" si="80"/>
        <v>50191</v>
      </c>
      <c r="F350" s="126">
        <f t="shared" si="85"/>
        <v>6153</v>
      </c>
      <c r="G350" s="154">
        <v>1827118</v>
      </c>
      <c r="H350" s="126">
        <v>3547</v>
      </c>
      <c r="I350" s="126">
        <v>41673</v>
      </c>
      <c r="J350" s="4">
        <f t="shared" si="71"/>
        <v>6818355</v>
      </c>
      <c r="K350" s="7">
        <v>11438</v>
      </c>
      <c r="L350" s="7">
        <v>3778940</v>
      </c>
      <c r="M350" s="4">
        <f t="shared" si="82"/>
        <v>3790378</v>
      </c>
      <c r="N350" s="288">
        <f t="shared" ref="N350:N370" si="91">B350/(B350+(L350-L349))</f>
        <v>6.375980053471117E-2</v>
      </c>
      <c r="O350" s="200">
        <f t="shared" si="83"/>
        <v>0.29666263165546314</v>
      </c>
      <c r="P350" s="4"/>
      <c r="Q350" s="4"/>
      <c r="R350" s="20">
        <f t="shared" si="89"/>
        <v>148489</v>
      </c>
      <c r="S350" s="39">
        <f t="shared" si="75"/>
        <v>33</v>
      </c>
      <c r="T350" s="91">
        <f t="shared" si="90"/>
        <v>-1955</v>
      </c>
      <c r="U350" s="166"/>
      <c r="V350" s="196"/>
    </row>
    <row r="351" spans="1:24" x14ac:dyDescent="0.25">
      <c r="A351" s="107">
        <v>44242</v>
      </c>
      <c r="B351" s="126">
        <v>3259</v>
      </c>
      <c r="C351" s="154">
        <f t="shared" si="88"/>
        <v>2029057</v>
      </c>
      <c r="D351" s="144">
        <v>90</v>
      </c>
      <c r="E351" s="126">
        <f t="shared" si="80"/>
        <v>50281</v>
      </c>
      <c r="F351" s="126">
        <f t="shared" si="85"/>
        <v>6324</v>
      </c>
      <c r="G351" s="154">
        <v>1833442</v>
      </c>
      <c r="H351" s="126">
        <v>3538</v>
      </c>
      <c r="I351" s="126">
        <v>30040</v>
      </c>
      <c r="J351" s="4">
        <f t="shared" si="71"/>
        <v>6848395</v>
      </c>
      <c r="K351" s="7">
        <v>11525</v>
      </c>
      <c r="L351" s="7">
        <v>3807948</v>
      </c>
      <c r="M351" s="4">
        <f t="shared" si="82"/>
        <v>3819473</v>
      </c>
      <c r="N351" s="288">
        <f t="shared" si="91"/>
        <v>0.10100102271670747</v>
      </c>
      <c r="O351" s="200">
        <f t="shared" si="83"/>
        <v>0.28009115069853813</v>
      </c>
      <c r="P351" s="4"/>
      <c r="Q351" s="4"/>
      <c r="R351" s="20">
        <f t="shared" si="89"/>
        <v>145334</v>
      </c>
      <c r="S351" s="39">
        <f t="shared" ref="S351:S367" si="92">H351-H350</f>
        <v>-9</v>
      </c>
      <c r="T351" s="91">
        <f t="shared" si="90"/>
        <v>-3155</v>
      </c>
      <c r="U351" s="166"/>
      <c r="V351" s="196"/>
    </row>
    <row r="352" spans="1:24" x14ac:dyDescent="0.25">
      <c r="A352" s="107">
        <v>44243</v>
      </c>
      <c r="B352" s="126">
        <v>4003</v>
      </c>
      <c r="C352" s="154">
        <f t="shared" si="88"/>
        <v>2033060</v>
      </c>
      <c r="D352" s="144">
        <v>106</v>
      </c>
      <c r="E352" s="126">
        <f t="shared" si="80"/>
        <v>50387</v>
      </c>
      <c r="F352" s="126">
        <f t="shared" si="85"/>
        <v>4849</v>
      </c>
      <c r="G352" s="154">
        <v>1838291</v>
      </c>
      <c r="H352" s="126">
        <v>3581</v>
      </c>
      <c r="I352" s="126">
        <v>36282</v>
      </c>
      <c r="J352" s="4">
        <f t="shared" si="71"/>
        <v>6884677</v>
      </c>
      <c r="K352" s="7">
        <v>11677</v>
      </c>
      <c r="L352" s="7">
        <v>3832083</v>
      </c>
      <c r="M352" s="4">
        <f t="shared" si="82"/>
        <v>3843760</v>
      </c>
      <c r="N352" s="288">
        <f t="shared" si="91"/>
        <v>0.14226313170801053</v>
      </c>
      <c r="O352" s="200">
        <f t="shared" si="83"/>
        <v>0.27219424051710017</v>
      </c>
      <c r="P352" s="4"/>
      <c r="Q352" s="4"/>
      <c r="R352" s="20">
        <f t="shared" si="89"/>
        <v>144382</v>
      </c>
      <c r="S352" s="39">
        <f t="shared" si="92"/>
        <v>43</v>
      </c>
      <c r="T352" s="91">
        <f t="shared" si="90"/>
        <v>-952</v>
      </c>
      <c r="U352" s="166"/>
      <c r="V352" s="196"/>
    </row>
    <row r="353" spans="1:22" x14ac:dyDescent="0.25">
      <c r="A353" s="107">
        <v>44244</v>
      </c>
      <c r="B353" s="126">
        <v>6064</v>
      </c>
      <c r="C353" s="154">
        <f t="shared" si="88"/>
        <v>2039124</v>
      </c>
      <c r="D353" s="126">
        <v>183</v>
      </c>
      <c r="E353" s="126">
        <f t="shared" si="80"/>
        <v>50570</v>
      </c>
      <c r="F353" s="126">
        <f t="shared" si="85"/>
        <v>4587</v>
      </c>
      <c r="G353" s="154">
        <v>1842878</v>
      </c>
      <c r="H353" s="126">
        <v>3573</v>
      </c>
      <c r="I353" s="126">
        <v>45882</v>
      </c>
      <c r="J353" s="4">
        <f t="shared" si="71"/>
        <v>6930559</v>
      </c>
      <c r="K353" s="7">
        <v>11782</v>
      </c>
      <c r="L353" s="7">
        <v>3860961</v>
      </c>
      <c r="M353" s="4">
        <f t="shared" si="82"/>
        <v>3872743</v>
      </c>
      <c r="N353" s="288">
        <f t="shared" si="91"/>
        <v>0.17354473126896</v>
      </c>
      <c r="O353" s="200">
        <f t="shared" si="83"/>
        <v>0.25742535491140328</v>
      </c>
      <c r="P353" s="4"/>
      <c r="Q353" s="4"/>
      <c r="R353" s="20">
        <f t="shared" ref="R353:R367" si="93">C353-E353-G353</f>
        <v>145676</v>
      </c>
      <c r="S353" s="39">
        <f t="shared" si="92"/>
        <v>-8</v>
      </c>
      <c r="T353" s="91">
        <f t="shared" si="90"/>
        <v>1294</v>
      </c>
      <c r="U353" s="166"/>
      <c r="V353" s="196"/>
    </row>
    <row r="354" spans="1:22" x14ac:dyDescent="0.25">
      <c r="A354" s="107">
        <v>44245</v>
      </c>
      <c r="B354" s="126">
        <v>7671</v>
      </c>
      <c r="C354" s="154">
        <f t="shared" si="88"/>
        <v>2046795</v>
      </c>
      <c r="D354" s="126">
        <v>242</v>
      </c>
      <c r="E354" s="126">
        <f t="shared" si="80"/>
        <v>50812</v>
      </c>
      <c r="F354" s="126">
        <f t="shared" si="85"/>
        <v>6573</v>
      </c>
      <c r="G354" s="154">
        <v>1849451</v>
      </c>
      <c r="H354" s="126">
        <v>3595</v>
      </c>
      <c r="I354" s="126">
        <v>54375</v>
      </c>
      <c r="J354" s="4">
        <f t="shared" si="71"/>
        <v>6984934</v>
      </c>
      <c r="K354" s="7">
        <v>11889</v>
      </c>
      <c r="L354" s="7">
        <v>3886419</v>
      </c>
      <c r="M354" s="4">
        <f t="shared" si="82"/>
        <v>3898308</v>
      </c>
      <c r="N354" s="288">
        <f t="shared" si="91"/>
        <v>0.23154939780856651</v>
      </c>
      <c r="O354" s="200">
        <f t="shared" si="83"/>
        <v>0.27068207622713669</v>
      </c>
      <c r="P354" s="4"/>
      <c r="Q354" s="4"/>
      <c r="R354" s="4">
        <f t="shared" si="93"/>
        <v>146532</v>
      </c>
      <c r="S354" s="39">
        <f t="shared" si="92"/>
        <v>22</v>
      </c>
      <c r="T354" s="91">
        <f t="shared" si="90"/>
        <v>856</v>
      </c>
      <c r="U354" s="166"/>
      <c r="V354" s="196"/>
    </row>
    <row r="355" spans="1:22" x14ac:dyDescent="0.25">
      <c r="A355" s="107">
        <v>44246</v>
      </c>
      <c r="B355" s="126">
        <v>7886</v>
      </c>
      <c r="C355" s="154">
        <f t="shared" si="88"/>
        <v>2054681</v>
      </c>
      <c r="D355" s="126">
        <v>143</v>
      </c>
      <c r="E355" s="126">
        <f t="shared" si="80"/>
        <v>50955</v>
      </c>
      <c r="F355" s="126">
        <f t="shared" si="85"/>
        <v>6194</v>
      </c>
      <c r="G355" s="154">
        <v>1855645</v>
      </c>
      <c r="H355" s="126">
        <v>3608</v>
      </c>
      <c r="I355" s="126">
        <v>59570</v>
      </c>
      <c r="J355" s="4">
        <f t="shared" si="71"/>
        <v>7044504</v>
      </c>
      <c r="K355" s="7">
        <v>12025</v>
      </c>
      <c r="L355" s="7">
        <v>3936801</v>
      </c>
      <c r="M355" s="4">
        <f t="shared" si="82"/>
        <v>3948826</v>
      </c>
      <c r="N355" s="288">
        <f t="shared" si="91"/>
        <v>0.13534015239925859</v>
      </c>
      <c r="O355" s="200">
        <f t="shared" si="83"/>
        <v>0.26392260520517347</v>
      </c>
      <c r="P355" s="4"/>
      <c r="Q355" s="4"/>
      <c r="R355" s="4">
        <f t="shared" si="93"/>
        <v>148081</v>
      </c>
      <c r="S355" s="39">
        <f t="shared" si="92"/>
        <v>13</v>
      </c>
      <c r="T355" s="91">
        <f t="shared" si="90"/>
        <v>1549</v>
      </c>
      <c r="U355" s="166"/>
      <c r="V355" s="196"/>
    </row>
    <row r="356" spans="1:22" x14ac:dyDescent="0.25">
      <c r="A356" s="107">
        <v>44247</v>
      </c>
      <c r="B356" s="126">
        <v>5944</v>
      </c>
      <c r="C356" s="154">
        <f t="shared" si="88"/>
        <v>2060625</v>
      </c>
      <c r="D356" s="126">
        <v>122</v>
      </c>
      <c r="E356" s="126">
        <f t="shared" si="80"/>
        <v>51077</v>
      </c>
      <c r="F356" s="126">
        <f t="shared" si="85"/>
        <v>5788</v>
      </c>
      <c r="G356" s="154">
        <v>1861433</v>
      </c>
      <c r="H356" s="126">
        <v>3605</v>
      </c>
      <c r="I356" s="126">
        <v>51122</v>
      </c>
      <c r="J356" s="4">
        <f t="shared" si="71"/>
        <v>7095626</v>
      </c>
      <c r="K356" s="7">
        <v>12151</v>
      </c>
      <c r="L356" s="7">
        <v>3966620</v>
      </c>
      <c r="M356" s="4">
        <f t="shared" si="82"/>
        <v>3978771</v>
      </c>
      <c r="N356" s="288">
        <f t="shared" si="91"/>
        <v>0.16620529597628833</v>
      </c>
      <c r="O356" s="200">
        <f t="shared" si="83"/>
        <v>0.14480907605892893</v>
      </c>
      <c r="P356" s="4"/>
      <c r="Q356" s="4"/>
      <c r="R356" s="4">
        <f t="shared" si="93"/>
        <v>148115</v>
      </c>
      <c r="S356" s="39">
        <f t="shared" si="92"/>
        <v>-3</v>
      </c>
      <c r="T356" s="91">
        <f t="shared" si="90"/>
        <v>34</v>
      </c>
      <c r="U356" s="166"/>
      <c r="V356" s="196"/>
    </row>
    <row r="357" spans="1:22" x14ac:dyDescent="0.25">
      <c r="A357" s="107">
        <v>44248</v>
      </c>
      <c r="B357" s="126">
        <v>3709</v>
      </c>
      <c r="C357" s="154">
        <f t="shared" si="88"/>
        <v>2064334</v>
      </c>
      <c r="D357" s="126">
        <v>77</v>
      </c>
      <c r="E357" s="126">
        <f t="shared" si="80"/>
        <v>51154</v>
      </c>
      <c r="F357" s="126">
        <f t="shared" si="85"/>
        <v>5068</v>
      </c>
      <c r="G357" s="154">
        <v>1866501</v>
      </c>
      <c r="H357" s="126">
        <v>3605</v>
      </c>
      <c r="I357" s="126">
        <v>25350</v>
      </c>
      <c r="J357" s="4">
        <f t="shared" si="71"/>
        <v>7120976</v>
      </c>
      <c r="K357" s="7">
        <v>12205</v>
      </c>
      <c r="L357" s="7">
        <v>3982551</v>
      </c>
      <c r="M357" s="4">
        <f t="shared" si="82"/>
        <v>3994756</v>
      </c>
      <c r="N357" s="288">
        <f t="shared" si="91"/>
        <v>0.18884928716904276</v>
      </c>
      <c r="O357" s="200">
        <f t="shared" si="83"/>
        <v>0.16267900272097632</v>
      </c>
      <c r="P357" s="4"/>
      <c r="Q357" s="4"/>
      <c r="R357" s="4">
        <f t="shared" si="93"/>
        <v>146679</v>
      </c>
      <c r="S357" s="39">
        <f t="shared" si="92"/>
        <v>0</v>
      </c>
      <c r="T357" s="91">
        <f t="shared" si="90"/>
        <v>-1436</v>
      </c>
      <c r="U357" s="166"/>
      <c r="V357" s="196"/>
    </row>
    <row r="358" spans="1:22" x14ac:dyDescent="0.25">
      <c r="A358" s="107">
        <v>44249</v>
      </c>
      <c r="B358" s="126">
        <v>5417</v>
      </c>
      <c r="C358" s="154">
        <f t="shared" si="88"/>
        <v>2069751</v>
      </c>
      <c r="D358" s="126">
        <v>162</v>
      </c>
      <c r="E358" s="126">
        <f t="shared" si="80"/>
        <v>51316</v>
      </c>
      <c r="F358" s="126">
        <f t="shared" si="85"/>
        <v>5712</v>
      </c>
      <c r="G358" s="154">
        <v>1872213</v>
      </c>
      <c r="H358" s="126">
        <v>3550</v>
      </c>
      <c r="I358" s="126">
        <v>42145</v>
      </c>
      <c r="J358" s="4">
        <f t="shared" si="71"/>
        <v>7163121</v>
      </c>
      <c r="K358" s="7">
        <v>12284</v>
      </c>
      <c r="L358" s="7">
        <v>4011747</v>
      </c>
      <c r="M358" s="4">
        <f t="shared" si="82"/>
        <v>4024031</v>
      </c>
      <c r="N358" s="288">
        <f t="shared" si="91"/>
        <v>0.1565018923525843</v>
      </c>
      <c r="O358" s="200">
        <f t="shared" si="83"/>
        <v>0.17060769838324444</v>
      </c>
      <c r="P358" s="4"/>
      <c r="Q358" s="4"/>
      <c r="R358" s="4">
        <f t="shared" si="93"/>
        <v>146222</v>
      </c>
      <c r="S358" s="39">
        <f t="shared" si="92"/>
        <v>-55</v>
      </c>
      <c r="T358" s="91">
        <f t="shared" si="90"/>
        <v>-457</v>
      </c>
      <c r="U358" s="166"/>
      <c r="V358" s="196"/>
    </row>
    <row r="359" spans="1:22" x14ac:dyDescent="0.25">
      <c r="A359" s="107">
        <v>44250</v>
      </c>
      <c r="B359" s="126">
        <v>7477</v>
      </c>
      <c r="C359" s="154">
        <f t="shared" si="88"/>
        <v>2077228</v>
      </c>
      <c r="D359" s="126">
        <v>155</v>
      </c>
      <c r="E359" s="126">
        <f t="shared" si="80"/>
        <v>51471</v>
      </c>
      <c r="F359" s="126">
        <f t="shared" si="85"/>
        <v>5685</v>
      </c>
      <c r="G359" s="154">
        <v>1877898</v>
      </c>
      <c r="H359" s="126">
        <v>3529</v>
      </c>
      <c r="I359" s="126">
        <v>50888</v>
      </c>
      <c r="J359" s="4">
        <f t="shared" si="71"/>
        <v>7214009</v>
      </c>
      <c r="K359" s="23">
        <v>12458</v>
      </c>
      <c r="L359" s="23">
        <v>4042409</v>
      </c>
      <c r="M359" s="4">
        <f t="shared" si="82"/>
        <v>4054867</v>
      </c>
      <c r="N359" s="288">
        <f t="shared" si="91"/>
        <v>0.19604604210912713</v>
      </c>
      <c r="O359" s="200">
        <f t="shared" si="83"/>
        <v>0.17829097129768964</v>
      </c>
      <c r="R359" s="4">
        <f t="shared" si="93"/>
        <v>147859</v>
      </c>
      <c r="S359" s="39">
        <f t="shared" si="92"/>
        <v>-21</v>
      </c>
      <c r="T359" s="91">
        <f t="shared" si="90"/>
        <v>1637</v>
      </c>
      <c r="U359" s="166"/>
      <c r="V359" s="196"/>
    </row>
    <row r="360" spans="1:22" x14ac:dyDescent="0.25">
      <c r="A360" s="109">
        <v>44251</v>
      </c>
      <c r="B360" s="133">
        <v>8183</v>
      </c>
      <c r="C360" s="155">
        <f t="shared" si="88"/>
        <v>2085411</v>
      </c>
      <c r="D360" s="133">
        <v>141</v>
      </c>
      <c r="E360" s="126">
        <f t="shared" si="80"/>
        <v>51612</v>
      </c>
      <c r="F360" s="133">
        <f t="shared" si="85"/>
        <v>4670</v>
      </c>
      <c r="G360" s="155">
        <v>1882568</v>
      </c>
      <c r="H360" s="133">
        <v>3504</v>
      </c>
      <c r="I360" s="133">
        <v>46790</v>
      </c>
      <c r="J360" s="4">
        <f t="shared" si="71"/>
        <v>7260799</v>
      </c>
      <c r="K360" s="23">
        <v>12463</v>
      </c>
      <c r="L360" s="23">
        <v>4062615</v>
      </c>
      <c r="M360" s="27">
        <f t="shared" si="82"/>
        <v>4075078</v>
      </c>
      <c r="N360" s="288">
        <f t="shared" si="91"/>
        <v>0.28824544718024586</v>
      </c>
      <c r="O360" s="200">
        <f t="shared" si="83"/>
        <v>0.19467678785644479</v>
      </c>
      <c r="R360" s="27">
        <f t="shared" si="93"/>
        <v>151231</v>
      </c>
      <c r="S360" s="67">
        <f t="shared" si="92"/>
        <v>-25</v>
      </c>
      <c r="T360" s="121">
        <f t="shared" si="90"/>
        <v>3372</v>
      </c>
      <c r="U360" s="166"/>
      <c r="V360" s="196"/>
    </row>
    <row r="361" spans="1:22" x14ac:dyDescent="0.25">
      <c r="A361" s="107">
        <v>44252</v>
      </c>
      <c r="B361" s="126">
        <v>8234</v>
      </c>
      <c r="C361" s="154">
        <f t="shared" si="88"/>
        <v>2093645</v>
      </c>
      <c r="D361" s="126">
        <v>144</v>
      </c>
      <c r="E361" s="126">
        <f t="shared" si="80"/>
        <v>51756</v>
      </c>
      <c r="F361" s="126">
        <f t="shared" si="85"/>
        <v>5279</v>
      </c>
      <c r="G361" s="154">
        <v>1887847</v>
      </c>
      <c r="H361" s="126">
        <v>3467</v>
      </c>
      <c r="I361" s="126">
        <v>50336</v>
      </c>
      <c r="J361" s="4">
        <f t="shared" si="71"/>
        <v>7311135</v>
      </c>
      <c r="K361" s="7">
        <v>12512</v>
      </c>
      <c r="L361" s="7">
        <v>4093490</v>
      </c>
      <c r="M361" s="4">
        <f t="shared" si="82"/>
        <v>4106002</v>
      </c>
      <c r="N361" s="288">
        <f t="shared" si="91"/>
        <v>0.21053977345368075</v>
      </c>
      <c r="O361" s="200">
        <f t="shared" si="83"/>
        <v>0.19167541294860396</v>
      </c>
      <c r="P361" s="4"/>
      <c r="Q361" s="4"/>
      <c r="R361" s="4">
        <f t="shared" si="93"/>
        <v>154042</v>
      </c>
      <c r="S361" s="39">
        <f t="shared" si="92"/>
        <v>-37</v>
      </c>
      <c r="T361" s="91">
        <f t="shared" si="90"/>
        <v>2811</v>
      </c>
      <c r="U361" s="166"/>
      <c r="V361" s="196"/>
    </row>
    <row r="362" spans="1:22" x14ac:dyDescent="0.25">
      <c r="A362" s="107">
        <v>44253</v>
      </c>
      <c r="B362" s="126">
        <v>5083</v>
      </c>
      <c r="C362" s="154">
        <f t="shared" si="88"/>
        <v>2098728</v>
      </c>
      <c r="D362" s="126">
        <v>92</v>
      </c>
      <c r="E362" s="126">
        <f t="shared" si="80"/>
        <v>51848</v>
      </c>
      <c r="F362" s="126">
        <f t="shared" si="85"/>
        <v>4987</v>
      </c>
      <c r="G362" s="154">
        <v>1892834</v>
      </c>
      <c r="H362" s="126">
        <v>3475</v>
      </c>
      <c r="I362" s="126">
        <v>43445</v>
      </c>
      <c r="J362" s="4">
        <f t="shared" ref="J362:J372" si="94">J363-I363</f>
        <v>7354580</v>
      </c>
      <c r="K362" s="7">
        <v>12668</v>
      </c>
      <c r="L362" s="7">
        <v>4129185</v>
      </c>
      <c r="M362" s="4">
        <f t="shared" si="82"/>
        <v>4141853</v>
      </c>
      <c r="N362" s="288">
        <f t="shared" si="91"/>
        <v>0.12465054686350482</v>
      </c>
      <c r="O362" s="200">
        <f t="shared" si="83"/>
        <v>0.19014832644349627</v>
      </c>
      <c r="P362" s="4"/>
      <c r="Q362" s="4"/>
      <c r="R362" s="4">
        <f t="shared" si="93"/>
        <v>154046</v>
      </c>
      <c r="S362" s="39">
        <f t="shared" si="92"/>
        <v>8</v>
      </c>
      <c r="T362" s="91">
        <f t="shared" si="90"/>
        <v>4</v>
      </c>
      <c r="U362" s="166"/>
      <c r="V362" s="196"/>
    </row>
    <row r="363" spans="1:22" x14ac:dyDescent="0.25">
      <c r="A363" s="107">
        <v>44254</v>
      </c>
      <c r="B363" s="126">
        <v>5469</v>
      </c>
      <c r="C363" s="154">
        <f t="shared" si="88"/>
        <v>2104197</v>
      </c>
      <c r="D363" s="126">
        <v>59</v>
      </c>
      <c r="E363" s="126">
        <f t="shared" si="80"/>
        <v>51907</v>
      </c>
      <c r="F363" s="126">
        <f t="shared" si="85"/>
        <v>6253</v>
      </c>
      <c r="G363" s="154">
        <v>1899087</v>
      </c>
      <c r="H363" s="126">
        <v>3494</v>
      </c>
      <c r="I363" s="126">
        <v>40095</v>
      </c>
      <c r="J363" s="4">
        <f t="shared" si="94"/>
        <v>7394675</v>
      </c>
      <c r="K363" s="7">
        <v>12698</v>
      </c>
      <c r="L363" s="7">
        <v>4146549</v>
      </c>
      <c r="M363" s="4">
        <f t="shared" si="82"/>
        <v>4159247</v>
      </c>
      <c r="N363" s="288">
        <f t="shared" si="91"/>
        <v>0.23952174484299041</v>
      </c>
      <c r="O363" s="200">
        <f t="shared" si="83"/>
        <v>0.20062210485302517</v>
      </c>
      <c r="P363" s="4"/>
      <c r="Q363" s="4"/>
      <c r="R363" s="4">
        <f t="shared" si="93"/>
        <v>153203</v>
      </c>
      <c r="S363" s="39">
        <f t="shared" si="92"/>
        <v>19</v>
      </c>
      <c r="T363" s="91">
        <f t="shared" si="90"/>
        <v>-843</v>
      </c>
      <c r="U363" s="166"/>
      <c r="V363" s="196"/>
    </row>
    <row r="364" spans="1:22" x14ac:dyDescent="0.25">
      <c r="A364" s="107">
        <v>44255</v>
      </c>
      <c r="B364" s="126">
        <v>3168</v>
      </c>
      <c r="C364" s="154">
        <f t="shared" si="88"/>
        <v>2107365</v>
      </c>
      <c r="D364" s="126">
        <v>19</v>
      </c>
      <c r="E364" s="126">
        <f t="shared" si="80"/>
        <v>51926</v>
      </c>
      <c r="F364" s="126">
        <f t="shared" ref="F364:F378" si="95">G364-G363</f>
        <v>5934</v>
      </c>
      <c r="G364" s="154">
        <v>1905021</v>
      </c>
      <c r="H364" s="126">
        <v>3505</v>
      </c>
      <c r="I364" s="126">
        <v>30915</v>
      </c>
      <c r="J364" s="4">
        <f t="shared" si="94"/>
        <v>7425590</v>
      </c>
      <c r="K364" s="7">
        <v>12841</v>
      </c>
      <c r="L364" s="7">
        <v>4175784</v>
      </c>
      <c r="M364" s="4">
        <f t="shared" si="82"/>
        <v>4188625</v>
      </c>
      <c r="N364" s="288">
        <f t="shared" si="91"/>
        <v>9.776872511804463E-2</v>
      </c>
      <c r="O364" s="200">
        <f t="shared" si="83"/>
        <v>0.18761059598859683</v>
      </c>
      <c r="P364" s="4"/>
      <c r="Q364" s="4"/>
      <c r="R364" s="4">
        <f t="shared" si="93"/>
        <v>150418</v>
      </c>
      <c r="S364" s="39">
        <f t="shared" si="92"/>
        <v>11</v>
      </c>
      <c r="T364" s="91">
        <f t="shared" si="90"/>
        <v>-2785</v>
      </c>
      <c r="U364" s="166"/>
      <c r="V364" s="196"/>
    </row>
    <row r="365" spans="1:22" x14ac:dyDescent="0.25">
      <c r="A365" s="107">
        <v>44256</v>
      </c>
      <c r="B365" s="126">
        <v>4658</v>
      </c>
      <c r="C365" s="154">
        <f t="shared" si="88"/>
        <v>2112023</v>
      </c>
      <c r="D365" s="126">
        <v>112</v>
      </c>
      <c r="E365" s="126">
        <f t="shared" si="80"/>
        <v>52038</v>
      </c>
      <c r="F365" s="126">
        <f t="shared" si="95"/>
        <v>6317</v>
      </c>
      <c r="G365" s="154">
        <v>1911338</v>
      </c>
      <c r="H365" s="126">
        <v>3505</v>
      </c>
      <c r="I365" s="126">
        <v>30136</v>
      </c>
      <c r="J365" s="4">
        <f t="shared" si="94"/>
        <v>7455726</v>
      </c>
      <c r="K365" s="7">
        <v>12890</v>
      </c>
      <c r="L365" s="7">
        <v>4195306</v>
      </c>
      <c r="M365" s="4">
        <f t="shared" si="82"/>
        <v>4208196</v>
      </c>
      <c r="N365" s="288">
        <f t="shared" si="91"/>
        <v>0.19263854425144747</v>
      </c>
      <c r="O365" s="200">
        <f t="shared" si="83"/>
        <v>0.1927729748312916</v>
      </c>
      <c r="P365" s="4"/>
      <c r="Q365" s="4"/>
      <c r="R365" s="4">
        <f t="shared" si="93"/>
        <v>148647</v>
      </c>
      <c r="S365" s="39">
        <f t="shared" si="92"/>
        <v>0</v>
      </c>
      <c r="T365" s="91">
        <f t="shared" si="90"/>
        <v>-1771</v>
      </c>
      <c r="U365" s="166"/>
      <c r="V365" s="196"/>
    </row>
    <row r="366" spans="1:22" x14ac:dyDescent="0.25">
      <c r="A366" s="107">
        <v>44257</v>
      </c>
      <c r="B366" s="126">
        <v>6653</v>
      </c>
      <c r="C366" s="154">
        <f t="shared" si="88"/>
        <v>2118676</v>
      </c>
      <c r="D366" s="126">
        <v>116</v>
      </c>
      <c r="E366" s="126">
        <f t="shared" si="80"/>
        <v>52154</v>
      </c>
      <c r="F366" s="126">
        <f t="shared" si="95"/>
        <v>5598</v>
      </c>
      <c r="G366" s="154">
        <v>1916936</v>
      </c>
      <c r="H366" s="126">
        <v>3527</v>
      </c>
      <c r="I366" s="126">
        <v>43912</v>
      </c>
      <c r="J366" s="4">
        <f t="shared" si="94"/>
        <v>7499638</v>
      </c>
      <c r="K366" s="7">
        <v>12962</v>
      </c>
      <c r="L366" s="7">
        <v>4221954</v>
      </c>
      <c r="M366" s="4">
        <f t="shared" si="82"/>
        <v>4234916</v>
      </c>
      <c r="N366" s="288">
        <f t="shared" si="91"/>
        <v>0.19978379027656828</v>
      </c>
      <c r="O366" s="200">
        <f t="shared" si="83"/>
        <v>0.19330693885521175</v>
      </c>
      <c r="P366" s="4"/>
      <c r="Q366" s="4"/>
      <c r="R366" s="4">
        <f t="shared" si="93"/>
        <v>149586</v>
      </c>
      <c r="S366" s="39">
        <f t="shared" si="92"/>
        <v>22</v>
      </c>
      <c r="T366" s="91">
        <f t="shared" si="90"/>
        <v>939</v>
      </c>
      <c r="U366" s="166"/>
      <c r="V366" s="196"/>
    </row>
    <row r="367" spans="1:22" x14ac:dyDescent="0.25">
      <c r="A367" s="107">
        <v>44258</v>
      </c>
      <c r="B367" s="126">
        <v>7855</v>
      </c>
      <c r="C367" s="154">
        <f t="shared" si="88"/>
        <v>2126531</v>
      </c>
      <c r="D367" s="126">
        <v>262</v>
      </c>
      <c r="E367" s="126">
        <f t="shared" si="80"/>
        <v>52416</v>
      </c>
      <c r="F367" s="126">
        <f t="shared" si="95"/>
        <v>4653</v>
      </c>
      <c r="G367" s="154">
        <v>1921589</v>
      </c>
      <c r="H367" s="126">
        <v>3521</v>
      </c>
      <c r="I367" s="126">
        <v>54559</v>
      </c>
      <c r="J367" s="4">
        <f t="shared" si="94"/>
        <v>7554197</v>
      </c>
      <c r="K367" s="7">
        <v>13013</v>
      </c>
      <c r="L367" s="7">
        <v>4258155</v>
      </c>
      <c r="M367" s="4">
        <f t="shared" si="82"/>
        <v>4271168</v>
      </c>
      <c r="N367" s="288">
        <f t="shared" si="91"/>
        <v>0.17829580533865988</v>
      </c>
      <c r="O367" s="200">
        <f t="shared" si="83"/>
        <v>0.17759984716355662</v>
      </c>
      <c r="P367" s="4"/>
      <c r="Q367" s="4"/>
      <c r="R367" s="4">
        <f t="shared" si="93"/>
        <v>152526</v>
      </c>
      <c r="S367" s="39">
        <f t="shared" si="92"/>
        <v>-6</v>
      </c>
      <c r="T367" s="91">
        <f t="shared" si="90"/>
        <v>2940</v>
      </c>
      <c r="U367" s="166"/>
      <c r="V367" s="196"/>
    </row>
    <row r="368" spans="1:22" x14ac:dyDescent="0.25">
      <c r="A368" s="107">
        <v>44259</v>
      </c>
      <c r="B368" s="126">
        <v>7432</v>
      </c>
      <c r="C368" s="154">
        <f t="shared" si="88"/>
        <v>2133963</v>
      </c>
      <c r="D368" s="126">
        <v>191</v>
      </c>
      <c r="E368" s="126">
        <f t="shared" si="80"/>
        <v>52607</v>
      </c>
      <c r="F368" s="126">
        <f t="shared" si="95"/>
        <v>6788</v>
      </c>
      <c r="G368" s="154">
        <v>1928377</v>
      </c>
      <c r="H368" s="126">
        <v>3489</v>
      </c>
      <c r="I368" s="126">
        <v>52553</v>
      </c>
      <c r="J368" s="4">
        <f t="shared" si="94"/>
        <v>7606750</v>
      </c>
      <c r="K368" s="7">
        <v>13099</v>
      </c>
      <c r="L368" s="7">
        <v>4288679</v>
      </c>
      <c r="M368" s="4">
        <f t="shared" si="82"/>
        <v>4301778</v>
      </c>
      <c r="N368" s="288">
        <f t="shared" si="91"/>
        <v>0.19580566972283697</v>
      </c>
      <c r="O368" s="200">
        <f t="shared" si="83"/>
        <v>0.17549497520200749</v>
      </c>
      <c r="P368" s="4"/>
      <c r="Q368" s="4"/>
      <c r="R368" s="4">
        <f t="shared" ref="R368:R383" si="96">C368-E368-G368</f>
        <v>152979</v>
      </c>
      <c r="S368" s="39">
        <f t="shared" ref="S368:S382" si="97">H368-H367</f>
        <v>-32</v>
      </c>
      <c r="T368" s="91">
        <f t="shared" ref="T368:T382" si="98">(C368-G368-E368)-(C367-E367-G367)</f>
        <v>453</v>
      </c>
      <c r="U368" s="166"/>
      <c r="V368" s="196"/>
    </row>
    <row r="369" spans="1:22" x14ac:dyDescent="0.25">
      <c r="A369" s="107">
        <v>44260</v>
      </c>
      <c r="B369" s="126">
        <v>7891</v>
      </c>
      <c r="C369" s="154">
        <f t="shared" si="88"/>
        <v>2141854</v>
      </c>
      <c r="D369" s="126">
        <v>140</v>
      </c>
      <c r="E369" s="126">
        <f t="shared" si="80"/>
        <v>52747</v>
      </c>
      <c r="F369" s="126">
        <f t="shared" si="95"/>
        <v>6468</v>
      </c>
      <c r="G369" s="154">
        <v>1934845</v>
      </c>
      <c r="H369" s="126">
        <v>3485</v>
      </c>
      <c r="I369" s="126">
        <v>42063</v>
      </c>
      <c r="J369" s="4">
        <f t="shared" si="94"/>
        <v>7648813</v>
      </c>
      <c r="K369" s="7">
        <v>13197</v>
      </c>
      <c r="L369" s="7">
        <v>4316933</v>
      </c>
      <c r="M369" s="4">
        <f t="shared" si="82"/>
        <v>4330130</v>
      </c>
      <c r="N369" s="288">
        <f t="shared" si="91"/>
        <v>0.21831511965693734</v>
      </c>
      <c r="O369" s="200">
        <f t="shared" si="83"/>
        <v>0.18887562845821212</v>
      </c>
      <c r="P369" s="4"/>
      <c r="Q369" s="4"/>
      <c r="R369" s="4">
        <f t="shared" si="96"/>
        <v>154262</v>
      </c>
      <c r="S369" s="39">
        <f t="shared" si="97"/>
        <v>-4</v>
      </c>
      <c r="T369" s="91">
        <f t="shared" si="98"/>
        <v>1283</v>
      </c>
      <c r="U369" s="166"/>
      <c r="V369" s="196"/>
    </row>
    <row r="370" spans="1:22" x14ac:dyDescent="0.25">
      <c r="A370" s="107">
        <v>44261</v>
      </c>
      <c r="B370" s="126">
        <v>4860</v>
      </c>
      <c r="C370" s="154">
        <f t="shared" si="88"/>
        <v>2146714</v>
      </c>
      <c r="D370" s="126">
        <v>86</v>
      </c>
      <c r="E370" s="126">
        <f t="shared" si="80"/>
        <v>52833</v>
      </c>
      <c r="F370" s="126">
        <f t="shared" si="95"/>
        <v>5472</v>
      </c>
      <c r="G370" s="154">
        <v>1940317</v>
      </c>
      <c r="H370" s="126">
        <v>3475</v>
      </c>
      <c r="I370" s="126">
        <v>37730</v>
      </c>
      <c r="J370" s="4">
        <f t="shared" si="94"/>
        <v>7686543</v>
      </c>
      <c r="K370" s="7">
        <v>13197</v>
      </c>
      <c r="L370" s="7">
        <v>4316933</v>
      </c>
      <c r="M370" s="4">
        <f>L370+K370</f>
        <v>4330130</v>
      </c>
      <c r="N370" s="288">
        <f t="shared" si="91"/>
        <v>1</v>
      </c>
      <c r="O370" s="200">
        <f t="shared" si="83"/>
        <v>0.29751537919492776</v>
      </c>
      <c r="P370" s="4"/>
      <c r="Q370" s="4"/>
      <c r="R370" s="4">
        <f t="shared" si="96"/>
        <v>153564</v>
      </c>
      <c r="S370" s="39">
        <f t="shared" si="97"/>
        <v>-10</v>
      </c>
      <c r="T370" s="91">
        <f t="shared" si="98"/>
        <v>-698</v>
      </c>
      <c r="U370" s="166"/>
      <c r="V370" s="196"/>
    </row>
    <row r="371" spans="1:22" x14ac:dyDescent="0.25">
      <c r="A371" s="107">
        <v>44262</v>
      </c>
      <c r="B371" s="126">
        <v>2922</v>
      </c>
      <c r="C371" s="154">
        <f t="shared" si="88"/>
        <v>2149636</v>
      </c>
      <c r="D371" s="126">
        <v>10</v>
      </c>
      <c r="E371" s="126">
        <f t="shared" si="80"/>
        <v>52843</v>
      </c>
      <c r="F371" s="126">
        <f t="shared" si="95"/>
        <v>5499</v>
      </c>
      <c r="G371" s="154">
        <v>1945816</v>
      </c>
      <c r="H371" s="126">
        <v>3467</v>
      </c>
      <c r="I371" s="126">
        <v>22839</v>
      </c>
      <c r="J371" s="4">
        <f t="shared" si="94"/>
        <v>7709382</v>
      </c>
      <c r="K371" s="7">
        <v>13283</v>
      </c>
      <c r="L371" s="7">
        <v>4351403</v>
      </c>
      <c r="M371" s="4">
        <f t="shared" si="82"/>
        <v>4364686</v>
      </c>
      <c r="N371" s="288">
        <f t="shared" ref="N371:N396" si="99">B371/(B371+(L371-L370))</f>
        <v>7.814505776636714E-2</v>
      </c>
      <c r="O371" s="200">
        <f t="shared" si="83"/>
        <v>0.29471199814468813</v>
      </c>
      <c r="P371" s="4"/>
      <c r="Q371" s="4"/>
      <c r="R371" s="4">
        <f t="shared" si="96"/>
        <v>150977</v>
      </c>
      <c r="S371" s="39">
        <f t="shared" si="97"/>
        <v>-8</v>
      </c>
      <c r="T371" s="91">
        <f t="shared" si="98"/>
        <v>-2587</v>
      </c>
      <c r="U371" s="166"/>
      <c r="V371" s="196"/>
    </row>
    <row r="372" spans="1:22" x14ac:dyDescent="0.25">
      <c r="A372" s="107">
        <v>44263</v>
      </c>
      <c r="B372" s="126">
        <v>5058</v>
      </c>
      <c r="C372" s="154">
        <f t="shared" si="88"/>
        <v>2154694</v>
      </c>
      <c r="D372" s="197">
        <v>240</v>
      </c>
      <c r="E372" s="126">
        <f t="shared" si="80"/>
        <v>53083</v>
      </c>
      <c r="F372" s="126">
        <f t="shared" si="95"/>
        <v>5724</v>
      </c>
      <c r="G372" s="154">
        <v>1951540</v>
      </c>
      <c r="H372" s="126">
        <v>3484</v>
      </c>
      <c r="I372" s="126">
        <v>28407</v>
      </c>
      <c r="J372" s="4">
        <f t="shared" si="94"/>
        <v>7737789</v>
      </c>
      <c r="K372" s="7">
        <v>13343</v>
      </c>
      <c r="L372" s="7">
        <v>4368459</v>
      </c>
      <c r="M372" s="4">
        <f t="shared" si="82"/>
        <v>4381802</v>
      </c>
      <c r="N372" s="42">
        <f t="shared" si="99"/>
        <v>0.22872388532151577</v>
      </c>
      <c r="O372" s="200">
        <f t="shared" si="83"/>
        <v>0.29986704686898363</v>
      </c>
      <c r="P372" s="4"/>
      <c r="Q372" s="4"/>
      <c r="R372" s="4">
        <f t="shared" si="96"/>
        <v>150071</v>
      </c>
      <c r="S372" s="39">
        <f t="shared" si="97"/>
        <v>17</v>
      </c>
      <c r="T372" s="91">
        <f t="shared" si="98"/>
        <v>-906</v>
      </c>
      <c r="U372" s="166"/>
      <c r="V372" s="196"/>
    </row>
    <row r="373" spans="1:22" x14ac:dyDescent="0.25">
      <c r="A373" s="107">
        <v>44264</v>
      </c>
      <c r="B373" s="126">
        <v>7307</v>
      </c>
      <c r="C373" s="154">
        <f t="shared" si="88"/>
        <v>2162001</v>
      </c>
      <c r="D373" s="126">
        <v>131</v>
      </c>
      <c r="E373" s="126">
        <f t="shared" si="80"/>
        <v>53214</v>
      </c>
      <c r="F373" s="126">
        <f t="shared" si="95"/>
        <v>5051</v>
      </c>
      <c r="G373" s="154">
        <v>1956591</v>
      </c>
      <c r="H373" s="126">
        <v>3525</v>
      </c>
      <c r="I373" s="126">
        <v>42565</v>
      </c>
      <c r="J373" s="4">
        <f t="shared" ref="J373:J387" si="100">J374-I374</f>
        <v>7780354</v>
      </c>
      <c r="K373" s="7">
        <v>13426</v>
      </c>
      <c r="L373" s="7">
        <v>4392812</v>
      </c>
      <c r="M373" s="4">
        <f t="shared" si="82"/>
        <v>4406238</v>
      </c>
      <c r="N373" s="42">
        <f t="shared" si="99"/>
        <v>0.23079595704358813</v>
      </c>
      <c r="O373" s="200">
        <f t="shared" si="83"/>
        <v>0.30429735640712929</v>
      </c>
      <c r="P373" s="4"/>
      <c r="Q373" s="4"/>
      <c r="R373" s="4">
        <f t="shared" si="96"/>
        <v>152196</v>
      </c>
      <c r="S373" s="39">
        <f t="shared" si="97"/>
        <v>41</v>
      </c>
      <c r="T373" s="91">
        <f t="shared" si="98"/>
        <v>2125</v>
      </c>
      <c r="U373" s="166"/>
      <c r="V373" s="196"/>
    </row>
    <row r="374" spans="1:22" x14ac:dyDescent="0.25">
      <c r="A374" s="107">
        <v>44265</v>
      </c>
      <c r="B374" s="126">
        <v>7693</v>
      </c>
      <c r="C374" s="154">
        <f t="shared" si="88"/>
        <v>2169694</v>
      </c>
      <c r="D374" s="126">
        <v>107</v>
      </c>
      <c r="E374" s="126">
        <f t="shared" si="80"/>
        <v>53321</v>
      </c>
      <c r="F374" s="126">
        <f t="shared" si="95"/>
        <v>5049</v>
      </c>
      <c r="G374" s="154">
        <v>1961640</v>
      </c>
      <c r="H374" s="126">
        <v>3491</v>
      </c>
      <c r="I374" s="126">
        <v>45460</v>
      </c>
      <c r="J374" s="4">
        <f t="shared" si="100"/>
        <v>7825814</v>
      </c>
      <c r="K374" s="7">
        <v>13539</v>
      </c>
      <c r="L374" s="7">
        <v>4419508</v>
      </c>
      <c r="M374" s="4">
        <f t="shared" si="82"/>
        <v>4433047</v>
      </c>
      <c r="N374" s="42">
        <f t="shared" si="99"/>
        <v>0.22370525458722265</v>
      </c>
      <c r="O374" s="200">
        <f t="shared" si="83"/>
        <v>0.31078442058549538</v>
      </c>
      <c r="P374" s="4"/>
      <c r="Q374" s="4"/>
      <c r="R374" s="4">
        <f t="shared" si="96"/>
        <v>154733</v>
      </c>
      <c r="S374" s="39">
        <f t="shared" si="97"/>
        <v>-34</v>
      </c>
      <c r="T374" s="91">
        <f t="shared" si="98"/>
        <v>2537</v>
      </c>
      <c r="U374" s="166"/>
      <c r="V374" s="196"/>
    </row>
    <row r="375" spans="1:22" x14ac:dyDescent="0.25">
      <c r="A375" s="107">
        <v>44266</v>
      </c>
      <c r="B375" s="126">
        <v>8204</v>
      </c>
      <c r="C375" s="154">
        <f t="shared" ref="C375:C392" si="101">C374+B375</f>
        <v>2177898</v>
      </c>
      <c r="D375" s="126">
        <v>133</v>
      </c>
      <c r="E375" s="126">
        <f t="shared" si="80"/>
        <v>53454</v>
      </c>
      <c r="F375" s="126">
        <f t="shared" si="95"/>
        <v>6822</v>
      </c>
      <c r="G375" s="154">
        <v>1968462</v>
      </c>
      <c r="H375" s="126">
        <v>3438</v>
      </c>
      <c r="I375" s="126">
        <v>50248</v>
      </c>
      <c r="J375" s="4">
        <f t="shared" si="100"/>
        <v>7876062</v>
      </c>
      <c r="K375" s="7">
        <v>13624</v>
      </c>
      <c r="L375" s="7">
        <v>4452083</v>
      </c>
      <c r="M375" s="4">
        <f t="shared" si="82"/>
        <v>4465707</v>
      </c>
      <c r="N375" s="42">
        <f t="shared" si="99"/>
        <v>0.20118198092155276</v>
      </c>
      <c r="O375" s="200">
        <f t="shared" si="83"/>
        <v>0.31155246504245487</v>
      </c>
      <c r="P375" s="4"/>
      <c r="Q375" s="4"/>
      <c r="R375" s="4">
        <f t="shared" si="96"/>
        <v>155982</v>
      </c>
      <c r="S375" s="39">
        <f t="shared" si="97"/>
        <v>-53</v>
      </c>
      <c r="T375" s="91">
        <f t="shared" si="98"/>
        <v>1249</v>
      </c>
      <c r="U375" s="166"/>
      <c r="V375" s="196"/>
    </row>
    <row r="376" spans="1:22" x14ac:dyDescent="0.25">
      <c r="A376" s="107">
        <v>44267</v>
      </c>
      <c r="B376" s="126">
        <v>7849</v>
      </c>
      <c r="C376" s="154">
        <f t="shared" si="101"/>
        <v>2185747</v>
      </c>
      <c r="D376" s="126">
        <v>86</v>
      </c>
      <c r="E376" s="126">
        <f t="shared" si="80"/>
        <v>53540</v>
      </c>
      <c r="F376" s="126">
        <f t="shared" si="95"/>
        <v>6404</v>
      </c>
      <c r="G376" s="154">
        <v>1974866</v>
      </c>
      <c r="H376" s="126">
        <v>3417</v>
      </c>
      <c r="I376" s="126">
        <v>53578</v>
      </c>
      <c r="J376" s="4">
        <f t="shared" si="100"/>
        <v>7929640</v>
      </c>
      <c r="K376" s="7">
        <v>13823</v>
      </c>
      <c r="L376" s="7">
        <v>4476389</v>
      </c>
      <c r="M376" s="4">
        <f t="shared" si="82"/>
        <v>4490212</v>
      </c>
      <c r="N376" s="42">
        <f t="shared" si="99"/>
        <v>0.24409889597263257</v>
      </c>
      <c r="O376" s="200">
        <f t="shared" si="83"/>
        <v>0.31523586165898271</v>
      </c>
      <c r="P376" s="4"/>
      <c r="Q376" s="4"/>
      <c r="R376" s="4">
        <f t="shared" si="96"/>
        <v>157341</v>
      </c>
      <c r="S376" s="39">
        <f t="shared" si="97"/>
        <v>-21</v>
      </c>
      <c r="T376" s="91">
        <f t="shared" si="98"/>
        <v>1359</v>
      </c>
      <c r="U376" s="166"/>
      <c r="V376" s="196"/>
    </row>
    <row r="377" spans="1:22" x14ac:dyDescent="0.25">
      <c r="A377" s="107">
        <v>44268</v>
      </c>
      <c r="B377" s="126">
        <v>6278</v>
      </c>
      <c r="C377" s="154">
        <f t="shared" si="101"/>
        <v>2192025</v>
      </c>
      <c r="D377" s="126">
        <v>68</v>
      </c>
      <c r="E377" s="126">
        <f t="shared" si="80"/>
        <v>53608</v>
      </c>
      <c r="F377" s="126">
        <f t="shared" si="95"/>
        <v>6291</v>
      </c>
      <c r="G377" s="154">
        <v>1981157</v>
      </c>
      <c r="H377" s="126">
        <v>3454</v>
      </c>
      <c r="I377" s="126">
        <v>42812</v>
      </c>
      <c r="J377" s="4">
        <f t="shared" si="100"/>
        <v>7972452</v>
      </c>
      <c r="K377" s="7">
        <v>13891</v>
      </c>
      <c r="L377" s="7">
        <v>4502329</v>
      </c>
      <c r="M377" s="4">
        <f t="shared" si="82"/>
        <v>4516220</v>
      </c>
      <c r="N377" s="42">
        <f t="shared" si="99"/>
        <v>0.19486001614004594</v>
      </c>
      <c r="O377" s="200">
        <f>AVERAGE(N371:N377)</f>
        <v>0.20021586396470356</v>
      </c>
      <c r="P377" s="4"/>
      <c r="Q377" s="4"/>
      <c r="R377" s="4">
        <f t="shared" si="96"/>
        <v>157260</v>
      </c>
      <c r="S377" s="39">
        <f t="shared" si="97"/>
        <v>37</v>
      </c>
      <c r="T377" s="91">
        <f t="shared" si="98"/>
        <v>-81</v>
      </c>
      <c r="U377" s="166"/>
      <c r="V377" s="196"/>
    </row>
    <row r="378" spans="1:22" x14ac:dyDescent="0.25">
      <c r="A378" s="107">
        <v>44269</v>
      </c>
      <c r="B378" s="126">
        <v>3697</v>
      </c>
      <c r="C378" s="154">
        <f t="shared" si="101"/>
        <v>2195722</v>
      </c>
      <c r="D378" s="126">
        <v>23</v>
      </c>
      <c r="E378" s="126">
        <f t="shared" si="80"/>
        <v>53631</v>
      </c>
      <c r="F378" s="126">
        <f t="shared" si="95"/>
        <v>5746</v>
      </c>
      <c r="G378" s="154">
        <v>1986903</v>
      </c>
      <c r="H378" s="126">
        <v>3479</v>
      </c>
      <c r="I378" s="4">
        <v>26221</v>
      </c>
      <c r="J378" s="4">
        <f t="shared" si="100"/>
        <v>7998673</v>
      </c>
      <c r="K378" s="7">
        <v>13964</v>
      </c>
      <c r="L378" s="7">
        <v>4518854</v>
      </c>
      <c r="M378" s="4">
        <f t="shared" si="82"/>
        <v>4532818</v>
      </c>
      <c r="N378" s="42">
        <f t="shared" si="99"/>
        <v>0.18282069033725645</v>
      </c>
      <c r="O378" s="200">
        <f t="shared" ref="O378:O413" si="102">AVERAGE(N372:N378)</f>
        <v>0.21516952576054491</v>
      </c>
      <c r="P378" s="4"/>
      <c r="Q378" s="4"/>
      <c r="R378" s="4">
        <f t="shared" si="96"/>
        <v>155188</v>
      </c>
      <c r="S378" s="39">
        <f t="shared" si="97"/>
        <v>25</v>
      </c>
      <c r="T378" s="91">
        <f t="shared" si="98"/>
        <v>-2072</v>
      </c>
      <c r="U378" s="166"/>
      <c r="V378" s="196"/>
    </row>
    <row r="379" spans="1:22" x14ac:dyDescent="0.25">
      <c r="A379" s="107">
        <v>44270</v>
      </c>
      <c r="B379" s="126">
        <v>6164</v>
      </c>
      <c r="C379" s="154">
        <f t="shared" si="101"/>
        <v>2201886</v>
      </c>
      <c r="D379" s="126">
        <v>166</v>
      </c>
      <c r="E379" s="126">
        <f t="shared" si="80"/>
        <v>53797</v>
      </c>
      <c r="F379" s="126">
        <f t="shared" ref="F379:F384" si="103">G379-G378</f>
        <v>6312</v>
      </c>
      <c r="G379" s="154">
        <v>1993215</v>
      </c>
      <c r="H379" s="126">
        <v>3469</v>
      </c>
      <c r="I379" s="4">
        <v>34040</v>
      </c>
      <c r="J379" s="4">
        <f t="shared" si="100"/>
        <v>8032713</v>
      </c>
      <c r="K379" s="7">
        <v>14058</v>
      </c>
      <c r="L379" s="7">
        <v>4540295</v>
      </c>
      <c r="M379" s="4">
        <f t="shared" si="82"/>
        <v>4554353</v>
      </c>
      <c r="N379" s="42">
        <f t="shared" si="99"/>
        <v>0.22329288172432529</v>
      </c>
      <c r="O379" s="200">
        <f t="shared" si="102"/>
        <v>0.21439366810380342</v>
      </c>
      <c r="P379" s="4"/>
      <c r="Q379" s="4"/>
      <c r="R379" s="4">
        <f t="shared" si="96"/>
        <v>154874</v>
      </c>
      <c r="S379" s="39">
        <f t="shared" si="97"/>
        <v>-10</v>
      </c>
      <c r="T379" s="91">
        <f t="shared" si="98"/>
        <v>-314</v>
      </c>
      <c r="U379" s="166"/>
      <c r="V379" s="196"/>
    </row>
    <row r="380" spans="1:22" x14ac:dyDescent="0.25">
      <c r="A380" s="107">
        <v>44271</v>
      </c>
      <c r="B380" s="126">
        <v>8235</v>
      </c>
      <c r="C380" s="154">
        <f t="shared" si="101"/>
        <v>2210121</v>
      </c>
      <c r="D380" s="126">
        <v>202</v>
      </c>
      <c r="E380" s="126">
        <f t="shared" si="80"/>
        <v>53999</v>
      </c>
      <c r="F380" s="126">
        <f t="shared" si="103"/>
        <v>5379</v>
      </c>
      <c r="G380" s="154">
        <v>1998594</v>
      </c>
      <c r="H380" s="126">
        <v>3469</v>
      </c>
      <c r="I380" s="4">
        <v>49875</v>
      </c>
      <c r="J380" s="4">
        <f t="shared" si="100"/>
        <v>8082588</v>
      </c>
      <c r="K380" s="7">
        <v>14170</v>
      </c>
      <c r="L380" s="7">
        <v>4569928</v>
      </c>
      <c r="M380" s="4">
        <f t="shared" si="82"/>
        <v>4584098</v>
      </c>
      <c r="N380" s="42">
        <f t="shared" si="99"/>
        <v>0.21746593429808808</v>
      </c>
      <c r="O380" s="200">
        <f t="shared" si="102"/>
        <v>0.21248937914016053</v>
      </c>
      <c r="P380" s="4"/>
      <c r="Q380" s="4"/>
      <c r="R380" s="4">
        <f t="shared" si="96"/>
        <v>157528</v>
      </c>
      <c r="S380" s="39">
        <f t="shared" si="97"/>
        <v>0</v>
      </c>
      <c r="T380" s="91">
        <f t="shared" si="98"/>
        <v>2654</v>
      </c>
      <c r="U380" s="166"/>
    </row>
    <row r="381" spans="1:22" x14ac:dyDescent="0.25">
      <c r="A381" s="107">
        <v>44272</v>
      </c>
      <c r="B381" s="126">
        <v>8304</v>
      </c>
      <c r="C381" s="154">
        <f t="shared" si="101"/>
        <v>2218425</v>
      </c>
      <c r="D381" s="126">
        <v>195</v>
      </c>
      <c r="E381" s="126">
        <f t="shared" si="80"/>
        <v>54194</v>
      </c>
      <c r="F381" s="126">
        <f t="shared" si="103"/>
        <v>4527</v>
      </c>
      <c r="G381" s="154">
        <v>2003121</v>
      </c>
      <c r="H381" s="126">
        <v>3485</v>
      </c>
      <c r="I381" s="4">
        <v>55017</v>
      </c>
      <c r="J381" s="4">
        <f t="shared" si="100"/>
        <v>8137605</v>
      </c>
      <c r="K381" s="7">
        <v>14274</v>
      </c>
      <c r="L381" s="7">
        <v>4602424</v>
      </c>
      <c r="M381" s="4">
        <f t="shared" si="82"/>
        <v>4616698</v>
      </c>
      <c r="N381" s="42">
        <f t="shared" si="99"/>
        <v>0.20352941176470588</v>
      </c>
      <c r="O381" s="200">
        <f t="shared" si="102"/>
        <v>0.20960711587980099</v>
      </c>
      <c r="P381" s="4"/>
      <c r="Q381" s="4"/>
      <c r="R381" s="4">
        <f t="shared" si="96"/>
        <v>161110</v>
      </c>
      <c r="S381" s="39">
        <f t="shared" si="97"/>
        <v>16</v>
      </c>
      <c r="T381" s="91">
        <f t="shared" si="98"/>
        <v>3582</v>
      </c>
      <c r="U381" s="166"/>
    </row>
    <row r="382" spans="1:22" x14ac:dyDescent="0.25">
      <c r="A382" s="107">
        <v>44273</v>
      </c>
      <c r="B382" s="126">
        <v>8328</v>
      </c>
      <c r="C382" s="154">
        <f t="shared" si="101"/>
        <v>2226753</v>
      </c>
      <c r="D382" s="254">
        <v>155</v>
      </c>
      <c r="E382" s="126">
        <f t="shared" si="80"/>
        <v>54349</v>
      </c>
      <c r="F382" s="126">
        <f t="shared" si="103"/>
        <v>6756</v>
      </c>
      <c r="G382" s="154">
        <v>2009877</v>
      </c>
      <c r="H382" s="126">
        <v>3522</v>
      </c>
      <c r="I382" s="4">
        <v>52192</v>
      </c>
      <c r="J382" s="4">
        <f t="shared" si="100"/>
        <v>8189797</v>
      </c>
      <c r="K382" s="7">
        <v>14378</v>
      </c>
      <c r="L382" s="7">
        <v>4634650</v>
      </c>
      <c r="M382" s="4">
        <f t="shared" si="82"/>
        <v>4649028</v>
      </c>
      <c r="N382" s="42">
        <f t="shared" si="99"/>
        <v>0.2053558218671401</v>
      </c>
      <c r="O382" s="200">
        <f t="shared" si="102"/>
        <v>0.21020337887202775</v>
      </c>
      <c r="P382" s="4"/>
      <c r="Q382" s="4"/>
      <c r="R382" s="4">
        <f t="shared" si="96"/>
        <v>162527</v>
      </c>
      <c r="S382" s="39">
        <f t="shared" si="97"/>
        <v>37</v>
      </c>
      <c r="T382" s="91">
        <f t="shared" si="98"/>
        <v>1417</v>
      </c>
      <c r="U382" s="166"/>
      <c r="V382" s="166"/>
    </row>
    <row r="383" spans="1:22" x14ac:dyDescent="0.25">
      <c r="A383" s="107">
        <v>44274</v>
      </c>
      <c r="B383" s="126">
        <v>8160</v>
      </c>
      <c r="C383" s="154">
        <f t="shared" si="101"/>
        <v>2234913</v>
      </c>
      <c r="D383" s="126">
        <v>112</v>
      </c>
      <c r="E383" s="126">
        <f t="shared" si="80"/>
        <v>54461</v>
      </c>
      <c r="F383" s="126">
        <f t="shared" si="103"/>
        <v>6852</v>
      </c>
      <c r="G383" s="154">
        <v>2016729</v>
      </c>
      <c r="H383" s="126">
        <v>3534</v>
      </c>
      <c r="I383" s="4">
        <v>61579</v>
      </c>
      <c r="J383" s="4">
        <f t="shared" si="100"/>
        <v>8251376</v>
      </c>
      <c r="K383" s="7">
        <v>14496</v>
      </c>
      <c r="L383" s="7">
        <v>4671212</v>
      </c>
      <c r="M383" s="4">
        <f t="shared" si="82"/>
        <v>4685708</v>
      </c>
      <c r="N383" s="42">
        <f t="shared" si="99"/>
        <v>0.18246053396538617</v>
      </c>
      <c r="O383" s="200">
        <f t="shared" si="102"/>
        <v>0.20139789858527829</v>
      </c>
      <c r="P383" s="4"/>
      <c r="Q383" s="4"/>
      <c r="R383" s="4">
        <f t="shared" si="96"/>
        <v>163723</v>
      </c>
      <c r="S383" s="39">
        <f t="shared" ref="S383:S398" si="104">H383-H382</f>
        <v>12</v>
      </c>
      <c r="T383" s="91">
        <f t="shared" ref="T383:T397" si="105">(C383-G383-E383)-(C382-E382-G382)</f>
        <v>1196</v>
      </c>
      <c r="U383" s="166"/>
    </row>
    <row r="384" spans="1:22" x14ac:dyDescent="0.25">
      <c r="A384" s="107">
        <v>44275</v>
      </c>
      <c r="B384" s="126">
        <v>6826</v>
      </c>
      <c r="C384" s="154">
        <f t="shared" si="101"/>
        <v>2241739</v>
      </c>
      <c r="D384" s="126">
        <v>42</v>
      </c>
      <c r="E384" s="126">
        <f t="shared" si="80"/>
        <v>54503</v>
      </c>
      <c r="F384" s="126">
        <f t="shared" si="103"/>
        <v>6935</v>
      </c>
      <c r="G384" s="154">
        <v>2023664</v>
      </c>
      <c r="H384" s="126">
        <v>3534</v>
      </c>
      <c r="I384" s="4">
        <v>57789</v>
      </c>
      <c r="J384" s="4">
        <f t="shared" si="100"/>
        <v>8309165</v>
      </c>
      <c r="K384" s="7">
        <v>14641</v>
      </c>
      <c r="L384" s="7">
        <v>4709648</v>
      </c>
      <c r="M384" s="4">
        <f t="shared" si="82"/>
        <v>4724289</v>
      </c>
      <c r="N384" s="42">
        <f t="shared" si="99"/>
        <v>0.15081083469577128</v>
      </c>
      <c r="O384" s="200">
        <f t="shared" si="102"/>
        <v>0.19510515837895334</v>
      </c>
      <c r="P384" s="4"/>
      <c r="Q384" s="4"/>
      <c r="R384" s="4">
        <f t="shared" ref="R384:R397" si="106">C384-E384-G384</f>
        <v>163572</v>
      </c>
      <c r="S384" s="39">
        <f t="shared" si="104"/>
        <v>0</v>
      </c>
      <c r="T384" s="91">
        <f t="shared" si="105"/>
        <v>-151</v>
      </c>
      <c r="U384" s="166"/>
    </row>
    <row r="385" spans="1:21" x14ac:dyDescent="0.25">
      <c r="A385" s="107">
        <v>44276</v>
      </c>
      <c r="B385" s="126">
        <v>4032</v>
      </c>
      <c r="C385" s="154">
        <f t="shared" si="101"/>
        <v>2245771</v>
      </c>
      <c r="D385" s="126">
        <v>28</v>
      </c>
      <c r="E385" s="126">
        <f t="shared" si="80"/>
        <v>54531</v>
      </c>
      <c r="F385" s="126">
        <f t="shared" ref="F385:F398" si="107">G385-G384</f>
        <v>6489</v>
      </c>
      <c r="G385" s="154">
        <v>2030153</v>
      </c>
      <c r="H385" s="126">
        <v>3534</v>
      </c>
      <c r="I385" s="4">
        <v>31233</v>
      </c>
      <c r="J385" s="4">
        <f t="shared" si="100"/>
        <v>8340398</v>
      </c>
      <c r="K385" s="7">
        <v>14672</v>
      </c>
      <c r="L385" s="7">
        <v>4732074</v>
      </c>
      <c r="M385" s="4">
        <f t="shared" si="82"/>
        <v>4746746</v>
      </c>
      <c r="N385" s="42">
        <f t="shared" si="99"/>
        <v>0.1523924710862499</v>
      </c>
      <c r="O385" s="200">
        <f t="shared" si="102"/>
        <v>0.1907582699145238</v>
      </c>
      <c r="P385" s="4"/>
      <c r="Q385" s="4"/>
      <c r="R385" s="4">
        <f t="shared" si="106"/>
        <v>161087</v>
      </c>
      <c r="S385" s="39">
        <f t="shared" si="104"/>
        <v>0</v>
      </c>
      <c r="T385" s="91">
        <f t="shared" si="105"/>
        <v>-2485</v>
      </c>
      <c r="U385" s="166"/>
    </row>
    <row r="386" spans="1:21" x14ac:dyDescent="0.25">
      <c r="A386" s="107">
        <v>44277</v>
      </c>
      <c r="B386" s="126">
        <v>6401</v>
      </c>
      <c r="C386" s="154">
        <f t="shared" si="101"/>
        <v>2252172</v>
      </c>
      <c r="D386" s="126">
        <v>125</v>
      </c>
      <c r="E386" s="126">
        <f t="shared" si="80"/>
        <v>54656</v>
      </c>
      <c r="F386" s="126">
        <f t="shared" si="107"/>
        <v>7533</v>
      </c>
      <c r="G386" s="154">
        <v>2037686</v>
      </c>
      <c r="H386" s="126">
        <v>3530</v>
      </c>
      <c r="I386" s="4">
        <v>43438</v>
      </c>
      <c r="J386" s="4">
        <f t="shared" si="100"/>
        <v>8383836</v>
      </c>
      <c r="K386" s="7">
        <v>14773</v>
      </c>
      <c r="L386" s="7">
        <v>4756568</v>
      </c>
      <c r="M386" s="4">
        <f t="shared" si="82"/>
        <v>4771341</v>
      </c>
      <c r="N386" s="42">
        <f t="shared" si="99"/>
        <v>0.20718562874251498</v>
      </c>
      <c r="O386" s="200">
        <f t="shared" si="102"/>
        <v>0.18845723377426518</v>
      </c>
      <c r="P386" s="4"/>
      <c r="Q386" s="4"/>
      <c r="R386" s="4">
        <f t="shared" si="106"/>
        <v>159830</v>
      </c>
      <c r="S386" s="39">
        <f t="shared" si="104"/>
        <v>-4</v>
      </c>
      <c r="T386" s="91">
        <f t="shared" si="105"/>
        <v>-1257</v>
      </c>
      <c r="U386" s="166"/>
    </row>
    <row r="387" spans="1:21" x14ac:dyDescent="0.25">
      <c r="A387" s="107">
        <v>44278</v>
      </c>
      <c r="B387" s="126">
        <v>9405</v>
      </c>
      <c r="C387" s="154">
        <f t="shared" si="101"/>
        <v>2261577</v>
      </c>
      <c r="D387" s="126">
        <v>153</v>
      </c>
      <c r="E387" s="126">
        <f t="shared" si="80"/>
        <v>54809</v>
      </c>
      <c r="F387" s="126">
        <f t="shared" si="107"/>
        <v>6271</v>
      </c>
      <c r="G387" s="154">
        <v>2043957</v>
      </c>
      <c r="H387" s="126">
        <v>3591</v>
      </c>
      <c r="I387" s="4">
        <v>49703</v>
      </c>
      <c r="J387" s="4">
        <f t="shared" si="100"/>
        <v>8433539</v>
      </c>
      <c r="K387" s="7">
        <v>14892</v>
      </c>
      <c r="L387" s="7">
        <v>4786032</v>
      </c>
      <c r="M387" s="4">
        <f t="shared" si="82"/>
        <v>4800924</v>
      </c>
      <c r="N387" s="42">
        <f t="shared" si="99"/>
        <v>0.2419666057783838</v>
      </c>
      <c r="O387" s="200">
        <f t="shared" si="102"/>
        <v>0.19195732970002172</v>
      </c>
      <c r="P387" s="4"/>
      <c r="Q387" s="4"/>
      <c r="R387" s="4">
        <f t="shared" si="106"/>
        <v>162811</v>
      </c>
      <c r="S387" s="39">
        <f t="shared" si="104"/>
        <v>61</v>
      </c>
      <c r="T387" s="91">
        <f t="shared" si="105"/>
        <v>2981</v>
      </c>
      <c r="U387" s="166"/>
    </row>
    <row r="388" spans="1:21" x14ac:dyDescent="0.25">
      <c r="A388" s="107">
        <v>44279</v>
      </c>
      <c r="B388" s="126">
        <v>8300</v>
      </c>
      <c r="C388" s="154">
        <f t="shared" si="101"/>
        <v>2269877</v>
      </c>
      <c r="D388" s="126">
        <v>123</v>
      </c>
      <c r="E388" s="126">
        <f t="shared" si="80"/>
        <v>54932</v>
      </c>
      <c r="F388" s="126">
        <f t="shared" si="107"/>
        <v>5078</v>
      </c>
      <c r="G388" s="154">
        <v>2049035</v>
      </c>
      <c r="H388" s="126">
        <v>3574</v>
      </c>
      <c r="I388" s="4">
        <v>44058</v>
      </c>
      <c r="J388" s="4">
        <f>J389-I389</f>
        <v>8477597</v>
      </c>
      <c r="K388" s="7">
        <v>15009</v>
      </c>
      <c r="L388" s="7">
        <v>4813948</v>
      </c>
      <c r="M388" s="4">
        <f t="shared" si="82"/>
        <v>4828957</v>
      </c>
      <c r="N388" s="42">
        <f t="shared" si="99"/>
        <v>0.22918047271924011</v>
      </c>
      <c r="O388" s="200">
        <f t="shared" si="102"/>
        <v>0.19562176697924091</v>
      </c>
      <c r="P388" s="4"/>
      <c r="Q388" s="4"/>
      <c r="R388" s="4">
        <f t="shared" si="106"/>
        <v>165910</v>
      </c>
      <c r="S388" s="39">
        <f t="shared" si="104"/>
        <v>-17</v>
      </c>
      <c r="T388" s="91">
        <f t="shared" si="105"/>
        <v>3099</v>
      </c>
      <c r="U388" s="166"/>
    </row>
    <row r="389" spans="1:21" x14ac:dyDescent="0.25">
      <c r="A389" s="107">
        <v>44280</v>
      </c>
      <c r="B389" s="126">
        <v>8238</v>
      </c>
      <c r="C389" s="154">
        <f t="shared" si="101"/>
        <v>2278115</v>
      </c>
      <c r="D389" s="126">
        <v>145</v>
      </c>
      <c r="E389" s="126">
        <f t="shared" ref="E389:E452" si="108">E388+D389</f>
        <v>55077</v>
      </c>
      <c r="F389" s="126">
        <f t="shared" si="107"/>
        <v>7437</v>
      </c>
      <c r="G389" s="154">
        <v>2056472</v>
      </c>
      <c r="H389" s="126">
        <v>3585</v>
      </c>
      <c r="I389" s="4">
        <v>40224</v>
      </c>
      <c r="J389" s="4">
        <v>8517821</v>
      </c>
      <c r="K389" s="8">
        <v>15109</v>
      </c>
      <c r="L389" s="7">
        <v>4837873</v>
      </c>
      <c r="M389" s="4">
        <f t="shared" si="82"/>
        <v>4852982</v>
      </c>
      <c r="N389" s="42">
        <f t="shared" si="99"/>
        <v>0.25613282343065014</v>
      </c>
      <c r="O389" s="200">
        <f t="shared" si="102"/>
        <v>0.20287562434545661</v>
      </c>
      <c r="P389" s="4"/>
      <c r="Q389" s="4"/>
      <c r="R389" s="4">
        <f t="shared" si="106"/>
        <v>166566</v>
      </c>
      <c r="S389" s="39">
        <f t="shared" si="104"/>
        <v>11</v>
      </c>
      <c r="T389" s="91">
        <f t="shared" si="105"/>
        <v>656</v>
      </c>
      <c r="U389" s="166"/>
    </row>
    <row r="390" spans="1:21" x14ac:dyDescent="0.25">
      <c r="A390" s="107">
        <v>44281</v>
      </c>
      <c r="B390" s="126">
        <v>12936</v>
      </c>
      <c r="C390" s="154">
        <f t="shared" si="101"/>
        <v>2291051</v>
      </c>
      <c r="D390" s="126">
        <v>143</v>
      </c>
      <c r="E390" s="126">
        <f t="shared" si="108"/>
        <v>55220</v>
      </c>
      <c r="F390" s="126">
        <f t="shared" si="107"/>
        <v>8007</v>
      </c>
      <c r="G390" s="154">
        <v>2064479</v>
      </c>
      <c r="H390" s="126">
        <v>3508</v>
      </c>
      <c r="I390" s="4">
        <v>88074</v>
      </c>
      <c r="J390" s="4">
        <f>J389+I390</f>
        <v>8605895</v>
      </c>
      <c r="K390" s="8">
        <v>15194</v>
      </c>
      <c r="L390" s="7">
        <v>4887389</v>
      </c>
      <c r="M390" s="4">
        <f t="shared" si="82"/>
        <v>4902583</v>
      </c>
      <c r="N390" s="42">
        <f t="shared" si="99"/>
        <v>0.20713507974124126</v>
      </c>
      <c r="O390" s="200">
        <f t="shared" si="102"/>
        <v>0.20640055945629307</v>
      </c>
      <c r="P390" s="4"/>
      <c r="Q390" s="4"/>
      <c r="R390" s="4">
        <f t="shared" si="106"/>
        <v>171352</v>
      </c>
      <c r="S390" s="39">
        <f t="shared" si="104"/>
        <v>-77</v>
      </c>
      <c r="T390" s="91">
        <f t="shared" si="105"/>
        <v>4786</v>
      </c>
      <c r="U390" s="166"/>
    </row>
    <row r="391" spans="1:21" x14ac:dyDescent="0.25">
      <c r="A391" s="107">
        <v>44282</v>
      </c>
      <c r="B391" s="126">
        <v>10338</v>
      </c>
      <c r="C391" s="154">
        <f t="shared" si="101"/>
        <v>2301389</v>
      </c>
      <c r="D391" s="126">
        <v>133</v>
      </c>
      <c r="E391" s="126">
        <f t="shared" si="108"/>
        <v>55353</v>
      </c>
      <c r="F391" s="126">
        <f t="shared" si="107"/>
        <v>7749</v>
      </c>
      <c r="G391" s="154">
        <v>2072228</v>
      </c>
      <c r="H391" s="126">
        <v>3506</v>
      </c>
      <c r="I391" s="4">
        <v>44828</v>
      </c>
      <c r="J391" s="4">
        <f>J390+I391</f>
        <v>8650723</v>
      </c>
      <c r="K391" s="7">
        <v>15244</v>
      </c>
      <c r="L391" s="7">
        <v>4915050</v>
      </c>
      <c r="M391" s="4">
        <f t="shared" si="82"/>
        <v>4930294</v>
      </c>
      <c r="N391" s="42">
        <f t="shared" si="99"/>
        <v>0.27205979104713279</v>
      </c>
      <c r="O391" s="200">
        <f t="shared" si="102"/>
        <v>0.22372183893505898</v>
      </c>
      <c r="P391" s="4"/>
      <c r="Q391" s="4"/>
      <c r="R391" s="4">
        <f t="shared" si="106"/>
        <v>173808</v>
      </c>
      <c r="S391" s="39">
        <f t="shared" si="104"/>
        <v>-2</v>
      </c>
      <c r="T391" s="91">
        <f t="shared" si="105"/>
        <v>2456</v>
      </c>
      <c r="U391" s="166"/>
    </row>
    <row r="392" spans="1:21" x14ac:dyDescent="0.25">
      <c r="A392" s="107">
        <v>44283</v>
      </c>
      <c r="B392" s="126">
        <v>7208</v>
      </c>
      <c r="C392" s="154">
        <f t="shared" si="101"/>
        <v>2308597</v>
      </c>
      <c r="D392" s="126">
        <v>81</v>
      </c>
      <c r="E392" s="126">
        <f t="shared" si="108"/>
        <v>55434</v>
      </c>
      <c r="F392" s="126">
        <f t="shared" si="107"/>
        <v>7287</v>
      </c>
      <c r="G392" s="154">
        <v>2079515</v>
      </c>
      <c r="H392" s="126">
        <v>3505</v>
      </c>
      <c r="I392" s="4">
        <v>37193</v>
      </c>
      <c r="J392" s="4">
        <f>J391+I392</f>
        <v>8687916</v>
      </c>
      <c r="K392" s="7">
        <v>15262</v>
      </c>
      <c r="L392" s="7">
        <v>4937915</v>
      </c>
      <c r="M392" s="4">
        <f t="shared" si="82"/>
        <v>4953177</v>
      </c>
      <c r="N392" s="42">
        <f t="shared" si="99"/>
        <v>0.23968343697003958</v>
      </c>
      <c r="O392" s="200">
        <f t="shared" si="102"/>
        <v>0.23619197691845753</v>
      </c>
      <c r="P392" s="4"/>
      <c r="Q392" s="4"/>
      <c r="R392" s="4">
        <f t="shared" si="106"/>
        <v>173648</v>
      </c>
      <c r="S392" s="39">
        <f t="shared" si="104"/>
        <v>-1</v>
      </c>
      <c r="T392" s="91">
        <f t="shared" si="105"/>
        <v>-160</v>
      </c>
      <c r="U392" s="166"/>
    </row>
    <row r="393" spans="1:21" x14ac:dyDescent="0.25">
      <c r="A393" s="107">
        <v>44284</v>
      </c>
      <c r="B393" s="126">
        <v>14014</v>
      </c>
      <c r="C393" s="154">
        <f>C392+B393</f>
        <v>2322611</v>
      </c>
      <c r="D393" s="126">
        <v>163</v>
      </c>
      <c r="E393" s="126">
        <f t="shared" si="108"/>
        <v>55597</v>
      </c>
      <c r="F393" s="126">
        <f t="shared" si="107"/>
        <v>8741</v>
      </c>
      <c r="G393" s="154">
        <v>2088256</v>
      </c>
      <c r="H393" s="126">
        <v>3639</v>
      </c>
      <c r="I393" s="4">
        <v>57830</v>
      </c>
      <c r="J393" s="4">
        <f t="shared" ref="J393:J429" si="109">J392+I393</f>
        <v>8745746</v>
      </c>
      <c r="K393" s="7">
        <v>15319</v>
      </c>
      <c r="L393" s="7">
        <v>4975797</v>
      </c>
      <c r="M393" s="4">
        <f t="shared" si="82"/>
        <v>4991116</v>
      </c>
      <c r="N393" s="42">
        <f t="shared" si="99"/>
        <v>0.27004008016032066</v>
      </c>
      <c r="O393" s="200">
        <f t="shared" si="102"/>
        <v>0.24517118426385834</v>
      </c>
      <c r="P393" s="4"/>
      <c r="Q393" s="4"/>
      <c r="R393" s="4">
        <f t="shared" si="106"/>
        <v>178758</v>
      </c>
      <c r="S393" s="39">
        <f t="shared" si="104"/>
        <v>134</v>
      </c>
      <c r="T393" s="91">
        <f t="shared" si="105"/>
        <v>5110</v>
      </c>
      <c r="U393" s="166"/>
    </row>
    <row r="394" spans="1:21" x14ac:dyDescent="0.25">
      <c r="A394" s="107">
        <v>44285</v>
      </c>
      <c r="B394" s="126">
        <v>10154</v>
      </c>
      <c r="C394" s="154">
        <f>C393+B394</f>
        <v>2332765</v>
      </c>
      <c r="D394" s="126">
        <v>125</v>
      </c>
      <c r="E394" s="126">
        <f t="shared" si="108"/>
        <v>55722</v>
      </c>
      <c r="F394" s="126">
        <f t="shared" si="107"/>
        <v>7597</v>
      </c>
      <c r="G394" s="154">
        <v>2095853</v>
      </c>
      <c r="H394" s="126">
        <v>3702</v>
      </c>
      <c r="I394" s="4">
        <v>78400</v>
      </c>
      <c r="J394" s="4">
        <f t="shared" si="109"/>
        <v>8824146</v>
      </c>
      <c r="K394" s="7">
        <v>15377</v>
      </c>
      <c r="L394" s="7">
        <v>5003806</v>
      </c>
      <c r="M394" s="4">
        <f t="shared" si="82"/>
        <v>5019183</v>
      </c>
      <c r="N394" s="42">
        <f t="shared" si="99"/>
        <v>0.26606922935827898</v>
      </c>
      <c r="O394" s="200">
        <f t="shared" si="102"/>
        <v>0.24861441620384334</v>
      </c>
      <c r="P394" s="4"/>
      <c r="Q394" s="4"/>
      <c r="R394" s="4">
        <f t="shared" si="106"/>
        <v>181190</v>
      </c>
      <c r="S394" s="39">
        <f t="shared" si="104"/>
        <v>63</v>
      </c>
      <c r="T394" s="91">
        <f t="shared" si="105"/>
        <v>2432</v>
      </c>
      <c r="U394" s="166"/>
    </row>
    <row r="395" spans="1:21" ht="15.75" customHeight="1" x14ac:dyDescent="0.25">
      <c r="A395" s="107">
        <v>44286</v>
      </c>
      <c r="B395" s="126">
        <v>16056</v>
      </c>
      <c r="C395" s="154">
        <f>C394+B395</f>
        <v>2348821</v>
      </c>
      <c r="D395" s="126">
        <v>124</v>
      </c>
      <c r="E395" s="126">
        <f t="shared" si="108"/>
        <v>55846</v>
      </c>
      <c r="F395" s="126">
        <f t="shared" si="107"/>
        <v>6763</v>
      </c>
      <c r="G395" s="154">
        <v>2102616</v>
      </c>
      <c r="H395" s="126">
        <v>3638</v>
      </c>
      <c r="I395" s="4">
        <v>56334</v>
      </c>
      <c r="J395" s="4">
        <f t="shared" si="109"/>
        <v>8880480</v>
      </c>
      <c r="K395" s="7">
        <v>15549</v>
      </c>
      <c r="L395" s="7">
        <v>5041337</v>
      </c>
      <c r="M395" s="4">
        <f t="shared" si="82"/>
        <v>5056886</v>
      </c>
      <c r="N395" s="42">
        <f t="shared" si="99"/>
        <v>0.29962490902644295</v>
      </c>
      <c r="O395" s="200">
        <f t="shared" si="102"/>
        <v>0.25867790710487232</v>
      </c>
      <c r="P395" s="4"/>
      <c r="Q395" s="4"/>
      <c r="R395" s="4">
        <f t="shared" si="106"/>
        <v>190359</v>
      </c>
      <c r="S395" s="39">
        <f t="shared" si="104"/>
        <v>-64</v>
      </c>
      <c r="T395" s="91">
        <f t="shared" si="105"/>
        <v>9169</v>
      </c>
      <c r="U395" s="166"/>
    </row>
    <row r="396" spans="1:21" x14ac:dyDescent="0.25">
      <c r="A396" s="107">
        <v>44287</v>
      </c>
      <c r="B396" s="126">
        <v>14430</v>
      </c>
      <c r="C396" s="154">
        <f>C395+B396</f>
        <v>2363251</v>
      </c>
      <c r="D396" s="126">
        <v>83</v>
      </c>
      <c r="E396" s="126">
        <f t="shared" si="108"/>
        <v>55929</v>
      </c>
      <c r="F396" s="126">
        <f t="shared" si="107"/>
        <v>9650</v>
      </c>
      <c r="G396" s="154">
        <v>2112266</v>
      </c>
      <c r="H396" s="126">
        <v>3639</v>
      </c>
      <c r="I396" s="4">
        <v>52292</v>
      </c>
      <c r="J396" s="4">
        <f t="shared" si="109"/>
        <v>8932772</v>
      </c>
      <c r="K396" s="7">
        <v>15599</v>
      </c>
      <c r="L396" s="7">
        <v>5072149</v>
      </c>
      <c r="M396" s="4">
        <f t="shared" ref="M396:M428" si="110">L396+K396</f>
        <v>5087748</v>
      </c>
      <c r="N396" s="42">
        <f t="shared" si="99"/>
        <v>0.31895141682507405</v>
      </c>
      <c r="O396" s="200">
        <f t="shared" si="102"/>
        <v>0.26765199187550431</v>
      </c>
      <c r="P396" s="4"/>
      <c r="Q396" s="4"/>
      <c r="R396" s="4">
        <f t="shared" si="106"/>
        <v>195056</v>
      </c>
      <c r="S396" s="39">
        <f t="shared" si="104"/>
        <v>1</v>
      </c>
      <c r="T396" s="91">
        <f t="shared" si="105"/>
        <v>4697</v>
      </c>
      <c r="U396" s="166"/>
    </row>
    <row r="397" spans="1:21" x14ac:dyDescent="0.25">
      <c r="A397" s="107">
        <v>44288</v>
      </c>
      <c r="B397" s="126">
        <v>9902</v>
      </c>
      <c r="C397" s="154">
        <f>C396+B397</f>
        <v>2373153</v>
      </c>
      <c r="D397" s="126">
        <v>82</v>
      </c>
      <c r="E397" s="126">
        <f t="shared" si="108"/>
        <v>56011</v>
      </c>
      <c r="F397" s="126">
        <f t="shared" si="107"/>
        <v>9688</v>
      </c>
      <c r="G397" s="154">
        <v>2121954</v>
      </c>
      <c r="H397" s="126">
        <v>3619</v>
      </c>
      <c r="I397" s="4">
        <v>50043</v>
      </c>
      <c r="J397" s="4">
        <f t="shared" si="109"/>
        <v>8982815</v>
      </c>
      <c r="K397" s="7">
        <v>15670</v>
      </c>
      <c r="L397" s="7">
        <v>5096601</v>
      </c>
      <c r="M397" s="4">
        <f t="shared" si="110"/>
        <v>5112271</v>
      </c>
      <c r="N397" s="42">
        <f t="shared" ref="N397:N408" si="111">B397/(B397+(L397-L396))</f>
        <v>0.28823426675205216</v>
      </c>
      <c r="O397" s="200">
        <f t="shared" si="102"/>
        <v>0.27923759001990583</v>
      </c>
      <c r="P397" s="4"/>
      <c r="Q397" s="4"/>
      <c r="R397" s="4">
        <f t="shared" si="106"/>
        <v>195188</v>
      </c>
      <c r="S397" s="39">
        <f t="shared" si="104"/>
        <v>-20</v>
      </c>
      <c r="T397" s="91">
        <f t="shared" si="105"/>
        <v>132</v>
      </c>
      <c r="U397" s="166"/>
    </row>
    <row r="398" spans="1:21" x14ac:dyDescent="0.25">
      <c r="A398" s="107">
        <v>44289</v>
      </c>
      <c r="B398" s="126">
        <v>10384</v>
      </c>
      <c r="C398" s="154">
        <f t="shared" ref="C398:C439" si="112">C397+B398</f>
        <v>2383537</v>
      </c>
      <c r="D398" s="126">
        <v>83</v>
      </c>
      <c r="E398" s="126">
        <f t="shared" si="108"/>
        <v>56094</v>
      </c>
      <c r="F398" s="126">
        <f t="shared" si="107"/>
        <v>8686</v>
      </c>
      <c r="G398" s="154">
        <v>2130640</v>
      </c>
      <c r="H398" s="126">
        <v>3618</v>
      </c>
      <c r="I398" s="4">
        <v>54024</v>
      </c>
      <c r="J398" s="4">
        <f t="shared" si="109"/>
        <v>9036839</v>
      </c>
      <c r="K398" s="7">
        <v>15685</v>
      </c>
      <c r="L398" s="7">
        <v>5127710</v>
      </c>
      <c r="M398" s="4">
        <f t="shared" si="110"/>
        <v>5143395</v>
      </c>
      <c r="N398" s="42">
        <f t="shared" si="111"/>
        <v>0.25025907984479312</v>
      </c>
      <c r="O398" s="200">
        <f t="shared" si="102"/>
        <v>0.2761232027052859</v>
      </c>
      <c r="P398" s="4"/>
      <c r="Q398" s="4"/>
      <c r="R398" s="4">
        <f t="shared" ref="R398:R403" si="113">C398-E398-G398</f>
        <v>196803</v>
      </c>
      <c r="S398" s="39">
        <f t="shared" si="104"/>
        <v>-1</v>
      </c>
      <c r="T398" s="91">
        <f t="shared" ref="T398:T403" si="114">(C398-G398-E398)-(C397-E397-G397)</f>
        <v>1615</v>
      </c>
      <c r="U398" s="166"/>
    </row>
    <row r="399" spans="1:21" x14ac:dyDescent="0.25">
      <c r="A399" s="109">
        <v>44290</v>
      </c>
      <c r="B399" s="133">
        <v>9955</v>
      </c>
      <c r="C399" s="155">
        <f t="shared" si="112"/>
        <v>2393492</v>
      </c>
      <c r="D399" s="133">
        <v>93</v>
      </c>
      <c r="E399" s="126">
        <f t="shared" si="108"/>
        <v>56187</v>
      </c>
      <c r="F399" s="133">
        <f t="shared" ref="F399:F431" si="115">G399-G398</f>
        <v>9840</v>
      </c>
      <c r="G399" s="155">
        <v>2140480</v>
      </c>
      <c r="H399" s="133">
        <v>3626</v>
      </c>
      <c r="I399" s="27">
        <v>33159</v>
      </c>
      <c r="J399" s="27">
        <f t="shared" si="109"/>
        <v>9069998</v>
      </c>
      <c r="K399" s="30">
        <v>15697</v>
      </c>
      <c r="L399" s="30">
        <v>5144935</v>
      </c>
      <c r="M399" s="27">
        <f t="shared" si="110"/>
        <v>5160632</v>
      </c>
      <c r="N399" s="42">
        <f t="shared" si="111"/>
        <v>0.36626195732155997</v>
      </c>
      <c r="O399" s="260">
        <f t="shared" si="102"/>
        <v>0.29420584846978881</v>
      </c>
      <c r="P399" s="27"/>
      <c r="Q399" s="27"/>
      <c r="R399" s="27">
        <f t="shared" si="113"/>
        <v>196825</v>
      </c>
      <c r="S399" s="67">
        <f t="shared" ref="S399:S432" si="116">H399-H398</f>
        <v>8</v>
      </c>
      <c r="T399" s="121">
        <f t="shared" si="114"/>
        <v>22</v>
      </c>
      <c r="U399" s="166"/>
    </row>
    <row r="400" spans="1:21" x14ac:dyDescent="0.25">
      <c r="A400" s="107">
        <v>44291</v>
      </c>
      <c r="B400" s="126">
        <v>13667</v>
      </c>
      <c r="C400" s="154">
        <f t="shared" si="112"/>
        <v>2407159</v>
      </c>
      <c r="D400" s="147">
        <v>272</v>
      </c>
      <c r="E400" s="126">
        <f t="shared" si="108"/>
        <v>56459</v>
      </c>
      <c r="F400" s="126">
        <f t="shared" si="115"/>
        <v>13029</v>
      </c>
      <c r="G400" s="154">
        <v>2153509</v>
      </c>
      <c r="H400" s="126">
        <v>3652</v>
      </c>
      <c r="I400" s="4">
        <v>46037</v>
      </c>
      <c r="J400" s="4">
        <f t="shared" si="109"/>
        <v>9116035</v>
      </c>
      <c r="K400" s="7">
        <v>15817</v>
      </c>
      <c r="L400" s="7">
        <v>5170951</v>
      </c>
      <c r="M400" s="4">
        <f t="shared" si="110"/>
        <v>5186768</v>
      </c>
      <c r="N400" s="4">
        <f t="shared" si="111"/>
        <v>0.34440440490890306</v>
      </c>
      <c r="O400" s="200">
        <f t="shared" si="102"/>
        <v>0.30482932343387203</v>
      </c>
      <c r="P400" s="4"/>
      <c r="Q400" s="4"/>
      <c r="R400" s="4">
        <f t="shared" si="113"/>
        <v>197191</v>
      </c>
      <c r="S400" s="39">
        <f t="shared" si="116"/>
        <v>26</v>
      </c>
      <c r="T400" s="91">
        <f t="shared" si="114"/>
        <v>366</v>
      </c>
      <c r="U400" s="166"/>
    </row>
    <row r="401" spans="1:23" ht="16.5" customHeight="1" x14ac:dyDescent="0.25">
      <c r="A401" s="107">
        <v>44292</v>
      </c>
      <c r="B401" s="126">
        <v>20870</v>
      </c>
      <c r="C401" s="154">
        <f t="shared" si="112"/>
        <v>2428029</v>
      </c>
      <c r="D401" s="126">
        <v>160</v>
      </c>
      <c r="E401" s="126">
        <f t="shared" si="108"/>
        <v>56619</v>
      </c>
      <c r="F401" s="126">
        <f t="shared" si="115"/>
        <v>10536</v>
      </c>
      <c r="G401" s="154">
        <v>2164045</v>
      </c>
      <c r="H401" s="126">
        <v>3642</v>
      </c>
      <c r="I401" s="4">
        <v>75392</v>
      </c>
      <c r="J401" s="4">
        <f t="shared" si="109"/>
        <v>9191427</v>
      </c>
      <c r="K401" s="7">
        <v>15885</v>
      </c>
      <c r="L401" s="7">
        <v>5211391</v>
      </c>
      <c r="M401" s="4">
        <f t="shared" si="110"/>
        <v>5227276</v>
      </c>
      <c r="N401" s="4">
        <f t="shared" si="111"/>
        <v>0.34040123960202251</v>
      </c>
      <c r="O401" s="200">
        <f t="shared" si="102"/>
        <v>0.31544818204012109</v>
      </c>
      <c r="P401" s="4"/>
      <c r="Q401" s="4"/>
      <c r="R401" s="4">
        <f t="shared" si="113"/>
        <v>207365</v>
      </c>
      <c r="S401" s="39">
        <f t="shared" si="116"/>
        <v>-10</v>
      </c>
      <c r="T401" s="91">
        <f t="shared" si="114"/>
        <v>10174</v>
      </c>
      <c r="U401" s="166"/>
    </row>
    <row r="402" spans="1:23" x14ac:dyDescent="0.25">
      <c r="A402" s="107">
        <v>44293</v>
      </c>
      <c r="B402" s="126">
        <v>22039</v>
      </c>
      <c r="C402" s="154">
        <f t="shared" si="112"/>
        <v>2450068</v>
      </c>
      <c r="D402" s="126">
        <v>198</v>
      </c>
      <c r="E402" s="126">
        <f t="shared" si="108"/>
        <v>56817</v>
      </c>
      <c r="F402" s="126">
        <f t="shared" si="115"/>
        <v>10580</v>
      </c>
      <c r="G402" s="154">
        <v>2174625</v>
      </c>
      <c r="H402" s="126">
        <v>3706</v>
      </c>
      <c r="I402" s="4">
        <v>74679</v>
      </c>
      <c r="J402" s="4">
        <f t="shared" si="109"/>
        <v>9266106</v>
      </c>
      <c r="K402" s="7">
        <v>16000</v>
      </c>
      <c r="L402" s="7">
        <v>5249364</v>
      </c>
      <c r="M402" s="4">
        <f t="shared" si="110"/>
        <v>5265364</v>
      </c>
      <c r="N402" s="4">
        <f t="shared" si="111"/>
        <v>0.36724321802306203</v>
      </c>
      <c r="O402" s="200">
        <f t="shared" si="102"/>
        <v>0.32510794046820957</v>
      </c>
      <c r="P402" s="4"/>
      <c r="Q402" s="4"/>
      <c r="R402" s="4">
        <f t="shared" si="113"/>
        <v>218626</v>
      </c>
      <c r="S402" s="39">
        <f t="shared" si="116"/>
        <v>64</v>
      </c>
      <c r="T402" s="91">
        <f t="shared" si="114"/>
        <v>11261</v>
      </c>
      <c r="U402" s="166"/>
    </row>
    <row r="403" spans="1:23" x14ac:dyDescent="0.25">
      <c r="A403" s="107">
        <v>44294</v>
      </c>
      <c r="B403" s="126">
        <v>23683</v>
      </c>
      <c r="C403" s="154">
        <f t="shared" si="112"/>
        <v>2473751</v>
      </c>
      <c r="D403" s="126">
        <v>290</v>
      </c>
      <c r="E403" s="126">
        <f t="shared" si="108"/>
        <v>57107</v>
      </c>
      <c r="F403" s="126">
        <f t="shared" si="115"/>
        <v>14358</v>
      </c>
      <c r="G403" s="154">
        <v>2188983</v>
      </c>
      <c r="H403" s="126">
        <v>3742</v>
      </c>
      <c r="I403" s="4">
        <v>94991</v>
      </c>
      <c r="J403" s="4">
        <f t="shared" si="109"/>
        <v>9361097</v>
      </c>
      <c r="K403" s="7">
        <v>16237</v>
      </c>
      <c r="L403" s="7">
        <v>5303093</v>
      </c>
      <c r="M403" s="4">
        <f t="shared" si="110"/>
        <v>5319330</v>
      </c>
      <c r="N403" s="4">
        <f t="shared" si="111"/>
        <v>0.3059344804423087</v>
      </c>
      <c r="O403" s="200">
        <f t="shared" si="102"/>
        <v>0.32324837812781448</v>
      </c>
      <c r="P403" s="4"/>
      <c r="Q403" s="4"/>
      <c r="R403" s="4">
        <f t="shared" si="113"/>
        <v>227661</v>
      </c>
      <c r="S403" s="39">
        <f t="shared" si="116"/>
        <v>36</v>
      </c>
      <c r="T403" s="91">
        <f t="shared" si="114"/>
        <v>9035</v>
      </c>
      <c r="U403" s="166"/>
    </row>
    <row r="404" spans="1:23" x14ac:dyDescent="0.25">
      <c r="A404" s="107">
        <v>44295</v>
      </c>
      <c r="B404" s="126">
        <v>24130</v>
      </c>
      <c r="C404" s="154">
        <f t="shared" si="112"/>
        <v>2497881</v>
      </c>
      <c r="D404" s="126">
        <v>228</v>
      </c>
      <c r="E404" s="126">
        <f t="shared" si="108"/>
        <v>57335</v>
      </c>
      <c r="F404" s="126">
        <f t="shared" si="115"/>
        <v>14943</v>
      </c>
      <c r="G404" s="154">
        <v>2203926</v>
      </c>
      <c r="H404" s="126">
        <v>3718</v>
      </c>
      <c r="I404" s="4">
        <v>90657</v>
      </c>
      <c r="J404" s="4">
        <f t="shared" si="109"/>
        <v>9451754</v>
      </c>
      <c r="K404" s="7">
        <v>16453</v>
      </c>
      <c r="L404" s="7">
        <v>5344743</v>
      </c>
      <c r="M404" s="4">
        <f t="shared" si="110"/>
        <v>5361196</v>
      </c>
      <c r="N404" s="4">
        <f t="shared" si="111"/>
        <v>0.36682882335056249</v>
      </c>
      <c r="O404" s="200">
        <f t="shared" si="102"/>
        <v>0.33447617192760165</v>
      </c>
      <c r="P404" s="4"/>
      <c r="Q404" s="4"/>
      <c r="R404" s="4">
        <f t="shared" ref="R404:R431" si="117">C404-E404-G404</f>
        <v>236620</v>
      </c>
      <c r="S404" s="39">
        <f t="shared" si="116"/>
        <v>-24</v>
      </c>
      <c r="T404" s="91">
        <f t="shared" ref="T404:T410" si="118">(C404-G404-E404)-(C403-E403-G403)</f>
        <v>8959</v>
      </c>
      <c r="U404" s="166"/>
    </row>
    <row r="405" spans="1:23" x14ac:dyDescent="0.25">
      <c r="A405" s="107">
        <v>44296</v>
      </c>
      <c r="B405" s="126">
        <v>19419</v>
      </c>
      <c r="C405" s="154">
        <f t="shared" si="112"/>
        <v>2517300</v>
      </c>
      <c r="D405" s="126">
        <v>297</v>
      </c>
      <c r="E405" s="126">
        <f t="shared" si="108"/>
        <v>57632</v>
      </c>
      <c r="F405" s="126">
        <f t="shared" si="115"/>
        <v>13857</v>
      </c>
      <c r="G405" s="154">
        <v>2217783</v>
      </c>
      <c r="H405" s="126">
        <v>3761</v>
      </c>
      <c r="I405" s="4">
        <v>75713</v>
      </c>
      <c r="J405" s="4">
        <f t="shared" si="109"/>
        <v>9527467</v>
      </c>
      <c r="K405" s="7">
        <v>16474</v>
      </c>
      <c r="L405" s="7">
        <v>5381903</v>
      </c>
      <c r="M405" s="4">
        <f t="shared" si="110"/>
        <v>5398377</v>
      </c>
      <c r="N405" s="4">
        <f t="shared" si="111"/>
        <v>0.34321921561003199</v>
      </c>
      <c r="O405" s="200">
        <f t="shared" si="102"/>
        <v>0.3477561913226358</v>
      </c>
      <c r="P405" s="4"/>
      <c r="Q405" s="4"/>
      <c r="R405" s="4">
        <f t="shared" si="117"/>
        <v>241885</v>
      </c>
      <c r="S405" s="39">
        <f t="shared" si="116"/>
        <v>43</v>
      </c>
      <c r="T405" s="91">
        <f t="shared" si="118"/>
        <v>5265</v>
      </c>
      <c r="U405" s="166"/>
    </row>
    <row r="406" spans="1:23" x14ac:dyDescent="0.25">
      <c r="A406" s="107">
        <v>44297</v>
      </c>
      <c r="B406" s="126">
        <v>15262</v>
      </c>
      <c r="C406" s="154">
        <f t="shared" si="112"/>
        <v>2532562</v>
      </c>
      <c r="D406" s="126">
        <v>131</v>
      </c>
      <c r="E406" s="126">
        <f t="shared" si="108"/>
        <v>57763</v>
      </c>
      <c r="F406" s="126">
        <f t="shared" si="115"/>
        <v>15357</v>
      </c>
      <c r="G406" s="154">
        <v>2233140</v>
      </c>
      <c r="H406" s="126">
        <v>3789</v>
      </c>
      <c r="I406" s="4">
        <v>63270</v>
      </c>
      <c r="J406" s="4">
        <f t="shared" si="109"/>
        <v>9590737</v>
      </c>
      <c r="K406" s="7">
        <v>16491</v>
      </c>
      <c r="L406" s="7">
        <v>5426954</v>
      </c>
      <c r="M406" s="4">
        <f t="shared" si="110"/>
        <v>5443445</v>
      </c>
      <c r="N406" s="4">
        <f t="shared" si="111"/>
        <v>0.25304660686750785</v>
      </c>
      <c r="O406" s="200">
        <f t="shared" si="102"/>
        <v>0.33158256982919981</v>
      </c>
      <c r="P406" s="4"/>
      <c r="Q406" s="4"/>
      <c r="R406" s="4">
        <f t="shared" si="117"/>
        <v>241659</v>
      </c>
      <c r="S406" s="39">
        <f t="shared" si="116"/>
        <v>28</v>
      </c>
      <c r="T406" s="91">
        <f t="shared" si="118"/>
        <v>-226</v>
      </c>
      <c r="U406" s="166"/>
    </row>
    <row r="407" spans="1:23" x14ac:dyDescent="0.25">
      <c r="A407" s="107">
        <v>44298</v>
      </c>
      <c r="B407" s="126">
        <v>19437</v>
      </c>
      <c r="C407" s="154">
        <f t="shared" si="112"/>
        <v>2551999</v>
      </c>
      <c r="D407" s="126">
        <v>178</v>
      </c>
      <c r="E407" s="126">
        <f t="shared" si="108"/>
        <v>57941</v>
      </c>
      <c r="F407" s="126">
        <f t="shared" si="115"/>
        <v>13984</v>
      </c>
      <c r="G407" s="154">
        <v>2247124</v>
      </c>
      <c r="H407" s="126">
        <v>3819</v>
      </c>
      <c r="I407" s="4">
        <v>64947</v>
      </c>
      <c r="J407" s="4">
        <f t="shared" si="109"/>
        <v>9655684</v>
      </c>
      <c r="K407" s="7">
        <v>16536</v>
      </c>
      <c r="L407" s="7">
        <v>5439883</v>
      </c>
      <c r="M407" s="4">
        <f t="shared" si="110"/>
        <v>5456419</v>
      </c>
      <c r="N407" s="4">
        <f t="shared" si="111"/>
        <v>0.60053760118643018</v>
      </c>
      <c r="O407" s="200">
        <f t="shared" si="102"/>
        <v>0.36817302644027511</v>
      </c>
      <c r="P407" s="4"/>
      <c r="Q407" s="4"/>
      <c r="R407" s="4">
        <f t="shared" si="117"/>
        <v>246934</v>
      </c>
      <c r="S407" s="39">
        <f t="shared" si="116"/>
        <v>30</v>
      </c>
      <c r="T407" s="91">
        <f t="shared" si="118"/>
        <v>5275</v>
      </c>
      <c r="U407" s="166"/>
    </row>
    <row r="408" spans="1:23" x14ac:dyDescent="0.25">
      <c r="A408" s="107">
        <v>44299</v>
      </c>
      <c r="B408" s="126">
        <v>27001</v>
      </c>
      <c r="C408" s="154">
        <f t="shared" si="112"/>
        <v>2579000</v>
      </c>
      <c r="D408" s="147">
        <v>217</v>
      </c>
      <c r="E408" s="126">
        <f t="shared" si="108"/>
        <v>58158</v>
      </c>
      <c r="F408" s="126">
        <f t="shared" si="115"/>
        <v>15751</v>
      </c>
      <c r="G408" s="154">
        <v>2262875</v>
      </c>
      <c r="H408" s="126">
        <v>3836</v>
      </c>
      <c r="I408" s="4">
        <v>87661</v>
      </c>
      <c r="J408" s="4">
        <f t="shared" si="109"/>
        <v>9743345</v>
      </c>
      <c r="K408" s="7">
        <v>16600</v>
      </c>
      <c r="L408" s="7">
        <v>5479564</v>
      </c>
      <c r="M408" s="4">
        <f t="shared" si="110"/>
        <v>5496164</v>
      </c>
      <c r="N408" s="4">
        <f t="shared" si="111"/>
        <v>0.40492186797036683</v>
      </c>
      <c r="O408" s="200">
        <f t="shared" si="102"/>
        <v>0.37739025906432433</v>
      </c>
      <c r="P408" s="4"/>
      <c r="Q408" s="4"/>
      <c r="R408" s="4">
        <f t="shared" si="117"/>
        <v>257967</v>
      </c>
      <c r="S408" s="39">
        <f t="shared" si="116"/>
        <v>17</v>
      </c>
      <c r="T408" s="91">
        <f t="shared" si="118"/>
        <v>11033</v>
      </c>
      <c r="U408" s="166"/>
    </row>
    <row r="409" spans="1:23" x14ac:dyDescent="0.25">
      <c r="A409" s="107">
        <v>44300</v>
      </c>
      <c r="B409" s="126">
        <v>25157</v>
      </c>
      <c r="C409" s="154">
        <f t="shared" si="112"/>
        <v>2604157</v>
      </c>
      <c r="D409" s="126">
        <v>368</v>
      </c>
      <c r="E409" s="126">
        <f t="shared" si="108"/>
        <v>58526</v>
      </c>
      <c r="F409" s="126">
        <f t="shared" si="115"/>
        <v>15611</v>
      </c>
      <c r="G409" s="154">
        <v>2278486</v>
      </c>
      <c r="H409" s="126">
        <v>3879</v>
      </c>
      <c r="I409" s="4">
        <v>89761</v>
      </c>
      <c r="J409" s="4">
        <f t="shared" si="109"/>
        <v>9833106</v>
      </c>
      <c r="K409" s="7">
        <v>16676</v>
      </c>
      <c r="L409" s="7">
        <v>5518723</v>
      </c>
      <c r="M409" s="4">
        <f t="shared" si="110"/>
        <v>5535399</v>
      </c>
      <c r="N409" s="4">
        <f t="shared" ref="N409:N415" si="119">B409/(B409+(L409-L408))</f>
        <v>0.39114683748989365</v>
      </c>
      <c r="O409" s="200">
        <f t="shared" si="102"/>
        <v>0.38080506184530033</v>
      </c>
      <c r="P409" s="4"/>
      <c r="Q409" s="4"/>
      <c r="R409" s="4">
        <f t="shared" si="117"/>
        <v>267145</v>
      </c>
      <c r="S409" s="39">
        <f t="shared" si="116"/>
        <v>43</v>
      </c>
      <c r="T409" s="91">
        <f t="shared" si="118"/>
        <v>9178</v>
      </c>
      <c r="U409" s="166"/>
    </row>
    <row r="410" spans="1:23" x14ac:dyDescent="0.25">
      <c r="A410" s="107">
        <v>44301</v>
      </c>
      <c r="B410" s="126">
        <v>24999</v>
      </c>
      <c r="C410" s="154">
        <f t="shared" si="112"/>
        <v>2629156</v>
      </c>
      <c r="D410" s="126">
        <v>380</v>
      </c>
      <c r="E410" s="126">
        <f t="shared" si="108"/>
        <v>58906</v>
      </c>
      <c r="F410" s="126">
        <f t="shared" si="115"/>
        <v>21746</v>
      </c>
      <c r="G410" s="154">
        <v>2300232</v>
      </c>
      <c r="H410" s="126">
        <v>3900</v>
      </c>
      <c r="I410" s="4">
        <v>70299</v>
      </c>
      <c r="J410" s="4">
        <f t="shared" si="109"/>
        <v>9903405</v>
      </c>
      <c r="K410" s="7">
        <v>16798</v>
      </c>
      <c r="L410" s="7">
        <v>5547020</v>
      </c>
      <c r="M410" s="4">
        <f t="shared" si="110"/>
        <v>5563818</v>
      </c>
      <c r="N410" s="4">
        <f t="shared" si="119"/>
        <v>0.46905959171419992</v>
      </c>
      <c r="O410" s="200">
        <f t="shared" si="102"/>
        <v>0.40410864916985612</v>
      </c>
      <c r="P410" s="4"/>
      <c r="Q410" s="4"/>
      <c r="R410" s="4">
        <f t="shared" si="117"/>
        <v>270018</v>
      </c>
      <c r="S410" s="39">
        <f t="shared" si="116"/>
        <v>21</v>
      </c>
      <c r="T410" s="91">
        <f t="shared" si="118"/>
        <v>2873</v>
      </c>
      <c r="U410" s="166"/>
    </row>
    <row r="411" spans="1:23" x14ac:dyDescent="0.25">
      <c r="A411" s="107">
        <v>44302</v>
      </c>
      <c r="B411" s="126">
        <v>29472</v>
      </c>
      <c r="C411" s="154">
        <f t="shared" si="112"/>
        <v>2658628</v>
      </c>
      <c r="D411" s="126">
        <v>160</v>
      </c>
      <c r="E411" s="126">
        <f t="shared" si="108"/>
        <v>59066</v>
      </c>
      <c r="F411" s="126">
        <f t="shared" si="115"/>
        <v>23875</v>
      </c>
      <c r="G411" s="154">
        <v>2324107</v>
      </c>
      <c r="H411" s="126">
        <v>3971</v>
      </c>
      <c r="I411" s="4">
        <v>120904</v>
      </c>
      <c r="J411" s="4">
        <f t="shared" si="109"/>
        <v>10024309</v>
      </c>
      <c r="K411" s="7">
        <v>16933</v>
      </c>
      <c r="L411" s="7">
        <v>5601790</v>
      </c>
      <c r="M411" s="4">
        <f t="shared" si="110"/>
        <v>5618723</v>
      </c>
      <c r="N411" s="4">
        <f t="shared" si="119"/>
        <v>0.3498492438451129</v>
      </c>
      <c r="O411" s="200">
        <f t="shared" si="102"/>
        <v>0.40168299495479193</v>
      </c>
      <c r="P411" s="4"/>
      <c r="Q411" s="4"/>
      <c r="R411" s="4">
        <f t="shared" si="117"/>
        <v>275455</v>
      </c>
      <c r="S411" s="39">
        <f t="shared" si="116"/>
        <v>71</v>
      </c>
      <c r="T411" s="91">
        <f t="shared" ref="T411:T421" si="120">(C411-G411-E411)-(C410-E410-G410)</f>
        <v>5437</v>
      </c>
      <c r="U411" s="166"/>
      <c r="V411" s="166"/>
      <c r="W411" s="166"/>
    </row>
    <row r="412" spans="1:23" x14ac:dyDescent="0.25">
      <c r="A412" s="341">
        <v>44303</v>
      </c>
      <c r="B412" s="133">
        <v>19119</v>
      </c>
      <c r="C412" s="155">
        <f t="shared" si="112"/>
        <v>2677747</v>
      </c>
      <c r="D412" s="133">
        <v>79</v>
      </c>
      <c r="E412" s="126">
        <f t="shared" si="108"/>
        <v>59145</v>
      </c>
      <c r="F412" s="133">
        <f t="shared" si="115"/>
        <v>19701</v>
      </c>
      <c r="G412" s="155">
        <v>2343808</v>
      </c>
      <c r="H412" s="133">
        <v>3977</v>
      </c>
      <c r="I412" s="27">
        <v>66458</v>
      </c>
      <c r="J412" s="27">
        <f t="shared" si="109"/>
        <v>10090767</v>
      </c>
      <c r="K412" s="30">
        <v>17067</v>
      </c>
      <c r="L412" s="30">
        <v>5636711</v>
      </c>
      <c r="M412" s="27">
        <f t="shared" si="110"/>
        <v>5653778</v>
      </c>
      <c r="N412" s="27">
        <f t="shared" si="119"/>
        <v>0.3537934863064397</v>
      </c>
      <c r="O412" s="260">
        <f t="shared" si="102"/>
        <v>0.40319360505427865</v>
      </c>
      <c r="P412" s="27"/>
      <c r="Q412" s="27"/>
      <c r="R412" s="27">
        <f t="shared" si="117"/>
        <v>274794</v>
      </c>
      <c r="S412" s="67">
        <f t="shared" si="116"/>
        <v>6</v>
      </c>
      <c r="T412" s="121">
        <f t="shared" si="120"/>
        <v>-661</v>
      </c>
    </row>
    <row r="413" spans="1:23" x14ac:dyDescent="0.25">
      <c r="A413" s="320">
        <v>44304</v>
      </c>
      <c r="B413" s="321">
        <v>16267</v>
      </c>
      <c r="C413" s="322">
        <f t="shared" si="112"/>
        <v>2694014</v>
      </c>
      <c r="D413" s="321">
        <v>65</v>
      </c>
      <c r="E413" s="126">
        <f t="shared" si="108"/>
        <v>59210</v>
      </c>
      <c r="F413" s="321">
        <f t="shared" si="115"/>
        <v>20363</v>
      </c>
      <c r="G413" s="322">
        <v>2364171</v>
      </c>
      <c r="H413" s="321">
        <v>4105</v>
      </c>
      <c r="I413" s="111">
        <v>63763</v>
      </c>
      <c r="J413" s="111">
        <f t="shared" si="109"/>
        <v>10154530</v>
      </c>
      <c r="K413" s="112">
        <v>17074</v>
      </c>
      <c r="L413" s="112">
        <v>5664992</v>
      </c>
      <c r="M413" s="111">
        <f t="shared" si="110"/>
        <v>5682066</v>
      </c>
      <c r="N413" s="111">
        <f t="shared" si="119"/>
        <v>0.36515668492412678</v>
      </c>
      <c r="O413" s="342">
        <f t="shared" si="102"/>
        <v>0.41920933049093861</v>
      </c>
      <c r="P413" s="111"/>
      <c r="Q413" s="111"/>
      <c r="R413" s="111">
        <f t="shared" si="117"/>
        <v>270633</v>
      </c>
      <c r="S413" s="312">
        <f t="shared" si="116"/>
        <v>128</v>
      </c>
      <c r="T413" s="343">
        <f t="shared" si="120"/>
        <v>-4161</v>
      </c>
    </row>
    <row r="414" spans="1:23" x14ac:dyDescent="0.25">
      <c r="A414" s="320">
        <v>44305</v>
      </c>
      <c r="B414" s="321">
        <v>20461</v>
      </c>
      <c r="C414" s="322">
        <f t="shared" si="112"/>
        <v>2714475</v>
      </c>
      <c r="D414" s="321">
        <v>248</v>
      </c>
      <c r="E414" s="126">
        <f t="shared" si="108"/>
        <v>59458</v>
      </c>
      <c r="F414" s="321">
        <f t="shared" si="115"/>
        <v>22212</v>
      </c>
      <c r="G414" s="322">
        <v>2386383</v>
      </c>
      <c r="H414" s="321">
        <v>4304</v>
      </c>
      <c r="I414" s="111">
        <v>66703</v>
      </c>
      <c r="J414" s="111">
        <f t="shared" si="109"/>
        <v>10221233</v>
      </c>
      <c r="K414" s="112">
        <v>17174</v>
      </c>
      <c r="L414" s="112">
        <v>5692236</v>
      </c>
      <c r="M414" s="111">
        <f t="shared" si="110"/>
        <v>5709410</v>
      </c>
      <c r="N414" s="111">
        <f t="shared" si="119"/>
        <v>0.42890682318415263</v>
      </c>
      <c r="O414" s="342">
        <f>AVERAGE(N408:N414)</f>
        <v>0.39469064791918462</v>
      </c>
      <c r="P414" s="111"/>
      <c r="Q414" s="111"/>
      <c r="R414" s="111">
        <f t="shared" si="117"/>
        <v>268634</v>
      </c>
      <c r="S414" s="312">
        <f t="shared" si="116"/>
        <v>199</v>
      </c>
      <c r="T414" s="343">
        <f t="shared" si="120"/>
        <v>-1999</v>
      </c>
    </row>
    <row r="415" spans="1:23" x14ac:dyDescent="0.25">
      <c r="A415" s="320">
        <v>44306</v>
      </c>
      <c r="B415" s="321">
        <v>29145</v>
      </c>
      <c r="C415" s="322">
        <f t="shared" si="112"/>
        <v>2743620</v>
      </c>
      <c r="D415" s="321">
        <v>316</v>
      </c>
      <c r="E415" s="126">
        <f t="shared" si="108"/>
        <v>59774</v>
      </c>
      <c r="F415" s="321">
        <f t="shared" si="115"/>
        <v>21470</v>
      </c>
      <c r="G415" s="322">
        <v>2407853</v>
      </c>
      <c r="H415" s="321">
        <v>4366</v>
      </c>
      <c r="I415" s="111">
        <v>99389</v>
      </c>
      <c r="J415" s="111">
        <f t="shared" si="109"/>
        <v>10320622</v>
      </c>
      <c r="K415" s="112">
        <v>17282</v>
      </c>
      <c r="L415" s="112">
        <v>5733986</v>
      </c>
      <c r="M415" s="111">
        <f t="shared" si="110"/>
        <v>5751268</v>
      </c>
      <c r="N415" s="111">
        <f t="shared" si="119"/>
        <v>0.41110092390154451</v>
      </c>
      <c r="O415" s="342">
        <f>AVERAGE(N409:N415)</f>
        <v>0.39557337019506716</v>
      </c>
      <c r="P415" s="111"/>
      <c r="Q415" s="111"/>
      <c r="R415" s="111">
        <f t="shared" si="117"/>
        <v>275993</v>
      </c>
      <c r="S415" s="312">
        <f t="shared" si="116"/>
        <v>62</v>
      </c>
      <c r="T415" s="343">
        <f t="shared" si="120"/>
        <v>7359</v>
      </c>
    </row>
    <row r="416" spans="1:23" x14ac:dyDescent="0.25">
      <c r="A416" s="320">
        <v>44307</v>
      </c>
      <c r="B416" s="321">
        <v>25932</v>
      </c>
      <c r="C416" s="322">
        <f t="shared" si="112"/>
        <v>2769552</v>
      </c>
      <c r="D416" s="321">
        <v>290</v>
      </c>
      <c r="E416" s="126">
        <f t="shared" si="108"/>
        <v>60064</v>
      </c>
      <c r="F416" s="321">
        <f t="shared" si="115"/>
        <v>16822</v>
      </c>
      <c r="G416" s="322">
        <v>2424675</v>
      </c>
      <c r="H416" s="321">
        <v>4492</v>
      </c>
      <c r="I416" s="111">
        <v>101313</v>
      </c>
      <c r="J416" s="111">
        <f t="shared" si="109"/>
        <v>10421935</v>
      </c>
      <c r="K416" s="112"/>
      <c r="L416" s="112"/>
      <c r="M416" s="111"/>
      <c r="N416" s="111"/>
      <c r="O416" s="111"/>
      <c r="P416" s="111"/>
      <c r="Q416" s="111"/>
      <c r="R416" s="111">
        <f t="shared" si="117"/>
        <v>284813</v>
      </c>
      <c r="S416" s="312">
        <f t="shared" si="116"/>
        <v>126</v>
      </c>
      <c r="T416" s="343">
        <f t="shared" si="120"/>
        <v>8820</v>
      </c>
    </row>
    <row r="417" spans="1:20" x14ac:dyDescent="0.25">
      <c r="A417" s="320">
        <v>44308</v>
      </c>
      <c r="B417" s="321">
        <v>27216</v>
      </c>
      <c r="C417" s="322">
        <f t="shared" si="112"/>
        <v>2796768</v>
      </c>
      <c r="D417" s="321">
        <v>537</v>
      </c>
      <c r="E417" s="126">
        <f t="shared" si="108"/>
        <v>60601</v>
      </c>
      <c r="F417" s="321">
        <f t="shared" si="115"/>
        <v>25118</v>
      </c>
      <c r="G417" s="322">
        <v>2449793</v>
      </c>
      <c r="H417" s="321">
        <v>4791</v>
      </c>
      <c r="I417" s="111">
        <v>99323</v>
      </c>
      <c r="J417" s="111">
        <f t="shared" si="109"/>
        <v>10521258</v>
      </c>
      <c r="K417" s="112">
        <v>17695</v>
      </c>
      <c r="L417" s="112">
        <v>5815574</v>
      </c>
      <c r="M417" s="111">
        <f t="shared" si="110"/>
        <v>5833269</v>
      </c>
      <c r="N417" s="344">
        <f t="shared" ref="N417:N429" si="121">B417/(B417+(L417-L416))</f>
        <v>4.658048637722732E-3</v>
      </c>
      <c r="O417" s="342">
        <f t="shared" ref="O417:O433" si="122">AVERAGE(N411:N417)</f>
        <v>0.31891086846651656</v>
      </c>
      <c r="P417" s="345">
        <f t="shared" ref="P417:P429" si="123">B417/(B417+L417)</f>
        <v>4.658048637722732E-3</v>
      </c>
      <c r="Q417" s="111"/>
      <c r="R417" s="111">
        <f t="shared" si="117"/>
        <v>286374</v>
      </c>
      <c r="S417" s="312">
        <f t="shared" si="116"/>
        <v>299</v>
      </c>
      <c r="T417" s="343">
        <f t="shared" si="120"/>
        <v>1561</v>
      </c>
    </row>
    <row r="418" spans="1:20" x14ac:dyDescent="0.25">
      <c r="A418" s="320">
        <v>44309</v>
      </c>
      <c r="B418" s="321">
        <v>27884</v>
      </c>
      <c r="C418" s="322">
        <f t="shared" si="112"/>
        <v>2824652</v>
      </c>
      <c r="D418" s="321">
        <v>556</v>
      </c>
      <c r="E418" s="126">
        <f t="shared" si="108"/>
        <v>61157</v>
      </c>
      <c r="F418" s="321">
        <f t="shared" si="115"/>
        <v>24721</v>
      </c>
      <c r="G418" s="322">
        <v>2474514</v>
      </c>
      <c r="H418" s="321">
        <v>4805</v>
      </c>
      <c r="I418" s="111">
        <v>86860</v>
      </c>
      <c r="J418" s="111">
        <f t="shared" si="109"/>
        <v>10608118</v>
      </c>
      <c r="K418" s="112">
        <v>18051</v>
      </c>
      <c r="L418" s="112">
        <v>5851758</v>
      </c>
      <c r="M418" s="111">
        <f t="shared" si="110"/>
        <v>5869809</v>
      </c>
      <c r="N418" s="344">
        <f t="shared" si="121"/>
        <v>0.43522507335955546</v>
      </c>
      <c r="O418" s="342">
        <f t="shared" si="122"/>
        <v>0.33314017338559027</v>
      </c>
      <c r="P418" s="345">
        <f t="shared" si="123"/>
        <v>4.7424656127022704E-3</v>
      </c>
      <c r="Q418" s="111"/>
      <c r="R418" s="111">
        <f t="shared" si="117"/>
        <v>288981</v>
      </c>
      <c r="S418" s="312">
        <f t="shared" si="116"/>
        <v>14</v>
      </c>
      <c r="T418" s="343">
        <f t="shared" si="120"/>
        <v>2607</v>
      </c>
    </row>
    <row r="419" spans="1:20" x14ac:dyDescent="0.25">
      <c r="A419" s="346">
        <v>44310</v>
      </c>
      <c r="B419" s="140">
        <v>21220</v>
      </c>
      <c r="C419" s="347">
        <f t="shared" si="112"/>
        <v>2845872</v>
      </c>
      <c r="D419" s="140">
        <v>298</v>
      </c>
      <c r="E419" s="126">
        <f t="shared" si="108"/>
        <v>61455</v>
      </c>
      <c r="F419" s="140">
        <f t="shared" si="115"/>
        <v>21763</v>
      </c>
      <c r="G419" s="347">
        <v>2496277</v>
      </c>
      <c r="H419" s="140">
        <v>4858</v>
      </c>
      <c r="I419" s="115">
        <v>81809</v>
      </c>
      <c r="J419" s="115">
        <f t="shared" si="109"/>
        <v>10689927</v>
      </c>
      <c r="K419" s="118">
        <v>18153</v>
      </c>
      <c r="L419" s="118">
        <v>5887599</v>
      </c>
      <c r="M419" s="115">
        <f t="shared" si="110"/>
        <v>5905752</v>
      </c>
      <c r="N419" s="348">
        <f t="shared" si="121"/>
        <v>0.37188272199926392</v>
      </c>
      <c r="O419" s="349">
        <f t="shared" si="122"/>
        <v>0.336155046001061</v>
      </c>
      <c r="P419" s="350">
        <f t="shared" si="123"/>
        <v>3.5912421754668742E-3</v>
      </c>
      <c r="Q419" s="115"/>
      <c r="R419" s="115">
        <f t="shared" si="117"/>
        <v>288140</v>
      </c>
      <c r="S419" s="339">
        <f t="shared" si="116"/>
        <v>53</v>
      </c>
      <c r="T419" s="351">
        <f t="shared" si="120"/>
        <v>-841</v>
      </c>
    </row>
    <row r="420" spans="1:20" x14ac:dyDescent="0.25">
      <c r="A420" s="107">
        <v>44311</v>
      </c>
      <c r="B420" s="126">
        <v>15012</v>
      </c>
      <c r="C420" s="154">
        <f t="shared" si="112"/>
        <v>2860884</v>
      </c>
      <c r="D420" s="126">
        <v>169</v>
      </c>
      <c r="E420" s="126">
        <f t="shared" si="108"/>
        <v>61624</v>
      </c>
      <c r="F420" s="126">
        <f t="shared" si="115"/>
        <v>21890</v>
      </c>
      <c r="G420" s="154">
        <v>2518167</v>
      </c>
      <c r="H420" s="126">
        <v>4942</v>
      </c>
      <c r="I420" s="4">
        <v>43550</v>
      </c>
      <c r="J420" s="4">
        <f t="shared" si="109"/>
        <v>10733477</v>
      </c>
      <c r="K420" s="7">
        <v>18157</v>
      </c>
      <c r="L420" s="7">
        <v>5905380</v>
      </c>
      <c r="M420" s="4">
        <f t="shared" si="110"/>
        <v>5923537</v>
      </c>
      <c r="N420" s="295">
        <f t="shared" si="121"/>
        <v>0.45778062391364011</v>
      </c>
      <c r="O420" s="200">
        <f t="shared" si="122"/>
        <v>0.35159236916597991</v>
      </c>
      <c r="P420" s="294">
        <f t="shared" si="123"/>
        <v>2.5356429101316266E-3</v>
      </c>
      <c r="Q420" s="4"/>
      <c r="R420" s="4">
        <f t="shared" si="117"/>
        <v>281093</v>
      </c>
      <c r="S420" s="39">
        <f t="shared" si="116"/>
        <v>84</v>
      </c>
      <c r="T420" s="91">
        <f t="shared" si="120"/>
        <v>-7047</v>
      </c>
    </row>
    <row r="421" spans="1:20" x14ac:dyDescent="0.25">
      <c r="A421" s="107">
        <v>44312</v>
      </c>
      <c r="B421" s="126">
        <v>18793</v>
      </c>
      <c r="C421" s="154">
        <f t="shared" si="112"/>
        <v>2879677</v>
      </c>
      <c r="D421" s="126">
        <v>442</v>
      </c>
      <c r="E421" s="126">
        <f t="shared" si="108"/>
        <v>62066</v>
      </c>
      <c r="F421" s="126">
        <f t="shared" si="115"/>
        <v>23837</v>
      </c>
      <c r="G421" s="154">
        <v>2542004</v>
      </c>
      <c r="H421" s="126">
        <v>5036</v>
      </c>
      <c r="I421" s="4">
        <v>67355</v>
      </c>
      <c r="J421" s="4">
        <f t="shared" si="109"/>
        <v>10800832</v>
      </c>
      <c r="K421" s="7">
        <v>18284</v>
      </c>
      <c r="L421" s="7">
        <v>5931513</v>
      </c>
      <c r="M421" s="4">
        <f t="shared" si="110"/>
        <v>5949797</v>
      </c>
      <c r="N421" s="295">
        <f t="shared" si="121"/>
        <v>0.41831010995859857</v>
      </c>
      <c r="O421" s="200">
        <f t="shared" si="122"/>
        <v>0.34982625029505421</v>
      </c>
      <c r="P421" s="4">
        <f t="shared" si="123"/>
        <v>3.1583249668168324E-3</v>
      </c>
      <c r="Q421" s="4"/>
      <c r="R421" s="4">
        <f t="shared" si="117"/>
        <v>275607</v>
      </c>
      <c r="S421" s="39">
        <f t="shared" si="116"/>
        <v>94</v>
      </c>
      <c r="T421" s="91">
        <f t="shared" si="120"/>
        <v>-5486</v>
      </c>
    </row>
    <row r="422" spans="1:20" x14ac:dyDescent="0.25">
      <c r="A422" s="107">
        <v>44313</v>
      </c>
      <c r="B422" s="126">
        <v>25495</v>
      </c>
      <c r="C422" s="154">
        <f t="shared" si="112"/>
        <v>2905172</v>
      </c>
      <c r="D422" s="131">
        <v>515</v>
      </c>
      <c r="E422" s="126">
        <f t="shared" si="108"/>
        <v>62581</v>
      </c>
      <c r="F422" s="126">
        <f t="shared" si="115"/>
        <v>21219</v>
      </c>
      <c r="G422" s="154">
        <v>2563223</v>
      </c>
      <c r="H422" s="126">
        <v>5134</v>
      </c>
      <c r="I422" s="4">
        <v>62599</v>
      </c>
      <c r="J422" s="4">
        <f t="shared" si="109"/>
        <v>10863431</v>
      </c>
      <c r="K422" s="7">
        <v>18427</v>
      </c>
      <c r="L422" s="7">
        <v>5965896</v>
      </c>
      <c r="M422" s="4">
        <f t="shared" si="110"/>
        <v>5984323</v>
      </c>
      <c r="N422" s="295">
        <f t="shared" si="121"/>
        <v>0.42578242426266744</v>
      </c>
      <c r="O422" s="200">
        <f t="shared" si="122"/>
        <v>0.35227316702190808</v>
      </c>
      <c r="P422" s="4">
        <f t="shared" si="123"/>
        <v>4.2552722731666152E-3</v>
      </c>
      <c r="Q422" s="4"/>
      <c r="R422" s="4">
        <f t="shared" si="117"/>
        <v>279368</v>
      </c>
      <c r="S422" s="39">
        <f t="shared" si="116"/>
        <v>98</v>
      </c>
      <c r="T422" s="91">
        <f t="shared" ref="T422:T431" si="124">(C422-G422-E422)-(C421-E421-G421)</f>
        <v>3761</v>
      </c>
    </row>
    <row r="423" spans="1:20" x14ac:dyDescent="0.25">
      <c r="A423" s="107">
        <v>44314</v>
      </c>
      <c r="B423" s="126">
        <v>23718</v>
      </c>
      <c r="C423" s="154">
        <f t="shared" si="112"/>
        <v>2928890</v>
      </c>
      <c r="D423" s="126">
        <v>347</v>
      </c>
      <c r="E423" s="126">
        <f t="shared" si="108"/>
        <v>62928</v>
      </c>
      <c r="F423" s="126">
        <f t="shared" si="115"/>
        <v>18941</v>
      </c>
      <c r="G423" s="154">
        <v>2582164</v>
      </c>
      <c r="H423" s="126">
        <v>5178</v>
      </c>
      <c r="I423" s="4">
        <v>92172</v>
      </c>
      <c r="J423" s="4">
        <f t="shared" si="109"/>
        <v>10955603</v>
      </c>
      <c r="K423" s="7">
        <v>18521</v>
      </c>
      <c r="L423" s="7">
        <v>6004195</v>
      </c>
      <c r="M423" s="4">
        <f t="shared" si="110"/>
        <v>6022716</v>
      </c>
      <c r="N423" s="295">
        <f t="shared" si="121"/>
        <v>0.38244352354999434</v>
      </c>
      <c r="O423" s="200">
        <f t="shared" si="122"/>
        <v>0.35658321795449183</v>
      </c>
      <c r="P423" s="4">
        <f t="shared" si="123"/>
        <v>3.934695142414962E-3</v>
      </c>
      <c r="Q423" s="4"/>
      <c r="R423" s="4">
        <f t="shared" si="117"/>
        <v>283798</v>
      </c>
      <c r="S423" s="39">
        <f t="shared" si="116"/>
        <v>44</v>
      </c>
      <c r="T423" s="91">
        <f t="shared" si="124"/>
        <v>4430</v>
      </c>
    </row>
    <row r="424" spans="1:20" x14ac:dyDescent="0.25">
      <c r="A424" s="107">
        <v>44315</v>
      </c>
      <c r="B424" s="126">
        <v>26053</v>
      </c>
      <c r="C424" s="154">
        <f t="shared" si="112"/>
        <v>2954943</v>
      </c>
      <c r="D424" s="126">
        <v>561</v>
      </c>
      <c r="E424" s="126">
        <f t="shared" si="108"/>
        <v>63489</v>
      </c>
      <c r="F424" s="126">
        <f t="shared" si="115"/>
        <v>25913</v>
      </c>
      <c r="G424" s="154">
        <v>2608077</v>
      </c>
      <c r="H424" s="126">
        <v>5317</v>
      </c>
      <c r="I424" s="4">
        <v>84085</v>
      </c>
      <c r="J424" s="4">
        <f t="shared" si="109"/>
        <v>11039688</v>
      </c>
      <c r="K424" s="7">
        <v>18709</v>
      </c>
      <c r="L424" s="7">
        <v>6039057</v>
      </c>
      <c r="M424" s="4">
        <f t="shared" si="110"/>
        <v>6057766</v>
      </c>
      <c r="N424" s="295">
        <f t="shared" si="121"/>
        <v>0.42769432816219322</v>
      </c>
      <c r="O424" s="200">
        <f t="shared" si="122"/>
        <v>0.41701697217227329</v>
      </c>
      <c r="P424" s="4">
        <f t="shared" si="123"/>
        <v>4.2955527599664312E-3</v>
      </c>
      <c r="Q424" s="4"/>
      <c r="R424" s="4">
        <f t="shared" si="117"/>
        <v>283377</v>
      </c>
      <c r="S424" s="39">
        <f t="shared" si="116"/>
        <v>139</v>
      </c>
      <c r="T424" s="91">
        <f t="shared" si="124"/>
        <v>-421</v>
      </c>
    </row>
    <row r="425" spans="1:20" x14ac:dyDescent="0.25">
      <c r="A425" s="107">
        <v>44316</v>
      </c>
      <c r="B425" s="126">
        <v>22420</v>
      </c>
      <c r="C425" s="154">
        <f t="shared" si="112"/>
        <v>2977363</v>
      </c>
      <c r="D425" s="126">
        <v>357</v>
      </c>
      <c r="E425" s="126">
        <f t="shared" si="108"/>
        <v>63846</v>
      </c>
      <c r="F425" s="126">
        <f t="shared" si="115"/>
        <v>26229</v>
      </c>
      <c r="G425" s="154">
        <v>2634306</v>
      </c>
      <c r="H425" s="126">
        <v>5369</v>
      </c>
      <c r="I425" s="4">
        <v>84215</v>
      </c>
      <c r="J425" s="4">
        <f t="shared" si="109"/>
        <v>11123903</v>
      </c>
      <c r="K425" s="7">
        <v>18842</v>
      </c>
      <c r="L425" s="7">
        <v>6074979</v>
      </c>
      <c r="M425" s="4">
        <f t="shared" si="110"/>
        <v>6093821</v>
      </c>
      <c r="N425" s="295">
        <f t="shared" si="121"/>
        <v>0.38428576325803021</v>
      </c>
      <c r="O425" s="200">
        <f t="shared" si="122"/>
        <v>0.40973992787205538</v>
      </c>
      <c r="P425" s="4">
        <f t="shared" si="123"/>
        <v>3.6769776752349648E-3</v>
      </c>
      <c r="Q425" s="4"/>
      <c r="R425" s="4">
        <f t="shared" si="117"/>
        <v>279211</v>
      </c>
      <c r="S425" s="39">
        <f t="shared" si="116"/>
        <v>52</v>
      </c>
      <c r="T425" s="91">
        <f t="shared" si="124"/>
        <v>-4166</v>
      </c>
    </row>
    <row r="426" spans="1:20" x14ac:dyDescent="0.25">
      <c r="A426" s="107">
        <v>44317</v>
      </c>
      <c r="B426" s="126">
        <v>16502</v>
      </c>
      <c r="C426" s="154">
        <f t="shared" si="112"/>
        <v>2993865</v>
      </c>
      <c r="D426" s="126">
        <v>231</v>
      </c>
      <c r="E426" s="126">
        <f t="shared" si="108"/>
        <v>64077</v>
      </c>
      <c r="F426" s="126">
        <f t="shared" si="115"/>
        <v>21053</v>
      </c>
      <c r="G426" s="154">
        <v>2655359</v>
      </c>
      <c r="H426" s="126">
        <v>5370</v>
      </c>
      <c r="I426" s="4">
        <v>61497</v>
      </c>
      <c r="J426" s="4">
        <f t="shared" si="109"/>
        <v>11185400</v>
      </c>
      <c r="K426" s="7">
        <v>18961</v>
      </c>
      <c r="L426" s="7">
        <v>6102481</v>
      </c>
      <c r="M426" s="4">
        <f t="shared" si="110"/>
        <v>6121442</v>
      </c>
      <c r="N426" s="295">
        <f t="shared" si="121"/>
        <v>0.37501136260339968</v>
      </c>
      <c r="O426" s="200">
        <f t="shared" si="122"/>
        <v>0.41018687652978908</v>
      </c>
      <c r="P426" s="4">
        <f t="shared" si="123"/>
        <v>2.6968533823349401E-3</v>
      </c>
      <c r="Q426" s="4"/>
      <c r="R426" s="4">
        <f t="shared" si="117"/>
        <v>274429</v>
      </c>
      <c r="S426" s="39">
        <f t="shared" si="116"/>
        <v>1</v>
      </c>
      <c r="T426" s="91">
        <f t="shared" si="124"/>
        <v>-4782</v>
      </c>
    </row>
    <row r="427" spans="1:20" x14ac:dyDescent="0.25">
      <c r="A427" s="107">
        <v>44318</v>
      </c>
      <c r="B427" s="126">
        <v>11394</v>
      </c>
      <c r="C427" s="154">
        <f t="shared" si="112"/>
        <v>3005259</v>
      </c>
      <c r="D427" s="126">
        <v>156</v>
      </c>
      <c r="E427" s="126">
        <f t="shared" si="108"/>
        <v>64233</v>
      </c>
      <c r="F427" s="126">
        <f t="shared" si="115"/>
        <v>20838</v>
      </c>
      <c r="G427" s="154">
        <v>2676197</v>
      </c>
      <c r="H427" s="126">
        <v>5371</v>
      </c>
      <c r="I427" s="4">
        <v>35607</v>
      </c>
      <c r="J427" s="4">
        <f t="shared" si="109"/>
        <v>11221007</v>
      </c>
      <c r="K427" s="7">
        <v>18963</v>
      </c>
      <c r="L427" s="7">
        <v>6116726</v>
      </c>
      <c r="M427" s="4">
        <f t="shared" si="110"/>
        <v>6135689</v>
      </c>
      <c r="N427" s="295">
        <f t="shared" si="121"/>
        <v>0.44440110768750729</v>
      </c>
      <c r="O427" s="200">
        <f t="shared" si="122"/>
        <v>0.40827551706891291</v>
      </c>
      <c r="P427" s="4">
        <f t="shared" si="123"/>
        <v>1.859297794429613E-3</v>
      </c>
      <c r="Q427" s="4"/>
      <c r="R427" s="4">
        <f t="shared" si="117"/>
        <v>264829</v>
      </c>
      <c r="S427" s="39">
        <f t="shared" si="116"/>
        <v>1</v>
      </c>
      <c r="T427" s="91">
        <f t="shared" si="124"/>
        <v>-9600</v>
      </c>
    </row>
    <row r="428" spans="1:20" x14ac:dyDescent="0.25">
      <c r="A428" s="107">
        <v>44319</v>
      </c>
      <c r="B428" s="126">
        <v>15920</v>
      </c>
      <c r="C428" s="154">
        <f t="shared" si="112"/>
        <v>3021179</v>
      </c>
      <c r="D428" s="126">
        <v>540</v>
      </c>
      <c r="E428" s="126">
        <f t="shared" si="108"/>
        <v>64773</v>
      </c>
      <c r="F428" s="126">
        <f t="shared" si="115"/>
        <v>21875</v>
      </c>
      <c r="G428" s="154">
        <v>2698072</v>
      </c>
      <c r="H428" s="126">
        <v>5426</v>
      </c>
      <c r="I428" s="4">
        <v>84298</v>
      </c>
      <c r="J428" s="4">
        <f t="shared" si="109"/>
        <v>11305305</v>
      </c>
      <c r="K428" s="7">
        <v>19033</v>
      </c>
      <c r="L428" s="7">
        <v>6153508</v>
      </c>
      <c r="M428" s="4">
        <f t="shared" si="110"/>
        <v>6172541</v>
      </c>
      <c r="N428" s="295">
        <f t="shared" si="121"/>
        <v>0.30207582254942889</v>
      </c>
      <c r="O428" s="200">
        <f t="shared" si="122"/>
        <v>0.39167061886760302</v>
      </c>
      <c r="P428" s="4">
        <f t="shared" si="123"/>
        <v>2.5804661307336756E-3</v>
      </c>
      <c r="Q428" s="4"/>
      <c r="R428" s="4">
        <f t="shared" si="117"/>
        <v>258334</v>
      </c>
      <c r="S428" s="39">
        <f t="shared" si="116"/>
        <v>55</v>
      </c>
      <c r="T428" s="91">
        <f t="shared" si="124"/>
        <v>-6495</v>
      </c>
    </row>
    <row r="429" spans="1:20" x14ac:dyDescent="0.25">
      <c r="A429" s="107">
        <v>44320</v>
      </c>
      <c r="B429" s="126">
        <v>26238</v>
      </c>
      <c r="C429" s="154">
        <f t="shared" si="112"/>
        <v>3047417</v>
      </c>
      <c r="D429" s="126">
        <v>410</v>
      </c>
      <c r="E429" s="126">
        <f t="shared" si="108"/>
        <v>65183</v>
      </c>
      <c r="F429" s="126">
        <f t="shared" si="115"/>
        <v>19386</v>
      </c>
      <c r="G429" s="154">
        <v>2717458</v>
      </c>
      <c r="H429" s="126">
        <v>5389</v>
      </c>
      <c r="I429" s="4">
        <v>105546</v>
      </c>
      <c r="J429" s="4">
        <f t="shared" si="109"/>
        <v>11410851</v>
      </c>
      <c r="K429" s="7">
        <v>19083</v>
      </c>
      <c r="L429" s="7">
        <v>6197459</v>
      </c>
      <c r="M429" s="7">
        <f>L429+K429</f>
        <v>6216542</v>
      </c>
      <c r="N429" s="295">
        <f t="shared" si="121"/>
        <v>0.3738192594281155</v>
      </c>
      <c r="O429" s="200">
        <f t="shared" si="122"/>
        <v>0.38424730960552417</v>
      </c>
      <c r="P429" s="4">
        <f t="shared" si="123"/>
        <v>4.2158222034266767E-3</v>
      </c>
      <c r="Q429" s="4"/>
      <c r="R429" s="4">
        <f t="shared" si="117"/>
        <v>264776</v>
      </c>
      <c r="S429" s="39">
        <f t="shared" si="116"/>
        <v>-37</v>
      </c>
      <c r="T429" s="91">
        <f t="shared" si="124"/>
        <v>6442</v>
      </c>
    </row>
    <row r="430" spans="1:20" x14ac:dyDescent="0.25">
      <c r="A430" s="107">
        <v>44321</v>
      </c>
      <c r="B430" s="126">
        <v>24079</v>
      </c>
      <c r="C430" s="154">
        <f t="shared" si="112"/>
        <v>3071496</v>
      </c>
      <c r="D430" s="126">
        <v>661</v>
      </c>
      <c r="E430" s="126">
        <f t="shared" si="108"/>
        <v>65844</v>
      </c>
      <c r="F430" s="126">
        <f t="shared" si="115"/>
        <v>17007</v>
      </c>
      <c r="G430" s="154">
        <v>2734465</v>
      </c>
      <c r="H430" s="126">
        <v>5342</v>
      </c>
      <c r="I430" s="4">
        <v>67648</v>
      </c>
      <c r="J430" s="4">
        <f>11502946</f>
        <v>11502946</v>
      </c>
      <c r="K430" s="7">
        <v>19149</v>
      </c>
      <c r="L430" s="7">
        <v>6224395</v>
      </c>
      <c r="M430" s="7">
        <f>L430+K430</f>
        <v>6243544</v>
      </c>
      <c r="N430" s="295">
        <f>B430/(B430+(L430-L429))</f>
        <v>0.47199843183377438</v>
      </c>
      <c r="O430" s="200">
        <f t="shared" si="122"/>
        <v>0.39704086793177845</v>
      </c>
      <c r="P430" s="4">
        <f>B430/(B430+L430)</f>
        <v>3.8535808903101781E-3</v>
      </c>
      <c r="Q430" s="4"/>
      <c r="R430" s="4">
        <f t="shared" si="117"/>
        <v>271187</v>
      </c>
      <c r="S430" s="39">
        <f t="shared" si="116"/>
        <v>-47</v>
      </c>
      <c r="T430" s="91">
        <f t="shared" si="124"/>
        <v>6411</v>
      </c>
    </row>
    <row r="431" spans="1:20" x14ac:dyDescent="0.25">
      <c r="A431" s="107">
        <v>44322</v>
      </c>
      <c r="B431" s="126">
        <v>24086</v>
      </c>
      <c r="C431" s="154">
        <f t="shared" si="112"/>
        <v>3095582</v>
      </c>
      <c r="D431" s="126">
        <v>399</v>
      </c>
      <c r="E431" s="126">
        <f t="shared" si="108"/>
        <v>66243</v>
      </c>
      <c r="F431" s="126">
        <f t="shared" si="115"/>
        <v>22765</v>
      </c>
      <c r="G431" s="154">
        <v>2757230</v>
      </c>
      <c r="H431" s="126">
        <v>5299</v>
      </c>
      <c r="I431" s="4">
        <v>107412</v>
      </c>
      <c r="J431" s="4">
        <f>11610358</f>
        <v>11610358</v>
      </c>
      <c r="K431" s="7">
        <v>19235</v>
      </c>
      <c r="L431" s="7">
        <v>6266535</v>
      </c>
      <c r="M431" s="7">
        <f>L431+K431</f>
        <v>6285770</v>
      </c>
      <c r="N431" s="295">
        <f>B431/(B431+(L431-L430))</f>
        <v>0.36369401745538005</v>
      </c>
      <c r="O431" s="200">
        <f t="shared" si="122"/>
        <v>0.38789796640223367</v>
      </c>
      <c r="P431" s="4">
        <f>B431/(B431+L431)</f>
        <v>3.8288747645105307E-3</v>
      </c>
      <c r="Q431" s="4"/>
      <c r="R431" s="4">
        <f t="shared" si="117"/>
        <v>272109</v>
      </c>
      <c r="S431" s="39">
        <f t="shared" si="116"/>
        <v>-43</v>
      </c>
      <c r="T431" s="91">
        <f t="shared" si="124"/>
        <v>922</v>
      </c>
    </row>
    <row r="432" spans="1:20" x14ac:dyDescent="0.25">
      <c r="A432" s="107">
        <v>44323</v>
      </c>
      <c r="B432" s="126">
        <v>22552</v>
      </c>
      <c r="C432" s="154">
        <f t="shared" si="112"/>
        <v>3118134</v>
      </c>
      <c r="D432" s="126">
        <v>611</v>
      </c>
      <c r="E432" s="126">
        <f t="shared" si="108"/>
        <v>66854</v>
      </c>
      <c r="F432" s="126">
        <f t="shared" ref="F432:F442" si="125">G432-G431</f>
        <v>20672</v>
      </c>
      <c r="G432" s="154">
        <v>2777902</v>
      </c>
      <c r="H432" s="126">
        <v>5268</v>
      </c>
      <c r="I432" s="4">
        <v>73565</v>
      </c>
      <c r="J432" s="4">
        <f t="shared" ref="J432:J437" si="126">J431+I432</f>
        <v>11683923</v>
      </c>
      <c r="K432" s="7"/>
      <c r="L432" s="7"/>
      <c r="M432" s="7"/>
      <c r="N432" s="295"/>
      <c r="O432" s="200"/>
      <c r="P432" s="4"/>
      <c r="Q432" s="4"/>
      <c r="R432" s="4">
        <f t="shared" ref="R432:R437" si="127">C432-E432-G432</f>
        <v>273378</v>
      </c>
      <c r="S432" s="39">
        <f t="shared" si="116"/>
        <v>-31</v>
      </c>
      <c r="T432" s="91">
        <f t="shared" ref="T432:T437" si="128">(C432-G432-E432)-(C431-E431-G431)</f>
        <v>1269</v>
      </c>
    </row>
    <row r="433" spans="1:20" x14ac:dyDescent="0.25">
      <c r="A433" s="107">
        <v>44324</v>
      </c>
      <c r="B433" s="126">
        <v>18024</v>
      </c>
      <c r="C433" s="154">
        <f t="shared" si="112"/>
        <v>3136158</v>
      </c>
      <c r="D433" s="126">
        <v>169</v>
      </c>
      <c r="E433" s="126">
        <f t="shared" si="108"/>
        <v>67023</v>
      </c>
      <c r="F433" s="126">
        <f t="shared" si="125"/>
        <v>20426</v>
      </c>
      <c r="G433" s="154">
        <v>2798328</v>
      </c>
      <c r="H433" s="126">
        <v>5285</v>
      </c>
      <c r="I433" s="4">
        <v>95679</v>
      </c>
      <c r="J433" s="4">
        <f t="shared" si="126"/>
        <v>11779602</v>
      </c>
      <c r="K433" s="7">
        <v>19442</v>
      </c>
      <c r="L433" s="7">
        <v>6343516</v>
      </c>
      <c r="M433" s="7">
        <f>L433+K433</f>
        <v>6362958</v>
      </c>
      <c r="N433" s="295">
        <f t="shared" ref="N433:N438" si="129">B433/(B433+(L433-L432))</f>
        <v>2.8332762192802372E-3</v>
      </c>
      <c r="O433" s="200">
        <f t="shared" si="122"/>
        <v>0.32647031919558106</v>
      </c>
      <c r="P433" s="200">
        <f t="shared" ref="P433:P438" si="130">B433/(B433+L433-L432)</f>
        <v>2.8332762192802372E-3</v>
      </c>
      <c r="Q433" s="4"/>
      <c r="R433" s="4">
        <f t="shared" si="127"/>
        <v>270807</v>
      </c>
      <c r="S433" s="39">
        <f t="shared" ref="S433:S442" si="131">H433-H432</f>
        <v>17</v>
      </c>
      <c r="T433" s="91">
        <f t="shared" si="128"/>
        <v>-2571</v>
      </c>
    </row>
    <row r="434" spans="1:20" x14ac:dyDescent="0.25">
      <c r="A434" s="107">
        <v>44325</v>
      </c>
      <c r="B434" s="126">
        <v>11582</v>
      </c>
      <c r="C434" s="154">
        <f t="shared" si="112"/>
        <v>3147740</v>
      </c>
      <c r="D434" s="126">
        <v>283</v>
      </c>
      <c r="E434" s="126">
        <f t="shared" si="108"/>
        <v>67306</v>
      </c>
      <c r="F434" s="126">
        <f t="shared" si="125"/>
        <v>18837</v>
      </c>
      <c r="G434" s="154">
        <v>2817165</v>
      </c>
      <c r="H434" s="126">
        <v>5294</v>
      </c>
      <c r="I434" s="4">
        <v>41883</v>
      </c>
      <c r="J434" s="4">
        <f t="shared" si="126"/>
        <v>11821485</v>
      </c>
      <c r="K434" s="7">
        <v>19523</v>
      </c>
      <c r="L434" s="7">
        <v>6378518</v>
      </c>
      <c r="M434" s="7">
        <f t="shared" ref="M434:M494" si="132">L434+K434</f>
        <v>6398041</v>
      </c>
      <c r="N434" s="295">
        <f t="shared" si="129"/>
        <v>0.24862613772969261</v>
      </c>
      <c r="O434" s="200">
        <f>AVERAGE(N428:N434)</f>
        <v>0.29384115753594525</v>
      </c>
      <c r="P434" s="200">
        <f t="shared" si="130"/>
        <v>0.24862613772969261</v>
      </c>
      <c r="Q434" s="4"/>
      <c r="R434" s="4">
        <f t="shared" si="127"/>
        <v>263269</v>
      </c>
      <c r="S434" s="39">
        <f t="shared" si="131"/>
        <v>9</v>
      </c>
      <c r="T434" s="91">
        <f t="shared" si="128"/>
        <v>-7538</v>
      </c>
    </row>
    <row r="435" spans="1:20" x14ac:dyDescent="0.25">
      <c r="A435" s="107">
        <v>44326</v>
      </c>
      <c r="B435" s="126">
        <v>17381</v>
      </c>
      <c r="C435" s="154">
        <f t="shared" si="112"/>
        <v>3165121</v>
      </c>
      <c r="D435" s="126">
        <v>496</v>
      </c>
      <c r="E435" s="126">
        <f t="shared" si="108"/>
        <v>67802</v>
      </c>
      <c r="F435" s="126">
        <f t="shared" si="125"/>
        <v>19893</v>
      </c>
      <c r="G435" s="154">
        <v>2837058</v>
      </c>
      <c r="H435" s="126">
        <v>5357</v>
      </c>
      <c r="I435" s="4">
        <v>69879</v>
      </c>
      <c r="J435" s="4">
        <f t="shared" si="126"/>
        <v>11891364</v>
      </c>
      <c r="K435" s="7">
        <v>19621</v>
      </c>
      <c r="L435" s="7">
        <v>6389191</v>
      </c>
      <c r="M435" s="7">
        <f t="shared" si="132"/>
        <v>6408812</v>
      </c>
      <c r="N435" s="295">
        <f t="shared" si="129"/>
        <v>0.61955514365152919</v>
      </c>
      <c r="O435" s="200">
        <f>AVERAGE(N429:N435)</f>
        <v>0.34675437771962869</v>
      </c>
      <c r="P435" s="200">
        <f t="shared" si="130"/>
        <v>0.61955514365152919</v>
      </c>
      <c r="Q435" s="4"/>
      <c r="R435" s="4">
        <f t="shared" si="127"/>
        <v>260261</v>
      </c>
      <c r="S435" s="39">
        <f t="shared" si="131"/>
        <v>63</v>
      </c>
      <c r="T435" s="91">
        <f t="shared" si="128"/>
        <v>-3008</v>
      </c>
    </row>
    <row r="436" spans="1:20" x14ac:dyDescent="0.25">
      <c r="A436" s="107">
        <v>44327</v>
      </c>
      <c r="B436" s="126">
        <v>25976</v>
      </c>
      <c r="C436" s="154">
        <f t="shared" si="112"/>
        <v>3191097</v>
      </c>
      <c r="D436" s="133">
        <v>490</v>
      </c>
      <c r="E436" s="126">
        <f t="shared" si="108"/>
        <v>68292</v>
      </c>
      <c r="F436" s="133">
        <f t="shared" si="125"/>
        <v>17306</v>
      </c>
      <c r="G436" s="155">
        <v>2854364</v>
      </c>
      <c r="H436" s="133">
        <v>5375</v>
      </c>
      <c r="I436" s="27">
        <v>92595</v>
      </c>
      <c r="J436" s="27">
        <f t="shared" si="126"/>
        <v>11983959</v>
      </c>
      <c r="K436" s="30">
        <v>19688</v>
      </c>
      <c r="L436" s="30">
        <v>6427584</v>
      </c>
      <c r="M436" s="30">
        <f t="shared" si="132"/>
        <v>6447272</v>
      </c>
      <c r="N436" s="457">
        <f t="shared" si="129"/>
        <v>0.40354829187963148</v>
      </c>
      <c r="O436" s="260">
        <f>AVERAGE(N430:N436)</f>
        <v>0.35170921646154801</v>
      </c>
      <c r="P436" s="260">
        <f t="shared" si="130"/>
        <v>0.40354829187963148</v>
      </c>
      <c r="Q436" s="27"/>
      <c r="R436" s="27">
        <f t="shared" si="127"/>
        <v>268441</v>
      </c>
      <c r="S436" s="67">
        <f t="shared" si="131"/>
        <v>18</v>
      </c>
      <c r="T436" s="121">
        <f t="shared" si="128"/>
        <v>8180</v>
      </c>
    </row>
    <row r="437" spans="1:20" x14ac:dyDescent="0.25">
      <c r="A437" s="107">
        <v>44328</v>
      </c>
      <c r="B437" s="126">
        <v>24475</v>
      </c>
      <c r="C437" s="154">
        <f t="shared" si="112"/>
        <v>3215572</v>
      </c>
      <c r="D437" s="126">
        <v>496</v>
      </c>
      <c r="E437" s="126">
        <f t="shared" si="108"/>
        <v>68788</v>
      </c>
      <c r="F437" s="126">
        <f t="shared" si="125"/>
        <v>14977</v>
      </c>
      <c r="G437" s="154">
        <v>2869341</v>
      </c>
      <c r="H437" s="126">
        <v>5394</v>
      </c>
      <c r="I437" s="4">
        <v>82575</v>
      </c>
      <c r="J437" s="4">
        <f t="shared" si="126"/>
        <v>12066534</v>
      </c>
      <c r="K437" s="7">
        <v>19819</v>
      </c>
      <c r="L437" s="7">
        <v>6460852</v>
      </c>
      <c r="M437" s="7">
        <f t="shared" si="132"/>
        <v>6480671</v>
      </c>
      <c r="N437" s="295">
        <f t="shared" si="129"/>
        <v>0.42386090088841938</v>
      </c>
      <c r="O437" s="200">
        <f>AVERAGE(N431:N437)</f>
        <v>0.3436862946373222</v>
      </c>
      <c r="P437" s="200">
        <f t="shared" si="130"/>
        <v>0.42386090088841938</v>
      </c>
      <c r="Q437" s="4"/>
      <c r="R437" s="4">
        <f t="shared" si="127"/>
        <v>277443</v>
      </c>
      <c r="S437" s="39">
        <f t="shared" si="131"/>
        <v>19</v>
      </c>
      <c r="T437" s="91">
        <f t="shared" si="128"/>
        <v>9002</v>
      </c>
    </row>
    <row r="438" spans="1:20" x14ac:dyDescent="0.25">
      <c r="A438" s="107">
        <v>44329</v>
      </c>
      <c r="B438" s="126">
        <v>26531</v>
      </c>
      <c r="C438" s="154">
        <f t="shared" si="112"/>
        <v>3242103</v>
      </c>
      <c r="D438" s="126">
        <v>447</v>
      </c>
      <c r="E438" s="126">
        <f t="shared" si="108"/>
        <v>69235</v>
      </c>
      <c r="F438" s="126">
        <f t="shared" si="125"/>
        <v>22094</v>
      </c>
      <c r="G438" s="154">
        <v>2891435</v>
      </c>
      <c r="H438" s="126">
        <v>5420</v>
      </c>
      <c r="I438" s="4">
        <v>75714</v>
      </c>
      <c r="J438" s="4">
        <f t="shared" ref="J438:J481" si="133">J437+I438</f>
        <v>12142248</v>
      </c>
      <c r="K438" s="7">
        <v>19960</v>
      </c>
      <c r="L438" s="7">
        <v>6489454</v>
      </c>
      <c r="M438" s="7">
        <f t="shared" si="132"/>
        <v>6509414</v>
      </c>
      <c r="N438" s="295">
        <f t="shared" si="129"/>
        <v>0.48121814521248618</v>
      </c>
      <c r="O438" s="200">
        <f>AVERAGE(N432:N438)</f>
        <v>0.36327364926350647</v>
      </c>
      <c r="P438" s="200">
        <f t="shared" si="130"/>
        <v>0.48121814521248618</v>
      </c>
      <c r="Q438" s="4"/>
      <c r="R438" s="4">
        <f t="shared" ref="R438:R443" si="134">C438-E438-G438</f>
        <v>281433</v>
      </c>
      <c r="S438" s="39">
        <f t="shared" si="131"/>
        <v>26</v>
      </c>
      <c r="T438" s="91">
        <f t="shared" ref="T438:T443" si="135">(C438-G438-E438)-(C437-E437-G437)</f>
        <v>3990</v>
      </c>
    </row>
    <row r="439" spans="1:20" x14ac:dyDescent="0.25">
      <c r="A439" s="107">
        <v>44330</v>
      </c>
      <c r="B439" s="126">
        <v>27363</v>
      </c>
      <c r="C439" s="154">
        <f t="shared" si="112"/>
        <v>3269466</v>
      </c>
      <c r="D439" s="126">
        <v>601</v>
      </c>
      <c r="E439" s="126">
        <f t="shared" si="108"/>
        <v>69836</v>
      </c>
      <c r="F439" s="126">
        <f t="shared" si="125"/>
        <v>21709</v>
      </c>
      <c r="G439" s="154">
        <v>2913144</v>
      </c>
      <c r="H439" s="126">
        <v>5457</v>
      </c>
      <c r="I439" s="4">
        <v>82695</v>
      </c>
      <c r="J439" s="4">
        <f t="shared" si="133"/>
        <v>12224943</v>
      </c>
      <c r="K439" s="7"/>
      <c r="L439" s="7"/>
      <c r="M439" s="7"/>
      <c r="N439" s="295"/>
      <c r="O439" s="200"/>
      <c r="P439" s="200"/>
      <c r="Q439" s="4"/>
      <c r="R439" s="4">
        <f t="shared" si="134"/>
        <v>286486</v>
      </c>
      <c r="S439" s="39">
        <f t="shared" si="131"/>
        <v>37</v>
      </c>
      <c r="T439" s="91">
        <f t="shared" si="135"/>
        <v>5053</v>
      </c>
    </row>
    <row r="440" spans="1:20" x14ac:dyDescent="0.25">
      <c r="A440" s="107">
        <v>44331</v>
      </c>
      <c r="B440" s="126">
        <v>21469</v>
      </c>
      <c r="C440" s="154">
        <f t="shared" ref="C440:C481" si="136">C439+B440</f>
        <v>3290935</v>
      </c>
      <c r="D440" s="173">
        <v>400</v>
      </c>
      <c r="E440" s="126">
        <f t="shared" si="108"/>
        <v>70236</v>
      </c>
      <c r="F440" s="126">
        <f t="shared" si="125"/>
        <v>20802</v>
      </c>
      <c r="G440" s="154">
        <v>2933946</v>
      </c>
      <c r="H440" s="126">
        <v>5517</v>
      </c>
      <c r="I440" s="4">
        <v>106916</v>
      </c>
      <c r="J440" s="4">
        <f t="shared" si="133"/>
        <v>12331859</v>
      </c>
      <c r="K440" s="7"/>
      <c r="L440" s="7"/>
      <c r="M440" s="7"/>
      <c r="N440" s="295"/>
      <c r="O440" s="200"/>
      <c r="P440" s="200"/>
      <c r="Q440" s="4"/>
      <c r="R440" s="4">
        <f t="shared" si="134"/>
        <v>286753</v>
      </c>
      <c r="S440" s="39">
        <f t="shared" si="131"/>
        <v>60</v>
      </c>
      <c r="T440" s="91">
        <f t="shared" si="135"/>
        <v>267</v>
      </c>
    </row>
    <row r="441" spans="1:20" x14ac:dyDescent="0.25">
      <c r="A441" s="107">
        <v>44332</v>
      </c>
      <c r="B441" s="126">
        <v>16350</v>
      </c>
      <c r="C441" s="154">
        <f t="shared" si="136"/>
        <v>3307285</v>
      </c>
      <c r="D441" s="126">
        <v>269</v>
      </c>
      <c r="E441" s="126">
        <f t="shared" si="108"/>
        <v>70505</v>
      </c>
      <c r="F441" s="126">
        <f t="shared" si="125"/>
        <v>18653</v>
      </c>
      <c r="G441" s="154">
        <v>2952599</v>
      </c>
      <c r="H441" s="126">
        <v>5538</v>
      </c>
      <c r="I441" s="4">
        <v>67507</v>
      </c>
      <c r="J441" s="4">
        <f t="shared" si="133"/>
        <v>12399366</v>
      </c>
      <c r="K441" s="7">
        <v>20173</v>
      </c>
      <c r="L441" s="7">
        <v>6597997</v>
      </c>
      <c r="M441" s="7">
        <f t="shared" si="132"/>
        <v>6618170</v>
      </c>
      <c r="N441" s="295">
        <f>B441/(B441+(L441-L438))</f>
        <v>0.13091206072397973</v>
      </c>
      <c r="O441" s="200">
        <f>AVERAGE(N435:N441)</f>
        <v>0.41181890847120917</v>
      </c>
      <c r="P441" s="200">
        <f>B441/(B441+L441-L438)</f>
        <v>0.13091206072397973</v>
      </c>
      <c r="Q441" s="4"/>
      <c r="R441" s="4">
        <f t="shared" si="134"/>
        <v>284181</v>
      </c>
      <c r="S441" s="39">
        <f t="shared" si="131"/>
        <v>21</v>
      </c>
      <c r="T441" s="91">
        <f t="shared" si="135"/>
        <v>-2572</v>
      </c>
    </row>
    <row r="442" spans="1:20" x14ac:dyDescent="0.25">
      <c r="A442" s="107">
        <v>44333</v>
      </c>
      <c r="B442" s="126">
        <v>28680</v>
      </c>
      <c r="C442" s="154">
        <f t="shared" si="136"/>
        <v>3335965</v>
      </c>
      <c r="D442" s="126">
        <v>505</v>
      </c>
      <c r="E442" s="126">
        <f t="shared" si="108"/>
        <v>71010</v>
      </c>
      <c r="F442" s="126">
        <f t="shared" si="125"/>
        <v>20668</v>
      </c>
      <c r="G442" s="154">
        <v>2973267</v>
      </c>
      <c r="H442" s="126">
        <v>5690</v>
      </c>
      <c r="I442" s="4">
        <v>91456</v>
      </c>
      <c r="J442" s="4">
        <f t="shared" si="133"/>
        <v>12490822</v>
      </c>
      <c r="K442" s="7">
        <v>20312</v>
      </c>
      <c r="L442" s="7">
        <v>6630771</v>
      </c>
      <c r="M442" s="7">
        <f t="shared" si="132"/>
        <v>6651083</v>
      </c>
      <c r="N442" s="295">
        <f>B442/(B442+(L442-L441))</f>
        <v>0.46669053275620792</v>
      </c>
      <c r="O442" s="200">
        <f>AVERAGE(N436:N442)</f>
        <v>0.38124598629214496</v>
      </c>
      <c r="P442" s="200">
        <f>B442/(B442+L442-L441)</f>
        <v>0.46669053275620792</v>
      </c>
      <c r="Q442" s="4"/>
      <c r="R442" s="4">
        <f t="shared" si="134"/>
        <v>291688</v>
      </c>
      <c r="S442" s="39">
        <f t="shared" si="131"/>
        <v>152</v>
      </c>
      <c r="T442" s="91">
        <f t="shared" si="135"/>
        <v>7507</v>
      </c>
    </row>
    <row r="443" spans="1:20" x14ac:dyDescent="0.25">
      <c r="A443" s="107">
        <v>44334</v>
      </c>
      <c r="B443" s="126">
        <v>35543</v>
      </c>
      <c r="C443" s="154">
        <f t="shared" si="136"/>
        <v>3371508</v>
      </c>
      <c r="D443" s="126">
        <v>744</v>
      </c>
      <c r="E443" s="126">
        <f t="shared" si="108"/>
        <v>71754</v>
      </c>
      <c r="F443" s="126">
        <f t="shared" ref="F443:F462" si="137">G443-G442</f>
        <v>19058</v>
      </c>
      <c r="G443" s="154">
        <v>2992325</v>
      </c>
      <c r="H443" s="126">
        <v>5813</v>
      </c>
      <c r="I443" s="4">
        <v>111757</v>
      </c>
      <c r="J443" s="4">
        <f t="shared" si="133"/>
        <v>12602579</v>
      </c>
      <c r="K443" s="7">
        <v>20381</v>
      </c>
      <c r="L443" s="7">
        <v>6672285</v>
      </c>
      <c r="M443" s="7">
        <f t="shared" si="132"/>
        <v>6692666</v>
      </c>
      <c r="N443" s="295">
        <f>B443/(B443+(L443-L442))</f>
        <v>0.46125595338515646</v>
      </c>
      <c r="O443" s="200">
        <f>AVERAGE(N437:N443)</f>
        <v>0.3927875185932499</v>
      </c>
      <c r="P443" s="200">
        <f>B443/(B443+L443-L442)</f>
        <v>0.46125595338515646</v>
      </c>
      <c r="Q443" s="4"/>
      <c r="R443" s="4">
        <f t="shared" si="134"/>
        <v>307429</v>
      </c>
      <c r="S443" s="39">
        <f t="shared" ref="S443:S461" si="138">H443-H442</f>
        <v>123</v>
      </c>
      <c r="T443" s="91">
        <f t="shared" si="135"/>
        <v>15741</v>
      </c>
    </row>
    <row r="444" spans="1:20" x14ac:dyDescent="0.25">
      <c r="A444" s="107">
        <v>44335</v>
      </c>
      <c r="B444" s="126">
        <v>39652</v>
      </c>
      <c r="C444" s="154">
        <f t="shared" si="136"/>
        <v>3411160</v>
      </c>
      <c r="D444" s="126">
        <v>494</v>
      </c>
      <c r="E444" s="126">
        <f t="shared" si="108"/>
        <v>72248</v>
      </c>
      <c r="F444" s="126">
        <f t="shared" si="137"/>
        <v>16825</v>
      </c>
      <c r="G444" s="154">
        <v>3009150</v>
      </c>
      <c r="H444" s="126">
        <v>5877</v>
      </c>
      <c r="I444" s="4">
        <v>125578</v>
      </c>
      <c r="J444" s="4">
        <f t="shared" si="133"/>
        <v>12728157</v>
      </c>
      <c r="K444" s="7">
        <v>20584</v>
      </c>
      <c r="L444" s="7">
        <v>6718545</v>
      </c>
      <c r="M444" s="7">
        <f t="shared" si="132"/>
        <v>6739129</v>
      </c>
      <c r="N444" s="4"/>
      <c r="O444" s="4"/>
      <c r="P444" s="4"/>
      <c r="Q444" s="4"/>
      <c r="R444" s="4">
        <f t="shared" ref="R444:R464" si="139">C444-E444-G444</f>
        <v>329762</v>
      </c>
      <c r="S444" s="39">
        <f t="shared" si="138"/>
        <v>64</v>
      </c>
      <c r="T444" s="91">
        <f t="shared" ref="T444:T464" si="140">(C444-G444-E444)-(C443-E443-G443)</f>
        <v>22333</v>
      </c>
    </row>
    <row r="445" spans="1:20" x14ac:dyDescent="0.25">
      <c r="A445" s="107">
        <v>44336</v>
      </c>
      <c r="B445" s="126">
        <v>35884</v>
      </c>
      <c r="C445" s="154">
        <f t="shared" si="136"/>
        <v>3447044</v>
      </c>
      <c r="D445" s="126">
        <v>434</v>
      </c>
      <c r="E445" s="126">
        <f t="shared" si="108"/>
        <v>72682</v>
      </c>
      <c r="F445" s="126">
        <f t="shared" si="137"/>
        <v>25984</v>
      </c>
      <c r="G445" s="154">
        <v>3035134</v>
      </c>
      <c r="H445" s="126">
        <v>5951</v>
      </c>
      <c r="I445" s="4">
        <v>96691</v>
      </c>
      <c r="J445" s="4">
        <f t="shared" si="133"/>
        <v>12824848</v>
      </c>
      <c r="K445" s="7">
        <v>20773</v>
      </c>
      <c r="L445" s="7">
        <v>6753998</v>
      </c>
      <c r="M445" s="7">
        <f t="shared" si="132"/>
        <v>6774771</v>
      </c>
      <c r="N445" s="4"/>
      <c r="O445" s="4"/>
      <c r="P445" s="4"/>
      <c r="Q445" s="4"/>
      <c r="R445" s="4">
        <f t="shared" si="139"/>
        <v>339228</v>
      </c>
      <c r="S445" s="39">
        <f t="shared" si="138"/>
        <v>74</v>
      </c>
      <c r="T445" s="91">
        <f t="shared" si="140"/>
        <v>9466</v>
      </c>
    </row>
    <row r="446" spans="1:20" x14ac:dyDescent="0.25">
      <c r="A446" s="107">
        <v>44337</v>
      </c>
      <c r="B446" s="126">
        <v>35468</v>
      </c>
      <c r="C446" s="154">
        <f t="shared" si="136"/>
        <v>3482512</v>
      </c>
      <c r="D446" s="254">
        <v>695</v>
      </c>
      <c r="E446" s="126">
        <f t="shared" si="108"/>
        <v>73377</v>
      </c>
      <c r="F446" s="126">
        <f t="shared" si="137"/>
        <v>25011</v>
      </c>
      <c r="G446" s="154">
        <v>3060145</v>
      </c>
      <c r="H446" s="126">
        <v>6027</v>
      </c>
      <c r="I446" s="4">
        <v>99693</v>
      </c>
      <c r="J446" s="4">
        <f t="shared" si="133"/>
        <v>12924541</v>
      </c>
      <c r="K446" s="7">
        <v>20924</v>
      </c>
      <c r="L446" s="7">
        <v>6786207</v>
      </c>
      <c r="M446" s="7">
        <f t="shared" si="132"/>
        <v>6807131</v>
      </c>
      <c r="N446" s="4"/>
      <c r="O446" s="4"/>
      <c r="P446" s="4"/>
      <c r="Q446" s="4"/>
      <c r="R446" s="4">
        <f t="shared" si="139"/>
        <v>348990</v>
      </c>
      <c r="S446" s="39">
        <f t="shared" si="138"/>
        <v>76</v>
      </c>
      <c r="T446" s="91">
        <f t="shared" si="140"/>
        <v>9762</v>
      </c>
    </row>
    <row r="447" spans="1:20" x14ac:dyDescent="0.25">
      <c r="A447" s="107">
        <v>44338</v>
      </c>
      <c r="B447" s="126">
        <v>32171</v>
      </c>
      <c r="C447" s="154">
        <f t="shared" si="136"/>
        <v>3514683</v>
      </c>
      <c r="D447" s="126">
        <v>297</v>
      </c>
      <c r="E447" s="126">
        <f t="shared" si="108"/>
        <v>73674</v>
      </c>
      <c r="F447" s="126">
        <f t="shared" si="137"/>
        <v>23153</v>
      </c>
      <c r="G447" s="154">
        <v>3083298</v>
      </c>
      <c r="H447" s="126">
        <v>6138</v>
      </c>
      <c r="I447" s="4">
        <v>180387</v>
      </c>
      <c r="J447" s="4">
        <f t="shared" si="133"/>
        <v>13104928</v>
      </c>
      <c r="K447" s="7">
        <v>21001</v>
      </c>
      <c r="L447" s="7">
        <v>6861812</v>
      </c>
      <c r="M447" s="7">
        <f t="shared" si="132"/>
        <v>6882813</v>
      </c>
      <c r="N447" s="4"/>
      <c r="O447" s="4"/>
      <c r="P447" s="4"/>
      <c r="Q447" s="4"/>
      <c r="R447" s="4">
        <f t="shared" si="139"/>
        <v>357711</v>
      </c>
      <c r="S447" s="39">
        <f t="shared" si="138"/>
        <v>111</v>
      </c>
      <c r="T447" s="91">
        <f t="shared" si="140"/>
        <v>8721</v>
      </c>
    </row>
    <row r="448" spans="1:20" x14ac:dyDescent="0.25">
      <c r="A448" s="107">
        <v>44339</v>
      </c>
      <c r="B448" s="126">
        <v>24801</v>
      </c>
      <c r="C448" s="154">
        <f t="shared" si="136"/>
        <v>3539484</v>
      </c>
      <c r="D448" s="126">
        <v>375</v>
      </c>
      <c r="E448" s="126">
        <f t="shared" si="108"/>
        <v>74049</v>
      </c>
      <c r="F448" s="126">
        <f t="shared" si="137"/>
        <v>23651</v>
      </c>
      <c r="G448" s="154">
        <v>3106949</v>
      </c>
      <c r="H448" s="126">
        <v>6214</v>
      </c>
      <c r="I448" s="4">
        <v>82107</v>
      </c>
      <c r="J448" s="4">
        <f t="shared" si="133"/>
        <v>13187035</v>
      </c>
      <c r="K448" s="7">
        <v>21056</v>
      </c>
      <c r="L448" s="7">
        <v>6891105</v>
      </c>
      <c r="M448" s="7">
        <f t="shared" si="132"/>
        <v>6912161</v>
      </c>
      <c r="N448" s="4"/>
      <c r="O448" s="4"/>
      <c r="P448" s="4"/>
      <c r="Q448" s="4"/>
      <c r="R448" s="4">
        <f t="shared" si="139"/>
        <v>358486</v>
      </c>
      <c r="S448" s="39">
        <f t="shared" si="138"/>
        <v>76</v>
      </c>
      <c r="T448" s="91">
        <f t="shared" si="140"/>
        <v>775</v>
      </c>
    </row>
    <row r="449" spans="1:20" x14ac:dyDescent="0.25">
      <c r="A449" s="107">
        <v>44340</v>
      </c>
      <c r="B449" s="126">
        <v>22651</v>
      </c>
      <c r="C449" s="154">
        <f t="shared" si="136"/>
        <v>3562135</v>
      </c>
      <c r="D449" s="126">
        <v>417</v>
      </c>
      <c r="E449" s="126">
        <f t="shared" si="108"/>
        <v>74466</v>
      </c>
      <c r="F449" s="126">
        <f t="shared" si="137"/>
        <v>26234</v>
      </c>
      <c r="G449" s="154">
        <v>3133183</v>
      </c>
      <c r="H449" s="126">
        <v>6373</v>
      </c>
      <c r="I449" s="4">
        <v>69274</v>
      </c>
      <c r="J449" s="4">
        <f t="shared" si="133"/>
        <v>13256309</v>
      </c>
      <c r="K449" s="7">
        <v>21113</v>
      </c>
      <c r="L449" s="7">
        <v>6915317</v>
      </c>
      <c r="M449" s="7">
        <f t="shared" si="132"/>
        <v>6936430</v>
      </c>
      <c r="N449" s="4"/>
      <c r="O449" s="4"/>
      <c r="P449" s="4"/>
      <c r="Q449" s="4"/>
      <c r="R449" s="4">
        <f t="shared" si="139"/>
        <v>354486</v>
      </c>
      <c r="S449" s="39">
        <f t="shared" si="138"/>
        <v>159</v>
      </c>
      <c r="T449" s="91">
        <f t="shared" si="140"/>
        <v>-4000</v>
      </c>
    </row>
    <row r="450" spans="1:20" x14ac:dyDescent="0.25">
      <c r="A450" s="107">
        <v>44341</v>
      </c>
      <c r="B450" s="126">
        <v>24601</v>
      </c>
      <c r="C450" s="154">
        <f t="shared" si="136"/>
        <v>3586736</v>
      </c>
      <c r="D450" s="126">
        <v>575</v>
      </c>
      <c r="E450" s="126">
        <f t="shared" si="108"/>
        <v>75041</v>
      </c>
      <c r="F450" s="126">
        <f t="shared" si="137"/>
        <v>24477</v>
      </c>
      <c r="G450" s="154">
        <v>3157660</v>
      </c>
      <c r="H450" s="126">
        <v>6552</v>
      </c>
      <c r="I450" s="4">
        <v>86340</v>
      </c>
      <c r="J450" s="4">
        <f t="shared" si="133"/>
        <v>13342649</v>
      </c>
      <c r="K450" s="7">
        <v>21222</v>
      </c>
      <c r="L450" s="7">
        <v>6947118</v>
      </c>
      <c r="M450" s="7">
        <f t="shared" si="132"/>
        <v>6968340</v>
      </c>
      <c r="N450" s="4"/>
      <c r="O450" s="4"/>
      <c r="P450" s="4"/>
      <c r="Q450" s="4"/>
      <c r="R450" s="4">
        <f t="shared" si="139"/>
        <v>354035</v>
      </c>
      <c r="S450" s="39">
        <f t="shared" si="138"/>
        <v>179</v>
      </c>
      <c r="T450" s="91">
        <f t="shared" si="140"/>
        <v>-451</v>
      </c>
    </row>
    <row r="451" spans="1:20" x14ac:dyDescent="0.25">
      <c r="A451" s="107">
        <v>44342</v>
      </c>
      <c r="B451" s="126">
        <v>35399</v>
      </c>
      <c r="C451" s="154">
        <f t="shared" si="136"/>
        <v>3622135</v>
      </c>
      <c r="D451" s="254">
        <v>531</v>
      </c>
      <c r="E451" s="126">
        <f t="shared" si="108"/>
        <v>75572</v>
      </c>
      <c r="F451" s="126">
        <f t="shared" si="137"/>
        <v>23628</v>
      </c>
      <c r="G451" s="154">
        <v>3181288</v>
      </c>
      <c r="H451" s="126">
        <v>6644</v>
      </c>
      <c r="I451" s="4">
        <v>107881</v>
      </c>
      <c r="J451" s="4">
        <f t="shared" si="133"/>
        <v>13450530</v>
      </c>
      <c r="K451" s="7">
        <v>21364</v>
      </c>
      <c r="L451" s="7">
        <v>6982199</v>
      </c>
      <c r="M451" s="7">
        <f t="shared" si="132"/>
        <v>7003563</v>
      </c>
      <c r="N451" s="4"/>
      <c r="O451" s="4"/>
      <c r="P451" s="4"/>
      <c r="Q451" s="4"/>
      <c r="R451" s="4">
        <f t="shared" si="139"/>
        <v>365275</v>
      </c>
      <c r="S451" s="39">
        <f t="shared" si="138"/>
        <v>92</v>
      </c>
      <c r="T451" s="91">
        <f t="shared" si="140"/>
        <v>11240</v>
      </c>
    </row>
    <row r="452" spans="1:20" x14ac:dyDescent="0.25">
      <c r="A452" s="107">
        <v>44343</v>
      </c>
      <c r="B452" s="126">
        <v>41080</v>
      </c>
      <c r="C452" s="154">
        <f t="shared" si="136"/>
        <v>3663215</v>
      </c>
      <c r="D452" s="126">
        <v>548</v>
      </c>
      <c r="E452" s="126">
        <f t="shared" si="108"/>
        <v>76120</v>
      </c>
      <c r="F452" s="126">
        <f t="shared" si="137"/>
        <v>38186</v>
      </c>
      <c r="G452" s="154">
        <v>3219474</v>
      </c>
      <c r="H452" s="126">
        <v>6802</v>
      </c>
      <c r="I452" s="4">
        <v>121115</v>
      </c>
      <c r="J452" s="4">
        <f t="shared" si="133"/>
        <v>13571645</v>
      </c>
      <c r="K452" s="7">
        <v>21496</v>
      </c>
      <c r="L452" s="7">
        <v>7022310</v>
      </c>
      <c r="M452" s="7">
        <f t="shared" si="132"/>
        <v>7043806</v>
      </c>
      <c r="N452" s="4"/>
      <c r="O452" s="4"/>
      <c r="P452" s="4"/>
      <c r="Q452" s="4"/>
      <c r="R452" s="4">
        <f t="shared" si="139"/>
        <v>367621</v>
      </c>
      <c r="S452" s="39">
        <f t="shared" si="138"/>
        <v>158</v>
      </c>
      <c r="T452" s="91">
        <f t="shared" si="140"/>
        <v>2346</v>
      </c>
    </row>
    <row r="453" spans="1:20" x14ac:dyDescent="0.25">
      <c r="A453" s="109">
        <v>44344</v>
      </c>
      <c r="B453" s="133">
        <v>39207</v>
      </c>
      <c r="C453" s="155">
        <f t="shared" si="136"/>
        <v>3702422</v>
      </c>
      <c r="D453" s="133">
        <v>560</v>
      </c>
      <c r="E453" s="126">
        <f t="shared" ref="E453:E471" si="141">E452+D453</f>
        <v>76680</v>
      </c>
      <c r="F453" s="133">
        <f t="shared" si="137"/>
        <v>33369</v>
      </c>
      <c r="G453" s="155">
        <v>3252843</v>
      </c>
      <c r="H453" s="133">
        <v>6872</v>
      </c>
      <c r="I453" s="27">
        <v>110987</v>
      </c>
      <c r="J453" s="27">
        <f t="shared" si="133"/>
        <v>13682632</v>
      </c>
      <c r="K453" s="30">
        <v>21659</v>
      </c>
      <c r="L453" s="30">
        <v>7061012</v>
      </c>
      <c r="M453" s="30">
        <f t="shared" si="132"/>
        <v>7082671</v>
      </c>
      <c r="N453" s="27"/>
      <c r="O453" s="27"/>
      <c r="P453" s="27"/>
      <c r="Q453" s="27"/>
      <c r="R453" s="27">
        <f t="shared" si="139"/>
        <v>372899</v>
      </c>
      <c r="S453" s="67">
        <f t="shared" si="138"/>
        <v>70</v>
      </c>
      <c r="T453" s="121">
        <f t="shared" si="140"/>
        <v>5278</v>
      </c>
    </row>
    <row r="454" spans="1:20" x14ac:dyDescent="0.25">
      <c r="A454" s="107">
        <v>44345</v>
      </c>
      <c r="B454" s="126">
        <v>29841</v>
      </c>
      <c r="C454" s="154">
        <f t="shared" si="136"/>
        <v>3732263</v>
      </c>
      <c r="D454" s="126">
        <v>416</v>
      </c>
      <c r="E454" s="126">
        <f t="shared" si="141"/>
        <v>77096</v>
      </c>
      <c r="F454" s="126">
        <f t="shared" si="137"/>
        <v>35624</v>
      </c>
      <c r="G454" s="154">
        <v>3288467</v>
      </c>
      <c r="H454" s="126">
        <v>6909</v>
      </c>
      <c r="I454" s="4">
        <v>105569</v>
      </c>
      <c r="J454" s="4">
        <f t="shared" si="133"/>
        <v>13788201</v>
      </c>
      <c r="K454" s="7">
        <v>21713</v>
      </c>
      <c r="L454" s="7">
        <v>7101636</v>
      </c>
      <c r="M454" s="7">
        <f t="shared" si="132"/>
        <v>7123349</v>
      </c>
      <c r="N454" s="4"/>
      <c r="O454" s="4"/>
      <c r="P454" s="4"/>
      <c r="Q454" s="4"/>
      <c r="R454" s="4">
        <f t="shared" si="139"/>
        <v>366700</v>
      </c>
      <c r="S454" s="39">
        <f t="shared" si="138"/>
        <v>37</v>
      </c>
      <c r="T454" s="91">
        <f t="shared" si="140"/>
        <v>-6199</v>
      </c>
    </row>
    <row r="455" spans="1:20" x14ac:dyDescent="0.25">
      <c r="A455" s="107">
        <v>44346</v>
      </c>
      <c r="B455" s="126">
        <v>21346</v>
      </c>
      <c r="C455" s="154">
        <f t="shared" si="136"/>
        <v>3753609</v>
      </c>
      <c r="D455" s="126">
        <v>348</v>
      </c>
      <c r="E455" s="126">
        <f t="shared" si="141"/>
        <v>77444</v>
      </c>
      <c r="F455" s="126">
        <f t="shared" si="137"/>
        <v>30601</v>
      </c>
      <c r="G455" s="154">
        <v>3319068</v>
      </c>
      <c r="H455" s="126">
        <v>7200</v>
      </c>
      <c r="I455" s="4">
        <v>84421</v>
      </c>
      <c r="J455" s="4">
        <f t="shared" si="133"/>
        <v>13872622</v>
      </c>
      <c r="K455" s="7">
        <v>21812</v>
      </c>
      <c r="L455" s="7">
        <v>7135288</v>
      </c>
      <c r="M455" s="7">
        <f t="shared" si="132"/>
        <v>7157100</v>
      </c>
      <c r="N455" s="4"/>
      <c r="O455" s="4"/>
      <c r="P455" s="4"/>
      <c r="Q455" s="4"/>
      <c r="R455" s="4">
        <f t="shared" si="139"/>
        <v>357097</v>
      </c>
      <c r="S455" s="39">
        <f t="shared" si="138"/>
        <v>291</v>
      </c>
      <c r="T455" s="91">
        <f t="shared" si="140"/>
        <v>-9603</v>
      </c>
    </row>
    <row r="456" spans="1:20" x14ac:dyDescent="0.25">
      <c r="A456" s="107">
        <v>44347</v>
      </c>
      <c r="B456" s="126">
        <v>28175</v>
      </c>
      <c r="C456" s="154">
        <f t="shared" si="136"/>
        <v>3781784</v>
      </c>
      <c r="D456" s="126">
        <v>636</v>
      </c>
      <c r="E456" s="126">
        <f t="shared" si="141"/>
        <v>78080</v>
      </c>
      <c r="F456" s="126">
        <f t="shared" si="137"/>
        <v>31534</v>
      </c>
      <c r="G456" s="154">
        <v>3350602</v>
      </c>
      <c r="H456" s="126">
        <v>7325</v>
      </c>
      <c r="I456" s="4">
        <v>87048</v>
      </c>
      <c r="J456" s="4">
        <f t="shared" si="133"/>
        <v>13959670</v>
      </c>
      <c r="K456" s="7">
        <v>22012</v>
      </c>
      <c r="L456" s="7">
        <v>7164939</v>
      </c>
      <c r="M456" s="7">
        <f t="shared" si="132"/>
        <v>7186951</v>
      </c>
      <c r="N456" s="4"/>
      <c r="O456" s="4"/>
      <c r="P456" s="4"/>
      <c r="Q456" s="4"/>
      <c r="R456" s="4">
        <f t="shared" si="139"/>
        <v>353102</v>
      </c>
      <c r="S456" s="39">
        <f t="shared" si="138"/>
        <v>125</v>
      </c>
      <c r="T456" s="91">
        <f t="shared" si="140"/>
        <v>-3995</v>
      </c>
    </row>
    <row r="457" spans="1:20" x14ac:dyDescent="0.25">
      <c r="A457" s="107">
        <v>44348</v>
      </c>
      <c r="B457" s="126">
        <v>35355</v>
      </c>
      <c r="C457" s="154">
        <f t="shared" si="136"/>
        <v>3817139</v>
      </c>
      <c r="D457" s="126">
        <v>639</v>
      </c>
      <c r="E457" s="126">
        <f t="shared" si="141"/>
        <v>78719</v>
      </c>
      <c r="F457" s="126">
        <f t="shared" si="137"/>
        <v>30735</v>
      </c>
      <c r="G457" s="154">
        <v>3381337</v>
      </c>
      <c r="H457" s="126">
        <v>7417</v>
      </c>
      <c r="I457" s="4">
        <v>107697</v>
      </c>
      <c r="J457" s="4">
        <f t="shared" si="133"/>
        <v>14067367</v>
      </c>
      <c r="K457" s="7">
        <v>22160</v>
      </c>
      <c r="L457" s="7">
        <v>7203650</v>
      </c>
      <c r="M457" s="7">
        <f t="shared" si="132"/>
        <v>7225810</v>
      </c>
      <c r="N457" s="4"/>
      <c r="O457" s="4"/>
      <c r="P457" s="4"/>
      <c r="Q457" s="4"/>
      <c r="R457" s="4">
        <f t="shared" si="139"/>
        <v>357083</v>
      </c>
      <c r="S457" s="39">
        <f t="shared" si="138"/>
        <v>92</v>
      </c>
      <c r="T457" s="91">
        <f t="shared" si="140"/>
        <v>3981</v>
      </c>
    </row>
    <row r="458" spans="1:20" x14ac:dyDescent="0.25">
      <c r="A458" s="107">
        <v>44349</v>
      </c>
      <c r="B458" s="126">
        <v>35017</v>
      </c>
      <c r="C458" s="154">
        <f t="shared" si="136"/>
        <v>3852156</v>
      </c>
      <c r="D458" s="126">
        <v>587</v>
      </c>
      <c r="E458" s="126">
        <f t="shared" si="141"/>
        <v>79306</v>
      </c>
      <c r="F458" s="126">
        <f t="shared" si="137"/>
        <v>27979</v>
      </c>
      <c r="G458" s="154">
        <v>3409316</v>
      </c>
      <c r="H458" s="126">
        <v>7614</v>
      </c>
      <c r="I458" s="4">
        <v>110774</v>
      </c>
      <c r="J458" s="4">
        <f t="shared" si="133"/>
        <v>14178141</v>
      </c>
      <c r="K458" s="7">
        <v>22348</v>
      </c>
      <c r="L458" s="7">
        <v>7244756</v>
      </c>
      <c r="M458" s="7">
        <f t="shared" si="132"/>
        <v>7267104</v>
      </c>
      <c r="N458" s="4"/>
      <c r="O458" s="4"/>
      <c r="P458" s="4"/>
      <c r="Q458" s="4"/>
      <c r="R458" s="4">
        <f t="shared" si="139"/>
        <v>363534</v>
      </c>
      <c r="S458" s="39">
        <f t="shared" si="138"/>
        <v>197</v>
      </c>
      <c r="T458" s="91">
        <f t="shared" si="140"/>
        <v>6451</v>
      </c>
    </row>
    <row r="459" spans="1:20" x14ac:dyDescent="0.25">
      <c r="A459" s="107">
        <v>44350</v>
      </c>
      <c r="B459" s="126">
        <v>32291</v>
      </c>
      <c r="C459" s="154">
        <f t="shared" si="136"/>
        <v>3884447</v>
      </c>
      <c r="D459" s="126">
        <v>552</v>
      </c>
      <c r="E459" s="126">
        <f t="shared" si="141"/>
        <v>79858</v>
      </c>
      <c r="F459" s="126">
        <f t="shared" si="137"/>
        <v>29121</v>
      </c>
      <c r="G459" s="154">
        <v>3438437</v>
      </c>
      <c r="H459" s="126">
        <v>7698</v>
      </c>
      <c r="I459" s="4">
        <v>116372</v>
      </c>
      <c r="J459" s="4">
        <f t="shared" si="133"/>
        <v>14294513</v>
      </c>
      <c r="K459" s="7">
        <v>22558</v>
      </c>
      <c r="L459" s="7">
        <v>7288855</v>
      </c>
      <c r="M459" s="7">
        <f t="shared" si="132"/>
        <v>7311413</v>
      </c>
      <c r="N459" s="4"/>
      <c r="O459" s="4"/>
      <c r="P459" s="4"/>
      <c r="Q459" s="4"/>
      <c r="R459" s="4">
        <f t="shared" si="139"/>
        <v>366152</v>
      </c>
      <c r="S459" s="39">
        <f t="shared" si="138"/>
        <v>84</v>
      </c>
      <c r="T459" s="91">
        <f t="shared" si="140"/>
        <v>2618</v>
      </c>
    </row>
    <row r="460" spans="1:20" x14ac:dyDescent="0.25">
      <c r="A460" s="107">
        <v>44351</v>
      </c>
      <c r="B460" s="126">
        <v>30950</v>
      </c>
      <c r="C460" s="154">
        <f t="shared" si="136"/>
        <v>3915397</v>
      </c>
      <c r="D460" s="126">
        <v>539</v>
      </c>
      <c r="E460" s="126">
        <f t="shared" si="141"/>
        <v>80397</v>
      </c>
      <c r="F460" s="126">
        <f t="shared" si="137"/>
        <v>26700</v>
      </c>
      <c r="G460" s="154">
        <v>3465137</v>
      </c>
      <c r="H460" s="126">
        <v>7668</v>
      </c>
      <c r="I460" s="4">
        <v>105645</v>
      </c>
      <c r="J460" s="4">
        <f t="shared" si="133"/>
        <v>14400158</v>
      </c>
      <c r="K460" s="7"/>
      <c r="L460" s="7"/>
      <c r="M460" s="7"/>
      <c r="N460" s="4"/>
      <c r="O460" s="4"/>
      <c r="P460" s="4"/>
      <c r="Q460" s="4"/>
      <c r="R460" s="4">
        <f t="shared" si="139"/>
        <v>369863</v>
      </c>
      <c r="S460" s="39">
        <f t="shared" si="138"/>
        <v>-30</v>
      </c>
      <c r="T460" s="91">
        <f t="shared" si="140"/>
        <v>3711</v>
      </c>
    </row>
    <row r="461" spans="1:20" x14ac:dyDescent="0.25">
      <c r="A461" s="107">
        <v>44352</v>
      </c>
      <c r="B461" s="126">
        <v>23627</v>
      </c>
      <c r="C461" s="154">
        <f t="shared" si="136"/>
        <v>3939024</v>
      </c>
      <c r="D461" s="126">
        <v>455</v>
      </c>
      <c r="E461" s="126">
        <f t="shared" si="141"/>
        <v>80852</v>
      </c>
      <c r="F461" s="126">
        <f t="shared" si="137"/>
        <v>32363</v>
      </c>
      <c r="G461" s="154">
        <v>3497500</v>
      </c>
      <c r="H461" s="126">
        <v>7731</v>
      </c>
      <c r="I461" s="4">
        <v>96820</v>
      </c>
      <c r="J461" s="4">
        <f t="shared" si="133"/>
        <v>14496978</v>
      </c>
      <c r="K461" s="7">
        <v>22800</v>
      </c>
      <c r="L461" s="7">
        <v>7366666</v>
      </c>
      <c r="M461" s="7">
        <f t="shared" si="132"/>
        <v>7389466</v>
      </c>
      <c r="N461" s="4"/>
      <c r="O461" s="4"/>
      <c r="P461" s="4"/>
      <c r="Q461" s="4"/>
      <c r="R461" s="4">
        <f t="shared" si="139"/>
        <v>360672</v>
      </c>
      <c r="S461" s="39">
        <f t="shared" si="138"/>
        <v>63</v>
      </c>
      <c r="T461" s="91">
        <f t="shared" si="140"/>
        <v>-9191</v>
      </c>
    </row>
    <row r="462" spans="1:20" x14ac:dyDescent="0.25">
      <c r="A462" s="107">
        <v>44353</v>
      </c>
      <c r="B462" s="126">
        <v>16415</v>
      </c>
      <c r="C462" s="154">
        <f t="shared" si="136"/>
        <v>3955439</v>
      </c>
      <c r="D462" s="144">
        <v>347</v>
      </c>
      <c r="E462" s="126">
        <f t="shared" si="141"/>
        <v>81199</v>
      </c>
      <c r="F462" s="126">
        <f t="shared" si="137"/>
        <v>31533</v>
      </c>
      <c r="G462" s="154">
        <v>3529033</v>
      </c>
      <c r="H462" s="126">
        <v>7776</v>
      </c>
      <c r="I462" s="4">
        <v>66248</v>
      </c>
      <c r="J462" s="4">
        <f t="shared" si="133"/>
        <v>14563226</v>
      </c>
      <c r="K462" s="7">
        <v>22881</v>
      </c>
      <c r="L462" s="7">
        <v>7392568</v>
      </c>
      <c r="M462" s="7">
        <f t="shared" si="132"/>
        <v>7415449</v>
      </c>
      <c r="N462" s="4"/>
      <c r="O462" s="4"/>
      <c r="P462" s="4"/>
      <c r="Q462" s="4"/>
      <c r="R462" s="4">
        <f t="shared" si="139"/>
        <v>345207</v>
      </c>
      <c r="S462" s="39">
        <f t="shared" ref="S462:S472" si="142">H462-H461</f>
        <v>45</v>
      </c>
      <c r="T462" s="91">
        <f t="shared" si="140"/>
        <v>-15465</v>
      </c>
    </row>
    <row r="463" spans="1:20" x14ac:dyDescent="0.25">
      <c r="A463" s="107">
        <v>44354</v>
      </c>
      <c r="B463" s="126">
        <v>22195</v>
      </c>
      <c r="C463" s="154">
        <f t="shared" si="136"/>
        <v>3977634</v>
      </c>
      <c r="D463" s="491">
        <v>729</v>
      </c>
      <c r="E463" s="126">
        <f>E462+D463</f>
        <v>81928</v>
      </c>
      <c r="F463" s="126">
        <f t="shared" ref="F463:F478" si="143">G463-G462</f>
        <v>31115</v>
      </c>
      <c r="G463" s="154">
        <v>3560148</v>
      </c>
      <c r="H463" s="126">
        <v>7827</v>
      </c>
      <c r="I463" s="4">
        <v>76547</v>
      </c>
      <c r="J463" s="4">
        <f t="shared" si="133"/>
        <v>14639773</v>
      </c>
      <c r="K463" s="7">
        <v>23112</v>
      </c>
      <c r="L463" s="7">
        <v>7418691</v>
      </c>
      <c r="M463" s="7">
        <f t="shared" si="132"/>
        <v>7441803</v>
      </c>
      <c r="N463" s="4"/>
      <c r="O463" s="4"/>
      <c r="P463" s="4"/>
      <c r="Q463" s="4"/>
      <c r="R463" s="4">
        <f t="shared" si="139"/>
        <v>335558</v>
      </c>
      <c r="S463" s="39">
        <f t="shared" si="142"/>
        <v>51</v>
      </c>
      <c r="T463" s="91">
        <f t="shared" si="140"/>
        <v>-9649</v>
      </c>
    </row>
    <row r="464" spans="1:20" x14ac:dyDescent="0.25">
      <c r="A464" s="18">
        <v>44355</v>
      </c>
      <c r="B464" s="126">
        <v>31137</v>
      </c>
      <c r="C464" s="154">
        <f t="shared" si="136"/>
        <v>4008771</v>
      </c>
      <c r="D464" s="126">
        <v>721</v>
      </c>
      <c r="E464" s="126">
        <f t="shared" si="141"/>
        <v>82649</v>
      </c>
      <c r="F464" s="126">
        <f t="shared" si="143"/>
        <v>23663</v>
      </c>
      <c r="G464" s="154">
        <v>3583811</v>
      </c>
      <c r="H464" s="126">
        <v>7794</v>
      </c>
      <c r="I464" s="4">
        <v>82667</v>
      </c>
      <c r="J464" s="4">
        <f t="shared" si="133"/>
        <v>14722440</v>
      </c>
      <c r="K464" s="7">
        <v>23212</v>
      </c>
      <c r="L464" s="7">
        <v>7459643</v>
      </c>
      <c r="M464" s="7">
        <f t="shared" si="132"/>
        <v>7482855</v>
      </c>
      <c r="N464" s="4"/>
      <c r="O464" s="4"/>
      <c r="P464" s="4"/>
      <c r="Q464" s="4"/>
      <c r="R464" s="4">
        <f t="shared" si="139"/>
        <v>342311</v>
      </c>
      <c r="S464" s="39">
        <f t="shared" si="142"/>
        <v>-33</v>
      </c>
      <c r="T464" s="91">
        <f t="shared" si="140"/>
        <v>6753</v>
      </c>
    </row>
    <row r="465" spans="1:20" x14ac:dyDescent="0.25">
      <c r="A465" s="18">
        <v>44356</v>
      </c>
      <c r="B465" s="126">
        <v>29757</v>
      </c>
      <c r="C465" s="154">
        <f t="shared" si="136"/>
        <v>4038528</v>
      </c>
      <c r="D465" s="126">
        <v>607</v>
      </c>
      <c r="E465" s="126">
        <f t="shared" si="141"/>
        <v>83256</v>
      </c>
      <c r="F465" s="126">
        <f t="shared" si="143"/>
        <v>25084</v>
      </c>
      <c r="G465" s="154">
        <v>3608895</v>
      </c>
      <c r="H465" s="126">
        <v>7769</v>
      </c>
      <c r="I465" s="4">
        <v>109496</v>
      </c>
      <c r="J465" s="4">
        <f t="shared" si="133"/>
        <v>14831936</v>
      </c>
      <c r="K465" s="7">
        <v>23494</v>
      </c>
      <c r="L465" s="7">
        <v>7501854</v>
      </c>
      <c r="M465" s="7">
        <f t="shared" si="132"/>
        <v>7525348</v>
      </c>
      <c r="N465" s="4"/>
      <c r="O465" s="4"/>
      <c r="P465" s="4"/>
      <c r="Q465" s="4"/>
      <c r="R465" s="4">
        <f t="shared" ref="R465:R472" si="144">C465-E465-G465</f>
        <v>346377</v>
      </c>
      <c r="S465" s="39">
        <f t="shared" si="142"/>
        <v>-25</v>
      </c>
      <c r="T465" s="91">
        <f t="shared" ref="T465:T472" si="145">(C465-G465-E465)-(C464-E464-G464)</f>
        <v>4066</v>
      </c>
    </row>
    <row r="466" spans="1:20" x14ac:dyDescent="0.25">
      <c r="A466" s="18">
        <v>44357</v>
      </c>
      <c r="B466" s="126">
        <v>27628</v>
      </c>
      <c r="C466" s="154">
        <f t="shared" si="136"/>
        <v>4066156</v>
      </c>
      <c r="D466" s="126">
        <v>668</v>
      </c>
      <c r="E466" s="126">
        <f t="shared" si="141"/>
        <v>83924</v>
      </c>
      <c r="F466" s="126">
        <f t="shared" si="143"/>
        <v>30507</v>
      </c>
      <c r="G466" s="154">
        <v>3639402</v>
      </c>
      <c r="H466" s="126">
        <v>7817</v>
      </c>
      <c r="I466" s="4">
        <v>101907</v>
      </c>
      <c r="J466" s="4">
        <f t="shared" si="133"/>
        <v>14933843</v>
      </c>
      <c r="K466" s="7">
        <v>23630</v>
      </c>
      <c r="L466" s="7">
        <v>7540718</v>
      </c>
      <c r="M466" s="7">
        <f t="shared" si="132"/>
        <v>7564348</v>
      </c>
      <c r="N466" s="4"/>
      <c r="O466" s="4"/>
      <c r="P466" s="4"/>
      <c r="Q466" s="4"/>
      <c r="R466" s="4">
        <f t="shared" si="144"/>
        <v>342830</v>
      </c>
      <c r="S466" s="39">
        <f t="shared" si="142"/>
        <v>48</v>
      </c>
      <c r="T466" s="91">
        <f t="shared" si="145"/>
        <v>-3547</v>
      </c>
    </row>
    <row r="467" spans="1:20" x14ac:dyDescent="0.25">
      <c r="A467" s="18">
        <v>44358</v>
      </c>
      <c r="B467" s="126">
        <v>26934</v>
      </c>
      <c r="C467" s="154">
        <f t="shared" si="136"/>
        <v>4093090</v>
      </c>
      <c r="D467" s="126">
        <v>689</v>
      </c>
      <c r="E467" s="126">
        <f t="shared" si="141"/>
        <v>84613</v>
      </c>
      <c r="F467" s="126">
        <f t="shared" si="143"/>
        <v>29270</v>
      </c>
      <c r="G467" s="154">
        <v>3668672</v>
      </c>
      <c r="H467" s="126">
        <v>7839</v>
      </c>
      <c r="I467" s="4">
        <v>103875</v>
      </c>
      <c r="J467" s="4">
        <f t="shared" si="133"/>
        <v>15037718</v>
      </c>
      <c r="K467" s="7">
        <v>23794</v>
      </c>
      <c r="L467" s="7">
        <v>7583151</v>
      </c>
      <c r="M467" s="7">
        <f t="shared" si="132"/>
        <v>7606945</v>
      </c>
      <c r="N467" s="4"/>
      <c r="O467" s="4"/>
      <c r="P467" s="4"/>
      <c r="Q467" s="4"/>
      <c r="R467" s="4">
        <f t="shared" si="144"/>
        <v>339805</v>
      </c>
      <c r="S467" s="39">
        <f t="shared" si="142"/>
        <v>22</v>
      </c>
      <c r="T467" s="91">
        <f t="shared" si="145"/>
        <v>-3025</v>
      </c>
    </row>
    <row r="468" spans="1:20" x14ac:dyDescent="0.25">
      <c r="A468" s="18">
        <v>44359</v>
      </c>
      <c r="B468" s="126">
        <v>18057</v>
      </c>
      <c r="C468" s="154">
        <f t="shared" si="136"/>
        <v>4111147</v>
      </c>
      <c r="D468" s="126">
        <v>446</v>
      </c>
      <c r="E468" s="126">
        <f t="shared" si="141"/>
        <v>85059</v>
      </c>
      <c r="F468" s="126">
        <f t="shared" si="143"/>
        <v>26616</v>
      </c>
      <c r="G468" s="154">
        <v>3695288</v>
      </c>
      <c r="H468" s="126">
        <v>7895</v>
      </c>
      <c r="I468" s="4">
        <v>85178</v>
      </c>
      <c r="J468" s="4">
        <f t="shared" si="133"/>
        <v>15122896</v>
      </c>
      <c r="K468" s="7">
        <v>23843</v>
      </c>
      <c r="L468" s="7">
        <v>7620835</v>
      </c>
      <c r="M468" s="7">
        <f t="shared" si="132"/>
        <v>7644678</v>
      </c>
      <c r="N468" s="4"/>
      <c r="O468" s="4"/>
      <c r="P468" s="4"/>
      <c r="Q468" s="4"/>
      <c r="R468" s="4">
        <f t="shared" si="144"/>
        <v>330800</v>
      </c>
      <c r="S468" s="39">
        <f t="shared" si="142"/>
        <v>56</v>
      </c>
      <c r="T468" s="91">
        <f t="shared" si="145"/>
        <v>-9005</v>
      </c>
    </row>
    <row r="469" spans="1:20" x14ac:dyDescent="0.25">
      <c r="A469" s="18">
        <v>44360</v>
      </c>
      <c r="B469" s="126">
        <v>13043</v>
      </c>
      <c r="C469" s="154">
        <f t="shared" si="136"/>
        <v>4124190</v>
      </c>
      <c r="D469" s="126">
        <v>268</v>
      </c>
      <c r="E469" s="126">
        <f t="shared" si="141"/>
        <v>85327</v>
      </c>
      <c r="F469" s="126">
        <f t="shared" si="143"/>
        <v>26062</v>
      </c>
      <c r="G469" s="154">
        <v>3721350</v>
      </c>
      <c r="H469" s="126">
        <v>7910</v>
      </c>
      <c r="I469" s="4">
        <v>62751</v>
      </c>
      <c r="J469" s="4">
        <f t="shared" si="133"/>
        <v>15185647</v>
      </c>
      <c r="K469" s="7">
        <v>23951</v>
      </c>
      <c r="L469" s="7">
        <v>7646563</v>
      </c>
      <c r="M469" s="7">
        <f t="shared" si="132"/>
        <v>7670514</v>
      </c>
      <c r="N469" s="4"/>
      <c r="O469" s="4"/>
      <c r="P469" s="4"/>
      <c r="Q469" s="4"/>
      <c r="R469" s="4">
        <f t="shared" si="144"/>
        <v>317513</v>
      </c>
      <c r="S469" s="39">
        <f t="shared" si="142"/>
        <v>15</v>
      </c>
      <c r="T469" s="91">
        <f t="shared" si="145"/>
        <v>-13287</v>
      </c>
    </row>
    <row r="470" spans="1:20" x14ac:dyDescent="0.25">
      <c r="A470" s="18">
        <v>44361</v>
      </c>
      <c r="B470" s="126">
        <v>21292</v>
      </c>
      <c r="C470" s="154">
        <f t="shared" si="136"/>
        <v>4145482</v>
      </c>
      <c r="D470" s="126">
        <v>685</v>
      </c>
      <c r="E470" s="126">
        <f t="shared" si="141"/>
        <v>86012</v>
      </c>
      <c r="F470" s="126">
        <f t="shared" si="143"/>
        <v>27444</v>
      </c>
      <c r="G470" s="154">
        <v>3748794</v>
      </c>
      <c r="H470" s="126">
        <v>7969</v>
      </c>
      <c r="I470" s="4">
        <v>73370</v>
      </c>
      <c r="J470" s="4">
        <f t="shared" si="133"/>
        <v>15259017</v>
      </c>
      <c r="K470" s="7">
        <v>24131</v>
      </c>
      <c r="L470" s="7">
        <v>7671351</v>
      </c>
      <c r="M470" s="7">
        <f t="shared" si="132"/>
        <v>7695482</v>
      </c>
      <c r="N470" s="4"/>
      <c r="O470" s="4"/>
      <c r="P470" s="4"/>
      <c r="Q470" s="4"/>
      <c r="R470" s="4">
        <f t="shared" si="144"/>
        <v>310676</v>
      </c>
      <c r="S470" s="39">
        <f t="shared" si="142"/>
        <v>59</v>
      </c>
      <c r="T470" s="91">
        <f t="shared" si="145"/>
        <v>-6837</v>
      </c>
    </row>
    <row r="471" spans="1:20" x14ac:dyDescent="0.25">
      <c r="A471" s="18">
        <v>44362</v>
      </c>
      <c r="B471" s="126">
        <v>27260</v>
      </c>
      <c r="C471" s="154">
        <f t="shared" si="136"/>
        <v>4172742</v>
      </c>
      <c r="D471" s="126">
        <v>589</v>
      </c>
      <c r="E471" s="126">
        <f t="shared" si="141"/>
        <v>86601</v>
      </c>
      <c r="F471" s="126">
        <f t="shared" si="143"/>
        <v>23174</v>
      </c>
      <c r="G471" s="154">
        <v>3771968</v>
      </c>
      <c r="H471" s="126">
        <v>7890</v>
      </c>
      <c r="I471" s="4">
        <v>107272</v>
      </c>
      <c r="J471" s="4">
        <f t="shared" si="133"/>
        <v>15366289</v>
      </c>
      <c r="K471" s="7">
        <v>24380</v>
      </c>
      <c r="L471" s="7">
        <v>7711462</v>
      </c>
      <c r="M471" s="7">
        <f t="shared" si="132"/>
        <v>7735842</v>
      </c>
      <c r="N471" s="4"/>
      <c r="O471" s="4"/>
      <c r="P471" s="4"/>
      <c r="Q471" s="4"/>
      <c r="R471" s="4">
        <f t="shared" si="144"/>
        <v>314173</v>
      </c>
      <c r="S471" s="39">
        <f t="shared" si="142"/>
        <v>-79</v>
      </c>
      <c r="T471" s="91">
        <f t="shared" si="145"/>
        <v>3497</v>
      </c>
    </row>
    <row r="472" spans="1:20" x14ac:dyDescent="0.25">
      <c r="A472" s="18">
        <v>44363</v>
      </c>
      <c r="B472" s="126">
        <v>25878</v>
      </c>
      <c r="C472" s="154">
        <f t="shared" si="136"/>
        <v>4198620</v>
      </c>
      <c r="D472" s="254">
        <v>646</v>
      </c>
      <c r="E472" s="126">
        <f t="shared" ref="E472:E482" si="146">E471+D472</f>
        <v>87247</v>
      </c>
      <c r="F472" s="126">
        <f t="shared" si="143"/>
        <v>20011</v>
      </c>
      <c r="G472" s="154">
        <v>3791979</v>
      </c>
      <c r="H472" s="126">
        <v>7664</v>
      </c>
      <c r="I472" s="4">
        <v>118717</v>
      </c>
      <c r="J472" s="4">
        <f t="shared" si="133"/>
        <v>15485006</v>
      </c>
      <c r="K472" s="7">
        <v>24597</v>
      </c>
      <c r="L472" s="7">
        <v>7757776</v>
      </c>
      <c r="M472" s="7">
        <f t="shared" si="132"/>
        <v>7782373</v>
      </c>
      <c r="N472" s="4"/>
      <c r="O472" s="4"/>
      <c r="P472" s="4"/>
      <c r="Q472" s="4"/>
      <c r="R472" s="4">
        <f t="shared" si="144"/>
        <v>319394</v>
      </c>
      <c r="S472" s="39">
        <f t="shared" si="142"/>
        <v>-226</v>
      </c>
      <c r="T472" s="91">
        <f t="shared" si="145"/>
        <v>5221</v>
      </c>
    </row>
    <row r="473" spans="1:20" x14ac:dyDescent="0.25">
      <c r="A473" s="18">
        <v>44364</v>
      </c>
      <c r="B473" s="126">
        <v>23780</v>
      </c>
      <c r="C473" s="154">
        <f t="shared" si="136"/>
        <v>4222400</v>
      </c>
      <c r="D473" s="126">
        <v>529</v>
      </c>
      <c r="E473" s="126">
        <f t="shared" si="146"/>
        <v>87776</v>
      </c>
      <c r="F473" s="126">
        <f t="shared" si="143"/>
        <v>26367</v>
      </c>
      <c r="G473" s="154">
        <v>3818346</v>
      </c>
      <c r="H473" s="126">
        <v>7520</v>
      </c>
      <c r="I473" s="4">
        <v>98946</v>
      </c>
      <c r="J473" s="4">
        <f t="shared" si="133"/>
        <v>15583952</v>
      </c>
      <c r="K473" s="7"/>
      <c r="L473" s="7"/>
      <c r="M473" s="7"/>
      <c r="N473" s="4"/>
      <c r="O473" s="4"/>
      <c r="P473" s="4"/>
      <c r="Q473" s="4"/>
      <c r="R473" s="4">
        <f t="shared" ref="R473:R479" si="147">C473-E473-G473</f>
        <v>316278</v>
      </c>
      <c r="S473" s="39">
        <f t="shared" ref="S473:S498" si="148">H473-H472</f>
        <v>-144</v>
      </c>
      <c r="T473" s="91">
        <f t="shared" ref="T473:T482" si="149">(C473-G473-E473)-(C472-E472-G472)</f>
        <v>-3116</v>
      </c>
    </row>
    <row r="474" spans="1:20" x14ac:dyDescent="0.25">
      <c r="A474" s="18">
        <v>44365</v>
      </c>
      <c r="B474" s="126">
        <v>20363</v>
      </c>
      <c r="C474" s="154">
        <f t="shared" si="136"/>
        <v>4242763</v>
      </c>
      <c r="D474" s="126">
        <v>464</v>
      </c>
      <c r="E474" s="126">
        <f t="shared" si="146"/>
        <v>88240</v>
      </c>
      <c r="F474" s="126">
        <f t="shared" si="143"/>
        <v>25983</v>
      </c>
      <c r="G474" s="154">
        <v>3844329</v>
      </c>
      <c r="H474" s="126">
        <v>7467</v>
      </c>
      <c r="I474" s="4">
        <v>100268</v>
      </c>
      <c r="J474" s="4">
        <f t="shared" si="133"/>
        <v>15684220</v>
      </c>
      <c r="K474" s="7">
        <v>24913</v>
      </c>
      <c r="L474" s="7">
        <v>7821242</v>
      </c>
      <c r="M474" s="7">
        <f t="shared" si="132"/>
        <v>7846155</v>
      </c>
      <c r="N474" s="4"/>
      <c r="O474" s="4"/>
      <c r="P474" s="4"/>
      <c r="Q474" s="4"/>
      <c r="R474" s="4">
        <f t="shared" si="147"/>
        <v>310194</v>
      </c>
      <c r="S474" s="39">
        <f t="shared" si="148"/>
        <v>-53</v>
      </c>
      <c r="T474" s="91">
        <f t="shared" si="149"/>
        <v>-6084</v>
      </c>
    </row>
    <row r="475" spans="1:20" x14ac:dyDescent="0.25">
      <c r="A475" s="18">
        <v>44366</v>
      </c>
      <c r="B475" s="126">
        <v>15631</v>
      </c>
      <c r="C475" s="154">
        <f t="shared" si="136"/>
        <v>4258394</v>
      </c>
      <c r="D475" s="126">
        <v>495</v>
      </c>
      <c r="E475" s="126">
        <f t="shared" si="146"/>
        <v>88735</v>
      </c>
      <c r="F475" s="126">
        <f t="shared" si="143"/>
        <v>23776</v>
      </c>
      <c r="G475" s="154">
        <v>3868105</v>
      </c>
      <c r="H475" s="126">
        <v>7386</v>
      </c>
      <c r="I475" s="4">
        <v>77104</v>
      </c>
      <c r="J475" s="4">
        <f t="shared" si="133"/>
        <v>15761324</v>
      </c>
      <c r="K475" s="7">
        <v>25262</v>
      </c>
      <c r="L475" s="7">
        <v>7866323</v>
      </c>
      <c r="M475" s="7">
        <f t="shared" si="132"/>
        <v>7891585</v>
      </c>
      <c r="N475" s="4"/>
      <c r="O475" s="4"/>
      <c r="P475" s="4"/>
      <c r="Q475" s="4"/>
      <c r="R475" s="4">
        <f t="shared" si="147"/>
        <v>301554</v>
      </c>
      <c r="S475" s="39">
        <f t="shared" si="148"/>
        <v>-81</v>
      </c>
      <c r="T475" s="91">
        <f t="shared" si="149"/>
        <v>-8640</v>
      </c>
    </row>
    <row r="476" spans="1:20" x14ac:dyDescent="0.25">
      <c r="A476" s="18">
        <v>44367</v>
      </c>
      <c r="B476" s="126">
        <v>10395</v>
      </c>
      <c r="C476" s="154">
        <f t="shared" si="136"/>
        <v>4268789</v>
      </c>
      <c r="D476" s="126">
        <v>301</v>
      </c>
      <c r="E476" s="126">
        <f t="shared" si="146"/>
        <v>89036</v>
      </c>
      <c r="F476" s="126">
        <f t="shared" si="143"/>
        <v>22108</v>
      </c>
      <c r="G476" s="154">
        <v>3890213</v>
      </c>
      <c r="H476" s="126">
        <v>7366</v>
      </c>
      <c r="I476" s="4">
        <v>49306</v>
      </c>
      <c r="J476" s="4">
        <f t="shared" si="133"/>
        <v>15810630</v>
      </c>
      <c r="K476" s="7">
        <v>25277</v>
      </c>
      <c r="L476" s="7">
        <v>7885967</v>
      </c>
      <c r="M476" s="7">
        <f t="shared" si="132"/>
        <v>7911244</v>
      </c>
      <c r="N476" s="4"/>
      <c r="O476" s="4"/>
      <c r="P476" s="4"/>
      <c r="Q476" s="4"/>
      <c r="R476" s="4">
        <f t="shared" si="147"/>
        <v>289540</v>
      </c>
      <c r="S476" s="39">
        <f t="shared" si="148"/>
        <v>-20</v>
      </c>
      <c r="T476" s="91">
        <f t="shared" si="149"/>
        <v>-12014</v>
      </c>
    </row>
    <row r="477" spans="1:20" x14ac:dyDescent="0.25">
      <c r="A477" s="18">
        <v>44368</v>
      </c>
      <c r="B477" s="126">
        <v>8606</v>
      </c>
      <c r="C477" s="154">
        <f t="shared" si="136"/>
        <v>4277395</v>
      </c>
      <c r="D477" s="126">
        <v>448</v>
      </c>
      <c r="E477" s="126">
        <f t="shared" si="146"/>
        <v>89484</v>
      </c>
      <c r="F477" s="126">
        <f t="shared" si="143"/>
        <v>20622</v>
      </c>
      <c r="G477" s="154">
        <v>3910835</v>
      </c>
      <c r="H477" s="126">
        <v>7345</v>
      </c>
      <c r="I477" s="4">
        <v>39764</v>
      </c>
      <c r="J477" s="4">
        <f t="shared" si="133"/>
        <v>15850394</v>
      </c>
      <c r="K477" s="7">
        <v>25341</v>
      </c>
      <c r="L477" s="7">
        <v>7900572</v>
      </c>
      <c r="M477" s="7">
        <f t="shared" si="132"/>
        <v>7925913</v>
      </c>
      <c r="N477" s="4"/>
      <c r="O477" s="4"/>
      <c r="P477" s="4"/>
      <c r="Q477" s="4"/>
      <c r="R477" s="4">
        <f t="shared" si="147"/>
        <v>277076</v>
      </c>
      <c r="S477" s="39">
        <f t="shared" si="148"/>
        <v>-21</v>
      </c>
      <c r="T477" s="91">
        <f t="shared" si="149"/>
        <v>-12464</v>
      </c>
    </row>
    <row r="478" spans="1:20" x14ac:dyDescent="0.25">
      <c r="A478" s="18">
        <v>44369</v>
      </c>
      <c r="B478" s="126">
        <v>21387</v>
      </c>
      <c r="C478" s="154">
        <f t="shared" si="136"/>
        <v>4298782</v>
      </c>
      <c r="D478" s="254">
        <v>783</v>
      </c>
      <c r="E478" s="126">
        <f t="shared" si="146"/>
        <v>90267</v>
      </c>
      <c r="F478" s="126">
        <f t="shared" si="143"/>
        <v>17554</v>
      </c>
      <c r="G478" s="154">
        <v>3928389</v>
      </c>
      <c r="H478" s="126">
        <v>7326</v>
      </c>
      <c r="I478" s="4">
        <v>75162</v>
      </c>
      <c r="J478" s="4">
        <f t="shared" si="133"/>
        <v>15925556</v>
      </c>
      <c r="K478" s="7">
        <v>25618</v>
      </c>
      <c r="L478" s="7">
        <v>7926086</v>
      </c>
      <c r="M478" s="7">
        <f t="shared" si="132"/>
        <v>7951704</v>
      </c>
      <c r="N478" s="4"/>
      <c r="O478" s="4"/>
      <c r="P478" s="4"/>
      <c r="Q478" s="4"/>
      <c r="R478" s="290">
        <f t="shared" si="147"/>
        <v>280126</v>
      </c>
      <c r="S478" s="39">
        <f t="shared" si="148"/>
        <v>-19</v>
      </c>
      <c r="T478" s="91">
        <f t="shared" si="149"/>
        <v>3050</v>
      </c>
    </row>
    <row r="479" spans="1:20" x14ac:dyDescent="0.25">
      <c r="A479" s="18">
        <v>44370</v>
      </c>
      <c r="B479" s="126">
        <v>27319</v>
      </c>
      <c r="C479" s="154">
        <f t="shared" si="136"/>
        <v>4326101</v>
      </c>
      <c r="D479" s="126">
        <v>706</v>
      </c>
      <c r="E479" s="126">
        <f t="shared" si="146"/>
        <v>90973</v>
      </c>
      <c r="F479" s="126">
        <f>G479-G478</f>
        <v>15934</v>
      </c>
      <c r="G479" s="154">
        <v>3944323</v>
      </c>
      <c r="H479" s="126">
        <v>7241</v>
      </c>
      <c r="I479" s="4">
        <v>115714</v>
      </c>
      <c r="J479" s="4">
        <f t="shared" si="133"/>
        <v>16041270</v>
      </c>
      <c r="K479" s="7">
        <v>25951</v>
      </c>
      <c r="L479" s="7">
        <v>7968595</v>
      </c>
      <c r="M479" s="7">
        <f t="shared" si="132"/>
        <v>7994546</v>
      </c>
      <c r="N479" s="4"/>
      <c r="O479" s="4"/>
      <c r="P479" s="4"/>
      <c r="Q479" s="4"/>
      <c r="R479" s="4">
        <f t="shared" si="147"/>
        <v>290805</v>
      </c>
      <c r="S479" s="39">
        <f t="shared" si="148"/>
        <v>-85</v>
      </c>
      <c r="T479" s="91">
        <f t="shared" si="149"/>
        <v>10679</v>
      </c>
    </row>
    <row r="480" spans="1:20" x14ac:dyDescent="0.25">
      <c r="A480" s="18">
        <v>44371</v>
      </c>
      <c r="B480" s="126">
        <v>24463</v>
      </c>
      <c r="C480" s="154">
        <f t="shared" si="136"/>
        <v>4350564</v>
      </c>
      <c r="D480" s="126">
        <v>452</v>
      </c>
      <c r="E480" s="126">
        <f t="shared" si="146"/>
        <v>91425</v>
      </c>
      <c r="F480" s="126">
        <f>G480-G479</f>
        <v>23310</v>
      </c>
      <c r="G480" s="154">
        <v>3967633</v>
      </c>
      <c r="H480" s="126">
        <v>7199</v>
      </c>
      <c r="I480" s="4">
        <v>108349</v>
      </c>
      <c r="J480" s="4">
        <f t="shared" si="133"/>
        <v>16149619</v>
      </c>
      <c r="K480" s="7">
        <v>26296</v>
      </c>
      <c r="L480" s="7">
        <v>8009111</v>
      </c>
      <c r="M480" s="7">
        <f t="shared" si="132"/>
        <v>8035407</v>
      </c>
      <c r="N480" s="4"/>
      <c r="O480" s="4"/>
      <c r="P480" s="4"/>
      <c r="Q480" s="4"/>
      <c r="R480" s="290">
        <f t="shared" ref="R480:R488" si="150">C480-E480-G480</f>
        <v>291506</v>
      </c>
      <c r="S480" s="39">
        <f t="shared" si="148"/>
        <v>-42</v>
      </c>
      <c r="T480" s="91">
        <f t="shared" si="149"/>
        <v>701</v>
      </c>
    </row>
    <row r="481" spans="1:20" x14ac:dyDescent="0.25">
      <c r="A481" s="18">
        <v>44372</v>
      </c>
      <c r="B481" s="126">
        <v>24023</v>
      </c>
      <c r="C481" s="154">
        <f t="shared" si="136"/>
        <v>4374587</v>
      </c>
      <c r="D481" s="491">
        <v>521</v>
      </c>
      <c r="E481" s="126">
        <f t="shared" si="146"/>
        <v>91946</v>
      </c>
      <c r="F481" s="126">
        <f>G481-G480</f>
        <v>22656</v>
      </c>
      <c r="G481" s="154">
        <v>3990289</v>
      </c>
      <c r="H481" s="126">
        <v>7057</v>
      </c>
      <c r="I481" s="4">
        <v>96037</v>
      </c>
      <c r="J481" s="4">
        <f t="shared" si="133"/>
        <v>16245656</v>
      </c>
      <c r="K481" s="7">
        <v>26550</v>
      </c>
      <c r="L481" s="7">
        <v>8043230</v>
      </c>
      <c r="M481" s="7">
        <f t="shared" si="132"/>
        <v>8069780</v>
      </c>
      <c r="N481" s="4"/>
      <c r="O481" s="4"/>
      <c r="P481" s="4"/>
      <c r="Q481" s="4"/>
      <c r="R481" s="290">
        <f t="shared" si="150"/>
        <v>292352</v>
      </c>
      <c r="S481" s="39">
        <f t="shared" si="148"/>
        <v>-142</v>
      </c>
      <c r="T481" s="91">
        <f t="shared" si="149"/>
        <v>846</v>
      </c>
    </row>
    <row r="482" spans="1:20" x14ac:dyDescent="0.25">
      <c r="A482" s="18">
        <v>44373</v>
      </c>
      <c r="B482" s="126">
        <v>18555</v>
      </c>
      <c r="C482" s="154">
        <f t="shared" ref="C482:C502" si="151">C481+B482</f>
        <v>4393142</v>
      </c>
      <c r="D482" s="635">
        <v>332</v>
      </c>
      <c r="E482" s="126">
        <f t="shared" si="146"/>
        <v>92278</v>
      </c>
      <c r="F482" s="126">
        <f>G482-G481</f>
        <v>20057</v>
      </c>
      <c r="G482" s="154">
        <v>4010346</v>
      </c>
      <c r="H482" s="126">
        <v>6981.6666666666697</v>
      </c>
      <c r="I482" s="4">
        <v>92529</v>
      </c>
      <c r="J482" s="4">
        <f t="shared" ref="J482:J509" si="152">J481+I482</f>
        <v>16338185</v>
      </c>
      <c r="K482" s="7">
        <v>26860</v>
      </c>
      <c r="L482" s="7">
        <v>8081062</v>
      </c>
      <c r="M482" s="7">
        <f t="shared" si="132"/>
        <v>8107922</v>
      </c>
      <c r="N482" s="4"/>
      <c r="O482" s="4"/>
      <c r="P482" s="4"/>
      <c r="Q482" s="4"/>
      <c r="R482" s="290">
        <f t="shared" si="150"/>
        <v>290518</v>
      </c>
      <c r="S482" s="39">
        <f t="shared" si="148"/>
        <v>-75.333333333330302</v>
      </c>
      <c r="T482" s="91">
        <f t="shared" si="149"/>
        <v>-1834</v>
      </c>
    </row>
    <row r="483" spans="1:20" x14ac:dyDescent="0.25">
      <c r="A483" s="18">
        <v>44374</v>
      </c>
      <c r="B483" s="126">
        <v>12105</v>
      </c>
      <c r="C483" s="154">
        <f t="shared" si="151"/>
        <v>4405247</v>
      </c>
      <c r="D483" s="126">
        <v>251</v>
      </c>
      <c r="E483" s="126">
        <f t="shared" ref="E483:E488" si="153">E482+D483</f>
        <v>92529</v>
      </c>
      <c r="F483" s="126">
        <f t="shared" ref="F483:F492" si="154">G483-G482</f>
        <v>17164</v>
      </c>
      <c r="G483" s="154">
        <v>4027510</v>
      </c>
      <c r="H483" s="126">
        <v>6953</v>
      </c>
      <c r="I483" s="4">
        <v>60331</v>
      </c>
      <c r="J483" s="4">
        <f t="shared" si="152"/>
        <v>16398516</v>
      </c>
      <c r="K483" s="7">
        <v>26993</v>
      </c>
      <c r="L483" s="7">
        <v>8105685</v>
      </c>
      <c r="M483" s="7">
        <f t="shared" si="132"/>
        <v>8132678</v>
      </c>
      <c r="N483" s="4"/>
      <c r="O483" s="4"/>
      <c r="P483" s="4"/>
      <c r="Q483" s="4"/>
      <c r="R483" s="290">
        <f t="shared" si="150"/>
        <v>285208</v>
      </c>
      <c r="S483" s="39">
        <f t="shared" si="148"/>
        <v>-28.666666666669698</v>
      </c>
      <c r="T483" s="91">
        <f t="shared" ref="T483:T488" si="155">(C483-G483-E483)-(C482-E482-G482)</f>
        <v>-5310</v>
      </c>
    </row>
    <row r="484" spans="1:20" x14ac:dyDescent="0.25">
      <c r="A484" s="18">
        <v>44375</v>
      </c>
      <c r="B484" s="126">
        <v>18389</v>
      </c>
      <c r="C484" s="154">
        <f t="shared" si="151"/>
        <v>4423636</v>
      </c>
      <c r="D484" s="645">
        <v>566</v>
      </c>
      <c r="E484" s="126">
        <f t="shared" si="153"/>
        <v>93095</v>
      </c>
      <c r="F484" s="126">
        <f t="shared" si="154"/>
        <v>18798</v>
      </c>
      <c r="G484" s="154">
        <v>4046308</v>
      </c>
      <c r="H484" s="126">
        <v>6869</v>
      </c>
      <c r="I484" s="4">
        <v>74540</v>
      </c>
      <c r="J484" s="4">
        <f t="shared" si="152"/>
        <v>16473056</v>
      </c>
      <c r="K484" s="7">
        <v>27319</v>
      </c>
      <c r="L484" s="7">
        <v>8146358</v>
      </c>
      <c r="M484" s="7">
        <f t="shared" si="132"/>
        <v>8173677</v>
      </c>
      <c r="N484" s="4"/>
      <c r="O484" s="4"/>
      <c r="P484" s="4"/>
      <c r="Q484" s="4"/>
      <c r="R484" s="290">
        <f t="shared" si="150"/>
        <v>284233</v>
      </c>
      <c r="S484" s="39">
        <f t="shared" si="148"/>
        <v>-84</v>
      </c>
      <c r="T484" s="91">
        <f t="shared" si="155"/>
        <v>-975</v>
      </c>
    </row>
    <row r="485" spans="1:20" x14ac:dyDescent="0.25">
      <c r="A485" s="18">
        <v>44376</v>
      </c>
      <c r="B485" s="126">
        <v>24065</v>
      </c>
      <c r="C485" s="154">
        <f t="shared" si="151"/>
        <v>4447701</v>
      </c>
      <c r="D485" s="126">
        <v>526</v>
      </c>
      <c r="E485" s="126">
        <f t="shared" si="153"/>
        <v>93621</v>
      </c>
      <c r="F485" s="126">
        <f t="shared" si="154"/>
        <v>15937</v>
      </c>
      <c r="G485" s="154">
        <v>4062245</v>
      </c>
      <c r="H485" s="126">
        <v>6636</v>
      </c>
      <c r="I485" s="4">
        <v>91307</v>
      </c>
      <c r="J485" s="4">
        <f t="shared" si="152"/>
        <v>16564363</v>
      </c>
      <c r="K485" s="7"/>
      <c r="L485" s="7"/>
      <c r="M485" s="7"/>
      <c r="N485" s="4"/>
      <c r="O485" s="4"/>
      <c r="P485" s="4"/>
      <c r="Q485" s="4"/>
      <c r="R485" s="290">
        <f t="shared" si="150"/>
        <v>291835</v>
      </c>
      <c r="S485" s="39">
        <f t="shared" si="148"/>
        <v>-233</v>
      </c>
      <c r="T485" s="91">
        <f t="shared" si="155"/>
        <v>7602</v>
      </c>
    </row>
    <row r="486" spans="1:20" x14ac:dyDescent="0.25">
      <c r="A486" s="18">
        <v>44377</v>
      </c>
      <c r="B486" s="126">
        <v>22673</v>
      </c>
      <c r="C486" s="154">
        <f t="shared" si="151"/>
        <v>4470374</v>
      </c>
      <c r="D486" s="126">
        <v>638</v>
      </c>
      <c r="E486" s="126">
        <f t="shared" si="153"/>
        <v>94259</v>
      </c>
      <c r="F486" s="126">
        <f t="shared" si="154"/>
        <v>14676</v>
      </c>
      <c r="G486" s="154">
        <v>4076921</v>
      </c>
      <c r="H486" s="126">
        <v>6308</v>
      </c>
      <c r="I486" s="4">
        <v>101508</v>
      </c>
      <c r="J486" s="4">
        <f t="shared" si="152"/>
        <v>16665871</v>
      </c>
      <c r="K486" s="7">
        <v>27481</v>
      </c>
      <c r="L486" s="7">
        <v>8199508</v>
      </c>
      <c r="M486" s="7">
        <f t="shared" si="132"/>
        <v>8226989</v>
      </c>
      <c r="N486" s="4"/>
      <c r="O486" s="4"/>
      <c r="P486" s="4"/>
      <c r="Q486" s="4"/>
      <c r="R486" s="290">
        <f t="shared" si="150"/>
        <v>299194</v>
      </c>
      <c r="S486" s="39">
        <f t="shared" si="148"/>
        <v>-328</v>
      </c>
      <c r="T486" s="91">
        <f t="shared" si="155"/>
        <v>7359</v>
      </c>
    </row>
    <row r="487" spans="1:20" x14ac:dyDescent="0.25">
      <c r="A487" s="18">
        <v>44378</v>
      </c>
      <c r="B487" s="126">
        <v>21177</v>
      </c>
      <c r="C487" s="154">
        <f t="shared" si="151"/>
        <v>4491551</v>
      </c>
      <c r="D487" s="126">
        <v>469</v>
      </c>
      <c r="E487" s="126">
        <f t="shared" si="153"/>
        <v>94728</v>
      </c>
      <c r="F487" s="126">
        <f t="shared" si="154"/>
        <v>15132</v>
      </c>
      <c r="G487" s="154">
        <v>4092053</v>
      </c>
      <c r="H487" s="126">
        <v>6046</v>
      </c>
      <c r="I487" s="4">
        <v>103136</v>
      </c>
      <c r="J487" s="4">
        <f t="shared" si="152"/>
        <v>16769007</v>
      </c>
      <c r="K487" s="7">
        <v>27698</v>
      </c>
      <c r="L487" s="7">
        <v>8239786</v>
      </c>
      <c r="M487" s="7">
        <f t="shared" si="132"/>
        <v>8267484</v>
      </c>
      <c r="N487" s="4"/>
      <c r="O487" s="4"/>
      <c r="P487" s="4"/>
      <c r="Q487" s="4"/>
      <c r="R487" s="290">
        <f t="shared" si="150"/>
        <v>304770</v>
      </c>
      <c r="S487" s="39">
        <f t="shared" si="148"/>
        <v>-262</v>
      </c>
      <c r="T487" s="91">
        <f t="shared" si="155"/>
        <v>5576</v>
      </c>
    </row>
    <row r="488" spans="1:20" x14ac:dyDescent="0.25">
      <c r="A488" s="18">
        <v>44379</v>
      </c>
      <c r="B488" s="126">
        <v>20888</v>
      </c>
      <c r="C488" s="154">
        <f t="shared" si="151"/>
        <v>4512439</v>
      </c>
      <c r="D488" s="147">
        <v>612</v>
      </c>
      <c r="E488" s="126">
        <f t="shared" si="153"/>
        <v>95340</v>
      </c>
      <c r="F488" s="126">
        <f t="shared" si="154"/>
        <v>22043</v>
      </c>
      <c r="G488" s="154">
        <v>4114096</v>
      </c>
      <c r="H488" s="126">
        <v>5784</v>
      </c>
      <c r="I488" s="4">
        <v>98036</v>
      </c>
      <c r="J488" s="4">
        <f t="shared" si="152"/>
        <v>16867043</v>
      </c>
      <c r="K488" s="7">
        <v>27913</v>
      </c>
      <c r="L488" s="7">
        <v>8276897</v>
      </c>
      <c r="M488" s="7">
        <f t="shared" si="132"/>
        <v>8304810</v>
      </c>
      <c r="N488" s="4"/>
      <c r="O488" s="4"/>
      <c r="P488" s="4"/>
      <c r="Q488" s="4"/>
      <c r="R488" s="290">
        <f t="shared" si="150"/>
        <v>303003</v>
      </c>
      <c r="S488" s="39">
        <f t="shared" si="148"/>
        <v>-262</v>
      </c>
      <c r="T488" s="91">
        <f t="shared" si="155"/>
        <v>-1767</v>
      </c>
    </row>
    <row r="489" spans="1:20" x14ac:dyDescent="0.25">
      <c r="A489" s="18">
        <v>44380</v>
      </c>
      <c r="B489" s="126">
        <v>14034</v>
      </c>
      <c r="C489" s="154">
        <f t="shared" si="151"/>
        <v>4526473</v>
      </c>
      <c r="D489" s="126">
        <v>215</v>
      </c>
      <c r="E489" s="126">
        <f t="shared" ref="E489:E498" si="156">E488+D489</f>
        <v>95555</v>
      </c>
      <c r="F489" s="126">
        <f t="shared" si="154"/>
        <v>22728</v>
      </c>
      <c r="G489" s="154">
        <v>4136824</v>
      </c>
      <c r="H489" s="126">
        <v>5667</v>
      </c>
      <c r="I489" s="4">
        <v>86265</v>
      </c>
      <c r="J489" s="4">
        <f t="shared" si="152"/>
        <v>16953308</v>
      </c>
      <c r="K489" s="7"/>
      <c r="L489" s="7"/>
      <c r="M489" s="4"/>
      <c r="N489" s="4"/>
      <c r="O489" s="4"/>
      <c r="P489" s="4"/>
      <c r="Q489" s="4"/>
      <c r="R489" s="290">
        <f t="shared" ref="R489:R498" si="157">C489-E489-G489</f>
        <v>294094</v>
      </c>
      <c r="S489" s="39">
        <f t="shared" si="148"/>
        <v>-117</v>
      </c>
      <c r="T489" s="91">
        <f t="shared" ref="T489:T498" si="158">(C489-G489-E489)-(C488-E488-G488)</f>
        <v>-8909</v>
      </c>
    </row>
    <row r="490" spans="1:20" x14ac:dyDescent="0.25">
      <c r="A490" s="333">
        <v>44381</v>
      </c>
      <c r="B490" s="133">
        <v>9000</v>
      </c>
      <c r="C490" s="155">
        <f t="shared" si="151"/>
        <v>4535473</v>
      </c>
      <c r="D490" s="133">
        <v>310</v>
      </c>
      <c r="E490" s="133">
        <f t="shared" si="156"/>
        <v>95865</v>
      </c>
      <c r="F490" s="133">
        <f t="shared" si="154"/>
        <v>19182</v>
      </c>
      <c r="G490" s="155">
        <v>4156006</v>
      </c>
      <c r="H490" s="133">
        <v>5671</v>
      </c>
      <c r="I490" s="27">
        <v>46779</v>
      </c>
      <c r="J490" s="27">
        <f t="shared" si="152"/>
        <v>17000087</v>
      </c>
      <c r="K490" s="30">
        <v>28220</v>
      </c>
      <c r="L490" s="30">
        <v>8333923</v>
      </c>
      <c r="M490" s="30">
        <f t="shared" si="132"/>
        <v>8362143</v>
      </c>
      <c r="N490" s="27"/>
      <c r="O490" s="27"/>
      <c r="P490" s="27"/>
      <c r="Q490" s="27"/>
      <c r="R490" s="594">
        <f t="shared" si="157"/>
        <v>283602</v>
      </c>
      <c r="S490" s="67">
        <f t="shared" si="148"/>
        <v>4</v>
      </c>
      <c r="T490" s="121">
        <f t="shared" si="158"/>
        <v>-10492</v>
      </c>
    </row>
    <row r="491" spans="1:20" x14ac:dyDescent="0.25">
      <c r="A491" s="595">
        <v>44382</v>
      </c>
      <c r="B491" s="141">
        <v>17277</v>
      </c>
      <c r="C491" s="156">
        <f t="shared" si="151"/>
        <v>4552750</v>
      </c>
      <c r="D491" s="141">
        <v>621</v>
      </c>
      <c r="E491" s="141">
        <f t="shared" si="156"/>
        <v>96486</v>
      </c>
      <c r="F491" s="141">
        <f t="shared" si="154"/>
        <v>19850</v>
      </c>
      <c r="G491" s="596">
        <v>4175856</v>
      </c>
      <c r="H491" s="141">
        <v>5607</v>
      </c>
      <c r="I491" s="597">
        <v>73339</v>
      </c>
      <c r="J491" s="597">
        <f t="shared" si="152"/>
        <v>17073426</v>
      </c>
      <c r="K491" s="581">
        <v>28418</v>
      </c>
      <c r="L491" s="581">
        <v>8358830</v>
      </c>
      <c r="M491" s="597">
        <f t="shared" si="132"/>
        <v>8387248</v>
      </c>
      <c r="N491" s="597"/>
      <c r="O491" s="597"/>
      <c r="P491" s="597"/>
      <c r="Q491" s="597"/>
      <c r="R491" s="598">
        <f t="shared" si="157"/>
        <v>280408</v>
      </c>
      <c r="S491" s="575">
        <f t="shared" si="148"/>
        <v>-64</v>
      </c>
      <c r="T491" s="599">
        <f t="shared" si="158"/>
        <v>-3194</v>
      </c>
    </row>
    <row r="492" spans="1:20" x14ac:dyDescent="0.25">
      <c r="A492" s="595">
        <v>44383</v>
      </c>
      <c r="B492" s="141">
        <v>21590</v>
      </c>
      <c r="C492" s="156">
        <f t="shared" si="151"/>
        <v>4574340</v>
      </c>
      <c r="D492" s="141">
        <v>469</v>
      </c>
      <c r="E492" s="141">
        <f t="shared" si="156"/>
        <v>96955</v>
      </c>
      <c r="F492" s="141">
        <f t="shared" si="154"/>
        <v>16690</v>
      </c>
      <c r="G492" s="156">
        <v>4192546</v>
      </c>
      <c r="H492" s="141">
        <v>5642</v>
      </c>
      <c r="I492" s="597">
        <v>88431</v>
      </c>
      <c r="J492" s="597">
        <f t="shared" si="152"/>
        <v>17161857</v>
      </c>
      <c r="K492" s="581">
        <v>28604</v>
      </c>
      <c r="L492" s="581">
        <v>8391464</v>
      </c>
      <c r="M492" s="597">
        <f t="shared" si="132"/>
        <v>8420068</v>
      </c>
      <c r="N492" s="597"/>
      <c r="O492" s="597"/>
      <c r="P492" s="597"/>
      <c r="Q492" s="597"/>
      <c r="R492" s="598">
        <f t="shared" si="157"/>
        <v>284839</v>
      </c>
      <c r="S492" s="575">
        <f t="shared" si="148"/>
        <v>35</v>
      </c>
      <c r="T492" s="599">
        <f t="shared" si="158"/>
        <v>4431</v>
      </c>
    </row>
    <row r="493" spans="1:20" x14ac:dyDescent="0.25">
      <c r="A493" s="638">
        <v>44384</v>
      </c>
      <c r="B493" s="142">
        <v>19423</v>
      </c>
      <c r="C493" s="157">
        <f t="shared" si="151"/>
        <v>4593763</v>
      </c>
      <c r="D493" s="142">
        <v>457</v>
      </c>
      <c r="E493" s="142">
        <f t="shared" si="156"/>
        <v>97412</v>
      </c>
      <c r="F493" s="142">
        <f t="shared" ref="F493:F499" si="159">G493-G492</f>
        <v>13932</v>
      </c>
      <c r="G493" s="157">
        <v>4206478</v>
      </c>
      <c r="H493" s="142">
        <v>5546</v>
      </c>
      <c r="I493" s="639">
        <v>117227</v>
      </c>
      <c r="J493" s="639">
        <f t="shared" si="152"/>
        <v>17279084</v>
      </c>
      <c r="K493" s="640">
        <v>28800</v>
      </c>
      <c r="L493" s="640">
        <v>8439248</v>
      </c>
      <c r="M493" s="639">
        <f t="shared" si="132"/>
        <v>8468048</v>
      </c>
      <c r="N493" s="639"/>
      <c r="O493" s="639"/>
      <c r="P493" s="639"/>
      <c r="Q493" s="639"/>
      <c r="R493" s="641">
        <f t="shared" si="157"/>
        <v>289873</v>
      </c>
      <c r="S493" s="642">
        <f t="shared" si="148"/>
        <v>-96</v>
      </c>
      <c r="T493" s="643">
        <f t="shared" si="158"/>
        <v>5034</v>
      </c>
    </row>
    <row r="494" spans="1:20" x14ac:dyDescent="0.25">
      <c r="A494" s="18">
        <v>44385</v>
      </c>
      <c r="B494" s="126">
        <v>19256</v>
      </c>
      <c r="C494" s="154">
        <f t="shared" si="151"/>
        <v>4613019</v>
      </c>
      <c r="D494" s="126">
        <v>466</v>
      </c>
      <c r="E494" s="126">
        <f t="shared" si="156"/>
        <v>97878</v>
      </c>
      <c r="F494" s="126">
        <f t="shared" si="159"/>
        <v>20216</v>
      </c>
      <c r="G494" s="154">
        <v>4226694</v>
      </c>
      <c r="H494" s="126">
        <v>5443</v>
      </c>
      <c r="I494" s="4">
        <v>108240</v>
      </c>
      <c r="J494" s="4">
        <f t="shared" si="152"/>
        <v>17387324</v>
      </c>
      <c r="K494" s="7">
        <v>29055</v>
      </c>
      <c r="L494" s="7">
        <v>8485019</v>
      </c>
      <c r="M494" s="4">
        <f t="shared" si="132"/>
        <v>8514074</v>
      </c>
      <c r="N494" s="4"/>
      <c r="O494" s="4"/>
      <c r="P494" s="4"/>
      <c r="Q494" s="4"/>
      <c r="R494" s="290">
        <f t="shared" si="157"/>
        <v>288447</v>
      </c>
      <c r="S494" s="39">
        <f t="shared" si="148"/>
        <v>-103</v>
      </c>
      <c r="T494" s="91">
        <f t="shared" si="158"/>
        <v>-1426</v>
      </c>
    </row>
    <row r="495" spans="1:20" x14ac:dyDescent="0.25">
      <c r="A495" s="18">
        <v>44386</v>
      </c>
      <c r="B495" s="126">
        <v>14518</v>
      </c>
      <c r="C495" s="154">
        <f t="shared" si="151"/>
        <v>4627537</v>
      </c>
      <c r="D495" s="126">
        <v>244</v>
      </c>
      <c r="E495" s="126">
        <f t="shared" si="156"/>
        <v>98122</v>
      </c>
      <c r="F495" s="126">
        <f t="shared" si="159"/>
        <v>19506</v>
      </c>
      <c r="G495" s="154">
        <v>4246200</v>
      </c>
      <c r="H495" s="126">
        <v>5405</v>
      </c>
      <c r="I495" s="4">
        <v>86132</v>
      </c>
      <c r="J495" s="4">
        <f t="shared" si="152"/>
        <v>17473456</v>
      </c>
      <c r="K495" s="7"/>
      <c r="L495" s="7"/>
      <c r="M495" s="4"/>
      <c r="N495" s="4"/>
      <c r="O495" s="4"/>
      <c r="P495" s="4"/>
      <c r="Q495" s="4"/>
      <c r="R495" s="290">
        <f t="shared" si="157"/>
        <v>283215</v>
      </c>
      <c r="S495" s="39">
        <f t="shared" si="148"/>
        <v>-38</v>
      </c>
      <c r="T495" s="91">
        <f t="shared" si="158"/>
        <v>-5232</v>
      </c>
    </row>
    <row r="496" spans="1:20" x14ac:dyDescent="0.25">
      <c r="A496" s="18">
        <v>44387</v>
      </c>
      <c r="B496" s="126">
        <v>11561</v>
      </c>
      <c r="C496" s="154">
        <f t="shared" si="151"/>
        <v>4639098</v>
      </c>
      <c r="D496" s="126">
        <v>354</v>
      </c>
      <c r="E496" s="126">
        <f t="shared" si="156"/>
        <v>98476</v>
      </c>
      <c r="F496" s="126">
        <f t="shared" si="159"/>
        <v>18737</v>
      </c>
      <c r="G496" s="154">
        <v>4264937</v>
      </c>
      <c r="H496" s="126">
        <v>5427</v>
      </c>
      <c r="I496" s="4">
        <v>69862</v>
      </c>
      <c r="J496" s="4">
        <f t="shared" si="152"/>
        <v>17543318</v>
      </c>
      <c r="K496" s="7"/>
      <c r="L496" s="7"/>
      <c r="M496" s="4"/>
      <c r="N496" s="4"/>
      <c r="O496" s="4"/>
      <c r="P496" s="4"/>
      <c r="Q496" s="4"/>
      <c r="R496" s="290">
        <f t="shared" si="157"/>
        <v>275685</v>
      </c>
      <c r="S496" s="39">
        <f t="shared" si="148"/>
        <v>22</v>
      </c>
      <c r="T496" s="91">
        <f t="shared" si="158"/>
        <v>-7530</v>
      </c>
    </row>
    <row r="497" spans="1:20" x14ac:dyDescent="0.25">
      <c r="A497" s="18">
        <v>44388</v>
      </c>
      <c r="B497" s="126">
        <v>8850</v>
      </c>
      <c r="C497" s="154">
        <f t="shared" si="151"/>
        <v>4647948</v>
      </c>
      <c r="D497" s="126">
        <v>281</v>
      </c>
      <c r="E497" s="126">
        <f t="shared" si="156"/>
        <v>98757</v>
      </c>
      <c r="F497" s="126">
        <f t="shared" si="159"/>
        <v>17967</v>
      </c>
      <c r="G497" s="154">
        <v>4282904</v>
      </c>
      <c r="H497" s="126">
        <v>5349</v>
      </c>
      <c r="I497" s="4">
        <v>50134</v>
      </c>
      <c r="J497" s="4">
        <f t="shared" si="152"/>
        <v>17593452</v>
      </c>
      <c r="K497" s="7"/>
      <c r="L497" s="7"/>
      <c r="M497" s="4"/>
      <c r="N497" s="4"/>
      <c r="O497" s="4"/>
      <c r="P497" s="4"/>
      <c r="Q497" s="4"/>
      <c r="R497" s="290">
        <f t="shared" si="157"/>
        <v>266287</v>
      </c>
      <c r="S497" s="39">
        <f t="shared" si="148"/>
        <v>-78</v>
      </c>
      <c r="T497" s="91">
        <f t="shared" si="158"/>
        <v>-9398</v>
      </c>
    </row>
    <row r="498" spans="1:20" x14ac:dyDescent="0.25">
      <c r="A498" s="18">
        <v>44389</v>
      </c>
      <c r="B498" s="126">
        <v>14989</v>
      </c>
      <c r="C498" s="154">
        <f t="shared" si="151"/>
        <v>4662937</v>
      </c>
      <c r="D498" s="254">
        <v>461</v>
      </c>
      <c r="E498" s="126">
        <f t="shared" si="156"/>
        <v>99218</v>
      </c>
      <c r="F498" s="126">
        <f t="shared" si="159"/>
        <v>17919</v>
      </c>
      <c r="G498" s="154">
        <v>4300823</v>
      </c>
      <c r="H498" s="126">
        <v>5222</v>
      </c>
      <c r="I498" s="4">
        <v>75927</v>
      </c>
      <c r="J498" s="4">
        <f t="shared" si="152"/>
        <v>17669379</v>
      </c>
      <c r="K498" s="7">
        <v>29685</v>
      </c>
      <c r="L498" s="7">
        <v>8600214</v>
      </c>
      <c r="M498" s="4">
        <f t="shared" ref="M498:M512" si="160">L498+K498</f>
        <v>8629899</v>
      </c>
      <c r="N498" s="4"/>
      <c r="O498" s="4"/>
      <c r="P498" s="4"/>
      <c r="Q498" s="4"/>
      <c r="R498" s="290">
        <f t="shared" si="157"/>
        <v>262896</v>
      </c>
      <c r="S498" s="39">
        <f t="shared" si="148"/>
        <v>-127</v>
      </c>
      <c r="T498" s="91">
        <f t="shared" si="158"/>
        <v>-3391</v>
      </c>
    </row>
    <row r="499" spans="1:20" x14ac:dyDescent="0.25">
      <c r="A499" s="18">
        <v>44390</v>
      </c>
      <c r="B499" s="126">
        <v>20023</v>
      </c>
      <c r="C499" s="154">
        <f t="shared" si="151"/>
        <v>4682960</v>
      </c>
      <c r="D499" s="126">
        <v>387</v>
      </c>
      <c r="E499" s="126">
        <f t="shared" ref="E499:E508" si="161">E498+D499</f>
        <v>99605</v>
      </c>
      <c r="F499" s="126">
        <f t="shared" si="159"/>
        <v>13770</v>
      </c>
      <c r="G499" s="154">
        <v>4314593</v>
      </c>
      <c r="H499" s="126">
        <v>5199</v>
      </c>
      <c r="I499" s="4">
        <v>105693</v>
      </c>
      <c r="J499" s="4">
        <f t="shared" si="152"/>
        <v>17775072</v>
      </c>
      <c r="K499" s="7">
        <v>29837</v>
      </c>
      <c r="L499" s="7">
        <v>8641716</v>
      </c>
      <c r="M499" s="4">
        <f t="shared" si="160"/>
        <v>8671553</v>
      </c>
      <c r="N499" s="4"/>
      <c r="O499" s="4"/>
      <c r="P499" s="4"/>
      <c r="Q499" s="4"/>
      <c r="R499" s="290">
        <f t="shared" ref="R499:R508" si="162">C499-E499-G499</f>
        <v>268762</v>
      </c>
      <c r="S499" s="39">
        <f t="shared" ref="S499:S508" si="163">H499-H498</f>
        <v>-23</v>
      </c>
      <c r="T499" s="91">
        <f t="shared" ref="T499:T508" si="164">(C499-G499-E499)-(C498-E498-G498)</f>
        <v>5866</v>
      </c>
    </row>
    <row r="500" spans="1:20" x14ac:dyDescent="0.25">
      <c r="A500" s="18">
        <v>44391</v>
      </c>
      <c r="B500" s="126">
        <v>19697</v>
      </c>
      <c r="C500" s="154">
        <f t="shared" si="151"/>
        <v>4702657</v>
      </c>
      <c r="D500" s="126">
        <v>614</v>
      </c>
      <c r="E500" s="126">
        <f t="shared" si="161"/>
        <v>100219</v>
      </c>
      <c r="F500" s="126">
        <f t="shared" ref="F500:F501" si="165">G500-G499</f>
        <v>11810</v>
      </c>
      <c r="G500" s="154">
        <v>4326403</v>
      </c>
      <c r="H500" s="126">
        <v>5092</v>
      </c>
      <c r="I500" s="4">
        <v>109446</v>
      </c>
      <c r="J500" s="4">
        <f t="shared" si="152"/>
        <v>17884518</v>
      </c>
      <c r="K500" s="7">
        <v>30006</v>
      </c>
      <c r="L500" s="7">
        <v>8686156</v>
      </c>
      <c r="M500" s="4">
        <f t="shared" si="160"/>
        <v>8716162</v>
      </c>
      <c r="N500" s="4"/>
      <c r="O500" s="4"/>
      <c r="P500" s="4"/>
      <c r="Q500" s="4"/>
      <c r="R500" s="290">
        <f t="shared" si="162"/>
        <v>276035</v>
      </c>
      <c r="S500" s="39">
        <f t="shared" si="163"/>
        <v>-107</v>
      </c>
      <c r="T500" s="91">
        <f t="shared" si="164"/>
        <v>7273</v>
      </c>
    </row>
    <row r="501" spans="1:20" x14ac:dyDescent="0.25">
      <c r="A501" s="18">
        <v>44392</v>
      </c>
      <c r="B501" s="126">
        <v>17295</v>
      </c>
      <c r="C501" s="154">
        <f t="shared" si="151"/>
        <v>4719952</v>
      </c>
      <c r="D501" s="126">
        <v>455</v>
      </c>
      <c r="E501" s="126">
        <f t="shared" si="161"/>
        <v>100674</v>
      </c>
      <c r="F501" s="126">
        <f t="shared" si="165"/>
        <v>19146</v>
      </c>
      <c r="G501" s="154">
        <v>4345549</v>
      </c>
      <c r="H501" s="126">
        <v>5013</v>
      </c>
      <c r="I501" s="4">
        <v>96976</v>
      </c>
      <c r="J501" s="4">
        <f t="shared" si="152"/>
        <v>17981494</v>
      </c>
      <c r="K501" s="7">
        <v>30306</v>
      </c>
      <c r="L501" s="7">
        <v>8724788</v>
      </c>
      <c r="M501" s="4">
        <f t="shared" si="160"/>
        <v>8755094</v>
      </c>
      <c r="N501" s="4"/>
      <c r="O501" s="4"/>
      <c r="P501" s="4"/>
      <c r="Q501" s="4"/>
      <c r="R501" s="290">
        <f t="shared" si="162"/>
        <v>273729</v>
      </c>
      <c r="S501" s="39">
        <f t="shared" si="163"/>
        <v>-79</v>
      </c>
      <c r="T501" s="91">
        <f t="shared" si="164"/>
        <v>-2306</v>
      </c>
    </row>
    <row r="502" spans="1:20" x14ac:dyDescent="0.25">
      <c r="A502" s="18">
        <v>44393</v>
      </c>
      <c r="B502" s="126">
        <v>17261</v>
      </c>
      <c r="C502" s="154">
        <f t="shared" si="151"/>
        <v>4737213</v>
      </c>
      <c r="D502" s="126">
        <v>465</v>
      </c>
      <c r="E502" s="126">
        <f t="shared" si="161"/>
        <v>101139</v>
      </c>
      <c r="F502" s="126">
        <f t="shared" ref="F502" si="166">G502-G501</f>
        <v>17556</v>
      </c>
      <c r="G502" s="154">
        <v>4363105</v>
      </c>
      <c r="H502" s="126">
        <v>4868</v>
      </c>
      <c r="I502" s="4">
        <v>112768</v>
      </c>
      <c r="J502" s="4">
        <f t="shared" si="152"/>
        <v>18094262</v>
      </c>
      <c r="K502" s="7">
        <v>30414</v>
      </c>
      <c r="L502" s="7">
        <v>8772944</v>
      </c>
      <c r="M502" s="4">
        <f t="shared" si="160"/>
        <v>8803358</v>
      </c>
      <c r="N502" s="4"/>
      <c r="O502" s="4"/>
      <c r="P502" s="4"/>
      <c r="Q502" s="4"/>
      <c r="R502" s="290">
        <f t="shared" si="162"/>
        <v>272969</v>
      </c>
      <c r="S502" s="39">
        <f t="shared" si="163"/>
        <v>-145</v>
      </c>
      <c r="T502" s="91">
        <f t="shared" si="164"/>
        <v>-760</v>
      </c>
    </row>
    <row r="503" spans="1:20" x14ac:dyDescent="0.25">
      <c r="A503" s="18">
        <v>44394</v>
      </c>
      <c r="B503" s="126">
        <v>12230</v>
      </c>
      <c r="C503" s="154">
        <f t="shared" ref="C503:C534" si="167">C502+B503</f>
        <v>4749443</v>
      </c>
      <c r="D503" s="126">
        <v>276</v>
      </c>
      <c r="E503" s="126">
        <f t="shared" si="161"/>
        <v>101415</v>
      </c>
      <c r="F503" s="126">
        <f t="shared" ref="F503:F504" si="168">G503-G502</f>
        <v>16064</v>
      </c>
      <c r="G503" s="154">
        <v>4379169</v>
      </c>
      <c r="H503" s="126">
        <v>4873</v>
      </c>
      <c r="I503" s="4">
        <v>79364</v>
      </c>
      <c r="J503" s="4">
        <f t="shared" si="152"/>
        <v>18173626</v>
      </c>
      <c r="K503" s="7">
        <v>30505</v>
      </c>
      <c r="L503" s="7">
        <v>8807453</v>
      </c>
      <c r="M503" s="4">
        <f t="shared" si="160"/>
        <v>8837958</v>
      </c>
      <c r="N503" s="4"/>
      <c r="O503" s="4"/>
      <c r="P503" s="4"/>
      <c r="Q503" s="4"/>
      <c r="R503" s="290">
        <f t="shared" si="162"/>
        <v>268859</v>
      </c>
      <c r="S503" s="39">
        <f t="shared" si="163"/>
        <v>5</v>
      </c>
      <c r="T503" s="91">
        <f t="shared" si="164"/>
        <v>-4110</v>
      </c>
    </row>
    <row r="504" spans="1:20" x14ac:dyDescent="0.25">
      <c r="A504" s="18">
        <v>44395</v>
      </c>
      <c r="B504" s="126">
        <v>6935</v>
      </c>
      <c r="C504" s="154">
        <f t="shared" si="167"/>
        <v>4756378</v>
      </c>
      <c r="D504" s="126">
        <v>115</v>
      </c>
      <c r="E504" s="126">
        <f t="shared" si="161"/>
        <v>101530</v>
      </c>
      <c r="F504" s="126">
        <f t="shared" si="168"/>
        <v>15526</v>
      </c>
      <c r="G504" s="154">
        <v>4394695</v>
      </c>
      <c r="H504" s="126">
        <v>4783</v>
      </c>
      <c r="I504" s="4">
        <v>52894</v>
      </c>
      <c r="J504" s="4">
        <f t="shared" si="152"/>
        <v>18226520</v>
      </c>
      <c r="K504" s="7">
        <v>30538</v>
      </c>
      <c r="L504" s="7">
        <v>8830745</v>
      </c>
      <c r="M504" s="4">
        <f t="shared" si="160"/>
        <v>8861283</v>
      </c>
      <c r="N504" s="4"/>
      <c r="O504" s="4"/>
      <c r="P504" s="4"/>
      <c r="Q504" s="4"/>
      <c r="R504" s="290">
        <f t="shared" si="162"/>
        <v>260153</v>
      </c>
      <c r="S504" s="39">
        <f t="shared" si="163"/>
        <v>-90</v>
      </c>
      <c r="T504" s="91">
        <f t="shared" si="164"/>
        <v>-8706</v>
      </c>
    </row>
    <row r="505" spans="1:20" x14ac:dyDescent="0.25">
      <c r="A505" s="18">
        <v>44396</v>
      </c>
      <c r="B505" s="126">
        <v>12764</v>
      </c>
      <c r="C505" s="154">
        <f t="shared" si="167"/>
        <v>4769142</v>
      </c>
      <c r="D505" s="254">
        <v>403</v>
      </c>
      <c r="E505" s="126">
        <f t="shared" si="161"/>
        <v>101933</v>
      </c>
      <c r="F505" s="126">
        <f t="shared" ref="F505" si="169">G505-G504</f>
        <v>13120</v>
      </c>
      <c r="G505" s="154">
        <v>4407815</v>
      </c>
      <c r="H505" s="126">
        <v>4681</v>
      </c>
      <c r="I505" s="4">
        <v>71160</v>
      </c>
      <c r="J505" s="4">
        <f t="shared" si="152"/>
        <v>18297680</v>
      </c>
      <c r="K505" s="7">
        <v>30686</v>
      </c>
      <c r="L505" s="7">
        <v>8856033</v>
      </c>
      <c r="M505" s="4">
        <f t="shared" si="160"/>
        <v>8886719</v>
      </c>
      <c r="N505" s="4"/>
      <c r="O505" s="4"/>
      <c r="P505" s="4"/>
      <c r="Q505" s="4"/>
      <c r="R505" s="290">
        <f t="shared" si="162"/>
        <v>259394</v>
      </c>
      <c r="S505" s="39">
        <f t="shared" si="163"/>
        <v>-102</v>
      </c>
      <c r="T505" s="91">
        <f t="shared" si="164"/>
        <v>-759</v>
      </c>
    </row>
    <row r="506" spans="1:20" x14ac:dyDescent="0.25">
      <c r="A506" s="18">
        <v>44397</v>
      </c>
      <c r="B506" s="126">
        <v>15077</v>
      </c>
      <c r="C506" s="154">
        <f t="shared" si="167"/>
        <v>4784219</v>
      </c>
      <c r="D506" s="126">
        <v>426</v>
      </c>
      <c r="E506" s="126">
        <f t="shared" si="161"/>
        <v>102359</v>
      </c>
      <c r="F506" s="126">
        <f t="shared" ref="F506" si="170">G506-G505</f>
        <v>13180</v>
      </c>
      <c r="G506" s="154">
        <v>4420995</v>
      </c>
      <c r="H506" s="126">
        <v>4643</v>
      </c>
      <c r="I506" s="4">
        <v>93435</v>
      </c>
      <c r="J506" s="4">
        <f t="shared" si="152"/>
        <v>18391115</v>
      </c>
      <c r="K506" s="7">
        <v>30828</v>
      </c>
      <c r="L506" s="7">
        <v>8894116</v>
      </c>
      <c r="M506" s="4">
        <f t="shared" si="160"/>
        <v>8924944</v>
      </c>
      <c r="N506" s="4"/>
      <c r="O506" s="4"/>
      <c r="P506" s="4"/>
      <c r="Q506" s="4"/>
      <c r="R506" s="290">
        <f t="shared" si="162"/>
        <v>260865</v>
      </c>
      <c r="S506" s="39">
        <f t="shared" si="163"/>
        <v>-38</v>
      </c>
      <c r="T506" s="91">
        <f t="shared" si="164"/>
        <v>1471</v>
      </c>
    </row>
    <row r="507" spans="1:20" x14ac:dyDescent="0.25">
      <c r="A507" s="18">
        <v>44398</v>
      </c>
      <c r="B507" s="126">
        <v>14632</v>
      </c>
      <c r="C507" s="154">
        <f t="shared" si="167"/>
        <v>4798851</v>
      </c>
      <c r="D507" s="126">
        <v>438</v>
      </c>
      <c r="E507" s="126">
        <f t="shared" si="161"/>
        <v>102797</v>
      </c>
      <c r="F507" s="126">
        <f t="shared" ref="F507" si="171">G507-G506</f>
        <v>10876</v>
      </c>
      <c r="G507" s="154">
        <v>4431871</v>
      </c>
      <c r="H507" s="126">
        <v>4583</v>
      </c>
      <c r="I507" s="4">
        <v>88539</v>
      </c>
      <c r="J507" s="4">
        <f t="shared" si="152"/>
        <v>18479654</v>
      </c>
      <c r="K507" s="7">
        <v>30973</v>
      </c>
      <c r="L507" s="7">
        <v>8931117</v>
      </c>
      <c r="M507" s="4">
        <f t="shared" si="160"/>
        <v>8962090</v>
      </c>
      <c r="N507" s="4"/>
      <c r="O507" s="4"/>
      <c r="P507" s="4"/>
      <c r="Q507" s="4"/>
      <c r="R507" s="290">
        <f t="shared" si="162"/>
        <v>264183</v>
      </c>
      <c r="S507" s="39">
        <f t="shared" si="163"/>
        <v>-60</v>
      </c>
      <c r="T507" s="91">
        <f t="shared" si="164"/>
        <v>3318</v>
      </c>
    </row>
    <row r="508" spans="1:20" x14ac:dyDescent="0.25">
      <c r="A508" s="18">
        <v>44399</v>
      </c>
      <c r="B508" s="126">
        <v>13500</v>
      </c>
      <c r="C508" s="154">
        <f t="shared" si="167"/>
        <v>4812351</v>
      </c>
      <c r="D508" s="126">
        <v>267</v>
      </c>
      <c r="E508" s="126">
        <f t="shared" si="161"/>
        <v>103064</v>
      </c>
      <c r="F508" s="126">
        <f t="shared" ref="F508" si="172">G508-G507</f>
        <v>16082</v>
      </c>
      <c r="G508" s="154">
        <v>4447953</v>
      </c>
      <c r="H508" s="126">
        <v>4532</v>
      </c>
      <c r="I508" s="4">
        <v>98879</v>
      </c>
      <c r="J508" s="4">
        <v>18608333</v>
      </c>
      <c r="K508" s="7">
        <v>31194</v>
      </c>
      <c r="L508" s="7">
        <v>8972584</v>
      </c>
      <c r="M508" s="4">
        <f t="shared" si="160"/>
        <v>9003778</v>
      </c>
      <c r="N508" s="4"/>
      <c r="O508" s="4"/>
      <c r="P508" s="4"/>
      <c r="Q508" s="4"/>
      <c r="R508" s="290">
        <f t="shared" si="162"/>
        <v>261334</v>
      </c>
      <c r="S508" s="39">
        <f t="shared" si="163"/>
        <v>-51</v>
      </c>
      <c r="T508" s="91">
        <f t="shared" si="164"/>
        <v>-2849</v>
      </c>
    </row>
    <row r="509" spans="1:20" x14ac:dyDescent="0.25">
      <c r="A509" s="18">
        <v>44400</v>
      </c>
      <c r="B509" s="126">
        <v>15622</v>
      </c>
      <c r="C509" s="154">
        <f t="shared" si="167"/>
        <v>4827973</v>
      </c>
      <c r="D509" s="126">
        <v>286</v>
      </c>
      <c r="E509" s="126">
        <f t="shared" ref="E509" si="173">E508+D509</f>
        <v>103350</v>
      </c>
      <c r="F509" s="126">
        <f t="shared" ref="F509" si="174">G509-G508</f>
        <v>17034</v>
      </c>
      <c r="G509" s="154">
        <v>4464987</v>
      </c>
      <c r="H509" s="126">
        <v>4358</v>
      </c>
      <c r="I509" s="4">
        <v>104287</v>
      </c>
      <c r="J509" s="4">
        <f t="shared" si="152"/>
        <v>18712620</v>
      </c>
      <c r="K509" s="7">
        <v>31368</v>
      </c>
      <c r="L509" s="7">
        <v>9015025</v>
      </c>
      <c r="M509" s="4">
        <f t="shared" si="160"/>
        <v>9046393</v>
      </c>
      <c r="N509" s="4"/>
      <c r="O509" s="4"/>
      <c r="P509" s="4"/>
      <c r="Q509" s="4"/>
      <c r="R509" s="290">
        <f t="shared" ref="R509" si="175">C509-E509-G509</f>
        <v>259636</v>
      </c>
      <c r="S509" s="39">
        <f t="shared" ref="S509" si="176">H509-H508</f>
        <v>-174</v>
      </c>
      <c r="T509" s="91">
        <f t="shared" ref="T509" si="177">(C509-G509-E509)-(C508-E508-G508)</f>
        <v>-1698</v>
      </c>
    </row>
    <row r="510" spans="1:20" x14ac:dyDescent="0.25">
      <c r="A510" s="18">
        <v>44401</v>
      </c>
      <c r="B510" s="126">
        <v>11136</v>
      </c>
      <c r="C510" s="154">
        <f t="shared" si="167"/>
        <v>4839109</v>
      </c>
      <c r="D510" s="126">
        <v>225</v>
      </c>
      <c r="E510" s="126">
        <f t="shared" ref="E510" si="178">E509+D510</f>
        <v>103575</v>
      </c>
      <c r="F510" s="126">
        <f t="shared" ref="F510" si="179">G510-G509</f>
        <v>15349</v>
      </c>
      <c r="G510" s="154">
        <v>4480336</v>
      </c>
      <c r="H510" s="126">
        <v>4318</v>
      </c>
      <c r="I510" s="4">
        <v>85239</v>
      </c>
      <c r="J510" s="4">
        <f t="shared" ref="J510:J515" si="180">J509+I510</f>
        <v>18797859</v>
      </c>
      <c r="K510" s="7">
        <v>31557</v>
      </c>
      <c r="L510" s="7">
        <v>9052075</v>
      </c>
      <c r="M510" s="4">
        <f t="shared" si="160"/>
        <v>9083632</v>
      </c>
      <c r="N510" s="4"/>
      <c r="O510" s="4"/>
      <c r="P510" s="4"/>
      <c r="Q510" s="4"/>
      <c r="R510" s="290">
        <f t="shared" ref="R510" si="181">C510-E510-G510</f>
        <v>255198</v>
      </c>
      <c r="S510" s="39">
        <f t="shared" ref="S510" si="182">H510-H509</f>
        <v>-40</v>
      </c>
      <c r="T510" s="91">
        <f t="shared" ref="T510" si="183">(C510-G510-E510)-(C509-E509-G509)</f>
        <v>-4438</v>
      </c>
    </row>
    <row r="511" spans="1:20" x14ac:dyDescent="0.25">
      <c r="A511" s="18">
        <v>44402</v>
      </c>
      <c r="B511" s="126">
        <v>7506</v>
      </c>
      <c r="C511" s="154">
        <f t="shared" si="167"/>
        <v>4846615</v>
      </c>
      <c r="D511" s="126">
        <v>137</v>
      </c>
      <c r="E511" s="126">
        <f t="shared" ref="E511" si="184">E510+D511</f>
        <v>103712</v>
      </c>
      <c r="F511" s="126">
        <f t="shared" ref="F511" si="185">G511-G510</f>
        <v>13648</v>
      </c>
      <c r="G511" s="154">
        <v>4493984</v>
      </c>
      <c r="H511" s="126">
        <v>4219</v>
      </c>
      <c r="I511" s="4">
        <v>57623</v>
      </c>
      <c r="J511" s="4">
        <f t="shared" si="180"/>
        <v>18855482</v>
      </c>
      <c r="K511" s="7">
        <v>31565</v>
      </c>
      <c r="L511" s="7">
        <v>9077879</v>
      </c>
      <c r="M511" s="4">
        <f t="shared" si="160"/>
        <v>9109444</v>
      </c>
      <c r="N511" s="4"/>
      <c r="O511" s="4"/>
      <c r="P511" s="4"/>
      <c r="Q511" s="4"/>
      <c r="R511" s="290">
        <f t="shared" ref="R511" si="186">C511-E511-G511</f>
        <v>248919</v>
      </c>
      <c r="S511" s="39">
        <f t="shared" ref="S511" si="187">H511-H510</f>
        <v>-99</v>
      </c>
      <c r="T511" s="91">
        <f t="shared" ref="T511" si="188">(C511-G511-E511)-(C510-E510-G510)</f>
        <v>-6279</v>
      </c>
    </row>
    <row r="512" spans="1:20" x14ac:dyDescent="0.25">
      <c r="A512" s="18">
        <v>44403</v>
      </c>
      <c r="B512" s="126">
        <v>12555</v>
      </c>
      <c r="C512" s="154">
        <f t="shared" si="167"/>
        <v>4859170</v>
      </c>
      <c r="D512" s="126">
        <v>384</v>
      </c>
      <c r="E512" s="126">
        <f t="shared" ref="E512" si="189">E511+D512</f>
        <v>104096</v>
      </c>
      <c r="F512" s="126">
        <f t="shared" ref="F512" si="190">G512-G511</f>
        <v>14153</v>
      </c>
      <c r="G512" s="154">
        <v>4508137</v>
      </c>
      <c r="H512" s="126">
        <v>4155</v>
      </c>
      <c r="I512" s="4">
        <v>77622</v>
      </c>
      <c r="J512" s="4">
        <f t="shared" si="180"/>
        <v>18933104</v>
      </c>
      <c r="K512" s="7">
        <v>31673</v>
      </c>
      <c r="L512" s="7">
        <v>9105851</v>
      </c>
      <c r="M512" s="4">
        <f t="shared" si="160"/>
        <v>9137524</v>
      </c>
      <c r="N512" s="4"/>
      <c r="O512" s="4"/>
      <c r="P512" s="4"/>
      <c r="Q512" s="4"/>
      <c r="R512" s="290">
        <f t="shared" ref="R512" si="191">C512-E512-G512</f>
        <v>246937</v>
      </c>
      <c r="S512" s="39">
        <f t="shared" ref="S512" si="192">H512-H511</f>
        <v>-64</v>
      </c>
      <c r="T512" s="91">
        <f t="shared" ref="T512" si="193">(C512-G512-E512)-(C511-E511-G511)</f>
        <v>-1982</v>
      </c>
    </row>
    <row r="513" spans="1:20" x14ac:dyDescent="0.25">
      <c r="A513" s="18">
        <v>44404</v>
      </c>
      <c r="B513" s="126">
        <v>16757</v>
      </c>
      <c r="C513" s="154">
        <f t="shared" si="167"/>
        <v>4875927</v>
      </c>
      <c r="D513" s="126">
        <v>249</v>
      </c>
      <c r="E513" s="126">
        <f t="shared" ref="E513" si="194">E512+D513</f>
        <v>104345</v>
      </c>
      <c r="F513" s="126">
        <f t="shared" ref="F513" si="195">G513-G512</f>
        <v>11785</v>
      </c>
      <c r="G513" s="154">
        <v>4519922</v>
      </c>
      <c r="H513" s="126">
        <v>4160</v>
      </c>
      <c r="I513" s="4">
        <v>112772</v>
      </c>
      <c r="J513" s="4">
        <f t="shared" si="180"/>
        <v>19045876</v>
      </c>
      <c r="K513" s="7">
        <v>31834</v>
      </c>
      <c r="L513" s="7">
        <v>9150788</v>
      </c>
      <c r="M513" s="4">
        <f>L513+K513</f>
        <v>9182622</v>
      </c>
      <c r="N513" s="4"/>
      <c r="O513" s="4"/>
      <c r="P513" s="4"/>
      <c r="Q513" s="4"/>
      <c r="R513" s="290">
        <f t="shared" ref="R513" si="196">C513-E513-G513</f>
        <v>251660</v>
      </c>
      <c r="S513" s="39">
        <f t="shared" ref="S513" si="197">H513-H512</f>
        <v>5</v>
      </c>
      <c r="T513" s="91">
        <f t="shared" ref="T513" si="198">(C513-G513-E513)-(C512-E512-G512)</f>
        <v>4723</v>
      </c>
    </row>
    <row r="514" spans="1:20" x14ac:dyDescent="0.25">
      <c r="A514" s="18">
        <v>44405</v>
      </c>
      <c r="B514" s="126">
        <v>15883</v>
      </c>
      <c r="C514" s="154">
        <f t="shared" si="167"/>
        <v>4891810</v>
      </c>
      <c r="D514" s="126">
        <v>471</v>
      </c>
      <c r="E514" s="126">
        <f t="shared" ref="E514" si="199">E513+D514</f>
        <v>104816</v>
      </c>
      <c r="F514" s="126">
        <f t="shared" ref="F514" si="200">G514-G513</f>
        <v>9337</v>
      </c>
      <c r="G514" s="154">
        <v>4529259</v>
      </c>
      <c r="H514" s="126">
        <v>4155</v>
      </c>
      <c r="I514" s="4">
        <v>98390</v>
      </c>
      <c r="J514" s="4">
        <f t="shared" si="180"/>
        <v>19144266</v>
      </c>
      <c r="K514" s="7">
        <v>31978</v>
      </c>
      <c r="L514" s="7">
        <v>9190194</v>
      </c>
      <c r="M514" s="4">
        <f t="shared" ref="M514:M533" si="201">L514+K514</f>
        <v>9222172</v>
      </c>
      <c r="N514" s="4"/>
      <c r="O514" s="4"/>
      <c r="P514" s="4"/>
      <c r="Q514" s="4"/>
      <c r="R514" s="290">
        <f t="shared" ref="R514:R515" si="202">C514-E514-G514</f>
        <v>257735</v>
      </c>
      <c r="S514" s="39">
        <f t="shared" ref="S514:S515" si="203">H514-H513</f>
        <v>-5</v>
      </c>
      <c r="T514" s="91">
        <f t="shared" ref="T514:T515" si="204">(C514-G514-E514)-(C513-E513-G513)</f>
        <v>6075</v>
      </c>
    </row>
    <row r="515" spans="1:20" x14ac:dyDescent="0.25">
      <c r="A515" s="18">
        <v>44406</v>
      </c>
      <c r="B515" s="126">
        <v>14115</v>
      </c>
      <c r="C515" s="154">
        <f t="shared" si="167"/>
        <v>4905925</v>
      </c>
      <c r="D515" s="147">
        <v>288</v>
      </c>
      <c r="E515" s="126">
        <f t="shared" ref="E515" si="205">E514+D515</f>
        <v>105104</v>
      </c>
      <c r="F515" s="126">
        <f t="shared" ref="F515" si="206">G515-G514</f>
        <v>13645</v>
      </c>
      <c r="G515" s="154">
        <v>4542904</v>
      </c>
      <c r="H515" s="126">
        <v>4090</v>
      </c>
      <c r="I515" s="4">
        <v>98149</v>
      </c>
      <c r="J515" s="4">
        <f t="shared" si="180"/>
        <v>19242415</v>
      </c>
      <c r="K515" s="7">
        <v>32245</v>
      </c>
      <c r="L515" s="7">
        <v>9230185</v>
      </c>
      <c r="M515" s="4">
        <f t="shared" si="201"/>
        <v>9262430</v>
      </c>
      <c r="N515" s="4"/>
      <c r="O515" s="4"/>
      <c r="P515" s="4"/>
      <c r="Q515" s="4"/>
      <c r="R515" s="290">
        <f t="shared" si="202"/>
        <v>257917</v>
      </c>
      <c r="S515" s="39">
        <f t="shared" si="203"/>
        <v>-65</v>
      </c>
      <c r="T515" s="91">
        <f t="shared" si="204"/>
        <v>182</v>
      </c>
    </row>
    <row r="516" spans="1:20" x14ac:dyDescent="0.25">
      <c r="A516" s="18">
        <v>44407</v>
      </c>
      <c r="B516" s="126">
        <v>13483</v>
      </c>
      <c r="C516" s="154">
        <f t="shared" si="167"/>
        <v>4919408</v>
      </c>
      <c r="D516" s="126">
        <v>473</v>
      </c>
      <c r="E516" s="126">
        <f t="shared" ref="E516" si="207">E515+D516</f>
        <v>105577</v>
      </c>
      <c r="F516" s="126">
        <f t="shared" ref="F516" si="208">G516-G515</f>
        <v>14133</v>
      </c>
      <c r="G516" s="154">
        <v>4557037</v>
      </c>
      <c r="H516" s="126">
        <v>3976</v>
      </c>
      <c r="I516" s="4">
        <v>92047</v>
      </c>
      <c r="J516" s="4">
        <f t="shared" ref="J516:J534" si="209">J515+I516</f>
        <v>19334462</v>
      </c>
      <c r="K516" s="7">
        <v>32520</v>
      </c>
      <c r="L516" s="7">
        <v>9268008</v>
      </c>
      <c r="M516" s="4">
        <f t="shared" si="201"/>
        <v>9300528</v>
      </c>
      <c r="N516" s="4"/>
      <c r="O516" s="4"/>
      <c r="P516" s="4"/>
      <c r="Q516" s="4"/>
      <c r="R516" s="290">
        <f t="shared" ref="R516" si="210">C516-E516-G516</f>
        <v>256794</v>
      </c>
      <c r="S516" s="39">
        <f t="shared" ref="S516" si="211">H516-H515</f>
        <v>-114</v>
      </c>
      <c r="T516" s="91">
        <f t="shared" ref="T516" si="212">(C516-G516-E516)-(C515-E515-G515)</f>
        <v>-1123</v>
      </c>
    </row>
    <row r="517" spans="1:20" x14ac:dyDescent="0.25">
      <c r="A517" s="18">
        <v>44408</v>
      </c>
      <c r="B517" s="126">
        <v>10356</v>
      </c>
      <c r="C517" s="154">
        <f t="shared" si="167"/>
        <v>4929764</v>
      </c>
      <c r="D517" s="126">
        <v>135</v>
      </c>
      <c r="E517" s="126">
        <f t="shared" ref="E517" si="213">E516+D517</f>
        <v>105712</v>
      </c>
      <c r="F517" s="126">
        <f t="shared" ref="F517" si="214">G517-G516</f>
        <v>12515</v>
      </c>
      <c r="G517" s="154">
        <v>4569552</v>
      </c>
      <c r="H517" s="126">
        <v>3955</v>
      </c>
      <c r="I517" s="4">
        <v>89091</v>
      </c>
      <c r="J517" s="4">
        <f t="shared" si="209"/>
        <v>19423553</v>
      </c>
      <c r="K517" s="7">
        <v>32793</v>
      </c>
      <c r="L517" s="7">
        <v>9307535</v>
      </c>
      <c r="M517" s="4">
        <f t="shared" si="201"/>
        <v>9340328</v>
      </c>
      <c r="N517" s="4"/>
      <c r="O517" s="4"/>
      <c r="P517" s="4"/>
      <c r="Q517" s="4"/>
      <c r="R517" s="290">
        <f t="shared" ref="R517:R519" si="215">C517-E517-G517</f>
        <v>254500</v>
      </c>
      <c r="S517" s="39">
        <f t="shared" ref="S517:S518" si="216">H517-H516</f>
        <v>-21</v>
      </c>
      <c r="T517" s="91">
        <f t="shared" ref="T517:T518" si="217">(C517-G517-E517)-(C516-E516-G516)</f>
        <v>-2294</v>
      </c>
    </row>
    <row r="518" spans="1:20" x14ac:dyDescent="0.25">
      <c r="A518" s="18">
        <v>44409</v>
      </c>
      <c r="B518" s="126">
        <v>6083</v>
      </c>
      <c r="C518" s="154">
        <f t="shared" si="167"/>
        <v>4935847</v>
      </c>
      <c r="D518" s="126">
        <v>51</v>
      </c>
      <c r="E518" s="126">
        <f t="shared" ref="E518:E519" si="218">E517+D518</f>
        <v>105763</v>
      </c>
      <c r="F518" s="126">
        <f t="shared" ref="F518:F519" si="219">G518-G517</f>
        <v>11580</v>
      </c>
      <c r="G518" s="154">
        <v>4581132</v>
      </c>
      <c r="H518" s="126">
        <v>3913</v>
      </c>
      <c r="I518" s="4">
        <v>54673</v>
      </c>
      <c r="J518" s="4">
        <f t="shared" si="209"/>
        <v>19478226</v>
      </c>
      <c r="K518" s="7">
        <v>32893</v>
      </c>
      <c r="L518" s="7">
        <v>9332780</v>
      </c>
      <c r="M518" s="4">
        <f t="shared" si="201"/>
        <v>9365673</v>
      </c>
      <c r="N518" s="4"/>
      <c r="O518" s="4"/>
      <c r="P518" s="4"/>
      <c r="Q518" s="4"/>
      <c r="R518" s="290">
        <f t="shared" si="215"/>
        <v>248952</v>
      </c>
      <c r="S518" s="39">
        <f t="shared" si="216"/>
        <v>-42</v>
      </c>
      <c r="T518" s="91">
        <f t="shared" si="217"/>
        <v>-5548</v>
      </c>
    </row>
    <row r="519" spans="1:20" x14ac:dyDescent="0.25">
      <c r="A519" s="18">
        <v>44410</v>
      </c>
      <c r="B519" s="126">
        <v>11183</v>
      </c>
      <c r="C519" s="154">
        <f t="shared" si="167"/>
        <v>4947030</v>
      </c>
      <c r="D519" s="126">
        <v>274</v>
      </c>
      <c r="E519" s="126">
        <f t="shared" si="218"/>
        <v>106037</v>
      </c>
      <c r="F519" s="126">
        <f t="shared" si="219"/>
        <v>13741</v>
      </c>
      <c r="G519" s="154">
        <v>4594873</v>
      </c>
      <c r="H519" s="126">
        <v>3819</v>
      </c>
      <c r="I519" s="4">
        <v>68502</v>
      </c>
      <c r="J519" s="4">
        <f t="shared" si="209"/>
        <v>19546728</v>
      </c>
      <c r="K519" s="7">
        <v>33081</v>
      </c>
      <c r="L519" s="7">
        <v>9357727</v>
      </c>
      <c r="M519" s="4">
        <f t="shared" si="201"/>
        <v>9390808</v>
      </c>
      <c r="N519" s="4"/>
      <c r="O519" s="4"/>
      <c r="P519" s="4"/>
      <c r="Q519" s="4"/>
      <c r="R519" s="4">
        <f t="shared" si="215"/>
        <v>246120</v>
      </c>
      <c r="S519" s="39">
        <f t="shared" ref="S519" si="220">H519-H518</f>
        <v>-94</v>
      </c>
      <c r="T519" s="91">
        <f t="shared" ref="T519" si="221">(C519-G519-E519)-(C518-E518-G518)</f>
        <v>-2832</v>
      </c>
    </row>
    <row r="520" spans="1:20" x14ac:dyDescent="0.25">
      <c r="A520" s="18">
        <v>44411</v>
      </c>
      <c r="B520" s="126">
        <v>14850</v>
      </c>
      <c r="C520" s="154">
        <f t="shared" si="167"/>
        <v>4961880</v>
      </c>
      <c r="D520" s="126">
        <v>405</v>
      </c>
      <c r="E520" s="126">
        <f t="shared" ref="E520" si="222">E519+D520</f>
        <v>106442</v>
      </c>
      <c r="F520" s="126">
        <f t="shared" ref="F520" si="223">G520-G519</f>
        <v>11153</v>
      </c>
      <c r="G520" s="154">
        <v>4606026</v>
      </c>
      <c r="H520" s="126">
        <v>3767</v>
      </c>
      <c r="I520" s="4">
        <v>106672</v>
      </c>
      <c r="J520" s="4">
        <f t="shared" si="209"/>
        <v>19653400</v>
      </c>
      <c r="K520" s="7">
        <v>33282</v>
      </c>
      <c r="L520" s="7">
        <v>9401564</v>
      </c>
      <c r="M520" s="4">
        <f t="shared" si="201"/>
        <v>9434846</v>
      </c>
      <c r="N520" s="4"/>
      <c r="O520" s="4"/>
      <c r="P520" s="4"/>
      <c r="Q520" s="4"/>
      <c r="R520" s="4">
        <f t="shared" ref="R520" si="224">C520-E520-G520</f>
        <v>249412</v>
      </c>
      <c r="S520" s="39">
        <f t="shared" ref="S520" si="225">H520-H519</f>
        <v>-52</v>
      </c>
      <c r="T520" s="91">
        <f t="shared" ref="T520" si="226">(C520-G520-E520)-(C519-E519-G519)</f>
        <v>3292</v>
      </c>
    </row>
    <row r="521" spans="1:20" x14ac:dyDescent="0.25">
      <c r="A521" s="18">
        <v>44412</v>
      </c>
      <c r="B521" s="126">
        <v>13736</v>
      </c>
      <c r="C521" s="154">
        <f t="shared" si="167"/>
        <v>4975616</v>
      </c>
      <c r="D521" s="126">
        <v>300</v>
      </c>
      <c r="E521" s="126">
        <f t="shared" ref="E521" si="227">E520+D521</f>
        <v>106742</v>
      </c>
      <c r="F521" s="126">
        <f t="shared" ref="F521" si="228">G521-G520</f>
        <v>9808</v>
      </c>
      <c r="G521" s="154">
        <v>4615834</v>
      </c>
      <c r="H521" s="126">
        <v>3748</v>
      </c>
      <c r="I521" s="4">
        <v>112987</v>
      </c>
      <c r="J521" s="4">
        <f t="shared" si="209"/>
        <v>19766387</v>
      </c>
      <c r="K521" s="7">
        <v>33531</v>
      </c>
      <c r="L521" s="7">
        <v>9450378</v>
      </c>
      <c r="M521" s="4">
        <f t="shared" si="201"/>
        <v>9483909</v>
      </c>
      <c r="N521" s="4"/>
      <c r="O521" s="4"/>
      <c r="P521" s="4"/>
      <c r="Q521" s="4"/>
      <c r="R521" s="4">
        <f t="shared" ref="R521:R522" si="229">C521-E521-G521</f>
        <v>253040</v>
      </c>
      <c r="S521" s="39">
        <f t="shared" ref="S521:S522" si="230">H521-H520</f>
        <v>-19</v>
      </c>
      <c r="T521" s="91">
        <f t="shared" ref="T521:T522" si="231">(C521-G521-E521)-(C520-E520-G520)</f>
        <v>3628</v>
      </c>
    </row>
    <row r="522" spans="1:20" x14ac:dyDescent="0.25">
      <c r="A522" s="18">
        <v>44413</v>
      </c>
      <c r="B522" s="126">
        <v>13786</v>
      </c>
      <c r="C522" s="154">
        <f t="shared" si="167"/>
        <v>4989402</v>
      </c>
      <c r="D522" s="126">
        <v>276</v>
      </c>
      <c r="E522" s="126">
        <f t="shared" ref="E522" si="232">E521+D522</f>
        <v>107018</v>
      </c>
      <c r="F522" s="126">
        <f t="shared" ref="F522" si="233">G522-G521</f>
        <v>14602</v>
      </c>
      <c r="G522" s="154">
        <v>4630436</v>
      </c>
      <c r="H522" s="126">
        <v>3714</v>
      </c>
      <c r="I522" s="4">
        <v>102237</v>
      </c>
      <c r="J522" s="4">
        <f t="shared" si="209"/>
        <v>19868624</v>
      </c>
      <c r="K522" s="7">
        <v>33790</v>
      </c>
      <c r="L522" s="7">
        <v>9493342</v>
      </c>
      <c r="M522" s="4">
        <f t="shared" si="201"/>
        <v>9527132</v>
      </c>
      <c r="N522" s="4"/>
      <c r="O522" s="4"/>
      <c r="P522" s="4"/>
      <c r="Q522" s="4"/>
      <c r="R522" s="4">
        <f t="shared" si="229"/>
        <v>251948</v>
      </c>
      <c r="S522" s="39">
        <f t="shared" si="230"/>
        <v>-34</v>
      </c>
      <c r="T522" s="91">
        <f t="shared" si="231"/>
        <v>-1092</v>
      </c>
    </row>
    <row r="523" spans="1:20" x14ac:dyDescent="0.25">
      <c r="A523" s="18">
        <v>44414</v>
      </c>
      <c r="B523" s="126">
        <v>13549</v>
      </c>
      <c r="C523" s="154">
        <f t="shared" si="167"/>
        <v>5002951</v>
      </c>
      <c r="D523" s="126">
        <v>190</v>
      </c>
      <c r="E523" s="126">
        <f t="shared" ref="E523" si="234">E522+D523</f>
        <v>107208</v>
      </c>
      <c r="F523" s="126">
        <f t="shared" ref="F523" si="235">G523-G522</f>
        <v>14722</v>
      </c>
      <c r="G523" s="154">
        <v>4645158</v>
      </c>
      <c r="H523" s="126">
        <v>3657</v>
      </c>
      <c r="I523" s="4">
        <v>122589</v>
      </c>
      <c r="J523" s="4">
        <f t="shared" si="209"/>
        <v>19991213</v>
      </c>
      <c r="K523" s="7">
        <v>33924</v>
      </c>
      <c r="L523" s="7">
        <v>9547232</v>
      </c>
      <c r="M523" s="4">
        <f t="shared" si="201"/>
        <v>9581156</v>
      </c>
      <c r="N523" s="4"/>
      <c r="O523" s="4"/>
      <c r="P523" s="4"/>
      <c r="Q523" s="4"/>
      <c r="R523" s="4">
        <f t="shared" ref="R523:R524" si="236">C523-E523-G523</f>
        <v>250585</v>
      </c>
      <c r="S523" s="39">
        <f t="shared" ref="S523:S524" si="237">H523-H522</f>
        <v>-57</v>
      </c>
      <c r="T523" s="91">
        <f t="shared" ref="T523:T524" si="238">(C523-G523-E523)-(C522-E522-G522)</f>
        <v>-1363</v>
      </c>
    </row>
    <row r="524" spans="1:20" x14ac:dyDescent="0.25">
      <c r="A524" s="18">
        <v>44415</v>
      </c>
      <c r="B524" s="126">
        <v>9803</v>
      </c>
      <c r="C524" s="154">
        <f t="shared" si="167"/>
        <v>5012754</v>
      </c>
      <c r="D524" s="126">
        <v>89</v>
      </c>
      <c r="E524" s="126">
        <f t="shared" ref="E524:E525" si="239">E523+D524</f>
        <v>107297</v>
      </c>
      <c r="F524" s="126">
        <f t="shared" ref="F524:F525" si="240">G524-G523</f>
        <v>12870</v>
      </c>
      <c r="G524" s="154">
        <v>4658028</v>
      </c>
      <c r="H524" s="126">
        <v>3646</v>
      </c>
      <c r="I524" s="4">
        <v>84899</v>
      </c>
      <c r="J524" s="4">
        <f t="shared" si="209"/>
        <v>20076112</v>
      </c>
      <c r="K524" s="7">
        <v>34291</v>
      </c>
      <c r="L524" s="7">
        <v>9586097</v>
      </c>
      <c r="M524" s="4">
        <f t="shared" si="201"/>
        <v>9620388</v>
      </c>
      <c r="N524" s="4"/>
      <c r="O524" s="4"/>
      <c r="P524" s="4"/>
      <c r="Q524" s="4"/>
      <c r="R524" s="4">
        <f t="shared" si="236"/>
        <v>247429</v>
      </c>
      <c r="S524" s="39">
        <f t="shared" si="237"/>
        <v>-11</v>
      </c>
      <c r="T524" s="91">
        <f t="shared" si="238"/>
        <v>-3156</v>
      </c>
    </row>
    <row r="525" spans="1:20" x14ac:dyDescent="0.25">
      <c r="A525" s="18">
        <v>44416</v>
      </c>
      <c r="B525" s="126">
        <v>6141</v>
      </c>
      <c r="C525" s="154">
        <f t="shared" si="167"/>
        <v>5018895</v>
      </c>
      <c r="D525" s="126">
        <v>158</v>
      </c>
      <c r="E525" s="126">
        <f t="shared" si="239"/>
        <v>107455</v>
      </c>
      <c r="F525" s="126">
        <f t="shared" si="240"/>
        <v>11733</v>
      </c>
      <c r="G525" s="154">
        <v>4669761</v>
      </c>
      <c r="H525" s="126">
        <v>3675</v>
      </c>
      <c r="I525" s="4">
        <v>50696</v>
      </c>
      <c r="J525" s="4">
        <f t="shared" si="209"/>
        <v>20126808</v>
      </c>
      <c r="K525" s="7">
        <v>34426</v>
      </c>
      <c r="L525" s="7">
        <v>9609285</v>
      </c>
      <c r="M525" s="4">
        <f t="shared" si="201"/>
        <v>9643711</v>
      </c>
      <c r="N525" s="4"/>
      <c r="O525" s="4"/>
      <c r="P525" s="4"/>
      <c r="Q525" s="4"/>
      <c r="R525" s="4">
        <f t="shared" ref="R525" si="241">C525-E525-G525</f>
        <v>241679</v>
      </c>
      <c r="S525" s="696">
        <f>H525-H524</f>
        <v>29</v>
      </c>
      <c r="T525" s="91">
        <f t="shared" ref="T525" si="242">(C525-G525-E525)-(C524-E524-G524)</f>
        <v>-5750</v>
      </c>
    </row>
    <row r="526" spans="1:20" x14ac:dyDescent="0.25">
      <c r="A526" s="18">
        <v>44417</v>
      </c>
      <c r="B526" s="126">
        <v>10180</v>
      </c>
      <c r="C526" s="154">
        <f t="shared" si="167"/>
        <v>5029075</v>
      </c>
      <c r="D526" s="126">
        <v>503</v>
      </c>
      <c r="E526" s="126">
        <f t="shared" ref="E526" si="243">E525+D526</f>
        <v>107958</v>
      </c>
      <c r="F526" s="126">
        <f t="shared" ref="F526" si="244">G526-G525</f>
        <v>11900</v>
      </c>
      <c r="G526" s="154">
        <v>4681661</v>
      </c>
      <c r="H526" s="126">
        <v>3613</v>
      </c>
      <c r="I526" s="4">
        <v>72886</v>
      </c>
      <c r="J526" s="4">
        <f t="shared" si="209"/>
        <v>20199694</v>
      </c>
      <c r="K526" s="7">
        <v>34648</v>
      </c>
      <c r="L526" s="7">
        <v>9635551</v>
      </c>
      <c r="M526" s="4">
        <f t="shared" si="201"/>
        <v>9670199</v>
      </c>
      <c r="N526" s="4"/>
      <c r="O526" s="4"/>
      <c r="P526" s="4"/>
      <c r="Q526" s="4"/>
      <c r="R526" s="4">
        <f t="shared" ref="R526" si="245">C526-E526-G526</f>
        <v>239456</v>
      </c>
      <c r="S526" s="696">
        <f>H526-H525</f>
        <v>-62</v>
      </c>
      <c r="T526" s="91">
        <f t="shared" ref="T526" si="246">(C526-G526-E526)-(C525-E525-G525)</f>
        <v>-2223</v>
      </c>
    </row>
    <row r="527" spans="1:20" x14ac:dyDescent="0.25">
      <c r="A527" s="18">
        <v>44418</v>
      </c>
      <c r="B527" s="126">
        <v>12412</v>
      </c>
      <c r="C527" s="154">
        <f t="shared" si="167"/>
        <v>5041487</v>
      </c>
      <c r="D527" s="126">
        <v>206</v>
      </c>
      <c r="E527" s="126">
        <f t="shared" ref="E527" si="247">E526+D527</f>
        <v>108164</v>
      </c>
      <c r="F527" s="126">
        <f t="shared" ref="F527" si="248">G527-G526</f>
        <v>9862</v>
      </c>
      <c r="G527" s="154">
        <v>4691523</v>
      </c>
      <c r="H527" s="126">
        <v>3652</v>
      </c>
      <c r="I527" s="4">
        <v>102072</v>
      </c>
      <c r="J527" s="4">
        <f t="shared" si="209"/>
        <v>20301766</v>
      </c>
      <c r="K527" s="7">
        <v>34811</v>
      </c>
      <c r="L527" s="7">
        <v>9677747</v>
      </c>
      <c r="M527" s="4">
        <f t="shared" si="201"/>
        <v>9712558</v>
      </c>
      <c r="N527" s="4"/>
      <c r="O527" s="4"/>
      <c r="P527" s="4"/>
      <c r="Q527" s="4"/>
      <c r="R527" s="4">
        <f t="shared" ref="R527:R528" si="249">C527-E527-G527</f>
        <v>241800</v>
      </c>
      <c r="S527" s="696">
        <f>H527-H526</f>
        <v>39</v>
      </c>
      <c r="T527" s="91">
        <f t="shared" ref="T527:T528" si="250">(C527-G527-E527)-(C526-E526-G526)</f>
        <v>2344</v>
      </c>
    </row>
    <row r="528" spans="1:20" x14ac:dyDescent="0.25">
      <c r="A528" s="18">
        <v>44419</v>
      </c>
      <c r="B528" s="126">
        <v>11397</v>
      </c>
      <c r="C528" s="154">
        <f t="shared" si="167"/>
        <v>5052884</v>
      </c>
      <c r="D528" s="126">
        <v>223</v>
      </c>
      <c r="E528" s="126">
        <f t="shared" ref="E528" si="251">E527+D528</f>
        <v>108387</v>
      </c>
      <c r="F528" s="126">
        <f t="shared" ref="F528" si="252">G528-G527</f>
        <v>8507</v>
      </c>
      <c r="G528" s="154">
        <v>4700030</v>
      </c>
      <c r="H528" s="126">
        <v>3635</v>
      </c>
      <c r="I528" s="4">
        <v>84924</v>
      </c>
      <c r="J528" s="4">
        <f t="shared" si="209"/>
        <v>20386690</v>
      </c>
      <c r="K528" s="7">
        <v>35013</v>
      </c>
      <c r="L528" s="7">
        <v>9712843</v>
      </c>
      <c r="M528" s="4">
        <f t="shared" si="201"/>
        <v>9747856</v>
      </c>
      <c r="N528" s="4"/>
      <c r="O528" s="4"/>
      <c r="P528" s="4"/>
      <c r="Q528" s="4"/>
      <c r="R528" s="4">
        <f t="shared" si="249"/>
        <v>244467</v>
      </c>
      <c r="S528" s="696">
        <f>H528-H527</f>
        <v>-17</v>
      </c>
      <c r="T528" s="91">
        <f t="shared" si="250"/>
        <v>2667</v>
      </c>
    </row>
    <row r="529" spans="1:20" x14ac:dyDescent="0.25">
      <c r="A529" s="18">
        <v>44420</v>
      </c>
      <c r="B529" s="126">
        <v>13369</v>
      </c>
      <c r="C529" s="154">
        <f t="shared" si="167"/>
        <v>5066253</v>
      </c>
      <c r="D529" s="126">
        <v>182</v>
      </c>
      <c r="E529" s="126">
        <f t="shared" ref="E529" si="253">E528+D529</f>
        <v>108569</v>
      </c>
      <c r="F529" s="126">
        <f t="shared" ref="F529" si="254">G529-G528</f>
        <v>13381</v>
      </c>
      <c r="G529" s="154">
        <v>4713411</v>
      </c>
      <c r="H529" s="126">
        <v>3623</v>
      </c>
      <c r="I529" s="4">
        <v>140564</v>
      </c>
      <c r="J529" s="4">
        <f t="shared" si="209"/>
        <v>20527254</v>
      </c>
      <c r="K529" s="7">
        <v>35062</v>
      </c>
      <c r="L529" s="7">
        <v>9743097</v>
      </c>
      <c r="M529" s="4">
        <f t="shared" si="201"/>
        <v>9778159</v>
      </c>
      <c r="N529" s="4"/>
      <c r="O529" s="4"/>
      <c r="P529" s="4"/>
      <c r="Q529" s="4"/>
      <c r="R529" s="4">
        <f t="shared" ref="R529" si="255">C529-E529-G529</f>
        <v>244273</v>
      </c>
      <c r="S529" s="696">
        <f>H529-H528</f>
        <v>-12</v>
      </c>
      <c r="T529" s="91">
        <f t="shared" ref="T529" si="256">(C529-G529-E529)-(C528-E528-G528)</f>
        <v>-194</v>
      </c>
    </row>
    <row r="530" spans="1:20" x14ac:dyDescent="0.25">
      <c r="A530" s="18">
        <v>44421</v>
      </c>
      <c r="B530" s="126">
        <v>8472</v>
      </c>
      <c r="C530" s="154">
        <f t="shared" si="167"/>
        <v>5074725</v>
      </c>
      <c r="D530" s="126">
        <v>246</v>
      </c>
      <c r="E530" s="126">
        <f t="shared" ref="E530:E531" si="257">E529+D530</f>
        <v>108815</v>
      </c>
      <c r="F530" s="126">
        <f t="shared" ref="F530:F531" si="258">G530-G529</f>
        <v>12015</v>
      </c>
      <c r="G530" s="154">
        <v>4725426</v>
      </c>
      <c r="H530" s="126">
        <v>3598</v>
      </c>
      <c r="I530" s="4">
        <v>82644</v>
      </c>
      <c r="J530" s="4">
        <f t="shared" si="209"/>
        <v>20609898</v>
      </c>
      <c r="K530" s="7">
        <v>35494</v>
      </c>
      <c r="L530" s="7">
        <v>9813224</v>
      </c>
      <c r="M530" s="4">
        <f t="shared" si="201"/>
        <v>9848718</v>
      </c>
      <c r="N530" s="4"/>
      <c r="O530" s="4"/>
      <c r="P530" s="4"/>
      <c r="Q530" s="4"/>
      <c r="R530" s="4">
        <f t="shared" ref="R530:R531" si="259">C530-E530-G530</f>
        <v>240484</v>
      </c>
      <c r="S530" s="696">
        <f>H530-H529</f>
        <v>-25</v>
      </c>
      <c r="T530" s="91">
        <f t="shared" ref="T530:T531" si="260">(C530-G530-E530)-(C529-E529-G529)</f>
        <v>-3789</v>
      </c>
    </row>
    <row r="531" spans="1:20" x14ac:dyDescent="0.25">
      <c r="A531" s="18">
        <v>44422</v>
      </c>
      <c r="B531" s="126">
        <v>6183</v>
      </c>
      <c r="C531" s="154">
        <f t="shared" si="167"/>
        <v>5080908</v>
      </c>
      <c r="D531" s="126">
        <v>121</v>
      </c>
      <c r="E531" s="126">
        <f t="shared" si="257"/>
        <v>108936</v>
      </c>
      <c r="F531" s="126">
        <f t="shared" si="258"/>
        <v>11206</v>
      </c>
      <c r="G531" s="154">
        <v>4736632</v>
      </c>
      <c r="H531" s="126">
        <v>3571</v>
      </c>
      <c r="I531" s="4">
        <v>93171</v>
      </c>
      <c r="J531" s="4">
        <f t="shared" si="209"/>
        <v>20703069</v>
      </c>
      <c r="K531" s="7">
        <v>35861</v>
      </c>
      <c r="L531" s="7">
        <v>9857119</v>
      </c>
      <c r="M531" s="4">
        <f t="shared" si="201"/>
        <v>9892980</v>
      </c>
      <c r="N531" s="4"/>
      <c r="O531" s="4"/>
      <c r="P531" s="4"/>
      <c r="Q531" s="4"/>
      <c r="R531" s="4">
        <f t="shared" si="259"/>
        <v>235340</v>
      </c>
      <c r="S531" s="696">
        <f>H531-H530</f>
        <v>-27</v>
      </c>
      <c r="T531" s="91">
        <f t="shared" si="260"/>
        <v>-5144</v>
      </c>
    </row>
    <row r="532" spans="1:20" x14ac:dyDescent="0.25">
      <c r="A532" s="18">
        <v>44423</v>
      </c>
      <c r="B532" s="126">
        <v>3727</v>
      </c>
      <c r="C532" s="154">
        <f t="shared" si="167"/>
        <v>5084635</v>
      </c>
      <c r="D532" s="126">
        <v>105</v>
      </c>
      <c r="E532" s="126">
        <f t="shared" ref="E532" si="261">E531+D532</f>
        <v>109041</v>
      </c>
      <c r="F532" s="126">
        <f t="shared" ref="F532" si="262">G532-G531</f>
        <v>10362</v>
      </c>
      <c r="G532" s="154">
        <v>4746994</v>
      </c>
      <c r="H532" s="126">
        <v>3574</v>
      </c>
      <c r="I532" s="4">
        <v>51570</v>
      </c>
      <c r="J532" s="4">
        <f t="shared" si="209"/>
        <v>20754639</v>
      </c>
      <c r="K532" s="7">
        <v>35971</v>
      </c>
      <c r="L532" s="7">
        <v>9882535</v>
      </c>
      <c r="M532" s="4">
        <f t="shared" si="201"/>
        <v>9918506</v>
      </c>
      <c r="N532" s="4"/>
      <c r="O532" s="4"/>
      <c r="P532" s="4"/>
      <c r="Q532" s="4"/>
      <c r="R532" s="4">
        <f t="shared" ref="R532" si="263">C532-E532-G532</f>
        <v>228600</v>
      </c>
      <c r="S532" s="696">
        <f>H532-H531</f>
        <v>3</v>
      </c>
      <c r="T532" s="91">
        <f t="shared" ref="T532" si="264">(C532-G532-E532)-(C531-E531-G531)</f>
        <v>-6740</v>
      </c>
    </row>
    <row r="533" spans="1:20" x14ac:dyDescent="0.25">
      <c r="A533" s="18">
        <v>44424</v>
      </c>
      <c r="B533" s="126">
        <v>3636</v>
      </c>
      <c r="C533" s="154">
        <f t="shared" si="167"/>
        <v>5088271</v>
      </c>
      <c r="D533" s="126">
        <v>64</v>
      </c>
      <c r="E533" s="126">
        <f t="shared" ref="E533" si="265">E532+D533</f>
        <v>109105</v>
      </c>
      <c r="F533" s="126">
        <f t="shared" ref="F533" si="266">G533-G532</f>
        <v>11134</v>
      </c>
      <c r="G533" s="154">
        <v>4758128</v>
      </c>
      <c r="H533" s="126">
        <v>3528</v>
      </c>
      <c r="I533" s="4">
        <v>39608</v>
      </c>
      <c r="J533" s="4">
        <f t="shared" si="209"/>
        <v>20794247</v>
      </c>
      <c r="K533" s="7">
        <v>36269</v>
      </c>
      <c r="L533" s="7">
        <v>9899978</v>
      </c>
      <c r="M533" s="4">
        <f t="shared" si="201"/>
        <v>9936247</v>
      </c>
      <c r="N533" s="4"/>
      <c r="O533" s="4"/>
      <c r="P533" s="4"/>
      <c r="Q533" s="4"/>
      <c r="R533" s="4">
        <f t="shared" ref="R533" si="267">C533-E533-G533</f>
        <v>221038</v>
      </c>
      <c r="S533" s="696">
        <f>H533-H532</f>
        <v>-46</v>
      </c>
      <c r="T533" s="91">
        <f t="shared" ref="T533" si="268">(C533-G533-E533)-(C532-E532-G532)</f>
        <v>-7562</v>
      </c>
    </row>
    <row r="534" spans="1:20" x14ac:dyDescent="0.25">
      <c r="A534" s="18">
        <v>44425</v>
      </c>
      <c r="B534" s="126">
        <v>8172</v>
      </c>
      <c r="C534" s="154">
        <f t="shared" si="167"/>
        <v>5096443</v>
      </c>
      <c r="D534" s="126">
        <v>300</v>
      </c>
      <c r="E534" s="126">
        <f t="shared" ref="E534" si="269">E533+D534</f>
        <v>109405</v>
      </c>
      <c r="F534" s="126">
        <f t="shared" ref="F534" si="270">G534-G533</f>
        <v>8913</v>
      </c>
      <c r="G534" s="154">
        <v>4767041</v>
      </c>
      <c r="H534" s="126">
        <v>3502</v>
      </c>
      <c r="I534" s="4">
        <v>78611</v>
      </c>
      <c r="J534" s="4">
        <f t="shared" si="209"/>
        <v>20872858</v>
      </c>
      <c r="K534" s="7"/>
      <c r="L534" s="7"/>
      <c r="M534" s="4"/>
      <c r="N534" s="4"/>
      <c r="O534" s="4"/>
      <c r="P534" s="4"/>
      <c r="Q534" s="4"/>
      <c r="R534" s="4">
        <f t="shared" ref="R534" si="271">C534-E534-G534</f>
        <v>219997</v>
      </c>
      <c r="S534" s="696">
        <f>H534-H533</f>
        <v>-26</v>
      </c>
      <c r="T534" s="91">
        <f t="shared" ref="T534" si="272">(C534-G534-E534)-(C533-E533-G533)</f>
        <v>-1041</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2794"/>
  <sheetViews>
    <sheetView topLeftCell="A12775" zoomScale="85" zoomScaleNormal="85" workbookViewId="0">
      <selection activeCell="E12770" sqref="E12770:E12793"/>
    </sheetView>
  </sheetViews>
  <sheetFormatPr baseColWidth="10" defaultRowHeight="15" x14ac:dyDescent="0.25"/>
  <cols>
    <col min="1" max="1" width="21.5703125" style="361" customWidth="1"/>
    <col min="2" max="2" width="11.5703125" style="1" customWidth="1"/>
    <col min="3" max="3" width="8.7109375" style="1" customWidth="1"/>
    <col min="4" max="4" width="11.42578125" style="39" customWidth="1"/>
    <col min="5" max="5" width="5.28515625" style="1" customWidth="1"/>
    <col min="6" max="6" width="9.5703125" style="413" customWidth="1"/>
    <col min="7" max="7" width="10" style="497" customWidth="1"/>
    <col min="8" max="8" width="11.85546875" style="497" customWidth="1"/>
    <col min="9" max="9" width="9.140625" style="42" customWidth="1"/>
    <col min="10" max="10" width="10.5703125" style="42" customWidth="1"/>
    <col min="11" max="11" width="8" style="42" customWidth="1"/>
    <col min="12" max="12" width="9.85546875" style="42" customWidth="1"/>
    <col min="13" max="13" width="8.5703125" style="42" customWidth="1"/>
    <col min="14" max="14" width="17.7109375" style="42" customWidth="1"/>
    <col min="15" max="15" width="7.85546875" style="42" customWidth="1"/>
    <col min="16" max="16" width="5.85546875" style="42" customWidth="1"/>
    <col min="17" max="17" width="3.42578125" style="42" customWidth="1"/>
    <col min="18" max="18" width="7.28515625" style="42" customWidth="1"/>
    <col min="19" max="19" width="14" style="42" bestFit="1" customWidth="1"/>
    <col min="20" max="16384" width="11.42578125" style="42"/>
  </cols>
  <sheetData>
    <row r="1" spans="1:13" x14ac:dyDescent="0.25">
      <c r="A1" s="359" t="s">
        <v>24</v>
      </c>
      <c r="B1" s="232" t="s">
        <v>25</v>
      </c>
      <c r="C1" s="232" t="s">
        <v>26</v>
      </c>
      <c r="D1" s="67" t="s">
        <v>27</v>
      </c>
      <c r="E1" s="263" t="s">
        <v>99</v>
      </c>
      <c r="F1" s="407" t="s">
        <v>101</v>
      </c>
      <c r="G1" s="408" t="s">
        <v>112</v>
      </c>
      <c r="H1" s="408" t="s">
        <v>118</v>
      </c>
      <c r="I1" s="408" t="s">
        <v>242</v>
      </c>
      <c r="J1" s="408" t="s">
        <v>243</v>
      </c>
      <c r="K1" s="408" t="s">
        <v>244</v>
      </c>
      <c r="L1" s="42" t="s">
        <v>295</v>
      </c>
      <c r="M1" s="42" t="s">
        <v>290</v>
      </c>
    </row>
    <row r="2" spans="1:13" s="360" customFormat="1" x14ac:dyDescent="0.25">
      <c r="A2" s="361" t="s">
        <v>16</v>
      </c>
      <c r="B2" s="2">
        <v>43893</v>
      </c>
      <c r="C2" s="1">
        <v>0</v>
      </c>
      <c r="D2" s="39">
        <v>0</v>
      </c>
      <c r="E2" s="1"/>
      <c r="F2" s="39"/>
      <c r="G2" s="497"/>
      <c r="H2" s="497"/>
      <c r="J2" s="42"/>
    </row>
    <row r="3" spans="1:13" s="360" customFormat="1" x14ac:dyDescent="0.25">
      <c r="A3" s="19" t="s">
        <v>28</v>
      </c>
      <c r="B3" s="2">
        <v>43893</v>
      </c>
      <c r="C3" s="1">
        <v>0</v>
      </c>
      <c r="D3" s="39">
        <v>0</v>
      </c>
      <c r="E3" s="1"/>
      <c r="F3" s="39"/>
      <c r="G3" s="497"/>
      <c r="H3" s="497"/>
      <c r="J3" s="42"/>
    </row>
    <row r="4" spans="1:13" s="360" customFormat="1" x14ac:dyDescent="0.25">
      <c r="A4" s="19" t="s">
        <v>15</v>
      </c>
      <c r="B4" s="2">
        <v>43893</v>
      </c>
      <c r="C4" s="1">
        <v>0</v>
      </c>
      <c r="D4" s="39">
        <v>0</v>
      </c>
      <c r="E4" s="1"/>
      <c r="F4" s="39"/>
      <c r="G4" s="497"/>
      <c r="H4" s="497"/>
      <c r="J4" s="42"/>
    </row>
    <row r="5" spans="1:13" s="360" customFormat="1" x14ac:dyDescent="0.25">
      <c r="A5" s="19" t="s">
        <v>29</v>
      </c>
      <c r="B5" s="2">
        <v>43893</v>
      </c>
      <c r="C5" s="1">
        <v>0</v>
      </c>
      <c r="D5" s="39">
        <v>0</v>
      </c>
      <c r="E5" s="1"/>
      <c r="F5" s="39"/>
      <c r="G5" s="497"/>
      <c r="H5" s="497"/>
      <c r="J5" s="42"/>
    </row>
    <row r="6" spans="1:13" s="360" customFormat="1" x14ac:dyDescent="0.25">
      <c r="A6" s="19" t="s">
        <v>43</v>
      </c>
      <c r="B6" s="2">
        <v>43893</v>
      </c>
      <c r="C6" s="1">
        <v>1</v>
      </c>
      <c r="D6" s="39">
        <v>1</v>
      </c>
      <c r="E6" s="1"/>
      <c r="F6" s="39"/>
      <c r="G6" s="497"/>
      <c r="H6" s="497"/>
      <c r="J6" s="42"/>
    </row>
    <row r="7" spans="1:13" s="360" customFormat="1" x14ac:dyDescent="0.25">
      <c r="A7" s="19" t="s">
        <v>20</v>
      </c>
      <c r="B7" s="2">
        <v>43893</v>
      </c>
      <c r="C7" s="1">
        <v>0</v>
      </c>
      <c r="D7" s="39">
        <v>0</v>
      </c>
      <c r="E7" s="1"/>
      <c r="F7" s="39"/>
      <c r="G7" s="497"/>
      <c r="H7" s="497"/>
      <c r="J7" s="42"/>
    </row>
    <row r="8" spans="1:13" s="360" customFormat="1" x14ac:dyDescent="0.25">
      <c r="A8" s="19" t="s">
        <v>30</v>
      </c>
      <c r="B8" s="2">
        <v>43893</v>
      </c>
      <c r="C8" s="1">
        <v>0</v>
      </c>
      <c r="D8" s="39">
        <v>0</v>
      </c>
      <c r="E8" s="1"/>
      <c r="F8" s="39"/>
      <c r="G8" s="497"/>
      <c r="H8" s="497"/>
      <c r="J8" s="42"/>
    </row>
    <row r="9" spans="1:13" x14ac:dyDescent="0.25">
      <c r="A9" s="19" t="s">
        <v>31</v>
      </c>
      <c r="B9" s="2">
        <v>43893</v>
      </c>
      <c r="C9" s="1">
        <v>0</v>
      </c>
      <c r="D9" s="39">
        <v>0</v>
      </c>
      <c r="F9" s="39"/>
    </row>
    <row r="10" spans="1:13" s="360" customFormat="1" x14ac:dyDescent="0.25">
      <c r="A10" s="19" t="s">
        <v>41</v>
      </c>
      <c r="B10" s="2">
        <v>43893</v>
      </c>
      <c r="C10" s="1">
        <v>0</v>
      </c>
      <c r="D10" s="39">
        <v>0</v>
      </c>
      <c r="E10" s="1"/>
      <c r="F10" s="39"/>
      <c r="G10" s="497"/>
      <c r="H10" s="497"/>
      <c r="J10" s="42"/>
    </row>
    <row r="11" spans="1:13" s="360" customFormat="1" x14ac:dyDescent="0.25">
      <c r="A11" s="19" t="s">
        <v>32</v>
      </c>
      <c r="B11" s="2">
        <v>43893</v>
      </c>
      <c r="C11" s="1">
        <v>0</v>
      </c>
      <c r="D11" s="39">
        <v>0</v>
      </c>
      <c r="E11" s="1"/>
      <c r="F11" s="39"/>
      <c r="G11" s="497"/>
      <c r="H11" s="497"/>
      <c r="J11" s="42"/>
    </row>
    <row r="12" spans="1:13" s="360" customFormat="1" x14ac:dyDescent="0.25">
      <c r="A12" s="19" t="s">
        <v>33</v>
      </c>
      <c r="B12" s="2">
        <v>43893</v>
      </c>
      <c r="C12" s="1">
        <v>0</v>
      </c>
      <c r="D12" s="39">
        <v>0</v>
      </c>
      <c r="E12" s="1"/>
      <c r="F12" s="39"/>
      <c r="G12" s="497"/>
      <c r="H12" s="497"/>
      <c r="J12" s="42"/>
    </row>
    <row r="13" spans="1:13" s="360" customFormat="1" x14ac:dyDescent="0.25">
      <c r="A13" s="19" t="s">
        <v>21</v>
      </c>
      <c r="B13" s="2">
        <v>43893</v>
      </c>
      <c r="C13" s="1">
        <v>0</v>
      </c>
      <c r="D13" s="39">
        <v>0</v>
      </c>
      <c r="E13" s="1"/>
      <c r="F13" s="39"/>
      <c r="G13" s="497"/>
      <c r="H13" s="497"/>
      <c r="J13" s="42"/>
    </row>
    <row r="14" spans="1:13" s="360" customFormat="1" x14ac:dyDescent="0.25">
      <c r="A14" s="19" t="s">
        <v>17</v>
      </c>
      <c r="B14" s="2">
        <v>43893</v>
      </c>
      <c r="C14" s="1">
        <v>0</v>
      </c>
      <c r="D14" s="39">
        <v>0</v>
      </c>
      <c r="E14" s="1"/>
      <c r="F14" s="39"/>
      <c r="G14" s="497"/>
      <c r="H14" s="497"/>
      <c r="J14" s="42"/>
    </row>
    <row r="15" spans="1:13" s="360" customFormat="1" x14ac:dyDescent="0.25">
      <c r="A15" s="19" t="s">
        <v>23</v>
      </c>
      <c r="B15" s="2">
        <v>43893</v>
      </c>
      <c r="C15" s="1">
        <v>0</v>
      </c>
      <c r="D15" s="39">
        <v>0</v>
      </c>
      <c r="E15" s="1"/>
      <c r="F15" s="39"/>
      <c r="G15" s="497"/>
      <c r="H15" s="497"/>
      <c r="J15" s="42"/>
    </row>
    <row r="16" spans="1:13" s="360" customFormat="1" x14ac:dyDescent="0.25">
      <c r="A16" s="19" t="s">
        <v>19</v>
      </c>
      <c r="B16" s="2">
        <v>43893</v>
      </c>
      <c r="C16" s="1">
        <v>0</v>
      </c>
      <c r="D16" s="39">
        <v>0</v>
      </c>
      <c r="E16" s="1"/>
      <c r="F16" s="39"/>
      <c r="G16" s="497"/>
      <c r="H16" s="497"/>
      <c r="J16" s="42"/>
    </row>
    <row r="17" spans="1:10" s="360" customFormat="1" x14ac:dyDescent="0.25">
      <c r="A17" s="19" t="s">
        <v>18</v>
      </c>
      <c r="B17" s="2">
        <v>43893</v>
      </c>
      <c r="C17" s="1">
        <v>0</v>
      </c>
      <c r="D17" s="39">
        <v>0</v>
      </c>
      <c r="E17" s="1"/>
      <c r="F17" s="39"/>
      <c r="G17" s="497"/>
      <c r="H17" s="497"/>
      <c r="J17" s="42"/>
    </row>
    <row r="18" spans="1:10" s="360" customFormat="1" x14ac:dyDescent="0.25">
      <c r="A18" s="19" t="s">
        <v>34</v>
      </c>
      <c r="B18" s="2">
        <v>43893</v>
      </c>
      <c r="C18" s="1">
        <v>0</v>
      </c>
      <c r="D18" s="39">
        <v>0</v>
      </c>
      <c r="E18" s="1"/>
      <c r="F18" s="39"/>
      <c r="G18" s="497"/>
      <c r="H18" s="497"/>
      <c r="J18" s="42"/>
    </row>
    <row r="19" spans="1:10" s="360" customFormat="1" x14ac:dyDescent="0.25">
      <c r="A19" s="19" t="s">
        <v>35</v>
      </c>
      <c r="B19" s="2">
        <v>43893</v>
      </c>
      <c r="C19" s="1">
        <v>0</v>
      </c>
      <c r="D19" s="39">
        <v>0</v>
      </c>
      <c r="E19" s="1"/>
      <c r="F19" s="39"/>
      <c r="G19" s="497"/>
      <c r="H19" s="497"/>
      <c r="J19" s="42"/>
    </row>
    <row r="20" spans="1:10" s="360" customFormat="1" x14ac:dyDescent="0.25">
      <c r="A20" s="19" t="s">
        <v>36</v>
      </c>
      <c r="B20" s="2">
        <v>43893</v>
      </c>
      <c r="C20" s="1">
        <v>0</v>
      </c>
      <c r="D20" s="39">
        <v>0</v>
      </c>
      <c r="E20" s="1"/>
      <c r="F20" s="39"/>
      <c r="G20" s="497"/>
      <c r="H20" s="497"/>
      <c r="J20" s="42"/>
    </row>
    <row r="21" spans="1:10" s="360" customFormat="1" x14ac:dyDescent="0.25">
      <c r="A21" s="19" t="s">
        <v>37</v>
      </c>
      <c r="B21" s="2">
        <v>43893</v>
      </c>
      <c r="C21" s="1">
        <v>0</v>
      </c>
      <c r="D21" s="39">
        <v>0</v>
      </c>
      <c r="E21" s="1"/>
      <c r="F21" s="39"/>
      <c r="G21" s="497"/>
      <c r="H21" s="497"/>
      <c r="J21" s="42"/>
    </row>
    <row r="22" spans="1:10" s="360" customFormat="1" x14ac:dyDescent="0.25">
      <c r="A22" s="19" t="s">
        <v>22</v>
      </c>
      <c r="B22" s="2">
        <v>43893</v>
      </c>
      <c r="C22" s="1">
        <v>0</v>
      </c>
      <c r="D22" s="39">
        <v>0</v>
      </c>
      <c r="E22" s="1"/>
      <c r="F22" s="39"/>
      <c r="G22" s="497"/>
      <c r="H22" s="497"/>
      <c r="J22" s="42"/>
    </row>
    <row r="23" spans="1:10" s="360" customFormat="1" x14ac:dyDescent="0.25">
      <c r="A23" s="19" t="s">
        <v>38</v>
      </c>
      <c r="B23" s="2">
        <v>43893</v>
      </c>
      <c r="C23" s="1">
        <v>0</v>
      </c>
      <c r="D23" s="39">
        <v>0</v>
      </c>
      <c r="E23" s="1"/>
      <c r="F23" s="39"/>
      <c r="G23" s="497"/>
      <c r="H23" s="497"/>
      <c r="J23" s="42"/>
    </row>
    <row r="24" spans="1:10" s="360" customFormat="1" x14ac:dyDescent="0.25">
      <c r="A24" s="19" t="s">
        <v>39</v>
      </c>
      <c r="B24" s="2">
        <v>43893</v>
      </c>
      <c r="C24" s="1">
        <v>0</v>
      </c>
      <c r="D24" s="39">
        <v>0</v>
      </c>
      <c r="E24" s="1"/>
      <c r="F24" s="39"/>
      <c r="G24" s="497"/>
      <c r="H24" s="497"/>
      <c r="J24" s="42"/>
    </row>
    <row r="25" spans="1:10" s="360" customFormat="1" x14ac:dyDescent="0.25">
      <c r="A25" s="19" t="s">
        <v>40</v>
      </c>
      <c r="B25" s="2">
        <v>43893</v>
      </c>
      <c r="C25" s="1">
        <v>0</v>
      </c>
      <c r="D25" s="39">
        <v>0</v>
      </c>
      <c r="E25" s="1"/>
      <c r="F25" s="39"/>
      <c r="G25" s="497"/>
      <c r="H25" s="497"/>
      <c r="J25" s="42"/>
    </row>
    <row r="26" spans="1:10" s="360" customFormat="1" x14ac:dyDescent="0.25">
      <c r="A26" s="361" t="s">
        <v>16</v>
      </c>
      <c r="B26" s="2">
        <v>43894</v>
      </c>
      <c r="C26" s="1">
        <v>0</v>
      </c>
      <c r="D26" s="39">
        <v>0</v>
      </c>
      <c r="E26" s="1"/>
      <c r="F26" s="39">
        <f>E26+F2</f>
        <v>0</v>
      </c>
      <c r="G26" s="497"/>
      <c r="H26" s="497"/>
      <c r="J26" s="42"/>
    </row>
    <row r="27" spans="1:10" s="360" customFormat="1" x14ac:dyDescent="0.25">
      <c r="A27" s="19" t="s">
        <v>28</v>
      </c>
      <c r="B27" s="2">
        <v>43894</v>
      </c>
      <c r="C27" s="1">
        <v>0</v>
      </c>
      <c r="D27" s="39">
        <v>0</v>
      </c>
      <c r="E27" s="1"/>
      <c r="F27" s="39">
        <f t="shared" ref="F27:F90" si="0">E27+F3</f>
        <v>0</v>
      </c>
      <c r="G27" s="497"/>
      <c r="H27" s="497"/>
      <c r="J27" s="42"/>
    </row>
    <row r="28" spans="1:10" s="360" customFormat="1" x14ac:dyDescent="0.25">
      <c r="A28" s="19" t="s">
        <v>15</v>
      </c>
      <c r="B28" s="2">
        <v>43894</v>
      </c>
      <c r="C28" s="1">
        <v>0</v>
      </c>
      <c r="D28" s="39">
        <v>0</v>
      </c>
      <c r="E28" s="1"/>
      <c r="F28" s="39">
        <f t="shared" si="0"/>
        <v>0</v>
      </c>
      <c r="G28" s="497"/>
      <c r="H28" s="497"/>
      <c r="J28" s="42"/>
    </row>
    <row r="29" spans="1:10" s="360" customFormat="1" x14ac:dyDescent="0.25">
      <c r="A29" s="19" t="s">
        <v>29</v>
      </c>
      <c r="B29" s="2">
        <v>43894</v>
      </c>
      <c r="C29" s="1">
        <v>0</v>
      </c>
      <c r="D29" s="39">
        <v>0</v>
      </c>
      <c r="E29" s="1"/>
      <c r="F29" s="39">
        <f t="shared" si="0"/>
        <v>0</v>
      </c>
      <c r="G29" s="497"/>
      <c r="H29" s="497"/>
      <c r="J29" s="42"/>
    </row>
    <row r="30" spans="1:10" s="360" customFormat="1" x14ac:dyDescent="0.25">
      <c r="A30" s="19" t="s">
        <v>43</v>
      </c>
      <c r="B30" s="2">
        <v>43894</v>
      </c>
      <c r="C30" s="1">
        <v>0</v>
      </c>
      <c r="D30" s="39">
        <v>1</v>
      </c>
      <c r="E30" s="1"/>
      <c r="F30" s="39">
        <f t="shared" si="0"/>
        <v>0</v>
      </c>
      <c r="G30" s="497"/>
      <c r="H30" s="497"/>
      <c r="J30" s="42"/>
    </row>
    <row r="31" spans="1:10" s="360" customFormat="1" x14ac:dyDescent="0.25">
      <c r="A31" s="19" t="s">
        <v>20</v>
      </c>
      <c r="B31" s="2">
        <v>43894</v>
      </c>
      <c r="C31" s="1">
        <v>0</v>
      </c>
      <c r="D31" s="39">
        <v>0</v>
      </c>
      <c r="E31" s="1"/>
      <c r="F31" s="39">
        <f t="shared" si="0"/>
        <v>0</v>
      </c>
      <c r="G31" s="497"/>
      <c r="H31" s="497"/>
      <c r="J31" s="42"/>
    </row>
    <row r="32" spans="1:10" s="360" customFormat="1" x14ac:dyDescent="0.25">
      <c r="A32" s="19" t="s">
        <v>30</v>
      </c>
      <c r="B32" s="2">
        <v>43894</v>
      </c>
      <c r="C32" s="1">
        <v>0</v>
      </c>
      <c r="D32" s="39">
        <v>0</v>
      </c>
      <c r="E32" s="1"/>
      <c r="F32" s="39">
        <f t="shared" si="0"/>
        <v>0</v>
      </c>
      <c r="G32" s="497"/>
      <c r="H32" s="497"/>
      <c r="J32" s="42"/>
    </row>
    <row r="33" spans="1:10" x14ac:dyDescent="0.25">
      <c r="A33" s="19" t="s">
        <v>31</v>
      </c>
      <c r="B33" s="2">
        <v>43894</v>
      </c>
      <c r="C33" s="1">
        <v>0</v>
      </c>
      <c r="D33" s="39">
        <v>0</v>
      </c>
      <c r="F33" s="39">
        <f t="shared" si="0"/>
        <v>0</v>
      </c>
    </row>
    <row r="34" spans="1:10" s="360" customFormat="1" x14ac:dyDescent="0.25">
      <c r="A34" s="19" t="s">
        <v>41</v>
      </c>
      <c r="B34" s="2">
        <v>43894</v>
      </c>
      <c r="C34" s="1">
        <v>0</v>
      </c>
      <c r="D34" s="39">
        <v>0</v>
      </c>
      <c r="E34" s="1"/>
      <c r="F34" s="39">
        <f t="shared" si="0"/>
        <v>0</v>
      </c>
      <c r="G34" s="497"/>
      <c r="H34" s="497"/>
      <c r="J34" s="42"/>
    </row>
    <row r="35" spans="1:10" s="360" customFormat="1" x14ac:dyDescent="0.25">
      <c r="A35" s="19" t="s">
        <v>32</v>
      </c>
      <c r="B35" s="2">
        <v>43894</v>
      </c>
      <c r="C35" s="1">
        <v>0</v>
      </c>
      <c r="D35" s="39">
        <v>0</v>
      </c>
      <c r="E35" s="1"/>
      <c r="F35" s="39">
        <f t="shared" si="0"/>
        <v>0</v>
      </c>
      <c r="G35" s="497"/>
      <c r="H35" s="497"/>
      <c r="J35" s="42"/>
    </row>
    <row r="36" spans="1:10" s="360" customFormat="1" x14ac:dyDescent="0.25">
      <c r="A36" s="19" t="s">
        <v>33</v>
      </c>
      <c r="B36" s="2">
        <v>43894</v>
      </c>
      <c r="C36" s="1">
        <v>0</v>
      </c>
      <c r="D36" s="39">
        <v>0</v>
      </c>
      <c r="E36" s="1"/>
      <c r="F36" s="39">
        <f t="shared" si="0"/>
        <v>0</v>
      </c>
      <c r="G36" s="497"/>
      <c r="H36" s="497"/>
      <c r="J36" s="42"/>
    </row>
    <row r="37" spans="1:10" s="360" customFormat="1" x14ac:dyDescent="0.25">
      <c r="A37" s="19" t="s">
        <v>21</v>
      </c>
      <c r="B37" s="2">
        <v>43894</v>
      </c>
      <c r="C37" s="1">
        <v>0</v>
      </c>
      <c r="D37" s="39">
        <v>0</v>
      </c>
      <c r="E37" s="1"/>
      <c r="F37" s="39">
        <f t="shared" si="0"/>
        <v>0</v>
      </c>
      <c r="G37" s="497"/>
      <c r="H37" s="497"/>
      <c r="J37" s="42"/>
    </row>
    <row r="38" spans="1:10" s="360" customFormat="1" x14ac:dyDescent="0.25">
      <c r="A38" s="19" t="s">
        <v>17</v>
      </c>
      <c r="B38" s="2">
        <v>43894</v>
      </c>
      <c r="C38" s="1">
        <v>0</v>
      </c>
      <c r="D38" s="39">
        <v>0</v>
      </c>
      <c r="E38" s="1"/>
      <c r="F38" s="39">
        <f t="shared" si="0"/>
        <v>0</v>
      </c>
      <c r="G38" s="497"/>
      <c r="H38" s="497"/>
      <c r="J38" s="42"/>
    </row>
    <row r="39" spans="1:10" s="360" customFormat="1" x14ac:dyDescent="0.25">
      <c r="A39" s="19" t="s">
        <v>23</v>
      </c>
      <c r="B39" s="2">
        <v>43894</v>
      </c>
      <c r="C39" s="1">
        <v>0</v>
      </c>
      <c r="D39" s="39">
        <v>0</v>
      </c>
      <c r="E39" s="1"/>
      <c r="F39" s="39">
        <f t="shared" si="0"/>
        <v>0</v>
      </c>
      <c r="G39" s="497"/>
      <c r="H39" s="497"/>
      <c r="J39" s="42"/>
    </row>
    <row r="40" spans="1:10" s="360" customFormat="1" x14ac:dyDescent="0.25">
      <c r="A40" s="19" t="s">
        <v>19</v>
      </c>
      <c r="B40" s="2">
        <v>43894</v>
      </c>
      <c r="C40" s="1">
        <v>0</v>
      </c>
      <c r="D40" s="39">
        <v>0</v>
      </c>
      <c r="E40" s="1"/>
      <c r="F40" s="39">
        <f t="shared" si="0"/>
        <v>0</v>
      </c>
      <c r="G40" s="497"/>
      <c r="H40" s="497"/>
      <c r="J40" s="42"/>
    </row>
    <row r="41" spans="1:10" s="360" customFormat="1" x14ac:dyDescent="0.25">
      <c r="A41" s="19" t="s">
        <v>18</v>
      </c>
      <c r="B41" s="2">
        <v>43894</v>
      </c>
      <c r="C41" s="1">
        <v>0</v>
      </c>
      <c r="D41" s="39">
        <v>0</v>
      </c>
      <c r="E41" s="1"/>
      <c r="F41" s="39">
        <f t="shared" si="0"/>
        <v>0</v>
      </c>
      <c r="G41" s="497"/>
      <c r="H41" s="497"/>
      <c r="J41" s="42"/>
    </row>
    <row r="42" spans="1:10" s="360" customFormat="1" x14ac:dyDescent="0.25">
      <c r="A42" s="19" t="s">
        <v>34</v>
      </c>
      <c r="B42" s="2">
        <v>43894</v>
      </c>
      <c r="C42" s="1">
        <v>0</v>
      </c>
      <c r="D42" s="39">
        <v>0</v>
      </c>
      <c r="E42" s="1"/>
      <c r="F42" s="39">
        <f t="shared" si="0"/>
        <v>0</v>
      </c>
      <c r="G42" s="497"/>
      <c r="H42" s="497"/>
      <c r="J42" s="42"/>
    </row>
    <row r="43" spans="1:10" s="360" customFormat="1" x14ac:dyDescent="0.25">
      <c r="A43" s="19" t="s">
        <v>35</v>
      </c>
      <c r="B43" s="2">
        <v>43894</v>
      </c>
      <c r="C43" s="1">
        <v>0</v>
      </c>
      <c r="D43" s="39">
        <v>0</v>
      </c>
      <c r="E43" s="1"/>
      <c r="F43" s="39">
        <f t="shared" si="0"/>
        <v>0</v>
      </c>
      <c r="G43" s="497"/>
      <c r="H43" s="497"/>
      <c r="J43" s="42"/>
    </row>
    <row r="44" spans="1:10" s="360" customFormat="1" x14ac:dyDescent="0.25">
      <c r="A44" s="19" t="s">
        <v>36</v>
      </c>
      <c r="B44" s="2">
        <v>43894</v>
      </c>
      <c r="C44" s="1">
        <v>0</v>
      </c>
      <c r="D44" s="39">
        <v>0</v>
      </c>
      <c r="E44" s="1"/>
      <c r="F44" s="39">
        <f t="shared" si="0"/>
        <v>0</v>
      </c>
      <c r="G44" s="497"/>
      <c r="H44" s="497"/>
      <c r="J44" s="42"/>
    </row>
    <row r="45" spans="1:10" s="360" customFormat="1" x14ac:dyDescent="0.25">
      <c r="A45" s="19" t="s">
        <v>37</v>
      </c>
      <c r="B45" s="2">
        <v>43894</v>
      </c>
      <c r="C45" s="1">
        <v>0</v>
      </c>
      <c r="D45" s="39">
        <v>0</v>
      </c>
      <c r="E45" s="1"/>
      <c r="F45" s="39">
        <f t="shared" si="0"/>
        <v>0</v>
      </c>
      <c r="G45" s="497"/>
      <c r="H45" s="497"/>
      <c r="J45" s="42"/>
    </row>
    <row r="46" spans="1:10" s="360" customFormat="1" x14ac:dyDescent="0.25">
      <c r="A46" s="19" t="s">
        <v>22</v>
      </c>
      <c r="B46" s="2">
        <v>43894</v>
      </c>
      <c r="C46" s="1">
        <v>0</v>
      </c>
      <c r="D46" s="39">
        <v>0</v>
      </c>
      <c r="E46" s="1"/>
      <c r="F46" s="39">
        <f t="shared" si="0"/>
        <v>0</v>
      </c>
      <c r="G46" s="497"/>
      <c r="H46" s="497"/>
      <c r="J46" s="42"/>
    </row>
    <row r="47" spans="1:10" s="360" customFormat="1" x14ac:dyDescent="0.25">
      <c r="A47" s="19" t="s">
        <v>38</v>
      </c>
      <c r="B47" s="2">
        <v>43894</v>
      </c>
      <c r="C47" s="1">
        <v>0</v>
      </c>
      <c r="D47" s="39">
        <v>0</v>
      </c>
      <c r="E47" s="1"/>
      <c r="F47" s="39">
        <f t="shared" si="0"/>
        <v>0</v>
      </c>
      <c r="G47" s="497"/>
      <c r="H47" s="497"/>
      <c r="J47" s="42"/>
    </row>
    <row r="48" spans="1:10" s="360" customFormat="1" x14ac:dyDescent="0.25">
      <c r="A48" s="19" t="s">
        <v>39</v>
      </c>
      <c r="B48" s="2">
        <v>43894</v>
      </c>
      <c r="C48" s="1">
        <v>0</v>
      </c>
      <c r="D48" s="39">
        <v>0</v>
      </c>
      <c r="E48" s="1"/>
      <c r="F48" s="39">
        <f t="shared" si="0"/>
        <v>0</v>
      </c>
      <c r="G48" s="497"/>
      <c r="H48" s="497"/>
      <c r="J48" s="42"/>
    </row>
    <row r="49" spans="1:10" s="360" customFormat="1" x14ac:dyDescent="0.25">
      <c r="A49" s="19" t="s">
        <v>40</v>
      </c>
      <c r="B49" s="2">
        <v>43894</v>
      </c>
      <c r="C49" s="1">
        <v>0</v>
      </c>
      <c r="D49" s="39">
        <v>0</v>
      </c>
      <c r="E49" s="1"/>
      <c r="F49" s="39">
        <f t="shared" si="0"/>
        <v>0</v>
      </c>
      <c r="G49" s="497"/>
      <c r="H49" s="497"/>
      <c r="J49" s="42"/>
    </row>
    <row r="50" spans="1:10" s="360" customFormat="1" x14ac:dyDescent="0.25">
      <c r="A50" s="361" t="s">
        <v>16</v>
      </c>
      <c r="B50" s="2">
        <v>43895</v>
      </c>
      <c r="C50" s="1">
        <v>0</v>
      </c>
      <c r="D50" s="39">
        <v>0</v>
      </c>
      <c r="E50" s="1"/>
      <c r="F50" s="39">
        <f>E50+F26</f>
        <v>0</v>
      </c>
      <c r="G50" s="497"/>
      <c r="H50" s="497"/>
      <c r="J50" s="42"/>
    </row>
    <row r="51" spans="1:10" s="360" customFormat="1" x14ac:dyDescent="0.25">
      <c r="A51" s="19" t="s">
        <v>28</v>
      </c>
      <c r="B51" s="2">
        <v>43895</v>
      </c>
      <c r="C51" s="1">
        <v>0</v>
      </c>
      <c r="D51" s="39">
        <v>0</v>
      </c>
      <c r="E51" s="1"/>
      <c r="F51" s="39">
        <f t="shared" si="0"/>
        <v>0</v>
      </c>
      <c r="G51" s="497"/>
      <c r="H51" s="497"/>
      <c r="J51" s="42"/>
    </row>
    <row r="52" spans="1:10" s="360" customFormat="1" x14ac:dyDescent="0.25">
      <c r="A52" s="19" t="s">
        <v>15</v>
      </c>
      <c r="B52" s="2">
        <v>43895</v>
      </c>
      <c r="C52" s="1">
        <v>0</v>
      </c>
      <c r="D52" s="39">
        <v>0</v>
      </c>
      <c r="E52" s="1"/>
      <c r="F52" s="39">
        <f t="shared" si="0"/>
        <v>0</v>
      </c>
      <c r="G52" s="497"/>
      <c r="H52" s="497"/>
      <c r="J52" s="42"/>
    </row>
    <row r="53" spans="1:10" s="360" customFormat="1" x14ac:dyDescent="0.25">
      <c r="A53" s="19" t="s">
        <v>29</v>
      </c>
      <c r="B53" s="2">
        <v>43895</v>
      </c>
      <c r="C53" s="1">
        <v>0</v>
      </c>
      <c r="D53" s="39">
        <v>0</v>
      </c>
      <c r="E53" s="1"/>
      <c r="F53" s="39">
        <f t="shared" si="0"/>
        <v>0</v>
      </c>
      <c r="G53" s="497"/>
      <c r="H53" s="497"/>
      <c r="J53" s="42"/>
    </row>
    <row r="54" spans="1:10" s="360" customFormat="1" x14ac:dyDescent="0.25">
      <c r="A54" s="19" t="s">
        <v>43</v>
      </c>
      <c r="B54" s="2">
        <v>43895</v>
      </c>
      <c r="C54" s="1">
        <v>1</v>
      </c>
      <c r="D54" s="39">
        <v>2</v>
      </c>
      <c r="E54" s="1"/>
      <c r="F54" s="39">
        <f t="shared" si="0"/>
        <v>0</v>
      </c>
      <c r="G54" s="497"/>
      <c r="H54" s="497"/>
      <c r="J54" s="42"/>
    </row>
    <row r="55" spans="1:10" s="360" customFormat="1" x14ac:dyDescent="0.25">
      <c r="A55" s="19" t="s">
        <v>20</v>
      </c>
      <c r="B55" s="2">
        <v>43895</v>
      </c>
      <c r="C55" s="1">
        <v>0</v>
      </c>
      <c r="D55" s="39">
        <v>0</v>
      </c>
      <c r="E55" s="1"/>
      <c r="F55" s="39">
        <f t="shared" si="0"/>
        <v>0</v>
      </c>
      <c r="G55" s="497"/>
      <c r="H55" s="497"/>
      <c r="J55" s="42"/>
    </row>
    <row r="56" spans="1:10" s="360" customFormat="1" x14ac:dyDescent="0.25">
      <c r="A56" s="19" t="s">
        <v>30</v>
      </c>
      <c r="B56" s="2">
        <v>43895</v>
      </c>
      <c r="C56" s="1">
        <v>0</v>
      </c>
      <c r="D56" s="39">
        <v>0</v>
      </c>
      <c r="E56" s="1"/>
      <c r="F56" s="39">
        <f t="shared" si="0"/>
        <v>0</v>
      </c>
      <c r="G56" s="497"/>
      <c r="H56" s="497"/>
      <c r="J56" s="42"/>
    </row>
    <row r="57" spans="1:10" x14ac:dyDescent="0.25">
      <c r="A57" s="19" t="s">
        <v>31</v>
      </c>
      <c r="B57" s="2">
        <v>43895</v>
      </c>
      <c r="C57" s="1">
        <v>0</v>
      </c>
      <c r="D57" s="39">
        <v>0</v>
      </c>
      <c r="F57" s="39">
        <f t="shared" si="0"/>
        <v>0</v>
      </c>
    </row>
    <row r="58" spans="1:10" s="360" customFormat="1" x14ac:dyDescent="0.25">
      <c r="A58" s="19" t="s">
        <v>41</v>
      </c>
      <c r="B58" s="2">
        <v>43895</v>
      </c>
      <c r="C58" s="1">
        <v>0</v>
      </c>
      <c r="D58" s="39">
        <v>0</v>
      </c>
      <c r="E58" s="1"/>
      <c r="F58" s="39">
        <f t="shared" si="0"/>
        <v>0</v>
      </c>
      <c r="G58" s="497"/>
      <c r="H58" s="497"/>
      <c r="J58" s="42"/>
    </row>
    <row r="59" spans="1:10" s="360" customFormat="1" x14ac:dyDescent="0.25">
      <c r="A59" s="19" t="s">
        <v>32</v>
      </c>
      <c r="B59" s="2">
        <v>43895</v>
      </c>
      <c r="C59" s="1">
        <v>0</v>
      </c>
      <c r="D59" s="39">
        <v>0</v>
      </c>
      <c r="E59" s="1"/>
      <c r="F59" s="39">
        <f t="shared" si="0"/>
        <v>0</v>
      </c>
      <c r="G59" s="497"/>
      <c r="H59" s="497"/>
      <c r="J59" s="42"/>
    </row>
    <row r="60" spans="1:10" s="360" customFormat="1" x14ac:dyDescent="0.25">
      <c r="A60" s="19" t="s">
        <v>33</v>
      </c>
      <c r="B60" s="2">
        <v>43895</v>
      </c>
      <c r="C60" s="1">
        <v>0</v>
      </c>
      <c r="D60" s="39">
        <v>0</v>
      </c>
      <c r="E60" s="1"/>
      <c r="F60" s="39">
        <f t="shared" si="0"/>
        <v>0</v>
      </c>
      <c r="G60" s="497"/>
      <c r="H60" s="497"/>
      <c r="J60" s="42"/>
    </row>
    <row r="61" spans="1:10" s="360" customFormat="1" x14ac:dyDescent="0.25">
      <c r="A61" s="19" t="s">
        <v>21</v>
      </c>
      <c r="B61" s="2">
        <v>43895</v>
      </c>
      <c r="C61" s="1">
        <v>0</v>
      </c>
      <c r="D61" s="39">
        <v>0</v>
      </c>
      <c r="E61" s="1"/>
      <c r="F61" s="39">
        <f t="shared" si="0"/>
        <v>0</v>
      </c>
      <c r="G61" s="497"/>
      <c r="H61" s="497"/>
      <c r="J61" s="42"/>
    </row>
    <row r="62" spans="1:10" s="360" customFormat="1" x14ac:dyDescent="0.25">
      <c r="A62" s="19" t="s">
        <v>17</v>
      </c>
      <c r="B62" s="2">
        <v>43895</v>
      </c>
      <c r="C62" s="1">
        <v>0</v>
      </c>
      <c r="D62" s="39">
        <v>0</v>
      </c>
      <c r="E62" s="1"/>
      <c r="F62" s="39">
        <f t="shared" si="0"/>
        <v>0</v>
      </c>
      <c r="G62" s="497"/>
      <c r="H62" s="497"/>
      <c r="J62" s="42"/>
    </row>
    <row r="63" spans="1:10" s="360" customFormat="1" x14ac:dyDescent="0.25">
      <c r="A63" s="19" t="s">
        <v>23</v>
      </c>
      <c r="B63" s="2">
        <v>43895</v>
      </c>
      <c r="C63" s="1">
        <v>0</v>
      </c>
      <c r="D63" s="39">
        <v>0</v>
      </c>
      <c r="E63" s="1"/>
      <c r="F63" s="39">
        <f t="shared" si="0"/>
        <v>0</v>
      </c>
      <c r="G63" s="497"/>
      <c r="H63" s="497"/>
      <c r="J63" s="42"/>
    </row>
    <row r="64" spans="1:10" s="360" customFormat="1" x14ac:dyDescent="0.25">
      <c r="A64" s="19" t="s">
        <v>19</v>
      </c>
      <c r="B64" s="2">
        <v>43895</v>
      </c>
      <c r="C64" s="1">
        <v>0</v>
      </c>
      <c r="D64" s="39">
        <v>0</v>
      </c>
      <c r="E64" s="1"/>
      <c r="F64" s="39">
        <f t="shared" si="0"/>
        <v>0</v>
      </c>
      <c r="G64" s="497"/>
      <c r="H64" s="497"/>
      <c r="J64" s="42"/>
    </row>
    <row r="65" spans="1:10" s="360" customFormat="1" x14ac:dyDescent="0.25">
      <c r="A65" s="19" t="s">
        <v>18</v>
      </c>
      <c r="B65" s="2">
        <v>43895</v>
      </c>
      <c r="C65" s="1">
        <v>0</v>
      </c>
      <c r="D65" s="39">
        <v>0</v>
      </c>
      <c r="E65" s="1"/>
      <c r="F65" s="39">
        <f t="shared" si="0"/>
        <v>0</v>
      </c>
      <c r="G65" s="497"/>
      <c r="H65" s="497"/>
      <c r="J65" s="42"/>
    </row>
    <row r="66" spans="1:10" s="360" customFormat="1" x14ac:dyDescent="0.25">
      <c r="A66" s="19" t="s">
        <v>34</v>
      </c>
      <c r="B66" s="2">
        <v>43895</v>
      </c>
      <c r="C66" s="1">
        <v>0</v>
      </c>
      <c r="D66" s="39">
        <v>0</v>
      </c>
      <c r="E66" s="1"/>
      <c r="F66" s="39">
        <f t="shared" si="0"/>
        <v>0</v>
      </c>
      <c r="G66" s="497"/>
      <c r="H66" s="497"/>
      <c r="J66" s="42"/>
    </row>
    <row r="67" spans="1:10" s="360" customFormat="1" x14ac:dyDescent="0.25">
      <c r="A67" s="19" t="s">
        <v>35</v>
      </c>
      <c r="B67" s="2">
        <v>43895</v>
      </c>
      <c r="C67" s="1">
        <v>0</v>
      </c>
      <c r="D67" s="39">
        <v>0</v>
      </c>
      <c r="E67" s="1"/>
      <c r="F67" s="39">
        <f t="shared" si="0"/>
        <v>0</v>
      </c>
      <c r="G67" s="497"/>
      <c r="H67" s="497"/>
      <c r="J67" s="42"/>
    </row>
    <row r="68" spans="1:10" s="360" customFormat="1" x14ac:dyDescent="0.25">
      <c r="A68" s="19" t="s">
        <v>36</v>
      </c>
      <c r="B68" s="2">
        <v>43895</v>
      </c>
      <c r="C68" s="1">
        <v>0</v>
      </c>
      <c r="D68" s="39">
        <v>0</v>
      </c>
      <c r="E68" s="1"/>
      <c r="F68" s="39">
        <f t="shared" si="0"/>
        <v>0</v>
      </c>
      <c r="G68" s="497"/>
      <c r="H68" s="497"/>
      <c r="J68" s="42"/>
    </row>
    <row r="69" spans="1:10" s="360" customFormat="1" x14ac:dyDescent="0.25">
      <c r="A69" s="19" t="s">
        <v>37</v>
      </c>
      <c r="B69" s="2">
        <v>43895</v>
      </c>
      <c r="C69" s="1">
        <v>0</v>
      </c>
      <c r="D69" s="39">
        <v>0</v>
      </c>
      <c r="E69" s="1"/>
      <c r="F69" s="39">
        <f t="shared" si="0"/>
        <v>0</v>
      </c>
      <c r="G69" s="497"/>
      <c r="H69" s="497"/>
      <c r="J69" s="42"/>
    </row>
    <row r="70" spans="1:10" s="360" customFormat="1" x14ac:dyDescent="0.25">
      <c r="A70" s="19" t="s">
        <v>22</v>
      </c>
      <c r="B70" s="2">
        <v>43895</v>
      </c>
      <c r="C70" s="1">
        <v>0</v>
      </c>
      <c r="D70" s="39">
        <v>0</v>
      </c>
      <c r="E70" s="1"/>
      <c r="F70" s="39">
        <f t="shared" si="0"/>
        <v>0</v>
      </c>
      <c r="G70" s="497"/>
      <c r="H70" s="497"/>
      <c r="J70" s="42"/>
    </row>
    <row r="71" spans="1:10" s="360" customFormat="1" x14ac:dyDescent="0.25">
      <c r="A71" s="19" t="s">
        <v>38</v>
      </c>
      <c r="B71" s="2">
        <v>43895</v>
      </c>
      <c r="C71" s="1">
        <v>0</v>
      </c>
      <c r="D71" s="39">
        <v>0</v>
      </c>
      <c r="E71" s="1"/>
      <c r="F71" s="39">
        <f t="shared" si="0"/>
        <v>0</v>
      </c>
      <c r="G71" s="497"/>
      <c r="H71" s="497"/>
      <c r="J71" s="42"/>
    </row>
    <row r="72" spans="1:10" s="360" customFormat="1" x14ac:dyDescent="0.25">
      <c r="A72" s="19" t="s">
        <v>39</v>
      </c>
      <c r="B72" s="2">
        <v>43895</v>
      </c>
      <c r="C72" s="1">
        <v>0</v>
      </c>
      <c r="D72" s="39">
        <v>0</v>
      </c>
      <c r="E72" s="1"/>
      <c r="F72" s="39">
        <f t="shared" si="0"/>
        <v>0</v>
      </c>
      <c r="G72" s="497"/>
      <c r="H72" s="497"/>
      <c r="J72" s="42"/>
    </row>
    <row r="73" spans="1:10" s="360" customFormat="1" x14ac:dyDescent="0.25">
      <c r="A73" s="19" t="s">
        <v>40</v>
      </c>
      <c r="B73" s="2">
        <v>43895</v>
      </c>
      <c r="C73" s="1">
        <v>0</v>
      </c>
      <c r="D73" s="39">
        <v>0</v>
      </c>
      <c r="E73" s="1"/>
      <c r="F73" s="39">
        <f t="shared" si="0"/>
        <v>0</v>
      </c>
      <c r="G73" s="497"/>
      <c r="H73" s="497"/>
      <c r="J73" s="42"/>
    </row>
    <row r="74" spans="1:10" s="360" customFormat="1" x14ac:dyDescent="0.25">
      <c r="A74" s="361" t="s">
        <v>16</v>
      </c>
      <c r="B74" s="2">
        <v>43896</v>
      </c>
      <c r="C74" s="1">
        <v>1</v>
      </c>
      <c r="D74" s="39">
        <v>1</v>
      </c>
      <c r="E74" s="1"/>
      <c r="F74" s="39">
        <f>E74+F50</f>
        <v>0</v>
      </c>
      <c r="G74" s="497"/>
      <c r="H74" s="497"/>
      <c r="J74" s="42"/>
    </row>
    <row r="75" spans="1:10" s="360" customFormat="1" x14ac:dyDescent="0.25">
      <c r="A75" s="19" t="s">
        <v>28</v>
      </c>
      <c r="B75" s="2">
        <v>43896</v>
      </c>
      <c r="C75" s="1">
        <v>0</v>
      </c>
      <c r="D75" s="39">
        <v>0</v>
      </c>
      <c r="E75" s="1"/>
      <c r="F75" s="39">
        <f t="shared" si="0"/>
        <v>0</v>
      </c>
      <c r="G75" s="497"/>
      <c r="H75" s="497"/>
      <c r="J75" s="42"/>
    </row>
    <row r="76" spans="1:10" s="360" customFormat="1" x14ac:dyDescent="0.25">
      <c r="A76" s="19" t="s">
        <v>15</v>
      </c>
      <c r="B76" s="2">
        <v>43896</v>
      </c>
      <c r="C76" s="1">
        <v>0</v>
      </c>
      <c r="D76" s="39">
        <v>0</v>
      </c>
      <c r="E76" s="1"/>
      <c r="F76" s="39">
        <f t="shared" si="0"/>
        <v>0</v>
      </c>
      <c r="G76" s="497"/>
      <c r="H76" s="497"/>
      <c r="J76" s="42"/>
    </row>
    <row r="77" spans="1:10" s="360" customFormat="1" x14ac:dyDescent="0.25">
      <c r="A77" s="19" t="s">
        <v>29</v>
      </c>
      <c r="B77" s="2">
        <v>43896</v>
      </c>
      <c r="C77" s="1">
        <v>0</v>
      </c>
      <c r="D77" s="39">
        <v>0</v>
      </c>
      <c r="E77" s="1"/>
      <c r="F77" s="39">
        <f t="shared" si="0"/>
        <v>0</v>
      </c>
      <c r="G77" s="497"/>
      <c r="H77" s="497"/>
      <c r="J77" s="42"/>
    </row>
    <row r="78" spans="1:10" s="360" customFormat="1" x14ac:dyDescent="0.25">
      <c r="A78" s="19" t="s">
        <v>43</v>
      </c>
      <c r="B78" s="2">
        <v>43896</v>
      </c>
      <c r="C78" s="1">
        <v>4</v>
      </c>
      <c r="D78" s="39">
        <v>6</v>
      </c>
      <c r="E78" s="1"/>
      <c r="F78" s="39">
        <f t="shared" si="0"/>
        <v>0</v>
      </c>
      <c r="G78" s="497"/>
      <c r="H78" s="497"/>
      <c r="J78" s="42"/>
    </row>
    <row r="79" spans="1:10" s="360" customFormat="1" x14ac:dyDescent="0.25">
      <c r="A79" s="19" t="s">
        <v>20</v>
      </c>
      <c r="B79" s="2">
        <v>43896</v>
      </c>
      <c r="C79" s="1">
        <v>1</v>
      </c>
      <c r="D79" s="39">
        <v>1</v>
      </c>
      <c r="E79" s="1"/>
      <c r="F79" s="39">
        <f t="shared" si="0"/>
        <v>0</v>
      </c>
      <c r="G79" s="497"/>
      <c r="H79" s="497"/>
      <c r="J79" s="42"/>
    </row>
    <row r="80" spans="1:10" s="360" customFormat="1" x14ac:dyDescent="0.25">
      <c r="A80" s="19" t="s">
        <v>30</v>
      </c>
      <c r="B80" s="2">
        <v>43896</v>
      </c>
      <c r="C80" s="1">
        <v>0</v>
      </c>
      <c r="D80" s="39">
        <v>0</v>
      </c>
      <c r="E80" s="1"/>
      <c r="F80" s="39">
        <f t="shared" si="0"/>
        <v>0</v>
      </c>
      <c r="G80" s="497"/>
      <c r="H80" s="497"/>
      <c r="J80" s="42"/>
    </row>
    <row r="81" spans="1:10" x14ac:dyDescent="0.25">
      <c r="A81" s="19" t="s">
        <v>31</v>
      </c>
      <c r="B81" s="2">
        <v>43896</v>
      </c>
      <c r="C81" s="1">
        <v>0</v>
      </c>
      <c r="D81" s="39">
        <v>0</v>
      </c>
      <c r="F81" s="39">
        <f t="shared" si="0"/>
        <v>0</v>
      </c>
    </row>
    <row r="82" spans="1:10" s="360" customFormat="1" x14ac:dyDescent="0.25">
      <c r="A82" s="19" t="s">
        <v>41</v>
      </c>
      <c r="B82" s="2">
        <v>43896</v>
      </c>
      <c r="C82" s="1">
        <v>0</v>
      </c>
      <c r="D82" s="39">
        <v>0</v>
      </c>
      <c r="E82" s="1"/>
      <c r="F82" s="39">
        <f t="shared" si="0"/>
        <v>0</v>
      </c>
      <c r="G82" s="497"/>
      <c r="H82" s="497"/>
      <c r="J82" s="42"/>
    </row>
    <row r="83" spans="1:10" s="360" customFormat="1" x14ac:dyDescent="0.25">
      <c r="A83" s="19" t="s">
        <v>32</v>
      </c>
      <c r="B83" s="2">
        <v>43896</v>
      </c>
      <c r="C83" s="1">
        <v>0</v>
      </c>
      <c r="D83" s="39">
        <v>0</v>
      </c>
      <c r="E83" s="1"/>
      <c r="F83" s="39">
        <f t="shared" si="0"/>
        <v>0</v>
      </c>
      <c r="G83" s="497"/>
      <c r="H83" s="497"/>
      <c r="J83" s="42"/>
    </row>
    <row r="84" spans="1:10" s="360" customFormat="1" x14ac:dyDescent="0.25">
      <c r="A84" s="19" t="s">
        <v>33</v>
      </c>
      <c r="B84" s="2">
        <v>43896</v>
      </c>
      <c r="C84" s="1">
        <v>0</v>
      </c>
      <c r="D84" s="39">
        <v>0</v>
      </c>
      <c r="E84" s="1"/>
      <c r="F84" s="39">
        <f t="shared" si="0"/>
        <v>0</v>
      </c>
      <c r="G84" s="497"/>
      <c r="H84" s="497"/>
      <c r="J84" s="42"/>
    </row>
    <row r="85" spans="1:10" s="360" customFormat="1" x14ac:dyDescent="0.25">
      <c r="A85" s="19" t="s">
        <v>21</v>
      </c>
      <c r="B85" s="2">
        <v>43896</v>
      </c>
      <c r="C85" s="1">
        <v>0</v>
      </c>
      <c r="D85" s="39">
        <v>0</v>
      </c>
      <c r="E85" s="1"/>
      <c r="F85" s="39">
        <f t="shared" si="0"/>
        <v>0</v>
      </c>
      <c r="G85" s="497"/>
      <c r="H85" s="497"/>
      <c r="J85" s="42"/>
    </row>
    <row r="86" spans="1:10" s="360" customFormat="1" x14ac:dyDescent="0.25">
      <c r="A86" s="19" t="s">
        <v>17</v>
      </c>
      <c r="B86" s="2">
        <v>43896</v>
      </c>
      <c r="C86" s="1">
        <v>0</v>
      </c>
      <c r="D86" s="39">
        <v>0</v>
      </c>
      <c r="E86" s="1"/>
      <c r="F86" s="39">
        <f t="shared" si="0"/>
        <v>0</v>
      </c>
      <c r="G86" s="497"/>
      <c r="H86" s="497"/>
      <c r="J86" s="42"/>
    </row>
    <row r="87" spans="1:10" s="360" customFormat="1" x14ac:dyDescent="0.25">
      <c r="A87" s="19" t="s">
        <v>23</v>
      </c>
      <c r="B87" s="2">
        <v>43896</v>
      </c>
      <c r="C87" s="1">
        <v>0</v>
      </c>
      <c r="D87" s="39">
        <v>0</v>
      </c>
      <c r="E87" s="1"/>
      <c r="F87" s="39">
        <f t="shared" si="0"/>
        <v>0</v>
      </c>
      <c r="G87" s="497"/>
      <c r="H87" s="497"/>
      <c r="J87" s="42"/>
    </row>
    <row r="88" spans="1:10" s="360" customFormat="1" x14ac:dyDescent="0.25">
      <c r="A88" s="19" t="s">
        <v>19</v>
      </c>
      <c r="B88" s="2">
        <v>43896</v>
      </c>
      <c r="C88" s="1">
        <v>0</v>
      </c>
      <c r="D88" s="39">
        <v>0</v>
      </c>
      <c r="E88" s="1"/>
      <c r="F88" s="39">
        <f t="shared" si="0"/>
        <v>0</v>
      </c>
      <c r="G88" s="497"/>
      <c r="H88" s="497"/>
      <c r="J88" s="42"/>
    </row>
    <row r="89" spans="1:10" s="360" customFormat="1" x14ac:dyDescent="0.25">
      <c r="A89" s="19" t="s">
        <v>18</v>
      </c>
      <c r="B89" s="2">
        <v>43896</v>
      </c>
      <c r="C89" s="1">
        <v>0</v>
      </c>
      <c r="D89" s="39">
        <v>0</v>
      </c>
      <c r="E89" s="1"/>
      <c r="F89" s="39">
        <f t="shared" si="0"/>
        <v>0</v>
      </c>
      <c r="G89" s="497"/>
      <c r="H89" s="497"/>
      <c r="J89" s="42"/>
    </row>
    <row r="90" spans="1:10" s="360" customFormat="1" x14ac:dyDescent="0.25">
      <c r="A90" s="19" t="s">
        <v>34</v>
      </c>
      <c r="B90" s="2">
        <v>43896</v>
      </c>
      <c r="C90" s="1">
        <v>0</v>
      </c>
      <c r="D90" s="39">
        <v>0</v>
      </c>
      <c r="E90" s="1"/>
      <c r="F90" s="39">
        <f t="shared" si="0"/>
        <v>0</v>
      </c>
      <c r="G90" s="497"/>
      <c r="H90" s="497"/>
      <c r="J90" s="42"/>
    </row>
    <row r="91" spans="1:10" s="360" customFormat="1" x14ac:dyDescent="0.25">
      <c r="A91" s="19" t="s">
        <v>35</v>
      </c>
      <c r="B91" s="2">
        <v>43896</v>
      </c>
      <c r="C91" s="1">
        <v>0</v>
      </c>
      <c r="D91" s="39">
        <v>0</v>
      </c>
      <c r="E91" s="1"/>
      <c r="F91" s="39">
        <f t="shared" ref="F91:F97" si="1">E91+F67</f>
        <v>0</v>
      </c>
      <c r="G91" s="497"/>
      <c r="H91" s="497"/>
      <c r="J91" s="42"/>
    </row>
    <row r="92" spans="1:10" s="360" customFormat="1" x14ac:dyDescent="0.25">
      <c r="A92" s="19" t="s">
        <v>36</v>
      </c>
      <c r="B92" s="2">
        <v>43896</v>
      </c>
      <c r="C92" s="1">
        <v>0</v>
      </c>
      <c r="D92" s="39">
        <v>0</v>
      </c>
      <c r="E92" s="1"/>
      <c r="F92" s="39">
        <f t="shared" si="1"/>
        <v>0</v>
      </c>
      <c r="G92" s="497"/>
      <c r="H92" s="497"/>
      <c r="J92" s="42"/>
    </row>
    <row r="93" spans="1:10" s="360" customFormat="1" x14ac:dyDescent="0.25">
      <c r="A93" s="19" t="s">
        <v>37</v>
      </c>
      <c r="B93" s="2">
        <v>43896</v>
      </c>
      <c r="C93" s="1">
        <v>0</v>
      </c>
      <c r="D93" s="39">
        <v>0</v>
      </c>
      <c r="E93" s="1"/>
      <c r="F93" s="39">
        <f t="shared" si="1"/>
        <v>0</v>
      </c>
      <c r="G93" s="497"/>
      <c r="H93" s="497"/>
      <c r="J93" s="42"/>
    </row>
    <row r="94" spans="1:10" s="360" customFormat="1" x14ac:dyDescent="0.25">
      <c r="A94" s="19" t="s">
        <v>22</v>
      </c>
      <c r="B94" s="2">
        <v>43896</v>
      </c>
      <c r="C94" s="1">
        <v>0</v>
      </c>
      <c r="D94" s="39">
        <v>0</v>
      </c>
      <c r="E94" s="1"/>
      <c r="F94" s="39">
        <f t="shared" si="1"/>
        <v>0</v>
      </c>
      <c r="G94" s="497"/>
      <c r="H94" s="497"/>
      <c r="J94" s="42"/>
    </row>
    <row r="95" spans="1:10" s="360" customFormat="1" x14ac:dyDescent="0.25">
      <c r="A95" s="19" t="s">
        <v>38</v>
      </c>
      <c r="B95" s="2">
        <v>43896</v>
      </c>
      <c r="C95" s="1">
        <v>0</v>
      </c>
      <c r="D95" s="39">
        <v>0</v>
      </c>
      <c r="E95" s="1"/>
      <c r="F95" s="39">
        <f t="shared" si="1"/>
        <v>0</v>
      </c>
      <c r="G95" s="497"/>
      <c r="H95" s="497"/>
      <c r="J95" s="42"/>
    </row>
    <row r="96" spans="1:10" s="360" customFormat="1" x14ac:dyDescent="0.25">
      <c r="A96" s="19" t="s">
        <v>39</v>
      </c>
      <c r="B96" s="2">
        <v>43896</v>
      </c>
      <c r="C96" s="1">
        <v>0</v>
      </c>
      <c r="D96" s="39">
        <v>0</v>
      </c>
      <c r="E96" s="1"/>
      <c r="F96" s="39">
        <f t="shared" si="1"/>
        <v>0</v>
      </c>
      <c r="G96" s="497"/>
      <c r="H96" s="497"/>
      <c r="J96" s="42"/>
    </row>
    <row r="97" spans="1:10" s="360" customFormat="1" x14ac:dyDescent="0.25">
      <c r="A97" s="19" t="s">
        <v>40</v>
      </c>
      <c r="B97" s="2">
        <v>43896</v>
      </c>
      <c r="C97" s="1">
        <v>0</v>
      </c>
      <c r="D97" s="39">
        <v>0</v>
      </c>
      <c r="E97" s="1"/>
      <c r="F97" s="39">
        <f t="shared" si="1"/>
        <v>0</v>
      </c>
      <c r="G97" s="497"/>
      <c r="H97" s="497"/>
      <c r="J97" s="42"/>
    </row>
    <row r="98" spans="1:10" s="360" customFormat="1" x14ac:dyDescent="0.25">
      <c r="A98" s="361" t="s">
        <v>16</v>
      </c>
      <c r="B98" s="2">
        <v>43897</v>
      </c>
      <c r="C98" s="1">
        <v>0</v>
      </c>
      <c r="D98" s="39">
        <v>1</v>
      </c>
      <c r="E98" s="1"/>
      <c r="F98" s="39">
        <f>E98+F74</f>
        <v>0</v>
      </c>
      <c r="G98" s="497"/>
      <c r="H98" s="497"/>
      <c r="J98" s="42"/>
    </row>
    <row r="99" spans="1:10" s="360" customFormat="1" x14ac:dyDescent="0.25">
      <c r="A99" s="19" t="s">
        <v>28</v>
      </c>
      <c r="B99" s="2">
        <v>43897</v>
      </c>
      <c r="C99" s="1">
        <v>0</v>
      </c>
      <c r="D99" s="39">
        <v>0</v>
      </c>
      <c r="E99" s="1"/>
      <c r="F99" s="39">
        <f t="shared" ref="F99:F121" si="2">E99+F75</f>
        <v>0</v>
      </c>
      <c r="G99" s="497"/>
      <c r="H99" s="497"/>
      <c r="J99" s="42"/>
    </row>
    <row r="100" spans="1:10" s="360" customFormat="1" x14ac:dyDescent="0.25">
      <c r="A100" s="19" t="s">
        <v>15</v>
      </c>
      <c r="B100" s="2">
        <v>43897</v>
      </c>
      <c r="C100" s="1">
        <v>0</v>
      </c>
      <c r="D100" s="39">
        <v>0</v>
      </c>
      <c r="E100" s="1"/>
      <c r="F100" s="39">
        <f t="shared" si="2"/>
        <v>0</v>
      </c>
      <c r="G100" s="497"/>
      <c r="H100" s="497"/>
      <c r="J100" s="42"/>
    </row>
    <row r="101" spans="1:10" s="360" customFormat="1" x14ac:dyDescent="0.25">
      <c r="A101" s="19" t="s">
        <v>29</v>
      </c>
      <c r="B101" s="2">
        <v>43897</v>
      </c>
      <c r="C101" s="1">
        <v>0</v>
      </c>
      <c r="D101" s="39">
        <v>0</v>
      </c>
      <c r="E101" s="1"/>
      <c r="F101" s="39">
        <f t="shared" si="2"/>
        <v>0</v>
      </c>
      <c r="G101" s="497"/>
      <c r="H101" s="497"/>
      <c r="J101" s="42"/>
    </row>
    <row r="102" spans="1:10" s="360" customFormat="1" x14ac:dyDescent="0.25">
      <c r="A102" s="19" t="s">
        <v>43</v>
      </c>
      <c r="B102" s="2">
        <v>43897</v>
      </c>
      <c r="C102" s="1">
        <v>1</v>
      </c>
      <c r="D102" s="39">
        <v>7</v>
      </c>
      <c r="E102" s="1">
        <v>1</v>
      </c>
      <c r="F102" s="39">
        <f t="shared" si="2"/>
        <v>1</v>
      </c>
      <c r="G102" s="497"/>
      <c r="H102" s="497"/>
      <c r="J102" s="42"/>
    </row>
    <row r="103" spans="1:10" s="360" customFormat="1" x14ac:dyDescent="0.25">
      <c r="A103" s="19" t="s">
        <v>20</v>
      </c>
      <c r="B103" s="2">
        <v>43897</v>
      </c>
      <c r="C103" s="1">
        <v>0</v>
      </c>
      <c r="D103" s="39">
        <v>1</v>
      </c>
      <c r="E103" s="1"/>
      <c r="F103" s="39">
        <f t="shared" si="2"/>
        <v>0</v>
      </c>
      <c r="G103" s="497"/>
      <c r="H103" s="497"/>
      <c r="J103" s="42"/>
    </row>
    <row r="104" spans="1:10" s="360" customFormat="1" x14ac:dyDescent="0.25">
      <c r="A104" s="19" t="s">
        <v>30</v>
      </c>
      <c r="B104" s="2">
        <v>43897</v>
      </c>
      <c r="C104" s="1">
        <v>0</v>
      </c>
      <c r="D104" s="39">
        <v>0</v>
      </c>
      <c r="E104" s="1"/>
      <c r="F104" s="39">
        <f t="shared" si="2"/>
        <v>0</v>
      </c>
      <c r="G104" s="497"/>
      <c r="H104" s="497"/>
      <c r="J104" s="42"/>
    </row>
    <row r="105" spans="1:10" x14ac:dyDescent="0.25">
      <c r="A105" s="19" t="s">
        <v>31</v>
      </c>
      <c r="B105" s="2">
        <v>43897</v>
      </c>
      <c r="C105" s="1">
        <v>0</v>
      </c>
      <c r="D105" s="39">
        <v>0</v>
      </c>
      <c r="F105" s="39">
        <f t="shared" si="2"/>
        <v>0</v>
      </c>
    </row>
    <row r="106" spans="1:10" s="360" customFormat="1" x14ac:dyDescent="0.25">
      <c r="A106" s="19" t="s">
        <v>41</v>
      </c>
      <c r="B106" s="2">
        <v>43897</v>
      </c>
      <c r="C106" s="1">
        <v>0</v>
      </c>
      <c r="D106" s="39">
        <v>0</v>
      </c>
      <c r="E106" s="1"/>
      <c r="F106" s="39">
        <f t="shared" si="2"/>
        <v>0</v>
      </c>
      <c r="G106" s="497"/>
      <c r="H106" s="497"/>
      <c r="J106" s="42"/>
    </row>
    <row r="107" spans="1:10" s="360" customFormat="1" x14ac:dyDescent="0.25">
      <c r="A107" s="19" t="s">
        <v>32</v>
      </c>
      <c r="B107" s="2">
        <v>43897</v>
      </c>
      <c r="C107" s="1">
        <v>0</v>
      </c>
      <c r="D107" s="39">
        <v>0</v>
      </c>
      <c r="E107" s="1"/>
      <c r="F107" s="39">
        <f t="shared" si="2"/>
        <v>0</v>
      </c>
      <c r="G107" s="497"/>
      <c r="H107" s="497"/>
      <c r="J107" s="42"/>
    </row>
    <row r="108" spans="1:10" s="360" customFormat="1" x14ac:dyDescent="0.25">
      <c r="A108" s="19" t="s">
        <v>33</v>
      </c>
      <c r="B108" s="2">
        <v>43897</v>
      </c>
      <c r="C108" s="1">
        <v>0</v>
      </c>
      <c r="D108" s="39">
        <v>0</v>
      </c>
      <c r="E108" s="1"/>
      <c r="F108" s="39">
        <f t="shared" si="2"/>
        <v>0</v>
      </c>
      <c r="G108" s="497"/>
      <c r="H108" s="497"/>
      <c r="J108" s="42"/>
    </row>
    <row r="109" spans="1:10" s="360" customFormat="1" x14ac:dyDescent="0.25">
      <c r="A109" s="19" t="s">
        <v>21</v>
      </c>
      <c r="B109" s="2">
        <v>43897</v>
      </c>
      <c r="C109" s="1">
        <v>0</v>
      </c>
      <c r="D109" s="39">
        <v>0</v>
      </c>
      <c r="E109" s="1"/>
      <c r="F109" s="39">
        <f t="shared" si="2"/>
        <v>0</v>
      </c>
      <c r="G109" s="497"/>
      <c r="H109" s="497"/>
      <c r="J109" s="42"/>
    </row>
    <row r="110" spans="1:10" s="360" customFormat="1" x14ac:dyDescent="0.25">
      <c r="A110" s="19" t="s">
        <v>17</v>
      </c>
      <c r="B110" s="2">
        <v>43897</v>
      </c>
      <c r="C110" s="1">
        <v>0</v>
      </c>
      <c r="D110" s="39">
        <v>0</v>
      </c>
      <c r="E110" s="1"/>
      <c r="F110" s="39">
        <f t="shared" si="2"/>
        <v>0</v>
      </c>
      <c r="G110" s="497"/>
      <c r="H110" s="497"/>
      <c r="J110" s="42"/>
    </row>
    <row r="111" spans="1:10" s="360" customFormat="1" x14ac:dyDescent="0.25">
      <c r="A111" s="19" t="s">
        <v>23</v>
      </c>
      <c r="B111" s="2">
        <v>43897</v>
      </c>
      <c r="C111" s="1">
        <v>0</v>
      </c>
      <c r="D111" s="39">
        <v>0</v>
      </c>
      <c r="E111" s="1"/>
      <c r="F111" s="39">
        <f t="shared" si="2"/>
        <v>0</v>
      </c>
      <c r="G111" s="497"/>
      <c r="H111" s="497"/>
      <c r="J111" s="42"/>
    </row>
    <row r="112" spans="1:10" s="360" customFormat="1" x14ac:dyDescent="0.25">
      <c r="A112" s="19" t="s">
        <v>19</v>
      </c>
      <c r="B112" s="2">
        <v>43897</v>
      </c>
      <c r="C112" s="1">
        <v>0</v>
      </c>
      <c r="D112" s="39">
        <v>0</v>
      </c>
      <c r="E112" s="1"/>
      <c r="F112" s="39">
        <f t="shared" si="2"/>
        <v>0</v>
      </c>
      <c r="G112" s="497"/>
      <c r="H112" s="497"/>
      <c r="J112" s="42"/>
    </row>
    <row r="113" spans="1:10" s="360" customFormat="1" x14ac:dyDescent="0.25">
      <c r="A113" s="19" t="s">
        <v>18</v>
      </c>
      <c r="B113" s="2">
        <v>43897</v>
      </c>
      <c r="C113" s="1">
        <v>0</v>
      </c>
      <c r="D113" s="39">
        <v>0</v>
      </c>
      <c r="E113" s="1"/>
      <c r="F113" s="39">
        <f t="shared" si="2"/>
        <v>0</v>
      </c>
      <c r="G113" s="497"/>
      <c r="H113" s="497"/>
      <c r="J113" s="42"/>
    </row>
    <row r="114" spans="1:10" s="360" customFormat="1" x14ac:dyDescent="0.25">
      <c r="A114" s="19" t="s">
        <v>34</v>
      </c>
      <c r="B114" s="2">
        <v>43897</v>
      </c>
      <c r="C114" s="1">
        <v>0</v>
      </c>
      <c r="D114" s="39">
        <v>0</v>
      </c>
      <c r="E114" s="1"/>
      <c r="F114" s="39">
        <f t="shared" si="2"/>
        <v>0</v>
      </c>
      <c r="G114" s="497"/>
      <c r="H114" s="497"/>
      <c r="J114" s="42"/>
    </row>
    <row r="115" spans="1:10" s="360" customFormat="1" x14ac:dyDescent="0.25">
      <c r="A115" s="19" t="s">
        <v>35</v>
      </c>
      <c r="B115" s="2">
        <v>43897</v>
      </c>
      <c r="C115" s="1">
        <v>0</v>
      </c>
      <c r="D115" s="39">
        <v>0</v>
      </c>
      <c r="E115" s="1"/>
      <c r="F115" s="39">
        <f t="shared" si="2"/>
        <v>0</v>
      </c>
      <c r="G115" s="497"/>
      <c r="H115" s="497"/>
      <c r="J115" s="42"/>
    </row>
    <row r="116" spans="1:10" s="360" customFormat="1" x14ac:dyDescent="0.25">
      <c r="A116" s="19" t="s">
        <v>36</v>
      </c>
      <c r="B116" s="2">
        <v>43897</v>
      </c>
      <c r="C116" s="1">
        <v>0</v>
      </c>
      <c r="D116" s="39">
        <v>0</v>
      </c>
      <c r="E116" s="1"/>
      <c r="F116" s="39">
        <f t="shared" si="2"/>
        <v>0</v>
      </c>
      <c r="G116" s="497"/>
      <c r="H116" s="497"/>
      <c r="J116" s="42"/>
    </row>
    <row r="117" spans="1:10" s="360" customFormat="1" x14ac:dyDescent="0.25">
      <c r="A117" s="19" t="s">
        <v>37</v>
      </c>
      <c r="B117" s="2">
        <v>43897</v>
      </c>
      <c r="C117" s="1">
        <v>0</v>
      </c>
      <c r="D117" s="39">
        <v>0</v>
      </c>
      <c r="E117" s="1"/>
      <c r="F117" s="39">
        <f t="shared" si="2"/>
        <v>0</v>
      </c>
      <c r="G117" s="497"/>
      <c r="H117" s="497"/>
      <c r="J117" s="42"/>
    </row>
    <row r="118" spans="1:10" s="360" customFormat="1" x14ac:dyDescent="0.25">
      <c r="A118" s="19" t="s">
        <v>22</v>
      </c>
      <c r="B118" s="2">
        <v>43897</v>
      </c>
      <c r="C118" s="1">
        <v>0</v>
      </c>
      <c r="D118" s="39">
        <v>0</v>
      </c>
      <c r="E118" s="1"/>
      <c r="F118" s="39">
        <f t="shared" si="2"/>
        <v>0</v>
      </c>
      <c r="G118" s="497"/>
      <c r="H118" s="497"/>
      <c r="J118" s="42"/>
    </row>
    <row r="119" spans="1:10" s="360" customFormat="1" x14ac:dyDescent="0.25">
      <c r="A119" s="19" t="s">
        <v>38</v>
      </c>
      <c r="B119" s="2">
        <v>43897</v>
      </c>
      <c r="C119" s="1">
        <v>0</v>
      </c>
      <c r="D119" s="39">
        <v>0</v>
      </c>
      <c r="E119" s="1"/>
      <c r="F119" s="39">
        <f t="shared" si="2"/>
        <v>0</v>
      </c>
      <c r="G119" s="497"/>
      <c r="H119" s="497"/>
      <c r="J119" s="42"/>
    </row>
    <row r="120" spans="1:10" s="360" customFormat="1" x14ac:dyDescent="0.25">
      <c r="A120" s="19" t="s">
        <v>39</v>
      </c>
      <c r="B120" s="2">
        <v>43897</v>
      </c>
      <c r="C120" s="1">
        <v>0</v>
      </c>
      <c r="D120" s="39">
        <v>0</v>
      </c>
      <c r="E120" s="1"/>
      <c r="F120" s="39">
        <f t="shared" si="2"/>
        <v>0</v>
      </c>
      <c r="G120" s="497"/>
      <c r="H120" s="497"/>
      <c r="J120" s="42"/>
    </row>
    <row r="121" spans="1:10" s="360" customFormat="1" x14ac:dyDescent="0.25">
      <c r="A121" s="19" t="s">
        <v>40</v>
      </c>
      <c r="B121" s="2">
        <v>43897</v>
      </c>
      <c r="C121" s="1">
        <v>0</v>
      </c>
      <c r="D121" s="39">
        <v>0</v>
      </c>
      <c r="E121" s="1"/>
      <c r="F121" s="39">
        <f t="shared" si="2"/>
        <v>0</v>
      </c>
      <c r="G121" s="497"/>
      <c r="H121" s="497"/>
      <c r="J121" s="42"/>
    </row>
    <row r="122" spans="1:10" s="360" customFormat="1" x14ac:dyDescent="0.25">
      <c r="A122" s="361" t="s">
        <v>16</v>
      </c>
      <c r="B122" s="2">
        <v>43898</v>
      </c>
      <c r="C122" s="1">
        <v>1</v>
      </c>
      <c r="D122" s="39">
        <v>2</v>
      </c>
      <c r="E122" s="1"/>
      <c r="F122" s="39">
        <f>E122+F98</f>
        <v>0</v>
      </c>
      <c r="G122" s="497"/>
      <c r="H122" s="497"/>
      <c r="J122" s="42"/>
    </row>
    <row r="123" spans="1:10" s="360" customFormat="1" x14ac:dyDescent="0.25">
      <c r="A123" s="19" t="s">
        <v>28</v>
      </c>
      <c r="B123" s="2">
        <v>43898</v>
      </c>
      <c r="C123" s="1">
        <v>0</v>
      </c>
      <c r="D123" s="39">
        <v>0</v>
      </c>
      <c r="E123" s="1"/>
      <c r="F123" s="39">
        <f t="shared" ref="F123:F145" si="3">E123+F99</f>
        <v>0</v>
      </c>
      <c r="G123" s="497"/>
      <c r="H123" s="497"/>
      <c r="J123" s="42"/>
    </row>
    <row r="124" spans="1:10" s="360" customFormat="1" x14ac:dyDescent="0.25">
      <c r="A124" s="19" t="s">
        <v>15</v>
      </c>
      <c r="B124" s="2">
        <v>43898</v>
      </c>
      <c r="C124" s="1">
        <v>0</v>
      </c>
      <c r="D124" s="39">
        <v>0</v>
      </c>
      <c r="E124" s="1"/>
      <c r="F124" s="39">
        <f t="shared" si="3"/>
        <v>0</v>
      </c>
      <c r="G124" s="497"/>
      <c r="H124" s="497"/>
      <c r="J124" s="42"/>
    </row>
    <row r="125" spans="1:10" s="360" customFormat="1" x14ac:dyDescent="0.25">
      <c r="A125" s="19" t="s">
        <v>29</v>
      </c>
      <c r="B125" s="2">
        <v>43898</v>
      </c>
      <c r="C125" s="1">
        <v>0</v>
      </c>
      <c r="D125" s="39">
        <v>0</v>
      </c>
      <c r="E125" s="1"/>
      <c r="F125" s="39">
        <f t="shared" si="3"/>
        <v>0</v>
      </c>
      <c r="G125" s="497"/>
      <c r="H125" s="497"/>
      <c r="J125" s="42"/>
    </row>
    <row r="126" spans="1:10" s="360" customFormat="1" x14ac:dyDescent="0.25">
      <c r="A126" s="19" t="s">
        <v>43</v>
      </c>
      <c r="B126" s="2">
        <v>43898</v>
      </c>
      <c r="C126" s="1">
        <v>2</v>
      </c>
      <c r="D126" s="39">
        <v>9</v>
      </c>
      <c r="E126" s="1"/>
      <c r="F126" s="39">
        <f t="shared" si="3"/>
        <v>1</v>
      </c>
      <c r="G126" s="497"/>
      <c r="H126" s="497"/>
      <c r="J126" s="42"/>
    </row>
    <row r="127" spans="1:10" s="360" customFormat="1" x14ac:dyDescent="0.25">
      <c r="A127" s="19" t="s">
        <v>20</v>
      </c>
      <c r="B127" s="2">
        <v>43898</v>
      </c>
      <c r="C127" s="1">
        <v>0</v>
      </c>
      <c r="D127" s="39">
        <v>1</v>
      </c>
      <c r="E127" s="1"/>
      <c r="F127" s="39">
        <f t="shared" si="3"/>
        <v>0</v>
      </c>
      <c r="G127" s="497"/>
      <c r="H127" s="497"/>
      <c r="J127" s="42"/>
    </row>
    <row r="128" spans="1:10" s="360" customFormat="1" x14ac:dyDescent="0.25">
      <c r="A128" s="19" t="s">
        <v>30</v>
      </c>
      <c r="B128" s="2">
        <v>43898</v>
      </c>
      <c r="C128" s="1">
        <v>0</v>
      </c>
      <c r="D128" s="39">
        <v>0</v>
      </c>
      <c r="E128" s="1"/>
      <c r="F128" s="39">
        <f t="shared" si="3"/>
        <v>0</v>
      </c>
      <c r="G128" s="497"/>
      <c r="H128" s="497"/>
      <c r="J128" s="42"/>
    </row>
    <row r="129" spans="1:10" x14ac:dyDescent="0.25">
      <c r="A129" s="19" t="s">
        <v>31</v>
      </c>
      <c r="B129" s="2">
        <v>43898</v>
      </c>
      <c r="C129" s="1">
        <v>0</v>
      </c>
      <c r="D129" s="39">
        <v>0</v>
      </c>
      <c r="F129" s="39">
        <f t="shared" si="3"/>
        <v>0</v>
      </c>
    </row>
    <row r="130" spans="1:10" s="360" customFormat="1" x14ac:dyDescent="0.25">
      <c r="A130" s="19" t="s">
        <v>41</v>
      </c>
      <c r="B130" s="2">
        <v>43898</v>
      </c>
      <c r="C130" s="1">
        <v>0</v>
      </c>
      <c r="D130" s="39">
        <v>0</v>
      </c>
      <c r="E130" s="1"/>
      <c r="F130" s="39">
        <f t="shared" si="3"/>
        <v>0</v>
      </c>
      <c r="G130" s="497"/>
      <c r="H130" s="497"/>
      <c r="J130" s="42"/>
    </row>
    <row r="131" spans="1:10" s="360" customFormat="1" x14ac:dyDescent="0.25">
      <c r="A131" s="19" t="s">
        <v>32</v>
      </c>
      <c r="B131" s="2">
        <v>43898</v>
      </c>
      <c r="C131" s="1">
        <v>0</v>
      </c>
      <c r="D131" s="39">
        <v>0</v>
      </c>
      <c r="E131" s="1"/>
      <c r="F131" s="39">
        <f t="shared" si="3"/>
        <v>0</v>
      </c>
      <c r="G131" s="497"/>
      <c r="H131" s="497"/>
      <c r="J131" s="42"/>
    </row>
    <row r="132" spans="1:10" s="360" customFormat="1" x14ac:dyDescent="0.25">
      <c r="A132" s="19" t="s">
        <v>33</v>
      </c>
      <c r="B132" s="2">
        <v>43898</v>
      </c>
      <c r="C132" s="1">
        <v>0</v>
      </c>
      <c r="D132" s="39">
        <v>0</v>
      </c>
      <c r="E132" s="1"/>
      <c r="F132" s="39">
        <f t="shared" si="3"/>
        <v>0</v>
      </c>
      <c r="G132" s="497"/>
      <c r="H132" s="497"/>
      <c r="J132" s="42"/>
    </row>
    <row r="133" spans="1:10" s="360" customFormat="1" x14ac:dyDescent="0.25">
      <c r="A133" s="19" t="s">
        <v>21</v>
      </c>
      <c r="B133" s="2">
        <v>43898</v>
      </c>
      <c r="C133" s="1">
        <v>0</v>
      </c>
      <c r="D133" s="39">
        <v>0</v>
      </c>
      <c r="E133" s="1"/>
      <c r="F133" s="39">
        <f t="shared" si="3"/>
        <v>0</v>
      </c>
      <c r="G133" s="497"/>
      <c r="H133" s="497"/>
      <c r="J133" s="42"/>
    </row>
    <row r="134" spans="1:10" s="360" customFormat="1" x14ac:dyDescent="0.25">
      <c r="A134" s="19" t="s">
        <v>17</v>
      </c>
      <c r="B134" s="2">
        <v>43898</v>
      </c>
      <c r="C134" s="1">
        <v>0</v>
      </c>
      <c r="D134" s="39">
        <v>0</v>
      </c>
      <c r="E134" s="1"/>
      <c r="F134" s="39">
        <f t="shared" si="3"/>
        <v>0</v>
      </c>
      <c r="G134" s="497"/>
      <c r="H134" s="497"/>
      <c r="J134" s="42"/>
    </row>
    <row r="135" spans="1:10" s="360" customFormat="1" x14ac:dyDescent="0.25">
      <c r="A135" s="19" t="s">
        <v>23</v>
      </c>
      <c r="B135" s="2">
        <v>43898</v>
      </c>
      <c r="C135" s="1">
        <v>0</v>
      </c>
      <c r="D135" s="39">
        <v>0</v>
      </c>
      <c r="E135" s="1"/>
      <c r="F135" s="39">
        <f t="shared" si="3"/>
        <v>0</v>
      </c>
      <c r="G135" s="497"/>
      <c r="H135" s="497"/>
      <c r="J135" s="42"/>
    </row>
    <row r="136" spans="1:10" s="360" customFormat="1" x14ac:dyDescent="0.25">
      <c r="A136" s="19" t="s">
        <v>19</v>
      </c>
      <c r="B136" s="2">
        <v>43898</v>
      </c>
      <c r="C136" s="1">
        <v>0</v>
      </c>
      <c r="D136" s="39">
        <v>0</v>
      </c>
      <c r="E136" s="1"/>
      <c r="F136" s="39">
        <f t="shared" si="3"/>
        <v>0</v>
      </c>
      <c r="G136" s="497"/>
      <c r="H136" s="497"/>
      <c r="J136" s="42"/>
    </row>
    <row r="137" spans="1:10" s="360" customFormat="1" x14ac:dyDescent="0.25">
      <c r="A137" s="19" t="s">
        <v>18</v>
      </c>
      <c r="B137" s="2">
        <v>43898</v>
      </c>
      <c r="C137" s="1">
        <v>0</v>
      </c>
      <c r="D137" s="39">
        <v>0</v>
      </c>
      <c r="E137" s="1"/>
      <c r="F137" s="39">
        <f t="shared" si="3"/>
        <v>0</v>
      </c>
      <c r="G137" s="497"/>
      <c r="H137" s="497"/>
      <c r="J137" s="42"/>
    </row>
    <row r="138" spans="1:10" s="360" customFormat="1" x14ac:dyDescent="0.25">
      <c r="A138" s="19" t="s">
        <v>34</v>
      </c>
      <c r="B138" s="2">
        <v>43898</v>
      </c>
      <c r="C138" s="1">
        <v>0</v>
      </c>
      <c r="D138" s="39">
        <v>0</v>
      </c>
      <c r="E138" s="1"/>
      <c r="F138" s="39">
        <f t="shared" si="3"/>
        <v>0</v>
      </c>
      <c r="G138" s="497"/>
      <c r="H138" s="497"/>
      <c r="J138" s="42"/>
    </row>
    <row r="139" spans="1:10" s="360" customFormat="1" x14ac:dyDescent="0.25">
      <c r="A139" s="19" t="s">
        <v>35</v>
      </c>
      <c r="B139" s="2">
        <v>43898</v>
      </c>
      <c r="C139" s="1">
        <v>0</v>
      </c>
      <c r="D139" s="39">
        <v>0</v>
      </c>
      <c r="E139" s="1"/>
      <c r="F139" s="39">
        <f t="shared" si="3"/>
        <v>0</v>
      </c>
      <c r="G139" s="497"/>
      <c r="H139" s="497"/>
      <c r="J139" s="42"/>
    </row>
    <row r="140" spans="1:10" s="360" customFormat="1" x14ac:dyDescent="0.25">
      <c r="A140" s="19" t="s">
        <v>36</v>
      </c>
      <c r="B140" s="2">
        <v>43898</v>
      </c>
      <c r="C140" s="1">
        <v>0</v>
      </c>
      <c r="D140" s="39">
        <v>0</v>
      </c>
      <c r="E140" s="1"/>
      <c r="F140" s="39">
        <f t="shared" si="3"/>
        <v>0</v>
      </c>
      <c r="G140" s="497"/>
      <c r="H140" s="497"/>
      <c r="J140" s="42"/>
    </row>
    <row r="141" spans="1:10" s="360" customFormat="1" x14ac:dyDescent="0.25">
      <c r="A141" s="19" t="s">
        <v>37</v>
      </c>
      <c r="B141" s="2">
        <v>43898</v>
      </c>
      <c r="C141" s="1">
        <v>0</v>
      </c>
      <c r="D141" s="39">
        <v>0</v>
      </c>
      <c r="E141" s="1"/>
      <c r="F141" s="39">
        <f t="shared" si="3"/>
        <v>0</v>
      </c>
      <c r="G141" s="497"/>
      <c r="H141" s="497"/>
      <c r="J141" s="42"/>
    </row>
    <row r="142" spans="1:10" s="360" customFormat="1" x14ac:dyDescent="0.25">
      <c r="A142" s="19" t="s">
        <v>22</v>
      </c>
      <c r="B142" s="2">
        <v>43898</v>
      </c>
      <c r="C142" s="1">
        <v>0</v>
      </c>
      <c r="D142" s="39">
        <v>0</v>
      </c>
      <c r="E142" s="1"/>
      <c r="F142" s="39">
        <f t="shared" si="3"/>
        <v>0</v>
      </c>
      <c r="G142" s="497"/>
      <c r="H142" s="497"/>
      <c r="J142" s="42"/>
    </row>
    <row r="143" spans="1:10" s="360" customFormat="1" x14ac:dyDescent="0.25">
      <c r="A143" s="19" t="s">
        <v>38</v>
      </c>
      <c r="B143" s="2">
        <v>43898</v>
      </c>
      <c r="C143" s="1">
        <v>0</v>
      </c>
      <c r="D143" s="39">
        <v>0</v>
      </c>
      <c r="E143" s="1"/>
      <c r="F143" s="39">
        <f t="shared" si="3"/>
        <v>0</v>
      </c>
      <c r="G143" s="497"/>
      <c r="H143" s="497"/>
      <c r="J143" s="42"/>
    </row>
    <row r="144" spans="1:10" s="360" customFormat="1" x14ac:dyDescent="0.25">
      <c r="A144" s="19" t="s">
        <v>39</v>
      </c>
      <c r="B144" s="2">
        <v>43898</v>
      </c>
      <c r="C144" s="1">
        <v>0</v>
      </c>
      <c r="D144" s="39">
        <v>0</v>
      </c>
      <c r="E144" s="1"/>
      <c r="F144" s="39">
        <f t="shared" si="3"/>
        <v>0</v>
      </c>
      <c r="G144" s="497"/>
      <c r="H144" s="497"/>
      <c r="J144" s="42"/>
    </row>
    <row r="145" spans="1:10" s="360" customFormat="1" x14ac:dyDescent="0.25">
      <c r="A145" s="19" t="s">
        <v>40</v>
      </c>
      <c r="B145" s="2">
        <v>43898</v>
      </c>
      <c r="C145" s="1">
        <v>0</v>
      </c>
      <c r="D145" s="39">
        <v>0</v>
      </c>
      <c r="E145" s="1"/>
      <c r="F145" s="39">
        <f t="shared" si="3"/>
        <v>0</v>
      </c>
      <c r="G145" s="497"/>
      <c r="H145" s="497"/>
      <c r="J145" s="42"/>
    </row>
    <row r="146" spans="1:10" s="360" customFormat="1" x14ac:dyDescent="0.25">
      <c r="A146" s="361" t="s">
        <v>16</v>
      </c>
      <c r="B146" s="2">
        <v>43899</v>
      </c>
      <c r="C146" s="1">
        <v>0</v>
      </c>
      <c r="D146" s="39">
        <v>2</v>
      </c>
      <c r="E146" s="1"/>
      <c r="F146" s="39">
        <f>E146+F122</f>
        <v>0</v>
      </c>
      <c r="G146" s="497"/>
      <c r="H146" s="497"/>
      <c r="J146" s="42"/>
    </row>
    <row r="147" spans="1:10" s="360" customFormat="1" x14ac:dyDescent="0.25">
      <c r="A147" s="19" t="s">
        <v>28</v>
      </c>
      <c r="B147" s="2">
        <v>43899</v>
      </c>
      <c r="C147" s="1">
        <v>0</v>
      </c>
      <c r="D147" s="39">
        <v>0</v>
      </c>
      <c r="E147" s="1"/>
      <c r="F147" s="39">
        <f t="shared" ref="F147:F169" si="4">E147+F123</f>
        <v>0</v>
      </c>
      <c r="G147" s="497"/>
      <c r="H147" s="497"/>
      <c r="J147" s="42"/>
    </row>
    <row r="148" spans="1:10" s="360" customFormat="1" x14ac:dyDescent="0.25">
      <c r="A148" s="19" t="s">
        <v>15</v>
      </c>
      <c r="B148" s="2">
        <v>43899</v>
      </c>
      <c r="C148" s="1">
        <v>2</v>
      </c>
      <c r="D148" s="39">
        <v>2</v>
      </c>
      <c r="E148" s="1"/>
      <c r="F148" s="39">
        <f t="shared" si="4"/>
        <v>0</v>
      </c>
      <c r="G148" s="497"/>
      <c r="H148" s="497"/>
      <c r="J148" s="42"/>
    </row>
    <row r="149" spans="1:10" s="360" customFormat="1" x14ac:dyDescent="0.25">
      <c r="A149" s="19" t="s">
        <v>29</v>
      </c>
      <c r="B149" s="2">
        <v>43899</v>
      </c>
      <c r="C149" s="1">
        <v>0</v>
      </c>
      <c r="D149" s="39">
        <v>0</v>
      </c>
      <c r="E149" s="1"/>
      <c r="F149" s="39">
        <f t="shared" si="4"/>
        <v>0</v>
      </c>
      <c r="G149" s="497"/>
      <c r="H149" s="497"/>
      <c r="J149" s="42"/>
    </row>
    <row r="150" spans="1:10" s="360" customFormat="1" x14ac:dyDescent="0.25">
      <c r="A150" s="19" t="s">
        <v>43</v>
      </c>
      <c r="B150" s="2">
        <v>43899</v>
      </c>
      <c r="C150" s="1">
        <v>1</v>
      </c>
      <c r="D150" s="39">
        <v>10</v>
      </c>
      <c r="E150" s="1"/>
      <c r="F150" s="39">
        <f t="shared" si="4"/>
        <v>1</v>
      </c>
      <c r="G150" s="497"/>
      <c r="H150" s="497"/>
      <c r="J150" s="42"/>
    </row>
    <row r="151" spans="1:10" s="360" customFormat="1" x14ac:dyDescent="0.25">
      <c r="A151" s="19" t="s">
        <v>20</v>
      </c>
      <c r="B151" s="2">
        <v>43899</v>
      </c>
      <c r="C151" s="1">
        <v>0</v>
      </c>
      <c r="D151" s="39">
        <v>1</v>
      </c>
      <c r="E151" s="1"/>
      <c r="F151" s="39">
        <f t="shared" si="4"/>
        <v>0</v>
      </c>
      <c r="G151" s="497"/>
      <c r="H151" s="497"/>
      <c r="J151" s="42"/>
    </row>
    <row r="152" spans="1:10" s="360" customFormat="1" x14ac:dyDescent="0.25">
      <c r="A152" s="19" t="s">
        <v>30</v>
      </c>
      <c r="B152" s="2">
        <v>43899</v>
      </c>
      <c r="C152" s="1">
        <v>0</v>
      </c>
      <c r="D152" s="39">
        <v>0</v>
      </c>
      <c r="E152" s="1"/>
      <c r="F152" s="39">
        <f t="shared" si="4"/>
        <v>0</v>
      </c>
      <c r="G152" s="497"/>
      <c r="H152" s="497"/>
      <c r="J152" s="42"/>
    </row>
    <row r="153" spans="1:10" x14ac:dyDescent="0.25">
      <c r="A153" s="19" t="s">
        <v>31</v>
      </c>
      <c r="B153" s="2">
        <v>43899</v>
      </c>
      <c r="C153" s="1">
        <v>0</v>
      </c>
      <c r="D153" s="39">
        <v>0</v>
      </c>
      <c r="F153" s="39">
        <f t="shared" si="4"/>
        <v>0</v>
      </c>
    </row>
    <row r="154" spans="1:10" s="360" customFormat="1" x14ac:dyDescent="0.25">
      <c r="A154" s="19" t="s">
        <v>41</v>
      </c>
      <c r="B154" s="2">
        <v>43899</v>
      </c>
      <c r="C154" s="1">
        <v>0</v>
      </c>
      <c r="D154" s="39">
        <v>0</v>
      </c>
      <c r="E154" s="1"/>
      <c r="F154" s="39">
        <f t="shared" si="4"/>
        <v>0</v>
      </c>
      <c r="G154" s="497"/>
      <c r="H154" s="497"/>
      <c r="J154" s="42"/>
    </row>
    <row r="155" spans="1:10" s="360" customFormat="1" x14ac:dyDescent="0.25">
      <c r="A155" s="19" t="s">
        <v>32</v>
      </c>
      <c r="B155" s="2">
        <v>43899</v>
      </c>
      <c r="C155" s="1">
        <v>0</v>
      </c>
      <c r="D155" s="39">
        <v>0</v>
      </c>
      <c r="E155" s="1"/>
      <c r="F155" s="39">
        <f t="shared" si="4"/>
        <v>0</v>
      </c>
      <c r="G155" s="497"/>
      <c r="H155" s="497"/>
      <c r="J155" s="42"/>
    </row>
    <row r="156" spans="1:10" s="360" customFormat="1" x14ac:dyDescent="0.25">
      <c r="A156" s="19" t="s">
        <v>33</v>
      </c>
      <c r="B156" s="2">
        <v>43899</v>
      </c>
      <c r="C156" s="1">
        <v>0</v>
      </c>
      <c r="D156" s="39">
        <v>0</v>
      </c>
      <c r="E156" s="1"/>
      <c r="F156" s="39">
        <f t="shared" si="4"/>
        <v>0</v>
      </c>
      <c r="G156" s="497"/>
      <c r="H156" s="497"/>
      <c r="J156" s="42"/>
    </row>
    <row r="157" spans="1:10" s="360" customFormat="1" x14ac:dyDescent="0.25">
      <c r="A157" s="19" t="s">
        <v>21</v>
      </c>
      <c r="B157" s="2">
        <v>43899</v>
      </c>
      <c r="C157" s="1">
        <v>0</v>
      </c>
      <c r="D157" s="39">
        <v>0</v>
      </c>
      <c r="E157" s="1"/>
      <c r="F157" s="39">
        <f t="shared" si="4"/>
        <v>0</v>
      </c>
      <c r="G157" s="497"/>
      <c r="H157" s="497"/>
      <c r="J157" s="42"/>
    </row>
    <row r="158" spans="1:10" s="360" customFormat="1" x14ac:dyDescent="0.25">
      <c r="A158" s="19" t="s">
        <v>17</v>
      </c>
      <c r="B158" s="2">
        <v>43899</v>
      </c>
      <c r="C158" s="1">
        <v>0</v>
      </c>
      <c r="D158" s="39">
        <v>0</v>
      </c>
      <c r="E158" s="1"/>
      <c r="F158" s="39">
        <f t="shared" si="4"/>
        <v>0</v>
      </c>
      <c r="G158" s="497"/>
      <c r="H158" s="497"/>
      <c r="J158" s="42"/>
    </row>
    <row r="159" spans="1:10" s="360" customFormat="1" x14ac:dyDescent="0.25">
      <c r="A159" s="19" t="s">
        <v>23</v>
      </c>
      <c r="B159" s="2">
        <v>43899</v>
      </c>
      <c r="C159" s="1">
        <v>0</v>
      </c>
      <c r="D159" s="39">
        <v>0</v>
      </c>
      <c r="E159" s="1"/>
      <c r="F159" s="39">
        <f t="shared" si="4"/>
        <v>0</v>
      </c>
      <c r="G159" s="497"/>
      <c r="H159" s="497"/>
      <c r="J159" s="42"/>
    </row>
    <row r="160" spans="1:10" s="360" customFormat="1" x14ac:dyDescent="0.25">
      <c r="A160" s="19" t="s">
        <v>19</v>
      </c>
      <c r="B160" s="2">
        <v>43899</v>
      </c>
      <c r="C160" s="1">
        <v>0</v>
      </c>
      <c r="D160" s="39">
        <v>0</v>
      </c>
      <c r="E160" s="1"/>
      <c r="F160" s="39">
        <f t="shared" si="4"/>
        <v>0</v>
      </c>
      <c r="G160" s="497"/>
      <c r="H160" s="497"/>
      <c r="J160" s="42"/>
    </row>
    <row r="161" spans="1:10" s="360" customFormat="1" x14ac:dyDescent="0.25">
      <c r="A161" s="19" t="s">
        <v>18</v>
      </c>
      <c r="B161" s="2">
        <v>43899</v>
      </c>
      <c r="C161" s="1">
        <v>1</v>
      </c>
      <c r="D161" s="39">
        <v>1</v>
      </c>
      <c r="E161" s="1"/>
      <c r="F161" s="39">
        <f t="shared" si="4"/>
        <v>0</v>
      </c>
      <c r="G161" s="497"/>
      <c r="H161" s="497"/>
      <c r="J161" s="42"/>
    </row>
    <row r="162" spans="1:10" s="360" customFormat="1" x14ac:dyDescent="0.25">
      <c r="A162" s="19" t="s">
        <v>34</v>
      </c>
      <c r="B162" s="2">
        <v>43899</v>
      </c>
      <c r="C162" s="1">
        <v>0</v>
      </c>
      <c r="D162" s="39">
        <v>0</v>
      </c>
      <c r="E162" s="1"/>
      <c r="F162" s="39">
        <f t="shared" si="4"/>
        <v>0</v>
      </c>
      <c r="G162" s="497"/>
      <c r="H162" s="497"/>
      <c r="J162" s="42"/>
    </row>
    <row r="163" spans="1:10" s="360" customFormat="1" x14ac:dyDescent="0.25">
      <c r="A163" s="19" t="s">
        <v>35</v>
      </c>
      <c r="B163" s="2">
        <v>43899</v>
      </c>
      <c r="C163" s="1">
        <v>0</v>
      </c>
      <c r="D163" s="39">
        <v>0</v>
      </c>
      <c r="E163" s="1"/>
      <c r="F163" s="39">
        <f t="shared" si="4"/>
        <v>0</v>
      </c>
      <c r="G163" s="497"/>
      <c r="H163" s="497"/>
      <c r="J163" s="42"/>
    </row>
    <row r="164" spans="1:10" s="360" customFormat="1" x14ac:dyDescent="0.25">
      <c r="A164" s="19" t="s">
        <v>36</v>
      </c>
      <c r="B164" s="2">
        <v>43899</v>
      </c>
      <c r="C164" s="1">
        <v>1</v>
      </c>
      <c r="D164" s="39">
        <v>1</v>
      </c>
      <c r="E164" s="1"/>
      <c r="F164" s="39">
        <f t="shared" si="4"/>
        <v>0</v>
      </c>
      <c r="G164" s="497"/>
      <c r="H164" s="497"/>
      <c r="J164" s="42"/>
    </row>
    <row r="165" spans="1:10" s="360" customFormat="1" x14ac:dyDescent="0.25">
      <c r="A165" s="19" t="s">
        <v>37</v>
      </c>
      <c r="B165" s="2">
        <v>43899</v>
      </c>
      <c r="C165" s="1">
        <v>0</v>
      </c>
      <c r="D165" s="39">
        <v>0</v>
      </c>
      <c r="E165" s="1"/>
      <c r="F165" s="39">
        <f t="shared" si="4"/>
        <v>0</v>
      </c>
      <c r="G165" s="497"/>
      <c r="H165" s="497"/>
      <c r="J165" s="42"/>
    </row>
    <row r="166" spans="1:10" s="360" customFormat="1" x14ac:dyDescent="0.25">
      <c r="A166" s="19" t="s">
        <v>22</v>
      </c>
      <c r="B166" s="2">
        <v>43899</v>
      </c>
      <c r="C166" s="1">
        <v>0</v>
      </c>
      <c r="D166" s="39">
        <v>0</v>
      </c>
      <c r="E166" s="1"/>
      <c r="F166" s="39">
        <f t="shared" si="4"/>
        <v>0</v>
      </c>
      <c r="G166" s="497"/>
      <c r="H166" s="497"/>
      <c r="J166" s="42"/>
    </row>
    <row r="167" spans="1:10" s="360" customFormat="1" x14ac:dyDescent="0.25">
      <c r="A167" s="19" t="s">
        <v>38</v>
      </c>
      <c r="B167" s="2">
        <v>43899</v>
      </c>
      <c r="C167" s="1">
        <v>0</v>
      </c>
      <c r="D167" s="39">
        <v>0</v>
      </c>
      <c r="E167" s="1"/>
      <c r="F167" s="39">
        <f t="shared" si="4"/>
        <v>0</v>
      </c>
      <c r="G167" s="497"/>
      <c r="H167" s="497"/>
      <c r="J167" s="42"/>
    </row>
    <row r="168" spans="1:10" s="360" customFormat="1" x14ac:dyDescent="0.25">
      <c r="A168" s="19" t="s">
        <v>39</v>
      </c>
      <c r="B168" s="2">
        <v>43899</v>
      </c>
      <c r="C168" s="1">
        <v>0</v>
      </c>
      <c r="D168" s="39">
        <v>0</v>
      </c>
      <c r="E168" s="1"/>
      <c r="F168" s="39">
        <f t="shared" si="4"/>
        <v>0</v>
      </c>
      <c r="G168" s="497"/>
      <c r="H168" s="497"/>
      <c r="J168" s="42"/>
    </row>
    <row r="169" spans="1:10" s="360" customFormat="1" x14ac:dyDescent="0.25">
      <c r="A169" s="19" t="s">
        <v>40</v>
      </c>
      <c r="B169" s="2">
        <v>43899</v>
      </c>
      <c r="C169" s="1">
        <v>0</v>
      </c>
      <c r="D169" s="39">
        <v>0</v>
      </c>
      <c r="E169" s="1"/>
      <c r="F169" s="39">
        <f t="shared" si="4"/>
        <v>0</v>
      </c>
      <c r="G169" s="497"/>
      <c r="H169" s="497"/>
      <c r="J169" s="42"/>
    </row>
    <row r="170" spans="1:10" s="360" customFormat="1" x14ac:dyDescent="0.25">
      <c r="A170" s="361" t="s">
        <v>16</v>
      </c>
      <c r="B170" s="2">
        <v>43900</v>
      </c>
      <c r="C170" s="1">
        <v>1</v>
      </c>
      <c r="D170" s="39">
        <v>3</v>
      </c>
      <c r="E170" s="1"/>
      <c r="F170" s="39">
        <f>E170+F146</f>
        <v>0</v>
      </c>
      <c r="G170" s="497"/>
      <c r="H170" s="497"/>
      <c r="J170" s="42"/>
    </row>
    <row r="171" spans="1:10" s="360" customFormat="1" x14ac:dyDescent="0.25">
      <c r="A171" s="19" t="s">
        <v>28</v>
      </c>
      <c r="B171" s="2">
        <v>43900</v>
      </c>
      <c r="C171" s="1">
        <v>0</v>
      </c>
      <c r="D171" s="39">
        <v>0</v>
      </c>
      <c r="E171" s="1"/>
      <c r="F171" s="39">
        <f t="shared" ref="F171:F193" si="5">E171+F147</f>
        <v>0</v>
      </c>
      <c r="G171" s="497"/>
      <c r="H171" s="497"/>
      <c r="J171" s="42"/>
    </row>
    <row r="172" spans="1:10" s="360" customFormat="1" x14ac:dyDescent="0.25">
      <c r="A172" s="19" t="s">
        <v>15</v>
      </c>
      <c r="B172" s="2">
        <v>43900</v>
      </c>
      <c r="C172" s="1">
        <v>0</v>
      </c>
      <c r="D172" s="39">
        <v>2</v>
      </c>
      <c r="E172" s="1"/>
      <c r="F172" s="39">
        <f t="shared" si="5"/>
        <v>0</v>
      </c>
      <c r="G172" s="497"/>
      <c r="H172" s="497"/>
      <c r="J172" s="42"/>
    </row>
    <row r="173" spans="1:10" s="360" customFormat="1" x14ac:dyDescent="0.25">
      <c r="A173" s="19" t="s">
        <v>29</v>
      </c>
      <c r="B173" s="2">
        <v>43900</v>
      </c>
      <c r="C173" s="1">
        <v>0</v>
      </c>
      <c r="D173" s="39">
        <v>0</v>
      </c>
      <c r="E173" s="1"/>
      <c r="F173" s="39">
        <f t="shared" si="5"/>
        <v>0</v>
      </c>
      <c r="G173" s="497"/>
      <c r="H173" s="497"/>
      <c r="J173" s="42"/>
    </row>
    <row r="174" spans="1:10" s="360" customFormat="1" x14ac:dyDescent="0.25">
      <c r="A174" s="19" t="s">
        <v>43</v>
      </c>
      <c r="B174" s="2">
        <v>43900</v>
      </c>
      <c r="C174" s="1">
        <v>1</v>
      </c>
      <c r="D174" s="39">
        <v>11</v>
      </c>
      <c r="E174" s="1"/>
      <c r="F174" s="39">
        <f t="shared" si="5"/>
        <v>1</v>
      </c>
      <c r="G174" s="497"/>
      <c r="H174" s="497"/>
      <c r="J174" s="42"/>
    </row>
    <row r="175" spans="1:10" s="360" customFormat="1" x14ac:dyDescent="0.25">
      <c r="A175" s="19" t="s">
        <v>20</v>
      </c>
      <c r="B175" s="2">
        <v>43900</v>
      </c>
      <c r="C175" s="1">
        <v>0</v>
      </c>
      <c r="D175" s="39">
        <v>1</v>
      </c>
      <c r="E175" s="1"/>
      <c r="F175" s="39">
        <f t="shared" si="5"/>
        <v>0</v>
      </c>
      <c r="G175" s="497"/>
      <c r="H175" s="497"/>
      <c r="J175" s="42"/>
    </row>
    <row r="176" spans="1:10" s="360" customFormat="1" x14ac:dyDescent="0.25">
      <c r="A176" s="19" t="s">
        <v>30</v>
      </c>
      <c r="B176" s="2">
        <v>43900</v>
      </c>
      <c r="C176" s="1">
        <v>0</v>
      </c>
      <c r="D176" s="39">
        <v>0</v>
      </c>
      <c r="E176" s="1"/>
      <c r="F176" s="39">
        <f t="shared" si="5"/>
        <v>0</v>
      </c>
      <c r="G176" s="497"/>
      <c r="H176" s="497"/>
      <c r="J176" s="42"/>
    </row>
    <row r="177" spans="1:10" x14ac:dyDescent="0.25">
      <c r="A177" s="19" t="s">
        <v>31</v>
      </c>
      <c r="B177" s="2">
        <v>43900</v>
      </c>
      <c r="C177" s="1">
        <v>0</v>
      </c>
      <c r="D177" s="39">
        <v>0</v>
      </c>
      <c r="F177" s="39">
        <f t="shared" si="5"/>
        <v>0</v>
      </c>
    </row>
    <row r="178" spans="1:10" s="360" customFormat="1" x14ac:dyDescent="0.25">
      <c r="A178" s="19" t="s">
        <v>41</v>
      </c>
      <c r="B178" s="2">
        <v>43900</v>
      </c>
      <c r="C178" s="1">
        <v>0</v>
      </c>
      <c r="D178" s="39">
        <v>0</v>
      </c>
      <c r="E178" s="1"/>
      <c r="F178" s="39">
        <f t="shared" si="5"/>
        <v>0</v>
      </c>
      <c r="G178" s="497"/>
      <c r="H178" s="497"/>
      <c r="J178" s="42"/>
    </row>
    <row r="179" spans="1:10" s="360" customFormat="1" x14ac:dyDescent="0.25">
      <c r="A179" s="19" t="s">
        <v>32</v>
      </c>
      <c r="B179" s="2">
        <v>43900</v>
      </c>
      <c r="C179" s="1">
        <v>0</v>
      </c>
      <c r="D179" s="39">
        <v>0</v>
      </c>
      <c r="E179" s="1"/>
      <c r="F179" s="39">
        <f t="shared" si="5"/>
        <v>0</v>
      </c>
      <c r="G179" s="497"/>
      <c r="H179" s="497"/>
      <c r="J179" s="42"/>
    </row>
    <row r="180" spans="1:10" s="360" customFormat="1" x14ac:dyDescent="0.25">
      <c r="A180" s="19" t="s">
        <v>33</v>
      </c>
      <c r="B180" s="2">
        <v>43900</v>
      </c>
      <c r="C180" s="1">
        <v>0</v>
      </c>
      <c r="D180" s="39">
        <v>0</v>
      </c>
      <c r="E180" s="1"/>
      <c r="F180" s="39">
        <f t="shared" si="5"/>
        <v>0</v>
      </c>
      <c r="G180" s="497"/>
      <c r="H180" s="497"/>
      <c r="J180" s="42"/>
    </row>
    <row r="181" spans="1:10" s="360" customFormat="1" x14ac:dyDescent="0.25">
      <c r="A181" s="19" t="s">
        <v>21</v>
      </c>
      <c r="B181" s="2">
        <v>43900</v>
      </c>
      <c r="C181" s="1">
        <v>0</v>
      </c>
      <c r="D181" s="39">
        <v>0</v>
      </c>
      <c r="E181" s="1"/>
      <c r="F181" s="39">
        <f t="shared" si="5"/>
        <v>0</v>
      </c>
      <c r="G181" s="497"/>
      <c r="H181" s="497"/>
      <c r="J181" s="42"/>
    </row>
    <row r="182" spans="1:10" s="360" customFormat="1" x14ac:dyDescent="0.25">
      <c r="A182" s="19" t="s">
        <v>17</v>
      </c>
      <c r="B182" s="2">
        <v>43900</v>
      </c>
      <c r="C182" s="1">
        <v>0</v>
      </c>
      <c r="D182" s="39">
        <v>0</v>
      </c>
      <c r="E182" s="1"/>
      <c r="F182" s="39">
        <f t="shared" si="5"/>
        <v>0</v>
      </c>
      <c r="G182" s="497"/>
      <c r="H182" s="497"/>
      <c r="J182" s="42"/>
    </row>
    <row r="183" spans="1:10" s="360" customFormat="1" x14ac:dyDescent="0.25">
      <c r="A183" s="19" t="s">
        <v>23</v>
      </c>
      <c r="B183" s="2">
        <v>43900</v>
      </c>
      <c r="C183" s="1">
        <v>0</v>
      </c>
      <c r="D183" s="39">
        <v>0</v>
      </c>
      <c r="E183" s="1"/>
      <c r="F183" s="39">
        <f t="shared" si="5"/>
        <v>0</v>
      </c>
      <c r="G183" s="497"/>
      <c r="H183" s="497"/>
      <c r="J183" s="42"/>
    </row>
    <row r="184" spans="1:10" s="360" customFormat="1" x14ac:dyDescent="0.25">
      <c r="A184" s="19" t="s">
        <v>19</v>
      </c>
      <c r="B184" s="2">
        <v>43900</v>
      </c>
      <c r="C184" s="1">
        <v>0</v>
      </c>
      <c r="D184" s="39">
        <v>0</v>
      </c>
      <c r="E184" s="1"/>
      <c r="F184" s="39">
        <f t="shared" si="5"/>
        <v>0</v>
      </c>
      <c r="G184" s="497"/>
      <c r="H184" s="497"/>
      <c r="J184" s="42"/>
    </row>
    <row r="185" spans="1:10" s="360" customFormat="1" x14ac:dyDescent="0.25">
      <c r="A185" s="19" t="s">
        <v>18</v>
      </c>
      <c r="B185" s="2">
        <v>43900</v>
      </c>
      <c r="C185" s="1">
        <v>0</v>
      </c>
      <c r="D185" s="39">
        <v>1</v>
      </c>
      <c r="E185" s="1"/>
      <c r="F185" s="39">
        <f t="shared" si="5"/>
        <v>0</v>
      </c>
      <c r="G185" s="497"/>
      <c r="H185" s="497"/>
      <c r="J185" s="42"/>
    </row>
    <row r="186" spans="1:10" s="360" customFormat="1" x14ac:dyDescent="0.25">
      <c r="A186" s="19" t="s">
        <v>34</v>
      </c>
      <c r="B186" s="2">
        <v>43900</v>
      </c>
      <c r="C186" s="1">
        <v>0</v>
      </c>
      <c r="D186" s="39">
        <v>0</v>
      </c>
      <c r="E186" s="1"/>
      <c r="F186" s="39">
        <f t="shared" si="5"/>
        <v>0</v>
      </c>
      <c r="G186" s="497"/>
      <c r="H186" s="497"/>
      <c r="J186" s="42"/>
    </row>
    <row r="187" spans="1:10" s="360" customFormat="1" x14ac:dyDescent="0.25">
      <c r="A187" s="19" t="s">
        <v>35</v>
      </c>
      <c r="B187" s="2">
        <v>43900</v>
      </c>
      <c r="C187" s="1">
        <v>0</v>
      </c>
      <c r="D187" s="39">
        <v>0</v>
      </c>
      <c r="E187" s="1"/>
      <c r="F187" s="39">
        <f t="shared" si="5"/>
        <v>0</v>
      </c>
      <c r="G187" s="497"/>
      <c r="H187" s="497"/>
      <c r="J187" s="42"/>
    </row>
    <row r="188" spans="1:10" s="360" customFormat="1" x14ac:dyDescent="0.25">
      <c r="A188" s="19" t="s">
        <v>36</v>
      </c>
      <c r="B188" s="2">
        <v>43900</v>
      </c>
      <c r="C188" s="1">
        <v>0</v>
      </c>
      <c r="D188" s="39">
        <v>1</v>
      </c>
      <c r="E188" s="1"/>
      <c r="F188" s="39">
        <f t="shared" si="5"/>
        <v>0</v>
      </c>
      <c r="G188" s="497"/>
      <c r="H188" s="497"/>
      <c r="J188" s="42"/>
    </row>
    <row r="189" spans="1:10" s="360" customFormat="1" x14ac:dyDescent="0.25">
      <c r="A189" s="19" t="s">
        <v>37</v>
      </c>
      <c r="B189" s="2">
        <v>43900</v>
      </c>
      <c r="C189" s="1">
        <v>0</v>
      </c>
      <c r="D189" s="39">
        <v>0</v>
      </c>
      <c r="E189" s="1"/>
      <c r="F189" s="39">
        <f t="shared" si="5"/>
        <v>0</v>
      </c>
      <c r="G189" s="497"/>
      <c r="H189" s="497"/>
      <c r="J189" s="42"/>
    </row>
    <row r="190" spans="1:10" s="360" customFormat="1" x14ac:dyDescent="0.25">
      <c r="A190" s="19" t="s">
        <v>22</v>
      </c>
      <c r="B190" s="2">
        <v>43900</v>
      </c>
      <c r="C190" s="1">
        <v>0</v>
      </c>
      <c r="D190" s="39">
        <v>0</v>
      </c>
      <c r="E190" s="1"/>
      <c r="F190" s="39">
        <f t="shared" si="5"/>
        <v>0</v>
      </c>
      <c r="G190" s="497"/>
      <c r="H190" s="497"/>
      <c r="J190" s="42"/>
    </row>
    <row r="191" spans="1:10" s="360" customFormat="1" x14ac:dyDescent="0.25">
      <c r="A191" s="19" t="s">
        <v>38</v>
      </c>
      <c r="B191" s="2">
        <v>43900</v>
      </c>
      <c r="C191" s="1">
        <v>0</v>
      </c>
      <c r="D191" s="39">
        <v>0</v>
      </c>
      <c r="E191" s="1"/>
      <c r="F191" s="39">
        <f t="shared" si="5"/>
        <v>0</v>
      </c>
      <c r="G191" s="497"/>
      <c r="H191" s="497"/>
      <c r="J191" s="42"/>
    </row>
    <row r="192" spans="1:10" s="360" customFormat="1" x14ac:dyDescent="0.25">
      <c r="A192" s="19" t="s">
        <v>39</v>
      </c>
      <c r="B192" s="2">
        <v>43900</v>
      </c>
      <c r="C192" s="1">
        <v>0</v>
      </c>
      <c r="D192" s="39">
        <v>0</v>
      </c>
      <c r="E192" s="1"/>
      <c r="F192" s="39">
        <f t="shared" si="5"/>
        <v>0</v>
      </c>
      <c r="G192" s="497"/>
      <c r="H192" s="497"/>
      <c r="J192" s="42"/>
    </row>
    <row r="193" spans="1:10" s="360" customFormat="1" x14ac:dyDescent="0.25">
      <c r="A193" s="19" t="s">
        <v>40</v>
      </c>
      <c r="B193" s="2">
        <v>43900</v>
      </c>
      <c r="C193" s="1">
        <v>0</v>
      </c>
      <c r="D193" s="39">
        <v>0</v>
      </c>
      <c r="E193" s="1"/>
      <c r="F193" s="39">
        <f t="shared" si="5"/>
        <v>0</v>
      </c>
      <c r="G193" s="497"/>
      <c r="H193" s="497"/>
      <c r="J193" s="42"/>
    </row>
    <row r="194" spans="1:10" s="360" customFormat="1" x14ac:dyDescent="0.25">
      <c r="A194" s="361" t="s">
        <v>16</v>
      </c>
      <c r="B194" s="2">
        <v>43901</v>
      </c>
      <c r="C194" s="1">
        <v>1</v>
      </c>
      <c r="D194" s="39">
        <v>4</v>
      </c>
      <c r="E194" s="1"/>
      <c r="F194" s="39">
        <f>E194+F170</f>
        <v>0</v>
      </c>
      <c r="G194" s="497"/>
      <c r="H194" s="497"/>
      <c r="J194" s="42"/>
    </row>
    <row r="195" spans="1:10" s="360" customFormat="1" x14ac:dyDescent="0.25">
      <c r="A195" s="19" t="s">
        <v>28</v>
      </c>
      <c r="B195" s="2">
        <v>43901</v>
      </c>
      <c r="C195" s="1">
        <v>0</v>
      </c>
      <c r="D195" s="39">
        <v>0</v>
      </c>
      <c r="E195" s="1"/>
      <c r="F195" s="39">
        <f t="shared" ref="F195:F217" si="6">E195+F171</f>
        <v>0</v>
      </c>
      <c r="G195" s="497"/>
      <c r="H195" s="497"/>
      <c r="J195" s="42"/>
    </row>
    <row r="196" spans="1:10" s="360" customFormat="1" x14ac:dyDescent="0.25">
      <c r="A196" s="19" t="s">
        <v>15</v>
      </c>
      <c r="B196" s="2">
        <v>43901</v>
      </c>
      <c r="C196" s="1">
        <v>0</v>
      </c>
      <c r="D196" s="39">
        <v>2</v>
      </c>
      <c r="E196" s="1"/>
      <c r="F196" s="39">
        <f t="shared" si="6"/>
        <v>0</v>
      </c>
      <c r="G196" s="497"/>
      <c r="H196" s="497"/>
      <c r="J196" s="42"/>
    </row>
    <row r="197" spans="1:10" s="360" customFormat="1" x14ac:dyDescent="0.25">
      <c r="A197" s="19" t="s">
        <v>29</v>
      </c>
      <c r="B197" s="2">
        <v>43901</v>
      </c>
      <c r="C197" s="1">
        <v>0</v>
      </c>
      <c r="D197" s="39">
        <v>0</v>
      </c>
      <c r="E197" s="1"/>
      <c r="F197" s="39">
        <f t="shared" si="6"/>
        <v>0</v>
      </c>
      <c r="G197" s="497"/>
      <c r="H197" s="497"/>
      <c r="J197" s="42"/>
    </row>
    <row r="198" spans="1:10" s="360" customFormat="1" x14ac:dyDescent="0.25">
      <c r="A198" s="19" t="s">
        <v>43</v>
      </c>
      <c r="B198" s="2">
        <v>43901</v>
      </c>
      <c r="C198" s="1">
        <v>1</v>
      </c>
      <c r="D198" s="39">
        <v>12</v>
      </c>
      <c r="E198" s="1"/>
      <c r="F198" s="39">
        <f t="shared" si="6"/>
        <v>1</v>
      </c>
      <c r="G198" s="497"/>
      <c r="H198" s="497"/>
      <c r="J198" s="42"/>
    </row>
    <row r="199" spans="1:10" s="360" customFormat="1" x14ac:dyDescent="0.25">
      <c r="A199" s="19" t="s">
        <v>20</v>
      </c>
      <c r="B199" s="2">
        <v>43901</v>
      </c>
      <c r="C199" s="1">
        <v>0</v>
      </c>
      <c r="D199" s="39">
        <v>1</v>
      </c>
      <c r="E199" s="1"/>
      <c r="F199" s="39">
        <f t="shared" si="6"/>
        <v>0</v>
      </c>
      <c r="G199" s="497"/>
      <c r="H199" s="497"/>
      <c r="J199" s="42"/>
    </row>
    <row r="200" spans="1:10" s="360" customFormat="1" x14ac:dyDescent="0.25">
      <c r="A200" s="19" t="s">
        <v>30</v>
      </c>
      <c r="B200" s="2">
        <v>43901</v>
      </c>
      <c r="C200" s="1">
        <v>0</v>
      </c>
      <c r="D200" s="39">
        <v>0</v>
      </c>
      <c r="E200" s="1"/>
      <c r="F200" s="39">
        <f t="shared" si="6"/>
        <v>0</v>
      </c>
      <c r="G200" s="497"/>
      <c r="H200" s="497"/>
      <c r="J200" s="42"/>
    </row>
    <row r="201" spans="1:10" x14ac:dyDescent="0.25">
      <c r="A201" s="19" t="s">
        <v>31</v>
      </c>
      <c r="B201" s="2">
        <v>43901</v>
      </c>
      <c r="C201" s="1">
        <v>0</v>
      </c>
      <c r="D201" s="39">
        <v>0</v>
      </c>
      <c r="F201" s="39">
        <f t="shared" si="6"/>
        <v>0</v>
      </c>
    </row>
    <row r="202" spans="1:10" s="360" customFormat="1" x14ac:dyDescent="0.25">
      <c r="A202" s="19" t="s">
        <v>41</v>
      </c>
      <c r="B202" s="2">
        <v>43901</v>
      </c>
      <c r="C202" s="1">
        <v>0</v>
      </c>
      <c r="D202" s="39">
        <v>0</v>
      </c>
      <c r="E202" s="1"/>
      <c r="F202" s="39">
        <f t="shared" si="6"/>
        <v>0</v>
      </c>
      <c r="G202" s="497"/>
      <c r="H202" s="497"/>
      <c r="J202" s="42"/>
    </row>
    <row r="203" spans="1:10" s="360" customFormat="1" x14ac:dyDescent="0.25">
      <c r="A203" s="19" t="s">
        <v>32</v>
      </c>
      <c r="B203" s="2">
        <v>43901</v>
      </c>
      <c r="C203" s="1">
        <v>0</v>
      </c>
      <c r="D203" s="39">
        <v>0</v>
      </c>
      <c r="E203" s="1"/>
      <c r="F203" s="39">
        <f t="shared" si="6"/>
        <v>0</v>
      </c>
      <c r="G203" s="497"/>
      <c r="H203" s="497"/>
      <c r="J203" s="42"/>
    </row>
    <row r="204" spans="1:10" s="360" customFormat="1" x14ac:dyDescent="0.25">
      <c r="A204" s="19" t="s">
        <v>33</v>
      </c>
      <c r="B204" s="2">
        <v>43901</v>
      </c>
      <c r="C204" s="1">
        <v>0</v>
      </c>
      <c r="D204" s="39">
        <v>0</v>
      </c>
      <c r="E204" s="1"/>
      <c r="F204" s="39">
        <f t="shared" si="6"/>
        <v>0</v>
      </c>
      <c r="G204" s="497"/>
      <c r="H204" s="497"/>
      <c r="J204" s="42"/>
    </row>
    <row r="205" spans="1:10" s="360" customFormat="1" x14ac:dyDescent="0.25">
      <c r="A205" s="19" t="s">
        <v>21</v>
      </c>
      <c r="B205" s="2">
        <v>43901</v>
      </c>
      <c r="C205" s="1">
        <v>0</v>
      </c>
      <c r="D205" s="39">
        <v>0</v>
      </c>
      <c r="E205" s="1"/>
      <c r="F205" s="39">
        <f t="shared" si="6"/>
        <v>0</v>
      </c>
      <c r="G205" s="497"/>
      <c r="H205" s="497"/>
      <c r="J205" s="42"/>
    </row>
    <row r="206" spans="1:10" s="360" customFormat="1" x14ac:dyDescent="0.25">
      <c r="A206" s="19" t="s">
        <v>17</v>
      </c>
      <c r="B206" s="2">
        <v>43901</v>
      </c>
      <c r="C206" s="1">
        <v>0</v>
      </c>
      <c r="D206" s="39">
        <v>0</v>
      </c>
      <c r="E206" s="1"/>
      <c r="F206" s="39">
        <f t="shared" si="6"/>
        <v>0</v>
      </c>
      <c r="G206" s="497"/>
      <c r="H206" s="497"/>
      <c r="J206" s="42"/>
    </row>
    <row r="207" spans="1:10" s="360" customFormat="1" x14ac:dyDescent="0.25">
      <c r="A207" s="19" t="s">
        <v>23</v>
      </c>
      <c r="B207" s="2">
        <v>43901</v>
      </c>
      <c r="C207" s="1">
        <v>0</v>
      </c>
      <c r="D207" s="39">
        <v>0</v>
      </c>
      <c r="E207" s="1"/>
      <c r="F207" s="39">
        <f t="shared" si="6"/>
        <v>0</v>
      </c>
      <c r="G207" s="497"/>
      <c r="H207" s="497"/>
      <c r="J207" s="42"/>
    </row>
    <row r="208" spans="1:10" s="360" customFormat="1" x14ac:dyDescent="0.25">
      <c r="A208" s="19" t="s">
        <v>19</v>
      </c>
      <c r="B208" s="2">
        <v>43901</v>
      </c>
      <c r="C208" s="1">
        <v>0</v>
      </c>
      <c r="D208" s="39">
        <v>0</v>
      </c>
      <c r="E208" s="1"/>
      <c r="F208" s="39">
        <f t="shared" si="6"/>
        <v>0</v>
      </c>
      <c r="G208" s="497"/>
      <c r="H208" s="497"/>
      <c r="J208" s="42"/>
    </row>
    <row r="209" spans="1:10" s="360" customFormat="1" x14ac:dyDescent="0.25">
      <c r="A209" s="19" t="s">
        <v>18</v>
      </c>
      <c r="B209" s="2">
        <v>43901</v>
      </c>
      <c r="C209" s="1">
        <v>0</v>
      </c>
      <c r="D209" s="39">
        <v>1</v>
      </c>
      <c r="E209" s="1"/>
      <c r="F209" s="39">
        <f t="shared" si="6"/>
        <v>0</v>
      </c>
      <c r="G209" s="497"/>
      <c r="H209" s="497"/>
      <c r="J209" s="42"/>
    </row>
    <row r="210" spans="1:10" s="360" customFormat="1" x14ac:dyDescent="0.25">
      <c r="A210" s="19" t="s">
        <v>34</v>
      </c>
      <c r="B210" s="2">
        <v>43901</v>
      </c>
      <c r="C210" s="1">
        <v>0</v>
      </c>
      <c r="D210" s="39">
        <v>0</v>
      </c>
      <c r="E210" s="1"/>
      <c r="F210" s="39">
        <f t="shared" si="6"/>
        <v>0</v>
      </c>
      <c r="G210" s="497"/>
      <c r="H210" s="497"/>
      <c r="J210" s="42"/>
    </row>
    <row r="211" spans="1:10" s="360" customFormat="1" x14ac:dyDescent="0.25">
      <c r="A211" s="19" t="s">
        <v>35</v>
      </c>
      <c r="B211" s="2">
        <v>43901</v>
      </c>
      <c r="C211" s="1">
        <v>0</v>
      </c>
      <c r="D211" s="39">
        <v>0</v>
      </c>
      <c r="E211" s="1"/>
      <c r="F211" s="39">
        <f t="shared" si="6"/>
        <v>0</v>
      </c>
      <c r="G211" s="497"/>
      <c r="H211" s="497"/>
      <c r="J211" s="42"/>
    </row>
    <row r="212" spans="1:10" s="360" customFormat="1" x14ac:dyDescent="0.25">
      <c r="A212" s="19" t="s">
        <v>36</v>
      </c>
      <c r="B212" s="2">
        <v>43901</v>
      </c>
      <c r="C212" s="1">
        <v>0</v>
      </c>
      <c r="D212" s="39">
        <v>1</v>
      </c>
      <c r="E212" s="1"/>
      <c r="F212" s="39">
        <f t="shared" si="6"/>
        <v>0</v>
      </c>
      <c r="G212" s="497"/>
      <c r="H212" s="497"/>
      <c r="J212" s="42"/>
    </row>
    <row r="213" spans="1:10" s="360" customFormat="1" x14ac:dyDescent="0.25">
      <c r="A213" s="19" t="s">
        <v>37</v>
      </c>
      <c r="B213" s="2">
        <v>43901</v>
      </c>
      <c r="C213" s="1">
        <v>0</v>
      </c>
      <c r="D213" s="39">
        <v>0</v>
      </c>
      <c r="E213" s="1"/>
      <c r="F213" s="39">
        <f t="shared" si="6"/>
        <v>0</v>
      </c>
      <c r="G213" s="497"/>
      <c r="H213" s="497"/>
      <c r="J213" s="42"/>
    </row>
    <row r="214" spans="1:10" s="360" customFormat="1" x14ac:dyDescent="0.25">
      <c r="A214" s="19" t="s">
        <v>22</v>
      </c>
      <c r="B214" s="2">
        <v>43901</v>
      </c>
      <c r="C214" s="1">
        <v>0</v>
      </c>
      <c r="D214" s="39">
        <v>0</v>
      </c>
      <c r="E214" s="1"/>
      <c r="F214" s="39">
        <f t="shared" si="6"/>
        <v>0</v>
      </c>
      <c r="G214" s="497"/>
      <c r="H214" s="497"/>
      <c r="J214" s="42"/>
    </row>
    <row r="215" spans="1:10" s="360" customFormat="1" x14ac:dyDescent="0.25">
      <c r="A215" s="19" t="s">
        <v>38</v>
      </c>
      <c r="B215" s="2">
        <v>43901</v>
      </c>
      <c r="C215" s="1">
        <v>0</v>
      </c>
      <c r="D215" s="39">
        <v>0</v>
      </c>
      <c r="E215" s="1"/>
      <c r="F215" s="39">
        <f t="shared" si="6"/>
        <v>0</v>
      </c>
      <c r="G215" s="497"/>
      <c r="H215" s="497"/>
      <c r="J215" s="42"/>
    </row>
    <row r="216" spans="1:10" s="360" customFormat="1" x14ac:dyDescent="0.25">
      <c r="A216" s="19" t="s">
        <v>39</v>
      </c>
      <c r="B216" s="2">
        <v>43901</v>
      </c>
      <c r="C216" s="1">
        <v>0</v>
      </c>
      <c r="D216" s="39">
        <v>0</v>
      </c>
      <c r="E216" s="1"/>
      <c r="F216" s="39">
        <f t="shared" si="6"/>
        <v>0</v>
      </c>
      <c r="G216" s="497"/>
      <c r="H216" s="497"/>
      <c r="J216" s="42"/>
    </row>
    <row r="217" spans="1:10" s="360" customFormat="1" x14ac:dyDescent="0.25">
      <c r="A217" s="19" t="s">
        <v>40</v>
      </c>
      <c r="B217" s="2">
        <v>43901</v>
      </c>
      <c r="C217" s="1">
        <v>0</v>
      </c>
      <c r="D217" s="39">
        <v>0</v>
      </c>
      <c r="E217" s="1"/>
      <c r="F217" s="39">
        <f t="shared" si="6"/>
        <v>0</v>
      </c>
      <c r="G217" s="497"/>
      <c r="H217" s="497"/>
      <c r="J217" s="42"/>
    </row>
    <row r="218" spans="1:10" s="360" customFormat="1" x14ac:dyDescent="0.25">
      <c r="A218" s="361" t="s">
        <v>16</v>
      </c>
      <c r="B218" s="2">
        <v>43902</v>
      </c>
      <c r="C218" s="1">
        <v>4</v>
      </c>
      <c r="D218" s="39">
        <v>8</v>
      </c>
      <c r="E218" s="1"/>
      <c r="F218" s="39">
        <f>E218+F194</f>
        <v>0</v>
      </c>
      <c r="G218" s="497"/>
      <c r="H218" s="497"/>
      <c r="J218" s="42"/>
    </row>
    <row r="219" spans="1:10" s="360" customFormat="1" x14ac:dyDescent="0.25">
      <c r="A219" s="19" t="s">
        <v>28</v>
      </c>
      <c r="B219" s="2">
        <v>43902</v>
      </c>
      <c r="C219" s="1">
        <v>0</v>
      </c>
      <c r="D219" s="39">
        <v>0</v>
      </c>
      <c r="E219" s="1"/>
      <c r="F219" s="39">
        <f t="shared" ref="F219:F241" si="7">E219+F195</f>
        <v>0</v>
      </c>
      <c r="G219" s="497"/>
      <c r="H219" s="497"/>
      <c r="J219" s="42"/>
    </row>
    <row r="220" spans="1:10" s="360" customFormat="1" x14ac:dyDescent="0.25">
      <c r="A220" s="19" t="s">
        <v>15</v>
      </c>
      <c r="B220" s="2">
        <v>43902</v>
      </c>
      <c r="C220" s="1">
        <v>2</v>
      </c>
      <c r="D220" s="39">
        <v>4</v>
      </c>
      <c r="E220" s="1"/>
      <c r="F220" s="39">
        <f t="shared" si="7"/>
        <v>0</v>
      </c>
      <c r="G220" s="497"/>
      <c r="H220" s="497"/>
      <c r="J220" s="42"/>
    </row>
    <row r="221" spans="1:10" s="360" customFormat="1" x14ac:dyDescent="0.25">
      <c r="A221" s="19" t="s">
        <v>29</v>
      </c>
      <c r="B221" s="2">
        <v>43902</v>
      </c>
      <c r="C221" s="1">
        <v>0</v>
      </c>
      <c r="D221" s="39">
        <v>0</v>
      </c>
      <c r="E221" s="1"/>
      <c r="F221" s="39">
        <f t="shared" si="7"/>
        <v>0</v>
      </c>
      <c r="G221" s="497"/>
      <c r="H221" s="497"/>
      <c r="J221" s="42"/>
    </row>
    <row r="222" spans="1:10" s="360" customFormat="1" x14ac:dyDescent="0.25">
      <c r="A222" s="19" t="s">
        <v>43</v>
      </c>
      <c r="B222" s="2">
        <v>43902</v>
      </c>
      <c r="C222" s="1">
        <v>2</v>
      </c>
      <c r="D222" s="39">
        <v>14</v>
      </c>
      <c r="E222" s="1"/>
      <c r="F222" s="39">
        <f t="shared" si="7"/>
        <v>1</v>
      </c>
      <c r="G222" s="497"/>
      <c r="H222" s="497"/>
      <c r="J222" s="42"/>
    </row>
    <row r="223" spans="1:10" s="360" customFormat="1" x14ac:dyDescent="0.25">
      <c r="A223" s="19" t="s">
        <v>20</v>
      </c>
      <c r="B223" s="2">
        <v>43902</v>
      </c>
      <c r="C223" s="1">
        <v>1</v>
      </c>
      <c r="D223" s="39">
        <v>2</v>
      </c>
      <c r="E223" s="1"/>
      <c r="F223" s="39">
        <f t="shared" si="7"/>
        <v>0</v>
      </c>
      <c r="G223" s="497"/>
      <c r="H223" s="497"/>
      <c r="J223" s="42"/>
    </row>
    <row r="224" spans="1:10" s="360" customFormat="1" x14ac:dyDescent="0.25">
      <c r="A224" s="19" t="s">
        <v>30</v>
      </c>
      <c r="B224" s="2">
        <v>43902</v>
      </c>
      <c r="C224" s="1">
        <v>0</v>
      </c>
      <c r="D224" s="39">
        <v>0</v>
      </c>
      <c r="E224" s="1"/>
      <c r="F224" s="39">
        <f t="shared" si="7"/>
        <v>0</v>
      </c>
      <c r="G224" s="497"/>
      <c r="H224" s="497"/>
      <c r="J224" s="42"/>
    </row>
    <row r="225" spans="1:10" x14ac:dyDescent="0.25">
      <c r="A225" s="19" t="s">
        <v>31</v>
      </c>
      <c r="B225" s="2">
        <v>43902</v>
      </c>
      <c r="C225" s="1">
        <v>1</v>
      </c>
      <c r="D225" s="39">
        <v>1</v>
      </c>
      <c r="F225" s="39">
        <f t="shared" si="7"/>
        <v>0</v>
      </c>
    </row>
    <row r="226" spans="1:10" s="360" customFormat="1" x14ac:dyDescent="0.25">
      <c r="A226" s="19" t="s">
        <v>41</v>
      </c>
      <c r="B226" s="2">
        <v>43902</v>
      </c>
      <c r="C226" s="1">
        <v>0</v>
      </c>
      <c r="D226" s="39">
        <v>0</v>
      </c>
      <c r="E226" s="1"/>
      <c r="F226" s="39">
        <f t="shared" si="7"/>
        <v>0</v>
      </c>
      <c r="G226" s="497"/>
      <c r="H226" s="497"/>
      <c r="J226" s="42"/>
    </row>
    <row r="227" spans="1:10" s="360" customFormat="1" x14ac:dyDescent="0.25">
      <c r="A227" s="19" t="s">
        <v>32</v>
      </c>
      <c r="B227" s="2">
        <v>43902</v>
      </c>
      <c r="C227" s="1">
        <v>0</v>
      </c>
      <c r="D227" s="39">
        <v>0</v>
      </c>
      <c r="E227" s="1"/>
      <c r="F227" s="39">
        <f t="shared" si="7"/>
        <v>0</v>
      </c>
      <c r="G227" s="497"/>
      <c r="H227" s="497"/>
      <c r="J227" s="42"/>
    </row>
    <row r="228" spans="1:10" s="360" customFormat="1" x14ac:dyDescent="0.25">
      <c r="A228" s="19" t="s">
        <v>33</v>
      </c>
      <c r="B228" s="2">
        <v>43902</v>
      </c>
      <c r="C228" s="1">
        <v>0</v>
      </c>
      <c r="D228" s="39">
        <v>0</v>
      </c>
      <c r="E228" s="1"/>
      <c r="F228" s="39">
        <f t="shared" si="7"/>
        <v>0</v>
      </c>
      <c r="G228" s="497"/>
      <c r="H228" s="497"/>
      <c r="J228" s="42"/>
    </row>
    <row r="229" spans="1:10" s="360" customFormat="1" x14ac:dyDescent="0.25">
      <c r="A229" s="19" t="s">
        <v>21</v>
      </c>
      <c r="B229" s="2">
        <v>43902</v>
      </c>
      <c r="C229" s="1">
        <v>0</v>
      </c>
      <c r="D229" s="39">
        <v>0</v>
      </c>
      <c r="E229" s="1"/>
      <c r="F229" s="39">
        <f t="shared" si="7"/>
        <v>0</v>
      </c>
      <c r="G229" s="497"/>
      <c r="H229" s="497"/>
      <c r="J229" s="42"/>
    </row>
    <row r="230" spans="1:10" s="360" customFormat="1" x14ac:dyDescent="0.25">
      <c r="A230" s="19" t="s">
        <v>17</v>
      </c>
      <c r="B230" s="2">
        <v>43902</v>
      </c>
      <c r="C230" s="1">
        <v>0</v>
      </c>
      <c r="D230" s="39">
        <v>0</v>
      </c>
      <c r="E230" s="1"/>
      <c r="F230" s="39">
        <f t="shared" si="7"/>
        <v>0</v>
      </c>
      <c r="G230" s="497"/>
      <c r="H230" s="497"/>
      <c r="J230" s="42"/>
    </row>
    <row r="231" spans="1:10" s="360" customFormat="1" x14ac:dyDescent="0.25">
      <c r="A231" s="19" t="s">
        <v>23</v>
      </c>
      <c r="B231" s="2">
        <v>43902</v>
      </c>
      <c r="C231" s="1">
        <v>0</v>
      </c>
      <c r="D231" s="39">
        <v>0</v>
      </c>
      <c r="E231" s="1"/>
      <c r="F231" s="39">
        <f t="shared" si="7"/>
        <v>0</v>
      </c>
      <c r="G231" s="497"/>
      <c r="H231" s="497"/>
      <c r="J231" s="42"/>
    </row>
    <row r="232" spans="1:10" s="360" customFormat="1" x14ac:dyDescent="0.25">
      <c r="A232" s="19" t="s">
        <v>19</v>
      </c>
      <c r="B232" s="2">
        <v>43902</v>
      </c>
      <c r="C232" s="1">
        <v>0</v>
      </c>
      <c r="D232" s="39">
        <v>0</v>
      </c>
      <c r="E232" s="1"/>
      <c r="F232" s="39">
        <f t="shared" si="7"/>
        <v>0</v>
      </c>
      <c r="G232" s="497"/>
      <c r="H232" s="497"/>
      <c r="J232" s="42"/>
    </row>
    <row r="233" spans="1:10" s="360" customFormat="1" x14ac:dyDescent="0.25">
      <c r="A233" s="19" t="s">
        <v>18</v>
      </c>
      <c r="B233" s="2">
        <v>43902</v>
      </c>
      <c r="C233" s="1">
        <v>0</v>
      </c>
      <c r="D233" s="39">
        <v>1</v>
      </c>
      <c r="E233" s="1"/>
      <c r="F233" s="39">
        <f t="shared" si="7"/>
        <v>0</v>
      </c>
      <c r="G233" s="497"/>
      <c r="H233" s="497"/>
      <c r="J233" s="42"/>
    </row>
    <row r="234" spans="1:10" s="360" customFormat="1" x14ac:dyDescent="0.25">
      <c r="A234" s="19" t="s">
        <v>34</v>
      </c>
      <c r="B234" s="2">
        <v>43902</v>
      </c>
      <c r="C234" s="1">
        <v>0</v>
      </c>
      <c r="D234" s="39">
        <v>0</v>
      </c>
      <c r="E234" s="1"/>
      <c r="F234" s="39">
        <f t="shared" si="7"/>
        <v>0</v>
      </c>
      <c r="G234" s="497"/>
      <c r="H234" s="497"/>
      <c r="J234" s="42"/>
    </row>
    <row r="235" spans="1:10" s="360" customFormat="1" x14ac:dyDescent="0.25">
      <c r="A235" s="19" t="s">
        <v>35</v>
      </c>
      <c r="B235" s="2">
        <v>43902</v>
      </c>
      <c r="C235" s="1">
        <v>0</v>
      </c>
      <c r="D235" s="39">
        <v>0</v>
      </c>
      <c r="E235" s="1"/>
      <c r="F235" s="39">
        <f t="shared" si="7"/>
        <v>0</v>
      </c>
      <c r="G235" s="497"/>
      <c r="H235" s="497"/>
      <c r="J235" s="42"/>
    </row>
    <row r="236" spans="1:10" s="360" customFormat="1" x14ac:dyDescent="0.25">
      <c r="A236" s="19" t="s">
        <v>36</v>
      </c>
      <c r="B236" s="2">
        <v>43902</v>
      </c>
      <c r="C236" s="1">
        <v>0</v>
      </c>
      <c r="D236" s="39">
        <v>1</v>
      </c>
      <c r="E236" s="1"/>
      <c r="F236" s="39">
        <f t="shared" si="7"/>
        <v>0</v>
      </c>
      <c r="G236" s="497"/>
      <c r="H236" s="497"/>
      <c r="J236" s="42"/>
    </row>
    <row r="237" spans="1:10" s="360" customFormat="1" x14ac:dyDescent="0.25">
      <c r="A237" s="19" t="s">
        <v>37</v>
      </c>
      <c r="B237" s="2">
        <v>43902</v>
      </c>
      <c r="C237" s="1">
        <v>0</v>
      </c>
      <c r="D237" s="39">
        <v>0</v>
      </c>
      <c r="E237" s="1"/>
      <c r="F237" s="39">
        <f t="shared" si="7"/>
        <v>0</v>
      </c>
      <c r="G237" s="497"/>
      <c r="H237" s="497"/>
      <c r="J237" s="42"/>
    </row>
    <row r="238" spans="1:10" s="360" customFormat="1" x14ac:dyDescent="0.25">
      <c r="A238" s="19" t="s">
        <v>22</v>
      </c>
      <c r="B238" s="2">
        <v>43902</v>
      </c>
      <c r="C238" s="1">
        <v>0</v>
      </c>
      <c r="D238" s="39">
        <v>0</v>
      </c>
      <c r="E238" s="1"/>
      <c r="F238" s="39">
        <f t="shared" si="7"/>
        <v>0</v>
      </c>
      <c r="G238" s="497"/>
      <c r="H238" s="497"/>
      <c r="J238" s="42"/>
    </row>
    <row r="239" spans="1:10" s="360" customFormat="1" x14ac:dyDescent="0.25">
      <c r="A239" s="19" t="s">
        <v>38</v>
      </c>
      <c r="B239" s="2">
        <v>43902</v>
      </c>
      <c r="C239" s="1">
        <v>0</v>
      </c>
      <c r="D239" s="39">
        <v>0</v>
      </c>
      <c r="E239" s="1"/>
      <c r="F239" s="39">
        <f t="shared" si="7"/>
        <v>0</v>
      </c>
      <c r="G239" s="497"/>
      <c r="H239" s="497"/>
      <c r="J239" s="42"/>
    </row>
    <row r="240" spans="1:10" s="360" customFormat="1" x14ac:dyDescent="0.25">
      <c r="A240" s="19" t="s">
        <v>39</v>
      </c>
      <c r="B240" s="2">
        <v>43902</v>
      </c>
      <c r="C240" s="1">
        <v>0</v>
      </c>
      <c r="D240" s="39">
        <v>0</v>
      </c>
      <c r="E240" s="1"/>
      <c r="F240" s="39">
        <f t="shared" si="7"/>
        <v>0</v>
      </c>
      <c r="G240" s="497"/>
      <c r="H240" s="497"/>
      <c r="J240" s="42"/>
    </row>
    <row r="241" spans="1:10" s="360" customFormat="1" x14ac:dyDescent="0.25">
      <c r="A241" s="19" t="s">
        <v>40</v>
      </c>
      <c r="B241" s="2">
        <v>43902</v>
      </c>
      <c r="C241" s="1">
        <v>0</v>
      </c>
      <c r="D241" s="39">
        <v>0</v>
      </c>
      <c r="E241" s="1"/>
      <c r="F241" s="39">
        <f t="shared" si="7"/>
        <v>0</v>
      </c>
      <c r="G241" s="497"/>
      <c r="H241" s="497"/>
      <c r="J241" s="42"/>
    </row>
    <row r="242" spans="1:10" s="360" customFormat="1" x14ac:dyDescent="0.25">
      <c r="A242" s="361" t="s">
        <v>16</v>
      </c>
      <c r="B242" s="2">
        <v>43903</v>
      </c>
      <c r="C242" s="1">
        <v>1</v>
      </c>
      <c r="D242" s="39">
        <v>9</v>
      </c>
      <c r="E242" s="1"/>
      <c r="F242" s="39">
        <f>E242+F218</f>
        <v>0</v>
      </c>
      <c r="G242" s="497"/>
      <c r="H242" s="497"/>
      <c r="J242" s="42"/>
    </row>
    <row r="243" spans="1:10" s="360" customFormat="1" x14ac:dyDescent="0.25">
      <c r="A243" s="19" t="s">
        <v>28</v>
      </c>
      <c r="B243" s="2">
        <v>43903</v>
      </c>
      <c r="C243" s="1">
        <v>0</v>
      </c>
      <c r="D243" s="39">
        <v>0</v>
      </c>
      <c r="E243" s="1"/>
      <c r="F243" s="39">
        <f t="shared" ref="F243:F265" si="8">E243+F219</f>
        <v>0</v>
      </c>
      <c r="G243" s="497"/>
      <c r="H243" s="497"/>
      <c r="J243" s="42"/>
    </row>
    <row r="244" spans="1:10" s="360" customFormat="1" x14ac:dyDescent="0.25">
      <c r="A244" s="19" t="s">
        <v>15</v>
      </c>
      <c r="B244" s="2">
        <v>43903</v>
      </c>
      <c r="C244" s="1">
        <v>0</v>
      </c>
      <c r="D244" s="39">
        <v>4</v>
      </c>
      <c r="E244" s="1">
        <v>1</v>
      </c>
      <c r="F244" s="39">
        <f t="shared" si="8"/>
        <v>1</v>
      </c>
      <c r="G244" s="497"/>
      <c r="H244" s="497"/>
      <c r="J244" s="42"/>
    </row>
    <row r="245" spans="1:10" s="360" customFormat="1" x14ac:dyDescent="0.25">
      <c r="A245" s="19" t="s">
        <v>29</v>
      </c>
      <c r="B245" s="2">
        <v>43903</v>
      </c>
      <c r="C245" s="1">
        <v>0</v>
      </c>
      <c r="D245" s="39">
        <v>0</v>
      </c>
      <c r="E245" s="1"/>
      <c r="F245" s="39">
        <f t="shared" si="8"/>
        <v>0</v>
      </c>
      <c r="G245" s="497"/>
      <c r="H245" s="497"/>
      <c r="J245" s="42"/>
    </row>
    <row r="246" spans="1:10" s="360" customFormat="1" x14ac:dyDescent="0.25">
      <c r="A246" s="19" t="s">
        <v>43</v>
      </c>
      <c r="B246" s="2">
        <v>43903</v>
      </c>
      <c r="C246" s="1">
        <v>2</v>
      </c>
      <c r="D246" s="39">
        <v>16</v>
      </c>
      <c r="E246" s="1"/>
      <c r="F246" s="39">
        <f t="shared" si="8"/>
        <v>1</v>
      </c>
      <c r="G246" s="497"/>
      <c r="H246" s="497"/>
      <c r="J246" s="42"/>
    </row>
    <row r="247" spans="1:10" s="360" customFormat="1" x14ac:dyDescent="0.25">
      <c r="A247" s="19" t="s">
        <v>20</v>
      </c>
      <c r="B247" s="2">
        <v>43903</v>
      </c>
      <c r="C247" s="1">
        <v>0</v>
      </c>
      <c r="D247" s="39">
        <v>2</v>
      </c>
      <c r="E247" s="1"/>
      <c r="F247" s="39">
        <f t="shared" si="8"/>
        <v>0</v>
      </c>
      <c r="G247" s="497"/>
      <c r="H247" s="497"/>
      <c r="J247" s="42"/>
    </row>
    <row r="248" spans="1:10" s="360" customFormat="1" x14ac:dyDescent="0.25">
      <c r="A248" s="19" t="s">
        <v>30</v>
      </c>
      <c r="B248" s="2">
        <v>43903</v>
      </c>
      <c r="C248" s="1">
        <v>0</v>
      </c>
      <c r="D248" s="39">
        <v>0</v>
      </c>
      <c r="E248" s="1"/>
      <c r="F248" s="39">
        <f t="shared" si="8"/>
        <v>0</v>
      </c>
      <c r="G248" s="497"/>
      <c r="H248" s="497"/>
      <c r="J248" s="42"/>
    </row>
    <row r="249" spans="1:10" x14ac:dyDescent="0.25">
      <c r="A249" s="19" t="s">
        <v>31</v>
      </c>
      <c r="B249" s="2">
        <v>43903</v>
      </c>
      <c r="C249" s="1">
        <v>0</v>
      </c>
      <c r="D249" s="39">
        <v>1</v>
      </c>
      <c r="F249" s="39">
        <f t="shared" si="8"/>
        <v>0</v>
      </c>
    </row>
    <row r="250" spans="1:10" s="360" customFormat="1" x14ac:dyDescent="0.25">
      <c r="A250" s="19" t="s">
        <v>41</v>
      </c>
      <c r="B250" s="2">
        <v>43903</v>
      </c>
      <c r="C250" s="1">
        <v>0</v>
      </c>
      <c r="D250" s="39">
        <v>0</v>
      </c>
      <c r="E250" s="1"/>
      <c r="F250" s="39">
        <f t="shared" si="8"/>
        <v>0</v>
      </c>
      <c r="G250" s="497"/>
      <c r="H250" s="497"/>
      <c r="J250" s="42"/>
    </row>
    <row r="251" spans="1:10" s="360" customFormat="1" x14ac:dyDescent="0.25">
      <c r="A251" s="19" t="s">
        <v>32</v>
      </c>
      <c r="B251" s="2">
        <v>43903</v>
      </c>
      <c r="C251" s="1">
        <v>0</v>
      </c>
      <c r="D251" s="39">
        <v>0</v>
      </c>
      <c r="E251" s="1"/>
      <c r="F251" s="39">
        <f t="shared" si="8"/>
        <v>0</v>
      </c>
      <c r="G251" s="497"/>
      <c r="H251" s="497"/>
      <c r="J251" s="42"/>
    </row>
    <row r="252" spans="1:10" s="360" customFormat="1" x14ac:dyDescent="0.25">
      <c r="A252" s="19" t="s">
        <v>33</v>
      </c>
      <c r="B252" s="2">
        <v>43903</v>
      </c>
      <c r="C252" s="1">
        <v>0</v>
      </c>
      <c r="D252" s="39">
        <v>0</v>
      </c>
      <c r="E252" s="1"/>
      <c r="F252" s="39">
        <f t="shared" si="8"/>
        <v>0</v>
      </c>
      <c r="G252" s="497"/>
      <c r="H252" s="497"/>
      <c r="J252" s="42"/>
    </row>
    <row r="253" spans="1:10" s="360" customFormat="1" x14ac:dyDescent="0.25">
      <c r="A253" s="19" t="s">
        <v>21</v>
      </c>
      <c r="B253" s="2">
        <v>43903</v>
      </c>
      <c r="C253" s="1">
        <v>0</v>
      </c>
      <c r="D253" s="39">
        <v>0</v>
      </c>
      <c r="E253" s="1"/>
      <c r="F253" s="39">
        <f t="shared" si="8"/>
        <v>0</v>
      </c>
      <c r="G253" s="497"/>
      <c r="H253" s="497"/>
      <c r="J253" s="42"/>
    </row>
    <row r="254" spans="1:10" s="360" customFormat="1" x14ac:dyDescent="0.25">
      <c r="A254" s="19" t="s">
        <v>17</v>
      </c>
      <c r="B254" s="2">
        <v>43903</v>
      </c>
      <c r="C254" s="1">
        <v>0</v>
      </c>
      <c r="D254" s="39">
        <v>0</v>
      </c>
      <c r="E254" s="1"/>
      <c r="F254" s="39">
        <f t="shared" si="8"/>
        <v>0</v>
      </c>
      <c r="G254" s="497"/>
      <c r="H254" s="497"/>
      <c r="J254" s="42"/>
    </row>
    <row r="255" spans="1:10" s="360" customFormat="1" x14ac:dyDescent="0.25">
      <c r="A255" s="19" t="s">
        <v>23</v>
      </c>
      <c r="B255" s="2">
        <v>43903</v>
      </c>
      <c r="C255" s="1">
        <v>0</v>
      </c>
      <c r="D255" s="39">
        <v>0</v>
      </c>
      <c r="E255" s="1"/>
      <c r="F255" s="39">
        <f t="shared" si="8"/>
        <v>0</v>
      </c>
      <c r="G255" s="497"/>
      <c r="H255" s="497"/>
      <c r="J255" s="42"/>
    </row>
    <row r="256" spans="1:10" s="360" customFormat="1" x14ac:dyDescent="0.25">
      <c r="A256" s="19" t="s">
        <v>19</v>
      </c>
      <c r="B256" s="2">
        <v>43903</v>
      </c>
      <c r="C256" s="1">
        <v>0</v>
      </c>
      <c r="D256" s="39">
        <v>0</v>
      </c>
      <c r="E256" s="1"/>
      <c r="F256" s="39">
        <f t="shared" si="8"/>
        <v>0</v>
      </c>
      <c r="G256" s="497"/>
      <c r="H256" s="497"/>
      <c r="J256" s="42"/>
    </row>
    <row r="257" spans="1:10" s="360" customFormat="1" x14ac:dyDescent="0.25">
      <c r="A257" s="19" t="s">
        <v>18</v>
      </c>
      <c r="B257" s="2">
        <v>43903</v>
      </c>
      <c r="C257" s="1">
        <v>0</v>
      </c>
      <c r="D257" s="39">
        <v>1</v>
      </c>
      <c r="E257" s="1"/>
      <c r="F257" s="39">
        <f t="shared" si="8"/>
        <v>0</v>
      </c>
      <c r="G257" s="497"/>
      <c r="H257" s="497"/>
      <c r="J257" s="42"/>
    </row>
    <row r="258" spans="1:10" s="360" customFormat="1" x14ac:dyDescent="0.25">
      <c r="A258" s="19" t="s">
        <v>34</v>
      </c>
      <c r="B258" s="2">
        <v>43903</v>
      </c>
      <c r="C258" s="1">
        <v>0</v>
      </c>
      <c r="D258" s="39">
        <v>0</v>
      </c>
      <c r="E258" s="1"/>
      <c r="F258" s="39">
        <f t="shared" si="8"/>
        <v>0</v>
      </c>
      <c r="G258" s="497"/>
      <c r="H258" s="497"/>
      <c r="J258" s="42"/>
    </row>
    <row r="259" spans="1:10" s="360" customFormat="1" x14ac:dyDescent="0.25">
      <c r="A259" s="19" t="s">
        <v>35</v>
      </c>
      <c r="B259" s="2">
        <v>43903</v>
      </c>
      <c r="C259" s="1">
        <v>0</v>
      </c>
      <c r="D259" s="39">
        <v>0</v>
      </c>
      <c r="E259" s="1"/>
      <c r="F259" s="39">
        <f t="shared" si="8"/>
        <v>0</v>
      </c>
      <c r="G259" s="497"/>
      <c r="H259" s="497"/>
      <c r="J259" s="42"/>
    </row>
    <row r="260" spans="1:10" s="360" customFormat="1" x14ac:dyDescent="0.25">
      <c r="A260" s="19" t="s">
        <v>36</v>
      </c>
      <c r="B260" s="2">
        <v>43903</v>
      </c>
      <c r="C260" s="1">
        <v>0</v>
      </c>
      <c r="D260" s="39">
        <v>1</v>
      </c>
      <c r="E260" s="1"/>
      <c r="F260" s="39">
        <f t="shared" si="8"/>
        <v>0</v>
      </c>
      <c r="G260" s="497"/>
      <c r="H260" s="497"/>
      <c r="J260" s="42"/>
    </row>
    <row r="261" spans="1:10" s="360" customFormat="1" x14ac:dyDescent="0.25">
      <c r="A261" s="19" t="s">
        <v>37</v>
      </c>
      <c r="B261" s="2">
        <v>43903</v>
      </c>
      <c r="C261" s="1">
        <v>0</v>
      </c>
      <c r="D261" s="39">
        <v>0</v>
      </c>
      <c r="E261" s="1"/>
      <c r="F261" s="39">
        <f t="shared" si="8"/>
        <v>0</v>
      </c>
      <c r="G261" s="497"/>
      <c r="H261" s="497"/>
      <c r="J261" s="42"/>
    </row>
    <row r="262" spans="1:10" s="360" customFormat="1" x14ac:dyDescent="0.25">
      <c r="A262" s="19" t="s">
        <v>22</v>
      </c>
      <c r="B262" s="2">
        <v>43903</v>
      </c>
      <c r="C262" s="1">
        <v>0</v>
      </c>
      <c r="D262" s="39">
        <v>0</v>
      </c>
      <c r="E262" s="1"/>
      <c r="F262" s="39">
        <f t="shared" si="8"/>
        <v>0</v>
      </c>
      <c r="G262" s="497"/>
      <c r="H262" s="497"/>
      <c r="J262" s="42"/>
    </row>
    <row r="263" spans="1:10" s="360" customFormat="1" x14ac:dyDescent="0.25">
      <c r="A263" s="19" t="s">
        <v>38</v>
      </c>
      <c r="B263" s="2">
        <v>43903</v>
      </c>
      <c r="C263" s="1">
        <v>0</v>
      </c>
      <c r="D263" s="39">
        <v>0</v>
      </c>
      <c r="E263" s="1"/>
      <c r="F263" s="39">
        <f t="shared" si="8"/>
        <v>0</v>
      </c>
      <c r="G263" s="497"/>
      <c r="H263" s="497"/>
      <c r="J263" s="42"/>
    </row>
    <row r="264" spans="1:10" s="360" customFormat="1" x14ac:dyDescent="0.25">
      <c r="A264" s="19" t="s">
        <v>39</v>
      </c>
      <c r="B264" s="2">
        <v>43903</v>
      </c>
      <c r="C264" s="1">
        <v>0</v>
      </c>
      <c r="D264" s="39">
        <v>0</v>
      </c>
      <c r="E264" s="1"/>
      <c r="F264" s="39">
        <f t="shared" si="8"/>
        <v>0</v>
      </c>
      <c r="G264" s="497"/>
      <c r="H264" s="497"/>
      <c r="J264" s="42"/>
    </row>
    <row r="265" spans="1:10" s="360" customFormat="1" x14ac:dyDescent="0.25">
      <c r="A265" s="19" t="s">
        <v>40</v>
      </c>
      <c r="B265" s="2">
        <v>43903</v>
      </c>
      <c r="C265" s="1">
        <v>0</v>
      </c>
      <c r="D265" s="39">
        <v>0</v>
      </c>
      <c r="E265" s="1"/>
      <c r="F265" s="39">
        <f t="shared" si="8"/>
        <v>0</v>
      </c>
      <c r="G265" s="497"/>
      <c r="H265" s="497"/>
      <c r="J265" s="42"/>
    </row>
    <row r="266" spans="1:10" s="360" customFormat="1" x14ac:dyDescent="0.25">
      <c r="A266" s="361" t="s">
        <v>16</v>
      </c>
      <c r="B266" s="2">
        <v>43904</v>
      </c>
      <c r="C266" s="1">
        <v>1</v>
      </c>
      <c r="D266" s="39">
        <v>10</v>
      </c>
      <c r="E266" s="1"/>
      <c r="F266" s="39">
        <f>E266+F242</f>
        <v>0</v>
      </c>
      <c r="G266" s="497"/>
      <c r="H266" s="497"/>
      <c r="J266" s="42"/>
    </row>
    <row r="267" spans="1:10" s="360" customFormat="1" x14ac:dyDescent="0.25">
      <c r="A267" s="19" t="s">
        <v>28</v>
      </c>
      <c r="B267" s="2">
        <v>43904</v>
      </c>
      <c r="C267" s="1">
        <v>0</v>
      </c>
      <c r="D267" s="39">
        <v>0</v>
      </c>
      <c r="E267" s="1"/>
      <c r="F267" s="39">
        <f t="shared" ref="F267:F289" si="9">E267+F243</f>
        <v>0</v>
      </c>
      <c r="G267" s="497"/>
      <c r="H267" s="497"/>
      <c r="J267" s="42"/>
    </row>
    <row r="268" spans="1:10" s="360" customFormat="1" x14ac:dyDescent="0.25">
      <c r="A268" s="19" t="s">
        <v>15</v>
      </c>
      <c r="B268" s="2">
        <v>43904</v>
      </c>
      <c r="C268" s="1">
        <v>1</v>
      </c>
      <c r="D268" s="39">
        <v>5</v>
      </c>
      <c r="E268" s="1"/>
      <c r="F268" s="39">
        <f t="shared" si="9"/>
        <v>1</v>
      </c>
      <c r="G268" s="497"/>
      <c r="H268" s="497"/>
      <c r="J268" s="42"/>
    </row>
    <row r="269" spans="1:10" s="360" customFormat="1" x14ac:dyDescent="0.25">
      <c r="A269" s="19" t="s">
        <v>29</v>
      </c>
      <c r="B269" s="2">
        <v>43904</v>
      </c>
      <c r="C269" s="1">
        <v>0</v>
      </c>
      <c r="D269" s="39">
        <v>0</v>
      </c>
      <c r="E269" s="1"/>
      <c r="F269" s="39">
        <f t="shared" si="9"/>
        <v>0</v>
      </c>
      <c r="G269" s="497"/>
      <c r="H269" s="497"/>
      <c r="J269" s="42"/>
    </row>
    <row r="270" spans="1:10" s="360" customFormat="1" x14ac:dyDescent="0.25">
      <c r="A270" s="19" t="s">
        <v>43</v>
      </c>
      <c r="B270" s="2">
        <v>43904</v>
      </c>
      <c r="C270" s="1">
        <v>6</v>
      </c>
      <c r="D270" s="39">
        <v>22</v>
      </c>
      <c r="E270" s="1"/>
      <c r="F270" s="39">
        <f t="shared" si="9"/>
        <v>1</v>
      </c>
      <c r="G270" s="497"/>
      <c r="H270" s="497"/>
      <c r="J270" s="42"/>
    </row>
    <row r="271" spans="1:10" s="360" customFormat="1" x14ac:dyDescent="0.25">
      <c r="A271" s="19" t="s">
        <v>20</v>
      </c>
      <c r="B271" s="2">
        <v>43904</v>
      </c>
      <c r="C271" s="1">
        <v>0</v>
      </c>
      <c r="D271" s="39">
        <v>2</v>
      </c>
      <c r="E271" s="1"/>
      <c r="F271" s="39">
        <f t="shared" si="9"/>
        <v>0</v>
      </c>
      <c r="G271" s="497"/>
      <c r="H271" s="497"/>
      <c r="J271" s="42"/>
    </row>
    <row r="272" spans="1:10" s="360" customFormat="1" x14ac:dyDescent="0.25">
      <c r="A272" s="19" t="s">
        <v>30</v>
      </c>
      <c r="B272" s="2">
        <v>43904</v>
      </c>
      <c r="C272" s="1">
        <v>0</v>
      </c>
      <c r="D272" s="39">
        <v>0</v>
      </c>
      <c r="E272" s="1"/>
      <c r="F272" s="39">
        <f t="shared" si="9"/>
        <v>0</v>
      </c>
      <c r="G272" s="497"/>
      <c r="H272" s="497"/>
      <c r="J272" s="42"/>
    </row>
    <row r="273" spans="1:10" x14ac:dyDescent="0.25">
      <c r="A273" s="19" t="s">
        <v>31</v>
      </c>
      <c r="B273" s="2">
        <v>43904</v>
      </c>
      <c r="C273" s="1">
        <v>0</v>
      </c>
      <c r="D273" s="39">
        <v>1</v>
      </c>
      <c r="F273" s="39">
        <f t="shared" si="9"/>
        <v>0</v>
      </c>
    </row>
    <row r="274" spans="1:10" s="360" customFormat="1" x14ac:dyDescent="0.25">
      <c r="A274" s="19" t="s">
        <v>41</v>
      </c>
      <c r="B274" s="2">
        <v>43904</v>
      </c>
      <c r="C274" s="1">
        <v>0</v>
      </c>
      <c r="D274" s="39">
        <v>0</v>
      </c>
      <c r="E274" s="1"/>
      <c r="F274" s="39">
        <f t="shared" si="9"/>
        <v>0</v>
      </c>
      <c r="G274" s="497"/>
      <c r="H274" s="497"/>
      <c r="J274" s="42"/>
    </row>
    <row r="275" spans="1:10" s="360" customFormat="1" x14ac:dyDescent="0.25">
      <c r="A275" s="19" t="s">
        <v>32</v>
      </c>
      <c r="B275" s="2">
        <v>43904</v>
      </c>
      <c r="C275" s="1">
        <v>0</v>
      </c>
      <c r="D275" s="39">
        <v>0</v>
      </c>
      <c r="E275" s="1"/>
      <c r="F275" s="39">
        <f t="shared" si="9"/>
        <v>0</v>
      </c>
      <c r="G275" s="497"/>
      <c r="H275" s="497"/>
      <c r="J275" s="42"/>
    </row>
    <row r="276" spans="1:10" s="360" customFormat="1" x14ac:dyDescent="0.25">
      <c r="A276" s="19" t="s">
        <v>33</v>
      </c>
      <c r="B276" s="2">
        <v>43904</v>
      </c>
      <c r="C276" s="1">
        <v>0</v>
      </c>
      <c r="D276" s="39">
        <v>0</v>
      </c>
      <c r="E276" s="1"/>
      <c r="F276" s="39">
        <f t="shared" si="9"/>
        <v>0</v>
      </c>
      <c r="G276" s="497"/>
      <c r="H276" s="497"/>
      <c r="J276" s="42"/>
    </row>
    <row r="277" spans="1:10" s="360" customFormat="1" x14ac:dyDescent="0.25">
      <c r="A277" s="19" t="s">
        <v>21</v>
      </c>
      <c r="B277" s="2">
        <v>43904</v>
      </c>
      <c r="C277" s="1">
        <v>0</v>
      </c>
      <c r="D277" s="39">
        <v>0</v>
      </c>
      <c r="E277" s="1"/>
      <c r="F277" s="39">
        <f t="shared" si="9"/>
        <v>0</v>
      </c>
      <c r="G277" s="497"/>
      <c r="H277" s="497"/>
      <c r="J277" s="42"/>
    </row>
    <row r="278" spans="1:10" s="360" customFormat="1" x14ac:dyDescent="0.25">
      <c r="A278" s="19" t="s">
        <v>17</v>
      </c>
      <c r="B278" s="2">
        <v>43904</v>
      </c>
      <c r="C278" s="1">
        <v>0</v>
      </c>
      <c r="D278" s="39">
        <v>0</v>
      </c>
      <c r="E278" s="1"/>
      <c r="F278" s="39">
        <f t="shared" si="9"/>
        <v>0</v>
      </c>
      <c r="G278" s="497"/>
      <c r="H278" s="497"/>
      <c r="J278" s="42"/>
    </row>
    <row r="279" spans="1:10" s="360" customFormat="1" x14ac:dyDescent="0.25">
      <c r="A279" s="19" t="s">
        <v>23</v>
      </c>
      <c r="B279" s="2">
        <v>43904</v>
      </c>
      <c r="C279" s="1">
        <v>0</v>
      </c>
      <c r="D279" s="39">
        <v>0</v>
      </c>
      <c r="E279" s="1"/>
      <c r="F279" s="39">
        <f t="shared" si="9"/>
        <v>0</v>
      </c>
      <c r="G279" s="497"/>
      <c r="H279" s="497"/>
      <c r="J279" s="42"/>
    </row>
    <row r="280" spans="1:10" s="360" customFormat="1" x14ac:dyDescent="0.25">
      <c r="A280" s="19" t="s">
        <v>19</v>
      </c>
      <c r="B280" s="2">
        <v>43904</v>
      </c>
      <c r="C280" s="1">
        <v>0</v>
      </c>
      <c r="D280" s="39">
        <v>0</v>
      </c>
      <c r="E280" s="1"/>
      <c r="F280" s="39">
        <f t="shared" si="9"/>
        <v>0</v>
      </c>
      <c r="G280" s="497"/>
      <c r="H280" s="497"/>
      <c r="J280" s="42"/>
    </row>
    <row r="281" spans="1:10" s="360" customFormat="1" x14ac:dyDescent="0.25">
      <c r="A281" s="19" t="s">
        <v>18</v>
      </c>
      <c r="B281" s="2">
        <v>43904</v>
      </c>
      <c r="C281" s="1">
        <v>0</v>
      </c>
      <c r="D281" s="39">
        <v>1</v>
      </c>
      <c r="E281" s="1"/>
      <c r="F281" s="39">
        <f t="shared" si="9"/>
        <v>0</v>
      </c>
      <c r="G281" s="497"/>
      <c r="H281" s="497"/>
      <c r="J281" s="42"/>
    </row>
    <row r="282" spans="1:10" s="360" customFormat="1" x14ac:dyDescent="0.25">
      <c r="A282" s="19" t="s">
        <v>34</v>
      </c>
      <c r="B282" s="2">
        <v>43904</v>
      </c>
      <c r="C282" s="1">
        <v>0</v>
      </c>
      <c r="D282" s="39">
        <v>0</v>
      </c>
      <c r="E282" s="1"/>
      <c r="F282" s="39">
        <f t="shared" si="9"/>
        <v>0</v>
      </c>
      <c r="G282" s="497"/>
      <c r="H282" s="497"/>
      <c r="J282" s="42"/>
    </row>
    <row r="283" spans="1:10" s="360" customFormat="1" x14ac:dyDescent="0.25">
      <c r="A283" s="19" t="s">
        <v>35</v>
      </c>
      <c r="B283" s="2">
        <v>43904</v>
      </c>
      <c r="C283" s="1">
        <v>0</v>
      </c>
      <c r="D283" s="39">
        <v>0</v>
      </c>
      <c r="E283" s="1"/>
      <c r="F283" s="39">
        <f t="shared" si="9"/>
        <v>0</v>
      </c>
      <c r="G283" s="497"/>
      <c r="H283" s="497"/>
      <c r="J283" s="42"/>
    </row>
    <row r="284" spans="1:10" s="360" customFormat="1" x14ac:dyDescent="0.25">
      <c r="A284" s="19" t="s">
        <v>36</v>
      </c>
      <c r="B284" s="2">
        <v>43904</v>
      </c>
      <c r="C284" s="1">
        <v>2</v>
      </c>
      <c r="D284" s="39">
        <v>3</v>
      </c>
      <c r="E284" s="1"/>
      <c r="F284" s="39">
        <f t="shared" si="9"/>
        <v>0</v>
      </c>
      <c r="G284" s="497"/>
      <c r="H284" s="497"/>
      <c r="J284" s="42"/>
    </row>
    <row r="285" spans="1:10" s="360" customFormat="1" x14ac:dyDescent="0.25">
      <c r="A285" s="19" t="s">
        <v>37</v>
      </c>
      <c r="B285" s="2">
        <v>43904</v>
      </c>
      <c r="C285" s="1">
        <v>0</v>
      </c>
      <c r="D285" s="39">
        <v>0</v>
      </c>
      <c r="E285" s="1"/>
      <c r="F285" s="39">
        <f t="shared" si="9"/>
        <v>0</v>
      </c>
      <c r="G285" s="497"/>
      <c r="H285" s="497"/>
      <c r="J285" s="42"/>
    </row>
    <row r="286" spans="1:10" s="360" customFormat="1" x14ac:dyDescent="0.25">
      <c r="A286" s="19" t="s">
        <v>22</v>
      </c>
      <c r="B286" s="2">
        <v>43904</v>
      </c>
      <c r="C286" s="1">
        <v>1</v>
      </c>
      <c r="D286" s="39">
        <v>1</v>
      </c>
      <c r="E286" s="1"/>
      <c r="F286" s="39">
        <f t="shared" si="9"/>
        <v>0</v>
      </c>
      <c r="G286" s="497"/>
      <c r="H286" s="497"/>
      <c r="J286" s="42"/>
    </row>
    <row r="287" spans="1:10" s="360" customFormat="1" x14ac:dyDescent="0.25">
      <c r="A287" s="19" t="s">
        <v>38</v>
      </c>
      <c r="B287" s="2">
        <v>43904</v>
      </c>
      <c r="C287" s="1">
        <v>0</v>
      </c>
      <c r="D287" s="39">
        <v>0</v>
      </c>
      <c r="E287" s="1"/>
      <c r="F287" s="39">
        <f t="shared" si="9"/>
        <v>0</v>
      </c>
      <c r="G287" s="497"/>
      <c r="H287" s="497"/>
      <c r="J287" s="42"/>
    </row>
    <row r="288" spans="1:10" s="360" customFormat="1" x14ac:dyDescent="0.25">
      <c r="A288" s="19" t="s">
        <v>39</v>
      </c>
      <c r="B288" s="2">
        <v>43904</v>
      </c>
      <c r="C288" s="1">
        <v>0</v>
      </c>
      <c r="D288" s="39">
        <v>0</v>
      </c>
      <c r="E288" s="1"/>
      <c r="F288" s="39">
        <f t="shared" si="9"/>
        <v>0</v>
      </c>
      <c r="G288" s="497"/>
      <c r="H288" s="497"/>
      <c r="J288" s="42"/>
    </row>
    <row r="289" spans="1:10" s="360" customFormat="1" x14ac:dyDescent="0.25">
      <c r="A289" s="19" t="s">
        <v>40</v>
      </c>
      <c r="B289" s="2">
        <v>43904</v>
      </c>
      <c r="C289" s="1">
        <v>0</v>
      </c>
      <c r="D289" s="39">
        <v>0</v>
      </c>
      <c r="E289" s="1"/>
      <c r="F289" s="39">
        <f t="shared" si="9"/>
        <v>0</v>
      </c>
      <c r="G289" s="497"/>
      <c r="H289" s="497"/>
      <c r="J289" s="42"/>
    </row>
    <row r="290" spans="1:10" s="360" customFormat="1" x14ac:dyDescent="0.25">
      <c r="A290" s="361" t="s">
        <v>16</v>
      </c>
      <c r="B290" s="2">
        <v>43905</v>
      </c>
      <c r="C290" s="1">
        <v>1</v>
      </c>
      <c r="D290" s="39">
        <v>11</v>
      </c>
      <c r="E290" s="1"/>
      <c r="F290" s="39">
        <f>E290+F266</f>
        <v>0</v>
      </c>
      <c r="G290" s="497"/>
      <c r="H290" s="497"/>
      <c r="J290" s="42"/>
    </row>
    <row r="291" spans="1:10" s="360" customFormat="1" x14ac:dyDescent="0.25">
      <c r="A291" s="19" t="s">
        <v>28</v>
      </c>
      <c r="B291" s="2">
        <v>43905</v>
      </c>
      <c r="C291" s="1">
        <v>0</v>
      </c>
      <c r="D291" s="39">
        <v>0</v>
      </c>
      <c r="E291" s="1"/>
      <c r="F291" s="39">
        <f t="shared" ref="F291:F313" si="10">E291+F267</f>
        <v>0</v>
      </c>
      <c r="G291" s="497"/>
      <c r="H291" s="497"/>
      <c r="J291" s="42"/>
    </row>
    <row r="292" spans="1:10" s="360" customFormat="1" x14ac:dyDescent="0.25">
      <c r="A292" s="19" t="s">
        <v>15</v>
      </c>
      <c r="B292" s="2">
        <v>43905</v>
      </c>
      <c r="C292" s="1">
        <v>2</v>
      </c>
      <c r="D292" s="39">
        <v>7</v>
      </c>
      <c r="E292" s="1"/>
      <c r="F292" s="39">
        <f t="shared" si="10"/>
        <v>1</v>
      </c>
      <c r="G292" s="497"/>
      <c r="H292" s="497"/>
      <c r="J292" s="42"/>
    </row>
    <row r="293" spans="1:10" s="360" customFormat="1" x14ac:dyDescent="0.25">
      <c r="A293" s="19" t="s">
        <v>29</v>
      </c>
      <c r="B293" s="2">
        <v>43905</v>
      </c>
      <c r="C293" s="1">
        <v>0</v>
      </c>
      <c r="D293" s="39">
        <v>0</v>
      </c>
      <c r="E293" s="1"/>
      <c r="F293" s="39">
        <f t="shared" si="10"/>
        <v>0</v>
      </c>
      <c r="G293" s="497"/>
      <c r="H293" s="497"/>
      <c r="J293" s="42"/>
    </row>
    <row r="294" spans="1:10" s="360" customFormat="1" x14ac:dyDescent="0.25">
      <c r="A294" s="19" t="s">
        <v>43</v>
      </c>
      <c r="B294" s="2">
        <v>43905</v>
      </c>
      <c r="C294" s="1">
        <v>6</v>
      </c>
      <c r="D294" s="39">
        <v>28</v>
      </c>
      <c r="E294" s="1"/>
      <c r="F294" s="39">
        <f t="shared" si="10"/>
        <v>1</v>
      </c>
      <c r="G294" s="497"/>
      <c r="H294" s="497"/>
      <c r="J294" s="42"/>
    </row>
    <row r="295" spans="1:10" s="360" customFormat="1" x14ac:dyDescent="0.25">
      <c r="A295" s="19" t="s">
        <v>20</v>
      </c>
      <c r="B295" s="2">
        <v>43905</v>
      </c>
      <c r="C295" s="1">
        <v>0</v>
      </c>
      <c r="D295" s="39">
        <v>2</v>
      </c>
      <c r="E295" s="1"/>
      <c r="F295" s="39">
        <f t="shared" si="10"/>
        <v>0</v>
      </c>
      <c r="G295" s="497"/>
      <c r="H295" s="497"/>
      <c r="J295" s="42"/>
    </row>
    <row r="296" spans="1:10" s="360" customFormat="1" x14ac:dyDescent="0.25">
      <c r="A296" s="19" t="s">
        <v>30</v>
      </c>
      <c r="B296" s="2">
        <v>43905</v>
      </c>
      <c r="C296" s="1">
        <v>0</v>
      </c>
      <c r="D296" s="39">
        <v>0</v>
      </c>
      <c r="E296" s="1"/>
      <c r="F296" s="39">
        <f t="shared" si="10"/>
        <v>0</v>
      </c>
      <c r="G296" s="497"/>
      <c r="H296" s="497"/>
      <c r="J296" s="42"/>
    </row>
    <row r="297" spans="1:10" x14ac:dyDescent="0.25">
      <c r="A297" s="19" t="s">
        <v>31</v>
      </c>
      <c r="B297" s="2">
        <v>43905</v>
      </c>
      <c r="C297" s="1">
        <v>0</v>
      </c>
      <c r="D297" s="39">
        <v>1</v>
      </c>
      <c r="F297" s="39">
        <f t="shared" si="10"/>
        <v>0</v>
      </c>
    </row>
    <row r="298" spans="1:10" s="360" customFormat="1" x14ac:dyDescent="0.25">
      <c r="A298" s="19" t="s">
        <v>41</v>
      </c>
      <c r="B298" s="2">
        <v>43905</v>
      </c>
      <c r="C298" s="1">
        <v>0</v>
      </c>
      <c r="D298" s="39">
        <v>0</v>
      </c>
      <c r="E298" s="1"/>
      <c r="F298" s="39">
        <f t="shared" si="10"/>
        <v>0</v>
      </c>
      <c r="G298" s="497"/>
      <c r="H298" s="497"/>
      <c r="J298" s="42"/>
    </row>
    <row r="299" spans="1:10" s="360" customFormat="1" x14ac:dyDescent="0.25">
      <c r="A299" s="19" t="s">
        <v>32</v>
      </c>
      <c r="B299" s="2">
        <v>43905</v>
      </c>
      <c r="C299" s="1">
        <v>0</v>
      </c>
      <c r="D299" s="39">
        <v>0</v>
      </c>
      <c r="E299" s="1"/>
      <c r="F299" s="39">
        <f t="shared" si="10"/>
        <v>0</v>
      </c>
      <c r="G299" s="497"/>
      <c r="H299" s="497"/>
      <c r="J299" s="42"/>
    </row>
    <row r="300" spans="1:10" s="360" customFormat="1" x14ac:dyDescent="0.25">
      <c r="A300" s="19" t="s">
        <v>33</v>
      </c>
      <c r="B300" s="2">
        <v>43905</v>
      </c>
      <c r="C300" s="1">
        <v>0</v>
      </c>
      <c r="D300" s="39">
        <v>0</v>
      </c>
      <c r="E300" s="1"/>
      <c r="F300" s="39">
        <f t="shared" si="10"/>
        <v>0</v>
      </c>
      <c r="G300" s="497"/>
      <c r="H300" s="497"/>
      <c r="J300" s="42"/>
    </row>
    <row r="301" spans="1:10" s="360" customFormat="1" x14ac:dyDescent="0.25">
      <c r="A301" s="19" t="s">
        <v>21</v>
      </c>
      <c r="B301" s="2">
        <v>43905</v>
      </c>
      <c r="C301" s="1">
        <v>0</v>
      </c>
      <c r="D301" s="39">
        <v>0</v>
      </c>
      <c r="E301" s="1"/>
      <c r="F301" s="39">
        <f t="shared" si="10"/>
        <v>0</v>
      </c>
      <c r="G301" s="497"/>
      <c r="H301" s="497"/>
      <c r="J301" s="42"/>
    </row>
    <row r="302" spans="1:10" s="360" customFormat="1" x14ac:dyDescent="0.25">
      <c r="A302" s="19" t="s">
        <v>17</v>
      </c>
      <c r="B302" s="2">
        <v>43905</v>
      </c>
      <c r="C302" s="1">
        <v>0</v>
      </c>
      <c r="D302" s="39">
        <v>0</v>
      </c>
      <c r="E302" s="1"/>
      <c r="F302" s="39">
        <f t="shared" si="10"/>
        <v>0</v>
      </c>
      <c r="G302" s="497"/>
      <c r="H302" s="497"/>
      <c r="J302" s="42"/>
    </row>
    <row r="303" spans="1:10" s="360" customFormat="1" x14ac:dyDescent="0.25">
      <c r="A303" s="19" t="s">
        <v>23</v>
      </c>
      <c r="B303" s="2">
        <v>43905</v>
      </c>
      <c r="C303" s="1">
        <v>0</v>
      </c>
      <c r="D303" s="39">
        <v>0</v>
      </c>
      <c r="E303" s="1"/>
      <c r="F303" s="39">
        <f t="shared" si="10"/>
        <v>0</v>
      </c>
      <c r="G303" s="497"/>
      <c r="H303" s="497"/>
      <c r="J303" s="42"/>
    </row>
    <row r="304" spans="1:10" s="360" customFormat="1" x14ac:dyDescent="0.25">
      <c r="A304" s="19" t="s">
        <v>19</v>
      </c>
      <c r="B304" s="2">
        <v>43905</v>
      </c>
      <c r="C304" s="1">
        <v>0</v>
      </c>
      <c r="D304" s="39">
        <v>0</v>
      </c>
      <c r="E304" s="1"/>
      <c r="F304" s="39">
        <f t="shared" si="10"/>
        <v>0</v>
      </c>
      <c r="G304" s="497"/>
      <c r="H304" s="497"/>
      <c r="J304" s="42"/>
    </row>
    <row r="305" spans="1:10" s="360" customFormat="1" x14ac:dyDescent="0.25">
      <c r="A305" s="19" t="s">
        <v>18</v>
      </c>
      <c r="B305" s="2">
        <v>43905</v>
      </c>
      <c r="C305" s="1">
        <v>0</v>
      </c>
      <c r="D305" s="39">
        <v>1</v>
      </c>
      <c r="E305" s="1"/>
      <c r="F305" s="39">
        <f t="shared" si="10"/>
        <v>0</v>
      </c>
      <c r="G305" s="497"/>
      <c r="H305" s="497"/>
      <c r="J305" s="42"/>
    </row>
    <row r="306" spans="1:10" s="360" customFormat="1" x14ac:dyDescent="0.25">
      <c r="A306" s="19" t="s">
        <v>34</v>
      </c>
      <c r="B306" s="2">
        <v>43905</v>
      </c>
      <c r="C306" s="1">
        <v>0</v>
      </c>
      <c r="D306" s="39">
        <v>0</v>
      </c>
      <c r="E306" s="1"/>
      <c r="F306" s="39">
        <f t="shared" si="10"/>
        <v>0</v>
      </c>
      <c r="G306" s="497"/>
      <c r="H306" s="497"/>
      <c r="J306" s="42"/>
    </row>
    <row r="307" spans="1:10" s="360" customFormat="1" x14ac:dyDescent="0.25">
      <c r="A307" s="19" t="s">
        <v>35</v>
      </c>
      <c r="B307" s="2">
        <v>43905</v>
      </c>
      <c r="C307" s="1">
        <v>0</v>
      </c>
      <c r="D307" s="39">
        <v>0</v>
      </c>
      <c r="E307" s="1"/>
      <c r="F307" s="39">
        <f t="shared" si="10"/>
        <v>0</v>
      </c>
      <c r="G307" s="497"/>
      <c r="H307" s="497"/>
      <c r="J307" s="42"/>
    </row>
    <row r="308" spans="1:10" s="360" customFormat="1" x14ac:dyDescent="0.25">
      <c r="A308" s="19" t="s">
        <v>36</v>
      </c>
      <c r="B308" s="2">
        <v>43905</v>
      </c>
      <c r="C308" s="1">
        <v>0</v>
      </c>
      <c r="D308" s="39">
        <v>3</v>
      </c>
      <c r="E308" s="1"/>
      <c r="F308" s="39">
        <f t="shared" si="10"/>
        <v>0</v>
      </c>
      <c r="G308" s="497"/>
      <c r="H308" s="497"/>
      <c r="J308" s="42"/>
    </row>
    <row r="309" spans="1:10" s="360" customFormat="1" x14ac:dyDescent="0.25">
      <c r="A309" s="19" t="s">
        <v>37</v>
      </c>
      <c r="B309" s="2">
        <v>43905</v>
      </c>
      <c r="C309" s="1">
        <v>0</v>
      </c>
      <c r="D309" s="39">
        <v>0</v>
      </c>
      <c r="E309" s="1"/>
      <c r="F309" s="39">
        <f t="shared" si="10"/>
        <v>0</v>
      </c>
      <c r="G309" s="497"/>
      <c r="H309" s="497"/>
      <c r="J309" s="42"/>
    </row>
    <row r="310" spans="1:10" s="360" customFormat="1" x14ac:dyDescent="0.25">
      <c r="A310" s="19" t="s">
        <v>22</v>
      </c>
      <c r="B310" s="2">
        <v>43905</v>
      </c>
      <c r="C310" s="1">
        <v>0</v>
      </c>
      <c r="D310" s="39">
        <v>1</v>
      </c>
      <c r="E310" s="1"/>
      <c r="F310" s="39">
        <f t="shared" si="10"/>
        <v>0</v>
      </c>
      <c r="G310" s="497"/>
      <c r="H310" s="497"/>
      <c r="J310" s="42"/>
    </row>
    <row r="311" spans="1:10" s="360" customFormat="1" x14ac:dyDescent="0.25">
      <c r="A311" s="19" t="s">
        <v>38</v>
      </c>
      <c r="B311" s="2">
        <v>43905</v>
      </c>
      <c r="C311" s="1">
        <v>0</v>
      </c>
      <c r="D311" s="39">
        <v>0</v>
      </c>
      <c r="E311" s="1"/>
      <c r="F311" s="39">
        <f t="shared" si="10"/>
        <v>0</v>
      </c>
      <c r="G311" s="497"/>
      <c r="H311" s="497"/>
      <c r="J311" s="42"/>
    </row>
    <row r="312" spans="1:10" s="360" customFormat="1" x14ac:dyDescent="0.25">
      <c r="A312" s="19" t="s">
        <v>39</v>
      </c>
      <c r="B312" s="2">
        <v>43905</v>
      </c>
      <c r="C312" s="1">
        <v>2</v>
      </c>
      <c r="D312" s="39">
        <v>2</v>
      </c>
      <c r="E312" s="1"/>
      <c r="F312" s="39">
        <f t="shared" si="10"/>
        <v>0</v>
      </c>
      <c r="G312" s="497"/>
      <c r="H312" s="497"/>
      <c r="J312" s="42"/>
    </row>
    <row r="313" spans="1:10" s="360" customFormat="1" x14ac:dyDescent="0.25">
      <c r="A313" s="19" t="s">
        <v>40</v>
      </c>
      <c r="B313" s="2">
        <v>43905</v>
      </c>
      <c r="C313" s="1">
        <v>0</v>
      </c>
      <c r="D313" s="39">
        <v>0</v>
      </c>
      <c r="E313" s="1"/>
      <c r="F313" s="39">
        <f t="shared" si="10"/>
        <v>0</v>
      </c>
      <c r="G313" s="497"/>
      <c r="H313" s="497"/>
      <c r="J313" s="42"/>
    </row>
    <row r="314" spans="1:10" s="360" customFormat="1" x14ac:dyDescent="0.25">
      <c r="A314" s="361" t="s">
        <v>16</v>
      </c>
      <c r="B314" s="2">
        <v>43906</v>
      </c>
      <c r="C314" s="1">
        <v>1</v>
      </c>
      <c r="D314" s="39">
        <v>12</v>
      </c>
      <c r="E314" s="1"/>
      <c r="F314" s="39">
        <f>E314+F290</f>
        <v>0</v>
      </c>
      <c r="G314" s="497"/>
      <c r="H314" s="497"/>
      <c r="J314" s="42"/>
    </row>
    <row r="315" spans="1:10" s="360" customFormat="1" x14ac:dyDescent="0.25">
      <c r="A315" s="19" t="s">
        <v>28</v>
      </c>
      <c r="B315" s="2">
        <v>43906</v>
      </c>
      <c r="C315" s="1">
        <v>0</v>
      </c>
      <c r="D315" s="39">
        <v>0</v>
      </c>
      <c r="E315" s="1"/>
      <c r="F315" s="39">
        <f t="shared" ref="F315:F337" si="11">E315+F291</f>
        <v>0</v>
      </c>
      <c r="G315" s="497"/>
      <c r="H315" s="497"/>
      <c r="J315" s="42"/>
    </row>
    <row r="316" spans="1:10" s="360" customFormat="1" x14ac:dyDescent="0.25">
      <c r="A316" s="19" t="s">
        <v>15</v>
      </c>
      <c r="B316" s="2">
        <v>43906</v>
      </c>
      <c r="C316" s="1">
        <v>3</v>
      </c>
      <c r="D316" s="39">
        <v>10</v>
      </c>
      <c r="E316" s="1"/>
      <c r="F316" s="39">
        <f t="shared" si="11"/>
        <v>1</v>
      </c>
      <c r="G316" s="497"/>
      <c r="H316" s="497"/>
      <c r="J316" s="42"/>
    </row>
    <row r="317" spans="1:10" s="360" customFormat="1" x14ac:dyDescent="0.25">
      <c r="A317" s="19" t="s">
        <v>29</v>
      </c>
      <c r="B317" s="2">
        <v>43906</v>
      </c>
      <c r="C317" s="1">
        <v>0</v>
      </c>
      <c r="D317" s="39">
        <v>0</v>
      </c>
      <c r="E317" s="1"/>
      <c r="F317" s="39">
        <f t="shared" si="11"/>
        <v>0</v>
      </c>
      <c r="G317" s="497"/>
      <c r="H317" s="497"/>
      <c r="J317" s="42"/>
    </row>
    <row r="318" spans="1:10" s="360" customFormat="1" x14ac:dyDescent="0.25">
      <c r="A318" s="19" t="s">
        <v>43</v>
      </c>
      <c r="B318" s="2">
        <v>43906</v>
      </c>
      <c r="C318" s="1">
        <v>5</v>
      </c>
      <c r="D318" s="39">
        <v>33</v>
      </c>
      <c r="E318" s="1"/>
      <c r="F318" s="39">
        <f t="shared" si="11"/>
        <v>1</v>
      </c>
      <c r="G318" s="497"/>
      <c r="H318" s="497"/>
      <c r="J318" s="42"/>
    </row>
    <row r="319" spans="1:10" s="360" customFormat="1" x14ac:dyDescent="0.25">
      <c r="A319" s="19" t="s">
        <v>20</v>
      </c>
      <c r="B319" s="2">
        <v>43906</v>
      </c>
      <c r="C319" s="1">
        <v>0</v>
      </c>
      <c r="D319" s="39">
        <v>2</v>
      </c>
      <c r="E319" s="1"/>
      <c r="F319" s="39">
        <f t="shared" si="11"/>
        <v>0</v>
      </c>
      <c r="G319" s="497"/>
      <c r="H319" s="497"/>
      <c r="J319" s="42"/>
    </row>
    <row r="320" spans="1:10" s="360" customFormat="1" x14ac:dyDescent="0.25">
      <c r="A320" s="19" t="s">
        <v>30</v>
      </c>
      <c r="B320" s="2">
        <v>43906</v>
      </c>
      <c r="C320" s="1">
        <v>0</v>
      </c>
      <c r="D320" s="39">
        <v>0</v>
      </c>
      <c r="E320" s="1"/>
      <c r="F320" s="39">
        <f t="shared" si="11"/>
        <v>0</v>
      </c>
      <c r="G320" s="497"/>
      <c r="H320" s="497"/>
      <c r="J320" s="42"/>
    </row>
    <row r="321" spans="1:10" x14ac:dyDescent="0.25">
      <c r="A321" s="19" t="s">
        <v>31</v>
      </c>
      <c r="B321" s="2">
        <v>43906</v>
      </c>
      <c r="C321" s="1">
        <v>0</v>
      </c>
      <c r="D321" s="39">
        <v>1</v>
      </c>
      <c r="F321" s="39">
        <f t="shared" si="11"/>
        <v>0</v>
      </c>
    </row>
    <row r="322" spans="1:10" s="360" customFormat="1" x14ac:dyDescent="0.25">
      <c r="A322" s="19" t="s">
        <v>41</v>
      </c>
      <c r="B322" s="2">
        <v>43906</v>
      </c>
      <c r="C322" s="1">
        <v>0</v>
      </c>
      <c r="D322" s="39">
        <v>0</v>
      </c>
      <c r="E322" s="1"/>
      <c r="F322" s="39">
        <f t="shared" si="11"/>
        <v>0</v>
      </c>
      <c r="G322" s="497"/>
      <c r="H322" s="497"/>
      <c r="J322" s="42"/>
    </row>
    <row r="323" spans="1:10" s="360" customFormat="1" x14ac:dyDescent="0.25">
      <c r="A323" s="19" t="s">
        <v>32</v>
      </c>
      <c r="B323" s="2">
        <v>43906</v>
      </c>
      <c r="C323" s="1">
        <v>0</v>
      </c>
      <c r="D323" s="39">
        <v>0</v>
      </c>
      <c r="E323" s="1"/>
      <c r="F323" s="39">
        <f t="shared" si="11"/>
        <v>0</v>
      </c>
      <c r="G323" s="497"/>
      <c r="H323" s="497"/>
      <c r="J323" s="42"/>
    </row>
    <row r="324" spans="1:10" s="360" customFormat="1" x14ac:dyDescent="0.25">
      <c r="A324" s="19" t="s">
        <v>33</v>
      </c>
      <c r="B324" s="2">
        <v>43906</v>
      </c>
      <c r="C324" s="1">
        <v>0</v>
      </c>
      <c r="D324" s="39">
        <v>0</v>
      </c>
      <c r="E324" s="1"/>
      <c r="F324" s="39">
        <f t="shared" si="11"/>
        <v>0</v>
      </c>
      <c r="G324" s="497"/>
      <c r="H324" s="497"/>
      <c r="J324" s="42"/>
    </row>
    <row r="325" spans="1:10" s="360" customFormat="1" x14ac:dyDescent="0.25">
      <c r="A325" s="19" t="s">
        <v>21</v>
      </c>
      <c r="B325" s="2">
        <v>43906</v>
      </c>
      <c r="C325" s="1">
        <v>0</v>
      </c>
      <c r="D325" s="39">
        <v>0</v>
      </c>
      <c r="E325" s="1"/>
      <c r="F325" s="39">
        <f t="shared" si="11"/>
        <v>0</v>
      </c>
      <c r="G325" s="497"/>
      <c r="H325" s="497"/>
      <c r="J325" s="42"/>
    </row>
    <row r="326" spans="1:10" s="360" customFormat="1" x14ac:dyDescent="0.25">
      <c r="A326" s="19" t="s">
        <v>17</v>
      </c>
      <c r="B326" s="2">
        <v>43906</v>
      </c>
      <c r="C326" s="1">
        <v>0</v>
      </c>
      <c r="D326" s="39">
        <v>0</v>
      </c>
      <c r="E326" s="1"/>
      <c r="F326" s="39">
        <f t="shared" si="11"/>
        <v>0</v>
      </c>
      <c r="G326" s="497"/>
      <c r="H326" s="497"/>
      <c r="J326" s="42"/>
    </row>
    <row r="327" spans="1:10" s="360" customFormat="1" x14ac:dyDescent="0.25">
      <c r="A327" s="19" t="s">
        <v>23</v>
      </c>
      <c r="B327" s="2">
        <v>43906</v>
      </c>
      <c r="C327" s="1">
        <v>0</v>
      </c>
      <c r="D327" s="39">
        <v>0</v>
      </c>
      <c r="E327" s="1"/>
      <c r="F327" s="39">
        <f t="shared" si="11"/>
        <v>0</v>
      </c>
      <c r="G327" s="497"/>
      <c r="H327" s="497"/>
      <c r="J327" s="42"/>
    </row>
    <row r="328" spans="1:10" s="360" customFormat="1" x14ac:dyDescent="0.25">
      <c r="A328" s="19" t="s">
        <v>19</v>
      </c>
      <c r="B328" s="2">
        <v>43906</v>
      </c>
      <c r="C328" s="1">
        <v>0</v>
      </c>
      <c r="D328" s="39">
        <v>0</v>
      </c>
      <c r="E328" s="1"/>
      <c r="F328" s="39">
        <f t="shared" si="11"/>
        <v>0</v>
      </c>
      <c r="G328" s="497"/>
      <c r="H328" s="497"/>
      <c r="J328" s="42"/>
    </row>
    <row r="329" spans="1:10" s="360" customFormat="1" x14ac:dyDescent="0.25">
      <c r="A329" s="19" t="s">
        <v>18</v>
      </c>
      <c r="B329" s="2">
        <v>43906</v>
      </c>
      <c r="C329" s="1">
        <v>0</v>
      </c>
      <c r="D329" s="39">
        <v>1</v>
      </c>
      <c r="E329" s="1"/>
      <c r="F329" s="39">
        <f t="shared" si="11"/>
        <v>0</v>
      </c>
      <c r="G329" s="497"/>
      <c r="H329" s="497"/>
      <c r="J329" s="42"/>
    </row>
    <row r="330" spans="1:10" s="360" customFormat="1" x14ac:dyDescent="0.25">
      <c r="A330" s="19" t="s">
        <v>34</v>
      </c>
      <c r="B330" s="2">
        <v>43906</v>
      </c>
      <c r="C330" s="1">
        <v>0</v>
      </c>
      <c r="D330" s="39">
        <v>0</v>
      </c>
      <c r="E330" s="1"/>
      <c r="F330" s="39">
        <f t="shared" si="11"/>
        <v>0</v>
      </c>
      <c r="G330" s="497"/>
      <c r="H330" s="497"/>
      <c r="J330" s="42"/>
    </row>
    <row r="331" spans="1:10" s="360" customFormat="1" x14ac:dyDescent="0.25">
      <c r="A331" s="19" t="s">
        <v>35</v>
      </c>
      <c r="B331" s="2">
        <v>43906</v>
      </c>
      <c r="C331" s="1">
        <v>0</v>
      </c>
      <c r="D331" s="39">
        <v>0</v>
      </c>
      <c r="E331" s="1"/>
      <c r="F331" s="39">
        <f t="shared" si="11"/>
        <v>0</v>
      </c>
      <c r="G331" s="497"/>
      <c r="H331" s="497"/>
      <c r="J331" s="42"/>
    </row>
    <row r="332" spans="1:10" s="360" customFormat="1" x14ac:dyDescent="0.25">
      <c r="A332" s="19" t="s">
        <v>36</v>
      </c>
      <c r="B332" s="2">
        <v>43906</v>
      </c>
      <c r="C332" s="1">
        <v>0</v>
      </c>
      <c r="D332" s="39">
        <v>3</v>
      </c>
      <c r="E332" s="1"/>
      <c r="F332" s="39">
        <f t="shared" si="11"/>
        <v>0</v>
      </c>
      <c r="G332" s="497"/>
      <c r="H332" s="497"/>
      <c r="J332" s="42"/>
    </row>
    <row r="333" spans="1:10" s="360" customFormat="1" x14ac:dyDescent="0.25">
      <c r="A333" s="19" t="s">
        <v>37</v>
      </c>
      <c r="B333" s="2">
        <v>43906</v>
      </c>
      <c r="C333" s="1">
        <v>0</v>
      </c>
      <c r="D333" s="39">
        <v>0</v>
      </c>
      <c r="E333" s="1"/>
      <c r="F333" s="39">
        <f t="shared" si="11"/>
        <v>0</v>
      </c>
      <c r="G333" s="497"/>
      <c r="H333" s="497"/>
      <c r="J333" s="42"/>
    </row>
    <row r="334" spans="1:10" s="360" customFormat="1" x14ac:dyDescent="0.25">
      <c r="A334" s="19" t="s">
        <v>22</v>
      </c>
      <c r="B334" s="2">
        <v>43906</v>
      </c>
      <c r="C334" s="1">
        <v>0</v>
      </c>
      <c r="D334" s="39">
        <v>1</v>
      </c>
      <c r="E334" s="1"/>
      <c r="F334" s="39">
        <f t="shared" si="11"/>
        <v>0</v>
      </c>
      <c r="G334" s="497"/>
      <c r="H334" s="497"/>
      <c r="J334" s="42"/>
    </row>
    <row r="335" spans="1:10" s="360" customFormat="1" x14ac:dyDescent="0.25">
      <c r="A335" s="19" t="s">
        <v>38</v>
      </c>
      <c r="B335" s="2">
        <v>43906</v>
      </c>
      <c r="C335" s="1">
        <v>0</v>
      </c>
      <c r="D335" s="39">
        <v>0</v>
      </c>
      <c r="E335" s="1"/>
      <c r="F335" s="39">
        <f t="shared" si="11"/>
        <v>0</v>
      </c>
      <c r="G335" s="497"/>
      <c r="H335" s="497"/>
      <c r="J335" s="42"/>
    </row>
    <row r="336" spans="1:10" s="360" customFormat="1" x14ac:dyDescent="0.25">
      <c r="A336" s="19" t="s">
        <v>39</v>
      </c>
      <c r="B336" s="2">
        <v>43906</v>
      </c>
      <c r="C336" s="1">
        <v>0</v>
      </c>
      <c r="D336" s="39">
        <v>2</v>
      </c>
      <c r="E336" s="1"/>
      <c r="F336" s="39">
        <f t="shared" si="11"/>
        <v>0</v>
      </c>
      <c r="G336" s="497"/>
      <c r="H336" s="497"/>
      <c r="J336" s="42"/>
    </row>
    <row r="337" spans="1:10" s="360" customFormat="1" x14ac:dyDescent="0.25">
      <c r="A337" s="19" t="s">
        <v>40</v>
      </c>
      <c r="B337" s="2">
        <v>43906</v>
      </c>
      <c r="C337" s="1">
        <v>0</v>
      </c>
      <c r="D337" s="39">
        <v>0</v>
      </c>
      <c r="E337" s="1"/>
      <c r="F337" s="39">
        <f t="shared" si="11"/>
        <v>0</v>
      </c>
      <c r="G337" s="497"/>
      <c r="H337" s="497"/>
      <c r="J337" s="42"/>
    </row>
    <row r="338" spans="1:10" s="360" customFormat="1" x14ac:dyDescent="0.25">
      <c r="A338" s="361" t="s">
        <v>16</v>
      </c>
      <c r="B338" s="2">
        <v>43907</v>
      </c>
      <c r="C338" s="1">
        <v>1</v>
      </c>
      <c r="D338" s="39">
        <v>13</v>
      </c>
      <c r="E338" s="1"/>
      <c r="F338" s="39">
        <f>E338+F314</f>
        <v>0</v>
      </c>
      <c r="G338" s="497"/>
      <c r="H338" s="497"/>
      <c r="J338" s="42"/>
    </row>
    <row r="339" spans="1:10" s="360" customFormat="1" x14ac:dyDescent="0.25">
      <c r="A339" s="19" t="s">
        <v>28</v>
      </c>
      <c r="B339" s="2">
        <v>43907</v>
      </c>
      <c r="C339" s="1">
        <v>0</v>
      </c>
      <c r="D339" s="39">
        <v>0</v>
      </c>
      <c r="E339" s="1"/>
      <c r="F339" s="39">
        <f t="shared" ref="F339:F361" si="12">E339+F315</f>
        <v>0</v>
      </c>
      <c r="G339" s="497"/>
      <c r="H339" s="497"/>
      <c r="J339" s="42"/>
    </row>
    <row r="340" spans="1:10" s="360" customFormat="1" x14ac:dyDescent="0.25">
      <c r="A340" s="19" t="s">
        <v>15</v>
      </c>
      <c r="B340" s="2">
        <v>43907</v>
      </c>
      <c r="C340" s="1">
        <v>1</v>
      </c>
      <c r="D340" s="39">
        <v>11</v>
      </c>
      <c r="E340" s="1"/>
      <c r="F340" s="39">
        <f t="shared" si="12"/>
        <v>1</v>
      </c>
      <c r="G340" s="497"/>
      <c r="H340" s="497"/>
      <c r="J340" s="42"/>
    </row>
    <row r="341" spans="1:10" s="360" customFormat="1" x14ac:dyDescent="0.25">
      <c r="A341" s="19" t="s">
        <v>29</v>
      </c>
      <c r="B341" s="2">
        <v>43907</v>
      </c>
      <c r="C341" s="1">
        <v>0</v>
      </c>
      <c r="D341" s="39">
        <v>0</v>
      </c>
      <c r="E341" s="1"/>
      <c r="F341" s="39">
        <f t="shared" si="12"/>
        <v>0</v>
      </c>
      <c r="G341" s="497"/>
      <c r="H341" s="497"/>
      <c r="J341" s="42"/>
    </row>
    <row r="342" spans="1:10" s="360" customFormat="1" x14ac:dyDescent="0.25">
      <c r="A342" s="19" t="s">
        <v>43</v>
      </c>
      <c r="B342" s="2">
        <v>43907</v>
      </c>
      <c r="C342" s="1">
        <v>4</v>
      </c>
      <c r="D342" s="39">
        <v>37</v>
      </c>
      <c r="E342" s="1"/>
      <c r="F342" s="39">
        <f t="shared" si="12"/>
        <v>1</v>
      </c>
      <c r="G342" s="497"/>
      <c r="H342" s="497"/>
      <c r="J342" s="42"/>
    </row>
    <row r="343" spans="1:10" s="360" customFormat="1" x14ac:dyDescent="0.25">
      <c r="A343" s="19" t="s">
        <v>20</v>
      </c>
      <c r="B343" s="2">
        <v>43907</v>
      </c>
      <c r="C343" s="1">
        <v>2</v>
      </c>
      <c r="D343" s="39">
        <v>4</v>
      </c>
      <c r="E343" s="1"/>
      <c r="F343" s="39">
        <f t="shared" si="12"/>
        <v>0</v>
      </c>
      <c r="G343" s="497"/>
      <c r="H343" s="497"/>
      <c r="J343" s="42"/>
    </row>
    <row r="344" spans="1:10" s="360" customFormat="1" x14ac:dyDescent="0.25">
      <c r="A344" s="19" t="s">
        <v>30</v>
      </c>
      <c r="B344" s="2">
        <v>43907</v>
      </c>
      <c r="C344" s="1">
        <v>0</v>
      </c>
      <c r="D344" s="39">
        <v>0</v>
      </c>
      <c r="E344" s="1"/>
      <c r="F344" s="39">
        <f t="shared" si="12"/>
        <v>0</v>
      </c>
      <c r="G344" s="497"/>
      <c r="H344" s="497"/>
      <c r="J344" s="42"/>
    </row>
    <row r="345" spans="1:10" x14ac:dyDescent="0.25">
      <c r="A345" s="19" t="s">
        <v>31</v>
      </c>
      <c r="B345" s="2">
        <v>43907</v>
      </c>
      <c r="C345" s="1">
        <v>1</v>
      </c>
      <c r="D345" s="39">
        <v>2</v>
      </c>
      <c r="F345" s="39">
        <f t="shared" si="12"/>
        <v>0</v>
      </c>
    </row>
    <row r="346" spans="1:10" s="360" customFormat="1" x14ac:dyDescent="0.25">
      <c r="A346" s="19" t="s">
        <v>41</v>
      </c>
      <c r="B346" s="2">
        <v>43907</v>
      </c>
      <c r="C346" s="1">
        <v>0</v>
      </c>
      <c r="D346" s="39">
        <v>0</v>
      </c>
      <c r="E346" s="1"/>
      <c r="F346" s="39">
        <f t="shared" si="12"/>
        <v>0</v>
      </c>
      <c r="G346" s="497"/>
      <c r="H346" s="497"/>
      <c r="J346" s="42"/>
    </row>
    <row r="347" spans="1:10" s="360" customFormat="1" x14ac:dyDescent="0.25">
      <c r="A347" s="19" t="s">
        <v>32</v>
      </c>
      <c r="B347" s="2">
        <v>43907</v>
      </c>
      <c r="C347" s="1">
        <v>1</v>
      </c>
      <c r="D347" s="39">
        <v>1</v>
      </c>
      <c r="E347" s="1"/>
      <c r="F347" s="39">
        <f t="shared" si="12"/>
        <v>0</v>
      </c>
      <c r="G347" s="497"/>
      <c r="H347" s="497"/>
      <c r="J347" s="42"/>
    </row>
    <row r="348" spans="1:10" s="360" customFormat="1" x14ac:dyDescent="0.25">
      <c r="A348" s="19" t="s">
        <v>33</v>
      </c>
      <c r="B348" s="2">
        <v>43907</v>
      </c>
      <c r="C348" s="1">
        <v>0</v>
      </c>
      <c r="D348" s="39">
        <v>0</v>
      </c>
      <c r="E348" s="1"/>
      <c r="F348" s="39">
        <f t="shared" si="12"/>
        <v>0</v>
      </c>
      <c r="G348" s="497"/>
      <c r="H348" s="497"/>
      <c r="J348" s="42"/>
    </row>
    <row r="349" spans="1:10" s="360" customFormat="1" x14ac:dyDescent="0.25">
      <c r="A349" s="19" t="s">
        <v>21</v>
      </c>
      <c r="B349" s="2">
        <v>43907</v>
      </c>
      <c r="C349" s="1">
        <v>0</v>
      </c>
      <c r="D349" s="39">
        <v>0</v>
      </c>
      <c r="E349" s="1"/>
      <c r="F349" s="39">
        <f t="shared" si="12"/>
        <v>0</v>
      </c>
      <c r="G349" s="497"/>
      <c r="H349" s="497"/>
      <c r="J349" s="42"/>
    </row>
    <row r="350" spans="1:10" s="360" customFormat="1" x14ac:dyDescent="0.25">
      <c r="A350" s="19" t="s">
        <v>17</v>
      </c>
      <c r="B350" s="2">
        <v>43907</v>
      </c>
      <c r="C350" s="1">
        <v>0</v>
      </c>
      <c r="D350" s="39">
        <v>0</v>
      </c>
      <c r="E350" s="1"/>
      <c r="F350" s="39">
        <f t="shared" si="12"/>
        <v>0</v>
      </c>
      <c r="G350" s="497"/>
      <c r="H350" s="497"/>
      <c r="J350" s="42"/>
    </row>
    <row r="351" spans="1:10" s="360" customFormat="1" x14ac:dyDescent="0.25">
      <c r="A351" s="19" t="s">
        <v>23</v>
      </c>
      <c r="B351" s="2">
        <v>43907</v>
      </c>
      <c r="C351" s="1">
        <v>0</v>
      </c>
      <c r="D351" s="39">
        <v>0</v>
      </c>
      <c r="E351" s="1"/>
      <c r="F351" s="39">
        <f t="shared" si="12"/>
        <v>0</v>
      </c>
      <c r="G351" s="497"/>
      <c r="H351" s="497"/>
      <c r="J351" s="42"/>
    </row>
    <row r="352" spans="1:10" s="360" customFormat="1" x14ac:dyDescent="0.25">
      <c r="A352" s="19" t="s">
        <v>19</v>
      </c>
      <c r="B352" s="2">
        <v>43907</v>
      </c>
      <c r="C352" s="1">
        <v>0</v>
      </c>
      <c r="D352" s="39">
        <v>0</v>
      </c>
      <c r="E352" s="1"/>
      <c r="F352" s="39">
        <f t="shared" si="12"/>
        <v>0</v>
      </c>
      <c r="G352" s="497"/>
      <c r="H352" s="497"/>
      <c r="J352" s="42"/>
    </row>
    <row r="353" spans="1:10" s="360" customFormat="1" x14ac:dyDescent="0.25">
      <c r="A353" s="19" t="s">
        <v>18</v>
      </c>
      <c r="B353" s="2">
        <v>43907</v>
      </c>
      <c r="C353" s="1">
        <v>1</v>
      </c>
      <c r="D353" s="39">
        <v>2</v>
      </c>
      <c r="E353" s="1"/>
      <c r="F353" s="39">
        <f t="shared" si="12"/>
        <v>0</v>
      </c>
      <c r="G353" s="497"/>
      <c r="H353" s="497"/>
      <c r="J353" s="42"/>
    </row>
    <row r="354" spans="1:10" s="360" customFormat="1" x14ac:dyDescent="0.25">
      <c r="A354" s="19" t="s">
        <v>34</v>
      </c>
      <c r="B354" s="2">
        <v>43907</v>
      </c>
      <c r="C354" s="1">
        <v>1</v>
      </c>
      <c r="D354" s="39">
        <v>1</v>
      </c>
      <c r="E354" s="1"/>
      <c r="F354" s="39">
        <f t="shared" si="12"/>
        <v>0</v>
      </c>
      <c r="G354" s="497"/>
      <c r="H354" s="497"/>
      <c r="J354" s="42"/>
    </row>
    <row r="355" spans="1:10" s="360" customFormat="1" x14ac:dyDescent="0.25">
      <c r="A355" s="19" t="s">
        <v>35</v>
      </c>
      <c r="B355" s="2">
        <v>43907</v>
      </c>
      <c r="C355" s="1">
        <v>0</v>
      </c>
      <c r="D355" s="39">
        <v>0</v>
      </c>
      <c r="E355" s="1"/>
      <c r="F355" s="39">
        <f t="shared" si="12"/>
        <v>0</v>
      </c>
      <c r="G355" s="497"/>
      <c r="H355" s="497"/>
      <c r="J355" s="42"/>
    </row>
    <row r="356" spans="1:10" s="360" customFormat="1" x14ac:dyDescent="0.25">
      <c r="A356" s="19" t="s">
        <v>36</v>
      </c>
      <c r="B356" s="2">
        <v>43907</v>
      </c>
      <c r="C356" s="1">
        <v>0</v>
      </c>
      <c r="D356" s="39">
        <v>3</v>
      </c>
      <c r="E356" s="1"/>
      <c r="F356" s="39">
        <f t="shared" si="12"/>
        <v>0</v>
      </c>
      <c r="G356" s="497"/>
      <c r="H356" s="497"/>
      <c r="J356" s="42"/>
    </row>
    <row r="357" spans="1:10" s="360" customFormat="1" x14ac:dyDescent="0.25">
      <c r="A357" s="19" t="s">
        <v>37</v>
      </c>
      <c r="B357" s="2">
        <v>43907</v>
      </c>
      <c r="C357" s="1">
        <v>1</v>
      </c>
      <c r="D357" s="39">
        <v>1</v>
      </c>
      <c r="E357" s="1"/>
      <c r="F357" s="39">
        <f t="shared" si="12"/>
        <v>0</v>
      </c>
      <c r="G357" s="497"/>
      <c r="H357" s="497"/>
      <c r="J357" s="42"/>
    </row>
    <row r="358" spans="1:10" s="360" customFormat="1" x14ac:dyDescent="0.25">
      <c r="A358" s="19" t="s">
        <v>22</v>
      </c>
      <c r="B358" s="2">
        <v>43907</v>
      </c>
      <c r="C358" s="1">
        <v>0</v>
      </c>
      <c r="D358" s="39">
        <v>1</v>
      </c>
      <c r="E358" s="1"/>
      <c r="F358" s="39">
        <f t="shared" si="12"/>
        <v>0</v>
      </c>
      <c r="G358" s="497"/>
      <c r="H358" s="497"/>
      <c r="J358" s="42"/>
    </row>
    <row r="359" spans="1:10" s="360" customFormat="1" x14ac:dyDescent="0.25">
      <c r="A359" s="19" t="s">
        <v>38</v>
      </c>
      <c r="B359" s="2">
        <v>43907</v>
      </c>
      <c r="C359" s="1">
        <v>0</v>
      </c>
      <c r="D359" s="39">
        <v>0</v>
      </c>
      <c r="E359" s="1"/>
      <c r="F359" s="39">
        <f t="shared" si="12"/>
        <v>0</v>
      </c>
      <c r="G359" s="497"/>
      <c r="H359" s="497"/>
      <c r="J359" s="42"/>
    </row>
    <row r="360" spans="1:10" s="360" customFormat="1" x14ac:dyDescent="0.25">
      <c r="A360" s="19" t="s">
        <v>39</v>
      </c>
      <c r="B360" s="2">
        <v>43907</v>
      </c>
      <c r="C360" s="1">
        <v>0</v>
      </c>
      <c r="D360" s="39">
        <v>2</v>
      </c>
      <c r="E360" s="1"/>
      <c r="F360" s="39">
        <f t="shared" si="12"/>
        <v>0</v>
      </c>
      <c r="G360" s="497"/>
      <c r="H360" s="497"/>
      <c r="J360" s="42"/>
    </row>
    <row r="361" spans="1:10" s="360" customFormat="1" x14ac:dyDescent="0.25">
      <c r="A361" s="19" t="s">
        <v>40</v>
      </c>
      <c r="B361" s="2">
        <v>43907</v>
      </c>
      <c r="C361" s="1">
        <v>0</v>
      </c>
      <c r="D361" s="39">
        <v>0</v>
      </c>
      <c r="E361" s="1"/>
      <c r="F361" s="39">
        <f t="shared" si="12"/>
        <v>0</v>
      </c>
      <c r="G361" s="497"/>
      <c r="H361" s="497"/>
      <c r="J361" s="42"/>
    </row>
    <row r="362" spans="1:10" s="360" customFormat="1" x14ac:dyDescent="0.25">
      <c r="A362" s="361" t="s">
        <v>16</v>
      </c>
      <c r="B362" s="2">
        <v>43908</v>
      </c>
      <c r="C362" s="1">
        <v>6</v>
      </c>
      <c r="D362" s="39">
        <v>19</v>
      </c>
      <c r="E362" s="264"/>
      <c r="F362" s="39">
        <f>E362+F338</f>
        <v>0</v>
      </c>
      <c r="G362" s="497"/>
      <c r="H362" s="497"/>
      <c r="J362" s="42"/>
    </row>
    <row r="363" spans="1:10" s="360" customFormat="1" x14ac:dyDescent="0.25">
      <c r="A363" s="19" t="s">
        <v>28</v>
      </c>
      <c r="B363" s="2">
        <v>43908</v>
      </c>
      <c r="C363" s="1">
        <v>0</v>
      </c>
      <c r="D363" s="39">
        <v>0</v>
      </c>
      <c r="E363" s="1"/>
      <c r="F363" s="39">
        <f t="shared" ref="F363:F385" si="13">E363+F339</f>
        <v>0</v>
      </c>
      <c r="G363" s="497"/>
      <c r="H363" s="497"/>
      <c r="J363" s="42"/>
    </row>
    <row r="364" spans="1:10" s="360" customFormat="1" x14ac:dyDescent="0.25">
      <c r="A364" s="19" t="s">
        <v>15</v>
      </c>
      <c r="B364" s="2">
        <v>43908</v>
      </c>
      <c r="C364" s="1">
        <v>1</v>
      </c>
      <c r="D364" s="39">
        <v>12</v>
      </c>
      <c r="E364" s="1"/>
      <c r="F364" s="39">
        <f t="shared" si="13"/>
        <v>1</v>
      </c>
      <c r="G364" s="497"/>
      <c r="H364" s="497"/>
      <c r="J364" s="42"/>
    </row>
    <row r="365" spans="1:10" s="360" customFormat="1" x14ac:dyDescent="0.25">
      <c r="A365" s="19" t="s">
        <v>29</v>
      </c>
      <c r="B365" s="2">
        <v>43908</v>
      </c>
      <c r="C365" s="1">
        <v>0</v>
      </c>
      <c r="D365" s="39">
        <v>0</v>
      </c>
      <c r="E365" s="1"/>
      <c r="F365" s="39">
        <f t="shared" si="13"/>
        <v>0</v>
      </c>
      <c r="G365" s="497"/>
      <c r="H365" s="497"/>
      <c r="J365" s="42"/>
    </row>
    <row r="366" spans="1:10" s="360" customFormat="1" x14ac:dyDescent="0.25">
      <c r="A366" s="19" t="s">
        <v>43</v>
      </c>
      <c r="B366" s="2">
        <v>43908</v>
      </c>
      <c r="C366" s="1">
        <v>10</v>
      </c>
      <c r="D366" s="39">
        <v>47</v>
      </c>
      <c r="E366" s="1"/>
      <c r="F366" s="39">
        <f t="shared" si="13"/>
        <v>1</v>
      </c>
      <c r="G366" s="497"/>
      <c r="H366" s="497"/>
      <c r="J366" s="42"/>
    </row>
    <row r="367" spans="1:10" s="360" customFormat="1" x14ac:dyDescent="0.25">
      <c r="A367" s="19" t="s">
        <v>20</v>
      </c>
      <c r="B367" s="2">
        <v>43908</v>
      </c>
      <c r="C367" s="1">
        <v>1</v>
      </c>
      <c r="D367" s="39">
        <v>5</v>
      </c>
      <c r="E367" s="1"/>
      <c r="F367" s="39">
        <f t="shared" si="13"/>
        <v>0</v>
      </c>
      <c r="G367" s="497"/>
      <c r="H367" s="497"/>
      <c r="J367" s="42"/>
    </row>
    <row r="368" spans="1:10" s="360" customFormat="1" x14ac:dyDescent="0.25">
      <c r="A368" s="19" t="s">
        <v>30</v>
      </c>
      <c r="B368" s="2">
        <v>43908</v>
      </c>
      <c r="C368" s="1">
        <v>0</v>
      </c>
      <c r="D368" s="39">
        <v>0</v>
      </c>
      <c r="E368" s="1"/>
      <c r="F368" s="39">
        <f t="shared" si="13"/>
        <v>0</v>
      </c>
      <c r="G368" s="497"/>
      <c r="H368" s="497"/>
      <c r="J368" s="42"/>
    </row>
    <row r="369" spans="1:10" x14ac:dyDescent="0.25">
      <c r="A369" s="19" t="s">
        <v>31</v>
      </c>
      <c r="B369" s="2">
        <v>43908</v>
      </c>
      <c r="C369" s="1">
        <v>1</v>
      </c>
      <c r="D369" s="39">
        <v>3</v>
      </c>
      <c r="F369" s="39">
        <f t="shared" si="13"/>
        <v>0</v>
      </c>
    </row>
    <row r="370" spans="1:10" s="360" customFormat="1" x14ac:dyDescent="0.25">
      <c r="A370" s="19" t="s">
        <v>41</v>
      </c>
      <c r="B370" s="2">
        <v>43908</v>
      </c>
      <c r="C370" s="1">
        <v>0</v>
      </c>
      <c r="D370" s="39">
        <v>0</v>
      </c>
      <c r="E370" s="1"/>
      <c r="F370" s="39">
        <f t="shared" si="13"/>
        <v>0</v>
      </c>
      <c r="G370" s="497"/>
      <c r="H370" s="497"/>
      <c r="J370" s="42"/>
    </row>
    <row r="371" spans="1:10" s="360" customFormat="1" x14ac:dyDescent="0.25">
      <c r="A371" s="19" t="s">
        <v>32</v>
      </c>
      <c r="B371" s="2">
        <v>43908</v>
      </c>
      <c r="C371" s="1">
        <v>0</v>
      </c>
      <c r="D371" s="39">
        <v>1</v>
      </c>
      <c r="E371" s="1"/>
      <c r="F371" s="39">
        <f t="shared" si="13"/>
        <v>0</v>
      </c>
      <c r="G371" s="497"/>
      <c r="H371" s="497"/>
      <c r="J371" s="42"/>
    </row>
    <row r="372" spans="1:10" s="360" customFormat="1" x14ac:dyDescent="0.25">
      <c r="A372" s="19" t="s">
        <v>33</v>
      </c>
      <c r="B372" s="2">
        <v>43908</v>
      </c>
      <c r="C372" s="1">
        <v>0</v>
      </c>
      <c r="D372" s="39">
        <v>0</v>
      </c>
      <c r="E372" s="1"/>
      <c r="F372" s="39">
        <f t="shared" si="13"/>
        <v>0</v>
      </c>
      <c r="G372" s="497"/>
      <c r="H372" s="497"/>
      <c r="J372" s="42"/>
    </row>
    <row r="373" spans="1:10" s="360" customFormat="1" x14ac:dyDescent="0.25">
      <c r="A373" s="19" t="s">
        <v>21</v>
      </c>
      <c r="B373" s="2">
        <v>43908</v>
      </c>
      <c r="C373" s="1">
        <v>0</v>
      </c>
      <c r="D373" s="39">
        <v>0</v>
      </c>
      <c r="E373" s="1"/>
      <c r="F373" s="39">
        <f t="shared" si="13"/>
        <v>0</v>
      </c>
      <c r="G373" s="497"/>
      <c r="H373" s="497"/>
      <c r="J373" s="42"/>
    </row>
    <row r="374" spans="1:10" s="360" customFormat="1" x14ac:dyDescent="0.25">
      <c r="A374" s="19" t="s">
        <v>17</v>
      </c>
      <c r="B374" s="2">
        <v>43908</v>
      </c>
      <c r="C374" s="1">
        <v>0</v>
      </c>
      <c r="D374" s="39">
        <v>0</v>
      </c>
      <c r="E374" s="1"/>
      <c r="F374" s="39">
        <f t="shared" si="13"/>
        <v>0</v>
      </c>
      <c r="G374" s="497"/>
      <c r="H374" s="497"/>
      <c r="J374" s="42"/>
    </row>
    <row r="375" spans="1:10" s="360" customFormat="1" x14ac:dyDescent="0.25">
      <c r="A375" s="19" t="s">
        <v>23</v>
      </c>
      <c r="B375" s="2">
        <v>43908</v>
      </c>
      <c r="C375" s="1">
        <v>0</v>
      </c>
      <c r="D375" s="39">
        <v>0</v>
      </c>
      <c r="E375" s="1"/>
      <c r="F375" s="39">
        <f t="shared" si="13"/>
        <v>0</v>
      </c>
      <c r="G375" s="497"/>
      <c r="H375" s="497"/>
      <c r="J375" s="42"/>
    </row>
    <row r="376" spans="1:10" s="360" customFormat="1" x14ac:dyDescent="0.25">
      <c r="A376" s="19" t="s">
        <v>19</v>
      </c>
      <c r="B376" s="2">
        <v>43908</v>
      </c>
      <c r="C376" s="1">
        <v>0</v>
      </c>
      <c r="D376" s="39">
        <v>0</v>
      </c>
      <c r="E376" s="1"/>
      <c r="F376" s="39">
        <f t="shared" si="13"/>
        <v>0</v>
      </c>
      <c r="G376" s="497"/>
      <c r="H376" s="497"/>
      <c r="J376" s="42"/>
    </row>
    <row r="377" spans="1:10" s="360" customFormat="1" x14ac:dyDescent="0.25">
      <c r="A377" s="19" t="s">
        <v>18</v>
      </c>
      <c r="B377" s="2">
        <v>43908</v>
      </c>
      <c r="C377" s="1">
        <v>0</v>
      </c>
      <c r="D377" s="39">
        <v>2</v>
      </c>
      <c r="E377" s="1"/>
      <c r="F377" s="39">
        <f t="shared" si="13"/>
        <v>0</v>
      </c>
      <c r="G377" s="497"/>
      <c r="H377" s="497"/>
      <c r="J377" s="42"/>
    </row>
    <row r="378" spans="1:10" s="360" customFormat="1" x14ac:dyDescent="0.25">
      <c r="A378" s="19" t="s">
        <v>34</v>
      </c>
      <c r="B378" s="2">
        <v>43908</v>
      </c>
      <c r="C378" s="1">
        <v>0</v>
      </c>
      <c r="D378" s="39">
        <v>1</v>
      </c>
      <c r="E378" s="1"/>
      <c r="F378" s="39">
        <f t="shared" si="13"/>
        <v>0</v>
      </c>
      <c r="G378" s="497"/>
      <c r="H378" s="497"/>
      <c r="J378" s="42"/>
    </row>
    <row r="379" spans="1:10" s="360" customFormat="1" x14ac:dyDescent="0.25">
      <c r="A379" s="19" t="s">
        <v>35</v>
      </c>
      <c r="B379" s="2">
        <v>43908</v>
      </c>
      <c r="C379" s="1">
        <v>0</v>
      </c>
      <c r="D379" s="39">
        <v>0</v>
      </c>
      <c r="E379" s="1"/>
      <c r="F379" s="39">
        <f t="shared" si="13"/>
        <v>0</v>
      </c>
      <c r="G379" s="497"/>
      <c r="H379" s="497"/>
      <c r="J379" s="42"/>
    </row>
    <row r="380" spans="1:10" s="360" customFormat="1" x14ac:dyDescent="0.25">
      <c r="A380" s="19" t="s">
        <v>36</v>
      </c>
      <c r="B380" s="2">
        <v>43908</v>
      </c>
      <c r="C380" s="1">
        <v>0</v>
      </c>
      <c r="D380" s="39">
        <v>3</v>
      </c>
      <c r="E380" s="1"/>
      <c r="F380" s="39">
        <f t="shared" si="13"/>
        <v>0</v>
      </c>
      <c r="G380" s="497"/>
      <c r="H380" s="497"/>
      <c r="J380" s="42"/>
    </row>
    <row r="381" spans="1:10" s="360" customFormat="1" x14ac:dyDescent="0.25">
      <c r="A381" s="19" t="s">
        <v>37</v>
      </c>
      <c r="B381" s="2">
        <v>43908</v>
      </c>
      <c r="C381" s="1">
        <v>0</v>
      </c>
      <c r="D381" s="39">
        <v>1</v>
      </c>
      <c r="E381" s="1"/>
      <c r="F381" s="39">
        <f t="shared" si="13"/>
        <v>0</v>
      </c>
      <c r="G381" s="497"/>
      <c r="H381" s="497"/>
      <c r="J381" s="42"/>
    </row>
    <row r="382" spans="1:10" s="360" customFormat="1" x14ac:dyDescent="0.25">
      <c r="A382" s="19" t="s">
        <v>22</v>
      </c>
      <c r="B382" s="2">
        <v>43908</v>
      </c>
      <c r="C382" s="1">
        <v>0</v>
      </c>
      <c r="D382" s="39">
        <v>1</v>
      </c>
      <c r="E382" s="1"/>
      <c r="F382" s="39">
        <f t="shared" si="13"/>
        <v>0</v>
      </c>
      <c r="G382" s="497"/>
      <c r="H382" s="497"/>
      <c r="J382" s="42"/>
    </row>
    <row r="383" spans="1:10" s="360" customFormat="1" x14ac:dyDescent="0.25">
      <c r="A383" s="19" t="s">
        <v>38</v>
      </c>
      <c r="B383" s="2">
        <v>43908</v>
      </c>
      <c r="C383" s="1">
        <v>0</v>
      </c>
      <c r="D383" s="39">
        <v>0</v>
      </c>
      <c r="E383" s="1"/>
      <c r="F383" s="39">
        <f t="shared" si="13"/>
        <v>0</v>
      </c>
      <c r="G383" s="497"/>
      <c r="H383" s="497"/>
      <c r="J383" s="42"/>
    </row>
    <row r="384" spans="1:10" s="360" customFormat="1" x14ac:dyDescent="0.25">
      <c r="A384" s="19" t="s">
        <v>39</v>
      </c>
      <c r="B384" s="2">
        <v>43908</v>
      </c>
      <c r="C384" s="1">
        <v>0</v>
      </c>
      <c r="D384" s="39">
        <v>2</v>
      </c>
      <c r="E384" s="1"/>
      <c r="F384" s="39">
        <f t="shared" si="13"/>
        <v>0</v>
      </c>
      <c r="G384" s="497"/>
      <c r="H384" s="497"/>
      <c r="J384" s="42"/>
    </row>
    <row r="385" spans="1:10" s="360" customFormat="1" x14ac:dyDescent="0.25">
      <c r="A385" s="19" t="s">
        <v>40</v>
      </c>
      <c r="B385" s="2">
        <v>43908</v>
      </c>
      <c r="C385" s="1">
        <v>0</v>
      </c>
      <c r="D385" s="39">
        <v>0</v>
      </c>
      <c r="E385" s="1"/>
      <c r="F385" s="39">
        <f t="shared" si="13"/>
        <v>0</v>
      </c>
      <c r="G385" s="497"/>
      <c r="H385" s="497"/>
      <c r="J385" s="42"/>
    </row>
    <row r="386" spans="1:10" s="360" customFormat="1" x14ac:dyDescent="0.25">
      <c r="A386" s="361" t="s">
        <v>16</v>
      </c>
      <c r="B386" s="2">
        <v>43909</v>
      </c>
      <c r="C386" s="1">
        <v>14</v>
      </c>
      <c r="D386" s="39">
        <v>33</v>
      </c>
      <c r="E386" s="1"/>
      <c r="F386" s="39">
        <f>E386+F362</f>
        <v>0</v>
      </c>
      <c r="G386" s="497"/>
      <c r="H386" s="497"/>
      <c r="J386" s="42"/>
    </row>
    <row r="387" spans="1:10" s="360" customFormat="1" x14ac:dyDescent="0.25">
      <c r="A387" s="19" t="s">
        <v>28</v>
      </c>
      <c r="B387" s="2">
        <v>43909</v>
      </c>
      <c r="C387" s="1">
        <v>0</v>
      </c>
      <c r="D387" s="39">
        <v>0</v>
      </c>
      <c r="E387" s="1"/>
      <c r="F387" s="39">
        <f t="shared" ref="F387:F409" si="14">E387+F363</f>
        <v>0</v>
      </c>
      <c r="G387" s="497"/>
      <c r="H387" s="497"/>
      <c r="J387" s="42"/>
    </row>
    <row r="388" spans="1:10" s="360" customFormat="1" x14ac:dyDescent="0.25">
      <c r="A388" s="19" t="s">
        <v>15</v>
      </c>
      <c r="B388" s="2">
        <v>43909</v>
      </c>
      <c r="C388" s="1">
        <v>2</v>
      </c>
      <c r="D388" s="39">
        <v>14</v>
      </c>
      <c r="E388" s="1"/>
      <c r="F388" s="39">
        <f t="shared" si="14"/>
        <v>1</v>
      </c>
      <c r="G388" s="497"/>
      <c r="H388" s="497"/>
      <c r="J388" s="42"/>
    </row>
    <row r="389" spans="1:10" s="360" customFormat="1" x14ac:dyDescent="0.25">
      <c r="A389" s="19" t="s">
        <v>29</v>
      </c>
      <c r="B389" s="2">
        <v>43909</v>
      </c>
      <c r="C389" s="1">
        <v>0</v>
      </c>
      <c r="D389" s="39">
        <v>0</v>
      </c>
      <c r="E389" s="1"/>
      <c r="F389" s="39">
        <f t="shared" si="14"/>
        <v>0</v>
      </c>
      <c r="G389" s="497"/>
      <c r="H389" s="497"/>
      <c r="J389" s="42"/>
    </row>
    <row r="390" spans="1:10" s="360" customFormat="1" x14ac:dyDescent="0.25">
      <c r="A390" s="19" t="s">
        <v>43</v>
      </c>
      <c r="B390" s="2">
        <v>43909</v>
      </c>
      <c r="C390" s="1">
        <v>8</v>
      </c>
      <c r="D390" s="39">
        <v>55</v>
      </c>
      <c r="E390" s="1"/>
      <c r="F390" s="39">
        <f t="shared" si="14"/>
        <v>1</v>
      </c>
      <c r="G390" s="497"/>
      <c r="H390" s="497"/>
      <c r="J390" s="42"/>
    </row>
    <row r="391" spans="1:10" s="360" customFormat="1" x14ac:dyDescent="0.25">
      <c r="A391" s="19" t="s">
        <v>20</v>
      </c>
      <c r="B391" s="2">
        <v>43909</v>
      </c>
      <c r="C391" s="1">
        <v>3</v>
      </c>
      <c r="D391" s="39">
        <v>8</v>
      </c>
      <c r="E391" s="1"/>
      <c r="F391" s="39">
        <f t="shared" si="14"/>
        <v>0</v>
      </c>
      <c r="G391" s="497"/>
      <c r="H391" s="497"/>
      <c r="J391" s="42"/>
    </row>
    <row r="392" spans="1:10" s="360" customFormat="1" x14ac:dyDescent="0.25">
      <c r="A392" s="19" t="s">
        <v>30</v>
      </c>
      <c r="B392" s="2">
        <v>43909</v>
      </c>
      <c r="C392" s="1">
        <v>0</v>
      </c>
      <c r="D392" s="39">
        <v>0</v>
      </c>
      <c r="E392" s="1"/>
      <c r="F392" s="39">
        <f t="shared" si="14"/>
        <v>0</v>
      </c>
      <c r="G392" s="497"/>
      <c r="H392" s="497"/>
      <c r="J392" s="42"/>
    </row>
    <row r="393" spans="1:10" x14ac:dyDescent="0.25">
      <c r="A393" s="19" t="s">
        <v>31</v>
      </c>
      <c r="B393" s="2">
        <v>43909</v>
      </c>
      <c r="C393" s="1">
        <v>0</v>
      </c>
      <c r="D393" s="39">
        <v>3</v>
      </c>
      <c r="F393" s="39">
        <f t="shared" si="14"/>
        <v>0</v>
      </c>
    </row>
    <row r="394" spans="1:10" s="360" customFormat="1" x14ac:dyDescent="0.25">
      <c r="A394" s="19" t="s">
        <v>41</v>
      </c>
      <c r="B394" s="2">
        <v>43909</v>
      </c>
      <c r="C394" s="1">
        <v>0</v>
      </c>
      <c r="D394" s="39">
        <v>0</v>
      </c>
      <c r="E394" s="1"/>
      <c r="F394" s="39">
        <f t="shared" si="14"/>
        <v>0</v>
      </c>
      <c r="G394" s="497"/>
      <c r="H394" s="497"/>
      <c r="J394" s="42"/>
    </row>
    <row r="395" spans="1:10" s="360" customFormat="1" x14ac:dyDescent="0.25">
      <c r="A395" s="19" t="s">
        <v>32</v>
      </c>
      <c r="B395" s="2">
        <v>43909</v>
      </c>
      <c r="C395" s="1">
        <v>0</v>
      </c>
      <c r="D395" s="39">
        <v>1</v>
      </c>
      <c r="E395" s="1"/>
      <c r="F395" s="39">
        <f t="shared" si="14"/>
        <v>0</v>
      </c>
      <c r="G395" s="497"/>
      <c r="H395" s="497"/>
      <c r="J395" s="42"/>
    </row>
    <row r="396" spans="1:10" s="360" customFormat="1" x14ac:dyDescent="0.25">
      <c r="A396" s="19" t="s">
        <v>33</v>
      </c>
      <c r="B396" s="2">
        <v>43909</v>
      </c>
      <c r="C396" s="1">
        <v>0</v>
      </c>
      <c r="D396" s="39">
        <v>0</v>
      </c>
      <c r="E396" s="1"/>
      <c r="F396" s="39">
        <f t="shared" si="14"/>
        <v>0</v>
      </c>
      <c r="G396" s="497"/>
      <c r="H396" s="497"/>
      <c r="J396" s="42"/>
    </row>
    <row r="397" spans="1:10" s="360" customFormat="1" x14ac:dyDescent="0.25">
      <c r="A397" s="19" t="s">
        <v>21</v>
      </c>
      <c r="B397" s="2">
        <v>43909</v>
      </c>
      <c r="C397" s="1">
        <v>0</v>
      </c>
      <c r="D397" s="39">
        <v>0</v>
      </c>
      <c r="E397" s="1"/>
      <c r="F397" s="39">
        <f t="shared" si="14"/>
        <v>0</v>
      </c>
      <c r="G397" s="497"/>
      <c r="H397" s="497"/>
      <c r="J397" s="42"/>
    </row>
    <row r="398" spans="1:10" s="360" customFormat="1" x14ac:dyDescent="0.25">
      <c r="A398" s="19" t="s">
        <v>17</v>
      </c>
      <c r="B398" s="2">
        <v>43909</v>
      </c>
      <c r="C398" s="1">
        <v>0</v>
      </c>
      <c r="D398" s="39">
        <v>0</v>
      </c>
      <c r="E398" s="1"/>
      <c r="F398" s="39">
        <f t="shared" si="14"/>
        <v>0</v>
      </c>
      <c r="G398" s="497"/>
      <c r="H398" s="497"/>
      <c r="J398" s="42"/>
    </row>
    <row r="399" spans="1:10" s="360" customFormat="1" x14ac:dyDescent="0.25">
      <c r="A399" s="19" t="s">
        <v>23</v>
      </c>
      <c r="B399" s="2">
        <v>43909</v>
      </c>
      <c r="C399" s="1">
        <v>0</v>
      </c>
      <c r="D399" s="39">
        <v>0</v>
      </c>
      <c r="E399" s="1"/>
      <c r="F399" s="39">
        <f t="shared" si="14"/>
        <v>0</v>
      </c>
      <c r="G399" s="497"/>
      <c r="H399" s="497"/>
      <c r="J399" s="42"/>
    </row>
    <row r="400" spans="1:10" s="360" customFormat="1" x14ac:dyDescent="0.25">
      <c r="A400" s="19" t="s">
        <v>19</v>
      </c>
      <c r="B400" s="2">
        <v>43909</v>
      </c>
      <c r="C400" s="1">
        <v>0</v>
      </c>
      <c r="D400" s="39">
        <v>0</v>
      </c>
      <c r="E400" s="1"/>
      <c r="F400" s="39">
        <f t="shared" si="14"/>
        <v>0</v>
      </c>
      <c r="G400" s="497"/>
      <c r="H400" s="497"/>
      <c r="J400" s="42"/>
    </row>
    <row r="401" spans="1:10" s="360" customFormat="1" x14ac:dyDescent="0.25">
      <c r="A401" s="19" t="s">
        <v>18</v>
      </c>
      <c r="B401" s="2">
        <v>43909</v>
      </c>
      <c r="C401" s="1">
        <v>1</v>
      </c>
      <c r="D401" s="39">
        <v>3</v>
      </c>
      <c r="E401" s="1"/>
      <c r="F401" s="39">
        <f t="shared" si="14"/>
        <v>0</v>
      </c>
      <c r="G401" s="497"/>
      <c r="H401" s="497"/>
      <c r="J401" s="42"/>
    </row>
    <row r="402" spans="1:10" s="360" customFormat="1" x14ac:dyDescent="0.25">
      <c r="A402" s="19" t="s">
        <v>34</v>
      </c>
      <c r="B402" s="2">
        <v>43909</v>
      </c>
      <c r="C402" s="1">
        <v>0</v>
      </c>
      <c r="D402" s="39">
        <v>1</v>
      </c>
      <c r="E402" s="1"/>
      <c r="F402" s="39">
        <f t="shared" si="14"/>
        <v>0</v>
      </c>
      <c r="G402" s="497"/>
      <c r="H402" s="497"/>
      <c r="J402" s="42"/>
    </row>
    <row r="403" spans="1:10" s="360" customFormat="1" x14ac:dyDescent="0.25">
      <c r="A403" s="19" t="s">
        <v>35</v>
      </c>
      <c r="B403" s="2">
        <v>43909</v>
      </c>
      <c r="C403" s="1">
        <v>0</v>
      </c>
      <c r="D403" s="39">
        <v>0</v>
      </c>
      <c r="E403" s="1"/>
      <c r="F403" s="39">
        <f t="shared" si="14"/>
        <v>0</v>
      </c>
      <c r="G403" s="497"/>
      <c r="H403" s="497"/>
      <c r="J403" s="42"/>
    </row>
    <row r="404" spans="1:10" s="360" customFormat="1" x14ac:dyDescent="0.25">
      <c r="A404" s="19" t="s">
        <v>36</v>
      </c>
      <c r="B404" s="2">
        <v>43909</v>
      </c>
      <c r="C404" s="1">
        <v>0</v>
      </c>
      <c r="D404" s="39">
        <v>3</v>
      </c>
      <c r="E404" s="1"/>
      <c r="F404" s="39">
        <f t="shared" si="14"/>
        <v>0</v>
      </c>
      <c r="G404" s="497"/>
      <c r="H404" s="497"/>
      <c r="J404" s="42"/>
    </row>
    <row r="405" spans="1:10" s="360" customFormat="1" x14ac:dyDescent="0.25">
      <c r="A405" s="19" t="s">
        <v>37</v>
      </c>
      <c r="B405" s="2">
        <v>43909</v>
      </c>
      <c r="C405" s="1">
        <v>0</v>
      </c>
      <c r="D405" s="39">
        <v>1</v>
      </c>
      <c r="E405" s="1"/>
      <c r="F405" s="39">
        <f t="shared" si="14"/>
        <v>0</v>
      </c>
      <c r="G405" s="497"/>
      <c r="H405" s="497"/>
      <c r="J405" s="42"/>
    </row>
    <row r="406" spans="1:10" s="360" customFormat="1" x14ac:dyDescent="0.25">
      <c r="A406" s="19" t="s">
        <v>22</v>
      </c>
      <c r="B406" s="2">
        <v>43909</v>
      </c>
      <c r="C406" s="1">
        <v>1</v>
      </c>
      <c r="D406" s="39">
        <v>2</v>
      </c>
      <c r="E406" s="1"/>
      <c r="F406" s="39">
        <f t="shared" si="14"/>
        <v>0</v>
      </c>
      <c r="G406" s="497"/>
      <c r="H406" s="497"/>
      <c r="J406" s="42"/>
    </row>
    <row r="407" spans="1:10" s="360" customFormat="1" x14ac:dyDescent="0.25">
      <c r="A407" s="19" t="s">
        <v>38</v>
      </c>
      <c r="B407" s="2">
        <v>43909</v>
      </c>
      <c r="C407" s="1">
        <v>0</v>
      </c>
      <c r="D407" s="39">
        <v>0</v>
      </c>
      <c r="E407" s="1"/>
      <c r="F407" s="39">
        <f t="shared" si="14"/>
        <v>0</v>
      </c>
      <c r="G407" s="497"/>
      <c r="H407" s="497"/>
      <c r="J407" s="42"/>
    </row>
    <row r="408" spans="1:10" s="360" customFormat="1" x14ac:dyDescent="0.25">
      <c r="A408" s="19" t="s">
        <v>39</v>
      </c>
      <c r="B408" s="2">
        <v>43909</v>
      </c>
      <c r="C408" s="1">
        <v>0</v>
      </c>
      <c r="D408" s="39">
        <v>2</v>
      </c>
      <c r="E408" s="1"/>
      <c r="F408" s="39">
        <f t="shared" si="14"/>
        <v>0</v>
      </c>
      <c r="G408" s="497"/>
      <c r="H408" s="497"/>
      <c r="J408" s="42"/>
    </row>
    <row r="409" spans="1:10" s="360" customFormat="1" x14ac:dyDescent="0.25">
      <c r="A409" s="19" t="s">
        <v>40</v>
      </c>
      <c r="B409" s="2">
        <v>43909</v>
      </c>
      <c r="C409" s="1">
        <v>1</v>
      </c>
      <c r="D409" s="39">
        <v>1</v>
      </c>
      <c r="E409" s="1"/>
      <c r="F409" s="39">
        <f t="shared" si="14"/>
        <v>0</v>
      </c>
      <c r="G409" s="497"/>
      <c r="H409" s="497"/>
      <c r="J409" s="42"/>
    </row>
    <row r="410" spans="1:10" s="360" customFormat="1" x14ac:dyDescent="0.25">
      <c r="A410" s="361" t="s">
        <v>16</v>
      </c>
      <c r="B410" s="2">
        <v>43910</v>
      </c>
      <c r="C410" s="1">
        <v>9</v>
      </c>
      <c r="D410" s="39">
        <v>42</v>
      </c>
      <c r="E410" s="1"/>
      <c r="F410" s="39">
        <f>E410+F386</f>
        <v>0</v>
      </c>
      <c r="G410" s="497"/>
      <c r="H410" s="497"/>
      <c r="J410" s="42"/>
    </row>
    <row r="411" spans="1:10" s="360" customFormat="1" x14ac:dyDescent="0.25">
      <c r="A411" s="19" t="s">
        <v>28</v>
      </c>
      <c r="B411" s="2">
        <v>43910</v>
      </c>
      <c r="C411" s="1">
        <v>0</v>
      </c>
      <c r="D411" s="39">
        <v>0</v>
      </c>
      <c r="E411" s="1"/>
      <c r="F411" s="39">
        <f t="shared" ref="F411:F433" si="15">E411+F387</f>
        <v>0</v>
      </c>
      <c r="G411" s="497"/>
      <c r="H411" s="497"/>
      <c r="J411" s="42"/>
    </row>
    <row r="412" spans="1:10" s="360" customFormat="1" x14ac:dyDescent="0.25">
      <c r="A412" s="19" t="s">
        <v>15</v>
      </c>
      <c r="B412" s="2">
        <v>43910</v>
      </c>
      <c r="C412" s="1">
        <v>1</v>
      </c>
      <c r="D412" s="39">
        <v>15</v>
      </c>
      <c r="E412" s="1"/>
      <c r="F412" s="39">
        <f t="shared" si="15"/>
        <v>1</v>
      </c>
      <c r="G412" s="497"/>
      <c r="H412" s="497"/>
      <c r="J412" s="42"/>
    </row>
    <row r="413" spans="1:10" s="360" customFormat="1" x14ac:dyDescent="0.25">
      <c r="A413" s="19" t="s">
        <v>29</v>
      </c>
      <c r="B413" s="2">
        <v>43910</v>
      </c>
      <c r="C413" s="1">
        <v>0</v>
      </c>
      <c r="D413" s="39">
        <v>0</v>
      </c>
      <c r="E413" s="1"/>
      <c r="F413" s="39">
        <f t="shared" si="15"/>
        <v>0</v>
      </c>
      <c r="G413" s="497"/>
      <c r="H413" s="497"/>
      <c r="J413" s="42"/>
    </row>
    <row r="414" spans="1:10" s="360" customFormat="1" x14ac:dyDescent="0.25">
      <c r="A414" s="19" t="s">
        <v>43</v>
      </c>
      <c r="B414" s="2">
        <v>43910</v>
      </c>
      <c r="C414" s="1">
        <v>9</v>
      </c>
      <c r="D414" s="39">
        <v>64</v>
      </c>
      <c r="E414" s="1"/>
      <c r="F414" s="39">
        <f t="shared" si="15"/>
        <v>1</v>
      </c>
      <c r="G414" s="497"/>
      <c r="H414" s="497"/>
      <c r="J414" s="42"/>
    </row>
    <row r="415" spans="1:10" s="360" customFormat="1" x14ac:dyDescent="0.25">
      <c r="A415" s="19" t="s">
        <v>20</v>
      </c>
      <c r="B415" s="2">
        <v>43910</v>
      </c>
      <c r="C415" s="1">
        <v>5</v>
      </c>
      <c r="D415" s="39">
        <v>13</v>
      </c>
      <c r="E415" s="1"/>
      <c r="F415" s="39">
        <f t="shared" si="15"/>
        <v>0</v>
      </c>
      <c r="G415" s="497"/>
      <c r="H415" s="497"/>
      <c r="J415" s="42"/>
    </row>
    <row r="416" spans="1:10" s="360" customFormat="1" x14ac:dyDescent="0.25">
      <c r="A416" s="19" t="s">
        <v>30</v>
      </c>
      <c r="B416" s="2">
        <v>43910</v>
      </c>
      <c r="C416" s="1">
        <v>1</v>
      </c>
      <c r="D416" s="39">
        <v>1</v>
      </c>
      <c r="E416" s="1"/>
      <c r="F416" s="39">
        <f t="shared" si="15"/>
        <v>0</v>
      </c>
      <c r="G416" s="497"/>
      <c r="H416" s="497"/>
      <c r="J416" s="42"/>
    </row>
    <row r="417" spans="1:10" x14ac:dyDescent="0.25">
      <c r="A417" s="19" t="s">
        <v>31</v>
      </c>
      <c r="B417" s="2">
        <v>43910</v>
      </c>
      <c r="C417" s="1">
        <v>1</v>
      </c>
      <c r="D417" s="39">
        <v>4</v>
      </c>
      <c r="F417" s="39">
        <f t="shared" si="15"/>
        <v>0</v>
      </c>
    </row>
    <row r="418" spans="1:10" s="360" customFormat="1" x14ac:dyDescent="0.25">
      <c r="A418" s="19" t="s">
        <v>41</v>
      </c>
      <c r="B418" s="2">
        <v>43910</v>
      </c>
      <c r="C418" s="1">
        <v>0</v>
      </c>
      <c r="D418" s="39">
        <v>0</v>
      </c>
      <c r="E418" s="1"/>
      <c r="F418" s="39">
        <f t="shared" si="15"/>
        <v>0</v>
      </c>
      <c r="G418" s="497"/>
      <c r="H418" s="497"/>
      <c r="J418" s="42"/>
    </row>
    <row r="419" spans="1:10" s="360" customFormat="1" x14ac:dyDescent="0.25">
      <c r="A419" s="19" t="s">
        <v>32</v>
      </c>
      <c r="B419" s="2">
        <v>43910</v>
      </c>
      <c r="C419" s="1">
        <v>0</v>
      </c>
      <c r="D419" s="39">
        <v>1</v>
      </c>
      <c r="E419" s="1"/>
      <c r="F419" s="39">
        <f t="shared" si="15"/>
        <v>0</v>
      </c>
      <c r="G419" s="497"/>
      <c r="H419" s="497"/>
      <c r="J419" s="42"/>
    </row>
    <row r="420" spans="1:10" s="360" customFormat="1" x14ac:dyDescent="0.25">
      <c r="A420" s="19" t="s">
        <v>33</v>
      </c>
      <c r="B420" s="2">
        <v>43910</v>
      </c>
      <c r="C420" s="1">
        <v>0</v>
      </c>
      <c r="D420" s="39">
        <v>0</v>
      </c>
      <c r="E420" s="1"/>
      <c r="F420" s="39">
        <f t="shared" si="15"/>
        <v>0</v>
      </c>
      <c r="G420" s="497"/>
      <c r="H420" s="497"/>
      <c r="J420" s="42"/>
    </row>
    <row r="421" spans="1:10" s="360" customFormat="1" x14ac:dyDescent="0.25">
      <c r="A421" s="19" t="s">
        <v>21</v>
      </c>
      <c r="B421" s="2">
        <v>43910</v>
      </c>
      <c r="C421" s="1">
        <v>0</v>
      </c>
      <c r="D421" s="39">
        <v>0</v>
      </c>
      <c r="E421" s="1"/>
      <c r="F421" s="39">
        <f t="shared" si="15"/>
        <v>0</v>
      </c>
      <c r="G421" s="497"/>
      <c r="H421" s="497"/>
      <c r="J421" s="42"/>
    </row>
    <row r="422" spans="1:10" s="360" customFormat="1" x14ac:dyDescent="0.25">
      <c r="A422" s="19" t="s">
        <v>17</v>
      </c>
      <c r="B422" s="2">
        <v>43910</v>
      </c>
      <c r="C422" s="1">
        <v>0</v>
      </c>
      <c r="D422" s="39">
        <v>0</v>
      </c>
      <c r="E422" s="1"/>
      <c r="F422" s="39">
        <f t="shared" si="15"/>
        <v>0</v>
      </c>
      <c r="G422" s="497"/>
      <c r="H422" s="497"/>
      <c r="J422" s="42"/>
    </row>
    <row r="423" spans="1:10" s="360" customFormat="1" x14ac:dyDescent="0.25">
      <c r="A423" s="19" t="s">
        <v>23</v>
      </c>
      <c r="B423" s="2">
        <v>43910</v>
      </c>
      <c r="C423" s="1">
        <v>0</v>
      </c>
      <c r="D423" s="39">
        <v>0</v>
      </c>
      <c r="E423" s="1"/>
      <c r="F423" s="39">
        <f t="shared" si="15"/>
        <v>0</v>
      </c>
      <c r="G423" s="497"/>
      <c r="H423" s="497"/>
      <c r="J423" s="42"/>
    </row>
    <row r="424" spans="1:10" s="360" customFormat="1" x14ac:dyDescent="0.25">
      <c r="A424" s="19" t="s">
        <v>19</v>
      </c>
      <c r="B424" s="2">
        <v>43910</v>
      </c>
      <c r="C424" s="1">
        <v>2</v>
      </c>
      <c r="D424" s="39">
        <v>2</v>
      </c>
      <c r="E424" s="1"/>
      <c r="F424" s="39">
        <f t="shared" si="15"/>
        <v>0</v>
      </c>
      <c r="G424" s="497"/>
      <c r="H424" s="497"/>
      <c r="J424" s="42"/>
    </row>
    <row r="425" spans="1:10" s="360" customFormat="1" x14ac:dyDescent="0.25">
      <c r="A425" s="19" t="s">
        <v>18</v>
      </c>
      <c r="B425" s="2">
        <v>43910</v>
      </c>
      <c r="C425" s="1">
        <v>0</v>
      </c>
      <c r="D425" s="39">
        <v>3</v>
      </c>
      <c r="E425" s="1"/>
      <c r="F425" s="39">
        <f t="shared" si="15"/>
        <v>0</v>
      </c>
      <c r="G425" s="497"/>
      <c r="H425" s="497"/>
      <c r="J425" s="42"/>
    </row>
    <row r="426" spans="1:10" s="360" customFormat="1" x14ac:dyDescent="0.25">
      <c r="A426" s="19" t="s">
        <v>34</v>
      </c>
      <c r="B426" s="2">
        <v>43910</v>
      </c>
      <c r="C426" s="1">
        <v>0</v>
      </c>
      <c r="D426" s="39">
        <v>1</v>
      </c>
      <c r="E426" s="1"/>
      <c r="F426" s="39">
        <f t="shared" si="15"/>
        <v>0</v>
      </c>
      <c r="G426" s="497"/>
      <c r="H426" s="497"/>
      <c r="J426" s="42"/>
    </row>
    <row r="427" spans="1:10" s="360" customFormat="1" x14ac:dyDescent="0.25">
      <c r="A427" s="19" t="s">
        <v>35</v>
      </c>
      <c r="B427" s="2">
        <v>43910</v>
      </c>
      <c r="C427" s="1">
        <v>0</v>
      </c>
      <c r="D427" s="39">
        <v>0</v>
      </c>
      <c r="E427" s="1"/>
      <c r="F427" s="39">
        <f t="shared" si="15"/>
        <v>0</v>
      </c>
      <c r="G427" s="497"/>
      <c r="H427" s="497"/>
      <c r="J427" s="42"/>
    </row>
    <row r="428" spans="1:10" s="360" customFormat="1" x14ac:dyDescent="0.25">
      <c r="A428" s="19" t="s">
        <v>36</v>
      </c>
      <c r="B428" s="2">
        <v>43910</v>
      </c>
      <c r="C428" s="1">
        <v>0</v>
      </c>
      <c r="D428" s="39">
        <v>3</v>
      </c>
      <c r="E428" s="1"/>
      <c r="F428" s="39">
        <f t="shared" si="15"/>
        <v>0</v>
      </c>
      <c r="G428" s="497"/>
      <c r="H428" s="497"/>
      <c r="J428" s="42"/>
    </row>
    <row r="429" spans="1:10" s="360" customFormat="1" x14ac:dyDescent="0.25">
      <c r="A429" s="19" t="s">
        <v>37</v>
      </c>
      <c r="B429" s="2">
        <v>43910</v>
      </c>
      <c r="C429" s="1">
        <v>0</v>
      </c>
      <c r="D429" s="39">
        <v>1</v>
      </c>
      <c r="E429" s="1"/>
      <c r="F429" s="39">
        <f t="shared" si="15"/>
        <v>0</v>
      </c>
      <c r="G429" s="497"/>
      <c r="H429" s="497"/>
      <c r="J429" s="42"/>
    </row>
    <row r="430" spans="1:10" s="360" customFormat="1" x14ac:dyDescent="0.25">
      <c r="A430" s="19" t="s">
        <v>22</v>
      </c>
      <c r="B430" s="2">
        <v>43910</v>
      </c>
      <c r="C430" s="1">
        <v>0</v>
      </c>
      <c r="D430" s="39">
        <v>2</v>
      </c>
      <c r="E430" s="1"/>
      <c r="F430" s="39">
        <f t="shared" si="15"/>
        <v>0</v>
      </c>
      <c r="G430" s="497"/>
      <c r="H430" s="497"/>
      <c r="J430" s="42"/>
    </row>
    <row r="431" spans="1:10" s="360" customFormat="1" x14ac:dyDescent="0.25">
      <c r="A431" s="19" t="s">
        <v>38</v>
      </c>
      <c r="B431" s="2">
        <v>43910</v>
      </c>
      <c r="C431" s="1">
        <v>1</v>
      </c>
      <c r="D431" s="39">
        <v>1</v>
      </c>
      <c r="E431" s="1"/>
      <c r="F431" s="39">
        <f t="shared" si="15"/>
        <v>0</v>
      </c>
      <c r="G431" s="497"/>
      <c r="H431" s="497"/>
      <c r="J431" s="42"/>
    </row>
    <row r="432" spans="1:10" s="360" customFormat="1" x14ac:dyDescent="0.25">
      <c r="A432" s="19" t="s">
        <v>39</v>
      </c>
      <c r="B432" s="2">
        <v>43910</v>
      </c>
      <c r="C432" s="1">
        <v>1</v>
      </c>
      <c r="D432" s="39">
        <v>3</v>
      </c>
      <c r="E432" s="1"/>
      <c r="F432" s="39">
        <f t="shared" si="15"/>
        <v>0</v>
      </c>
      <c r="G432" s="497"/>
      <c r="H432" s="497"/>
      <c r="J432" s="42"/>
    </row>
    <row r="433" spans="1:10" s="360" customFormat="1" x14ac:dyDescent="0.25">
      <c r="A433" s="19" t="s">
        <v>40</v>
      </c>
      <c r="B433" s="2">
        <v>43910</v>
      </c>
      <c r="C433" s="1">
        <v>0</v>
      </c>
      <c r="D433" s="39">
        <v>1</v>
      </c>
      <c r="E433" s="1"/>
      <c r="F433" s="39">
        <f t="shared" si="15"/>
        <v>0</v>
      </c>
      <c r="G433" s="497"/>
      <c r="H433" s="497"/>
      <c r="J433" s="42"/>
    </row>
    <row r="434" spans="1:10" s="360" customFormat="1" x14ac:dyDescent="0.25">
      <c r="A434" s="361" t="s">
        <v>16</v>
      </c>
      <c r="B434" s="2">
        <v>43911</v>
      </c>
      <c r="C434" s="1">
        <v>15</v>
      </c>
      <c r="D434" s="39">
        <v>57</v>
      </c>
      <c r="E434" s="1">
        <v>1</v>
      </c>
      <c r="F434" s="39">
        <f>E434+F410</f>
        <v>1</v>
      </c>
      <c r="G434" s="497"/>
      <c r="H434" s="497"/>
      <c r="J434" s="42"/>
    </row>
    <row r="435" spans="1:10" s="360" customFormat="1" x14ac:dyDescent="0.25">
      <c r="A435" s="19" t="s">
        <v>28</v>
      </c>
      <c r="B435" s="2">
        <v>43911</v>
      </c>
      <c r="C435" s="1">
        <v>0</v>
      </c>
      <c r="D435" s="39">
        <v>0</v>
      </c>
      <c r="E435" s="1"/>
      <c r="F435" s="39">
        <f t="shared" ref="F435:F457" si="16">E435+F411</f>
        <v>0</v>
      </c>
      <c r="G435" s="497"/>
      <c r="H435" s="497"/>
      <c r="J435" s="42"/>
    </row>
    <row r="436" spans="1:10" s="360" customFormat="1" x14ac:dyDescent="0.25">
      <c r="A436" s="19" t="s">
        <v>15</v>
      </c>
      <c r="B436" s="2">
        <v>43911</v>
      </c>
      <c r="C436" s="1">
        <v>5</v>
      </c>
      <c r="D436" s="39">
        <v>20</v>
      </c>
      <c r="E436" s="1"/>
      <c r="F436" s="39">
        <f t="shared" si="16"/>
        <v>1</v>
      </c>
      <c r="G436" s="497"/>
      <c r="H436" s="497"/>
      <c r="J436" s="42"/>
    </row>
    <row r="437" spans="1:10" s="360" customFormat="1" x14ac:dyDescent="0.25">
      <c r="A437" s="19" t="s">
        <v>29</v>
      </c>
      <c r="B437" s="2">
        <v>43911</v>
      </c>
      <c r="C437" s="1">
        <v>0</v>
      </c>
      <c r="D437" s="39">
        <v>0</v>
      </c>
      <c r="E437" s="1"/>
      <c r="F437" s="39">
        <f t="shared" si="16"/>
        <v>0</v>
      </c>
      <c r="G437" s="497"/>
      <c r="H437" s="497"/>
      <c r="J437" s="42"/>
    </row>
    <row r="438" spans="1:10" s="360" customFormat="1" x14ac:dyDescent="0.25">
      <c r="A438" s="19" t="s">
        <v>43</v>
      </c>
      <c r="B438" s="2">
        <v>43911</v>
      </c>
      <c r="C438" s="1">
        <v>29</v>
      </c>
      <c r="D438" s="39">
        <v>93</v>
      </c>
      <c r="E438" s="1"/>
      <c r="F438" s="39">
        <f t="shared" si="16"/>
        <v>1</v>
      </c>
      <c r="G438" s="497"/>
      <c r="H438" s="497"/>
      <c r="J438" s="42"/>
    </row>
    <row r="439" spans="1:10" s="360" customFormat="1" x14ac:dyDescent="0.25">
      <c r="A439" s="19" t="s">
        <v>20</v>
      </c>
      <c r="B439" s="2">
        <v>43911</v>
      </c>
      <c r="C439" s="1">
        <v>4</v>
      </c>
      <c r="D439" s="39">
        <v>17</v>
      </c>
      <c r="E439" s="1"/>
      <c r="F439" s="39">
        <f t="shared" si="16"/>
        <v>0</v>
      </c>
      <c r="G439" s="497"/>
      <c r="H439" s="497"/>
      <c r="J439" s="42"/>
    </row>
    <row r="440" spans="1:10" s="360" customFormat="1" x14ac:dyDescent="0.25">
      <c r="A440" s="19" t="s">
        <v>30</v>
      </c>
      <c r="B440" s="2">
        <v>43911</v>
      </c>
      <c r="C440" s="1">
        <v>2</v>
      </c>
      <c r="D440" s="39">
        <v>3</v>
      </c>
      <c r="E440" s="1"/>
      <c r="F440" s="39">
        <f t="shared" si="16"/>
        <v>0</v>
      </c>
      <c r="G440" s="497"/>
      <c r="H440" s="497"/>
      <c r="J440" s="42"/>
    </row>
    <row r="441" spans="1:10" x14ac:dyDescent="0.25">
      <c r="A441" s="19" t="s">
        <v>31</v>
      </c>
      <c r="B441" s="2">
        <v>43911</v>
      </c>
      <c r="C441" s="1">
        <v>0</v>
      </c>
      <c r="D441" s="39">
        <v>4</v>
      </c>
      <c r="F441" s="39">
        <f t="shared" si="16"/>
        <v>0</v>
      </c>
    </row>
    <row r="442" spans="1:10" s="360" customFormat="1" x14ac:dyDescent="0.25">
      <c r="A442" s="19" t="s">
        <v>41</v>
      </c>
      <c r="B442" s="2">
        <v>43911</v>
      </c>
      <c r="C442" s="1">
        <v>0</v>
      </c>
      <c r="D442" s="39">
        <v>0</v>
      </c>
      <c r="E442" s="1"/>
      <c r="F442" s="39">
        <f t="shared" si="16"/>
        <v>0</v>
      </c>
      <c r="G442" s="497"/>
      <c r="H442" s="497"/>
      <c r="J442" s="42"/>
    </row>
    <row r="443" spans="1:10" s="360" customFormat="1" x14ac:dyDescent="0.25">
      <c r="A443" s="19" t="s">
        <v>32</v>
      </c>
      <c r="B443" s="2">
        <v>43911</v>
      </c>
      <c r="C443" s="1">
        <v>0</v>
      </c>
      <c r="D443" s="39">
        <v>1</v>
      </c>
      <c r="E443" s="1"/>
      <c r="F443" s="39">
        <f t="shared" si="16"/>
        <v>0</v>
      </c>
      <c r="G443" s="497"/>
      <c r="H443" s="497"/>
      <c r="J443" s="42"/>
    </row>
    <row r="444" spans="1:10" s="360" customFormat="1" x14ac:dyDescent="0.25">
      <c r="A444" s="19" t="s">
        <v>33</v>
      </c>
      <c r="B444" s="2">
        <v>43911</v>
      </c>
      <c r="C444" s="1">
        <v>0</v>
      </c>
      <c r="D444" s="39">
        <v>0</v>
      </c>
      <c r="E444" s="1"/>
      <c r="F444" s="39">
        <f t="shared" si="16"/>
        <v>0</v>
      </c>
      <c r="G444" s="497"/>
      <c r="H444" s="497"/>
      <c r="J444" s="42"/>
    </row>
    <row r="445" spans="1:10" s="360" customFormat="1" x14ac:dyDescent="0.25">
      <c r="A445" s="19" t="s">
        <v>21</v>
      </c>
      <c r="B445" s="2">
        <v>43911</v>
      </c>
      <c r="C445" s="1">
        <v>0</v>
      </c>
      <c r="D445" s="39">
        <v>0</v>
      </c>
      <c r="E445" s="1"/>
      <c r="F445" s="39">
        <f t="shared" si="16"/>
        <v>0</v>
      </c>
      <c r="G445" s="497"/>
      <c r="H445" s="497"/>
      <c r="J445" s="42"/>
    </row>
    <row r="446" spans="1:10" s="360" customFormat="1" x14ac:dyDescent="0.25">
      <c r="A446" s="19" t="s">
        <v>17</v>
      </c>
      <c r="B446" s="2">
        <v>43911</v>
      </c>
      <c r="C446" s="1">
        <v>5</v>
      </c>
      <c r="D446" s="39">
        <v>5</v>
      </c>
      <c r="E446" s="1"/>
      <c r="F446" s="39">
        <f t="shared" si="16"/>
        <v>0</v>
      </c>
      <c r="G446" s="497"/>
      <c r="H446" s="497"/>
      <c r="J446" s="42"/>
    </row>
    <row r="447" spans="1:10" s="360" customFormat="1" x14ac:dyDescent="0.25">
      <c r="A447" s="19" t="s">
        <v>23</v>
      </c>
      <c r="B447" s="2">
        <v>43911</v>
      </c>
      <c r="C447" s="1">
        <v>0</v>
      </c>
      <c r="D447" s="39">
        <v>0</v>
      </c>
      <c r="E447" s="1"/>
      <c r="F447" s="39">
        <f t="shared" si="16"/>
        <v>0</v>
      </c>
      <c r="G447" s="497"/>
      <c r="H447" s="497"/>
      <c r="J447" s="42"/>
    </row>
    <row r="448" spans="1:10" s="360" customFormat="1" x14ac:dyDescent="0.25">
      <c r="A448" s="19" t="s">
        <v>19</v>
      </c>
      <c r="B448" s="2">
        <v>43911</v>
      </c>
      <c r="C448" s="1">
        <v>0</v>
      </c>
      <c r="D448" s="39">
        <v>2</v>
      </c>
      <c r="E448" s="1"/>
      <c r="F448" s="39">
        <f t="shared" si="16"/>
        <v>0</v>
      </c>
      <c r="G448" s="497"/>
      <c r="H448" s="497"/>
      <c r="J448" s="42"/>
    </row>
    <row r="449" spans="1:10" s="360" customFormat="1" x14ac:dyDescent="0.25">
      <c r="A449" s="19" t="s">
        <v>18</v>
      </c>
      <c r="B449" s="2">
        <v>43911</v>
      </c>
      <c r="C449" s="1">
        <v>1</v>
      </c>
      <c r="D449" s="39">
        <v>4</v>
      </c>
      <c r="E449" s="1"/>
      <c r="F449" s="39">
        <f t="shared" si="16"/>
        <v>0</v>
      </c>
      <c r="G449" s="497"/>
      <c r="H449" s="497"/>
      <c r="J449" s="42"/>
    </row>
    <row r="450" spans="1:10" s="360" customFormat="1" x14ac:dyDescent="0.25">
      <c r="A450" s="19" t="s">
        <v>34</v>
      </c>
      <c r="B450" s="2">
        <v>43911</v>
      </c>
      <c r="C450" s="1">
        <v>0</v>
      </c>
      <c r="D450" s="39">
        <v>1</v>
      </c>
      <c r="E450" s="1"/>
      <c r="F450" s="39">
        <f t="shared" si="16"/>
        <v>0</v>
      </c>
      <c r="G450" s="497"/>
      <c r="H450" s="497"/>
      <c r="J450" s="42"/>
    </row>
    <row r="451" spans="1:10" s="360" customFormat="1" x14ac:dyDescent="0.25">
      <c r="A451" s="19" t="s">
        <v>35</v>
      </c>
      <c r="B451" s="2">
        <v>43911</v>
      </c>
      <c r="C451" s="1">
        <v>0</v>
      </c>
      <c r="D451" s="39">
        <v>0</v>
      </c>
      <c r="E451" s="1"/>
      <c r="F451" s="39">
        <f t="shared" si="16"/>
        <v>0</v>
      </c>
      <c r="G451" s="497"/>
      <c r="H451" s="497"/>
      <c r="J451" s="42"/>
    </row>
    <row r="452" spans="1:10" s="360" customFormat="1" x14ac:dyDescent="0.25">
      <c r="A452" s="19" t="s">
        <v>36</v>
      </c>
      <c r="B452" s="2">
        <v>43911</v>
      </c>
      <c r="C452" s="1">
        <v>0</v>
      </c>
      <c r="D452" s="39">
        <v>3</v>
      </c>
      <c r="E452" s="1"/>
      <c r="F452" s="39">
        <f t="shared" si="16"/>
        <v>0</v>
      </c>
      <c r="G452" s="497"/>
      <c r="H452" s="497"/>
      <c r="J452" s="42"/>
    </row>
    <row r="453" spans="1:10" s="360" customFormat="1" x14ac:dyDescent="0.25">
      <c r="A453" s="19" t="s">
        <v>37</v>
      </c>
      <c r="B453" s="2">
        <v>43911</v>
      </c>
      <c r="C453" s="1">
        <v>0</v>
      </c>
      <c r="D453" s="39">
        <v>1</v>
      </c>
      <c r="E453" s="1"/>
      <c r="F453" s="39">
        <f t="shared" si="16"/>
        <v>0</v>
      </c>
      <c r="G453" s="497"/>
      <c r="H453" s="497"/>
      <c r="J453" s="42"/>
    </row>
    <row r="454" spans="1:10" s="360" customFormat="1" x14ac:dyDescent="0.25">
      <c r="A454" s="19" t="s">
        <v>22</v>
      </c>
      <c r="B454" s="2">
        <v>43911</v>
      </c>
      <c r="C454" s="1">
        <v>2</v>
      </c>
      <c r="D454" s="39">
        <v>4</v>
      </c>
      <c r="E454" s="1"/>
      <c r="F454" s="39">
        <f t="shared" si="16"/>
        <v>0</v>
      </c>
      <c r="G454" s="497"/>
      <c r="H454" s="497"/>
      <c r="J454" s="42"/>
    </row>
    <row r="455" spans="1:10" s="360" customFormat="1" x14ac:dyDescent="0.25">
      <c r="A455" s="19" t="s">
        <v>38</v>
      </c>
      <c r="B455" s="2">
        <v>43911</v>
      </c>
      <c r="C455" s="1">
        <v>0</v>
      </c>
      <c r="D455" s="39">
        <v>1</v>
      </c>
      <c r="E455" s="1"/>
      <c r="F455" s="39">
        <f t="shared" si="16"/>
        <v>0</v>
      </c>
      <c r="G455" s="497"/>
      <c r="H455" s="497"/>
      <c r="J455" s="42"/>
    </row>
    <row r="456" spans="1:10" s="360" customFormat="1" x14ac:dyDescent="0.25">
      <c r="A456" s="19" t="s">
        <v>39</v>
      </c>
      <c r="B456" s="2">
        <v>43911</v>
      </c>
      <c r="C456" s="1">
        <v>3</v>
      </c>
      <c r="D456" s="39">
        <v>6</v>
      </c>
      <c r="E456" s="1"/>
      <c r="F456" s="39">
        <f t="shared" si="16"/>
        <v>0</v>
      </c>
      <c r="G456" s="497"/>
      <c r="H456" s="497"/>
      <c r="J456" s="42"/>
    </row>
    <row r="457" spans="1:10" s="360" customFormat="1" x14ac:dyDescent="0.25">
      <c r="A457" s="19" t="s">
        <v>40</v>
      </c>
      <c r="B457" s="2">
        <v>43911</v>
      </c>
      <c r="C457" s="1">
        <v>1</v>
      </c>
      <c r="D457" s="39">
        <v>2</v>
      </c>
      <c r="E457" s="1"/>
      <c r="F457" s="39">
        <f t="shared" si="16"/>
        <v>0</v>
      </c>
      <c r="G457" s="497"/>
      <c r="H457" s="497"/>
      <c r="J457" s="42"/>
    </row>
    <row r="458" spans="1:10" s="360" customFormat="1" x14ac:dyDescent="0.25">
      <c r="A458" s="361" t="s">
        <v>16</v>
      </c>
      <c r="B458" s="2">
        <v>43912</v>
      </c>
      <c r="C458" s="1">
        <v>8</v>
      </c>
      <c r="D458" s="39">
        <v>65</v>
      </c>
      <c r="E458" s="1"/>
      <c r="F458" s="39">
        <f>E458+F434</f>
        <v>1</v>
      </c>
      <c r="G458" s="497"/>
      <c r="H458" s="497"/>
      <c r="J458" s="42"/>
    </row>
    <row r="459" spans="1:10" s="360" customFormat="1" x14ac:dyDescent="0.25">
      <c r="A459" s="19" t="s">
        <v>28</v>
      </c>
      <c r="B459" s="2">
        <v>43912</v>
      </c>
      <c r="C459" s="1">
        <v>0</v>
      </c>
      <c r="D459" s="39">
        <v>0</v>
      </c>
      <c r="E459" s="1"/>
      <c r="F459" s="39">
        <f t="shared" ref="F459:F481" si="17">E459+F435</f>
        <v>0</v>
      </c>
      <c r="G459" s="497"/>
      <c r="H459" s="497"/>
      <c r="J459" s="42"/>
    </row>
    <row r="460" spans="1:10" s="360" customFormat="1" x14ac:dyDescent="0.25">
      <c r="A460" s="19" t="s">
        <v>15</v>
      </c>
      <c r="B460" s="2">
        <v>43912</v>
      </c>
      <c r="C460" s="1">
        <v>7</v>
      </c>
      <c r="D460" s="39">
        <v>27</v>
      </c>
      <c r="E460" s="1"/>
      <c r="F460" s="39">
        <f t="shared" si="17"/>
        <v>1</v>
      </c>
      <c r="G460" s="497"/>
      <c r="H460" s="497"/>
      <c r="J460" s="42"/>
    </row>
    <row r="461" spans="1:10" s="360" customFormat="1" x14ac:dyDescent="0.25">
      <c r="A461" s="19" t="s">
        <v>29</v>
      </c>
      <c r="B461" s="2">
        <v>43912</v>
      </c>
      <c r="C461" s="1">
        <v>0</v>
      </c>
      <c r="D461" s="39">
        <v>0</v>
      </c>
      <c r="E461" s="1"/>
      <c r="F461" s="39">
        <f t="shared" si="17"/>
        <v>0</v>
      </c>
      <c r="G461" s="497"/>
      <c r="H461" s="497"/>
      <c r="J461" s="42"/>
    </row>
    <row r="462" spans="1:10" s="360" customFormat="1" x14ac:dyDescent="0.25">
      <c r="A462" s="19" t="s">
        <v>43</v>
      </c>
      <c r="B462" s="2">
        <v>43912</v>
      </c>
      <c r="C462" s="1">
        <v>11</v>
      </c>
      <c r="D462" s="39">
        <v>104</v>
      </c>
      <c r="E462" s="1"/>
      <c r="F462" s="39">
        <f t="shared" si="17"/>
        <v>1</v>
      </c>
      <c r="G462" s="497"/>
      <c r="H462" s="497"/>
      <c r="J462" s="42"/>
    </row>
    <row r="463" spans="1:10" s="360" customFormat="1" x14ac:dyDescent="0.25">
      <c r="A463" s="19" t="s">
        <v>20</v>
      </c>
      <c r="B463" s="2">
        <v>43912</v>
      </c>
      <c r="C463" s="1">
        <v>8</v>
      </c>
      <c r="D463" s="39">
        <v>25</v>
      </c>
      <c r="E463" s="1"/>
      <c r="F463" s="39">
        <f t="shared" si="17"/>
        <v>0</v>
      </c>
      <c r="G463" s="497"/>
      <c r="H463" s="497"/>
      <c r="J463" s="42"/>
    </row>
    <row r="464" spans="1:10" s="360" customFormat="1" x14ac:dyDescent="0.25">
      <c r="A464" s="19" t="s">
        <v>30</v>
      </c>
      <c r="B464" s="2">
        <v>43912</v>
      </c>
      <c r="C464" s="1">
        <v>0</v>
      </c>
      <c r="D464" s="39">
        <v>3</v>
      </c>
      <c r="E464" s="1"/>
      <c r="F464" s="39">
        <f t="shared" si="17"/>
        <v>0</v>
      </c>
      <c r="G464" s="497"/>
      <c r="H464" s="497"/>
      <c r="J464" s="42"/>
    </row>
    <row r="465" spans="1:10" x14ac:dyDescent="0.25">
      <c r="A465" s="19" t="s">
        <v>31</v>
      </c>
      <c r="B465" s="2">
        <v>43912</v>
      </c>
      <c r="C465" s="1">
        <v>0</v>
      </c>
      <c r="D465" s="39">
        <v>4</v>
      </c>
      <c r="F465" s="39">
        <f t="shared" si="17"/>
        <v>0</v>
      </c>
    </row>
    <row r="466" spans="1:10" s="360" customFormat="1" x14ac:dyDescent="0.25">
      <c r="A466" s="19" t="s">
        <v>41</v>
      </c>
      <c r="B466" s="2">
        <v>43912</v>
      </c>
      <c r="C466" s="1">
        <v>0</v>
      </c>
      <c r="D466" s="39">
        <v>0</v>
      </c>
      <c r="E466" s="1"/>
      <c r="F466" s="39">
        <f t="shared" si="17"/>
        <v>0</v>
      </c>
      <c r="G466" s="497"/>
      <c r="H466" s="497"/>
      <c r="J466" s="42"/>
    </row>
    <row r="467" spans="1:10" s="360" customFormat="1" x14ac:dyDescent="0.25">
      <c r="A467" s="19" t="s">
        <v>32</v>
      </c>
      <c r="B467" s="2">
        <v>43912</v>
      </c>
      <c r="C467" s="1">
        <v>0</v>
      </c>
      <c r="D467" s="39">
        <v>1</v>
      </c>
      <c r="E467" s="1"/>
      <c r="F467" s="39">
        <f t="shared" si="17"/>
        <v>0</v>
      </c>
      <c r="G467" s="497"/>
      <c r="H467" s="497"/>
      <c r="J467" s="42"/>
    </row>
    <row r="468" spans="1:10" s="360" customFormat="1" x14ac:dyDescent="0.25">
      <c r="A468" s="19" t="s">
        <v>33</v>
      </c>
      <c r="B468" s="2">
        <v>43912</v>
      </c>
      <c r="C468" s="1">
        <v>0</v>
      </c>
      <c r="D468" s="39">
        <v>0</v>
      </c>
      <c r="E468" s="1"/>
      <c r="F468" s="39">
        <f t="shared" si="17"/>
        <v>0</v>
      </c>
      <c r="G468" s="497"/>
      <c r="H468" s="497"/>
      <c r="J468" s="42"/>
    </row>
    <row r="469" spans="1:10" s="360" customFormat="1" x14ac:dyDescent="0.25">
      <c r="A469" s="19" t="s">
        <v>21</v>
      </c>
      <c r="B469" s="2">
        <v>43912</v>
      </c>
      <c r="C469" s="1">
        <v>0</v>
      </c>
      <c r="D469" s="39">
        <v>0</v>
      </c>
      <c r="E469" s="1"/>
      <c r="F469" s="39">
        <f t="shared" si="17"/>
        <v>0</v>
      </c>
      <c r="G469" s="497"/>
      <c r="H469" s="497"/>
      <c r="J469" s="42"/>
    </row>
    <row r="470" spans="1:10" s="360" customFormat="1" x14ac:dyDescent="0.25">
      <c r="A470" s="19" t="s">
        <v>17</v>
      </c>
      <c r="B470" s="2">
        <v>43912</v>
      </c>
      <c r="C470" s="1">
        <v>0</v>
      </c>
      <c r="D470" s="39">
        <v>5</v>
      </c>
      <c r="E470" s="1"/>
      <c r="F470" s="39">
        <f t="shared" si="17"/>
        <v>0</v>
      </c>
      <c r="G470" s="497"/>
      <c r="H470" s="497"/>
      <c r="J470" s="42"/>
    </row>
    <row r="471" spans="1:10" s="360" customFormat="1" x14ac:dyDescent="0.25">
      <c r="A471" s="19" t="s">
        <v>23</v>
      </c>
      <c r="B471" s="2">
        <v>43912</v>
      </c>
      <c r="C471" s="1">
        <v>1</v>
      </c>
      <c r="D471" s="39">
        <v>1</v>
      </c>
      <c r="E471" s="1"/>
      <c r="F471" s="39">
        <f t="shared" si="17"/>
        <v>0</v>
      </c>
      <c r="G471" s="497"/>
      <c r="H471" s="497"/>
      <c r="J471" s="42"/>
    </row>
    <row r="472" spans="1:10" s="360" customFormat="1" x14ac:dyDescent="0.25">
      <c r="A472" s="19" t="s">
        <v>19</v>
      </c>
      <c r="B472" s="2">
        <v>43912</v>
      </c>
      <c r="C472" s="1">
        <v>0</v>
      </c>
      <c r="D472" s="39">
        <v>2</v>
      </c>
      <c r="E472" s="1"/>
      <c r="F472" s="39">
        <f t="shared" si="17"/>
        <v>0</v>
      </c>
      <c r="G472" s="497"/>
      <c r="H472" s="497"/>
      <c r="J472" s="42"/>
    </row>
    <row r="473" spans="1:10" s="360" customFormat="1" x14ac:dyDescent="0.25">
      <c r="A473" s="19" t="s">
        <v>18</v>
      </c>
      <c r="B473" s="2">
        <v>43912</v>
      </c>
      <c r="C473" s="1">
        <v>0</v>
      </c>
      <c r="D473" s="39">
        <v>4</v>
      </c>
      <c r="E473" s="1"/>
      <c r="F473" s="39">
        <f t="shared" si="17"/>
        <v>0</v>
      </c>
      <c r="G473" s="497"/>
      <c r="H473" s="497"/>
      <c r="J473" s="42"/>
    </row>
    <row r="474" spans="1:10" s="360" customFormat="1" x14ac:dyDescent="0.25">
      <c r="A474" s="19" t="s">
        <v>34</v>
      </c>
      <c r="B474" s="2">
        <v>43912</v>
      </c>
      <c r="C474" s="1">
        <v>0</v>
      </c>
      <c r="D474" s="39">
        <v>1</v>
      </c>
      <c r="E474" s="1"/>
      <c r="F474" s="39">
        <f t="shared" si="17"/>
        <v>0</v>
      </c>
      <c r="G474" s="497"/>
      <c r="H474" s="497"/>
      <c r="J474" s="42"/>
    </row>
    <row r="475" spans="1:10" s="360" customFormat="1" x14ac:dyDescent="0.25">
      <c r="A475" s="19" t="s">
        <v>35</v>
      </c>
      <c r="B475" s="2">
        <v>43912</v>
      </c>
      <c r="C475" s="1">
        <v>0</v>
      </c>
      <c r="D475" s="39">
        <v>0</v>
      </c>
      <c r="E475" s="1"/>
      <c r="F475" s="39">
        <f t="shared" si="17"/>
        <v>0</v>
      </c>
      <c r="G475" s="497"/>
      <c r="H475" s="497"/>
      <c r="J475" s="42"/>
    </row>
    <row r="476" spans="1:10" s="360" customFormat="1" x14ac:dyDescent="0.25">
      <c r="A476" s="19" t="s">
        <v>36</v>
      </c>
      <c r="B476" s="2">
        <v>43912</v>
      </c>
      <c r="C476" s="1">
        <v>0</v>
      </c>
      <c r="D476" s="39">
        <v>3</v>
      </c>
      <c r="E476" s="1"/>
      <c r="F476" s="39">
        <f t="shared" si="17"/>
        <v>0</v>
      </c>
      <c r="G476" s="497"/>
      <c r="H476" s="497"/>
      <c r="J476" s="42"/>
    </row>
    <row r="477" spans="1:10" s="360" customFormat="1" x14ac:dyDescent="0.25">
      <c r="A477" s="19" t="s">
        <v>37</v>
      </c>
      <c r="B477" s="2">
        <v>43912</v>
      </c>
      <c r="C477" s="1">
        <v>0</v>
      </c>
      <c r="D477" s="39">
        <v>1</v>
      </c>
      <c r="E477" s="1"/>
      <c r="F477" s="39">
        <f t="shared" si="17"/>
        <v>0</v>
      </c>
      <c r="G477" s="497"/>
      <c r="H477" s="497"/>
      <c r="J477" s="42"/>
    </row>
    <row r="478" spans="1:10" s="360" customFormat="1" x14ac:dyDescent="0.25">
      <c r="A478" s="19" t="s">
        <v>22</v>
      </c>
      <c r="B478" s="2">
        <v>43912</v>
      </c>
      <c r="C478" s="1">
        <v>0</v>
      </c>
      <c r="D478" s="39">
        <v>4</v>
      </c>
      <c r="E478" s="1"/>
      <c r="F478" s="39">
        <f t="shared" si="17"/>
        <v>0</v>
      </c>
      <c r="G478" s="497"/>
      <c r="H478" s="497"/>
      <c r="J478" s="42"/>
    </row>
    <row r="479" spans="1:10" s="360" customFormat="1" x14ac:dyDescent="0.25">
      <c r="A479" s="19" t="s">
        <v>38</v>
      </c>
      <c r="B479" s="2">
        <v>43912</v>
      </c>
      <c r="C479" s="1">
        <v>0</v>
      </c>
      <c r="D479" s="39">
        <v>1</v>
      </c>
      <c r="E479" s="1"/>
      <c r="F479" s="39">
        <f t="shared" si="17"/>
        <v>0</v>
      </c>
      <c r="G479" s="497"/>
      <c r="H479" s="497"/>
      <c r="J479" s="42"/>
    </row>
    <row r="480" spans="1:10" s="360" customFormat="1" x14ac:dyDescent="0.25">
      <c r="A480" s="19" t="s">
        <v>39</v>
      </c>
      <c r="B480" s="2">
        <v>43912</v>
      </c>
      <c r="C480" s="1">
        <v>0</v>
      </c>
      <c r="D480" s="39">
        <v>6</v>
      </c>
      <c r="E480" s="1"/>
      <c r="F480" s="39">
        <f t="shared" si="17"/>
        <v>0</v>
      </c>
      <c r="G480" s="497"/>
      <c r="H480" s="497"/>
      <c r="J480" s="42"/>
    </row>
    <row r="481" spans="1:10" s="360" customFormat="1" x14ac:dyDescent="0.25">
      <c r="A481" s="19" t="s">
        <v>40</v>
      </c>
      <c r="B481" s="2">
        <v>43912</v>
      </c>
      <c r="C481" s="1">
        <v>5</v>
      </c>
      <c r="D481" s="39">
        <v>7</v>
      </c>
      <c r="E481" s="1"/>
      <c r="F481" s="39">
        <f t="shared" si="17"/>
        <v>0</v>
      </c>
      <c r="G481" s="497"/>
      <c r="H481" s="497"/>
      <c r="J481" s="42"/>
    </row>
    <row r="482" spans="1:10" s="360" customFormat="1" x14ac:dyDescent="0.25">
      <c r="A482" s="361" t="s">
        <v>16</v>
      </c>
      <c r="B482" s="2">
        <v>43913</v>
      </c>
      <c r="C482" s="1">
        <v>5</v>
      </c>
      <c r="D482" s="39">
        <v>70</v>
      </c>
      <c r="E482" s="1"/>
      <c r="F482" s="39">
        <f>E482+F458</f>
        <v>1</v>
      </c>
      <c r="G482" s="497"/>
      <c r="H482" s="497"/>
      <c r="J482" s="42"/>
    </row>
    <row r="483" spans="1:10" s="360" customFormat="1" x14ac:dyDescent="0.25">
      <c r="A483" s="19" t="s">
        <v>28</v>
      </c>
      <c r="B483" s="2">
        <v>43913</v>
      </c>
      <c r="C483" s="1">
        <v>0</v>
      </c>
      <c r="D483" s="39">
        <v>0</v>
      </c>
      <c r="E483" s="1"/>
      <c r="F483" s="39">
        <f t="shared" ref="F483:F505" si="18">E483+F459</f>
        <v>0</v>
      </c>
      <c r="G483" s="497"/>
      <c r="H483" s="497"/>
      <c r="J483" s="42"/>
    </row>
    <row r="484" spans="1:10" s="360" customFormat="1" x14ac:dyDescent="0.25">
      <c r="A484" s="19" t="s">
        <v>15</v>
      </c>
      <c r="B484" s="2">
        <v>43913</v>
      </c>
      <c r="C484" s="1">
        <v>4</v>
      </c>
      <c r="D484" s="39">
        <v>31</v>
      </c>
      <c r="E484" s="1"/>
      <c r="F484" s="39">
        <f t="shared" si="18"/>
        <v>1</v>
      </c>
      <c r="G484" s="497"/>
      <c r="H484" s="497"/>
      <c r="J484" s="42"/>
    </row>
    <row r="485" spans="1:10" s="360" customFormat="1" x14ac:dyDescent="0.25">
      <c r="A485" s="19" t="s">
        <v>29</v>
      </c>
      <c r="B485" s="2">
        <v>43913</v>
      </c>
      <c r="C485" s="1">
        <v>0</v>
      </c>
      <c r="D485" s="39">
        <v>0</v>
      </c>
      <c r="E485" s="1"/>
      <c r="F485" s="39">
        <f t="shared" si="18"/>
        <v>0</v>
      </c>
      <c r="G485" s="497"/>
      <c r="H485" s="497"/>
      <c r="J485" s="42"/>
    </row>
    <row r="486" spans="1:10" s="360" customFormat="1" x14ac:dyDescent="0.25">
      <c r="A486" s="19" t="s">
        <v>43</v>
      </c>
      <c r="B486" s="2">
        <v>43913</v>
      </c>
      <c r="C486" s="1">
        <v>11</v>
      </c>
      <c r="D486" s="39">
        <v>115</v>
      </c>
      <c r="E486" s="1"/>
      <c r="F486" s="39">
        <f t="shared" si="18"/>
        <v>1</v>
      </c>
      <c r="G486" s="497"/>
      <c r="H486" s="497"/>
      <c r="J486" s="42"/>
    </row>
    <row r="487" spans="1:10" s="360" customFormat="1" x14ac:dyDescent="0.25">
      <c r="A487" s="19" t="s">
        <v>20</v>
      </c>
      <c r="B487" s="2">
        <v>43913</v>
      </c>
      <c r="C487" s="1">
        <v>3</v>
      </c>
      <c r="D487" s="39">
        <v>28</v>
      </c>
      <c r="E487" s="1"/>
      <c r="F487" s="39">
        <f t="shared" si="18"/>
        <v>0</v>
      </c>
      <c r="G487" s="497"/>
      <c r="H487" s="497"/>
      <c r="J487" s="42"/>
    </row>
    <row r="488" spans="1:10" s="360" customFormat="1" x14ac:dyDescent="0.25">
      <c r="A488" s="19" t="s">
        <v>30</v>
      </c>
      <c r="B488" s="2">
        <v>43913</v>
      </c>
      <c r="C488" s="1">
        <v>0</v>
      </c>
      <c r="D488" s="39">
        <v>3</v>
      </c>
      <c r="E488" s="1"/>
      <c r="F488" s="39">
        <f t="shared" si="18"/>
        <v>0</v>
      </c>
      <c r="G488" s="497"/>
      <c r="H488" s="497"/>
      <c r="J488" s="42"/>
    </row>
    <row r="489" spans="1:10" x14ac:dyDescent="0.25">
      <c r="A489" s="19" t="s">
        <v>31</v>
      </c>
      <c r="B489" s="2">
        <v>43913</v>
      </c>
      <c r="C489" s="1">
        <v>0</v>
      </c>
      <c r="D489" s="39">
        <v>4</v>
      </c>
      <c r="F489" s="39">
        <f t="shared" si="18"/>
        <v>0</v>
      </c>
    </row>
    <row r="490" spans="1:10" s="360" customFormat="1" x14ac:dyDescent="0.25">
      <c r="A490" s="19" t="s">
        <v>41</v>
      </c>
      <c r="B490" s="2">
        <v>43913</v>
      </c>
      <c r="C490" s="1">
        <v>0</v>
      </c>
      <c r="D490" s="39">
        <v>0</v>
      </c>
      <c r="E490" s="1"/>
      <c r="F490" s="39">
        <f t="shared" si="18"/>
        <v>0</v>
      </c>
      <c r="G490" s="497"/>
      <c r="H490" s="497"/>
      <c r="J490" s="42"/>
    </row>
    <row r="491" spans="1:10" s="360" customFormat="1" x14ac:dyDescent="0.25">
      <c r="A491" s="19" t="s">
        <v>32</v>
      </c>
      <c r="B491" s="2">
        <v>43913</v>
      </c>
      <c r="C491" s="1">
        <v>0</v>
      </c>
      <c r="D491" s="39">
        <v>1</v>
      </c>
      <c r="E491" s="1"/>
      <c r="F491" s="39">
        <f t="shared" si="18"/>
        <v>0</v>
      </c>
      <c r="G491" s="497"/>
      <c r="H491" s="497"/>
      <c r="J491" s="42"/>
    </row>
    <row r="492" spans="1:10" s="360" customFormat="1" x14ac:dyDescent="0.25">
      <c r="A492" s="19" t="s">
        <v>33</v>
      </c>
      <c r="B492" s="2">
        <v>43913</v>
      </c>
      <c r="C492" s="1">
        <v>0</v>
      </c>
      <c r="D492" s="39">
        <v>0</v>
      </c>
      <c r="E492" s="1"/>
      <c r="F492" s="39">
        <f t="shared" si="18"/>
        <v>0</v>
      </c>
      <c r="G492" s="497"/>
      <c r="H492" s="497"/>
      <c r="J492" s="42"/>
    </row>
    <row r="493" spans="1:10" s="360" customFormat="1" x14ac:dyDescent="0.25">
      <c r="A493" s="19" t="s">
        <v>21</v>
      </c>
      <c r="B493" s="2">
        <v>43913</v>
      </c>
      <c r="C493" s="1">
        <v>0</v>
      </c>
      <c r="D493" s="39">
        <v>0</v>
      </c>
      <c r="E493" s="1"/>
      <c r="F493" s="39">
        <f t="shared" si="18"/>
        <v>0</v>
      </c>
      <c r="G493" s="497"/>
      <c r="H493" s="497"/>
      <c r="J493" s="42"/>
    </row>
    <row r="494" spans="1:10" s="360" customFormat="1" x14ac:dyDescent="0.25">
      <c r="A494" s="19" t="s">
        <v>17</v>
      </c>
      <c r="B494" s="2">
        <v>43913</v>
      </c>
      <c r="C494" s="1">
        <v>0</v>
      </c>
      <c r="D494" s="39">
        <v>5</v>
      </c>
      <c r="E494" s="1"/>
      <c r="F494" s="39">
        <f t="shared" si="18"/>
        <v>0</v>
      </c>
      <c r="G494" s="497"/>
      <c r="H494" s="497"/>
      <c r="J494" s="42"/>
    </row>
    <row r="495" spans="1:10" s="360" customFormat="1" x14ac:dyDescent="0.25">
      <c r="A495" s="19" t="s">
        <v>23</v>
      </c>
      <c r="B495" s="2">
        <v>43913</v>
      </c>
      <c r="C495" s="1">
        <v>0</v>
      </c>
      <c r="D495" s="39">
        <v>1</v>
      </c>
      <c r="E495" s="1"/>
      <c r="F495" s="39">
        <f t="shared" si="18"/>
        <v>0</v>
      </c>
      <c r="G495" s="497"/>
      <c r="H495" s="497"/>
      <c r="J495" s="42"/>
    </row>
    <row r="496" spans="1:10" s="360" customFormat="1" x14ac:dyDescent="0.25">
      <c r="A496" s="19" t="s">
        <v>19</v>
      </c>
      <c r="B496" s="2">
        <v>43913</v>
      </c>
      <c r="C496" s="1">
        <v>0</v>
      </c>
      <c r="D496" s="39">
        <v>2</v>
      </c>
      <c r="E496" s="1"/>
      <c r="F496" s="39">
        <f t="shared" si="18"/>
        <v>0</v>
      </c>
      <c r="G496" s="497"/>
      <c r="H496" s="497"/>
      <c r="J496" s="42"/>
    </row>
    <row r="497" spans="1:10" s="360" customFormat="1" x14ac:dyDescent="0.25">
      <c r="A497" s="19" t="s">
        <v>18</v>
      </c>
      <c r="B497" s="2">
        <v>43913</v>
      </c>
      <c r="C497" s="1">
        <v>0</v>
      </c>
      <c r="D497" s="39">
        <v>4</v>
      </c>
      <c r="E497" s="1"/>
      <c r="F497" s="39">
        <f t="shared" si="18"/>
        <v>0</v>
      </c>
      <c r="G497" s="497"/>
      <c r="H497" s="497"/>
      <c r="J497" s="42"/>
    </row>
    <row r="498" spans="1:10" s="360" customFormat="1" x14ac:dyDescent="0.25">
      <c r="A498" s="19" t="s">
        <v>34</v>
      </c>
      <c r="B498" s="2">
        <v>43913</v>
      </c>
      <c r="C498" s="1">
        <v>0</v>
      </c>
      <c r="D498" s="39">
        <v>1</v>
      </c>
      <c r="E498" s="1"/>
      <c r="F498" s="39">
        <f t="shared" si="18"/>
        <v>0</v>
      </c>
      <c r="G498" s="497"/>
      <c r="H498" s="497"/>
      <c r="J498" s="42"/>
    </row>
    <row r="499" spans="1:10" s="360" customFormat="1" x14ac:dyDescent="0.25">
      <c r="A499" s="19" t="s">
        <v>35</v>
      </c>
      <c r="B499" s="2">
        <v>43913</v>
      </c>
      <c r="C499" s="1">
        <v>0</v>
      </c>
      <c r="D499" s="39">
        <v>0</v>
      </c>
      <c r="E499" s="1"/>
      <c r="F499" s="39">
        <f t="shared" si="18"/>
        <v>0</v>
      </c>
      <c r="G499" s="497"/>
      <c r="H499" s="497"/>
      <c r="J499" s="42"/>
    </row>
    <row r="500" spans="1:10" s="360" customFormat="1" x14ac:dyDescent="0.25">
      <c r="A500" s="19" t="s">
        <v>36</v>
      </c>
      <c r="B500" s="2">
        <v>43913</v>
      </c>
      <c r="C500" s="1">
        <v>0</v>
      </c>
      <c r="D500" s="39">
        <v>3</v>
      </c>
      <c r="E500" s="1"/>
      <c r="F500" s="39">
        <f t="shared" si="18"/>
        <v>0</v>
      </c>
      <c r="G500" s="497"/>
      <c r="H500" s="497"/>
      <c r="J500" s="42"/>
    </row>
    <row r="501" spans="1:10" s="360" customFormat="1" x14ac:dyDescent="0.25">
      <c r="A501" s="19" t="s">
        <v>37</v>
      </c>
      <c r="B501" s="2">
        <v>43913</v>
      </c>
      <c r="C501" s="1">
        <v>0</v>
      </c>
      <c r="D501" s="39">
        <v>1</v>
      </c>
      <c r="E501" s="1"/>
      <c r="F501" s="39">
        <f t="shared" si="18"/>
        <v>0</v>
      </c>
      <c r="G501" s="497"/>
      <c r="H501" s="497"/>
      <c r="J501" s="42"/>
    </row>
    <row r="502" spans="1:10" s="360" customFormat="1" x14ac:dyDescent="0.25">
      <c r="A502" s="19" t="s">
        <v>22</v>
      </c>
      <c r="B502" s="2">
        <v>43913</v>
      </c>
      <c r="C502" s="1">
        <v>13</v>
      </c>
      <c r="D502" s="39">
        <v>17</v>
      </c>
      <c r="E502" s="1"/>
      <c r="F502" s="39">
        <f t="shared" si="18"/>
        <v>0</v>
      </c>
      <c r="G502" s="497"/>
      <c r="H502" s="497"/>
      <c r="J502" s="42"/>
    </row>
    <row r="503" spans="1:10" s="360" customFormat="1" x14ac:dyDescent="0.25">
      <c r="A503" s="19" t="s">
        <v>38</v>
      </c>
      <c r="B503" s="2">
        <v>43913</v>
      </c>
      <c r="C503" s="1">
        <v>0</v>
      </c>
      <c r="D503" s="39">
        <v>1</v>
      </c>
      <c r="E503" s="1"/>
      <c r="F503" s="39">
        <f t="shared" si="18"/>
        <v>0</v>
      </c>
      <c r="G503" s="497"/>
      <c r="H503" s="497"/>
      <c r="J503" s="42"/>
    </row>
    <row r="504" spans="1:10" s="360" customFormat="1" x14ac:dyDescent="0.25">
      <c r="A504" s="19" t="s">
        <v>39</v>
      </c>
      <c r="B504" s="2">
        <v>43913</v>
      </c>
      <c r="C504" s="1">
        <v>0</v>
      </c>
      <c r="D504" s="39">
        <v>6</v>
      </c>
      <c r="E504" s="1"/>
      <c r="F504" s="39">
        <f t="shared" si="18"/>
        <v>0</v>
      </c>
      <c r="G504" s="497"/>
      <c r="H504" s="497"/>
      <c r="J504" s="42"/>
    </row>
    <row r="505" spans="1:10" s="360" customFormat="1" x14ac:dyDescent="0.25">
      <c r="A505" s="19" t="s">
        <v>40</v>
      </c>
      <c r="B505" s="2">
        <v>43913</v>
      </c>
      <c r="C505" s="1">
        <v>0</v>
      </c>
      <c r="D505" s="39">
        <v>7</v>
      </c>
      <c r="E505" s="1"/>
      <c r="F505" s="39">
        <f t="shared" si="18"/>
        <v>0</v>
      </c>
      <c r="G505" s="497"/>
      <c r="H505" s="497"/>
      <c r="J505" s="42"/>
    </row>
    <row r="506" spans="1:10" s="360" customFormat="1" x14ac:dyDescent="0.25">
      <c r="A506" s="361" t="s">
        <v>16</v>
      </c>
      <c r="B506" s="2">
        <v>43914</v>
      </c>
      <c r="C506" s="1">
        <v>28</v>
      </c>
      <c r="D506" s="39">
        <v>98</v>
      </c>
      <c r="E506" s="1">
        <v>1</v>
      </c>
      <c r="F506" s="39">
        <f>E506+F482</f>
        <v>2</v>
      </c>
      <c r="G506" s="497"/>
      <c r="H506" s="497"/>
      <c r="J506" s="42"/>
    </row>
    <row r="507" spans="1:10" s="360" customFormat="1" x14ac:dyDescent="0.25">
      <c r="A507" s="19" t="s">
        <v>28</v>
      </c>
      <c r="B507" s="2">
        <v>43914</v>
      </c>
      <c r="C507" s="1">
        <v>0</v>
      </c>
      <c r="D507" s="39">
        <v>0</v>
      </c>
      <c r="E507" s="1"/>
      <c r="F507" s="39">
        <f t="shared" ref="F507:F570" si="19">E507+F483</f>
        <v>0</v>
      </c>
      <c r="G507" s="497"/>
      <c r="H507" s="497"/>
      <c r="J507" s="42"/>
    </row>
    <row r="508" spans="1:10" s="360" customFormat="1" x14ac:dyDescent="0.25">
      <c r="A508" s="19" t="s">
        <v>15</v>
      </c>
      <c r="B508" s="2">
        <v>43914</v>
      </c>
      <c r="C508" s="1">
        <v>9</v>
      </c>
      <c r="D508" s="39">
        <v>40</v>
      </c>
      <c r="E508" s="1">
        <v>1</v>
      </c>
      <c r="F508" s="39">
        <f t="shared" si="19"/>
        <v>2</v>
      </c>
      <c r="G508" s="497"/>
      <c r="H508" s="497"/>
      <c r="J508" s="42"/>
    </row>
    <row r="509" spans="1:10" s="360" customFormat="1" x14ac:dyDescent="0.25">
      <c r="A509" s="19" t="s">
        <v>29</v>
      </c>
      <c r="B509" s="2">
        <v>43914</v>
      </c>
      <c r="C509" s="1">
        <v>0</v>
      </c>
      <c r="D509" s="39">
        <v>0</v>
      </c>
      <c r="E509" s="1"/>
      <c r="F509" s="39">
        <f t="shared" si="19"/>
        <v>0</v>
      </c>
      <c r="G509" s="497"/>
      <c r="H509" s="497"/>
      <c r="J509" s="42"/>
    </row>
    <row r="510" spans="1:10" s="360" customFormat="1" x14ac:dyDescent="0.25">
      <c r="A510" s="19" t="s">
        <v>43</v>
      </c>
      <c r="B510" s="2">
        <v>43914</v>
      </c>
      <c r="C510" s="1">
        <v>30</v>
      </c>
      <c r="D510" s="39">
        <v>145</v>
      </c>
      <c r="E510" s="1"/>
      <c r="F510" s="39">
        <f t="shared" si="19"/>
        <v>1</v>
      </c>
      <c r="G510" s="497"/>
      <c r="H510" s="497"/>
      <c r="J510" s="42"/>
    </row>
    <row r="511" spans="1:10" s="360" customFormat="1" x14ac:dyDescent="0.25">
      <c r="A511" s="19" t="s">
        <v>20</v>
      </c>
      <c r="B511" s="2">
        <v>43914</v>
      </c>
      <c r="C511" s="1">
        <v>7</v>
      </c>
      <c r="D511" s="39">
        <v>35</v>
      </c>
      <c r="E511" s="1"/>
      <c r="F511" s="39">
        <f t="shared" si="19"/>
        <v>0</v>
      </c>
      <c r="G511" s="497"/>
      <c r="H511" s="497"/>
      <c r="J511" s="42"/>
    </row>
    <row r="512" spans="1:10" s="360" customFormat="1" x14ac:dyDescent="0.25">
      <c r="A512" s="19" t="s">
        <v>30</v>
      </c>
      <c r="B512" s="2">
        <v>43914</v>
      </c>
      <c r="C512" s="1">
        <v>0</v>
      </c>
      <c r="D512" s="39">
        <v>3</v>
      </c>
      <c r="E512" s="1"/>
      <c r="F512" s="39">
        <f t="shared" si="19"/>
        <v>0</v>
      </c>
      <c r="G512" s="497"/>
      <c r="H512" s="497"/>
      <c r="J512" s="42"/>
    </row>
    <row r="513" spans="1:10" x14ac:dyDescent="0.25">
      <c r="A513" s="19" t="s">
        <v>31</v>
      </c>
      <c r="B513" s="2">
        <v>43914</v>
      </c>
      <c r="C513" s="1">
        <v>0</v>
      </c>
      <c r="D513" s="39">
        <v>4</v>
      </c>
      <c r="F513" s="39">
        <f t="shared" si="19"/>
        <v>0</v>
      </c>
    </row>
    <row r="514" spans="1:10" s="360" customFormat="1" x14ac:dyDescent="0.25">
      <c r="A514" s="19" t="s">
        <v>41</v>
      </c>
      <c r="B514" s="2">
        <v>43914</v>
      </c>
      <c r="C514" s="1">
        <v>0</v>
      </c>
      <c r="D514" s="39">
        <v>0</v>
      </c>
      <c r="E514" s="1"/>
      <c r="F514" s="39">
        <f t="shared" si="19"/>
        <v>0</v>
      </c>
      <c r="G514" s="497"/>
      <c r="H514" s="497"/>
      <c r="J514" s="42"/>
    </row>
    <row r="515" spans="1:10" s="360" customFormat="1" x14ac:dyDescent="0.25">
      <c r="A515" s="19" t="s">
        <v>32</v>
      </c>
      <c r="B515" s="2">
        <v>43914</v>
      </c>
      <c r="C515" s="1">
        <v>0</v>
      </c>
      <c r="D515" s="39">
        <v>1</v>
      </c>
      <c r="E515" s="1"/>
      <c r="F515" s="39">
        <f t="shared" si="19"/>
        <v>0</v>
      </c>
      <c r="G515" s="497"/>
      <c r="H515" s="497"/>
      <c r="J515" s="42"/>
    </row>
    <row r="516" spans="1:10" s="360" customFormat="1" x14ac:dyDescent="0.25">
      <c r="A516" s="19" t="s">
        <v>33</v>
      </c>
      <c r="B516" s="2">
        <v>43914</v>
      </c>
      <c r="C516" s="1">
        <v>1</v>
      </c>
      <c r="D516" s="39">
        <v>1</v>
      </c>
      <c r="E516" s="1"/>
      <c r="F516" s="39">
        <f t="shared" si="19"/>
        <v>0</v>
      </c>
      <c r="G516" s="497"/>
      <c r="H516" s="497"/>
      <c r="J516" s="42"/>
    </row>
    <row r="517" spans="1:10" s="360" customFormat="1" x14ac:dyDescent="0.25">
      <c r="A517" s="19" t="s">
        <v>21</v>
      </c>
      <c r="B517" s="2">
        <v>43914</v>
      </c>
      <c r="C517" s="1">
        <v>0</v>
      </c>
      <c r="D517" s="39">
        <v>0</v>
      </c>
      <c r="E517" s="1"/>
      <c r="F517" s="39">
        <f t="shared" si="19"/>
        <v>0</v>
      </c>
      <c r="G517" s="497"/>
      <c r="H517" s="497"/>
      <c r="J517" s="42"/>
    </row>
    <row r="518" spans="1:10" s="360" customFormat="1" x14ac:dyDescent="0.25">
      <c r="A518" s="19" t="s">
        <v>17</v>
      </c>
      <c r="B518" s="2">
        <v>43914</v>
      </c>
      <c r="C518" s="1">
        <v>0</v>
      </c>
      <c r="D518" s="39">
        <v>5</v>
      </c>
      <c r="E518" s="1"/>
      <c r="F518" s="39">
        <f t="shared" si="19"/>
        <v>0</v>
      </c>
      <c r="G518" s="497"/>
      <c r="H518" s="497"/>
      <c r="J518" s="42"/>
    </row>
    <row r="519" spans="1:10" s="360" customFormat="1" x14ac:dyDescent="0.25">
      <c r="A519" s="19" t="s">
        <v>23</v>
      </c>
      <c r="B519" s="2">
        <v>43914</v>
      </c>
      <c r="C519" s="1">
        <v>0</v>
      </c>
      <c r="D519" s="39">
        <v>1</v>
      </c>
      <c r="E519" s="1"/>
      <c r="F519" s="39">
        <f t="shared" si="19"/>
        <v>0</v>
      </c>
      <c r="G519" s="497"/>
      <c r="H519" s="497"/>
      <c r="J519" s="42"/>
    </row>
    <row r="520" spans="1:10" s="360" customFormat="1" x14ac:dyDescent="0.25">
      <c r="A520" s="19" t="s">
        <v>19</v>
      </c>
      <c r="B520" s="2">
        <v>43914</v>
      </c>
      <c r="C520" s="1">
        <v>1</v>
      </c>
      <c r="D520" s="39">
        <v>3</v>
      </c>
      <c r="E520" s="1"/>
      <c r="F520" s="39">
        <f t="shared" si="19"/>
        <v>0</v>
      </c>
      <c r="G520" s="497"/>
      <c r="H520" s="497"/>
      <c r="J520" s="42"/>
    </row>
    <row r="521" spans="1:10" s="360" customFormat="1" x14ac:dyDescent="0.25">
      <c r="A521" s="19" t="s">
        <v>18</v>
      </c>
      <c r="B521" s="2">
        <v>43914</v>
      </c>
      <c r="C521" s="1">
        <v>0</v>
      </c>
      <c r="D521" s="39">
        <v>4</v>
      </c>
      <c r="E521" s="1"/>
      <c r="F521" s="39">
        <f t="shared" si="19"/>
        <v>0</v>
      </c>
      <c r="G521" s="497"/>
      <c r="H521" s="497"/>
      <c r="J521" s="42"/>
    </row>
    <row r="522" spans="1:10" s="360" customFormat="1" x14ac:dyDescent="0.25">
      <c r="A522" s="19" t="s">
        <v>34</v>
      </c>
      <c r="B522" s="2">
        <v>43914</v>
      </c>
      <c r="C522" s="1">
        <v>0</v>
      </c>
      <c r="D522" s="39">
        <v>1</v>
      </c>
      <c r="E522" s="1"/>
      <c r="F522" s="39">
        <f t="shared" si="19"/>
        <v>0</v>
      </c>
      <c r="G522" s="497"/>
      <c r="H522" s="497"/>
      <c r="J522" s="42"/>
    </row>
    <row r="523" spans="1:10" s="360" customFormat="1" x14ac:dyDescent="0.25">
      <c r="A523" s="19" t="s">
        <v>35</v>
      </c>
      <c r="B523" s="2">
        <v>43914</v>
      </c>
      <c r="C523" s="1">
        <v>0</v>
      </c>
      <c r="D523" s="39">
        <v>0</v>
      </c>
      <c r="E523" s="1"/>
      <c r="F523" s="39">
        <f t="shared" si="19"/>
        <v>0</v>
      </c>
      <c r="G523" s="497"/>
      <c r="H523" s="497"/>
      <c r="J523" s="42"/>
    </row>
    <row r="524" spans="1:10" s="360" customFormat="1" x14ac:dyDescent="0.25">
      <c r="A524" s="19" t="s">
        <v>36</v>
      </c>
      <c r="B524" s="2">
        <v>43914</v>
      </c>
      <c r="C524" s="1">
        <v>0</v>
      </c>
      <c r="D524" s="39">
        <v>3</v>
      </c>
      <c r="E524" s="1"/>
      <c r="F524" s="39">
        <f t="shared" si="19"/>
        <v>0</v>
      </c>
      <c r="G524" s="497"/>
      <c r="H524" s="497"/>
      <c r="J524" s="42"/>
    </row>
    <row r="525" spans="1:10" s="360" customFormat="1" x14ac:dyDescent="0.25">
      <c r="A525" s="19" t="s">
        <v>37</v>
      </c>
      <c r="B525" s="2">
        <v>43914</v>
      </c>
      <c r="C525" s="1">
        <v>1</v>
      </c>
      <c r="D525" s="39">
        <v>2</v>
      </c>
      <c r="E525" s="1"/>
      <c r="F525" s="39">
        <f t="shared" si="19"/>
        <v>0</v>
      </c>
      <c r="G525" s="497"/>
      <c r="H525" s="497"/>
      <c r="J525" s="42"/>
    </row>
    <row r="526" spans="1:10" s="360" customFormat="1" x14ac:dyDescent="0.25">
      <c r="A526" s="19" t="s">
        <v>22</v>
      </c>
      <c r="B526" s="2">
        <v>43914</v>
      </c>
      <c r="C526" s="1">
        <v>3</v>
      </c>
      <c r="D526" s="39">
        <v>20</v>
      </c>
      <c r="E526" s="1"/>
      <c r="F526" s="39">
        <f t="shared" si="19"/>
        <v>0</v>
      </c>
      <c r="G526" s="497"/>
      <c r="H526" s="497"/>
      <c r="J526" s="42"/>
    </row>
    <row r="527" spans="1:10" s="360" customFormat="1" x14ac:dyDescent="0.25">
      <c r="A527" s="19" t="s">
        <v>38</v>
      </c>
      <c r="B527" s="2">
        <v>43914</v>
      </c>
      <c r="C527" s="1">
        <v>0</v>
      </c>
      <c r="D527" s="39">
        <v>1</v>
      </c>
      <c r="E527" s="1"/>
      <c r="F527" s="39">
        <f t="shared" si="19"/>
        <v>0</v>
      </c>
      <c r="G527" s="497"/>
      <c r="H527" s="497"/>
      <c r="J527" s="42"/>
    </row>
    <row r="528" spans="1:10" s="360" customFormat="1" x14ac:dyDescent="0.25">
      <c r="A528" s="19" t="s">
        <v>39</v>
      </c>
      <c r="B528" s="2">
        <v>43914</v>
      </c>
      <c r="C528" s="1">
        <v>4</v>
      </c>
      <c r="D528" s="39">
        <v>10</v>
      </c>
      <c r="E528" s="1"/>
      <c r="F528" s="39">
        <f t="shared" si="19"/>
        <v>0</v>
      </c>
      <c r="G528" s="497"/>
      <c r="H528" s="497"/>
      <c r="J528" s="42"/>
    </row>
    <row r="529" spans="1:10" s="360" customFormat="1" x14ac:dyDescent="0.25">
      <c r="A529" s="19" t="s">
        <v>40</v>
      </c>
      <c r="B529" s="2">
        <v>43914</v>
      </c>
      <c r="C529" s="1">
        <v>0</v>
      </c>
      <c r="D529" s="39">
        <v>7</v>
      </c>
      <c r="E529" s="1"/>
      <c r="F529" s="39">
        <f t="shared" si="19"/>
        <v>0</v>
      </c>
      <c r="G529" s="497"/>
      <c r="H529" s="497"/>
      <c r="J529" s="42"/>
    </row>
    <row r="530" spans="1:10" s="360" customFormat="1" x14ac:dyDescent="0.25">
      <c r="A530" s="361" t="s">
        <v>16</v>
      </c>
      <c r="B530" s="2">
        <v>43915</v>
      </c>
      <c r="C530" s="1">
        <v>30</v>
      </c>
      <c r="D530" s="39">
        <v>128</v>
      </c>
      <c r="E530" s="1"/>
      <c r="F530" s="39">
        <f>E530+F506</f>
        <v>2</v>
      </c>
      <c r="G530" s="497"/>
      <c r="H530" s="497"/>
      <c r="J530" s="42"/>
    </row>
    <row r="531" spans="1:10" s="360" customFormat="1" x14ac:dyDescent="0.25">
      <c r="A531" s="19" t="s">
        <v>28</v>
      </c>
      <c r="B531" s="2">
        <v>43915</v>
      </c>
      <c r="C531" s="1">
        <v>0</v>
      </c>
      <c r="D531" s="39">
        <v>0</v>
      </c>
      <c r="E531" s="1"/>
      <c r="F531" s="39">
        <f t="shared" si="19"/>
        <v>0</v>
      </c>
      <c r="G531" s="497"/>
      <c r="H531" s="497"/>
      <c r="J531" s="42"/>
    </row>
    <row r="532" spans="1:10" s="360" customFormat="1" x14ac:dyDescent="0.25">
      <c r="A532" s="19" t="s">
        <v>15</v>
      </c>
      <c r="B532" s="2">
        <v>43915</v>
      </c>
      <c r="C532" s="1">
        <v>12</v>
      </c>
      <c r="D532" s="39">
        <v>52</v>
      </c>
      <c r="E532" s="1">
        <v>1</v>
      </c>
      <c r="F532" s="39">
        <f t="shared" si="19"/>
        <v>3</v>
      </c>
      <c r="G532" s="497"/>
      <c r="H532" s="497"/>
      <c r="J532" s="42"/>
    </row>
    <row r="533" spans="1:10" s="360" customFormat="1" x14ac:dyDescent="0.25">
      <c r="A533" s="19" t="s">
        <v>29</v>
      </c>
      <c r="B533" s="2">
        <v>43915</v>
      </c>
      <c r="C533" s="1">
        <v>0</v>
      </c>
      <c r="D533" s="39">
        <v>0</v>
      </c>
      <c r="E533" s="1"/>
      <c r="F533" s="39">
        <f t="shared" si="19"/>
        <v>0</v>
      </c>
      <c r="G533" s="497"/>
      <c r="H533" s="497"/>
      <c r="J533" s="42"/>
    </row>
    <row r="534" spans="1:10" s="360" customFormat="1" x14ac:dyDescent="0.25">
      <c r="A534" s="19" t="s">
        <v>43</v>
      </c>
      <c r="B534" s="2">
        <v>43915</v>
      </c>
      <c r="C534" s="1">
        <v>21</v>
      </c>
      <c r="D534" s="39">
        <v>166</v>
      </c>
      <c r="E534" s="1">
        <v>1</v>
      </c>
      <c r="F534" s="39">
        <f t="shared" si="19"/>
        <v>2</v>
      </c>
      <c r="G534" s="497"/>
      <c r="H534" s="497"/>
      <c r="J534" s="42"/>
    </row>
    <row r="535" spans="1:10" s="360" customFormat="1" x14ac:dyDescent="0.25">
      <c r="A535" s="19" t="s">
        <v>20</v>
      </c>
      <c r="B535" s="2">
        <v>43915</v>
      </c>
      <c r="C535" s="1">
        <v>15</v>
      </c>
      <c r="D535" s="39">
        <v>50</v>
      </c>
      <c r="E535" s="1"/>
      <c r="F535" s="39">
        <f t="shared" si="19"/>
        <v>0</v>
      </c>
      <c r="G535" s="497"/>
      <c r="H535" s="497"/>
      <c r="J535" s="42"/>
    </row>
    <row r="536" spans="1:10" s="360" customFormat="1" x14ac:dyDescent="0.25">
      <c r="A536" s="19" t="s">
        <v>30</v>
      </c>
      <c r="B536" s="2">
        <v>43915</v>
      </c>
      <c r="C536" s="1">
        <v>0</v>
      </c>
      <c r="D536" s="39">
        <v>3</v>
      </c>
      <c r="E536" s="1"/>
      <c r="F536" s="39">
        <f t="shared" si="19"/>
        <v>0</v>
      </c>
      <c r="G536" s="497"/>
      <c r="H536" s="497"/>
      <c r="J536" s="42"/>
    </row>
    <row r="537" spans="1:10" x14ac:dyDescent="0.25">
      <c r="A537" s="19" t="s">
        <v>31</v>
      </c>
      <c r="B537" s="2">
        <v>43915</v>
      </c>
      <c r="C537" s="1">
        <v>3</v>
      </c>
      <c r="D537" s="39">
        <v>7</v>
      </c>
      <c r="F537" s="39">
        <f t="shared" si="19"/>
        <v>0</v>
      </c>
    </row>
    <row r="538" spans="1:10" s="360" customFormat="1" x14ac:dyDescent="0.25">
      <c r="A538" s="19" t="s">
        <v>41</v>
      </c>
      <c r="B538" s="2">
        <v>43915</v>
      </c>
      <c r="C538" s="1">
        <v>0</v>
      </c>
      <c r="D538" s="39">
        <v>0</v>
      </c>
      <c r="E538" s="1"/>
      <c r="F538" s="39">
        <f t="shared" si="19"/>
        <v>0</v>
      </c>
      <c r="G538" s="497"/>
      <c r="H538" s="497"/>
      <c r="J538" s="42"/>
    </row>
    <row r="539" spans="1:10" s="360" customFormat="1" x14ac:dyDescent="0.25">
      <c r="A539" s="19" t="s">
        <v>32</v>
      </c>
      <c r="B539" s="2">
        <v>43915</v>
      </c>
      <c r="C539" s="1">
        <v>0</v>
      </c>
      <c r="D539" s="39">
        <v>1</v>
      </c>
      <c r="E539" s="1"/>
      <c r="F539" s="39">
        <f t="shared" si="19"/>
        <v>0</v>
      </c>
      <c r="G539" s="497"/>
      <c r="H539" s="497"/>
      <c r="J539" s="42"/>
    </row>
    <row r="540" spans="1:10" s="360" customFormat="1" x14ac:dyDescent="0.25">
      <c r="A540" s="19" t="s">
        <v>33</v>
      </c>
      <c r="B540" s="2">
        <v>43915</v>
      </c>
      <c r="C540" s="1">
        <v>0</v>
      </c>
      <c r="D540" s="39">
        <v>1</v>
      </c>
      <c r="E540" s="1"/>
      <c r="F540" s="39">
        <f t="shared" si="19"/>
        <v>0</v>
      </c>
      <c r="G540" s="497"/>
      <c r="H540" s="497"/>
      <c r="J540" s="42"/>
    </row>
    <row r="541" spans="1:10" s="360" customFormat="1" x14ac:dyDescent="0.25">
      <c r="A541" s="19" t="s">
        <v>21</v>
      </c>
      <c r="B541" s="2">
        <v>43915</v>
      </c>
      <c r="C541" s="1">
        <v>0</v>
      </c>
      <c r="D541" s="39">
        <v>0</v>
      </c>
      <c r="E541" s="1"/>
      <c r="F541" s="39">
        <f t="shared" si="19"/>
        <v>0</v>
      </c>
      <c r="G541" s="497"/>
      <c r="H541" s="497"/>
      <c r="J541" s="42"/>
    </row>
    <row r="542" spans="1:10" s="360" customFormat="1" x14ac:dyDescent="0.25">
      <c r="A542" s="19" t="s">
        <v>17</v>
      </c>
      <c r="B542" s="2">
        <v>43915</v>
      </c>
      <c r="C542" s="1">
        <v>1</v>
      </c>
      <c r="D542" s="39">
        <v>6</v>
      </c>
      <c r="E542" s="1"/>
      <c r="F542" s="39">
        <f t="shared" si="19"/>
        <v>0</v>
      </c>
      <c r="G542" s="497"/>
      <c r="H542" s="497"/>
      <c r="J542" s="42"/>
    </row>
    <row r="543" spans="1:10" s="360" customFormat="1" x14ac:dyDescent="0.25">
      <c r="A543" s="19" t="s">
        <v>23</v>
      </c>
      <c r="B543" s="2">
        <v>43915</v>
      </c>
      <c r="C543" s="1">
        <v>0</v>
      </c>
      <c r="D543" s="39">
        <v>1</v>
      </c>
      <c r="E543" s="1"/>
      <c r="F543" s="39">
        <f t="shared" si="19"/>
        <v>0</v>
      </c>
      <c r="G543" s="497"/>
      <c r="H543" s="497"/>
      <c r="J543" s="42"/>
    </row>
    <row r="544" spans="1:10" s="360" customFormat="1" x14ac:dyDescent="0.25">
      <c r="A544" s="19" t="s">
        <v>19</v>
      </c>
      <c r="B544" s="2">
        <v>43915</v>
      </c>
      <c r="C544" s="1">
        <v>1</v>
      </c>
      <c r="D544" s="39">
        <v>4</v>
      </c>
      <c r="E544" s="1"/>
      <c r="F544" s="39">
        <f t="shared" si="19"/>
        <v>0</v>
      </c>
      <c r="G544" s="497"/>
      <c r="H544" s="497"/>
      <c r="J544" s="42"/>
    </row>
    <row r="545" spans="1:10" s="360" customFormat="1" x14ac:dyDescent="0.25">
      <c r="A545" s="19" t="s">
        <v>18</v>
      </c>
      <c r="B545" s="2">
        <v>43915</v>
      </c>
      <c r="C545" s="1">
        <v>0</v>
      </c>
      <c r="D545" s="39">
        <v>4</v>
      </c>
      <c r="E545" s="1"/>
      <c r="F545" s="39">
        <f t="shared" si="19"/>
        <v>0</v>
      </c>
      <c r="G545" s="497"/>
      <c r="H545" s="497"/>
      <c r="J545" s="42"/>
    </row>
    <row r="546" spans="1:10" s="360" customFormat="1" x14ac:dyDescent="0.25">
      <c r="A546" s="19" t="s">
        <v>34</v>
      </c>
      <c r="B546" s="2">
        <v>43915</v>
      </c>
      <c r="C546" s="1">
        <v>0</v>
      </c>
      <c r="D546" s="39">
        <v>1</v>
      </c>
      <c r="E546" s="1"/>
      <c r="F546" s="39">
        <f t="shared" si="19"/>
        <v>0</v>
      </c>
      <c r="G546" s="497"/>
      <c r="H546" s="497"/>
      <c r="J546" s="42"/>
    </row>
    <row r="547" spans="1:10" s="360" customFormat="1" x14ac:dyDescent="0.25">
      <c r="A547" s="19" t="s">
        <v>35</v>
      </c>
      <c r="B547" s="2">
        <v>43915</v>
      </c>
      <c r="C547" s="1">
        <v>0</v>
      </c>
      <c r="D547" s="39">
        <v>0</v>
      </c>
      <c r="E547" s="1"/>
      <c r="F547" s="39">
        <f t="shared" si="19"/>
        <v>0</v>
      </c>
      <c r="G547" s="497"/>
      <c r="H547" s="497"/>
      <c r="J547" s="42"/>
    </row>
    <row r="548" spans="1:10" s="360" customFormat="1" x14ac:dyDescent="0.25">
      <c r="A548" s="19" t="s">
        <v>36</v>
      </c>
      <c r="B548" s="2">
        <v>43915</v>
      </c>
      <c r="C548" s="1">
        <v>3</v>
      </c>
      <c r="D548" s="39">
        <v>6</v>
      </c>
      <c r="E548" s="1"/>
      <c r="F548" s="39">
        <f t="shared" si="19"/>
        <v>0</v>
      </c>
      <c r="G548" s="497"/>
      <c r="H548" s="497"/>
      <c r="J548" s="42"/>
    </row>
    <row r="549" spans="1:10" s="360" customFormat="1" x14ac:dyDescent="0.25">
      <c r="A549" s="19" t="s">
        <v>37</v>
      </c>
      <c r="B549" s="2">
        <v>43915</v>
      </c>
      <c r="C549" s="1">
        <v>5</v>
      </c>
      <c r="D549" s="39">
        <v>7</v>
      </c>
      <c r="E549" s="1"/>
      <c r="F549" s="39">
        <f t="shared" si="19"/>
        <v>0</v>
      </c>
      <c r="G549" s="497"/>
      <c r="H549" s="497"/>
      <c r="J549" s="42"/>
    </row>
    <row r="550" spans="1:10" s="360" customFormat="1" x14ac:dyDescent="0.25">
      <c r="A550" s="19" t="s">
        <v>22</v>
      </c>
      <c r="B550" s="2">
        <v>43915</v>
      </c>
      <c r="C550" s="1">
        <v>22</v>
      </c>
      <c r="D550" s="39">
        <v>42</v>
      </c>
      <c r="E550" s="1"/>
      <c r="F550" s="39">
        <f t="shared" si="19"/>
        <v>0</v>
      </c>
      <c r="G550" s="497"/>
      <c r="H550" s="497"/>
      <c r="J550" s="42"/>
    </row>
    <row r="551" spans="1:10" s="360" customFormat="1" x14ac:dyDescent="0.25">
      <c r="A551" s="19" t="s">
        <v>38</v>
      </c>
      <c r="B551" s="2">
        <v>43915</v>
      </c>
      <c r="C551" s="1">
        <v>0</v>
      </c>
      <c r="D551" s="39">
        <v>1</v>
      </c>
      <c r="E551" s="1"/>
      <c r="F551" s="39">
        <f t="shared" si="19"/>
        <v>0</v>
      </c>
      <c r="G551" s="497"/>
      <c r="H551" s="497"/>
      <c r="J551" s="42"/>
    </row>
    <row r="552" spans="1:10" s="360" customFormat="1" x14ac:dyDescent="0.25">
      <c r="A552" s="19" t="s">
        <v>39</v>
      </c>
      <c r="B552" s="2">
        <v>43915</v>
      </c>
      <c r="C552" s="1">
        <v>1</v>
      </c>
      <c r="D552" s="39">
        <v>11</v>
      </c>
      <c r="E552" s="1"/>
      <c r="F552" s="39">
        <f t="shared" si="19"/>
        <v>0</v>
      </c>
      <c r="G552" s="497"/>
      <c r="H552" s="497"/>
      <c r="J552" s="42"/>
    </row>
    <row r="553" spans="1:10" s="360" customFormat="1" x14ac:dyDescent="0.25">
      <c r="A553" s="19" t="s">
        <v>40</v>
      </c>
      <c r="B553" s="2">
        <v>43915</v>
      </c>
      <c r="C553" s="1">
        <v>2</v>
      </c>
      <c r="D553" s="39">
        <v>9</v>
      </c>
      <c r="E553" s="1"/>
      <c r="F553" s="39">
        <f t="shared" si="19"/>
        <v>0</v>
      </c>
      <c r="G553" s="497"/>
      <c r="H553" s="497"/>
      <c r="J553" s="42"/>
    </row>
    <row r="554" spans="1:10" s="360" customFormat="1" x14ac:dyDescent="0.25">
      <c r="A554" s="361" t="s">
        <v>16</v>
      </c>
      <c r="B554" s="2">
        <v>43916</v>
      </c>
      <c r="C554" s="1">
        <v>27</v>
      </c>
      <c r="D554" s="39">
        <v>155</v>
      </c>
      <c r="E554" s="1">
        <v>2</v>
      </c>
      <c r="F554" s="39">
        <f>E554+F530</f>
        <v>4</v>
      </c>
      <c r="G554" s="497"/>
      <c r="H554" s="497"/>
      <c r="J554" s="42"/>
    </row>
    <row r="555" spans="1:10" s="360" customFormat="1" x14ac:dyDescent="0.25">
      <c r="A555" s="19" t="s">
        <v>28</v>
      </c>
      <c r="B555" s="2">
        <v>43916</v>
      </c>
      <c r="C555" s="1">
        <v>0</v>
      </c>
      <c r="D555" s="39">
        <v>0</v>
      </c>
      <c r="E555" s="1"/>
      <c r="F555" s="39">
        <f t="shared" si="19"/>
        <v>0</v>
      </c>
      <c r="G555" s="497"/>
      <c r="H555" s="497"/>
      <c r="J555" s="42"/>
    </row>
    <row r="556" spans="1:10" s="360" customFormat="1" x14ac:dyDescent="0.25">
      <c r="A556" s="19" t="s">
        <v>15</v>
      </c>
      <c r="B556" s="2">
        <v>43916</v>
      </c>
      <c r="C556" s="1">
        <v>3</v>
      </c>
      <c r="D556" s="39">
        <v>55</v>
      </c>
      <c r="E556" s="1"/>
      <c r="F556" s="39">
        <f t="shared" si="19"/>
        <v>3</v>
      </c>
      <c r="G556" s="497"/>
      <c r="H556" s="497"/>
      <c r="J556" s="42"/>
    </row>
    <row r="557" spans="1:10" s="360" customFormat="1" x14ac:dyDescent="0.25">
      <c r="A557" s="19" t="s">
        <v>29</v>
      </c>
      <c r="B557" s="2">
        <v>43916</v>
      </c>
      <c r="C557" s="1">
        <v>0</v>
      </c>
      <c r="D557" s="39">
        <v>0</v>
      </c>
      <c r="E557" s="1">
        <v>1</v>
      </c>
      <c r="F557" s="39">
        <f t="shared" si="19"/>
        <v>1</v>
      </c>
      <c r="G557" s="497"/>
      <c r="H557" s="497"/>
      <c r="J557" s="42"/>
    </row>
    <row r="558" spans="1:10" s="360" customFormat="1" x14ac:dyDescent="0.25">
      <c r="A558" s="19" t="s">
        <v>43</v>
      </c>
      <c r="B558" s="2">
        <v>43916</v>
      </c>
      <c r="C558" s="1">
        <v>30</v>
      </c>
      <c r="D558" s="39">
        <v>196</v>
      </c>
      <c r="E558" s="1">
        <v>1</v>
      </c>
      <c r="F558" s="39">
        <f t="shared" si="19"/>
        <v>3</v>
      </c>
      <c r="G558" s="497"/>
      <c r="H558" s="497"/>
      <c r="J558" s="42"/>
    </row>
    <row r="559" spans="1:10" s="360" customFormat="1" x14ac:dyDescent="0.25">
      <c r="A559" s="19" t="s">
        <v>20</v>
      </c>
      <c r="B559" s="2">
        <v>43916</v>
      </c>
      <c r="C559" s="1">
        <v>4</v>
      </c>
      <c r="D559" s="39">
        <v>54</v>
      </c>
      <c r="E559" s="1"/>
      <c r="F559" s="39">
        <f t="shared" si="19"/>
        <v>0</v>
      </c>
      <c r="G559" s="497"/>
      <c r="H559" s="497"/>
      <c r="J559" s="42"/>
    </row>
    <row r="560" spans="1:10" s="360" customFormat="1" x14ac:dyDescent="0.25">
      <c r="A560" s="19" t="s">
        <v>30</v>
      </c>
      <c r="B560" s="2">
        <v>43916</v>
      </c>
      <c r="C560" s="1">
        <v>0</v>
      </c>
      <c r="D560" s="39">
        <v>3</v>
      </c>
      <c r="E560" s="1"/>
      <c r="F560" s="39">
        <f t="shared" si="19"/>
        <v>0</v>
      </c>
      <c r="G560" s="497"/>
      <c r="H560" s="497"/>
      <c r="J560" s="42"/>
    </row>
    <row r="561" spans="1:10" x14ac:dyDescent="0.25">
      <c r="A561" s="19" t="s">
        <v>31</v>
      </c>
      <c r="B561" s="2">
        <v>43916</v>
      </c>
      <c r="C561" s="1">
        <v>0</v>
      </c>
      <c r="D561" s="39">
        <v>7</v>
      </c>
      <c r="F561" s="39">
        <f t="shared" si="19"/>
        <v>0</v>
      </c>
    </row>
    <row r="562" spans="1:10" s="360" customFormat="1" x14ac:dyDescent="0.25">
      <c r="A562" s="19" t="s">
        <v>41</v>
      </c>
      <c r="B562" s="2">
        <v>43916</v>
      </c>
      <c r="C562" s="1">
        <v>0</v>
      </c>
      <c r="D562" s="39">
        <v>0</v>
      </c>
      <c r="E562" s="1"/>
      <c r="F562" s="39">
        <f t="shared" si="19"/>
        <v>0</v>
      </c>
      <c r="G562" s="497"/>
      <c r="H562" s="497"/>
      <c r="J562" s="42"/>
    </row>
    <row r="563" spans="1:10" s="360" customFormat="1" x14ac:dyDescent="0.25">
      <c r="A563" s="19" t="s">
        <v>32</v>
      </c>
      <c r="B563" s="2">
        <v>43916</v>
      </c>
      <c r="C563" s="1">
        <v>2</v>
      </c>
      <c r="D563" s="39">
        <v>3</v>
      </c>
      <c r="E563" s="1"/>
      <c r="F563" s="39">
        <f t="shared" si="19"/>
        <v>0</v>
      </c>
      <c r="G563" s="497"/>
      <c r="H563" s="497"/>
      <c r="J563" s="42"/>
    </row>
    <row r="564" spans="1:10" s="360" customFormat="1" x14ac:dyDescent="0.25">
      <c r="A564" s="19" t="s">
        <v>33</v>
      </c>
      <c r="B564" s="2">
        <v>43916</v>
      </c>
      <c r="C564" s="1">
        <v>0</v>
      </c>
      <c r="D564" s="39">
        <v>1</v>
      </c>
      <c r="E564" s="1"/>
      <c r="F564" s="39">
        <f t="shared" si="19"/>
        <v>0</v>
      </c>
      <c r="G564" s="497"/>
      <c r="H564" s="497"/>
      <c r="J564" s="42"/>
    </row>
    <row r="565" spans="1:10" s="360" customFormat="1" x14ac:dyDescent="0.25">
      <c r="A565" s="19" t="s">
        <v>21</v>
      </c>
      <c r="B565" s="2">
        <v>43916</v>
      </c>
      <c r="C565" s="1">
        <v>0</v>
      </c>
      <c r="D565" s="39">
        <v>0</v>
      </c>
      <c r="E565" s="1"/>
      <c r="F565" s="39">
        <f t="shared" si="19"/>
        <v>0</v>
      </c>
      <c r="G565" s="497"/>
      <c r="H565" s="497"/>
      <c r="J565" s="42"/>
    </row>
    <row r="566" spans="1:10" s="360" customFormat="1" x14ac:dyDescent="0.25">
      <c r="A566" s="19" t="s">
        <v>17</v>
      </c>
      <c r="B566" s="2">
        <v>43916</v>
      </c>
      <c r="C566" s="1">
        <v>1</v>
      </c>
      <c r="D566" s="39">
        <v>7</v>
      </c>
      <c r="E566" s="1"/>
      <c r="F566" s="39">
        <f t="shared" si="19"/>
        <v>0</v>
      </c>
      <c r="G566" s="497"/>
      <c r="H566" s="497"/>
      <c r="J566" s="42"/>
    </row>
    <row r="567" spans="1:10" s="360" customFormat="1" x14ac:dyDescent="0.25">
      <c r="A567" s="19" t="s">
        <v>23</v>
      </c>
      <c r="B567" s="2">
        <v>43916</v>
      </c>
      <c r="C567" s="1">
        <v>0</v>
      </c>
      <c r="D567" s="39">
        <v>1</v>
      </c>
      <c r="E567" s="1"/>
      <c r="F567" s="39">
        <f t="shared" si="19"/>
        <v>0</v>
      </c>
      <c r="G567" s="497"/>
      <c r="H567" s="497"/>
      <c r="J567" s="42"/>
    </row>
    <row r="568" spans="1:10" s="360" customFormat="1" x14ac:dyDescent="0.25">
      <c r="A568" s="19" t="s">
        <v>19</v>
      </c>
      <c r="B568" s="2">
        <v>43916</v>
      </c>
      <c r="C568" s="1">
        <v>3</v>
      </c>
      <c r="D568" s="39">
        <v>7</v>
      </c>
      <c r="E568" s="1"/>
      <c r="F568" s="39">
        <f t="shared" si="19"/>
        <v>0</v>
      </c>
      <c r="G568" s="497"/>
      <c r="H568" s="497"/>
      <c r="J568" s="42"/>
    </row>
    <row r="569" spans="1:10" s="360" customFormat="1" x14ac:dyDescent="0.25">
      <c r="A569" s="19" t="s">
        <v>18</v>
      </c>
      <c r="B569" s="2">
        <v>43916</v>
      </c>
      <c r="C569" s="1">
        <v>0</v>
      </c>
      <c r="D569" s="39">
        <v>4</v>
      </c>
      <c r="E569" s="1"/>
      <c r="F569" s="39">
        <f t="shared" si="19"/>
        <v>0</v>
      </c>
      <c r="G569" s="497"/>
      <c r="H569" s="497"/>
      <c r="J569" s="42"/>
    </row>
    <row r="570" spans="1:10" s="360" customFormat="1" x14ac:dyDescent="0.25">
      <c r="A570" s="19" t="s">
        <v>34</v>
      </c>
      <c r="B570" s="2">
        <v>43916</v>
      </c>
      <c r="C570" s="1">
        <v>0</v>
      </c>
      <c r="D570" s="39">
        <v>1</v>
      </c>
      <c r="E570" s="1"/>
      <c r="F570" s="39">
        <f t="shared" si="19"/>
        <v>0</v>
      </c>
      <c r="G570" s="497"/>
      <c r="H570" s="497"/>
      <c r="J570" s="42"/>
    </row>
    <row r="571" spans="1:10" s="360" customFormat="1" x14ac:dyDescent="0.25">
      <c r="A571" s="19" t="s">
        <v>35</v>
      </c>
      <c r="B571" s="2">
        <v>43916</v>
      </c>
      <c r="C571" s="1">
        <v>0</v>
      </c>
      <c r="D571" s="39">
        <v>0</v>
      </c>
      <c r="E571" s="1"/>
      <c r="F571" s="39">
        <f t="shared" ref="F571:F577" si="20">E571+F547</f>
        <v>0</v>
      </c>
      <c r="G571" s="497"/>
      <c r="H571" s="497"/>
      <c r="J571" s="42"/>
    </row>
    <row r="572" spans="1:10" s="360" customFormat="1" x14ac:dyDescent="0.25">
      <c r="A572" s="19" t="s">
        <v>36</v>
      </c>
      <c r="B572" s="2">
        <v>43916</v>
      </c>
      <c r="C572" s="1">
        <v>0</v>
      </c>
      <c r="D572" s="39">
        <v>6</v>
      </c>
      <c r="E572" s="1"/>
      <c r="F572" s="39">
        <f t="shared" si="20"/>
        <v>0</v>
      </c>
      <c r="G572" s="497"/>
      <c r="H572" s="497"/>
      <c r="J572" s="42"/>
    </row>
    <row r="573" spans="1:10" s="360" customFormat="1" x14ac:dyDescent="0.25">
      <c r="A573" s="19" t="s">
        <v>37</v>
      </c>
      <c r="B573" s="2">
        <v>43916</v>
      </c>
      <c r="C573" s="1">
        <v>2</v>
      </c>
      <c r="D573" s="39">
        <v>9</v>
      </c>
      <c r="E573" s="1"/>
      <c r="F573" s="39">
        <f t="shared" si="20"/>
        <v>0</v>
      </c>
      <c r="G573" s="497"/>
      <c r="H573" s="497"/>
      <c r="J573" s="42"/>
    </row>
    <row r="574" spans="1:10" s="360" customFormat="1" x14ac:dyDescent="0.25">
      <c r="A574" s="19" t="s">
        <v>22</v>
      </c>
      <c r="B574" s="2">
        <v>43916</v>
      </c>
      <c r="C574" s="1">
        <v>12</v>
      </c>
      <c r="D574" s="39">
        <v>54</v>
      </c>
      <c r="E574" s="1"/>
      <c r="F574" s="39">
        <f t="shared" si="20"/>
        <v>0</v>
      </c>
      <c r="G574" s="497"/>
      <c r="H574" s="497"/>
      <c r="J574" s="42"/>
    </row>
    <row r="575" spans="1:10" s="360" customFormat="1" x14ac:dyDescent="0.25">
      <c r="A575" s="19" t="s">
        <v>38</v>
      </c>
      <c r="B575" s="2">
        <v>43916</v>
      </c>
      <c r="C575" s="1">
        <v>0</v>
      </c>
      <c r="D575" s="39">
        <v>1</v>
      </c>
      <c r="E575" s="1"/>
      <c r="F575" s="39">
        <f t="shared" si="20"/>
        <v>0</v>
      </c>
      <c r="G575" s="497"/>
      <c r="H575" s="497"/>
      <c r="J575" s="42"/>
    </row>
    <row r="576" spans="1:10" s="360" customFormat="1" x14ac:dyDescent="0.25">
      <c r="A576" s="19" t="s">
        <v>39</v>
      </c>
      <c r="B576" s="2">
        <v>43916</v>
      </c>
      <c r="C576" s="1">
        <v>3</v>
      </c>
      <c r="D576" s="39">
        <v>14</v>
      </c>
      <c r="E576" s="1"/>
      <c r="F576" s="39">
        <f t="shared" si="20"/>
        <v>0</v>
      </c>
      <c r="G576" s="497"/>
      <c r="H576" s="497"/>
      <c r="J576" s="42"/>
    </row>
    <row r="577" spans="1:10" s="360" customFormat="1" x14ac:dyDescent="0.25">
      <c r="A577" s="19" t="s">
        <v>40</v>
      </c>
      <c r="B577" s="2">
        <v>43916</v>
      </c>
      <c r="C577" s="1">
        <v>0</v>
      </c>
      <c r="D577" s="39">
        <v>9</v>
      </c>
      <c r="E577" s="1"/>
      <c r="F577" s="39">
        <f t="shared" si="20"/>
        <v>0</v>
      </c>
      <c r="G577" s="497"/>
      <c r="H577" s="497"/>
      <c r="J577" s="42"/>
    </row>
    <row r="578" spans="1:10" s="360" customFormat="1" x14ac:dyDescent="0.25">
      <c r="A578" s="361" t="s">
        <v>16</v>
      </c>
      <c r="B578" s="2">
        <v>43917</v>
      </c>
      <c r="C578" s="1">
        <v>36</v>
      </c>
      <c r="D578" s="39">
        <v>191</v>
      </c>
      <c r="E578" s="264">
        <v>1</v>
      </c>
      <c r="F578" s="39">
        <f>E578+F554</f>
        <v>5</v>
      </c>
      <c r="G578" s="497"/>
      <c r="H578" s="497"/>
      <c r="J578" s="42"/>
    </row>
    <row r="579" spans="1:10" s="360" customFormat="1" x14ac:dyDescent="0.25">
      <c r="A579" s="19" t="s">
        <v>28</v>
      </c>
      <c r="B579" s="2">
        <v>43917</v>
      </c>
      <c r="C579" s="1">
        <v>0</v>
      </c>
      <c r="D579" s="39">
        <v>0</v>
      </c>
      <c r="E579" s="1"/>
      <c r="F579" s="39">
        <f t="shared" ref="F579:F601" si="21">E579+F555</f>
        <v>0</v>
      </c>
      <c r="G579" s="497"/>
      <c r="H579" s="497"/>
      <c r="J579" s="42"/>
    </row>
    <row r="580" spans="1:10" s="360" customFormat="1" x14ac:dyDescent="0.25">
      <c r="A580" s="19" t="s">
        <v>15</v>
      </c>
      <c r="B580" s="2">
        <v>43917</v>
      </c>
      <c r="C580" s="1">
        <v>3</v>
      </c>
      <c r="D580" s="39">
        <v>58</v>
      </c>
      <c r="E580" s="1"/>
      <c r="F580" s="39">
        <f t="shared" si="21"/>
        <v>3</v>
      </c>
      <c r="G580" s="497"/>
      <c r="H580" s="497"/>
      <c r="J580" s="42"/>
    </row>
    <row r="581" spans="1:10" s="360" customFormat="1" x14ac:dyDescent="0.25">
      <c r="A581" s="19" t="s">
        <v>29</v>
      </c>
      <c r="B581" s="2">
        <v>43917</v>
      </c>
      <c r="C581" s="1">
        <v>0</v>
      </c>
      <c r="D581" s="39">
        <v>0</v>
      </c>
      <c r="E581" s="1"/>
      <c r="F581" s="39">
        <f t="shared" si="21"/>
        <v>1</v>
      </c>
      <c r="G581" s="497"/>
      <c r="H581" s="497"/>
      <c r="J581" s="42"/>
    </row>
    <row r="582" spans="1:10" s="360" customFormat="1" x14ac:dyDescent="0.25">
      <c r="A582" s="19" t="s">
        <v>43</v>
      </c>
      <c r="B582" s="2">
        <v>43917</v>
      </c>
      <c r="C582" s="1">
        <v>43</v>
      </c>
      <c r="D582" s="39">
        <v>239</v>
      </c>
      <c r="E582" s="1">
        <v>1</v>
      </c>
      <c r="F582" s="39">
        <f t="shared" si="21"/>
        <v>4</v>
      </c>
      <c r="G582" s="497"/>
      <c r="H582" s="497"/>
      <c r="J582" s="42"/>
    </row>
    <row r="583" spans="1:10" s="360" customFormat="1" x14ac:dyDescent="0.25">
      <c r="A583" s="19" t="s">
        <v>20</v>
      </c>
      <c r="B583" s="2">
        <v>43917</v>
      </c>
      <c r="C583" s="1">
        <v>5</v>
      </c>
      <c r="D583" s="39">
        <v>59</v>
      </c>
      <c r="E583" s="1"/>
      <c r="F583" s="39">
        <f t="shared" si="21"/>
        <v>0</v>
      </c>
      <c r="G583" s="497"/>
      <c r="H583" s="497"/>
      <c r="J583" s="42"/>
    </row>
    <row r="584" spans="1:10" s="360" customFormat="1" x14ac:dyDescent="0.25">
      <c r="A584" s="19" t="s">
        <v>30</v>
      </c>
      <c r="B584" s="2">
        <v>43917</v>
      </c>
      <c r="C584" s="1">
        <v>2</v>
      </c>
      <c r="D584" s="39">
        <v>5</v>
      </c>
      <c r="E584" s="1"/>
      <c r="F584" s="39">
        <f t="shared" si="21"/>
        <v>0</v>
      </c>
      <c r="G584" s="497"/>
      <c r="H584" s="497"/>
      <c r="J584" s="42"/>
    </row>
    <row r="585" spans="1:10" x14ac:dyDescent="0.25">
      <c r="A585" s="19" t="s">
        <v>31</v>
      </c>
      <c r="B585" s="2">
        <v>43917</v>
      </c>
      <c r="C585" s="1">
        <v>3</v>
      </c>
      <c r="D585" s="39">
        <v>10</v>
      </c>
      <c r="F585" s="39">
        <f t="shared" si="21"/>
        <v>0</v>
      </c>
    </row>
    <row r="586" spans="1:10" s="360" customFormat="1" x14ac:dyDescent="0.25">
      <c r="A586" s="19" t="s">
        <v>41</v>
      </c>
      <c r="B586" s="2">
        <v>43917</v>
      </c>
      <c r="C586" s="1">
        <v>0</v>
      </c>
      <c r="D586" s="39">
        <v>0</v>
      </c>
      <c r="E586" s="1"/>
      <c r="F586" s="39">
        <f t="shared" si="21"/>
        <v>0</v>
      </c>
      <c r="G586" s="497"/>
      <c r="H586" s="497"/>
      <c r="J586" s="42"/>
    </row>
    <row r="587" spans="1:10" s="360" customFormat="1" x14ac:dyDescent="0.25">
      <c r="A587" s="19" t="s">
        <v>32</v>
      </c>
      <c r="B587" s="2">
        <v>43917</v>
      </c>
      <c r="C587" s="1">
        <v>0</v>
      </c>
      <c r="D587" s="39">
        <v>3</v>
      </c>
      <c r="E587" s="1"/>
      <c r="F587" s="39">
        <f t="shared" si="21"/>
        <v>0</v>
      </c>
      <c r="G587" s="497"/>
      <c r="H587" s="497"/>
      <c r="J587" s="42"/>
    </row>
    <row r="588" spans="1:10" s="360" customFormat="1" x14ac:dyDescent="0.25">
      <c r="A588" s="19" t="s">
        <v>33</v>
      </c>
      <c r="B588" s="2">
        <v>43917</v>
      </c>
      <c r="C588" s="1">
        <v>0</v>
      </c>
      <c r="D588" s="39">
        <v>1</v>
      </c>
      <c r="E588" s="1"/>
      <c r="F588" s="39">
        <f t="shared" si="21"/>
        <v>0</v>
      </c>
      <c r="G588" s="497"/>
      <c r="H588" s="497"/>
      <c r="J588" s="42"/>
    </row>
    <row r="589" spans="1:10" s="360" customFormat="1" x14ac:dyDescent="0.25">
      <c r="A589" s="19" t="s">
        <v>21</v>
      </c>
      <c r="B589" s="2">
        <v>43917</v>
      </c>
      <c r="C589" s="1">
        <v>0</v>
      </c>
      <c r="D589" s="39">
        <v>0</v>
      </c>
      <c r="E589" s="1"/>
      <c r="F589" s="39">
        <f t="shared" si="21"/>
        <v>0</v>
      </c>
      <c r="G589" s="497"/>
      <c r="H589" s="497"/>
      <c r="J589" s="42"/>
    </row>
    <row r="590" spans="1:10" s="360" customFormat="1" x14ac:dyDescent="0.25">
      <c r="A590" s="19" t="s">
        <v>17</v>
      </c>
      <c r="B590" s="2">
        <v>43917</v>
      </c>
      <c r="C590" s="1">
        <v>1</v>
      </c>
      <c r="D590" s="39">
        <v>8</v>
      </c>
      <c r="E590" s="1">
        <v>1</v>
      </c>
      <c r="F590" s="39">
        <f t="shared" si="21"/>
        <v>1</v>
      </c>
      <c r="G590" s="497"/>
      <c r="H590" s="497"/>
      <c r="J590" s="42"/>
    </row>
    <row r="591" spans="1:10" s="360" customFormat="1" x14ac:dyDescent="0.25">
      <c r="A591" s="19" t="s">
        <v>23</v>
      </c>
      <c r="B591" s="2">
        <v>43917</v>
      </c>
      <c r="C591" s="1">
        <v>0</v>
      </c>
      <c r="D591" s="39">
        <v>1</v>
      </c>
      <c r="E591" s="1"/>
      <c r="F591" s="39">
        <f t="shared" si="21"/>
        <v>0</v>
      </c>
      <c r="G591" s="497"/>
      <c r="H591" s="497"/>
      <c r="J591" s="42"/>
    </row>
    <row r="592" spans="1:10" s="360" customFormat="1" x14ac:dyDescent="0.25">
      <c r="A592" s="19" t="s">
        <v>19</v>
      </c>
      <c r="B592" s="2">
        <v>43917</v>
      </c>
      <c r="C592" s="1">
        <v>3</v>
      </c>
      <c r="D592" s="39">
        <v>10</v>
      </c>
      <c r="E592" s="1"/>
      <c r="F592" s="39">
        <f t="shared" si="21"/>
        <v>0</v>
      </c>
      <c r="G592" s="497"/>
      <c r="H592" s="497"/>
      <c r="J592" s="42"/>
    </row>
    <row r="593" spans="1:10" s="360" customFormat="1" x14ac:dyDescent="0.25">
      <c r="A593" s="19" t="s">
        <v>18</v>
      </c>
      <c r="B593" s="2">
        <v>43917</v>
      </c>
      <c r="C593" s="1">
        <v>3</v>
      </c>
      <c r="D593" s="39">
        <v>7</v>
      </c>
      <c r="E593" s="1">
        <v>1</v>
      </c>
      <c r="F593" s="39">
        <f t="shared" si="21"/>
        <v>1</v>
      </c>
      <c r="G593" s="497"/>
      <c r="H593" s="497"/>
      <c r="J593" s="42"/>
    </row>
    <row r="594" spans="1:10" s="360" customFormat="1" x14ac:dyDescent="0.25">
      <c r="A594" s="19" t="s">
        <v>34</v>
      </c>
      <c r="B594" s="2">
        <v>43917</v>
      </c>
      <c r="C594" s="1">
        <v>0</v>
      </c>
      <c r="D594" s="39">
        <v>1</v>
      </c>
      <c r="E594" s="1"/>
      <c r="F594" s="39">
        <f t="shared" si="21"/>
        <v>0</v>
      </c>
      <c r="G594" s="497"/>
      <c r="H594" s="497"/>
      <c r="J594" s="42"/>
    </row>
    <row r="595" spans="1:10" s="360" customFormat="1" x14ac:dyDescent="0.25">
      <c r="A595" s="19" t="s">
        <v>35</v>
      </c>
      <c r="B595" s="2">
        <v>43917</v>
      </c>
      <c r="C595" s="1">
        <v>0</v>
      </c>
      <c r="D595" s="39">
        <v>0</v>
      </c>
      <c r="E595" s="1"/>
      <c r="F595" s="39">
        <f t="shared" si="21"/>
        <v>0</v>
      </c>
      <c r="G595" s="497"/>
      <c r="H595" s="497"/>
      <c r="J595" s="42"/>
    </row>
    <row r="596" spans="1:10" s="360" customFormat="1" x14ac:dyDescent="0.25">
      <c r="A596" s="19" t="s">
        <v>36</v>
      </c>
      <c r="B596" s="2">
        <v>43917</v>
      </c>
      <c r="C596" s="1">
        <v>0</v>
      </c>
      <c r="D596" s="39">
        <v>6</v>
      </c>
      <c r="E596" s="1"/>
      <c r="F596" s="39">
        <f t="shared" si="21"/>
        <v>0</v>
      </c>
      <c r="G596" s="497"/>
      <c r="H596" s="497"/>
      <c r="J596" s="42"/>
    </row>
    <row r="597" spans="1:10" s="360" customFormat="1" x14ac:dyDescent="0.25">
      <c r="A597" s="19" t="s">
        <v>37</v>
      </c>
      <c r="B597" s="2">
        <v>43917</v>
      </c>
      <c r="C597" s="1">
        <v>0</v>
      </c>
      <c r="D597" s="39">
        <v>9</v>
      </c>
      <c r="E597" s="1"/>
      <c r="F597" s="39">
        <f t="shared" si="21"/>
        <v>0</v>
      </c>
      <c r="G597" s="497"/>
      <c r="H597" s="497"/>
      <c r="J597" s="42"/>
    </row>
    <row r="598" spans="1:10" s="360" customFormat="1" x14ac:dyDescent="0.25">
      <c r="A598" s="19" t="s">
        <v>22</v>
      </c>
      <c r="B598" s="2">
        <v>43917</v>
      </c>
      <c r="C598" s="1">
        <v>9</v>
      </c>
      <c r="D598" s="39">
        <v>63</v>
      </c>
      <c r="E598" s="1"/>
      <c r="F598" s="39">
        <f t="shared" si="21"/>
        <v>0</v>
      </c>
      <c r="G598" s="497"/>
      <c r="H598" s="497"/>
      <c r="J598" s="42"/>
    </row>
    <row r="599" spans="1:10" s="360" customFormat="1" x14ac:dyDescent="0.25">
      <c r="A599" s="19" t="s">
        <v>38</v>
      </c>
      <c r="B599" s="2">
        <v>43917</v>
      </c>
      <c r="C599" s="1">
        <v>1</v>
      </c>
      <c r="D599" s="39">
        <v>2</v>
      </c>
      <c r="E599" s="1"/>
      <c r="F599" s="39">
        <f t="shared" si="21"/>
        <v>0</v>
      </c>
      <c r="G599" s="497"/>
      <c r="H599" s="497"/>
      <c r="J599" s="42"/>
    </row>
    <row r="600" spans="1:10" s="360" customFormat="1" x14ac:dyDescent="0.25">
      <c r="A600" s="19" t="s">
        <v>39</v>
      </c>
      <c r="B600" s="2">
        <v>43917</v>
      </c>
      <c r="C600" s="1">
        <v>0</v>
      </c>
      <c r="D600" s="39">
        <v>14</v>
      </c>
      <c r="E600" s="1"/>
      <c r="F600" s="39">
        <f t="shared" si="21"/>
        <v>0</v>
      </c>
      <c r="G600" s="497"/>
      <c r="H600" s="497"/>
      <c r="J600" s="42"/>
    </row>
    <row r="601" spans="1:10" s="360" customFormat="1" x14ac:dyDescent="0.25">
      <c r="A601" s="19" t="s">
        <v>40</v>
      </c>
      <c r="B601" s="2">
        <v>43917</v>
      </c>
      <c r="C601" s="1">
        <v>6</v>
      </c>
      <c r="D601" s="39">
        <v>15</v>
      </c>
      <c r="E601" s="1"/>
      <c r="F601" s="39">
        <f t="shared" si="21"/>
        <v>0</v>
      </c>
      <c r="G601" s="497"/>
      <c r="H601" s="497"/>
      <c r="J601" s="42"/>
    </row>
    <row r="602" spans="1:10" s="360" customFormat="1" x14ac:dyDescent="0.25">
      <c r="A602" s="361" t="s">
        <v>16</v>
      </c>
      <c r="B602" s="2">
        <v>43918</v>
      </c>
      <c r="C602" s="1">
        <v>8</v>
      </c>
      <c r="D602" s="39">
        <v>199</v>
      </c>
      <c r="E602" s="1">
        <v>1</v>
      </c>
      <c r="F602" s="39">
        <f>E602+F578</f>
        <v>6</v>
      </c>
      <c r="G602" s="497"/>
      <c r="H602" s="497"/>
      <c r="J602" s="42"/>
    </row>
    <row r="603" spans="1:10" s="360" customFormat="1" x14ac:dyDescent="0.25">
      <c r="A603" s="19" t="s">
        <v>28</v>
      </c>
      <c r="B603" s="2">
        <v>43918</v>
      </c>
      <c r="C603" s="1">
        <v>0</v>
      </c>
      <c r="D603" s="39">
        <v>0</v>
      </c>
      <c r="E603" s="1"/>
      <c r="F603" s="39">
        <f t="shared" ref="F603:F625" si="22">E603+F579</f>
        <v>0</v>
      </c>
      <c r="G603" s="497"/>
      <c r="H603" s="497"/>
      <c r="J603" s="42"/>
    </row>
    <row r="604" spans="1:10" s="360" customFormat="1" x14ac:dyDescent="0.25">
      <c r="A604" s="19" t="s">
        <v>15</v>
      </c>
      <c r="B604" s="2">
        <v>43918</v>
      </c>
      <c r="C604" s="1">
        <v>5</v>
      </c>
      <c r="D604" s="39">
        <v>63</v>
      </c>
      <c r="E604" s="1"/>
      <c r="F604" s="39">
        <f t="shared" si="22"/>
        <v>3</v>
      </c>
      <c r="G604" s="497"/>
      <c r="H604" s="497"/>
      <c r="J604" s="42"/>
    </row>
    <row r="605" spans="1:10" s="360" customFormat="1" x14ac:dyDescent="0.25">
      <c r="A605" s="19" t="s">
        <v>29</v>
      </c>
      <c r="B605" s="2">
        <v>43918</v>
      </c>
      <c r="C605" s="1">
        <v>0</v>
      </c>
      <c r="D605" s="39">
        <v>0</v>
      </c>
      <c r="E605" s="1"/>
      <c r="F605" s="39">
        <f t="shared" si="22"/>
        <v>1</v>
      </c>
      <c r="G605" s="497"/>
      <c r="H605" s="497"/>
      <c r="J605" s="42"/>
    </row>
    <row r="606" spans="1:10" s="360" customFormat="1" x14ac:dyDescent="0.25">
      <c r="A606" s="19" t="s">
        <v>43</v>
      </c>
      <c r="B606" s="2">
        <v>43918</v>
      </c>
      <c r="C606" s="1">
        <v>18</v>
      </c>
      <c r="D606" s="39">
        <v>257</v>
      </c>
      <c r="E606" s="1">
        <v>1</v>
      </c>
      <c r="F606" s="39">
        <f t="shared" si="22"/>
        <v>5</v>
      </c>
      <c r="G606" s="497"/>
      <c r="H606" s="497"/>
      <c r="J606" s="42"/>
    </row>
    <row r="607" spans="1:10" s="360" customFormat="1" x14ac:dyDescent="0.25">
      <c r="A607" s="19" t="s">
        <v>20</v>
      </c>
      <c r="B607" s="2">
        <v>43918</v>
      </c>
      <c r="C607" s="1">
        <v>1</v>
      </c>
      <c r="D607" s="39">
        <v>60</v>
      </c>
      <c r="E607" s="1"/>
      <c r="F607" s="39">
        <f t="shared" si="22"/>
        <v>0</v>
      </c>
      <c r="G607" s="497"/>
      <c r="H607" s="497"/>
      <c r="J607" s="42"/>
    </row>
    <row r="608" spans="1:10" s="360" customFormat="1" x14ac:dyDescent="0.25">
      <c r="A608" s="19" t="s">
        <v>30</v>
      </c>
      <c r="B608" s="2">
        <v>43918</v>
      </c>
      <c r="C608" s="1">
        <v>3</v>
      </c>
      <c r="D608" s="39">
        <v>8</v>
      </c>
      <c r="E608" s="1"/>
      <c r="F608" s="39">
        <f t="shared" si="22"/>
        <v>0</v>
      </c>
      <c r="G608" s="497"/>
      <c r="H608" s="497"/>
      <c r="J608" s="42"/>
    </row>
    <row r="609" spans="1:10" x14ac:dyDescent="0.25">
      <c r="A609" s="19" t="s">
        <v>31</v>
      </c>
      <c r="B609" s="2">
        <v>43918</v>
      </c>
      <c r="C609" s="1">
        <v>0</v>
      </c>
      <c r="D609" s="39">
        <v>10</v>
      </c>
      <c r="F609" s="39">
        <f t="shared" si="22"/>
        <v>0</v>
      </c>
    </row>
    <row r="610" spans="1:10" s="360" customFormat="1" x14ac:dyDescent="0.25">
      <c r="A610" s="19" t="s">
        <v>41</v>
      </c>
      <c r="B610" s="2">
        <v>43918</v>
      </c>
      <c r="C610" s="1">
        <v>0</v>
      </c>
      <c r="D610" s="39">
        <v>0</v>
      </c>
      <c r="E610" s="1"/>
      <c r="F610" s="39">
        <f t="shared" si="22"/>
        <v>0</v>
      </c>
      <c r="G610" s="497"/>
      <c r="H610" s="497"/>
      <c r="J610" s="42"/>
    </row>
    <row r="611" spans="1:10" s="360" customFormat="1" x14ac:dyDescent="0.25">
      <c r="A611" s="19" t="s">
        <v>32</v>
      </c>
      <c r="B611" s="2">
        <v>43918</v>
      </c>
      <c r="C611" s="1">
        <v>0</v>
      </c>
      <c r="D611" s="39">
        <v>3</v>
      </c>
      <c r="E611" s="1"/>
      <c r="F611" s="39">
        <f t="shared" si="22"/>
        <v>0</v>
      </c>
      <c r="G611" s="497"/>
      <c r="H611" s="497"/>
      <c r="J611" s="42"/>
    </row>
    <row r="612" spans="1:10" s="360" customFormat="1" x14ac:dyDescent="0.25">
      <c r="A612" s="19" t="s">
        <v>33</v>
      </c>
      <c r="B612" s="2">
        <v>43918</v>
      </c>
      <c r="C612" s="1">
        <v>0</v>
      </c>
      <c r="D612" s="39">
        <v>1</v>
      </c>
      <c r="E612" s="1"/>
      <c r="F612" s="39">
        <f t="shared" si="22"/>
        <v>0</v>
      </c>
      <c r="G612" s="497"/>
      <c r="H612" s="497"/>
      <c r="J612" s="42"/>
    </row>
    <row r="613" spans="1:10" s="360" customFormat="1" x14ac:dyDescent="0.25">
      <c r="A613" s="19" t="s">
        <v>21</v>
      </c>
      <c r="B613" s="2">
        <v>43918</v>
      </c>
      <c r="C613" s="1">
        <v>0</v>
      </c>
      <c r="D613" s="39">
        <v>0</v>
      </c>
      <c r="E613" s="1"/>
      <c r="F613" s="39">
        <f t="shared" si="22"/>
        <v>0</v>
      </c>
      <c r="G613" s="497"/>
      <c r="H613" s="497"/>
      <c r="J613" s="42"/>
    </row>
    <row r="614" spans="1:10" s="360" customFormat="1" x14ac:dyDescent="0.25">
      <c r="A614" s="19" t="s">
        <v>17</v>
      </c>
      <c r="B614" s="2">
        <v>43918</v>
      </c>
      <c r="C614" s="1">
        <v>1</v>
      </c>
      <c r="D614" s="39">
        <v>9</v>
      </c>
      <c r="E614" s="1"/>
      <c r="F614" s="39">
        <f t="shared" si="22"/>
        <v>1</v>
      </c>
      <c r="G614" s="497"/>
      <c r="H614" s="497"/>
      <c r="J614" s="42"/>
    </row>
    <row r="615" spans="1:10" s="360" customFormat="1" x14ac:dyDescent="0.25">
      <c r="A615" s="19" t="s">
        <v>23</v>
      </c>
      <c r="B615" s="2">
        <v>43918</v>
      </c>
      <c r="C615" s="1">
        <v>0</v>
      </c>
      <c r="D615" s="39">
        <v>1</v>
      </c>
      <c r="E615" s="1"/>
      <c r="F615" s="39">
        <f t="shared" si="22"/>
        <v>0</v>
      </c>
      <c r="G615" s="497"/>
      <c r="H615" s="497"/>
      <c r="J615" s="42"/>
    </row>
    <row r="616" spans="1:10" s="360" customFormat="1" x14ac:dyDescent="0.25">
      <c r="A616" s="19" t="s">
        <v>19</v>
      </c>
      <c r="B616" s="2">
        <v>43918</v>
      </c>
      <c r="C616" s="1">
        <v>2</v>
      </c>
      <c r="D616" s="39">
        <v>12</v>
      </c>
      <c r="E616" s="1"/>
      <c r="F616" s="39">
        <f t="shared" si="22"/>
        <v>0</v>
      </c>
      <c r="G616" s="497"/>
      <c r="H616" s="497"/>
      <c r="J616" s="42"/>
    </row>
    <row r="617" spans="1:10" s="360" customFormat="1" x14ac:dyDescent="0.25">
      <c r="A617" s="19" t="s">
        <v>18</v>
      </c>
      <c r="B617" s="2">
        <v>43918</v>
      </c>
      <c r="C617" s="1">
        <v>0</v>
      </c>
      <c r="D617" s="39">
        <v>7</v>
      </c>
      <c r="E617" s="1"/>
      <c r="F617" s="39">
        <f t="shared" si="22"/>
        <v>1</v>
      </c>
      <c r="G617" s="497"/>
      <c r="H617" s="497"/>
      <c r="J617" s="42"/>
    </row>
    <row r="618" spans="1:10" s="360" customFormat="1" x14ac:dyDescent="0.25">
      <c r="A618" s="19" t="s">
        <v>34</v>
      </c>
      <c r="B618" s="2">
        <v>43918</v>
      </c>
      <c r="C618" s="1">
        <v>0</v>
      </c>
      <c r="D618" s="39">
        <v>1</v>
      </c>
      <c r="E618" s="1"/>
      <c r="F618" s="39">
        <f t="shared" si="22"/>
        <v>0</v>
      </c>
      <c r="G618" s="497"/>
      <c r="H618" s="497"/>
      <c r="J618" s="42"/>
    </row>
    <row r="619" spans="1:10" s="360" customFormat="1" x14ac:dyDescent="0.25">
      <c r="A619" s="19" t="s">
        <v>35</v>
      </c>
      <c r="B619" s="2">
        <v>43918</v>
      </c>
      <c r="C619" s="1">
        <v>0</v>
      </c>
      <c r="D619" s="39">
        <v>0</v>
      </c>
      <c r="E619" s="1"/>
      <c r="F619" s="39">
        <f t="shared" si="22"/>
        <v>0</v>
      </c>
      <c r="G619" s="497"/>
      <c r="H619" s="497"/>
      <c r="J619" s="42"/>
    </row>
    <row r="620" spans="1:10" s="360" customFormat="1" x14ac:dyDescent="0.25">
      <c r="A620" s="19" t="s">
        <v>36</v>
      </c>
      <c r="B620" s="2">
        <v>43918</v>
      </c>
      <c r="C620" s="1">
        <v>0</v>
      </c>
      <c r="D620" s="39">
        <v>6</v>
      </c>
      <c r="E620" s="1"/>
      <c r="F620" s="39">
        <f t="shared" si="22"/>
        <v>0</v>
      </c>
      <c r="G620" s="497"/>
      <c r="H620" s="497"/>
      <c r="J620" s="42"/>
    </row>
    <row r="621" spans="1:10" s="360" customFormat="1" x14ac:dyDescent="0.25">
      <c r="A621" s="19" t="s">
        <v>37</v>
      </c>
      <c r="B621" s="2">
        <v>43918</v>
      </c>
      <c r="C621" s="1">
        <v>0</v>
      </c>
      <c r="D621" s="39">
        <v>9</v>
      </c>
      <c r="E621" s="1"/>
      <c r="F621" s="39">
        <f t="shared" si="22"/>
        <v>0</v>
      </c>
      <c r="G621" s="497"/>
      <c r="H621" s="497"/>
      <c r="J621" s="42"/>
    </row>
    <row r="622" spans="1:10" s="360" customFormat="1" x14ac:dyDescent="0.25">
      <c r="A622" s="19" t="s">
        <v>22</v>
      </c>
      <c r="B622" s="2">
        <v>43918</v>
      </c>
      <c r="C622" s="1">
        <v>13</v>
      </c>
      <c r="D622" s="39">
        <v>76</v>
      </c>
      <c r="E622" s="1"/>
      <c r="F622" s="39">
        <f t="shared" si="22"/>
        <v>0</v>
      </c>
      <c r="G622" s="497"/>
      <c r="H622" s="497"/>
      <c r="J622" s="42"/>
    </row>
    <row r="623" spans="1:10" s="360" customFormat="1" x14ac:dyDescent="0.25">
      <c r="A623" s="19" t="s">
        <v>38</v>
      </c>
      <c r="B623" s="2">
        <v>43918</v>
      </c>
      <c r="C623" s="1">
        <v>0</v>
      </c>
      <c r="D623" s="39">
        <v>2</v>
      </c>
      <c r="E623" s="1"/>
      <c r="F623" s="39">
        <f t="shared" si="22"/>
        <v>0</v>
      </c>
      <c r="G623" s="497"/>
      <c r="H623" s="497"/>
      <c r="J623" s="42"/>
    </row>
    <row r="624" spans="1:10" s="360" customFormat="1" x14ac:dyDescent="0.25">
      <c r="A624" s="19" t="s">
        <v>39</v>
      </c>
      <c r="B624" s="2">
        <v>43918</v>
      </c>
      <c r="C624" s="1">
        <v>4</v>
      </c>
      <c r="D624" s="39">
        <v>18</v>
      </c>
      <c r="E624" s="1"/>
      <c r="F624" s="39">
        <f t="shared" si="22"/>
        <v>0</v>
      </c>
      <c r="G624" s="497"/>
      <c r="H624" s="497"/>
      <c r="J624" s="42"/>
    </row>
    <row r="625" spans="1:10" s="360" customFormat="1" x14ac:dyDescent="0.25">
      <c r="A625" s="19" t="s">
        <v>40</v>
      </c>
      <c r="B625" s="2">
        <v>43918</v>
      </c>
      <c r="C625" s="1">
        <v>0</v>
      </c>
      <c r="D625" s="39">
        <v>15</v>
      </c>
      <c r="E625" s="1"/>
      <c r="F625" s="39">
        <f t="shared" si="22"/>
        <v>0</v>
      </c>
      <c r="G625" s="497"/>
      <c r="H625" s="497"/>
      <c r="J625" s="42"/>
    </row>
    <row r="626" spans="1:10" s="360" customFormat="1" x14ac:dyDescent="0.25">
      <c r="A626" s="361" t="s">
        <v>16</v>
      </c>
      <c r="B626" s="2">
        <v>43919</v>
      </c>
      <c r="C626" s="1">
        <v>18</v>
      </c>
      <c r="D626" s="39">
        <v>217</v>
      </c>
      <c r="E626" s="264"/>
      <c r="F626" s="39">
        <f>E626+F602</f>
        <v>6</v>
      </c>
      <c r="G626" s="497"/>
      <c r="H626" s="497"/>
      <c r="J626" s="42"/>
    </row>
    <row r="627" spans="1:10" s="360" customFormat="1" x14ac:dyDescent="0.25">
      <c r="A627" s="19" t="s">
        <v>28</v>
      </c>
      <c r="B627" s="2">
        <v>43919</v>
      </c>
      <c r="C627" s="1">
        <v>0</v>
      </c>
      <c r="D627" s="39">
        <v>0</v>
      </c>
      <c r="E627" s="1"/>
      <c r="F627" s="39">
        <f t="shared" ref="F627:F649" si="23">E627+F603</f>
        <v>0</v>
      </c>
      <c r="G627" s="497"/>
      <c r="H627" s="497"/>
      <c r="J627" s="42"/>
    </row>
    <row r="628" spans="1:10" s="360" customFormat="1" x14ac:dyDescent="0.25">
      <c r="A628" s="19" t="s">
        <v>15</v>
      </c>
      <c r="B628" s="2">
        <v>43919</v>
      </c>
      <c r="C628" s="1">
        <v>6</v>
      </c>
      <c r="D628" s="39">
        <v>69</v>
      </c>
      <c r="E628" s="1"/>
      <c r="F628" s="39">
        <f t="shared" si="23"/>
        <v>3</v>
      </c>
      <c r="G628" s="497"/>
      <c r="H628" s="497"/>
      <c r="J628" s="42"/>
    </row>
    <row r="629" spans="1:10" s="360" customFormat="1" x14ac:dyDescent="0.25">
      <c r="A629" s="19" t="s">
        <v>29</v>
      </c>
      <c r="B629" s="2">
        <v>43919</v>
      </c>
      <c r="C629" s="1">
        <v>0</v>
      </c>
      <c r="D629" s="39">
        <v>0</v>
      </c>
      <c r="E629" s="1"/>
      <c r="F629" s="39">
        <f t="shared" si="23"/>
        <v>1</v>
      </c>
      <c r="G629" s="497"/>
      <c r="H629" s="497"/>
      <c r="J629" s="42"/>
    </row>
    <row r="630" spans="1:10" s="360" customFormat="1" x14ac:dyDescent="0.25">
      <c r="A630" s="19" t="s">
        <v>43</v>
      </c>
      <c r="B630" s="2">
        <v>43919</v>
      </c>
      <c r="C630" s="1">
        <v>1</v>
      </c>
      <c r="D630" s="39">
        <v>258</v>
      </c>
      <c r="E630" s="1"/>
      <c r="F630" s="39">
        <f t="shared" si="23"/>
        <v>5</v>
      </c>
      <c r="G630" s="497"/>
      <c r="H630" s="497"/>
      <c r="J630" s="42"/>
    </row>
    <row r="631" spans="1:10" s="360" customFormat="1" x14ac:dyDescent="0.25">
      <c r="A631" s="19" t="s">
        <v>20</v>
      </c>
      <c r="B631" s="2">
        <v>43919</v>
      </c>
      <c r="C631" s="1">
        <v>13</v>
      </c>
      <c r="D631" s="39">
        <v>73</v>
      </c>
      <c r="E631" s="1"/>
      <c r="F631" s="39">
        <f t="shared" si="23"/>
        <v>0</v>
      </c>
      <c r="G631" s="497"/>
      <c r="H631" s="497"/>
      <c r="J631" s="42"/>
    </row>
    <row r="632" spans="1:10" s="360" customFormat="1" x14ac:dyDescent="0.25">
      <c r="A632" s="19" t="s">
        <v>30</v>
      </c>
      <c r="B632" s="2">
        <v>43919</v>
      </c>
      <c r="C632" s="1">
        <v>1</v>
      </c>
      <c r="D632" s="39">
        <v>9</v>
      </c>
      <c r="E632" s="1"/>
      <c r="F632" s="39">
        <f t="shared" si="23"/>
        <v>0</v>
      </c>
      <c r="G632" s="497"/>
      <c r="H632" s="497"/>
      <c r="J632" s="42"/>
    </row>
    <row r="633" spans="1:10" x14ac:dyDescent="0.25">
      <c r="A633" s="19" t="s">
        <v>31</v>
      </c>
      <c r="B633" s="2">
        <v>43919</v>
      </c>
      <c r="C633" s="1">
        <v>0</v>
      </c>
      <c r="D633" s="39">
        <v>10</v>
      </c>
      <c r="F633" s="39">
        <f t="shared" si="23"/>
        <v>0</v>
      </c>
    </row>
    <row r="634" spans="1:10" s="360" customFormat="1" x14ac:dyDescent="0.25">
      <c r="A634" s="19" t="s">
        <v>41</v>
      </c>
      <c r="B634" s="2">
        <v>43919</v>
      </c>
      <c r="C634" s="1">
        <v>0</v>
      </c>
      <c r="D634" s="39">
        <v>0</v>
      </c>
      <c r="E634" s="1"/>
      <c r="F634" s="39">
        <f t="shared" si="23"/>
        <v>0</v>
      </c>
      <c r="G634" s="497"/>
      <c r="H634" s="497"/>
      <c r="J634" s="42"/>
    </row>
    <row r="635" spans="1:10" s="360" customFormat="1" x14ac:dyDescent="0.25">
      <c r="A635" s="19" t="s">
        <v>32</v>
      </c>
      <c r="B635" s="2">
        <v>43919</v>
      </c>
      <c r="C635" s="1">
        <v>0</v>
      </c>
      <c r="D635" s="39">
        <v>3</v>
      </c>
      <c r="E635" s="1"/>
      <c r="F635" s="39">
        <f t="shared" si="23"/>
        <v>0</v>
      </c>
      <c r="G635" s="497"/>
      <c r="H635" s="497"/>
      <c r="J635" s="42"/>
    </row>
    <row r="636" spans="1:10" s="360" customFormat="1" x14ac:dyDescent="0.25">
      <c r="A636" s="19" t="s">
        <v>33</v>
      </c>
      <c r="B636" s="2">
        <v>43919</v>
      </c>
      <c r="C636" s="1">
        <v>2</v>
      </c>
      <c r="D636" s="39">
        <v>3</v>
      </c>
      <c r="E636" s="1"/>
      <c r="F636" s="39">
        <f t="shared" si="23"/>
        <v>0</v>
      </c>
      <c r="G636" s="497"/>
      <c r="H636" s="497"/>
      <c r="J636" s="42"/>
    </row>
    <row r="637" spans="1:10" s="360" customFormat="1" x14ac:dyDescent="0.25">
      <c r="A637" s="19" t="s">
        <v>21</v>
      </c>
      <c r="B637" s="2">
        <v>43919</v>
      </c>
      <c r="C637" s="1">
        <v>1</v>
      </c>
      <c r="D637" s="39">
        <v>1</v>
      </c>
      <c r="E637" s="1"/>
      <c r="F637" s="39">
        <f t="shared" si="23"/>
        <v>0</v>
      </c>
      <c r="G637" s="497"/>
      <c r="H637" s="497"/>
      <c r="J637" s="42"/>
    </row>
    <row r="638" spans="1:10" s="360" customFormat="1" x14ac:dyDescent="0.25">
      <c r="A638" s="19" t="s">
        <v>17</v>
      </c>
      <c r="B638" s="2">
        <v>43919</v>
      </c>
      <c r="C638" s="1">
        <v>1</v>
      </c>
      <c r="D638" s="39">
        <v>10</v>
      </c>
      <c r="E638" s="1"/>
      <c r="F638" s="39">
        <f t="shared" si="23"/>
        <v>1</v>
      </c>
      <c r="G638" s="497"/>
      <c r="H638" s="497"/>
      <c r="J638" s="42"/>
    </row>
    <row r="639" spans="1:10" s="360" customFormat="1" x14ac:dyDescent="0.25">
      <c r="A639" s="19" t="s">
        <v>23</v>
      </c>
      <c r="B639" s="2">
        <v>43919</v>
      </c>
      <c r="C639" s="1">
        <v>1</v>
      </c>
      <c r="D639" s="39">
        <v>2</v>
      </c>
      <c r="E639" s="1"/>
      <c r="F639" s="39">
        <f t="shared" si="23"/>
        <v>0</v>
      </c>
      <c r="G639" s="497"/>
      <c r="H639" s="497"/>
      <c r="J639" s="42"/>
    </row>
    <row r="640" spans="1:10" s="360" customFormat="1" x14ac:dyDescent="0.25">
      <c r="A640" s="19" t="s">
        <v>19</v>
      </c>
      <c r="B640" s="2">
        <v>43919</v>
      </c>
      <c r="C640" s="1">
        <v>0</v>
      </c>
      <c r="D640" s="39">
        <v>12</v>
      </c>
      <c r="E640" s="1"/>
      <c r="F640" s="39">
        <f t="shared" si="23"/>
        <v>0</v>
      </c>
      <c r="G640" s="497"/>
      <c r="H640" s="497"/>
      <c r="J640" s="42"/>
    </row>
    <row r="641" spans="1:10" s="360" customFormat="1" x14ac:dyDescent="0.25">
      <c r="A641" s="19" t="s">
        <v>18</v>
      </c>
      <c r="B641" s="2">
        <v>43919</v>
      </c>
      <c r="C641" s="1">
        <v>1</v>
      </c>
      <c r="D641" s="39">
        <v>8</v>
      </c>
      <c r="E641" s="1"/>
      <c r="F641" s="39">
        <f t="shared" si="23"/>
        <v>1</v>
      </c>
      <c r="G641" s="497"/>
      <c r="H641" s="497"/>
      <c r="J641" s="42"/>
    </row>
    <row r="642" spans="1:10" s="360" customFormat="1" x14ac:dyDescent="0.25">
      <c r="A642" s="19" t="s">
        <v>34</v>
      </c>
      <c r="B642" s="2">
        <v>43919</v>
      </c>
      <c r="C642" s="1">
        <v>0</v>
      </c>
      <c r="D642" s="39">
        <v>1</v>
      </c>
      <c r="E642" s="1"/>
      <c r="F642" s="39">
        <f t="shared" si="23"/>
        <v>0</v>
      </c>
      <c r="G642" s="497"/>
      <c r="H642" s="497"/>
      <c r="J642" s="42"/>
    </row>
    <row r="643" spans="1:10" s="360" customFormat="1" x14ac:dyDescent="0.25">
      <c r="A643" s="19" t="s">
        <v>35</v>
      </c>
      <c r="B643" s="2">
        <v>43919</v>
      </c>
      <c r="C643" s="1">
        <v>1</v>
      </c>
      <c r="D643" s="39">
        <v>1</v>
      </c>
      <c r="E643" s="1"/>
      <c r="F643" s="39">
        <f t="shared" si="23"/>
        <v>0</v>
      </c>
      <c r="G643" s="497"/>
      <c r="H643" s="497"/>
      <c r="J643" s="42"/>
    </row>
    <row r="644" spans="1:10" s="360" customFormat="1" x14ac:dyDescent="0.25">
      <c r="A644" s="19" t="s">
        <v>36</v>
      </c>
      <c r="B644" s="2">
        <v>43919</v>
      </c>
      <c r="C644" s="1">
        <v>0</v>
      </c>
      <c r="D644" s="39">
        <v>6</v>
      </c>
      <c r="E644" s="1"/>
      <c r="F644" s="39">
        <f t="shared" si="23"/>
        <v>0</v>
      </c>
      <c r="G644" s="497"/>
      <c r="H644" s="497"/>
      <c r="J644" s="42"/>
    </row>
    <row r="645" spans="1:10" s="360" customFormat="1" x14ac:dyDescent="0.25">
      <c r="A645" s="19" t="s">
        <v>37</v>
      </c>
      <c r="B645" s="2">
        <v>43919</v>
      </c>
      <c r="C645" s="1">
        <v>0</v>
      </c>
      <c r="D645" s="39">
        <v>9</v>
      </c>
      <c r="E645" s="1"/>
      <c r="F645" s="39">
        <f t="shared" si="23"/>
        <v>0</v>
      </c>
      <c r="G645" s="497"/>
      <c r="H645" s="497"/>
      <c r="J645" s="42"/>
    </row>
    <row r="646" spans="1:10" s="360" customFormat="1" x14ac:dyDescent="0.25">
      <c r="A646" s="19" t="s">
        <v>22</v>
      </c>
      <c r="B646" s="2">
        <v>43919</v>
      </c>
      <c r="C646" s="1">
        <v>14</v>
      </c>
      <c r="D646" s="39">
        <v>90</v>
      </c>
      <c r="E646" s="1"/>
      <c r="F646" s="39">
        <f t="shared" si="23"/>
        <v>0</v>
      </c>
      <c r="G646" s="497"/>
      <c r="H646" s="497"/>
      <c r="J646" s="42"/>
    </row>
    <row r="647" spans="1:10" s="360" customFormat="1" x14ac:dyDescent="0.25">
      <c r="A647" s="19" t="s">
        <v>38</v>
      </c>
      <c r="B647" s="2">
        <v>43919</v>
      </c>
      <c r="C647" s="1">
        <v>0</v>
      </c>
      <c r="D647" s="39">
        <v>2</v>
      </c>
      <c r="E647" s="1"/>
      <c r="F647" s="39">
        <f t="shared" si="23"/>
        <v>0</v>
      </c>
      <c r="G647" s="497"/>
      <c r="H647" s="497"/>
      <c r="J647" s="42"/>
    </row>
    <row r="648" spans="1:10" s="360" customFormat="1" x14ac:dyDescent="0.25">
      <c r="A648" s="19" t="s">
        <v>39</v>
      </c>
      <c r="B648" s="2">
        <v>43919</v>
      </c>
      <c r="C648" s="1">
        <v>3</v>
      </c>
      <c r="D648" s="39">
        <v>21</v>
      </c>
      <c r="E648" s="1"/>
      <c r="F648" s="39">
        <f t="shared" si="23"/>
        <v>0</v>
      </c>
      <c r="G648" s="497"/>
      <c r="H648" s="497"/>
      <c r="J648" s="42"/>
    </row>
    <row r="649" spans="1:10" s="360" customFormat="1" x14ac:dyDescent="0.25">
      <c r="A649" s="19" t="s">
        <v>40</v>
      </c>
      <c r="B649" s="2">
        <v>43919</v>
      </c>
      <c r="C649" s="1">
        <v>0</v>
      </c>
      <c r="D649" s="39">
        <v>15</v>
      </c>
      <c r="E649" s="1"/>
      <c r="F649" s="39">
        <f t="shared" si="23"/>
        <v>0</v>
      </c>
      <c r="G649" s="497"/>
      <c r="H649" s="497"/>
      <c r="J649" s="42"/>
    </row>
    <row r="650" spans="1:10" s="360" customFormat="1" x14ac:dyDescent="0.25">
      <c r="A650" s="361" t="s">
        <v>16</v>
      </c>
      <c r="B650" s="2">
        <v>43920</v>
      </c>
      <c r="C650" s="1">
        <v>36</v>
      </c>
      <c r="D650" s="39">
        <v>253</v>
      </c>
      <c r="E650" s="1">
        <v>2</v>
      </c>
      <c r="F650" s="39">
        <f>E650+F626</f>
        <v>8</v>
      </c>
      <c r="G650" s="497"/>
      <c r="H650" s="497"/>
      <c r="J650" s="42"/>
    </row>
    <row r="651" spans="1:10" s="360" customFormat="1" x14ac:dyDescent="0.25">
      <c r="A651" s="19" t="s">
        <v>28</v>
      </c>
      <c r="B651" s="2">
        <v>43920</v>
      </c>
      <c r="C651" s="1">
        <v>0</v>
      </c>
      <c r="D651" s="39">
        <v>0</v>
      </c>
      <c r="E651" s="1"/>
      <c r="F651" s="39">
        <f t="shared" ref="F651:F673" si="24">E651+F627</f>
        <v>0</v>
      </c>
      <c r="G651" s="497"/>
      <c r="H651" s="497"/>
      <c r="J651" s="42"/>
    </row>
    <row r="652" spans="1:10" s="360" customFormat="1" x14ac:dyDescent="0.25">
      <c r="A652" s="19" t="s">
        <v>15</v>
      </c>
      <c r="B652" s="2">
        <v>43920</v>
      </c>
      <c r="C652" s="1">
        <v>12</v>
      </c>
      <c r="D652" s="39">
        <v>81</v>
      </c>
      <c r="E652" s="1"/>
      <c r="F652" s="39">
        <f t="shared" si="24"/>
        <v>3</v>
      </c>
      <c r="G652" s="497"/>
      <c r="H652" s="497"/>
      <c r="J652" s="42"/>
    </row>
    <row r="653" spans="1:10" s="360" customFormat="1" x14ac:dyDescent="0.25">
      <c r="A653" s="19" t="s">
        <v>29</v>
      </c>
      <c r="B653" s="2">
        <v>43920</v>
      </c>
      <c r="C653" s="1">
        <v>0</v>
      </c>
      <c r="D653" s="39">
        <v>0</v>
      </c>
      <c r="E653" s="1"/>
      <c r="F653" s="39">
        <f t="shared" si="24"/>
        <v>1</v>
      </c>
      <c r="G653" s="497"/>
      <c r="H653" s="497"/>
      <c r="J653" s="42"/>
    </row>
    <row r="654" spans="1:10" s="360" customFormat="1" x14ac:dyDescent="0.25">
      <c r="A654" s="19" t="s">
        <v>43</v>
      </c>
      <c r="B654" s="2">
        <v>43920</v>
      </c>
      <c r="C654" s="1">
        <v>34</v>
      </c>
      <c r="D654" s="39">
        <v>292</v>
      </c>
      <c r="E654" s="1"/>
      <c r="F654" s="39">
        <f t="shared" si="24"/>
        <v>5</v>
      </c>
      <c r="G654" s="497"/>
      <c r="H654" s="497"/>
      <c r="J654" s="42"/>
    </row>
    <row r="655" spans="1:10" s="360" customFormat="1" x14ac:dyDescent="0.25">
      <c r="A655" s="19" t="s">
        <v>20</v>
      </c>
      <c r="B655" s="2">
        <v>43920</v>
      </c>
      <c r="C655" s="1">
        <v>8</v>
      </c>
      <c r="D655" s="39">
        <v>81</v>
      </c>
      <c r="E655" s="1"/>
      <c r="F655" s="39">
        <f t="shared" si="24"/>
        <v>0</v>
      </c>
      <c r="G655" s="497"/>
      <c r="H655" s="497"/>
      <c r="J655" s="42"/>
    </row>
    <row r="656" spans="1:10" s="360" customFormat="1" x14ac:dyDescent="0.25">
      <c r="A656" s="19" t="s">
        <v>30</v>
      </c>
      <c r="B656" s="2">
        <v>43920</v>
      </c>
      <c r="C656" s="1">
        <v>10</v>
      </c>
      <c r="D656" s="39">
        <v>19</v>
      </c>
      <c r="E656" s="1"/>
      <c r="F656" s="39">
        <f t="shared" si="24"/>
        <v>0</v>
      </c>
      <c r="G656" s="497"/>
      <c r="H656" s="497"/>
      <c r="J656" s="42"/>
    </row>
    <row r="657" spans="1:10" x14ac:dyDescent="0.25">
      <c r="A657" s="19" t="s">
        <v>31</v>
      </c>
      <c r="B657" s="2">
        <v>43920</v>
      </c>
      <c r="C657" s="1">
        <v>3</v>
      </c>
      <c r="D657" s="39">
        <v>13</v>
      </c>
      <c r="F657" s="39">
        <f t="shared" si="24"/>
        <v>0</v>
      </c>
    </row>
    <row r="658" spans="1:10" s="360" customFormat="1" x14ac:dyDescent="0.25">
      <c r="A658" s="19" t="s">
        <v>41</v>
      </c>
      <c r="B658" s="2">
        <v>43920</v>
      </c>
      <c r="C658" s="1">
        <v>0</v>
      </c>
      <c r="D658" s="39">
        <v>0</v>
      </c>
      <c r="E658" s="1"/>
      <c r="F658" s="39">
        <f t="shared" si="24"/>
        <v>0</v>
      </c>
      <c r="G658" s="497"/>
      <c r="H658" s="497"/>
      <c r="J658" s="42"/>
    </row>
    <row r="659" spans="1:10" s="360" customFormat="1" x14ac:dyDescent="0.25">
      <c r="A659" s="19" t="s">
        <v>32</v>
      </c>
      <c r="B659" s="2">
        <v>43920</v>
      </c>
      <c r="C659" s="1">
        <v>0</v>
      </c>
      <c r="D659" s="39">
        <v>3</v>
      </c>
      <c r="E659" s="1"/>
      <c r="F659" s="39">
        <f t="shared" si="24"/>
        <v>0</v>
      </c>
      <c r="G659" s="497"/>
      <c r="H659" s="497"/>
      <c r="J659" s="42"/>
    </row>
    <row r="660" spans="1:10" s="360" customFormat="1" x14ac:dyDescent="0.25">
      <c r="A660" s="19" t="s">
        <v>33</v>
      </c>
      <c r="B660" s="2">
        <v>43920</v>
      </c>
      <c r="C660" s="1">
        <v>0</v>
      </c>
      <c r="D660" s="39">
        <v>3</v>
      </c>
      <c r="E660" s="1"/>
      <c r="F660" s="39">
        <f t="shared" si="24"/>
        <v>0</v>
      </c>
      <c r="G660" s="497"/>
      <c r="H660" s="497"/>
      <c r="J660" s="42"/>
    </row>
    <row r="661" spans="1:10" s="360" customFormat="1" x14ac:dyDescent="0.25">
      <c r="A661" s="19" t="s">
        <v>21</v>
      </c>
      <c r="B661" s="2">
        <v>43920</v>
      </c>
      <c r="C661" s="1">
        <v>0</v>
      </c>
      <c r="D661" s="39">
        <v>1</v>
      </c>
      <c r="E661" s="1"/>
      <c r="F661" s="39">
        <f t="shared" si="24"/>
        <v>0</v>
      </c>
      <c r="G661" s="497"/>
      <c r="H661" s="497"/>
      <c r="J661" s="42"/>
    </row>
    <row r="662" spans="1:10" s="360" customFormat="1" x14ac:dyDescent="0.25">
      <c r="A662" s="19" t="s">
        <v>17</v>
      </c>
      <c r="B662" s="2">
        <v>43920</v>
      </c>
      <c r="C662" s="1">
        <v>3</v>
      </c>
      <c r="D662" s="39">
        <v>13</v>
      </c>
      <c r="E662" s="1"/>
      <c r="F662" s="39">
        <f t="shared" si="24"/>
        <v>1</v>
      </c>
      <c r="G662" s="497"/>
      <c r="H662" s="497"/>
      <c r="J662" s="42"/>
    </row>
    <row r="663" spans="1:10" s="360" customFormat="1" x14ac:dyDescent="0.25">
      <c r="A663" s="19" t="s">
        <v>23</v>
      </c>
      <c r="B663" s="2">
        <v>43920</v>
      </c>
      <c r="C663" s="1">
        <v>0</v>
      </c>
      <c r="D663" s="39">
        <v>2</v>
      </c>
      <c r="E663" s="1"/>
      <c r="F663" s="39">
        <f t="shared" si="24"/>
        <v>0</v>
      </c>
      <c r="G663" s="497"/>
      <c r="H663" s="497"/>
      <c r="J663" s="42"/>
    </row>
    <row r="664" spans="1:10" s="360" customFormat="1" x14ac:dyDescent="0.25">
      <c r="A664" s="19" t="s">
        <v>19</v>
      </c>
      <c r="B664" s="2">
        <v>43920</v>
      </c>
      <c r="C664" s="1">
        <v>8</v>
      </c>
      <c r="D664" s="39">
        <v>20</v>
      </c>
      <c r="E664" s="1">
        <v>1</v>
      </c>
      <c r="F664" s="39">
        <f t="shared" si="24"/>
        <v>1</v>
      </c>
      <c r="G664" s="497"/>
      <c r="H664" s="497"/>
      <c r="J664" s="42"/>
    </row>
    <row r="665" spans="1:10" s="360" customFormat="1" x14ac:dyDescent="0.25">
      <c r="A665" s="19" t="s">
        <v>18</v>
      </c>
      <c r="B665" s="2">
        <v>43920</v>
      </c>
      <c r="C665" s="1">
        <v>0</v>
      </c>
      <c r="D665" s="39">
        <v>8</v>
      </c>
      <c r="E665" s="1"/>
      <c r="F665" s="39">
        <f t="shared" si="24"/>
        <v>1</v>
      </c>
      <c r="G665" s="497"/>
      <c r="H665" s="497"/>
      <c r="J665" s="42"/>
    </row>
    <row r="666" spans="1:10" s="360" customFormat="1" x14ac:dyDescent="0.25">
      <c r="A666" s="19" t="s">
        <v>34</v>
      </c>
      <c r="B666" s="2">
        <v>43920</v>
      </c>
      <c r="C666" s="1">
        <v>0</v>
      </c>
      <c r="D666" s="39">
        <v>1</v>
      </c>
      <c r="E666" s="1"/>
      <c r="F666" s="39">
        <f t="shared" si="24"/>
        <v>0</v>
      </c>
      <c r="G666" s="497"/>
      <c r="H666" s="497"/>
      <c r="J666" s="42"/>
    </row>
    <row r="667" spans="1:10" s="360" customFormat="1" x14ac:dyDescent="0.25">
      <c r="A667" s="19" t="s">
        <v>35</v>
      </c>
      <c r="B667" s="2">
        <v>43920</v>
      </c>
      <c r="C667" s="1">
        <v>0</v>
      </c>
      <c r="D667" s="39">
        <v>1</v>
      </c>
      <c r="E667" s="1"/>
      <c r="F667" s="39">
        <f t="shared" si="24"/>
        <v>0</v>
      </c>
      <c r="G667" s="497"/>
      <c r="H667" s="497"/>
      <c r="J667" s="42"/>
    </row>
    <row r="668" spans="1:10" s="360" customFormat="1" x14ac:dyDescent="0.25">
      <c r="A668" s="19" t="s">
        <v>36</v>
      </c>
      <c r="B668" s="2">
        <v>43920</v>
      </c>
      <c r="C668" s="1">
        <v>0</v>
      </c>
      <c r="D668" s="39">
        <v>6</v>
      </c>
      <c r="E668" s="1"/>
      <c r="F668" s="39">
        <f t="shared" si="24"/>
        <v>0</v>
      </c>
      <c r="G668" s="497"/>
      <c r="H668" s="497"/>
      <c r="J668" s="42"/>
    </row>
    <row r="669" spans="1:10" s="360" customFormat="1" x14ac:dyDescent="0.25">
      <c r="A669" s="19" t="s">
        <v>37</v>
      </c>
      <c r="B669" s="2">
        <v>43920</v>
      </c>
      <c r="C669" s="1">
        <v>0</v>
      </c>
      <c r="D669" s="39">
        <v>9</v>
      </c>
      <c r="E669" s="1"/>
      <c r="F669" s="39">
        <f t="shared" si="24"/>
        <v>0</v>
      </c>
      <c r="G669" s="497"/>
      <c r="H669" s="497"/>
      <c r="J669" s="42"/>
    </row>
    <row r="670" spans="1:10" s="360" customFormat="1" x14ac:dyDescent="0.25">
      <c r="A670" s="19" t="s">
        <v>22</v>
      </c>
      <c r="B670" s="2">
        <v>43920</v>
      </c>
      <c r="C670" s="1">
        <v>21</v>
      </c>
      <c r="D670" s="39">
        <v>111</v>
      </c>
      <c r="E670" s="1"/>
      <c r="F670" s="39">
        <f t="shared" si="24"/>
        <v>0</v>
      </c>
      <c r="G670" s="497"/>
      <c r="H670" s="497"/>
      <c r="J670" s="42"/>
    </row>
    <row r="671" spans="1:10" s="360" customFormat="1" x14ac:dyDescent="0.25">
      <c r="A671" s="19" t="s">
        <v>38</v>
      </c>
      <c r="B671" s="2">
        <v>43920</v>
      </c>
      <c r="C671" s="1">
        <v>0</v>
      </c>
      <c r="D671" s="39">
        <v>2</v>
      </c>
      <c r="E671" s="1"/>
      <c r="F671" s="39">
        <f t="shared" si="24"/>
        <v>0</v>
      </c>
      <c r="G671" s="497"/>
      <c r="H671" s="497"/>
      <c r="J671" s="42"/>
    </row>
    <row r="672" spans="1:10" s="360" customFormat="1" x14ac:dyDescent="0.25">
      <c r="A672" s="19" t="s">
        <v>39</v>
      </c>
      <c r="B672" s="2">
        <v>43920</v>
      </c>
      <c r="C672" s="1">
        <v>11</v>
      </c>
      <c r="D672" s="39">
        <v>32</v>
      </c>
      <c r="E672" s="1"/>
      <c r="F672" s="39">
        <f t="shared" si="24"/>
        <v>0</v>
      </c>
      <c r="G672" s="497"/>
      <c r="H672" s="497"/>
      <c r="J672" s="42"/>
    </row>
    <row r="673" spans="1:10" s="360" customFormat="1" x14ac:dyDescent="0.25">
      <c r="A673" s="19" t="s">
        <v>40</v>
      </c>
      <c r="B673" s="2">
        <v>43920</v>
      </c>
      <c r="C673" s="1">
        <v>0</v>
      </c>
      <c r="D673" s="39">
        <v>15</v>
      </c>
      <c r="E673" s="1">
        <v>1</v>
      </c>
      <c r="F673" s="39">
        <f t="shared" si="24"/>
        <v>1</v>
      </c>
      <c r="G673" s="497"/>
      <c r="H673" s="497"/>
      <c r="J673" s="42"/>
    </row>
    <row r="674" spans="1:10" s="360" customFormat="1" x14ac:dyDescent="0.25">
      <c r="A674" s="361" t="s">
        <v>16</v>
      </c>
      <c r="B674" s="2">
        <v>43921</v>
      </c>
      <c r="C674" s="1">
        <v>17</v>
      </c>
      <c r="D674" s="39">
        <v>270</v>
      </c>
      <c r="E674" s="1"/>
      <c r="F674" s="39">
        <f>E674+F650</f>
        <v>8</v>
      </c>
      <c r="G674" s="497"/>
      <c r="H674" s="497"/>
      <c r="J674" s="42"/>
    </row>
    <row r="675" spans="1:10" s="360" customFormat="1" x14ac:dyDescent="0.25">
      <c r="A675" s="19" t="s">
        <v>28</v>
      </c>
      <c r="B675" s="2">
        <v>43921</v>
      </c>
      <c r="C675" s="1">
        <v>0</v>
      </c>
      <c r="D675" s="39">
        <v>0</v>
      </c>
      <c r="E675" s="1"/>
      <c r="F675" s="39">
        <f t="shared" ref="F675:F697" si="25">E675+F651</f>
        <v>0</v>
      </c>
      <c r="G675" s="497"/>
      <c r="H675" s="497"/>
      <c r="J675" s="42"/>
    </row>
    <row r="676" spans="1:10" s="360" customFormat="1" x14ac:dyDescent="0.25">
      <c r="A676" s="19" t="s">
        <v>15</v>
      </c>
      <c r="B676" s="2">
        <v>43921</v>
      </c>
      <c r="C676" s="1">
        <v>3</v>
      </c>
      <c r="D676" s="39">
        <v>84</v>
      </c>
      <c r="E676" s="1">
        <v>1</v>
      </c>
      <c r="F676" s="39">
        <f t="shared" si="25"/>
        <v>4</v>
      </c>
      <c r="G676" s="497"/>
      <c r="H676" s="497"/>
      <c r="J676" s="42"/>
    </row>
    <row r="677" spans="1:10" s="360" customFormat="1" x14ac:dyDescent="0.25">
      <c r="A677" s="19" t="s">
        <v>29</v>
      </c>
      <c r="B677" s="2">
        <v>43921</v>
      </c>
      <c r="C677" s="1">
        <v>0</v>
      </c>
      <c r="D677" s="39">
        <v>0</v>
      </c>
      <c r="E677" s="1"/>
      <c r="F677" s="39">
        <f t="shared" si="25"/>
        <v>1</v>
      </c>
      <c r="G677" s="497"/>
      <c r="H677" s="497"/>
      <c r="J677" s="42"/>
    </row>
    <row r="678" spans="1:10" s="360" customFormat="1" x14ac:dyDescent="0.25">
      <c r="A678" s="19" t="s">
        <v>43</v>
      </c>
      <c r="B678" s="2">
        <v>43921</v>
      </c>
      <c r="C678" s="1">
        <v>19</v>
      </c>
      <c r="D678" s="39">
        <v>311</v>
      </c>
      <c r="E678" s="1"/>
      <c r="F678" s="39">
        <f t="shared" si="25"/>
        <v>5</v>
      </c>
      <c r="G678" s="497"/>
      <c r="H678" s="497"/>
      <c r="J678" s="42"/>
    </row>
    <row r="679" spans="1:10" s="360" customFormat="1" x14ac:dyDescent="0.25">
      <c r="A679" s="19" t="s">
        <v>20</v>
      </c>
      <c r="B679" s="2">
        <v>43921</v>
      </c>
      <c r="C679" s="1">
        <v>14</v>
      </c>
      <c r="D679" s="39">
        <v>95</v>
      </c>
      <c r="E679" s="1">
        <v>1</v>
      </c>
      <c r="F679" s="39">
        <f t="shared" si="25"/>
        <v>1</v>
      </c>
      <c r="G679" s="497"/>
      <c r="H679" s="497"/>
      <c r="J679" s="42"/>
    </row>
    <row r="680" spans="1:10" s="360" customFormat="1" x14ac:dyDescent="0.25">
      <c r="A680" s="19" t="s">
        <v>30</v>
      </c>
      <c r="B680" s="2">
        <v>43921</v>
      </c>
      <c r="C680" s="1">
        <v>1</v>
      </c>
      <c r="D680" s="39">
        <v>20</v>
      </c>
      <c r="E680" s="1"/>
      <c r="F680" s="39">
        <f t="shared" si="25"/>
        <v>0</v>
      </c>
      <c r="G680" s="497"/>
      <c r="H680" s="497"/>
      <c r="J680" s="42"/>
    </row>
    <row r="681" spans="1:10" x14ac:dyDescent="0.25">
      <c r="A681" s="19" t="s">
        <v>31</v>
      </c>
      <c r="B681" s="2">
        <v>43921</v>
      </c>
      <c r="C681" s="1">
        <v>0</v>
      </c>
      <c r="D681" s="39">
        <v>13</v>
      </c>
      <c r="F681" s="39">
        <f t="shared" si="25"/>
        <v>0</v>
      </c>
    </row>
    <row r="682" spans="1:10" s="360" customFormat="1" x14ac:dyDescent="0.25">
      <c r="A682" s="19" t="s">
        <v>41</v>
      </c>
      <c r="B682" s="2">
        <v>43921</v>
      </c>
      <c r="C682" s="1">
        <v>0</v>
      </c>
      <c r="D682" s="39">
        <v>0</v>
      </c>
      <c r="E682" s="1"/>
      <c r="F682" s="39">
        <f t="shared" si="25"/>
        <v>0</v>
      </c>
      <c r="G682" s="497"/>
      <c r="H682" s="497"/>
      <c r="J682" s="42"/>
    </row>
    <row r="683" spans="1:10" s="360" customFormat="1" x14ac:dyDescent="0.25">
      <c r="A683" s="19" t="s">
        <v>32</v>
      </c>
      <c r="B683" s="2">
        <v>43921</v>
      </c>
      <c r="C683" s="1">
        <v>0</v>
      </c>
      <c r="D683" s="39">
        <v>3</v>
      </c>
      <c r="E683" s="1"/>
      <c r="F683" s="39">
        <f t="shared" si="25"/>
        <v>0</v>
      </c>
      <c r="G683" s="497"/>
      <c r="H683" s="497"/>
      <c r="J683" s="42"/>
    </row>
    <row r="684" spans="1:10" s="360" customFormat="1" x14ac:dyDescent="0.25">
      <c r="A684" s="19" t="s">
        <v>33</v>
      </c>
      <c r="B684" s="2">
        <v>43921</v>
      </c>
      <c r="C684" s="1">
        <v>0</v>
      </c>
      <c r="D684" s="39">
        <v>3</v>
      </c>
      <c r="E684" s="1"/>
      <c r="F684" s="39">
        <f t="shared" si="25"/>
        <v>0</v>
      </c>
      <c r="G684" s="497"/>
      <c r="H684" s="497"/>
      <c r="J684" s="42"/>
    </row>
    <row r="685" spans="1:10" s="360" customFormat="1" x14ac:dyDescent="0.25">
      <c r="A685" s="19" t="s">
        <v>21</v>
      </c>
      <c r="B685" s="2">
        <v>43921</v>
      </c>
      <c r="C685" s="1">
        <v>0</v>
      </c>
      <c r="D685" s="39">
        <v>1</v>
      </c>
      <c r="E685" s="1">
        <v>1</v>
      </c>
      <c r="F685" s="39">
        <f t="shared" si="25"/>
        <v>1</v>
      </c>
      <c r="G685" s="497"/>
      <c r="H685" s="497"/>
      <c r="J685" s="42"/>
    </row>
    <row r="686" spans="1:10" s="360" customFormat="1" x14ac:dyDescent="0.25">
      <c r="A686" s="19" t="s">
        <v>17</v>
      </c>
      <c r="B686" s="2">
        <v>43921</v>
      </c>
      <c r="C686" s="1">
        <v>2</v>
      </c>
      <c r="D686" s="39">
        <v>15</v>
      </c>
      <c r="E686" s="1"/>
      <c r="F686" s="39">
        <f t="shared" si="25"/>
        <v>1</v>
      </c>
      <c r="G686" s="497"/>
      <c r="H686" s="497"/>
      <c r="J686" s="42"/>
    </row>
    <row r="687" spans="1:10" s="360" customFormat="1" x14ac:dyDescent="0.25">
      <c r="A687" s="19" t="s">
        <v>23</v>
      </c>
      <c r="B687" s="2">
        <v>43921</v>
      </c>
      <c r="C687" s="1">
        <v>1</v>
      </c>
      <c r="D687" s="39">
        <v>3</v>
      </c>
      <c r="E687" s="1"/>
      <c r="F687" s="39">
        <f t="shared" si="25"/>
        <v>0</v>
      </c>
      <c r="G687" s="497"/>
      <c r="H687" s="497"/>
      <c r="J687" s="42"/>
    </row>
    <row r="688" spans="1:10" s="360" customFormat="1" x14ac:dyDescent="0.25">
      <c r="A688" s="19" t="s">
        <v>19</v>
      </c>
      <c r="B688" s="2">
        <v>43921</v>
      </c>
      <c r="C688" s="1">
        <v>0</v>
      </c>
      <c r="D688" s="39">
        <v>20</v>
      </c>
      <c r="E688" s="1"/>
      <c r="F688" s="39">
        <f t="shared" si="25"/>
        <v>1</v>
      </c>
      <c r="G688" s="497"/>
      <c r="H688" s="497"/>
      <c r="J688" s="42"/>
    </row>
    <row r="689" spans="1:10" s="360" customFormat="1" x14ac:dyDescent="0.25">
      <c r="A689" s="19" t="s">
        <v>18</v>
      </c>
      <c r="B689" s="2">
        <v>43921</v>
      </c>
      <c r="C689" s="1">
        <v>1</v>
      </c>
      <c r="D689" s="39">
        <v>9</v>
      </c>
      <c r="E689" s="1"/>
      <c r="F689" s="39">
        <f t="shared" si="25"/>
        <v>1</v>
      </c>
      <c r="G689" s="497"/>
      <c r="H689" s="497"/>
      <c r="J689" s="42"/>
    </row>
    <row r="690" spans="1:10" s="360" customFormat="1" x14ac:dyDescent="0.25">
      <c r="A690" s="19" t="s">
        <v>34</v>
      </c>
      <c r="B690" s="2">
        <v>43921</v>
      </c>
      <c r="C690" s="1">
        <v>0</v>
      </c>
      <c r="D690" s="39">
        <v>1</v>
      </c>
      <c r="E690" s="1"/>
      <c r="F690" s="39">
        <f t="shared" si="25"/>
        <v>0</v>
      </c>
      <c r="G690" s="497"/>
      <c r="H690" s="497"/>
      <c r="J690" s="42"/>
    </row>
    <row r="691" spans="1:10" s="360" customFormat="1" x14ac:dyDescent="0.25">
      <c r="A691" s="19" t="s">
        <v>35</v>
      </c>
      <c r="B691" s="2">
        <v>43921</v>
      </c>
      <c r="C691" s="1">
        <v>0</v>
      </c>
      <c r="D691" s="39">
        <v>1</v>
      </c>
      <c r="E691" s="1"/>
      <c r="F691" s="39">
        <f t="shared" si="25"/>
        <v>0</v>
      </c>
      <c r="G691" s="497"/>
      <c r="H691" s="497"/>
      <c r="J691" s="42"/>
    </row>
    <row r="692" spans="1:10" s="360" customFormat="1" x14ac:dyDescent="0.25">
      <c r="A692" s="19" t="s">
        <v>36</v>
      </c>
      <c r="B692" s="2">
        <v>43921</v>
      </c>
      <c r="C692" s="1">
        <v>0</v>
      </c>
      <c r="D692" s="39">
        <v>6</v>
      </c>
      <c r="E692" s="1"/>
      <c r="F692" s="39">
        <f t="shared" si="25"/>
        <v>0</v>
      </c>
      <c r="G692" s="497"/>
      <c r="H692" s="497"/>
      <c r="J692" s="42"/>
    </row>
    <row r="693" spans="1:10" s="360" customFormat="1" x14ac:dyDescent="0.25">
      <c r="A693" s="19" t="s">
        <v>37</v>
      </c>
      <c r="B693" s="2">
        <v>43921</v>
      </c>
      <c r="C693" s="1">
        <v>0</v>
      </c>
      <c r="D693" s="39">
        <v>9</v>
      </c>
      <c r="E693" s="1"/>
      <c r="F693" s="39">
        <f t="shared" si="25"/>
        <v>0</v>
      </c>
      <c r="G693" s="497"/>
      <c r="H693" s="497"/>
      <c r="J693" s="42"/>
    </row>
    <row r="694" spans="1:10" s="360" customFormat="1" x14ac:dyDescent="0.25">
      <c r="A694" s="19" t="s">
        <v>22</v>
      </c>
      <c r="B694" s="2">
        <v>43921</v>
      </c>
      <c r="C694" s="1">
        <v>22</v>
      </c>
      <c r="D694" s="39">
        <v>133</v>
      </c>
      <c r="E694" s="1"/>
      <c r="F694" s="39">
        <f t="shared" si="25"/>
        <v>0</v>
      </c>
      <c r="G694" s="497"/>
      <c r="H694" s="497"/>
      <c r="J694" s="42"/>
    </row>
    <row r="695" spans="1:10" s="360" customFormat="1" x14ac:dyDescent="0.25">
      <c r="A695" s="19" t="s">
        <v>38</v>
      </c>
      <c r="B695" s="2">
        <v>43921</v>
      </c>
      <c r="C695" s="1">
        <v>0</v>
      </c>
      <c r="D695" s="39">
        <v>2</v>
      </c>
      <c r="E695" s="1"/>
      <c r="F695" s="39">
        <f t="shared" si="25"/>
        <v>0</v>
      </c>
      <c r="G695" s="497"/>
      <c r="H695" s="497"/>
      <c r="J695" s="42"/>
    </row>
    <row r="696" spans="1:10" s="360" customFormat="1" x14ac:dyDescent="0.25">
      <c r="A696" s="19" t="s">
        <v>39</v>
      </c>
      <c r="B696" s="2">
        <v>43921</v>
      </c>
      <c r="C696" s="1">
        <v>7</v>
      </c>
      <c r="D696" s="39">
        <v>39</v>
      </c>
      <c r="E696" s="1"/>
      <c r="F696" s="39">
        <f t="shared" si="25"/>
        <v>0</v>
      </c>
      <c r="G696" s="497"/>
      <c r="H696" s="497"/>
      <c r="J696" s="42"/>
    </row>
    <row r="697" spans="1:10" s="360" customFormat="1" x14ac:dyDescent="0.25">
      <c r="A697" s="19" t="s">
        <v>40</v>
      </c>
      <c r="B697" s="2">
        <v>43921</v>
      </c>
      <c r="C697" s="1">
        <v>1</v>
      </c>
      <c r="D697" s="39">
        <v>16</v>
      </c>
      <c r="E697" s="1"/>
      <c r="F697" s="39">
        <f t="shared" si="25"/>
        <v>1</v>
      </c>
      <c r="G697" s="497"/>
      <c r="H697" s="497"/>
      <c r="J697" s="42"/>
    </row>
    <row r="698" spans="1:10" s="360" customFormat="1" x14ac:dyDescent="0.25">
      <c r="A698" s="361" t="s">
        <v>16</v>
      </c>
      <c r="B698" s="2">
        <v>43922</v>
      </c>
      <c r="C698" s="1">
        <v>10</v>
      </c>
      <c r="D698" s="39">
        <v>280</v>
      </c>
      <c r="E698" s="1">
        <v>2</v>
      </c>
      <c r="F698" s="39">
        <f>E698+F674</f>
        <v>10</v>
      </c>
      <c r="G698" s="497"/>
      <c r="H698" s="497"/>
      <c r="J698" s="42"/>
    </row>
    <row r="699" spans="1:10" s="360" customFormat="1" x14ac:dyDescent="0.25">
      <c r="A699" s="19" t="s">
        <v>28</v>
      </c>
      <c r="B699" s="2">
        <v>43922</v>
      </c>
      <c r="C699" s="1">
        <v>0</v>
      </c>
      <c r="D699" s="39">
        <v>0</v>
      </c>
      <c r="E699" s="1"/>
      <c r="F699" s="39">
        <f t="shared" ref="F699:F721" si="26">E699+F675</f>
        <v>0</v>
      </c>
      <c r="G699" s="497"/>
      <c r="H699" s="497"/>
      <c r="J699" s="42"/>
    </row>
    <row r="700" spans="1:10" s="360" customFormat="1" x14ac:dyDescent="0.25">
      <c r="A700" s="19" t="s">
        <v>15</v>
      </c>
      <c r="B700" s="2">
        <v>43922</v>
      </c>
      <c r="C700" s="1">
        <v>12</v>
      </c>
      <c r="D700" s="39">
        <v>96</v>
      </c>
      <c r="E700" s="1"/>
      <c r="F700" s="39">
        <f t="shared" si="26"/>
        <v>4</v>
      </c>
      <c r="G700" s="497"/>
      <c r="H700" s="497"/>
      <c r="J700" s="42"/>
    </row>
    <row r="701" spans="1:10" s="360" customFormat="1" x14ac:dyDescent="0.25">
      <c r="A701" s="19" t="s">
        <v>29</v>
      </c>
      <c r="B701" s="2">
        <v>43922</v>
      </c>
      <c r="C701" s="1">
        <v>0</v>
      </c>
      <c r="D701" s="39">
        <v>0</v>
      </c>
      <c r="E701" s="1"/>
      <c r="F701" s="39">
        <f t="shared" si="26"/>
        <v>1</v>
      </c>
      <c r="G701" s="497"/>
      <c r="H701" s="497"/>
      <c r="J701" s="42"/>
    </row>
    <row r="702" spans="1:10" s="360" customFormat="1" x14ac:dyDescent="0.25">
      <c r="A702" s="19" t="s">
        <v>43</v>
      </c>
      <c r="B702" s="2">
        <v>43922</v>
      </c>
      <c r="C702" s="1">
        <v>10</v>
      </c>
      <c r="D702" s="39">
        <v>321</v>
      </c>
      <c r="E702" s="1">
        <v>1</v>
      </c>
      <c r="F702" s="39">
        <f t="shared" si="26"/>
        <v>6</v>
      </c>
      <c r="G702" s="497"/>
      <c r="H702" s="497"/>
      <c r="J702" s="42"/>
    </row>
    <row r="703" spans="1:10" s="360" customFormat="1" x14ac:dyDescent="0.25">
      <c r="A703" s="19" t="s">
        <v>20</v>
      </c>
      <c r="B703" s="2">
        <v>43922</v>
      </c>
      <c r="C703" s="1">
        <v>6</v>
      </c>
      <c r="D703" s="39">
        <v>101</v>
      </c>
      <c r="E703" s="1"/>
      <c r="F703" s="39">
        <f t="shared" si="26"/>
        <v>1</v>
      </c>
      <c r="G703" s="497"/>
      <c r="H703" s="497"/>
      <c r="J703" s="42"/>
    </row>
    <row r="704" spans="1:10" s="360" customFormat="1" x14ac:dyDescent="0.25">
      <c r="A704" s="19" t="s">
        <v>30</v>
      </c>
      <c r="B704" s="2">
        <v>43922</v>
      </c>
      <c r="C704" s="1">
        <v>1</v>
      </c>
      <c r="D704" s="39">
        <v>21</v>
      </c>
      <c r="E704" s="1"/>
      <c r="F704" s="39">
        <f t="shared" si="26"/>
        <v>0</v>
      </c>
      <c r="G704" s="497"/>
      <c r="H704" s="497"/>
      <c r="J704" s="42"/>
    </row>
    <row r="705" spans="1:10" x14ac:dyDescent="0.25">
      <c r="A705" s="19" t="s">
        <v>31</v>
      </c>
      <c r="B705" s="2">
        <v>43922</v>
      </c>
      <c r="C705" s="1">
        <v>1</v>
      </c>
      <c r="D705" s="39">
        <v>14</v>
      </c>
      <c r="F705" s="39">
        <f t="shared" si="26"/>
        <v>0</v>
      </c>
    </row>
    <row r="706" spans="1:10" s="360" customFormat="1" x14ac:dyDescent="0.25">
      <c r="A706" s="19" t="s">
        <v>41</v>
      </c>
      <c r="B706" s="2">
        <v>43922</v>
      </c>
      <c r="C706" s="1">
        <v>0</v>
      </c>
      <c r="D706" s="39">
        <v>0</v>
      </c>
      <c r="E706" s="1"/>
      <c r="F706" s="39">
        <f t="shared" si="26"/>
        <v>0</v>
      </c>
      <c r="G706" s="497"/>
      <c r="H706" s="497"/>
      <c r="J706" s="42"/>
    </row>
    <row r="707" spans="1:10" s="360" customFormat="1" x14ac:dyDescent="0.25">
      <c r="A707" s="19" t="s">
        <v>32</v>
      </c>
      <c r="B707" s="2">
        <v>43922</v>
      </c>
      <c r="C707" s="1">
        <v>0</v>
      </c>
      <c r="D707" s="39">
        <v>3</v>
      </c>
      <c r="E707" s="1"/>
      <c r="F707" s="39">
        <f t="shared" si="26"/>
        <v>0</v>
      </c>
      <c r="G707" s="497"/>
      <c r="H707" s="497"/>
      <c r="J707" s="42"/>
    </row>
    <row r="708" spans="1:10" s="360" customFormat="1" x14ac:dyDescent="0.25">
      <c r="A708" s="19" t="s">
        <v>33</v>
      </c>
      <c r="B708" s="2">
        <v>43922</v>
      </c>
      <c r="C708" s="1">
        <v>0</v>
      </c>
      <c r="D708" s="39">
        <v>3</v>
      </c>
      <c r="E708" s="1"/>
      <c r="F708" s="39">
        <f t="shared" si="26"/>
        <v>0</v>
      </c>
      <c r="G708" s="497"/>
      <c r="H708" s="497"/>
      <c r="J708" s="42"/>
    </row>
    <row r="709" spans="1:10" s="360" customFormat="1" x14ac:dyDescent="0.25">
      <c r="A709" s="19" t="s">
        <v>21</v>
      </c>
      <c r="B709" s="2">
        <v>43922</v>
      </c>
      <c r="C709" s="1">
        <v>0</v>
      </c>
      <c r="D709" s="39">
        <v>1</v>
      </c>
      <c r="E709" s="1"/>
      <c r="F709" s="39">
        <f t="shared" si="26"/>
        <v>1</v>
      </c>
      <c r="G709" s="497"/>
      <c r="H709" s="497"/>
      <c r="J709" s="42"/>
    </row>
    <row r="710" spans="1:10" s="360" customFormat="1" x14ac:dyDescent="0.25">
      <c r="A710" s="19" t="s">
        <v>17</v>
      </c>
      <c r="B710" s="2">
        <v>43922</v>
      </c>
      <c r="C710" s="1">
        <v>10</v>
      </c>
      <c r="D710" s="39">
        <v>25</v>
      </c>
      <c r="E710" s="1"/>
      <c r="F710" s="39">
        <f t="shared" si="26"/>
        <v>1</v>
      </c>
      <c r="G710" s="497"/>
      <c r="H710" s="497"/>
      <c r="J710" s="42"/>
    </row>
    <row r="711" spans="1:10" s="360" customFormat="1" x14ac:dyDescent="0.25">
      <c r="A711" s="19" t="s">
        <v>23</v>
      </c>
      <c r="B711" s="2">
        <v>43922</v>
      </c>
      <c r="C711" s="1">
        <v>0</v>
      </c>
      <c r="D711" s="39">
        <v>3</v>
      </c>
      <c r="E711" s="1"/>
      <c r="F711" s="39">
        <f t="shared" si="26"/>
        <v>0</v>
      </c>
      <c r="G711" s="497"/>
      <c r="H711" s="497"/>
      <c r="J711" s="42"/>
    </row>
    <row r="712" spans="1:10" s="360" customFormat="1" x14ac:dyDescent="0.25">
      <c r="A712" s="19" t="s">
        <v>19</v>
      </c>
      <c r="B712" s="2">
        <v>43922</v>
      </c>
      <c r="C712" s="1">
        <v>4</v>
      </c>
      <c r="D712" s="39">
        <v>24</v>
      </c>
      <c r="E712" s="1"/>
      <c r="F712" s="39">
        <f t="shared" si="26"/>
        <v>1</v>
      </c>
      <c r="G712" s="497"/>
      <c r="H712" s="497"/>
      <c r="J712" s="42"/>
    </row>
    <row r="713" spans="1:10" s="360" customFormat="1" x14ac:dyDescent="0.25">
      <c r="A713" s="19" t="s">
        <v>18</v>
      </c>
      <c r="B713" s="2">
        <v>43922</v>
      </c>
      <c r="C713" s="1">
        <v>0</v>
      </c>
      <c r="D713" s="39">
        <v>9</v>
      </c>
      <c r="E713" s="1">
        <v>1</v>
      </c>
      <c r="F713" s="39">
        <f t="shared" si="26"/>
        <v>2</v>
      </c>
      <c r="G713" s="497"/>
      <c r="H713" s="497"/>
      <c r="J713" s="42"/>
    </row>
    <row r="714" spans="1:10" s="360" customFormat="1" x14ac:dyDescent="0.25">
      <c r="A714" s="19" t="s">
        <v>34</v>
      </c>
      <c r="B714" s="2">
        <v>43922</v>
      </c>
      <c r="C714" s="1">
        <v>2</v>
      </c>
      <c r="D714" s="39">
        <v>3</v>
      </c>
      <c r="E714" s="1"/>
      <c r="F714" s="39">
        <f t="shared" si="26"/>
        <v>0</v>
      </c>
      <c r="G714" s="497"/>
      <c r="H714" s="497"/>
      <c r="J714" s="42"/>
    </row>
    <row r="715" spans="1:10" s="360" customFormat="1" x14ac:dyDescent="0.25">
      <c r="A715" s="19" t="s">
        <v>35</v>
      </c>
      <c r="B715" s="2">
        <v>43922</v>
      </c>
      <c r="C715" s="1">
        <v>0</v>
      </c>
      <c r="D715" s="39">
        <v>1</v>
      </c>
      <c r="E715" s="1"/>
      <c r="F715" s="39">
        <f t="shared" si="26"/>
        <v>0</v>
      </c>
      <c r="G715" s="497"/>
      <c r="H715" s="497"/>
      <c r="J715" s="42"/>
    </row>
    <row r="716" spans="1:10" s="360" customFormat="1" x14ac:dyDescent="0.25">
      <c r="A716" s="19" t="s">
        <v>36</v>
      </c>
      <c r="B716" s="2">
        <v>43922</v>
      </c>
      <c r="C716" s="1">
        <v>1</v>
      </c>
      <c r="D716" s="39">
        <v>7</v>
      </c>
      <c r="E716" s="1"/>
      <c r="F716" s="39">
        <f t="shared" si="26"/>
        <v>0</v>
      </c>
      <c r="G716" s="497"/>
      <c r="H716" s="497"/>
      <c r="J716" s="42"/>
    </row>
    <row r="717" spans="1:10" s="360" customFormat="1" x14ac:dyDescent="0.25">
      <c r="A717" s="19" t="s">
        <v>37</v>
      </c>
      <c r="B717" s="2">
        <v>43922</v>
      </c>
      <c r="C717" s="1">
        <v>10</v>
      </c>
      <c r="D717" s="39">
        <v>19</v>
      </c>
      <c r="E717" s="1"/>
      <c r="F717" s="39">
        <f t="shared" si="26"/>
        <v>0</v>
      </c>
      <c r="G717" s="497"/>
      <c r="H717" s="497"/>
      <c r="J717" s="42"/>
    </row>
    <row r="718" spans="1:10" s="360" customFormat="1" x14ac:dyDescent="0.25">
      <c r="A718" s="19" t="s">
        <v>22</v>
      </c>
      <c r="B718" s="2">
        <v>43922</v>
      </c>
      <c r="C718" s="1">
        <v>11</v>
      </c>
      <c r="D718" s="39">
        <v>144</v>
      </c>
      <c r="E718" s="1">
        <v>1</v>
      </c>
      <c r="F718" s="39">
        <f>E718+F694</f>
        <v>1</v>
      </c>
      <c r="G718" s="497"/>
      <c r="H718" s="497"/>
      <c r="J718" s="42"/>
    </row>
    <row r="719" spans="1:10" s="360" customFormat="1" x14ac:dyDescent="0.25">
      <c r="A719" s="19" t="s">
        <v>38</v>
      </c>
      <c r="B719" s="2">
        <v>43922</v>
      </c>
      <c r="C719" s="1">
        <v>0</v>
      </c>
      <c r="D719" s="39">
        <v>2</v>
      </c>
      <c r="E719" s="1"/>
      <c r="F719" s="39">
        <f t="shared" si="26"/>
        <v>0</v>
      </c>
      <c r="G719" s="497"/>
      <c r="H719" s="497"/>
      <c r="J719" s="42"/>
    </row>
    <row r="720" spans="1:10" s="360" customFormat="1" x14ac:dyDescent="0.25">
      <c r="A720" s="19" t="s">
        <v>39</v>
      </c>
      <c r="B720" s="2">
        <v>43922</v>
      </c>
      <c r="C720" s="1">
        <v>0</v>
      </c>
      <c r="D720" s="39">
        <v>39</v>
      </c>
      <c r="E720" s="1"/>
      <c r="F720" s="39">
        <f t="shared" si="26"/>
        <v>0</v>
      </c>
      <c r="G720" s="497"/>
      <c r="H720" s="497"/>
      <c r="J720" s="42"/>
    </row>
    <row r="721" spans="1:10" s="360" customFormat="1" x14ac:dyDescent="0.25">
      <c r="A721" s="19" t="s">
        <v>40</v>
      </c>
      <c r="B721" s="2">
        <v>43922</v>
      </c>
      <c r="C721" s="1">
        <v>1</v>
      </c>
      <c r="D721" s="39">
        <v>17</v>
      </c>
      <c r="E721" s="1"/>
      <c r="F721" s="39">
        <f t="shared" si="26"/>
        <v>1</v>
      </c>
      <c r="G721" s="497"/>
      <c r="H721" s="497"/>
      <c r="J721" s="42"/>
    </row>
    <row r="722" spans="1:10" s="360" customFormat="1" x14ac:dyDescent="0.25">
      <c r="A722" s="361" t="s">
        <v>16</v>
      </c>
      <c r="B722" s="2">
        <v>43923</v>
      </c>
      <c r="C722" s="1">
        <v>36</v>
      </c>
      <c r="D722" s="39">
        <v>316</v>
      </c>
      <c r="E722" s="1">
        <v>2</v>
      </c>
      <c r="F722" s="39">
        <f>E722+F698</f>
        <v>12</v>
      </c>
      <c r="G722" s="497"/>
      <c r="H722" s="497"/>
      <c r="J722" s="42"/>
    </row>
    <row r="723" spans="1:10" s="360" customFormat="1" x14ac:dyDescent="0.25">
      <c r="A723" s="19" t="s">
        <v>28</v>
      </c>
      <c r="B723" s="2">
        <v>43923</v>
      </c>
      <c r="C723" s="1">
        <v>0</v>
      </c>
      <c r="D723" s="39">
        <v>0</v>
      </c>
      <c r="E723" s="1"/>
      <c r="F723" s="39">
        <f t="shared" ref="F723:F745" si="27">E723+F699</f>
        <v>0</v>
      </c>
      <c r="G723" s="497"/>
      <c r="H723" s="497"/>
      <c r="J723" s="42"/>
    </row>
    <row r="724" spans="1:10" s="360" customFormat="1" x14ac:dyDescent="0.25">
      <c r="A724" s="19" t="s">
        <v>15</v>
      </c>
      <c r="B724" s="2">
        <v>43923</v>
      </c>
      <c r="C724" s="1">
        <v>3</v>
      </c>
      <c r="D724" s="39">
        <v>99</v>
      </c>
      <c r="E724" s="1">
        <v>1</v>
      </c>
      <c r="F724" s="39">
        <f t="shared" si="27"/>
        <v>5</v>
      </c>
      <c r="G724" s="497"/>
      <c r="H724" s="497"/>
      <c r="J724" s="42"/>
    </row>
    <row r="725" spans="1:10" s="360" customFormat="1" x14ac:dyDescent="0.25">
      <c r="A725" s="19" t="s">
        <v>29</v>
      </c>
      <c r="B725" s="2">
        <v>43923</v>
      </c>
      <c r="C725" s="1">
        <v>0</v>
      </c>
      <c r="D725" s="39">
        <v>0</v>
      </c>
      <c r="E725" s="1"/>
      <c r="F725" s="39">
        <f t="shared" si="27"/>
        <v>1</v>
      </c>
      <c r="G725" s="497"/>
      <c r="H725" s="497"/>
      <c r="J725" s="42"/>
    </row>
    <row r="726" spans="1:10" s="360" customFormat="1" x14ac:dyDescent="0.25">
      <c r="A726" s="19" t="s">
        <v>43</v>
      </c>
      <c r="B726" s="2">
        <v>43923</v>
      </c>
      <c r="C726" s="1">
        <v>24</v>
      </c>
      <c r="D726" s="39">
        <v>345</v>
      </c>
      <c r="E726" s="1"/>
      <c r="F726" s="39">
        <f t="shared" si="27"/>
        <v>6</v>
      </c>
      <c r="G726" s="497"/>
      <c r="H726" s="497"/>
      <c r="J726" s="42"/>
    </row>
    <row r="727" spans="1:10" s="360" customFormat="1" x14ac:dyDescent="0.25">
      <c r="A727" s="19" t="s">
        <v>20</v>
      </c>
      <c r="B727" s="2">
        <v>43923</v>
      </c>
      <c r="C727" s="1">
        <v>16</v>
      </c>
      <c r="D727" s="39">
        <v>117</v>
      </c>
      <c r="E727" s="1"/>
      <c r="F727" s="39">
        <f t="shared" si="27"/>
        <v>1</v>
      </c>
      <c r="G727" s="497"/>
      <c r="H727" s="497"/>
      <c r="J727" s="42"/>
    </row>
    <row r="728" spans="1:10" s="360" customFormat="1" x14ac:dyDescent="0.25">
      <c r="A728" s="19" t="s">
        <v>30</v>
      </c>
      <c r="B728" s="2">
        <v>43923</v>
      </c>
      <c r="C728" s="1">
        <v>1</v>
      </c>
      <c r="D728" s="39">
        <v>22</v>
      </c>
      <c r="E728" s="1"/>
      <c r="F728" s="39">
        <f t="shared" si="27"/>
        <v>0</v>
      </c>
      <c r="G728" s="497"/>
      <c r="H728" s="497"/>
      <c r="J728" s="42"/>
    </row>
    <row r="729" spans="1:10" x14ac:dyDescent="0.25">
      <c r="A729" s="19" t="s">
        <v>31</v>
      </c>
      <c r="B729" s="2">
        <v>43923</v>
      </c>
      <c r="C729" s="1">
        <v>2</v>
      </c>
      <c r="D729" s="39">
        <v>16</v>
      </c>
      <c r="F729" s="39">
        <f t="shared" si="27"/>
        <v>0</v>
      </c>
    </row>
    <row r="730" spans="1:10" s="360" customFormat="1" x14ac:dyDescent="0.25">
      <c r="A730" s="19" t="s">
        <v>41</v>
      </c>
      <c r="B730" s="2">
        <v>43923</v>
      </c>
      <c r="C730" s="1">
        <v>0</v>
      </c>
      <c r="D730" s="39">
        <v>0</v>
      </c>
      <c r="E730" s="1"/>
      <c r="F730" s="39">
        <f t="shared" si="27"/>
        <v>0</v>
      </c>
      <c r="G730" s="497"/>
      <c r="H730" s="497"/>
      <c r="J730" s="42"/>
    </row>
    <row r="731" spans="1:10" s="360" customFormat="1" x14ac:dyDescent="0.25">
      <c r="A731" s="19" t="s">
        <v>32</v>
      </c>
      <c r="B731" s="2">
        <v>43923</v>
      </c>
      <c r="C731" s="1">
        <v>2</v>
      </c>
      <c r="D731" s="39">
        <v>5</v>
      </c>
      <c r="E731" s="1"/>
      <c r="F731" s="39">
        <f t="shared" si="27"/>
        <v>0</v>
      </c>
      <c r="G731" s="497"/>
      <c r="H731" s="497"/>
      <c r="J731" s="42"/>
    </row>
    <row r="732" spans="1:10" s="360" customFormat="1" x14ac:dyDescent="0.25">
      <c r="A732" s="19" t="s">
        <v>33</v>
      </c>
      <c r="B732" s="2">
        <v>43923</v>
      </c>
      <c r="C732" s="1">
        <v>0</v>
      </c>
      <c r="D732" s="39">
        <v>3</v>
      </c>
      <c r="E732" s="1"/>
      <c r="F732" s="39">
        <f t="shared" si="27"/>
        <v>0</v>
      </c>
      <c r="G732" s="497"/>
      <c r="H732" s="497"/>
      <c r="J732" s="42"/>
    </row>
    <row r="733" spans="1:10" s="360" customFormat="1" x14ac:dyDescent="0.25">
      <c r="A733" s="19" t="s">
        <v>21</v>
      </c>
      <c r="B733" s="2">
        <v>43923</v>
      </c>
      <c r="C733" s="1">
        <v>3</v>
      </c>
      <c r="D733" s="39">
        <v>4</v>
      </c>
      <c r="E733" s="1"/>
      <c r="F733" s="39">
        <f t="shared" si="27"/>
        <v>1</v>
      </c>
      <c r="G733" s="497"/>
      <c r="H733" s="497"/>
      <c r="J733" s="42"/>
    </row>
    <row r="734" spans="1:10" s="360" customFormat="1" x14ac:dyDescent="0.25">
      <c r="A734" s="19" t="s">
        <v>17</v>
      </c>
      <c r="B734" s="2">
        <v>43923</v>
      </c>
      <c r="C734" s="1">
        <v>0</v>
      </c>
      <c r="D734" s="39">
        <v>25</v>
      </c>
      <c r="E734" s="1">
        <v>1</v>
      </c>
      <c r="F734" s="39">
        <f t="shared" si="27"/>
        <v>2</v>
      </c>
      <c r="G734" s="497"/>
      <c r="H734" s="497"/>
      <c r="J734" s="42"/>
    </row>
    <row r="735" spans="1:10" s="360" customFormat="1" x14ac:dyDescent="0.25">
      <c r="A735" s="19" t="s">
        <v>23</v>
      </c>
      <c r="B735" s="2">
        <v>43923</v>
      </c>
      <c r="C735" s="1">
        <v>0</v>
      </c>
      <c r="D735" s="39">
        <v>3</v>
      </c>
      <c r="E735" s="1"/>
      <c r="F735" s="39">
        <f t="shared" si="27"/>
        <v>0</v>
      </c>
      <c r="G735" s="497"/>
      <c r="H735" s="497"/>
      <c r="J735" s="42"/>
    </row>
    <row r="736" spans="1:10" s="360" customFormat="1" x14ac:dyDescent="0.25">
      <c r="A736" s="19" t="s">
        <v>19</v>
      </c>
      <c r="B736" s="2">
        <v>43923</v>
      </c>
      <c r="C736" s="1">
        <v>4</v>
      </c>
      <c r="D736" s="39">
        <v>28</v>
      </c>
      <c r="E736" s="1"/>
      <c r="F736" s="39">
        <f t="shared" si="27"/>
        <v>1</v>
      </c>
      <c r="G736" s="497"/>
      <c r="H736" s="497"/>
      <c r="J736" s="42"/>
    </row>
    <row r="737" spans="1:10" s="360" customFormat="1" x14ac:dyDescent="0.25">
      <c r="A737" s="19" t="s">
        <v>18</v>
      </c>
      <c r="B737" s="2">
        <v>43923</v>
      </c>
      <c r="C737" s="1">
        <v>0</v>
      </c>
      <c r="D737" s="39">
        <v>9</v>
      </c>
      <c r="E737" s="1"/>
      <c r="F737" s="39">
        <f t="shared" si="27"/>
        <v>2</v>
      </c>
      <c r="G737" s="497"/>
      <c r="H737" s="497"/>
      <c r="J737" s="42"/>
    </row>
    <row r="738" spans="1:10" s="360" customFormat="1" x14ac:dyDescent="0.25">
      <c r="A738" s="19" t="s">
        <v>34</v>
      </c>
      <c r="B738" s="2">
        <v>43923</v>
      </c>
      <c r="C738" s="1">
        <v>0</v>
      </c>
      <c r="D738" s="39">
        <v>3</v>
      </c>
      <c r="E738" s="1"/>
      <c r="F738" s="39">
        <f t="shared" si="27"/>
        <v>0</v>
      </c>
      <c r="G738" s="497"/>
      <c r="H738" s="497"/>
      <c r="J738" s="42"/>
    </row>
    <row r="739" spans="1:10" s="360" customFormat="1" x14ac:dyDescent="0.25">
      <c r="A739" s="19" t="s">
        <v>35</v>
      </c>
      <c r="B739" s="2">
        <v>43923</v>
      </c>
      <c r="C739" s="1">
        <v>0</v>
      </c>
      <c r="D739" s="39">
        <v>1</v>
      </c>
      <c r="E739" s="1"/>
      <c r="F739" s="39">
        <f t="shared" si="27"/>
        <v>0</v>
      </c>
      <c r="G739" s="497"/>
      <c r="H739" s="497"/>
      <c r="J739" s="42"/>
    </row>
    <row r="740" spans="1:10" s="360" customFormat="1" x14ac:dyDescent="0.25">
      <c r="A740" s="19" t="s">
        <v>36</v>
      </c>
      <c r="B740" s="2">
        <v>43923</v>
      </c>
      <c r="C740" s="1">
        <v>2</v>
      </c>
      <c r="D740" s="39">
        <v>9</v>
      </c>
      <c r="E740" s="1"/>
      <c r="F740" s="39">
        <f t="shared" si="27"/>
        <v>0</v>
      </c>
      <c r="G740" s="497"/>
      <c r="H740" s="497"/>
      <c r="J740" s="42"/>
    </row>
    <row r="741" spans="1:10" s="360" customFormat="1" x14ac:dyDescent="0.25">
      <c r="A741" s="19" t="s">
        <v>37</v>
      </c>
      <c r="B741" s="2">
        <v>43923</v>
      </c>
      <c r="C741" s="1">
        <v>2</v>
      </c>
      <c r="D741" s="39">
        <v>21</v>
      </c>
      <c r="E741" s="1"/>
      <c r="F741" s="39">
        <f t="shared" si="27"/>
        <v>0</v>
      </c>
      <c r="G741" s="497"/>
      <c r="H741" s="497"/>
      <c r="J741" s="42"/>
    </row>
    <row r="742" spans="1:10" s="360" customFormat="1" x14ac:dyDescent="0.25">
      <c r="A742" s="19" t="s">
        <v>22</v>
      </c>
      <c r="B742" s="2">
        <v>43923</v>
      </c>
      <c r="C742" s="1">
        <v>8</v>
      </c>
      <c r="D742" s="39">
        <v>152</v>
      </c>
      <c r="E742" s="1"/>
      <c r="F742" s="39">
        <f>E742+F718</f>
        <v>1</v>
      </c>
      <c r="G742" s="497"/>
      <c r="H742" s="497"/>
      <c r="J742" s="42"/>
    </row>
    <row r="743" spans="1:10" s="360" customFormat="1" x14ac:dyDescent="0.25">
      <c r="A743" s="19" t="s">
        <v>38</v>
      </c>
      <c r="B743" s="2">
        <v>43923</v>
      </c>
      <c r="C743" s="1">
        <v>1</v>
      </c>
      <c r="D743" s="39">
        <v>3</v>
      </c>
      <c r="E743" s="1"/>
      <c r="F743" s="39">
        <f t="shared" si="27"/>
        <v>0</v>
      </c>
      <c r="G743" s="497"/>
      <c r="H743" s="497"/>
      <c r="J743" s="42"/>
    </row>
    <row r="744" spans="1:10" s="360" customFormat="1" x14ac:dyDescent="0.25">
      <c r="A744" s="19" t="s">
        <v>39</v>
      </c>
      <c r="B744" s="2">
        <v>43923</v>
      </c>
      <c r="C744" s="1">
        <v>24</v>
      </c>
      <c r="D744" s="39">
        <v>63</v>
      </c>
      <c r="E744" s="1"/>
      <c r="F744" s="39">
        <f t="shared" si="27"/>
        <v>0</v>
      </c>
      <c r="G744" s="497"/>
      <c r="H744" s="497"/>
      <c r="J744" s="42"/>
    </row>
    <row r="745" spans="1:10" s="360" customFormat="1" x14ac:dyDescent="0.25">
      <c r="A745" s="19" t="s">
        <v>40</v>
      </c>
      <c r="B745" s="2">
        <v>43923</v>
      </c>
      <c r="C745" s="1">
        <v>4</v>
      </c>
      <c r="D745" s="39">
        <v>21</v>
      </c>
      <c r="E745" s="1"/>
      <c r="F745" s="39">
        <f t="shared" si="27"/>
        <v>1</v>
      </c>
      <c r="G745" s="497"/>
      <c r="H745" s="497"/>
      <c r="J745" s="42"/>
    </row>
    <row r="746" spans="1:10" s="360" customFormat="1" x14ac:dyDescent="0.25">
      <c r="A746" s="361" t="s">
        <v>16</v>
      </c>
      <c r="B746" s="2">
        <v>43924</v>
      </c>
      <c r="C746" s="1">
        <v>22</v>
      </c>
      <c r="D746" s="39">
        <v>338</v>
      </c>
      <c r="E746" s="1">
        <v>3</v>
      </c>
      <c r="F746" s="39">
        <f>E746+F722</f>
        <v>15</v>
      </c>
      <c r="G746" s="497"/>
      <c r="H746" s="497"/>
      <c r="J746" s="42"/>
    </row>
    <row r="747" spans="1:10" s="360" customFormat="1" x14ac:dyDescent="0.25">
      <c r="A747" s="19" t="s">
        <v>28</v>
      </c>
      <c r="B747" s="2">
        <v>43924</v>
      </c>
      <c r="C747" s="1">
        <v>0</v>
      </c>
      <c r="D747" s="39">
        <v>0</v>
      </c>
      <c r="E747" s="1"/>
      <c r="F747" s="39">
        <f t="shared" ref="F747:F769" si="28">E747+F723</f>
        <v>0</v>
      </c>
      <c r="G747" s="497"/>
      <c r="H747" s="497"/>
      <c r="J747" s="42"/>
    </row>
    <row r="748" spans="1:10" s="360" customFormat="1" x14ac:dyDescent="0.25">
      <c r="A748" s="19" t="s">
        <v>15</v>
      </c>
      <c r="B748" s="2">
        <v>43924</v>
      </c>
      <c r="C748" s="1">
        <v>8</v>
      </c>
      <c r="D748" s="39">
        <v>107</v>
      </c>
      <c r="E748" s="1">
        <v>1</v>
      </c>
      <c r="F748" s="39">
        <f t="shared" si="28"/>
        <v>6</v>
      </c>
      <c r="G748" s="497"/>
      <c r="H748" s="497"/>
      <c r="J748" s="42"/>
    </row>
    <row r="749" spans="1:10" s="360" customFormat="1" x14ac:dyDescent="0.25">
      <c r="A749" s="19" t="s">
        <v>29</v>
      </c>
      <c r="B749" s="2">
        <v>43924</v>
      </c>
      <c r="C749" s="1">
        <v>0</v>
      </c>
      <c r="D749" s="39">
        <v>0</v>
      </c>
      <c r="E749" s="1"/>
      <c r="F749" s="39">
        <f t="shared" si="28"/>
        <v>1</v>
      </c>
      <c r="G749" s="497"/>
      <c r="H749" s="497"/>
      <c r="J749" s="42"/>
    </row>
    <row r="750" spans="1:10" s="360" customFormat="1" x14ac:dyDescent="0.25">
      <c r="A750" s="19" t="s">
        <v>43</v>
      </c>
      <c r="B750" s="2">
        <v>43924</v>
      </c>
      <c r="C750" s="1">
        <v>28</v>
      </c>
      <c r="D750" s="39">
        <v>373</v>
      </c>
      <c r="E750" s="1"/>
      <c r="F750" s="39">
        <f t="shared" si="28"/>
        <v>6</v>
      </c>
      <c r="G750" s="497"/>
      <c r="H750" s="497"/>
      <c r="J750" s="42"/>
    </row>
    <row r="751" spans="1:10" s="360" customFormat="1" x14ac:dyDescent="0.25">
      <c r="A751" s="19" t="s">
        <v>20</v>
      </c>
      <c r="B751" s="2">
        <v>43924</v>
      </c>
      <c r="C751" s="1">
        <v>14</v>
      </c>
      <c r="D751" s="39">
        <v>131</v>
      </c>
      <c r="E751" s="1"/>
      <c r="F751" s="39">
        <f t="shared" si="28"/>
        <v>1</v>
      </c>
      <c r="G751" s="497"/>
      <c r="H751" s="497"/>
      <c r="J751" s="42"/>
    </row>
    <row r="752" spans="1:10" s="360" customFormat="1" x14ac:dyDescent="0.25">
      <c r="A752" s="19" t="s">
        <v>30</v>
      </c>
      <c r="B752" s="2">
        <v>43924</v>
      </c>
      <c r="C752" s="1">
        <v>0</v>
      </c>
      <c r="D752" s="39">
        <v>22</v>
      </c>
      <c r="E752" s="1"/>
      <c r="F752" s="39">
        <f t="shared" si="28"/>
        <v>0</v>
      </c>
      <c r="G752" s="497"/>
      <c r="H752" s="497"/>
      <c r="J752" s="42"/>
    </row>
    <row r="753" spans="1:10" x14ac:dyDescent="0.25">
      <c r="A753" s="19" t="s">
        <v>31</v>
      </c>
      <c r="B753" s="2">
        <v>43924</v>
      </c>
      <c r="C753" s="1">
        <v>2</v>
      </c>
      <c r="D753" s="39">
        <v>18</v>
      </c>
      <c r="F753" s="39">
        <f t="shared" si="28"/>
        <v>0</v>
      </c>
    </row>
    <row r="754" spans="1:10" s="360" customFormat="1" x14ac:dyDescent="0.25">
      <c r="A754" s="19" t="s">
        <v>41</v>
      </c>
      <c r="B754" s="2">
        <v>43924</v>
      </c>
      <c r="C754" s="1">
        <v>0</v>
      </c>
      <c r="D754" s="39">
        <v>0</v>
      </c>
      <c r="E754" s="1"/>
      <c r="F754" s="39">
        <f t="shared" si="28"/>
        <v>0</v>
      </c>
      <c r="G754" s="497"/>
      <c r="H754" s="497"/>
      <c r="J754" s="42"/>
    </row>
    <row r="755" spans="1:10" s="360" customFormat="1" x14ac:dyDescent="0.25">
      <c r="A755" s="19" t="s">
        <v>32</v>
      </c>
      <c r="B755" s="2">
        <v>43924</v>
      </c>
      <c r="C755" s="1">
        <v>0</v>
      </c>
      <c r="D755" s="39">
        <v>5</v>
      </c>
      <c r="E755" s="1"/>
      <c r="F755" s="39">
        <f t="shared" si="28"/>
        <v>0</v>
      </c>
      <c r="G755" s="497"/>
      <c r="H755" s="497"/>
      <c r="J755" s="42"/>
    </row>
    <row r="756" spans="1:10" s="360" customFormat="1" x14ac:dyDescent="0.25">
      <c r="A756" s="19" t="s">
        <v>33</v>
      </c>
      <c r="B756" s="2">
        <v>43924</v>
      </c>
      <c r="C756" s="1">
        <v>0</v>
      </c>
      <c r="D756" s="39">
        <v>3</v>
      </c>
      <c r="E756" s="1"/>
      <c r="F756" s="39">
        <f t="shared" si="28"/>
        <v>0</v>
      </c>
      <c r="G756" s="497"/>
      <c r="H756" s="497"/>
      <c r="J756" s="42"/>
    </row>
    <row r="757" spans="1:10" s="360" customFormat="1" x14ac:dyDescent="0.25">
      <c r="A757" s="19" t="s">
        <v>21</v>
      </c>
      <c r="B757" s="2">
        <v>43924</v>
      </c>
      <c r="C757" s="1">
        <v>0</v>
      </c>
      <c r="D757" s="39">
        <v>4</v>
      </c>
      <c r="E757" s="1"/>
      <c r="F757" s="39">
        <f t="shared" si="28"/>
        <v>1</v>
      </c>
      <c r="G757" s="497"/>
      <c r="H757" s="497"/>
      <c r="J757" s="42"/>
    </row>
    <row r="758" spans="1:10" s="360" customFormat="1" x14ac:dyDescent="0.25">
      <c r="A758" s="19" t="s">
        <v>17</v>
      </c>
      <c r="B758" s="2">
        <v>43924</v>
      </c>
      <c r="C758" s="1">
        <v>2</v>
      </c>
      <c r="D758" s="39">
        <v>27</v>
      </c>
      <c r="E758" s="1">
        <v>1</v>
      </c>
      <c r="F758" s="39">
        <f t="shared" si="28"/>
        <v>3</v>
      </c>
      <c r="G758" s="497"/>
      <c r="H758" s="497"/>
      <c r="J758" s="42"/>
    </row>
    <row r="759" spans="1:10" s="360" customFormat="1" x14ac:dyDescent="0.25">
      <c r="A759" s="19" t="s">
        <v>23</v>
      </c>
      <c r="B759" s="2">
        <v>43924</v>
      </c>
      <c r="C759" s="1">
        <v>0</v>
      </c>
      <c r="D759" s="39">
        <v>3</v>
      </c>
      <c r="E759" s="1"/>
      <c r="F759" s="39">
        <f t="shared" si="28"/>
        <v>0</v>
      </c>
      <c r="G759" s="497"/>
      <c r="H759" s="497"/>
      <c r="J759" s="42"/>
    </row>
    <row r="760" spans="1:10" s="360" customFormat="1" x14ac:dyDescent="0.25">
      <c r="A760" s="19" t="s">
        <v>19</v>
      </c>
      <c r="B760" s="2">
        <v>43924</v>
      </c>
      <c r="C760" s="1">
        <v>1</v>
      </c>
      <c r="D760" s="39">
        <v>29</v>
      </c>
      <c r="E760" s="1"/>
      <c r="F760" s="39">
        <f t="shared" si="28"/>
        <v>1</v>
      </c>
      <c r="G760" s="497"/>
      <c r="H760" s="497"/>
      <c r="J760" s="42"/>
    </row>
    <row r="761" spans="1:10" s="360" customFormat="1" x14ac:dyDescent="0.25">
      <c r="A761" s="19" t="s">
        <v>18</v>
      </c>
      <c r="B761" s="2">
        <v>43924</v>
      </c>
      <c r="C761" s="1">
        <v>1</v>
      </c>
      <c r="D761" s="39">
        <v>10</v>
      </c>
      <c r="E761" s="1"/>
      <c r="F761" s="39">
        <f t="shared" si="28"/>
        <v>2</v>
      </c>
      <c r="G761" s="497"/>
      <c r="H761" s="497"/>
      <c r="J761" s="42"/>
    </row>
    <row r="762" spans="1:10" s="360" customFormat="1" x14ac:dyDescent="0.25">
      <c r="A762" s="19" t="s">
        <v>34</v>
      </c>
      <c r="B762" s="2">
        <v>43924</v>
      </c>
      <c r="C762" s="1">
        <v>0</v>
      </c>
      <c r="D762" s="39">
        <v>3</v>
      </c>
      <c r="E762" s="1"/>
      <c r="F762" s="39">
        <f t="shared" si="28"/>
        <v>0</v>
      </c>
      <c r="G762" s="497"/>
      <c r="H762" s="497"/>
      <c r="J762" s="42"/>
    </row>
    <row r="763" spans="1:10" s="360" customFormat="1" x14ac:dyDescent="0.25">
      <c r="A763" s="19" t="s">
        <v>35</v>
      </c>
      <c r="B763" s="2">
        <v>43924</v>
      </c>
      <c r="C763" s="1">
        <v>0</v>
      </c>
      <c r="D763" s="39">
        <v>1</v>
      </c>
      <c r="E763" s="1"/>
      <c r="F763" s="39">
        <f t="shared" si="28"/>
        <v>0</v>
      </c>
      <c r="G763" s="497"/>
      <c r="H763" s="497"/>
      <c r="J763" s="42"/>
    </row>
    <row r="764" spans="1:10" s="360" customFormat="1" x14ac:dyDescent="0.25">
      <c r="A764" s="19" t="s">
        <v>36</v>
      </c>
      <c r="B764" s="2">
        <v>43924</v>
      </c>
      <c r="C764" s="1">
        <v>1</v>
      </c>
      <c r="D764" s="39">
        <v>10</v>
      </c>
      <c r="E764" s="1"/>
      <c r="F764" s="39">
        <f t="shared" si="28"/>
        <v>0</v>
      </c>
      <c r="G764" s="497"/>
      <c r="H764" s="497"/>
      <c r="J764" s="42"/>
    </row>
    <row r="765" spans="1:10" s="360" customFormat="1" x14ac:dyDescent="0.25">
      <c r="A765" s="19" t="s">
        <v>37</v>
      </c>
      <c r="B765" s="2">
        <v>43924</v>
      </c>
      <c r="C765" s="1">
        <v>0</v>
      </c>
      <c r="D765" s="39">
        <v>21</v>
      </c>
      <c r="E765" s="1"/>
      <c r="F765" s="39">
        <f t="shared" si="28"/>
        <v>0</v>
      </c>
      <c r="G765" s="497"/>
      <c r="H765" s="497"/>
      <c r="J765" s="42"/>
    </row>
    <row r="766" spans="1:10" s="360" customFormat="1" x14ac:dyDescent="0.25">
      <c r="A766" s="19" t="s">
        <v>22</v>
      </c>
      <c r="B766" s="2">
        <v>43924</v>
      </c>
      <c r="C766" s="1">
        <v>8</v>
      </c>
      <c r="D766" s="39">
        <v>160</v>
      </c>
      <c r="E766" s="1"/>
      <c r="F766" s="39">
        <f>E766+F742</f>
        <v>1</v>
      </c>
      <c r="G766" s="497"/>
      <c r="H766" s="497"/>
      <c r="J766" s="42"/>
    </row>
    <row r="767" spans="1:10" s="360" customFormat="1" x14ac:dyDescent="0.25">
      <c r="A767" s="19" t="s">
        <v>38</v>
      </c>
      <c r="B767" s="2">
        <v>43924</v>
      </c>
      <c r="C767" s="1">
        <v>0</v>
      </c>
      <c r="D767" s="39">
        <v>3</v>
      </c>
      <c r="E767" s="1"/>
      <c r="F767" s="39">
        <f t="shared" si="28"/>
        <v>0</v>
      </c>
      <c r="G767" s="497"/>
      <c r="H767" s="497"/>
      <c r="J767" s="42"/>
    </row>
    <row r="768" spans="1:10" s="360" customFormat="1" x14ac:dyDescent="0.25">
      <c r="A768" s="19" t="s">
        <v>39</v>
      </c>
      <c r="B768" s="2">
        <v>43924</v>
      </c>
      <c r="C768" s="1">
        <v>1</v>
      </c>
      <c r="D768" s="39">
        <v>64</v>
      </c>
      <c r="E768" s="1"/>
      <c r="F768" s="39">
        <f t="shared" si="28"/>
        <v>0</v>
      </c>
      <c r="G768" s="497"/>
      <c r="H768" s="497"/>
      <c r="J768" s="42"/>
    </row>
    <row r="769" spans="1:10" s="360" customFormat="1" x14ac:dyDescent="0.25">
      <c r="A769" s="19" t="s">
        <v>40</v>
      </c>
      <c r="B769" s="2">
        <v>43924</v>
      </c>
      <c r="C769" s="1">
        <v>0</v>
      </c>
      <c r="D769" s="39">
        <v>21</v>
      </c>
      <c r="E769" s="1"/>
      <c r="F769" s="39">
        <f t="shared" si="28"/>
        <v>1</v>
      </c>
      <c r="G769" s="497"/>
      <c r="H769" s="497"/>
      <c r="J769" s="42"/>
    </row>
    <row r="770" spans="1:10" s="360" customFormat="1" x14ac:dyDescent="0.25">
      <c r="A770" s="361" t="s">
        <v>16</v>
      </c>
      <c r="B770" s="2">
        <v>43925</v>
      </c>
      <c r="C770" s="1">
        <v>26</v>
      </c>
      <c r="D770" s="39">
        <v>364</v>
      </c>
      <c r="E770" s="1">
        <v>1</v>
      </c>
      <c r="F770" s="39">
        <f>E770+F746</f>
        <v>16</v>
      </c>
      <c r="G770" s="497"/>
      <c r="H770" s="497"/>
      <c r="J770" s="42"/>
    </row>
    <row r="771" spans="1:10" s="360" customFormat="1" x14ac:dyDescent="0.25">
      <c r="A771" s="19" t="s">
        <v>28</v>
      </c>
      <c r="B771" s="2">
        <v>43925</v>
      </c>
      <c r="C771" s="1">
        <v>0</v>
      </c>
      <c r="D771" s="39">
        <v>0</v>
      </c>
      <c r="E771" s="1"/>
      <c r="F771" s="39">
        <f t="shared" ref="F771:F793" si="29">E771+F747</f>
        <v>0</v>
      </c>
      <c r="G771" s="497"/>
      <c r="H771" s="497"/>
      <c r="J771" s="42"/>
    </row>
    <row r="772" spans="1:10" s="360" customFormat="1" x14ac:dyDescent="0.25">
      <c r="A772" s="19" t="s">
        <v>15</v>
      </c>
      <c r="B772" s="2">
        <v>43925</v>
      </c>
      <c r="C772" s="1">
        <v>8</v>
      </c>
      <c r="D772" s="39">
        <v>115</v>
      </c>
      <c r="E772" s="1"/>
      <c r="F772" s="39">
        <f t="shared" si="29"/>
        <v>6</v>
      </c>
      <c r="G772" s="497"/>
      <c r="H772" s="497"/>
      <c r="J772" s="42"/>
    </row>
    <row r="773" spans="1:10" s="360" customFormat="1" x14ac:dyDescent="0.25">
      <c r="A773" s="19" t="s">
        <v>29</v>
      </c>
      <c r="B773" s="2">
        <v>43925</v>
      </c>
      <c r="C773" s="1">
        <v>0</v>
      </c>
      <c r="D773" s="39">
        <v>0</v>
      </c>
      <c r="E773" s="1"/>
      <c r="F773" s="39">
        <f t="shared" si="29"/>
        <v>1</v>
      </c>
      <c r="G773" s="497"/>
      <c r="H773" s="497"/>
      <c r="J773" s="42"/>
    </row>
    <row r="774" spans="1:10" s="360" customFormat="1" x14ac:dyDescent="0.25">
      <c r="A774" s="19" t="s">
        <v>43</v>
      </c>
      <c r="B774" s="2">
        <v>43925</v>
      </c>
      <c r="C774" s="1">
        <v>34</v>
      </c>
      <c r="D774" s="39">
        <v>407</v>
      </c>
      <c r="E774" s="1">
        <v>1</v>
      </c>
      <c r="F774" s="39">
        <f t="shared" si="29"/>
        <v>7</v>
      </c>
      <c r="G774" s="497"/>
      <c r="H774" s="497"/>
      <c r="J774" s="42"/>
    </row>
    <row r="775" spans="1:10" s="360" customFormat="1" x14ac:dyDescent="0.25">
      <c r="A775" s="19" t="s">
        <v>20</v>
      </c>
      <c r="B775" s="2">
        <v>43925</v>
      </c>
      <c r="C775" s="1">
        <v>3</v>
      </c>
      <c r="D775" s="39">
        <v>134</v>
      </c>
      <c r="E775" s="1"/>
      <c r="F775" s="39">
        <f t="shared" si="29"/>
        <v>1</v>
      </c>
      <c r="G775" s="497"/>
      <c r="H775" s="497"/>
      <c r="J775" s="42"/>
    </row>
    <row r="776" spans="1:10" s="360" customFormat="1" x14ac:dyDescent="0.25">
      <c r="A776" s="19" t="s">
        <v>30</v>
      </c>
      <c r="B776" s="2">
        <v>43925</v>
      </c>
      <c r="C776" s="1">
        <v>0</v>
      </c>
      <c r="D776" s="39">
        <v>22</v>
      </c>
      <c r="E776" s="1"/>
      <c r="F776" s="39">
        <f t="shared" si="29"/>
        <v>0</v>
      </c>
      <c r="G776" s="497"/>
      <c r="H776" s="497"/>
      <c r="J776" s="42"/>
    </row>
    <row r="777" spans="1:10" x14ac:dyDescent="0.25">
      <c r="A777" s="19" t="s">
        <v>31</v>
      </c>
      <c r="B777" s="2">
        <v>43925</v>
      </c>
      <c r="C777" s="1">
        <v>0</v>
      </c>
      <c r="D777" s="39">
        <v>18</v>
      </c>
      <c r="F777" s="39">
        <f t="shared" si="29"/>
        <v>0</v>
      </c>
    </row>
    <row r="778" spans="1:10" s="360" customFormat="1" x14ac:dyDescent="0.25">
      <c r="A778" s="19" t="s">
        <v>41</v>
      </c>
      <c r="B778" s="2">
        <v>43925</v>
      </c>
      <c r="C778" s="1">
        <v>0</v>
      </c>
      <c r="D778" s="39">
        <v>0</v>
      </c>
      <c r="E778" s="1"/>
      <c r="F778" s="39">
        <f t="shared" si="29"/>
        <v>0</v>
      </c>
      <c r="G778" s="497"/>
      <c r="H778" s="497"/>
      <c r="J778" s="42"/>
    </row>
    <row r="779" spans="1:10" s="360" customFormat="1" x14ac:dyDescent="0.25">
      <c r="A779" s="19" t="s">
        <v>32</v>
      </c>
      <c r="B779" s="2">
        <v>43925</v>
      </c>
      <c r="C779" s="1">
        <v>0</v>
      </c>
      <c r="D779" s="39">
        <v>5</v>
      </c>
      <c r="E779" s="1"/>
      <c r="F779" s="39">
        <f t="shared" si="29"/>
        <v>0</v>
      </c>
      <c r="G779" s="497"/>
      <c r="H779" s="497"/>
      <c r="J779" s="42"/>
    </row>
    <row r="780" spans="1:10" s="360" customFormat="1" x14ac:dyDescent="0.25">
      <c r="A780" s="19" t="s">
        <v>33</v>
      </c>
      <c r="B780" s="2">
        <v>43925</v>
      </c>
      <c r="C780" s="1">
        <v>0</v>
      </c>
      <c r="D780" s="39">
        <v>3</v>
      </c>
      <c r="E780" s="1"/>
      <c r="F780" s="39">
        <f t="shared" si="29"/>
        <v>0</v>
      </c>
      <c r="G780" s="497"/>
      <c r="H780" s="497"/>
      <c r="J780" s="42"/>
    </row>
    <row r="781" spans="1:10" s="360" customFormat="1" x14ac:dyDescent="0.25">
      <c r="A781" s="19" t="s">
        <v>21</v>
      </c>
      <c r="B781" s="2">
        <v>43925</v>
      </c>
      <c r="C781" s="1">
        <v>2</v>
      </c>
      <c r="D781" s="39">
        <v>6</v>
      </c>
      <c r="E781" s="1"/>
      <c r="F781" s="39">
        <f t="shared" si="29"/>
        <v>1</v>
      </c>
      <c r="G781" s="497"/>
      <c r="H781" s="497"/>
      <c r="J781" s="42"/>
    </row>
    <row r="782" spans="1:10" s="360" customFormat="1" x14ac:dyDescent="0.25">
      <c r="A782" s="19" t="s">
        <v>17</v>
      </c>
      <c r="B782" s="2">
        <v>43925</v>
      </c>
      <c r="C782" s="1">
        <v>0</v>
      </c>
      <c r="D782" s="39">
        <v>27</v>
      </c>
      <c r="E782" s="1"/>
      <c r="F782" s="39">
        <f t="shared" si="29"/>
        <v>3</v>
      </c>
      <c r="G782" s="497"/>
      <c r="H782" s="497"/>
      <c r="J782" s="42"/>
    </row>
    <row r="783" spans="1:10" s="360" customFormat="1" x14ac:dyDescent="0.25">
      <c r="A783" s="19" t="s">
        <v>23</v>
      </c>
      <c r="B783" s="2">
        <v>43925</v>
      </c>
      <c r="C783" s="1">
        <v>0</v>
      </c>
      <c r="D783" s="39">
        <v>3</v>
      </c>
      <c r="E783" s="1"/>
      <c r="F783" s="39">
        <f t="shared" si="29"/>
        <v>0</v>
      </c>
      <c r="G783" s="497"/>
      <c r="H783" s="497"/>
      <c r="J783" s="42"/>
    </row>
    <row r="784" spans="1:10" s="360" customFormat="1" x14ac:dyDescent="0.25">
      <c r="A784" s="19" t="s">
        <v>19</v>
      </c>
      <c r="B784" s="2">
        <v>43925</v>
      </c>
      <c r="C784" s="1">
        <v>4</v>
      </c>
      <c r="D784" s="39">
        <v>33</v>
      </c>
      <c r="E784" s="1"/>
      <c r="F784" s="39">
        <f t="shared" si="29"/>
        <v>1</v>
      </c>
      <c r="G784" s="497"/>
      <c r="H784" s="497"/>
      <c r="J784" s="42"/>
    </row>
    <row r="785" spans="1:10" s="360" customFormat="1" x14ac:dyDescent="0.25">
      <c r="A785" s="19" t="s">
        <v>18</v>
      </c>
      <c r="B785" s="2">
        <v>43925</v>
      </c>
      <c r="C785" s="1">
        <v>5</v>
      </c>
      <c r="D785" s="39">
        <v>15</v>
      </c>
      <c r="E785" s="1"/>
      <c r="F785" s="39">
        <f t="shared" si="29"/>
        <v>2</v>
      </c>
      <c r="G785" s="497"/>
      <c r="H785" s="497"/>
      <c r="J785" s="42"/>
    </row>
    <row r="786" spans="1:10" s="360" customFormat="1" x14ac:dyDescent="0.25">
      <c r="A786" s="19" t="s">
        <v>34</v>
      </c>
      <c r="B786" s="2">
        <v>43925</v>
      </c>
      <c r="C786" s="1">
        <v>0</v>
      </c>
      <c r="D786" s="39">
        <v>3</v>
      </c>
      <c r="E786" s="1"/>
      <c r="F786" s="39">
        <f t="shared" si="29"/>
        <v>0</v>
      </c>
      <c r="G786" s="497"/>
      <c r="H786" s="497"/>
      <c r="J786" s="42"/>
    </row>
    <row r="787" spans="1:10" s="360" customFormat="1" x14ac:dyDescent="0.25">
      <c r="A787" s="19" t="s">
        <v>35</v>
      </c>
      <c r="B787" s="2">
        <v>43925</v>
      </c>
      <c r="C787" s="1">
        <v>0</v>
      </c>
      <c r="D787" s="39">
        <v>1</v>
      </c>
      <c r="E787" s="1"/>
      <c r="F787" s="39">
        <f t="shared" si="29"/>
        <v>0</v>
      </c>
      <c r="G787" s="497"/>
      <c r="H787" s="497"/>
      <c r="J787" s="42"/>
    </row>
    <row r="788" spans="1:10" s="360" customFormat="1" x14ac:dyDescent="0.25">
      <c r="A788" s="19" t="s">
        <v>36</v>
      </c>
      <c r="B788" s="2">
        <v>43925</v>
      </c>
      <c r="C788" s="1">
        <v>0</v>
      </c>
      <c r="D788" s="39">
        <v>10</v>
      </c>
      <c r="E788" s="1"/>
      <c r="F788" s="39">
        <f t="shared" si="29"/>
        <v>0</v>
      </c>
      <c r="G788" s="497"/>
      <c r="H788" s="497"/>
      <c r="J788" s="42"/>
    </row>
    <row r="789" spans="1:10" s="360" customFormat="1" x14ac:dyDescent="0.25">
      <c r="A789" s="19" t="s">
        <v>37</v>
      </c>
      <c r="B789" s="2">
        <v>43925</v>
      </c>
      <c r="C789" s="1">
        <v>1</v>
      </c>
      <c r="D789" s="39">
        <v>22</v>
      </c>
      <c r="E789" s="1"/>
      <c r="F789" s="39">
        <f t="shared" si="29"/>
        <v>0</v>
      </c>
      <c r="G789" s="497"/>
      <c r="H789" s="497"/>
      <c r="J789" s="42"/>
    </row>
    <row r="790" spans="1:10" s="360" customFormat="1" x14ac:dyDescent="0.25">
      <c r="A790" s="19" t="s">
        <v>22</v>
      </c>
      <c r="B790" s="2">
        <v>43925</v>
      </c>
      <c r="C790" s="1">
        <v>5</v>
      </c>
      <c r="D790" s="39">
        <v>165</v>
      </c>
      <c r="E790" s="1"/>
      <c r="F790" s="39">
        <f>E790+F766</f>
        <v>1</v>
      </c>
      <c r="G790" s="497"/>
      <c r="H790" s="497"/>
      <c r="J790" s="42"/>
    </row>
    <row r="791" spans="1:10" s="360" customFormat="1" x14ac:dyDescent="0.25">
      <c r="A791" s="19" t="s">
        <v>38</v>
      </c>
      <c r="B791" s="2">
        <v>43925</v>
      </c>
      <c r="C791" s="1">
        <v>1</v>
      </c>
      <c r="D791" s="39">
        <v>4</v>
      </c>
      <c r="E791" s="1"/>
      <c r="F791" s="39">
        <f t="shared" si="29"/>
        <v>0</v>
      </c>
      <c r="G791" s="497"/>
      <c r="H791" s="497"/>
      <c r="J791" s="42"/>
    </row>
    <row r="792" spans="1:10" s="360" customFormat="1" x14ac:dyDescent="0.25">
      <c r="A792" s="19" t="s">
        <v>39</v>
      </c>
      <c r="B792" s="2">
        <v>43925</v>
      </c>
      <c r="C792" s="1">
        <v>8</v>
      </c>
      <c r="D792" s="39">
        <v>72</v>
      </c>
      <c r="E792" s="1"/>
      <c r="F792" s="39">
        <f t="shared" si="29"/>
        <v>0</v>
      </c>
      <c r="G792" s="497"/>
      <c r="H792" s="497"/>
      <c r="J792" s="42"/>
    </row>
    <row r="793" spans="1:10" s="360" customFormat="1" x14ac:dyDescent="0.25">
      <c r="A793" s="19" t="s">
        <v>40</v>
      </c>
      <c r="B793" s="2">
        <v>43925</v>
      </c>
      <c r="C793" s="1">
        <v>1</v>
      </c>
      <c r="D793" s="39">
        <v>22</v>
      </c>
      <c r="E793" s="1"/>
      <c r="F793" s="39">
        <f t="shared" si="29"/>
        <v>1</v>
      </c>
      <c r="G793" s="497"/>
      <c r="H793" s="497"/>
      <c r="J793" s="42"/>
    </row>
    <row r="794" spans="1:10" s="360" customFormat="1" x14ac:dyDescent="0.25">
      <c r="A794" s="361" t="s">
        <v>16</v>
      </c>
      <c r="B794" s="2">
        <v>43926</v>
      </c>
      <c r="C794" s="1">
        <v>33</v>
      </c>
      <c r="D794" s="39">
        <v>397</v>
      </c>
      <c r="E794" s="1">
        <v>1</v>
      </c>
      <c r="F794" s="39">
        <f>E794+F770</f>
        <v>17</v>
      </c>
      <c r="G794" s="497"/>
      <c r="H794" s="497"/>
      <c r="J794" s="42"/>
    </row>
    <row r="795" spans="1:10" s="360" customFormat="1" x14ac:dyDescent="0.25">
      <c r="A795" s="19" t="s">
        <v>28</v>
      </c>
      <c r="B795" s="2">
        <v>43926</v>
      </c>
      <c r="C795" s="1">
        <v>0</v>
      </c>
      <c r="D795" s="39">
        <v>0</v>
      </c>
      <c r="E795" s="1"/>
      <c r="F795" s="39">
        <f t="shared" ref="F795:F817" si="30">E795+F771</f>
        <v>0</v>
      </c>
      <c r="G795" s="497"/>
      <c r="H795" s="497"/>
      <c r="J795" s="42"/>
    </row>
    <row r="796" spans="1:10" s="360" customFormat="1" x14ac:dyDescent="0.25">
      <c r="A796" s="19" t="s">
        <v>15</v>
      </c>
      <c r="B796" s="2">
        <v>43926</v>
      </c>
      <c r="C796" s="1">
        <v>0</v>
      </c>
      <c r="D796" s="39">
        <v>115</v>
      </c>
      <c r="E796" s="1"/>
      <c r="F796" s="39">
        <f t="shared" si="30"/>
        <v>6</v>
      </c>
      <c r="G796" s="497"/>
      <c r="H796" s="497"/>
      <c r="J796" s="42"/>
    </row>
    <row r="797" spans="1:10" s="360" customFormat="1" x14ac:dyDescent="0.25">
      <c r="A797" s="19" t="s">
        <v>29</v>
      </c>
      <c r="B797" s="2">
        <v>43926</v>
      </c>
      <c r="C797" s="1">
        <v>0</v>
      </c>
      <c r="D797" s="39">
        <v>0</v>
      </c>
      <c r="E797" s="1"/>
      <c r="F797" s="39">
        <f t="shared" si="30"/>
        <v>1</v>
      </c>
      <c r="G797" s="497"/>
      <c r="H797" s="497"/>
      <c r="J797" s="42"/>
    </row>
    <row r="798" spans="1:10" s="360" customFormat="1" x14ac:dyDescent="0.25">
      <c r="A798" s="19" t="s">
        <v>43</v>
      </c>
      <c r="B798" s="2">
        <v>43926</v>
      </c>
      <c r="C798" s="1">
        <v>32</v>
      </c>
      <c r="D798" s="39">
        <v>439</v>
      </c>
      <c r="E798" s="1"/>
      <c r="F798" s="39">
        <f>E798+F774</f>
        <v>7</v>
      </c>
      <c r="G798" s="497"/>
      <c r="H798" s="497"/>
      <c r="J798" s="42"/>
    </row>
    <row r="799" spans="1:10" s="360" customFormat="1" x14ac:dyDescent="0.25">
      <c r="A799" s="19" t="s">
        <v>20</v>
      </c>
      <c r="B799" s="2">
        <v>43926</v>
      </c>
      <c r="C799" s="1">
        <v>5</v>
      </c>
      <c r="D799" s="39">
        <v>139</v>
      </c>
      <c r="E799" s="1">
        <v>1</v>
      </c>
      <c r="F799" s="39">
        <f t="shared" si="30"/>
        <v>2</v>
      </c>
      <c r="G799" s="497"/>
      <c r="H799" s="497"/>
      <c r="J799" s="42"/>
    </row>
    <row r="800" spans="1:10" s="360" customFormat="1" x14ac:dyDescent="0.25">
      <c r="A800" s="19" t="s">
        <v>30</v>
      </c>
      <c r="B800" s="2">
        <v>43926</v>
      </c>
      <c r="C800" s="1">
        <v>0</v>
      </c>
      <c r="D800" s="39">
        <v>22</v>
      </c>
      <c r="E800" s="1"/>
      <c r="F800" s="39">
        <f t="shared" si="30"/>
        <v>0</v>
      </c>
      <c r="G800" s="497"/>
      <c r="H800" s="497"/>
      <c r="J800" s="42"/>
    </row>
    <row r="801" spans="1:10" x14ac:dyDescent="0.25">
      <c r="A801" s="19" t="s">
        <v>31</v>
      </c>
      <c r="B801" s="2">
        <v>43926</v>
      </c>
      <c r="C801" s="1">
        <v>1</v>
      </c>
      <c r="D801" s="39">
        <v>19</v>
      </c>
      <c r="F801" s="39">
        <f t="shared" si="30"/>
        <v>0</v>
      </c>
    </row>
    <row r="802" spans="1:10" s="360" customFormat="1" x14ac:dyDescent="0.25">
      <c r="A802" s="19" t="s">
        <v>41</v>
      </c>
      <c r="B802" s="2">
        <v>43926</v>
      </c>
      <c r="C802" s="1">
        <v>0</v>
      </c>
      <c r="D802" s="39">
        <v>0</v>
      </c>
      <c r="E802" s="1"/>
      <c r="F802" s="39">
        <f t="shared" si="30"/>
        <v>0</v>
      </c>
      <c r="G802" s="497"/>
      <c r="H802" s="497"/>
      <c r="J802" s="42"/>
    </row>
    <row r="803" spans="1:10" s="360" customFormat="1" x14ac:dyDescent="0.25">
      <c r="A803" s="19" t="s">
        <v>32</v>
      </c>
      <c r="B803" s="2">
        <v>43926</v>
      </c>
      <c r="C803" s="1">
        <v>0</v>
      </c>
      <c r="D803" s="39">
        <v>5</v>
      </c>
      <c r="E803" s="1"/>
      <c r="F803" s="39">
        <f t="shared" si="30"/>
        <v>0</v>
      </c>
      <c r="G803" s="497"/>
      <c r="H803" s="497"/>
      <c r="J803" s="42"/>
    </row>
    <row r="804" spans="1:10" s="360" customFormat="1" x14ac:dyDescent="0.25">
      <c r="A804" s="19" t="s">
        <v>33</v>
      </c>
      <c r="B804" s="2">
        <v>43926</v>
      </c>
      <c r="C804" s="1">
        <v>0</v>
      </c>
      <c r="D804" s="39">
        <v>3</v>
      </c>
      <c r="E804" s="1"/>
      <c r="F804" s="39">
        <f t="shared" si="30"/>
        <v>0</v>
      </c>
      <c r="G804" s="497"/>
      <c r="H804" s="497"/>
      <c r="J804" s="42"/>
    </row>
    <row r="805" spans="1:10" s="360" customFormat="1" x14ac:dyDescent="0.25">
      <c r="A805" s="19" t="s">
        <v>21</v>
      </c>
      <c r="B805" s="2">
        <v>43926</v>
      </c>
      <c r="C805" s="1">
        <v>2</v>
      </c>
      <c r="D805" s="39">
        <v>8</v>
      </c>
      <c r="E805" s="1"/>
      <c r="F805" s="39">
        <f t="shared" si="30"/>
        <v>1</v>
      </c>
      <c r="G805" s="497"/>
      <c r="H805" s="497"/>
      <c r="J805" s="42"/>
    </row>
    <row r="806" spans="1:10" s="360" customFormat="1" x14ac:dyDescent="0.25">
      <c r="A806" s="19" t="s">
        <v>17</v>
      </c>
      <c r="B806" s="2">
        <v>43926</v>
      </c>
      <c r="C806" s="1">
        <v>2</v>
      </c>
      <c r="D806" s="39">
        <v>29</v>
      </c>
      <c r="E806" s="1"/>
      <c r="F806" s="39">
        <f t="shared" si="30"/>
        <v>3</v>
      </c>
      <c r="G806" s="497"/>
      <c r="H806" s="497"/>
      <c r="J806" s="42"/>
    </row>
    <row r="807" spans="1:10" s="360" customFormat="1" x14ac:dyDescent="0.25">
      <c r="A807" s="19" t="s">
        <v>23</v>
      </c>
      <c r="B807" s="2">
        <v>43926</v>
      </c>
      <c r="C807" s="1">
        <v>0</v>
      </c>
      <c r="D807" s="39">
        <v>3</v>
      </c>
      <c r="E807" s="1"/>
      <c r="F807" s="39">
        <f t="shared" si="30"/>
        <v>0</v>
      </c>
      <c r="G807" s="497"/>
      <c r="H807" s="497"/>
      <c r="J807" s="42"/>
    </row>
    <row r="808" spans="1:10" s="360" customFormat="1" x14ac:dyDescent="0.25">
      <c r="A808" s="19" t="s">
        <v>19</v>
      </c>
      <c r="B808" s="2">
        <v>43926</v>
      </c>
      <c r="C808" s="1">
        <v>11</v>
      </c>
      <c r="D808" s="39">
        <v>44</v>
      </c>
      <c r="E808" s="1"/>
      <c r="F808" s="39">
        <f t="shared" si="30"/>
        <v>1</v>
      </c>
      <c r="G808" s="497"/>
      <c r="H808" s="497"/>
      <c r="J808" s="42"/>
    </row>
    <row r="809" spans="1:10" s="360" customFormat="1" x14ac:dyDescent="0.25">
      <c r="A809" s="19" t="s">
        <v>18</v>
      </c>
      <c r="B809" s="2">
        <v>43926</v>
      </c>
      <c r="C809" s="1">
        <v>2</v>
      </c>
      <c r="D809" s="39">
        <v>17</v>
      </c>
      <c r="E809" s="1"/>
      <c r="F809" s="39">
        <f t="shared" si="30"/>
        <v>2</v>
      </c>
      <c r="G809" s="497"/>
      <c r="H809" s="497"/>
      <c r="J809" s="42"/>
    </row>
    <row r="810" spans="1:10" s="360" customFormat="1" x14ac:dyDescent="0.25">
      <c r="A810" s="19" t="s">
        <v>34</v>
      </c>
      <c r="B810" s="2">
        <v>43926</v>
      </c>
      <c r="C810" s="1">
        <v>0</v>
      </c>
      <c r="D810" s="39">
        <v>3</v>
      </c>
      <c r="E810" s="1"/>
      <c r="F810" s="39">
        <f t="shared" si="30"/>
        <v>0</v>
      </c>
      <c r="G810" s="497"/>
      <c r="H810" s="497"/>
      <c r="J810" s="42"/>
    </row>
    <row r="811" spans="1:10" s="360" customFormat="1" x14ac:dyDescent="0.25">
      <c r="A811" s="19" t="s">
        <v>35</v>
      </c>
      <c r="B811" s="2">
        <v>43926</v>
      </c>
      <c r="C811" s="1">
        <v>0</v>
      </c>
      <c r="D811" s="39">
        <v>1</v>
      </c>
      <c r="E811" s="1"/>
      <c r="F811" s="39">
        <f t="shared" si="30"/>
        <v>0</v>
      </c>
      <c r="G811" s="497"/>
      <c r="H811" s="497"/>
      <c r="J811" s="42"/>
    </row>
    <row r="812" spans="1:10" s="360" customFormat="1" x14ac:dyDescent="0.25">
      <c r="A812" s="19" t="s">
        <v>36</v>
      </c>
      <c r="B812" s="2">
        <v>43926</v>
      </c>
      <c r="C812" s="1">
        <v>0</v>
      </c>
      <c r="D812" s="39">
        <v>10</v>
      </c>
      <c r="E812" s="1"/>
      <c r="F812" s="39">
        <f t="shared" si="30"/>
        <v>0</v>
      </c>
      <c r="G812" s="497"/>
      <c r="H812" s="497"/>
      <c r="J812" s="42"/>
    </row>
    <row r="813" spans="1:10" s="360" customFormat="1" x14ac:dyDescent="0.25">
      <c r="A813" s="19" t="s">
        <v>37</v>
      </c>
      <c r="B813" s="2">
        <v>43926</v>
      </c>
      <c r="C813" s="1">
        <v>1</v>
      </c>
      <c r="D813" s="39">
        <v>23</v>
      </c>
      <c r="E813" s="1"/>
      <c r="F813" s="39">
        <f t="shared" si="30"/>
        <v>0</v>
      </c>
      <c r="G813" s="497"/>
      <c r="H813" s="497"/>
      <c r="J813" s="42"/>
    </row>
    <row r="814" spans="1:10" s="360" customFormat="1" x14ac:dyDescent="0.25">
      <c r="A814" s="19" t="s">
        <v>22</v>
      </c>
      <c r="B814" s="2">
        <v>43926</v>
      </c>
      <c r="C814" s="1">
        <v>11</v>
      </c>
      <c r="D814" s="39">
        <v>176</v>
      </c>
      <c r="E814" s="1"/>
      <c r="F814" s="39">
        <f>E814+F790</f>
        <v>1</v>
      </c>
      <c r="G814" s="497"/>
      <c r="H814" s="497"/>
      <c r="J814" s="42"/>
    </row>
    <row r="815" spans="1:10" s="360" customFormat="1" x14ac:dyDescent="0.25">
      <c r="A815" s="19" t="s">
        <v>38</v>
      </c>
      <c r="B815" s="2">
        <v>43926</v>
      </c>
      <c r="C815" s="1">
        <v>0</v>
      </c>
      <c r="D815" s="39">
        <v>4</v>
      </c>
      <c r="E815" s="1"/>
      <c r="F815" s="39">
        <f t="shared" si="30"/>
        <v>0</v>
      </c>
      <c r="G815" s="497"/>
      <c r="H815" s="497"/>
      <c r="J815" s="42"/>
    </row>
    <row r="816" spans="1:10" s="360" customFormat="1" x14ac:dyDescent="0.25">
      <c r="A816" s="19" t="s">
        <v>39</v>
      </c>
      <c r="B816" s="2">
        <v>43926</v>
      </c>
      <c r="C816" s="1">
        <v>3</v>
      </c>
      <c r="D816" s="39">
        <v>75</v>
      </c>
      <c r="E816" s="1"/>
      <c r="F816" s="39">
        <f t="shared" si="30"/>
        <v>0</v>
      </c>
      <c r="G816" s="497"/>
      <c r="H816" s="497"/>
      <c r="J816" s="42"/>
    </row>
    <row r="817" spans="1:10" s="360" customFormat="1" x14ac:dyDescent="0.25">
      <c r="A817" s="19" t="s">
        <v>40</v>
      </c>
      <c r="B817" s="2">
        <v>43926</v>
      </c>
      <c r="C817" s="1">
        <v>0</v>
      </c>
      <c r="D817" s="39">
        <v>22</v>
      </c>
      <c r="E817" s="1"/>
      <c r="F817" s="39">
        <f t="shared" si="30"/>
        <v>1</v>
      </c>
      <c r="G817" s="497"/>
      <c r="H817" s="497"/>
      <c r="J817" s="42"/>
    </row>
    <row r="818" spans="1:10" s="360" customFormat="1" x14ac:dyDescent="0.25">
      <c r="A818" s="361" t="s">
        <v>16</v>
      </c>
      <c r="B818" s="2">
        <v>43927</v>
      </c>
      <c r="C818" s="1">
        <v>12</v>
      </c>
      <c r="D818" s="39">
        <v>409</v>
      </c>
      <c r="E818" s="264">
        <v>2</v>
      </c>
      <c r="F818" s="39">
        <f>E818+F794</f>
        <v>19</v>
      </c>
      <c r="G818" s="497"/>
      <c r="H818" s="497"/>
      <c r="J818" s="42"/>
    </row>
    <row r="819" spans="1:10" s="360" customFormat="1" x14ac:dyDescent="0.25">
      <c r="A819" s="19" t="s">
        <v>28</v>
      </c>
      <c r="B819" s="2">
        <v>43927</v>
      </c>
      <c r="C819" s="1">
        <v>0</v>
      </c>
      <c r="D819" s="39">
        <v>0</v>
      </c>
      <c r="E819" s="1"/>
      <c r="F819" s="39">
        <f t="shared" ref="F819:F841" si="31">E819+F795</f>
        <v>0</v>
      </c>
      <c r="G819" s="497"/>
      <c r="H819" s="497"/>
      <c r="J819" s="42"/>
    </row>
    <row r="820" spans="1:10" s="360" customFormat="1" x14ac:dyDescent="0.25">
      <c r="A820" s="19" t="s">
        <v>15</v>
      </c>
      <c r="B820" s="2">
        <v>43927</v>
      </c>
      <c r="C820" s="1">
        <v>4</v>
      </c>
      <c r="D820" s="39">
        <v>119</v>
      </c>
      <c r="E820" s="1"/>
      <c r="F820" s="39">
        <f t="shared" si="31"/>
        <v>6</v>
      </c>
      <c r="G820" s="497"/>
      <c r="H820" s="497"/>
      <c r="J820" s="42"/>
    </row>
    <row r="821" spans="1:10" s="360" customFormat="1" x14ac:dyDescent="0.25">
      <c r="A821" s="19" t="s">
        <v>29</v>
      </c>
      <c r="B821" s="2">
        <v>43927</v>
      </c>
      <c r="C821" s="1">
        <v>0</v>
      </c>
      <c r="D821" s="39">
        <v>0</v>
      </c>
      <c r="E821" s="1"/>
      <c r="F821" s="39">
        <f t="shared" si="31"/>
        <v>1</v>
      </c>
      <c r="G821" s="497"/>
      <c r="H821" s="497"/>
      <c r="J821" s="42"/>
    </row>
    <row r="822" spans="1:10" s="360" customFormat="1" x14ac:dyDescent="0.25">
      <c r="A822" s="19" t="s">
        <v>43</v>
      </c>
      <c r="B822" s="2">
        <v>43927</v>
      </c>
      <c r="C822" s="1">
        <v>17</v>
      </c>
      <c r="D822" s="39">
        <v>456</v>
      </c>
      <c r="E822" s="1">
        <v>3</v>
      </c>
      <c r="F822" s="39">
        <f t="shared" si="31"/>
        <v>10</v>
      </c>
      <c r="G822" s="497"/>
      <c r="H822" s="497"/>
      <c r="J822" s="42"/>
    </row>
    <row r="823" spans="1:10" s="360" customFormat="1" x14ac:dyDescent="0.25">
      <c r="A823" s="19" t="s">
        <v>20</v>
      </c>
      <c r="B823" s="2">
        <v>43927</v>
      </c>
      <c r="C823" s="1">
        <v>7</v>
      </c>
      <c r="D823" s="39">
        <v>146</v>
      </c>
      <c r="E823" s="1"/>
      <c r="F823" s="39">
        <f t="shared" si="31"/>
        <v>2</v>
      </c>
      <c r="G823" s="497"/>
      <c r="H823" s="497"/>
      <c r="J823" s="42"/>
    </row>
    <row r="824" spans="1:10" s="360" customFormat="1" x14ac:dyDescent="0.25">
      <c r="A824" s="19" t="s">
        <v>30</v>
      </c>
      <c r="B824" s="2">
        <v>43927</v>
      </c>
      <c r="C824" s="1">
        <v>2</v>
      </c>
      <c r="D824" s="39">
        <v>24</v>
      </c>
      <c r="E824" s="1"/>
      <c r="F824" s="39">
        <f t="shared" si="31"/>
        <v>0</v>
      </c>
      <c r="G824" s="497"/>
      <c r="H824" s="497"/>
      <c r="J824" s="42"/>
    </row>
    <row r="825" spans="1:10" x14ac:dyDescent="0.25">
      <c r="A825" s="19" t="s">
        <v>31</v>
      </c>
      <c r="B825" s="2">
        <v>43927</v>
      </c>
      <c r="C825" s="1">
        <v>0</v>
      </c>
      <c r="D825" s="39">
        <v>19</v>
      </c>
      <c r="F825" s="39">
        <f t="shared" si="31"/>
        <v>0</v>
      </c>
    </row>
    <row r="826" spans="1:10" s="360" customFormat="1" x14ac:dyDescent="0.25">
      <c r="A826" s="19" t="s">
        <v>41</v>
      </c>
      <c r="B826" s="2">
        <v>43927</v>
      </c>
      <c r="C826" s="1">
        <v>0</v>
      </c>
      <c r="D826" s="39">
        <v>0</v>
      </c>
      <c r="E826" s="1"/>
      <c r="F826" s="39">
        <f t="shared" si="31"/>
        <v>0</v>
      </c>
      <c r="G826" s="497"/>
      <c r="H826" s="497"/>
      <c r="J826" s="42"/>
    </row>
    <row r="827" spans="1:10" s="360" customFormat="1" x14ac:dyDescent="0.25">
      <c r="A827" s="19" t="s">
        <v>32</v>
      </c>
      <c r="B827" s="2">
        <v>43927</v>
      </c>
      <c r="C827" s="1">
        <v>0</v>
      </c>
      <c r="D827" s="39">
        <v>5</v>
      </c>
      <c r="E827" s="1"/>
      <c r="F827" s="39">
        <f t="shared" si="31"/>
        <v>0</v>
      </c>
      <c r="G827" s="497"/>
      <c r="H827" s="497"/>
      <c r="J827" s="42"/>
    </row>
    <row r="828" spans="1:10" s="360" customFormat="1" x14ac:dyDescent="0.25">
      <c r="A828" s="19" t="s">
        <v>33</v>
      </c>
      <c r="B828" s="2">
        <v>43927</v>
      </c>
      <c r="C828" s="1">
        <v>0</v>
      </c>
      <c r="D828" s="39">
        <v>3</v>
      </c>
      <c r="E828" s="1"/>
      <c r="F828" s="39">
        <f t="shared" si="31"/>
        <v>0</v>
      </c>
      <c r="G828" s="497"/>
      <c r="H828" s="497"/>
      <c r="J828" s="42"/>
    </row>
    <row r="829" spans="1:10" s="360" customFormat="1" x14ac:dyDescent="0.25">
      <c r="A829" s="19" t="s">
        <v>21</v>
      </c>
      <c r="B829" s="2">
        <v>43927</v>
      </c>
      <c r="C829" s="1">
        <v>1</v>
      </c>
      <c r="D829" s="39">
        <v>9</v>
      </c>
      <c r="E829" s="1"/>
      <c r="F829" s="39">
        <f t="shared" si="31"/>
        <v>1</v>
      </c>
      <c r="G829" s="497"/>
      <c r="H829" s="497"/>
      <c r="J829" s="42"/>
    </row>
    <row r="830" spans="1:10" s="360" customFormat="1" x14ac:dyDescent="0.25">
      <c r="A830" s="19" t="s">
        <v>17</v>
      </c>
      <c r="B830" s="2">
        <v>43927</v>
      </c>
      <c r="C830" s="1">
        <v>1</v>
      </c>
      <c r="D830" s="39">
        <v>30</v>
      </c>
      <c r="E830" s="1"/>
      <c r="F830" s="39">
        <f t="shared" si="31"/>
        <v>3</v>
      </c>
      <c r="G830" s="497"/>
      <c r="H830" s="497"/>
      <c r="J830" s="42"/>
    </row>
    <row r="831" spans="1:10" s="360" customFormat="1" x14ac:dyDescent="0.25">
      <c r="A831" s="19" t="s">
        <v>23</v>
      </c>
      <c r="B831" s="2">
        <v>43927</v>
      </c>
      <c r="C831" s="1">
        <v>0</v>
      </c>
      <c r="D831" s="39">
        <v>3</v>
      </c>
      <c r="E831" s="1"/>
      <c r="F831" s="39">
        <f t="shared" si="31"/>
        <v>0</v>
      </c>
      <c r="G831" s="497"/>
      <c r="H831" s="497"/>
      <c r="J831" s="42"/>
    </row>
    <row r="832" spans="1:10" s="360" customFormat="1" x14ac:dyDescent="0.25">
      <c r="A832" s="19" t="s">
        <v>19</v>
      </c>
      <c r="B832" s="2">
        <v>43927</v>
      </c>
      <c r="C832" s="1">
        <v>6</v>
      </c>
      <c r="D832" s="39">
        <v>50</v>
      </c>
      <c r="E832" s="1">
        <v>1</v>
      </c>
      <c r="F832" s="39">
        <f t="shared" si="31"/>
        <v>2</v>
      </c>
      <c r="G832" s="497"/>
      <c r="H832" s="497"/>
      <c r="J832" s="42"/>
    </row>
    <row r="833" spans="1:10" s="360" customFormat="1" x14ac:dyDescent="0.25">
      <c r="A833" s="19" t="s">
        <v>18</v>
      </c>
      <c r="B833" s="2">
        <v>43927</v>
      </c>
      <c r="C833" s="1">
        <v>2</v>
      </c>
      <c r="D833" s="39">
        <v>19</v>
      </c>
      <c r="E833" s="1"/>
      <c r="F833" s="39">
        <f t="shared" si="31"/>
        <v>2</v>
      </c>
      <c r="G833" s="497"/>
      <c r="H833" s="497"/>
      <c r="J833" s="42"/>
    </row>
    <row r="834" spans="1:10" s="360" customFormat="1" x14ac:dyDescent="0.25">
      <c r="A834" s="19" t="s">
        <v>34</v>
      </c>
      <c r="B834" s="2">
        <v>43927</v>
      </c>
      <c r="C834" s="1">
        <v>0</v>
      </c>
      <c r="D834" s="39">
        <v>3</v>
      </c>
      <c r="E834" s="1"/>
      <c r="F834" s="39">
        <f t="shared" si="31"/>
        <v>0</v>
      </c>
      <c r="G834" s="497"/>
      <c r="H834" s="497"/>
      <c r="J834" s="42"/>
    </row>
    <row r="835" spans="1:10" s="360" customFormat="1" x14ac:dyDescent="0.25">
      <c r="A835" s="19" t="s">
        <v>35</v>
      </c>
      <c r="B835" s="2">
        <v>43927</v>
      </c>
      <c r="C835" s="1">
        <v>0</v>
      </c>
      <c r="D835" s="39">
        <v>1</v>
      </c>
      <c r="E835" s="1"/>
      <c r="F835" s="39">
        <f t="shared" si="31"/>
        <v>0</v>
      </c>
      <c r="G835" s="497"/>
      <c r="H835" s="497"/>
      <c r="J835" s="42"/>
    </row>
    <row r="836" spans="1:10" s="360" customFormat="1" x14ac:dyDescent="0.25">
      <c r="A836" s="19" t="s">
        <v>36</v>
      </c>
      <c r="B836" s="2">
        <v>43927</v>
      </c>
      <c r="C836" s="1">
        <v>1</v>
      </c>
      <c r="D836" s="39">
        <v>11</v>
      </c>
      <c r="E836" s="1"/>
      <c r="F836" s="39">
        <f t="shared" si="31"/>
        <v>0</v>
      </c>
      <c r="G836" s="497"/>
      <c r="H836" s="497"/>
      <c r="J836" s="42"/>
    </row>
    <row r="837" spans="1:10" s="360" customFormat="1" x14ac:dyDescent="0.25">
      <c r="A837" s="19" t="s">
        <v>37</v>
      </c>
      <c r="B837" s="2">
        <v>43927</v>
      </c>
      <c r="C837" s="1">
        <v>0</v>
      </c>
      <c r="D837" s="39">
        <v>23</v>
      </c>
      <c r="E837" s="1"/>
      <c r="F837" s="39">
        <f t="shared" si="31"/>
        <v>0</v>
      </c>
      <c r="G837" s="497"/>
      <c r="H837" s="497"/>
      <c r="J837" s="42"/>
    </row>
    <row r="838" spans="1:10" s="360" customFormat="1" x14ac:dyDescent="0.25">
      <c r="A838" s="19" t="s">
        <v>22</v>
      </c>
      <c r="B838" s="2">
        <v>43927</v>
      </c>
      <c r="C838" s="1">
        <v>8</v>
      </c>
      <c r="D838" s="39">
        <v>184</v>
      </c>
      <c r="E838" s="1"/>
      <c r="F838" s="39">
        <f>E838+F814</f>
        <v>1</v>
      </c>
      <c r="G838" s="497"/>
      <c r="H838" s="497"/>
      <c r="J838" s="42"/>
    </row>
    <row r="839" spans="1:10" s="360" customFormat="1" x14ac:dyDescent="0.25">
      <c r="A839" s="19" t="s">
        <v>38</v>
      </c>
      <c r="B839" s="2">
        <v>43927</v>
      </c>
      <c r="C839" s="1">
        <v>6</v>
      </c>
      <c r="D839" s="39">
        <v>10</v>
      </c>
      <c r="E839" s="1"/>
      <c r="F839" s="39">
        <f t="shared" si="31"/>
        <v>0</v>
      </c>
      <c r="G839" s="497"/>
      <c r="H839" s="497"/>
      <c r="J839" s="42"/>
    </row>
    <row r="840" spans="1:10" s="360" customFormat="1" x14ac:dyDescent="0.25">
      <c r="A840" s="19" t="s">
        <v>39</v>
      </c>
      <c r="B840" s="2">
        <v>43927</v>
      </c>
      <c r="C840" s="1">
        <v>2</v>
      </c>
      <c r="D840" s="39">
        <v>77</v>
      </c>
      <c r="E840" s="1"/>
      <c r="F840" s="39">
        <f t="shared" si="31"/>
        <v>0</v>
      </c>
      <c r="G840" s="497"/>
      <c r="H840" s="497"/>
      <c r="J840" s="42"/>
    </row>
    <row r="841" spans="1:10" s="360" customFormat="1" x14ac:dyDescent="0.25">
      <c r="A841" s="19" t="s">
        <v>40</v>
      </c>
      <c r="B841" s="2">
        <v>43927</v>
      </c>
      <c r="C841" s="1">
        <v>5</v>
      </c>
      <c r="D841" s="39">
        <v>27</v>
      </c>
      <c r="E841" s="1"/>
      <c r="F841" s="39">
        <f t="shared" si="31"/>
        <v>1</v>
      </c>
      <c r="G841" s="497"/>
      <c r="H841" s="497"/>
      <c r="J841" s="42"/>
    </row>
    <row r="842" spans="1:10" s="360" customFormat="1" x14ac:dyDescent="0.25">
      <c r="A842" s="361" t="s">
        <v>16</v>
      </c>
      <c r="B842" s="2">
        <v>43928</v>
      </c>
      <c r="C842" s="1">
        <v>34</v>
      </c>
      <c r="D842" s="39">
        <v>443</v>
      </c>
      <c r="E842" s="1">
        <v>4</v>
      </c>
      <c r="F842" s="39">
        <f>E842+F818</f>
        <v>23</v>
      </c>
      <c r="G842" s="497"/>
      <c r="H842" s="497"/>
      <c r="J842" s="42"/>
    </row>
    <row r="843" spans="1:10" s="360" customFormat="1" x14ac:dyDescent="0.25">
      <c r="A843" s="19" t="s">
        <v>28</v>
      </c>
      <c r="B843" s="2">
        <v>43928</v>
      </c>
      <c r="C843" s="1">
        <v>0</v>
      </c>
      <c r="D843" s="39">
        <v>0</v>
      </c>
      <c r="E843" s="1"/>
      <c r="F843" s="39">
        <f t="shared" ref="F843:F865" si="32">E843+F819</f>
        <v>0</v>
      </c>
      <c r="G843" s="497"/>
      <c r="H843" s="497"/>
      <c r="J843" s="42"/>
    </row>
    <row r="844" spans="1:10" s="360" customFormat="1" x14ac:dyDescent="0.25">
      <c r="A844" s="19" t="s">
        <v>15</v>
      </c>
      <c r="B844" s="2">
        <v>43928</v>
      </c>
      <c r="C844" s="1">
        <v>4</v>
      </c>
      <c r="D844" s="39">
        <v>123</v>
      </c>
      <c r="E844" s="1"/>
      <c r="F844" s="39">
        <f t="shared" si="32"/>
        <v>6</v>
      </c>
      <c r="G844" s="497"/>
      <c r="H844" s="497"/>
      <c r="J844" s="42"/>
    </row>
    <row r="845" spans="1:10" s="360" customFormat="1" x14ac:dyDescent="0.25">
      <c r="A845" s="19" t="s">
        <v>29</v>
      </c>
      <c r="B845" s="2">
        <v>43928</v>
      </c>
      <c r="C845" s="1">
        <v>0</v>
      </c>
      <c r="D845" s="39">
        <v>0</v>
      </c>
      <c r="E845" s="1"/>
      <c r="F845" s="39">
        <f t="shared" si="32"/>
        <v>1</v>
      </c>
      <c r="G845" s="497"/>
      <c r="H845" s="497"/>
      <c r="J845" s="42"/>
    </row>
    <row r="846" spans="1:10" s="360" customFormat="1" x14ac:dyDescent="0.25">
      <c r="A846" s="19" t="s">
        <v>43</v>
      </c>
      <c r="B846" s="2">
        <v>43928</v>
      </c>
      <c r="C846" s="1">
        <v>24</v>
      </c>
      <c r="D846" s="39">
        <v>480</v>
      </c>
      <c r="E846" s="1">
        <v>2</v>
      </c>
      <c r="F846" s="39">
        <f t="shared" si="32"/>
        <v>12</v>
      </c>
      <c r="G846" s="497"/>
      <c r="H846" s="497"/>
      <c r="J846" s="42"/>
    </row>
    <row r="847" spans="1:10" s="360" customFormat="1" x14ac:dyDescent="0.25">
      <c r="A847" s="19" t="s">
        <v>20</v>
      </c>
      <c r="B847" s="2">
        <v>43928</v>
      </c>
      <c r="C847" s="1">
        <v>4</v>
      </c>
      <c r="D847" s="39">
        <v>150</v>
      </c>
      <c r="E847" s="1"/>
      <c r="F847" s="39">
        <f t="shared" si="32"/>
        <v>2</v>
      </c>
      <c r="G847" s="497"/>
      <c r="H847" s="497"/>
      <c r="J847" s="42"/>
    </row>
    <row r="848" spans="1:10" s="360" customFormat="1" x14ac:dyDescent="0.25">
      <c r="A848" s="19" t="s">
        <v>30</v>
      </c>
      <c r="B848" s="2">
        <v>43928</v>
      </c>
      <c r="C848" s="1">
        <v>0</v>
      </c>
      <c r="D848" s="39">
        <v>24</v>
      </c>
      <c r="E848" s="1"/>
      <c r="F848" s="39">
        <f t="shared" si="32"/>
        <v>0</v>
      </c>
      <c r="G848" s="497"/>
      <c r="H848" s="497"/>
      <c r="J848" s="42"/>
    </row>
    <row r="849" spans="1:10" x14ac:dyDescent="0.25">
      <c r="A849" s="19" t="s">
        <v>31</v>
      </c>
      <c r="B849" s="2">
        <v>43928</v>
      </c>
      <c r="C849" s="1">
        <v>1</v>
      </c>
      <c r="D849" s="39">
        <v>20</v>
      </c>
      <c r="F849" s="39">
        <f t="shared" si="32"/>
        <v>0</v>
      </c>
    </row>
    <row r="850" spans="1:10" s="360" customFormat="1" x14ac:dyDescent="0.25">
      <c r="A850" s="19" t="s">
        <v>41</v>
      </c>
      <c r="B850" s="2">
        <v>43928</v>
      </c>
      <c r="C850" s="1">
        <v>0</v>
      </c>
      <c r="D850" s="39">
        <v>0</v>
      </c>
      <c r="E850" s="1"/>
      <c r="F850" s="39">
        <f t="shared" si="32"/>
        <v>0</v>
      </c>
      <c r="G850" s="497"/>
      <c r="H850" s="497"/>
      <c r="J850" s="42"/>
    </row>
    <row r="851" spans="1:10" s="360" customFormat="1" x14ac:dyDescent="0.25">
      <c r="A851" s="19" t="s">
        <v>32</v>
      </c>
      <c r="B851" s="2">
        <v>43928</v>
      </c>
      <c r="C851" s="1">
        <v>0</v>
      </c>
      <c r="D851" s="39">
        <v>5</v>
      </c>
      <c r="E851" s="1"/>
      <c r="F851" s="39">
        <f t="shared" si="32"/>
        <v>0</v>
      </c>
      <c r="G851" s="497"/>
      <c r="H851" s="497"/>
      <c r="J851" s="42"/>
    </row>
    <row r="852" spans="1:10" s="360" customFormat="1" x14ac:dyDescent="0.25">
      <c r="A852" s="19" t="s">
        <v>33</v>
      </c>
      <c r="B852" s="2">
        <v>43928</v>
      </c>
      <c r="C852" s="1">
        <v>0</v>
      </c>
      <c r="D852" s="39">
        <v>3</v>
      </c>
      <c r="E852" s="1"/>
      <c r="F852" s="39">
        <f t="shared" si="32"/>
        <v>0</v>
      </c>
      <c r="G852" s="497"/>
      <c r="H852" s="497"/>
      <c r="J852" s="42"/>
    </row>
    <row r="853" spans="1:10" s="360" customFormat="1" x14ac:dyDescent="0.25">
      <c r="A853" s="19" t="s">
        <v>21</v>
      </c>
      <c r="B853" s="2">
        <v>43928</v>
      </c>
      <c r="C853" s="1">
        <v>0</v>
      </c>
      <c r="D853" s="39">
        <v>9</v>
      </c>
      <c r="E853" s="1"/>
      <c r="F853" s="39">
        <f t="shared" si="32"/>
        <v>1</v>
      </c>
      <c r="G853" s="497"/>
      <c r="H853" s="497"/>
      <c r="J853" s="42"/>
    </row>
    <row r="854" spans="1:10" s="360" customFormat="1" x14ac:dyDescent="0.25">
      <c r="A854" s="19" t="s">
        <v>17</v>
      </c>
      <c r="B854" s="2">
        <v>43928</v>
      </c>
      <c r="C854" s="1">
        <v>2</v>
      </c>
      <c r="D854" s="39">
        <v>32</v>
      </c>
      <c r="E854" s="1">
        <v>1</v>
      </c>
      <c r="F854" s="39">
        <f t="shared" si="32"/>
        <v>4</v>
      </c>
      <c r="G854" s="497"/>
      <c r="H854" s="497"/>
      <c r="J854" s="42"/>
    </row>
    <row r="855" spans="1:10" s="360" customFormat="1" x14ac:dyDescent="0.25">
      <c r="A855" s="19" t="s">
        <v>23</v>
      </c>
      <c r="B855" s="2">
        <v>43928</v>
      </c>
      <c r="C855" s="1">
        <v>0</v>
      </c>
      <c r="D855" s="39">
        <v>3</v>
      </c>
      <c r="E855" s="1"/>
      <c r="F855" s="39">
        <f t="shared" si="32"/>
        <v>0</v>
      </c>
      <c r="G855" s="497"/>
      <c r="H855" s="497"/>
      <c r="J855" s="42"/>
    </row>
    <row r="856" spans="1:10" s="360" customFormat="1" x14ac:dyDescent="0.25">
      <c r="A856" s="19" t="s">
        <v>19</v>
      </c>
      <c r="B856" s="2">
        <v>43928</v>
      </c>
      <c r="C856" s="1">
        <v>3</v>
      </c>
      <c r="D856" s="39">
        <v>53</v>
      </c>
      <c r="E856" s="1"/>
      <c r="F856" s="39">
        <f t="shared" si="32"/>
        <v>2</v>
      </c>
      <c r="G856" s="497"/>
      <c r="H856" s="497"/>
      <c r="J856" s="42"/>
    </row>
    <row r="857" spans="1:10" s="360" customFormat="1" x14ac:dyDescent="0.25">
      <c r="A857" s="19" t="s">
        <v>18</v>
      </c>
      <c r="B857" s="2">
        <v>43928</v>
      </c>
      <c r="C857" s="1">
        <v>2</v>
      </c>
      <c r="D857" s="39">
        <v>21</v>
      </c>
      <c r="E857" s="1"/>
      <c r="F857" s="39">
        <f t="shared" si="32"/>
        <v>2</v>
      </c>
      <c r="G857" s="497"/>
      <c r="H857" s="497"/>
      <c r="J857" s="42"/>
    </row>
    <row r="858" spans="1:10" s="360" customFormat="1" x14ac:dyDescent="0.25">
      <c r="A858" s="19" t="s">
        <v>34</v>
      </c>
      <c r="B858" s="2">
        <v>43928</v>
      </c>
      <c r="C858" s="1">
        <v>0</v>
      </c>
      <c r="D858" s="39">
        <v>3</v>
      </c>
      <c r="E858" s="1"/>
      <c r="F858" s="39">
        <f t="shared" si="32"/>
        <v>0</v>
      </c>
      <c r="G858" s="497"/>
      <c r="H858" s="497"/>
      <c r="J858" s="42"/>
    </row>
    <row r="859" spans="1:10" s="360" customFormat="1" x14ac:dyDescent="0.25">
      <c r="A859" s="19" t="s">
        <v>35</v>
      </c>
      <c r="B859" s="2">
        <v>43928</v>
      </c>
      <c r="C859" s="1">
        <v>0</v>
      </c>
      <c r="D859" s="39">
        <v>1</v>
      </c>
      <c r="E859" s="1"/>
      <c r="F859" s="39">
        <f t="shared" si="32"/>
        <v>0</v>
      </c>
      <c r="G859" s="497"/>
      <c r="H859" s="497"/>
      <c r="J859" s="42"/>
    </row>
    <row r="860" spans="1:10" s="360" customFormat="1" x14ac:dyDescent="0.25">
      <c r="A860" s="19" t="s">
        <v>36</v>
      </c>
      <c r="B860" s="2">
        <v>43928</v>
      </c>
      <c r="C860" s="1">
        <v>0</v>
      </c>
      <c r="D860" s="39">
        <v>11</v>
      </c>
      <c r="E860" s="1"/>
      <c r="F860" s="39">
        <f t="shared" si="32"/>
        <v>0</v>
      </c>
      <c r="G860" s="497"/>
      <c r="H860" s="497"/>
      <c r="J860" s="42"/>
    </row>
    <row r="861" spans="1:10" s="360" customFormat="1" x14ac:dyDescent="0.25">
      <c r="A861" s="19" t="s">
        <v>37</v>
      </c>
      <c r="B861" s="2">
        <v>43928</v>
      </c>
      <c r="C861" s="1">
        <v>8</v>
      </c>
      <c r="D861" s="39">
        <v>31</v>
      </c>
      <c r="E861" s="1"/>
      <c r="F861" s="39">
        <f t="shared" si="32"/>
        <v>0</v>
      </c>
      <c r="G861" s="497"/>
      <c r="H861" s="497"/>
      <c r="J861" s="42"/>
    </row>
    <row r="862" spans="1:10" s="360" customFormat="1" x14ac:dyDescent="0.25">
      <c r="A862" s="19" t="s">
        <v>22</v>
      </c>
      <c r="B862" s="2">
        <v>43928</v>
      </c>
      <c r="C862" s="1">
        <v>3</v>
      </c>
      <c r="D862" s="39">
        <v>187</v>
      </c>
      <c r="E862" s="1"/>
      <c r="F862" s="39">
        <f>E862+F838</f>
        <v>1</v>
      </c>
      <c r="G862" s="497"/>
      <c r="H862" s="497"/>
      <c r="J862" s="42"/>
    </row>
    <row r="863" spans="1:10" s="360" customFormat="1" x14ac:dyDescent="0.25">
      <c r="A863" s="19" t="s">
        <v>38</v>
      </c>
      <c r="B863" s="2">
        <v>43928</v>
      </c>
      <c r="C863" s="1">
        <v>-1</v>
      </c>
      <c r="D863" s="39">
        <v>9</v>
      </c>
      <c r="E863" s="1"/>
      <c r="F863" s="39">
        <f t="shared" si="32"/>
        <v>0</v>
      </c>
      <c r="G863" s="497"/>
      <c r="H863" s="497"/>
      <c r="J863" s="42"/>
    </row>
    <row r="864" spans="1:10" s="360" customFormat="1" x14ac:dyDescent="0.25">
      <c r="A864" s="19" t="s">
        <v>39</v>
      </c>
      <c r="B864" s="2">
        <v>43928</v>
      </c>
      <c r="C864" s="1">
        <v>2</v>
      </c>
      <c r="D864" s="39">
        <v>79</v>
      </c>
      <c r="E864" s="1"/>
      <c r="F864" s="39">
        <f t="shared" si="32"/>
        <v>0</v>
      </c>
      <c r="G864" s="497"/>
      <c r="H864" s="497"/>
      <c r="J864" s="42"/>
    </row>
    <row r="865" spans="1:10" s="360" customFormat="1" x14ac:dyDescent="0.25">
      <c r="A865" s="19" t="s">
        <v>40</v>
      </c>
      <c r="B865" s="2">
        <v>43928</v>
      </c>
      <c r="C865" s="1">
        <v>1</v>
      </c>
      <c r="D865" s="39">
        <v>28</v>
      </c>
      <c r="E865" s="1"/>
      <c r="F865" s="39">
        <f t="shared" si="32"/>
        <v>1</v>
      </c>
      <c r="G865" s="497"/>
      <c r="H865" s="497"/>
      <c r="J865" s="42"/>
    </row>
    <row r="866" spans="1:10" s="360" customFormat="1" x14ac:dyDescent="0.25">
      <c r="A866" s="361" t="s">
        <v>16</v>
      </c>
      <c r="B866" s="2">
        <v>43929</v>
      </c>
      <c r="C866" s="1">
        <v>17</v>
      </c>
      <c r="D866" s="39">
        <v>460</v>
      </c>
      <c r="E866" s="1">
        <v>1</v>
      </c>
      <c r="F866" s="39">
        <f>E866+F842</f>
        <v>24</v>
      </c>
      <c r="G866" s="497"/>
      <c r="H866" s="497"/>
      <c r="J866" s="42"/>
    </row>
    <row r="867" spans="1:10" s="360" customFormat="1" x14ac:dyDescent="0.25">
      <c r="A867" s="19" t="s">
        <v>28</v>
      </c>
      <c r="B867" s="2">
        <v>43929</v>
      </c>
      <c r="C867" s="1">
        <v>0</v>
      </c>
      <c r="D867" s="39">
        <v>0</v>
      </c>
      <c r="E867" s="1"/>
      <c r="F867" s="39">
        <f t="shared" ref="F867:F889" si="33">E867+F843</f>
        <v>0</v>
      </c>
      <c r="G867" s="497"/>
      <c r="H867" s="497"/>
      <c r="J867" s="42"/>
    </row>
    <row r="868" spans="1:10" s="360" customFormat="1" x14ac:dyDescent="0.25">
      <c r="A868" s="19" t="s">
        <v>15</v>
      </c>
      <c r="B868" s="2">
        <v>43929</v>
      </c>
      <c r="C868" s="1">
        <v>15</v>
      </c>
      <c r="D868" s="39">
        <v>138</v>
      </c>
      <c r="E868" s="1"/>
      <c r="F868" s="39">
        <f t="shared" si="33"/>
        <v>6</v>
      </c>
      <c r="G868" s="497"/>
      <c r="H868" s="497"/>
      <c r="J868" s="42"/>
    </row>
    <row r="869" spans="1:10" s="360" customFormat="1" x14ac:dyDescent="0.25">
      <c r="A869" s="19" t="s">
        <v>29</v>
      </c>
      <c r="B869" s="2">
        <v>43929</v>
      </c>
      <c r="C869" s="1">
        <v>0</v>
      </c>
      <c r="D869" s="39">
        <v>0</v>
      </c>
      <c r="E869" s="1"/>
      <c r="F869" s="39">
        <f t="shared" si="33"/>
        <v>1</v>
      </c>
      <c r="G869" s="497"/>
      <c r="H869" s="497"/>
      <c r="J869" s="42"/>
    </row>
    <row r="870" spans="1:10" s="360" customFormat="1" x14ac:dyDescent="0.25">
      <c r="A870" s="19" t="s">
        <v>43</v>
      </c>
      <c r="B870" s="2">
        <v>43929</v>
      </c>
      <c r="C870" s="1">
        <v>18</v>
      </c>
      <c r="D870" s="39">
        <v>498</v>
      </c>
      <c r="E870" s="1">
        <v>2</v>
      </c>
      <c r="F870" s="39">
        <f t="shared" si="33"/>
        <v>14</v>
      </c>
      <c r="G870" s="497"/>
      <c r="H870" s="497"/>
      <c r="J870" s="42"/>
    </row>
    <row r="871" spans="1:10" s="360" customFormat="1" x14ac:dyDescent="0.25">
      <c r="A871" s="19" t="s">
        <v>20</v>
      </c>
      <c r="B871" s="2">
        <v>43929</v>
      </c>
      <c r="C871" s="1">
        <v>1</v>
      </c>
      <c r="D871" s="39">
        <v>151</v>
      </c>
      <c r="E871" s="1"/>
      <c r="F871" s="39">
        <f t="shared" si="33"/>
        <v>2</v>
      </c>
      <c r="G871" s="497"/>
      <c r="H871" s="497"/>
      <c r="J871" s="42"/>
    </row>
    <row r="872" spans="1:10" s="360" customFormat="1" x14ac:dyDescent="0.25">
      <c r="A872" s="19" t="s">
        <v>30</v>
      </c>
      <c r="B872" s="2">
        <v>43929</v>
      </c>
      <c r="C872" s="1">
        <v>0</v>
      </c>
      <c r="D872" s="39">
        <v>24</v>
      </c>
      <c r="E872" s="1"/>
      <c r="F872" s="39">
        <f t="shared" si="33"/>
        <v>0</v>
      </c>
      <c r="G872" s="497"/>
      <c r="H872" s="497"/>
      <c r="J872" s="42"/>
    </row>
    <row r="873" spans="1:10" x14ac:dyDescent="0.25">
      <c r="A873" s="19" t="s">
        <v>31</v>
      </c>
      <c r="B873" s="2">
        <v>43929</v>
      </c>
      <c r="C873" s="1">
        <v>0</v>
      </c>
      <c r="D873" s="39">
        <v>20</v>
      </c>
      <c r="F873" s="39">
        <f t="shared" si="33"/>
        <v>0</v>
      </c>
    </row>
    <row r="874" spans="1:10" s="360" customFormat="1" x14ac:dyDescent="0.25">
      <c r="A874" s="19" t="s">
        <v>41</v>
      </c>
      <c r="B874" s="2">
        <v>43929</v>
      </c>
      <c r="C874" s="1">
        <v>0</v>
      </c>
      <c r="D874" s="39">
        <v>0</v>
      </c>
      <c r="E874" s="1"/>
      <c r="F874" s="39">
        <f t="shared" si="33"/>
        <v>0</v>
      </c>
      <c r="G874" s="497"/>
      <c r="H874" s="497"/>
      <c r="J874" s="42"/>
    </row>
    <row r="875" spans="1:10" s="360" customFormat="1" x14ac:dyDescent="0.25">
      <c r="A875" s="19" t="s">
        <v>32</v>
      </c>
      <c r="B875" s="2">
        <v>43929</v>
      </c>
      <c r="C875" s="1">
        <v>0</v>
      </c>
      <c r="D875" s="39">
        <v>5</v>
      </c>
      <c r="E875" s="1"/>
      <c r="F875" s="39">
        <f t="shared" si="33"/>
        <v>0</v>
      </c>
      <c r="G875" s="497"/>
      <c r="H875" s="497"/>
      <c r="J875" s="42"/>
    </row>
    <row r="876" spans="1:10" s="360" customFormat="1" x14ac:dyDescent="0.25">
      <c r="A876" s="19" t="s">
        <v>33</v>
      </c>
      <c r="B876" s="2">
        <v>43929</v>
      </c>
      <c r="C876" s="1">
        <v>1</v>
      </c>
      <c r="D876" s="39">
        <v>4</v>
      </c>
      <c r="E876" s="1"/>
      <c r="F876" s="39">
        <f t="shared" si="33"/>
        <v>0</v>
      </c>
      <c r="G876" s="497"/>
      <c r="H876" s="497"/>
      <c r="J876" s="42"/>
    </row>
    <row r="877" spans="1:10" s="360" customFormat="1" x14ac:dyDescent="0.25">
      <c r="A877" s="19" t="s">
        <v>21</v>
      </c>
      <c r="B877" s="2">
        <v>43929</v>
      </c>
      <c r="C877" s="1">
        <v>0</v>
      </c>
      <c r="D877" s="39">
        <v>9</v>
      </c>
      <c r="E877" s="1"/>
      <c r="F877" s="39">
        <f t="shared" si="33"/>
        <v>1</v>
      </c>
      <c r="G877" s="497"/>
      <c r="H877" s="497"/>
      <c r="J877" s="42"/>
    </row>
    <row r="878" spans="1:10" s="360" customFormat="1" x14ac:dyDescent="0.25">
      <c r="A878" s="19" t="s">
        <v>17</v>
      </c>
      <c r="B878" s="2">
        <v>43929</v>
      </c>
      <c r="C878" s="1">
        <v>6</v>
      </c>
      <c r="D878" s="39">
        <v>38</v>
      </c>
      <c r="E878" s="1"/>
      <c r="F878" s="39">
        <f t="shared" si="33"/>
        <v>4</v>
      </c>
      <c r="G878" s="497"/>
      <c r="H878" s="497"/>
      <c r="J878" s="42"/>
    </row>
    <row r="879" spans="1:10" s="360" customFormat="1" x14ac:dyDescent="0.25">
      <c r="A879" s="19" t="s">
        <v>23</v>
      </c>
      <c r="B879" s="2">
        <v>43929</v>
      </c>
      <c r="C879" s="1">
        <v>0</v>
      </c>
      <c r="D879" s="39">
        <v>3</v>
      </c>
      <c r="E879" s="1"/>
      <c r="F879" s="39">
        <f t="shared" si="33"/>
        <v>0</v>
      </c>
      <c r="G879" s="497"/>
      <c r="H879" s="497"/>
      <c r="J879" s="42"/>
    </row>
    <row r="880" spans="1:10" s="360" customFormat="1" x14ac:dyDescent="0.25">
      <c r="A880" s="19" t="s">
        <v>19</v>
      </c>
      <c r="B880" s="2">
        <v>43929</v>
      </c>
      <c r="C880" s="1">
        <v>17</v>
      </c>
      <c r="D880" s="39">
        <v>70</v>
      </c>
      <c r="E880" s="1">
        <v>1</v>
      </c>
      <c r="F880" s="39">
        <f t="shared" si="33"/>
        <v>3</v>
      </c>
      <c r="G880" s="497"/>
      <c r="H880" s="497"/>
      <c r="J880" s="42"/>
    </row>
    <row r="881" spans="1:10" s="360" customFormat="1" x14ac:dyDescent="0.25">
      <c r="A881" s="19" t="s">
        <v>18</v>
      </c>
      <c r="B881" s="2">
        <v>43929</v>
      </c>
      <c r="C881" s="1">
        <v>1</v>
      </c>
      <c r="D881" s="39">
        <v>22</v>
      </c>
      <c r="E881" s="1"/>
      <c r="F881" s="39">
        <f t="shared" si="33"/>
        <v>2</v>
      </c>
      <c r="G881" s="497"/>
      <c r="H881" s="497"/>
      <c r="J881" s="42"/>
    </row>
    <row r="882" spans="1:10" s="360" customFormat="1" x14ac:dyDescent="0.25">
      <c r="A882" s="19" t="s">
        <v>34</v>
      </c>
      <c r="B882" s="2">
        <v>43929</v>
      </c>
      <c r="C882" s="1">
        <v>0</v>
      </c>
      <c r="D882" s="39">
        <v>3</v>
      </c>
      <c r="E882" s="1"/>
      <c r="F882" s="39">
        <f t="shared" si="33"/>
        <v>0</v>
      </c>
      <c r="G882" s="497"/>
      <c r="H882" s="497"/>
      <c r="J882" s="42"/>
    </row>
    <row r="883" spans="1:10" s="360" customFormat="1" x14ac:dyDescent="0.25">
      <c r="A883" s="19" t="s">
        <v>35</v>
      </c>
      <c r="B883" s="2">
        <v>43929</v>
      </c>
      <c r="C883" s="1">
        <v>0</v>
      </c>
      <c r="D883" s="39">
        <v>1</v>
      </c>
      <c r="E883" s="1"/>
      <c r="F883" s="39">
        <f t="shared" si="33"/>
        <v>0</v>
      </c>
      <c r="G883" s="497"/>
      <c r="H883" s="497"/>
      <c r="J883" s="42"/>
    </row>
    <row r="884" spans="1:10" s="360" customFormat="1" x14ac:dyDescent="0.25">
      <c r="A884" s="19" t="s">
        <v>36</v>
      </c>
      <c r="B884" s="2">
        <v>43929</v>
      </c>
      <c r="C884" s="1">
        <v>0</v>
      </c>
      <c r="D884" s="39">
        <v>11</v>
      </c>
      <c r="E884" s="1"/>
      <c r="F884" s="39">
        <f t="shared" si="33"/>
        <v>0</v>
      </c>
      <c r="G884" s="497"/>
      <c r="H884" s="497"/>
      <c r="J884" s="42"/>
    </row>
    <row r="885" spans="1:10" s="360" customFormat="1" x14ac:dyDescent="0.25">
      <c r="A885" s="19" t="s">
        <v>37</v>
      </c>
      <c r="B885" s="2">
        <v>43929</v>
      </c>
      <c r="C885" s="1">
        <v>0</v>
      </c>
      <c r="D885" s="39">
        <v>31</v>
      </c>
      <c r="E885" s="1"/>
      <c r="F885" s="39">
        <f t="shared" si="33"/>
        <v>0</v>
      </c>
      <c r="G885" s="497"/>
      <c r="H885" s="497"/>
      <c r="J885" s="42"/>
    </row>
    <row r="886" spans="1:10" s="360" customFormat="1" x14ac:dyDescent="0.25">
      <c r="A886" s="19" t="s">
        <v>22</v>
      </c>
      <c r="B886" s="2">
        <v>43929</v>
      </c>
      <c r="C886" s="1">
        <v>2</v>
      </c>
      <c r="D886" s="39">
        <v>189</v>
      </c>
      <c r="E886" s="1"/>
      <c r="F886" s="39">
        <f>E886+F862</f>
        <v>1</v>
      </c>
      <c r="G886" s="497"/>
      <c r="H886" s="497"/>
      <c r="J886" s="42"/>
    </row>
    <row r="887" spans="1:10" s="360" customFormat="1" x14ac:dyDescent="0.25">
      <c r="A887" s="19" t="s">
        <v>38</v>
      </c>
      <c r="B887" s="2">
        <v>43929</v>
      </c>
      <c r="C887" s="1">
        <v>0</v>
      </c>
      <c r="D887" s="39">
        <v>9</v>
      </c>
      <c r="E887" s="1"/>
      <c r="F887" s="39">
        <f t="shared" si="33"/>
        <v>0</v>
      </c>
      <c r="G887" s="497"/>
      <c r="H887" s="497"/>
      <c r="J887" s="42"/>
    </row>
    <row r="888" spans="1:10" s="360" customFormat="1" x14ac:dyDescent="0.25">
      <c r="A888" s="19" t="s">
        <v>39</v>
      </c>
      <c r="B888" s="2">
        <v>43929</v>
      </c>
      <c r="C888" s="1">
        <v>2</v>
      </c>
      <c r="D888" s="39">
        <v>81</v>
      </c>
      <c r="E888" s="1"/>
      <c r="F888" s="39">
        <f t="shared" si="33"/>
        <v>0</v>
      </c>
      <c r="G888" s="497"/>
      <c r="H888" s="497"/>
      <c r="J888" s="42"/>
    </row>
    <row r="889" spans="1:10" s="360" customFormat="1" x14ac:dyDescent="0.25">
      <c r="A889" s="19" t="s">
        <v>40</v>
      </c>
      <c r="B889" s="2">
        <v>43929</v>
      </c>
      <c r="C889" s="1">
        <v>0</v>
      </c>
      <c r="D889" s="39">
        <v>28</v>
      </c>
      <c r="E889" s="1">
        <v>1</v>
      </c>
      <c r="F889" s="39">
        <f t="shared" si="33"/>
        <v>2</v>
      </c>
      <c r="G889" s="497"/>
      <c r="H889" s="497"/>
      <c r="J889" s="42"/>
    </row>
    <row r="890" spans="1:10" s="360" customFormat="1" x14ac:dyDescent="0.25">
      <c r="A890" s="361" t="s">
        <v>16</v>
      </c>
      <c r="B890" s="2">
        <v>43930</v>
      </c>
      <c r="C890" s="1">
        <v>28</v>
      </c>
      <c r="D890" s="39">
        <v>488</v>
      </c>
      <c r="E890" s="1">
        <v>6</v>
      </c>
      <c r="F890" s="39">
        <f>E890+F866</f>
        <v>30</v>
      </c>
      <c r="G890" s="497"/>
      <c r="H890" s="497"/>
      <c r="J890" s="42"/>
    </row>
    <row r="891" spans="1:10" s="360" customFormat="1" x14ac:dyDescent="0.25">
      <c r="A891" s="19" t="s">
        <v>28</v>
      </c>
      <c r="B891" s="2">
        <v>43930</v>
      </c>
      <c r="C891" s="1">
        <v>0</v>
      </c>
      <c r="D891" s="39">
        <v>0</v>
      </c>
      <c r="E891" s="1"/>
      <c r="F891" s="39">
        <f t="shared" ref="F891:F913" si="34">E891+F867</f>
        <v>0</v>
      </c>
      <c r="G891" s="497"/>
      <c r="H891" s="497"/>
      <c r="J891" s="42"/>
    </row>
    <row r="892" spans="1:10" s="360" customFormat="1" x14ac:dyDescent="0.25">
      <c r="A892" s="19" t="s">
        <v>15</v>
      </c>
      <c r="B892" s="2">
        <v>43930</v>
      </c>
      <c r="C892" s="1">
        <v>6</v>
      </c>
      <c r="D892" s="39">
        <v>144</v>
      </c>
      <c r="E892" s="1">
        <v>1</v>
      </c>
      <c r="F892" s="39">
        <f t="shared" si="34"/>
        <v>7</v>
      </c>
      <c r="G892" s="497"/>
      <c r="H892" s="497"/>
      <c r="J892" s="42"/>
    </row>
    <row r="893" spans="1:10" s="360" customFormat="1" x14ac:dyDescent="0.25">
      <c r="A893" s="19" t="s">
        <v>29</v>
      </c>
      <c r="B893" s="2">
        <v>43930</v>
      </c>
      <c r="C893" s="1">
        <v>0</v>
      </c>
      <c r="D893" s="39">
        <v>0</v>
      </c>
      <c r="E893" s="1"/>
      <c r="F893" s="39">
        <f t="shared" si="34"/>
        <v>1</v>
      </c>
      <c r="G893" s="497"/>
      <c r="H893" s="497"/>
      <c r="J893" s="42"/>
    </row>
    <row r="894" spans="1:10" s="360" customFormat="1" x14ac:dyDescent="0.25">
      <c r="A894" s="19" t="s">
        <v>43</v>
      </c>
      <c r="B894" s="2">
        <v>43930</v>
      </c>
      <c r="C894" s="1">
        <v>23</v>
      </c>
      <c r="D894" s="39">
        <v>521</v>
      </c>
      <c r="E894" s="1">
        <v>6</v>
      </c>
      <c r="F894" s="39">
        <f t="shared" si="34"/>
        <v>20</v>
      </c>
      <c r="G894" s="497"/>
      <c r="H894" s="497"/>
      <c r="J894" s="42"/>
    </row>
    <row r="895" spans="1:10" s="360" customFormat="1" x14ac:dyDescent="0.25">
      <c r="A895" s="19" t="s">
        <v>20</v>
      </c>
      <c r="B895" s="2">
        <v>43930</v>
      </c>
      <c r="C895" s="1">
        <v>5</v>
      </c>
      <c r="D895" s="39">
        <v>156</v>
      </c>
      <c r="E895" s="1"/>
      <c r="F895" s="39">
        <f t="shared" si="34"/>
        <v>2</v>
      </c>
      <c r="G895" s="497"/>
      <c r="H895" s="497"/>
      <c r="J895" s="42"/>
    </row>
    <row r="896" spans="1:10" s="360" customFormat="1" x14ac:dyDescent="0.25">
      <c r="A896" s="19" t="s">
        <v>30</v>
      </c>
      <c r="B896" s="2">
        <v>43930</v>
      </c>
      <c r="C896" s="1">
        <v>0</v>
      </c>
      <c r="D896" s="39">
        <v>24</v>
      </c>
      <c r="E896" s="1"/>
      <c r="F896" s="39">
        <f t="shared" si="34"/>
        <v>0</v>
      </c>
      <c r="G896" s="497"/>
      <c r="H896" s="497"/>
      <c r="J896" s="42"/>
    </row>
    <row r="897" spans="1:10" x14ac:dyDescent="0.25">
      <c r="A897" s="19" t="s">
        <v>31</v>
      </c>
      <c r="B897" s="2">
        <v>43930</v>
      </c>
      <c r="C897" s="1">
        <v>2</v>
      </c>
      <c r="D897" s="39">
        <v>22</v>
      </c>
      <c r="F897" s="39">
        <f t="shared" si="34"/>
        <v>0</v>
      </c>
    </row>
    <row r="898" spans="1:10" s="360" customFormat="1" x14ac:dyDescent="0.25">
      <c r="A898" s="19" t="s">
        <v>41</v>
      </c>
      <c r="B898" s="2">
        <v>43930</v>
      </c>
      <c r="C898" s="1">
        <v>0</v>
      </c>
      <c r="D898" s="39">
        <v>0</v>
      </c>
      <c r="E898" s="1"/>
      <c r="F898" s="39">
        <f t="shared" si="34"/>
        <v>0</v>
      </c>
      <c r="G898" s="497"/>
      <c r="H898" s="497"/>
      <c r="J898" s="42"/>
    </row>
    <row r="899" spans="1:10" s="360" customFormat="1" x14ac:dyDescent="0.25">
      <c r="A899" s="19" t="s">
        <v>32</v>
      </c>
      <c r="B899" s="2">
        <v>43930</v>
      </c>
      <c r="C899" s="1">
        <v>0</v>
      </c>
      <c r="D899" s="39">
        <v>5</v>
      </c>
      <c r="E899" s="1"/>
      <c r="F899" s="39">
        <f t="shared" si="34"/>
        <v>0</v>
      </c>
      <c r="G899" s="497"/>
      <c r="H899" s="497"/>
      <c r="J899" s="42"/>
    </row>
    <row r="900" spans="1:10" s="360" customFormat="1" x14ac:dyDescent="0.25">
      <c r="A900" s="19" t="s">
        <v>33</v>
      </c>
      <c r="B900" s="2">
        <v>43930</v>
      </c>
      <c r="C900" s="1">
        <v>0</v>
      </c>
      <c r="D900" s="39">
        <v>4</v>
      </c>
      <c r="E900" s="1"/>
      <c r="F900" s="39">
        <f t="shared" si="34"/>
        <v>0</v>
      </c>
      <c r="G900" s="497"/>
      <c r="H900" s="497"/>
      <c r="J900" s="42"/>
    </row>
    <row r="901" spans="1:10" s="360" customFormat="1" x14ac:dyDescent="0.25">
      <c r="A901" s="19" t="s">
        <v>21</v>
      </c>
      <c r="B901" s="2">
        <v>43930</v>
      </c>
      <c r="C901" s="1">
        <v>5</v>
      </c>
      <c r="D901" s="39">
        <v>14</v>
      </c>
      <c r="E901" s="1"/>
      <c r="F901" s="39">
        <f t="shared" si="34"/>
        <v>1</v>
      </c>
      <c r="G901" s="497"/>
      <c r="H901" s="497"/>
      <c r="J901" s="42"/>
    </row>
    <row r="902" spans="1:10" s="360" customFormat="1" x14ac:dyDescent="0.25">
      <c r="A902" s="19" t="s">
        <v>17</v>
      </c>
      <c r="B902" s="2">
        <v>43930</v>
      </c>
      <c r="C902" s="1">
        <v>2</v>
      </c>
      <c r="D902" s="39">
        <v>40</v>
      </c>
      <c r="E902" s="1"/>
      <c r="F902" s="39">
        <f t="shared" si="34"/>
        <v>4</v>
      </c>
      <c r="G902" s="497"/>
      <c r="H902" s="497"/>
      <c r="J902" s="42"/>
    </row>
    <row r="903" spans="1:10" s="360" customFormat="1" x14ac:dyDescent="0.25">
      <c r="A903" s="19" t="s">
        <v>23</v>
      </c>
      <c r="B903" s="2">
        <v>43930</v>
      </c>
      <c r="C903" s="1">
        <v>0</v>
      </c>
      <c r="D903" s="39">
        <v>3</v>
      </c>
      <c r="E903" s="1"/>
      <c r="F903" s="39">
        <f t="shared" si="34"/>
        <v>0</v>
      </c>
      <c r="G903" s="497"/>
      <c r="H903" s="497"/>
      <c r="J903" s="42"/>
    </row>
    <row r="904" spans="1:10" s="360" customFormat="1" x14ac:dyDescent="0.25">
      <c r="A904" s="19" t="s">
        <v>19</v>
      </c>
      <c r="B904" s="2">
        <v>43930</v>
      </c>
      <c r="C904" s="1">
        <v>7</v>
      </c>
      <c r="D904" s="39">
        <v>77</v>
      </c>
      <c r="E904" s="1"/>
      <c r="F904" s="39">
        <f t="shared" si="34"/>
        <v>3</v>
      </c>
      <c r="G904" s="497"/>
      <c r="H904" s="497"/>
      <c r="J904" s="42"/>
    </row>
    <row r="905" spans="1:10" s="360" customFormat="1" x14ac:dyDescent="0.25">
      <c r="A905" s="19" t="s">
        <v>18</v>
      </c>
      <c r="B905" s="2">
        <v>43930</v>
      </c>
      <c r="C905" s="1">
        <v>13</v>
      </c>
      <c r="D905" s="39">
        <v>35</v>
      </c>
      <c r="E905" s="1"/>
      <c r="F905" s="39">
        <f t="shared" si="34"/>
        <v>2</v>
      </c>
      <c r="G905" s="497"/>
      <c r="H905" s="497"/>
      <c r="J905" s="42"/>
    </row>
    <row r="906" spans="1:10" s="360" customFormat="1" x14ac:dyDescent="0.25">
      <c r="A906" s="19" t="s">
        <v>34</v>
      </c>
      <c r="B906" s="2">
        <v>43930</v>
      </c>
      <c r="C906" s="1">
        <v>0</v>
      </c>
      <c r="D906" s="39">
        <v>3</v>
      </c>
      <c r="E906" s="1"/>
      <c r="F906" s="39">
        <f t="shared" si="34"/>
        <v>0</v>
      </c>
      <c r="G906" s="497"/>
      <c r="H906" s="497"/>
      <c r="J906" s="42"/>
    </row>
    <row r="907" spans="1:10" s="360" customFormat="1" x14ac:dyDescent="0.25">
      <c r="A907" s="19" t="s">
        <v>35</v>
      </c>
      <c r="B907" s="2">
        <v>43930</v>
      </c>
      <c r="C907" s="1">
        <v>0</v>
      </c>
      <c r="D907" s="39">
        <v>1</v>
      </c>
      <c r="E907" s="1"/>
      <c r="F907" s="39">
        <f t="shared" si="34"/>
        <v>0</v>
      </c>
      <c r="G907" s="497"/>
      <c r="H907" s="497"/>
      <c r="J907" s="42"/>
    </row>
    <row r="908" spans="1:10" s="360" customFormat="1" x14ac:dyDescent="0.25">
      <c r="A908" s="19" t="s">
        <v>36</v>
      </c>
      <c r="B908" s="2">
        <v>43930</v>
      </c>
      <c r="C908" s="1">
        <v>0</v>
      </c>
      <c r="D908" s="39">
        <v>11</v>
      </c>
      <c r="E908" s="1"/>
      <c r="F908" s="39">
        <f t="shared" si="34"/>
        <v>0</v>
      </c>
      <c r="G908" s="497"/>
      <c r="H908" s="497"/>
      <c r="J908" s="42"/>
    </row>
    <row r="909" spans="1:10" s="360" customFormat="1" x14ac:dyDescent="0.25">
      <c r="A909" s="19" t="s">
        <v>37</v>
      </c>
      <c r="B909" s="2">
        <v>43930</v>
      </c>
      <c r="C909" s="1">
        <v>0</v>
      </c>
      <c r="D909" s="39">
        <v>31</v>
      </c>
      <c r="E909" s="1"/>
      <c r="F909" s="39">
        <f t="shared" si="34"/>
        <v>0</v>
      </c>
      <c r="G909" s="497"/>
      <c r="H909" s="497"/>
      <c r="J909" s="42"/>
    </row>
    <row r="910" spans="1:10" s="360" customFormat="1" x14ac:dyDescent="0.25">
      <c r="A910" s="19" t="s">
        <v>22</v>
      </c>
      <c r="B910" s="2">
        <v>43930</v>
      </c>
      <c r="C910" s="1">
        <v>7</v>
      </c>
      <c r="D910" s="39">
        <v>196</v>
      </c>
      <c r="E910" s="1">
        <v>1</v>
      </c>
      <c r="F910" s="39">
        <f>E910+F886</f>
        <v>2</v>
      </c>
      <c r="G910" s="497"/>
      <c r="H910" s="497"/>
      <c r="J910" s="42"/>
    </row>
    <row r="911" spans="1:10" s="360" customFormat="1" x14ac:dyDescent="0.25">
      <c r="A911" s="19" t="s">
        <v>38</v>
      </c>
      <c r="B911" s="2">
        <v>43930</v>
      </c>
      <c r="C911" s="1">
        <v>0</v>
      </c>
      <c r="D911" s="39">
        <v>9</v>
      </c>
      <c r="E911" s="1"/>
      <c r="F911" s="39">
        <f t="shared" si="34"/>
        <v>0</v>
      </c>
      <c r="G911" s="497"/>
      <c r="H911" s="497"/>
      <c r="J911" s="42"/>
    </row>
    <row r="912" spans="1:10" s="360" customFormat="1" x14ac:dyDescent="0.25">
      <c r="A912" s="19" t="s">
        <v>39</v>
      </c>
      <c r="B912" s="2">
        <v>43930</v>
      </c>
      <c r="C912" s="1">
        <v>0</v>
      </c>
      <c r="D912" s="39">
        <v>81</v>
      </c>
      <c r="E912" s="1"/>
      <c r="F912" s="39">
        <f t="shared" si="34"/>
        <v>0</v>
      </c>
      <c r="G912" s="497"/>
      <c r="H912" s="497"/>
      <c r="J912" s="42"/>
    </row>
    <row r="913" spans="1:10" s="360" customFormat="1" x14ac:dyDescent="0.25">
      <c r="A913" s="19" t="s">
        <v>40</v>
      </c>
      <c r="B913" s="2">
        <v>43930</v>
      </c>
      <c r="C913" s="1">
        <v>1</v>
      </c>
      <c r="D913" s="39">
        <v>29</v>
      </c>
      <c r="E913" s="1"/>
      <c r="F913" s="39">
        <f t="shared" si="34"/>
        <v>2</v>
      </c>
      <c r="G913" s="497"/>
      <c r="H913" s="497"/>
      <c r="J913" s="42"/>
    </row>
    <row r="914" spans="1:10" s="360" customFormat="1" x14ac:dyDescent="0.25">
      <c r="A914" s="361" t="s">
        <v>16</v>
      </c>
      <c r="B914" s="2">
        <v>43931</v>
      </c>
      <c r="C914" s="1">
        <v>19</v>
      </c>
      <c r="D914" s="39">
        <v>507</v>
      </c>
      <c r="E914" s="1">
        <v>1</v>
      </c>
      <c r="F914" s="39">
        <f>E914+F890</f>
        <v>31</v>
      </c>
      <c r="G914" s="497"/>
      <c r="H914" s="497"/>
      <c r="J914" s="42"/>
    </row>
    <row r="915" spans="1:10" s="360" customFormat="1" x14ac:dyDescent="0.25">
      <c r="A915" s="19" t="s">
        <v>28</v>
      </c>
      <c r="B915" s="2">
        <v>43931</v>
      </c>
      <c r="C915" s="1">
        <v>0</v>
      </c>
      <c r="D915" s="39">
        <v>0</v>
      </c>
      <c r="E915" s="1"/>
      <c r="F915" s="39">
        <f t="shared" ref="F915:F937" si="35">E915+F891</f>
        <v>0</v>
      </c>
      <c r="G915" s="497"/>
      <c r="H915" s="497"/>
      <c r="J915" s="42"/>
    </row>
    <row r="916" spans="1:10" s="360" customFormat="1" x14ac:dyDescent="0.25">
      <c r="A916" s="19" t="s">
        <v>15</v>
      </c>
      <c r="B916" s="2">
        <v>43931</v>
      </c>
      <c r="C916" s="1">
        <v>5</v>
      </c>
      <c r="D916" s="39">
        <v>149</v>
      </c>
      <c r="E916" s="1"/>
      <c r="F916" s="39">
        <f t="shared" si="35"/>
        <v>7</v>
      </c>
      <c r="G916" s="497"/>
      <c r="H916" s="497"/>
      <c r="J916" s="42"/>
    </row>
    <row r="917" spans="1:10" s="360" customFormat="1" x14ac:dyDescent="0.25">
      <c r="A917" s="19" t="s">
        <v>29</v>
      </c>
      <c r="B917" s="2">
        <v>43931</v>
      </c>
      <c r="C917" s="1">
        <v>0</v>
      </c>
      <c r="D917" s="39">
        <v>0</v>
      </c>
      <c r="E917" s="1"/>
      <c r="F917" s="39">
        <f t="shared" si="35"/>
        <v>1</v>
      </c>
      <c r="G917" s="497"/>
      <c r="H917" s="497"/>
      <c r="J917" s="42"/>
    </row>
    <row r="918" spans="1:10" s="360" customFormat="1" x14ac:dyDescent="0.25">
      <c r="A918" s="19" t="s">
        <v>43</v>
      </c>
      <c r="B918" s="2">
        <v>43931</v>
      </c>
      <c r="C918" s="1">
        <v>11</v>
      </c>
      <c r="D918" s="39">
        <v>532</v>
      </c>
      <c r="E918" s="1">
        <v>1</v>
      </c>
      <c r="F918" s="39">
        <f t="shared" si="35"/>
        <v>21</v>
      </c>
      <c r="G918" s="497"/>
      <c r="H918" s="497"/>
      <c r="J918" s="42"/>
    </row>
    <row r="919" spans="1:10" s="360" customFormat="1" x14ac:dyDescent="0.25">
      <c r="A919" s="19" t="s">
        <v>20</v>
      </c>
      <c r="B919" s="2">
        <v>43931</v>
      </c>
      <c r="C919" s="1">
        <v>13</v>
      </c>
      <c r="D919" s="39">
        <v>169</v>
      </c>
      <c r="E919" s="1"/>
      <c r="F919" s="39">
        <f t="shared" si="35"/>
        <v>2</v>
      </c>
      <c r="G919" s="497"/>
      <c r="H919" s="497"/>
      <c r="J919" s="42"/>
    </row>
    <row r="920" spans="1:10" s="360" customFormat="1" x14ac:dyDescent="0.25">
      <c r="A920" s="19" t="s">
        <v>30</v>
      </c>
      <c r="B920" s="2">
        <v>43931</v>
      </c>
      <c r="C920" s="1">
        <v>0</v>
      </c>
      <c r="D920" s="39">
        <v>24</v>
      </c>
      <c r="E920" s="1"/>
      <c r="F920" s="39">
        <f t="shared" si="35"/>
        <v>0</v>
      </c>
      <c r="G920" s="497"/>
      <c r="H920" s="497"/>
      <c r="J920" s="42"/>
    </row>
    <row r="921" spans="1:10" x14ac:dyDescent="0.25">
      <c r="A921" s="19" t="s">
        <v>31</v>
      </c>
      <c r="B921" s="2">
        <v>43931</v>
      </c>
      <c r="C921" s="1">
        <v>0</v>
      </c>
      <c r="D921" s="39">
        <v>22</v>
      </c>
      <c r="F921" s="39">
        <f t="shared" si="35"/>
        <v>0</v>
      </c>
    </row>
    <row r="922" spans="1:10" s="360" customFormat="1" x14ac:dyDescent="0.25">
      <c r="A922" s="19" t="s">
        <v>41</v>
      </c>
      <c r="B922" s="2">
        <v>43931</v>
      </c>
      <c r="C922" s="1">
        <v>0</v>
      </c>
      <c r="D922" s="39">
        <v>0</v>
      </c>
      <c r="E922" s="1"/>
      <c r="F922" s="39">
        <f t="shared" si="35"/>
        <v>0</v>
      </c>
      <c r="G922" s="497"/>
      <c r="H922" s="497"/>
      <c r="J922" s="42"/>
    </row>
    <row r="923" spans="1:10" s="360" customFormat="1" x14ac:dyDescent="0.25">
      <c r="A923" s="19" t="s">
        <v>32</v>
      </c>
      <c r="B923" s="2">
        <v>43931</v>
      </c>
      <c r="C923" s="1">
        <v>0</v>
      </c>
      <c r="D923" s="39">
        <v>5</v>
      </c>
      <c r="E923" s="1"/>
      <c r="F923" s="39">
        <f t="shared" si="35"/>
        <v>0</v>
      </c>
      <c r="G923" s="497"/>
      <c r="H923" s="497"/>
      <c r="J923" s="42"/>
    </row>
    <row r="924" spans="1:10" s="360" customFormat="1" x14ac:dyDescent="0.25">
      <c r="A924" s="19" t="s">
        <v>33</v>
      </c>
      <c r="B924" s="2">
        <v>43931</v>
      </c>
      <c r="C924" s="1">
        <v>1</v>
      </c>
      <c r="D924" s="39">
        <v>5</v>
      </c>
      <c r="E924" s="1"/>
      <c r="F924" s="39">
        <f t="shared" si="35"/>
        <v>0</v>
      </c>
      <c r="G924" s="497"/>
      <c r="H924" s="497"/>
      <c r="J924" s="42"/>
    </row>
    <row r="925" spans="1:10" s="360" customFormat="1" x14ac:dyDescent="0.25">
      <c r="A925" s="19" t="s">
        <v>21</v>
      </c>
      <c r="B925" s="2">
        <v>43931</v>
      </c>
      <c r="C925" s="1">
        <v>0</v>
      </c>
      <c r="D925" s="39">
        <v>14</v>
      </c>
      <c r="E925" s="1"/>
      <c r="F925" s="39">
        <f t="shared" si="35"/>
        <v>1</v>
      </c>
      <c r="G925" s="497"/>
      <c r="H925" s="497"/>
      <c r="J925" s="42"/>
    </row>
    <row r="926" spans="1:10" s="360" customFormat="1" x14ac:dyDescent="0.25">
      <c r="A926" s="19" t="s">
        <v>17</v>
      </c>
      <c r="B926" s="2">
        <v>43931</v>
      </c>
      <c r="C926" s="1">
        <v>9</v>
      </c>
      <c r="D926" s="39">
        <v>49</v>
      </c>
      <c r="E926" s="1"/>
      <c r="F926" s="39">
        <f t="shared" si="35"/>
        <v>4</v>
      </c>
      <c r="G926" s="497"/>
      <c r="H926" s="497"/>
      <c r="J926" s="42"/>
    </row>
    <row r="927" spans="1:10" s="360" customFormat="1" x14ac:dyDescent="0.25">
      <c r="A927" s="19" t="s">
        <v>23</v>
      </c>
      <c r="B927" s="2">
        <v>43931</v>
      </c>
      <c r="C927" s="1">
        <v>0</v>
      </c>
      <c r="D927" s="39">
        <v>3</v>
      </c>
      <c r="E927" s="1"/>
      <c r="F927" s="39">
        <f t="shared" si="35"/>
        <v>0</v>
      </c>
      <c r="G927" s="497"/>
      <c r="H927" s="497"/>
      <c r="J927" s="42"/>
    </row>
    <row r="928" spans="1:10" s="360" customFormat="1" x14ac:dyDescent="0.25">
      <c r="A928" s="19" t="s">
        <v>19</v>
      </c>
      <c r="B928" s="2">
        <v>43931</v>
      </c>
      <c r="C928" s="1">
        <v>7</v>
      </c>
      <c r="D928" s="39">
        <v>84</v>
      </c>
      <c r="E928" s="1"/>
      <c r="F928" s="39">
        <f t="shared" si="35"/>
        <v>3</v>
      </c>
      <c r="G928" s="497"/>
      <c r="H928" s="497"/>
      <c r="J928" s="42"/>
    </row>
    <row r="929" spans="1:10" s="360" customFormat="1" x14ac:dyDescent="0.25">
      <c r="A929" s="19" t="s">
        <v>18</v>
      </c>
      <c r="B929" s="2">
        <v>43931</v>
      </c>
      <c r="C929" s="1">
        <v>7</v>
      </c>
      <c r="D929" s="39">
        <v>42</v>
      </c>
      <c r="E929" s="1">
        <v>1</v>
      </c>
      <c r="F929" s="39">
        <f t="shared" si="35"/>
        <v>3</v>
      </c>
      <c r="G929" s="497"/>
      <c r="H929" s="497"/>
      <c r="J929" s="42"/>
    </row>
    <row r="930" spans="1:10" s="360" customFormat="1" x14ac:dyDescent="0.25">
      <c r="A930" s="19" t="s">
        <v>34</v>
      </c>
      <c r="B930" s="2">
        <v>43931</v>
      </c>
      <c r="C930" s="1">
        <v>0</v>
      </c>
      <c r="D930" s="39">
        <v>3</v>
      </c>
      <c r="E930" s="1"/>
      <c r="F930" s="39">
        <f t="shared" si="35"/>
        <v>0</v>
      </c>
      <c r="G930" s="497"/>
      <c r="H930" s="497"/>
      <c r="J930" s="42"/>
    </row>
    <row r="931" spans="1:10" s="360" customFormat="1" x14ac:dyDescent="0.25">
      <c r="A931" s="19" t="s">
        <v>35</v>
      </c>
      <c r="B931" s="2">
        <v>43931</v>
      </c>
      <c r="C931" s="1">
        <v>0</v>
      </c>
      <c r="D931" s="39">
        <v>1</v>
      </c>
      <c r="E931" s="1"/>
      <c r="F931" s="39">
        <f t="shared" si="35"/>
        <v>0</v>
      </c>
      <c r="G931" s="497"/>
      <c r="H931" s="497"/>
      <c r="J931" s="42"/>
    </row>
    <row r="932" spans="1:10" s="360" customFormat="1" x14ac:dyDescent="0.25">
      <c r="A932" s="19" t="s">
        <v>36</v>
      </c>
      <c r="B932" s="2">
        <v>43931</v>
      </c>
      <c r="C932" s="1">
        <v>0</v>
      </c>
      <c r="D932" s="39">
        <v>11</v>
      </c>
      <c r="E932" s="1"/>
      <c r="F932" s="39">
        <f t="shared" si="35"/>
        <v>0</v>
      </c>
      <c r="G932" s="497"/>
      <c r="H932" s="497"/>
      <c r="J932" s="42"/>
    </row>
    <row r="933" spans="1:10" s="360" customFormat="1" x14ac:dyDescent="0.25">
      <c r="A933" s="19" t="s">
        <v>37</v>
      </c>
      <c r="B933" s="2">
        <v>43931</v>
      </c>
      <c r="C933" s="1">
        <v>6</v>
      </c>
      <c r="D933" s="39">
        <v>37</v>
      </c>
      <c r="E933" s="1"/>
      <c r="F933" s="39">
        <f t="shared" si="35"/>
        <v>0</v>
      </c>
      <c r="G933" s="497"/>
      <c r="H933" s="497"/>
      <c r="J933" s="42"/>
    </row>
    <row r="934" spans="1:10" s="360" customFormat="1" x14ac:dyDescent="0.25">
      <c r="A934" s="19" t="s">
        <v>22</v>
      </c>
      <c r="B934" s="2">
        <v>43931</v>
      </c>
      <c r="C934" s="1">
        <v>1</v>
      </c>
      <c r="D934" s="39">
        <v>197</v>
      </c>
      <c r="E934" s="1"/>
      <c r="F934" s="39">
        <f>E934+F910</f>
        <v>2</v>
      </c>
      <c r="G934" s="497"/>
      <c r="H934" s="497"/>
      <c r="J934" s="42"/>
    </row>
    <row r="935" spans="1:10" s="360" customFormat="1" x14ac:dyDescent="0.25">
      <c r="A935" s="19" t="s">
        <v>38</v>
      </c>
      <c r="B935" s="2">
        <v>43931</v>
      </c>
      <c r="C935" s="1">
        <v>0</v>
      </c>
      <c r="D935" s="39">
        <v>9</v>
      </c>
      <c r="E935" s="1"/>
      <c r="F935" s="39">
        <f t="shared" si="35"/>
        <v>0</v>
      </c>
      <c r="G935" s="497"/>
      <c r="H935" s="497"/>
      <c r="J935" s="42"/>
    </row>
    <row r="936" spans="1:10" s="360" customFormat="1" x14ac:dyDescent="0.25">
      <c r="A936" s="19" t="s">
        <v>39</v>
      </c>
      <c r="B936" s="2">
        <v>43931</v>
      </c>
      <c r="C936" s="1">
        <v>2</v>
      </c>
      <c r="D936" s="39">
        <v>83</v>
      </c>
      <c r="E936" s="1"/>
      <c r="F936" s="39">
        <f t="shared" si="35"/>
        <v>0</v>
      </c>
      <c r="G936" s="497"/>
      <c r="H936" s="497"/>
      <c r="J936" s="42"/>
    </row>
    <row r="937" spans="1:10" s="360" customFormat="1" x14ac:dyDescent="0.25">
      <c r="A937" s="19" t="s">
        <v>40</v>
      </c>
      <c r="B937" s="2">
        <v>43931</v>
      </c>
      <c r="C937" s="1">
        <v>0</v>
      </c>
      <c r="D937" s="39">
        <v>29</v>
      </c>
      <c r="E937" s="1"/>
      <c r="F937" s="39">
        <f t="shared" si="35"/>
        <v>2</v>
      </c>
      <c r="G937" s="497"/>
      <c r="H937" s="497"/>
      <c r="J937" s="42"/>
    </row>
    <row r="938" spans="1:10" s="360" customFormat="1" x14ac:dyDescent="0.25">
      <c r="A938" s="361" t="s">
        <v>16</v>
      </c>
      <c r="B938" s="2">
        <v>43932</v>
      </c>
      <c r="C938" s="1">
        <v>37</v>
      </c>
      <c r="D938" s="39">
        <v>544</v>
      </c>
      <c r="E938" s="1">
        <v>4</v>
      </c>
      <c r="F938" s="39">
        <f>E938+F914</f>
        <v>35</v>
      </c>
      <c r="G938" s="497"/>
      <c r="H938" s="497"/>
      <c r="J938" s="42"/>
    </row>
    <row r="939" spans="1:10" s="360" customFormat="1" x14ac:dyDescent="0.25">
      <c r="A939" s="19" t="s">
        <v>28</v>
      </c>
      <c r="B939" s="2">
        <v>43932</v>
      </c>
      <c r="C939" s="1">
        <v>0</v>
      </c>
      <c r="D939" s="39">
        <v>0</v>
      </c>
      <c r="E939" s="1"/>
      <c r="F939" s="39">
        <f t="shared" ref="F939:F961" si="36">E939+F915</f>
        <v>0</v>
      </c>
      <c r="G939" s="497"/>
      <c r="H939" s="497"/>
      <c r="J939" s="42"/>
    </row>
    <row r="940" spans="1:10" s="360" customFormat="1" x14ac:dyDescent="0.25">
      <c r="A940" s="19" t="s">
        <v>15</v>
      </c>
      <c r="B940" s="2">
        <v>43932</v>
      </c>
      <c r="C940" s="1">
        <v>0</v>
      </c>
      <c r="D940" s="39">
        <v>149</v>
      </c>
      <c r="E940" s="1"/>
      <c r="F940" s="39">
        <f t="shared" si="36"/>
        <v>7</v>
      </c>
      <c r="G940" s="497"/>
      <c r="H940" s="497"/>
      <c r="J940" s="42"/>
    </row>
    <row r="941" spans="1:10" s="360" customFormat="1" x14ac:dyDescent="0.25">
      <c r="A941" s="19" t="s">
        <v>29</v>
      </c>
      <c r="B941" s="2">
        <v>43932</v>
      </c>
      <c r="C941" s="1">
        <v>0</v>
      </c>
      <c r="D941" s="39">
        <v>0</v>
      </c>
      <c r="E941" s="1"/>
      <c r="F941" s="39">
        <f t="shared" si="36"/>
        <v>1</v>
      </c>
      <c r="G941" s="497"/>
      <c r="H941" s="497"/>
      <c r="J941" s="42"/>
    </row>
    <row r="942" spans="1:10" s="360" customFormat="1" x14ac:dyDescent="0.25">
      <c r="A942" s="19" t="s">
        <v>43</v>
      </c>
      <c r="B942" s="2">
        <v>43932</v>
      </c>
      <c r="C942" s="1">
        <v>46</v>
      </c>
      <c r="D942" s="39">
        <v>578</v>
      </c>
      <c r="E942" s="1">
        <v>3</v>
      </c>
      <c r="F942" s="39">
        <f t="shared" si="36"/>
        <v>24</v>
      </c>
      <c r="G942" s="497"/>
      <c r="H942" s="497"/>
      <c r="J942" s="42"/>
    </row>
    <row r="943" spans="1:10" s="360" customFormat="1" x14ac:dyDescent="0.25">
      <c r="A943" s="19" t="s">
        <v>20</v>
      </c>
      <c r="B943" s="2">
        <v>43932</v>
      </c>
      <c r="C943" s="1">
        <v>32</v>
      </c>
      <c r="D943" s="39">
        <v>201</v>
      </c>
      <c r="E943" s="1"/>
      <c r="F943" s="39">
        <f t="shared" si="36"/>
        <v>2</v>
      </c>
      <c r="G943" s="497"/>
      <c r="H943" s="497"/>
      <c r="J943" s="42"/>
    </row>
    <row r="944" spans="1:10" s="360" customFormat="1" x14ac:dyDescent="0.25">
      <c r="A944" s="19" t="s">
        <v>30</v>
      </c>
      <c r="B944" s="2">
        <v>43932</v>
      </c>
      <c r="C944" s="1">
        <v>0</v>
      </c>
      <c r="D944" s="39">
        <v>24</v>
      </c>
      <c r="E944" s="1"/>
      <c r="F944" s="39">
        <f t="shared" si="36"/>
        <v>0</v>
      </c>
      <c r="G944" s="497"/>
      <c r="H944" s="497"/>
      <c r="J944" s="42"/>
    </row>
    <row r="945" spans="1:10" x14ac:dyDescent="0.25">
      <c r="A945" s="19" t="s">
        <v>31</v>
      </c>
      <c r="B945" s="2">
        <v>43932</v>
      </c>
      <c r="C945" s="1">
        <v>0</v>
      </c>
      <c r="D945" s="39">
        <v>22</v>
      </c>
      <c r="F945" s="39">
        <f t="shared" si="36"/>
        <v>0</v>
      </c>
    </row>
    <row r="946" spans="1:10" s="360" customFormat="1" x14ac:dyDescent="0.25">
      <c r="A946" s="19" t="s">
        <v>41</v>
      </c>
      <c r="B946" s="2">
        <v>43932</v>
      </c>
      <c r="C946" s="1">
        <v>0</v>
      </c>
      <c r="D946" s="39">
        <v>0</v>
      </c>
      <c r="E946" s="1"/>
      <c r="F946" s="39">
        <f t="shared" si="36"/>
        <v>0</v>
      </c>
      <c r="G946" s="497"/>
      <c r="H946" s="497"/>
      <c r="J946" s="42"/>
    </row>
    <row r="947" spans="1:10" s="360" customFormat="1" x14ac:dyDescent="0.25">
      <c r="A947" s="19" t="s">
        <v>32</v>
      </c>
      <c r="B947" s="2">
        <v>43932</v>
      </c>
      <c r="C947" s="1">
        <v>0</v>
      </c>
      <c r="D947" s="39">
        <v>5</v>
      </c>
      <c r="E947" s="1"/>
      <c r="F947" s="39">
        <f t="shared" si="36"/>
        <v>0</v>
      </c>
      <c r="G947" s="497"/>
      <c r="H947" s="497"/>
      <c r="J947" s="42"/>
    </row>
    <row r="948" spans="1:10" s="360" customFormat="1" x14ac:dyDescent="0.25">
      <c r="A948" s="19" t="s">
        <v>33</v>
      </c>
      <c r="B948" s="2">
        <v>43932</v>
      </c>
      <c r="C948" s="1">
        <v>0</v>
      </c>
      <c r="D948" s="39">
        <v>5</v>
      </c>
      <c r="E948" s="1"/>
      <c r="F948" s="39">
        <f t="shared" si="36"/>
        <v>0</v>
      </c>
      <c r="G948" s="497"/>
      <c r="H948" s="497"/>
      <c r="J948" s="42"/>
    </row>
    <row r="949" spans="1:10" s="360" customFormat="1" x14ac:dyDescent="0.25">
      <c r="A949" s="19" t="s">
        <v>21</v>
      </c>
      <c r="B949" s="2">
        <v>43932</v>
      </c>
      <c r="C949" s="1">
        <v>4</v>
      </c>
      <c r="D949" s="39">
        <v>18</v>
      </c>
      <c r="E949" s="1"/>
      <c r="F949" s="39">
        <f t="shared" si="36"/>
        <v>1</v>
      </c>
      <c r="G949" s="497"/>
      <c r="H949" s="497"/>
      <c r="J949" s="42"/>
    </row>
    <row r="950" spans="1:10" s="360" customFormat="1" x14ac:dyDescent="0.25">
      <c r="A950" s="19" t="s">
        <v>17</v>
      </c>
      <c r="B950" s="2">
        <v>43932</v>
      </c>
      <c r="C950" s="1">
        <v>5</v>
      </c>
      <c r="D950" s="39">
        <v>54</v>
      </c>
      <c r="E950" s="1"/>
      <c r="F950" s="39">
        <f t="shared" si="36"/>
        <v>4</v>
      </c>
      <c r="G950" s="497"/>
      <c r="H950" s="497"/>
      <c r="J950" s="42"/>
    </row>
    <row r="951" spans="1:10" s="360" customFormat="1" x14ac:dyDescent="0.25">
      <c r="A951" s="19" t="s">
        <v>23</v>
      </c>
      <c r="B951" s="2">
        <v>43932</v>
      </c>
      <c r="C951" s="1">
        <v>0</v>
      </c>
      <c r="D951" s="39">
        <v>3</v>
      </c>
      <c r="E951" s="1"/>
      <c r="F951" s="39">
        <f t="shared" si="36"/>
        <v>0</v>
      </c>
      <c r="G951" s="497"/>
      <c r="H951" s="497"/>
      <c r="J951" s="42"/>
    </row>
    <row r="952" spans="1:10" s="360" customFormat="1" x14ac:dyDescent="0.25">
      <c r="A952" s="19" t="s">
        <v>19</v>
      </c>
      <c r="B952" s="2">
        <v>43932</v>
      </c>
      <c r="C952" s="1">
        <v>1</v>
      </c>
      <c r="D952" s="39">
        <v>85</v>
      </c>
      <c r="E952" s="1"/>
      <c r="F952" s="39">
        <f t="shared" si="36"/>
        <v>3</v>
      </c>
      <c r="G952" s="497"/>
      <c r="H952" s="497"/>
      <c r="J952" s="42"/>
    </row>
    <row r="953" spans="1:10" s="360" customFormat="1" x14ac:dyDescent="0.25">
      <c r="A953" s="19" t="s">
        <v>18</v>
      </c>
      <c r="B953" s="2">
        <v>43932</v>
      </c>
      <c r="C953" s="1">
        <v>23</v>
      </c>
      <c r="D953" s="39">
        <v>65</v>
      </c>
      <c r="E953" s="1"/>
      <c r="F953" s="39">
        <f t="shared" si="36"/>
        <v>3</v>
      </c>
      <c r="G953" s="497"/>
      <c r="H953" s="497"/>
      <c r="J953" s="42"/>
    </row>
    <row r="954" spans="1:10" s="360" customFormat="1" x14ac:dyDescent="0.25">
      <c r="A954" s="19" t="s">
        <v>34</v>
      </c>
      <c r="B954" s="2">
        <v>43932</v>
      </c>
      <c r="C954" s="1">
        <v>0</v>
      </c>
      <c r="D954" s="39">
        <v>3</v>
      </c>
      <c r="E954" s="1"/>
      <c r="F954" s="39">
        <f t="shared" si="36"/>
        <v>0</v>
      </c>
      <c r="G954" s="497"/>
      <c r="H954" s="497"/>
      <c r="J954" s="42"/>
    </row>
    <row r="955" spans="1:10" s="360" customFormat="1" x14ac:dyDescent="0.25">
      <c r="A955" s="19" t="s">
        <v>35</v>
      </c>
      <c r="B955" s="2">
        <v>43932</v>
      </c>
      <c r="C955" s="1">
        <v>1</v>
      </c>
      <c r="D955" s="39">
        <v>2</v>
      </c>
      <c r="E955" s="1"/>
      <c r="F955" s="39">
        <f t="shared" si="36"/>
        <v>0</v>
      </c>
      <c r="G955" s="497"/>
      <c r="H955" s="497"/>
      <c r="J955" s="42"/>
    </row>
    <row r="956" spans="1:10" s="360" customFormat="1" x14ac:dyDescent="0.25">
      <c r="A956" s="19" t="s">
        <v>36</v>
      </c>
      <c r="B956" s="2">
        <v>43932</v>
      </c>
      <c r="C956" s="1">
        <v>0</v>
      </c>
      <c r="D956" s="39">
        <v>11</v>
      </c>
      <c r="E956" s="1"/>
      <c r="F956" s="39">
        <f t="shared" si="36"/>
        <v>0</v>
      </c>
      <c r="G956" s="497"/>
      <c r="H956" s="497"/>
      <c r="J956" s="42"/>
    </row>
    <row r="957" spans="1:10" s="360" customFormat="1" x14ac:dyDescent="0.25">
      <c r="A957" s="19" t="s">
        <v>37</v>
      </c>
      <c r="B957" s="2">
        <v>43932</v>
      </c>
      <c r="C957" s="1">
        <v>3</v>
      </c>
      <c r="D957" s="39">
        <v>40</v>
      </c>
      <c r="E957" s="1"/>
      <c r="F957" s="39">
        <f t="shared" si="36"/>
        <v>0</v>
      </c>
      <c r="G957" s="497"/>
      <c r="H957" s="497"/>
      <c r="J957" s="42"/>
    </row>
    <row r="958" spans="1:10" s="360" customFormat="1" x14ac:dyDescent="0.25">
      <c r="A958" s="19" t="s">
        <v>22</v>
      </c>
      <c r="B958" s="2">
        <v>43932</v>
      </c>
      <c r="C958" s="1">
        <v>3</v>
      </c>
      <c r="D958" s="39">
        <v>200</v>
      </c>
      <c r="E958" s="1"/>
      <c r="F958" s="39">
        <f>E958+F934</f>
        <v>2</v>
      </c>
      <c r="G958" s="497"/>
      <c r="H958" s="497"/>
      <c r="J958" s="42"/>
    </row>
    <row r="959" spans="1:10" s="360" customFormat="1" x14ac:dyDescent="0.25">
      <c r="A959" s="19" t="s">
        <v>38</v>
      </c>
      <c r="B959" s="2">
        <v>43932</v>
      </c>
      <c r="C959" s="1">
        <v>3</v>
      </c>
      <c r="D959" s="39">
        <v>12</v>
      </c>
      <c r="E959" s="1"/>
      <c r="F959" s="39">
        <f t="shared" si="36"/>
        <v>0</v>
      </c>
      <c r="G959" s="497"/>
      <c r="H959" s="497"/>
      <c r="J959" s="42"/>
    </row>
    <row r="960" spans="1:10" s="360" customFormat="1" x14ac:dyDescent="0.25">
      <c r="A960" s="19" t="s">
        <v>39</v>
      </c>
      <c r="B960" s="2">
        <v>43932</v>
      </c>
      <c r="C960" s="1">
        <v>8</v>
      </c>
      <c r="D960" s="39">
        <v>91</v>
      </c>
      <c r="E960" s="1"/>
      <c r="F960" s="39">
        <f t="shared" si="36"/>
        <v>0</v>
      </c>
      <c r="G960" s="497"/>
      <c r="H960" s="497"/>
      <c r="J960" s="42"/>
    </row>
    <row r="961" spans="1:10" s="360" customFormat="1" x14ac:dyDescent="0.25">
      <c r="A961" s="19" t="s">
        <v>40</v>
      </c>
      <c r="B961" s="2">
        <v>43932</v>
      </c>
      <c r="C961" s="1">
        <v>1</v>
      </c>
      <c r="D961" s="39">
        <v>30</v>
      </c>
      <c r="E961" s="1"/>
      <c r="F961" s="39">
        <f t="shared" si="36"/>
        <v>2</v>
      </c>
      <c r="G961" s="497"/>
      <c r="H961" s="497"/>
      <c r="J961" s="42"/>
    </row>
    <row r="962" spans="1:10" s="360" customFormat="1" x14ac:dyDescent="0.25">
      <c r="A962" s="361" t="s">
        <v>16</v>
      </c>
      <c r="B962" s="2">
        <v>43933</v>
      </c>
      <c r="C962" s="1">
        <v>28</v>
      </c>
      <c r="D962" s="39">
        <v>572</v>
      </c>
      <c r="E962" s="1">
        <v>4</v>
      </c>
      <c r="F962" s="39">
        <f>E962+F938</f>
        <v>39</v>
      </c>
      <c r="G962" s="497"/>
      <c r="H962" s="497"/>
      <c r="J962" s="42"/>
    </row>
    <row r="963" spans="1:10" s="360" customFormat="1" x14ac:dyDescent="0.25">
      <c r="A963" s="19" t="s">
        <v>28</v>
      </c>
      <c r="B963" s="2">
        <v>43933</v>
      </c>
      <c r="C963" s="1">
        <v>0</v>
      </c>
      <c r="D963" s="39">
        <v>0</v>
      </c>
      <c r="E963" s="1"/>
      <c r="F963" s="39">
        <f t="shared" ref="F963:F985" si="37">E963+F939</f>
        <v>0</v>
      </c>
      <c r="G963" s="497"/>
      <c r="H963" s="497"/>
      <c r="J963" s="42"/>
    </row>
    <row r="964" spans="1:10" s="360" customFormat="1" x14ac:dyDescent="0.25">
      <c r="A964" s="19" t="s">
        <v>15</v>
      </c>
      <c r="B964" s="2">
        <v>43933</v>
      </c>
      <c r="C964" s="1">
        <v>1</v>
      </c>
      <c r="D964" s="39">
        <v>150</v>
      </c>
      <c r="E964" s="1"/>
      <c r="F964" s="39">
        <f t="shared" si="37"/>
        <v>7</v>
      </c>
      <c r="G964" s="497"/>
      <c r="H964" s="497"/>
      <c r="J964" s="42"/>
    </row>
    <row r="965" spans="1:10" s="360" customFormat="1" x14ac:dyDescent="0.25">
      <c r="A965" s="19" t="s">
        <v>29</v>
      </c>
      <c r="B965" s="2">
        <v>43933</v>
      </c>
      <c r="C965" s="1">
        <v>0</v>
      </c>
      <c r="D965" s="39">
        <v>0</v>
      </c>
      <c r="E965" s="1"/>
      <c r="F965" s="39">
        <f t="shared" si="37"/>
        <v>1</v>
      </c>
      <c r="G965" s="497"/>
      <c r="H965" s="497"/>
      <c r="J965" s="42"/>
    </row>
    <row r="966" spans="1:10" s="360" customFormat="1" x14ac:dyDescent="0.25">
      <c r="A966" s="19" t="s">
        <v>43</v>
      </c>
      <c r="B966" s="2">
        <v>43933</v>
      </c>
      <c r="C966" s="1">
        <v>8</v>
      </c>
      <c r="D966" s="39">
        <v>586</v>
      </c>
      <c r="E966" s="1">
        <v>1</v>
      </c>
      <c r="F966" s="39">
        <f t="shared" si="37"/>
        <v>25</v>
      </c>
      <c r="G966" s="497"/>
      <c r="H966" s="497"/>
      <c r="J966" s="42"/>
    </row>
    <row r="967" spans="1:10" s="360" customFormat="1" x14ac:dyDescent="0.25">
      <c r="A967" s="19" t="s">
        <v>20</v>
      </c>
      <c r="B967" s="2">
        <v>43933</v>
      </c>
      <c r="C967" s="1">
        <v>5</v>
      </c>
      <c r="D967" s="39">
        <v>206</v>
      </c>
      <c r="E967" s="1">
        <v>1</v>
      </c>
      <c r="F967" s="39">
        <f t="shared" si="37"/>
        <v>3</v>
      </c>
      <c r="G967" s="497"/>
      <c r="H967" s="497"/>
      <c r="J967" s="42"/>
    </row>
    <row r="968" spans="1:10" s="360" customFormat="1" x14ac:dyDescent="0.25">
      <c r="A968" s="19" t="s">
        <v>30</v>
      </c>
      <c r="B968" s="2">
        <v>43933</v>
      </c>
      <c r="C968" s="1">
        <v>0</v>
      </c>
      <c r="D968" s="39">
        <v>24</v>
      </c>
      <c r="E968" s="1"/>
      <c r="F968" s="39">
        <f t="shared" si="37"/>
        <v>0</v>
      </c>
      <c r="G968" s="497"/>
      <c r="H968" s="497"/>
      <c r="J968" s="42"/>
    </row>
    <row r="969" spans="1:10" x14ac:dyDescent="0.25">
      <c r="A969" s="19" t="s">
        <v>31</v>
      </c>
      <c r="B969" s="2">
        <v>43933</v>
      </c>
      <c r="C969" s="1">
        <v>-1</v>
      </c>
      <c r="D969" s="39">
        <v>21</v>
      </c>
      <c r="F969" s="39">
        <f t="shared" si="37"/>
        <v>0</v>
      </c>
    </row>
    <row r="970" spans="1:10" s="360" customFormat="1" x14ac:dyDescent="0.25">
      <c r="A970" s="19" t="s">
        <v>41</v>
      </c>
      <c r="B970" s="2">
        <v>43933</v>
      </c>
      <c r="C970" s="1">
        <v>0</v>
      </c>
      <c r="D970" s="39">
        <v>0</v>
      </c>
      <c r="E970" s="1"/>
      <c r="F970" s="39">
        <f t="shared" si="37"/>
        <v>0</v>
      </c>
      <c r="G970" s="497"/>
      <c r="H970" s="497"/>
      <c r="J970" s="42"/>
    </row>
    <row r="971" spans="1:10" s="360" customFormat="1" x14ac:dyDescent="0.25">
      <c r="A971" s="19" t="s">
        <v>32</v>
      </c>
      <c r="B971" s="2">
        <v>43933</v>
      </c>
      <c r="C971" s="1">
        <v>0</v>
      </c>
      <c r="D971" s="39">
        <v>5</v>
      </c>
      <c r="E971" s="1"/>
      <c r="F971" s="39">
        <f t="shared" si="37"/>
        <v>0</v>
      </c>
      <c r="G971" s="497"/>
      <c r="H971" s="497"/>
      <c r="J971" s="42"/>
    </row>
    <row r="972" spans="1:10" s="360" customFormat="1" x14ac:dyDescent="0.25">
      <c r="A972" s="19" t="s">
        <v>33</v>
      </c>
      <c r="B972" s="2">
        <v>43933</v>
      </c>
      <c r="C972" s="1">
        <v>0</v>
      </c>
      <c r="D972" s="39">
        <v>5</v>
      </c>
      <c r="E972" s="1"/>
      <c r="F972" s="39">
        <f t="shared" si="37"/>
        <v>0</v>
      </c>
      <c r="G972" s="497"/>
      <c r="H972" s="497"/>
      <c r="J972" s="42"/>
    </row>
    <row r="973" spans="1:10" s="360" customFormat="1" x14ac:dyDescent="0.25">
      <c r="A973" s="19" t="s">
        <v>21</v>
      </c>
      <c r="B973" s="2">
        <v>43933</v>
      </c>
      <c r="C973" s="1">
        <v>1</v>
      </c>
      <c r="D973" s="39">
        <v>19</v>
      </c>
      <c r="E973" s="1"/>
      <c r="F973" s="39">
        <f t="shared" si="37"/>
        <v>1</v>
      </c>
      <c r="G973" s="497"/>
      <c r="H973" s="497"/>
      <c r="J973" s="42"/>
    </row>
    <row r="974" spans="1:10" s="360" customFormat="1" x14ac:dyDescent="0.25">
      <c r="A974" s="19" t="s">
        <v>17</v>
      </c>
      <c r="B974" s="2">
        <v>43933</v>
      </c>
      <c r="C974" s="1">
        <v>3</v>
      </c>
      <c r="D974" s="39">
        <v>57</v>
      </c>
      <c r="E974" s="1"/>
      <c r="F974" s="39">
        <f t="shared" si="37"/>
        <v>4</v>
      </c>
      <c r="G974" s="497"/>
      <c r="H974" s="497"/>
      <c r="J974" s="42"/>
    </row>
    <row r="975" spans="1:10" s="360" customFormat="1" x14ac:dyDescent="0.25">
      <c r="A975" s="19" t="s">
        <v>23</v>
      </c>
      <c r="B975" s="2">
        <v>43933</v>
      </c>
      <c r="C975" s="1">
        <v>0</v>
      </c>
      <c r="D975" s="39">
        <v>3</v>
      </c>
      <c r="E975" s="1"/>
      <c r="F975" s="39">
        <f t="shared" si="37"/>
        <v>0</v>
      </c>
      <c r="G975" s="497"/>
      <c r="H975" s="497"/>
      <c r="J975" s="42"/>
    </row>
    <row r="976" spans="1:10" s="360" customFormat="1" x14ac:dyDescent="0.25">
      <c r="A976" s="19" t="s">
        <v>19</v>
      </c>
      <c r="B976" s="2">
        <v>43933</v>
      </c>
      <c r="C976" s="1">
        <v>1</v>
      </c>
      <c r="D976" s="39">
        <v>86</v>
      </c>
      <c r="E976" s="1"/>
      <c r="F976" s="39">
        <f t="shared" si="37"/>
        <v>3</v>
      </c>
      <c r="G976" s="497"/>
      <c r="H976" s="497"/>
      <c r="J976" s="42"/>
    </row>
    <row r="977" spans="1:10" s="360" customFormat="1" x14ac:dyDescent="0.25">
      <c r="A977" s="19" t="s">
        <v>18</v>
      </c>
      <c r="B977" s="2">
        <v>43933</v>
      </c>
      <c r="C977" s="1">
        <v>13</v>
      </c>
      <c r="D977" s="39">
        <v>78</v>
      </c>
      <c r="E977" s="1"/>
      <c r="F977" s="39">
        <f t="shared" si="37"/>
        <v>3</v>
      </c>
      <c r="G977" s="497"/>
      <c r="H977" s="497"/>
      <c r="J977" s="42"/>
    </row>
    <row r="978" spans="1:10" s="360" customFormat="1" x14ac:dyDescent="0.25">
      <c r="A978" s="19" t="s">
        <v>34</v>
      </c>
      <c r="B978" s="2">
        <v>43933</v>
      </c>
      <c r="C978" s="1">
        <v>0</v>
      </c>
      <c r="D978" s="39">
        <v>3</v>
      </c>
      <c r="E978" s="1"/>
      <c r="F978" s="39">
        <f t="shared" si="37"/>
        <v>0</v>
      </c>
      <c r="G978" s="497"/>
      <c r="H978" s="497"/>
      <c r="J978" s="42"/>
    </row>
    <row r="979" spans="1:10" s="360" customFormat="1" x14ac:dyDescent="0.25">
      <c r="A979" s="19" t="s">
        <v>35</v>
      </c>
      <c r="B979" s="2">
        <v>43933</v>
      </c>
      <c r="C979" s="1">
        <v>0</v>
      </c>
      <c r="D979" s="39">
        <v>2</v>
      </c>
      <c r="E979" s="1"/>
      <c r="F979" s="39">
        <f t="shared" si="37"/>
        <v>0</v>
      </c>
      <c r="G979" s="497"/>
      <c r="H979" s="497"/>
      <c r="J979" s="42"/>
    </row>
    <row r="980" spans="1:10" s="360" customFormat="1" x14ac:dyDescent="0.25">
      <c r="A980" s="19" t="s">
        <v>36</v>
      </c>
      <c r="B980" s="2">
        <v>43933</v>
      </c>
      <c r="C980" s="1">
        <v>0</v>
      </c>
      <c r="D980" s="39">
        <v>11</v>
      </c>
      <c r="E980" s="1"/>
      <c r="F980" s="39">
        <f t="shared" si="37"/>
        <v>0</v>
      </c>
      <c r="G980" s="497"/>
      <c r="H980" s="497"/>
      <c r="J980" s="42"/>
    </row>
    <row r="981" spans="1:10" s="360" customFormat="1" x14ac:dyDescent="0.25">
      <c r="A981" s="19" t="s">
        <v>37</v>
      </c>
      <c r="B981" s="2">
        <v>43933</v>
      </c>
      <c r="C981" s="1">
        <v>0</v>
      </c>
      <c r="D981" s="39">
        <v>40</v>
      </c>
      <c r="E981" s="1"/>
      <c r="F981" s="39">
        <f t="shared" si="37"/>
        <v>0</v>
      </c>
      <c r="G981" s="497"/>
      <c r="H981" s="497"/>
      <c r="J981" s="42"/>
    </row>
    <row r="982" spans="1:10" s="360" customFormat="1" x14ac:dyDescent="0.25">
      <c r="A982" s="19" t="s">
        <v>22</v>
      </c>
      <c r="B982" s="2">
        <v>43933</v>
      </c>
      <c r="C982" s="1">
        <v>3</v>
      </c>
      <c r="D982" s="39">
        <v>203</v>
      </c>
      <c r="E982" s="1"/>
      <c r="F982" s="39">
        <f>E982+F958</f>
        <v>2</v>
      </c>
      <c r="G982" s="497"/>
      <c r="H982" s="497"/>
      <c r="J982" s="42"/>
    </row>
    <row r="983" spans="1:10" s="360" customFormat="1" x14ac:dyDescent="0.25">
      <c r="A983" s="19" t="s">
        <v>38</v>
      </c>
      <c r="B983" s="2">
        <v>43933</v>
      </c>
      <c r="C983" s="1">
        <v>0</v>
      </c>
      <c r="D983" s="39">
        <v>12</v>
      </c>
      <c r="E983" s="1"/>
      <c r="F983" s="39">
        <f t="shared" si="37"/>
        <v>0</v>
      </c>
      <c r="G983" s="497"/>
      <c r="H983" s="497"/>
      <c r="J983" s="42"/>
    </row>
    <row r="984" spans="1:10" s="360" customFormat="1" x14ac:dyDescent="0.25">
      <c r="A984" s="19" t="s">
        <v>39</v>
      </c>
      <c r="B984" s="2">
        <v>43933</v>
      </c>
      <c r="C984" s="1">
        <v>4</v>
      </c>
      <c r="D984" s="39">
        <v>95</v>
      </c>
      <c r="E984" s="1"/>
      <c r="F984" s="39">
        <f t="shared" si="37"/>
        <v>0</v>
      </c>
      <c r="G984" s="497"/>
      <c r="H984" s="497"/>
      <c r="J984" s="42"/>
    </row>
    <row r="985" spans="1:10" s="360" customFormat="1" x14ac:dyDescent="0.25">
      <c r="A985" s="19" t="s">
        <v>40</v>
      </c>
      <c r="B985" s="2">
        <v>43933</v>
      </c>
      <c r="C985" s="1">
        <v>0</v>
      </c>
      <c r="D985" s="39">
        <v>30</v>
      </c>
      <c r="E985" s="1"/>
      <c r="F985" s="39">
        <f t="shared" si="37"/>
        <v>2</v>
      </c>
      <c r="G985" s="497"/>
      <c r="H985" s="497"/>
      <c r="J985" s="42"/>
    </row>
    <row r="986" spans="1:10" s="360" customFormat="1" x14ac:dyDescent="0.25">
      <c r="A986" s="361" t="s">
        <v>16</v>
      </c>
      <c r="B986" s="2">
        <v>43934</v>
      </c>
      <c r="C986" s="1">
        <v>29</v>
      </c>
      <c r="D986" s="39">
        <v>601</v>
      </c>
      <c r="E986" s="1">
        <v>1</v>
      </c>
      <c r="F986" s="39">
        <f>E986+F962</f>
        <v>40</v>
      </c>
      <c r="G986" s="497"/>
      <c r="H986" s="497"/>
      <c r="J986" s="42"/>
    </row>
    <row r="987" spans="1:10" s="360" customFormat="1" x14ac:dyDescent="0.25">
      <c r="A987" s="19" t="s">
        <v>28</v>
      </c>
      <c r="B987" s="2">
        <v>43934</v>
      </c>
      <c r="C987" s="1">
        <v>0</v>
      </c>
      <c r="D987" s="39">
        <v>0</v>
      </c>
      <c r="E987" s="1"/>
      <c r="F987" s="39">
        <f t="shared" ref="F987:F1009" si="38">E987+F963</f>
        <v>0</v>
      </c>
      <c r="G987" s="497"/>
      <c r="H987" s="497"/>
      <c r="J987" s="42"/>
    </row>
    <row r="988" spans="1:10" s="360" customFormat="1" x14ac:dyDescent="0.25">
      <c r="A988" s="19" t="s">
        <v>15</v>
      </c>
      <c r="B988" s="2">
        <v>43934</v>
      </c>
      <c r="C988" s="1">
        <v>3</v>
      </c>
      <c r="D988" s="39">
        <v>153</v>
      </c>
      <c r="E988" s="1"/>
      <c r="F988" s="39">
        <f t="shared" si="38"/>
        <v>7</v>
      </c>
      <c r="G988" s="497"/>
      <c r="H988" s="497"/>
      <c r="J988" s="42"/>
    </row>
    <row r="989" spans="1:10" s="360" customFormat="1" x14ac:dyDescent="0.25">
      <c r="A989" s="19" t="s">
        <v>29</v>
      </c>
      <c r="B989" s="2">
        <v>43934</v>
      </c>
      <c r="C989" s="1">
        <v>0</v>
      </c>
      <c r="D989" s="39">
        <v>0</v>
      </c>
      <c r="E989" s="1"/>
      <c r="F989" s="39">
        <f t="shared" si="38"/>
        <v>1</v>
      </c>
      <c r="G989" s="497"/>
      <c r="H989" s="497"/>
      <c r="J989" s="42"/>
    </row>
    <row r="990" spans="1:10" s="360" customFormat="1" x14ac:dyDescent="0.25">
      <c r="A990" s="19" t="s">
        <v>43</v>
      </c>
      <c r="B990" s="2">
        <v>43934</v>
      </c>
      <c r="C990" s="1">
        <v>10</v>
      </c>
      <c r="D990" s="39">
        <v>596</v>
      </c>
      <c r="E990" s="1">
        <v>1</v>
      </c>
      <c r="F990" s="39">
        <f t="shared" si="38"/>
        <v>26</v>
      </c>
      <c r="G990" s="497"/>
      <c r="H990" s="497"/>
      <c r="J990" s="42"/>
    </row>
    <row r="991" spans="1:10" s="360" customFormat="1" x14ac:dyDescent="0.25">
      <c r="A991" s="19" t="s">
        <v>20</v>
      </c>
      <c r="B991" s="2">
        <v>43934</v>
      </c>
      <c r="C991" s="1">
        <v>4</v>
      </c>
      <c r="D991" s="39">
        <v>210</v>
      </c>
      <c r="E991" s="1">
        <v>1</v>
      </c>
      <c r="F991" s="39">
        <f t="shared" si="38"/>
        <v>4</v>
      </c>
      <c r="G991" s="497"/>
      <c r="H991" s="497"/>
      <c r="J991" s="42"/>
    </row>
    <row r="992" spans="1:10" s="360" customFormat="1" x14ac:dyDescent="0.25">
      <c r="A992" s="19" t="s">
        <v>30</v>
      </c>
      <c r="B992" s="2">
        <v>43934</v>
      </c>
      <c r="C992" s="1">
        <v>7</v>
      </c>
      <c r="D992" s="39">
        <v>31</v>
      </c>
      <c r="E992" s="1"/>
      <c r="F992" s="39">
        <f t="shared" si="38"/>
        <v>0</v>
      </c>
      <c r="G992" s="497"/>
      <c r="H992" s="497"/>
      <c r="J992" s="42"/>
    </row>
    <row r="993" spans="1:10" x14ac:dyDescent="0.25">
      <c r="A993" s="19" t="s">
        <v>31</v>
      </c>
      <c r="B993" s="2">
        <v>43934</v>
      </c>
      <c r="C993" s="1">
        <v>0</v>
      </c>
      <c r="D993" s="39">
        <v>21</v>
      </c>
      <c r="F993" s="39">
        <f t="shared" si="38"/>
        <v>0</v>
      </c>
    </row>
    <row r="994" spans="1:10" s="360" customFormat="1" x14ac:dyDescent="0.25">
      <c r="A994" s="19" t="s">
        <v>41</v>
      </c>
      <c r="B994" s="2">
        <v>43934</v>
      </c>
      <c r="C994" s="1">
        <v>0</v>
      </c>
      <c r="D994" s="39">
        <v>0</v>
      </c>
      <c r="E994" s="1"/>
      <c r="F994" s="39">
        <f t="shared" si="38"/>
        <v>0</v>
      </c>
      <c r="G994" s="497"/>
      <c r="H994" s="497"/>
      <c r="J994" s="42"/>
    </row>
    <row r="995" spans="1:10" s="360" customFormat="1" x14ac:dyDescent="0.25">
      <c r="A995" s="19" t="s">
        <v>32</v>
      </c>
      <c r="B995" s="2">
        <v>43934</v>
      </c>
      <c r="C995" s="1">
        <v>0</v>
      </c>
      <c r="D995" s="39">
        <v>5</v>
      </c>
      <c r="E995" s="1"/>
      <c r="F995" s="39">
        <f t="shared" si="38"/>
        <v>0</v>
      </c>
      <c r="G995" s="497"/>
      <c r="H995" s="497"/>
      <c r="J995" s="42"/>
    </row>
    <row r="996" spans="1:10" s="360" customFormat="1" x14ac:dyDescent="0.25">
      <c r="A996" s="19" t="s">
        <v>33</v>
      </c>
      <c r="B996" s="2">
        <v>43934</v>
      </c>
      <c r="C996" s="1">
        <v>0</v>
      </c>
      <c r="D996" s="39">
        <v>5</v>
      </c>
      <c r="E996" s="1"/>
      <c r="F996" s="39">
        <f t="shared" si="38"/>
        <v>0</v>
      </c>
      <c r="G996" s="497"/>
      <c r="H996" s="497"/>
      <c r="J996" s="42"/>
    </row>
    <row r="997" spans="1:10" s="360" customFormat="1" x14ac:dyDescent="0.25">
      <c r="A997" s="19" t="s">
        <v>21</v>
      </c>
      <c r="B997" s="2">
        <v>43934</v>
      </c>
      <c r="C997" s="1">
        <v>3</v>
      </c>
      <c r="D997" s="39">
        <v>22</v>
      </c>
      <c r="E997" s="1"/>
      <c r="F997" s="39">
        <f t="shared" si="38"/>
        <v>1</v>
      </c>
      <c r="G997" s="497"/>
      <c r="H997" s="497"/>
      <c r="J997" s="42"/>
    </row>
    <row r="998" spans="1:10" s="360" customFormat="1" x14ac:dyDescent="0.25">
      <c r="A998" s="19" t="s">
        <v>17</v>
      </c>
      <c r="B998" s="2">
        <v>43934</v>
      </c>
      <c r="C998" s="1">
        <v>2</v>
      </c>
      <c r="D998" s="39">
        <v>59</v>
      </c>
      <c r="E998" s="1"/>
      <c r="F998" s="39">
        <f t="shared" si="38"/>
        <v>4</v>
      </c>
      <c r="G998" s="497"/>
      <c r="H998" s="497"/>
      <c r="J998" s="42"/>
    </row>
    <row r="999" spans="1:10" s="360" customFormat="1" x14ac:dyDescent="0.25">
      <c r="A999" s="19" t="s">
        <v>23</v>
      </c>
      <c r="B999" s="2">
        <v>43934</v>
      </c>
      <c r="C999" s="1">
        <v>0</v>
      </c>
      <c r="D999" s="39">
        <v>3</v>
      </c>
      <c r="E999" s="1"/>
      <c r="F999" s="39">
        <f t="shared" si="38"/>
        <v>0</v>
      </c>
      <c r="G999" s="497"/>
      <c r="H999" s="497"/>
      <c r="J999" s="42"/>
    </row>
    <row r="1000" spans="1:10" s="360" customFormat="1" x14ac:dyDescent="0.25">
      <c r="A1000" s="19" t="s">
        <v>19</v>
      </c>
      <c r="B1000" s="2">
        <v>43934</v>
      </c>
      <c r="C1000" s="1">
        <v>2</v>
      </c>
      <c r="D1000" s="39">
        <v>88</v>
      </c>
      <c r="E1000" s="1"/>
      <c r="F1000" s="39">
        <f t="shared" si="38"/>
        <v>3</v>
      </c>
      <c r="G1000" s="497"/>
      <c r="H1000" s="497"/>
      <c r="J1000" s="42"/>
    </row>
    <row r="1001" spans="1:10" s="360" customFormat="1" x14ac:dyDescent="0.25">
      <c r="A1001" s="19" t="s">
        <v>18</v>
      </c>
      <c r="B1001" s="2">
        <v>43934</v>
      </c>
      <c r="C1001" s="1">
        <v>3</v>
      </c>
      <c r="D1001" s="39">
        <v>81</v>
      </c>
      <c r="E1001" s="1"/>
      <c r="F1001" s="39">
        <f t="shared" si="38"/>
        <v>3</v>
      </c>
      <c r="G1001" s="497"/>
      <c r="H1001" s="497"/>
      <c r="J1001" s="42"/>
    </row>
    <row r="1002" spans="1:10" s="360" customFormat="1" x14ac:dyDescent="0.25">
      <c r="A1002" s="19" t="s">
        <v>34</v>
      </c>
      <c r="B1002" s="2">
        <v>43934</v>
      </c>
      <c r="C1002" s="1">
        <v>0</v>
      </c>
      <c r="D1002" s="39">
        <v>3</v>
      </c>
      <c r="E1002" s="1"/>
      <c r="F1002" s="39">
        <f t="shared" si="38"/>
        <v>0</v>
      </c>
      <c r="G1002" s="497"/>
      <c r="H1002" s="497"/>
      <c r="J1002" s="42"/>
    </row>
    <row r="1003" spans="1:10" s="360" customFormat="1" x14ac:dyDescent="0.25">
      <c r="A1003" s="19" t="s">
        <v>35</v>
      </c>
      <c r="B1003" s="2">
        <v>43934</v>
      </c>
      <c r="C1003" s="1">
        <v>0</v>
      </c>
      <c r="D1003" s="39">
        <v>2</v>
      </c>
      <c r="E1003" s="1"/>
      <c r="F1003" s="39">
        <f t="shared" si="38"/>
        <v>0</v>
      </c>
      <c r="G1003" s="497"/>
      <c r="H1003" s="497"/>
      <c r="J1003" s="42"/>
    </row>
    <row r="1004" spans="1:10" s="360" customFormat="1" x14ac:dyDescent="0.25">
      <c r="A1004" s="19" t="s">
        <v>36</v>
      </c>
      <c r="B1004" s="2">
        <v>43934</v>
      </c>
      <c r="C1004" s="1">
        <v>0</v>
      </c>
      <c r="D1004" s="39">
        <v>11</v>
      </c>
      <c r="E1004" s="1"/>
      <c r="F1004" s="39">
        <f t="shared" si="38"/>
        <v>0</v>
      </c>
      <c r="G1004" s="497"/>
      <c r="H1004" s="497"/>
      <c r="J1004" s="42"/>
    </row>
    <row r="1005" spans="1:10" s="360" customFormat="1" x14ac:dyDescent="0.25">
      <c r="A1005" s="19" t="s">
        <v>37</v>
      </c>
      <c r="B1005" s="2">
        <v>43934</v>
      </c>
      <c r="C1005" s="1">
        <v>0</v>
      </c>
      <c r="D1005" s="39">
        <v>40</v>
      </c>
      <c r="E1005" s="1"/>
      <c r="F1005" s="39">
        <f t="shared" si="38"/>
        <v>0</v>
      </c>
      <c r="G1005" s="497"/>
      <c r="H1005" s="497"/>
      <c r="J1005" s="42"/>
    </row>
    <row r="1006" spans="1:10" s="360" customFormat="1" x14ac:dyDescent="0.25">
      <c r="A1006" s="19" t="s">
        <v>22</v>
      </c>
      <c r="B1006" s="2">
        <v>43934</v>
      </c>
      <c r="C1006" s="1">
        <v>2</v>
      </c>
      <c r="D1006" s="39">
        <v>205</v>
      </c>
      <c r="E1006" s="1"/>
      <c r="F1006" s="39">
        <f>E1006+F982</f>
        <v>2</v>
      </c>
      <c r="G1006" s="497"/>
      <c r="H1006" s="497"/>
      <c r="J1006" s="42"/>
    </row>
    <row r="1007" spans="1:10" s="360" customFormat="1" x14ac:dyDescent="0.25">
      <c r="A1007" s="19" t="s">
        <v>38</v>
      </c>
      <c r="B1007" s="2">
        <v>43934</v>
      </c>
      <c r="C1007" s="1">
        <v>0</v>
      </c>
      <c r="D1007" s="39">
        <v>12</v>
      </c>
      <c r="E1007" s="1"/>
      <c r="F1007" s="39">
        <f t="shared" si="38"/>
        <v>0</v>
      </c>
      <c r="G1007" s="497"/>
      <c r="H1007" s="497"/>
      <c r="J1007" s="42"/>
    </row>
    <row r="1008" spans="1:10" s="360" customFormat="1" x14ac:dyDescent="0.25">
      <c r="A1008" s="19" t="s">
        <v>39</v>
      </c>
      <c r="B1008" s="2">
        <v>43934</v>
      </c>
      <c r="C1008" s="1">
        <v>4</v>
      </c>
      <c r="D1008" s="39">
        <v>99</v>
      </c>
      <c r="E1008" s="1"/>
      <c r="F1008" s="39">
        <f t="shared" si="38"/>
        <v>0</v>
      </c>
      <c r="G1008" s="497"/>
      <c r="H1008" s="497"/>
      <c r="J1008" s="42"/>
    </row>
    <row r="1009" spans="1:10" s="360" customFormat="1" x14ac:dyDescent="0.25">
      <c r="A1009" s="19" t="s">
        <v>40</v>
      </c>
      <c r="B1009" s="2">
        <v>43934</v>
      </c>
      <c r="C1009" s="1">
        <v>0</v>
      </c>
      <c r="D1009" s="39">
        <v>30</v>
      </c>
      <c r="E1009" s="1"/>
      <c r="F1009" s="39">
        <f t="shared" si="38"/>
        <v>2</v>
      </c>
      <c r="G1009" s="497"/>
      <c r="H1009" s="497"/>
      <c r="J1009" s="42"/>
    </row>
    <row r="1010" spans="1:10" s="360" customFormat="1" x14ac:dyDescent="0.25">
      <c r="A1010" s="361" t="s">
        <v>16</v>
      </c>
      <c r="B1010" s="2">
        <v>43935</v>
      </c>
      <c r="C1010" s="1">
        <v>66</v>
      </c>
      <c r="D1010" s="39">
        <v>667</v>
      </c>
      <c r="E1010" s="1">
        <v>2</v>
      </c>
      <c r="F1010" s="39">
        <f>E1010+F986</f>
        <v>42</v>
      </c>
      <c r="G1010" s="497"/>
      <c r="H1010" s="497"/>
      <c r="J1010" s="42"/>
    </row>
    <row r="1011" spans="1:10" s="360" customFormat="1" x14ac:dyDescent="0.25">
      <c r="A1011" s="19" t="s">
        <v>28</v>
      </c>
      <c r="B1011" s="2">
        <v>43935</v>
      </c>
      <c r="C1011" s="1">
        <v>0</v>
      </c>
      <c r="D1011" s="39">
        <v>0</v>
      </c>
      <c r="E1011" s="1"/>
      <c r="F1011" s="39">
        <f t="shared" ref="F1011:F1033" si="39">E1011+F987</f>
        <v>0</v>
      </c>
      <c r="G1011" s="497"/>
      <c r="H1011" s="497"/>
      <c r="J1011" s="42"/>
    </row>
    <row r="1012" spans="1:10" s="360" customFormat="1" x14ac:dyDescent="0.25">
      <c r="A1012" s="19" t="s">
        <v>15</v>
      </c>
      <c r="B1012" s="2">
        <v>43935</v>
      </c>
      <c r="C1012" s="1">
        <v>31</v>
      </c>
      <c r="D1012" s="39">
        <v>184</v>
      </c>
      <c r="E1012" s="1">
        <v>1</v>
      </c>
      <c r="F1012" s="39">
        <f t="shared" si="39"/>
        <v>8</v>
      </c>
      <c r="G1012" s="497"/>
      <c r="H1012" s="497"/>
      <c r="J1012" s="42"/>
    </row>
    <row r="1013" spans="1:10" s="360" customFormat="1" x14ac:dyDescent="0.25">
      <c r="A1013" s="19" t="s">
        <v>29</v>
      </c>
      <c r="B1013" s="2">
        <v>43935</v>
      </c>
      <c r="C1013" s="1">
        <v>0</v>
      </c>
      <c r="D1013" s="39">
        <v>0</v>
      </c>
      <c r="E1013" s="1"/>
      <c r="F1013" s="39">
        <f t="shared" si="39"/>
        <v>1</v>
      </c>
      <c r="G1013" s="497"/>
      <c r="H1013" s="497"/>
      <c r="J1013" s="42"/>
    </row>
    <row r="1014" spans="1:10" s="360" customFormat="1" x14ac:dyDescent="0.25">
      <c r="A1014" s="19" t="s">
        <v>43</v>
      </c>
      <c r="B1014" s="2">
        <v>43935</v>
      </c>
      <c r="C1014" s="1">
        <v>22</v>
      </c>
      <c r="D1014" s="39">
        <v>618</v>
      </c>
      <c r="E1014" s="1">
        <v>2</v>
      </c>
      <c r="F1014" s="39">
        <f t="shared" si="39"/>
        <v>28</v>
      </c>
      <c r="G1014" s="497"/>
      <c r="H1014" s="497"/>
      <c r="J1014" s="42"/>
    </row>
    <row r="1015" spans="1:10" s="360" customFormat="1" x14ac:dyDescent="0.25">
      <c r="A1015" s="19" t="s">
        <v>20</v>
      </c>
      <c r="B1015" s="2">
        <v>43935</v>
      </c>
      <c r="C1015" s="1">
        <v>12</v>
      </c>
      <c r="D1015" s="39">
        <v>222</v>
      </c>
      <c r="E1015" s="1">
        <v>1</v>
      </c>
      <c r="F1015" s="39">
        <f t="shared" si="39"/>
        <v>5</v>
      </c>
      <c r="G1015" s="497"/>
      <c r="H1015" s="497"/>
      <c r="J1015" s="42"/>
    </row>
    <row r="1016" spans="1:10" s="360" customFormat="1" x14ac:dyDescent="0.25">
      <c r="A1016" s="19" t="s">
        <v>30</v>
      </c>
      <c r="B1016" s="2">
        <v>43935</v>
      </c>
      <c r="C1016" s="1">
        <v>1</v>
      </c>
      <c r="D1016" s="39">
        <v>32</v>
      </c>
      <c r="E1016" s="1"/>
      <c r="F1016" s="39">
        <f t="shared" si="39"/>
        <v>0</v>
      </c>
      <c r="G1016" s="497"/>
      <c r="H1016" s="497"/>
      <c r="J1016" s="42"/>
    </row>
    <row r="1017" spans="1:10" x14ac:dyDescent="0.25">
      <c r="A1017" s="19" t="s">
        <v>31</v>
      </c>
      <c r="B1017" s="2">
        <v>43935</v>
      </c>
      <c r="C1017" s="1">
        <v>0</v>
      </c>
      <c r="D1017" s="39">
        <v>21</v>
      </c>
      <c r="F1017" s="39">
        <f t="shared" si="39"/>
        <v>0</v>
      </c>
    </row>
    <row r="1018" spans="1:10" s="360" customFormat="1" x14ac:dyDescent="0.25">
      <c r="A1018" s="19" t="s">
        <v>41</v>
      </c>
      <c r="B1018" s="2">
        <v>43935</v>
      </c>
      <c r="C1018" s="1">
        <v>0</v>
      </c>
      <c r="D1018" s="39">
        <v>0</v>
      </c>
      <c r="E1018" s="1"/>
      <c r="F1018" s="39">
        <f t="shared" si="39"/>
        <v>0</v>
      </c>
      <c r="G1018" s="497"/>
      <c r="H1018" s="497"/>
      <c r="J1018" s="42"/>
    </row>
    <row r="1019" spans="1:10" s="360" customFormat="1" x14ac:dyDescent="0.25">
      <c r="A1019" s="19" t="s">
        <v>32</v>
      </c>
      <c r="B1019" s="2">
        <v>43935</v>
      </c>
      <c r="C1019" s="1">
        <v>0</v>
      </c>
      <c r="D1019" s="39">
        <v>5</v>
      </c>
      <c r="E1019" s="1"/>
      <c r="F1019" s="39">
        <f t="shared" si="39"/>
        <v>0</v>
      </c>
      <c r="G1019" s="497"/>
      <c r="H1019" s="497"/>
      <c r="J1019" s="42"/>
    </row>
    <row r="1020" spans="1:10" s="360" customFormat="1" x14ac:dyDescent="0.25">
      <c r="A1020" s="19" t="s">
        <v>33</v>
      </c>
      <c r="B1020" s="2">
        <v>43935</v>
      </c>
      <c r="C1020" s="1">
        <v>0</v>
      </c>
      <c r="D1020" s="39">
        <v>5</v>
      </c>
      <c r="E1020" s="1"/>
      <c r="F1020" s="39">
        <f t="shared" si="39"/>
        <v>0</v>
      </c>
      <c r="G1020" s="497"/>
      <c r="H1020" s="497"/>
      <c r="J1020" s="42"/>
    </row>
    <row r="1021" spans="1:10" s="360" customFormat="1" x14ac:dyDescent="0.25">
      <c r="A1021" s="19" t="s">
        <v>21</v>
      </c>
      <c r="B1021" s="2">
        <v>43935</v>
      </c>
      <c r="C1021" s="1">
        <v>6</v>
      </c>
      <c r="D1021" s="39">
        <v>28</v>
      </c>
      <c r="E1021" s="1"/>
      <c r="F1021" s="39">
        <f t="shared" si="39"/>
        <v>1</v>
      </c>
      <c r="G1021" s="497"/>
      <c r="H1021" s="497"/>
      <c r="J1021" s="42"/>
    </row>
    <row r="1022" spans="1:10" s="360" customFormat="1" x14ac:dyDescent="0.25">
      <c r="A1022" s="19" t="s">
        <v>17</v>
      </c>
      <c r="B1022" s="2">
        <v>43935</v>
      </c>
      <c r="C1022" s="1">
        <v>3</v>
      </c>
      <c r="D1022" s="39">
        <v>62</v>
      </c>
      <c r="E1022" s="1"/>
      <c r="F1022" s="39">
        <f t="shared" si="39"/>
        <v>4</v>
      </c>
      <c r="G1022" s="497"/>
      <c r="H1022" s="497"/>
      <c r="J1022" s="42"/>
    </row>
    <row r="1023" spans="1:10" s="360" customFormat="1" x14ac:dyDescent="0.25">
      <c r="A1023" s="19" t="s">
        <v>23</v>
      </c>
      <c r="B1023" s="2">
        <v>43935</v>
      </c>
      <c r="C1023" s="1">
        <v>0</v>
      </c>
      <c r="D1023" s="39">
        <v>3</v>
      </c>
      <c r="E1023" s="1"/>
      <c r="F1023" s="39">
        <f t="shared" si="39"/>
        <v>0</v>
      </c>
      <c r="G1023" s="497"/>
      <c r="H1023" s="497"/>
      <c r="J1023" s="42"/>
    </row>
    <row r="1024" spans="1:10" s="360" customFormat="1" x14ac:dyDescent="0.25">
      <c r="A1024" s="19" t="s">
        <v>19</v>
      </c>
      <c r="B1024" s="2">
        <v>43935</v>
      </c>
      <c r="C1024" s="1">
        <v>2</v>
      </c>
      <c r="D1024" s="39">
        <v>90</v>
      </c>
      <c r="E1024" s="1"/>
      <c r="F1024" s="39">
        <f t="shared" si="39"/>
        <v>3</v>
      </c>
      <c r="G1024" s="497"/>
      <c r="H1024" s="497"/>
      <c r="J1024" s="42"/>
    </row>
    <row r="1025" spans="1:10" s="360" customFormat="1" x14ac:dyDescent="0.25">
      <c r="A1025" s="19" t="s">
        <v>18</v>
      </c>
      <c r="B1025" s="2">
        <v>43935</v>
      </c>
      <c r="C1025" s="1">
        <v>13</v>
      </c>
      <c r="D1025" s="39">
        <v>94</v>
      </c>
      <c r="E1025" s="1">
        <v>1</v>
      </c>
      <c r="F1025" s="39">
        <f t="shared" si="39"/>
        <v>4</v>
      </c>
      <c r="G1025" s="497"/>
      <c r="H1025" s="497"/>
      <c r="J1025" s="42"/>
    </row>
    <row r="1026" spans="1:10" s="360" customFormat="1" x14ac:dyDescent="0.25">
      <c r="A1026" s="19" t="s">
        <v>34</v>
      </c>
      <c r="B1026" s="2">
        <v>43935</v>
      </c>
      <c r="C1026" s="1">
        <v>0</v>
      </c>
      <c r="D1026" s="39">
        <v>3</v>
      </c>
      <c r="E1026" s="1"/>
      <c r="F1026" s="39">
        <f t="shared" si="39"/>
        <v>0</v>
      </c>
      <c r="G1026" s="497"/>
      <c r="H1026" s="497"/>
      <c r="J1026" s="42"/>
    </row>
    <row r="1027" spans="1:10" s="360" customFormat="1" x14ac:dyDescent="0.25">
      <c r="A1027" s="19" t="s">
        <v>35</v>
      </c>
      <c r="B1027" s="2">
        <v>43935</v>
      </c>
      <c r="C1027" s="1">
        <v>0</v>
      </c>
      <c r="D1027" s="39">
        <v>2</v>
      </c>
      <c r="E1027" s="1"/>
      <c r="F1027" s="39">
        <f t="shared" si="39"/>
        <v>0</v>
      </c>
      <c r="G1027" s="497"/>
      <c r="H1027" s="497"/>
      <c r="J1027" s="42"/>
    </row>
    <row r="1028" spans="1:10" s="360" customFormat="1" x14ac:dyDescent="0.25">
      <c r="A1028" s="19" t="s">
        <v>36</v>
      </c>
      <c r="B1028" s="2">
        <v>43935</v>
      </c>
      <c r="C1028" s="1">
        <v>0</v>
      </c>
      <c r="D1028" s="39">
        <v>11</v>
      </c>
      <c r="E1028" s="1"/>
      <c r="F1028" s="39">
        <f t="shared" si="39"/>
        <v>0</v>
      </c>
      <c r="G1028" s="497"/>
      <c r="H1028" s="497"/>
      <c r="J1028" s="42"/>
    </row>
    <row r="1029" spans="1:10" s="360" customFormat="1" x14ac:dyDescent="0.25">
      <c r="A1029" s="19" t="s">
        <v>37</v>
      </c>
      <c r="B1029" s="2">
        <v>43935</v>
      </c>
      <c r="C1029" s="1">
        <v>0</v>
      </c>
      <c r="D1029" s="39">
        <v>40</v>
      </c>
      <c r="E1029" s="1"/>
      <c r="F1029" s="39">
        <f t="shared" si="39"/>
        <v>0</v>
      </c>
      <c r="G1029" s="497"/>
      <c r="H1029" s="497"/>
      <c r="J1029" s="42"/>
    </row>
    <row r="1030" spans="1:10" s="360" customFormat="1" x14ac:dyDescent="0.25">
      <c r="A1030" s="19" t="s">
        <v>22</v>
      </c>
      <c r="B1030" s="2">
        <v>43935</v>
      </c>
      <c r="C1030" s="1">
        <v>2</v>
      </c>
      <c r="D1030" s="39">
        <v>207</v>
      </c>
      <c r="E1030" s="1"/>
      <c r="F1030" s="39">
        <f>E1030+F1006</f>
        <v>2</v>
      </c>
      <c r="G1030" s="497"/>
      <c r="H1030" s="497"/>
      <c r="J1030" s="42"/>
    </row>
    <row r="1031" spans="1:10" s="360" customFormat="1" x14ac:dyDescent="0.25">
      <c r="A1031" s="19" t="s">
        <v>38</v>
      </c>
      <c r="B1031" s="2">
        <v>43935</v>
      </c>
      <c r="C1031" s="1">
        <v>0</v>
      </c>
      <c r="D1031" s="39">
        <v>12</v>
      </c>
      <c r="E1031" s="1"/>
      <c r="F1031" s="39">
        <f t="shared" si="39"/>
        <v>0</v>
      </c>
      <c r="G1031" s="497"/>
      <c r="H1031" s="497"/>
      <c r="J1031" s="42"/>
    </row>
    <row r="1032" spans="1:10" s="360" customFormat="1" x14ac:dyDescent="0.25">
      <c r="A1032" s="19" t="s">
        <v>39</v>
      </c>
      <c r="B1032" s="2">
        <v>43935</v>
      </c>
      <c r="C1032" s="1">
        <v>8</v>
      </c>
      <c r="D1032" s="39">
        <v>107</v>
      </c>
      <c r="E1032" s="1"/>
      <c r="F1032" s="39">
        <f t="shared" si="39"/>
        <v>0</v>
      </c>
      <c r="G1032" s="497"/>
      <c r="H1032" s="497"/>
      <c r="J1032" s="42"/>
    </row>
    <row r="1033" spans="1:10" s="360" customFormat="1" x14ac:dyDescent="0.25">
      <c r="A1033" s="19" t="s">
        <v>40</v>
      </c>
      <c r="B1033" s="2">
        <v>43935</v>
      </c>
      <c r="C1033" s="1">
        <v>0</v>
      </c>
      <c r="D1033" s="39">
        <v>30</v>
      </c>
      <c r="E1033" s="1"/>
      <c r="F1033" s="39">
        <f t="shared" si="39"/>
        <v>2</v>
      </c>
      <c r="G1033" s="497"/>
      <c r="H1033" s="497"/>
      <c r="J1033" s="42"/>
    </row>
    <row r="1034" spans="1:10" s="360" customFormat="1" x14ac:dyDescent="0.25">
      <c r="A1034" s="361" t="s">
        <v>16</v>
      </c>
      <c r="B1034" s="2">
        <v>43936</v>
      </c>
      <c r="C1034" s="1">
        <v>62</v>
      </c>
      <c r="D1034" s="39">
        <v>729</v>
      </c>
      <c r="E1034" s="1">
        <v>1</v>
      </c>
      <c r="F1034" s="39">
        <f>E1034+F1010</f>
        <v>43</v>
      </c>
      <c r="G1034" s="497"/>
      <c r="H1034" s="497"/>
      <c r="J1034" s="42"/>
    </row>
    <row r="1035" spans="1:10" s="360" customFormat="1" x14ac:dyDescent="0.25">
      <c r="A1035" s="19" t="s">
        <v>28</v>
      </c>
      <c r="B1035" s="2">
        <v>43936</v>
      </c>
      <c r="C1035" s="1">
        <v>0</v>
      </c>
      <c r="D1035" s="39">
        <v>0</v>
      </c>
      <c r="E1035" s="1"/>
      <c r="F1035" s="39">
        <f t="shared" ref="F1035:F1057" si="40">E1035+F1011</f>
        <v>0</v>
      </c>
      <c r="G1035" s="497"/>
      <c r="H1035" s="497"/>
      <c r="J1035" s="42"/>
    </row>
    <row r="1036" spans="1:10" s="360" customFormat="1" x14ac:dyDescent="0.25">
      <c r="A1036" s="19" t="s">
        <v>15</v>
      </c>
      <c r="B1036" s="2">
        <v>43936</v>
      </c>
      <c r="C1036" s="1">
        <v>7</v>
      </c>
      <c r="D1036" s="39">
        <v>191</v>
      </c>
      <c r="E1036" s="1"/>
      <c r="F1036" s="39">
        <f t="shared" si="40"/>
        <v>8</v>
      </c>
      <c r="G1036" s="497"/>
      <c r="H1036" s="497"/>
      <c r="J1036" s="42"/>
    </row>
    <row r="1037" spans="1:10" s="360" customFormat="1" x14ac:dyDescent="0.25">
      <c r="A1037" s="19" t="s">
        <v>29</v>
      </c>
      <c r="B1037" s="2">
        <v>43936</v>
      </c>
      <c r="C1037" s="1">
        <v>1</v>
      </c>
      <c r="D1037" s="39">
        <v>1</v>
      </c>
      <c r="E1037" s="1"/>
      <c r="F1037" s="39">
        <f t="shared" si="40"/>
        <v>1</v>
      </c>
      <c r="G1037" s="497"/>
      <c r="H1037" s="497"/>
      <c r="J1037" s="42"/>
    </row>
    <row r="1038" spans="1:10" s="360" customFormat="1" x14ac:dyDescent="0.25">
      <c r="A1038" s="19" t="s">
        <v>43</v>
      </c>
      <c r="B1038" s="2">
        <v>43936</v>
      </c>
      <c r="C1038" s="1">
        <v>30</v>
      </c>
      <c r="D1038" s="39">
        <v>648</v>
      </c>
      <c r="E1038" s="1">
        <v>4</v>
      </c>
      <c r="F1038" s="39">
        <f t="shared" si="40"/>
        <v>32</v>
      </c>
      <c r="G1038" s="497"/>
      <c r="H1038" s="497"/>
      <c r="J1038" s="42"/>
    </row>
    <row r="1039" spans="1:10" s="360" customFormat="1" x14ac:dyDescent="0.25">
      <c r="A1039" s="19" t="s">
        <v>20</v>
      </c>
      <c r="B1039" s="2">
        <v>43936</v>
      </c>
      <c r="C1039" s="1">
        <v>6</v>
      </c>
      <c r="D1039" s="39">
        <v>228</v>
      </c>
      <c r="E1039" s="1">
        <v>1</v>
      </c>
      <c r="F1039" s="39">
        <f t="shared" si="40"/>
        <v>6</v>
      </c>
      <c r="G1039" s="497"/>
      <c r="H1039" s="497"/>
      <c r="J1039" s="42"/>
    </row>
    <row r="1040" spans="1:10" s="360" customFormat="1" x14ac:dyDescent="0.25">
      <c r="A1040" s="19" t="s">
        <v>30</v>
      </c>
      <c r="B1040" s="2">
        <v>43936</v>
      </c>
      <c r="C1040" s="1">
        <v>-1</v>
      </c>
      <c r="D1040" s="39">
        <v>31</v>
      </c>
      <c r="E1040" s="1"/>
      <c r="F1040" s="39">
        <f t="shared" si="40"/>
        <v>0</v>
      </c>
      <c r="G1040" s="497"/>
      <c r="H1040" s="497"/>
      <c r="J1040" s="42"/>
    </row>
    <row r="1041" spans="1:10" x14ac:dyDescent="0.25">
      <c r="A1041" s="19" t="s">
        <v>31</v>
      </c>
      <c r="B1041" s="2">
        <v>43936</v>
      </c>
      <c r="C1041" s="1">
        <v>0</v>
      </c>
      <c r="D1041" s="39">
        <v>21</v>
      </c>
      <c r="F1041" s="39">
        <f t="shared" si="40"/>
        <v>0</v>
      </c>
    </row>
    <row r="1042" spans="1:10" s="360" customFormat="1" x14ac:dyDescent="0.25">
      <c r="A1042" s="19" t="s">
        <v>41</v>
      </c>
      <c r="B1042" s="2">
        <v>43936</v>
      </c>
      <c r="C1042" s="1">
        <v>0</v>
      </c>
      <c r="D1042" s="39">
        <v>0</v>
      </c>
      <c r="E1042" s="1"/>
      <c r="F1042" s="39">
        <f t="shared" si="40"/>
        <v>0</v>
      </c>
      <c r="G1042" s="497"/>
      <c r="H1042" s="497"/>
      <c r="J1042" s="42"/>
    </row>
    <row r="1043" spans="1:10" s="360" customFormat="1" x14ac:dyDescent="0.25">
      <c r="A1043" s="19" t="s">
        <v>32</v>
      </c>
      <c r="B1043" s="2">
        <v>43936</v>
      </c>
      <c r="C1043" s="1">
        <v>0</v>
      </c>
      <c r="D1043" s="39">
        <v>5</v>
      </c>
      <c r="E1043" s="1"/>
      <c r="F1043" s="39">
        <f t="shared" si="40"/>
        <v>0</v>
      </c>
      <c r="G1043" s="497"/>
      <c r="H1043" s="497"/>
      <c r="J1043" s="42"/>
    </row>
    <row r="1044" spans="1:10" s="360" customFormat="1" x14ac:dyDescent="0.25">
      <c r="A1044" s="19" t="s">
        <v>33</v>
      </c>
      <c r="B1044" s="2">
        <v>43936</v>
      </c>
      <c r="C1044" s="1">
        <v>0</v>
      </c>
      <c r="D1044" s="39">
        <v>5</v>
      </c>
      <c r="E1044" s="1"/>
      <c r="F1044" s="39">
        <f t="shared" si="40"/>
        <v>0</v>
      </c>
      <c r="G1044" s="497"/>
      <c r="H1044" s="497"/>
      <c r="J1044" s="42"/>
    </row>
    <row r="1045" spans="1:10" s="360" customFormat="1" x14ac:dyDescent="0.25">
      <c r="A1045" s="19" t="s">
        <v>21</v>
      </c>
      <c r="B1045" s="2">
        <v>43936</v>
      </c>
      <c r="C1045" s="1">
        <v>3</v>
      </c>
      <c r="D1045" s="39">
        <v>31</v>
      </c>
      <c r="E1045" s="1">
        <v>1</v>
      </c>
      <c r="F1045" s="39">
        <f t="shared" si="40"/>
        <v>2</v>
      </c>
      <c r="G1045" s="497"/>
      <c r="H1045" s="497"/>
      <c r="J1045" s="42"/>
    </row>
    <row r="1046" spans="1:10" s="360" customFormat="1" x14ac:dyDescent="0.25">
      <c r="A1046" s="19" t="s">
        <v>17</v>
      </c>
      <c r="B1046" s="2">
        <v>43936</v>
      </c>
      <c r="C1046" s="1">
        <v>1</v>
      </c>
      <c r="D1046" s="39">
        <v>63</v>
      </c>
      <c r="E1046" s="1"/>
      <c r="F1046" s="39">
        <f t="shared" si="40"/>
        <v>4</v>
      </c>
      <c r="G1046" s="497"/>
      <c r="H1046" s="497"/>
      <c r="J1046" s="42"/>
    </row>
    <row r="1047" spans="1:10" s="360" customFormat="1" x14ac:dyDescent="0.25">
      <c r="A1047" s="19" t="s">
        <v>23</v>
      </c>
      <c r="B1047" s="2">
        <v>43936</v>
      </c>
      <c r="C1047" s="1">
        <v>0</v>
      </c>
      <c r="D1047" s="39">
        <v>3</v>
      </c>
      <c r="E1047" s="1"/>
      <c r="F1047" s="39">
        <f t="shared" si="40"/>
        <v>0</v>
      </c>
      <c r="G1047" s="497"/>
      <c r="H1047" s="497"/>
      <c r="J1047" s="42"/>
    </row>
    <row r="1048" spans="1:10" s="360" customFormat="1" x14ac:dyDescent="0.25">
      <c r="A1048" s="19" t="s">
        <v>19</v>
      </c>
      <c r="B1048" s="2">
        <v>43936</v>
      </c>
      <c r="C1048" s="1">
        <v>1</v>
      </c>
      <c r="D1048" s="39">
        <v>91</v>
      </c>
      <c r="E1048" s="1"/>
      <c r="F1048" s="39">
        <f t="shared" si="40"/>
        <v>3</v>
      </c>
      <c r="G1048" s="497"/>
      <c r="H1048" s="497"/>
      <c r="J1048" s="42"/>
    </row>
    <row r="1049" spans="1:10" s="360" customFormat="1" x14ac:dyDescent="0.25">
      <c r="A1049" s="19" t="s">
        <v>18</v>
      </c>
      <c r="B1049" s="2">
        <v>43936</v>
      </c>
      <c r="C1049" s="1">
        <v>12</v>
      </c>
      <c r="D1049" s="39">
        <v>106</v>
      </c>
      <c r="E1049" s="1"/>
      <c r="F1049" s="39">
        <f t="shared" si="40"/>
        <v>4</v>
      </c>
      <c r="G1049" s="497"/>
      <c r="H1049" s="497"/>
      <c r="J1049" s="42"/>
    </row>
    <row r="1050" spans="1:10" s="360" customFormat="1" x14ac:dyDescent="0.25">
      <c r="A1050" s="19" t="s">
        <v>34</v>
      </c>
      <c r="B1050" s="2">
        <v>43936</v>
      </c>
      <c r="C1050" s="1">
        <v>1</v>
      </c>
      <c r="D1050" s="39">
        <v>4</v>
      </c>
      <c r="E1050" s="1"/>
      <c r="F1050" s="39">
        <f t="shared" si="40"/>
        <v>0</v>
      </c>
      <c r="G1050" s="497"/>
      <c r="H1050" s="497"/>
      <c r="J1050" s="42"/>
    </row>
    <row r="1051" spans="1:10" s="360" customFormat="1" x14ac:dyDescent="0.25">
      <c r="A1051" s="19" t="s">
        <v>35</v>
      </c>
      <c r="B1051" s="2">
        <v>43936</v>
      </c>
      <c r="C1051" s="1">
        <v>0</v>
      </c>
      <c r="D1051" s="39">
        <v>2</v>
      </c>
      <c r="E1051" s="1"/>
      <c r="F1051" s="39">
        <f t="shared" si="40"/>
        <v>0</v>
      </c>
      <c r="G1051" s="497"/>
      <c r="H1051" s="497"/>
      <c r="J1051" s="42"/>
    </row>
    <row r="1052" spans="1:10" s="360" customFormat="1" x14ac:dyDescent="0.25">
      <c r="A1052" s="19" t="s">
        <v>36</v>
      </c>
      <c r="B1052" s="2">
        <v>43936</v>
      </c>
      <c r="C1052" s="1">
        <v>0</v>
      </c>
      <c r="D1052" s="39">
        <v>11</v>
      </c>
      <c r="E1052" s="1"/>
      <c r="F1052" s="39">
        <f t="shared" si="40"/>
        <v>0</v>
      </c>
      <c r="G1052" s="497"/>
      <c r="H1052" s="497"/>
      <c r="J1052" s="42"/>
    </row>
    <row r="1053" spans="1:10" s="360" customFormat="1" x14ac:dyDescent="0.25">
      <c r="A1053" s="19" t="s">
        <v>37</v>
      </c>
      <c r="B1053" s="2">
        <v>43936</v>
      </c>
      <c r="C1053" s="1">
        <v>0</v>
      </c>
      <c r="D1053" s="39">
        <v>40</v>
      </c>
      <c r="E1053" s="1"/>
      <c r="F1053" s="39">
        <f t="shared" si="40"/>
        <v>0</v>
      </c>
      <c r="G1053" s="497"/>
      <c r="H1053" s="497"/>
      <c r="J1053" s="42"/>
    </row>
    <row r="1054" spans="1:10" s="360" customFormat="1" x14ac:dyDescent="0.25">
      <c r="A1054" s="19" t="s">
        <v>22</v>
      </c>
      <c r="B1054" s="2">
        <v>43936</v>
      </c>
      <c r="C1054" s="1">
        <v>2</v>
      </c>
      <c r="D1054" s="39">
        <v>209</v>
      </c>
      <c r="E1054" s="1"/>
      <c r="F1054" s="39">
        <f>E1054+F1030</f>
        <v>2</v>
      </c>
      <c r="G1054" s="497"/>
      <c r="H1054" s="497"/>
      <c r="J1054" s="42"/>
    </row>
    <row r="1055" spans="1:10" s="360" customFormat="1" x14ac:dyDescent="0.25">
      <c r="A1055" s="19" t="s">
        <v>38</v>
      </c>
      <c r="B1055" s="2">
        <v>43936</v>
      </c>
      <c r="C1055" s="1">
        <v>0</v>
      </c>
      <c r="D1055" s="39">
        <v>12</v>
      </c>
      <c r="E1055" s="1"/>
      <c r="F1055" s="39">
        <f t="shared" si="40"/>
        <v>0</v>
      </c>
      <c r="G1055" s="497"/>
      <c r="H1055" s="497"/>
      <c r="J1055" s="42"/>
    </row>
    <row r="1056" spans="1:10" s="360" customFormat="1" x14ac:dyDescent="0.25">
      <c r="A1056" s="19" t="s">
        <v>39</v>
      </c>
      <c r="B1056" s="2">
        <v>43936</v>
      </c>
      <c r="C1056" s="1">
        <v>3</v>
      </c>
      <c r="D1056" s="39">
        <v>110</v>
      </c>
      <c r="E1056" s="1"/>
      <c r="F1056" s="39">
        <f t="shared" si="40"/>
        <v>0</v>
      </c>
      <c r="G1056" s="497"/>
      <c r="H1056" s="497"/>
      <c r="J1056" s="42"/>
    </row>
    <row r="1057" spans="1:10" s="360" customFormat="1" x14ac:dyDescent="0.25">
      <c r="A1057" s="19" t="s">
        <v>40</v>
      </c>
      <c r="B1057" s="2">
        <v>43936</v>
      </c>
      <c r="C1057" s="1">
        <v>0</v>
      </c>
      <c r="D1057" s="39">
        <v>30</v>
      </c>
      <c r="E1057" s="1"/>
      <c r="F1057" s="39">
        <f t="shared" si="40"/>
        <v>2</v>
      </c>
      <c r="G1057" s="497"/>
      <c r="H1057" s="497"/>
      <c r="J1057" s="42"/>
    </row>
    <row r="1058" spans="1:10" s="360" customFormat="1" x14ac:dyDescent="0.25">
      <c r="A1058" s="361" t="s">
        <v>16</v>
      </c>
      <c r="B1058" s="2">
        <v>43937</v>
      </c>
      <c r="C1058" s="1">
        <v>30</v>
      </c>
      <c r="D1058" s="39">
        <v>759</v>
      </c>
      <c r="E1058" s="1">
        <v>5</v>
      </c>
      <c r="F1058" s="39">
        <f>E1058+F1034</f>
        <v>48</v>
      </c>
      <c r="G1058" s="497"/>
      <c r="H1058" s="497"/>
      <c r="J1058" s="42"/>
    </row>
    <row r="1059" spans="1:10" s="360" customFormat="1" x14ac:dyDescent="0.25">
      <c r="A1059" s="19" t="s">
        <v>28</v>
      </c>
      <c r="B1059" s="2">
        <v>43937</v>
      </c>
      <c r="C1059" s="1">
        <v>0</v>
      </c>
      <c r="D1059" s="39">
        <v>0</v>
      </c>
      <c r="E1059" s="1"/>
      <c r="F1059" s="39">
        <f t="shared" ref="F1059:F1081" si="41">E1059+F1035</f>
        <v>0</v>
      </c>
      <c r="G1059" s="497"/>
      <c r="H1059" s="497"/>
      <c r="J1059" s="42"/>
    </row>
    <row r="1060" spans="1:10" s="360" customFormat="1" x14ac:dyDescent="0.25">
      <c r="A1060" s="19" t="s">
        <v>15</v>
      </c>
      <c r="B1060" s="2">
        <v>43937</v>
      </c>
      <c r="C1060" s="1">
        <v>11</v>
      </c>
      <c r="D1060" s="39">
        <v>202</v>
      </c>
      <c r="E1060" s="1">
        <v>1</v>
      </c>
      <c r="F1060" s="39">
        <f t="shared" si="41"/>
        <v>9</v>
      </c>
      <c r="G1060" s="497"/>
      <c r="H1060" s="497"/>
      <c r="J1060" s="42"/>
    </row>
    <row r="1061" spans="1:10" s="360" customFormat="1" x14ac:dyDescent="0.25">
      <c r="A1061" s="19" t="s">
        <v>29</v>
      </c>
      <c r="B1061" s="2">
        <v>43937</v>
      </c>
      <c r="C1061" s="1">
        <v>0</v>
      </c>
      <c r="D1061" s="39">
        <v>1</v>
      </c>
      <c r="E1061" s="1"/>
      <c r="F1061" s="39">
        <f t="shared" si="41"/>
        <v>1</v>
      </c>
      <c r="G1061" s="497"/>
      <c r="H1061" s="497"/>
      <c r="J1061" s="42"/>
    </row>
    <row r="1062" spans="1:10" s="360" customFormat="1" x14ac:dyDescent="0.25">
      <c r="A1062" s="19" t="s">
        <v>43</v>
      </c>
      <c r="B1062" s="2">
        <v>43937</v>
      </c>
      <c r="C1062" s="1">
        <v>15</v>
      </c>
      <c r="D1062" s="39">
        <v>663</v>
      </c>
      <c r="E1062" s="1">
        <v>3</v>
      </c>
      <c r="F1062" s="39">
        <f t="shared" si="41"/>
        <v>35</v>
      </c>
      <c r="G1062" s="497"/>
      <c r="H1062" s="497"/>
      <c r="J1062" s="42"/>
    </row>
    <row r="1063" spans="1:10" s="360" customFormat="1" x14ac:dyDescent="0.25">
      <c r="A1063" s="19" t="s">
        <v>20</v>
      </c>
      <c r="B1063" s="2">
        <v>43937</v>
      </c>
      <c r="C1063" s="1">
        <v>13</v>
      </c>
      <c r="D1063" s="39">
        <v>241</v>
      </c>
      <c r="E1063" s="1"/>
      <c r="F1063" s="39">
        <f t="shared" si="41"/>
        <v>6</v>
      </c>
      <c r="G1063" s="497"/>
      <c r="H1063" s="497"/>
      <c r="J1063" s="42"/>
    </row>
    <row r="1064" spans="1:10" s="360" customFormat="1" x14ac:dyDescent="0.25">
      <c r="A1064" s="19" t="s">
        <v>30</v>
      </c>
      <c r="B1064" s="2">
        <v>43937</v>
      </c>
      <c r="C1064" s="1">
        <v>0</v>
      </c>
      <c r="D1064" s="39">
        <v>31</v>
      </c>
      <c r="E1064" s="1"/>
      <c r="F1064" s="39">
        <f t="shared" si="41"/>
        <v>0</v>
      </c>
      <c r="G1064" s="497"/>
      <c r="H1064" s="497"/>
      <c r="J1064" s="42"/>
    </row>
    <row r="1065" spans="1:10" x14ac:dyDescent="0.25">
      <c r="A1065" s="19" t="s">
        <v>31</v>
      </c>
      <c r="B1065" s="2">
        <v>43937</v>
      </c>
      <c r="C1065" s="1">
        <v>1</v>
      </c>
      <c r="D1065" s="39">
        <v>22</v>
      </c>
      <c r="F1065" s="39">
        <f t="shared" si="41"/>
        <v>0</v>
      </c>
    </row>
    <row r="1066" spans="1:10" s="360" customFormat="1" x14ac:dyDescent="0.25">
      <c r="A1066" s="19" t="s">
        <v>41</v>
      </c>
      <c r="B1066" s="2">
        <v>43937</v>
      </c>
      <c r="C1066" s="1">
        <v>0</v>
      </c>
      <c r="D1066" s="39">
        <v>0</v>
      </c>
      <c r="E1066" s="1"/>
      <c r="F1066" s="39">
        <f t="shared" si="41"/>
        <v>0</v>
      </c>
      <c r="G1066" s="497"/>
      <c r="H1066" s="497"/>
      <c r="J1066" s="42"/>
    </row>
    <row r="1067" spans="1:10" s="360" customFormat="1" x14ac:dyDescent="0.25">
      <c r="A1067" s="19" t="s">
        <v>32</v>
      </c>
      <c r="B1067" s="2">
        <v>43937</v>
      </c>
      <c r="C1067" s="1">
        <v>0</v>
      </c>
      <c r="D1067" s="39">
        <v>5</v>
      </c>
      <c r="E1067" s="1"/>
      <c r="F1067" s="39">
        <f t="shared" si="41"/>
        <v>0</v>
      </c>
      <c r="G1067" s="497"/>
      <c r="H1067" s="497"/>
      <c r="J1067" s="42"/>
    </row>
    <row r="1068" spans="1:10" s="360" customFormat="1" x14ac:dyDescent="0.25">
      <c r="A1068" s="19" t="s">
        <v>33</v>
      </c>
      <c r="B1068" s="2">
        <v>43937</v>
      </c>
      <c r="C1068" s="1">
        <v>0</v>
      </c>
      <c r="D1068" s="39">
        <v>5</v>
      </c>
      <c r="E1068" s="1"/>
      <c r="F1068" s="39">
        <f t="shared" si="41"/>
        <v>0</v>
      </c>
      <c r="G1068" s="497"/>
      <c r="H1068" s="497"/>
      <c r="J1068" s="42"/>
    </row>
    <row r="1069" spans="1:10" s="360" customFormat="1" x14ac:dyDescent="0.25">
      <c r="A1069" s="19" t="s">
        <v>21</v>
      </c>
      <c r="B1069" s="2">
        <v>43937</v>
      </c>
      <c r="C1069" s="1">
        <v>3</v>
      </c>
      <c r="D1069" s="39">
        <v>34</v>
      </c>
      <c r="E1069" s="1"/>
      <c r="F1069" s="39">
        <f t="shared" si="41"/>
        <v>2</v>
      </c>
      <c r="G1069" s="497"/>
      <c r="H1069" s="497"/>
      <c r="J1069" s="42"/>
    </row>
    <row r="1070" spans="1:10" s="360" customFormat="1" x14ac:dyDescent="0.25">
      <c r="A1070" s="19" t="s">
        <v>17</v>
      </c>
      <c r="B1070" s="2">
        <v>43937</v>
      </c>
      <c r="C1070" s="1">
        <v>5</v>
      </c>
      <c r="D1070" s="39">
        <v>68</v>
      </c>
      <c r="E1070" s="1">
        <v>1</v>
      </c>
      <c r="F1070" s="39">
        <f t="shared" si="41"/>
        <v>5</v>
      </c>
      <c r="G1070" s="497"/>
      <c r="H1070" s="497"/>
      <c r="J1070" s="42"/>
    </row>
    <row r="1071" spans="1:10" s="360" customFormat="1" x14ac:dyDescent="0.25">
      <c r="A1071" s="19" t="s">
        <v>23</v>
      </c>
      <c r="B1071" s="2">
        <v>43937</v>
      </c>
      <c r="C1071" s="1">
        <v>0</v>
      </c>
      <c r="D1071" s="39">
        <v>3</v>
      </c>
      <c r="E1071" s="1"/>
      <c r="F1071" s="39">
        <f t="shared" si="41"/>
        <v>0</v>
      </c>
      <c r="G1071" s="497"/>
      <c r="H1071" s="497"/>
      <c r="J1071" s="42"/>
    </row>
    <row r="1072" spans="1:10" s="360" customFormat="1" x14ac:dyDescent="0.25">
      <c r="A1072" s="19" t="s">
        <v>19</v>
      </c>
      <c r="B1072" s="2">
        <v>43937</v>
      </c>
      <c r="C1072" s="1">
        <v>1</v>
      </c>
      <c r="D1072" s="39">
        <v>92</v>
      </c>
      <c r="E1072" s="1"/>
      <c r="F1072" s="39">
        <f t="shared" si="41"/>
        <v>3</v>
      </c>
      <c r="G1072" s="497"/>
      <c r="H1072" s="497"/>
      <c r="J1072" s="42"/>
    </row>
    <row r="1073" spans="1:10" s="360" customFormat="1" x14ac:dyDescent="0.25">
      <c r="A1073" s="19" t="s">
        <v>18</v>
      </c>
      <c r="B1073" s="2">
        <v>43937</v>
      </c>
      <c r="C1073" s="1">
        <v>9</v>
      </c>
      <c r="D1073" s="39">
        <v>115</v>
      </c>
      <c r="E1073" s="1"/>
      <c r="F1073" s="39">
        <f t="shared" si="41"/>
        <v>4</v>
      </c>
      <c r="G1073" s="497"/>
      <c r="H1073" s="497"/>
      <c r="J1073" s="42"/>
    </row>
    <row r="1074" spans="1:10" s="360" customFormat="1" x14ac:dyDescent="0.25">
      <c r="A1074" s="19" t="s">
        <v>34</v>
      </c>
      <c r="B1074" s="2">
        <v>43937</v>
      </c>
      <c r="C1074" s="1">
        <v>-1</v>
      </c>
      <c r="D1074" s="39">
        <v>3</v>
      </c>
      <c r="E1074" s="1"/>
      <c r="F1074" s="39">
        <f t="shared" si="41"/>
        <v>0</v>
      </c>
      <c r="G1074" s="497"/>
      <c r="H1074" s="497"/>
      <c r="J1074" s="42"/>
    </row>
    <row r="1075" spans="1:10" s="360" customFormat="1" x14ac:dyDescent="0.25">
      <c r="A1075" s="19" t="s">
        <v>35</v>
      </c>
      <c r="B1075" s="2">
        <v>43937</v>
      </c>
      <c r="C1075" s="1">
        <v>0</v>
      </c>
      <c r="D1075" s="39">
        <v>2</v>
      </c>
      <c r="E1075" s="1"/>
      <c r="F1075" s="39">
        <f t="shared" si="41"/>
        <v>0</v>
      </c>
      <c r="G1075" s="497"/>
      <c r="H1075" s="497"/>
      <c r="J1075" s="42"/>
    </row>
    <row r="1076" spans="1:10" s="360" customFormat="1" x14ac:dyDescent="0.25">
      <c r="A1076" s="19" t="s">
        <v>36</v>
      </c>
      <c r="B1076" s="2">
        <v>43937</v>
      </c>
      <c r="C1076" s="1">
        <v>0</v>
      </c>
      <c r="D1076" s="39">
        <v>11</v>
      </c>
      <c r="E1076" s="1"/>
      <c r="F1076" s="39">
        <f t="shared" si="41"/>
        <v>0</v>
      </c>
      <c r="G1076" s="497"/>
      <c r="H1076" s="497"/>
      <c r="J1076" s="42"/>
    </row>
    <row r="1077" spans="1:10" s="360" customFormat="1" x14ac:dyDescent="0.25">
      <c r="A1077" s="19" t="s">
        <v>37</v>
      </c>
      <c r="B1077" s="2">
        <v>43937</v>
      </c>
      <c r="C1077" s="1">
        <v>0</v>
      </c>
      <c r="D1077" s="39">
        <v>40</v>
      </c>
      <c r="E1077" s="1"/>
      <c r="F1077" s="39">
        <f t="shared" si="41"/>
        <v>0</v>
      </c>
      <c r="G1077" s="497"/>
      <c r="H1077" s="497"/>
      <c r="J1077" s="42"/>
    </row>
    <row r="1078" spans="1:10" s="360" customFormat="1" x14ac:dyDescent="0.25">
      <c r="A1078" s="19" t="s">
        <v>22</v>
      </c>
      <c r="B1078" s="2">
        <v>43937</v>
      </c>
      <c r="C1078" s="1">
        <v>3</v>
      </c>
      <c r="D1078" s="39">
        <v>212</v>
      </c>
      <c r="E1078" s="1"/>
      <c r="F1078" s="39">
        <f>E1078+F1054</f>
        <v>2</v>
      </c>
      <c r="G1078" s="497"/>
      <c r="H1078" s="497"/>
      <c r="J1078" s="42"/>
    </row>
    <row r="1079" spans="1:10" s="360" customFormat="1" x14ac:dyDescent="0.25">
      <c r="A1079" s="19" t="s">
        <v>38</v>
      </c>
      <c r="B1079" s="2">
        <v>43937</v>
      </c>
      <c r="C1079" s="1">
        <v>0</v>
      </c>
      <c r="D1079" s="39">
        <v>12</v>
      </c>
      <c r="E1079" s="1"/>
      <c r="F1079" s="39">
        <f t="shared" si="41"/>
        <v>0</v>
      </c>
      <c r="G1079" s="497"/>
      <c r="H1079" s="497"/>
      <c r="J1079" s="42"/>
    </row>
    <row r="1080" spans="1:10" s="360" customFormat="1" x14ac:dyDescent="0.25">
      <c r="A1080" s="19" t="s">
        <v>39</v>
      </c>
      <c r="B1080" s="2">
        <v>43937</v>
      </c>
      <c r="C1080" s="1">
        <v>7</v>
      </c>
      <c r="D1080" s="39">
        <v>117</v>
      </c>
      <c r="E1080" s="1"/>
      <c r="F1080" s="39">
        <f t="shared" si="41"/>
        <v>0</v>
      </c>
      <c r="G1080" s="497"/>
      <c r="H1080" s="497"/>
      <c r="J1080" s="42"/>
    </row>
    <row r="1081" spans="1:10" s="360" customFormat="1" x14ac:dyDescent="0.25">
      <c r="A1081" s="19" t="s">
        <v>40</v>
      </c>
      <c r="B1081" s="2">
        <v>43937</v>
      </c>
      <c r="C1081" s="1">
        <v>0</v>
      </c>
      <c r="D1081" s="39">
        <v>30</v>
      </c>
      <c r="E1081" s="1"/>
      <c r="F1081" s="39">
        <f t="shared" si="41"/>
        <v>2</v>
      </c>
      <c r="G1081" s="497"/>
      <c r="H1081" s="497"/>
      <c r="J1081" s="42"/>
    </row>
    <row r="1082" spans="1:10" s="360" customFormat="1" x14ac:dyDescent="0.25">
      <c r="A1082" s="361" t="s">
        <v>16</v>
      </c>
      <c r="B1082" s="2">
        <v>43938</v>
      </c>
      <c r="C1082" s="1">
        <v>35</v>
      </c>
      <c r="D1082" s="39">
        <v>794</v>
      </c>
      <c r="E1082" s="1">
        <v>3</v>
      </c>
      <c r="F1082" s="39">
        <f>E1082+F1058</f>
        <v>51</v>
      </c>
      <c r="G1082" s="497"/>
      <c r="H1082" s="497"/>
      <c r="J1082" s="42"/>
    </row>
    <row r="1083" spans="1:10" s="360" customFormat="1" x14ac:dyDescent="0.25">
      <c r="A1083" s="19" t="s">
        <v>28</v>
      </c>
      <c r="B1083" s="2">
        <v>43938</v>
      </c>
      <c r="C1083" s="1">
        <v>0</v>
      </c>
      <c r="D1083" s="39">
        <v>0</v>
      </c>
      <c r="E1083" s="1"/>
      <c r="F1083" s="39">
        <f t="shared" ref="F1083:F1105" si="42">E1083+F1059</f>
        <v>0</v>
      </c>
      <c r="G1083" s="497"/>
      <c r="H1083" s="497"/>
      <c r="J1083" s="42"/>
    </row>
    <row r="1084" spans="1:10" s="360" customFormat="1" x14ac:dyDescent="0.25">
      <c r="A1084" s="19" t="s">
        <v>15</v>
      </c>
      <c r="B1084" s="2">
        <v>43938</v>
      </c>
      <c r="C1084" s="1">
        <v>22</v>
      </c>
      <c r="D1084" s="39">
        <v>224</v>
      </c>
      <c r="E1084" s="1"/>
      <c r="F1084" s="39">
        <f t="shared" si="42"/>
        <v>9</v>
      </c>
      <c r="G1084" s="497"/>
      <c r="H1084" s="497"/>
      <c r="J1084" s="42"/>
    </row>
    <row r="1085" spans="1:10" s="360" customFormat="1" x14ac:dyDescent="0.25">
      <c r="A1085" s="19" t="s">
        <v>29</v>
      </c>
      <c r="B1085" s="2">
        <v>43938</v>
      </c>
      <c r="C1085" s="1">
        <v>0</v>
      </c>
      <c r="D1085" s="39">
        <v>1</v>
      </c>
      <c r="E1085" s="1"/>
      <c r="F1085" s="39">
        <f t="shared" si="42"/>
        <v>1</v>
      </c>
      <c r="G1085" s="497"/>
      <c r="H1085" s="497"/>
      <c r="J1085" s="42"/>
    </row>
    <row r="1086" spans="1:10" s="360" customFormat="1" x14ac:dyDescent="0.25">
      <c r="A1086" s="19" t="s">
        <v>43</v>
      </c>
      <c r="B1086" s="2">
        <v>43938</v>
      </c>
      <c r="C1086" s="1">
        <v>14</v>
      </c>
      <c r="D1086" s="39">
        <v>677</v>
      </c>
      <c r="E1086" s="1">
        <v>1</v>
      </c>
      <c r="F1086" s="39">
        <f t="shared" si="42"/>
        <v>36</v>
      </c>
      <c r="G1086" s="497"/>
      <c r="H1086" s="497"/>
      <c r="J1086" s="42"/>
    </row>
    <row r="1087" spans="1:10" s="360" customFormat="1" x14ac:dyDescent="0.25">
      <c r="A1087" s="19" t="s">
        <v>20</v>
      </c>
      <c r="B1087" s="2">
        <v>43938</v>
      </c>
      <c r="C1087" s="1">
        <v>6</v>
      </c>
      <c r="D1087" s="39">
        <v>247</v>
      </c>
      <c r="E1087" s="1"/>
      <c r="F1087" s="39">
        <f t="shared" si="42"/>
        <v>6</v>
      </c>
      <c r="G1087" s="497"/>
      <c r="H1087" s="497"/>
      <c r="J1087" s="42"/>
    </row>
    <row r="1088" spans="1:10" s="360" customFormat="1" x14ac:dyDescent="0.25">
      <c r="A1088" s="19" t="s">
        <v>30</v>
      </c>
      <c r="B1088" s="2">
        <v>43938</v>
      </c>
      <c r="C1088" s="1">
        <v>0</v>
      </c>
      <c r="D1088" s="39">
        <v>31</v>
      </c>
      <c r="E1088" s="1"/>
      <c r="F1088" s="39">
        <f t="shared" si="42"/>
        <v>0</v>
      </c>
      <c r="G1088" s="497"/>
      <c r="H1088" s="497"/>
      <c r="J1088" s="42"/>
    </row>
    <row r="1089" spans="1:10" x14ac:dyDescent="0.25">
      <c r="A1089" s="19" t="s">
        <v>31</v>
      </c>
      <c r="B1089" s="2">
        <v>43938</v>
      </c>
      <c r="C1089" s="1">
        <v>0</v>
      </c>
      <c r="D1089" s="39">
        <v>22</v>
      </c>
      <c r="F1089" s="39">
        <f t="shared" si="42"/>
        <v>0</v>
      </c>
    </row>
    <row r="1090" spans="1:10" s="360" customFormat="1" x14ac:dyDescent="0.25">
      <c r="A1090" s="19" t="s">
        <v>41</v>
      </c>
      <c r="B1090" s="2">
        <v>43938</v>
      </c>
      <c r="C1090" s="1">
        <v>0</v>
      </c>
      <c r="D1090" s="39">
        <v>0</v>
      </c>
      <c r="E1090" s="1"/>
      <c r="F1090" s="39">
        <f t="shared" si="42"/>
        <v>0</v>
      </c>
      <c r="G1090" s="497"/>
      <c r="H1090" s="497"/>
      <c r="J1090" s="42"/>
    </row>
    <row r="1091" spans="1:10" s="360" customFormat="1" x14ac:dyDescent="0.25">
      <c r="A1091" s="19" t="s">
        <v>32</v>
      </c>
      <c r="B1091" s="2">
        <v>43938</v>
      </c>
      <c r="C1091" s="1">
        <v>0</v>
      </c>
      <c r="D1091" s="39">
        <v>5</v>
      </c>
      <c r="E1091" s="1"/>
      <c r="F1091" s="39">
        <f t="shared" si="42"/>
        <v>0</v>
      </c>
      <c r="G1091" s="497"/>
      <c r="H1091" s="497"/>
      <c r="J1091" s="42"/>
    </row>
    <row r="1092" spans="1:10" s="360" customFormat="1" x14ac:dyDescent="0.25">
      <c r="A1092" s="19" t="s">
        <v>33</v>
      </c>
      <c r="B1092" s="2">
        <v>43938</v>
      </c>
      <c r="C1092" s="1">
        <v>0</v>
      </c>
      <c r="D1092" s="39">
        <v>5</v>
      </c>
      <c r="E1092" s="1"/>
      <c r="F1092" s="39">
        <f t="shared" si="42"/>
        <v>0</v>
      </c>
      <c r="G1092" s="497"/>
      <c r="H1092" s="497"/>
      <c r="J1092" s="42"/>
    </row>
    <row r="1093" spans="1:10" s="360" customFormat="1" x14ac:dyDescent="0.25">
      <c r="A1093" s="19" t="s">
        <v>21</v>
      </c>
      <c r="B1093" s="2">
        <v>43938</v>
      </c>
      <c r="C1093" s="1">
        <v>1</v>
      </c>
      <c r="D1093" s="39">
        <v>35</v>
      </c>
      <c r="E1093" s="1">
        <v>1</v>
      </c>
      <c r="F1093" s="39">
        <f t="shared" si="42"/>
        <v>3</v>
      </c>
      <c r="G1093" s="497"/>
      <c r="H1093" s="497"/>
      <c r="J1093" s="42"/>
    </row>
    <row r="1094" spans="1:10" s="360" customFormat="1" x14ac:dyDescent="0.25">
      <c r="A1094" s="19" t="s">
        <v>17</v>
      </c>
      <c r="B1094" s="2">
        <v>43938</v>
      </c>
      <c r="C1094" s="1">
        <v>1</v>
      </c>
      <c r="D1094" s="39">
        <v>69</v>
      </c>
      <c r="E1094" s="1">
        <v>2</v>
      </c>
      <c r="F1094" s="39">
        <f t="shared" si="42"/>
        <v>7</v>
      </c>
      <c r="G1094" s="497"/>
      <c r="H1094" s="497"/>
      <c r="J1094" s="42"/>
    </row>
    <row r="1095" spans="1:10" s="360" customFormat="1" x14ac:dyDescent="0.25">
      <c r="A1095" s="19" t="s">
        <v>23</v>
      </c>
      <c r="B1095" s="2">
        <v>43938</v>
      </c>
      <c r="C1095" s="1">
        <v>1</v>
      </c>
      <c r="D1095" s="39">
        <v>4</v>
      </c>
      <c r="E1095" s="1"/>
      <c r="F1095" s="39">
        <f t="shared" si="42"/>
        <v>0</v>
      </c>
      <c r="G1095" s="497"/>
      <c r="H1095" s="497"/>
      <c r="J1095" s="42"/>
    </row>
    <row r="1096" spans="1:10" s="360" customFormat="1" x14ac:dyDescent="0.25">
      <c r="A1096" s="19" t="s">
        <v>19</v>
      </c>
      <c r="B1096" s="2">
        <v>43938</v>
      </c>
      <c r="C1096" s="1">
        <v>1</v>
      </c>
      <c r="D1096" s="39">
        <v>93</v>
      </c>
      <c r="E1096" s="1"/>
      <c r="F1096" s="39">
        <f t="shared" si="42"/>
        <v>3</v>
      </c>
      <c r="G1096" s="497"/>
      <c r="H1096" s="497"/>
      <c r="J1096" s="42"/>
    </row>
    <row r="1097" spans="1:10" s="360" customFormat="1" x14ac:dyDescent="0.25">
      <c r="A1097" s="19" t="s">
        <v>18</v>
      </c>
      <c r="B1097" s="2">
        <v>43938</v>
      </c>
      <c r="C1097" s="1">
        <v>1</v>
      </c>
      <c r="D1097" s="39">
        <v>116</v>
      </c>
      <c r="E1097" s="1"/>
      <c r="F1097" s="39">
        <f t="shared" si="42"/>
        <v>4</v>
      </c>
      <c r="G1097" s="497"/>
      <c r="H1097" s="497"/>
      <c r="J1097" s="42"/>
    </row>
    <row r="1098" spans="1:10" s="360" customFormat="1" x14ac:dyDescent="0.25">
      <c r="A1098" s="19" t="s">
        <v>34</v>
      </c>
      <c r="B1098" s="2">
        <v>43938</v>
      </c>
      <c r="C1098" s="1">
        <v>0</v>
      </c>
      <c r="D1098" s="39">
        <v>3</v>
      </c>
      <c r="E1098" s="1"/>
      <c r="F1098" s="39">
        <f t="shared" si="42"/>
        <v>0</v>
      </c>
      <c r="G1098" s="497"/>
      <c r="H1098" s="497"/>
      <c r="J1098" s="42"/>
    </row>
    <row r="1099" spans="1:10" s="360" customFormat="1" x14ac:dyDescent="0.25">
      <c r="A1099" s="19" t="s">
        <v>35</v>
      </c>
      <c r="B1099" s="2">
        <v>43938</v>
      </c>
      <c r="C1099" s="1">
        <v>0</v>
      </c>
      <c r="D1099" s="39">
        <v>2</v>
      </c>
      <c r="E1099" s="1"/>
      <c r="F1099" s="39">
        <f t="shared" si="42"/>
        <v>0</v>
      </c>
      <c r="G1099" s="497"/>
      <c r="H1099" s="497"/>
      <c r="J1099" s="42"/>
    </row>
    <row r="1100" spans="1:10" s="360" customFormat="1" x14ac:dyDescent="0.25">
      <c r="A1100" s="19" t="s">
        <v>36</v>
      </c>
      <c r="B1100" s="2">
        <v>43938</v>
      </c>
      <c r="C1100" s="1">
        <v>0</v>
      </c>
      <c r="D1100" s="39">
        <v>11</v>
      </c>
      <c r="E1100" s="1"/>
      <c r="F1100" s="39">
        <f t="shared" si="42"/>
        <v>0</v>
      </c>
      <c r="G1100" s="497"/>
      <c r="H1100" s="497"/>
      <c r="J1100" s="42"/>
    </row>
    <row r="1101" spans="1:10" s="360" customFormat="1" x14ac:dyDescent="0.25">
      <c r="A1101" s="19" t="s">
        <v>37</v>
      </c>
      <c r="B1101" s="2">
        <v>43938</v>
      </c>
      <c r="C1101" s="1">
        <v>0</v>
      </c>
      <c r="D1101" s="39">
        <v>40</v>
      </c>
      <c r="E1101" s="1"/>
      <c r="F1101" s="39">
        <f t="shared" si="42"/>
        <v>0</v>
      </c>
      <c r="G1101" s="497"/>
      <c r="H1101" s="497"/>
      <c r="J1101" s="42"/>
    </row>
    <row r="1102" spans="1:10" s="360" customFormat="1" x14ac:dyDescent="0.25">
      <c r="A1102" s="19" t="s">
        <v>22</v>
      </c>
      <c r="B1102" s="2">
        <v>43938</v>
      </c>
      <c r="C1102" s="1">
        <v>6</v>
      </c>
      <c r="D1102" s="39">
        <v>218</v>
      </c>
      <c r="E1102" s="1"/>
      <c r="F1102" s="39">
        <f>E1102+F1078</f>
        <v>2</v>
      </c>
      <c r="G1102" s="497"/>
      <c r="H1102" s="497"/>
      <c r="J1102" s="42"/>
    </row>
    <row r="1103" spans="1:10" s="360" customFormat="1" x14ac:dyDescent="0.25">
      <c r="A1103" s="19" t="s">
        <v>38</v>
      </c>
      <c r="B1103" s="2">
        <v>43938</v>
      </c>
      <c r="C1103" s="1">
        <v>0</v>
      </c>
      <c r="D1103" s="39">
        <v>12</v>
      </c>
      <c r="E1103" s="1"/>
      <c r="F1103" s="39">
        <f t="shared" si="42"/>
        <v>0</v>
      </c>
      <c r="G1103" s="497"/>
      <c r="H1103" s="497"/>
      <c r="J1103" s="42"/>
    </row>
    <row r="1104" spans="1:10" s="360" customFormat="1" x14ac:dyDescent="0.25">
      <c r="A1104" s="19" t="s">
        <v>39</v>
      </c>
      <c r="B1104" s="2">
        <v>43938</v>
      </c>
      <c r="C1104" s="1">
        <v>2</v>
      </c>
      <c r="D1104" s="39">
        <v>119</v>
      </c>
      <c r="E1104" s="1"/>
      <c r="F1104" s="39">
        <f t="shared" si="42"/>
        <v>0</v>
      </c>
      <c r="G1104" s="497"/>
      <c r="H1104" s="497"/>
      <c r="J1104" s="42"/>
    </row>
    <row r="1105" spans="1:10" s="360" customFormat="1" x14ac:dyDescent="0.25">
      <c r="A1105" s="19" t="s">
        <v>40</v>
      </c>
      <c r="B1105" s="2">
        <v>43938</v>
      </c>
      <c r="C1105" s="1">
        <v>0</v>
      </c>
      <c r="D1105" s="39">
        <v>30</v>
      </c>
      <c r="E1105" s="1"/>
      <c r="F1105" s="39">
        <f t="shared" si="42"/>
        <v>2</v>
      </c>
      <c r="G1105" s="497"/>
      <c r="H1105" s="497"/>
      <c r="J1105" s="42"/>
    </row>
    <row r="1106" spans="1:10" s="360" customFormat="1" x14ac:dyDescent="0.25">
      <c r="A1106" s="361" t="s">
        <v>16</v>
      </c>
      <c r="B1106" s="2">
        <v>43939</v>
      </c>
      <c r="C1106" s="1">
        <v>31</v>
      </c>
      <c r="D1106" s="39">
        <v>825</v>
      </c>
      <c r="E1106" s="1">
        <v>2</v>
      </c>
      <c r="F1106" s="39">
        <f>E1106+F1082</f>
        <v>53</v>
      </c>
      <c r="G1106" s="497"/>
      <c r="H1106" s="497"/>
      <c r="J1106" s="42"/>
    </row>
    <row r="1107" spans="1:10" s="360" customFormat="1" x14ac:dyDescent="0.25">
      <c r="A1107" s="19" t="s">
        <v>28</v>
      </c>
      <c r="B1107" s="2">
        <v>43939</v>
      </c>
      <c r="C1107" s="1">
        <v>0</v>
      </c>
      <c r="D1107" s="39">
        <v>0</v>
      </c>
      <c r="E1107" s="1"/>
      <c r="F1107" s="39">
        <f t="shared" ref="F1107:F1129" si="43">E1107+F1083</f>
        <v>0</v>
      </c>
      <c r="G1107" s="497"/>
      <c r="H1107" s="497"/>
      <c r="J1107" s="42"/>
    </row>
    <row r="1108" spans="1:10" s="360" customFormat="1" x14ac:dyDescent="0.25">
      <c r="A1108" s="19" t="s">
        <v>15</v>
      </c>
      <c r="B1108" s="2">
        <v>43939</v>
      </c>
      <c r="C1108" s="1">
        <v>24</v>
      </c>
      <c r="D1108" s="39">
        <v>248</v>
      </c>
      <c r="E1108" s="1"/>
      <c r="F1108" s="39">
        <f t="shared" si="43"/>
        <v>9</v>
      </c>
      <c r="G1108" s="497"/>
      <c r="H1108" s="497"/>
      <c r="J1108" s="42"/>
    </row>
    <row r="1109" spans="1:10" s="360" customFormat="1" x14ac:dyDescent="0.25">
      <c r="A1109" s="19" t="s">
        <v>29</v>
      </c>
      <c r="B1109" s="2">
        <v>43939</v>
      </c>
      <c r="C1109" s="1">
        <v>0</v>
      </c>
      <c r="D1109" s="39">
        <v>1</v>
      </c>
      <c r="E1109" s="1"/>
      <c r="F1109" s="39">
        <f t="shared" si="43"/>
        <v>1</v>
      </c>
      <c r="G1109" s="497"/>
      <c r="H1109" s="497"/>
      <c r="J1109" s="42"/>
    </row>
    <row r="1110" spans="1:10" s="360" customFormat="1" x14ac:dyDescent="0.25">
      <c r="A1110" s="19" t="s">
        <v>43</v>
      </c>
      <c r="B1110" s="2">
        <v>43939</v>
      </c>
      <c r="C1110" s="1">
        <v>14</v>
      </c>
      <c r="D1110" s="39">
        <v>691</v>
      </c>
      <c r="E1110" s="1">
        <v>1</v>
      </c>
      <c r="F1110" s="39">
        <f t="shared" si="43"/>
        <v>37</v>
      </c>
      <c r="G1110" s="497"/>
      <c r="H1110" s="497"/>
      <c r="J1110" s="42"/>
    </row>
    <row r="1111" spans="1:10" s="360" customFormat="1" x14ac:dyDescent="0.25">
      <c r="A1111" s="19" t="s">
        <v>20</v>
      </c>
      <c r="B1111" s="2">
        <v>43939</v>
      </c>
      <c r="C1111" s="1">
        <v>2</v>
      </c>
      <c r="D1111" s="39">
        <v>249</v>
      </c>
      <c r="E1111" s="1"/>
      <c r="F1111" s="39">
        <f t="shared" si="43"/>
        <v>6</v>
      </c>
      <c r="G1111" s="497"/>
      <c r="H1111" s="497"/>
      <c r="J1111" s="42"/>
    </row>
    <row r="1112" spans="1:10" s="360" customFormat="1" x14ac:dyDescent="0.25">
      <c r="A1112" s="19" t="s">
        <v>30</v>
      </c>
      <c r="B1112" s="2">
        <v>43939</v>
      </c>
      <c r="C1112" s="1">
        <v>0</v>
      </c>
      <c r="D1112" s="39">
        <v>31</v>
      </c>
      <c r="E1112" s="1"/>
      <c r="F1112" s="39">
        <f t="shared" si="43"/>
        <v>0</v>
      </c>
      <c r="G1112" s="497"/>
      <c r="H1112" s="497"/>
      <c r="J1112" s="42"/>
    </row>
    <row r="1113" spans="1:10" x14ac:dyDescent="0.25">
      <c r="A1113" s="19" t="s">
        <v>31</v>
      </c>
      <c r="B1113" s="2">
        <v>43939</v>
      </c>
      <c r="C1113" s="1">
        <v>0</v>
      </c>
      <c r="D1113" s="39">
        <v>22</v>
      </c>
      <c r="F1113" s="39">
        <f t="shared" si="43"/>
        <v>0</v>
      </c>
    </row>
    <row r="1114" spans="1:10" s="360" customFormat="1" x14ac:dyDescent="0.25">
      <c r="A1114" s="19" t="s">
        <v>41</v>
      </c>
      <c r="B1114" s="2">
        <v>43939</v>
      </c>
      <c r="C1114" s="1">
        <v>0</v>
      </c>
      <c r="D1114" s="39">
        <v>0</v>
      </c>
      <c r="E1114" s="1"/>
      <c r="F1114" s="39">
        <f t="shared" si="43"/>
        <v>0</v>
      </c>
      <c r="G1114" s="497"/>
      <c r="H1114" s="497"/>
      <c r="J1114" s="42"/>
    </row>
    <row r="1115" spans="1:10" s="360" customFormat="1" x14ac:dyDescent="0.25">
      <c r="A1115" s="19" t="s">
        <v>32</v>
      </c>
      <c r="B1115" s="2">
        <v>43939</v>
      </c>
      <c r="C1115" s="1">
        <v>0</v>
      </c>
      <c r="D1115" s="39">
        <v>5</v>
      </c>
      <c r="E1115" s="1"/>
      <c r="F1115" s="39">
        <f t="shared" si="43"/>
        <v>0</v>
      </c>
      <c r="G1115" s="497"/>
      <c r="H1115" s="497"/>
      <c r="J1115" s="42"/>
    </row>
    <row r="1116" spans="1:10" s="360" customFormat="1" x14ac:dyDescent="0.25">
      <c r="A1116" s="19" t="s">
        <v>33</v>
      </c>
      <c r="B1116" s="2">
        <v>43939</v>
      </c>
      <c r="C1116" s="1">
        <v>0</v>
      </c>
      <c r="D1116" s="39">
        <v>5</v>
      </c>
      <c r="E1116" s="1"/>
      <c r="F1116" s="39">
        <f t="shared" si="43"/>
        <v>0</v>
      </c>
      <c r="G1116" s="497"/>
      <c r="H1116" s="497"/>
      <c r="J1116" s="42"/>
    </row>
    <row r="1117" spans="1:10" s="360" customFormat="1" x14ac:dyDescent="0.25">
      <c r="A1117" s="19" t="s">
        <v>21</v>
      </c>
      <c r="B1117" s="2">
        <v>43939</v>
      </c>
      <c r="C1117" s="1">
        <v>0</v>
      </c>
      <c r="D1117" s="39">
        <v>35</v>
      </c>
      <c r="E1117" s="1"/>
      <c r="F1117" s="39">
        <f t="shared" si="43"/>
        <v>3</v>
      </c>
      <c r="G1117" s="497"/>
      <c r="H1117" s="497"/>
      <c r="J1117" s="42"/>
    </row>
    <row r="1118" spans="1:10" s="360" customFormat="1" x14ac:dyDescent="0.25">
      <c r="A1118" s="19" t="s">
        <v>17</v>
      </c>
      <c r="B1118" s="2">
        <v>43939</v>
      </c>
      <c r="C1118" s="1">
        <v>0</v>
      </c>
      <c r="D1118" s="39">
        <v>69</v>
      </c>
      <c r="E1118" s="1"/>
      <c r="F1118" s="39">
        <f t="shared" si="43"/>
        <v>7</v>
      </c>
      <c r="G1118" s="497"/>
      <c r="H1118" s="497"/>
      <c r="J1118" s="42"/>
    </row>
    <row r="1119" spans="1:10" s="360" customFormat="1" x14ac:dyDescent="0.25">
      <c r="A1119" s="19" t="s">
        <v>23</v>
      </c>
      <c r="B1119" s="2">
        <v>43939</v>
      </c>
      <c r="C1119" s="1">
        <v>1</v>
      </c>
      <c r="D1119" s="39">
        <v>5</v>
      </c>
      <c r="E1119" s="1"/>
      <c r="F1119" s="39">
        <f t="shared" si="43"/>
        <v>0</v>
      </c>
      <c r="G1119" s="497"/>
      <c r="H1119" s="497"/>
      <c r="J1119" s="42"/>
    </row>
    <row r="1120" spans="1:10" s="360" customFormat="1" x14ac:dyDescent="0.25">
      <c r="A1120" s="19" t="s">
        <v>19</v>
      </c>
      <c r="B1120" s="2">
        <v>43939</v>
      </c>
      <c r="C1120" s="1">
        <v>3</v>
      </c>
      <c r="D1120" s="39">
        <v>96</v>
      </c>
      <c r="E1120" s="1"/>
      <c r="F1120" s="39">
        <f t="shared" si="43"/>
        <v>3</v>
      </c>
      <c r="G1120" s="497"/>
      <c r="H1120" s="497"/>
      <c r="J1120" s="42"/>
    </row>
    <row r="1121" spans="1:10" s="360" customFormat="1" x14ac:dyDescent="0.25">
      <c r="A1121" s="19" t="s">
        <v>18</v>
      </c>
      <c r="B1121" s="2">
        <v>43939</v>
      </c>
      <c r="C1121" s="1">
        <v>3</v>
      </c>
      <c r="D1121" s="39">
        <v>119</v>
      </c>
      <c r="E1121" s="1"/>
      <c r="F1121" s="39">
        <f t="shared" si="43"/>
        <v>4</v>
      </c>
      <c r="G1121" s="497"/>
      <c r="H1121" s="497"/>
      <c r="J1121" s="42"/>
    </row>
    <row r="1122" spans="1:10" s="360" customFormat="1" x14ac:dyDescent="0.25">
      <c r="A1122" s="19" t="s">
        <v>34</v>
      </c>
      <c r="B1122" s="2">
        <v>43939</v>
      </c>
      <c r="C1122" s="1">
        <v>0</v>
      </c>
      <c r="D1122" s="39">
        <v>3</v>
      </c>
      <c r="E1122" s="1"/>
      <c r="F1122" s="39">
        <f t="shared" si="43"/>
        <v>0</v>
      </c>
      <c r="G1122" s="497"/>
      <c r="H1122" s="497"/>
      <c r="J1122" s="42"/>
    </row>
    <row r="1123" spans="1:10" s="360" customFormat="1" x14ac:dyDescent="0.25">
      <c r="A1123" s="19" t="s">
        <v>35</v>
      </c>
      <c r="B1123" s="2">
        <v>43939</v>
      </c>
      <c r="C1123" s="1">
        <v>0</v>
      </c>
      <c r="D1123" s="39">
        <v>2</v>
      </c>
      <c r="E1123" s="1"/>
      <c r="F1123" s="39">
        <f t="shared" si="43"/>
        <v>0</v>
      </c>
      <c r="G1123" s="497"/>
      <c r="H1123" s="497"/>
      <c r="J1123" s="42"/>
    </row>
    <row r="1124" spans="1:10" s="360" customFormat="1" x14ac:dyDescent="0.25">
      <c r="A1124" s="19" t="s">
        <v>36</v>
      </c>
      <c r="B1124" s="2">
        <v>43939</v>
      </c>
      <c r="C1124" s="1">
        <v>0</v>
      </c>
      <c r="D1124" s="39">
        <v>11</v>
      </c>
      <c r="E1124" s="1"/>
      <c r="F1124" s="39">
        <f t="shared" si="43"/>
        <v>0</v>
      </c>
      <c r="G1124" s="497"/>
      <c r="H1124" s="497"/>
      <c r="J1124" s="42"/>
    </row>
    <row r="1125" spans="1:10" s="360" customFormat="1" x14ac:dyDescent="0.25">
      <c r="A1125" s="19" t="s">
        <v>37</v>
      </c>
      <c r="B1125" s="2">
        <v>43939</v>
      </c>
      <c r="C1125" s="1">
        <v>0</v>
      </c>
      <c r="D1125" s="39">
        <v>40</v>
      </c>
      <c r="E1125" s="1"/>
      <c r="F1125" s="39">
        <f t="shared" si="43"/>
        <v>0</v>
      </c>
      <c r="G1125" s="497"/>
      <c r="H1125" s="497"/>
      <c r="J1125" s="42"/>
    </row>
    <row r="1126" spans="1:10" s="360" customFormat="1" x14ac:dyDescent="0.25">
      <c r="A1126" s="19" t="s">
        <v>22</v>
      </c>
      <c r="B1126" s="2">
        <v>43939</v>
      </c>
      <c r="C1126" s="1">
        <v>3</v>
      </c>
      <c r="D1126" s="39">
        <v>221</v>
      </c>
      <c r="E1126" s="1"/>
      <c r="F1126" s="39">
        <f>E1126+F1102</f>
        <v>2</v>
      </c>
      <c r="G1126" s="497"/>
      <c r="H1126" s="497"/>
      <c r="J1126" s="42"/>
    </row>
    <row r="1127" spans="1:10" s="360" customFormat="1" x14ac:dyDescent="0.25">
      <c r="A1127" s="19" t="s">
        <v>38</v>
      </c>
      <c r="B1127" s="2">
        <v>43939</v>
      </c>
      <c r="C1127" s="1">
        <v>0</v>
      </c>
      <c r="D1127" s="39">
        <v>12</v>
      </c>
      <c r="E1127" s="1"/>
      <c r="F1127" s="39">
        <f t="shared" si="43"/>
        <v>0</v>
      </c>
      <c r="G1127" s="497"/>
      <c r="H1127" s="497"/>
      <c r="J1127" s="42"/>
    </row>
    <row r="1128" spans="1:10" s="360" customFormat="1" x14ac:dyDescent="0.25">
      <c r="A1128" s="19" t="s">
        <v>39</v>
      </c>
      <c r="B1128" s="2">
        <v>43939</v>
      </c>
      <c r="C1128" s="1">
        <v>0</v>
      </c>
      <c r="D1128" s="39">
        <v>119</v>
      </c>
      <c r="E1128" s="1"/>
      <c r="F1128" s="39">
        <f t="shared" si="43"/>
        <v>0</v>
      </c>
      <c r="G1128" s="497"/>
      <c r="H1128" s="497"/>
      <c r="J1128" s="42"/>
    </row>
    <row r="1129" spans="1:10" s="360" customFormat="1" x14ac:dyDescent="0.25">
      <c r="A1129" s="19" t="s">
        <v>40</v>
      </c>
      <c r="B1129" s="2">
        <v>43939</v>
      </c>
      <c r="C1129" s="1">
        <v>0</v>
      </c>
      <c r="D1129" s="39">
        <v>30</v>
      </c>
      <c r="E1129" s="1"/>
      <c r="F1129" s="39">
        <f t="shared" si="43"/>
        <v>2</v>
      </c>
      <c r="G1129" s="497"/>
      <c r="H1129" s="497"/>
      <c r="J1129" s="42"/>
    </row>
    <row r="1130" spans="1:10" s="360" customFormat="1" x14ac:dyDescent="0.25">
      <c r="A1130" s="361" t="s">
        <v>16</v>
      </c>
      <c r="B1130" s="2">
        <v>43940</v>
      </c>
      <c r="C1130" s="1">
        <v>48</v>
      </c>
      <c r="D1130" s="39">
        <v>873</v>
      </c>
      <c r="E1130" s="1">
        <v>1</v>
      </c>
      <c r="F1130" s="39">
        <f>E1130+F1106</f>
        <v>54</v>
      </c>
      <c r="G1130" s="497"/>
      <c r="H1130" s="497"/>
      <c r="J1130" s="42"/>
    </row>
    <row r="1131" spans="1:10" s="360" customFormat="1" x14ac:dyDescent="0.25">
      <c r="A1131" s="19" t="s">
        <v>28</v>
      </c>
      <c r="B1131" s="2">
        <v>43940</v>
      </c>
      <c r="C1131" s="1">
        <v>0</v>
      </c>
      <c r="D1131" s="39">
        <v>0</v>
      </c>
      <c r="E1131" s="1"/>
      <c r="F1131" s="39">
        <f t="shared" ref="F1131:F1153" si="44">E1131+F1107</f>
        <v>0</v>
      </c>
      <c r="G1131" s="497"/>
      <c r="H1131" s="497"/>
      <c r="J1131" s="42"/>
    </row>
    <row r="1132" spans="1:10" s="360" customFormat="1" x14ac:dyDescent="0.25">
      <c r="A1132" s="19" t="s">
        <v>15</v>
      </c>
      <c r="B1132" s="2">
        <v>43940</v>
      </c>
      <c r="C1132" s="1">
        <v>5</v>
      </c>
      <c r="D1132" s="39">
        <v>253</v>
      </c>
      <c r="E1132" s="1"/>
      <c r="F1132" s="39">
        <f t="shared" si="44"/>
        <v>9</v>
      </c>
      <c r="G1132" s="497"/>
      <c r="H1132" s="497"/>
      <c r="J1132" s="42"/>
    </row>
    <row r="1133" spans="1:10" s="360" customFormat="1" x14ac:dyDescent="0.25">
      <c r="A1133" s="19" t="s">
        <v>29</v>
      </c>
      <c r="B1133" s="2">
        <v>43940</v>
      </c>
      <c r="C1133" s="1">
        <v>1</v>
      </c>
      <c r="D1133" s="39">
        <v>2</v>
      </c>
      <c r="E1133" s="1"/>
      <c r="F1133" s="39">
        <f t="shared" si="44"/>
        <v>1</v>
      </c>
      <c r="G1133" s="497"/>
      <c r="H1133" s="497"/>
      <c r="J1133" s="42"/>
    </row>
    <row r="1134" spans="1:10" s="360" customFormat="1" x14ac:dyDescent="0.25">
      <c r="A1134" s="19" t="s">
        <v>43</v>
      </c>
      <c r="B1134" s="2">
        <v>43940</v>
      </c>
      <c r="C1134" s="1">
        <v>15</v>
      </c>
      <c r="D1134" s="39">
        <v>706</v>
      </c>
      <c r="E1134" s="1"/>
      <c r="F1134" s="39">
        <f t="shared" si="44"/>
        <v>37</v>
      </c>
      <c r="G1134" s="497"/>
      <c r="H1134" s="497"/>
      <c r="J1134" s="42"/>
    </row>
    <row r="1135" spans="1:10" s="360" customFormat="1" x14ac:dyDescent="0.25">
      <c r="A1135" s="19" t="s">
        <v>20</v>
      </c>
      <c r="B1135" s="2">
        <v>43940</v>
      </c>
      <c r="C1135" s="1">
        <v>11</v>
      </c>
      <c r="D1135" s="39">
        <v>260</v>
      </c>
      <c r="E1135" s="1">
        <v>1</v>
      </c>
      <c r="F1135" s="39">
        <f t="shared" si="44"/>
        <v>7</v>
      </c>
      <c r="G1135" s="497"/>
      <c r="H1135" s="497"/>
      <c r="J1135" s="42"/>
    </row>
    <row r="1136" spans="1:10" s="360" customFormat="1" x14ac:dyDescent="0.25">
      <c r="A1136" s="19" t="s">
        <v>30</v>
      </c>
      <c r="B1136" s="2">
        <v>43940</v>
      </c>
      <c r="C1136" s="1">
        <v>0</v>
      </c>
      <c r="D1136" s="39">
        <v>31</v>
      </c>
      <c r="E1136" s="1"/>
      <c r="F1136" s="39">
        <f t="shared" si="44"/>
        <v>0</v>
      </c>
      <c r="G1136" s="497"/>
      <c r="H1136" s="497"/>
      <c r="J1136" s="42"/>
    </row>
    <row r="1137" spans="1:10" x14ac:dyDescent="0.25">
      <c r="A1137" s="19" t="s">
        <v>31</v>
      </c>
      <c r="B1137" s="2">
        <v>43940</v>
      </c>
      <c r="C1137" s="1">
        <v>0</v>
      </c>
      <c r="D1137" s="39">
        <v>22</v>
      </c>
      <c r="F1137" s="39">
        <f t="shared" si="44"/>
        <v>0</v>
      </c>
    </row>
    <row r="1138" spans="1:10" s="360" customFormat="1" x14ac:dyDescent="0.25">
      <c r="A1138" s="19" t="s">
        <v>41</v>
      </c>
      <c r="B1138" s="2">
        <v>43940</v>
      </c>
      <c r="C1138" s="1">
        <v>0</v>
      </c>
      <c r="D1138" s="39">
        <v>0</v>
      </c>
      <c r="E1138" s="1"/>
      <c r="F1138" s="39">
        <f t="shared" si="44"/>
        <v>0</v>
      </c>
      <c r="G1138" s="497"/>
      <c r="H1138" s="497"/>
      <c r="J1138" s="42"/>
    </row>
    <row r="1139" spans="1:10" s="360" customFormat="1" x14ac:dyDescent="0.25">
      <c r="A1139" s="19" t="s">
        <v>32</v>
      </c>
      <c r="B1139" s="2">
        <v>43940</v>
      </c>
      <c r="C1139" s="1">
        <v>0</v>
      </c>
      <c r="D1139" s="39">
        <v>5</v>
      </c>
      <c r="E1139" s="1"/>
      <c r="F1139" s="39">
        <f t="shared" si="44"/>
        <v>0</v>
      </c>
      <c r="G1139" s="497"/>
      <c r="H1139" s="497"/>
      <c r="J1139" s="42"/>
    </row>
    <row r="1140" spans="1:10" s="360" customFormat="1" x14ac:dyDescent="0.25">
      <c r="A1140" s="19" t="s">
        <v>33</v>
      </c>
      <c r="B1140" s="2">
        <v>43940</v>
      </c>
      <c r="C1140" s="1">
        <v>0</v>
      </c>
      <c r="D1140" s="39">
        <v>5</v>
      </c>
      <c r="E1140" s="1"/>
      <c r="F1140" s="39">
        <f t="shared" si="44"/>
        <v>0</v>
      </c>
      <c r="G1140" s="497"/>
      <c r="H1140" s="497"/>
      <c r="J1140" s="42"/>
    </row>
    <row r="1141" spans="1:10" s="360" customFormat="1" x14ac:dyDescent="0.25">
      <c r="A1141" s="19" t="s">
        <v>21</v>
      </c>
      <c r="B1141" s="2">
        <v>43940</v>
      </c>
      <c r="C1141" s="1">
        <v>4</v>
      </c>
      <c r="D1141" s="39">
        <v>39</v>
      </c>
      <c r="E1141" s="1"/>
      <c r="F1141" s="39">
        <f t="shared" si="44"/>
        <v>3</v>
      </c>
      <c r="G1141" s="497"/>
      <c r="H1141" s="497"/>
      <c r="J1141" s="42"/>
    </row>
    <row r="1142" spans="1:10" s="360" customFormat="1" x14ac:dyDescent="0.25">
      <c r="A1142" s="19" t="s">
        <v>17</v>
      </c>
      <c r="B1142" s="2">
        <v>43940</v>
      </c>
      <c r="C1142" s="1">
        <v>3</v>
      </c>
      <c r="D1142" s="39">
        <v>72</v>
      </c>
      <c r="E1142" s="1"/>
      <c r="F1142" s="39">
        <f t="shared" si="44"/>
        <v>7</v>
      </c>
      <c r="G1142" s="497"/>
      <c r="H1142" s="497"/>
      <c r="J1142" s="42"/>
    </row>
    <row r="1143" spans="1:10" s="360" customFormat="1" x14ac:dyDescent="0.25">
      <c r="A1143" s="19" t="s">
        <v>23</v>
      </c>
      <c r="B1143" s="2">
        <v>43940</v>
      </c>
      <c r="C1143" s="1">
        <v>0</v>
      </c>
      <c r="D1143" s="39">
        <v>5</v>
      </c>
      <c r="E1143" s="1"/>
      <c r="F1143" s="39">
        <f t="shared" si="44"/>
        <v>0</v>
      </c>
      <c r="G1143" s="497"/>
      <c r="H1143" s="497"/>
      <c r="J1143" s="42"/>
    </row>
    <row r="1144" spans="1:10" s="360" customFormat="1" x14ac:dyDescent="0.25">
      <c r="A1144" s="19" t="s">
        <v>19</v>
      </c>
      <c r="B1144" s="2">
        <v>43940</v>
      </c>
      <c r="C1144" s="1">
        <v>3</v>
      </c>
      <c r="D1144" s="39">
        <v>99</v>
      </c>
      <c r="E1144" s="1"/>
      <c r="F1144" s="39">
        <f t="shared" si="44"/>
        <v>3</v>
      </c>
      <c r="G1144" s="497"/>
      <c r="H1144" s="497"/>
      <c r="J1144" s="42"/>
    </row>
    <row r="1145" spans="1:10" s="360" customFormat="1" x14ac:dyDescent="0.25">
      <c r="A1145" s="19" t="s">
        <v>18</v>
      </c>
      <c r="B1145" s="2">
        <v>43940</v>
      </c>
      <c r="C1145" s="1">
        <v>8</v>
      </c>
      <c r="D1145" s="39">
        <v>127</v>
      </c>
      <c r="E1145" s="1"/>
      <c r="F1145" s="39">
        <f t="shared" si="44"/>
        <v>4</v>
      </c>
      <c r="G1145" s="497"/>
      <c r="H1145" s="497"/>
      <c r="J1145" s="42"/>
    </row>
    <row r="1146" spans="1:10" s="360" customFormat="1" x14ac:dyDescent="0.25">
      <c r="A1146" s="19" t="s">
        <v>34</v>
      </c>
      <c r="B1146" s="2">
        <v>43940</v>
      </c>
      <c r="C1146" s="1">
        <v>0</v>
      </c>
      <c r="D1146" s="39">
        <v>3</v>
      </c>
      <c r="E1146" s="1"/>
      <c r="F1146" s="39">
        <f t="shared" si="44"/>
        <v>0</v>
      </c>
      <c r="G1146" s="497"/>
      <c r="H1146" s="497"/>
      <c r="J1146" s="42"/>
    </row>
    <row r="1147" spans="1:10" s="360" customFormat="1" x14ac:dyDescent="0.25">
      <c r="A1147" s="19" t="s">
        <v>35</v>
      </c>
      <c r="B1147" s="2">
        <v>43940</v>
      </c>
      <c r="C1147" s="1">
        <v>0</v>
      </c>
      <c r="D1147" s="39">
        <v>2</v>
      </c>
      <c r="E1147" s="1"/>
      <c r="F1147" s="39">
        <f t="shared" si="44"/>
        <v>0</v>
      </c>
      <c r="G1147" s="497"/>
      <c r="H1147" s="497"/>
      <c r="J1147" s="42"/>
    </row>
    <row r="1148" spans="1:10" s="360" customFormat="1" x14ac:dyDescent="0.25">
      <c r="A1148" s="19" t="s">
        <v>36</v>
      </c>
      <c r="B1148" s="2">
        <v>43940</v>
      </c>
      <c r="C1148" s="1">
        <v>0</v>
      </c>
      <c r="D1148" s="39">
        <v>11</v>
      </c>
      <c r="E1148" s="1"/>
      <c r="F1148" s="39">
        <f t="shared" si="44"/>
        <v>0</v>
      </c>
      <c r="G1148" s="497"/>
      <c r="H1148" s="497"/>
      <c r="J1148" s="42"/>
    </row>
    <row r="1149" spans="1:10" s="360" customFormat="1" x14ac:dyDescent="0.25">
      <c r="A1149" s="19" t="s">
        <v>37</v>
      </c>
      <c r="B1149" s="2">
        <v>43940</v>
      </c>
      <c r="C1149" s="1">
        <v>0</v>
      </c>
      <c r="D1149" s="39">
        <v>40</v>
      </c>
      <c r="E1149" s="1"/>
      <c r="F1149" s="39">
        <f t="shared" si="44"/>
        <v>0</v>
      </c>
      <c r="G1149" s="497"/>
      <c r="H1149" s="497"/>
      <c r="J1149" s="42"/>
    </row>
    <row r="1150" spans="1:10" s="360" customFormat="1" x14ac:dyDescent="0.25">
      <c r="A1150" s="19" t="s">
        <v>22</v>
      </c>
      <c r="B1150" s="2">
        <v>43940</v>
      </c>
      <c r="C1150" s="1">
        <v>1</v>
      </c>
      <c r="D1150" s="39">
        <v>222</v>
      </c>
      <c r="E1150" s="1"/>
      <c r="F1150" s="39">
        <f>E1150+F1126</f>
        <v>2</v>
      </c>
      <c r="G1150" s="497"/>
      <c r="H1150" s="497"/>
      <c r="J1150" s="42"/>
    </row>
    <row r="1151" spans="1:10" s="360" customFormat="1" x14ac:dyDescent="0.25">
      <c r="A1151" s="19" t="s">
        <v>38</v>
      </c>
      <c r="B1151" s="2">
        <v>43940</v>
      </c>
      <c r="C1151" s="1">
        <v>0</v>
      </c>
      <c r="D1151" s="39">
        <v>12</v>
      </c>
      <c r="E1151" s="1"/>
      <c r="F1151" s="39">
        <f t="shared" si="44"/>
        <v>0</v>
      </c>
      <c r="G1151" s="497"/>
      <c r="H1151" s="497"/>
      <c r="J1151" s="42"/>
    </row>
    <row r="1152" spans="1:10" s="360" customFormat="1" x14ac:dyDescent="0.25">
      <c r="A1152" s="19" t="s">
        <v>39</v>
      </c>
      <c r="B1152" s="2">
        <v>43940</v>
      </c>
      <c r="C1152" s="1">
        <v>3</v>
      </c>
      <c r="D1152" s="39">
        <v>122</v>
      </c>
      <c r="E1152" s="1"/>
      <c r="F1152" s="39">
        <f t="shared" si="44"/>
        <v>0</v>
      </c>
      <c r="G1152" s="497"/>
      <c r="H1152" s="497"/>
      <c r="J1152" s="42"/>
    </row>
    <row r="1153" spans="1:10" s="360" customFormat="1" x14ac:dyDescent="0.25">
      <c r="A1153" s="19" t="s">
        <v>40</v>
      </c>
      <c r="B1153" s="2">
        <v>43940</v>
      </c>
      <c r="C1153" s="1">
        <v>0</v>
      </c>
      <c r="D1153" s="39">
        <v>30</v>
      </c>
      <c r="E1153" s="1"/>
      <c r="F1153" s="39">
        <f t="shared" si="44"/>
        <v>2</v>
      </c>
      <c r="G1153" s="497"/>
      <c r="H1153" s="497"/>
      <c r="J1153" s="42"/>
    </row>
    <row r="1154" spans="1:10" s="360" customFormat="1" x14ac:dyDescent="0.25">
      <c r="A1154" s="361" t="s">
        <v>16</v>
      </c>
      <c r="B1154" s="2">
        <v>43941</v>
      </c>
      <c r="C1154" s="1">
        <v>42</v>
      </c>
      <c r="D1154" s="39">
        <v>915</v>
      </c>
      <c r="E1154" s="1"/>
      <c r="F1154" s="39">
        <f>E1154+F1130</f>
        <v>54</v>
      </c>
      <c r="G1154" s="497"/>
      <c r="H1154" s="497"/>
      <c r="J1154" s="42"/>
    </row>
    <row r="1155" spans="1:10" s="360" customFormat="1" x14ac:dyDescent="0.25">
      <c r="A1155" s="19" t="s">
        <v>28</v>
      </c>
      <c r="B1155" s="2">
        <v>43941</v>
      </c>
      <c r="C1155" s="1">
        <v>0</v>
      </c>
      <c r="D1155" s="39">
        <v>0</v>
      </c>
      <c r="E1155" s="1"/>
      <c r="F1155" s="39">
        <f t="shared" ref="F1155:F1177" si="45">E1155+F1131</f>
        <v>0</v>
      </c>
      <c r="G1155" s="497"/>
      <c r="H1155" s="497"/>
      <c r="J1155" s="42"/>
    </row>
    <row r="1156" spans="1:10" s="360" customFormat="1" x14ac:dyDescent="0.25">
      <c r="A1156" s="19" t="s">
        <v>15</v>
      </c>
      <c r="B1156" s="2">
        <v>43941</v>
      </c>
      <c r="C1156" s="1">
        <v>5</v>
      </c>
      <c r="D1156" s="39">
        <v>258</v>
      </c>
      <c r="E1156" s="1">
        <v>1</v>
      </c>
      <c r="F1156" s="39">
        <f t="shared" si="45"/>
        <v>10</v>
      </c>
      <c r="G1156" s="497"/>
      <c r="H1156" s="497"/>
      <c r="J1156" s="42"/>
    </row>
    <row r="1157" spans="1:10" s="360" customFormat="1" x14ac:dyDescent="0.25">
      <c r="A1157" s="19" t="s">
        <v>29</v>
      </c>
      <c r="B1157" s="2">
        <v>43941</v>
      </c>
      <c r="C1157" s="1">
        <v>0</v>
      </c>
      <c r="D1157" s="39">
        <v>2</v>
      </c>
      <c r="E1157" s="1"/>
      <c r="F1157" s="39">
        <f t="shared" si="45"/>
        <v>1</v>
      </c>
      <c r="G1157" s="497"/>
      <c r="H1157" s="497"/>
      <c r="J1157" s="42"/>
    </row>
    <row r="1158" spans="1:10" s="360" customFormat="1" x14ac:dyDescent="0.25">
      <c r="A1158" s="19" t="s">
        <v>43</v>
      </c>
      <c r="B1158" s="2">
        <v>43941</v>
      </c>
      <c r="C1158" s="1">
        <v>22</v>
      </c>
      <c r="D1158" s="39">
        <v>728</v>
      </c>
      <c r="E1158" s="1">
        <v>1</v>
      </c>
      <c r="F1158" s="39">
        <f t="shared" si="45"/>
        <v>38</v>
      </c>
      <c r="G1158" s="497"/>
      <c r="H1158" s="497"/>
      <c r="J1158" s="42"/>
    </row>
    <row r="1159" spans="1:10" s="360" customFormat="1" x14ac:dyDescent="0.25">
      <c r="A1159" s="19" t="s">
        <v>20</v>
      </c>
      <c r="B1159" s="2">
        <v>43941</v>
      </c>
      <c r="C1159" s="1">
        <v>0</v>
      </c>
      <c r="D1159" s="39">
        <v>260</v>
      </c>
      <c r="E1159" s="1">
        <v>2</v>
      </c>
      <c r="F1159" s="39">
        <f t="shared" si="45"/>
        <v>9</v>
      </c>
      <c r="G1159" s="497"/>
      <c r="H1159" s="497"/>
      <c r="J1159" s="42"/>
    </row>
    <row r="1160" spans="1:10" s="360" customFormat="1" x14ac:dyDescent="0.25">
      <c r="A1160" s="19" t="s">
        <v>30</v>
      </c>
      <c r="B1160" s="2">
        <v>43941</v>
      </c>
      <c r="C1160" s="1">
        <v>3</v>
      </c>
      <c r="D1160" s="39">
        <v>34</v>
      </c>
      <c r="E1160" s="1"/>
      <c r="F1160" s="39">
        <f t="shared" si="45"/>
        <v>0</v>
      </c>
      <c r="G1160" s="497"/>
      <c r="H1160" s="497"/>
      <c r="J1160" s="42"/>
    </row>
    <row r="1161" spans="1:10" x14ac:dyDescent="0.25">
      <c r="A1161" s="19" t="s">
        <v>31</v>
      </c>
      <c r="B1161" s="2">
        <v>43941</v>
      </c>
      <c r="C1161" s="1">
        <v>0</v>
      </c>
      <c r="D1161" s="39">
        <v>22</v>
      </c>
      <c r="F1161" s="39">
        <f t="shared" si="45"/>
        <v>0</v>
      </c>
    </row>
    <row r="1162" spans="1:10" s="360" customFormat="1" x14ac:dyDescent="0.25">
      <c r="A1162" s="19" t="s">
        <v>41</v>
      </c>
      <c r="B1162" s="2">
        <v>43941</v>
      </c>
      <c r="C1162" s="1">
        <v>0</v>
      </c>
      <c r="D1162" s="39">
        <v>0</v>
      </c>
      <c r="E1162" s="1"/>
      <c r="F1162" s="39">
        <f t="shared" si="45"/>
        <v>0</v>
      </c>
      <c r="G1162" s="497"/>
      <c r="H1162" s="497"/>
      <c r="J1162" s="42"/>
    </row>
    <row r="1163" spans="1:10" s="360" customFormat="1" x14ac:dyDescent="0.25">
      <c r="A1163" s="19" t="s">
        <v>32</v>
      </c>
      <c r="B1163" s="2">
        <v>43941</v>
      </c>
      <c r="C1163" s="1">
        <v>0</v>
      </c>
      <c r="D1163" s="39">
        <v>5</v>
      </c>
      <c r="E1163" s="1"/>
      <c r="F1163" s="39">
        <f t="shared" si="45"/>
        <v>0</v>
      </c>
      <c r="G1163" s="497"/>
      <c r="H1163" s="497"/>
      <c r="J1163" s="42"/>
    </row>
    <row r="1164" spans="1:10" s="360" customFormat="1" x14ac:dyDescent="0.25">
      <c r="A1164" s="19" t="s">
        <v>33</v>
      </c>
      <c r="B1164" s="2">
        <v>43941</v>
      </c>
      <c r="C1164" s="1">
        <v>0</v>
      </c>
      <c r="D1164" s="39">
        <v>5</v>
      </c>
      <c r="E1164" s="1"/>
      <c r="F1164" s="39">
        <f t="shared" si="45"/>
        <v>0</v>
      </c>
      <c r="G1164" s="497"/>
      <c r="H1164" s="497"/>
      <c r="J1164" s="42"/>
    </row>
    <row r="1165" spans="1:10" s="360" customFormat="1" x14ac:dyDescent="0.25">
      <c r="A1165" s="19" t="s">
        <v>21</v>
      </c>
      <c r="B1165" s="2">
        <v>43941</v>
      </c>
      <c r="C1165" s="1">
        <v>0</v>
      </c>
      <c r="D1165" s="39">
        <v>39</v>
      </c>
      <c r="E1165" s="1"/>
      <c r="F1165" s="39">
        <f t="shared" si="45"/>
        <v>3</v>
      </c>
      <c r="G1165" s="497"/>
      <c r="H1165" s="497"/>
      <c r="J1165" s="42"/>
    </row>
    <row r="1166" spans="1:10" s="360" customFormat="1" x14ac:dyDescent="0.25">
      <c r="A1166" s="19" t="s">
        <v>17</v>
      </c>
      <c r="B1166" s="2">
        <v>43941</v>
      </c>
      <c r="C1166" s="1">
        <v>1</v>
      </c>
      <c r="D1166" s="39">
        <v>73</v>
      </c>
      <c r="E1166" s="1">
        <v>1</v>
      </c>
      <c r="F1166" s="39">
        <f t="shared" si="45"/>
        <v>8</v>
      </c>
      <c r="G1166" s="497"/>
      <c r="H1166" s="497"/>
      <c r="J1166" s="42"/>
    </row>
    <row r="1167" spans="1:10" s="360" customFormat="1" x14ac:dyDescent="0.25">
      <c r="A1167" s="19" t="s">
        <v>23</v>
      </c>
      <c r="B1167" s="2">
        <v>43941</v>
      </c>
      <c r="C1167" s="1">
        <v>0</v>
      </c>
      <c r="D1167" s="39">
        <v>5</v>
      </c>
      <c r="E1167" s="1"/>
      <c r="F1167" s="39">
        <f t="shared" si="45"/>
        <v>0</v>
      </c>
      <c r="G1167" s="497"/>
      <c r="H1167" s="497"/>
      <c r="J1167" s="42"/>
    </row>
    <row r="1168" spans="1:10" s="360" customFormat="1" x14ac:dyDescent="0.25">
      <c r="A1168" s="19" t="s">
        <v>19</v>
      </c>
      <c r="B1168" s="2">
        <v>43941</v>
      </c>
      <c r="C1168" s="1">
        <v>3</v>
      </c>
      <c r="D1168" s="39">
        <v>102</v>
      </c>
      <c r="E1168" s="1"/>
      <c r="F1168" s="39">
        <f t="shared" si="45"/>
        <v>3</v>
      </c>
      <c r="G1168" s="497"/>
      <c r="H1168" s="497"/>
      <c r="J1168" s="42"/>
    </row>
    <row r="1169" spans="1:10" s="360" customFormat="1" x14ac:dyDescent="0.25">
      <c r="A1169" s="19" t="s">
        <v>18</v>
      </c>
      <c r="B1169" s="2">
        <v>43941</v>
      </c>
      <c r="C1169" s="1">
        <v>10</v>
      </c>
      <c r="D1169" s="39">
        <v>137</v>
      </c>
      <c r="E1169" s="1">
        <v>3</v>
      </c>
      <c r="F1169" s="39">
        <f t="shared" si="45"/>
        <v>7</v>
      </c>
      <c r="G1169" s="497"/>
      <c r="H1169" s="497"/>
      <c r="J1169" s="42"/>
    </row>
    <row r="1170" spans="1:10" s="360" customFormat="1" x14ac:dyDescent="0.25">
      <c r="A1170" s="19" t="s">
        <v>34</v>
      </c>
      <c r="B1170" s="2">
        <v>43941</v>
      </c>
      <c r="C1170" s="1">
        <v>0</v>
      </c>
      <c r="D1170" s="39">
        <v>3</v>
      </c>
      <c r="E1170" s="1"/>
      <c r="F1170" s="39">
        <f t="shared" si="45"/>
        <v>0</v>
      </c>
      <c r="G1170" s="497"/>
      <c r="H1170" s="497"/>
      <c r="J1170" s="42"/>
    </row>
    <row r="1171" spans="1:10" s="360" customFormat="1" x14ac:dyDescent="0.25">
      <c r="A1171" s="19" t="s">
        <v>35</v>
      </c>
      <c r="B1171" s="2">
        <v>43941</v>
      </c>
      <c r="C1171" s="1">
        <v>0</v>
      </c>
      <c r="D1171" s="39">
        <v>2</v>
      </c>
      <c r="E1171" s="1"/>
      <c r="F1171" s="39">
        <f t="shared" si="45"/>
        <v>0</v>
      </c>
      <c r="G1171" s="497"/>
      <c r="H1171" s="497"/>
      <c r="J1171" s="42"/>
    </row>
    <row r="1172" spans="1:10" s="360" customFormat="1" x14ac:dyDescent="0.25">
      <c r="A1172" s="19" t="s">
        <v>36</v>
      </c>
      <c r="B1172" s="2">
        <v>43941</v>
      </c>
      <c r="C1172" s="1">
        <v>0</v>
      </c>
      <c r="D1172" s="39">
        <v>11</v>
      </c>
      <c r="E1172" s="1"/>
      <c r="F1172" s="39">
        <f t="shared" si="45"/>
        <v>0</v>
      </c>
      <c r="G1172" s="497"/>
      <c r="H1172" s="497"/>
      <c r="J1172" s="42"/>
    </row>
    <row r="1173" spans="1:10" s="360" customFormat="1" x14ac:dyDescent="0.25">
      <c r="A1173" s="19" t="s">
        <v>37</v>
      </c>
      <c r="B1173" s="2">
        <v>43941</v>
      </c>
      <c r="C1173" s="1">
        <v>1</v>
      </c>
      <c r="D1173" s="39">
        <v>41</v>
      </c>
      <c r="E1173" s="1"/>
      <c r="F1173" s="39">
        <f t="shared" si="45"/>
        <v>0</v>
      </c>
      <c r="G1173" s="497"/>
      <c r="H1173" s="497"/>
      <c r="J1173" s="42"/>
    </row>
    <row r="1174" spans="1:10" s="360" customFormat="1" x14ac:dyDescent="0.25">
      <c r="A1174" s="19" t="s">
        <v>22</v>
      </c>
      <c r="B1174" s="2">
        <v>43941</v>
      </c>
      <c r="C1174" s="1">
        <v>2</v>
      </c>
      <c r="D1174" s="39">
        <v>224</v>
      </c>
      <c r="E1174" s="1"/>
      <c r="F1174" s="39">
        <f>E1174+F1150</f>
        <v>2</v>
      </c>
      <c r="G1174" s="497"/>
      <c r="H1174" s="497"/>
      <c r="J1174" s="42"/>
    </row>
    <row r="1175" spans="1:10" s="360" customFormat="1" x14ac:dyDescent="0.25">
      <c r="A1175" s="19" t="s">
        <v>38</v>
      </c>
      <c r="B1175" s="2">
        <v>43941</v>
      </c>
      <c r="C1175" s="1">
        <v>0</v>
      </c>
      <c r="D1175" s="39">
        <v>12</v>
      </c>
      <c r="E1175" s="1"/>
      <c r="F1175" s="39">
        <f t="shared" si="45"/>
        <v>0</v>
      </c>
      <c r="G1175" s="497"/>
      <c r="H1175" s="497"/>
      <c r="J1175" s="42"/>
    </row>
    <row r="1176" spans="1:10" s="360" customFormat="1" x14ac:dyDescent="0.25">
      <c r="A1176" s="19" t="s">
        <v>39</v>
      </c>
      <c r="B1176" s="2">
        <v>43941</v>
      </c>
      <c r="C1176" s="1">
        <v>0</v>
      </c>
      <c r="D1176" s="39">
        <v>122</v>
      </c>
      <c r="E1176" s="1"/>
      <c r="F1176" s="39">
        <f t="shared" si="45"/>
        <v>0</v>
      </c>
      <c r="G1176" s="497"/>
      <c r="H1176" s="497"/>
      <c r="J1176" s="42"/>
    </row>
    <row r="1177" spans="1:10" s="360" customFormat="1" x14ac:dyDescent="0.25">
      <c r="A1177" s="19" t="s">
        <v>40</v>
      </c>
      <c r="B1177" s="2">
        <v>43941</v>
      </c>
      <c r="C1177" s="1">
        <v>1</v>
      </c>
      <c r="D1177" s="39">
        <v>31</v>
      </c>
      <c r="E1177" s="1"/>
      <c r="F1177" s="39">
        <f t="shared" si="45"/>
        <v>2</v>
      </c>
      <c r="G1177" s="497"/>
      <c r="H1177" s="497"/>
      <c r="J1177" s="42"/>
    </row>
    <row r="1178" spans="1:10" s="360" customFormat="1" x14ac:dyDescent="0.25">
      <c r="A1178" s="361" t="s">
        <v>16</v>
      </c>
      <c r="B1178" s="2">
        <v>43942</v>
      </c>
      <c r="C1178" s="1">
        <v>60</v>
      </c>
      <c r="D1178" s="39">
        <v>975</v>
      </c>
      <c r="E1178" s="1">
        <v>4</v>
      </c>
      <c r="F1178" s="39">
        <f>E1178+F1154</f>
        <v>58</v>
      </c>
      <c r="G1178" s="497"/>
      <c r="H1178" s="497"/>
      <c r="J1178" s="42"/>
    </row>
    <row r="1179" spans="1:10" s="360" customFormat="1" x14ac:dyDescent="0.25">
      <c r="A1179" s="19" t="s">
        <v>28</v>
      </c>
      <c r="B1179" s="2">
        <v>43942</v>
      </c>
      <c r="C1179" s="1">
        <v>0</v>
      </c>
      <c r="D1179" s="39">
        <v>0</v>
      </c>
      <c r="E1179" s="1"/>
      <c r="F1179" s="39">
        <f t="shared" ref="F1179:F1201" si="46">E1179+F1155</f>
        <v>0</v>
      </c>
      <c r="G1179" s="497"/>
      <c r="H1179" s="497"/>
      <c r="J1179" s="42"/>
    </row>
    <row r="1180" spans="1:10" s="360" customFormat="1" x14ac:dyDescent="0.25">
      <c r="A1180" s="19" t="s">
        <v>15</v>
      </c>
      <c r="B1180" s="2">
        <v>43942</v>
      </c>
      <c r="C1180" s="1">
        <v>5</v>
      </c>
      <c r="D1180" s="39">
        <v>263</v>
      </c>
      <c r="E1180" s="1"/>
      <c r="F1180" s="39">
        <f t="shared" si="46"/>
        <v>10</v>
      </c>
      <c r="G1180" s="497"/>
      <c r="H1180" s="497"/>
      <c r="J1180" s="42"/>
    </row>
    <row r="1181" spans="1:10" s="360" customFormat="1" x14ac:dyDescent="0.25">
      <c r="A1181" s="19" t="s">
        <v>29</v>
      </c>
      <c r="B1181" s="2">
        <v>43942</v>
      </c>
      <c r="C1181" s="1">
        <v>0</v>
      </c>
      <c r="D1181" s="39">
        <v>2</v>
      </c>
      <c r="E1181" s="1"/>
      <c r="F1181" s="39">
        <f t="shared" si="46"/>
        <v>1</v>
      </c>
      <c r="G1181" s="497"/>
      <c r="H1181" s="497"/>
      <c r="J1181" s="42"/>
    </row>
    <row r="1182" spans="1:10" s="360" customFormat="1" x14ac:dyDescent="0.25">
      <c r="A1182" s="19" t="s">
        <v>43</v>
      </c>
      <c r="B1182" s="2">
        <v>43942</v>
      </c>
      <c r="C1182" s="1">
        <v>33</v>
      </c>
      <c r="D1182" s="39">
        <v>761</v>
      </c>
      <c r="E1182" s="1">
        <v>3</v>
      </c>
      <c r="F1182" s="39">
        <f t="shared" si="46"/>
        <v>41</v>
      </c>
      <c r="G1182" s="497"/>
      <c r="H1182" s="497"/>
      <c r="J1182" s="42"/>
    </row>
    <row r="1183" spans="1:10" s="360" customFormat="1" x14ac:dyDescent="0.25">
      <c r="A1183" s="19" t="s">
        <v>20</v>
      </c>
      <c r="B1183" s="2">
        <v>43942</v>
      </c>
      <c r="C1183" s="1">
        <v>0</v>
      </c>
      <c r="D1183" s="39">
        <v>260</v>
      </c>
      <c r="E1183" s="1"/>
      <c r="F1183" s="39">
        <f t="shared" si="46"/>
        <v>9</v>
      </c>
      <c r="G1183" s="497"/>
      <c r="H1183" s="497"/>
      <c r="J1183" s="42"/>
    </row>
    <row r="1184" spans="1:10" s="360" customFormat="1" x14ac:dyDescent="0.25">
      <c r="A1184" s="19" t="s">
        <v>30</v>
      </c>
      <c r="B1184" s="2">
        <v>43942</v>
      </c>
      <c r="C1184" s="1">
        <v>0</v>
      </c>
      <c r="D1184" s="39">
        <v>34</v>
      </c>
      <c r="E1184" s="1"/>
      <c r="F1184" s="39">
        <f t="shared" si="46"/>
        <v>0</v>
      </c>
      <c r="G1184" s="497"/>
      <c r="H1184" s="497"/>
      <c r="J1184" s="42"/>
    </row>
    <row r="1185" spans="1:10" x14ac:dyDescent="0.25">
      <c r="A1185" s="19" t="s">
        <v>31</v>
      </c>
      <c r="B1185" s="2">
        <v>43942</v>
      </c>
      <c r="C1185" s="1">
        <v>0</v>
      </c>
      <c r="D1185" s="39">
        <v>22</v>
      </c>
      <c r="F1185" s="39">
        <f t="shared" si="46"/>
        <v>0</v>
      </c>
    </row>
    <row r="1186" spans="1:10" s="360" customFormat="1" x14ac:dyDescent="0.25">
      <c r="A1186" s="19" t="s">
        <v>41</v>
      </c>
      <c r="B1186" s="2">
        <v>43942</v>
      </c>
      <c r="C1186" s="1">
        <v>0</v>
      </c>
      <c r="D1186" s="39">
        <v>0</v>
      </c>
      <c r="E1186" s="1"/>
      <c r="F1186" s="39">
        <f t="shared" si="46"/>
        <v>0</v>
      </c>
      <c r="G1186" s="497"/>
      <c r="H1186" s="497"/>
      <c r="J1186" s="42"/>
    </row>
    <row r="1187" spans="1:10" s="360" customFormat="1" x14ac:dyDescent="0.25">
      <c r="A1187" s="19" t="s">
        <v>32</v>
      </c>
      <c r="B1187" s="2">
        <v>43942</v>
      </c>
      <c r="C1187" s="1">
        <v>0</v>
      </c>
      <c r="D1187" s="39">
        <v>5</v>
      </c>
      <c r="E1187" s="1"/>
      <c r="F1187" s="39">
        <f t="shared" si="46"/>
        <v>0</v>
      </c>
      <c r="G1187" s="497"/>
      <c r="H1187" s="497"/>
      <c r="J1187" s="42"/>
    </row>
    <row r="1188" spans="1:10" s="360" customFormat="1" x14ac:dyDescent="0.25">
      <c r="A1188" s="19" t="s">
        <v>33</v>
      </c>
      <c r="B1188" s="2">
        <v>43942</v>
      </c>
      <c r="C1188" s="1">
        <v>0</v>
      </c>
      <c r="D1188" s="39">
        <v>5</v>
      </c>
      <c r="E1188" s="1"/>
      <c r="F1188" s="39">
        <f t="shared" si="46"/>
        <v>0</v>
      </c>
      <c r="G1188" s="497"/>
      <c r="H1188" s="497"/>
      <c r="J1188" s="42"/>
    </row>
    <row r="1189" spans="1:10" s="360" customFormat="1" x14ac:dyDescent="0.25">
      <c r="A1189" s="19" t="s">
        <v>21</v>
      </c>
      <c r="B1189" s="2">
        <v>43942</v>
      </c>
      <c r="C1189" s="1">
        <v>1</v>
      </c>
      <c r="D1189" s="39">
        <v>40</v>
      </c>
      <c r="E1189" s="1">
        <v>2</v>
      </c>
      <c r="F1189" s="39">
        <f t="shared" si="46"/>
        <v>5</v>
      </c>
      <c r="G1189" s="497"/>
      <c r="H1189" s="497"/>
      <c r="J1189" s="42"/>
    </row>
    <row r="1190" spans="1:10" s="360" customFormat="1" x14ac:dyDescent="0.25">
      <c r="A1190" s="19" t="s">
        <v>17</v>
      </c>
      <c r="B1190" s="2">
        <v>43942</v>
      </c>
      <c r="C1190" s="1">
        <v>0</v>
      </c>
      <c r="D1190" s="39">
        <v>73</v>
      </c>
      <c r="E1190" s="1"/>
      <c r="F1190" s="39">
        <f t="shared" si="46"/>
        <v>8</v>
      </c>
      <c r="G1190" s="497"/>
      <c r="H1190" s="497"/>
      <c r="J1190" s="42"/>
    </row>
    <row r="1191" spans="1:10" s="360" customFormat="1" x14ac:dyDescent="0.25">
      <c r="A1191" s="19" t="s">
        <v>23</v>
      </c>
      <c r="B1191" s="2">
        <v>43942</v>
      </c>
      <c r="C1191" s="1">
        <v>0</v>
      </c>
      <c r="D1191" s="39">
        <v>5</v>
      </c>
      <c r="E1191" s="1"/>
      <c r="F1191" s="39">
        <f t="shared" si="46"/>
        <v>0</v>
      </c>
      <c r="G1191" s="497"/>
      <c r="H1191" s="497"/>
      <c r="J1191" s="42"/>
    </row>
    <row r="1192" spans="1:10" s="360" customFormat="1" x14ac:dyDescent="0.25">
      <c r="A1192" s="19" t="s">
        <v>19</v>
      </c>
      <c r="B1192" s="2">
        <v>43942</v>
      </c>
      <c r="C1192" s="1">
        <v>0</v>
      </c>
      <c r="D1192" s="39">
        <v>102</v>
      </c>
      <c r="E1192" s="1"/>
      <c r="F1192" s="39">
        <f t="shared" si="46"/>
        <v>3</v>
      </c>
      <c r="G1192" s="497"/>
      <c r="H1192" s="497"/>
      <c r="J1192" s="42"/>
    </row>
    <row r="1193" spans="1:10" s="360" customFormat="1" x14ac:dyDescent="0.25">
      <c r="A1193" s="19" t="s">
        <v>18</v>
      </c>
      <c r="B1193" s="2">
        <v>43942</v>
      </c>
      <c r="C1193" s="1">
        <v>11</v>
      </c>
      <c r="D1193" s="39">
        <v>148</v>
      </c>
      <c r="E1193" s="1"/>
      <c r="F1193" s="39">
        <f t="shared" si="46"/>
        <v>7</v>
      </c>
      <c r="G1193" s="497"/>
      <c r="H1193" s="497"/>
      <c r="J1193" s="42"/>
    </row>
    <row r="1194" spans="1:10" s="360" customFormat="1" x14ac:dyDescent="0.25">
      <c r="A1194" s="19" t="s">
        <v>34</v>
      </c>
      <c r="B1194" s="2">
        <v>43942</v>
      </c>
      <c r="C1194" s="1">
        <v>0</v>
      </c>
      <c r="D1194" s="39">
        <v>3</v>
      </c>
      <c r="E1194" s="1"/>
      <c r="F1194" s="39">
        <f t="shared" si="46"/>
        <v>0</v>
      </c>
      <c r="G1194" s="497"/>
      <c r="H1194" s="497"/>
      <c r="J1194" s="42"/>
    </row>
    <row r="1195" spans="1:10" s="360" customFormat="1" x14ac:dyDescent="0.25">
      <c r="A1195" s="19" t="s">
        <v>35</v>
      </c>
      <c r="B1195" s="2">
        <v>43942</v>
      </c>
      <c r="C1195" s="1">
        <v>0</v>
      </c>
      <c r="D1195" s="39">
        <v>2</v>
      </c>
      <c r="E1195" s="1"/>
      <c r="F1195" s="39">
        <f t="shared" si="46"/>
        <v>0</v>
      </c>
      <c r="G1195" s="497"/>
      <c r="H1195" s="497"/>
      <c r="J1195" s="42"/>
    </row>
    <row r="1196" spans="1:10" s="360" customFormat="1" x14ac:dyDescent="0.25">
      <c r="A1196" s="19" t="s">
        <v>36</v>
      </c>
      <c r="B1196" s="2">
        <v>43942</v>
      </c>
      <c r="C1196" s="1">
        <v>0</v>
      </c>
      <c r="D1196" s="39">
        <v>11</v>
      </c>
      <c r="E1196" s="1"/>
      <c r="F1196" s="39">
        <f t="shared" si="46"/>
        <v>0</v>
      </c>
      <c r="G1196" s="497"/>
      <c r="H1196" s="497"/>
      <c r="J1196" s="42"/>
    </row>
    <row r="1197" spans="1:10" s="360" customFormat="1" x14ac:dyDescent="0.25">
      <c r="A1197" s="19" t="s">
        <v>37</v>
      </c>
      <c r="B1197" s="2">
        <v>43942</v>
      </c>
      <c r="C1197" s="1">
        <v>0</v>
      </c>
      <c r="D1197" s="39">
        <v>41</v>
      </c>
      <c r="E1197" s="1"/>
      <c r="F1197" s="39">
        <f t="shared" si="46"/>
        <v>0</v>
      </c>
      <c r="G1197" s="497"/>
      <c r="H1197" s="497"/>
      <c r="J1197" s="42"/>
    </row>
    <row r="1198" spans="1:10" s="360" customFormat="1" x14ac:dyDescent="0.25">
      <c r="A1198" s="19" t="s">
        <v>22</v>
      </c>
      <c r="B1198" s="2">
        <v>43942</v>
      </c>
      <c r="C1198" s="1">
        <v>1</v>
      </c>
      <c r="D1198" s="39">
        <v>225</v>
      </c>
      <c r="E1198" s="1"/>
      <c r="F1198" s="39">
        <f>E1198+F1174</f>
        <v>2</v>
      </c>
      <c r="G1198" s="497"/>
      <c r="H1198" s="497"/>
      <c r="J1198" s="42"/>
    </row>
    <row r="1199" spans="1:10" s="360" customFormat="1" x14ac:dyDescent="0.25">
      <c r="A1199" s="19" t="s">
        <v>38</v>
      </c>
      <c r="B1199" s="2">
        <v>43942</v>
      </c>
      <c r="C1199" s="1">
        <v>0</v>
      </c>
      <c r="D1199" s="39">
        <v>12</v>
      </c>
      <c r="E1199" s="1"/>
      <c r="F1199" s="39">
        <f t="shared" si="46"/>
        <v>0</v>
      </c>
      <c r="G1199" s="497"/>
      <c r="H1199" s="497"/>
      <c r="J1199" s="42"/>
    </row>
    <row r="1200" spans="1:10" s="360" customFormat="1" x14ac:dyDescent="0.25">
      <c r="A1200" s="19" t="s">
        <v>39</v>
      </c>
      <c r="B1200" s="2">
        <v>43942</v>
      </c>
      <c r="C1200" s="1">
        <v>2</v>
      </c>
      <c r="D1200" s="39">
        <v>124</v>
      </c>
      <c r="E1200" s="1"/>
      <c r="F1200" s="39">
        <f t="shared" si="46"/>
        <v>0</v>
      </c>
      <c r="G1200" s="497"/>
      <c r="H1200" s="497"/>
      <c r="J1200" s="42"/>
    </row>
    <row r="1201" spans="1:10" s="360" customFormat="1" x14ac:dyDescent="0.25">
      <c r="A1201" s="19" t="s">
        <v>40</v>
      </c>
      <c r="B1201" s="2">
        <v>43942</v>
      </c>
      <c r="C1201" s="1">
        <v>0</v>
      </c>
      <c r="D1201" s="39">
        <v>31</v>
      </c>
      <c r="E1201" s="1"/>
      <c r="F1201" s="39">
        <f t="shared" si="46"/>
        <v>2</v>
      </c>
      <c r="G1201" s="497"/>
      <c r="H1201" s="497"/>
      <c r="J1201" s="42"/>
    </row>
    <row r="1202" spans="1:10" s="360" customFormat="1" x14ac:dyDescent="0.25">
      <c r="A1202" s="361" t="s">
        <v>16</v>
      </c>
      <c r="B1202" s="2">
        <v>43943</v>
      </c>
      <c r="C1202" s="1">
        <v>61</v>
      </c>
      <c r="D1202" s="39">
        <v>1036</v>
      </c>
      <c r="E1202" s="1">
        <v>5</v>
      </c>
      <c r="F1202" s="39">
        <f>E1202+F1178</f>
        <v>63</v>
      </c>
      <c r="G1202" s="497"/>
      <c r="H1202" s="497"/>
      <c r="J1202" s="42"/>
    </row>
    <row r="1203" spans="1:10" s="360" customFormat="1" x14ac:dyDescent="0.25">
      <c r="A1203" s="19" t="s">
        <v>28</v>
      </c>
      <c r="B1203" s="2">
        <v>43943</v>
      </c>
      <c r="C1203" s="1">
        <v>0</v>
      </c>
      <c r="D1203" s="39">
        <v>0</v>
      </c>
      <c r="E1203" s="1"/>
      <c r="F1203" s="39">
        <f t="shared" ref="F1203:F1225" si="47">E1203+F1179</f>
        <v>0</v>
      </c>
      <c r="G1203" s="497"/>
      <c r="H1203" s="497"/>
      <c r="J1203" s="42"/>
    </row>
    <row r="1204" spans="1:10" s="360" customFormat="1" x14ac:dyDescent="0.25">
      <c r="A1204" s="19" t="s">
        <v>15</v>
      </c>
      <c r="B1204" s="2">
        <v>43943</v>
      </c>
      <c r="C1204" s="1">
        <v>7</v>
      </c>
      <c r="D1204" s="39">
        <v>270</v>
      </c>
      <c r="E1204" s="1"/>
      <c r="F1204" s="39">
        <f t="shared" si="47"/>
        <v>10</v>
      </c>
      <c r="G1204" s="497"/>
      <c r="H1204" s="497"/>
      <c r="J1204" s="42"/>
    </row>
    <row r="1205" spans="1:10" s="360" customFormat="1" x14ac:dyDescent="0.25">
      <c r="A1205" s="19" t="s">
        <v>29</v>
      </c>
      <c r="B1205" s="2">
        <v>43943</v>
      </c>
      <c r="C1205" s="1">
        <v>0</v>
      </c>
      <c r="D1205" s="39">
        <v>2</v>
      </c>
      <c r="E1205" s="1"/>
      <c r="F1205" s="39">
        <f t="shared" si="47"/>
        <v>1</v>
      </c>
      <c r="G1205" s="497"/>
      <c r="H1205" s="497"/>
      <c r="J1205" s="42"/>
    </row>
    <row r="1206" spans="1:10" s="360" customFormat="1" x14ac:dyDescent="0.25">
      <c r="A1206" s="19" t="s">
        <v>43</v>
      </c>
      <c r="B1206" s="2">
        <v>43943</v>
      </c>
      <c r="C1206" s="1">
        <v>39</v>
      </c>
      <c r="D1206" s="39">
        <v>800</v>
      </c>
      <c r="E1206" s="1">
        <v>2</v>
      </c>
      <c r="F1206" s="39">
        <f t="shared" si="47"/>
        <v>43</v>
      </c>
      <c r="G1206" s="497"/>
      <c r="H1206" s="497"/>
      <c r="J1206" s="42"/>
    </row>
    <row r="1207" spans="1:10" s="360" customFormat="1" x14ac:dyDescent="0.25">
      <c r="A1207" s="19" t="s">
        <v>20</v>
      </c>
      <c r="B1207" s="2">
        <v>43943</v>
      </c>
      <c r="C1207" s="1">
        <v>4</v>
      </c>
      <c r="D1207" s="39">
        <v>264</v>
      </c>
      <c r="E1207" s="1">
        <v>1</v>
      </c>
      <c r="F1207" s="39">
        <f t="shared" si="47"/>
        <v>10</v>
      </c>
      <c r="G1207" s="497"/>
      <c r="H1207" s="497"/>
      <c r="J1207" s="42"/>
    </row>
    <row r="1208" spans="1:10" s="360" customFormat="1" x14ac:dyDescent="0.25">
      <c r="A1208" s="19" t="s">
        <v>30</v>
      </c>
      <c r="B1208" s="2">
        <v>43943</v>
      </c>
      <c r="C1208" s="1">
        <v>0</v>
      </c>
      <c r="D1208" s="39">
        <v>34</v>
      </c>
      <c r="E1208" s="1"/>
      <c r="F1208" s="39">
        <f t="shared" si="47"/>
        <v>0</v>
      </c>
      <c r="G1208" s="497"/>
      <c r="H1208" s="497"/>
      <c r="J1208" s="42"/>
    </row>
    <row r="1209" spans="1:10" x14ac:dyDescent="0.25">
      <c r="A1209" s="19" t="s">
        <v>31</v>
      </c>
      <c r="B1209" s="2">
        <v>43943</v>
      </c>
      <c r="C1209" s="1">
        <v>0</v>
      </c>
      <c r="D1209" s="39">
        <v>22</v>
      </c>
      <c r="F1209" s="39">
        <f t="shared" si="47"/>
        <v>0</v>
      </c>
    </row>
    <row r="1210" spans="1:10" s="360" customFormat="1" x14ac:dyDescent="0.25">
      <c r="A1210" s="19" t="s">
        <v>41</v>
      </c>
      <c r="B1210" s="2">
        <v>43943</v>
      </c>
      <c r="C1210" s="1">
        <v>0</v>
      </c>
      <c r="D1210" s="39">
        <v>0</v>
      </c>
      <c r="E1210" s="1"/>
      <c r="F1210" s="39">
        <f t="shared" si="47"/>
        <v>0</v>
      </c>
      <c r="G1210" s="497"/>
      <c r="H1210" s="497"/>
      <c r="J1210" s="42"/>
    </row>
    <row r="1211" spans="1:10" s="360" customFormat="1" x14ac:dyDescent="0.25">
      <c r="A1211" s="19" t="s">
        <v>32</v>
      </c>
      <c r="B1211" s="2">
        <v>43943</v>
      </c>
      <c r="C1211" s="1">
        <v>0</v>
      </c>
      <c r="D1211" s="39">
        <v>5</v>
      </c>
      <c r="E1211" s="1"/>
      <c r="F1211" s="39">
        <f t="shared" si="47"/>
        <v>0</v>
      </c>
      <c r="G1211" s="497"/>
      <c r="H1211" s="497"/>
      <c r="J1211" s="42"/>
    </row>
    <row r="1212" spans="1:10" s="360" customFormat="1" x14ac:dyDescent="0.25">
      <c r="A1212" s="19" t="s">
        <v>33</v>
      </c>
      <c r="B1212" s="2">
        <v>43943</v>
      </c>
      <c r="C1212" s="1">
        <v>0</v>
      </c>
      <c r="D1212" s="39">
        <v>5</v>
      </c>
      <c r="E1212" s="1"/>
      <c r="F1212" s="39">
        <f t="shared" si="47"/>
        <v>0</v>
      </c>
      <c r="G1212" s="497"/>
      <c r="H1212" s="497"/>
      <c r="J1212" s="42"/>
    </row>
    <row r="1213" spans="1:10" s="360" customFormat="1" x14ac:dyDescent="0.25">
      <c r="A1213" s="19" t="s">
        <v>21</v>
      </c>
      <c r="B1213" s="2">
        <v>43943</v>
      </c>
      <c r="C1213" s="1">
        <v>5</v>
      </c>
      <c r="D1213" s="39">
        <v>45</v>
      </c>
      <c r="E1213" s="1"/>
      <c r="F1213" s="39">
        <f t="shared" si="47"/>
        <v>5</v>
      </c>
      <c r="G1213" s="497"/>
      <c r="H1213" s="497"/>
      <c r="J1213" s="42"/>
    </row>
    <row r="1214" spans="1:10" s="360" customFormat="1" x14ac:dyDescent="0.25">
      <c r="A1214" s="19" t="s">
        <v>17</v>
      </c>
      <c r="B1214" s="2">
        <v>43943</v>
      </c>
      <c r="C1214" s="1">
        <v>1</v>
      </c>
      <c r="D1214" s="39">
        <v>74</v>
      </c>
      <c r="E1214" s="1"/>
      <c r="F1214" s="39">
        <f t="shared" si="47"/>
        <v>8</v>
      </c>
      <c r="G1214" s="497"/>
      <c r="H1214" s="497"/>
      <c r="J1214" s="42"/>
    </row>
    <row r="1215" spans="1:10" s="360" customFormat="1" x14ac:dyDescent="0.25">
      <c r="A1215" s="19" t="s">
        <v>23</v>
      </c>
      <c r="B1215" s="2">
        <v>43943</v>
      </c>
      <c r="C1215" s="1">
        <v>0</v>
      </c>
      <c r="D1215" s="39">
        <v>5</v>
      </c>
      <c r="E1215" s="1"/>
      <c r="F1215" s="39">
        <f t="shared" si="47"/>
        <v>0</v>
      </c>
      <c r="G1215" s="497"/>
      <c r="H1215" s="497"/>
      <c r="J1215" s="42"/>
    </row>
    <row r="1216" spans="1:10" s="360" customFormat="1" x14ac:dyDescent="0.25">
      <c r="A1216" s="19" t="s">
        <v>19</v>
      </c>
      <c r="B1216" s="2">
        <v>43943</v>
      </c>
      <c r="C1216" s="1">
        <v>1</v>
      </c>
      <c r="D1216" s="39">
        <v>103</v>
      </c>
      <c r="E1216" s="1"/>
      <c r="F1216" s="39">
        <f t="shared" si="47"/>
        <v>3</v>
      </c>
      <c r="G1216" s="497"/>
      <c r="H1216" s="497"/>
      <c r="J1216" s="42"/>
    </row>
    <row r="1217" spans="1:10" s="360" customFormat="1" x14ac:dyDescent="0.25">
      <c r="A1217" s="19" t="s">
        <v>18</v>
      </c>
      <c r="B1217" s="2">
        <v>43943</v>
      </c>
      <c r="C1217" s="1">
        <v>17</v>
      </c>
      <c r="D1217" s="39">
        <v>165</v>
      </c>
      <c r="E1217" s="1"/>
      <c r="F1217" s="39">
        <f t="shared" si="47"/>
        <v>7</v>
      </c>
      <c r="G1217" s="497"/>
      <c r="H1217" s="497"/>
      <c r="J1217" s="42"/>
    </row>
    <row r="1218" spans="1:10" s="360" customFormat="1" x14ac:dyDescent="0.25">
      <c r="A1218" s="19" t="s">
        <v>34</v>
      </c>
      <c r="B1218" s="2">
        <v>43943</v>
      </c>
      <c r="C1218" s="1">
        <v>0</v>
      </c>
      <c r="D1218" s="39">
        <v>3</v>
      </c>
      <c r="E1218" s="1"/>
      <c r="F1218" s="39">
        <f t="shared" si="47"/>
        <v>0</v>
      </c>
      <c r="G1218" s="497"/>
      <c r="H1218" s="497"/>
      <c r="J1218" s="42"/>
    </row>
    <row r="1219" spans="1:10" s="360" customFormat="1" x14ac:dyDescent="0.25">
      <c r="A1219" s="19" t="s">
        <v>35</v>
      </c>
      <c r="B1219" s="2">
        <v>43943</v>
      </c>
      <c r="C1219" s="1">
        <v>0</v>
      </c>
      <c r="D1219" s="39">
        <v>2</v>
      </c>
      <c r="E1219" s="1"/>
      <c r="F1219" s="39">
        <f t="shared" si="47"/>
        <v>0</v>
      </c>
      <c r="G1219" s="497"/>
      <c r="H1219" s="497"/>
      <c r="J1219" s="42"/>
    </row>
    <row r="1220" spans="1:10" s="360" customFormat="1" x14ac:dyDescent="0.25">
      <c r="A1220" s="19" t="s">
        <v>36</v>
      </c>
      <c r="B1220" s="2">
        <v>43943</v>
      </c>
      <c r="C1220" s="1">
        <v>0</v>
      </c>
      <c r="D1220" s="39">
        <v>11</v>
      </c>
      <c r="E1220" s="1"/>
      <c r="F1220" s="39">
        <f t="shared" si="47"/>
        <v>0</v>
      </c>
      <c r="G1220" s="497"/>
      <c r="H1220" s="497"/>
      <c r="J1220" s="42"/>
    </row>
    <row r="1221" spans="1:10" s="360" customFormat="1" x14ac:dyDescent="0.25">
      <c r="A1221" s="19" t="s">
        <v>37</v>
      </c>
      <c r="B1221" s="2">
        <v>43943</v>
      </c>
      <c r="C1221" s="1">
        <v>0</v>
      </c>
      <c r="D1221" s="39">
        <v>41</v>
      </c>
      <c r="E1221" s="1"/>
      <c r="F1221" s="39">
        <f t="shared" si="47"/>
        <v>0</v>
      </c>
      <c r="G1221" s="497"/>
      <c r="H1221" s="497"/>
      <c r="J1221" s="42"/>
    </row>
    <row r="1222" spans="1:10" s="360" customFormat="1" x14ac:dyDescent="0.25">
      <c r="A1222" s="19" t="s">
        <v>22</v>
      </c>
      <c r="B1222" s="2">
        <v>43943</v>
      </c>
      <c r="C1222" s="1">
        <v>5</v>
      </c>
      <c r="D1222" s="39">
        <v>230</v>
      </c>
      <c r="E1222" s="1"/>
      <c r="F1222" s="39">
        <f>E1222+F1198</f>
        <v>2</v>
      </c>
      <c r="G1222" s="497"/>
      <c r="H1222" s="497"/>
      <c r="J1222" s="42"/>
    </row>
    <row r="1223" spans="1:10" s="360" customFormat="1" x14ac:dyDescent="0.25">
      <c r="A1223" s="19" t="s">
        <v>38</v>
      </c>
      <c r="B1223" s="2">
        <v>43943</v>
      </c>
      <c r="C1223" s="1">
        <v>0</v>
      </c>
      <c r="D1223" s="39">
        <v>12</v>
      </c>
      <c r="E1223" s="1"/>
      <c r="F1223" s="39">
        <f t="shared" si="47"/>
        <v>0</v>
      </c>
      <c r="G1223" s="497"/>
      <c r="H1223" s="497"/>
      <c r="J1223" s="42"/>
    </row>
    <row r="1224" spans="1:10" s="360" customFormat="1" x14ac:dyDescent="0.25">
      <c r="A1224" s="19" t="s">
        <v>39</v>
      </c>
      <c r="B1224" s="2">
        <v>43943</v>
      </c>
      <c r="C1224" s="1">
        <v>0</v>
      </c>
      <c r="D1224" s="39">
        <v>124</v>
      </c>
      <c r="E1224" s="1"/>
      <c r="F1224" s="39">
        <f t="shared" si="47"/>
        <v>0</v>
      </c>
      <c r="G1224" s="497"/>
      <c r="H1224" s="497"/>
      <c r="J1224" s="42"/>
    </row>
    <row r="1225" spans="1:10" s="360" customFormat="1" x14ac:dyDescent="0.25">
      <c r="A1225" s="19" t="s">
        <v>40</v>
      </c>
      <c r="B1225" s="2">
        <v>43943</v>
      </c>
      <c r="C1225" s="1">
        <v>4</v>
      </c>
      <c r="D1225" s="39">
        <v>35</v>
      </c>
      <c r="E1225" s="1"/>
      <c r="F1225" s="39">
        <f t="shared" si="47"/>
        <v>2</v>
      </c>
      <c r="G1225" s="497"/>
      <c r="H1225" s="497"/>
      <c r="J1225" s="42"/>
    </row>
    <row r="1226" spans="1:10" s="360" customFormat="1" x14ac:dyDescent="0.25">
      <c r="A1226" s="361" t="s">
        <v>16</v>
      </c>
      <c r="B1226" s="2">
        <v>43944</v>
      </c>
      <c r="C1226" s="1">
        <v>84</v>
      </c>
      <c r="D1226" s="39">
        <v>1120</v>
      </c>
      <c r="E1226" s="1">
        <v>4</v>
      </c>
      <c r="F1226" s="39">
        <f>E1226+F1202</f>
        <v>67</v>
      </c>
      <c r="G1226" s="497"/>
      <c r="H1226" s="497"/>
      <c r="J1226" s="42"/>
    </row>
    <row r="1227" spans="1:10" s="360" customFormat="1" x14ac:dyDescent="0.25">
      <c r="A1227" s="19" t="s">
        <v>28</v>
      </c>
      <c r="B1227" s="2">
        <v>43944</v>
      </c>
      <c r="C1227" s="1">
        <v>0</v>
      </c>
      <c r="D1227" s="39">
        <v>0</v>
      </c>
      <c r="E1227" s="1"/>
      <c r="F1227" s="39">
        <f t="shared" ref="F1227:F1249" si="48">E1227+F1203</f>
        <v>0</v>
      </c>
      <c r="G1227" s="497"/>
      <c r="H1227" s="497"/>
      <c r="J1227" s="42"/>
    </row>
    <row r="1228" spans="1:10" s="360" customFormat="1" x14ac:dyDescent="0.25">
      <c r="A1228" s="19" t="s">
        <v>15</v>
      </c>
      <c r="B1228" s="2">
        <v>43944</v>
      </c>
      <c r="C1228" s="1">
        <v>10</v>
      </c>
      <c r="D1228" s="39">
        <v>280</v>
      </c>
      <c r="E1228" s="1"/>
      <c r="F1228" s="39">
        <f t="shared" si="48"/>
        <v>10</v>
      </c>
      <c r="G1228" s="497"/>
      <c r="H1228" s="497"/>
      <c r="J1228" s="42"/>
    </row>
    <row r="1229" spans="1:10" s="360" customFormat="1" x14ac:dyDescent="0.25">
      <c r="A1229" s="19" t="s">
        <v>29</v>
      </c>
      <c r="B1229" s="2">
        <v>43944</v>
      </c>
      <c r="C1229" s="1">
        <v>0</v>
      </c>
      <c r="D1229" s="39">
        <v>2</v>
      </c>
      <c r="E1229" s="1"/>
      <c r="F1229" s="39">
        <f t="shared" si="48"/>
        <v>1</v>
      </c>
      <c r="G1229" s="497"/>
      <c r="H1229" s="497"/>
      <c r="J1229" s="42"/>
    </row>
    <row r="1230" spans="1:10" s="360" customFormat="1" x14ac:dyDescent="0.25">
      <c r="A1230" s="19" t="s">
        <v>43</v>
      </c>
      <c r="B1230" s="2">
        <v>43944</v>
      </c>
      <c r="C1230" s="1">
        <v>37</v>
      </c>
      <c r="D1230" s="39">
        <v>837</v>
      </c>
      <c r="E1230" s="1">
        <v>1</v>
      </c>
      <c r="F1230" s="39">
        <f t="shared" si="48"/>
        <v>44</v>
      </c>
      <c r="G1230" s="497"/>
      <c r="H1230" s="497"/>
      <c r="J1230" s="42"/>
    </row>
    <row r="1231" spans="1:10" s="360" customFormat="1" x14ac:dyDescent="0.25">
      <c r="A1231" s="19" t="s">
        <v>20</v>
      </c>
      <c r="B1231" s="2">
        <v>43944</v>
      </c>
      <c r="C1231" s="1">
        <v>2</v>
      </c>
      <c r="D1231" s="39">
        <v>266</v>
      </c>
      <c r="E1231" s="1"/>
      <c r="F1231" s="39">
        <f t="shared" si="48"/>
        <v>10</v>
      </c>
      <c r="G1231" s="497"/>
      <c r="H1231" s="497"/>
      <c r="J1231" s="42"/>
    </row>
    <row r="1232" spans="1:10" s="360" customFormat="1" x14ac:dyDescent="0.25">
      <c r="A1232" s="19" t="s">
        <v>30</v>
      </c>
      <c r="B1232" s="2">
        <v>43944</v>
      </c>
      <c r="C1232" s="1">
        <v>1</v>
      </c>
      <c r="D1232" s="39">
        <v>35</v>
      </c>
      <c r="E1232" s="1"/>
      <c r="F1232" s="39">
        <f t="shared" si="48"/>
        <v>0</v>
      </c>
      <c r="G1232" s="497"/>
      <c r="H1232" s="497"/>
      <c r="J1232" s="42"/>
    </row>
    <row r="1233" spans="1:10" x14ac:dyDescent="0.25">
      <c r="A1233" s="19" t="s">
        <v>31</v>
      </c>
      <c r="B1233" s="2">
        <v>43944</v>
      </c>
      <c r="C1233" s="1">
        <v>0</v>
      </c>
      <c r="D1233" s="39">
        <v>22</v>
      </c>
      <c r="F1233" s="39">
        <f t="shared" si="48"/>
        <v>0</v>
      </c>
    </row>
    <row r="1234" spans="1:10" s="360" customFormat="1" x14ac:dyDescent="0.25">
      <c r="A1234" s="19" t="s">
        <v>41</v>
      </c>
      <c r="B1234" s="2">
        <v>43944</v>
      </c>
      <c r="C1234" s="1">
        <v>0</v>
      </c>
      <c r="D1234" s="39">
        <v>0</v>
      </c>
      <c r="E1234" s="1"/>
      <c r="F1234" s="39">
        <f t="shared" si="48"/>
        <v>0</v>
      </c>
      <c r="G1234" s="497"/>
      <c r="H1234" s="497"/>
      <c r="J1234" s="42"/>
    </row>
    <row r="1235" spans="1:10" s="360" customFormat="1" x14ac:dyDescent="0.25">
      <c r="A1235" s="19" t="s">
        <v>32</v>
      </c>
      <c r="B1235" s="2">
        <v>43944</v>
      </c>
      <c r="C1235" s="1">
        <v>0</v>
      </c>
      <c r="D1235" s="39">
        <v>5</v>
      </c>
      <c r="E1235" s="1"/>
      <c r="F1235" s="39">
        <f t="shared" si="48"/>
        <v>0</v>
      </c>
      <c r="G1235" s="497"/>
      <c r="H1235" s="497"/>
      <c r="J1235" s="42"/>
    </row>
    <row r="1236" spans="1:10" s="360" customFormat="1" x14ac:dyDescent="0.25">
      <c r="A1236" s="19" t="s">
        <v>33</v>
      </c>
      <c r="B1236" s="2">
        <v>43944</v>
      </c>
      <c r="C1236" s="1">
        <v>0</v>
      </c>
      <c r="D1236" s="39">
        <v>5</v>
      </c>
      <c r="E1236" s="1"/>
      <c r="F1236" s="39">
        <f t="shared" si="48"/>
        <v>0</v>
      </c>
      <c r="G1236" s="497"/>
      <c r="H1236" s="497"/>
      <c r="J1236" s="42"/>
    </row>
    <row r="1237" spans="1:10" s="360" customFormat="1" x14ac:dyDescent="0.25">
      <c r="A1237" s="19" t="s">
        <v>21</v>
      </c>
      <c r="B1237" s="2">
        <v>43944</v>
      </c>
      <c r="C1237" s="1">
        <v>0</v>
      </c>
      <c r="D1237" s="39">
        <v>45</v>
      </c>
      <c r="E1237" s="1"/>
      <c r="F1237" s="39">
        <f t="shared" si="48"/>
        <v>5</v>
      </c>
      <c r="G1237" s="497"/>
      <c r="H1237" s="497"/>
      <c r="J1237" s="42"/>
    </row>
    <row r="1238" spans="1:10" s="360" customFormat="1" x14ac:dyDescent="0.25">
      <c r="A1238" s="19" t="s">
        <v>17</v>
      </c>
      <c r="B1238" s="2">
        <v>43944</v>
      </c>
      <c r="C1238" s="1">
        <v>1</v>
      </c>
      <c r="D1238" s="39">
        <v>75</v>
      </c>
      <c r="E1238" s="1">
        <v>1</v>
      </c>
      <c r="F1238" s="39">
        <f t="shared" si="48"/>
        <v>9</v>
      </c>
      <c r="G1238" s="497"/>
      <c r="H1238" s="497"/>
      <c r="J1238" s="42"/>
    </row>
    <row r="1239" spans="1:10" s="360" customFormat="1" x14ac:dyDescent="0.25">
      <c r="A1239" s="19" t="s">
        <v>23</v>
      </c>
      <c r="B1239" s="2">
        <v>43944</v>
      </c>
      <c r="C1239" s="1">
        <v>0</v>
      </c>
      <c r="D1239" s="39">
        <v>5</v>
      </c>
      <c r="E1239" s="1"/>
      <c r="F1239" s="39">
        <f t="shared" si="48"/>
        <v>0</v>
      </c>
      <c r="G1239" s="497"/>
      <c r="H1239" s="497"/>
      <c r="J1239" s="42"/>
    </row>
    <row r="1240" spans="1:10" s="360" customFormat="1" x14ac:dyDescent="0.25">
      <c r="A1240" s="19" t="s">
        <v>19</v>
      </c>
      <c r="B1240" s="2">
        <v>43944</v>
      </c>
      <c r="C1240" s="1">
        <v>1</v>
      </c>
      <c r="D1240" s="39">
        <v>104</v>
      </c>
      <c r="E1240" s="1"/>
      <c r="F1240" s="39">
        <f t="shared" si="48"/>
        <v>3</v>
      </c>
      <c r="G1240" s="497"/>
      <c r="H1240" s="497"/>
      <c r="J1240" s="42"/>
    </row>
    <row r="1241" spans="1:10" s="360" customFormat="1" x14ac:dyDescent="0.25">
      <c r="A1241" s="19" t="s">
        <v>18</v>
      </c>
      <c r="B1241" s="2">
        <v>43944</v>
      </c>
      <c r="C1241" s="1">
        <v>4</v>
      </c>
      <c r="D1241" s="39">
        <v>169</v>
      </c>
      <c r="E1241" s="1"/>
      <c r="F1241" s="39">
        <f t="shared" si="48"/>
        <v>7</v>
      </c>
      <c r="G1241" s="497"/>
      <c r="H1241" s="497"/>
      <c r="J1241" s="42"/>
    </row>
    <row r="1242" spans="1:10" s="360" customFormat="1" x14ac:dyDescent="0.25">
      <c r="A1242" s="19" t="s">
        <v>34</v>
      </c>
      <c r="B1242" s="2">
        <v>43944</v>
      </c>
      <c r="C1242" s="1">
        <v>0</v>
      </c>
      <c r="D1242" s="39">
        <v>3</v>
      </c>
      <c r="E1242" s="1"/>
      <c r="F1242" s="39">
        <f t="shared" si="48"/>
        <v>0</v>
      </c>
      <c r="G1242" s="497"/>
      <c r="H1242" s="497"/>
      <c r="J1242" s="42"/>
    </row>
    <row r="1243" spans="1:10" s="360" customFormat="1" x14ac:dyDescent="0.25">
      <c r="A1243" s="19" t="s">
        <v>35</v>
      </c>
      <c r="B1243" s="2">
        <v>43944</v>
      </c>
      <c r="C1243" s="1">
        <v>0</v>
      </c>
      <c r="D1243" s="39">
        <v>2</v>
      </c>
      <c r="E1243" s="1"/>
      <c r="F1243" s="39">
        <f t="shared" si="48"/>
        <v>0</v>
      </c>
      <c r="G1243" s="497"/>
      <c r="H1243" s="497"/>
      <c r="J1243" s="42"/>
    </row>
    <row r="1244" spans="1:10" s="360" customFormat="1" x14ac:dyDescent="0.25">
      <c r="A1244" s="19" t="s">
        <v>36</v>
      </c>
      <c r="B1244" s="2">
        <v>43944</v>
      </c>
      <c r="C1244" s="1">
        <v>0</v>
      </c>
      <c r="D1244" s="39">
        <v>11</v>
      </c>
      <c r="E1244" s="1"/>
      <c r="F1244" s="39">
        <f t="shared" si="48"/>
        <v>0</v>
      </c>
      <c r="G1244" s="497"/>
      <c r="H1244" s="497"/>
      <c r="J1244" s="42"/>
    </row>
    <row r="1245" spans="1:10" s="360" customFormat="1" x14ac:dyDescent="0.25">
      <c r="A1245" s="19" t="s">
        <v>37</v>
      </c>
      <c r="B1245" s="2">
        <v>43944</v>
      </c>
      <c r="C1245" s="1">
        <v>0</v>
      </c>
      <c r="D1245" s="39">
        <v>41</v>
      </c>
      <c r="E1245" s="1"/>
      <c r="F1245" s="39">
        <f t="shared" si="48"/>
        <v>0</v>
      </c>
      <c r="G1245" s="497"/>
      <c r="H1245" s="497"/>
      <c r="J1245" s="42"/>
    </row>
    <row r="1246" spans="1:10" s="360" customFormat="1" x14ac:dyDescent="0.25">
      <c r="A1246" s="19" t="s">
        <v>22</v>
      </c>
      <c r="B1246" s="2">
        <v>43944</v>
      </c>
      <c r="C1246" s="1">
        <v>6</v>
      </c>
      <c r="D1246" s="39">
        <v>236</v>
      </c>
      <c r="E1246" s="1"/>
      <c r="F1246" s="39">
        <f>E1246+F1222</f>
        <v>2</v>
      </c>
      <c r="G1246" s="497"/>
      <c r="H1246" s="497"/>
      <c r="J1246" s="42"/>
    </row>
    <row r="1247" spans="1:10" s="360" customFormat="1" x14ac:dyDescent="0.25">
      <c r="A1247" s="19" t="s">
        <v>38</v>
      </c>
      <c r="B1247" s="2">
        <v>43944</v>
      </c>
      <c r="C1247" s="1">
        <v>0</v>
      </c>
      <c r="D1247" s="39">
        <v>12</v>
      </c>
      <c r="E1247" s="1"/>
      <c r="F1247" s="39">
        <f t="shared" si="48"/>
        <v>0</v>
      </c>
      <c r="G1247" s="497"/>
      <c r="H1247" s="497"/>
      <c r="J1247" s="42"/>
    </row>
    <row r="1248" spans="1:10" s="360" customFormat="1" x14ac:dyDescent="0.25">
      <c r="A1248" s="19" t="s">
        <v>39</v>
      </c>
      <c r="B1248" s="2">
        <v>43944</v>
      </c>
      <c r="C1248" s="1">
        <v>1</v>
      </c>
      <c r="D1248" s="39">
        <v>125</v>
      </c>
      <c r="E1248" s="1"/>
      <c r="F1248" s="39">
        <f t="shared" si="48"/>
        <v>0</v>
      </c>
      <c r="G1248" s="497"/>
      <c r="H1248" s="497"/>
      <c r="J1248" s="42"/>
    </row>
    <row r="1249" spans="1:10" s="360" customFormat="1" x14ac:dyDescent="0.25">
      <c r="A1249" s="19" t="s">
        <v>40</v>
      </c>
      <c r="B1249" s="2">
        <v>43944</v>
      </c>
      <c r="C1249" s="1">
        <v>0</v>
      </c>
      <c r="D1249" s="39">
        <v>35</v>
      </c>
      <c r="E1249" s="1"/>
      <c r="F1249" s="39">
        <f t="shared" si="48"/>
        <v>2</v>
      </c>
      <c r="G1249" s="497"/>
      <c r="H1249" s="497"/>
      <c r="J1249" s="42"/>
    </row>
    <row r="1250" spans="1:10" s="360" customFormat="1" x14ac:dyDescent="0.25">
      <c r="A1250" s="361" t="s">
        <v>16</v>
      </c>
      <c r="B1250" s="2">
        <v>43945</v>
      </c>
      <c r="C1250" s="1">
        <v>61</v>
      </c>
      <c r="D1250" s="39">
        <v>1181</v>
      </c>
      <c r="E1250" s="1">
        <v>4</v>
      </c>
      <c r="F1250" s="39">
        <f>E1250+F1226</f>
        <v>71</v>
      </c>
      <c r="G1250" s="497"/>
      <c r="H1250" s="497"/>
      <c r="J1250" s="42"/>
    </row>
    <row r="1251" spans="1:10" s="360" customFormat="1" x14ac:dyDescent="0.25">
      <c r="A1251" s="19" t="s">
        <v>28</v>
      </c>
      <c r="B1251" s="2">
        <v>43945</v>
      </c>
      <c r="C1251" s="1">
        <v>0</v>
      </c>
      <c r="D1251" s="39">
        <v>0</v>
      </c>
      <c r="E1251" s="1"/>
      <c r="F1251" s="39">
        <f t="shared" ref="F1251:F1273" si="49">E1251+F1227</f>
        <v>0</v>
      </c>
      <c r="G1251" s="497"/>
      <c r="H1251" s="497"/>
      <c r="J1251" s="42"/>
    </row>
    <row r="1252" spans="1:10" s="360" customFormat="1" x14ac:dyDescent="0.25">
      <c r="A1252" s="19" t="s">
        <v>15</v>
      </c>
      <c r="B1252" s="2">
        <v>43945</v>
      </c>
      <c r="C1252" s="1">
        <v>7</v>
      </c>
      <c r="D1252" s="39">
        <v>287</v>
      </c>
      <c r="E1252" s="1">
        <v>1</v>
      </c>
      <c r="F1252" s="39">
        <f t="shared" si="49"/>
        <v>11</v>
      </c>
      <c r="G1252" s="497"/>
      <c r="H1252" s="497"/>
      <c r="J1252" s="42"/>
    </row>
    <row r="1253" spans="1:10" s="360" customFormat="1" x14ac:dyDescent="0.25">
      <c r="A1253" s="19" t="s">
        <v>29</v>
      </c>
      <c r="B1253" s="2">
        <v>43945</v>
      </c>
      <c r="C1253" s="1">
        <v>0</v>
      </c>
      <c r="D1253" s="39">
        <v>2</v>
      </c>
      <c r="E1253" s="1"/>
      <c r="F1253" s="39">
        <f t="shared" si="49"/>
        <v>1</v>
      </c>
      <c r="G1253" s="497"/>
      <c r="H1253" s="497"/>
      <c r="J1253" s="42"/>
    </row>
    <row r="1254" spans="1:10" s="360" customFormat="1" x14ac:dyDescent="0.25">
      <c r="A1254" s="19" t="s">
        <v>43</v>
      </c>
      <c r="B1254" s="2">
        <v>43945</v>
      </c>
      <c r="C1254" s="1">
        <v>79</v>
      </c>
      <c r="D1254" s="39">
        <v>916</v>
      </c>
      <c r="E1254" s="1">
        <v>4</v>
      </c>
      <c r="F1254" s="39">
        <f t="shared" si="49"/>
        <v>48</v>
      </c>
      <c r="G1254" s="497"/>
      <c r="H1254" s="497"/>
      <c r="J1254" s="42"/>
    </row>
    <row r="1255" spans="1:10" s="360" customFormat="1" x14ac:dyDescent="0.25">
      <c r="A1255" s="19" t="s">
        <v>20</v>
      </c>
      <c r="B1255" s="2">
        <v>43945</v>
      </c>
      <c r="C1255" s="1">
        <v>3</v>
      </c>
      <c r="D1255" s="39">
        <v>269</v>
      </c>
      <c r="E1255" s="1">
        <v>1</v>
      </c>
      <c r="F1255" s="39">
        <f t="shared" si="49"/>
        <v>11</v>
      </c>
      <c r="G1255" s="497"/>
      <c r="H1255" s="497"/>
      <c r="J1255" s="42"/>
    </row>
    <row r="1256" spans="1:10" s="360" customFormat="1" x14ac:dyDescent="0.25">
      <c r="A1256" s="19" t="s">
        <v>30</v>
      </c>
      <c r="B1256" s="2">
        <v>43945</v>
      </c>
      <c r="C1256" s="1">
        <v>4</v>
      </c>
      <c r="D1256" s="39">
        <v>39</v>
      </c>
      <c r="E1256" s="1"/>
      <c r="F1256" s="39">
        <f t="shared" si="49"/>
        <v>0</v>
      </c>
      <c r="G1256" s="497"/>
      <c r="H1256" s="497"/>
      <c r="J1256" s="42"/>
    </row>
    <row r="1257" spans="1:10" x14ac:dyDescent="0.25">
      <c r="A1257" s="19" t="s">
        <v>31</v>
      </c>
      <c r="B1257" s="2">
        <v>43945</v>
      </c>
      <c r="C1257" s="1">
        <v>0</v>
      </c>
      <c r="D1257" s="39">
        <v>22</v>
      </c>
      <c r="F1257" s="39">
        <f t="shared" si="49"/>
        <v>0</v>
      </c>
    </row>
    <row r="1258" spans="1:10" s="360" customFormat="1" x14ac:dyDescent="0.25">
      <c r="A1258" s="19" t="s">
        <v>41</v>
      </c>
      <c r="B1258" s="2">
        <v>43945</v>
      </c>
      <c r="C1258" s="1">
        <v>0</v>
      </c>
      <c r="D1258" s="39">
        <v>0</v>
      </c>
      <c r="E1258" s="1"/>
      <c r="F1258" s="39">
        <f t="shared" si="49"/>
        <v>0</v>
      </c>
      <c r="G1258" s="497"/>
      <c r="H1258" s="497"/>
      <c r="J1258" s="42"/>
    </row>
    <row r="1259" spans="1:10" s="360" customFormat="1" x14ac:dyDescent="0.25">
      <c r="A1259" s="19" t="s">
        <v>32</v>
      </c>
      <c r="B1259" s="2">
        <v>43945</v>
      </c>
      <c r="C1259" s="1">
        <v>0</v>
      </c>
      <c r="D1259" s="39">
        <v>5</v>
      </c>
      <c r="E1259" s="1"/>
      <c r="F1259" s="39">
        <f t="shared" si="49"/>
        <v>0</v>
      </c>
      <c r="G1259" s="497"/>
      <c r="H1259" s="497"/>
      <c r="J1259" s="42"/>
    </row>
    <row r="1260" spans="1:10" s="360" customFormat="1" x14ac:dyDescent="0.25">
      <c r="A1260" s="19" t="s">
        <v>33</v>
      </c>
      <c r="B1260" s="2">
        <v>43945</v>
      </c>
      <c r="C1260" s="1">
        <v>0</v>
      </c>
      <c r="D1260" s="39">
        <v>5</v>
      </c>
      <c r="E1260" s="1"/>
      <c r="F1260" s="39">
        <f t="shared" si="49"/>
        <v>0</v>
      </c>
      <c r="G1260" s="497"/>
      <c r="H1260" s="497"/>
      <c r="J1260" s="42"/>
    </row>
    <row r="1261" spans="1:10" s="360" customFormat="1" x14ac:dyDescent="0.25">
      <c r="A1261" s="19" t="s">
        <v>21</v>
      </c>
      <c r="B1261" s="2">
        <v>43945</v>
      </c>
      <c r="C1261" s="1">
        <v>2</v>
      </c>
      <c r="D1261" s="39">
        <v>47</v>
      </c>
      <c r="E1261" s="1"/>
      <c r="F1261" s="39">
        <f t="shared" si="49"/>
        <v>5</v>
      </c>
      <c r="G1261" s="497"/>
      <c r="H1261" s="497"/>
      <c r="J1261" s="42"/>
    </row>
    <row r="1262" spans="1:10" s="360" customFormat="1" x14ac:dyDescent="0.25">
      <c r="A1262" s="19" t="s">
        <v>17</v>
      </c>
      <c r="B1262" s="2">
        <v>43945</v>
      </c>
      <c r="C1262" s="1">
        <v>0</v>
      </c>
      <c r="D1262" s="39">
        <v>75</v>
      </c>
      <c r="E1262" s="1"/>
      <c r="F1262" s="39">
        <f t="shared" si="49"/>
        <v>9</v>
      </c>
      <c r="G1262" s="497"/>
      <c r="H1262" s="497"/>
      <c r="J1262" s="42"/>
    </row>
    <row r="1263" spans="1:10" s="360" customFormat="1" x14ac:dyDescent="0.25">
      <c r="A1263" s="19" t="s">
        <v>23</v>
      </c>
      <c r="B1263" s="2">
        <v>43945</v>
      </c>
      <c r="C1263" s="1">
        <v>1</v>
      </c>
      <c r="D1263" s="39">
        <v>6</v>
      </c>
      <c r="E1263" s="1">
        <v>1</v>
      </c>
      <c r="F1263" s="39">
        <f t="shared" si="49"/>
        <v>1</v>
      </c>
      <c r="G1263" s="497"/>
      <c r="H1263" s="497"/>
      <c r="J1263" s="42"/>
    </row>
    <row r="1264" spans="1:10" s="360" customFormat="1" x14ac:dyDescent="0.25">
      <c r="A1264" s="19" t="s">
        <v>19</v>
      </c>
      <c r="B1264" s="2">
        <v>43945</v>
      </c>
      <c r="C1264" s="1">
        <v>0</v>
      </c>
      <c r="D1264" s="39">
        <v>104</v>
      </c>
      <c r="E1264" s="1"/>
      <c r="F1264" s="39">
        <f t="shared" si="49"/>
        <v>3</v>
      </c>
      <c r="G1264" s="497"/>
      <c r="H1264" s="497"/>
      <c r="J1264" s="42"/>
    </row>
    <row r="1265" spans="1:10" s="360" customFormat="1" x14ac:dyDescent="0.25">
      <c r="A1265" s="19" t="s">
        <v>18</v>
      </c>
      <c r="B1265" s="2">
        <v>43945</v>
      </c>
      <c r="C1265" s="1">
        <v>11</v>
      </c>
      <c r="D1265" s="39">
        <v>180</v>
      </c>
      <c r="E1265" s="1"/>
      <c r="F1265" s="39">
        <f t="shared" si="49"/>
        <v>7</v>
      </c>
      <c r="G1265" s="497"/>
      <c r="H1265" s="497"/>
      <c r="J1265" s="42"/>
    </row>
    <row r="1266" spans="1:10" s="360" customFormat="1" x14ac:dyDescent="0.25">
      <c r="A1266" s="19" t="s">
        <v>34</v>
      </c>
      <c r="B1266" s="2">
        <v>43945</v>
      </c>
      <c r="C1266" s="1">
        <v>0</v>
      </c>
      <c r="D1266" s="39">
        <v>3</v>
      </c>
      <c r="E1266" s="1"/>
      <c r="F1266" s="39">
        <f t="shared" si="49"/>
        <v>0</v>
      </c>
      <c r="G1266" s="497"/>
      <c r="H1266" s="497"/>
      <c r="J1266" s="42"/>
    </row>
    <row r="1267" spans="1:10" s="360" customFormat="1" x14ac:dyDescent="0.25">
      <c r="A1267" s="19" t="s">
        <v>35</v>
      </c>
      <c r="B1267" s="2">
        <v>43945</v>
      </c>
      <c r="C1267" s="1">
        <v>0</v>
      </c>
      <c r="D1267" s="39">
        <v>2</v>
      </c>
      <c r="E1267" s="1"/>
      <c r="F1267" s="39">
        <f t="shared" si="49"/>
        <v>0</v>
      </c>
      <c r="G1267" s="497"/>
      <c r="H1267" s="497"/>
      <c r="J1267" s="42"/>
    </row>
    <row r="1268" spans="1:10" s="360" customFormat="1" x14ac:dyDescent="0.25">
      <c r="A1268" s="19" t="s">
        <v>36</v>
      </c>
      <c r="B1268" s="2">
        <v>43945</v>
      </c>
      <c r="C1268" s="1">
        <v>0</v>
      </c>
      <c r="D1268" s="39">
        <v>11</v>
      </c>
      <c r="E1268" s="1"/>
      <c r="F1268" s="39">
        <f t="shared" si="49"/>
        <v>0</v>
      </c>
      <c r="G1268" s="497"/>
      <c r="H1268" s="497"/>
      <c r="J1268" s="42"/>
    </row>
    <row r="1269" spans="1:10" s="360" customFormat="1" x14ac:dyDescent="0.25">
      <c r="A1269" s="19" t="s">
        <v>37</v>
      </c>
      <c r="B1269" s="2">
        <v>43945</v>
      </c>
      <c r="C1269" s="1">
        <v>1</v>
      </c>
      <c r="D1269" s="39">
        <v>42</v>
      </c>
      <c r="E1269" s="1"/>
      <c r="F1269" s="39">
        <f t="shared" si="49"/>
        <v>0</v>
      </c>
      <c r="G1269" s="497"/>
      <c r="H1269" s="497"/>
      <c r="J1269" s="42"/>
    </row>
    <row r="1270" spans="1:10" s="360" customFormat="1" x14ac:dyDescent="0.25">
      <c r="A1270" s="19" t="s">
        <v>22</v>
      </c>
      <c r="B1270" s="2">
        <v>43945</v>
      </c>
      <c r="C1270" s="1">
        <v>3</v>
      </c>
      <c r="D1270" s="39">
        <v>239</v>
      </c>
      <c r="E1270" s="1"/>
      <c r="F1270" s="39">
        <f>E1270+F1246</f>
        <v>2</v>
      </c>
      <c r="G1270" s="497"/>
      <c r="H1270" s="497"/>
      <c r="J1270" s="42"/>
    </row>
    <row r="1271" spans="1:10" s="360" customFormat="1" x14ac:dyDescent="0.25">
      <c r="A1271" s="19" t="s">
        <v>38</v>
      </c>
      <c r="B1271" s="2">
        <v>43945</v>
      </c>
      <c r="C1271" s="1">
        <v>0</v>
      </c>
      <c r="D1271" s="39">
        <v>12</v>
      </c>
      <c r="E1271" s="1"/>
      <c r="F1271" s="39">
        <f t="shared" si="49"/>
        <v>0</v>
      </c>
      <c r="G1271" s="497"/>
      <c r="H1271" s="497"/>
      <c r="J1271" s="42"/>
    </row>
    <row r="1272" spans="1:10" s="360" customFormat="1" x14ac:dyDescent="0.25">
      <c r="A1272" s="19" t="s">
        <v>39</v>
      </c>
      <c r="B1272" s="2">
        <v>43945</v>
      </c>
      <c r="C1272" s="1">
        <v>1</v>
      </c>
      <c r="D1272" s="39">
        <v>126</v>
      </c>
      <c r="E1272" s="1"/>
      <c r="F1272" s="39">
        <f t="shared" si="49"/>
        <v>0</v>
      </c>
      <c r="G1272" s="497"/>
      <c r="H1272" s="497"/>
      <c r="J1272" s="42"/>
    </row>
    <row r="1273" spans="1:10" s="360" customFormat="1" x14ac:dyDescent="0.25">
      <c r="A1273" s="19" t="s">
        <v>40</v>
      </c>
      <c r="B1273" s="2">
        <v>43945</v>
      </c>
      <c r="C1273" s="1">
        <v>-1</v>
      </c>
      <c r="D1273" s="39">
        <v>34</v>
      </c>
      <c r="E1273" s="1"/>
      <c r="F1273" s="39">
        <f t="shared" si="49"/>
        <v>2</v>
      </c>
      <c r="G1273" s="497"/>
      <c r="H1273" s="497"/>
      <c r="J1273" s="42"/>
    </row>
    <row r="1274" spans="1:10" s="360" customFormat="1" x14ac:dyDescent="0.25">
      <c r="A1274" s="361" t="s">
        <v>16</v>
      </c>
      <c r="B1274" s="2">
        <v>43946</v>
      </c>
      <c r="C1274" s="1">
        <v>94</v>
      </c>
      <c r="D1274" s="39">
        <v>1275</v>
      </c>
      <c r="E1274" s="1">
        <v>2</v>
      </c>
      <c r="F1274" s="39">
        <f>E1274+F1250</f>
        <v>73</v>
      </c>
      <c r="G1274" s="497"/>
      <c r="H1274" s="497"/>
      <c r="J1274" s="42"/>
    </row>
    <row r="1275" spans="1:10" s="360" customFormat="1" x14ac:dyDescent="0.25">
      <c r="A1275" s="19" t="s">
        <v>28</v>
      </c>
      <c r="B1275" s="2">
        <v>43946</v>
      </c>
      <c r="C1275" s="1">
        <v>0</v>
      </c>
      <c r="D1275" s="39">
        <v>0</v>
      </c>
      <c r="E1275" s="1"/>
      <c r="F1275" s="39">
        <f t="shared" ref="F1275:F1297" si="50">E1275+F1251</f>
        <v>0</v>
      </c>
      <c r="G1275" s="497"/>
      <c r="H1275" s="497"/>
      <c r="J1275" s="42"/>
    </row>
    <row r="1276" spans="1:10" s="360" customFormat="1" x14ac:dyDescent="0.25">
      <c r="A1276" s="19" t="s">
        <v>15</v>
      </c>
      <c r="B1276" s="2">
        <v>43946</v>
      </c>
      <c r="C1276" s="1">
        <v>7</v>
      </c>
      <c r="D1276" s="39">
        <v>294</v>
      </c>
      <c r="E1276" s="1"/>
      <c r="F1276" s="39">
        <f t="shared" si="50"/>
        <v>11</v>
      </c>
      <c r="G1276" s="497"/>
      <c r="H1276" s="497"/>
      <c r="J1276" s="42"/>
    </row>
    <row r="1277" spans="1:10" s="360" customFormat="1" x14ac:dyDescent="0.25">
      <c r="A1277" s="19" t="s">
        <v>29</v>
      </c>
      <c r="B1277" s="2">
        <v>43946</v>
      </c>
      <c r="C1277" s="1">
        <v>0</v>
      </c>
      <c r="D1277" s="39">
        <v>2</v>
      </c>
      <c r="E1277" s="1"/>
      <c r="F1277" s="39">
        <f t="shared" si="50"/>
        <v>1</v>
      </c>
      <c r="G1277" s="497"/>
      <c r="H1277" s="497"/>
      <c r="J1277" s="42"/>
    </row>
    <row r="1278" spans="1:10" s="360" customFormat="1" x14ac:dyDescent="0.25">
      <c r="A1278" s="19" t="s">
        <v>43</v>
      </c>
      <c r="B1278" s="2">
        <v>43946</v>
      </c>
      <c r="C1278" s="1">
        <v>55</v>
      </c>
      <c r="D1278" s="39">
        <v>971</v>
      </c>
      <c r="E1278" s="1">
        <v>4</v>
      </c>
      <c r="F1278" s="39">
        <f t="shared" si="50"/>
        <v>52</v>
      </c>
      <c r="G1278" s="497"/>
      <c r="H1278" s="497"/>
      <c r="J1278" s="42"/>
    </row>
    <row r="1279" spans="1:10" s="360" customFormat="1" x14ac:dyDescent="0.25">
      <c r="A1279" s="19" t="s">
        <v>20</v>
      </c>
      <c r="B1279" s="2">
        <v>43946</v>
      </c>
      <c r="C1279" s="1">
        <v>1</v>
      </c>
      <c r="D1279" s="39">
        <v>270</v>
      </c>
      <c r="E1279" s="1">
        <v>1</v>
      </c>
      <c r="F1279" s="39">
        <f t="shared" si="50"/>
        <v>12</v>
      </c>
      <c r="G1279" s="497"/>
      <c r="H1279" s="497"/>
      <c r="J1279" s="42"/>
    </row>
    <row r="1280" spans="1:10" s="360" customFormat="1" x14ac:dyDescent="0.25">
      <c r="A1280" s="19" t="s">
        <v>30</v>
      </c>
      <c r="B1280" s="2">
        <v>43946</v>
      </c>
      <c r="C1280" s="1">
        <v>1</v>
      </c>
      <c r="D1280" s="39">
        <v>40</v>
      </c>
      <c r="E1280" s="1"/>
      <c r="F1280" s="39">
        <f t="shared" si="50"/>
        <v>0</v>
      </c>
      <c r="G1280" s="497"/>
      <c r="H1280" s="497"/>
      <c r="J1280" s="42"/>
    </row>
    <row r="1281" spans="1:10" x14ac:dyDescent="0.25">
      <c r="A1281" s="19" t="s">
        <v>31</v>
      </c>
      <c r="B1281" s="2">
        <v>43946</v>
      </c>
      <c r="C1281" s="1">
        <v>0</v>
      </c>
      <c r="D1281" s="39">
        <v>22</v>
      </c>
      <c r="F1281" s="39">
        <f t="shared" si="50"/>
        <v>0</v>
      </c>
    </row>
    <row r="1282" spans="1:10" s="360" customFormat="1" x14ac:dyDescent="0.25">
      <c r="A1282" s="19" t="s">
        <v>41</v>
      </c>
      <c r="B1282" s="2">
        <v>43946</v>
      </c>
      <c r="C1282" s="1">
        <v>0</v>
      </c>
      <c r="D1282" s="39">
        <v>0</v>
      </c>
      <c r="E1282" s="1"/>
      <c r="F1282" s="39">
        <f t="shared" si="50"/>
        <v>0</v>
      </c>
      <c r="G1282" s="497"/>
      <c r="H1282" s="497"/>
      <c r="J1282" s="42"/>
    </row>
    <row r="1283" spans="1:10" s="360" customFormat="1" x14ac:dyDescent="0.25">
      <c r="A1283" s="19" t="s">
        <v>32</v>
      </c>
      <c r="B1283" s="2">
        <v>43946</v>
      </c>
      <c r="C1283" s="1">
        <v>0</v>
      </c>
      <c r="D1283" s="39">
        <v>5</v>
      </c>
      <c r="E1283" s="1"/>
      <c r="F1283" s="39">
        <f t="shared" si="50"/>
        <v>0</v>
      </c>
      <c r="G1283" s="497"/>
      <c r="H1283" s="497"/>
      <c r="J1283" s="42"/>
    </row>
    <row r="1284" spans="1:10" s="360" customFormat="1" x14ac:dyDescent="0.25">
      <c r="A1284" s="19" t="s">
        <v>33</v>
      </c>
      <c r="B1284" s="2">
        <v>43946</v>
      </c>
      <c r="C1284" s="1">
        <v>0</v>
      </c>
      <c r="D1284" s="39">
        <v>5</v>
      </c>
      <c r="E1284" s="1"/>
      <c r="F1284" s="39">
        <f t="shared" si="50"/>
        <v>0</v>
      </c>
      <c r="G1284" s="497"/>
      <c r="H1284" s="497"/>
      <c r="J1284" s="42"/>
    </row>
    <row r="1285" spans="1:10" s="360" customFormat="1" x14ac:dyDescent="0.25">
      <c r="A1285" s="19" t="s">
        <v>21</v>
      </c>
      <c r="B1285" s="2">
        <v>43946</v>
      </c>
      <c r="C1285" s="1">
        <v>3</v>
      </c>
      <c r="D1285" s="39">
        <v>50</v>
      </c>
      <c r="E1285" s="1">
        <v>1</v>
      </c>
      <c r="F1285" s="39">
        <f t="shared" si="50"/>
        <v>6</v>
      </c>
      <c r="G1285" s="497"/>
      <c r="H1285" s="497"/>
      <c r="J1285" s="42"/>
    </row>
    <row r="1286" spans="1:10" s="360" customFormat="1" x14ac:dyDescent="0.25">
      <c r="A1286" s="19" t="s">
        <v>17</v>
      </c>
      <c r="B1286" s="2">
        <v>43946</v>
      </c>
      <c r="C1286" s="1">
        <v>0</v>
      </c>
      <c r="D1286" s="39">
        <v>75</v>
      </c>
      <c r="E1286" s="1"/>
      <c r="F1286" s="39">
        <f t="shared" si="50"/>
        <v>9</v>
      </c>
      <c r="G1286" s="497"/>
      <c r="H1286" s="497"/>
      <c r="J1286" s="42"/>
    </row>
    <row r="1287" spans="1:10" s="360" customFormat="1" x14ac:dyDescent="0.25">
      <c r="A1287" s="19" t="s">
        <v>23</v>
      </c>
      <c r="B1287" s="2">
        <v>43946</v>
      </c>
      <c r="C1287" s="1">
        <v>0</v>
      </c>
      <c r="D1287" s="39">
        <v>6</v>
      </c>
      <c r="E1287" s="1"/>
      <c r="F1287" s="39">
        <f t="shared" si="50"/>
        <v>1</v>
      </c>
      <c r="G1287" s="497"/>
      <c r="H1287" s="497"/>
      <c r="J1287" s="42"/>
    </row>
    <row r="1288" spans="1:10" s="360" customFormat="1" x14ac:dyDescent="0.25">
      <c r="A1288" s="19" t="s">
        <v>19</v>
      </c>
      <c r="B1288" s="2">
        <v>43946</v>
      </c>
      <c r="C1288" s="1">
        <v>0</v>
      </c>
      <c r="D1288" s="39">
        <v>104</v>
      </c>
      <c r="E1288" s="1"/>
      <c r="F1288" s="39">
        <f t="shared" si="50"/>
        <v>3</v>
      </c>
      <c r="G1288" s="497"/>
      <c r="H1288" s="497"/>
      <c r="J1288" s="42"/>
    </row>
    <row r="1289" spans="1:10" s="360" customFormat="1" x14ac:dyDescent="0.25">
      <c r="A1289" s="19" t="s">
        <v>18</v>
      </c>
      <c r="B1289" s="2">
        <v>43946</v>
      </c>
      <c r="C1289" s="1">
        <v>4</v>
      </c>
      <c r="D1289" s="39">
        <v>184</v>
      </c>
      <c r="E1289" s="1">
        <v>1</v>
      </c>
      <c r="F1289" s="39">
        <f t="shared" si="50"/>
        <v>8</v>
      </c>
      <c r="G1289" s="497"/>
      <c r="H1289" s="497"/>
      <c r="J1289" s="42"/>
    </row>
    <row r="1290" spans="1:10" s="360" customFormat="1" x14ac:dyDescent="0.25">
      <c r="A1290" s="19" t="s">
        <v>34</v>
      </c>
      <c r="B1290" s="2">
        <v>43946</v>
      </c>
      <c r="C1290" s="1">
        <v>0</v>
      </c>
      <c r="D1290" s="39">
        <v>3</v>
      </c>
      <c r="E1290" s="1"/>
      <c r="F1290" s="39">
        <f t="shared" si="50"/>
        <v>0</v>
      </c>
      <c r="G1290" s="497"/>
      <c r="H1290" s="497"/>
      <c r="J1290" s="42"/>
    </row>
    <row r="1291" spans="1:10" s="360" customFormat="1" x14ac:dyDescent="0.25">
      <c r="A1291" s="19" t="s">
        <v>35</v>
      </c>
      <c r="B1291" s="2">
        <v>43946</v>
      </c>
      <c r="C1291" s="1">
        <v>0</v>
      </c>
      <c r="D1291" s="39">
        <v>2</v>
      </c>
      <c r="E1291" s="1"/>
      <c r="F1291" s="39">
        <f t="shared" si="50"/>
        <v>0</v>
      </c>
      <c r="G1291" s="497"/>
      <c r="H1291" s="497"/>
      <c r="J1291" s="42"/>
    </row>
    <row r="1292" spans="1:10" s="360" customFormat="1" x14ac:dyDescent="0.25">
      <c r="A1292" s="19" t="s">
        <v>36</v>
      </c>
      <c r="B1292" s="2">
        <v>43946</v>
      </c>
      <c r="C1292" s="1">
        <v>0</v>
      </c>
      <c r="D1292" s="39">
        <v>11</v>
      </c>
      <c r="E1292" s="1"/>
      <c r="F1292" s="39">
        <f t="shared" si="50"/>
        <v>0</v>
      </c>
      <c r="G1292" s="497"/>
      <c r="H1292" s="497"/>
      <c r="J1292" s="42"/>
    </row>
    <row r="1293" spans="1:10" s="360" customFormat="1" x14ac:dyDescent="0.25">
      <c r="A1293" s="19" t="s">
        <v>37</v>
      </c>
      <c r="B1293" s="2">
        <v>43946</v>
      </c>
      <c r="C1293" s="1">
        <v>0</v>
      </c>
      <c r="D1293" s="39">
        <v>42</v>
      </c>
      <c r="E1293" s="1"/>
      <c r="F1293" s="39">
        <f t="shared" si="50"/>
        <v>0</v>
      </c>
      <c r="G1293" s="497"/>
      <c r="H1293" s="497"/>
      <c r="J1293" s="42"/>
    </row>
    <row r="1294" spans="1:10" s="360" customFormat="1" x14ac:dyDescent="0.25">
      <c r="A1294" s="19" t="s">
        <v>22</v>
      </c>
      <c r="B1294" s="2">
        <v>43946</v>
      </c>
      <c r="C1294" s="1">
        <v>3</v>
      </c>
      <c r="D1294" s="39">
        <v>242</v>
      </c>
      <c r="E1294" s="1"/>
      <c r="F1294" s="39">
        <f>E1294+F1270</f>
        <v>2</v>
      </c>
      <c r="G1294" s="497"/>
      <c r="H1294" s="497"/>
      <c r="J1294" s="42"/>
    </row>
    <row r="1295" spans="1:10" s="360" customFormat="1" x14ac:dyDescent="0.25">
      <c r="A1295" s="19" t="s">
        <v>38</v>
      </c>
      <c r="B1295" s="2">
        <v>43946</v>
      </c>
      <c r="C1295" s="1">
        <v>1</v>
      </c>
      <c r="D1295" s="39">
        <v>13</v>
      </c>
      <c r="E1295" s="1"/>
      <c r="F1295" s="39">
        <f t="shared" si="50"/>
        <v>0</v>
      </c>
      <c r="G1295" s="497"/>
      <c r="H1295" s="497"/>
      <c r="J1295" s="42"/>
    </row>
    <row r="1296" spans="1:10" s="360" customFormat="1" x14ac:dyDescent="0.25">
      <c r="A1296" s="19" t="s">
        <v>39</v>
      </c>
      <c r="B1296" s="2">
        <v>43946</v>
      </c>
      <c r="C1296" s="1">
        <v>4</v>
      </c>
      <c r="D1296" s="39">
        <v>130</v>
      </c>
      <c r="E1296" s="1"/>
      <c r="F1296" s="39">
        <f t="shared" si="50"/>
        <v>0</v>
      </c>
      <c r="G1296" s="497"/>
      <c r="H1296" s="497"/>
      <c r="J1296" s="42"/>
    </row>
    <row r="1297" spans="1:10" s="360" customFormat="1" x14ac:dyDescent="0.25">
      <c r="A1297" s="19" t="s">
        <v>40</v>
      </c>
      <c r="B1297" s="2">
        <v>43946</v>
      </c>
      <c r="C1297" s="1">
        <v>0</v>
      </c>
      <c r="D1297" s="39">
        <v>34</v>
      </c>
      <c r="E1297" s="1"/>
      <c r="F1297" s="39">
        <f t="shared" si="50"/>
        <v>2</v>
      </c>
      <c r="G1297" s="497"/>
      <c r="H1297" s="497"/>
      <c r="J1297" s="42"/>
    </row>
    <row r="1298" spans="1:10" s="360" customFormat="1" x14ac:dyDescent="0.25">
      <c r="A1298" s="361" t="s">
        <v>16</v>
      </c>
      <c r="B1298" s="2">
        <v>43947</v>
      </c>
      <c r="C1298" s="1">
        <v>56</v>
      </c>
      <c r="D1298" s="39">
        <v>1331</v>
      </c>
      <c r="E1298" s="1">
        <v>2</v>
      </c>
      <c r="F1298" s="39">
        <f>E1298+F1274</f>
        <v>75</v>
      </c>
      <c r="G1298" s="497"/>
      <c r="H1298" s="497"/>
      <c r="J1298" s="42"/>
    </row>
    <row r="1299" spans="1:10" s="360" customFormat="1" x14ac:dyDescent="0.25">
      <c r="A1299" s="19" t="s">
        <v>28</v>
      </c>
      <c r="B1299" s="2">
        <v>43947</v>
      </c>
      <c r="C1299" s="1">
        <v>0</v>
      </c>
      <c r="D1299" s="39">
        <v>0</v>
      </c>
      <c r="E1299" s="1"/>
      <c r="F1299" s="39">
        <f t="shared" ref="F1299:F1320" si="51">E1299+F1275</f>
        <v>0</v>
      </c>
      <c r="G1299" s="497"/>
      <c r="H1299" s="497"/>
      <c r="J1299" s="42"/>
    </row>
    <row r="1300" spans="1:10" s="360" customFormat="1" x14ac:dyDescent="0.25">
      <c r="A1300" s="19" t="s">
        <v>15</v>
      </c>
      <c r="B1300" s="2">
        <v>43947</v>
      </c>
      <c r="C1300" s="1">
        <v>3</v>
      </c>
      <c r="D1300" s="39">
        <v>297</v>
      </c>
      <c r="E1300" s="1"/>
      <c r="F1300" s="39">
        <f t="shared" si="51"/>
        <v>11</v>
      </c>
      <c r="G1300" s="497"/>
      <c r="H1300" s="497"/>
      <c r="J1300" s="42"/>
    </row>
    <row r="1301" spans="1:10" s="360" customFormat="1" x14ac:dyDescent="0.25">
      <c r="A1301" s="19" t="s">
        <v>29</v>
      </c>
      <c r="B1301" s="2">
        <v>43947</v>
      </c>
      <c r="C1301" s="1">
        <v>0</v>
      </c>
      <c r="D1301" s="39">
        <v>2</v>
      </c>
      <c r="E1301" s="1"/>
      <c r="F1301" s="39">
        <f t="shared" si="51"/>
        <v>1</v>
      </c>
      <c r="G1301" s="497"/>
      <c r="H1301" s="497"/>
      <c r="J1301" s="42"/>
    </row>
    <row r="1302" spans="1:10" s="360" customFormat="1" x14ac:dyDescent="0.25">
      <c r="A1302" s="19" t="s">
        <v>43</v>
      </c>
      <c r="B1302" s="2">
        <v>43947</v>
      </c>
      <c r="C1302" s="1">
        <v>36</v>
      </c>
      <c r="D1302" s="39">
        <v>1007</v>
      </c>
      <c r="E1302" s="1">
        <v>5</v>
      </c>
      <c r="F1302" s="39">
        <f t="shared" si="51"/>
        <v>57</v>
      </c>
      <c r="G1302" s="497"/>
      <c r="H1302" s="497"/>
      <c r="J1302" s="42"/>
    </row>
    <row r="1303" spans="1:10" s="360" customFormat="1" x14ac:dyDescent="0.25">
      <c r="A1303" s="19" t="s">
        <v>20</v>
      </c>
      <c r="B1303" s="2">
        <v>43947</v>
      </c>
      <c r="C1303" s="1">
        <v>3</v>
      </c>
      <c r="D1303" s="39">
        <v>273</v>
      </c>
      <c r="E1303" s="1"/>
      <c r="F1303" s="39">
        <f t="shared" si="51"/>
        <v>12</v>
      </c>
      <c r="G1303" s="497"/>
      <c r="H1303" s="497"/>
      <c r="J1303" s="42"/>
    </row>
    <row r="1304" spans="1:10" s="360" customFormat="1" x14ac:dyDescent="0.25">
      <c r="A1304" s="19" t="s">
        <v>30</v>
      </c>
      <c r="B1304" s="2">
        <v>43947</v>
      </c>
      <c r="C1304" s="1">
        <v>6</v>
      </c>
      <c r="D1304" s="39">
        <v>46</v>
      </c>
      <c r="E1304" s="1"/>
      <c r="F1304" s="39">
        <f t="shared" si="51"/>
        <v>0</v>
      </c>
      <c r="G1304" s="497"/>
      <c r="H1304" s="497"/>
      <c r="J1304" s="42"/>
    </row>
    <row r="1305" spans="1:10" x14ac:dyDescent="0.25">
      <c r="A1305" s="19" t="s">
        <v>31</v>
      </c>
      <c r="B1305" s="2">
        <v>43947</v>
      </c>
      <c r="C1305" s="1">
        <v>1</v>
      </c>
      <c r="D1305" s="39">
        <v>23</v>
      </c>
      <c r="F1305" s="39">
        <f t="shared" si="51"/>
        <v>0</v>
      </c>
    </row>
    <row r="1306" spans="1:10" s="360" customFormat="1" x14ac:dyDescent="0.25">
      <c r="A1306" s="19" t="s">
        <v>41</v>
      </c>
      <c r="B1306" s="2">
        <v>43947</v>
      </c>
      <c r="C1306" s="1">
        <v>0</v>
      </c>
      <c r="D1306" s="39">
        <v>0</v>
      </c>
      <c r="E1306" s="1"/>
      <c r="F1306" s="39">
        <f t="shared" si="51"/>
        <v>0</v>
      </c>
      <c r="G1306" s="497"/>
      <c r="H1306" s="497"/>
      <c r="J1306" s="42"/>
    </row>
    <row r="1307" spans="1:10" s="360" customFormat="1" x14ac:dyDescent="0.25">
      <c r="A1307" s="19" t="s">
        <v>32</v>
      </c>
      <c r="B1307" s="2">
        <v>43947</v>
      </c>
      <c r="C1307" s="1">
        <v>0</v>
      </c>
      <c r="D1307" s="39">
        <v>5</v>
      </c>
      <c r="E1307" s="1"/>
      <c r="F1307" s="39">
        <f t="shared" si="51"/>
        <v>0</v>
      </c>
      <c r="G1307" s="497"/>
      <c r="H1307" s="497"/>
      <c r="J1307" s="42"/>
    </row>
    <row r="1308" spans="1:10" s="360" customFormat="1" x14ac:dyDescent="0.25">
      <c r="A1308" s="19" t="s">
        <v>33</v>
      </c>
      <c r="B1308" s="2">
        <v>43947</v>
      </c>
      <c r="C1308" s="1">
        <v>0</v>
      </c>
      <c r="D1308" s="39">
        <v>5</v>
      </c>
      <c r="E1308" s="1"/>
      <c r="F1308" s="39">
        <f t="shared" si="51"/>
        <v>0</v>
      </c>
      <c r="G1308" s="497"/>
      <c r="H1308" s="497"/>
      <c r="J1308" s="42"/>
    </row>
    <row r="1309" spans="1:10" s="360" customFormat="1" x14ac:dyDescent="0.25">
      <c r="A1309" s="19" t="s">
        <v>21</v>
      </c>
      <c r="B1309" s="2">
        <v>43947</v>
      </c>
      <c r="C1309" s="1">
        <v>0</v>
      </c>
      <c r="D1309" s="39">
        <v>50</v>
      </c>
      <c r="E1309" s="1"/>
      <c r="F1309" s="39">
        <f t="shared" si="51"/>
        <v>6</v>
      </c>
      <c r="G1309" s="497"/>
      <c r="H1309" s="497"/>
      <c r="J1309" s="42"/>
    </row>
    <row r="1310" spans="1:10" s="360" customFormat="1" x14ac:dyDescent="0.25">
      <c r="A1310" s="19" t="s">
        <v>17</v>
      </c>
      <c r="B1310" s="2">
        <v>43947</v>
      </c>
      <c r="C1310" s="1">
        <v>0</v>
      </c>
      <c r="D1310" s="39">
        <v>75</v>
      </c>
      <c r="E1310" s="1"/>
      <c r="F1310" s="39">
        <f t="shared" si="51"/>
        <v>9</v>
      </c>
      <c r="G1310" s="497"/>
      <c r="H1310" s="497"/>
      <c r="J1310" s="42"/>
    </row>
    <row r="1311" spans="1:10" s="360" customFormat="1" x14ac:dyDescent="0.25">
      <c r="A1311" s="19" t="s">
        <v>23</v>
      </c>
      <c r="B1311" s="2">
        <v>43947</v>
      </c>
      <c r="C1311" s="1">
        <v>0</v>
      </c>
      <c r="D1311" s="39">
        <v>6</v>
      </c>
      <c r="E1311" s="1"/>
      <c r="F1311" s="39">
        <f t="shared" si="51"/>
        <v>1</v>
      </c>
      <c r="G1311" s="497"/>
      <c r="H1311" s="497"/>
      <c r="J1311" s="42"/>
    </row>
    <row r="1312" spans="1:10" s="360" customFormat="1" x14ac:dyDescent="0.25">
      <c r="A1312" s="19" t="s">
        <v>19</v>
      </c>
      <c r="B1312" s="2">
        <v>43947</v>
      </c>
      <c r="C1312" s="1">
        <v>1</v>
      </c>
      <c r="D1312" s="39">
        <v>105</v>
      </c>
      <c r="E1312" s="1"/>
      <c r="F1312" s="39">
        <f t="shared" si="51"/>
        <v>3</v>
      </c>
      <c r="G1312" s="497"/>
      <c r="H1312" s="497"/>
      <c r="J1312" s="42"/>
    </row>
    <row r="1313" spans="1:10" s="360" customFormat="1" x14ac:dyDescent="0.25">
      <c r="A1313" s="19" t="s">
        <v>18</v>
      </c>
      <c r="B1313" s="2">
        <v>43947</v>
      </c>
      <c r="C1313" s="1">
        <v>1</v>
      </c>
      <c r="D1313" s="39">
        <v>185</v>
      </c>
      <c r="E1313" s="1"/>
      <c r="F1313" s="39">
        <f t="shared" si="51"/>
        <v>8</v>
      </c>
      <c r="G1313" s="497"/>
      <c r="H1313" s="497"/>
      <c r="J1313" s="42"/>
    </row>
    <row r="1314" spans="1:10" s="360" customFormat="1" x14ac:dyDescent="0.25">
      <c r="A1314" s="19" t="s">
        <v>34</v>
      </c>
      <c r="B1314" s="2">
        <v>43947</v>
      </c>
      <c r="C1314" s="1">
        <v>1</v>
      </c>
      <c r="D1314" s="39">
        <v>4</v>
      </c>
      <c r="E1314" s="1"/>
      <c r="F1314" s="39">
        <f t="shared" si="51"/>
        <v>0</v>
      </c>
      <c r="G1314" s="497"/>
      <c r="H1314" s="497"/>
      <c r="J1314" s="42"/>
    </row>
    <row r="1315" spans="1:10" s="360" customFormat="1" x14ac:dyDescent="0.25">
      <c r="A1315" s="19" t="s">
        <v>35</v>
      </c>
      <c r="B1315" s="2">
        <v>43947</v>
      </c>
      <c r="C1315" s="1">
        <v>0</v>
      </c>
      <c r="D1315" s="39">
        <v>2</v>
      </c>
      <c r="E1315" s="1"/>
      <c r="F1315" s="39">
        <f t="shared" si="51"/>
        <v>0</v>
      </c>
      <c r="G1315" s="497"/>
      <c r="H1315" s="497"/>
      <c r="J1315" s="42"/>
    </row>
    <row r="1316" spans="1:10" s="360" customFormat="1" x14ac:dyDescent="0.25">
      <c r="A1316" s="19" t="s">
        <v>36</v>
      </c>
      <c r="B1316" s="2">
        <v>43947</v>
      </c>
      <c r="C1316" s="1">
        <v>0</v>
      </c>
      <c r="D1316" s="39">
        <v>11</v>
      </c>
      <c r="E1316" s="1"/>
      <c r="F1316" s="39">
        <f t="shared" si="51"/>
        <v>0</v>
      </c>
      <c r="G1316" s="497"/>
      <c r="H1316" s="497"/>
      <c r="J1316" s="42"/>
    </row>
    <row r="1317" spans="1:10" s="360" customFormat="1" x14ac:dyDescent="0.25">
      <c r="A1317" s="19" t="s">
        <v>37</v>
      </c>
      <c r="B1317" s="2">
        <v>43947</v>
      </c>
      <c r="C1317" s="1">
        <v>1</v>
      </c>
      <c r="D1317" s="39">
        <v>43</v>
      </c>
      <c r="E1317" s="1"/>
      <c r="F1317" s="39">
        <f t="shared" si="51"/>
        <v>0</v>
      </c>
      <c r="G1317" s="497"/>
      <c r="H1317" s="497"/>
      <c r="J1317" s="42"/>
    </row>
    <row r="1318" spans="1:10" s="360" customFormat="1" x14ac:dyDescent="0.25">
      <c r="A1318" s="19" t="s">
        <v>22</v>
      </c>
      <c r="B1318" s="2">
        <v>43947</v>
      </c>
      <c r="C1318" s="1">
        <v>0</v>
      </c>
      <c r="D1318" s="39">
        <v>242</v>
      </c>
      <c r="E1318" s="1"/>
      <c r="F1318" s="39">
        <f>E1318+F1294</f>
        <v>2</v>
      </c>
      <c r="G1318" s="497"/>
      <c r="H1318" s="497"/>
      <c r="J1318" s="42"/>
    </row>
    <row r="1319" spans="1:10" s="360" customFormat="1" x14ac:dyDescent="0.25">
      <c r="A1319" s="19" t="s">
        <v>38</v>
      </c>
      <c r="B1319" s="2">
        <v>43947</v>
      </c>
      <c r="C1319" s="1">
        <v>2</v>
      </c>
      <c r="D1319" s="39">
        <v>15</v>
      </c>
      <c r="E1319" s="1"/>
      <c r="F1319" s="39">
        <f t="shared" si="51"/>
        <v>0</v>
      </c>
      <c r="G1319" s="497"/>
      <c r="H1319" s="497"/>
      <c r="J1319" s="42"/>
    </row>
    <row r="1320" spans="1:10" s="360" customFormat="1" x14ac:dyDescent="0.25">
      <c r="A1320" s="19" t="s">
        <v>39</v>
      </c>
      <c r="B1320" s="2">
        <v>43947</v>
      </c>
      <c r="C1320" s="1">
        <v>0</v>
      </c>
      <c r="D1320" s="39">
        <v>130</v>
      </c>
      <c r="E1320" s="1"/>
      <c r="F1320" s="39">
        <f t="shared" si="51"/>
        <v>0</v>
      </c>
      <c r="G1320" s="497"/>
      <c r="H1320" s="497"/>
      <c r="J1320" s="42"/>
    </row>
    <row r="1321" spans="1:10" s="360" customFormat="1" x14ac:dyDescent="0.25">
      <c r="A1321" s="19" t="s">
        <v>40</v>
      </c>
      <c r="B1321" s="2">
        <v>43947</v>
      </c>
      <c r="C1321" s="1">
        <v>1</v>
      </c>
      <c r="D1321" s="39">
        <v>35</v>
      </c>
      <c r="E1321" s="1"/>
      <c r="F1321" s="39">
        <f>E1321+F1297</f>
        <v>2</v>
      </c>
      <c r="G1321" s="497"/>
      <c r="H1321" s="497"/>
      <c r="J1321" s="42"/>
    </row>
    <row r="1322" spans="1:10" s="360" customFormat="1" x14ac:dyDescent="0.25">
      <c r="A1322" s="361" t="s">
        <v>16</v>
      </c>
      <c r="B1322" s="2">
        <v>43948</v>
      </c>
      <c r="C1322" s="1">
        <v>50</v>
      </c>
      <c r="D1322" s="39">
        <v>1381</v>
      </c>
      <c r="E1322" s="1">
        <v>1</v>
      </c>
      <c r="F1322" s="39">
        <f>E1322+F1298</f>
        <v>76</v>
      </c>
      <c r="G1322" s="497"/>
      <c r="H1322" s="497"/>
      <c r="J1322" s="42"/>
    </row>
    <row r="1323" spans="1:10" s="360" customFormat="1" x14ac:dyDescent="0.25">
      <c r="A1323" s="19" t="s">
        <v>28</v>
      </c>
      <c r="B1323" s="2">
        <v>43948</v>
      </c>
      <c r="C1323" s="1">
        <v>0</v>
      </c>
      <c r="D1323" s="39">
        <v>0</v>
      </c>
      <c r="E1323" s="1"/>
      <c r="F1323" s="39">
        <f t="shared" ref="F1323:F1344" si="52">E1323+F1299</f>
        <v>0</v>
      </c>
      <c r="G1323" s="497"/>
      <c r="H1323" s="497"/>
      <c r="J1323" s="42"/>
    </row>
    <row r="1324" spans="1:10" s="360" customFormat="1" x14ac:dyDescent="0.25">
      <c r="A1324" s="19" t="s">
        <v>15</v>
      </c>
      <c r="B1324" s="2">
        <v>43948</v>
      </c>
      <c r="C1324" s="1">
        <v>10</v>
      </c>
      <c r="D1324" s="39">
        <v>307</v>
      </c>
      <c r="E1324" s="1">
        <v>1</v>
      </c>
      <c r="F1324" s="39">
        <f t="shared" si="52"/>
        <v>12</v>
      </c>
      <c r="G1324" s="497"/>
      <c r="H1324" s="497"/>
      <c r="J1324" s="42"/>
    </row>
    <row r="1325" spans="1:10" s="360" customFormat="1" x14ac:dyDescent="0.25">
      <c r="A1325" s="19" t="s">
        <v>29</v>
      </c>
      <c r="B1325" s="2">
        <v>43948</v>
      </c>
      <c r="C1325" s="1">
        <v>0</v>
      </c>
      <c r="D1325" s="39">
        <v>2</v>
      </c>
      <c r="E1325" s="1"/>
      <c r="F1325" s="39">
        <f t="shared" si="52"/>
        <v>1</v>
      </c>
      <c r="G1325" s="497"/>
      <c r="H1325" s="497"/>
      <c r="J1325" s="42"/>
    </row>
    <row r="1326" spans="1:10" s="360" customFormat="1" x14ac:dyDescent="0.25">
      <c r="A1326" s="19" t="s">
        <v>43</v>
      </c>
      <c r="B1326" s="2">
        <v>43948</v>
      </c>
      <c r="C1326" s="1">
        <v>32</v>
      </c>
      <c r="D1326" s="39">
        <v>1039</v>
      </c>
      <c r="E1326" s="1">
        <v>2</v>
      </c>
      <c r="F1326" s="39">
        <f t="shared" si="52"/>
        <v>59</v>
      </c>
      <c r="G1326" s="497"/>
      <c r="H1326" s="497"/>
      <c r="J1326" s="42"/>
    </row>
    <row r="1327" spans="1:10" s="360" customFormat="1" x14ac:dyDescent="0.25">
      <c r="A1327" s="19" t="s">
        <v>20</v>
      </c>
      <c r="B1327" s="2">
        <v>43948</v>
      </c>
      <c r="C1327" s="1">
        <v>0</v>
      </c>
      <c r="D1327" s="39">
        <v>273</v>
      </c>
      <c r="E1327" s="1">
        <v>1</v>
      </c>
      <c r="F1327" s="39">
        <f t="shared" si="52"/>
        <v>13</v>
      </c>
      <c r="G1327" s="497"/>
      <c r="H1327" s="497"/>
      <c r="J1327" s="42"/>
    </row>
    <row r="1328" spans="1:10" s="360" customFormat="1" x14ac:dyDescent="0.25">
      <c r="A1328" s="19" t="s">
        <v>30</v>
      </c>
      <c r="B1328" s="2">
        <v>43948</v>
      </c>
      <c r="C1328" s="1">
        <v>0</v>
      </c>
      <c r="D1328" s="39">
        <v>46</v>
      </c>
      <c r="E1328" s="1"/>
      <c r="F1328" s="39">
        <f t="shared" si="52"/>
        <v>0</v>
      </c>
      <c r="G1328" s="497"/>
      <c r="H1328" s="497"/>
      <c r="J1328" s="42"/>
    </row>
    <row r="1329" spans="1:10" x14ac:dyDescent="0.25">
      <c r="A1329" s="19" t="s">
        <v>31</v>
      </c>
      <c r="B1329" s="2">
        <v>43948</v>
      </c>
      <c r="C1329" s="1">
        <v>0</v>
      </c>
      <c r="D1329" s="39">
        <v>23</v>
      </c>
      <c r="F1329" s="39">
        <f t="shared" si="52"/>
        <v>0</v>
      </c>
    </row>
    <row r="1330" spans="1:10" s="360" customFormat="1" x14ac:dyDescent="0.25">
      <c r="A1330" s="19" t="s">
        <v>41</v>
      </c>
      <c r="B1330" s="2">
        <v>43948</v>
      </c>
      <c r="C1330" s="1">
        <v>0</v>
      </c>
      <c r="D1330" s="39">
        <v>0</v>
      </c>
      <c r="E1330" s="1"/>
      <c r="F1330" s="39">
        <f t="shared" si="52"/>
        <v>0</v>
      </c>
      <c r="G1330" s="497"/>
      <c r="H1330" s="497"/>
      <c r="J1330" s="42"/>
    </row>
    <row r="1331" spans="1:10" s="360" customFormat="1" x14ac:dyDescent="0.25">
      <c r="A1331" s="19" t="s">
        <v>32</v>
      </c>
      <c r="B1331" s="2">
        <v>43948</v>
      </c>
      <c r="C1331" s="1">
        <v>0</v>
      </c>
      <c r="D1331" s="39">
        <v>5</v>
      </c>
      <c r="E1331" s="1"/>
      <c r="F1331" s="39">
        <f t="shared" si="52"/>
        <v>0</v>
      </c>
      <c r="G1331" s="497"/>
      <c r="H1331" s="497"/>
      <c r="J1331" s="42"/>
    </row>
    <row r="1332" spans="1:10" s="360" customFormat="1" x14ac:dyDescent="0.25">
      <c r="A1332" s="19" t="s">
        <v>33</v>
      </c>
      <c r="B1332" s="2">
        <v>43948</v>
      </c>
      <c r="C1332" s="1">
        <v>0</v>
      </c>
      <c r="D1332" s="39">
        <v>5</v>
      </c>
      <c r="E1332" s="1"/>
      <c r="F1332" s="39">
        <f t="shared" si="52"/>
        <v>0</v>
      </c>
      <c r="G1332" s="497"/>
      <c r="H1332" s="497"/>
      <c r="J1332" s="42"/>
    </row>
    <row r="1333" spans="1:10" s="360" customFormat="1" x14ac:dyDescent="0.25">
      <c r="A1333" s="19" t="s">
        <v>21</v>
      </c>
      <c r="B1333" s="2">
        <v>43948</v>
      </c>
      <c r="C1333" s="1">
        <v>0</v>
      </c>
      <c r="D1333" s="39">
        <v>50</v>
      </c>
      <c r="E1333" s="1"/>
      <c r="F1333" s="39">
        <f t="shared" si="52"/>
        <v>6</v>
      </c>
      <c r="G1333" s="497"/>
      <c r="H1333" s="497"/>
      <c r="J1333" s="42"/>
    </row>
    <row r="1334" spans="1:10" s="360" customFormat="1" x14ac:dyDescent="0.25">
      <c r="A1334" s="19" t="s">
        <v>17</v>
      </c>
      <c r="B1334" s="2">
        <v>43948</v>
      </c>
      <c r="C1334" s="1">
        <v>0</v>
      </c>
      <c r="D1334" s="39">
        <v>75</v>
      </c>
      <c r="E1334" s="1"/>
      <c r="F1334" s="39">
        <f t="shared" si="52"/>
        <v>9</v>
      </c>
      <c r="G1334" s="497"/>
      <c r="H1334" s="497"/>
      <c r="J1334" s="42"/>
    </row>
    <row r="1335" spans="1:10" s="360" customFormat="1" x14ac:dyDescent="0.25">
      <c r="A1335" s="19" t="s">
        <v>23</v>
      </c>
      <c r="B1335" s="2">
        <v>43948</v>
      </c>
      <c r="C1335" s="1">
        <v>2</v>
      </c>
      <c r="D1335" s="39">
        <v>8</v>
      </c>
      <c r="E1335" s="1"/>
      <c r="F1335" s="39">
        <f t="shared" si="52"/>
        <v>1</v>
      </c>
      <c r="G1335" s="497"/>
      <c r="H1335" s="497"/>
      <c r="J1335" s="42"/>
    </row>
    <row r="1336" spans="1:10" s="360" customFormat="1" x14ac:dyDescent="0.25">
      <c r="A1336" s="19" t="s">
        <v>19</v>
      </c>
      <c r="B1336" s="2">
        <v>43948</v>
      </c>
      <c r="C1336" s="1">
        <v>3</v>
      </c>
      <c r="D1336" s="39">
        <v>108</v>
      </c>
      <c r="E1336" s="1"/>
      <c r="F1336" s="39">
        <f t="shared" si="52"/>
        <v>3</v>
      </c>
      <c r="G1336" s="497"/>
      <c r="H1336" s="497"/>
      <c r="J1336" s="42"/>
    </row>
    <row r="1337" spans="1:10" s="360" customFormat="1" x14ac:dyDescent="0.25">
      <c r="A1337" s="19" t="s">
        <v>18</v>
      </c>
      <c r="B1337" s="2">
        <v>43948</v>
      </c>
      <c r="C1337" s="1">
        <v>8</v>
      </c>
      <c r="D1337" s="39">
        <v>193</v>
      </c>
      <c r="E1337" s="1"/>
      <c r="F1337" s="39">
        <f t="shared" si="52"/>
        <v>8</v>
      </c>
      <c r="G1337" s="497"/>
      <c r="H1337" s="497"/>
      <c r="J1337" s="42"/>
    </row>
    <row r="1338" spans="1:10" s="360" customFormat="1" x14ac:dyDescent="0.25">
      <c r="A1338" s="19" t="s">
        <v>34</v>
      </c>
      <c r="B1338" s="2">
        <v>43948</v>
      </c>
      <c r="C1338" s="1">
        <v>0</v>
      </c>
      <c r="D1338" s="39">
        <v>4</v>
      </c>
      <c r="E1338" s="1"/>
      <c r="F1338" s="39">
        <f t="shared" si="52"/>
        <v>0</v>
      </c>
      <c r="G1338" s="497"/>
      <c r="H1338" s="497"/>
      <c r="J1338" s="42"/>
    </row>
    <row r="1339" spans="1:10" s="360" customFormat="1" x14ac:dyDescent="0.25">
      <c r="A1339" s="19" t="s">
        <v>35</v>
      </c>
      <c r="B1339" s="2">
        <v>43948</v>
      </c>
      <c r="C1339" s="1">
        <v>0</v>
      </c>
      <c r="D1339" s="39">
        <v>2</v>
      </c>
      <c r="E1339" s="1"/>
      <c r="F1339" s="39">
        <f t="shared" si="52"/>
        <v>0</v>
      </c>
      <c r="G1339" s="497"/>
      <c r="H1339" s="497"/>
      <c r="J1339" s="42"/>
    </row>
    <row r="1340" spans="1:10" s="360" customFormat="1" x14ac:dyDescent="0.25">
      <c r="A1340" s="19" t="s">
        <v>36</v>
      </c>
      <c r="B1340" s="2">
        <v>43948</v>
      </c>
      <c r="C1340" s="1">
        <v>0</v>
      </c>
      <c r="D1340" s="39">
        <v>11</v>
      </c>
      <c r="E1340" s="1"/>
      <c r="F1340" s="39">
        <f t="shared" si="52"/>
        <v>0</v>
      </c>
      <c r="G1340" s="497"/>
      <c r="H1340" s="497"/>
      <c r="J1340" s="42"/>
    </row>
    <row r="1341" spans="1:10" s="360" customFormat="1" x14ac:dyDescent="0.25">
      <c r="A1341" s="19" t="s">
        <v>37</v>
      </c>
      <c r="B1341" s="2">
        <v>43948</v>
      </c>
      <c r="C1341" s="1">
        <v>5</v>
      </c>
      <c r="D1341" s="39">
        <v>48</v>
      </c>
      <c r="E1341" s="1"/>
      <c r="F1341" s="39">
        <f t="shared" si="52"/>
        <v>0</v>
      </c>
      <c r="G1341" s="497"/>
      <c r="H1341" s="497"/>
      <c r="J1341" s="42"/>
    </row>
    <row r="1342" spans="1:10" s="360" customFormat="1" x14ac:dyDescent="0.25">
      <c r="A1342" s="19" t="s">
        <v>22</v>
      </c>
      <c r="B1342" s="2">
        <v>43948</v>
      </c>
      <c r="C1342" s="1">
        <v>0</v>
      </c>
      <c r="D1342" s="39">
        <v>242</v>
      </c>
      <c r="E1342" s="1"/>
      <c r="F1342" s="39">
        <f>E1342+F1318</f>
        <v>2</v>
      </c>
      <c r="G1342" s="497"/>
      <c r="H1342" s="497"/>
      <c r="J1342" s="42"/>
    </row>
    <row r="1343" spans="1:10" s="360" customFormat="1" x14ac:dyDescent="0.25">
      <c r="A1343" s="19" t="s">
        <v>38</v>
      </c>
      <c r="B1343" s="2">
        <v>43948</v>
      </c>
      <c r="C1343" s="1">
        <v>0</v>
      </c>
      <c r="D1343" s="39">
        <v>15</v>
      </c>
      <c r="E1343" s="1"/>
      <c r="F1343" s="39">
        <f>E1343+F1319</f>
        <v>0</v>
      </c>
      <c r="G1343" s="497"/>
      <c r="H1343" s="497"/>
      <c r="J1343" s="42"/>
    </row>
    <row r="1344" spans="1:10" s="360" customFormat="1" x14ac:dyDescent="0.25">
      <c r="A1344" s="19" t="s">
        <v>39</v>
      </c>
      <c r="B1344" s="2">
        <v>43948</v>
      </c>
      <c r="C1344" s="1">
        <v>1</v>
      </c>
      <c r="D1344" s="39">
        <v>131</v>
      </c>
      <c r="E1344" s="1"/>
      <c r="F1344" s="39">
        <f t="shared" si="52"/>
        <v>0</v>
      </c>
      <c r="G1344" s="497"/>
      <c r="H1344" s="497"/>
      <c r="J1344" s="42"/>
    </row>
    <row r="1345" spans="1:10" s="360" customFormat="1" x14ac:dyDescent="0.25">
      <c r="A1345" s="19" t="s">
        <v>40</v>
      </c>
      <c r="B1345" s="2">
        <v>43948</v>
      </c>
      <c r="C1345" s="1">
        <v>0</v>
      </c>
      <c r="D1345" s="39">
        <v>35</v>
      </c>
      <c r="E1345" s="1"/>
      <c r="F1345" s="39">
        <f>E1345+F1321</f>
        <v>2</v>
      </c>
      <c r="G1345" s="497"/>
      <c r="H1345" s="497"/>
      <c r="J1345" s="42"/>
    </row>
    <row r="1346" spans="1:10" s="360" customFormat="1" x14ac:dyDescent="0.25">
      <c r="A1346" s="361" t="s">
        <v>16</v>
      </c>
      <c r="B1346" s="2">
        <v>43949</v>
      </c>
      <c r="C1346" s="1">
        <v>48</v>
      </c>
      <c r="D1346" s="39">
        <v>1429</v>
      </c>
      <c r="E1346" s="1">
        <v>6</v>
      </c>
      <c r="F1346" s="39">
        <f>E1346+F1322</f>
        <v>82</v>
      </c>
      <c r="G1346" s="497"/>
      <c r="H1346" s="497"/>
      <c r="J1346" s="42"/>
    </row>
    <row r="1347" spans="1:10" s="360" customFormat="1" x14ac:dyDescent="0.25">
      <c r="A1347" s="19" t="s">
        <v>28</v>
      </c>
      <c r="B1347" s="2">
        <v>43949</v>
      </c>
      <c r="C1347" s="1">
        <v>0</v>
      </c>
      <c r="D1347" s="39">
        <v>0</v>
      </c>
      <c r="E1347" s="1"/>
      <c r="F1347" s="39">
        <f t="shared" ref="F1347:F1353" si="53">E1347+F1323</f>
        <v>0</v>
      </c>
      <c r="G1347" s="497"/>
      <c r="H1347" s="497"/>
      <c r="J1347" s="42"/>
    </row>
    <row r="1348" spans="1:10" s="360" customFormat="1" x14ac:dyDescent="0.25">
      <c r="A1348" s="19" t="s">
        <v>15</v>
      </c>
      <c r="B1348" s="2">
        <v>43949</v>
      </c>
      <c r="C1348" s="1">
        <v>0</v>
      </c>
      <c r="D1348" s="39">
        <v>307</v>
      </c>
      <c r="E1348" s="1"/>
      <c r="F1348" s="39">
        <f t="shared" si="53"/>
        <v>12</v>
      </c>
      <c r="G1348" s="497"/>
      <c r="H1348" s="497"/>
      <c r="J1348" s="42"/>
    </row>
    <row r="1349" spans="1:10" s="360" customFormat="1" x14ac:dyDescent="0.25">
      <c r="A1349" s="19" t="s">
        <v>29</v>
      </c>
      <c r="B1349" s="2">
        <v>43949</v>
      </c>
      <c r="C1349" s="1">
        <v>0</v>
      </c>
      <c r="D1349" s="39">
        <v>2</v>
      </c>
      <c r="E1349" s="1"/>
      <c r="F1349" s="39">
        <f t="shared" si="53"/>
        <v>1</v>
      </c>
      <c r="G1349" s="497"/>
      <c r="H1349" s="497"/>
      <c r="J1349" s="42"/>
    </row>
    <row r="1350" spans="1:10" s="360" customFormat="1" x14ac:dyDescent="0.25">
      <c r="A1350" s="19" t="s">
        <v>43</v>
      </c>
      <c r="B1350" s="2">
        <v>43949</v>
      </c>
      <c r="C1350" s="1">
        <v>50</v>
      </c>
      <c r="D1350" s="39">
        <v>1089</v>
      </c>
      <c r="E1350" s="1">
        <v>2</v>
      </c>
      <c r="F1350" s="39">
        <f t="shared" si="53"/>
        <v>61</v>
      </c>
      <c r="G1350" s="497"/>
      <c r="H1350" s="497"/>
      <c r="J1350" s="42"/>
    </row>
    <row r="1351" spans="1:10" s="360" customFormat="1" x14ac:dyDescent="0.25">
      <c r="A1351" s="19" t="s">
        <v>20</v>
      </c>
      <c r="B1351" s="2">
        <v>43949</v>
      </c>
      <c r="C1351" s="1">
        <v>2</v>
      </c>
      <c r="D1351" s="39">
        <v>275</v>
      </c>
      <c r="E1351" s="1">
        <v>1</v>
      </c>
      <c r="F1351" s="39">
        <f t="shared" si="53"/>
        <v>14</v>
      </c>
      <c r="G1351" s="497"/>
      <c r="H1351" s="497"/>
      <c r="J1351" s="42"/>
    </row>
    <row r="1352" spans="1:10" s="360" customFormat="1" x14ac:dyDescent="0.25">
      <c r="A1352" s="19" t="s">
        <v>30</v>
      </c>
      <c r="B1352" s="2">
        <v>43949</v>
      </c>
      <c r="C1352" s="1">
        <v>1</v>
      </c>
      <c r="D1352" s="39">
        <v>47</v>
      </c>
      <c r="E1352" s="1"/>
      <c r="F1352" s="39">
        <f t="shared" si="53"/>
        <v>0</v>
      </c>
      <c r="G1352" s="497"/>
      <c r="H1352" s="497"/>
      <c r="J1352" s="42"/>
    </row>
    <row r="1353" spans="1:10" x14ac:dyDescent="0.25">
      <c r="A1353" s="19" t="s">
        <v>31</v>
      </c>
      <c r="B1353" s="2">
        <v>43949</v>
      </c>
      <c r="C1353" s="1">
        <v>0</v>
      </c>
      <c r="D1353" s="39">
        <v>23</v>
      </c>
      <c r="F1353" s="39">
        <f t="shared" si="53"/>
        <v>0</v>
      </c>
    </row>
    <row r="1354" spans="1:10" s="360" customFormat="1" x14ac:dyDescent="0.25">
      <c r="A1354" s="19" t="s">
        <v>41</v>
      </c>
      <c r="B1354" s="2">
        <v>43949</v>
      </c>
      <c r="C1354" s="1">
        <v>0</v>
      </c>
      <c r="D1354" s="39">
        <v>0</v>
      </c>
      <c r="E1354" s="1"/>
      <c r="F1354" s="39">
        <f t="shared" ref="F1354:F1368" si="54">E1354+F1329</f>
        <v>0</v>
      </c>
      <c r="G1354" s="497"/>
      <c r="H1354" s="497"/>
      <c r="J1354" s="42"/>
    </row>
    <row r="1355" spans="1:10" s="360" customFormat="1" x14ac:dyDescent="0.25">
      <c r="A1355" s="19" t="s">
        <v>32</v>
      </c>
      <c r="B1355" s="2">
        <v>43949</v>
      </c>
      <c r="C1355" s="1">
        <v>0</v>
      </c>
      <c r="D1355" s="39">
        <v>5</v>
      </c>
      <c r="E1355" s="1"/>
      <c r="F1355" s="39">
        <f t="shared" si="54"/>
        <v>0</v>
      </c>
      <c r="G1355" s="497"/>
      <c r="H1355" s="497"/>
      <c r="J1355" s="42"/>
    </row>
    <row r="1356" spans="1:10" s="360" customFormat="1" x14ac:dyDescent="0.25">
      <c r="A1356" s="19" t="s">
        <v>33</v>
      </c>
      <c r="B1356" s="2">
        <v>43949</v>
      </c>
      <c r="C1356" s="1">
        <v>0</v>
      </c>
      <c r="D1356" s="39">
        <v>5</v>
      </c>
      <c r="E1356" s="1"/>
      <c r="F1356" s="39">
        <f t="shared" si="54"/>
        <v>0</v>
      </c>
      <c r="G1356" s="497"/>
      <c r="H1356" s="497"/>
      <c r="J1356" s="42"/>
    </row>
    <row r="1357" spans="1:10" s="360" customFormat="1" x14ac:dyDescent="0.25">
      <c r="A1357" s="19" t="s">
        <v>21</v>
      </c>
      <c r="B1357" s="2">
        <v>43949</v>
      </c>
      <c r="C1357" s="1">
        <v>1</v>
      </c>
      <c r="D1357" s="39">
        <v>51</v>
      </c>
      <c r="E1357" s="1"/>
      <c r="F1357" s="39">
        <f t="shared" si="54"/>
        <v>0</v>
      </c>
      <c r="G1357" s="497"/>
      <c r="H1357" s="497"/>
      <c r="J1357" s="42"/>
    </row>
    <row r="1358" spans="1:10" s="360" customFormat="1" x14ac:dyDescent="0.25">
      <c r="A1358" s="19" t="s">
        <v>17</v>
      </c>
      <c r="B1358" s="2">
        <v>43949</v>
      </c>
      <c r="C1358" s="1">
        <v>1</v>
      </c>
      <c r="D1358" s="39">
        <v>76</v>
      </c>
      <c r="E1358" s="1"/>
      <c r="F1358" s="39">
        <f t="shared" si="54"/>
        <v>6</v>
      </c>
      <c r="G1358" s="497"/>
      <c r="H1358" s="497"/>
      <c r="J1358" s="42"/>
    </row>
    <row r="1359" spans="1:10" s="360" customFormat="1" x14ac:dyDescent="0.25">
      <c r="A1359" s="19" t="s">
        <v>23</v>
      </c>
      <c r="B1359" s="2">
        <v>43949</v>
      </c>
      <c r="C1359" s="1">
        <v>0</v>
      </c>
      <c r="D1359" s="39">
        <v>8</v>
      </c>
      <c r="E1359" s="1"/>
      <c r="F1359" s="39">
        <f t="shared" si="54"/>
        <v>9</v>
      </c>
      <c r="G1359" s="497"/>
      <c r="H1359" s="497"/>
      <c r="J1359" s="42"/>
    </row>
    <row r="1360" spans="1:10" s="360" customFormat="1" x14ac:dyDescent="0.25">
      <c r="A1360" s="19" t="s">
        <v>19</v>
      </c>
      <c r="B1360" s="2">
        <v>43949</v>
      </c>
      <c r="C1360" s="1">
        <v>0</v>
      </c>
      <c r="D1360" s="39">
        <v>108</v>
      </c>
      <c r="E1360" s="1">
        <v>1</v>
      </c>
      <c r="F1360" s="39">
        <f t="shared" si="54"/>
        <v>2</v>
      </c>
      <c r="G1360" s="497"/>
      <c r="H1360" s="497"/>
      <c r="J1360" s="42"/>
    </row>
    <row r="1361" spans="1:10" s="360" customFormat="1" x14ac:dyDescent="0.25">
      <c r="A1361" s="19" t="s">
        <v>18</v>
      </c>
      <c r="B1361" s="2">
        <v>43949</v>
      </c>
      <c r="C1361" s="1">
        <v>13</v>
      </c>
      <c r="D1361" s="39">
        <v>206</v>
      </c>
      <c r="E1361" s="1"/>
      <c r="F1361" s="39">
        <f t="shared" si="54"/>
        <v>3</v>
      </c>
      <c r="G1361" s="497"/>
      <c r="H1361" s="497"/>
      <c r="J1361" s="42"/>
    </row>
    <row r="1362" spans="1:10" s="360" customFormat="1" x14ac:dyDescent="0.25">
      <c r="A1362" s="19" t="s">
        <v>34</v>
      </c>
      <c r="B1362" s="2">
        <v>43949</v>
      </c>
      <c r="C1362" s="1">
        <v>0</v>
      </c>
      <c r="D1362" s="39">
        <v>4</v>
      </c>
      <c r="E1362" s="1"/>
      <c r="F1362" s="39">
        <f t="shared" si="54"/>
        <v>8</v>
      </c>
      <c r="G1362" s="497"/>
      <c r="H1362" s="497"/>
      <c r="J1362" s="42"/>
    </row>
    <row r="1363" spans="1:10" s="360" customFormat="1" x14ac:dyDescent="0.25">
      <c r="A1363" s="19" t="s">
        <v>35</v>
      </c>
      <c r="B1363" s="2">
        <v>43949</v>
      </c>
      <c r="C1363" s="1">
        <v>0</v>
      </c>
      <c r="D1363" s="39">
        <v>2</v>
      </c>
      <c r="E1363" s="1"/>
      <c r="F1363" s="39">
        <f t="shared" si="54"/>
        <v>0</v>
      </c>
      <c r="G1363" s="497"/>
      <c r="H1363" s="497"/>
      <c r="J1363" s="42"/>
    </row>
    <row r="1364" spans="1:10" s="360" customFormat="1" x14ac:dyDescent="0.25">
      <c r="A1364" s="19" t="s">
        <v>36</v>
      </c>
      <c r="B1364" s="2">
        <v>43949</v>
      </c>
      <c r="C1364" s="1">
        <v>0</v>
      </c>
      <c r="D1364" s="39">
        <v>11</v>
      </c>
      <c r="E1364" s="1"/>
      <c r="F1364" s="39">
        <f t="shared" si="54"/>
        <v>0</v>
      </c>
      <c r="G1364" s="497"/>
      <c r="H1364" s="497"/>
      <c r="J1364" s="42"/>
    </row>
    <row r="1365" spans="1:10" s="360" customFormat="1" x14ac:dyDescent="0.25">
      <c r="A1365" s="19" t="s">
        <v>37</v>
      </c>
      <c r="B1365" s="2">
        <v>43949</v>
      </c>
      <c r="C1365" s="1">
        <v>0</v>
      </c>
      <c r="D1365" s="39">
        <v>48</v>
      </c>
      <c r="E1365" s="1"/>
      <c r="F1365" s="39">
        <f t="shared" si="54"/>
        <v>0</v>
      </c>
      <c r="G1365" s="497"/>
      <c r="H1365" s="497"/>
      <c r="J1365" s="42"/>
    </row>
    <row r="1366" spans="1:10" s="360" customFormat="1" x14ac:dyDescent="0.25">
      <c r="A1366" s="19" t="s">
        <v>22</v>
      </c>
      <c r="B1366" s="2">
        <v>43949</v>
      </c>
      <c r="C1366" s="1">
        <v>1</v>
      </c>
      <c r="D1366" s="39">
        <v>243</v>
      </c>
      <c r="E1366" s="1"/>
      <c r="F1366" s="39">
        <f>E1366+F1342</f>
        <v>2</v>
      </c>
      <c r="G1366" s="497"/>
      <c r="H1366" s="497"/>
      <c r="J1366" s="42"/>
    </row>
    <row r="1367" spans="1:10" s="360" customFormat="1" x14ac:dyDescent="0.25">
      <c r="A1367" s="19" t="s">
        <v>38</v>
      </c>
      <c r="B1367" s="2">
        <v>43949</v>
      </c>
      <c r="C1367" s="1">
        <v>0</v>
      </c>
      <c r="D1367" s="39">
        <v>15</v>
      </c>
      <c r="E1367" s="1"/>
      <c r="F1367" s="39">
        <f>E1367+F1343</f>
        <v>0</v>
      </c>
      <c r="G1367" s="497"/>
      <c r="H1367" s="497"/>
      <c r="J1367" s="42"/>
    </row>
    <row r="1368" spans="1:10" s="360" customFormat="1" x14ac:dyDescent="0.25">
      <c r="A1368" s="19" t="s">
        <v>39</v>
      </c>
      <c r="B1368" s="2">
        <v>43949</v>
      </c>
      <c r="C1368" s="1">
        <v>6</v>
      </c>
      <c r="D1368" s="39">
        <v>137</v>
      </c>
      <c r="E1368" s="1"/>
      <c r="F1368" s="39">
        <f t="shared" si="54"/>
        <v>0</v>
      </c>
      <c r="G1368" s="497"/>
      <c r="H1368" s="497"/>
      <c r="J1368" s="42"/>
    </row>
    <row r="1369" spans="1:10" s="360" customFormat="1" x14ac:dyDescent="0.25">
      <c r="A1369" s="19" t="s">
        <v>40</v>
      </c>
      <c r="B1369" s="2">
        <v>43949</v>
      </c>
      <c r="C1369" s="1">
        <v>1</v>
      </c>
      <c r="D1369" s="39">
        <v>36</v>
      </c>
      <c r="E1369" s="1"/>
      <c r="F1369" s="39">
        <f>E1369+F1345</f>
        <v>2</v>
      </c>
      <c r="G1369" s="497"/>
      <c r="H1369" s="497"/>
      <c r="J1369" s="42"/>
    </row>
    <row r="1370" spans="1:10" s="360" customFormat="1" x14ac:dyDescent="0.25">
      <c r="A1370" s="361" t="s">
        <v>16</v>
      </c>
      <c r="B1370" s="2">
        <v>43950</v>
      </c>
      <c r="C1370" s="1">
        <v>103</v>
      </c>
      <c r="D1370" s="39">
        <v>1532</v>
      </c>
      <c r="E1370" s="1">
        <v>2</v>
      </c>
      <c r="F1370" s="39">
        <f>E1370+F1346</f>
        <v>84</v>
      </c>
      <c r="G1370" s="497"/>
      <c r="H1370" s="497"/>
      <c r="J1370" s="42"/>
    </row>
    <row r="1371" spans="1:10" s="360" customFormat="1" x14ac:dyDescent="0.25">
      <c r="A1371" s="19" t="s">
        <v>28</v>
      </c>
      <c r="B1371" s="2">
        <v>43950</v>
      </c>
      <c r="C1371" s="1">
        <v>0</v>
      </c>
      <c r="D1371" s="39">
        <v>0</v>
      </c>
      <c r="E1371" s="1"/>
      <c r="F1371" s="39">
        <f t="shared" ref="F1371:F1377" si="55">E1371+F1347</f>
        <v>0</v>
      </c>
      <c r="G1371" s="497"/>
      <c r="H1371" s="497"/>
      <c r="J1371" s="42"/>
    </row>
    <row r="1372" spans="1:10" s="360" customFormat="1" x14ac:dyDescent="0.25">
      <c r="A1372" s="19" t="s">
        <v>15</v>
      </c>
      <c r="B1372" s="2">
        <v>43950</v>
      </c>
      <c r="C1372" s="1">
        <v>4</v>
      </c>
      <c r="D1372" s="39">
        <v>311</v>
      </c>
      <c r="E1372" s="1">
        <v>1</v>
      </c>
      <c r="F1372" s="39">
        <f t="shared" si="55"/>
        <v>13</v>
      </c>
      <c r="G1372" s="497"/>
      <c r="H1372" s="497"/>
      <c r="J1372" s="42"/>
    </row>
    <row r="1373" spans="1:10" s="360" customFormat="1" x14ac:dyDescent="0.25">
      <c r="A1373" s="19" t="s">
        <v>29</v>
      </c>
      <c r="B1373" s="2">
        <v>43950</v>
      </c>
      <c r="C1373" s="1">
        <v>0</v>
      </c>
      <c r="D1373" s="39">
        <v>2</v>
      </c>
      <c r="E1373" s="1"/>
      <c r="F1373" s="39">
        <f t="shared" si="55"/>
        <v>1</v>
      </c>
      <c r="G1373" s="497"/>
      <c r="H1373" s="497"/>
      <c r="J1373" s="42"/>
    </row>
    <row r="1374" spans="1:10" s="360" customFormat="1" x14ac:dyDescent="0.25">
      <c r="A1374" s="19" t="s">
        <v>43</v>
      </c>
      <c r="B1374" s="2">
        <v>43950</v>
      </c>
      <c r="C1374" s="1">
        <v>34</v>
      </c>
      <c r="D1374" s="39">
        <v>1123</v>
      </c>
      <c r="E1374" s="1">
        <v>3</v>
      </c>
      <c r="F1374" s="39">
        <f t="shared" si="55"/>
        <v>64</v>
      </c>
      <c r="G1374" s="497"/>
      <c r="H1374" s="497"/>
      <c r="J1374" s="42"/>
    </row>
    <row r="1375" spans="1:10" s="360" customFormat="1" x14ac:dyDescent="0.25">
      <c r="A1375" s="19" t="s">
        <v>20</v>
      </c>
      <c r="B1375" s="2">
        <v>43950</v>
      </c>
      <c r="C1375" s="1">
        <v>1</v>
      </c>
      <c r="D1375" s="39">
        <v>276</v>
      </c>
      <c r="E1375" s="1"/>
      <c r="F1375" s="39">
        <f t="shared" si="55"/>
        <v>14</v>
      </c>
      <c r="G1375" s="497"/>
      <c r="H1375" s="497"/>
      <c r="J1375" s="42"/>
    </row>
    <row r="1376" spans="1:10" s="360" customFormat="1" x14ac:dyDescent="0.25">
      <c r="A1376" s="19" t="s">
        <v>30</v>
      </c>
      <c r="B1376" s="2">
        <v>43950</v>
      </c>
      <c r="C1376" s="1">
        <v>0</v>
      </c>
      <c r="D1376" s="39">
        <v>47</v>
      </c>
      <c r="E1376" s="1"/>
      <c r="F1376" s="39">
        <f t="shared" si="55"/>
        <v>0</v>
      </c>
      <c r="G1376" s="497"/>
      <c r="H1376" s="497"/>
      <c r="J1376" s="42"/>
    </row>
    <row r="1377" spans="1:10" x14ac:dyDescent="0.25">
      <c r="A1377" s="19" t="s">
        <v>31</v>
      </c>
      <c r="B1377" s="2">
        <v>43950</v>
      </c>
      <c r="C1377" s="1">
        <v>0</v>
      </c>
      <c r="D1377" s="39">
        <v>23</v>
      </c>
      <c r="F1377" s="39">
        <f t="shared" si="55"/>
        <v>0</v>
      </c>
    </row>
    <row r="1378" spans="1:10" s="360" customFormat="1" x14ac:dyDescent="0.25">
      <c r="A1378" s="19" t="s">
        <v>41</v>
      </c>
      <c r="B1378" s="2">
        <v>43950</v>
      </c>
      <c r="C1378" s="1">
        <v>0</v>
      </c>
      <c r="D1378" s="39">
        <v>0</v>
      </c>
      <c r="E1378" s="1"/>
      <c r="F1378" s="39">
        <f t="shared" ref="F1378:F1392" si="56">E1378+F1353</f>
        <v>0</v>
      </c>
      <c r="G1378" s="497"/>
      <c r="H1378" s="497"/>
      <c r="J1378" s="42"/>
    </row>
    <row r="1379" spans="1:10" s="360" customFormat="1" x14ac:dyDescent="0.25">
      <c r="A1379" s="19" t="s">
        <v>32</v>
      </c>
      <c r="B1379" s="2">
        <v>43950</v>
      </c>
      <c r="C1379" s="1">
        <v>0</v>
      </c>
      <c r="D1379" s="39">
        <v>5</v>
      </c>
      <c r="E1379" s="1"/>
      <c r="F1379" s="39">
        <f t="shared" si="56"/>
        <v>0</v>
      </c>
      <c r="G1379" s="497"/>
      <c r="H1379" s="497"/>
      <c r="J1379" s="42"/>
    </row>
    <row r="1380" spans="1:10" s="360" customFormat="1" x14ac:dyDescent="0.25">
      <c r="A1380" s="19" t="s">
        <v>33</v>
      </c>
      <c r="B1380" s="2">
        <v>43950</v>
      </c>
      <c r="C1380" s="1">
        <v>0</v>
      </c>
      <c r="D1380" s="39">
        <v>5</v>
      </c>
      <c r="E1380" s="1"/>
      <c r="F1380" s="39">
        <f t="shared" si="56"/>
        <v>0</v>
      </c>
      <c r="G1380" s="497"/>
      <c r="H1380" s="497"/>
      <c r="J1380" s="42"/>
    </row>
    <row r="1381" spans="1:10" s="360" customFormat="1" x14ac:dyDescent="0.25">
      <c r="A1381" s="19" t="s">
        <v>21</v>
      </c>
      <c r="B1381" s="2">
        <v>43950</v>
      </c>
      <c r="C1381" s="1">
        <v>1</v>
      </c>
      <c r="D1381" s="39">
        <v>52</v>
      </c>
      <c r="E1381" s="1"/>
      <c r="F1381" s="39">
        <f t="shared" si="56"/>
        <v>0</v>
      </c>
      <c r="G1381" s="497"/>
      <c r="H1381" s="497"/>
      <c r="J1381" s="42"/>
    </row>
    <row r="1382" spans="1:10" s="360" customFormat="1" x14ac:dyDescent="0.25">
      <c r="A1382" s="19" t="s">
        <v>17</v>
      </c>
      <c r="B1382" s="2">
        <v>43950</v>
      </c>
      <c r="C1382" s="1">
        <v>2</v>
      </c>
      <c r="D1382" s="39">
        <v>78</v>
      </c>
      <c r="E1382" s="1"/>
      <c r="F1382" s="39">
        <f t="shared" si="56"/>
        <v>0</v>
      </c>
      <c r="G1382" s="497"/>
      <c r="H1382" s="497"/>
      <c r="J1382" s="42"/>
    </row>
    <row r="1383" spans="1:10" s="360" customFormat="1" x14ac:dyDescent="0.25">
      <c r="A1383" s="19" t="s">
        <v>23</v>
      </c>
      <c r="B1383" s="2">
        <v>43950</v>
      </c>
      <c r="C1383" s="1">
        <v>4</v>
      </c>
      <c r="D1383" s="39">
        <v>12</v>
      </c>
      <c r="E1383" s="1"/>
      <c r="F1383" s="39">
        <f t="shared" si="56"/>
        <v>6</v>
      </c>
      <c r="G1383" s="497"/>
      <c r="H1383" s="497"/>
      <c r="J1383" s="42"/>
    </row>
    <row r="1384" spans="1:10" s="360" customFormat="1" x14ac:dyDescent="0.25">
      <c r="A1384" s="19" t="s">
        <v>19</v>
      </c>
      <c r="B1384" s="2">
        <v>43950</v>
      </c>
      <c r="C1384" s="1">
        <v>1</v>
      </c>
      <c r="D1384" s="39">
        <v>109</v>
      </c>
      <c r="E1384" s="1"/>
      <c r="F1384" s="39">
        <f t="shared" si="56"/>
        <v>9</v>
      </c>
      <c r="G1384" s="497"/>
      <c r="H1384" s="497"/>
      <c r="J1384" s="42"/>
    </row>
    <row r="1385" spans="1:10" s="360" customFormat="1" x14ac:dyDescent="0.25">
      <c r="A1385" s="19" t="s">
        <v>18</v>
      </c>
      <c r="B1385" s="2">
        <v>43950</v>
      </c>
      <c r="C1385" s="1">
        <v>8</v>
      </c>
      <c r="D1385" s="39">
        <v>214</v>
      </c>
      <c r="E1385" s="1">
        <v>1</v>
      </c>
      <c r="F1385" s="39">
        <f t="shared" si="56"/>
        <v>3</v>
      </c>
      <c r="G1385" s="497"/>
      <c r="H1385" s="497"/>
      <c r="J1385" s="42"/>
    </row>
    <row r="1386" spans="1:10" s="360" customFormat="1" x14ac:dyDescent="0.25">
      <c r="A1386" s="19" t="s">
        <v>34</v>
      </c>
      <c r="B1386" s="2">
        <v>43950</v>
      </c>
      <c r="C1386" s="1">
        <v>0</v>
      </c>
      <c r="D1386" s="39">
        <v>4</v>
      </c>
      <c r="E1386" s="1"/>
      <c r="F1386" s="39">
        <f t="shared" si="56"/>
        <v>3</v>
      </c>
      <c r="G1386" s="497"/>
      <c r="H1386" s="497"/>
      <c r="J1386" s="42"/>
    </row>
    <row r="1387" spans="1:10" s="360" customFormat="1" x14ac:dyDescent="0.25">
      <c r="A1387" s="19" t="s">
        <v>35</v>
      </c>
      <c r="B1387" s="2">
        <v>43950</v>
      </c>
      <c r="C1387" s="1">
        <v>0</v>
      </c>
      <c r="D1387" s="39">
        <v>2</v>
      </c>
      <c r="E1387" s="1"/>
      <c r="F1387" s="39">
        <f>E1387+F1363</f>
        <v>0</v>
      </c>
      <c r="G1387" s="497"/>
      <c r="H1387" s="497"/>
      <c r="J1387" s="42"/>
    </row>
    <row r="1388" spans="1:10" s="360" customFormat="1" x14ac:dyDescent="0.25">
      <c r="A1388" s="19" t="s">
        <v>36</v>
      </c>
      <c r="B1388" s="2">
        <v>43950</v>
      </c>
      <c r="C1388" s="1">
        <v>0</v>
      </c>
      <c r="D1388" s="39">
        <v>11</v>
      </c>
      <c r="E1388" s="1"/>
      <c r="F1388" s="39">
        <f t="shared" si="56"/>
        <v>0</v>
      </c>
      <c r="G1388" s="497"/>
      <c r="H1388" s="497"/>
      <c r="J1388" s="42"/>
    </row>
    <row r="1389" spans="1:10" s="360" customFormat="1" x14ac:dyDescent="0.25">
      <c r="A1389" s="19" t="s">
        <v>37</v>
      </c>
      <c r="B1389" s="2">
        <v>43950</v>
      </c>
      <c r="C1389" s="1">
        <v>0</v>
      </c>
      <c r="D1389" s="39">
        <v>48</v>
      </c>
      <c r="E1389" s="1"/>
      <c r="F1389" s="39">
        <f t="shared" si="56"/>
        <v>0</v>
      </c>
      <c r="G1389" s="497"/>
      <c r="H1389" s="497"/>
      <c r="J1389" s="42"/>
    </row>
    <row r="1390" spans="1:10" s="360" customFormat="1" x14ac:dyDescent="0.25">
      <c r="A1390" s="19" t="s">
        <v>22</v>
      </c>
      <c r="B1390" s="2">
        <v>43950</v>
      </c>
      <c r="C1390" s="1">
        <v>0</v>
      </c>
      <c r="D1390" s="39">
        <v>243</v>
      </c>
      <c r="E1390" s="1"/>
      <c r="F1390" s="39">
        <f>E1390+F1366</f>
        <v>2</v>
      </c>
      <c r="G1390" s="497"/>
      <c r="H1390" s="497"/>
      <c r="J1390" s="42"/>
    </row>
    <row r="1391" spans="1:10" s="360" customFormat="1" x14ac:dyDescent="0.25">
      <c r="A1391" s="19" t="s">
        <v>38</v>
      </c>
      <c r="B1391" s="2">
        <v>43950</v>
      </c>
      <c r="C1391" s="1">
        <v>0</v>
      </c>
      <c r="D1391" s="39">
        <v>15</v>
      </c>
      <c r="E1391" s="1"/>
      <c r="F1391" s="39">
        <f>E1391+F1367</f>
        <v>0</v>
      </c>
      <c r="G1391" s="497"/>
      <c r="H1391" s="497"/>
      <c r="J1391" s="42"/>
    </row>
    <row r="1392" spans="1:10" s="360" customFormat="1" x14ac:dyDescent="0.25">
      <c r="A1392" s="19" t="s">
        <v>39</v>
      </c>
      <c r="B1392" s="2">
        <v>43950</v>
      </c>
      <c r="C1392" s="1">
        <v>0</v>
      </c>
      <c r="D1392" s="39">
        <v>137</v>
      </c>
      <c r="E1392" s="1"/>
      <c r="F1392" s="39">
        <f t="shared" si="56"/>
        <v>0</v>
      </c>
      <c r="G1392" s="497"/>
      <c r="H1392" s="497"/>
      <c r="J1392" s="42"/>
    </row>
    <row r="1393" spans="1:10" s="360" customFormat="1" x14ac:dyDescent="0.25">
      <c r="A1393" s="19" t="s">
        <v>40</v>
      </c>
      <c r="B1393" s="2">
        <v>43950</v>
      </c>
      <c r="C1393" s="1">
        <v>0</v>
      </c>
      <c r="D1393" s="39">
        <v>36</v>
      </c>
      <c r="E1393" s="1"/>
      <c r="F1393" s="39">
        <f>E1393+F1369</f>
        <v>2</v>
      </c>
      <c r="G1393" s="497"/>
      <c r="H1393" s="497"/>
      <c r="J1393" s="42"/>
    </row>
    <row r="1394" spans="1:10" s="360" customFormat="1" x14ac:dyDescent="0.25">
      <c r="A1394" s="361" t="s">
        <v>16</v>
      </c>
      <c r="B1394" s="2">
        <v>43951</v>
      </c>
      <c r="C1394" s="1">
        <v>66</v>
      </c>
      <c r="D1394" s="39">
        <v>1598</v>
      </c>
      <c r="E1394" s="1">
        <v>2</v>
      </c>
      <c r="F1394" s="39">
        <f>E1394+F1370</f>
        <v>86</v>
      </c>
      <c r="G1394" s="497"/>
      <c r="H1394" s="497"/>
      <c r="J1394" s="42"/>
    </row>
    <row r="1395" spans="1:10" s="360" customFormat="1" x14ac:dyDescent="0.25">
      <c r="A1395" s="19" t="s">
        <v>28</v>
      </c>
      <c r="B1395" s="2">
        <v>43951</v>
      </c>
      <c r="C1395" s="1">
        <v>0</v>
      </c>
      <c r="D1395" s="39">
        <v>0</v>
      </c>
      <c r="E1395" s="1"/>
      <c r="F1395" s="39">
        <f t="shared" ref="F1395:F1400" si="57">E1395+F1371</f>
        <v>0</v>
      </c>
      <c r="G1395" s="497"/>
      <c r="H1395" s="497"/>
      <c r="J1395" s="42"/>
    </row>
    <row r="1396" spans="1:10" s="360" customFormat="1" x14ac:dyDescent="0.25">
      <c r="A1396" s="19" t="s">
        <v>15</v>
      </c>
      <c r="B1396" s="2">
        <v>43951</v>
      </c>
      <c r="C1396" s="1">
        <v>3</v>
      </c>
      <c r="D1396" s="39">
        <v>314</v>
      </c>
      <c r="E1396" s="1"/>
      <c r="F1396" s="39">
        <f t="shared" si="57"/>
        <v>13</v>
      </c>
      <c r="G1396" s="497"/>
      <c r="H1396" s="497"/>
      <c r="J1396" s="42"/>
    </row>
    <row r="1397" spans="1:10" s="360" customFormat="1" x14ac:dyDescent="0.25">
      <c r="A1397" s="19" t="s">
        <v>29</v>
      </c>
      <c r="B1397" s="2">
        <v>43951</v>
      </c>
      <c r="C1397" s="1">
        <v>0</v>
      </c>
      <c r="D1397" s="39">
        <v>2</v>
      </c>
      <c r="E1397" s="1"/>
      <c r="F1397" s="39">
        <f t="shared" si="57"/>
        <v>1</v>
      </c>
      <c r="G1397" s="497"/>
      <c r="H1397" s="497"/>
      <c r="J1397" s="42"/>
    </row>
    <row r="1398" spans="1:10" s="360" customFormat="1" x14ac:dyDescent="0.25">
      <c r="A1398" s="19" t="s">
        <v>43</v>
      </c>
      <c r="B1398" s="2">
        <v>43951</v>
      </c>
      <c r="C1398" s="1">
        <v>45</v>
      </c>
      <c r="D1398" s="39">
        <v>1168</v>
      </c>
      <c r="E1398" s="1">
        <v>2</v>
      </c>
      <c r="F1398" s="39">
        <f t="shared" si="57"/>
        <v>66</v>
      </c>
      <c r="G1398" s="497"/>
      <c r="H1398" s="497"/>
      <c r="J1398" s="42"/>
    </row>
    <row r="1399" spans="1:10" s="360" customFormat="1" x14ac:dyDescent="0.25">
      <c r="A1399" s="19" t="s">
        <v>20</v>
      </c>
      <c r="B1399" s="2">
        <v>43951</v>
      </c>
      <c r="C1399" s="1">
        <v>2</v>
      </c>
      <c r="D1399" s="39">
        <v>278</v>
      </c>
      <c r="E1399" s="1"/>
      <c r="F1399" s="39">
        <f t="shared" si="57"/>
        <v>14</v>
      </c>
      <c r="G1399" s="497"/>
      <c r="H1399" s="497"/>
      <c r="J1399" s="42"/>
    </row>
    <row r="1400" spans="1:10" s="360" customFormat="1" x14ac:dyDescent="0.25">
      <c r="A1400" s="19" t="s">
        <v>30</v>
      </c>
      <c r="B1400" s="2">
        <v>43951</v>
      </c>
      <c r="C1400" s="1">
        <v>1</v>
      </c>
      <c r="D1400" s="39">
        <v>48</v>
      </c>
      <c r="E1400" s="1"/>
      <c r="F1400" s="39">
        <f t="shared" si="57"/>
        <v>0</v>
      </c>
      <c r="G1400" s="497"/>
      <c r="H1400" s="497"/>
      <c r="J1400" s="42"/>
    </row>
    <row r="1401" spans="1:10" x14ac:dyDescent="0.25">
      <c r="A1401" s="19" t="s">
        <v>31</v>
      </c>
      <c r="B1401" s="2">
        <v>43951</v>
      </c>
      <c r="C1401" s="1">
        <v>0</v>
      </c>
      <c r="D1401" s="39">
        <v>23</v>
      </c>
      <c r="F1401" s="39">
        <f>E1401+F1377</f>
        <v>0</v>
      </c>
    </row>
    <row r="1402" spans="1:10" s="360" customFormat="1" x14ac:dyDescent="0.25">
      <c r="A1402" s="19" t="s">
        <v>41</v>
      </c>
      <c r="B1402" s="2">
        <v>43951</v>
      </c>
      <c r="C1402" s="1">
        <v>0</v>
      </c>
      <c r="D1402" s="39">
        <v>0</v>
      </c>
      <c r="E1402" s="1"/>
      <c r="F1402" s="39">
        <f t="shared" ref="F1402:F1416" si="58">E1402+F1377</f>
        <v>0</v>
      </c>
      <c r="G1402" s="497"/>
      <c r="H1402" s="497"/>
      <c r="J1402" s="42"/>
    </row>
    <row r="1403" spans="1:10" s="360" customFormat="1" x14ac:dyDescent="0.25">
      <c r="A1403" s="19" t="s">
        <v>32</v>
      </c>
      <c r="B1403" s="2">
        <v>43951</v>
      </c>
      <c r="C1403" s="1">
        <v>0</v>
      </c>
      <c r="D1403" s="39">
        <v>5</v>
      </c>
      <c r="E1403" s="1"/>
      <c r="F1403" s="39">
        <f t="shared" si="58"/>
        <v>0</v>
      </c>
      <c r="G1403" s="497"/>
      <c r="H1403" s="497"/>
      <c r="J1403" s="42"/>
    </row>
    <row r="1404" spans="1:10" s="360" customFormat="1" x14ac:dyDescent="0.25">
      <c r="A1404" s="19" t="s">
        <v>33</v>
      </c>
      <c r="B1404" s="2">
        <v>43951</v>
      </c>
      <c r="C1404" s="1">
        <v>0</v>
      </c>
      <c r="D1404" s="39">
        <v>5</v>
      </c>
      <c r="E1404" s="1"/>
      <c r="F1404" s="39">
        <f t="shared" si="58"/>
        <v>0</v>
      </c>
      <c r="G1404" s="497"/>
      <c r="H1404" s="497"/>
      <c r="J1404" s="42"/>
    </row>
    <row r="1405" spans="1:10" s="360" customFormat="1" x14ac:dyDescent="0.25">
      <c r="A1405" s="19" t="s">
        <v>21</v>
      </c>
      <c r="B1405" s="2">
        <v>43951</v>
      </c>
      <c r="C1405" s="1">
        <v>0</v>
      </c>
      <c r="D1405" s="39">
        <v>52</v>
      </c>
      <c r="E1405" s="1"/>
      <c r="F1405" s="39">
        <f t="shared" si="58"/>
        <v>0</v>
      </c>
      <c r="G1405" s="497"/>
      <c r="H1405" s="497"/>
      <c r="J1405" s="42"/>
    </row>
    <row r="1406" spans="1:10" s="360" customFormat="1" x14ac:dyDescent="0.25">
      <c r="A1406" s="19" t="s">
        <v>17</v>
      </c>
      <c r="B1406" s="2">
        <v>43951</v>
      </c>
      <c r="C1406" s="1">
        <v>5</v>
      </c>
      <c r="D1406" s="39">
        <v>83</v>
      </c>
      <c r="E1406" s="1"/>
      <c r="F1406" s="39">
        <f t="shared" si="58"/>
        <v>0</v>
      </c>
      <c r="G1406" s="497"/>
      <c r="H1406" s="497"/>
      <c r="J1406" s="42"/>
    </row>
    <row r="1407" spans="1:10" s="360" customFormat="1" x14ac:dyDescent="0.25">
      <c r="A1407" s="19" t="s">
        <v>23</v>
      </c>
      <c r="B1407" s="2">
        <v>43951</v>
      </c>
      <c r="C1407" s="1">
        <v>0</v>
      </c>
      <c r="D1407" s="39">
        <v>12</v>
      </c>
      <c r="E1407" s="1"/>
      <c r="F1407" s="39">
        <f t="shared" si="58"/>
        <v>0</v>
      </c>
      <c r="G1407" s="497"/>
      <c r="H1407" s="497"/>
      <c r="J1407" s="42"/>
    </row>
    <row r="1408" spans="1:10" s="360" customFormat="1" x14ac:dyDescent="0.25">
      <c r="A1408" s="19" t="s">
        <v>19</v>
      </c>
      <c r="B1408" s="2">
        <v>43951</v>
      </c>
      <c r="C1408" s="1">
        <v>1</v>
      </c>
      <c r="D1408" s="39">
        <v>110</v>
      </c>
      <c r="E1408" s="1"/>
      <c r="F1408" s="39">
        <f t="shared" si="58"/>
        <v>6</v>
      </c>
      <c r="G1408" s="497"/>
      <c r="H1408" s="497"/>
      <c r="J1408" s="42"/>
    </row>
    <row r="1409" spans="1:10" s="360" customFormat="1" x14ac:dyDescent="0.25">
      <c r="A1409" s="19" t="s">
        <v>18</v>
      </c>
      <c r="B1409" s="2">
        <v>43951</v>
      </c>
      <c r="C1409" s="1">
        <v>14</v>
      </c>
      <c r="D1409" s="39">
        <v>228</v>
      </c>
      <c r="E1409" s="1"/>
      <c r="F1409" s="39">
        <f t="shared" si="58"/>
        <v>9</v>
      </c>
      <c r="G1409" s="497"/>
      <c r="H1409" s="497"/>
      <c r="J1409" s="42"/>
    </row>
    <row r="1410" spans="1:10" s="360" customFormat="1" x14ac:dyDescent="0.25">
      <c r="A1410" s="19" t="s">
        <v>34</v>
      </c>
      <c r="B1410" s="2">
        <v>43951</v>
      </c>
      <c r="C1410" s="1">
        <v>0</v>
      </c>
      <c r="D1410" s="39">
        <v>4</v>
      </c>
      <c r="E1410" s="1"/>
      <c r="F1410" s="39">
        <f t="shared" si="58"/>
        <v>3</v>
      </c>
      <c r="G1410" s="497"/>
      <c r="H1410" s="497"/>
      <c r="J1410" s="42"/>
    </row>
    <row r="1411" spans="1:10" s="360" customFormat="1" x14ac:dyDescent="0.25">
      <c r="A1411" s="19" t="s">
        <v>35</v>
      </c>
      <c r="B1411" s="2">
        <v>43951</v>
      </c>
      <c r="C1411" s="1">
        <v>0</v>
      </c>
      <c r="D1411" s="39">
        <v>2</v>
      </c>
      <c r="E1411" s="1"/>
      <c r="F1411" s="39">
        <f>E1411+F1387</f>
        <v>0</v>
      </c>
      <c r="G1411" s="497"/>
      <c r="H1411" s="497"/>
      <c r="J1411" s="42"/>
    </row>
    <row r="1412" spans="1:10" s="360" customFormat="1" x14ac:dyDescent="0.25">
      <c r="A1412" s="19" t="s">
        <v>36</v>
      </c>
      <c r="B1412" s="2">
        <v>43951</v>
      </c>
      <c r="C1412" s="1">
        <v>0</v>
      </c>
      <c r="D1412" s="39">
        <v>11</v>
      </c>
      <c r="E1412" s="1"/>
      <c r="F1412" s="39">
        <f t="shared" si="58"/>
        <v>0</v>
      </c>
      <c r="G1412" s="497"/>
      <c r="H1412" s="497"/>
      <c r="J1412" s="42"/>
    </row>
    <row r="1413" spans="1:10" s="360" customFormat="1" x14ac:dyDescent="0.25">
      <c r="A1413" s="19" t="s">
        <v>37</v>
      </c>
      <c r="B1413" s="2">
        <v>43951</v>
      </c>
      <c r="C1413" s="1">
        <v>1</v>
      </c>
      <c r="D1413" s="39">
        <v>49</v>
      </c>
      <c r="E1413" s="1"/>
      <c r="F1413" s="39">
        <f t="shared" si="58"/>
        <v>0</v>
      </c>
      <c r="G1413" s="497"/>
      <c r="H1413" s="497"/>
      <c r="J1413" s="42"/>
    </row>
    <row r="1414" spans="1:10" s="360" customFormat="1" x14ac:dyDescent="0.25">
      <c r="A1414" s="19" t="s">
        <v>22</v>
      </c>
      <c r="B1414" s="2">
        <v>43951</v>
      </c>
      <c r="C1414" s="1">
        <v>0</v>
      </c>
      <c r="D1414" s="39">
        <v>243</v>
      </c>
      <c r="E1414" s="1"/>
      <c r="F1414" s="39">
        <f>E1414+F1390</f>
        <v>2</v>
      </c>
      <c r="G1414" s="497"/>
      <c r="H1414" s="497"/>
      <c r="J1414" s="42"/>
    </row>
    <row r="1415" spans="1:10" s="360" customFormat="1" x14ac:dyDescent="0.25">
      <c r="A1415" s="19" t="s">
        <v>38</v>
      </c>
      <c r="B1415" s="2">
        <v>43951</v>
      </c>
      <c r="C1415" s="1">
        <v>0</v>
      </c>
      <c r="D1415" s="39">
        <v>15</v>
      </c>
      <c r="E1415" s="1"/>
      <c r="F1415" s="39">
        <f>E1415+F1391</f>
        <v>0</v>
      </c>
      <c r="G1415" s="497"/>
      <c r="H1415" s="497"/>
      <c r="J1415" s="42"/>
    </row>
    <row r="1416" spans="1:10" s="360" customFormat="1" x14ac:dyDescent="0.25">
      <c r="A1416" s="19" t="s">
        <v>39</v>
      </c>
      <c r="B1416" s="2">
        <v>43951</v>
      </c>
      <c r="C1416" s="1">
        <v>2</v>
      </c>
      <c r="D1416" s="39">
        <v>139</v>
      </c>
      <c r="E1416" s="1"/>
      <c r="F1416" s="39">
        <f t="shared" si="58"/>
        <v>0</v>
      </c>
      <c r="G1416" s="497"/>
      <c r="H1416" s="497"/>
      <c r="J1416" s="42"/>
    </row>
    <row r="1417" spans="1:10" s="360" customFormat="1" x14ac:dyDescent="0.25">
      <c r="A1417" s="19" t="s">
        <v>40</v>
      </c>
      <c r="B1417" s="2">
        <v>43951</v>
      </c>
      <c r="C1417" s="1">
        <v>2</v>
      </c>
      <c r="D1417" s="39">
        <v>38</v>
      </c>
      <c r="E1417" s="1"/>
      <c r="F1417" s="39">
        <f>E1417+F1393</f>
        <v>2</v>
      </c>
      <c r="G1417" s="497"/>
      <c r="H1417" s="497"/>
      <c r="J1417" s="42"/>
    </row>
    <row r="1418" spans="1:10" s="360" customFormat="1" x14ac:dyDescent="0.25">
      <c r="A1418" s="361" t="s">
        <v>16</v>
      </c>
      <c r="B1418" s="2">
        <v>43952</v>
      </c>
      <c r="C1418" s="1">
        <v>34</v>
      </c>
      <c r="D1418" s="39">
        <v>1632</v>
      </c>
      <c r="E1418" s="1">
        <v>3</v>
      </c>
      <c r="F1418" s="39">
        <f>E1418+F1394</f>
        <v>89</v>
      </c>
      <c r="G1418" s="497"/>
      <c r="H1418" s="497"/>
      <c r="J1418" s="42"/>
    </row>
    <row r="1419" spans="1:10" s="360" customFormat="1" x14ac:dyDescent="0.25">
      <c r="A1419" s="19" t="s">
        <v>28</v>
      </c>
      <c r="B1419" s="2">
        <v>43952</v>
      </c>
      <c r="C1419" s="1">
        <v>0</v>
      </c>
      <c r="D1419" s="39">
        <v>0</v>
      </c>
      <c r="E1419" s="1"/>
      <c r="F1419" s="39">
        <f t="shared" ref="F1419:F1424" si="59">E1419+F1395</f>
        <v>0</v>
      </c>
      <c r="G1419" s="497"/>
      <c r="H1419" s="497"/>
      <c r="J1419" s="42"/>
    </row>
    <row r="1420" spans="1:10" s="360" customFormat="1" x14ac:dyDescent="0.25">
      <c r="A1420" s="19" t="s">
        <v>15</v>
      </c>
      <c r="B1420" s="2">
        <v>43952</v>
      </c>
      <c r="C1420" s="1">
        <v>12</v>
      </c>
      <c r="D1420" s="39">
        <v>326</v>
      </c>
      <c r="E1420" s="1"/>
      <c r="F1420" s="39">
        <f t="shared" si="59"/>
        <v>13</v>
      </c>
      <c r="G1420" s="497"/>
      <c r="H1420" s="497"/>
      <c r="J1420" s="42"/>
    </row>
    <row r="1421" spans="1:10" s="360" customFormat="1" x14ac:dyDescent="0.25">
      <c r="A1421" s="19" t="s">
        <v>29</v>
      </c>
      <c r="B1421" s="2">
        <v>43952</v>
      </c>
      <c r="C1421" s="1">
        <v>1</v>
      </c>
      <c r="D1421" s="39">
        <v>3</v>
      </c>
      <c r="E1421" s="1"/>
      <c r="F1421" s="39">
        <f t="shared" si="59"/>
        <v>1</v>
      </c>
      <c r="G1421" s="497"/>
      <c r="H1421" s="497"/>
      <c r="J1421" s="42"/>
    </row>
    <row r="1422" spans="1:10" s="360" customFormat="1" x14ac:dyDescent="0.25">
      <c r="A1422" s="19" t="s">
        <v>43</v>
      </c>
      <c r="B1422" s="2">
        <v>43952</v>
      </c>
      <c r="C1422" s="1">
        <v>29</v>
      </c>
      <c r="D1422" s="39">
        <v>1197</v>
      </c>
      <c r="E1422" s="1">
        <v>4</v>
      </c>
      <c r="F1422" s="39">
        <f t="shared" si="59"/>
        <v>70</v>
      </c>
      <c r="G1422" s="497"/>
      <c r="H1422" s="497"/>
      <c r="J1422" s="42"/>
    </row>
    <row r="1423" spans="1:10" s="360" customFormat="1" x14ac:dyDescent="0.25">
      <c r="A1423" s="19" t="s">
        <v>20</v>
      </c>
      <c r="B1423" s="2">
        <v>43952</v>
      </c>
      <c r="C1423" s="1">
        <v>13</v>
      </c>
      <c r="D1423" s="39">
        <v>291</v>
      </c>
      <c r="E1423" s="1"/>
      <c r="F1423" s="39">
        <f t="shared" si="59"/>
        <v>14</v>
      </c>
      <c r="G1423" s="497"/>
      <c r="H1423" s="497"/>
      <c r="J1423" s="42"/>
    </row>
    <row r="1424" spans="1:10" s="360" customFormat="1" x14ac:dyDescent="0.25">
      <c r="A1424" s="19" t="s">
        <v>30</v>
      </c>
      <c r="B1424" s="2">
        <v>43952</v>
      </c>
      <c r="C1424" s="1">
        <v>1</v>
      </c>
      <c r="D1424" s="39">
        <v>49</v>
      </c>
      <c r="E1424" s="1"/>
      <c r="F1424" s="39">
        <f t="shared" si="59"/>
        <v>0</v>
      </c>
      <c r="G1424" s="497"/>
      <c r="H1424" s="497"/>
      <c r="J1424" s="42"/>
    </row>
    <row r="1425" spans="1:10" x14ac:dyDescent="0.25">
      <c r="A1425" s="19" t="s">
        <v>31</v>
      </c>
      <c r="B1425" s="2">
        <v>43952</v>
      </c>
      <c r="C1425" s="1">
        <v>2</v>
      </c>
      <c r="D1425" s="39">
        <v>25</v>
      </c>
      <c r="F1425" s="39">
        <f>E1425+F1401</f>
        <v>0</v>
      </c>
    </row>
    <row r="1426" spans="1:10" s="360" customFormat="1" x14ac:dyDescent="0.25">
      <c r="A1426" s="19" t="s">
        <v>41</v>
      </c>
      <c r="B1426" s="2">
        <v>43952</v>
      </c>
      <c r="C1426" s="1">
        <v>0</v>
      </c>
      <c r="D1426" s="39">
        <v>0</v>
      </c>
      <c r="E1426" s="1"/>
      <c r="F1426" s="39">
        <f t="shared" ref="F1426:F1440" si="60">E1426+F1401</f>
        <v>0</v>
      </c>
      <c r="G1426" s="497"/>
      <c r="H1426" s="497"/>
      <c r="J1426" s="42"/>
    </row>
    <row r="1427" spans="1:10" s="360" customFormat="1" x14ac:dyDescent="0.25">
      <c r="A1427" s="19" t="s">
        <v>32</v>
      </c>
      <c r="B1427" s="2">
        <v>43952</v>
      </c>
      <c r="C1427" s="1">
        <v>0</v>
      </c>
      <c r="D1427" s="39">
        <v>5</v>
      </c>
      <c r="E1427" s="1"/>
      <c r="F1427" s="39">
        <f t="shared" si="60"/>
        <v>0</v>
      </c>
      <c r="G1427" s="497"/>
      <c r="H1427" s="497"/>
      <c r="J1427" s="42"/>
    </row>
    <row r="1428" spans="1:10" s="360" customFormat="1" x14ac:dyDescent="0.25">
      <c r="A1428" s="19" t="s">
        <v>33</v>
      </c>
      <c r="B1428" s="2">
        <v>43952</v>
      </c>
      <c r="C1428" s="1">
        <v>0</v>
      </c>
      <c r="D1428" s="39">
        <v>5</v>
      </c>
      <c r="E1428" s="1"/>
      <c r="F1428" s="39">
        <f t="shared" si="60"/>
        <v>0</v>
      </c>
      <c r="G1428" s="497"/>
      <c r="H1428" s="497"/>
      <c r="J1428" s="42"/>
    </row>
    <row r="1429" spans="1:10" s="360" customFormat="1" x14ac:dyDescent="0.25">
      <c r="A1429" s="19" t="s">
        <v>21</v>
      </c>
      <c r="B1429" s="2">
        <v>43952</v>
      </c>
      <c r="C1429" s="1">
        <v>3</v>
      </c>
      <c r="D1429" s="39">
        <v>55</v>
      </c>
      <c r="E1429" s="1"/>
      <c r="F1429" s="39">
        <f t="shared" si="60"/>
        <v>0</v>
      </c>
      <c r="G1429" s="497"/>
      <c r="H1429" s="497"/>
      <c r="J1429" s="42"/>
    </row>
    <row r="1430" spans="1:10" s="360" customFormat="1" x14ac:dyDescent="0.25">
      <c r="A1430" s="19" t="s">
        <v>17</v>
      </c>
      <c r="B1430" s="2">
        <v>43952</v>
      </c>
      <c r="C1430" s="1">
        <v>1</v>
      </c>
      <c r="D1430" s="39">
        <v>84</v>
      </c>
      <c r="E1430" s="1"/>
      <c r="F1430" s="39">
        <f t="shared" si="60"/>
        <v>0</v>
      </c>
      <c r="G1430" s="497"/>
      <c r="H1430" s="497"/>
      <c r="J1430" s="42"/>
    </row>
    <row r="1431" spans="1:10" s="360" customFormat="1" x14ac:dyDescent="0.25">
      <c r="A1431" s="19" t="s">
        <v>23</v>
      </c>
      <c r="B1431" s="2">
        <v>43952</v>
      </c>
      <c r="C1431" s="1">
        <v>0</v>
      </c>
      <c r="D1431" s="39">
        <v>12</v>
      </c>
      <c r="E1431" s="1"/>
      <c r="F1431" s="39">
        <f t="shared" si="60"/>
        <v>0</v>
      </c>
      <c r="G1431" s="497"/>
      <c r="H1431" s="497"/>
      <c r="J1431" s="42"/>
    </row>
    <row r="1432" spans="1:10" s="360" customFormat="1" x14ac:dyDescent="0.25">
      <c r="A1432" s="19" t="s">
        <v>19</v>
      </c>
      <c r="B1432" s="2">
        <v>43952</v>
      </c>
      <c r="C1432" s="1">
        <v>0</v>
      </c>
      <c r="D1432" s="39">
        <v>110</v>
      </c>
      <c r="E1432" s="1"/>
      <c r="F1432" s="39">
        <f t="shared" si="60"/>
        <v>0</v>
      </c>
      <c r="G1432" s="497"/>
      <c r="H1432" s="497"/>
      <c r="J1432" s="42"/>
    </row>
    <row r="1433" spans="1:10" s="360" customFormat="1" x14ac:dyDescent="0.25">
      <c r="A1433" s="19" t="s">
        <v>18</v>
      </c>
      <c r="B1433" s="2">
        <v>43952</v>
      </c>
      <c r="C1433" s="1">
        <v>8</v>
      </c>
      <c r="D1433" s="39">
        <v>236</v>
      </c>
      <c r="E1433" s="1"/>
      <c r="F1433" s="39">
        <f t="shared" si="60"/>
        <v>6</v>
      </c>
      <c r="G1433" s="497"/>
      <c r="H1433" s="497"/>
      <c r="J1433" s="42"/>
    </row>
    <row r="1434" spans="1:10" s="360" customFormat="1" x14ac:dyDescent="0.25">
      <c r="A1434" s="19" t="s">
        <v>34</v>
      </c>
      <c r="B1434" s="2">
        <v>43952</v>
      </c>
      <c r="C1434" s="1">
        <v>0</v>
      </c>
      <c r="D1434" s="39">
        <v>4</v>
      </c>
      <c r="E1434" s="1"/>
      <c r="F1434" s="39">
        <f t="shared" si="60"/>
        <v>9</v>
      </c>
      <c r="G1434" s="497"/>
      <c r="H1434" s="497"/>
      <c r="J1434" s="42"/>
    </row>
    <row r="1435" spans="1:10" s="360" customFormat="1" x14ac:dyDescent="0.25">
      <c r="A1435" s="19" t="s">
        <v>35</v>
      </c>
      <c r="B1435" s="2">
        <v>43952</v>
      </c>
      <c r="C1435" s="1">
        <v>0</v>
      </c>
      <c r="D1435" s="39">
        <v>2</v>
      </c>
      <c r="E1435" s="1"/>
      <c r="F1435" s="39">
        <f>E1435+F1411</f>
        <v>0</v>
      </c>
      <c r="G1435" s="497"/>
      <c r="H1435" s="497"/>
      <c r="J1435" s="42"/>
    </row>
    <row r="1436" spans="1:10" s="360" customFormat="1" x14ac:dyDescent="0.25">
      <c r="A1436" s="19" t="s">
        <v>36</v>
      </c>
      <c r="B1436" s="2">
        <v>43952</v>
      </c>
      <c r="C1436" s="1">
        <v>0</v>
      </c>
      <c r="D1436" s="39">
        <v>11</v>
      </c>
      <c r="E1436" s="1"/>
      <c r="F1436" s="39">
        <f t="shared" si="60"/>
        <v>0</v>
      </c>
      <c r="G1436" s="497"/>
      <c r="H1436" s="497"/>
      <c r="J1436" s="42"/>
    </row>
    <row r="1437" spans="1:10" s="360" customFormat="1" x14ac:dyDescent="0.25">
      <c r="A1437" s="19" t="s">
        <v>37</v>
      </c>
      <c r="B1437" s="2">
        <v>43952</v>
      </c>
      <c r="C1437" s="1">
        <v>0</v>
      </c>
      <c r="D1437" s="39">
        <v>49</v>
      </c>
      <c r="E1437" s="1"/>
      <c r="F1437" s="39">
        <f t="shared" si="60"/>
        <v>0</v>
      </c>
      <c r="G1437" s="497"/>
      <c r="H1437" s="497"/>
      <c r="J1437" s="42"/>
    </row>
    <row r="1438" spans="1:10" s="360" customFormat="1" x14ac:dyDescent="0.25">
      <c r="A1438" s="19" t="s">
        <v>22</v>
      </c>
      <c r="B1438" s="2">
        <v>43952</v>
      </c>
      <c r="C1438" s="1">
        <v>0</v>
      </c>
      <c r="D1438" s="39">
        <v>243</v>
      </c>
      <c r="E1438" s="1"/>
      <c r="F1438" s="39">
        <f>E1438+F1414</f>
        <v>2</v>
      </c>
      <c r="G1438" s="497"/>
      <c r="H1438" s="497"/>
      <c r="J1438" s="42"/>
    </row>
    <row r="1439" spans="1:10" s="360" customFormat="1" x14ac:dyDescent="0.25">
      <c r="A1439" s="19" t="s">
        <v>38</v>
      </c>
      <c r="B1439" s="2">
        <v>43952</v>
      </c>
      <c r="C1439" s="1">
        <v>0</v>
      </c>
      <c r="D1439" s="39">
        <v>15</v>
      </c>
      <c r="E1439" s="1"/>
      <c r="F1439" s="39">
        <f>E1439+F1415</f>
        <v>0</v>
      </c>
      <c r="G1439" s="497"/>
      <c r="H1439" s="497"/>
      <c r="J1439" s="42"/>
    </row>
    <row r="1440" spans="1:10" s="360" customFormat="1" x14ac:dyDescent="0.25">
      <c r="A1440" s="19" t="s">
        <v>39</v>
      </c>
      <c r="B1440" s="2">
        <v>43952</v>
      </c>
      <c r="C1440" s="1">
        <v>1</v>
      </c>
      <c r="D1440" s="39">
        <v>140</v>
      </c>
      <c r="E1440" s="1"/>
      <c r="F1440" s="39">
        <f t="shared" si="60"/>
        <v>0</v>
      </c>
      <c r="G1440" s="497"/>
      <c r="H1440" s="497"/>
      <c r="J1440" s="42"/>
    </row>
    <row r="1441" spans="1:10" s="360" customFormat="1" x14ac:dyDescent="0.25">
      <c r="A1441" s="19" t="s">
        <v>40</v>
      </c>
      <c r="B1441" s="2">
        <v>43952</v>
      </c>
      <c r="C1441" s="1">
        <v>0</v>
      </c>
      <c r="D1441" s="39">
        <v>38</v>
      </c>
      <c r="E1441" s="1"/>
      <c r="F1441" s="39">
        <f>E1441+F1417</f>
        <v>2</v>
      </c>
      <c r="G1441" s="497"/>
      <c r="H1441" s="497"/>
      <c r="J1441" s="42"/>
    </row>
    <row r="1442" spans="1:10" s="360" customFormat="1" x14ac:dyDescent="0.25">
      <c r="A1442" s="361" t="s">
        <v>16</v>
      </c>
      <c r="B1442" s="2">
        <v>43953</v>
      </c>
      <c r="C1442" s="1">
        <v>45</v>
      </c>
      <c r="D1442" s="39">
        <v>1677</v>
      </c>
      <c r="E1442" s="1">
        <v>2</v>
      </c>
      <c r="F1442" s="39">
        <f>E1442+F1418</f>
        <v>91</v>
      </c>
      <c r="G1442" s="497"/>
      <c r="H1442" s="497"/>
      <c r="J1442" s="42"/>
    </row>
    <row r="1443" spans="1:10" s="360" customFormat="1" x14ac:dyDescent="0.25">
      <c r="A1443" s="19" t="s">
        <v>28</v>
      </c>
      <c r="B1443" s="2">
        <v>43953</v>
      </c>
      <c r="C1443" s="1">
        <v>0</v>
      </c>
      <c r="D1443" s="39">
        <v>0</v>
      </c>
      <c r="E1443" s="1"/>
      <c r="F1443" s="39">
        <f t="shared" ref="F1443:F1448" si="61">E1443+F1419</f>
        <v>0</v>
      </c>
      <c r="G1443" s="497"/>
      <c r="H1443" s="497"/>
      <c r="J1443" s="42"/>
    </row>
    <row r="1444" spans="1:10" s="360" customFormat="1" x14ac:dyDescent="0.25">
      <c r="A1444" s="19" t="s">
        <v>15</v>
      </c>
      <c r="B1444" s="2">
        <v>43953</v>
      </c>
      <c r="C1444" s="1">
        <v>11</v>
      </c>
      <c r="D1444" s="39">
        <v>337</v>
      </c>
      <c r="E1444" s="1">
        <v>3</v>
      </c>
      <c r="F1444" s="39">
        <f t="shared" si="61"/>
        <v>16</v>
      </c>
      <c r="G1444" s="497"/>
      <c r="H1444" s="497"/>
      <c r="J1444" s="42"/>
    </row>
    <row r="1445" spans="1:10" s="360" customFormat="1" x14ac:dyDescent="0.25">
      <c r="A1445" s="19" t="s">
        <v>29</v>
      </c>
      <c r="B1445" s="2">
        <v>43953</v>
      </c>
      <c r="C1445" s="1">
        <v>1</v>
      </c>
      <c r="D1445" s="39">
        <v>4</v>
      </c>
      <c r="E1445" s="1"/>
      <c r="F1445" s="39">
        <f t="shared" si="61"/>
        <v>1</v>
      </c>
      <c r="G1445" s="497"/>
      <c r="H1445" s="497"/>
      <c r="J1445" s="42"/>
    </row>
    <row r="1446" spans="1:10" s="360" customFormat="1" x14ac:dyDescent="0.25">
      <c r="A1446" s="19" t="s">
        <v>43</v>
      </c>
      <c r="B1446" s="2">
        <v>43953</v>
      </c>
      <c r="C1446" s="1">
        <v>58</v>
      </c>
      <c r="D1446" s="39">
        <v>1255</v>
      </c>
      <c r="E1446" s="1">
        <v>6</v>
      </c>
      <c r="F1446" s="39">
        <f t="shared" si="61"/>
        <v>76</v>
      </c>
      <c r="G1446" s="497"/>
      <c r="H1446" s="497"/>
      <c r="J1446" s="42"/>
    </row>
    <row r="1447" spans="1:10" s="360" customFormat="1" x14ac:dyDescent="0.25">
      <c r="A1447" s="19" t="s">
        <v>20</v>
      </c>
      <c r="B1447" s="2">
        <v>43953</v>
      </c>
      <c r="C1447" s="1">
        <v>12</v>
      </c>
      <c r="D1447" s="39">
        <v>303</v>
      </c>
      <c r="E1447" s="1">
        <v>1</v>
      </c>
      <c r="F1447" s="39">
        <f t="shared" si="61"/>
        <v>15</v>
      </c>
      <c r="G1447" s="497"/>
      <c r="H1447" s="497"/>
      <c r="J1447" s="42"/>
    </row>
    <row r="1448" spans="1:10" s="360" customFormat="1" x14ac:dyDescent="0.25">
      <c r="A1448" s="19" t="s">
        <v>30</v>
      </c>
      <c r="B1448" s="2">
        <v>43953</v>
      </c>
      <c r="C1448" s="1">
        <v>0</v>
      </c>
      <c r="D1448" s="39">
        <v>49</v>
      </c>
      <c r="E1448" s="1"/>
      <c r="F1448" s="39">
        <f t="shared" si="61"/>
        <v>0</v>
      </c>
      <c r="G1448" s="497"/>
      <c r="H1448" s="497"/>
      <c r="J1448" s="42"/>
    </row>
    <row r="1449" spans="1:10" x14ac:dyDescent="0.25">
      <c r="A1449" s="19" t="s">
        <v>31</v>
      </c>
      <c r="B1449" s="2">
        <v>43953</v>
      </c>
      <c r="C1449" s="1">
        <v>0</v>
      </c>
      <c r="D1449" s="39">
        <v>25</v>
      </c>
      <c r="F1449" s="39">
        <f>E1449+F1425</f>
        <v>0</v>
      </c>
    </row>
    <row r="1450" spans="1:10" s="360" customFormat="1" x14ac:dyDescent="0.25">
      <c r="A1450" s="19" t="s">
        <v>41</v>
      </c>
      <c r="B1450" s="2">
        <v>43953</v>
      </c>
      <c r="C1450" s="1">
        <v>0</v>
      </c>
      <c r="D1450" s="39">
        <v>0</v>
      </c>
      <c r="E1450" s="1"/>
      <c r="F1450" s="39">
        <f t="shared" ref="F1450:F1464" si="62">E1450+F1425</f>
        <v>0</v>
      </c>
      <c r="G1450" s="497"/>
      <c r="H1450" s="497"/>
      <c r="J1450" s="42"/>
    </row>
    <row r="1451" spans="1:10" s="360" customFormat="1" x14ac:dyDescent="0.25">
      <c r="A1451" s="19" t="s">
        <v>32</v>
      </c>
      <c r="B1451" s="2">
        <v>43953</v>
      </c>
      <c r="C1451" s="1">
        <v>0</v>
      </c>
      <c r="D1451" s="39">
        <v>5</v>
      </c>
      <c r="E1451" s="1"/>
      <c r="F1451" s="39">
        <f t="shared" si="62"/>
        <v>0</v>
      </c>
      <c r="G1451" s="497"/>
      <c r="H1451" s="497"/>
      <c r="J1451" s="42"/>
    </row>
    <row r="1452" spans="1:10" s="360" customFormat="1" x14ac:dyDescent="0.25">
      <c r="A1452" s="19" t="s">
        <v>33</v>
      </c>
      <c r="B1452" s="2">
        <v>43953</v>
      </c>
      <c r="C1452" s="1">
        <v>0</v>
      </c>
      <c r="D1452" s="39">
        <v>5</v>
      </c>
      <c r="E1452" s="1"/>
      <c r="F1452" s="39">
        <f t="shared" si="62"/>
        <v>0</v>
      </c>
      <c r="G1452" s="497"/>
      <c r="H1452" s="497"/>
      <c r="J1452" s="42"/>
    </row>
    <row r="1453" spans="1:10" s="360" customFormat="1" x14ac:dyDescent="0.25">
      <c r="A1453" s="19" t="s">
        <v>21</v>
      </c>
      <c r="B1453" s="2">
        <v>43953</v>
      </c>
      <c r="C1453" s="1">
        <v>0</v>
      </c>
      <c r="D1453" s="39">
        <v>55</v>
      </c>
      <c r="E1453" s="1"/>
      <c r="F1453" s="39">
        <f t="shared" si="62"/>
        <v>0</v>
      </c>
      <c r="G1453" s="497"/>
      <c r="H1453" s="497"/>
      <c r="J1453" s="42"/>
    </row>
    <row r="1454" spans="1:10" s="360" customFormat="1" x14ac:dyDescent="0.25">
      <c r="A1454" s="19" t="s">
        <v>17</v>
      </c>
      <c r="B1454" s="2">
        <v>43953</v>
      </c>
      <c r="C1454" s="1">
        <v>1</v>
      </c>
      <c r="D1454" s="39">
        <v>85</v>
      </c>
      <c r="E1454" s="1"/>
      <c r="F1454" s="39">
        <f t="shared" si="62"/>
        <v>0</v>
      </c>
      <c r="G1454" s="497"/>
      <c r="H1454" s="497"/>
      <c r="J1454" s="42"/>
    </row>
    <row r="1455" spans="1:10" s="360" customFormat="1" x14ac:dyDescent="0.25">
      <c r="A1455" s="19" t="s">
        <v>23</v>
      </c>
      <c r="B1455" s="2">
        <v>43953</v>
      </c>
      <c r="C1455" s="1">
        <v>12</v>
      </c>
      <c r="D1455" s="39">
        <v>24</v>
      </c>
      <c r="E1455" s="1"/>
      <c r="F1455" s="39">
        <f t="shared" si="62"/>
        <v>0</v>
      </c>
      <c r="G1455" s="497"/>
      <c r="H1455" s="497"/>
      <c r="J1455" s="42"/>
    </row>
    <row r="1456" spans="1:10" s="360" customFormat="1" x14ac:dyDescent="0.25">
      <c r="A1456" s="19" t="s">
        <v>19</v>
      </c>
      <c r="B1456" s="2">
        <v>43953</v>
      </c>
      <c r="C1456" s="1">
        <v>0</v>
      </c>
      <c r="D1456" s="39">
        <v>110</v>
      </c>
      <c r="E1456" s="1"/>
      <c r="F1456" s="39">
        <f t="shared" si="62"/>
        <v>0</v>
      </c>
      <c r="G1456" s="497"/>
      <c r="H1456" s="497"/>
      <c r="J1456" s="42"/>
    </row>
    <row r="1457" spans="1:10" s="360" customFormat="1" x14ac:dyDescent="0.25">
      <c r="A1457" s="19" t="s">
        <v>18</v>
      </c>
      <c r="B1457" s="2">
        <v>43953</v>
      </c>
      <c r="C1457" s="1">
        <v>6</v>
      </c>
      <c r="D1457" s="39">
        <v>242</v>
      </c>
      <c r="E1457" s="1"/>
      <c r="F1457" s="39">
        <f t="shared" si="62"/>
        <v>0</v>
      </c>
      <c r="G1457" s="497"/>
      <c r="H1457" s="497"/>
      <c r="J1457" s="42"/>
    </row>
    <row r="1458" spans="1:10" s="360" customFormat="1" x14ac:dyDescent="0.25">
      <c r="A1458" s="19" t="s">
        <v>34</v>
      </c>
      <c r="B1458" s="2">
        <v>43953</v>
      </c>
      <c r="C1458" s="1">
        <v>0</v>
      </c>
      <c r="D1458" s="39">
        <v>4</v>
      </c>
      <c r="E1458" s="1"/>
      <c r="F1458" s="39">
        <f t="shared" si="62"/>
        <v>6</v>
      </c>
      <c r="G1458" s="497"/>
      <c r="H1458" s="497"/>
      <c r="J1458" s="42"/>
    </row>
    <row r="1459" spans="1:10" s="360" customFormat="1" x14ac:dyDescent="0.25">
      <c r="A1459" s="19" t="s">
        <v>35</v>
      </c>
      <c r="B1459" s="2">
        <v>43953</v>
      </c>
      <c r="C1459" s="1">
        <v>0</v>
      </c>
      <c r="D1459" s="39">
        <v>2</v>
      </c>
      <c r="E1459" s="1"/>
      <c r="F1459" s="39">
        <f>E1459+F1435</f>
        <v>0</v>
      </c>
      <c r="G1459" s="497"/>
      <c r="H1459" s="497"/>
      <c r="J1459" s="42"/>
    </row>
    <row r="1460" spans="1:10" s="360" customFormat="1" x14ac:dyDescent="0.25">
      <c r="A1460" s="19" t="s">
        <v>36</v>
      </c>
      <c r="B1460" s="2">
        <v>43953</v>
      </c>
      <c r="C1460" s="1">
        <v>0</v>
      </c>
      <c r="D1460" s="39">
        <v>11</v>
      </c>
      <c r="E1460" s="1"/>
      <c r="F1460" s="39">
        <f t="shared" si="62"/>
        <v>0</v>
      </c>
      <c r="G1460" s="497"/>
      <c r="H1460" s="497"/>
      <c r="J1460" s="42"/>
    </row>
    <row r="1461" spans="1:10" s="360" customFormat="1" x14ac:dyDescent="0.25">
      <c r="A1461" s="19" t="s">
        <v>37</v>
      </c>
      <c r="B1461" s="2">
        <v>43953</v>
      </c>
      <c r="C1461" s="1">
        <v>0</v>
      </c>
      <c r="D1461" s="39">
        <v>49</v>
      </c>
      <c r="E1461" s="1"/>
      <c r="F1461" s="39">
        <f t="shared" si="62"/>
        <v>0</v>
      </c>
      <c r="G1461" s="497"/>
      <c r="H1461" s="497"/>
      <c r="J1461" s="42"/>
    </row>
    <row r="1462" spans="1:10" s="360" customFormat="1" x14ac:dyDescent="0.25">
      <c r="A1462" s="19" t="s">
        <v>22</v>
      </c>
      <c r="B1462" s="2">
        <v>43953</v>
      </c>
      <c r="C1462" s="1">
        <v>0</v>
      </c>
      <c r="D1462" s="39">
        <v>243</v>
      </c>
      <c r="E1462" s="1"/>
      <c r="F1462" s="39">
        <f>E1462+F1438</f>
        <v>2</v>
      </c>
      <c r="G1462" s="497"/>
      <c r="H1462" s="497"/>
      <c r="J1462" s="42"/>
    </row>
    <row r="1463" spans="1:10" s="360" customFormat="1" x14ac:dyDescent="0.25">
      <c r="A1463" s="19" t="s">
        <v>38</v>
      </c>
      <c r="B1463" s="2">
        <v>43953</v>
      </c>
      <c r="C1463" s="1">
        <v>0</v>
      </c>
      <c r="D1463" s="39">
        <v>15</v>
      </c>
      <c r="E1463" s="1"/>
      <c r="F1463" s="39">
        <f>E1463+F1439</f>
        <v>0</v>
      </c>
      <c r="G1463" s="497"/>
      <c r="H1463" s="497"/>
      <c r="J1463" s="42"/>
    </row>
    <row r="1464" spans="1:10" s="360" customFormat="1" x14ac:dyDescent="0.25">
      <c r="A1464" s="19" t="s">
        <v>39</v>
      </c>
      <c r="B1464" s="2">
        <v>43953</v>
      </c>
      <c r="C1464" s="1">
        <v>3</v>
      </c>
      <c r="D1464" s="39">
        <v>143</v>
      </c>
      <c r="E1464" s="1"/>
      <c r="F1464" s="39">
        <f t="shared" si="62"/>
        <v>0</v>
      </c>
      <c r="G1464" s="497"/>
      <c r="H1464" s="497"/>
      <c r="J1464" s="42"/>
    </row>
    <row r="1465" spans="1:10" s="360" customFormat="1" x14ac:dyDescent="0.25">
      <c r="A1465" s="19" t="s">
        <v>40</v>
      </c>
      <c r="B1465" s="2">
        <v>43953</v>
      </c>
      <c r="C1465" s="1">
        <v>0</v>
      </c>
      <c r="D1465" s="39">
        <v>38</v>
      </c>
      <c r="E1465" s="1"/>
      <c r="F1465" s="39">
        <f>E1465+F1441</f>
        <v>2</v>
      </c>
      <c r="G1465" s="497"/>
      <c r="H1465" s="497"/>
      <c r="J1465" s="42"/>
    </row>
    <row r="1466" spans="1:10" s="360" customFormat="1" x14ac:dyDescent="0.25">
      <c r="A1466" s="361" t="s">
        <v>16</v>
      </c>
      <c r="B1466" s="2">
        <v>43954</v>
      </c>
      <c r="C1466" s="1">
        <v>38</v>
      </c>
      <c r="D1466" s="39">
        <v>1715</v>
      </c>
      <c r="E1466" s="1">
        <v>3</v>
      </c>
      <c r="F1466" s="39">
        <f>E1466+F1442</f>
        <v>94</v>
      </c>
      <c r="G1466" s="497"/>
      <c r="H1466" s="497"/>
      <c r="J1466" s="42"/>
    </row>
    <row r="1467" spans="1:10" s="360" customFormat="1" x14ac:dyDescent="0.25">
      <c r="A1467" s="19" t="s">
        <v>28</v>
      </c>
      <c r="B1467" s="2">
        <v>43954</v>
      </c>
      <c r="C1467" s="1">
        <v>0</v>
      </c>
      <c r="D1467" s="39">
        <v>0</v>
      </c>
      <c r="E1467" s="1"/>
      <c r="F1467" s="39">
        <f t="shared" ref="F1467:F1472" si="63">E1467+F1443</f>
        <v>0</v>
      </c>
      <c r="G1467" s="497"/>
      <c r="H1467" s="497"/>
      <c r="J1467" s="42"/>
    </row>
    <row r="1468" spans="1:10" s="360" customFormat="1" x14ac:dyDescent="0.25">
      <c r="A1468" s="19" t="s">
        <v>15</v>
      </c>
      <c r="B1468" s="2">
        <v>43954</v>
      </c>
      <c r="C1468" s="1">
        <v>5</v>
      </c>
      <c r="D1468" s="39">
        <v>342</v>
      </c>
      <c r="E1468" s="1">
        <v>2</v>
      </c>
      <c r="F1468" s="39">
        <f t="shared" si="63"/>
        <v>18</v>
      </c>
      <c r="G1468" s="497"/>
      <c r="H1468" s="497"/>
      <c r="J1468" s="42"/>
    </row>
    <row r="1469" spans="1:10" s="360" customFormat="1" x14ac:dyDescent="0.25">
      <c r="A1469" s="19" t="s">
        <v>29</v>
      </c>
      <c r="B1469" s="2">
        <v>43954</v>
      </c>
      <c r="C1469" s="1">
        <v>0</v>
      </c>
      <c r="D1469" s="39">
        <v>4</v>
      </c>
      <c r="E1469" s="1"/>
      <c r="F1469" s="39">
        <f t="shared" si="63"/>
        <v>1</v>
      </c>
      <c r="G1469" s="497"/>
      <c r="H1469" s="497"/>
      <c r="J1469" s="42"/>
    </row>
    <row r="1470" spans="1:10" s="360" customFormat="1" x14ac:dyDescent="0.25">
      <c r="A1470" s="19" t="s">
        <v>43</v>
      </c>
      <c r="B1470" s="2">
        <v>43954</v>
      </c>
      <c r="C1470" s="1">
        <v>49</v>
      </c>
      <c r="D1470" s="39">
        <v>1304</v>
      </c>
      <c r="E1470" s="1">
        <v>2</v>
      </c>
      <c r="F1470" s="39">
        <f t="shared" si="63"/>
        <v>78</v>
      </c>
      <c r="G1470" s="497"/>
      <c r="H1470" s="497"/>
      <c r="J1470" s="42"/>
    </row>
    <row r="1471" spans="1:10" s="360" customFormat="1" x14ac:dyDescent="0.25">
      <c r="A1471" s="19" t="s">
        <v>20</v>
      </c>
      <c r="B1471" s="2">
        <v>43954</v>
      </c>
      <c r="C1471" s="1">
        <v>1</v>
      </c>
      <c r="D1471" s="39">
        <v>304</v>
      </c>
      <c r="E1471" s="1">
        <v>1</v>
      </c>
      <c r="F1471" s="39">
        <f t="shared" si="63"/>
        <v>16</v>
      </c>
      <c r="G1471" s="497"/>
      <c r="H1471" s="497"/>
      <c r="J1471" s="42"/>
    </row>
    <row r="1472" spans="1:10" s="360" customFormat="1" x14ac:dyDescent="0.25">
      <c r="A1472" s="19" t="s">
        <v>30</v>
      </c>
      <c r="B1472" s="2">
        <v>43954</v>
      </c>
      <c r="C1472" s="1">
        <v>0</v>
      </c>
      <c r="D1472" s="39">
        <v>49</v>
      </c>
      <c r="E1472" s="1"/>
      <c r="F1472" s="39">
        <f t="shared" si="63"/>
        <v>0</v>
      </c>
      <c r="G1472" s="497"/>
      <c r="H1472" s="497"/>
      <c r="J1472" s="42"/>
    </row>
    <row r="1473" spans="1:10" x14ac:dyDescent="0.25">
      <c r="A1473" s="19" t="s">
        <v>31</v>
      </c>
      <c r="B1473" s="2">
        <v>43954</v>
      </c>
      <c r="C1473" s="1">
        <v>2</v>
      </c>
      <c r="D1473" s="39">
        <v>27</v>
      </c>
      <c r="F1473" s="39">
        <f>E1473+F1449</f>
        <v>0</v>
      </c>
    </row>
    <row r="1474" spans="1:10" s="360" customFormat="1" x14ac:dyDescent="0.25">
      <c r="A1474" s="19" t="s">
        <v>41</v>
      </c>
      <c r="B1474" s="2">
        <v>43954</v>
      </c>
      <c r="C1474" s="1">
        <v>0</v>
      </c>
      <c r="D1474" s="39">
        <v>0</v>
      </c>
      <c r="E1474" s="1"/>
      <c r="F1474" s="39">
        <f t="shared" ref="F1474:F1488" si="64">E1474+F1449</f>
        <v>0</v>
      </c>
      <c r="G1474" s="497"/>
      <c r="H1474" s="497"/>
      <c r="J1474" s="42"/>
    </row>
    <row r="1475" spans="1:10" s="360" customFormat="1" x14ac:dyDescent="0.25">
      <c r="A1475" s="19" t="s">
        <v>32</v>
      </c>
      <c r="B1475" s="2">
        <v>43954</v>
      </c>
      <c r="C1475" s="1">
        <v>0</v>
      </c>
      <c r="D1475" s="39">
        <v>5</v>
      </c>
      <c r="E1475" s="1"/>
      <c r="F1475" s="39">
        <f t="shared" si="64"/>
        <v>0</v>
      </c>
      <c r="G1475" s="497"/>
      <c r="H1475" s="497"/>
      <c r="J1475" s="42"/>
    </row>
    <row r="1476" spans="1:10" s="360" customFormat="1" x14ac:dyDescent="0.25">
      <c r="A1476" s="19" t="s">
        <v>33</v>
      </c>
      <c r="B1476" s="2">
        <v>43954</v>
      </c>
      <c r="C1476" s="1">
        <v>0</v>
      </c>
      <c r="D1476" s="39">
        <v>5</v>
      </c>
      <c r="E1476" s="1"/>
      <c r="F1476" s="39">
        <f t="shared" si="64"/>
        <v>0</v>
      </c>
      <c r="G1476" s="497"/>
      <c r="H1476" s="497"/>
      <c r="J1476" s="42"/>
    </row>
    <row r="1477" spans="1:10" s="360" customFormat="1" x14ac:dyDescent="0.25">
      <c r="A1477" s="19" t="s">
        <v>21</v>
      </c>
      <c r="B1477" s="2">
        <v>43954</v>
      </c>
      <c r="C1477" s="1">
        <v>0</v>
      </c>
      <c r="D1477" s="39">
        <v>55</v>
      </c>
      <c r="E1477" s="1"/>
      <c r="F1477" s="39">
        <f t="shared" si="64"/>
        <v>0</v>
      </c>
      <c r="G1477" s="497"/>
      <c r="H1477" s="497"/>
      <c r="J1477" s="42"/>
    </row>
    <row r="1478" spans="1:10" s="360" customFormat="1" x14ac:dyDescent="0.25">
      <c r="A1478" s="19" t="s">
        <v>17</v>
      </c>
      <c r="B1478" s="2">
        <v>43954</v>
      </c>
      <c r="C1478" s="1">
        <v>0</v>
      </c>
      <c r="D1478" s="39">
        <v>85</v>
      </c>
      <c r="E1478" s="1"/>
      <c r="F1478" s="39">
        <f t="shared" si="64"/>
        <v>0</v>
      </c>
      <c r="G1478" s="497"/>
      <c r="H1478" s="497"/>
      <c r="J1478" s="42"/>
    </row>
    <row r="1479" spans="1:10" s="360" customFormat="1" x14ac:dyDescent="0.25">
      <c r="A1479" s="19" t="s">
        <v>23</v>
      </c>
      <c r="B1479" s="2">
        <v>43954</v>
      </c>
      <c r="C1479" s="1">
        <v>0</v>
      </c>
      <c r="D1479" s="39">
        <v>24</v>
      </c>
      <c r="E1479" s="1"/>
      <c r="F1479" s="39">
        <f t="shared" si="64"/>
        <v>0</v>
      </c>
      <c r="G1479" s="497"/>
      <c r="H1479" s="497"/>
      <c r="J1479" s="42"/>
    </row>
    <row r="1480" spans="1:10" s="360" customFormat="1" x14ac:dyDescent="0.25">
      <c r="A1480" s="19" t="s">
        <v>19</v>
      </c>
      <c r="B1480" s="2">
        <v>43954</v>
      </c>
      <c r="C1480" s="1">
        <v>0</v>
      </c>
      <c r="D1480" s="39">
        <v>110</v>
      </c>
      <c r="E1480" s="1"/>
      <c r="F1480" s="39">
        <f t="shared" si="64"/>
        <v>0</v>
      </c>
      <c r="G1480" s="497"/>
      <c r="H1480" s="497"/>
      <c r="J1480" s="42"/>
    </row>
    <row r="1481" spans="1:10" s="360" customFormat="1" x14ac:dyDescent="0.25">
      <c r="A1481" s="19" t="s">
        <v>18</v>
      </c>
      <c r="B1481" s="2">
        <v>43954</v>
      </c>
      <c r="C1481" s="1">
        <v>6</v>
      </c>
      <c r="D1481" s="39">
        <v>248</v>
      </c>
      <c r="E1481" s="1">
        <v>1</v>
      </c>
      <c r="F1481" s="39">
        <f t="shared" si="64"/>
        <v>1</v>
      </c>
      <c r="G1481" s="497"/>
      <c r="H1481" s="497"/>
      <c r="J1481" s="42"/>
    </row>
    <row r="1482" spans="1:10" s="360" customFormat="1" x14ac:dyDescent="0.25">
      <c r="A1482" s="19" t="s">
        <v>34</v>
      </c>
      <c r="B1482" s="2">
        <v>43954</v>
      </c>
      <c r="C1482" s="1">
        <v>0</v>
      </c>
      <c r="D1482" s="39">
        <v>4</v>
      </c>
      <c r="E1482" s="1"/>
      <c r="F1482" s="39">
        <f t="shared" si="64"/>
        <v>0</v>
      </c>
      <c r="G1482" s="497"/>
      <c r="H1482" s="497"/>
      <c r="J1482" s="42"/>
    </row>
    <row r="1483" spans="1:10" s="360" customFormat="1" x14ac:dyDescent="0.25">
      <c r="A1483" s="19" t="s">
        <v>35</v>
      </c>
      <c r="B1483" s="2">
        <v>43954</v>
      </c>
      <c r="C1483" s="1">
        <v>0</v>
      </c>
      <c r="D1483" s="39">
        <v>2</v>
      </c>
      <c r="E1483" s="1"/>
      <c r="F1483" s="39">
        <f>E1483+F1459</f>
        <v>0</v>
      </c>
      <c r="G1483" s="497"/>
      <c r="H1483" s="497"/>
      <c r="J1483" s="42"/>
    </row>
    <row r="1484" spans="1:10" s="360" customFormat="1" x14ac:dyDescent="0.25">
      <c r="A1484" s="19" t="s">
        <v>36</v>
      </c>
      <c r="B1484" s="2">
        <v>43954</v>
      </c>
      <c r="C1484" s="1">
        <v>0</v>
      </c>
      <c r="D1484" s="39">
        <v>11</v>
      </c>
      <c r="E1484" s="1"/>
      <c r="F1484" s="39">
        <f t="shared" si="64"/>
        <v>0</v>
      </c>
      <c r="G1484" s="497"/>
      <c r="H1484" s="497"/>
      <c r="J1484" s="42"/>
    </row>
    <row r="1485" spans="1:10" s="360" customFormat="1" x14ac:dyDescent="0.25">
      <c r="A1485" s="19" t="s">
        <v>37</v>
      </c>
      <c r="B1485" s="2">
        <v>43954</v>
      </c>
      <c r="C1485" s="1">
        <v>0</v>
      </c>
      <c r="D1485" s="39">
        <v>49</v>
      </c>
      <c r="E1485" s="1"/>
      <c r="F1485" s="39">
        <f t="shared" si="64"/>
        <v>0</v>
      </c>
      <c r="G1485" s="497"/>
      <c r="H1485" s="497"/>
      <c r="J1485" s="42"/>
    </row>
    <row r="1486" spans="1:10" s="360" customFormat="1" x14ac:dyDescent="0.25">
      <c r="A1486" s="19" t="s">
        <v>22</v>
      </c>
      <c r="B1486" s="2">
        <v>43954</v>
      </c>
      <c r="C1486" s="1">
        <v>0</v>
      </c>
      <c r="D1486" s="39">
        <v>243</v>
      </c>
      <c r="E1486" s="1"/>
      <c r="F1486" s="39">
        <f>E1486+F1462</f>
        <v>2</v>
      </c>
      <c r="G1486" s="497"/>
      <c r="H1486" s="497"/>
      <c r="J1486" s="42"/>
    </row>
    <row r="1487" spans="1:10" s="360" customFormat="1" x14ac:dyDescent="0.25">
      <c r="A1487" s="19" t="s">
        <v>38</v>
      </c>
      <c r="B1487" s="2">
        <v>43954</v>
      </c>
      <c r="C1487" s="1">
        <v>0</v>
      </c>
      <c r="D1487" s="39">
        <v>15</v>
      </c>
      <c r="E1487" s="1"/>
      <c r="F1487" s="39">
        <f>E1487+F1463</f>
        <v>0</v>
      </c>
      <c r="G1487" s="497"/>
      <c r="H1487" s="497"/>
      <c r="J1487" s="42"/>
    </row>
    <row r="1488" spans="1:10" s="360" customFormat="1" x14ac:dyDescent="0.25">
      <c r="A1488" s="19" t="s">
        <v>39</v>
      </c>
      <c r="B1488" s="2">
        <v>43954</v>
      </c>
      <c r="C1488" s="1">
        <v>2</v>
      </c>
      <c r="D1488" s="39">
        <v>145</v>
      </c>
      <c r="E1488" s="1"/>
      <c r="F1488" s="39">
        <f t="shared" si="64"/>
        <v>0</v>
      </c>
      <c r="G1488" s="497"/>
      <c r="H1488" s="497"/>
      <c r="J1488" s="42"/>
    </row>
    <row r="1489" spans="1:10" s="360" customFormat="1" x14ac:dyDescent="0.25">
      <c r="A1489" s="19" t="s">
        <v>40</v>
      </c>
      <c r="B1489" s="2">
        <v>43954</v>
      </c>
      <c r="C1489" s="1">
        <v>0</v>
      </c>
      <c r="D1489" s="39">
        <v>38</v>
      </c>
      <c r="E1489" s="1"/>
      <c r="F1489" s="39">
        <f>E1489+F1465</f>
        <v>2</v>
      </c>
      <c r="G1489" s="497"/>
      <c r="H1489" s="497"/>
      <c r="J1489" s="42"/>
    </row>
    <row r="1490" spans="1:10" s="360" customFormat="1" x14ac:dyDescent="0.25">
      <c r="A1490" s="361" t="s">
        <v>16</v>
      </c>
      <c r="B1490" s="2">
        <v>43955</v>
      </c>
      <c r="C1490" s="1">
        <v>38</v>
      </c>
      <c r="D1490" s="39">
        <v>1753</v>
      </c>
      <c r="E1490" s="1">
        <v>7</v>
      </c>
      <c r="F1490" s="39">
        <f>E1490+F1466</f>
        <v>101</v>
      </c>
      <c r="G1490" s="497"/>
      <c r="H1490" s="497"/>
      <c r="J1490" s="42"/>
    </row>
    <row r="1491" spans="1:10" s="360" customFormat="1" x14ac:dyDescent="0.25">
      <c r="A1491" s="19" t="s">
        <v>28</v>
      </c>
      <c r="B1491" s="2">
        <v>43955</v>
      </c>
      <c r="C1491" s="1">
        <v>0</v>
      </c>
      <c r="D1491" s="39">
        <v>0</v>
      </c>
      <c r="E1491" s="1"/>
      <c r="F1491" s="39">
        <f t="shared" ref="F1491:F1496" si="65">E1491+F1467</f>
        <v>0</v>
      </c>
      <c r="G1491" s="497"/>
      <c r="H1491" s="497"/>
      <c r="J1491" s="42"/>
    </row>
    <row r="1492" spans="1:10" s="360" customFormat="1" x14ac:dyDescent="0.25">
      <c r="A1492" s="19" t="s">
        <v>15</v>
      </c>
      <c r="B1492" s="2">
        <v>43955</v>
      </c>
      <c r="C1492" s="1">
        <v>5</v>
      </c>
      <c r="D1492" s="39">
        <v>347</v>
      </c>
      <c r="E1492" s="1">
        <v>1</v>
      </c>
      <c r="F1492" s="39">
        <f t="shared" si="65"/>
        <v>19</v>
      </c>
      <c r="G1492" s="497"/>
      <c r="H1492" s="497"/>
      <c r="J1492" s="42"/>
    </row>
    <row r="1493" spans="1:10" s="360" customFormat="1" x14ac:dyDescent="0.25">
      <c r="A1493" s="19" t="s">
        <v>29</v>
      </c>
      <c r="B1493" s="2">
        <v>43955</v>
      </c>
      <c r="C1493" s="1">
        <v>0</v>
      </c>
      <c r="D1493" s="39">
        <v>4</v>
      </c>
      <c r="E1493" s="1"/>
      <c r="F1493" s="39">
        <f t="shared" si="65"/>
        <v>1</v>
      </c>
      <c r="G1493" s="497"/>
      <c r="H1493" s="497"/>
      <c r="J1493" s="42"/>
    </row>
    <row r="1494" spans="1:10" s="360" customFormat="1" x14ac:dyDescent="0.25">
      <c r="A1494" s="19" t="s">
        <v>43</v>
      </c>
      <c r="B1494" s="2">
        <v>43955</v>
      </c>
      <c r="C1494" s="1">
        <v>43</v>
      </c>
      <c r="D1494" s="39">
        <v>1347</v>
      </c>
      <c r="E1494" s="1">
        <v>4</v>
      </c>
      <c r="F1494" s="39">
        <f t="shared" si="65"/>
        <v>82</v>
      </c>
      <c r="G1494" s="497"/>
      <c r="H1494" s="497"/>
      <c r="J1494" s="42"/>
    </row>
    <row r="1495" spans="1:10" s="360" customFormat="1" x14ac:dyDescent="0.25">
      <c r="A1495" s="19" t="s">
        <v>20</v>
      </c>
      <c r="B1495" s="2">
        <v>43955</v>
      </c>
      <c r="C1495" s="1">
        <v>6</v>
      </c>
      <c r="D1495" s="39">
        <v>310</v>
      </c>
      <c r="E1495" s="1">
        <v>2</v>
      </c>
      <c r="F1495" s="39">
        <f t="shared" si="65"/>
        <v>18</v>
      </c>
      <c r="G1495" s="497"/>
      <c r="H1495" s="497"/>
      <c r="J1495" s="42"/>
    </row>
    <row r="1496" spans="1:10" s="360" customFormat="1" x14ac:dyDescent="0.25">
      <c r="A1496" s="19" t="s">
        <v>30</v>
      </c>
      <c r="B1496" s="2">
        <v>43955</v>
      </c>
      <c r="C1496" s="1">
        <v>0</v>
      </c>
      <c r="D1496" s="39">
        <v>49</v>
      </c>
      <c r="E1496" s="1"/>
      <c r="F1496" s="39">
        <f t="shared" si="65"/>
        <v>0</v>
      </c>
      <c r="G1496" s="497"/>
      <c r="H1496" s="497"/>
      <c r="J1496" s="42"/>
    </row>
    <row r="1497" spans="1:10" x14ac:dyDescent="0.25">
      <c r="A1497" s="19" t="s">
        <v>31</v>
      </c>
      <c r="B1497" s="2">
        <v>43955</v>
      </c>
      <c r="C1497" s="1">
        <v>0</v>
      </c>
      <c r="D1497" s="39">
        <v>27</v>
      </c>
      <c r="F1497" s="39">
        <f>E1497+F1473</f>
        <v>0</v>
      </c>
    </row>
    <row r="1498" spans="1:10" s="360" customFormat="1" x14ac:dyDescent="0.25">
      <c r="A1498" s="19" t="s">
        <v>41</v>
      </c>
      <c r="B1498" s="2">
        <v>43955</v>
      </c>
      <c r="C1498" s="1">
        <v>0</v>
      </c>
      <c r="D1498" s="39">
        <v>0</v>
      </c>
      <c r="E1498" s="1"/>
      <c r="F1498" s="39">
        <f t="shared" ref="F1498:F1512" si="66">E1498+F1473</f>
        <v>0</v>
      </c>
      <c r="G1498" s="497"/>
      <c r="H1498" s="497"/>
      <c r="J1498" s="42"/>
    </row>
    <row r="1499" spans="1:10" s="360" customFormat="1" x14ac:dyDescent="0.25">
      <c r="A1499" s="19" t="s">
        <v>32</v>
      </c>
      <c r="B1499" s="2">
        <v>43955</v>
      </c>
      <c r="C1499" s="1">
        <v>0</v>
      </c>
      <c r="D1499" s="39">
        <v>5</v>
      </c>
      <c r="E1499" s="1"/>
      <c r="F1499" s="39">
        <f t="shared" si="66"/>
        <v>0</v>
      </c>
      <c r="G1499" s="497"/>
      <c r="H1499" s="497"/>
      <c r="J1499" s="42"/>
    </row>
    <row r="1500" spans="1:10" s="360" customFormat="1" x14ac:dyDescent="0.25">
      <c r="A1500" s="19" t="s">
        <v>33</v>
      </c>
      <c r="B1500" s="2">
        <v>43955</v>
      </c>
      <c r="C1500" s="1">
        <v>0</v>
      </c>
      <c r="D1500" s="39">
        <v>5</v>
      </c>
      <c r="E1500" s="1"/>
      <c r="F1500" s="39">
        <f t="shared" si="66"/>
        <v>0</v>
      </c>
      <c r="G1500" s="497"/>
      <c r="H1500" s="497"/>
      <c r="J1500" s="42"/>
    </row>
    <row r="1501" spans="1:10" s="360" customFormat="1" x14ac:dyDescent="0.25">
      <c r="A1501" s="19" t="s">
        <v>21</v>
      </c>
      <c r="B1501" s="2">
        <v>43955</v>
      </c>
      <c r="C1501" s="1">
        <v>1</v>
      </c>
      <c r="D1501" s="39">
        <v>56</v>
      </c>
      <c r="E1501" s="1"/>
      <c r="F1501" s="39">
        <f t="shared" si="66"/>
        <v>0</v>
      </c>
      <c r="G1501" s="497"/>
      <c r="H1501" s="497"/>
      <c r="J1501" s="42"/>
    </row>
    <row r="1502" spans="1:10" s="360" customFormat="1" x14ac:dyDescent="0.25">
      <c r="A1502" s="19" t="s">
        <v>17</v>
      </c>
      <c r="B1502" s="2">
        <v>43955</v>
      </c>
      <c r="C1502" s="1">
        <v>-1</v>
      </c>
      <c r="D1502" s="39">
        <v>84</v>
      </c>
      <c r="E1502" s="1"/>
      <c r="F1502" s="39">
        <f t="shared" si="66"/>
        <v>0</v>
      </c>
      <c r="G1502" s="497"/>
      <c r="H1502" s="497"/>
      <c r="J1502" s="42"/>
    </row>
    <row r="1503" spans="1:10" s="360" customFormat="1" x14ac:dyDescent="0.25">
      <c r="A1503" s="19" t="s">
        <v>23</v>
      </c>
      <c r="B1503" s="2">
        <v>43955</v>
      </c>
      <c r="C1503" s="1">
        <v>1</v>
      </c>
      <c r="D1503" s="39">
        <v>25</v>
      </c>
      <c r="E1503" s="1"/>
      <c r="F1503" s="39">
        <f t="shared" si="66"/>
        <v>0</v>
      </c>
      <c r="G1503" s="497"/>
      <c r="H1503" s="497"/>
      <c r="J1503" s="42"/>
    </row>
    <row r="1504" spans="1:10" s="360" customFormat="1" x14ac:dyDescent="0.25">
      <c r="A1504" s="19" t="s">
        <v>19</v>
      </c>
      <c r="B1504" s="2">
        <v>43955</v>
      </c>
      <c r="C1504" s="1">
        <v>0</v>
      </c>
      <c r="D1504" s="39">
        <v>110</v>
      </c>
      <c r="E1504" s="1"/>
      <c r="F1504" s="39">
        <f t="shared" si="66"/>
        <v>0</v>
      </c>
      <c r="G1504" s="497"/>
      <c r="H1504" s="497"/>
      <c r="J1504" s="42"/>
    </row>
    <row r="1505" spans="1:10" s="360" customFormat="1" x14ac:dyDescent="0.25">
      <c r="A1505" s="19" t="s">
        <v>18</v>
      </c>
      <c r="B1505" s="2">
        <v>43955</v>
      </c>
      <c r="C1505" s="1">
        <v>7</v>
      </c>
      <c r="D1505" s="39">
        <v>255</v>
      </c>
      <c r="E1505" s="1"/>
      <c r="F1505" s="39">
        <f t="shared" si="66"/>
        <v>0</v>
      </c>
      <c r="G1505" s="497"/>
      <c r="H1505" s="497"/>
      <c r="J1505" s="42"/>
    </row>
    <row r="1506" spans="1:10" s="360" customFormat="1" x14ac:dyDescent="0.25">
      <c r="A1506" s="19" t="s">
        <v>34</v>
      </c>
      <c r="B1506" s="2">
        <v>43955</v>
      </c>
      <c r="C1506" s="1">
        <v>0</v>
      </c>
      <c r="D1506" s="39">
        <v>4</v>
      </c>
      <c r="E1506" s="1"/>
      <c r="F1506" s="39">
        <f t="shared" si="66"/>
        <v>1</v>
      </c>
      <c r="G1506" s="497"/>
      <c r="H1506" s="497"/>
      <c r="J1506" s="42"/>
    </row>
    <row r="1507" spans="1:10" s="360" customFormat="1" x14ac:dyDescent="0.25">
      <c r="A1507" s="19" t="s">
        <v>35</v>
      </c>
      <c r="B1507" s="2">
        <v>43955</v>
      </c>
      <c r="C1507" s="1">
        <v>0</v>
      </c>
      <c r="D1507" s="39">
        <v>2</v>
      </c>
      <c r="E1507" s="1"/>
      <c r="F1507" s="39">
        <f>E1507+F1483</f>
        <v>0</v>
      </c>
      <c r="G1507" s="497"/>
      <c r="H1507" s="497"/>
      <c r="J1507" s="42"/>
    </row>
    <row r="1508" spans="1:10" s="360" customFormat="1" x14ac:dyDescent="0.25">
      <c r="A1508" s="19" t="s">
        <v>36</v>
      </c>
      <c r="B1508" s="2">
        <v>43955</v>
      </c>
      <c r="C1508" s="1">
        <v>0</v>
      </c>
      <c r="D1508" s="39">
        <v>11</v>
      </c>
      <c r="E1508" s="1"/>
      <c r="F1508" s="39">
        <f t="shared" si="66"/>
        <v>0</v>
      </c>
      <c r="G1508" s="497"/>
      <c r="H1508" s="497"/>
      <c r="J1508" s="42"/>
    </row>
    <row r="1509" spans="1:10" s="360" customFormat="1" x14ac:dyDescent="0.25">
      <c r="A1509" s="19" t="s">
        <v>37</v>
      </c>
      <c r="B1509" s="2">
        <v>43955</v>
      </c>
      <c r="C1509" s="1">
        <v>0</v>
      </c>
      <c r="D1509" s="39">
        <v>49</v>
      </c>
      <c r="E1509" s="1"/>
      <c r="F1509" s="39">
        <f t="shared" si="66"/>
        <v>0</v>
      </c>
      <c r="G1509" s="497"/>
      <c r="H1509" s="497"/>
      <c r="J1509" s="42"/>
    </row>
    <row r="1510" spans="1:10" s="360" customFormat="1" x14ac:dyDescent="0.25">
      <c r="A1510" s="19" t="s">
        <v>22</v>
      </c>
      <c r="B1510" s="2">
        <v>43955</v>
      </c>
      <c r="C1510" s="1">
        <v>0</v>
      </c>
      <c r="D1510" s="39">
        <v>243</v>
      </c>
      <c r="E1510" s="1"/>
      <c r="F1510" s="39">
        <f>E1510+F1486</f>
        <v>2</v>
      </c>
      <c r="G1510" s="497"/>
      <c r="H1510" s="497"/>
      <c r="J1510" s="42"/>
    </row>
    <row r="1511" spans="1:10" s="360" customFormat="1" x14ac:dyDescent="0.25">
      <c r="A1511" s="19" t="s">
        <v>38</v>
      </c>
      <c r="B1511" s="2">
        <v>43955</v>
      </c>
      <c r="C1511" s="1">
        <v>0</v>
      </c>
      <c r="D1511" s="39">
        <v>15</v>
      </c>
      <c r="E1511" s="1"/>
      <c r="F1511" s="39">
        <f>E1511+F1487</f>
        <v>0</v>
      </c>
      <c r="G1511" s="497"/>
      <c r="H1511" s="497"/>
      <c r="J1511" s="42"/>
    </row>
    <row r="1512" spans="1:10" s="360" customFormat="1" x14ac:dyDescent="0.25">
      <c r="A1512" s="19" t="s">
        <v>39</v>
      </c>
      <c r="B1512" s="2">
        <v>43955</v>
      </c>
      <c r="C1512" s="1">
        <v>0</v>
      </c>
      <c r="D1512" s="39">
        <v>145</v>
      </c>
      <c r="E1512" s="1"/>
      <c r="F1512" s="39">
        <f t="shared" si="66"/>
        <v>0</v>
      </c>
      <c r="G1512" s="497"/>
      <c r="H1512" s="497"/>
      <c r="J1512" s="42"/>
    </row>
    <row r="1513" spans="1:10" s="360" customFormat="1" x14ac:dyDescent="0.25">
      <c r="A1513" s="19" t="s">
        <v>40</v>
      </c>
      <c r="B1513" s="2">
        <v>43955</v>
      </c>
      <c r="C1513" s="1">
        <v>3</v>
      </c>
      <c r="D1513" s="39">
        <v>41</v>
      </c>
      <c r="E1513" s="1"/>
      <c r="F1513" s="39">
        <f>E1513+F1489</f>
        <v>2</v>
      </c>
      <c r="G1513" s="497"/>
      <c r="H1513" s="497"/>
      <c r="J1513" s="42"/>
    </row>
    <row r="1514" spans="1:10" s="360" customFormat="1" x14ac:dyDescent="0.25">
      <c r="A1514" s="361" t="s">
        <v>16</v>
      </c>
      <c r="B1514" s="2">
        <v>43956</v>
      </c>
      <c r="C1514" s="1">
        <v>58</v>
      </c>
      <c r="D1514" s="39">
        <v>1811</v>
      </c>
      <c r="E1514" s="1">
        <v>1</v>
      </c>
      <c r="F1514" s="39">
        <f>E1514+F1490</f>
        <v>102</v>
      </c>
      <c r="G1514" s="497"/>
      <c r="H1514" s="497"/>
      <c r="J1514" s="42"/>
    </row>
    <row r="1515" spans="1:10" s="360" customFormat="1" x14ac:dyDescent="0.25">
      <c r="A1515" s="19" t="s">
        <v>28</v>
      </c>
      <c r="B1515" s="2">
        <v>43956</v>
      </c>
      <c r="C1515" s="1">
        <v>0</v>
      </c>
      <c r="D1515" s="39">
        <v>0</v>
      </c>
      <c r="E1515" s="1"/>
      <c r="F1515" s="39">
        <f t="shared" ref="F1515:F1520" si="67">E1515+F1491</f>
        <v>0</v>
      </c>
      <c r="G1515" s="497"/>
      <c r="H1515" s="497"/>
      <c r="J1515" s="42"/>
    </row>
    <row r="1516" spans="1:10" s="360" customFormat="1" x14ac:dyDescent="0.25">
      <c r="A1516" s="19" t="s">
        <v>15</v>
      </c>
      <c r="B1516" s="2">
        <v>43956</v>
      </c>
      <c r="C1516" s="1">
        <v>11</v>
      </c>
      <c r="D1516" s="39">
        <v>358</v>
      </c>
      <c r="E1516" s="1"/>
      <c r="F1516" s="39">
        <f t="shared" si="67"/>
        <v>19</v>
      </c>
      <c r="G1516" s="497"/>
      <c r="H1516" s="497"/>
      <c r="J1516" s="42"/>
    </row>
    <row r="1517" spans="1:10" s="360" customFormat="1" x14ac:dyDescent="0.25">
      <c r="A1517" s="19" t="s">
        <v>29</v>
      </c>
      <c r="B1517" s="2">
        <v>43956</v>
      </c>
      <c r="C1517" s="1">
        <v>0</v>
      </c>
      <c r="D1517" s="39">
        <v>4</v>
      </c>
      <c r="E1517" s="1"/>
      <c r="F1517" s="39">
        <f t="shared" si="67"/>
        <v>1</v>
      </c>
      <c r="G1517" s="497"/>
      <c r="H1517" s="497"/>
      <c r="J1517" s="42"/>
    </row>
    <row r="1518" spans="1:10" s="360" customFormat="1" x14ac:dyDescent="0.25">
      <c r="A1518" s="19" t="s">
        <v>43</v>
      </c>
      <c r="B1518" s="2">
        <v>43956</v>
      </c>
      <c r="C1518" s="1">
        <v>57</v>
      </c>
      <c r="D1518" s="39">
        <v>1404</v>
      </c>
      <c r="E1518" s="1">
        <v>1</v>
      </c>
      <c r="F1518" s="39">
        <f t="shared" si="67"/>
        <v>83</v>
      </c>
      <c r="G1518" s="497"/>
      <c r="H1518" s="497"/>
      <c r="J1518" s="42"/>
    </row>
    <row r="1519" spans="1:10" s="360" customFormat="1" x14ac:dyDescent="0.25">
      <c r="A1519" s="19" t="s">
        <v>20</v>
      </c>
      <c r="B1519" s="2">
        <v>43956</v>
      </c>
      <c r="C1519" s="1">
        <v>1</v>
      </c>
      <c r="D1519" s="39">
        <v>311</v>
      </c>
      <c r="E1519" s="1">
        <v>1</v>
      </c>
      <c r="F1519" s="39">
        <f t="shared" si="67"/>
        <v>19</v>
      </c>
      <c r="G1519" s="497"/>
      <c r="H1519" s="497"/>
      <c r="J1519" s="42"/>
    </row>
    <row r="1520" spans="1:10" s="360" customFormat="1" x14ac:dyDescent="0.25">
      <c r="A1520" s="19" t="s">
        <v>30</v>
      </c>
      <c r="B1520" s="2">
        <v>43956</v>
      </c>
      <c r="C1520" s="1">
        <v>-1</v>
      </c>
      <c r="D1520" s="39">
        <v>48</v>
      </c>
      <c r="E1520" s="1"/>
      <c r="F1520" s="39">
        <f t="shared" si="67"/>
        <v>0</v>
      </c>
      <c r="G1520" s="497"/>
      <c r="H1520" s="497"/>
      <c r="J1520" s="42"/>
    </row>
    <row r="1521" spans="1:10" x14ac:dyDescent="0.25">
      <c r="A1521" s="19" t="s">
        <v>31</v>
      </c>
      <c r="B1521" s="2">
        <v>43956</v>
      </c>
      <c r="C1521" s="1">
        <v>1</v>
      </c>
      <c r="D1521" s="39">
        <v>28</v>
      </c>
      <c r="F1521" s="39">
        <f>E1521+F1497</f>
        <v>0</v>
      </c>
    </row>
    <row r="1522" spans="1:10" s="360" customFormat="1" x14ac:dyDescent="0.25">
      <c r="A1522" s="19" t="s">
        <v>41</v>
      </c>
      <c r="B1522" s="2">
        <v>43956</v>
      </c>
      <c r="C1522" s="1">
        <v>0</v>
      </c>
      <c r="D1522" s="39">
        <v>0</v>
      </c>
      <c r="E1522" s="1"/>
      <c r="F1522" s="39">
        <f t="shared" ref="F1522:F1536" si="68">E1522+F1497</f>
        <v>0</v>
      </c>
      <c r="G1522" s="497"/>
      <c r="H1522" s="497"/>
      <c r="J1522" s="42"/>
    </row>
    <row r="1523" spans="1:10" s="360" customFormat="1" x14ac:dyDescent="0.25">
      <c r="A1523" s="19" t="s">
        <v>32</v>
      </c>
      <c r="B1523" s="2">
        <v>43956</v>
      </c>
      <c r="C1523" s="1">
        <v>0</v>
      </c>
      <c r="D1523" s="39">
        <v>5</v>
      </c>
      <c r="E1523" s="1"/>
      <c r="F1523" s="39">
        <f t="shared" si="68"/>
        <v>0</v>
      </c>
      <c r="G1523" s="497"/>
      <c r="H1523" s="497"/>
      <c r="J1523" s="42"/>
    </row>
    <row r="1524" spans="1:10" s="360" customFormat="1" x14ac:dyDescent="0.25">
      <c r="A1524" s="19" t="s">
        <v>33</v>
      </c>
      <c r="B1524" s="2">
        <v>43956</v>
      </c>
      <c r="C1524" s="1">
        <v>0</v>
      </c>
      <c r="D1524" s="39">
        <v>5</v>
      </c>
      <c r="E1524" s="1"/>
      <c r="F1524" s="39">
        <f t="shared" si="68"/>
        <v>0</v>
      </c>
      <c r="G1524" s="497"/>
      <c r="H1524" s="497"/>
      <c r="J1524" s="42"/>
    </row>
    <row r="1525" spans="1:10" s="360" customFormat="1" x14ac:dyDescent="0.25">
      <c r="A1525" s="19" t="s">
        <v>21</v>
      </c>
      <c r="B1525" s="2">
        <v>43956</v>
      </c>
      <c r="C1525" s="1">
        <v>0</v>
      </c>
      <c r="D1525" s="39">
        <v>56</v>
      </c>
      <c r="E1525" s="1"/>
      <c r="F1525" s="39">
        <f t="shared" si="68"/>
        <v>0</v>
      </c>
      <c r="G1525" s="497"/>
      <c r="H1525" s="497"/>
      <c r="J1525" s="42"/>
    </row>
    <row r="1526" spans="1:10" s="360" customFormat="1" x14ac:dyDescent="0.25">
      <c r="A1526" s="19" t="s">
        <v>17</v>
      </c>
      <c r="B1526" s="2">
        <v>43956</v>
      </c>
      <c r="C1526" s="1">
        <v>1</v>
      </c>
      <c r="D1526" s="39">
        <v>85</v>
      </c>
      <c r="E1526" s="1"/>
      <c r="F1526" s="39">
        <f t="shared" si="68"/>
        <v>0</v>
      </c>
      <c r="G1526" s="497"/>
      <c r="H1526" s="497"/>
      <c r="J1526" s="42"/>
    </row>
    <row r="1527" spans="1:10" s="360" customFormat="1" x14ac:dyDescent="0.25">
      <c r="A1527" s="19" t="s">
        <v>23</v>
      </c>
      <c r="B1527" s="2">
        <v>43956</v>
      </c>
      <c r="C1527" s="1">
        <v>0</v>
      </c>
      <c r="D1527" s="39">
        <v>25</v>
      </c>
      <c r="E1527" s="1"/>
      <c r="F1527" s="39">
        <f t="shared" si="68"/>
        <v>0</v>
      </c>
      <c r="G1527" s="497"/>
      <c r="H1527" s="497"/>
      <c r="J1527" s="42"/>
    </row>
    <row r="1528" spans="1:10" s="360" customFormat="1" x14ac:dyDescent="0.25">
      <c r="A1528" s="19" t="s">
        <v>19</v>
      </c>
      <c r="B1528" s="2">
        <v>43956</v>
      </c>
      <c r="C1528" s="1">
        <v>0</v>
      </c>
      <c r="D1528" s="39">
        <v>110</v>
      </c>
      <c r="E1528" s="1"/>
      <c r="F1528" s="39">
        <f t="shared" si="68"/>
        <v>0</v>
      </c>
      <c r="G1528" s="497"/>
      <c r="H1528" s="497"/>
      <c r="J1528" s="42"/>
    </row>
    <row r="1529" spans="1:10" s="360" customFormat="1" x14ac:dyDescent="0.25">
      <c r="A1529" s="19" t="s">
        <v>18</v>
      </c>
      <c r="B1529" s="2">
        <v>43956</v>
      </c>
      <c r="C1529" s="1">
        <v>4</v>
      </c>
      <c r="D1529" s="39">
        <v>259</v>
      </c>
      <c r="E1529" s="1"/>
      <c r="F1529" s="39">
        <f t="shared" si="68"/>
        <v>0</v>
      </c>
      <c r="G1529" s="497"/>
      <c r="H1529" s="497"/>
      <c r="J1529" s="42"/>
    </row>
    <row r="1530" spans="1:10" s="360" customFormat="1" x14ac:dyDescent="0.25">
      <c r="A1530" s="19" t="s">
        <v>34</v>
      </c>
      <c r="B1530" s="2">
        <v>43956</v>
      </c>
      <c r="C1530" s="1">
        <v>0</v>
      </c>
      <c r="D1530" s="39">
        <v>4</v>
      </c>
      <c r="E1530" s="1"/>
      <c r="F1530" s="39">
        <f t="shared" si="68"/>
        <v>0</v>
      </c>
      <c r="G1530" s="497"/>
      <c r="H1530" s="497"/>
      <c r="J1530" s="42"/>
    </row>
    <row r="1531" spans="1:10" s="360" customFormat="1" x14ac:dyDescent="0.25">
      <c r="A1531" s="19" t="s">
        <v>35</v>
      </c>
      <c r="B1531" s="2">
        <v>43956</v>
      </c>
      <c r="C1531" s="1">
        <v>0</v>
      </c>
      <c r="D1531" s="39">
        <v>2</v>
      </c>
      <c r="E1531" s="1"/>
      <c r="F1531" s="39">
        <f>E1531+F1507</f>
        <v>0</v>
      </c>
      <c r="G1531" s="497"/>
      <c r="H1531" s="497"/>
      <c r="J1531" s="42"/>
    </row>
    <row r="1532" spans="1:10" s="360" customFormat="1" x14ac:dyDescent="0.25">
      <c r="A1532" s="19" t="s">
        <v>36</v>
      </c>
      <c r="B1532" s="2">
        <v>43956</v>
      </c>
      <c r="C1532" s="1">
        <v>0</v>
      </c>
      <c r="D1532" s="39">
        <v>11</v>
      </c>
      <c r="E1532" s="1"/>
      <c r="F1532" s="39">
        <f t="shared" si="68"/>
        <v>0</v>
      </c>
      <c r="G1532" s="497"/>
      <c r="H1532" s="497"/>
      <c r="J1532" s="42"/>
    </row>
    <row r="1533" spans="1:10" s="360" customFormat="1" x14ac:dyDescent="0.25">
      <c r="A1533" s="19" t="s">
        <v>37</v>
      </c>
      <c r="B1533" s="2">
        <v>43956</v>
      </c>
      <c r="C1533" s="1">
        <v>0</v>
      </c>
      <c r="D1533" s="39">
        <v>49</v>
      </c>
      <c r="E1533" s="1"/>
      <c r="F1533" s="39">
        <f t="shared" si="68"/>
        <v>0</v>
      </c>
      <c r="G1533" s="497"/>
      <c r="H1533" s="497"/>
      <c r="J1533" s="42"/>
    </row>
    <row r="1534" spans="1:10" s="360" customFormat="1" x14ac:dyDescent="0.25">
      <c r="A1534" s="19" t="s">
        <v>22</v>
      </c>
      <c r="B1534" s="2">
        <v>43956</v>
      </c>
      <c r="C1534" s="1">
        <v>1</v>
      </c>
      <c r="D1534" s="39">
        <v>244</v>
      </c>
      <c r="E1534" s="1"/>
      <c r="F1534" s="39">
        <f>E1534+F1510</f>
        <v>2</v>
      </c>
      <c r="G1534" s="497"/>
      <c r="H1534" s="497"/>
      <c r="J1534" s="42"/>
    </row>
    <row r="1535" spans="1:10" s="360" customFormat="1" x14ac:dyDescent="0.25">
      <c r="A1535" s="19" t="s">
        <v>38</v>
      </c>
      <c r="B1535" s="2">
        <v>43956</v>
      </c>
      <c r="C1535" s="1">
        <v>0</v>
      </c>
      <c r="D1535" s="39">
        <v>15</v>
      </c>
      <c r="E1535" s="1"/>
      <c r="F1535" s="39">
        <f>E1535+F1511</f>
        <v>0</v>
      </c>
      <c r="G1535" s="497"/>
      <c r="H1535" s="497"/>
      <c r="J1535" s="42"/>
    </row>
    <row r="1536" spans="1:10" s="360" customFormat="1" x14ac:dyDescent="0.25">
      <c r="A1536" s="19" t="s">
        <v>39</v>
      </c>
      <c r="B1536" s="2">
        <v>43956</v>
      </c>
      <c r="C1536" s="1">
        <v>0</v>
      </c>
      <c r="D1536" s="39">
        <v>145</v>
      </c>
      <c r="E1536" s="1"/>
      <c r="F1536" s="39">
        <f t="shared" si="68"/>
        <v>0</v>
      </c>
      <c r="G1536" s="497"/>
      <c r="H1536" s="497"/>
      <c r="J1536" s="42"/>
    </row>
    <row r="1537" spans="1:10" s="360" customFormat="1" x14ac:dyDescent="0.25">
      <c r="A1537" s="19" t="s">
        <v>40</v>
      </c>
      <c r="B1537" s="2">
        <v>43956</v>
      </c>
      <c r="C1537" s="1">
        <v>0</v>
      </c>
      <c r="D1537" s="39">
        <v>41</v>
      </c>
      <c r="E1537" s="1"/>
      <c r="F1537" s="39">
        <f>E1537+F1513</f>
        <v>2</v>
      </c>
      <c r="G1537" s="497"/>
      <c r="H1537" s="497"/>
      <c r="J1537" s="42"/>
    </row>
    <row r="1538" spans="1:10" s="360" customFormat="1" x14ac:dyDescent="0.25">
      <c r="A1538" s="361" t="s">
        <v>16</v>
      </c>
      <c r="B1538" s="2">
        <v>43957</v>
      </c>
      <c r="C1538" s="1">
        <v>63</v>
      </c>
      <c r="D1538" s="39">
        <v>1874</v>
      </c>
      <c r="E1538" s="1">
        <v>5</v>
      </c>
      <c r="F1538" s="39">
        <f>E1538+F1514</f>
        <v>107</v>
      </c>
      <c r="G1538" s="497"/>
      <c r="H1538" s="497"/>
      <c r="J1538" s="42"/>
    </row>
    <row r="1539" spans="1:10" s="360" customFormat="1" x14ac:dyDescent="0.25">
      <c r="A1539" s="19" t="s">
        <v>28</v>
      </c>
      <c r="B1539" s="2">
        <v>43957</v>
      </c>
      <c r="C1539" s="1">
        <v>0</v>
      </c>
      <c r="D1539" s="39">
        <v>0</v>
      </c>
      <c r="E1539" s="1"/>
      <c r="F1539" s="39">
        <f t="shared" ref="F1539:F1544" si="69">E1539+F1515</f>
        <v>0</v>
      </c>
      <c r="G1539" s="497"/>
      <c r="H1539" s="497"/>
      <c r="J1539" s="42"/>
    </row>
    <row r="1540" spans="1:10" s="360" customFormat="1" x14ac:dyDescent="0.25">
      <c r="A1540" s="19" t="s">
        <v>15</v>
      </c>
      <c r="B1540" s="2">
        <v>43957</v>
      </c>
      <c r="C1540" s="1">
        <v>8</v>
      </c>
      <c r="D1540" s="39">
        <v>366</v>
      </c>
      <c r="E1540" s="1"/>
      <c r="F1540" s="39">
        <f t="shared" si="69"/>
        <v>19</v>
      </c>
      <c r="G1540" s="497"/>
      <c r="H1540" s="497"/>
      <c r="J1540" s="42"/>
    </row>
    <row r="1541" spans="1:10" s="360" customFormat="1" x14ac:dyDescent="0.25">
      <c r="A1541" s="19" t="s">
        <v>29</v>
      </c>
      <c r="B1541" s="2">
        <v>43957</v>
      </c>
      <c r="C1541" s="1">
        <v>0</v>
      </c>
      <c r="D1541" s="39">
        <v>4</v>
      </c>
      <c r="E1541" s="1"/>
      <c r="F1541" s="39">
        <f t="shared" si="69"/>
        <v>1</v>
      </c>
      <c r="G1541" s="497"/>
      <c r="H1541" s="497"/>
      <c r="J1541" s="42"/>
    </row>
    <row r="1542" spans="1:10" s="360" customFormat="1" x14ac:dyDescent="0.25">
      <c r="A1542" s="19" t="s">
        <v>43</v>
      </c>
      <c r="B1542" s="2">
        <v>43957</v>
      </c>
      <c r="C1542" s="1">
        <v>102</v>
      </c>
      <c r="D1542" s="39">
        <v>1506</v>
      </c>
      <c r="E1542" s="1">
        <v>2</v>
      </c>
      <c r="F1542" s="39">
        <f t="shared" si="69"/>
        <v>85</v>
      </c>
      <c r="G1542" s="497"/>
      <c r="H1542" s="497"/>
      <c r="J1542" s="42"/>
    </row>
    <row r="1543" spans="1:10" s="360" customFormat="1" x14ac:dyDescent="0.25">
      <c r="A1543" s="19" t="s">
        <v>20</v>
      </c>
      <c r="B1543" s="2">
        <v>43957</v>
      </c>
      <c r="C1543" s="1">
        <v>5</v>
      </c>
      <c r="D1543" s="39">
        <v>316</v>
      </c>
      <c r="E1543" s="1"/>
      <c r="F1543" s="39">
        <f t="shared" si="69"/>
        <v>19</v>
      </c>
      <c r="G1543" s="497"/>
      <c r="H1543" s="497"/>
      <c r="J1543" s="42"/>
    </row>
    <row r="1544" spans="1:10" s="360" customFormat="1" x14ac:dyDescent="0.25">
      <c r="A1544" s="19" t="s">
        <v>30</v>
      </c>
      <c r="B1544" s="2">
        <v>43957</v>
      </c>
      <c r="C1544" s="1">
        <v>3</v>
      </c>
      <c r="D1544" s="39">
        <v>51</v>
      </c>
      <c r="E1544" s="1"/>
      <c r="F1544" s="39">
        <f t="shared" si="69"/>
        <v>0</v>
      </c>
      <c r="G1544" s="497"/>
      <c r="H1544" s="497"/>
      <c r="J1544" s="42"/>
    </row>
    <row r="1545" spans="1:10" x14ac:dyDescent="0.25">
      <c r="A1545" s="19" t="s">
        <v>31</v>
      </c>
      <c r="B1545" s="2">
        <v>43957</v>
      </c>
      <c r="C1545" s="1">
        <v>0</v>
      </c>
      <c r="D1545" s="39">
        <v>28</v>
      </c>
      <c r="F1545" s="39">
        <f>E1545+F1521</f>
        <v>0</v>
      </c>
    </row>
    <row r="1546" spans="1:10" s="360" customFormat="1" x14ac:dyDescent="0.25">
      <c r="A1546" s="19" t="s">
        <v>41</v>
      </c>
      <c r="B1546" s="2">
        <v>43957</v>
      </c>
      <c r="C1546" s="1">
        <v>0</v>
      </c>
      <c r="D1546" s="39">
        <v>0</v>
      </c>
      <c r="E1546" s="1"/>
      <c r="F1546" s="39">
        <f t="shared" ref="F1546:F1560" si="70">E1546+F1521</f>
        <v>0</v>
      </c>
      <c r="G1546" s="497"/>
      <c r="H1546" s="497"/>
      <c r="J1546" s="42"/>
    </row>
    <row r="1547" spans="1:10" s="360" customFormat="1" x14ac:dyDescent="0.25">
      <c r="A1547" s="19" t="s">
        <v>32</v>
      </c>
      <c r="B1547" s="2">
        <v>43957</v>
      </c>
      <c r="C1547" s="1">
        <v>0</v>
      </c>
      <c r="D1547" s="39">
        <v>5</v>
      </c>
      <c r="E1547" s="1"/>
      <c r="F1547" s="39">
        <f t="shared" si="70"/>
        <v>0</v>
      </c>
      <c r="G1547" s="497"/>
      <c r="H1547" s="497"/>
      <c r="J1547" s="42"/>
    </row>
    <row r="1548" spans="1:10" s="360" customFormat="1" x14ac:dyDescent="0.25">
      <c r="A1548" s="19" t="s">
        <v>33</v>
      </c>
      <c r="B1548" s="2">
        <v>43957</v>
      </c>
      <c r="C1548" s="1">
        <v>0</v>
      </c>
      <c r="D1548" s="39">
        <v>5</v>
      </c>
      <c r="E1548" s="1"/>
      <c r="F1548" s="39">
        <f t="shared" si="70"/>
        <v>0</v>
      </c>
      <c r="G1548" s="497"/>
      <c r="H1548" s="497"/>
      <c r="J1548" s="42"/>
    </row>
    <row r="1549" spans="1:10" s="360" customFormat="1" x14ac:dyDescent="0.25">
      <c r="A1549" s="19" t="s">
        <v>21</v>
      </c>
      <c r="B1549" s="2">
        <v>43957</v>
      </c>
      <c r="C1549" s="1">
        <v>1</v>
      </c>
      <c r="D1549" s="39">
        <v>57</v>
      </c>
      <c r="E1549" s="1"/>
      <c r="F1549" s="39">
        <f t="shared" si="70"/>
        <v>0</v>
      </c>
      <c r="G1549" s="497"/>
      <c r="H1549" s="497"/>
      <c r="J1549" s="42"/>
    </row>
    <row r="1550" spans="1:10" s="360" customFormat="1" x14ac:dyDescent="0.25">
      <c r="A1550" s="19" t="s">
        <v>17</v>
      </c>
      <c r="B1550" s="2">
        <v>43957</v>
      </c>
      <c r="C1550" s="1">
        <v>0</v>
      </c>
      <c r="D1550" s="39">
        <v>85</v>
      </c>
      <c r="E1550" s="1"/>
      <c r="F1550" s="39">
        <f t="shared" si="70"/>
        <v>0</v>
      </c>
      <c r="G1550" s="497"/>
      <c r="H1550" s="497"/>
      <c r="J1550" s="42"/>
    </row>
    <row r="1551" spans="1:10" s="360" customFormat="1" x14ac:dyDescent="0.25">
      <c r="A1551" s="19" t="s">
        <v>23</v>
      </c>
      <c r="B1551" s="2">
        <v>43957</v>
      </c>
      <c r="C1551" s="1">
        <v>0</v>
      </c>
      <c r="D1551" s="39">
        <v>25</v>
      </c>
      <c r="E1551" s="1"/>
      <c r="F1551" s="39">
        <f t="shared" si="70"/>
        <v>0</v>
      </c>
      <c r="G1551" s="497"/>
      <c r="H1551" s="497"/>
      <c r="J1551" s="42"/>
    </row>
    <row r="1552" spans="1:10" s="360" customFormat="1" x14ac:dyDescent="0.25">
      <c r="A1552" s="19" t="s">
        <v>19</v>
      </c>
      <c r="B1552" s="2">
        <v>43957</v>
      </c>
      <c r="C1552" s="1">
        <v>0</v>
      </c>
      <c r="D1552" s="39">
        <v>110</v>
      </c>
      <c r="E1552" s="1"/>
      <c r="F1552" s="39">
        <f t="shared" si="70"/>
        <v>0</v>
      </c>
      <c r="G1552" s="497"/>
      <c r="H1552" s="497"/>
      <c r="J1552" s="42"/>
    </row>
    <row r="1553" spans="1:10" s="360" customFormat="1" x14ac:dyDescent="0.25">
      <c r="A1553" s="19" t="s">
        <v>18</v>
      </c>
      <c r="B1553" s="2">
        <v>43957</v>
      </c>
      <c r="C1553" s="1">
        <v>6</v>
      </c>
      <c r="D1553" s="39">
        <v>265</v>
      </c>
      <c r="E1553" s="1">
        <v>1</v>
      </c>
      <c r="F1553" s="39">
        <f t="shared" si="70"/>
        <v>1</v>
      </c>
      <c r="G1553" s="497"/>
      <c r="H1553" s="497"/>
      <c r="J1553" s="42"/>
    </row>
    <row r="1554" spans="1:10" s="360" customFormat="1" x14ac:dyDescent="0.25">
      <c r="A1554" s="19" t="s">
        <v>34</v>
      </c>
      <c r="B1554" s="2">
        <v>43957</v>
      </c>
      <c r="C1554" s="1">
        <v>0</v>
      </c>
      <c r="D1554" s="39">
        <v>4</v>
      </c>
      <c r="E1554" s="1"/>
      <c r="F1554" s="39">
        <f t="shared" si="70"/>
        <v>0</v>
      </c>
      <c r="G1554" s="497"/>
      <c r="H1554" s="497"/>
      <c r="J1554" s="42"/>
    </row>
    <row r="1555" spans="1:10" s="360" customFormat="1" x14ac:dyDescent="0.25">
      <c r="A1555" s="19" t="s">
        <v>35</v>
      </c>
      <c r="B1555" s="2">
        <v>43957</v>
      </c>
      <c r="C1555" s="1">
        <v>0</v>
      </c>
      <c r="D1555" s="39">
        <v>2</v>
      </c>
      <c r="E1555" s="1"/>
      <c r="F1555" s="39">
        <f>E1555+F1531</f>
        <v>0</v>
      </c>
      <c r="G1555" s="497"/>
      <c r="H1555" s="497"/>
      <c r="J1555" s="42"/>
    </row>
    <row r="1556" spans="1:10" s="360" customFormat="1" x14ac:dyDescent="0.25">
      <c r="A1556" s="19" t="s">
        <v>36</v>
      </c>
      <c r="B1556" s="2">
        <v>43957</v>
      </c>
      <c r="C1556" s="1">
        <v>0</v>
      </c>
      <c r="D1556" s="39">
        <v>11</v>
      </c>
      <c r="E1556" s="1"/>
      <c r="F1556" s="39">
        <f t="shared" si="70"/>
        <v>0</v>
      </c>
      <c r="G1556" s="497"/>
      <c r="H1556" s="497"/>
      <c r="J1556" s="42"/>
    </row>
    <row r="1557" spans="1:10" s="360" customFormat="1" x14ac:dyDescent="0.25">
      <c r="A1557" s="19" t="s">
        <v>37</v>
      </c>
      <c r="B1557" s="2">
        <v>43957</v>
      </c>
      <c r="C1557" s="1">
        <v>0</v>
      </c>
      <c r="D1557" s="39">
        <v>49</v>
      </c>
      <c r="E1557" s="1"/>
      <c r="F1557" s="39">
        <f t="shared" si="70"/>
        <v>0</v>
      </c>
      <c r="G1557" s="497"/>
      <c r="H1557" s="497"/>
      <c r="J1557" s="42"/>
    </row>
    <row r="1558" spans="1:10" s="360" customFormat="1" x14ac:dyDescent="0.25">
      <c r="A1558" s="19" t="s">
        <v>22</v>
      </c>
      <c r="B1558" s="2">
        <v>43957</v>
      </c>
      <c r="C1558" s="1">
        <v>0</v>
      </c>
      <c r="D1558" s="39">
        <v>244</v>
      </c>
      <c r="E1558" s="1"/>
      <c r="F1558" s="39">
        <f>E1558+F1534</f>
        <v>2</v>
      </c>
      <c r="G1558" s="497"/>
      <c r="H1558" s="497"/>
      <c r="J1558" s="42"/>
    </row>
    <row r="1559" spans="1:10" s="360" customFormat="1" x14ac:dyDescent="0.25">
      <c r="A1559" s="19" t="s">
        <v>38</v>
      </c>
      <c r="B1559" s="2">
        <v>43957</v>
      </c>
      <c r="C1559" s="1">
        <v>0</v>
      </c>
      <c r="D1559" s="39">
        <v>15</v>
      </c>
      <c r="E1559" s="1"/>
      <c r="F1559" s="39">
        <f>E1559+F1535</f>
        <v>0</v>
      </c>
      <c r="G1559" s="497"/>
      <c r="H1559" s="497"/>
      <c r="J1559" s="42"/>
    </row>
    <row r="1560" spans="1:10" s="360" customFormat="1" x14ac:dyDescent="0.25">
      <c r="A1560" s="19" t="s">
        <v>39</v>
      </c>
      <c r="B1560" s="2">
        <v>43957</v>
      </c>
      <c r="C1560" s="1">
        <v>0</v>
      </c>
      <c r="D1560" s="39">
        <v>145</v>
      </c>
      <c r="E1560" s="1"/>
      <c r="F1560" s="39">
        <f t="shared" si="70"/>
        <v>0</v>
      </c>
      <c r="G1560" s="497"/>
      <c r="H1560" s="497"/>
      <c r="J1560" s="42"/>
    </row>
    <row r="1561" spans="1:10" s="360" customFormat="1" x14ac:dyDescent="0.25">
      <c r="A1561" s="19" t="s">
        <v>40</v>
      </c>
      <c r="B1561" s="2">
        <v>43957</v>
      </c>
      <c r="C1561" s="1">
        <v>0</v>
      </c>
      <c r="D1561" s="39">
        <v>41</v>
      </c>
      <c r="E1561" s="1">
        <v>1</v>
      </c>
      <c r="F1561" s="39">
        <f>E1561+F1537</f>
        <v>3</v>
      </c>
      <c r="G1561" s="497"/>
      <c r="H1561" s="497"/>
      <c r="J1561" s="42"/>
    </row>
    <row r="1562" spans="1:10" s="360" customFormat="1" x14ac:dyDescent="0.25">
      <c r="A1562" s="361" t="s">
        <v>16</v>
      </c>
      <c r="B1562" s="2">
        <v>43958</v>
      </c>
      <c r="C1562" s="1">
        <v>50</v>
      </c>
      <c r="D1562" s="39">
        <v>1924</v>
      </c>
      <c r="E1562" s="1">
        <v>6</v>
      </c>
      <c r="F1562" s="39">
        <f>E1562+F1538</f>
        <v>113</v>
      </c>
      <c r="G1562" s="497"/>
      <c r="H1562" s="497"/>
      <c r="J1562" s="42"/>
    </row>
    <row r="1563" spans="1:10" s="360" customFormat="1" x14ac:dyDescent="0.25">
      <c r="A1563" s="19" t="s">
        <v>28</v>
      </c>
      <c r="B1563" s="2">
        <v>43958</v>
      </c>
      <c r="C1563" s="1">
        <v>0</v>
      </c>
      <c r="D1563" s="39">
        <v>0</v>
      </c>
      <c r="E1563" s="1"/>
      <c r="F1563" s="39">
        <f t="shared" ref="F1563:F1569" si="71">E1563+F1539</f>
        <v>0</v>
      </c>
      <c r="G1563" s="497"/>
      <c r="H1563" s="497"/>
      <c r="J1563" s="42"/>
    </row>
    <row r="1564" spans="1:10" s="360" customFormat="1" x14ac:dyDescent="0.25">
      <c r="A1564" s="19" t="s">
        <v>15</v>
      </c>
      <c r="B1564" s="2">
        <v>43958</v>
      </c>
      <c r="C1564" s="1">
        <v>26</v>
      </c>
      <c r="D1564" s="39">
        <v>392</v>
      </c>
      <c r="E1564" s="1"/>
      <c r="F1564" s="39">
        <f t="shared" si="71"/>
        <v>19</v>
      </c>
      <c r="G1564" s="497"/>
      <c r="H1564" s="497"/>
      <c r="J1564" s="42"/>
    </row>
    <row r="1565" spans="1:10" s="360" customFormat="1" x14ac:dyDescent="0.25">
      <c r="A1565" s="19" t="s">
        <v>29</v>
      </c>
      <c r="B1565" s="2">
        <v>43958</v>
      </c>
      <c r="C1565" s="1">
        <v>0</v>
      </c>
      <c r="D1565" s="39">
        <v>4</v>
      </c>
      <c r="E1565" s="1"/>
      <c r="F1565" s="39">
        <f t="shared" si="71"/>
        <v>1</v>
      </c>
      <c r="G1565" s="497"/>
      <c r="H1565" s="497"/>
      <c r="J1565" s="42"/>
    </row>
    <row r="1566" spans="1:10" s="360" customFormat="1" x14ac:dyDescent="0.25">
      <c r="A1566" s="19" t="s">
        <v>43</v>
      </c>
      <c r="B1566" s="2">
        <v>43958</v>
      </c>
      <c r="C1566" s="1">
        <v>77</v>
      </c>
      <c r="D1566" s="39">
        <v>1583</v>
      </c>
      <c r="E1566" s="1">
        <v>2</v>
      </c>
      <c r="F1566" s="39">
        <f t="shared" si="71"/>
        <v>87</v>
      </c>
      <c r="G1566" s="497"/>
      <c r="H1566" s="497"/>
      <c r="J1566" s="42"/>
    </row>
    <row r="1567" spans="1:10" s="360" customFormat="1" x14ac:dyDescent="0.25">
      <c r="A1567" s="19" t="s">
        <v>20</v>
      </c>
      <c r="B1567" s="2">
        <v>43958</v>
      </c>
      <c r="C1567" s="1">
        <v>4</v>
      </c>
      <c r="D1567" s="39">
        <v>320</v>
      </c>
      <c r="E1567" s="1"/>
      <c r="F1567" s="39">
        <f t="shared" si="71"/>
        <v>19</v>
      </c>
      <c r="G1567" s="497"/>
      <c r="H1567" s="497"/>
      <c r="J1567" s="42"/>
    </row>
    <row r="1568" spans="1:10" s="360" customFormat="1" x14ac:dyDescent="0.25">
      <c r="A1568" s="19" t="s">
        <v>30</v>
      </c>
      <c r="B1568" s="2">
        <v>43958</v>
      </c>
      <c r="C1568" s="1">
        <v>1</v>
      </c>
      <c r="D1568" s="39">
        <v>52</v>
      </c>
      <c r="E1568" s="1"/>
      <c r="F1568" s="39">
        <f t="shared" si="71"/>
        <v>0</v>
      </c>
      <c r="G1568" s="497"/>
      <c r="H1568" s="497"/>
      <c r="J1568" s="42"/>
    </row>
    <row r="1569" spans="1:10" x14ac:dyDescent="0.25">
      <c r="A1569" s="19" t="s">
        <v>31</v>
      </c>
      <c r="B1569" s="2">
        <v>43958</v>
      </c>
      <c r="C1569" s="1">
        <v>0</v>
      </c>
      <c r="D1569" s="39">
        <v>28</v>
      </c>
      <c r="F1569" s="39">
        <f t="shared" si="71"/>
        <v>0</v>
      </c>
    </row>
    <row r="1570" spans="1:10" s="360" customFormat="1" x14ac:dyDescent="0.25">
      <c r="A1570" s="19" t="s">
        <v>41</v>
      </c>
      <c r="B1570" s="2">
        <v>43958</v>
      </c>
      <c r="C1570" s="1">
        <v>0</v>
      </c>
      <c r="D1570" s="39">
        <v>0</v>
      </c>
      <c r="E1570" s="1"/>
      <c r="F1570" s="39">
        <f t="shared" ref="F1570:F1584" si="72">E1570+F1545</f>
        <v>0</v>
      </c>
      <c r="G1570" s="497"/>
      <c r="H1570" s="497"/>
      <c r="J1570" s="42"/>
    </row>
    <row r="1571" spans="1:10" s="360" customFormat="1" x14ac:dyDescent="0.25">
      <c r="A1571" s="19" t="s">
        <v>32</v>
      </c>
      <c r="B1571" s="2">
        <v>43958</v>
      </c>
      <c r="C1571" s="1">
        <v>0</v>
      </c>
      <c r="D1571" s="39">
        <v>5</v>
      </c>
      <c r="E1571" s="1"/>
      <c r="F1571" s="39">
        <f t="shared" si="72"/>
        <v>0</v>
      </c>
      <c r="G1571" s="497"/>
      <c r="H1571" s="497"/>
      <c r="J1571" s="42"/>
    </row>
    <row r="1572" spans="1:10" s="360" customFormat="1" x14ac:dyDescent="0.25">
      <c r="A1572" s="19" t="s">
        <v>33</v>
      </c>
      <c r="B1572" s="2">
        <v>43958</v>
      </c>
      <c r="C1572" s="1">
        <v>0</v>
      </c>
      <c r="D1572" s="39">
        <v>5</v>
      </c>
      <c r="E1572" s="1"/>
      <c r="F1572" s="39">
        <f t="shared" si="72"/>
        <v>0</v>
      </c>
      <c r="G1572" s="497"/>
      <c r="H1572" s="497"/>
      <c r="J1572" s="42"/>
    </row>
    <row r="1573" spans="1:10" s="360" customFormat="1" x14ac:dyDescent="0.25">
      <c r="A1573" s="19" t="s">
        <v>21</v>
      </c>
      <c r="B1573" s="2">
        <v>43958</v>
      </c>
      <c r="C1573" s="1">
        <v>1</v>
      </c>
      <c r="D1573" s="39">
        <v>58</v>
      </c>
      <c r="E1573" s="1"/>
      <c r="F1573" s="39">
        <f t="shared" si="72"/>
        <v>0</v>
      </c>
      <c r="G1573" s="497"/>
      <c r="H1573" s="497"/>
      <c r="J1573" s="42"/>
    </row>
    <row r="1574" spans="1:10" s="360" customFormat="1" x14ac:dyDescent="0.25">
      <c r="A1574" s="19" t="s">
        <v>17</v>
      </c>
      <c r="B1574" s="2">
        <v>43958</v>
      </c>
      <c r="C1574" s="1">
        <v>0</v>
      </c>
      <c r="D1574" s="39">
        <v>85</v>
      </c>
      <c r="E1574" s="1"/>
      <c r="F1574" s="39">
        <f t="shared" si="72"/>
        <v>0</v>
      </c>
      <c r="G1574" s="497"/>
      <c r="H1574" s="497"/>
      <c r="J1574" s="42"/>
    </row>
    <row r="1575" spans="1:10" s="360" customFormat="1" x14ac:dyDescent="0.25">
      <c r="A1575" s="19" t="s">
        <v>23</v>
      </c>
      <c r="B1575" s="2">
        <v>43958</v>
      </c>
      <c r="C1575" s="1">
        <v>0</v>
      </c>
      <c r="D1575" s="39">
        <v>25</v>
      </c>
      <c r="E1575" s="1"/>
      <c r="F1575" s="39">
        <f t="shared" si="72"/>
        <v>0</v>
      </c>
      <c r="G1575" s="497"/>
      <c r="H1575" s="497"/>
      <c r="J1575" s="42"/>
    </row>
    <row r="1576" spans="1:10" s="360" customFormat="1" x14ac:dyDescent="0.25">
      <c r="A1576" s="19" t="s">
        <v>19</v>
      </c>
      <c r="B1576" s="2">
        <v>43958</v>
      </c>
      <c r="C1576" s="1">
        <v>0</v>
      </c>
      <c r="D1576" s="39">
        <v>110</v>
      </c>
      <c r="E1576" s="1"/>
      <c r="F1576" s="39">
        <f t="shared" si="72"/>
        <v>0</v>
      </c>
      <c r="G1576" s="497"/>
      <c r="H1576" s="497"/>
      <c r="J1576" s="42"/>
    </row>
    <row r="1577" spans="1:10" s="360" customFormat="1" x14ac:dyDescent="0.25">
      <c r="A1577" s="19" t="s">
        <v>18</v>
      </c>
      <c r="B1577" s="2">
        <v>43958</v>
      </c>
      <c r="C1577" s="1">
        <v>3</v>
      </c>
      <c r="D1577" s="39">
        <v>268</v>
      </c>
      <c r="E1577" s="1"/>
      <c r="F1577" s="39">
        <f t="shared" si="72"/>
        <v>0</v>
      </c>
      <c r="G1577" s="497"/>
      <c r="H1577" s="497"/>
      <c r="J1577" s="42"/>
    </row>
    <row r="1578" spans="1:10" s="360" customFormat="1" x14ac:dyDescent="0.25">
      <c r="A1578" s="19" t="s">
        <v>34</v>
      </c>
      <c r="B1578" s="2">
        <v>43958</v>
      </c>
      <c r="C1578" s="1">
        <v>0</v>
      </c>
      <c r="D1578" s="39">
        <v>4</v>
      </c>
      <c r="E1578" s="1"/>
      <c r="F1578" s="39">
        <f t="shared" si="72"/>
        <v>1</v>
      </c>
      <c r="G1578" s="497"/>
      <c r="H1578" s="497"/>
      <c r="J1578" s="42"/>
    </row>
    <row r="1579" spans="1:10" s="360" customFormat="1" x14ac:dyDescent="0.25">
      <c r="A1579" s="19" t="s">
        <v>35</v>
      </c>
      <c r="B1579" s="2">
        <v>43958</v>
      </c>
      <c r="C1579" s="1">
        <v>1</v>
      </c>
      <c r="D1579" s="39">
        <v>3</v>
      </c>
      <c r="E1579" s="1"/>
      <c r="F1579" s="39">
        <f>E1579+F1555</f>
        <v>0</v>
      </c>
      <c r="G1579" s="497"/>
      <c r="H1579" s="497"/>
      <c r="J1579" s="42"/>
    </row>
    <row r="1580" spans="1:10" s="360" customFormat="1" x14ac:dyDescent="0.25">
      <c r="A1580" s="19" t="s">
        <v>36</v>
      </c>
      <c r="B1580" s="2">
        <v>43958</v>
      </c>
      <c r="C1580" s="1">
        <v>0</v>
      </c>
      <c r="D1580" s="39">
        <v>11</v>
      </c>
      <c r="E1580" s="1"/>
      <c r="F1580" s="39">
        <f t="shared" si="72"/>
        <v>0</v>
      </c>
      <c r="G1580" s="497"/>
      <c r="H1580" s="497"/>
      <c r="J1580" s="42"/>
    </row>
    <row r="1581" spans="1:10" s="360" customFormat="1" x14ac:dyDescent="0.25">
      <c r="A1581" s="19" t="s">
        <v>37</v>
      </c>
      <c r="B1581" s="2">
        <v>43958</v>
      </c>
      <c r="C1581" s="1">
        <v>0</v>
      </c>
      <c r="D1581" s="39">
        <v>49</v>
      </c>
      <c r="E1581" s="1"/>
      <c r="F1581" s="39">
        <f t="shared" si="72"/>
        <v>0</v>
      </c>
      <c r="G1581" s="497"/>
      <c r="H1581" s="497"/>
      <c r="J1581" s="42"/>
    </row>
    <row r="1582" spans="1:10" s="360" customFormat="1" x14ac:dyDescent="0.25">
      <c r="A1582" s="19" t="s">
        <v>22</v>
      </c>
      <c r="B1582" s="2">
        <v>43958</v>
      </c>
      <c r="C1582" s="1">
        <v>0</v>
      </c>
      <c r="D1582" s="39">
        <v>244</v>
      </c>
      <c r="E1582" s="1">
        <v>1</v>
      </c>
      <c r="F1582" s="39">
        <f>E1582+F1558</f>
        <v>3</v>
      </c>
      <c r="G1582" s="497"/>
      <c r="H1582" s="497"/>
      <c r="J1582" s="42"/>
    </row>
    <row r="1583" spans="1:10" s="360" customFormat="1" x14ac:dyDescent="0.25">
      <c r="A1583" s="19" t="s">
        <v>38</v>
      </c>
      <c r="B1583" s="2">
        <v>43958</v>
      </c>
      <c r="C1583" s="1">
        <v>0</v>
      </c>
      <c r="D1583" s="39">
        <v>15</v>
      </c>
      <c r="E1583" s="1"/>
      <c r="F1583" s="39">
        <f>E1583+F1559</f>
        <v>0</v>
      </c>
      <c r="G1583" s="497"/>
      <c r="H1583" s="497"/>
      <c r="J1583" s="42"/>
    </row>
    <row r="1584" spans="1:10" s="360" customFormat="1" x14ac:dyDescent="0.25">
      <c r="A1584" s="19" t="s">
        <v>39</v>
      </c>
      <c r="B1584" s="2">
        <v>43958</v>
      </c>
      <c r="C1584" s="1">
        <v>0</v>
      </c>
      <c r="D1584" s="39">
        <v>145</v>
      </c>
      <c r="E1584" s="1"/>
      <c r="F1584" s="39">
        <f t="shared" si="72"/>
        <v>0</v>
      </c>
      <c r="G1584" s="497"/>
      <c r="H1584" s="497"/>
      <c r="J1584" s="42"/>
    </row>
    <row r="1585" spans="1:10" s="360" customFormat="1" x14ac:dyDescent="0.25">
      <c r="A1585" s="19" t="s">
        <v>40</v>
      </c>
      <c r="B1585" s="2">
        <v>43958</v>
      </c>
      <c r="C1585" s="1">
        <v>0</v>
      </c>
      <c r="D1585" s="39">
        <v>41</v>
      </c>
      <c r="E1585" s="1"/>
      <c r="F1585" s="39">
        <f>E1585+F1561</f>
        <v>3</v>
      </c>
      <c r="G1585" s="497"/>
      <c r="H1585" s="497"/>
      <c r="J1585" s="42"/>
    </row>
    <row r="1586" spans="1:10" s="360" customFormat="1" x14ac:dyDescent="0.25">
      <c r="A1586" s="361" t="s">
        <v>16</v>
      </c>
      <c r="B1586" s="2">
        <v>43959</v>
      </c>
      <c r="C1586" s="1">
        <v>77</v>
      </c>
      <c r="D1586" s="39">
        <v>2001</v>
      </c>
      <c r="E1586" s="1">
        <v>5</v>
      </c>
      <c r="F1586" s="39">
        <f>E1586+F1562</f>
        <v>118</v>
      </c>
      <c r="G1586" s="497"/>
      <c r="H1586" s="497"/>
      <c r="J1586" s="42"/>
    </row>
    <row r="1587" spans="1:10" s="360" customFormat="1" x14ac:dyDescent="0.25">
      <c r="A1587" s="19" t="s">
        <v>28</v>
      </c>
      <c r="B1587" s="2">
        <v>43959</v>
      </c>
      <c r="C1587" s="1">
        <v>0</v>
      </c>
      <c r="D1587" s="39">
        <v>0</v>
      </c>
      <c r="E1587" s="1"/>
      <c r="F1587" s="39">
        <f t="shared" ref="F1587:F1593" si="73">E1587+F1563</f>
        <v>0</v>
      </c>
      <c r="G1587" s="497"/>
      <c r="H1587" s="497"/>
      <c r="J1587" s="42"/>
    </row>
    <row r="1588" spans="1:10" s="360" customFormat="1" x14ac:dyDescent="0.25">
      <c r="A1588" s="19" t="s">
        <v>15</v>
      </c>
      <c r="B1588" s="2">
        <v>43959</v>
      </c>
      <c r="C1588" s="1">
        <v>26</v>
      </c>
      <c r="D1588" s="39">
        <v>418</v>
      </c>
      <c r="E1588" s="1"/>
      <c r="F1588" s="39">
        <f t="shared" si="73"/>
        <v>19</v>
      </c>
      <c r="G1588" s="497"/>
      <c r="H1588" s="497"/>
      <c r="J1588" s="42"/>
    </row>
    <row r="1589" spans="1:10" s="360" customFormat="1" x14ac:dyDescent="0.25">
      <c r="A1589" s="19" t="s">
        <v>29</v>
      </c>
      <c r="B1589" s="2">
        <v>43959</v>
      </c>
      <c r="C1589" s="1">
        <v>0</v>
      </c>
      <c r="D1589" s="39">
        <v>4</v>
      </c>
      <c r="E1589" s="1"/>
      <c r="F1589" s="39">
        <f t="shared" si="73"/>
        <v>1</v>
      </c>
      <c r="G1589" s="497"/>
      <c r="H1589" s="497"/>
      <c r="J1589" s="42"/>
    </row>
    <row r="1590" spans="1:10" s="360" customFormat="1" x14ac:dyDescent="0.25">
      <c r="A1590" s="19" t="s">
        <v>43</v>
      </c>
      <c r="B1590" s="2">
        <v>43959</v>
      </c>
      <c r="C1590" s="1">
        <v>130</v>
      </c>
      <c r="D1590" s="39">
        <v>1713</v>
      </c>
      <c r="E1590" s="1">
        <v>6</v>
      </c>
      <c r="F1590" s="39">
        <f t="shared" si="73"/>
        <v>93</v>
      </c>
      <c r="G1590" s="497"/>
      <c r="H1590" s="497"/>
      <c r="J1590" s="42"/>
    </row>
    <row r="1591" spans="1:10" s="360" customFormat="1" x14ac:dyDescent="0.25">
      <c r="A1591" s="19" t="s">
        <v>20</v>
      </c>
      <c r="B1591" s="2">
        <v>43959</v>
      </c>
      <c r="C1591" s="1">
        <v>2</v>
      </c>
      <c r="D1591" s="39">
        <v>322</v>
      </c>
      <c r="E1591" s="1"/>
      <c r="F1591" s="39">
        <f t="shared" si="73"/>
        <v>19</v>
      </c>
      <c r="G1591" s="497"/>
      <c r="H1591" s="497"/>
      <c r="J1591" s="42"/>
    </row>
    <row r="1592" spans="1:10" s="360" customFormat="1" x14ac:dyDescent="0.25">
      <c r="A1592" s="19" t="s">
        <v>30</v>
      </c>
      <c r="B1592" s="2">
        <v>43959</v>
      </c>
      <c r="C1592" s="1">
        <v>1</v>
      </c>
      <c r="D1592" s="39">
        <v>53</v>
      </c>
      <c r="E1592" s="1"/>
      <c r="F1592" s="39">
        <f t="shared" si="73"/>
        <v>0</v>
      </c>
      <c r="G1592" s="497"/>
      <c r="H1592" s="497"/>
      <c r="J1592" s="42"/>
    </row>
    <row r="1593" spans="1:10" x14ac:dyDescent="0.25">
      <c r="A1593" s="19" t="s">
        <v>31</v>
      </c>
      <c r="B1593" s="2">
        <v>43959</v>
      </c>
      <c r="C1593" s="1">
        <v>0</v>
      </c>
      <c r="D1593" s="39">
        <v>28</v>
      </c>
      <c r="F1593" s="39">
        <f t="shared" si="73"/>
        <v>0</v>
      </c>
    </row>
    <row r="1594" spans="1:10" s="360" customFormat="1" x14ac:dyDescent="0.25">
      <c r="A1594" s="19" t="s">
        <v>41</v>
      </c>
      <c r="B1594" s="2">
        <v>43959</v>
      </c>
      <c r="C1594" s="1">
        <v>0</v>
      </c>
      <c r="D1594" s="39">
        <v>0</v>
      </c>
      <c r="E1594" s="1"/>
      <c r="F1594" s="39">
        <f t="shared" ref="F1594:F1608" si="74">E1594+F1569</f>
        <v>0</v>
      </c>
      <c r="G1594" s="497"/>
      <c r="H1594" s="497"/>
      <c r="J1594" s="42"/>
    </row>
    <row r="1595" spans="1:10" s="360" customFormat="1" x14ac:dyDescent="0.25">
      <c r="A1595" s="19" t="s">
        <v>32</v>
      </c>
      <c r="B1595" s="2">
        <v>43959</v>
      </c>
      <c r="C1595" s="1">
        <v>0</v>
      </c>
      <c r="D1595" s="39">
        <v>5</v>
      </c>
      <c r="E1595" s="1"/>
      <c r="F1595" s="39">
        <f t="shared" si="74"/>
        <v>0</v>
      </c>
      <c r="G1595" s="497"/>
      <c r="H1595" s="497"/>
      <c r="J1595" s="42"/>
    </row>
    <row r="1596" spans="1:10" s="360" customFormat="1" x14ac:dyDescent="0.25">
      <c r="A1596" s="19" t="s">
        <v>33</v>
      </c>
      <c r="B1596" s="2">
        <v>43959</v>
      </c>
      <c r="C1596" s="1">
        <v>0</v>
      </c>
      <c r="D1596" s="39">
        <v>5</v>
      </c>
      <c r="E1596" s="1"/>
      <c r="F1596" s="39">
        <f t="shared" si="74"/>
        <v>0</v>
      </c>
      <c r="G1596" s="497"/>
      <c r="H1596" s="497"/>
      <c r="J1596" s="42"/>
    </row>
    <row r="1597" spans="1:10" s="360" customFormat="1" x14ac:dyDescent="0.25">
      <c r="A1597" s="19" t="s">
        <v>21</v>
      </c>
      <c r="B1597" s="2">
        <v>43959</v>
      </c>
      <c r="C1597" s="1">
        <v>1</v>
      </c>
      <c r="D1597" s="39">
        <v>59</v>
      </c>
      <c r="E1597" s="1"/>
      <c r="F1597" s="39">
        <f t="shared" si="74"/>
        <v>0</v>
      </c>
      <c r="G1597" s="497"/>
      <c r="H1597" s="497"/>
      <c r="J1597" s="42"/>
    </row>
    <row r="1598" spans="1:10" s="360" customFormat="1" x14ac:dyDescent="0.25">
      <c r="A1598" s="19" t="s">
        <v>17</v>
      </c>
      <c r="B1598" s="2">
        <v>43959</v>
      </c>
      <c r="C1598" s="1">
        <v>1</v>
      </c>
      <c r="D1598" s="39">
        <v>86</v>
      </c>
      <c r="E1598" s="1"/>
      <c r="F1598" s="39">
        <f t="shared" si="74"/>
        <v>0</v>
      </c>
      <c r="G1598" s="497"/>
      <c r="H1598" s="497"/>
      <c r="J1598" s="42"/>
    </row>
    <row r="1599" spans="1:10" s="360" customFormat="1" x14ac:dyDescent="0.25">
      <c r="A1599" s="19" t="s">
        <v>23</v>
      </c>
      <c r="B1599" s="2">
        <v>43959</v>
      </c>
      <c r="C1599" s="1">
        <v>0</v>
      </c>
      <c r="D1599" s="39">
        <v>25</v>
      </c>
      <c r="E1599" s="1"/>
      <c r="F1599" s="39">
        <f t="shared" si="74"/>
        <v>0</v>
      </c>
      <c r="G1599" s="497"/>
      <c r="H1599" s="497"/>
      <c r="J1599" s="42"/>
    </row>
    <row r="1600" spans="1:10" s="360" customFormat="1" x14ac:dyDescent="0.25">
      <c r="A1600" s="19" t="s">
        <v>19</v>
      </c>
      <c r="B1600" s="2">
        <v>43959</v>
      </c>
      <c r="C1600" s="1">
        <v>0</v>
      </c>
      <c r="D1600" s="39">
        <v>110</v>
      </c>
      <c r="E1600" s="1"/>
      <c r="F1600" s="39">
        <f t="shared" si="74"/>
        <v>0</v>
      </c>
      <c r="G1600" s="497"/>
      <c r="H1600" s="497"/>
      <c r="J1600" s="42"/>
    </row>
    <row r="1601" spans="1:10" s="360" customFormat="1" x14ac:dyDescent="0.25">
      <c r="A1601" s="19" t="s">
        <v>18</v>
      </c>
      <c r="B1601" s="2">
        <v>43959</v>
      </c>
      <c r="C1601" s="1">
        <v>2</v>
      </c>
      <c r="D1601" s="39">
        <v>270</v>
      </c>
      <c r="E1601" s="1"/>
      <c r="F1601" s="39">
        <f t="shared" si="74"/>
        <v>0</v>
      </c>
      <c r="G1601" s="497"/>
      <c r="H1601" s="497"/>
      <c r="J1601" s="42"/>
    </row>
    <row r="1602" spans="1:10" s="360" customFormat="1" x14ac:dyDescent="0.25">
      <c r="A1602" s="19" t="s">
        <v>34</v>
      </c>
      <c r="B1602" s="2">
        <v>43959</v>
      </c>
      <c r="C1602" s="1">
        <v>0</v>
      </c>
      <c r="D1602" s="39">
        <v>4</v>
      </c>
      <c r="E1602" s="1"/>
      <c r="F1602" s="39">
        <f t="shared" si="74"/>
        <v>0</v>
      </c>
      <c r="G1602" s="497"/>
      <c r="H1602" s="497"/>
      <c r="J1602" s="42"/>
    </row>
    <row r="1603" spans="1:10" s="360" customFormat="1" x14ac:dyDescent="0.25">
      <c r="A1603" s="19" t="s">
        <v>35</v>
      </c>
      <c r="B1603" s="2">
        <v>43959</v>
      </c>
      <c r="C1603" s="1">
        <v>0</v>
      </c>
      <c r="D1603" s="39">
        <v>3</v>
      </c>
      <c r="E1603" s="1"/>
      <c r="F1603" s="39">
        <f>E1603+F1579</f>
        <v>0</v>
      </c>
      <c r="G1603" s="497"/>
      <c r="H1603" s="497"/>
      <c r="J1603" s="42"/>
    </row>
    <row r="1604" spans="1:10" s="360" customFormat="1" x14ac:dyDescent="0.25">
      <c r="A1604" s="19" t="s">
        <v>36</v>
      </c>
      <c r="B1604" s="2">
        <v>43959</v>
      </c>
      <c r="C1604" s="1">
        <v>0</v>
      </c>
      <c r="D1604" s="39">
        <v>11</v>
      </c>
      <c r="E1604" s="1"/>
      <c r="F1604" s="39">
        <f t="shared" si="74"/>
        <v>0</v>
      </c>
      <c r="G1604" s="497"/>
      <c r="H1604" s="497"/>
      <c r="J1604" s="42"/>
    </row>
    <row r="1605" spans="1:10" s="360" customFormat="1" x14ac:dyDescent="0.25">
      <c r="A1605" s="19" t="s">
        <v>37</v>
      </c>
      <c r="B1605" s="2">
        <v>43959</v>
      </c>
      <c r="C1605" s="1">
        <v>0</v>
      </c>
      <c r="D1605" s="39">
        <v>49</v>
      </c>
      <c r="E1605" s="1"/>
      <c r="F1605" s="39">
        <f t="shared" si="74"/>
        <v>0</v>
      </c>
      <c r="G1605" s="497"/>
      <c r="H1605" s="497"/>
      <c r="J1605" s="42"/>
    </row>
    <row r="1606" spans="1:10" s="360" customFormat="1" x14ac:dyDescent="0.25">
      <c r="A1606" s="19" t="s">
        <v>22</v>
      </c>
      <c r="B1606" s="2">
        <v>43959</v>
      </c>
      <c r="C1606" s="1">
        <v>0</v>
      </c>
      <c r="D1606" s="39">
        <v>244</v>
      </c>
      <c r="E1606" s="1"/>
      <c r="F1606" s="39">
        <f>E1606+F1582</f>
        <v>3</v>
      </c>
      <c r="G1606" s="497"/>
      <c r="H1606" s="497"/>
      <c r="J1606" s="42"/>
    </row>
    <row r="1607" spans="1:10" s="360" customFormat="1" x14ac:dyDescent="0.25">
      <c r="A1607" s="19" t="s">
        <v>38</v>
      </c>
      <c r="B1607" s="2">
        <v>43959</v>
      </c>
      <c r="C1607" s="1">
        <v>0</v>
      </c>
      <c r="D1607" s="39">
        <v>15</v>
      </c>
      <c r="E1607" s="1"/>
      <c r="F1607" s="39">
        <f>E1607+F1583</f>
        <v>0</v>
      </c>
      <c r="G1607" s="497"/>
      <c r="H1607" s="497"/>
      <c r="J1607" s="42"/>
    </row>
    <row r="1608" spans="1:10" s="360" customFormat="1" x14ac:dyDescent="0.25">
      <c r="A1608" s="19" t="s">
        <v>39</v>
      </c>
      <c r="B1608" s="2">
        <v>43959</v>
      </c>
      <c r="C1608" s="1">
        <v>0</v>
      </c>
      <c r="D1608" s="39">
        <v>145</v>
      </c>
      <c r="E1608" s="1"/>
      <c r="F1608" s="39">
        <f t="shared" si="74"/>
        <v>0</v>
      </c>
      <c r="G1608" s="497"/>
      <c r="H1608" s="497"/>
      <c r="J1608" s="42"/>
    </row>
    <row r="1609" spans="1:10" s="360" customFormat="1" x14ac:dyDescent="0.25">
      <c r="A1609" s="19" t="s">
        <v>40</v>
      </c>
      <c r="B1609" s="2">
        <v>43959</v>
      </c>
      <c r="C1609" s="1">
        <v>0</v>
      </c>
      <c r="D1609" s="39">
        <v>41</v>
      </c>
      <c r="E1609" s="1"/>
      <c r="F1609" s="39">
        <f>E1609+F1585</f>
        <v>3</v>
      </c>
      <c r="G1609" s="497"/>
      <c r="H1609" s="497"/>
      <c r="J1609" s="42"/>
    </row>
    <row r="1610" spans="1:10" s="360" customFormat="1" x14ac:dyDescent="0.25">
      <c r="A1610" s="361" t="s">
        <v>16</v>
      </c>
      <c r="B1610" s="2">
        <v>43960</v>
      </c>
      <c r="C1610" s="1">
        <v>60</v>
      </c>
      <c r="D1610" s="39">
        <v>2061</v>
      </c>
      <c r="E1610" s="1">
        <v>4</v>
      </c>
      <c r="F1610" s="39">
        <f>E1610+F1586</f>
        <v>122</v>
      </c>
      <c r="G1610" s="497"/>
      <c r="H1610" s="497"/>
      <c r="J1610" s="42"/>
    </row>
    <row r="1611" spans="1:10" s="360" customFormat="1" x14ac:dyDescent="0.25">
      <c r="A1611" s="19" t="s">
        <v>28</v>
      </c>
      <c r="B1611" s="2">
        <v>43960</v>
      </c>
      <c r="C1611" s="1">
        <v>0</v>
      </c>
      <c r="D1611" s="39">
        <v>0</v>
      </c>
      <c r="E1611" s="1"/>
      <c r="F1611" s="39">
        <f t="shared" ref="F1611:F1617" si="75">E1611+F1587</f>
        <v>0</v>
      </c>
      <c r="G1611" s="497"/>
      <c r="H1611" s="497"/>
      <c r="J1611" s="42"/>
    </row>
    <row r="1612" spans="1:10" s="360" customFormat="1" x14ac:dyDescent="0.25">
      <c r="A1612" s="19" t="s">
        <v>15</v>
      </c>
      <c r="B1612" s="2">
        <v>43960</v>
      </c>
      <c r="C1612" s="1">
        <v>9</v>
      </c>
      <c r="D1612" s="39">
        <v>427</v>
      </c>
      <c r="E1612" s="1"/>
      <c r="F1612" s="39">
        <f t="shared" si="75"/>
        <v>19</v>
      </c>
      <c r="G1612" s="497"/>
      <c r="H1612" s="497"/>
      <c r="J1612" s="42"/>
    </row>
    <row r="1613" spans="1:10" s="360" customFormat="1" x14ac:dyDescent="0.25">
      <c r="A1613" s="19" t="s">
        <v>29</v>
      </c>
      <c r="B1613" s="2">
        <v>43960</v>
      </c>
      <c r="C1613" s="1">
        <v>0</v>
      </c>
      <c r="D1613" s="39">
        <v>4</v>
      </c>
      <c r="E1613" s="1"/>
      <c r="F1613" s="39">
        <f t="shared" si="75"/>
        <v>1</v>
      </c>
      <c r="G1613" s="497"/>
      <c r="H1613" s="497"/>
      <c r="J1613" s="42"/>
    </row>
    <row r="1614" spans="1:10" s="360" customFormat="1" x14ac:dyDescent="0.25">
      <c r="A1614" s="19" t="s">
        <v>43</v>
      </c>
      <c r="B1614" s="2">
        <v>43960</v>
      </c>
      <c r="C1614" s="1">
        <v>83</v>
      </c>
      <c r="D1614" s="39">
        <v>1796</v>
      </c>
      <c r="E1614" s="1">
        <v>2</v>
      </c>
      <c r="F1614" s="39">
        <f t="shared" si="75"/>
        <v>95</v>
      </c>
      <c r="G1614" s="497"/>
      <c r="H1614" s="497"/>
      <c r="J1614" s="42"/>
    </row>
    <row r="1615" spans="1:10" s="360" customFormat="1" x14ac:dyDescent="0.25">
      <c r="A1615" s="19" t="s">
        <v>20</v>
      </c>
      <c r="B1615" s="2">
        <v>43960</v>
      </c>
      <c r="C1615" s="1">
        <v>6</v>
      </c>
      <c r="D1615" s="39">
        <v>328</v>
      </c>
      <c r="E1615" s="1"/>
      <c r="F1615" s="39">
        <f t="shared" si="75"/>
        <v>19</v>
      </c>
      <c r="G1615" s="497"/>
      <c r="H1615" s="497"/>
      <c r="J1615" s="42"/>
    </row>
    <row r="1616" spans="1:10" s="360" customFormat="1" x14ac:dyDescent="0.25">
      <c r="A1616" s="19" t="s">
        <v>30</v>
      </c>
      <c r="B1616" s="2">
        <v>43960</v>
      </c>
      <c r="C1616" s="1">
        <v>1</v>
      </c>
      <c r="D1616" s="39">
        <v>54</v>
      </c>
      <c r="E1616" s="1"/>
      <c r="F1616" s="39">
        <f t="shared" si="75"/>
        <v>0</v>
      </c>
      <c r="G1616" s="497"/>
      <c r="H1616" s="497"/>
      <c r="J1616" s="42"/>
    </row>
    <row r="1617" spans="1:10" x14ac:dyDescent="0.25">
      <c r="A1617" s="19" t="s">
        <v>31</v>
      </c>
      <c r="B1617" s="2">
        <v>43960</v>
      </c>
      <c r="C1617" s="1">
        <v>0</v>
      </c>
      <c r="D1617" s="39">
        <v>28</v>
      </c>
      <c r="F1617" s="39">
        <f t="shared" si="75"/>
        <v>0</v>
      </c>
    </row>
    <row r="1618" spans="1:10" s="360" customFormat="1" x14ac:dyDescent="0.25">
      <c r="A1618" s="19" t="s">
        <v>41</v>
      </c>
      <c r="B1618" s="2">
        <v>43960</v>
      </c>
      <c r="C1618" s="1">
        <v>0</v>
      </c>
      <c r="D1618" s="39">
        <v>0</v>
      </c>
      <c r="E1618" s="1"/>
      <c r="F1618" s="39">
        <f t="shared" ref="F1618:F1632" si="76">E1618+F1593</f>
        <v>0</v>
      </c>
      <c r="G1618" s="497"/>
      <c r="H1618" s="497"/>
      <c r="J1618" s="42"/>
    </row>
    <row r="1619" spans="1:10" s="360" customFormat="1" x14ac:dyDescent="0.25">
      <c r="A1619" s="19" t="s">
        <v>32</v>
      </c>
      <c r="B1619" s="2">
        <v>43960</v>
      </c>
      <c r="C1619" s="1">
        <v>0</v>
      </c>
      <c r="D1619" s="39">
        <v>5</v>
      </c>
      <c r="E1619" s="1"/>
      <c r="F1619" s="39">
        <f t="shared" si="76"/>
        <v>0</v>
      </c>
      <c r="G1619" s="497"/>
      <c r="H1619" s="497"/>
      <c r="J1619" s="42"/>
    </row>
    <row r="1620" spans="1:10" s="360" customFormat="1" x14ac:dyDescent="0.25">
      <c r="A1620" s="19" t="s">
        <v>33</v>
      </c>
      <c r="B1620" s="2">
        <v>43960</v>
      </c>
      <c r="C1620" s="1">
        <v>0</v>
      </c>
      <c r="D1620" s="39">
        <v>5</v>
      </c>
      <c r="E1620" s="1"/>
      <c r="F1620" s="39">
        <f t="shared" si="76"/>
        <v>0</v>
      </c>
      <c r="G1620" s="497"/>
      <c r="H1620" s="497"/>
      <c r="J1620" s="42"/>
    </row>
    <row r="1621" spans="1:10" s="360" customFormat="1" x14ac:dyDescent="0.25">
      <c r="A1621" s="19" t="s">
        <v>21</v>
      </c>
      <c r="B1621" s="2">
        <v>43960</v>
      </c>
      <c r="C1621" s="1">
        <v>0</v>
      </c>
      <c r="D1621" s="39">
        <v>59</v>
      </c>
      <c r="E1621" s="1">
        <v>1</v>
      </c>
      <c r="F1621" s="39">
        <f t="shared" si="76"/>
        <v>1</v>
      </c>
      <c r="G1621" s="497"/>
      <c r="H1621" s="497"/>
      <c r="J1621" s="42"/>
    </row>
    <row r="1622" spans="1:10" s="360" customFormat="1" x14ac:dyDescent="0.25">
      <c r="A1622" s="19" t="s">
        <v>17</v>
      </c>
      <c r="B1622" s="2">
        <v>43960</v>
      </c>
      <c r="C1622" s="1">
        <v>0</v>
      </c>
      <c r="D1622" s="39">
        <v>86</v>
      </c>
      <c r="E1622" s="1"/>
      <c r="F1622" s="39">
        <f t="shared" si="76"/>
        <v>0</v>
      </c>
      <c r="G1622" s="497"/>
      <c r="H1622" s="497"/>
      <c r="J1622" s="42"/>
    </row>
    <row r="1623" spans="1:10" s="360" customFormat="1" x14ac:dyDescent="0.25">
      <c r="A1623" s="19" t="s">
        <v>23</v>
      </c>
      <c r="B1623" s="2">
        <v>43960</v>
      </c>
      <c r="C1623" s="1">
        <v>0</v>
      </c>
      <c r="D1623" s="39">
        <v>25</v>
      </c>
      <c r="E1623" s="1"/>
      <c r="F1623" s="39">
        <f t="shared" si="76"/>
        <v>0</v>
      </c>
      <c r="G1623" s="497"/>
      <c r="H1623" s="497"/>
      <c r="J1623" s="42"/>
    </row>
    <row r="1624" spans="1:10" s="360" customFormat="1" x14ac:dyDescent="0.25">
      <c r="A1624" s="19" t="s">
        <v>19</v>
      </c>
      <c r="B1624" s="2">
        <v>43960</v>
      </c>
      <c r="C1624" s="1">
        <v>1</v>
      </c>
      <c r="D1624" s="39">
        <v>111</v>
      </c>
      <c r="E1624" s="1"/>
      <c r="F1624" s="39">
        <f t="shared" si="76"/>
        <v>0</v>
      </c>
      <c r="G1624" s="497"/>
      <c r="H1624" s="497"/>
      <c r="J1624" s="42"/>
    </row>
    <row r="1625" spans="1:10" s="360" customFormat="1" x14ac:dyDescent="0.25">
      <c r="A1625" s="19" t="s">
        <v>18</v>
      </c>
      <c r="B1625" s="2">
        <v>43960</v>
      </c>
      <c r="C1625" s="1">
        <v>4</v>
      </c>
      <c r="D1625" s="39">
        <v>274</v>
      </c>
      <c r="E1625" s="1"/>
      <c r="F1625" s="39">
        <f t="shared" si="76"/>
        <v>0</v>
      </c>
      <c r="G1625" s="497"/>
      <c r="H1625" s="497"/>
      <c r="J1625" s="42"/>
    </row>
    <row r="1626" spans="1:10" s="360" customFormat="1" x14ac:dyDescent="0.25">
      <c r="A1626" s="19" t="s">
        <v>34</v>
      </c>
      <c r="B1626" s="2">
        <v>43960</v>
      </c>
      <c r="C1626" s="1">
        <v>0</v>
      </c>
      <c r="D1626" s="39">
        <v>4</v>
      </c>
      <c r="E1626" s="1"/>
      <c r="F1626" s="39">
        <f t="shared" si="76"/>
        <v>0</v>
      </c>
      <c r="G1626" s="497"/>
      <c r="H1626" s="497"/>
      <c r="J1626" s="42"/>
    </row>
    <row r="1627" spans="1:10" s="360" customFormat="1" x14ac:dyDescent="0.25">
      <c r="A1627" s="19" t="s">
        <v>35</v>
      </c>
      <c r="B1627" s="2">
        <v>43960</v>
      </c>
      <c r="C1627" s="1">
        <v>0</v>
      </c>
      <c r="D1627" s="39">
        <v>3</v>
      </c>
      <c r="E1627" s="1"/>
      <c r="F1627" s="39">
        <f>E1627+F1603</f>
        <v>0</v>
      </c>
      <c r="G1627" s="497"/>
      <c r="H1627" s="497"/>
      <c r="J1627" s="42"/>
    </row>
    <row r="1628" spans="1:10" s="360" customFormat="1" x14ac:dyDescent="0.25">
      <c r="A1628" s="19" t="s">
        <v>36</v>
      </c>
      <c r="B1628" s="2">
        <v>43960</v>
      </c>
      <c r="C1628" s="1">
        <v>0</v>
      </c>
      <c r="D1628" s="39">
        <v>11</v>
      </c>
      <c r="E1628" s="1"/>
      <c r="F1628" s="39">
        <f t="shared" si="76"/>
        <v>0</v>
      </c>
      <c r="G1628" s="497"/>
      <c r="H1628" s="497"/>
      <c r="J1628" s="42"/>
    </row>
    <row r="1629" spans="1:10" s="360" customFormat="1" x14ac:dyDescent="0.25">
      <c r="A1629" s="19" t="s">
        <v>37</v>
      </c>
      <c r="B1629" s="2">
        <v>43960</v>
      </c>
      <c r="C1629" s="1">
        <v>0</v>
      </c>
      <c r="D1629" s="39">
        <v>49</v>
      </c>
      <c r="E1629" s="1"/>
      <c r="F1629" s="39">
        <f t="shared" si="76"/>
        <v>0</v>
      </c>
      <c r="G1629" s="497"/>
      <c r="H1629" s="497"/>
      <c r="J1629" s="42"/>
    </row>
    <row r="1630" spans="1:10" s="360" customFormat="1" x14ac:dyDescent="0.25">
      <c r="A1630" s="19" t="s">
        <v>22</v>
      </c>
      <c r="B1630" s="2">
        <v>43960</v>
      </c>
      <c r="C1630" s="1">
        <v>0</v>
      </c>
      <c r="D1630" s="39">
        <v>244</v>
      </c>
      <c r="E1630" s="1"/>
      <c r="F1630" s="39">
        <f>E1630+F1606</f>
        <v>3</v>
      </c>
      <c r="G1630" s="497"/>
      <c r="H1630" s="497"/>
      <c r="J1630" s="42"/>
    </row>
    <row r="1631" spans="1:10" s="360" customFormat="1" x14ac:dyDescent="0.25">
      <c r="A1631" s="19" t="s">
        <v>38</v>
      </c>
      <c r="B1631" s="2">
        <v>43960</v>
      </c>
      <c r="C1631" s="1">
        <v>0</v>
      </c>
      <c r="D1631" s="39">
        <v>15</v>
      </c>
      <c r="E1631" s="1"/>
      <c r="F1631" s="39">
        <f>E1631+F1607</f>
        <v>0</v>
      </c>
      <c r="G1631" s="497"/>
      <c r="H1631" s="497"/>
      <c r="J1631" s="42"/>
    </row>
    <row r="1632" spans="1:10" s="360" customFormat="1" x14ac:dyDescent="0.25">
      <c r="A1632" s="19" t="s">
        <v>39</v>
      </c>
      <c r="B1632" s="2">
        <v>43960</v>
      </c>
      <c r="C1632" s="1">
        <v>1</v>
      </c>
      <c r="D1632" s="39">
        <v>146</v>
      </c>
      <c r="E1632" s="1"/>
      <c r="F1632" s="39">
        <f t="shared" si="76"/>
        <v>0</v>
      </c>
      <c r="G1632" s="497"/>
      <c r="H1632" s="497"/>
      <c r="J1632" s="42"/>
    </row>
    <row r="1633" spans="1:10" s="360" customFormat="1" x14ac:dyDescent="0.25">
      <c r="A1633" s="19" t="s">
        <v>40</v>
      </c>
      <c r="B1633" s="2">
        <v>43960</v>
      </c>
      <c r="C1633" s="1">
        <v>0</v>
      </c>
      <c r="D1633" s="39">
        <v>41</v>
      </c>
      <c r="E1633" s="1"/>
      <c r="F1633" s="39">
        <f>E1633+F1609</f>
        <v>3</v>
      </c>
      <c r="G1633" s="497"/>
      <c r="H1633" s="497"/>
      <c r="J1633" s="42"/>
    </row>
    <row r="1634" spans="1:10" s="360" customFormat="1" x14ac:dyDescent="0.25">
      <c r="A1634" s="361" t="s">
        <v>16</v>
      </c>
      <c r="B1634" s="2">
        <v>43961</v>
      </c>
      <c r="C1634" s="1">
        <v>51</v>
      </c>
      <c r="D1634" s="39">
        <v>2112</v>
      </c>
      <c r="E1634" s="1">
        <v>3</v>
      </c>
      <c r="F1634" s="39">
        <f>E1634+F1610</f>
        <v>125</v>
      </c>
      <c r="G1634" s="497"/>
      <c r="H1634" s="497"/>
      <c r="J1634" s="42"/>
    </row>
    <row r="1635" spans="1:10" s="360" customFormat="1" x14ac:dyDescent="0.25">
      <c r="A1635" s="19" t="s">
        <v>28</v>
      </c>
      <c r="B1635" s="2">
        <v>43961</v>
      </c>
      <c r="C1635" s="1">
        <v>0</v>
      </c>
      <c r="D1635" s="39">
        <v>0</v>
      </c>
      <c r="E1635" s="1"/>
      <c r="F1635" s="39">
        <f t="shared" ref="F1635:F1641" si="77">E1635+F1611</f>
        <v>0</v>
      </c>
      <c r="G1635" s="497"/>
      <c r="H1635" s="497"/>
      <c r="J1635" s="42"/>
    </row>
    <row r="1636" spans="1:10" s="360" customFormat="1" x14ac:dyDescent="0.25">
      <c r="A1636" s="19" t="s">
        <v>15</v>
      </c>
      <c r="B1636" s="2">
        <v>43961</v>
      </c>
      <c r="C1636" s="1">
        <v>32</v>
      </c>
      <c r="D1636" s="39">
        <v>459</v>
      </c>
      <c r="E1636" s="1"/>
      <c r="F1636" s="39">
        <f t="shared" si="77"/>
        <v>19</v>
      </c>
      <c r="G1636" s="497"/>
      <c r="H1636" s="497"/>
      <c r="J1636" s="42"/>
    </row>
    <row r="1637" spans="1:10" s="360" customFormat="1" x14ac:dyDescent="0.25">
      <c r="A1637" s="19" t="s">
        <v>29</v>
      </c>
      <c r="B1637" s="2">
        <v>43961</v>
      </c>
      <c r="C1637" s="1">
        <v>0</v>
      </c>
      <c r="D1637" s="39">
        <v>4</v>
      </c>
      <c r="E1637" s="1"/>
      <c r="F1637" s="39">
        <f t="shared" si="77"/>
        <v>1</v>
      </c>
      <c r="G1637" s="497"/>
      <c r="H1637" s="497"/>
      <c r="J1637" s="42"/>
    </row>
    <row r="1638" spans="1:10" s="360" customFormat="1" x14ac:dyDescent="0.25">
      <c r="A1638" s="19" t="s">
        <v>43</v>
      </c>
      <c r="B1638" s="2">
        <v>43961</v>
      </c>
      <c r="C1638" s="1">
        <v>165</v>
      </c>
      <c r="D1638" s="39">
        <v>1961</v>
      </c>
      <c r="E1638" s="1">
        <v>2</v>
      </c>
      <c r="F1638" s="39">
        <f t="shared" si="77"/>
        <v>97</v>
      </c>
      <c r="G1638" s="497"/>
      <c r="H1638" s="497"/>
      <c r="J1638" s="42"/>
    </row>
    <row r="1639" spans="1:10" s="360" customFormat="1" x14ac:dyDescent="0.25">
      <c r="A1639" s="19" t="s">
        <v>20</v>
      </c>
      <c r="B1639" s="2">
        <v>43961</v>
      </c>
      <c r="C1639" s="1">
        <v>5</v>
      </c>
      <c r="D1639" s="39">
        <v>333</v>
      </c>
      <c r="E1639" s="1"/>
      <c r="F1639" s="39">
        <f t="shared" si="77"/>
        <v>19</v>
      </c>
      <c r="G1639" s="497"/>
      <c r="H1639" s="497"/>
      <c r="J1639" s="42"/>
    </row>
    <row r="1640" spans="1:10" s="360" customFormat="1" x14ac:dyDescent="0.25">
      <c r="A1640" s="19" t="s">
        <v>30</v>
      </c>
      <c r="B1640" s="2">
        <v>43961</v>
      </c>
      <c r="C1640" s="1">
        <v>0</v>
      </c>
      <c r="D1640" s="39">
        <v>54</v>
      </c>
      <c r="E1640" s="1"/>
      <c r="F1640" s="39">
        <f t="shared" si="77"/>
        <v>0</v>
      </c>
      <c r="G1640" s="497"/>
      <c r="H1640" s="497"/>
      <c r="J1640" s="42"/>
    </row>
    <row r="1641" spans="1:10" x14ac:dyDescent="0.25">
      <c r="A1641" s="19" t="s">
        <v>31</v>
      </c>
      <c r="B1641" s="2">
        <v>43961</v>
      </c>
      <c r="C1641" s="1">
        <v>0</v>
      </c>
      <c r="D1641" s="39">
        <v>28</v>
      </c>
      <c r="F1641" s="39">
        <f t="shared" si="77"/>
        <v>0</v>
      </c>
    </row>
    <row r="1642" spans="1:10" s="360" customFormat="1" x14ac:dyDescent="0.25">
      <c r="A1642" s="19" t="s">
        <v>41</v>
      </c>
      <c r="B1642" s="2">
        <v>43961</v>
      </c>
      <c r="C1642" s="1">
        <v>0</v>
      </c>
      <c r="D1642" s="39">
        <v>0</v>
      </c>
      <c r="E1642" s="1"/>
      <c r="F1642" s="39">
        <f t="shared" ref="F1642:F1656" si="78">E1642+F1617</f>
        <v>0</v>
      </c>
      <c r="G1642" s="497"/>
      <c r="H1642" s="497"/>
      <c r="J1642" s="42"/>
    </row>
    <row r="1643" spans="1:10" s="360" customFormat="1" x14ac:dyDescent="0.25">
      <c r="A1643" s="19" t="s">
        <v>32</v>
      </c>
      <c r="B1643" s="2">
        <v>43961</v>
      </c>
      <c r="C1643" s="1">
        <v>0</v>
      </c>
      <c r="D1643" s="39">
        <v>5</v>
      </c>
      <c r="E1643" s="1"/>
      <c r="F1643" s="39">
        <f t="shared" si="78"/>
        <v>0</v>
      </c>
      <c r="G1643" s="497"/>
      <c r="H1643" s="497"/>
      <c r="J1643" s="42"/>
    </row>
    <row r="1644" spans="1:10" s="360" customFormat="1" x14ac:dyDescent="0.25">
      <c r="A1644" s="19" t="s">
        <v>33</v>
      </c>
      <c r="B1644" s="2">
        <v>43961</v>
      </c>
      <c r="C1644" s="1">
        <v>0</v>
      </c>
      <c r="D1644" s="39">
        <v>5</v>
      </c>
      <c r="E1644" s="1"/>
      <c r="F1644" s="39">
        <f t="shared" si="78"/>
        <v>0</v>
      </c>
      <c r="G1644" s="497"/>
      <c r="H1644" s="497"/>
      <c r="J1644" s="42"/>
    </row>
    <row r="1645" spans="1:10" s="360" customFormat="1" x14ac:dyDescent="0.25">
      <c r="A1645" s="19" t="s">
        <v>21</v>
      </c>
      <c r="B1645" s="2">
        <v>43961</v>
      </c>
      <c r="C1645" s="1">
        <v>0</v>
      </c>
      <c r="D1645" s="39">
        <v>59</v>
      </c>
      <c r="E1645" s="1"/>
      <c r="F1645" s="39">
        <f t="shared" si="78"/>
        <v>0</v>
      </c>
      <c r="G1645" s="497"/>
      <c r="H1645" s="497"/>
      <c r="J1645" s="42"/>
    </row>
    <row r="1646" spans="1:10" s="360" customFormat="1" x14ac:dyDescent="0.25">
      <c r="A1646" s="19" t="s">
        <v>17</v>
      </c>
      <c r="B1646" s="2">
        <v>43961</v>
      </c>
      <c r="C1646" s="1">
        <v>0</v>
      </c>
      <c r="D1646" s="39">
        <v>86</v>
      </c>
      <c r="E1646" s="1"/>
      <c r="F1646" s="39">
        <f t="shared" si="78"/>
        <v>1</v>
      </c>
      <c r="G1646" s="497"/>
      <c r="H1646" s="497"/>
      <c r="J1646" s="42"/>
    </row>
    <row r="1647" spans="1:10" s="360" customFormat="1" x14ac:dyDescent="0.25">
      <c r="A1647" s="19" t="s">
        <v>23</v>
      </c>
      <c r="B1647" s="2">
        <v>43961</v>
      </c>
      <c r="C1647" s="1">
        <v>0</v>
      </c>
      <c r="D1647" s="39">
        <v>25</v>
      </c>
      <c r="E1647" s="1"/>
      <c r="F1647" s="39">
        <f t="shared" si="78"/>
        <v>0</v>
      </c>
      <c r="G1647" s="497"/>
      <c r="H1647" s="497"/>
      <c r="J1647" s="42"/>
    </row>
    <row r="1648" spans="1:10" s="360" customFormat="1" x14ac:dyDescent="0.25">
      <c r="A1648" s="19" t="s">
        <v>19</v>
      </c>
      <c r="B1648" s="2">
        <v>43961</v>
      </c>
      <c r="C1648" s="1">
        <v>0</v>
      </c>
      <c r="D1648" s="39">
        <v>111</v>
      </c>
      <c r="E1648" s="1"/>
      <c r="F1648" s="39">
        <f t="shared" si="78"/>
        <v>0</v>
      </c>
      <c r="G1648" s="497"/>
      <c r="H1648" s="497"/>
      <c r="J1648" s="42"/>
    </row>
    <row r="1649" spans="1:10" s="360" customFormat="1" x14ac:dyDescent="0.25">
      <c r="A1649" s="19" t="s">
        <v>18</v>
      </c>
      <c r="B1649" s="2">
        <v>43961</v>
      </c>
      <c r="C1649" s="1">
        <v>2</v>
      </c>
      <c r="D1649" s="39">
        <v>276</v>
      </c>
      <c r="E1649" s="1"/>
      <c r="F1649" s="39">
        <f t="shared" si="78"/>
        <v>0</v>
      </c>
      <c r="G1649" s="497"/>
      <c r="H1649" s="497"/>
      <c r="J1649" s="42"/>
    </row>
    <row r="1650" spans="1:10" s="360" customFormat="1" x14ac:dyDescent="0.25">
      <c r="A1650" s="19" t="s">
        <v>34</v>
      </c>
      <c r="B1650" s="2">
        <v>43961</v>
      </c>
      <c r="C1650" s="1">
        <v>0</v>
      </c>
      <c r="D1650" s="39">
        <v>4</v>
      </c>
      <c r="E1650" s="1"/>
      <c r="F1650" s="39">
        <f t="shared" si="78"/>
        <v>0</v>
      </c>
      <c r="G1650" s="497"/>
      <c r="H1650" s="497"/>
      <c r="J1650" s="42"/>
    </row>
    <row r="1651" spans="1:10" s="360" customFormat="1" x14ac:dyDescent="0.25">
      <c r="A1651" s="19" t="s">
        <v>35</v>
      </c>
      <c r="B1651" s="2">
        <v>43961</v>
      </c>
      <c r="C1651" s="1">
        <v>0</v>
      </c>
      <c r="D1651" s="39">
        <v>3</v>
      </c>
      <c r="E1651" s="1"/>
      <c r="F1651" s="39">
        <f>E1651+F1627</f>
        <v>0</v>
      </c>
      <c r="G1651" s="497"/>
      <c r="H1651" s="497"/>
      <c r="J1651" s="42"/>
    </row>
    <row r="1652" spans="1:10" s="360" customFormat="1" x14ac:dyDescent="0.25">
      <c r="A1652" s="19" t="s">
        <v>36</v>
      </c>
      <c r="B1652" s="2">
        <v>43961</v>
      </c>
      <c r="C1652" s="1">
        <v>0</v>
      </c>
      <c r="D1652" s="39">
        <v>11</v>
      </c>
      <c r="E1652" s="1"/>
      <c r="F1652" s="39">
        <f t="shared" si="78"/>
        <v>0</v>
      </c>
      <c r="G1652" s="497"/>
      <c r="H1652" s="497"/>
      <c r="J1652" s="42"/>
    </row>
    <row r="1653" spans="1:10" s="360" customFormat="1" x14ac:dyDescent="0.25">
      <c r="A1653" s="19" t="s">
        <v>37</v>
      </c>
      <c r="B1653" s="2">
        <v>43961</v>
      </c>
      <c r="C1653" s="1">
        <v>0</v>
      </c>
      <c r="D1653" s="39">
        <v>49</v>
      </c>
      <c r="E1653" s="1"/>
      <c r="F1653" s="39">
        <f t="shared" si="78"/>
        <v>0</v>
      </c>
      <c r="G1653" s="497"/>
      <c r="H1653" s="497"/>
      <c r="J1653" s="42"/>
    </row>
    <row r="1654" spans="1:10" s="360" customFormat="1" x14ac:dyDescent="0.25">
      <c r="A1654" s="19" t="s">
        <v>22</v>
      </c>
      <c r="B1654" s="2">
        <v>43961</v>
      </c>
      <c r="C1654" s="1">
        <v>0</v>
      </c>
      <c r="D1654" s="39">
        <v>244</v>
      </c>
      <c r="E1654" s="1"/>
      <c r="F1654" s="39">
        <f>E1654+F1630</f>
        <v>3</v>
      </c>
      <c r="G1654" s="497"/>
      <c r="H1654" s="497"/>
      <c r="J1654" s="42"/>
    </row>
    <row r="1655" spans="1:10" s="360" customFormat="1" x14ac:dyDescent="0.25">
      <c r="A1655" s="19" t="s">
        <v>38</v>
      </c>
      <c r="B1655" s="2">
        <v>43961</v>
      </c>
      <c r="C1655" s="1">
        <v>1</v>
      </c>
      <c r="D1655" s="39">
        <v>16</v>
      </c>
      <c r="E1655" s="1"/>
      <c r="F1655" s="39">
        <f>E1655+F1631</f>
        <v>0</v>
      </c>
      <c r="G1655" s="497"/>
      <c r="H1655" s="497"/>
      <c r="J1655" s="42"/>
    </row>
    <row r="1656" spans="1:10" s="360" customFormat="1" x14ac:dyDescent="0.25">
      <c r="A1656" s="19" t="s">
        <v>39</v>
      </c>
      <c r="B1656" s="2">
        <v>43961</v>
      </c>
      <c r="C1656" s="1">
        <v>2</v>
      </c>
      <c r="D1656" s="39">
        <v>148</v>
      </c>
      <c r="E1656" s="1"/>
      <c r="F1656" s="39">
        <f t="shared" si="78"/>
        <v>0</v>
      </c>
      <c r="G1656" s="497"/>
      <c r="H1656" s="497"/>
      <c r="J1656" s="42"/>
    </row>
    <row r="1657" spans="1:10" s="360" customFormat="1" x14ac:dyDescent="0.25">
      <c r="A1657" s="19" t="s">
        <v>40</v>
      </c>
      <c r="B1657" s="2">
        <v>43961</v>
      </c>
      <c r="C1657" s="1">
        <v>0</v>
      </c>
      <c r="D1657" s="39">
        <v>41</v>
      </c>
      <c r="E1657" s="1"/>
      <c r="F1657" s="39">
        <f>E1657+F1633</f>
        <v>3</v>
      </c>
      <c r="G1657" s="497"/>
      <c r="H1657" s="497"/>
      <c r="J1657" s="42"/>
    </row>
    <row r="1658" spans="1:10" s="360" customFormat="1" x14ac:dyDescent="0.25">
      <c r="A1658" s="361" t="s">
        <v>16</v>
      </c>
      <c r="B1658" s="2">
        <v>43962</v>
      </c>
      <c r="C1658" s="1">
        <v>44</v>
      </c>
      <c r="D1658" s="39">
        <v>2156</v>
      </c>
      <c r="E1658" s="1">
        <v>4</v>
      </c>
      <c r="F1658" s="39">
        <f>E1658+F1634</f>
        <v>129</v>
      </c>
      <c r="G1658" s="497"/>
      <c r="H1658" s="497"/>
      <c r="J1658" s="42"/>
    </row>
    <row r="1659" spans="1:10" s="360" customFormat="1" x14ac:dyDescent="0.25">
      <c r="A1659" s="19" t="s">
        <v>28</v>
      </c>
      <c r="B1659" s="2">
        <v>43962</v>
      </c>
      <c r="C1659" s="1">
        <v>0</v>
      </c>
      <c r="D1659" s="39">
        <v>0</v>
      </c>
      <c r="E1659" s="1"/>
      <c r="F1659" s="39">
        <f t="shared" ref="F1659:F1665" si="79">E1659+F1635</f>
        <v>0</v>
      </c>
      <c r="G1659" s="497"/>
      <c r="H1659" s="497"/>
      <c r="J1659" s="42"/>
    </row>
    <row r="1660" spans="1:10" s="360" customFormat="1" x14ac:dyDescent="0.25">
      <c r="A1660" s="19" t="s">
        <v>15</v>
      </c>
      <c r="B1660" s="2">
        <v>43962</v>
      </c>
      <c r="C1660" s="1">
        <v>17</v>
      </c>
      <c r="D1660" s="39">
        <v>476</v>
      </c>
      <c r="E1660" s="1">
        <v>1</v>
      </c>
      <c r="F1660" s="39">
        <f t="shared" si="79"/>
        <v>20</v>
      </c>
      <c r="G1660" s="497"/>
      <c r="H1660" s="497"/>
      <c r="J1660" s="42"/>
    </row>
    <row r="1661" spans="1:10" s="360" customFormat="1" x14ac:dyDescent="0.25">
      <c r="A1661" s="19" t="s">
        <v>29</v>
      </c>
      <c r="B1661" s="2">
        <v>43962</v>
      </c>
      <c r="C1661" s="1">
        <v>0</v>
      </c>
      <c r="D1661" s="39">
        <v>4</v>
      </c>
      <c r="E1661" s="1"/>
      <c r="F1661" s="39">
        <f t="shared" si="79"/>
        <v>1</v>
      </c>
      <c r="G1661" s="497"/>
      <c r="H1661" s="497"/>
      <c r="J1661" s="42"/>
    </row>
    <row r="1662" spans="1:10" s="360" customFormat="1" x14ac:dyDescent="0.25">
      <c r="A1662" s="19" t="s">
        <v>43</v>
      </c>
      <c r="B1662" s="2">
        <v>43962</v>
      </c>
      <c r="C1662" s="1">
        <v>137</v>
      </c>
      <c r="D1662" s="39">
        <v>2098</v>
      </c>
      <c r="E1662" s="1">
        <v>3</v>
      </c>
      <c r="F1662" s="39">
        <f t="shared" si="79"/>
        <v>100</v>
      </c>
      <c r="G1662" s="497"/>
      <c r="H1662" s="497"/>
      <c r="J1662" s="42"/>
    </row>
    <row r="1663" spans="1:10" s="360" customFormat="1" x14ac:dyDescent="0.25">
      <c r="A1663" s="19" t="s">
        <v>20</v>
      </c>
      <c r="B1663" s="2">
        <v>43962</v>
      </c>
      <c r="C1663" s="1">
        <v>14</v>
      </c>
      <c r="D1663" s="39">
        <v>347</v>
      </c>
      <c r="E1663" s="1"/>
      <c r="F1663" s="39">
        <f t="shared" si="79"/>
        <v>19</v>
      </c>
      <c r="G1663" s="497"/>
      <c r="H1663" s="497"/>
      <c r="J1663" s="42"/>
    </row>
    <row r="1664" spans="1:10" s="360" customFormat="1" x14ac:dyDescent="0.25">
      <c r="A1664" s="19" t="s">
        <v>30</v>
      </c>
      <c r="B1664" s="2">
        <v>43962</v>
      </c>
      <c r="C1664" s="1">
        <v>16</v>
      </c>
      <c r="D1664" s="39">
        <v>70</v>
      </c>
      <c r="E1664" s="1"/>
      <c r="F1664" s="39">
        <f t="shared" si="79"/>
        <v>0</v>
      </c>
      <c r="G1664" s="497"/>
      <c r="H1664" s="497"/>
      <c r="J1664" s="42"/>
    </row>
    <row r="1665" spans="1:10" x14ac:dyDescent="0.25">
      <c r="A1665" s="19" t="s">
        <v>31</v>
      </c>
      <c r="B1665" s="2">
        <v>43962</v>
      </c>
      <c r="C1665" s="1">
        <v>0</v>
      </c>
      <c r="D1665" s="39">
        <v>28</v>
      </c>
      <c r="F1665" s="39">
        <f t="shared" si="79"/>
        <v>0</v>
      </c>
    </row>
    <row r="1666" spans="1:10" s="360" customFormat="1" x14ac:dyDescent="0.25">
      <c r="A1666" s="19" t="s">
        <v>41</v>
      </c>
      <c r="B1666" s="2">
        <v>43962</v>
      </c>
      <c r="C1666" s="1">
        <v>0</v>
      </c>
      <c r="D1666" s="39">
        <v>0</v>
      </c>
      <c r="E1666" s="1"/>
      <c r="F1666" s="39">
        <f t="shared" ref="F1666:F1680" si="80">E1666+F1641</f>
        <v>0</v>
      </c>
      <c r="G1666" s="497"/>
      <c r="H1666" s="497"/>
      <c r="J1666" s="42"/>
    </row>
    <row r="1667" spans="1:10" s="360" customFormat="1" x14ac:dyDescent="0.25">
      <c r="A1667" s="19" t="s">
        <v>32</v>
      </c>
      <c r="B1667" s="2">
        <v>43962</v>
      </c>
      <c r="C1667" s="1">
        <v>0</v>
      </c>
      <c r="D1667" s="39">
        <v>5</v>
      </c>
      <c r="E1667" s="1"/>
      <c r="F1667" s="39">
        <f t="shared" si="80"/>
        <v>0</v>
      </c>
      <c r="G1667" s="497"/>
      <c r="H1667" s="497"/>
      <c r="J1667" s="42"/>
    </row>
    <row r="1668" spans="1:10" s="360" customFormat="1" x14ac:dyDescent="0.25">
      <c r="A1668" s="19" t="s">
        <v>33</v>
      </c>
      <c r="B1668" s="2">
        <v>43962</v>
      </c>
      <c r="C1668" s="1">
        <v>0</v>
      </c>
      <c r="D1668" s="39">
        <v>5</v>
      </c>
      <c r="E1668" s="1"/>
      <c r="F1668" s="39">
        <f t="shared" si="80"/>
        <v>0</v>
      </c>
      <c r="G1668" s="497"/>
      <c r="H1668" s="497"/>
      <c r="J1668" s="42"/>
    </row>
    <row r="1669" spans="1:10" s="360" customFormat="1" x14ac:dyDescent="0.25">
      <c r="A1669" s="19" t="s">
        <v>21</v>
      </c>
      <c r="B1669" s="2">
        <v>43962</v>
      </c>
      <c r="C1669" s="1">
        <v>1</v>
      </c>
      <c r="D1669" s="39">
        <v>60</v>
      </c>
      <c r="E1669" s="1"/>
      <c r="F1669" s="39">
        <f t="shared" si="80"/>
        <v>0</v>
      </c>
      <c r="G1669" s="497"/>
      <c r="H1669" s="497"/>
      <c r="J1669" s="42"/>
    </row>
    <row r="1670" spans="1:10" s="360" customFormat="1" x14ac:dyDescent="0.25">
      <c r="A1670" s="19" t="s">
        <v>17</v>
      </c>
      <c r="B1670" s="2">
        <v>43962</v>
      </c>
      <c r="C1670" s="1">
        <v>0</v>
      </c>
      <c r="D1670" s="39">
        <v>86</v>
      </c>
      <c r="E1670" s="1"/>
      <c r="F1670" s="39">
        <f t="shared" si="80"/>
        <v>0</v>
      </c>
      <c r="G1670" s="497"/>
      <c r="H1670" s="497"/>
      <c r="J1670" s="42"/>
    </row>
    <row r="1671" spans="1:10" s="360" customFormat="1" x14ac:dyDescent="0.25">
      <c r="A1671" s="19" t="s">
        <v>23</v>
      </c>
      <c r="B1671" s="2">
        <v>43962</v>
      </c>
      <c r="C1671" s="1">
        <v>1</v>
      </c>
      <c r="D1671" s="39">
        <v>26</v>
      </c>
      <c r="E1671" s="1"/>
      <c r="F1671" s="39">
        <f t="shared" si="80"/>
        <v>1</v>
      </c>
      <c r="G1671" s="497"/>
      <c r="H1671" s="497"/>
      <c r="J1671" s="42"/>
    </row>
    <row r="1672" spans="1:10" s="360" customFormat="1" x14ac:dyDescent="0.25">
      <c r="A1672" s="19" t="s">
        <v>19</v>
      </c>
      <c r="B1672" s="2">
        <v>43962</v>
      </c>
      <c r="C1672" s="1">
        <v>0</v>
      </c>
      <c r="D1672" s="39">
        <v>111</v>
      </c>
      <c r="E1672" s="1"/>
      <c r="F1672" s="39">
        <f t="shared" si="80"/>
        <v>0</v>
      </c>
      <c r="G1672" s="497"/>
      <c r="H1672" s="497"/>
      <c r="J1672" s="42"/>
    </row>
    <row r="1673" spans="1:10" s="360" customFormat="1" x14ac:dyDescent="0.25">
      <c r="A1673" s="19" t="s">
        <v>18</v>
      </c>
      <c r="B1673" s="2">
        <v>43962</v>
      </c>
      <c r="C1673" s="1">
        <v>13</v>
      </c>
      <c r="D1673" s="39">
        <v>289</v>
      </c>
      <c r="E1673" s="1">
        <v>1</v>
      </c>
      <c r="F1673" s="39">
        <f t="shared" si="80"/>
        <v>1</v>
      </c>
      <c r="G1673" s="497"/>
      <c r="H1673" s="497"/>
      <c r="J1673" s="42"/>
    </row>
    <row r="1674" spans="1:10" s="360" customFormat="1" x14ac:dyDescent="0.25">
      <c r="A1674" s="19" t="s">
        <v>34</v>
      </c>
      <c r="B1674" s="2">
        <v>43962</v>
      </c>
      <c r="C1674" s="1">
        <v>0</v>
      </c>
      <c r="D1674" s="39">
        <v>4</v>
      </c>
      <c r="E1674" s="1"/>
      <c r="F1674" s="39">
        <f t="shared" si="80"/>
        <v>0</v>
      </c>
      <c r="G1674" s="497"/>
      <c r="H1674" s="497"/>
      <c r="J1674" s="42"/>
    </row>
    <row r="1675" spans="1:10" s="360" customFormat="1" x14ac:dyDescent="0.25">
      <c r="A1675" s="19" t="s">
        <v>35</v>
      </c>
      <c r="B1675" s="2">
        <v>43962</v>
      </c>
      <c r="C1675" s="1">
        <v>0</v>
      </c>
      <c r="D1675" s="39">
        <v>3</v>
      </c>
      <c r="E1675" s="1"/>
      <c r="F1675" s="39">
        <f>E1675+F1651</f>
        <v>0</v>
      </c>
      <c r="G1675" s="497"/>
      <c r="H1675" s="497"/>
      <c r="J1675" s="42"/>
    </row>
    <row r="1676" spans="1:10" s="360" customFormat="1" x14ac:dyDescent="0.25">
      <c r="A1676" s="19" t="s">
        <v>36</v>
      </c>
      <c r="B1676" s="2">
        <v>43962</v>
      </c>
      <c r="C1676" s="1">
        <v>0</v>
      </c>
      <c r="D1676" s="39">
        <v>11</v>
      </c>
      <c r="E1676" s="1"/>
      <c r="F1676" s="39">
        <f t="shared" si="80"/>
        <v>0</v>
      </c>
      <c r="G1676" s="497"/>
      <c r="H1676" s="497"/>
      <c r="J1676" s="42"/>
    </row>
    <row r="1677" spans="1:10" s="360" customFormat="1" x14ac:dyDescent="0.25">
      <c r="A1677" s="19" t="s">
        <v>37</v>
      </c>
      <c r="B1677" s="2">
        <v>43962</v>
      </c>
      <c r="C1677" s="1">
        <v>0</v>
      </c>
      <c r="D1677" s="39">
        <v>49</v>
      </c>
      <c r="E1677" s="1"/>
      <c r="F1677" s="39">
        <f t="shared" si="80"/>
        <v>0</v>
      </c>
      <c r="G1677" s="497"/>
      <c r="H1677" s="497"/>
      <c r="J1677" s="42"/>
    </row>
    <row r="1678" spans="1:10" s="360" customFormat="1" x14ac:dyDescent="0.25">
      <c r="A1678" s="19" t="s">
        <v>22</v>
      </c>
      <c r="B1678" s="2">
        <v>43962</v>
      </c>
      <c r="C1678" s="1">
        <v>0</v>
      </c>
      <c r="D1678" s="39">
        <v>244</v>
      </c>
      <c r="E1678" s="1"/>
      <c r="F1678" s="39">
        <f>E1678+F1654</f>
        <v>3</v>
      </c>
      <c r="G1678" s="497"/>
      <c r="H1678" s="497"/>
      <c r="J1678" s="42"/>
    </row>
    <row r="1679" spans="1:10" s="360" customFormat="1" x14ac:dyDescent="0.25">
      <c r="A1679" s="19" t="s">
        <v>38</v>
      </c>
      <c r="B1679" s="2">
        <v>43962</v>
      </c>
      <c r="C1679" s="1">
        <v>0</v>
      </c>
      <c r="D1679" s="39">
        <v>16</v>
      </c>
      <c r="E1679" s="1"/>
      <c r="F1679" s="39">
        <f>E1679+F1655</f>
        <v>0</v>
      </c>
      <c r="G1679" s="497"/>
      <c r="H1679" s="497"/>
      <c r="J1679" s="42"/>
    </row>
    <row r="1680" spans="1:10" s="360" customFormat="1" x14ac:dyDescent="0.25">
      <c r="A1680" s="19" t="s">
        <v>39</v>
      </c>
      <c r="B1680" s="2">
        <v>43962</v>
      </c>
      <c r="C1680" s="1">
        <v>0</v>
      </c>
      <c r="D1680" s="39">
        <v>148</v>
      </c>
      <c r="E1680" s="1"/>
      <c r="F1680" s="39">
        <f t="shared" si="80"/>
        <v>0</v>
      </c>
      <c r="G1680" s="497"/>
      <c r="H1680" s="497"/>
      <c r="J1680" s="42"/>
    </row>
    <row r="1681" spans="1:10" s="360" customFormat="1" x14ac:dyDescent="0.25">
      <c r="A1681" s="19" t="s">
        <v>40</v>
      </c>
      <c r="B1681" s="2">
        <v>43962</v>
      </c>
      <c r="C1681" s="1">
        <v>1</v>
      </c>
      <c r="D1681" s="39">
        <v>42</v>
      </c>
      <c r="E1681" s="1"/>
      <c r="F1681" s="39">
        <f>E1681+F1657</f>
        <v>3</v>
      </c>
      <c r="G1681" s="497"/>
      <c r="H1681" s="497"/>
      <c r="J1681" s="42"/>
    </row>
    <row r="1682" spans="1:10" s="360" customFormat="1" x14ac:dyDescent="0.25">
      <c r="A1682" s="361" t="s">
        <v>16</v>
      </c>
      <c r="B1682" s="2">
        <v>43963</v>
      </c>
      <c r="C1682" s="1">
        <v>80</v>
      </c>
      <c r="D1682" s="39">
        <v>2236</v>
      </c>
      <c r="E1682" s="1">
        <v>2</v>
      </c>
      <c r="F1682" s="39">
        <f>E1682+F1658</f>
        <v>131</v>
      </c>
      <c r="G1682" s="497"/>
      <c r="H1682" s="497"/>
      <c r="J1682" s="42"/>
    </row>
    <row r="1683" spans="1:10" s="360" customFormat="1" x14ac:dyDescent="0.25">
      <c r="A1683" s="19" t="s">
        <v>28</v>
      </c>
      <c r="B1683" s="2">
        <v>43963</v>
      </c>
      <c r="C1683" s="1">
        <v>0</v>
      </c>
      <c r="D1683" s="39">
        <v>0</v>
      </c>
      <c r="E1683" s="1"/>
      <c r="F1683" s="39">
        <f t="shared" ref="F1683:F1689" si="81">E1683+F1659</f>
        <v>0</v>
      </c>
      <c r="G1683" s="497"/>
      <c r="H1683" s="497"/>
      <c r="J1683" s="42"/>
    </row>
    <row r="1684" spans="1:10" s="360" customFormat="1" x14ac:dyDescent="0.25">
      <c r="A1684" s="19" t="s">
        <v>15</v>
      </c>
      <c r="B1684" s="2">
        <v>43963</v>
      </c>
      <c r="C1684" s="1">
        <v>10</v>
      </c>
      <c r="D1684" s="39">
        <v>486</v>
      </c>
      <c r="E1684" s="1">
        <v>1</v>
      </c>
      <c r="F1684" s="39">
        <f t="shared" si="81"/>
        <v>21</v>
      </c>
      <c r="G1684" s="497"/>
      <c r="H1684" s="497"/>
      <c r="J1684" s="42"/>
    </row>
    <row r="1685" spans="1:10" s="360" customFormat="1" x14ac:dyDescent="0.25">
      <c r="A1685" s="19" t="s">
        <v>29</v>
      </c>
      <c r="B1685" s="2">
        <v>43963</v>
      </c>
      <c r="C1685" s="1">
        <v>0</v>
      </c>
      <c r="D1685" s="39">
        <v>4</v>
      </c>
      <c r="E1685" s="1"/>
      <c r="F1685" s="39">
        <f t="shared" si="81"/>
        <v>1</v>
      </c>
      <c r="G1685" s="497"/>
      <c r="H1685" s="497"/>
      <c r="J1685" s="42"/>
    </row>
    <row r="1686" spans="1:10" s="360" customFormat="1" x14ac:dyDescent="0.25">
      <c r="A1686" s="19" t="s">
        <v>43</v>
      </c>
      <c r="B1686" s="2">
        <v>43963</v>
      </c>
      <c r="C1686" s="1">
        <v>188</v>
      </c>
      <c r="D1686" s="39">
        <v>2286</v>
      </c>
      <c r="E1686" s="1">
        <v>1</v>
      </c>
      <c r="F1686" s="39">
        <f t="shared" si="81"/>
        <v>101</v>
      </c>
      <c r="G1686" s="497"/>
      <c r="H1686" s="497"/>
      <c r="J1686" s="42"/>
    </row>
    <row r="1687" spans="1:10" s="360" customFormat="1" x14ac:dyDescent="0.25">
      <c r="A1687" s="19" t="s">
        <v>20</v>
      </c>
      <c r="B1687" s="2">
        <v>43963</v>
      </c>
      <c r="C1687" s="1">
        <v>3</v>
      </c>
      <c r="D1687" s="39">
        <v>350</v>
      </c>
      <c r="E1687" s="1">
        <v>1</v>
      </c>
      <c r="F1687" s="39">
        <f t="shared" si="81"/>
        <v>20</v>
      </c>
      <c r="G1687" s="497"/>
      <c r="H1687" s="497"/>
      <c r="J1687" s="42"/>
    </row>
    <row r="1688" spans="1:10" s="360" customFormat="1" x14ac:dyDescent="0.25">
      <c r="A1688" s="19" t="s">
        <v>30</v>
      </c>
      <c r="B1688" s="2">
        <v>43963</v>
      </c>
      <c r="C1688" s="1">
        <v>1</v>
      </c>
      <c r="D1688" s="39">
        <v>71</v>
      </c>
      <c r="E1688" s="1"/>
      <c r="F1688" s="39">
        <f t="shared" si="81"/>
        <v>0</v>
      </c>
      <c r="G1688" s="497"/>
      <c r="H1688" s="497"/>
      <c r="J1688" s="42"/>
    </row>
    <row r="1689" spans="1:10" x14ac:dyDescent="0.25">
      <c r="A1689" s="19" t="s">
        <v>31</v>
      </c>
      <c r="B1689" s="2">
        <v>43963</v>
      </c>
      <c r="C1689" s="1">
        <v>0</v>
      </c>
      <c r="D1689" s="39">
        <v>28</v>
      </c>
      <c r="F1689" s="39">
        <f t="shared" si="81"/>
        <v>0</v>
      </c>
    </row>
    <row r="1690" spans="1:10" s="360" customFormat="1" x14ac:dyDescent="0.25">
      <c r="A1690" s="19" t="s">
        <v>41</v>
      </c>
      <c r="B1690" s="2">
        <v>43963</v>
      </c>
      <c r="C1690" s="1">
        <v>0</v>
      </c>
      <c r="D1690" s="39">
        <v>0</v>
      </c>
      <c r="E1690" s="1"/>
      <c r="F1690" s="39">
        <f t="shared" ref="F1690:F1704" si="82">E1690+F1665</f>
        <v>0</v>
      </c>
      <c r="G1690" s="497"/>
      <c r="H1690" s="497"/>
      <c r="J1690" s="42"/>
    </row>
    <row r="1691" spans="1:10" s="360" customFormat="1" x14ac:dyDescent="0.25">
      <c r="A1691" s="19" t="s">
        <v>32</v>
      </c>
      <c r="B1691" s="2">
        <v>43963</v>
      </c>
      <c r="C1691" s="1">
        <v>0</v>
      </c>
      <c r="D1691" s="39">
        <v>5</v>
      </c>
      <c r="E1691" s="1"/>
      <c r="F1691" s="39">
        <f t="shared" si="82"/>
        <v>0</v>
      </c>
      <c r="G1691" s="497"/>
      <c r="H1691" s="497"/>
      <c r="J1691" s="42"/>
    </row>
    <row r="1692" spans="1:10" s="360" customFormat="1" x14ac:dyDescent="0.25">
      <c r="A1692" s="19" t="s">
        <v>33</v>
      </c>
      <c r="B1692" s="2">
        <v>43963</v>
      </c>
      <c r="C1692" s="1">
        <v>0</v>
      </c>
      <c r="D1692" s="39">
        <v>5</v>
      </c>
      <c r="E1692" s="1"/>
      <c r="F1692" s="39">
        <f t="shared" si="82"/>
        <v>0</v>
      </c>
      <c r="G1692" s="497"/>
      <c r="H1692" s="497"/>
      <c r="J1692" s="42"/>
    </row>
    <row r="1693" spans="1:10" s="360" customFormat="1" x14ac:dyDescent="0.25">
      <c r="A1693" s="19" t="s">
        <v>21</v>
      </c>
      <c r="B1693" s="2">
        <v>43963</v>
      </c>
      <c r="C1693" s="1">
        <v>0</v>
      </c>
      <c r="D1693" s="39">
        <v>60</v>
      </c>
      <c r="E1693" s="1"/>
      <c r="F1693" s="39">
        <f t="shared" si="82"/>
        <v>0</v>
      </c>
      <c r="G1693" s="497"/>
      <c r="H1693" s="497"/>
      <c r="J1693" s="42"/>
    </row>
    <row r="1694" spans="1:10" s="360" customFormat="1" x14ac:dyDescent="0.25">
      <c r="A1694" s="19" t="s">
        <v>17</v>
      </c>
      <c r="B1694" s="2">
        <v>43963</v>
      </c>
      <c r="C1694" s="1">
        <v>1</v>
      </c>
      <c r="D1694" s="39">
        <v>87</v>
      </c>
      <c r="E1694" s="1"/>
      <c r="F1694" s="39">
        <f t="shared" si="82"/>
        <v>0</v>
      </c>
      <c r="G1694" s="497"/>
      <c r="H1694" s="497"/>
      <c r="J1694" s="42"/>
    </row>
    <row r="1695" spans="1:10" s="360" customFormat="1" x14ac:dyDescent="0.25">
      <c r="A1695" s="19" t="s">
        <v>23</v>
      </c>
      <c r="B1695" s="2">
        <v>43963</v>
      </c>
      <c r="C1695" s="1">
        <v>0</v>
      </c>
      <c r="D1695" s="39">
        <v>26</v>
      </c>
      <c r="E1695" s="1"/>
      <c r="F1695" s="39">
        <f t="shared" si="82"/>
        <v>0</v>
      </c>
      <c r="G1695" s="497"/>
      <c r="H1695" s="497"/>
      <c r="J1695" s="42"/>
    </row>
    <row r="1696" spans="1:10" s="360" customFormat="1" x14ac:dyDescent="0.25">
      <c r="A1696" s="19" t="s">
        <v>19</v>
      </c>
      <c r="B1696" s="2">
        <v>43963</v>
      </c>
      <c r="C1696" s="1">
        <v>0</v>
      </c>
      <c r="D1696" s="39">
        <v>111</v>
      </c>
      <c r="E1696" s="1"/>
      <c r="F1696" s="39">
        <f t="shared" si="82"/>
        <v>1</v>
      </c>
      <c r="G1696" s="497"/>
      <c r="H1696" s="497"/>
      <c r="J1696" s="42"/>
    </row>
    <row r="1697" spans="1:10" s="360" customFormat="1" x14ac:dyDescent="0.25">
      <c r="A1697" s="19" t="s">
        <v>18</v>
      </c>
      <c r="B1697" s="2">
        <v>43963</v>
      </c>
      <c r="C1697" s="1">
        <v>1</v>
      </c>
      <c r="D1697" s="39">
        <v>290</v>
      </c>
      <c r="E1697" s="1"/>
      <c r="F1697" s="39">
        <f t="shared" si="82"/>
        <v>0</v>
      </c>
      <c r="G1697" s="497"/>
      <c r="H1697" s="497"/>
      <c r="J1697" s="42"/>
    </row>
    <row r="1698" spans="1:10" s="360" customFormat="1" x14ac:dyDescent="0.25">
      <c r="A1698" s="19" t="s">
        <v>34</v>
      </c>
      <c r="B1698" s="2">
        <v>43963</v>
      </c>
      <c r="C1698" s="1">
        <v>1</v>
      </c>
      <c r="D1698" s="39">
        <v>5</v>
      </c>
      <c r="E1698" s="1"/>
      <c r="F1698" s="39">
        <f t="shared" si="82"/>
        <v>1</v>
      </c>
      <c r="G1698" s="497"/>
      <c r="H1698" s="497"/>
      <c r="J1698" s="42"/>
    </row>
    <row r="1699" spans="1:10" s="360" customFormat="1" x14ac:dyDescent="0.25">
      <c r="A1699" s="19" t="s">
        <v>35</v>
      </c>
      <c r="B1699" s="2">
        <v>43963</v>
      </c>
      <c r="C1699" s="1">
        <v>0</v>
      </c>
      <c r="D1699" s="39">
        <v>3</v>
      </c>
      <c r="E1699" s="1"/>
      <c r="F1699" s="39">
        <f>E1699+F1675</f>
        <v>0</v>
      </c>
      <c r="G1699" s="497"/>
      <c r="H1699" s="497"/>
      <c r="J1699" s="42"/>
    </row>
    <row r="1700" spans="1:10" s="360" customFormat="1" x14ac:dyDescent="0.25">
      <c r="A1700" s="19" t="s">
        <v>36</v>
      </c>
      <c r="B1700" s="2">
        <v>43963</v>
      </c>
      <c r="C1700" s="1">
        <v>0</v>
      </c>
      <c r="D1700" s="39">
        <v>11</v>
      </c>
      <c r="E1700" s="1"/>
      <c r="F1700" s="39">
        <f t="shared" si="82"/>
        <v>0</v>
      </c>
      <c r="G1700" s="497"/>
      <c r="H1700" s="497"/>
      <c r="J1700" s="42"/>
    </row>
    <row r="1701" spans="1:10" s="360" customFormat="1" x14ac:dyDescent="0.25">
      <c r="A1701" s="19" t="s">
        <v>37</v>
      </c>
      <c r="B1701" s="2">
        <v>43963</v>
      </c>
      <c r="C1701" s="1">
        <v>0</v>
      </c>
      <c r="D1701" s="39">
        <v>49</v>
      </c>
      <c r="E1701" s="1"/>
      <c r="F1701" s="39">
        <f t="shared" si="82"/>
        <v>0</v>
      </c>
      <c r="G1701" s="497"/>
      <c r="H1701" s="497"/>
      <c r="J1701" s="42"/>
    </row>
    <row r="1702" spans="1:10" s="360" customFormat="1" x14ac:dyDescent="0.25">
      <c r="A1702" s="19" t="s">
        <v>22</v>
      </c>
      <c r="B1702" s="2">
        <v>43963</v>
      </c>
      <c r="C1702" s="1">
        <v>0</v>
      </c>
      <c r="D1702" s="39">
        <v>244</v>
      </c>
      <c r="E1702" s="1"/>
      <c r="F1702" s="39">
        <f>E1702+F1678</f>
        <v>3</v>
      </c>
      <c r="G1702" s="497"/>
      <c r="H1702" s="497"/>
      <c r="J1702" s="42"/>
    </row>
    <row r="1703" spans="1:10" s="360" customFormat="1" x14ac:dyDescent="0.25">
      <c r="A1703" s="19" t="s">
        <v>38</v>
      </c>
      <c r="B1703" s="2">
        <v>43963</v>
      </c>
      <c r="C1703" s="1">
        <v>0</v>
      </c>
      <c r="D1703" s="39">
        <v>16</v>
      </c>
      <c r="E1703" s="1"/>
      <c r="F1703" s="39">
        <f>E1703+F1679</f>
        <v>0</v>
      </c>
      <c r="G1703" s="497"/>
      <c r="H1703" s="497"/>
      <c r="J1703" s="42"/>
    </row>
    <row r="1704" spans="1:10" s="360" customFormat="1" x14ac:dyDescent="0.25">
      <c r="A1704" s="19" t="s">
        <v>39</v>
      </c>
      <c r="B1704" s="2">
        <v>43963</v>
      </c>
      <c r="C1704" s="1">
        <v>0</v>
      </c>
      <c r="D1704" s="39">
        <v>148</v>
      </c>
      <c r="E1704" s="1"/>
      <c r="F1704" s="39">
        <f t="shared" si="82"/>
        <v>0</v>
      </c>
      <c r="G1704" s="497"/>
      <c r="H1704" s="497"/>
      <c r="J1704" s="42"/>
    </row>
    <row r="1705" spans="1:10" s="360" customFormat="1" x14ac:dyDescent="0.25">
      <c r="A1705" s="19" t="s">
        <v>40</v>
      </c>
      <c r="B1705" s="2">
        <v>43963</v>
      </c>
      <c r="C1705" s="1">
        <v>0</v>
      </c>
      <c r="D1705" s="39">
        <v>42</v>
      </c>
      <c r="E1705" s="1"/>
      <c r="F1705" s="39">
        <f>E1705+F1681</f>
        <v>3</v>
      </c>
      <c r="G1705" s="497"/>
      <c r="H1705" s="497"/>
      <c r="J1705" s="42"/>
    </row>
    <row r="1706" spans="1:10" s="360" customFormat="1" x14ac:dyDescent="0.25">
      <c r="A1706" s="361" t="s">
        <v>16</v>
      </c>
      <c r="B1706" s="2">
        <v>43964</v>
      </c>
      <c r="C1706" s="1">
        <v>96</v>
      </c>
      <c r="D1706" s="39">
        <v>2332</v>
      </c>
      <c r="E1706" s="1">
        <v>4</v>
      </c>
      <c r="F1706" s="39">
        <f>E1706+F1682</f>
        <v>135</v>
      </c>
      <c r="G1706" s="497"/>
      <c r="H1706" s="497"/>
      <c r="J1706" s="42"/>
    </row>
    <row r="1707" spans="1:10" s="360" customFormat="1" x14ac:dyDescent="0.25">
      <c r="A1707" s="19" t="s">
        <v>28</v>
      </c>
      <c r="B1707" s="2">
        <v>43964</v>
      </c>
      <c r="C1707" s="1">
        <v>0</v>
      </c>
      <c r="D1707" s="39">
        <v>0</v>
      </c>
      <c r="E1707" s="1"/>
      <c r="F1707" s="39">
        <f t="shared" ref="F1707:F1713" si="83">E1707+F1683</f>
        <v>0</v>
      </c>
      <c r="G1707" s="497"/>
      <c r="H1707" s="497"/>
      <c r="J1707" s="42"/>
    </row>
    <row r="1708" spans="1:10" s="360" customFormat="1" x14ac:dyDescent="0.25">
      <c r="A1708" s="19" t="s">
        <v>15</v>
      </c>
      <c r="B1708" s="2">
        <v>43964</v>
      </c>
      <c r="C1708" s="1">
        <v>18</v>
      </c>
      <c r="D1708" s="39">
        <v>504</v>
      </c>
      <c r="E1708" s="1">
        <v>1</v>
      </c>
      <c r="F1708" s="39">
        <f t="shared" si="83"/>
        <v>22</v>
      </c>
      <c r="G1708" s="497"/>
      <c r="H1708" s="497"/>
      <c r="J1708" s="42"/>
    </row>
    <row r="1709" spans="1:10" s="360" customFormat="1" x14ac:dyDescent="0.25">
      <c r="A1709" s="19" t="s">
        <v>29</v>
      </c>
      <c r="B1709" s="2">
        <v>43964</v>
      </c>
      <c r="C1709" s="1">
        <v>0</v>
      </c>
      <c r="D1709" s="39">
        <v>4</v>
      </c>
      <c r="E1709" s="1"/>
      <c r="F1709" s="39">
        <f t="shared" si="83"/>
        <v>1</v>
      </c>
      <c r="G1709" s="497"/>
      <c r="H1709" s="497"/>
      <c r="J1709" s="42"/>
    </row>
    <row r="1710" spans="1:10" s="360" customFormat="1" x14ac:dyDescent="0.25">
      <c r="A1710" s="19" t="s">
        <v>43</v>
      </c>
      <c r="B1710" s="2">
        <v>43964</v>
      </c>
      <c r="C1710" s="1">
        <v>179</v>
      </c>
      <c r="D1710" s="39">
        <v>2465</v>
      </c>
      <c r="E1710" s="1">
        <v>5</v>
      </c>
      <c r="F1710" s="39">
        <f t="shared" si="83"/>
        <v>106</v>
      </c>
      <c r="G1710" s="497"/>
      <c r="H1710" s="497"/>
      <c r="J1710" s="42"/>
    </row>
    <row r="1711" spans="1:10" s="360" customFormat="1" x14ac:dyDescent="0.25">
      <c r="A1711" s="19" t="s">
        <v>20</v>
      </c>
      <c r="B1711" s="2">
        <v>43964</v>
      </c>
      <c r="C1711" s="1">
        <v>11</v>
      </c>
      <c r="D1711" s="39">
        <v>361</v>
      </c>
      <c r="E1711" s="1"/>
      <c r="F1711" s="39">
        <f t="shared" si="83"/>
        <v>20</v>
      </c>
      <c r="G1711" s="497"/>
      <c r="H1711" s="497"/>
      <c r="J1711" s="42"/>
    </row>
    <row r="1712" spans="1:10" s="360" customFormat="1" x14ac:dyDescent="0.25">
      <c r="A1712" s="19" t="s">
        <v>30</v>
      </c>
      <c r="B1712" s="2">
        <v>43964</v>
      </c>
      <c r="C1712" s="1">
        <v>5</v>
      </c>
      <c r="D1712" s="39">
        <v>76</v>
      </c>
      <c r="E1712" s="1"/>
      <c r="F1712" s="39">
        <f t="shared" si="83"/>
        <v>0</v>
      </c>
      <c r="G1712" s="497"/>
      <c r="H1712" s="497"/>
      <c r="J1712" s="42"/>
    </row>
    <row r="1713" spans="1:10" x14ac:dyDescent="0.25">
      <c r="A1713" s="19" t="s">
        <v>31</v>
      </c>
      <c r="B1713" s="2">
        <v>43964</v>
      </c>
      <c r="C1713" s="1">
        <v>1</v>
      </c>
      <c r="D1713" s="39">
        <v>29</v>
      </c>
      <c r="F1713" s="39">
        <f t="shared" si="83"/>
        <v>0</v>
      </c>
    </row>
    <row r="1714" spans="1:10" s="360" customFormat="1" x14ac:dyDescent="0.25">
      <c r="A1714" s="19" t="s">
        <v>41</v>
      </c>
      <c r="B1714" s="2">
        <v>43964</v>
      </c>
      <c r="C1714" s="1">
        <v>0</v>
      </c>
      <c r="D1714" s="39">
        <v>0</v>
      </c>
      <c r="E1714" s="1"/>
      <c r="F1714" s="39">
        <f t="shared" ref="F1714:F1728" si="84">E1714+F1689</f>
        <v>0</v>
      </c>
      <c r="G1714" s="497"/>
      <c r="H1714" s="497"/>
      <c r="J1714" s="42"/>
    </row>
    <row r="1715" spans="1:10" s="360" customFormat="1" x14ac:dyDescent="0.25">
      <c r="A1715" s="19" t="s">
        <v>32</v>
      </c>
      <c r="B1715" s="2">
        <v>43964</v>
      </c>
      <c r="C1715" s="1">
        <v>0</v>
      </c>
      <c r="D1715" s="39">
        <v>5</v>
      </c>
      <c r="E1715" s="1"/>
      <c r="F1715" s="39">
        <f t="shared" si="84"/>
        <v>0</v>
      </c>
      <c r="G1715" s="497"/>
      <c r="H1715" s="497"/>
      <c r="J1715" s="42"/>
    </row>
    <row r="1716" spans="1:10" s="360" customFormat="1" x14ac:dyDescent="0.25">
      <c r="A1716" s="19" t="s">
        <v>33</v>
      </c>
      <c r="B1716" s="2">
        <v>43964</v>
      </c>
      <c r="C1716" s="1">
        <v>0</v>
      </c>
      <c r="D1716" s="39">
        <v>5</v>
      </c>
      <c r="E1716" s="1"/>
      <c r="F1716" s="39">
        <f t="shared" si="84"/>
        <v>0</v>
      </c>
      <c r="G1716" s="497"/>
      <c r="H1716" s="497"/>
      <c r="J1716" s="42"/>
    </row>
    <row r="1717" spans="1:10" s="360" customFormat="1" x14ac:dyDescent="0.25">
      <c r="A1717" s="19" t="s">
        <v>21</v>
      </c>
      <c r="B1717" s="2">
        <v>43964</v>
      </c>
      <c r="C1717" s="1">
        <v>0</v>
      </c>
      <c r="D1717" s="39">
        <v>60</v>
      </c>
      <c r="E1717" s="1"/>
      <c r="F1717" s="39">
        <f t="shared" si="84"/>
        <v>0</v>
      </c>
      <c r="G1717" s="497"/>
      <c r="H1717" s="497"/>
      <c r="J1717" s="42"/>
    </row>
    <row r="1718" spans="1:10" s="360" customFormat="1" x14ac:dyDescent="0.25">
      <c r="A1718" s="19" t="s">
        <v>17</v>
      </c>
      <c r="B1718" s="2">
        <v>43964</v>
      </c>
      <c r="C1718" s="1">
        <v>1</v>
      </c>
      <c r="D1718" s="39">
        <v>88</v>
      </c>
      <c r="E1718" s="1"/>
      <c r="F1718" s="39">
        <f t="shared" si="84"/>
        <v>0</v>
      </c>
      <c r="G1718" s="497"/>
      <c r="H1718" s="497"/>
      <c r="J1718" s="42"/>
    </row>
    <row r="1719" spans="1:10" s="360" customFormat="1" x14ac:dyDescent="0.25">
      <c r="A1719" s="19" t="s">
        <v>23</v>
      </c>
      <c r="B1719" s="2">
        <v>43964</v>
      </c>
      <c r="C1719" s="1">
        <v>-1</v>
      </c>
      <c r="D1719" s="39">
        <v>25</v>
      </c>
      <c r="E1719" s="1"/>
      <c r="F1719" s="39">
        <f t="shared" si="84"/>
        <v>0</v>
      </c>
      <c r="G1719" s="497"/>
      <c r="H1719" s="497"/>
      <c r="J1719" s="42"/>
    </row>
    <row r="1720" spans="1:10" s="360" customFormat="1" x14ac:dyDescent="0.25">
      <c r="A1720" s="19" t="s">
        <v>19</v>
      </c>
      <c r="B1720" s="2">
        <v>43964</v>
      </c>
      <c r="C1720" s="1">
        <v>2</v>
      </c>
      <c r="D1720" s="39">
        <v>113</v>
      </c>
      <c r="E1720" s="1"/>
      <c r="F1720" s="39">
        <f t="shared" si="84"/>
        <v>0</v>
      </c>
      <c r="G1720" s="497"/>
      <c r="H1720" s="497"/>
      <c r="J1720" s="42"/>
    </row>
    <row r="1721" spans="1:10" s="360" customFormat="1" x14ac:dyDescent="0.25">
      <c r="A1721" s="19" t="s">
        <v>18</v>
      </c>
      <c r="B1721" s="2">
        <v>43964</v>
      </c>
      <c r="C1721" s="1">
        <v>4</v>
      </c>
      <c r="D1721" s="39">
        <v>294</v>
      </c>
      <c r="E1721" s="1"/>
      <c r="F1721" s="39">
        <f t="shared" si="84"/>
        <v>1</v>
      </c>
      <c r="G1721" s="497"/>
      <c r="H1721" s="497"/>
      <c r="J1721" s="42"/>
    </row>
    <row r="1722" spans="1:10" s="360" customFormat="1" x14ac:dyDescent="0.25">
      <c r="A1722" s="19" t="s">
        <v>34</v>
      </c>
      <c r="B1722" s="2">
        <v>43964</v>
      </c>
      <c r="C1722" s="1">
        <v>0</v>
      </c>
      <c r="D1722" s="39">
        <v>5</v>
      </c>
      <c r="E1722" s="1"/>
      <c r="F1722" s="39">
        <f t="shared" si="84"/>
        <v>0</v>
      </c>
      <c r="G1722" s="497"/>
      <c r="H1722" s="497"/>
      <c r="J1722" s="42"/>
    </row>
    <row r="1723" spans="1:10" s="360" customFormat="1" x14ac:dyDescent="0.25">
      <c r="A1723" s="19" t="s">
        <v>35</v>
      </c>
      <c r="B1723" s="2">
        <v>43964</v>
      </c>
      <c r="C1723" s="1">
        <v>0</v>
      </c>
      <c r="D1723" s="39">
        <v>3</v>
      </c>
      <c r="E1723" s="1"/>
      <c r="F1723" s="39">
        <f>E1723+F1699</f>
        <v>0</v>
      </c>
      <c r="G1723" s="497"/>
      <c r="H1723" s="497"/>
      <c r="J1723" s="42"/>
    </row>
    <row r="1724" spans="1:10" s="360" customFormat="1" x14ac:dyDescent="0.25">
      <c r="A1724" s="19" t="s">
        <v>36</v>
      </c>
      <c r="B1724" s="2">
        <v>43964</v>
      </c>
      <c r="C1724" s="1">
        <v>0</v>
      </c>
      <c r="D1724" s="39">
        <v>11</v>
      </c>
      <c r="E1724" s="1"/>
      <c r="F1724" s="39">
        <f t="shared" si="84"/>
        <v>0</v>
      </c>
      <c r="G1724" s="497"/>
      <c r="H1724" s="497"/>
      <c r="J1724" s="42"/>
    </row>
    <row r="1725" spans="1:10" s="360" customFormat="1" x14ac:dyDescent="0.25">
      <c r="A1725" s="19" t="s">
        <v>37</v>
      </c>
      <c r="B1725" s="2">
        <v>43964</v>
      </c>
      <c r="C1725" s="1">
        <v>0</v>
      </c>
      <c r="D1725" s="39">
        <v>49</v>
      </c>
      <c r="E1725" s="1"/>
      <c r="F1725" s="39">
        <f t="shared" si="84"/>
        <v>0</v>
      </c>
      <c r="G1725" s="497"/>
      <c r="H1725" s="497"/>
      <c r="J1725" s="42"/>
    </row>
    <row r="1726" spans="1:10" s="360" customFormat="1" x14ac:dyDescent="0.25">
      <c r="A1726" s="19" t="s">
        <v>22</v>
      </c>
      <c r="B1726" s="2">
        <v>43964</v>
      </c>
      <c r="C1726" s="1">
        <v>0</v>
      </c>
      <c r="D1726" s="39">
        <v>244</v>
      </c>
      <c r="E1726" s="1"/>
      <c r="F1726" s="39">
        <f>E1726+F1702</f>
        <v>3</v>
      </c>
      <c r="G1726" s="497"/>
      <c r="H1726" s="497"/>
      <c r="J1726" s="42"/>
    </row>
    <row r="1727" spans="1:10" s="360" customFormat="1" x14ac:dyDescent="0.25">
      <c r="A1727" s="19" t="s">
        <v>38</v>
      </c>
      <c r="B1727" s="2">
        <v>43964</v>
      </c>
      <c r="C1727" s="1">
        <v>0</v>
      </c>
      <c r="D1727" s="39">
        <v>16</v>
      </c>
      <c r="E1727" s="1"/>
      <c r="F1727" s="39">
        <f>E1727+F1703</f>
        <v>0</v>
      </c>
      <c r="G1727" s="497"/>
      <c r="H1727" s="497"/>
      <c r="J1727" s="42"/>
    </row>
    <row r="1728" spans="1:10" s="360" customFormat="1" x14ac:dyDescent="0.25">
      <c r="A1728" s="19" t="s">
        <v>39</v>
      </c>
      <c r="B1728" s="2">
        <v>43964</v>
      </c>
      <c r="C1728" s="1">
        <v>0</v>
      </c>
      <c r="D1728" s="39">
        <v>148</v>
      </c>
      <c r="E1728" s="1"/>
      <c r="F1728" s="39">
        <f t="shared" si="84"/>
        <v>0</v>
      </c>
      <c r="G1728" s="497"/>
      <c r="H1728" s="497"/>
      <c r="J1728" s="42"/>
    </row>
    <row r="1729" spans="1:10" s="360" customFormat="1" x14ac:dyDescent="0.25">
      <c r="A1729" s="19" t="s">
        <v>40</v>
      </c>
      <c r="B1729" s="2">
        <v>43964</v>
      </c>
      <c r="C1729" s="1">
        <v>0</v>
      </c>
      <c r="D1729" s="39">
        <v>42</v>
      </c>
      <c r="E1729" s="1"/>
      <c r="F1729" s="39">
        <f>E1729+F1705</f>
        <v>3</v>
      </c>
      <c r="G1729" s="497"/>
      <c r="H1729" s="497"/>
      <c r="J1729" s="42"/>
    </row>
    <row r="1730" spans="1:10" s="360" customFormat="1" x14ac:dyDescent="0.25">
      <c r="A1730" s="361" t="s">
        <v>16</v>
      </c>
      <c r="B1730" s="2">
        <v>43965</v>
      </c>
      <c r="C1730" s="1">
        <v>79</v>
      </c>
      <c r="D1730" s="39">
        <v>2411</v>
      </c>
      <c r="E1730" s="1">
        <v>11</v>
      </c>
      <c r="F1730" s="39">
        <f>E1730+F1706</f>
        <v>146</v>
      </c>
      <c r="G1730" s="497"/>
      <c r="H1730" s="497"/>
      <c r="J1730" s="42"/>
    </row>
    <row r="1731" spans="1:10" s="360" customFormat="1" x14ac:dyDescent="0.25">
      <c r="A1731" s="19" t="s">
        <v>28</v>
      </c>
      <c r="B1731" s="2">
        <v>43965</v>
      </c>
      <c r="C1731" s="1">
        <v>0</v>
      </c>
      <c r="D1731" s="39">
        <v>0</v>
      </c>
      <c r="E1731" s="1"/>
      <c r="F1731" s="39">
        <f t="shared" ref="F1731:F1737" si="85">E1731+F1707</f>
        <v>0</v>
      </c>
      <c r="G1731" s="497"/>
      <c r="H1731" s="497"/>
      <c r="J1731" s="42"/>
    </row>
    <row r="1732" spans="1:10" s="360" customFormat="1" x14ac:dyDescent="0.25">
      <c r="A1732" s="19" t="s">
        <v>15</v>
      </c>
      <c r="B1732" s="2">
        <v>43965</v>
      </c>
      <c r="C1732" s="1">
        <v>9</v>
      </c>
      <c r="D1732" s="39">
        <v>513</v>
      </c>
      <c r="E1732" s="1">
        <v>1</v>
      </c>
      <c r="F1732" s="39">
        <f t="shared" si="85"/>
        <v>23</v>
      </c>
      <c r="G1732" s="497"/>
      <c r="H1732" s="497"/>
      <c r="J1732" s="42"/>
    </row>
    <row r="1733" spans="1:10" s="360" customFormat="1" x14ac:dyDescent="0.25">
      <c r="A1733" s="19" t="s">
        <v>29</v>
      </c>
      <c r="B1733" s="2">
        <v>43965</v>
      </c>
      <c r="C1733" s="1">
        <v>0</v>
      </c>
      <c r="D1733" s="39">
        <v>4</v>
      </c>
      <c r="E1733" s="1"/>
      <c r="F1733" s="39">
        <f t="shared" si="85"/>
        <v>1</v>
      </c>
      <c r="G1733" s="497"/>
      <c r="H1733" s="497"/>
      <c r="J1733" s="42"/>
    </row>
    <row r="1734" spans="1:10" s="360" customFormat="1" x14ac:dyDescent="0.25">
      <c r="A1734" s="19" t="s">
        <v>43</v>
      </c>
      <c r="B1734" s="2">
        <v>43965</v>
      </c>
      <c r="C1734" s="1">
        <v>153</v>
      </c>
      <c r="D1734" s="39">
        <v>2618</v>
      </c>
      <c r="E1734" s="1">
        <v>10</v>
      </c>
      <c r="F1734" s="39">
        <f t="shared" si="85"/>
        <v>116</v>
      </c>
      <c r="G1734" s="497"/>
      <c r="H1734" s="497"/>
      <c r="J1734" s="42"/>
    </row>
    <row r="1735" spans="1:10" s="360" customFormat="1" x14ac:dyDescent="0.25">
      <c r="A1735" s="19" t="s">
        <v>20</v>
      </c>
      <c r="B1735" s="2">
        <v>43965</v>
      </c>
      <c r="C1735" s="1">
        <v>5</v>
      </c>
      <c r="D1735" s="39">
        <v>366</v>
      </c>
      <c r="E1735" s="1">
        <v>1</v>
      </c>
      <c r="F1735" s="39">
        <f t="shared" si="85"/>
        <v>21</v>
      </c>
      <c r="G1735" s="497"/>
      <c r="H1735" s="497"/>
      <c r="J1735" s="42"/>
    </row>
    <row r="1736" spans="1:10" s="360" customFormat="1" x14ac:dyDescent="0.25">
      <c r="A1736" s="19" t="s">
        <v>30</v>
      </c>
      <c r="B1736" s="2">
        <v>43965</v>
      </c>
      <c r="C1736" s="1">
        <v>3</v>
      </c>
      <c r="D1736" s="39">
        <v>79</v>
      </c>
      <c r="E1736" s="1"/>
      <c r="F1736" s="39">
        <f t="shared" si="85"/>
        <v>0</v>
      </c>
      <c r="G1736" s="497"/>
      <c r="H1736" s="497"/>
      <c r="J1736" s="42"/>
    </row>
    <row r="1737" spans="1:10" x14ac:dyDescent="0.25">
      <c r="A1737" s="19" t="s">
        <v>31</v>
      </c>
      <c r="B1737" s="2">
        <v>43965</v>
      </c>
      <c r="C1737" s="1">
        <v>0</v>
      </c>
      <c r="D1737" s="39">
        <v>29</v>
      </c>
      <c r="F1737" s="39">
        <f t="shared" si="85"/>
        <v>0</v>
      </c>
    </row>
    <row r="1738" spans="1:10" s="360" customFormat="1" x14ac:dyDescent="0.25">
      <c r="A1738" s="19" t="s">
        <v>41</v>
      </c>
      <c r="B1738" s="2">
        <v>43965</v>
      </c>
      <c r="C1738" s="1">
        <v>0</v>
      </c>
      <c r="D1738" s="39">
        <v>0</v>
      </c>
      <c r="E1738" s="1"/>
      <c r="F1738" s="39">
        <f t="shared" ref="F1738:F1752" si="86">E1738+F1713</f>
        <v>0</v>
      </c>
      <c r="G1738" s="497"/>
      <c r="H1738" s="497"/>
      <c r="J1738" s="42"/>
    </row>
    <row r="1739" spans="1:10" s="360" customFormat="1" x14ac:dyDescent="0.25">
      <c r="A1739" s="19" t="s">
        <v>32</v>
      </c>
      <c r="B1739" s="2">
        <v>43965</v>
      </c>
      <c r="C1739" s="1">
        <v>0</v>
      </c>
      <c r="D1739" s="39">
        <v>5</v>
      </c>
      <c r="E1739" s="1"/>
      <c r="F1739" s="39">
        <f t="shared" si="86"/>
        <v>0</v>
      </c>
      <c r="G1739" s="497"/>
      <c r="H1739" s="497"/>
      <c r="J1739" s="42"/>
    </row>
    <row r="1740" spans="1:10" s="360" customFormat="1" x14ac:dyDescent="0.25">
      <c r="A1740" s="19" t="s">
        <v>33</v>
      </c>
      <c r="B1740" s="2">
        <v>43965</v>
      </c>
      <c r="C1740" s="1">
        <v>0</v>
      </c>
      <c r="D1740" s="39">
        <v>5</v>
      </c>
      <c r="E1740" s="1"/>
      <c r="F1740" s="39">
        <f t="shared" si="86"/>
        <v>0</v>
      </c>
      <c r="G1740" s="497"/>
      <c r="H1740" s="497"/>
      <c r="J1740" s="42"/>
    </row>
    <row r="1741" spans="1:10" s="360" customFormat="1" x14ac:dyDescent="0.25">
      <c r="A1741" s="19" t="s">
        <v>21</v>
      </c>
      <c r="B1741" s="2">
        <v>43965</v>
      </c>
      <c r="C1741" s="1">
        <v>0</v>
      </c>
      <c r="D1741" s="39">
        <v>60</v>
      </c>
      <c r="E1741" s="1"/>
      <c r="F1741" s="39">
        <f t="shared" si="86"/>
        <v>0</v>
      </c>
      <c r="G1741" s="497"/>
      <c r="H1741" s="497"/>
      <c r="J1741" s="42"/>
    </row>
    <row r="1742" spans="1:10" s="360" customFormat="1" x14ac:dyDescent="0.25">
      <c r="A1742" s="19" t="s">
        <v>17</v>
      </c>
      <c r="B1742" s="2">
        <v>43965</v>
      </c>
      <c r="C1742" s="1">
        <v>0</v>
      </c>
      <c r="D1742" s="39">
        <v>88</v>
      </c>
      <c r="E1742" s="1"/>
      <c r="F1742" s="39">
        <f t="shared" si="86"/>
        <v>0</v>
      </c>
      <c r="G1742" s="497"/>
      <c r="H1742" s="497"/>
      <c r="J1742" s="42"/>
    </row>
    <row r="1743" spans="1:10" s="360" customFormat="1" x14ac:dyDescent="0.25">
      <c r="A1743" s="19" t="s">
        <v>23</v>
      </c>
      <c r="B1743" s="2">
        <v>43965</v>
      </c>
      <c r="C1743" s="1">
        <v>0</v>
      </c>
      <c r="D1743" s="39">
        <v>25</v>
      </c>
      <c r="E1743" s="1"/>
      <c r="F1743" s="39">
        <f t="shared" si="86"/>
        <v>0</v>
      </c>
      <c r="G1743" s="497"/>
      <c r="H1743" s="497"/>
      <c r="J1743" s="42"/>
    </row>
    <row r="1744" spans="1:10" s="360" customFormat="1" x14ac:dyDescent="0.25">
      <c r="A1744" s="19" t="s">
        <v>19</v>
      </c>
      <c r="B1744" s="2">
        <v>43965</v>
      </c>
      <c r="C1744" s="1">
        <v>1</v>
      </c>
      <c r="D1744" s="39">
        <v>114</v>
      </c>
      <c r="E1744" s="1"/>
      <c r="F1744" s="39">
        <f t="shared" si="86"/>
        <v>0</v>
      </c>
      <c r="G1744" s="497"/>
      <c r="H1744" s="497"/>
      <c r="J1744" s="42"/>
    </row>
    <row r="1745" spans="1:10" s="360" customFormat="1" x14ac:dyDescent="0.25">
      <c r="A1745" s="19" t="s">
        <v>18</v>
      </c>
      <c r="B1745" s="2">
        <v>43965</v>
      </c>
      <c r="C1745" s="1">
        <v>4</v>
      </c>
      <c r="D1745" s="39">
        <v>298</v>
      </c>
      <c r="E1745" s="1">
        <v>1</v>
      </c>
      <c r="F1745" s="39">
        <f t="shared" si="86"/>
        <v>1</v>
      </c>
      <c r="G1745" s="497"/>
      <c r="H1745" s="497"/>
      <c r="J1745" s="42"/>
    </row>
    <row r="1746" spans="1:10" s="360" customFormat="1" x14ac:dyDescent="0.25">
      <c r="A1746" s="19" t="s">
        <v>34</v>
      </c>
      <c r="B1746" s="2">
        <v>43965</v>
      </c>
      <c r="C1746" s="1">
        <v>0</v>
      </c>
      <c r="D1746" s="39">
        <v>5</v>
      </c>
      <c r="E1746" s="1"/>
      <c r="F1746" s="39">
        <f t="shared" si="86"/>
        <v>1</v>
      </c>
      <c r="G1746" s="497"/>
      <c r="H1746" s="497"/>
      <c r="J1746" s="42"/>
    </row>
    <row r="1747" spans="1:10" s="360" customFormat="1" x14ac:dyDescent="0.25">
      <c r="A1747" s="19" t="s">
        <v>35</v>
      </c>
      <c r="B1747" s="2">
        <v>43965</v>
      </c>
      <c r="C1747" s="1">
        <v>0</v>
      </c>
      <c r="D1747" s="39">
        <v>3</v>
      </c>
      <c r="E1747" s="1"/>
      <c r="F1747" s="39">
        <f>E1747+F1723</f>
        <v>0</v>
      </c>
      <c r="G1747" s="497"/>
      <c r="H1747" s="497"/>
      <c r="J1747" s="42"/>
    </row>
    <row r="1748" spans="1:10" s="360" customFormat="1" x14ac:dyDescent="0.25">
      <c r="A1748" s="19" t="s">
        <v>36</v>
      </c>
      <c r="B1748" s="2">
        <v>43965</v>
      </c>
      <c r="C1748" s="1">
        <v>0</v>
      </c>
      <c r="D1748" s="39">
        <v>11</v>
      </c>
      <c r="E1748" s="1"/>
      <c r="F1748" s="39">
        <f t="shared" si="86"/>
        <v>0</v>
      </c>
      <c r="G1748" s="497"/>
      <c r="H1748" s="497"/>
      <c r="J1748" s="42"/>
    </row>
    <row r="1749" spans="1:10" s="360" customFormat="1" x14ac:dyDescent="0.25">
      <c r="A1749" s="19" t="s">
        <v>37</v>
      </c>
      <c r="B1749" s="2">
        <v>43965</v>
      </c>
      <c r="C1749" s="1">
        <v>0</v>
      </c>
      <c r="D1749" s="39">
        <v>49</v>
      </c>
      <c r="E1749" s="1"/>
      <c r="F1749" s="39">
        <f t="shared" si="86"/>
        <v>0</v>
      </c>
      <c r="G1749" s="497"/>
      <c r="H1749" s="497"/>
      <c r="J1749" s="42"/>
    </row>
    <row r="1750" spans="1:10" s="360" customFormat="1" x14ac:dyDescent="0.25">
      <c r="A1750" s="19" t="s">
        <v>22</v>
      </c>
      <c r="B1750" s="2">
        <v>43965</v>
      </c>
      <c r="C1750" s="1">
        <v>0</v>
      </c>
      <c r="D1750" s="39">
        <v>244</v>
      </c>
      <c r="E1750" s="1"/>
      <c r="F1750" s="39">
        <f>E1750+F1726</f>
        <v>3</v>
      </c>
      <c r="G1750" s="497"/>
      <c r="H1750" s="497"/>
      <c r="J1750" s="42"/>
    </row>
    <row r="1751" spans="1:10" s="360" customFormat="1" x14ac:dyDescent="0.25">
      <c r="A1751" s="19" t="s">
        <v>38</v>
      </c>
      <c r="B1751" s="2">
        <v>43965</v>
      </c>
      <c r="C1751" s="1">
        <v>0</v>
      </c>
      <c r="D1751" s="39">
        <v>16</v>
      </c>
      <c r="E1751" s="1"/>
      <c r="F1751" s="39">
        <f>E1751+F1727</f>
        <v>0</v>
      </c>
      <c r="G1751" s="497"/>
      <c r="H1751" s="497"/>
      <c r="J1751" s="42"/>
    </row>
    <row r="1752" spans="1:10" s="360" customFormat="1" x14ac:dyDescent="0.25">
      <c r="A1752" s="19" t="s">
        <v>39</v>
      </c>
      <c r="B1752" s="2">
        <v>43965</v>
      </c>
      <c r="C1752" s="1">
        <v>0</v>
      </c>
      <c r="D1752" s="39">
        <v>148</v>
      </c>
      <c r="E1752" s="1"/>
      <c r="F1752" s="39">
        <f t="shared" si="86"/>
        <v>0</v>
      </c>
      <c r="G1752" s="497"/>
      <c r="H1752" s="497"/>
      <c r="J1752" s="42"/>
    </row>
    <row r="1753" spans="1:10" s="360" customFormat="1" x14ac:dyDescent="0.25">
      <c r="A1753" s="19" t="s">
        <v>40</v>
      </c>
      <c r="B1753" s="2">
        <v>43965</v>
      </c>
      <c r="C1753" s="1">
        <v>0</v>
      </c>
      <c r="D1753" s="39">
        <v>42</v>
      </c>
      <c r="E1753" s="1"/>
      <c r="F1753" s="39">
        <f>E1753+F1729</f>
        <v>3</v>
      </c>
      <c r="G1753" s="497"/>
      <c r="H1753" s="497"/>
      <c r="J1753" s="42"/>
    </row>
    <row r="1754" spans="1:10" s="360" customFormat="1" x14ac:dyDescent="0.25">
      <c r="A1754" s="361" t="s">
        <v>16</v>
      </c>
      <c r="B1754" s="2">
        <v>43966</v>
      </c>
      <c r="C1754" s="1">
        <v>86</v>
      </c>
      <c r="D1754" s="39">
        <v>2497</v>
      </c>
      <c r="E1754" s="1">
        <v>2</v>
      </c>
      <c r="F1754" s="39">
        <f>E1754+F1730</f>
        <v>148</v>
      </c>
      <c r="G1754" s="497"/>
      <c r="H1754" s="497"/>
      <c r="J1754" s="42"/>
    </row>
    <row r="1755" spans="1:10" s="360" customFormat="1" x14ac:dyDescent="0.25">
      <c r="A1755" s="19" t="s">
        <v>28</v>
      </c>
      <c r="B1755" s="2">
        <v>43966</v>
      </c>
      <c r="C1755" s="1">
        <v>0</v>
      </c>
      <c r="D1755" s="39">
        <v>0</v>
      </c>
      <c r="E1755" s="1"/>
      <c r="F1755" s="39">
        <f t="shared" ref="F1755:F1761" si="87">E1755+F1731</f>
        <v>0</v>
      </c>
      <c r="G1755" s="497"/>
      <c r="H1755" s="497"/>
      <c r="J1755" s="42"/>
    </row>
    <row r="1756" spans="1:10" s="360" customFormat="1" x14ac:dyDescent="0.25">
      <c r="A1756" s="19" t="s">
        <v>15</v>
      </c>
      <c r="B1756" s="2">
        <v>43966</v>
      </c>
      <c r="C1756" s="1">
        <v>25</v>
      </c>
      <c r="D1756" s="39">
        <v>538</v>
      </c>
      <c r="E1756" s="1">
        <v>1</v>
      </c>
      <c r="F1756" s="39">
        <f t="shared" si="87"/>
        <v>24</v>
      </c>
      <c r="G1756" s="497"/>
      <c r="H1756" s="497"/>
      <c r="J1756" s="42"/>
    </row>
    <row r="1757" spans="1:10" s="360" customFormat="1" x14ac:dyDescent="0.25">
      <c r="A1757" s="19" t="s">
        <v>29</v>
      </c>
      <c r="B1757" s="2">
        <v>43966</v>
      </c>
      <c r="C1757" s="1">
        <v>0</v>
      </c>
      <c r="D1757" s="39">
        <v>4</v>
      </c>
      <c r="E1757" s="1"/>
      <c r="F1757" s="39">
        <f t="shared" si="87"/>
        <v>1</v>
      </c>
      <c r="G1757" s="497"/>
      <c r="H1757" s="497"/>
      <c r="J1757" s="42"/>
    </row>
    <row r="1758" spans="1:10" s="360" customFormat="1" x14ac:dyDescent="0.25">
      <c r="A1758" s="19" t="s">
        <v>43</v>
      </c>
      <c r="B1758" s="2">
        <v>43966</v>
      </c>
      <c r="C1758" s="1">
        <v>214</v>
      </c>
      <c r="D1758" s="39">
        <v>2832</v>
      </c>
      <c r="E1758" s="1"/>
      <c r="F1758" s="39">
        <f t="shared" si="87"/>
        <v>116</v>
      </c>
      <c r="G1758" s="497"/>
      <c r="H1758" s="497"/>
      <c r="J1758" s="42"/>
    </row>
    <row r="1759" spans="1:10" s="360" customFormat="1" x14ac:dyDescent="0.25">
      <c r="A1759" s="19" t="s">
        <v>20</v>
      </c>
      <c r="B1759" s="2">
        <v>43966</v>
      </c>
      <c r="C1759" s="1">
        <v>3</v>
      </c>
      <c r="D1759" s="39">
        <v>369</v>
      </c>
      <c r="E1759" s="1"/>
      <c r="F1759" s="39">
        <f t="shared" si="87"/>
        <v>21</v>
      </c>
      <c r="G1759" s="497"/>
      <c r="H1759" s="497"/>
      <c r="J1759" s="42"/>
    </row>
    <row r="1760" spans="1:10" s="360" customFormat="1" x14ac:dyDescent="0.25">
      <c r="A1760" s="19" t="s">
        <v>30</v>
      </c>
      <c r="B1760" s="2">
        <v>43966</v>
      </c>
      <c r="C1760" s="1">
        <v>0</v>
      </c>
      <c r="D1760" s="39">
        <v>79</v>
      </c>
      <c r="E1760" s="1"/>
      <c r="F1760" s="39">
        <f t="shared" si="87"/>
        <v>0</v>
      </c>
      <c r="G1760" s="497"/>
      <c r="H1760" s="497"/>
      <c r="J1760" s="42"/>
    </row>
    <row r="1761" spans="1:10" x14ac:dyDescent="0.25">
      <c r="A1761" s="19" t="s">
        <v>31</v>
      </c>
      <c r="B1761" s="2">
        <v>43966</v>
      </c>
      <c r="C1761" s="1">
        <v>0</v>
      </c>
      <c r="D1761" s="39">
        <v>29</v>
      </c>
      <c r="F1761" s="39">
        <f t="shared" si="87"/>
        <v>0</v>
      </c>
    </row>
    <row r="1762" spans="1:10" s="360" customFormat="1" x14ac:dyDescent="0.25">
      <c r="A1762" s="19" t="s">
        <v>41</v>
      </c>
      <c r="B1762" s="2">
        <v>43966</v>
      </c>
      <c r="C1762" s="1">
        <v>0</v>
      </c>
      <c r="D1762" s="39">
        <v>0</v>
      </c>
      <c r="E1762" s="1"/>
      <c r="F1762" s="39">
        <f t="shared" ref="F1762:F1776" si="88">E1762+F1737</f>
        <v>0</v>
      </c>
      <c r="G1762" s="497"/>
      <c r="H1762" s="497"/>
      <c r="J1762" s="42"/>
    </row>
    <row r="1763" spans="1:10" s="360" customFormat="1" x14ac:dyDescent="0.25">
      <c r="A1763" s="19" t="s">
        <v>32</v>
      </c>
      <c r="B1763" s="2">
        <v>43966</v>
      </c>
      <c r="C1763" s="1">
        <v>0</v>
      </c>
      <c r="D1763" s="39">
        <v>5</v>
      </c>
      <c r="E1763" s="1"/>
      <c r="F1763" s="39">
        <f t="shared" si="88"/>
        <v>0</v>
      </c>
      <c r="G1763" s="497"/>
      <c r="H1763" s="497"/>
      <c r="J1763" s="42"/>
    </row>
    <row r="1764" spans="1:10" s="360" customFormat="1" x14ac:dyDescent="0.25">
      <c r="A1764" s="19" t="s">
        <v>33</v>
      </c>
      <c r="B1764" s="2">
        <v>43966</v>
      </c>
      <c r="C1764" s="1">
        <v>0</v>
      </c>
      <c r="D1764" s="39">
        <v>5</v>
      </c>
      <c r="E1764" s="1"/>
      <c r="F1764" s="39">
        <f t="shared" si="88"/>
        <v>0</v>
      </c>
      <c r="G1764" s="497"/>
      <c r="H1764" s="497"/>
      <c r="J1764" s="42"/>
    </row>
    <row r="1765" spans="1:10" s="360" customFormat="1" x14ac:dyDescent="0.25">
      <c r="A1765" s="19" t="s">
        <v>21</v>
      </c>
      <c r="B1765" s="2">
        <v>43966</v>
      </c>
      <c r="C1765" s="1">
        <v>0</v>
      </c>
      <c r="D1765" s="39">
        <v>60</v>
      </c>
      <c r="E1765" s="1"/>
      <c r="F1765" s="39">
        <f t="shared" si="88"/>
        <v>0</v>
      </c>
      <c r="G1765" s="497"/>
      <c r="H1765" s="497"/>
      <c r="J1765" s="42"/>
    </row>
    <row r="1766" spans="1:10" s="360" customFormat="1" x14ac:dyDescent="0.25">
      <c r="A1766" s="19" t="s">
        <v>17</v>
      </c>
      <c r="B1766" s="2">
        <v>43966</v>
      </c>
      <c r="C1766" s="1">
        <v>-1</v>
      </c>
      <c r="D1766" s="39">
        <v>87</v>
      </c>
      <c r="E1766" s="1"/>
      <c r="F1766" s="39">
        <f t="shared" si="88"/>
        <v>0</v>
      </c>
      <c r="G1766" s="497"/>
      <c r="H1766" s="497"/>
      <c r="J1766" s="42"/>
    </row>
    <row r="1767" spans="1:10" s="360" customFormat="1" x14ac:dyDescent="0.25">
      <c r="A1767" s="19" t="s">
        <v>23</v>
      </c>
      <c r="B1767" s="2">
        <v>43966</v>
      </c>
      <c r="C1767" s="1">
        <v>0</v>
      </c>
      <c r="D1767" s="39">
        <v>25</v>
      </c>
      <c r="E1767" s="1"/>
      <c r="F1767" s="39">
        <f t="shared" si="88"/>
        <v>0</v>
      </c>
      <c r="G1767" s="497"/>
      <c r="H1767" s="497"/>
      <c r="J1767" s="42"/>
    </row>
    <row r="1768" spans="1:10" s="360" customFormat="1" x14ac:dyDescent="0.25">
      <c r="A1768" s="19" t="s">
        <v>19</v>
      </c>
      <c r="B1768" s="2">
        <v>43966</v>
      </c>
      <c r="C1768" s="1">
        <v>0</v>
      </c>
      <c r="D1768" s="39">
        <v>114</v>
      </c>
      <c r="E1768" s="1"/>
      <c r="F1768" s="39">
        <f t="shared" si="88"/>
        <v>0</v>
      </c>
      <c r="G1768" s="497"/>
      <c r="H1768" s="497"/>
      <c r="J1768" s="42"/>
    </row>
    <row r="1769" spans="1:10" s="360" customFormat="1" x14ac:dyDescent="0.25">
      <c r="A1769" s="19" t="s">
        <v>18</v>
      </c>
      <c r="B1769" s="2">
        <v>43966</v>
      </c>
      <c r="C1769" s="1">
        <v>17</v>
      </c>
      <c r="D1769" s="39">
        <v>315</v>
      </c>
      <c r="E1769" s="1"/>
      <c r="F1769" s="39">
        <f t="shared" si="88"/>
        <v>0</v>
      </c>
      <c r="G1769" s="497"/>
      <c r="H1769" s="497"/>
      <c r="J1769" s="42"/>
    </row>
    <row r="1770" spans="1:10" s="360" customFormat="1" x14ac:dyDescent="0.25">
      <c r="A1770" s="19" t="s">
        <v>34</v>
      </c>
      <c r="B1770" s="2">
        <v>43966</v>
      </c>
      <c r="C1770" s="1">
        <v>0</v>
      </c>
      <c r="D1770" s="39">
        <v>5</v>
      </c>
      <c r="E1770" s="1"/>
      <c r="F1770" s="39">
        <f t="shared" si="88"/>
        <v>1</v>
      </c>
      <c r="G1770" s="497"/>
      <c r="H1770" s="497"/>
      <c r="J1770" s="42"/>
    </row>
    <row r="1771" spans="1:10" s="360" customFormat="1" x14ac:dyDescent="0.25">
      <c r="A1771" s="19" t="s">
        <v>35</v>
      </c>
      <c r="B1771" s="2">
        <v>43966</v>
      </c>
      <c r="C1771" s="1">
        <v>0</v>
      </c>
      <c r="D1771" s="39">
        <v>3</v>
      </c>
      <c r="E1771" s="1"/>
      <c r="F1771" s="39">
        <f>E1771+F1747</f>
        <v>0</v>
      </c>
      <c r="G1771" s="497"/>
      <c r="H1771" s="497"/>
      <c r="J1771" s="42"/>
    </row>
    <row r="1772" spans="1:10" s="360" customFormat="1" x14ac:dyDescent="0.25">
      <c r="A1772" s="19" t="s">
        <v>36</v>
      </c>
      <c r="B1772" s="2">
        <v>43966</v>
      </c>
      <c r="C1772" s="1">
        <v>0</v>
      </c>
      <c r="D1772" s="39">
        <v>11</v>
      </c>
      <c r="E1772" s="1"/>
      <c r="F1772" s="39">
        <f t="shared" si="88"/>
        <v>0</v>
      </c>
      <c r="G1772" s="497"/>
      <c r="H1772" s="497"/>
      <c r="J1772" s="42"/>
    </row>
    <row r="1773" spans="1:10" s="360" customFormat="1" x14ac:dyDescent="0.25">
      <c r="A1773" s="19" t="s">
        <v>37</v>
      </c>
      <c r="B1773" s="2">
        <v>43966</v>
      </c>
      <c r="C1773" s="1">
        <v>0</v>
      </c>
      <c r="D1773" s="39">
        <v>49</v>
      </c>
      <c r="E1773" s="1"/>
      <c r="F1773" s="39">
        <f t="shared" si="88"/>
        <v>0</v>
      </c>
      <c r="G1773" s="497"/>
      <c r="H1773" s="497"/>
      <c r="J1773" s="42"/>
    </row>
    <row r="1774" spans="1:10" s="360" customFormat="1" x14ac:dyDescent="0.25">
      <c r="A1774" s="19" t="s">
        <v>22</v>
      </c>
      <c r="B1774" s="2">
        <v>43966</v>
      </c>
      <c r="C1774" s="1">
        <v>0</v>
      </c>
      <c r="D1774" s="39">
        <v>244</v>
      </c>
      <c r="E1774" s="1"/>
      <c r="F1774" s="39">
        <f>E1774+F1750</f>
        <v>3</v>
      </c>
      <c r="G1774" s="497"/>
      <c r="H1774" s="497"/>
      <c r="J1774" s="42"/>
    </row>
    <row r="1775" spans="1:10" s="360" customFormat="1" x14ac:dyDescent="0.25">
      <c r="A1775" s="19" t="s">
        <v>38</v>
      </c>
      <c r="B1775" s="2">
        <v>43966</v>
      </c>
      <c r="C1775" s="1">
        <v>0</v>
      </c>
      <c r="D1775" s="39">
        <v>16</v>
      </c>
      <c r="E1775" s="1"/>
      <c r="F1775" s="39">
        <f>E1775+F1751</f>
        <v>0</v>
      </c>
      <c r="G1775" s="497"/>
      <c r="H1775" s="497"/>
      <c r="J1775" s="42"/>
    </row>
    <row r="1776" spans="1:10" s="360" customFormat="1" x14ac:dyDescent="0.25">
      <c r="A1776" s="19" t="s">
        <v>39</v>
      </c>
      <c r="B1776" s="2">
        <v>43966</v>
      </c>
      <c r="C1776" s="1">
        <v>0</v>
      </c>
      <c r="D1776" s="39">
        <v>148</v>
      </c>
      <c r="E1776" s="1"/>
      <c r="F1776" s="39">
        <f t="shared" si="88"/>
        <v>0</v>
      </c>
      <c r="G1776" s="497"/>
      <c r="H1776" s="497"/>
      <c r="J1776" s="42"/>
    </row>
    <row r="1777" spans="1:10" s="360" customFormat="1" x14ac:dyDescent="0.25">
      <c r="A1777" s="19" t="s">
        <v>40</v>
      </c>
      <c r="B1777" s="2">
        <v>43966</v>
      </c>
      <c r="C1777" s="1">
        <v>0</v>
      </c>
      <c r="D1777" s="39">
        <v>42</v>
      </c>
      <c r="E1777" s="1"/>
      <c r="F1777" s="39">
        <f>E1777+F1753</f>
        <v>3</v>
      </c>
      <c r="G1777" s="497"/>
      <c r="H1777" s="497"/>
      <c r="J1777" s="42"/>
    </row>
    <row r="1778" spans="1:10" s="360" customFormat="1" x14ac:dyDescent="0.25">
      <c r="A1778" s="361" t="s">
        <v>16</v>
      </c>
      <c r="B1778" s="2">
        <v>43967</v>
      </c>
      <c r="C1778" s="1">
        <v>97</v>
      </c>
      <c r="D1778" s="39">
        <v>2594</v>
      </c>
      <c r="E1778" s="1">
        <v>2</v>
      </c>
      <c r="F1778" s="39">
        <f>E1778+F1754</f>
        <v>150</v>
      </c>
      <c r="G1778" s="497"/>
      <c r="H1778" s="497"/>
      <c r="J1778" s="42"/>
    </row>
    <row r="1779" spans="1:10" s="360" customFormat="1" x14ac:dyDescent="0.25">
      <c r="A1779" s="19" t="s">
        <v>28</v>
      </c>
      <c r="B1779" s="2">
        <v>43967</v>
      </c>
      <c r="C1779" s="1">
        <v>0</v>
      </c>
      <c r="D1779" s="39">
        <v>0</v>
      </c>
      <c r="E1779" s="1"/>
      <c r="F1779" s="39">
        <f t="shared" ref="F1779:F1785" si="89">E1779+F1755</f>
        <v>0</v>
      </c>
      <c r="G1779" s="497"/>
      <c r="H1779" s="497"/>
      <c r="J1779" s="42"/>
    </row>
    <row r="1780" spans="1:10" s="360" customFormat="1" x14ac:dyDescent="0.25">
      <c r="A1780" s="19" t="s">
        <v>15</v>
      </c>
      <c r="B1780" s="2">
        <v>43967</v>
      </c>
      <c r="C1780" s="1">
        <v>21</v>
      </c>
      <c r="D1780" s="39">
        <v>559</v>
      </c>
      <c r="E1780" s="1">
        <v>1</v>
      </c>
      <c r="F1780" s="39">
        <f t="shared" si="89"/>
        <v>25</v>
      </c>
      <c r="G1780" s="497"/>
      <c r="H1780" s="497"/>
      <c r="J1780" s="42"/>
    </row>
    <row r="1781" spans="1:10" s="360" customFormat="1" x14ac:dyDescent="0.25">
      <c r="A1781" s="19" t="s">
        <v>29</v>
      </c>
      <c r="B1781" s="2">
        <v>43967</v>
      </c>
      <c r="C1781" s="1">
        <v>0</v>
      </c>
      <c r="D1781" s="39">
        <v>4</v>
      </c>
      <c r="E1781" s="1"/>
      <c r="F1781" s="39">
        <f t="shared" si="89"/>
        <v>1</v>
      </c>
      <c r="G1781" s="497"/>
      <c r="H1781" s="497"/>
      <c r="J1781" s="42"/>
    </row>
    <row r="1782" spans="1:10" s="360" customFormat="1" x14ac:dyDescent="0.25">
      <c r="A1782" s="19" t="s">
        <v>43</v>
      </c>
      <c r="B1782" s="2">
        <v>43967</v>
      </c>
      <c r="C1782" s="1">
        <v>193</v>
      </c>
      <c r="D1782" s="39">
        <v>3025</v>
      </c>
      <c r="E1782" s="1">
        <v>4</v>
      </c>
      <c r="F1782" s="39">
        <f t="shared" si="89"/>
        <v>120</v>
      </c>
      <c r="G1782" s="497"/>
      <c r="H1782" s="497"/>
      <c r="J1782" s="42"/>
    </row>
    <row r="1783" spans="1:10" s="360" customFormat="1" x14ac:dyDescent="0.25">
      <c r="A1783" s="19" t="s">
        <v>20</v>
      </c>
      <c r="B1783" s="2">
        <v>43967</v>
      </c>
      <c r="C1783" s="1">
        <v>9</v>
      </c>
      <c r="D1783" s="39">
        <v>378</v>
      </c>
      <c r="E1783" s="1"/>
      <c r="F1783" s="39">
        <f t="shared" si="89"/>
        <v>21</v>
      </c>
      <c r="G1783" s="497"/>
      <c r="H1783" s="497"/>
      <c r="J1783" s="42"/>
    </row>
    <row r="1784" spans="1:10" s="360" customFormat="1" x14ac:dyDescent="0.25">
      <c r="A1784" s="19" t="s">
        <v>30</v>
      </c>
      <c r="B1784" s="2">
        <v>43967</v>
      </c>
      <c r="C1784" s="1">
        <v>0</v>
      </c>
      <c r="D1784" s="39">
        <v>79</v>
      </c>
      <c r="E1784" s="1"/>
      <c r="F1784" s="39">
        <f t="shared" si="89"/>
        <v>0</v>
      </c>
      <c r="G1784" s="497"/>
      <c r="H1784" s="497"/>
      <c r="J1784" s="42"/>
    </row>
    <row r="1785" spans="1:10" x14ac:dyDescent="0.25">
      <c r="A1785" s="19" t="s">
        <v>31</v>
      </c>
      <c r="B1785" s="2">
        <v>43967</v>
      </c>
      <c r="C1785" s="1">
        <v>0</v>
      </c>
      <c r="D1785" s="39">
        <v>29</v>
      </c>
      <c r="F1785" s="39">
        <f t="shared" si="89"/>
        <v>0</v>
      </c>
    </row>
    <row r="1786" spans="1:10" s="360" customFormat="1" x14ac:dyDescent="0.25">
      <c r="A1786" s="19" t="s">
        <v>41</v>
      </c>
      <c r="B1786" s="2">
        <v>43967</v>
      </c>
      <c r="C1786" s="1">
        <v>0</v>
      </c>
      <c r="D1786" s="39">
        <v>0</v>
      </c>
      <c r="E1786" s="1"/>
      <c r="F1786" s="39">
        <f t="shared" ref="F1786:F1800" si="90">E1786+F1761</f>
        <v>0</v>
      </c>
      <c r="G1786" s="497"/>
      <c r="H1786" s="497"/>
      <c r="J1786" s="42"/>
    </row>
    <row r="1787" spans="1:10" s="360" customFormat="1" x14ac:dyDescent="0.25">
      <c r="A1787" s="19" t="s">
        <v>32</v>
      </c>
      <c r="B1787" s="2">
        <v>43967</v>
      </c>
      <c r="C1787" s="1">
        <v>0</v>
      </c>
      <c r="D1787" s="39">
        <v>5</v>
      </c>
      <c r="E1787" s="1"/>
      <c r="F1787" s="39">
        <f t="shared" si="90"/>
        <v>0</v>
      </c>
      <c r="G1787" s="497"/>
      <c r="H1787" s="497"/>
      <c r="J1787" s="42"/>
    </row>
    <row r="1788" spans="1:10" s="360" customFormat="1" x14ac:dyDescent="0.25">
      <c r="A1788" s="19" t="s">
        <v>33</v>
      </c>
      <c r="B1788" s="2">
        <v>43967</v>
      </c>
      <c r="C1788" s="1">
        <v>0</v>
      </c>
      <c r="D1788" s="39">
        <v>5</v>
      </c>
      <c r="E1788" s="1"/>
      <c r="F1788" s="39">
        <f t="shared" si="90"/>
        <v>0</v>
      </c>
      <c r="G1788" s="497"/>
      <c r="H1788" s="497"/>
      <c r="J1788" s="42"/>
    </row>
    <row r="1789" spans="1:10" s="360" customFormat="1" x14ac:dyDescent="0.25">
      <c r="A1789" s="19" t="s">
        <v>21</v>
      </c>
      <c r="B1789" s="2">
        <v>43967</v>
      </c>
      <c r="C1789" s="1">
        <v>0</v>
      </c>
      <c r="D1789" s="39">
        <v>60</v>
      </c>
      <c r="E1789" s="1"/>
      <c r="F1789" s="39">
        <f t="shared" si="90"/>
        <v>0</v>
      </c>
      <c r="G1789" s="497"/>
      <c r="H1789" s="497"/>
      <c r="J1789" s="42"/>
    </row>
    <row r="1790" spans="1:10" s="360" customFormat="1" x14ac:dyDescent="0.25">
      <c r="A1790" s="19" t="s">
        <v>17</v>
      </c>
      <c r="B1790" s="2">
        <v>43967</v>
      </c>
      <c r="C1790" s="1">
        <v>0</v>
      </c>
      <c r="D1790" s="39">
        <v>87</v>
      </c>
      <c r="E1790" s="1"/>
      <c r="F1790" s="39">
        <f t="shared" si="90"/>
        <v>0</v>
      </c>
      <c r="G1790" s="497"/>
      <c r="H1790" s="497"/>
      <c r="J1790" s="42"/>
    </row>
    <row r="1791" spans="1:10" s="360" customFormat="1" x14ac:dyDescent="0.25">
      <c r="A1791" s="19" t="s">
        <v>23</v>
      </c>
      <c r="B1791" s="2">
        <v>43967</v>
      </c>
      <c r="C1791" s="1">
        <v>0</v>
      </c>
      <c r="D1791" s="39">
        <v>25</v>
      </c>
      <c r="E1791" s="1"/>
      <c r="F1791" s="39">
        <f t="shared" si="90"/>
        <v>0</v>
      </c>
      <c r="G1791" s="497"/>
      <c r="H1791" s="497"/>
      <c r="J1791" s="42"/>
    </row>
    <row r="1792" spans="1:10" s="360" customFormat="1" x14ac:dyDescent="0.25">
      <c r="A1792" s="19" t="s">
        <v>19</v>
      </c>
      <c r="B1792" s="2">
        <v>43967</v>
      </c>
      <c r="C1792" s="1">
        <v>0</v>
      </c>
      <c r="D1792" s="39">
        <v>114</v>
      </c>
      <c r="E1792" s="1"/>
      <c r="F1792" s="39">
        <f t="shared" si="90"/>
        <v>0</v>
      </c>
      <c r="G1792" s="497"/>
      <c r="H1792" s="497"/>
      <c r="J1792" s="42"/>
    </row>
    <row r="1793" spans="1:10" s="360" customFormat="1" x14ac:dyDescent="0.25">
      <c r="A1793" s="19" t="s">
        <v>18</v>
      </c>
      <c r="B1793" s="2">
        <v>43967</v>
      </c>
      <c r="C1793" s="1">
        <v>6</v>
      </c>
      <c r="D1793" s="39">
        <v>321</v>
      </c>
      <c r="E1793" s="1"/>
      <c r="F1793" s="39">
        <f t="shared" si="90"/>
        <v>0</v>
      </c>
      <c r="G1793" s="497"/>
      <c r="H1793" s="497"/>
      <c r="J1793" s="42"/>
    </row>
    <row r="1794" spans="1:10" s="360" customFormat="1" x14ac:dyDescent="0.25">
      <c r="A1794" s="19" t="s">
        <v>34</v>
      </c>
      <c r="B1794" s="2">
        <v>43967</v>
      </c>
      <c r="C1794" s="1">
        <v>0</v>
      </c>
      <c r="D1794" s="39">
        <v>5</v>
      </c>
      <c r="E1794" s="1"/>
      <c r="F1794" s="39">
        <f t="shared" si="90"/>
        <v>0</v>
      </c>
      <c r="G1794" s="497"/>
      <c r="H1794" s="497"/>
      <c r="J1794" s="42"/>
    </row>
    <row r="1795" spans="1:10" s="360" customFormat="1" x14ac:dyDescent="0.25">
      <c r="A1795" s="19" t="s">
        <v>35</v>
      </c>
      <c r="B1795" s="2">
        <v>43967</v>
      </c>
      <c r="C1795" s="1">
        <v>0</v>
      </c>
      <c r="D1795" s="39">
        <v>3</v>
      </c>
      <c r="E1795" s="1"/>
      <c r="F1795" s="39">
        <f>E1795+F1771</f>
        <v>0</v>
      </c>
      <c r="G1795" s="497"/>
      <c r="H1795" s="497"/>
      <c r="J1795" s="42"/>
    </row>
    <row r="1796" spans="1:10" s="360" customFormat="1" x14ac:dyDescent="0.25">
      <c r="A1796" s="19" t="s">
        <v>36</v>
      </c>
      <c r="B1796" s="2">
        <v>43967</v>
      </c>
      <c r="C1796" s="1">
        <v>0</v>
      </c>
      <c r="D1796" s="39">
        <v>11</v>
      </c>
      <c r="E1796" s="1"/>
      <c r="F1796" s="39">
        <f t="shared" si="90"/>
        <v>0</v>
      </c>
      <c r="G1796" s="497"/>
      <c r="H1796" s="497"/>
      <c r="J1796" s="42"/>
    </row>
    <row r="1797" spans="1:10" s="360" customFormat="1" x14ac:dyDescent="0.25">
      <c r="A1797" s="19" t="s">
        <v>37</v>
      </c>
      <c r="B1797" s="2">
        <v>43967</v>
      </c>
      <c r="C1797" s="1">
        <v>0</v>
      </c>
      <c r="D1797" s="39">
        <v>49</v>
      </c>
      <c r="E1797" s="1"/>
      <c r="F1797" s="39">
        <f t="shared" si="90"/>
        <v>0</v>
      </c>
      <c r="G1797" s="497"/>
      <c r="H1797" s="497"/>
      <c r="J1797" s="42"/>
    </row>
    <row r="1798" spans="1:10" s="360" customFormat="1" x14ac:dyDescent="0.25">
      <c r="A1798" s="19" t="s">
        <v>22</v>
      </c>
      <c r="B1798" s="2">
        <v>43967</v>
      </c>
      <c r="C1798" s="1">
        <v>1</v>
      </c>
      <c r="D1798" s="39">
        <v>245</v>
      </c>
      <c r="E1798" s="1"/>
      <c r="F1798" s="39">
        <f>E1798+F1774</f>
        <v>3</v>
      </c>
      <c r="G1798" s="497"/>
      <c r="H1798" s="497"/>
      <c r="J1798" s="42"/>
    </row>
    <row r="1799" spans="1:10" s="360" customFormat="1" x14ac:dyDescent="0.25">
      <c r="A1799" s="19" t="s">
        <v>38</v>
      </c>
      <c r="B1799" s="2">
        <v>43967</v>
      </c>
      <c r="C1799" s="1">
        <v>0</v>
      </c>
      <c r="D1799" s="39">
        <v>16</v>
      </c>
      <c r="E1799" s="1"/>
      <c r="F1799" s="39">
        <f>E1799+F1775</f>
        <v>0</v>
      </c>
      <c r="G1799" s="497"/>
      <c r="H1799" s="497"/>
      <c r="J1799" s="42"/>
    </row>
    <row r="1800" spans="1:10" s="360" customFormat="1" x14ac:dyDescent="0.25">
      <c r="A1800" s="19" t="s">
        <v>39</v>
      </c>
      <c r="B1800" s="2">
        <v>43967</v>
      </c>
      <c r="C1800" s="1">
        <v>0</v>
      </c>
      <c r="D1800" s="39">
        <v>148</v>
      </c>
      <c r="E1800" s="1"/>
      <c r="F1800" s="39">
        <f t="shared" si="90"/>
        <v>0</v>
      </c>
      <c r="G1800" s="497"/>
      <c r="H1800" s="497"/>
      <c r="J1800" s="42"/>
    </row>
    <row r="1801" spans="1:10" s="360" customFormat="1" x14ac:dyDescent="0.25">
      <c r="A1801" s="19" t="s">
        <v>40</v>
      </c>
      <c r="B1801" s="2">
        <v>43967</v>
      </c>
      <c r="C1801" s="1">
        <v>0</v>
      </c>
      <c r="D1801" s="39">
        <v>42</v>
      </c>
      <c r="E1801" s="1"/>
      <c r="F1801" s="39">
        <f>E1801+F1777</f>
        <v>3</v>
      </c>
      <c r="G1801" s="497"/>
      <c r="H1801" s="497"/>
      <c r="J1801" s="42"/>
    </row>
    <row r="1802" spans="1:10" s="360" customFormat="1" x14ac:dyDescent="0.25">
      <c r="A1802" s="361" t="s">
        <v>16</v>
      </c>
      <c r="B1802" s="2">
        <v>43968</v>
      </c>
      <c r="C1802" s="1">
        <v>74</v>
      </c>
      <c r="D1802" s="39">
        <v>2668</v>
      </c>
      <c r="E1802" s="1">
        <v>3</v>
      </c>
      <c r="F1802" s="39">
        <f>E1802+F1778</f>
        <v>153</v>
      </c>
      <c r="G1802" s="497"/>
      <c r="H1802" s="497"/>
      <c r="J1802" s="42"/>
    </row>
    <row r="1803" spans="1:10" s="360" customFormat="1" x14ac:dyDescent="0.25">
      <c r="A1803" s="19" t="s">
        <v>28</v>
      </c>
      <c r="B1803" s="2">
        <v>43968</v>
      </c>
      <c r="C1803" s="1">
        <v>0</v>
      </c>
      <c r="D1803" s="39">
        <v>0</v>
      </c>
      <c r="E1803" s="1"/>
      <c r="F1803" s="39">
        <f t="shared" ref="F1803:F1809" si="91">E1803+F1779</f>
        <v>0</v>
      </c>
      <c r="G1803" s="497"/>
      <c r="H1803" s="497"/>
      <c r="J1803" s="42"/>
    </row>
    <row r="1804" spans="1:10" s="360" customFormat="1" x14ac:dyDescent="0.25">
      <c r="A1804" s="19" t="s">
        <v>15</v>
      </c>
      <c r="B1804" s="2">
        <v>43968</v>
      </c>
      <c r="C1804" s="1">
        <v>19</v>
      </c>
      <c r="D1804" s="39">
        <v>578</v>
      </c>
      <c r="E1804" s="1">
        <v>2</v>
      </c>
      <c r="F1804" s="39">
        <f t="shared" si="91"/>
        <v>27</v>
      </c>
      <c r="G1804" s="497"/>
      <c r="H1804" s="497"/>
      <c r="J1804" s="42"/>
    </row>
    <row r="1805" spans="1:10" s="360" customFormat="1" x14ac:dyDescent="0.25">
      <c r="A1805" s="19" t="s">
        <v>29</v>
      </c>
      <c r="B1805" s="2">
        <v>43968</v>
      </c>
      <c r="C1805" s="1">
        <v>0</v>
      </c>
      <c r="D1805" s="39">
        <v>4</v>
      </c>
      <c r="E1805" s="1"/>
      <c r="F1805" s="39">
        <f t="shared" si="91"/>
        <v>1</v>
      </c>
      <c r="G1805" s="497"/>
      <c r="H1805" s="497"/>
      <c r="J1805" s="42"/>
    </row>
    <row r="1806" spans="1:10" s="360" customFormat="1" x14ac:dyDescent="0.25">
      <c r="A1806" s="19" t="s">
        <v>43</v>
      </c>
      <c r="B1806" s="2">
        <v>43968</v>
      </c>
      <c r="C1806" s="1">
        <v>147</v>
      </c>
      <c r="D1806" s="39">
        <v>3172</v>
      </c>
      <c r="E1806" s="1">
        <v>2</v>
      </c>
      <c r="F1806" s="39">
        <f t="shared" si="91"/>
        <v>122</v>
      </c>
      <c r="G1806" s="497"/>
      <c r="H1806" s="497"/>
      <c r="J1806" s="42"/>
    </row>
    <row r="1807" spans="1:10" s="360" customFormat="1" x14ac:dyDescent="0.25">
      <c r="A1807" s="19" t="s">
        <v>20</v>
      </c>
      <c r="B1807" s="2">
        <v>43968</v>
      </c>
      <c r="C1807" s="1">
        <v>20</v>
      </c>
      <c r="D1807" s="39">
        <v>398</v>
      </c>
      <c r="E1807" s="1">
        <v>2</v>
      </c>
      <c r="F1807" s="39">
        <f t="shared" si="91"/>
        <v>23</v>
      </c>
      <c r="G1807" s="497"/>
      <c r="H1807" s="497"/>
      <c r="J1807" s="42"/>
    </row>
    <row r="1808" spans="1:10" s="360" customFormat="1" x14ac:dyDescent="0.25">
      <c r="A1808" s="19" t="s">
        <v>30</v>
      </c>
      <c r="B1808" s="2">
        <v>43968</v>
      </c>
      <c r="C1808" s="1">
        <v>0</v>
      </c>
      <c r="D1808" s="39">
        <v>79</v>
      </c>
      <c r="E1808" s="1"/>
      <c r="F1808" s="39">
        <f t="shared" si="91"/>
        <v>0</v>
      </c>
      <c r="G1808" s="497"/>
      <c r="H1808" s="497"/>
      <c r="J1808" s="42"/>
    </row>
    <row r="1809" spans="1:10" x14ac:dyDescent="0.25">
      <c r="A1809" s="19" t="s">
        <v>31</v>
      </c>
      <c r="B1809" s="2">
        <v>43968</v>
      </c>
      <c r="C1809" s="1">
        <v>0</v>
      </c>
      <c r="D1809" s="39">
        <v>29</v>
      </c>
      <c r="F1809" s="39">
        <f t="shared" si="91"/>
        <v>0</v>
      </c>
    </row>
    <row r="1810" spans="1:10" s="360" customFormat="1" x14ac:dyDescent="0.25">
      <c r="A1810" s="19" t="s">
        <v>41</v>
      </c>
      <c r="B1810" s="2">
        <v>43968</v>
      </c>
      <c r="C1810" s="1">
        <v>0</v>
      </c>
      <c r="D1810" s="39">
        <v>0</v>
      </c>
      <c r="E1810" s="1"/>
      <c r="F1810" s="39">
        <f t="shared" ref="F1810:F1824" si="92">E1810+F1785</f>
        <v>0</v>
      </c>
      <c r="G1810" s="497"/>
      <c r="H1810" s="497"/>
      <c r="J1810" s="42"/>
    </row>
    <row r="1811" spans="1:10" s="360" customFormat="1" x14ac:dyDescent="0.25">
      <c r="A1811" s="19" t="s">
        <v>32</v>
      </c>
      <c r="B1811" s="2">
        <v>43968</v>
      </c>
      <c r="C1811" s="1">
        <v>0</v>
      </c>
      <c r="D1811" s="39">
        <v>5</v>
      </c>
      <c r="E1811" s="1"/>
      <c r="F1811" s="39">
        <f t="shared" si="92"/>
        <v>0</v>
      </c>
      <c r="G1811" s="497"/>
      <c r="H1811" s="497"/>
      <c r="J1811" s="42"/>
    </row>
    <row r="1812" spans="1:10" s="360" customFormat="1" x14ac:dyDescent="0.25">
      <c r="A1812" s="19" t="s">
        <v>33</v>
      </c>
      <c r="B1812" s="2">
        <v>43968</v>
      </c>
      <c r="C1812" s="1">
        <v>0</v>
      </c>
      <c r="D1812" s="39">
        <v>5</v>
      </c>
      <c r="E1812" s="1"/>
      <c r="F1812" s="39">
        <f t="shared" si="92"/>
        <v>0</v>
      </c>
      <c r="G1812" s="497"/>
      <c r="H1812" s="497"/>
      <c r="J1812" s="42"/>
    </row>
    <row r="1813" spans="1:10" s="360" customFormat="1" x14ac:dyDescent="0.25">
      <c r="A1813" s="19" t="s">
        <v>21</v>
      </c>
      <c r="B1813" s="2">
        <v>43968</v>
      </c>
      <c r="C1813" s="1">
        <v>1</v>
      </c>
      <c r="D1813" s="39">
        <v>61</v>
      </c>
      <c r="E1813" s="1"/>
      <c r="F1813" s="39">
        <f t="shared" si="92"/>
        <v>0</v>
      </c>
      <c r="G1813" s="497"/>
      <c r="H1813" s="497"/>
      <c r="J1813" s="42"/>
    </row>
    <row r="1814" spans="1:10" s="360" customFormat="1" x14ac:dyDescent="0.25">
      <c r="A1814" s="19" t="s">
        <v>17</v>
      </c>
      <c r="B1814" s="2">
        <v>43968</v>
      </c>
      <c r="C1814" s="1">
        <v>0</v>
      </c>
      <c r="D1814" s="39">
        <v>87</v>
      </c>
      <c r="E1814" s="1"/>
      <c r="F1814" s="39">
        <f t="shared" si="92"/>
        <v>0</v>
      </c>
      <c r="G1814" s="497"/>
      <c r="H1814" s="497"/>
      <c r="J1814" s="42"/>
    </row>
    <row r="1815" spans="1:10" s="360" customFormat="1" x14ac:dyDescent="0.25">
      <c r="A1815" s="19" t="s">
        <v>23</v>
      </c>
      <c r="B1815" s="2">
        <v>43968</v>
      </c>
      <c r="C1815" s="1">
        <v>0</v>
      </c>
      <c r="D1815" s="39">
        <v>25</v>
      </c>
      <c r="E1815" s="1"/>
      <c r="F1815" s="39">
        <f t="shared" si="92"/>
        <v>0</v>
      </c>
      <c r="G1815" s="497"/>
      <c r="H1815" s="497"/>
      <c r="J1815" s="42"/>
    </row>
    <row r="1816" spans="1:10" s="360" customFormat="1" x14ac:dyDescent="0.25">
      <c r="A1816" s="19" t="s">
        <v>19</v>
      </c>
      <c r="B1816" s="2">
        <v>43968</v>
      </c>
      <c r="C1816" s="1">
        <v>0</v>
      </c>
      <c r="D1816" s="39">
        <v>114</v>
      </c>
      <c r="E1816" s="1"/>
      <c r="F1816" s="39">
        <f t="shared" si="92"/>
        <v>0</v>
      </c>
      <c r="G1816" s="497"/>
      <c r="H1816" s="497"/>
      <c r="J1816" s="42"/>
    </row>
    <row r="1817" spans="1:10" s="360" customFormat="1" x14ac:dyDescent="0.25">
      <c r="A1817" s="19" t="s">
        <v>18</v>
      </c>
      <c r="B1817" s="2">
        <v>43968</v>
      </c>
      <c r="C1817" s="1">
        <v>2</v>
      </c>
      <c r="D1817" s="39">
        <v>323</v>
      </c>
      <c r="E1817" s="1">
        <v>1</v>
      </c>
      <c r="F1817" s="39">
        <f t="shared" si="92"/>
        <v>1</v>
      </c>
      <c r="G1817" s="497"/>
      <c r="H1817" s="497"/>
      <c r="J1817" s="42"/>
    </row>
    <row r="1818" spans="1:10" s="360" customFormat="1" x14ac:dyDescent="0.25">
      <c r="A1818" s="19" t="s">
        <v>34</v>
      </c>
      <c r="B1818" s="2">
        <v>43968</v>
      </c>
      <c r="C1818" s="1">
        <v>0</v>
      </c>
      <c r="D1818" s="39">
        <v>5</v>
      </c>
      <c r="E1818" s="1"/>
      <c r="F1818" s="39">
        <f t="shared" si="92"/>
        <v>0</v>
      </c>
      <c r="G1818" s="497"/>
      <c r="H1818" s="497"/>
      <c r="J1818" s="42"/>
    </row>
    <row r="1819" spans="1:10" s="360" customFormat="1" x14ac:dyDescent="0.25">
      <c r="A1819" s="19" t="s">
        <v>35</v>
      </c>
      <c r="B1819" s="2">
        <v>43968</v>
      </c>
      <c r="C1819" s="1">
        <v>0</v>
      </c>
      <c r="D1819" s="39">
        <v>3</v>
      </c>
      <c r="E1819" s="1"/>
      <c r="F1819" s="39">
        <f>E1819+F1795</f>
        <v>0</v>
      </c>
      <c r="G1819" s="497"/>
      <c r="H1819" s="497"/>
      <c r="J1819" s="42"/>
    </row>
    <row r="1820" spans="1:10" s="360" customFormat="1" x14ac:dyDescent="0.25">
      <c r="A1820" s="19" t="s">
        <v>36</v>
      </c>
      <c r="B1820" s="2">
        <v>43968</v>
      </c>
      <c r="C1820" s="1">
        <v>0</v>
      </c>
      <c r="D1820" s="39">
        <v>11</v>
      </c>
      <c r="E1820" s="1"/>
      <c r="F1820" s="39">
        <f t="shared" si="92"/>
        <v>0</v>
      </c>
      <c r="G1820" s="497"/>
      <c r="H1820" s="497"/>
      <c r="J1820" s="42"/>
    </row>
    <row r="1821" spans="1:10" s="360" customFormat="1" x14ac:dyDescent="0.25">
      <c r="A1821" s="19" t="s">
        <v>37</v>
      </c>
      <c r="B1821" s="2">
        <v>43968</v>
      </c>
      <c r="C1821" s="1">
        <v>0</v>
      </c>
      <c r="D1821" s="39">
        <v>49</v>
      </c>
      <c r="E1821" s="1"/>
      <c r="F1821" s="39">
        <f t="shared" si="92"/>
        <v>0</v>
      </c>
      <c r="G1821" s="497"/>
      <c r="H1821" s="497"/>
      <c r="J1821" s="42"/>
    </row>
    <row r="1822" spans="1:10" s="360" customFormat="1" x14ac:dyDescent="0.25">
      <c r="A1822" s="19" t="s">
        <v>22</v>
      </c>
      <c r="B1822" s="2">
        <v>43968</v>
      </c>
      <c r="C1822" s="1">
        <v>0</v>
      </c>
      <c r="D1822" s="39">
        <v>245</v>
      </c>
      <c r="E1822" s="1"/>
      <c r="F1822" s="39">
        <f>E1822+F1798</f>
        <v>3</v>
      </c>
      <c r="G1822" s="497"/>
      <c r="H1822" s="497"/>
      <c r="J1822" s="42"/>
    </row>
    <row r="1823" spans="1:10" s="360" customFormat="1" x14ac:dyDescent="0.25">
      <c r="A1823" s="19" t="s">
        <v>38</v>
      </c>
      <c r="B1823" s="2">
        <v>43968</v>
      </c>
      <c r="C1823" s="1">
        <v>0</v>
      </c>
      <c r="D1823" s="39">
        <v>16</v>
      </c>
      <c r="E1823" s="1"/>
      <c r="F1823" s="39">
        <f>E1823+F1799</f>
        <v>0</v>
      </c>
      <c r="G1823" s="497"/>
      <c r="H1823" s="497"/>
      <c r="J1823" s="42"/>
    </row>
    <row r="1824" spans="1:10" s="360" customFormat="1" x14ac:dyDescent="0.25">
      <c r="A1824" s="19" t="s">
        <v>39</v>
      </c>
      <c r="B1824" s="2">
        <v>43968</v>
      </c>
      <c r="C1824" s="1">
        <v>0</v>
      </c>
      <c r="D1824" s="39">
        <v>148</v>
      </c>
      <c r="E1824" s="1"/>
      <c r="F1824" s="39">
        <f t="shared" si="92"/>
        <v>0</v>
      </c>
      <c r="G1824" s="497"/>
      <c r="H1824" s="497"/>
      <c r="J1824" s="42"/>
    </row>
    <row r="1825" spans="1:10" s="360" customFormat="1" x14ac:dyDescent="0.25">
      <c r="A1825" s="19" t="s">
        <v>40</v>
      </c>
      <c r="B1825" s="2">
        <v>43968</v>
      </c>
      <c r="C1825" s="1">
        <v>0</v>
      </c>
      <c r="D1825" s="39">
        <v>42</v>
      </c>
      <c r="E1825" s="1"/>
      <c r="F1825" s="39">
        <f>E1825+F1801</f>
        <v>3</v>
      </c>
      <c r="G1825" s="497"/>
      <c r="H1825" s="497"/>
      <c r="J1825" s="42"/>
    </row>
    <row r="1826" spans="1:10" s="360" customFormat="1" x14ac:dyDescent="0.25">
      <c r="A1826" s="361" t="s">
        <v>16</v>
      </c>
      <c r="B1826" s="2">
        <v>43969</v>
      </c>
      <c r="C1826" s="1">
        <v>93</v>
      </c>
      <c r="D1826" s="39">
        <v>2761</v>
      </c>
      <c r="E1826" s="1">
        <v>2</v>
      </c>
      <c r="F1826" s="39">
        <f>E1826+F1802</f>
        <v>155</v>
      </c>
      <c r="G1826" s="497"/>
      <c r="H1826" s="497"/>
      <c r="J1826" s="42"/>
    </row>
    <row r="1827" spans="1:10" s="360" customFormat="1" x14ac:dyDescent="0.25">
      <c r="A1827" s="19" t="s">
        <v>28</v>
      </c>
      <c r="B1827" s="2">
        <v>43969</v>
      </c>
      <c r="C1827" s="1">
        <v>0</v>
      </c>
      <c r="D1827" s="39">
        <v>0</v>
      </c>
      <c r="E1827" s="1"/>
      <c r="F1827" s="39">
        <f t="shared" ref="F1827:F1833" si="93">E1827+F1803</f>
        <v>0</v>
      </c>
      <c r="G1827" s="497"/>
      <c r="H1827" s="497"/>
      <c r="J1827" s="42"/>
    </row>
    <row r="1828" spans="1:10" s="360" customFormat="1" x14ac:dyDescent="0.25">
      <c r="A1828" s="19" t="s">
        <v>15</v>
      </c>
      <c r="B1828" s="2">
        <v>43969</v>
      </c>
      <c r="C1828" s="1">
        <v>13</v>
      </c>
      <c r="D1828" s="39">
        <v>591</v>
      </c>
      <c r="E1828" s="1">
        <v>2</v>
      </c>
      <c r="F1828" s="39">
        <f t="shared" si="93"/>
        <v>29</v>
      </c>
      <c r="G1828" s="497"/>
      <c r="H1828" s="497"/>
      <c r="J1828" s="42"/>
    </row>
    <row r="1829" spans="1:10" s="360" customFormat="1" x14ac:dyDescent="0.25">
      <c r="A1829" s="19" t="s">
        <v>29</v>
      </c>
      <c r="B1829" s="2">
        <v>43969</v>
      </c>
      <c r="C1829" s="1">
        <v>0</v>
      </c>
      <c r="D1829" s="39">
        <v>4</v>
      </c>
      <c r="E1829" s="1"/>
      <c r="F1829" s="39">
        <f t="shared" si="93"/>
        <v>1</v>
      </c>
      <c r="G1829" s="497"/>
      <c r="H1829" s="497"/>
      <c r="J1829" s="42"/>
    </row>
    <row r="1830" spans="1:10" s="360" customFormat="1" x14ac:dyDescent="0.25">
      <c r="A1830" s="19" t="s">
        <v>43</v>
      </c>
      <c r="B1830" s="2">
        <v>43969</v>
      </c>
      <c r="C1830" s="1">
        <v>169</v>
      </c>
      <c r="D1830" s="39">
        <v>3341</v>
      </c>
      <c r="E1830" s="1">
        <v>5</v>
      </c>
      <c r="F1830" s="39">
        <f t="shared" si="93"/>
        <v>127</v>
      </c>
      <c r="G1830" s="497"/>
      <c r="H1830" s="497"/>
      <c r="J1830" s="42"/>
    </row>
    <row r="1831" spans="1:10" s="360" customFormat="1" x14ac:dyDescent="0.25">
      <c r="A1831" s="19" t="s">
        <v>20</v>
      </c>
      <c r="B1831" s="2">
        <v>43969</v>
      </c>
      <c r="C1831" s="1">
        <v>20</v>
      </c>
      <c r="D1831" s="39">
        <v>418</v>
      </c>
      <c r="E1831" s="1"/>
      <c r="F1831" s="39">
        <f t="shared" si="93"/>
        <v>23</v>
      </c>
      <c r="G1831" s="497"/>
      <c r="H1831" s="497"/>
      <c r="J1831" s="42"/>
    </row>
    <row r="1832" spans="1:10" s="360" customFormat="1" x14ac:dyDescent="0.25">
      <c r="A1832" s="19" t="s">
        <v>30</v>
      </c>
      <c r="B1832" s="2">
        <v>43969</v>
      </c>
      <c r="C1832" s="1">
        <v>-1</v>
      </c>
      <c r="D1832" s="39">
        <v>78</v>
      </c>
      <c r="E1832" s="1"/>
      <c r="F1832" s="39">
        <f t="shared" si="93"/>
        <v>0</v>
      </c>
      <c r="G1832" s="497"/>
      <c r="H1832" s="497"/>
      <c r="J1832" s="42"/>
    </row>
    <row r="1833" spans="1:10" x14ac:dyDescent="0.25">
      <c r="A1833" s="19" t="s">
        <v>31</v>
      </c>
      <c r="B1833" s="2">
        <v>43969</v>
      </c>
      <c r="C1833" s="1">
        <v>0</v>
      </c>
      <c r="D1833" s="39">
        <v>29</v>
      </c>
      <c r="F1833" s="39">
        <f t="shared" si="93"/>
        <v>0</v>
      </c>
    </row>
    <row r="1834" spans="1:10" s="360" customFormat="1" x14ac:dyDescent="0.25">
      <c r="A1834" s="19" t="s">
        <v>41</v>
      </c>
      <c r="B1834" s="2">
        <v>43969</v>
      </c>
      <c r="C1834" s="1">
        <v>0</v>
      </c>
      <c r="D1834" s="39">
        <v>0</v>
      </c>
      <c r="E1834" s="1"/>
      <c r="F1834" s="39">
        <f t="shared" ref="F1834:F1848" si="94">E1834+F1809</f>
        <v>0</v>
      </c>
      <c r="G1834" s="497"/>
      <c r="H1834" s="497"/>
      <c r="J1834" s="42"/>
    </row>
    <row r="1835" spans="1:10" s="360" customFormat="1" x14ac:dyDescent="0.25">
      <c r="A1835" s="19" t="s">
        <v>32</v>
      </c>
      <c r="B1835" s="2">
        <v>43969</v>
      </c>
      <c r="C1835" s="1">
        <v>0</v>
      </c>
      <c r="D1835" s="39">
        <v>5</v>
      </c>
      <c r="E1835" s="1"/>
      <c r="F1835" s="39">
        <f t="shared" si="94"/>
        <v>0</v>
      </c>
      <c r="G1835" s="497"/>
      <c r="H1835" s="497"/>
      <c r="J1835" s="42"/>
    </row>
    <row r="1836" spans="1:10" s="360" customFormat="1" x14ac:dyDescent="0.25">
      <c r="A1836" s="19" t="s">
        <v>33</v>
      </c>
      <c r="B1836" s="2">
        <v>43969</v>
      </c>
      <c r="C1836" s="1">
        <v>0</v>
      </c>
      <c r="D1836" s="39">
        <v>5</v>
      </c>
      <c r="E1836" s="1"/>
      <c r="F1836" s="39">
        <f t="shared" si="94"/>
        <v>0</v>
      </c>
      <c r="G1836" s="497"/>
      <c r="H1836" s="497"/>
      <c r="J1836" s="42"/>
    </row>
    <row r="1837" spans="1:10" s="360" customFormat="1" x14ac:dyDescent="0.25">
      <c r="A1837" s="19" t="s">
        <v>21</v>
      </c>
      <c r="B1837" s="2">
        <v>43969</v>
      </c>
      <c r="C1837" s="1">
        <v>2</v>
      </c>
      <c r="D1837" s="39">
        <v>63</v>
      </c>
      <c r="E1837" s="1"/>
      <c r="F1837" s="39">
        <f t="shared" si="94"/>
        <v>0</v>
      </c>
      <c r="G1837" s="497"/>
      <c r="H1837" s="497"/>
      <c r="J1837" s="42"/>
    </row>
    <row r="1838" spans="1:10" s="360" customFormat="1" x14ac:dyDescent="0.25">
      <c r="A1838" s="19" t="s">
        <v>17</v>
      </c>
      <c r="B1838" s="2">
        <v>43969</v>
      </c>
      <c r="C1838" s="1">
        <v>0</v>
      </c>
      <c r="D1838" s="39">
        <v>87</v>
      </c>
      <c r="E1838" s="1"/>
      <c r="F1838" s="39">
        <f t="shared" si="94"/>
        <v>0</v>
      </c>
      <c r="G1838" s="497"/>
      <c r="H1838" s="497"/>
      <c r="J1838" s="42"/>
    </row>
    <row r="1839" spans="1:10" s="360" customFormat="1" x14ac:dyDescent="0.25">
      <c r="A1839" s="19" t="s">
        <v>23</v>
      </c>
      <c r="B1839" s="2">
        <v>43969</v>
      </c>
      <c r="C1839" s="1">
        <v>0</v>
      </c>
      <c r="D1839" s="39">
        <v>25</v>
      </c>
      <c r="E1839" s="1"/>
      <c r="F1839" s="39">
        <f t="shared" si="94"/>
        <v>0</v>
      </c>
      <c r="G1839" s="497"/>
      <c r="H1839" s="497"/>
      <c r="J1839" s="42"/>
    </row>
    <row r="1840" spans="1:10" s="360" customFormat="1" x14ac:dyDescent="0.25">
      <c r="A1840" s="19" t="s">
        <v>19</v>
      </c>
      <c r="B1840" s="2">
        <v>43969</v>
      </c>
      <c r="C1840" s="1">
        <v>0</v>
      </c>
      <c r="D1840" s="39">
        <v>114</v>
      </c>
      <c r="E1840" s="1"/>
      <c r="F1840" s="39">
        <f t="shared" si="94"/>
        <v>0</v>
      </c>
      <c r="G1840" s="497"/>
      <c r="H1840" s="497"/>
      <c r="J1840" s="42"/>
    </row>
    <row r="1841" spans="1:10" s="360" customFormat="1" x14ac:dyDescent="0.25">
      <c r="A1841" s="19" t="s">
        <v>18</v>
      </c>
      <c r="B1841" s="2">
        <v>43969</v>
      </c>
      <c r="C1841" s="1">
        <v>2</v>
      </c>
      <c r="D1841" s="39">
        <v>325</v>
      </c>
      <c r="E1841" s="1"/>
      <c r="F1841" s="39">
        <f t="shared" si="94"/>
        <v>0</v>
      </c>
      <c r="G1841" s="497"/>
      <c r="H1841" s="497"/>
      <c r="J1841" s="42"/>
    </row>
    <row r="1842" spans="1:10" s="360" customFormat="1" x14ac:dyDescent="0.25">
      <c r="A1842" s="19" t="s">
        <v>34</v>
      </c>
      <c r="B1842" s="2">
        <v>43969</v>
      </c>
      <c r="C1842" s="1">
        <v>0</v>
      </c>
      <c r="D1842" s="39">
        <v>5</v>
      </c>
      <c r="E1842" s="1"/>
      <c r="F1842" s="39">
        <f t="shared" si="94"/>
        <v>1</v>
      </c>
      <c r="G1842" s="497"/>
      <c r="H1842" s="497"/>
      <c r="J1842" s="42"/>
    </row>
    <row r="1843" spans="1:10" s="360" customFormat="1" x14ac:dyDescent="0.25">
      <c r="A1843" s="19" t="s">
        <v>35</v>
      </c>
      <c r="B1843" s="2">
        <v>43969</v>
      </c>
      <c r="C1843" s="1">
        <v>1</v>
      </c>
      <c r="D1843" s="39">
        <v>4</v>
      </c>
      <c r="E1843" s="1"/>
      <c r="F1843" s="39">
        <f>E1843+F1819</f>
        <v>0</v>
      </c>
      <c r="G1843" s="497"/>
      <c r="H1843" s="497"/>
      <c r="J1843" s="42"/>
    </row>
    <row r="1844" spans="1:10" s="360" customFormat="1" x14ac:dyDescent="0.25">
      <c r="A1844" s="19" t="s">
        <v>36</v>
      </c>
      <c r="B1844" s="2">
        <v>43969</v>
      </c>
      <c r="C1844" s="1">
        <v>0</v>
      </c>
      <c r="D1844" s="39">
        <v>11</v>
      </c>
      <c r="E1844" s="1"/>
      <c r="F1844" s="39">
        <f t="shared" si="94"/>
        <v>0</v>
      </c>
      <c r="G1844" s="497"/>
      <c r="H1844" s="497"/>
      <c r="J1844" s="42"/>
    </row>
    <row r="1845" spans="1:10" s="360" customFormat="1" x14ac:dyDescent="0.25">
      <c r="A1845" s="19" t="s">
        <v>37</v>
      </c>
      <c r="B1845" s="2">
        <v>43969</v>
      </c>
      <c r="C1845" s="1">
        <v>0</v>
      </c>
      <c r="D1845" s="39">
        <v>49</v>
      </c>
      <c r="E1845" s="1"/>
      <c r="F1845" s="39">
        <f t="shared" si="94"/>
        <v>0</v>
      </c>
      <c r="G1845" s="497"/>
      <c r="H1845" s="497"/>
      <c r="J1845" s="42"/>
    </row>
    <row r="1846" spans="1:10" s="360" customFormat="1" x14ac:dyDescent="0.25">
      <c r="A1846" s="19" t="s">
        <v>22</v>
      </c>
      <c r="B1846" s="2">
        <v>43969</v>
      </c>
      <c r="C1846" s="1">
        <v>4</v>
      </c>
      <c r="D1846" s="39">
        <v>249</v>
      </c>
      <c r="E1846" s="1"/>
      <c r="F1846" s="39">
        <f>E1846+F1822</f>
        <v>3</v>
      </c>
      <c r="G1846" s="497"/>
      <c r="H1846" s="497"/>
      <c r="J1846" s="42"/>
    </row>
    <row r="1847" spans="1:10" s="360" customFormat="1" x14ac:dyDescent="0.25">
      <c r="A1847" s="19" t="s">
        <v>38</v>
      </c>
      <c r="B1847" s="2">
        <v>43969</v>
      </c>
      <c r="C1847" s="1">
        <v>0</v>
      </c>
      <c r="D1847" s="39">
        <v>16</v>
      </c>
      <c r="E1847" s="1"/>
      <c r="F1847" s="39">
        <f>E1847+F1823</f>
        <v>0</v>
      </c>
      <c r="G1847" s="497"/>
      <c r="H1847" s="497"/>
      <c r="J1847" s="42"/>
    </row>
    <row r="1848" spans="1:10" s="360" customFormat="1" x14ac:dyDescent="0.25">
      <c r="A1848" s="19" t="s">
        <v>39</v>
      </c>
      <c r="B1848" s="2">
        <v>43969</v>
      </c>
      <c r="C1848" s="1">
        <v>0</v>
      </c>
      <c r="D1848" s="39">
        <v>148</v>
      </c>
      <c r="E1848" s="1"/>
      <c r="F1848" s="39">
        <f t="shared" si="94"/>
        <v>0</v>
      </c>
      <c r="G1848" s="497"/>
      <c r="H1848" s="497"/>
      <c r="J1848" s="42"/>
    </row>
    <row r="1849" spans="1:10" s="360" customFormat="1" x14ac:dyDescent="0.25">
      <c r="A1849" s="19" t="s">
        <v>40</v>
      </c>
      <c r="B1849" s="2">
        <v>43969</v>
      </c>
      <c r="C1849" s="1">
        <v>0</v>
      </c>
      <c r="D1849" s="39">
        <v>42</v>
      </c>
      <c r="E1849" s="1"/>
      <c r="F1849" s="39">
        <f>E1849+F1825</f>
        <v>3</v>
      </c>
      <c r="G1849" s="497"/>
      <c r="H1849" s="497"/>
      <c r="J1849" s="42"/>
    </row>
    <row r="1850" spans="1:10" s="360" customFormat="1" x14ac:dyDescent="0.25">
      <c r="A1850" s="361" t="s">
        <v>16</v>
      </c>
      <c r="B1850" s="2">
        <v>43970</v>
      </c>
      <c r="C1850" s="1">
        <v>157</v>
      </c>
      <c r="D1850" s="39">
        <v>2918</v>
      </c>
      <c r="E1850" s="1">
        <v>2</v>
      </c>
      <c r="F1850" s="39">
        <f>E1850+F1826</f>
        <v>157</v>
      </c>
      <c r="G1850" s="497"/>
      <c r="H1850" s="497"/>
      <c r="J1850" s="42"/>
    </row>
    <row r="1851" spans="1:10" s="360" customFormat="1" x14ac:dyDescent="0.25">
      <c r="A1851" s="19" t="s">
        <v>28</v>
      </c>
      <c r="B1851" s="2">
        <v>43970</v>
      </c>
      <c r="C1851" s="1">
        <v>0</v>
      </c>
      <c r="D1851" s="39">
        <v>0</v>
      </c>
      <c r="E1851" s="1"/>
      <c r="F1851" s="39">
        <f t="shared" ref="F1851:F1857" si="95">E1851+F1827</f>
        <v>0</v>
      </c>
      <c r="G1851" s="497"/>
      <c r="H1851" s="497"/>
      <c r="J1851" s="42"/>
    </row>
    <row r="1852" spans="1:10" s="360" customFormat="1" x14ac:dyDescent="0.25">
      <c r="A1852" s="19" t="s">
        <v>15</v>
      </c>
      <c r="B1852" s="2">
        <v>43970</v>
      </c>
      <c r="C1852" s="1">
        <v>34</v>
      </c>
      <c r="D1852" s="39">
        <v>625</v>
      </c>
      <c r="E1852" s="1">
        <v>4</v>
      </c>
      <c r="F1852" s="39">
        <f t="shared" si="95"/>
        <v>33</v>
      </c>
      <c r="G1852" s="497"/>
      <c r="H1852" s="497"/>
      <c r="J1852" s="42"/>
    </row>
    <row r="1853" spans="1:10" s="360" customFormat="1" x14ac:dyDescent="0.25">
      <c r="A1853" s="19" t="s">
        <v>29</v>
      </c>
      <c r="B1853" s="2">
        <v>43970</v>
      </c>
      <c r="C1853" s="1">
        <v>0</v>
      </c>
      <c r="D1853" s="39">
        <v>4</v>
      </c>
      <c r="E1853" s="1"/>
      <c r="F1853" s="39">
        <f t="shared" si="95"/>
        <v>1</v>
      </c>
      <c r="G1853" s="497"/>
      <c r="H1853" s="497"/>
      <c r="J1853" s="42"/>
    </row>
    <row r="1854" spans="1:10" s="360" customFormat="1" x14ac:dyDescent="0.25">
      <c r="A1854" s="19" t="s">
        <v>43</v>
      </c>
      <c r="B1854" s="2">
        <v>43970</v>
      </c>
      <c r="C1854" s="1">
        <v>224</v>
      </c>
      <c r="D1854" s="39">
        <v>3565</v>
      </c>
      <c r="E1854" s="1">
        <v>5</v>
      </c>
      <c r="F1854" s="39">
        <f t="shared" si="95"/>
        <v>132</v>
      </c>
      <c r="G1854" s="497"/>
      <c r="H1854" s="497"/>
      <c r="J1854" s="42"/>
    </row>
    <row r="1855" spans="1:10" s="360" customFormat="1" x14ac:dyDescent="0.25">
      <c r="A1855" s="19" t="s">
        <v>20</v>
      </c>
      <c r="B1855" s="2">
        <v>43970</v>
      </c>
      <c r="C1855" s="1">
        <v>9</v>
      </c>
      <c r="D1855" s="39">
        <v>427</v>
      </c>
      <c r="E1855" s="1"/>
      <c r="F1855" s="39">
        <f t="shared" si="95"/>
        <v>23</v>
      </c>
      <c r="G1855" s="497"/>
      <c r="H1855" s="497"/>
      <c r="J1855" s="42"/>
    </row>
    <row r="1856" spans="1:10" s="360" customFormat="1" x14ac:dyDescent="0.25">
      <c r="A1856" s="19" t="s">
        <v>30</v>
      </c>
      <c r="B1856" s="2">
        <v>43970</v>
      </c>
      <c r="C1856" s="1">
        <v>0</v>
      </c>
      <c r="D1856" s="39">
        <v>78</v>
      </c>
      <c r="E1856" s="1"/>
      <c r="F1856" s="39">
        <f t="shared" si="95"/>
        <v>0</v>
      </c>
      <c r="G1856" s="497"/>
      <c r="H1856" s="497"/>
      <c r="J1856" s="42"/>
    </row>
    <row r="1857" spans="1:10" x14ac:dyDescent="0.25">
      <c r="A1857" s="19" t="s">
        <v>31</v>
      </c>
      <c r="B1857" s="2">
        <v>43970</v>
      </c>
      <c r="C1857" s="1">
        <v>0</v>
      </c>
      <c r="D1857" s="39">
        <v>29</v>
      </c>
      <c r="F1857" s="39">
        <f t="shared" si="95"/>
        <v>0</v>
      </c>
    </row>
    <row r="1858" spans="1:10" s="360" customFormat="1" x14ac:dyDescent="0.25">
      <c r="A1858" s="19" t="s">
        <v>41</v>
      </c>
      <c r="B1858" s="2">
        <v>43970</v>
      </c>
      <c r="C1858" s="1">
        <v>0</v>
      </c>
      <c r="D1858" s="39">
        <v>0</v>
      </c>
      <c r="E1858" s="1"/>
      <c r="F1858" s="39">
        <f t="shared" ref="F1858:F1872" si="96">E1858+F1833</f>
        <v>0</v>
      </c>
      <c r="G1858" s="497"/>
      <c r="H1858" s="497"/>
      <c r="J1858" s="42"/>
    </row>
    <row r="1859" spans="1:10" s="360" customFormat="1" x14ac:dyDescent="0.25">
      <c r="A1859" s="19" t="s">
        <v>32</v>
      </c>
      <c r="B1859" s="2">
        <v>43970</v>
      </c>
      <c r="C1859" s="1">
        <v>0</v>
      </c>
      <c r="D1859" s="39">
        <v>5</v>
      </c>
      <c r="E1859" s="1"/>
      <c r="F1859" s="39">
        <f t="shared" si="96"/>
        <v>0</v>
      </c>
      <c r="G1859" s="497"/>
      <c r="H1859" s="497"/>
      <c r="J1859" s="42"/>
    </row>
    <row r="1860" spans="1:10" s="360" customFormat="1" x14ac:dyDescent="0.25">
      <c r="A1860" s="19" t="s">
        <v>33</v>
      </c>
      <c r="B1860" s="2">
        <v>43970</v>
      </c>
      <c r="C1860" s="1">
        <v>0</v>
      </c>
      <c r="D1860" s="39">
        <v>5</v>
      </c>
      <c r="E1860" s="1"/>
      <c r="F1860" s="39">
        <f t="shared" si="96"/>
        <v>0</v>
      </c>
      <c r="G1860" s="497"/>
      <c r="H1860" s="497"/>
      <c r="J1860" s="42"/>
    </row>
    <row r="1861" spans="1:10" s="360" customFormat="1" x14ac:dyDescent="0.25">
      <c r="A1861" s="19" t="s">
        <v>21</v>
      </c>
      <c r="B1861" s="2">
        <v>43970</v>
      </c>
      <c r="C1861" s="1">
        <v>0</v>
      </c>
      <c r="D1861" s="39">
        <v>63</v>
      </c>
      <c r="E1861" s="1"/>
      <c r="F1861" s="39">
        <f t="shared" si="96"/>
        <v>0</v>
      </c>
      <c r="G1861" s="497"/>
      <c r="H1861" s="497"/>
      <c r="J1861" s="42"/>
    </row>
    <row r="1862" spans="1:10" s="360" customFormat="1" x14ac:dyDescent="0.25">
      <c r="A1862" s="19" t="s">
        <v>17</v>
      </c>
      <c r="B1862" s="2">
        <v>43970</v>
      </c>
      <c r="C1862" s="1">
        <v>2</v>
      </c>
      <c r="D1862" s="39">
        <v>89</v>
      </c>
      <c r="E1862" s="1"/>
      <c r="F1862" s="39">
        <f t="shared" si="96"/>
        <v>0</v>
      </c>
      <c r="G1862" s="497"/>
      <c r="H1862" s="497"/>
      <c r="J1862" s="42"/>
    </row>
    <row r="1863" spans="1:10" s="360" customFormat="1" x14ac:dyDescent="0.25">
      <c r="A1863" s="19" t="s">
        <v>23</v>
      </c>
      <c r="B1863" s="2">
        <v>43970</v>
      </c>
      <c r="C1863" s="1">
        <v>0</v>
      </c>
      <c r="D1863" s="39">
        <v>25</v>
      </c>
      <c r="E1863" s="1"/>
      <c r="F1863" s="39">
        <f t="shared" si="96"/>
        <v>0</v>
      </c>
      <c r="G1863" s="497"/>
      <c r="H1863" s="497"/>
      <c r="J1863" s="42"/>
    </row>
    <row r="1864" spans="1:10" s="360" customFormat="1" x14ac:dyDescent="0.25">
      <c r="A1864" s="19" t="s">
        <v>19</v>
      </c>
      <c r="B1864" s="2">
        <v>43970</v>
      </c>
      <c r="C1864" s="1">
        <v>0</v>
      </c>
      <c r="D1864" s="39">
        <v>114</v>
      </c>
      <c r="E1864" s="1"/>
      <c r="F1864" s="39">
        <f t="shared" si="96"/>
        <v>0</v>
      </c>
      <c r="G1864" s="497"/>
      <c r="H1864" s="497"/>
      <c r="J1864" s="42"/>
    </row>
    <row r="1865" spans="1:10" s="360" customFormat="1" x14ac:dyDescent="0.25">
      <c r="A1865" s="19" t="s">
        <v>18</v>
      </c>
      <c r="B1865" s="2">
        <v>43970</v>
      </c>
      <c r="C1865" s="1">
        <v>6</v>
      </c>
      <c r="D1865" s="39">
        <v>331</v>
      </c>
      <c r="E1865" s="1"/>
      <c r="F1865" s="39">
        <f t="shared" si="96"/>
        <v>0</v>
      </c>
      <c r="G1865" s="497"/>
      <c r="H1865" s="497"/>
      <c r="J1865" s="42"/>
    </row>
    <row r="1866" spans="1:10" s="360" customFormat="1" x14ac:dyDescent="0.25">
      <c r="A1866" s="19" t="s">
        <v>34</v>
      </c>
      <c r="B1866" s="2">
        <v>43970</v>
      </c>
      <c r="C1866" s="1">
        <v>0</v>
      </c>
      <c r="D1866" s="39">
        <v>5</v>
      </c>
      <c r="E1866" s="1"/>
      <c r="F1866" s="39">
        <f t="shared" si="96"/>
        <v>0</v>
      </c>
      <c r="G1866" s="497"/>
      <c r="H1866" s="497"/>
      <c r="J1866" s="42"/>
    </row>
    <row r="1867" spans="1:10" s="360" customFormat="1" x14ac:dyDescent="0.25">
      <c r="A1867" s="19" t="s">
        <v>35</v>
      </c>
      <c r="B1867" s="2">
        <v>43970</v>
      </c>
      <c r="C1867" s="1">
        <v>0</v>
      </c>
      <c r="D1867" s="39">
        <v>4</v>
      </c>
      <c r="E1867" s="1"/>
      <c r="F1867" s="39">
        <f>E1867+F1843</f>
        <v>0</v>
      </c>
      <c r="G1867" s="497"/>
      <c r="H1867" s="497"/>
      <c r="J1867" s="42"/>
    </row>
    <row r="1868" spans="1:10" s="360" customFormat="1" x14ac:dyDescent="0.25">
      <c r="A1868" s="19" t="s">
        <v>36</v>
      </c>
      <c r="B1868" s="2">
        <v>43970</v>
      </c>
      <c r="C1868" s="1">
        <v>0</v>
      </c>
      <c r="D1868" s="39">
        <v>11</v>
      </c>
      <c r="E1868" s="1"/>
      <c r="F1868" s="39">
        <f t="shared" si="96"/>
        <v>0</v>
      </c>
      <c r="G1868" s="497"/>
      <c r="H1868" s="497"/>
      <c r="J1868" s="42"/>
    </row>
    <row r="1869" spans="1:10" s="360" customFormat="1" x14ac:dyDescent="0.25">
      <c r="A1869" s="19" t="s">
        <v>37</v>
      </c>
      <c r="B1869" s="2">
        <v>43970</v>
      </c>
      <c r="C1869" s="1">
        <v>0</v>
      </c>
      <c r="D1869" s="39">
        <v>49</v>
      </c>
      <c r="E1869" s="1"/>
      <c r="F1869" s="39">
        <f t="shared" si="96"/>
        <v>0</v>
      </c>
      <c r="G1869" s="497"/>
      <c r="H1869" s="497"/>
      <c r="J1869" s="42"/>
    </row>
    <row r="1870" spans="1:10" s="360" customFormat="1" x14ac:dyDescent="0.25">
      <c r="A1870" s="19" t="s">
        <v>22</v>
      </c>
      <c r="B1870" s="2">
        <v>43970</v>
      </c>
      <c r="C1870" s="1">
        <v>0</v>
      </c>
      <c r="D1870" s="39">
        <v>249</v>
      </c>
      <c r="E1870" s="1"/>
      <c r="F1870" s="39">
        <f>E1870+F1846</f>
        <v>3</v>
      </c>
      <c r="G1870" s="497"/>
      <c r="H1870" s="497"/>
      <c r="J1870" s="42"/>
    </row>
    <row r="1871" spans="1:10" s="360" customFormat="1" x14ac:dyDescent="0.25">
      <c r="A1871" s="19" t="s">
        <v>38</v>
      </c>
      <c r="B1871" s="2">
        <v>43970</v>
      </c>
      <c r="C1871" s="1">
        <v>6</v>
      </c>
      <c r="D1871" s="39">
        <v>22</v>
      </c>
      <c r="E1871" s="1"/>
      <c r="F1871" s="39">
        <f>E1871+F1847</f>
        <v>0</v>
      </c>
      <c r="G1871" s="497"/>
      <c r="H1871" s="497"/>
      <c r="J1871" s="42"/>
    </row>
    <row r="1872" spans="1:10" s="360" customFormat="1" x14ac:dyDescent="0.25">
      <c r="A1872" s="19" t="s">
        <v>39</v>
      </c>
      <c r="B1872" s="2">
        <v>43970</v>
      </c>
      <c r="C1872" s="1">
        <v>0</v>
      </c>
      <c r="D1872" s="39">
        <v>148</v>
      </c>
      <c r="E1872" s="1"/>
      <c r="F1872" s="39">
        <f t="shared" si="96"/>
        <v>0</v>
      </c>
      <c r="G1872" s="497"/>
      <c r="H1872" s="497"/>
      <c r="J1872" s="42"/>
    </row>
    <row r="1873" spans="1:10" s="360" customFormat="1" x14ac:dyDescent="0.25">
      <c r="A1873" s="19" t="s">
        <v>40</v>
      </c>
      <c r="B1873" s="2">
        <v>43970</v>
      </c>
      <c r="C1873" s="1">
        <v>0</v>
      </c>
      <c r="D1873" s="39">
        <v>42</v>
      </c>
      <c r="E1873" s="1"/>
      <c r="F1873" s="39">
        <f>E1873+F1849</f>
        <v>3</v>
      </c>
      <c r="G1873" s="497"/>
      <c r="H1873" s="497"/>
      <c r="J1873" s="42"/>
    </row>
    <row r="1874" spans="1:10" s="360" customFormat="1" x14ac:dyDescent="0.25">
      <c r="A1874" s="361" t="s">
        <v>16</v>
      </c>
      <c r="B1874" s="2">
        <v>43971</v>
      </c>
      <c r="C1874" s="1">
        <v>178</v>
      </c>
      <c r="D1874" s="39">
        <v>3096</v>
      </c>
      <c r="E1874" s="1">
        <v>5</v>
      </c>
      <c r="F1874" s="39">
        <f>E1874+F1850</f>
        <v>162</v>
      </c>
      <c r="G1874" s="497"/>
      <c r="H1874" s="497"/>
      <c r="J1874" s="42"/>
    </row>
    <row r="1875" spans="1:10" s="360" customFormat="1" x14ac:dyDescent="0.25">
      <c r="A1875" s="19" t="s">
        <v>28</v>
      </c>
      <c r="B1875" s="2">
        <v>43971</v>
      </c>
      <c r="C1875" s="1">
        <v>0</v>
      </c>
      <c r="D1875" s="39">
        <v>0</v>
      </c>
      <c r="E1875" s="1"/>
      <c r="F1875" s="39">
        <f t="shared" ref="F1875:F1881" si="97">E1875+F1851</f>
        <v>0</v>
      </c>
      <c r="G1875" s="497"/>
      <c r="H1875" s="497"/>
      <c r="J1875" s="42"/>
    </row>
    <row r="1876" spans="1:10" s="360" customFormat="1" x14ac:dyDescent="0.25">
      <c r="A1876" s="19" t="s">
        <v>15</v>
      </c>
      <c r="B1876" s="2">
        <v>43971</v>
      </c>
      <c r="C1876" s="1">
        <v>35</v>
      </c>
      <c r="D1876" s="39">
        <v>660</v>
      </c>
      <c r="E1876" s="1">
        <v>1</v>
      </c>
      <c r="F1876" s="39">
        <f t="shared" si="97"/>
        <v>34</v>
      </c>
      <c r="G1876" s="497"/>
      <c r="H1876" s="497"/>
      <c r="J1876" s="42"/>
    </row>
    <row r="1877" spans="1:10" s="360" customFormat="1" x14ac:dyDescent="0.25">
      <c r="A1877" s="19" t="s">
        <v>29</v>
      </c>
      <c r="B1877" s="2">
        <v>43971</v>
      </c>
      <c r="C1877" s="1">
        <v>0</v>
      </c>
      <c r="D1877" s="39">
        <v>4</v>
      </c>
      <c r="E1877" s="1"/>
      <c r="F1877" s="39">
        <f t="shared" si="97"/>
        <v>1</v>
      </c>
      <c r="G1877" s="497"/>
      <c r="H1877" s="497"/>
      <c r="J1877" s="42"/>
    </row>
    <row r="1878" spans="1:10" s="360" customFormat="1" x14ac:dyDescent="0.25">
      <c r="A1878" s="19" t="s">
        <v>43</v>
      </c>
      <c r="B1878" s="2">
        <v>43971</v>
      </c>
      <c r="C1878" s="1">
        <v>257</v>
      </c>
      <c r="D1878" s="39">
        <v>3822</v>
      </c>
      <c r="E1878" s="1">
        <v>2</v>
      </c>
      <c r="F1878" s="39">
        <f>E1878+F1854</f>
        <v>134</v>
      </c>
      <c r="G1878" s="497"/>
      <c r="H1878" s="497"/>
      <c r="J1878" s="42"/>
    </row>
    <row r="1879" spans="1:10" s="360" customFormat="1" x14ac:dyDescent="0.25">
      <c r="A1879" s="19" t="s">
        <v>20</v>
      </c>
      <c r="B1879" s="2">
        <v>43971</v>
      </c>
      <c r="C1879" s="1">
        <v>2</v>
      </c>
      <c r="D1879" s="39">
        <v>429</v>
      </c>
      <c r="E1879" s="1">
        <v>1</v>
      </c>
      <c r="F1879" s="39">
        <f t="shared" si="97"/>
        <v>24</v>
      </c>
      <c r="G1879" s="497"/>
      <c r="H1879" s="497"/>
      <c r="J1879" s="42"/>
    </row>
    <row r="1880" spans="1:10" s="360" customFormat="1" x14ac:dyDescent="0.25">
      <c r="A1880" s="19" t="s">
        <v>30</v>
      </c>
      <c r="B1880" s="2">
        <v>43971</v>
      </c>
      <c r="C1880" s="1">
        <v>0</v>
      </c>
      <c r="D1880" s="39">
        <v>78</v>
      </c>
      <c r="E1880" s="1"/>
      <c r="F1880" s="39">
        <f t="shared" si="97"/>
        <v>0</v>
      </c>
      <c r="G1880" s="497"/>
      <c r="H1880" s="497"/>
      <c r="J1880" s="42"/>
    </row>
    <row r="1881" spans="1:10" x14ac:dyDescent="0.25">
      <c r="A1881" s="19" t="s">
        <v>31</v>
      </c>
      <c r="B1881" s="2">
        <v>43971</v>
      </c>
      <c r="C1881" s="1">
        <v>0</v>
      </c>
      <c r="D1881" s="39">
        <v>29</v>
      </c>
      <c r="F1881" s="39">
        <f t="shared" si="97"/>
        <v>0</v>
      </c>
    </row>
    <row r="1882" spans="1:10" s="360" customFormat="1" x14ac:dyDescent="0.25">
      <c r="A1882" s="19" t="s">
        <v>41</v>
      </c>
      <c r="B1882" s="2">
        <v>43971</v>
      </c>
      <c r="C1882" s="1">
        <v>0</v>
      </c>
      <c r="D1882" s="39">
        <v>0</v>
      </c>
      <c r="E1882" s="1"/>
      <c r="F1882" s="39">
        <f t="shared" ref="F1882:F1896" si="98">E1882+F1857</f>
        <v>0</v>
      </c>
      <c r="G1882" s="497"/>
      <c r="H1882" s="497"/>
      <c r="J1882" s="42"/>
    </row>
    <row r="1883" spans="1:10" s="360" customFormat="1" x14ac:dyDescent="0.25">
      <c r="A1883" s="19" t="s">
        <v>32</v>
      </c>
      <c r="B1883" s="2">
        <v>43971</v>
      </c>
      <c r="C1883" s="1">
        <v>0</v>
      </c>
      <c r="D1883" s="39">
        <v>5</v>
      </c>
      <c r="E1883" s="1"/>
      <c r="F1883" s="39">
        <f t="shared" si="98"/>
        <v>0</v>
      </c>
      <c r="G1883" s="497"/>
      <c r="H1883" s="497"/>
      <c r="J1883" s="42"/>
    </row>
    <row r="1884" spans="1:10" s="360" customFormat="1" x14ac:dyDescent="0.25">
      <c r="A1884" s="19" t="s">
        <v>33</v>
      </c>
      <c r="B1884" s="2">
        <v>43971</v>
      </c>
      <c r="C1884" s="1">
        <v>0</v>
      </c>
      <c r="D1884" s="39">
        <v>5</v>
      </c>
      <c r="E1884" s="1"/>
      <c r="F1884" s="39">
        <f t="shared" si="98"/>
        <v>0</v>
      </c>
      <c r="G1884" s="497"/>
      <c r="H1884" s="497"/>
      <c r="J1884" s="42"/>
    </row>
    <row r="1885" spans="1:10" s="360" customFormat="1" x14ac:dyDescent="0.25">
      <c r="A1885" s="19" t="s">
        <v>21</v>
      </c>
      <c r="B1885" s="2">
        <v>43971</v>
      </c>
      <c r="C1885" s="1">
        <v>0</v>
      </c>
      <c r="D1885" s="39">
        <v>63</v>
      </c>
      <c r="E1885" s="1"/>
      <c r="F1885" s="39">
        <f t="shared" si="98"/>
        <v>0</v>
      </c>
      <c r="G1885" s="497"/>
      <c r="H1885" s="497"/>
      <c r="J1885" s="42"/>
    </row>
    <row r="1886" spans="1:10" s="360" customFormat="1" x14ac:dyDescent="0.25">
      <c r="A1886" s="19" t="s">
        <v>17</v>
      </c>
      <c r="B1886" s="2">
        <v>43971</v>
      </c>
      <c r="C1886" s="1">
        <v>0</v>
      </c>
      <c r="D1886" s="39">
        <v>89</v>
      </c>
      <c r="E1886" s="1"/>
      <c r="F1886" s="39">
        <f t="shared" si="98"/>
        <v>0</v>
      </c>
      <c r="G1886" s="497"/>
      <c r="H1886" s="497"/>
      <c r="J1886" s="42"/>
    </row>
    <row r="1887" spans="1:10" s="360" customFormat="1" x14ac:dyDescent="0.25">
      <c r="A1887" s="19" t="s">
        <v>23</v>
      </c>
      <c r="B1887" s="2">
        <v>43971</v>
      </c>
      <c r="C1887" s="1">
        <v>0</v>
      </c>
      <c r="D1887" s="39">
        <v>25</v>
      </c>
      <c r="E1887" s="1"/>
      <c r="F1887" s="39">
        <f t="shared" si="98"/>
        <v>0</v>
      </c>
      <c r="G1887" s="497"/>
      <c r="H1887" s="497"/>
      <c r="J1887" s="42"/>
    </row>
    <row r="1888" spans="1:10" s="360" customFormat="1" x14ac:dyDescent="0.25">
      <c r="A1888" s="19" t="s">
        <v>19</v>
      </c>
      <c r="B1888" s="2">
        <v>43971</v>
      </c>
      <c r="C1888" s="1">
        <v>0</v>
      </c>
      <c r="D1888" s="39">
        <v>114</v>
      </c>
      <c r="E1888" s="1"/>
      <c r="F1888" s="39">
        <f t="shared" si="98"/>
        <v>0</v>
      </c>
      <c r="G1888" s="497"/>
      <c r="H1888" s="497"/>
      <c r="J1888" s="42"/>
    </row>
    <row r="1889" spans="1:10" s="360" customFormat="1" x14ac:dyDescent="0.25">
      <c r="A1889" s="19" t="s">
        <v>18</v>
      </c>
      <c r="B1889" s="2">
        <v>43971</v>
      </c>
      <c r="C1889" s="1">
        <v>2</v>
      </c>
      <c r="D1889" s="39">
        <v>333</v>
      </c>
      <c r="E1889" s="1">
        <v>1</v>
      </c>
      <c r="F1889" s="39">
        <f t="shared" si="98"/>
        <v>1</v>
      </c>
      <c r="G1889" s="497"/>
      <c r="H1889" s="497"/>
      <c r="J1889" s="42"/>
    </row>
    <row r="1890" spans="1:10" s="360" customFormat="1" x14ac:dyDescent="0.25">
      <c r="A1890" s="19" t="s">
        <v>34</v>
      </c>
      <c r="B1890" s="2">
        <v>43971</v>
      </c>
      <c r="C1890" s="1">
        <v>0</v>
      </c>
      <c r="D1890" s="39">
        <v>5</v>
      </c>
      <c r="E1890" s="1"/>
      <c r="F1890" s="39">
        <f t="shared" si="98"/>
        <v>0</v>
      </c>
      <c r="G1890" s="497"/>
      <c r="H1890" s="497"/>
      <c r="J1890" s="42"/>
    </row>
    <row r="1891" spans="1:10" s="360" customFormat="1" x14ac:dyDescent="0.25">
      <c r="A1891" s="19" t="s">
        <v>35</v>
      </c>
      <c r="B1891" s="2">
        <v>43971</v>
      </c>
      <c r="C1891" s="1">
        <v>0</v>
      </c>
      <c r="D1891" s="39">
        <v>4</v>
      </c>
      <c r="E1891" s="1"/>
      <c r="F1891" s="39">
        <f>E1891+F1867</f>
        <v>0</v>
      </c>
      <c r="G1891" s="497"/>
      <c r="H1891" s="497"/>
      <c r="J1891" s="42"/>
    </row>
    <row r="1892" spans="1:10" s="360" customFormat="1" x14ac:dyDescent="0.25">
      <c r="A1892" s="19" t="s">
        <v>36</v>
      </c>
      <c r="B1892" s="2">
        <v>43971</v>
      </c>
      <c r="C1892" s="1">
        <v>0</v>
      </c>
      <c r="D1892" s="39">
        <v>11</v>
      </c>
      <c r="E1892" s="1"/>
      <c r="F1892" s="39">
        <f t="shared" si="98"/>
        <v>0</v>
      </c>
      <c r="G1892" s="497"/>
      <c r="H1892" s="497"/>
      <c r="J1892" s="42"/>
    </row>
    <row r="1893" spans="1:10" s="360" customFormat="1" x14ac:dyDescent="0.25">
      <c r="A1893" s="19" t="s">
        <v>37</v>
      </c>
      <c r="B1893" s="2">
        <v>43971</v>
      </c>
      <c r="C1893" s="1">
        <v>0</v>
      </c>
      <c r="D1893" s="39">
        <v>49</v>
      </c>
      <c r="E1893" s="1"/>
      <c r="F1893" s="39">
        <f t="shared" si="98"/>
        <v>0</v>
      </c>
      <c r="G1893" s="497"/>
      <c r="H1893" s="497"/>
      <c r="J1893" s="42"/>
    </row>
    <row r="1894" spans="1:10" s="360" customFormat="1" x14ac:dyDescent="0.25">
      <c r="A1894" s="19" t="s">
        <v>22</v>
      </c>
      <c r="B1894" s="2">
        <v>43971</v>
      </c>
      <c r="C1894" s="1">
        <v>0</v>
      </c>
      <c r="D1894" s="39">
        <v>249</v>
      </c>
      <c r="E1894" s="1"/>
      <c r="F1894" s="39">
        <f>E1894+F1870</f>
        <v>3</v>
      </c>
      <c r="G1894" s="497"/>
      <c r="H1894" s="497"/>
      <c r="J1894" s="42"/>
    </row>
    <row r="1895" spans="1:10" s="360" customFormat="1" x14ac:dyDescent="0.25">
      <c r="A1895" s="19" t="s">
        <v>38</v>
      </c>
      <c r="B1895" s="2">
        <v>43971</v>
      </c>
      <c r="C1895" s="1">
        <v>0</v>
      </c>
      <c r="D1895" s="39">
        <v>22</v>
      </c>
      <c r="E1895" s="1"/>
      <c r="F1895" s="39">
        <f>E1895+F1871</f>
        <v>0</v>
      </c>
      <c r="G1895" s="497"/>
      <c r="H1895" s="497"/>
      <c r="J1895" s="42"/>
    </row>
    <row r="1896" spans="1:10" s="360" customFormat="1" x14ac:dyDescent="0.25">
      <c r="A1896" s="19" t="s">
        <v>39</v>
      </c>
      <c r="B1896" s="2">
        <v>43971</v>
      </c>
      <c r="C1896" s="1">
        <v>0</v>
      </c>
      <c r="D1896" s="39">
        <v>148</v>
      </c>
      <c r="E1896" s="1"/>
      <c r="F1896" s="39">
        <f t="shared" si="98"/>
        <v>0</v>
      </c>
      <c r="G1896" s="497"/>
      <c r="H1896" s="497"/>
      <c r="J1896" s="42"/>
    </row>
    <row r="1897" spans="1:10" s="360" customFormat="1" x14ac:dyDescent="0.25">
      <c r="A1897" s="19" t="s">
        <v>40</v>
      </c>
      <c r="B1897" s="2">
        <v>43971</v>
      </c>
      <c r="C1897" s="1">
        <v>0</v>
      </c>
      <c r="D1897" s="39">
        <v>42</v>
      </c>
      <c r="E1897" s="1"/>
      <c r="F1897" s="39">
        <f>E1897+F1873</f>
        <v>3</v>
      </c>
      <c r="G1897" s="497"/>
      <c r="H1897" s="497"/>
      <c r="J1897" s="42"/>
    </row>
    <row r="1898" spans="1:10" s="360" customFormat="1" x14ac:dyDescent="0.25">
      <c r="A1898" s="361" t="s">
        <v>16</v>
      </c>
      <c r="B1898" s="2">
        <v>43972</v>
      </c>
      <c r="C1898" s="1">
        <v>213</v>
      </c>
      <c r="D1898" s="39">
        <v>3309</v>
      </c>
      <c r="E1898" s="1">
        <v>9</v>
      </c>
      <c r="F1898" s="39">
        <f>E1898+F1874</f>
        <v>171</v>
      </c>
      <c r="G1898" s="497"/>
      <c r="H1898" s="497"/>
      <c r="J1898" s="42"/>
    </row>
    <row r="1899" spans="1:10" s="360" customFormat="1" x14ac:dyDescent="0.25">
      <c r="A1899" s="19" t="s">
        <v>28</v>
      </c>
      <c r="B1899" s="2">
        <v>43972</v>
      </c>
      <c r="C1899" s="1">
        <v>0</v>
      </c>
      <c r="D1899" s="39">
        <v>0</v>
      </c>
      <c r="E1899" s="1"/>
      <c r="F1899" s="39">
        <f t="shared" ref="F1899:F1905" si="99">E1899+F1875</f>
        <v>0</v>
      </c>
      <c r="G1899" s="497"/>
      <c r="H1899" s="497"/>
      <c r="J1899" s="42"/>
    </row>
    <row r="1900" spans="1:10" s="360" customFormat="1" x14ac:dyDescent="0.25">
      <c r="A1900" s="19" t="s">
        <v>15</v>
      </c>
      <c r="B1900" s="2">
        <v>43972</v>
      </c>
      <c r="C1900" s="1">
        <v>34</v>
      </c>
      <c r="D1900" s="39">
        <v>694</v>
      </c>
      <c r="E1900" s="1">
        <v>2</v>
      </c>
      <c r="F1900" s="39">
        <f t="shared" si="99"/>
        <v>36</v>
      </c>
      <c r="G1900" s="497"/>
      <c r="H1900" s="497"/>
      <c r="J1900" s="42"/>
    </row>
    <row r="1901" spans="1:10" s="360" customFormat="1" x14ac:dyDescent="0.25">
      <c r="A1901" s="19" t="s">
        <v>29</v>
      </c>
      <c r="B1901" s="2">
        <v>43972</v>
      </c>
      <c r="C1901" s="1">
        <v>0</v>
      </c>
      <c r="D1901" s="39">
        <v>4</v>
      </c>
      <c r="E1901" s="1"/>
      <c r="F1901" s="39">
        <f t="shared" si="99"/>
        <v>1</v>
      </c>
      <c r="G1901" s="497"/>
      <c r="H1901" s="497"/>
      <c r="J1901" s="42"/>
    </row>
    <row r="1902" spans="1:10" s="360" customFormat="1" x14ac:dyDescent="0.25">
      <c r="A1902" s="19" t="s">
        <v>43</v>
      </c>
      <c r="B1902" s="2">
        <v>43972</v>
      </c>
      <c r="C1902" s="1">
        <v>379</v>
      </c>
      <c r="D1902" s="39">
        <v>4201</v>
      </c>
      <c r="E1902" s="1">
        <v>2</v>
      </c>
      <c r="F1902" s="39">
        <f>E1902+F1878</f>
        <v>136</v>
      </c>
      <c r="G1902" s="497"/>
      <c r="H1902" s="497"/>
      <c r="J1902" s="42"/>
    </row>
    <row r="1903" spans="1:10" s="360" customFormat="1" x14ac:dyDescent="0.25">
      <c r="A1903" s="19" t="s">
        <v>20</v>
      </c>
      <c r="B1903" s="2">
        <v>43972</v>
      </c>
      <c r="C1903" s="1">
        <v>12</v>
      </c>
      <c r="D1903" s="39">
        <v>441</v>
      </c>
      <c r="E1903" s="1"/>
      <c r="F1903" s="39">
        <f t="shared" si="99"/>
        <v>24</v>
      </c>
      <c r="G1903" s="497"/>
      <c r="H1903" s="497"/>
      <c r="J1903" s="42"/>
    </row>
    <row r="1904" spans="1:10" s="360" customFormat="1" x14ac:dyDescent="0.25">
      <c r="A1904" s="19" t="s">
        <v>30</v>
      </c>
      <c r="B1904" s="2">
        <v>43972</v>
      </c>
      <c r="C1904" s="1">
        <v>0</v>
      </c>
      <c r="D1904" s="39">
        <v>78</v>
      </c>
      <c r="E1904" s="1"/>
      <c r="F1904" s="39">
        <f t="shared" si="99"/>
        <v>0</v>
      </c>
      <c r="G1904" s="497"/>
      <c r="H1904" s="497"/>
      <c r="J1904" s="42"/>
    </row>
    <row r="1905" spans="1:10" x14ac:dyDescent="0.25">
      <c r="A1905" s="19" t="s">
        <v>31</v>
      </c>
      <c r="B1905" s="2">
        <v>43972</v>
      </c>
      <c r="C1905" s="1">
        <v>0</v>
      </c>
      <c r="D1905" s="39">
        <v>29</v>
      </c>
      <c r="F1905" s="39">
        <f t="shared" si="99"/>
        <v>0</v>
      </c>
    </row>
    <row r="1906" spans="1:10" s="360" customFormat="1" x14ac:dyDescent="0.25">
      <c r="A1906" s="19" t="s">
        <v>41</v>
      </c>
      <c r="B1906" s="2">
        <v>43972</v>
      </c>
      <c r="C1906" s="1">
        <v>0</v>
      </c>
      <c r="D1906" s="39">
        <v>0</v>
      </c>
      <c r="E1906" s="1"/>
      <c r="F1906" s="39">
        <f t="shared" ref="F1906:F1920" si="100">E1906+F1881</f>
        <v>0</v>
      </c>
      <c r="G1906" s="497"/>
      <c r="H1906" s="497"/>
      <c r="J1906" s="42"/>
    </row>
    <row r="1907" spans="1:10" s="360" customFormat="1" x14ac:dyDescent="0.25">
      <c r="A1907" s="19" t="s">
        <v>32</v>
      </c>
      <c r="B1907" s="2">
        <v>43972</v>
      </c>
      <c r="C1907" s="1">
        <v>0</v>
      </c>
      <c r="D1907" s="39">
        <v>5</v>
      </c>
      <c r="E1907" s="1"/>
      <c r="F1907" s="39">
        <f t="shared" si="100"/>
        <v>0</v>
      </c>
      <c r="G1907" s="497"/>
      <c r="H1907" s="497"/>
      <c r="J1907" s="42"/>
    </row>
    <row r="1908" spans="1:10" s="360" customFormat="1" x14ac:dyDescent="0.25">
      <c r="A1908" s="19" t="s">
        <v>33</v>
      </c>
      <c r="B1908" s="2">
        <v>43972</v>
      </c>
      <c r="C1908" s="1">
        <v>0</v>
      </c>
      <c r="D1908" s="39">
        <v>5</v>
      </c>
      <c r="E1908" s="1"/>
      <c r="F1908" s="39">
        <f t="shared" si="100"/>
        <v>0</v>
      </c>
      <c r="G1908" s="497"/>
      <c r="H1908" s="497"/>
      <c r="J1908" s="42"/>
    </row>
    <row r="1909" spans="1:10" s="360" customFormat="1" x14ac:dyDescent="0.25">
      <c r="A1909" s="19" t="s">
        <v>21</v>
      </c>
      <c r="B1909" s="2">
        <v>43972</v>
      </c>
      <c r="C1909" s="1">
        <v>0</v>
      </c>
      <c r="D1909" s="39">
        <v>63</v>
      </c>
      <c r="E1909" s="1"/>
      <c r="F1909" s="39">
        <f t="shared" si="100"/>
        <v>0</v>
      </c>
      <c r="G1909" s="497"/>
      <c r="H1909" s="497"/>
      <c r="J1909" s="42"/>
    </row>
    <row r="1910" spans="1:10" s="360" customFormat="1" x14ac:dyDescent="0.25">
      <c r="A1910" s="19" t="s">
        <v>17</v>
      </c>
      <c r="B1910" s="2">
        <v>43972</v>
      </c>
      <c r="C1910" s="1">
        <v>1</v>
      </c>
      <c r="D1910" s="39">
        <v>90</v>
      </c>
      <c r="E1910" s="1"/>
      <c r="F1910" s="39">
        <f t="shared" si="100"/>
        <v>0</v>
      </c>
      <c r="G1910" s="497"/>
      <c r="H1910" s="497"/>
      <c r="J1910" s="42"/>
    </row>
    <row r="1911" spans="1:10" s="360" customFormat="1" x14ac:dyDescent="0.25">
      <c r="A1911" s="19" t="s">
        <v>23</v>
      </c>
      <c r="B1911" s="2">
        <v>43972</v>
      </c>
      <c r="C1911" s="1">
        <v>0</v>
      </c>
      <c r="D1911" s="39">
        <v>25</v>
      </c>
      <c r="E1911" s="1"/>
      <c r="F1911" s="39">
        <f t="shared" si="100"/>
        <v>0</v>
      </c>
      <c r="G1911" s="497"/>
      <c r="H1911" s="497"/>
      <c r="J1911" s="42"/>
    </row>
    <row r="1912" spans="1:10" s="360" customFormat="1" x14ac:dyDescent="0.25">
      <c r="A1912" s="19" t="s">
        <v>19</v>
      </c>
      <c r="B1912" s="2">
        <v>43972</v>
      </c>
      <c r="C1912" s="1">
        <v>0</v>
      </c>
      <c r="D1912" s="39">
        <v>114</v>
      </c>
      <c r="E1912" s="1"/>
      <c r="F1912" s="39">
        <f t="shared" si="100"/>
        <v>0</v>
      </c>
      <c r="G1912" s="497"/>
      <c r="H1912" s="497"/>
      <c r="J1912" s="42"/>
    </row>
    <row r="1913" spans="1:10" s="360" customFormat="1" x14ac:dyDescent="0.25">
      <c r="A1913" s="19" t="s">
        <v>18</v>
      </c>
      <c r="B1913" s="2">
        <v>43972</v>
      </c>
      <c r="C1913" s="1">
        <v>3</v>
      </c>
      <c r="D1913" s="39">
        <v>336</v>
      </c>
      <c r="E1913" s="1"/>
      <c r="F1913" s="39">
        <f t="shared" si="100"/>
        <v>0</v>
      </c>
      <c r="G1913" s="497"/>
      <c r="H1913" s="497"/>
      <c r="J1913" s="42"/>
    </row>
    <row r="1914" spans="1:10" s="360" customFormat="1" x14ac:dyDescent="0.25">
      <c r="A1914" s="19" t="s">
        <v>34</v>
      </c>
      <c r="B1914" s="2">
        <v>43972</v>
      </c>
      <c r="C1914" s="1">
        <v>0</v>
      </c>
      <c r="D1914" s="39">
        <v>5</v>
      </c>
      <c r="E1914" s="1"/>
      <c r="F1914" s="39">
        <f t="shared" si="100"/>
        <v>1</v>
      </c>
      <c r="G1914" s="497"/>
      <c r="H1914" s="497"/>
      <c r="J1914" s="42"/>
    </row>
    <row r="1915" spans="1:10" s="360" customFormat="1" x14ac:dyDescent="0.25">
      <c r="A1915" s="19" t="s">
        <v>35</v>
      </c>
      <c r="B1915" s="2">
        <v>43972</v>
      </c>
      <c r="C1915" s="1">
        <v>0</v>
      </c>
      <c r="D1915" s="39">
        <v>4</v>
      </c>
      <c r="E1915" s="1"/>
      <c r="F1915" s="39">
        <f>E1915+F1891</f>
        <v>0</v>
      </c>
      <c r="G1915" s="497"/>
      <c r="H1915" s="497"/>
      <c r="J1915" s="42"/>
    </row>
    <row r="1916" spans="1:10" s="360" customFormat="1" x14ac:dyDescent="0.25">
      <c r="A1916" s="19" t="s">
        <v>36</v>
      </c>
      <c r="B1916" s="2">
        <v>43972</v>
      </c>
      <c r="C1916" s="1">
        <v>0</v>
      </c>
      <c r="D1916" s="39">
        <v>11</v>
      </c>
      <c r="E1916" s="1"/>
      <c r="F1916" s="39">
        <f t="shared" si="100"/>
        <v>0</v>
      </c>
      <c r="G1916" s="497"/>
      <c r="H1916" s="497"/>
      <c r="J1916" s="42"/>
    </row>
    <row r="1917" spans="1:10" s="360" customFormat="1" x14ac:dyDescent="0.25">
      <c r="A1917" s="19" t="s">
        <v>37</v>
      </c>
      <c r="B1917" s="2">
        <v>43972</v>
      </c>
      <c r="C1917" s="1">
        <v>0</v>
      </c>
      <c r="D1917" s="39">
        <v>49</v>
      </c>
      <c r="E1917" s="1"/>
      <c r="F1917" s="39">
        <f t="shared" si="100"/>
        <v>0</v>
      </c>
      <c r="G1917" s="497"/>
      <c r="H1917" s="497"/>
      <c r="J1917" s="42"/>
    </row>
    <row r="1918" spans="1:10" s="360" customFormat="1" x14ac:dyDescent="0.25">
      <c r="A1918" s="19" t="s">
        <v>22</v>
      </c>
      <c r="B1918" s="2">
        <v>43972</v>
      </c>
      <c r="C1918" s="1">
        <v>5</v>
      </c>
      <c r="D1918" s="39">
        <v>254</v>
      </c>
      <c r="E1918" s="1"/>
      <c r="F1918" s="39">
        <f>E1918+F1894</f>
        <v>3</v>
      </c>
      <c r="G1918" s="497"/>
      <c r="H1918" s="497"/>
      <c r="J1918" s="42"/>
    </row>
    <row r="1919" spans="1:10" s="360" customFormat="1" x14ac:dyDescent="0.25">
      <c r="A1919" s="19" t="s">
        <v>38</v>
      </c>
      <c r="B1919" s="2">
        <v>43972</v>
      </c>
      <c r="C1919" s="1">
        <v>0</v>
      </c>
      <c r="D1919" s="39">
        <v>22</v>
      </c>
      <c r="E1919" s="1"/>
      <c r="F1919" s="39">
        <f>E1919+F1895</f>
        <v>0</v>
      </c>
      <c r="G1919" s="497"/>
      <c r="H1919" s="497"/>
      <c r="J1919" s="42"/>
    </row>
    <row r="1920" spans="1:10" s="360" customFormat="1" x14ac:dyDescent="0.25">
      <c r="A1920" s="19" t="s">
        <v>39</v>
      </c>
      <c r="B1920" s="2">
        <v>43972</v>
      </c>
      <c r="C1920" s="1">
        <v>0</v>
      </c>
      <c r="D1920" s="39">
        <v>148</v>
      </c>
      <c r="E1920" s="1"/>
      <c r="F1920" s="39">
        <f t="shared" si="100"/>
        <v>0</v>
      </c>
      <c r="G1920" s="497"/>
      <c r="H1920" s="497"/>
      <c r="J1920" s="42"/>
    </row>
    <row r="1921" spans="1:10" s="360" customFormat="1" x14ac:dyDescent="0.25">
      <c r="A1921" s="19" t="s">
        <v>40</v>
      </c>
      <c r="B1921" s="2">
        <v>43972</v>
      </c>
      <c r="C1921" s="1">
        <v>1</v>
      </c>
      <c r="D1921" s="39">
        <v>43</v>
      </c>
      <c r="E1921" s="1"/>
      <c r="F1921" s="39">
        <f>E1921+F1897</f>
        <v>3</v>
      </c>
      <c r="G1921" s="497"/>
      <c r="H1921" s="497"/>
      <c r="J1921" s="42"/>
    </row>
    <row r="1922" spans="1:10" s="360" customFormat="1" x14ac:dyDescent="0.25">
      <c r="A1922" s="361" t="s">
        <v>16</v>
      </c>
      <c r="B1922" s="2">
        <v>43973</v>
      </c>
      <c r="C1922" s="1">
        <v>266</v>
      </c>
      <c r="D1922" s="39">
        <v>3575</v>
      </c>
      <c r="E1922" s="1">
        <v>5</v>
      </c>
      <c r="F1922" s="39">
        <f>E1922+F1898</f>
        <v>176</v>
      </c>
      <c r="G1922" s="497"/>
      <c r="H1922" s="497"/>
      <c r="J1922" s="42"/>
    </row>
    <row r="1923" spans="1:10" s="360" customFormat="1" x14ac:dyDescent="0.25">
      <c r="A1923" s="19" t="s">
        <v>28</v>
      </c>
      <c r="B1923" s="2">
        <v>43973</v>
      </c>
      <c r="C1923" s="1">
        <v>0</v>
      </c>
      <c r="D1923" s="39">
        <v>0</v>
      </c>
      <c r="E1923" s="1"/>
      <c r="F1923" s="39">
        <f t="shared" ref="F1923:F1929" si="101">E1923+F1899</f>
        <v>0</v>
      </c>
      <c r="G1923" s="497"/>
      <c r="H1923" s="497"/>
      <c r="J1923" s="42"/>
    </row>
    <row r="1924" spans="1:10" s="360" customFormat="1" x14ac:dyDescent="0.25">
      <c r="A1924" s="19" t="s">
        <v>15</v>
      </c>
      <c r="B1924" s="2">
        <v>43973</v>
      </c>
      <c r="C1924" s="1">
        <v>27</v>
      </c>
      <c r="D1924" s="39">
        <v>721</v>
      </c>
      <c r="E1924" s="1">
        <v>2</v>
      </c>
      <c r="F1924" s="39">
        <f t="shared" si="101"/>
        <v>38</v>
      </c>
      <c r="G1924" s="497"/>
      <c r="H1924" s="497"/>
      <c r="J1924" s="42"/>
    </row>
    <row r="1925" spans="1:10" s="360" customFormat="1" x14ac:dyDescent="0.25">
      <c r="A1925" s="19" t="s">
        <v>29</v>
      </c>
      <c r="B1925" s="2">
        <v>43973</v>
      </c>
      <c r="C1925" s="1">
        <v>0</v>
      </c>
      <c r="D1925" s="39">
        <v>4</v>
      </c>
      <c r="E1925" s="1"/>
      <c r="F1925" s="39">
        <f t="shared" si="101"/>
        <v>1</v>
      </c>
      <c r="G1925" s="497"/>
      <c r="H1925" s="497"/>
      <c r="J1925" s="42"/>
    </row>
    <row r="1926" spans="1:10" s="360" customFormat="1" x14ac:dyDescent="0.25">
      <c r="A1926" s="19" t="s">
        <v>43</v>
      </c>
      <c r="B1926" s="2">
        <v>43973</v>
      </c>
      <c r="C1926" s="1">
        <v>404</v>
      </c>
      <c r="D1926" s="39">
        <v>4605</v>
      </c>
      <c r="E1926" s="1">
        <v>7</v>
      </c>
      <c r="F1926" s="39">
        <f t="shared" si="101"/>
        <v>143</v>
      </c>
      <c r="G1926" s="497"/>
      <c r="H1926" s="497"/>
      <c r="J1926" s="42"/>
    </row>
    <row r="1927" spans="1:10" s="360" customFormat="1" x14ac:dyDescent="0.25">
      <c r="A1927" s="19" t="s">
        <v>20</v>
      </c>
      <c r="B1927" s="2">
        <v>43973</v>
      </c>
      <c r="C1927" s="1">
        <v>9</v>
      </c>
      <c r="D1927" s="39">
        <v>450</v>
      </c>
      <c r="E1927" s="1">
        <v>1</v>
      </c>
      <c r="F1927" s="39">
        <f t="shared" si="101"/>
        <v>25</v>
      </c>
      <c r="G1927" s="497"/>
      <c r="H1927" s="497"/>
      <c r="J1927" s="42"/>
    </row>
    <row r="1928" spans="1:10" s="360" customFormat="1" x14ac:dyDescent="0.25">
      <c r="A1928" s="19" t="s">
        <v>30</v>
      </c>
      <c r="B1928" s="2">
        <v>43973</v>
      </c>
      <c r="C1928" s="1">
        <v>0</v>
      </c>
      <c r="D1928" s="39">
        <v>78</v>
      </c>
      <c r="E1928" s="1"/>
      <c r="F1928" s="39">
        <f t="shared" si="101"/>
        <v>0</v>
      </c>
      <c r="G1928" s="497"/>
      <c r="H1928" s="497"/>
      <c r="J1928" s="42"/>
    </row>
    <row r="1929" spans="1:10" x14ac:dyDescent="0.25">
      <c r="A1929" s="19" t="s">
        <v>31</v>
      </c>
      <c r="B1929" s="2">
        <v>43973</v>
      </c>
      <c r="C1929" s="1">
        <v>0</v>
      </c>
      <c r="D1929" s="39">
        <v>29</v>
      </c>
      <c r="F1929" s="39">
        <f t="shared" si="101"/>
        <v>0</v>
      </c>
    </row>
    <row r="1930" spans="1:10" s="360" customFormat="1" x14ac:dyDescent="0.25">
      <c r="A1930" s="19" t="s">
        <v>41</v>
      </c>
      <c r="B1930" s="2">
        <v>43973</v>
      </c>
      <c r="C1930" s="1">
        <v>0</v>
      </c>
      <c r="D1930" s="39">
        <v>0</v>
      </c>
      <c r="E1930" s="1"/>
      <c r="F1930" s="39">
        <f t="shared" ref="F1930:F1944" si="102">E1930+F1905</f>
        <v>0</v>
      </c>
      <c r="G1930" s="497"/>
      <c r="H1930" s="497"/>
      <c r="J1930" s="42"/>
    </row>
    <row r="1931" spans="1:10" s="360" customFormat="1" x14ac:dyDescent="0.25">
      <c r="A1931" s="19" t="s">
        <v>32</v>
      </c>
      <c r="B1931" s="2">
        <v>43973</v>
      </c>
      <c r="C1931" s="1">
        <v>0</v>
      </c>
      <c r="D1931" s="39">
        <v>5</v>
      </c>
      <c r="E1931" s="1"/>
      <c r="F1931" s="39">
        <f t="shared" si="102"/>
        <v>0</v>
      </c>
      <c r="G1931" s="497"/>
      <c r="H1931" s="497"/>
      <c r="J1931" s="42"/>
    </row>
    <row r="1932" spans="1:10" s="360" customFormat="1" x14ac:dyDescent="0.25">
      <c r="A1932" s="19" t="s">
        <v>33</v>
      </c>
      <c r="B1932" s="2">
        <v>43973</v>
      </c>
      <c r="C1932" s="1">
        <v>0</v>
      </c>
      <c r="D1932" s="39">
        <v>5</v>
      </c>
      <c r="E1932" s="1"/>
      <c r="F1932" s="39">
        <f t="shared" si="102"/>
        <v>0</v>
      </c>
      <c r="G1932" s="497"/>
      <c r="H1932" s="497"/>
      <c r="J1932" s="42"/>
    </row>
    <row r="1933" spans="1:10" s="360" customFormat="1" x14ac:dyDescent="0.25">
      <c r="A1933" s="19" t="s">
        <v>21</v>
      </c>
      <c r="B1933" s="2">
        <v>43973</v>
      </c>
      <c r="C1933" s="1">
        <v>0</v>
      </c>
      <c r="D1933" s="39">
        <v>63</v>
      </c>
      <c r="E1933" s="1"/>
      <c r="F1933" s="39">
        <f t="shared" si="102"/>
        <v>0</v>
      </c>
      <c r="G1933" s="497"/>
      <c r="H1933" s="497"/>
      <c r="J1933" s="42"/>
    </row>
    <row r="1934" spans="1:10" s="360" customFormat="1" x14ac:dyDescent="0.25">
      <c r="A1934" s="19" t="s">
        <v>17</v>
      </c>
      <c r="B1934" s="2">
        <v>43973</v>
      </c>
      <c r="C1934" s="1">
        <v>0</v>
      </c>
      <c r="D1934" s="39">
        <v>90</v>
      </c>
      <c r="E1934" s="1"/>
      <c r="F1934" s="39">
        <f t="shared" si="102"/>
        <v>0</v>
      </c>
      <c r="G1934" s="497"/>
      <c r="H1934" s="497"/>
      <c r="J1934" s="42"/>
    </row>
    <row r="1935" spans="1:10" s="360" customFormat="1" x14ac:dyDescent="0.25">
      <c r="A1935" s="19" t="s">
        <v>23</v>
      </c>
      <c r="B1935" s="2">
        <v>43973</v>
      </c>
      <c r="C1935" s="1">
        <v>0</v>
      </c>
      <c r="D1935" s="39">
        <v>25</v>
      </c>
      <c r="E1935" s="1"/>
      <c r="F1935" s="39">
        <f t="shared" si="102"/>
        <v>0</v>
      </c>
      <c r="G1935" s="497"/>
      <c r="H1935" s="497"/>
      <c r="J1935" s="42"/>
    </row>
    <row r="1936" spans="1:10" s="360" customFormat="1" x14ac:dyDescent="0.25">
      <c r="A1936" s="19" t="s">
        <v>19</v>
      </c>
      <c r="B1936" s="2">
        <v>43973</v>
      </c>
      <c r="C1936" s="1">
        <v>0</v>
      </c>
      <c r="D1936" s="39">
        <v>114</v>
      </c>
      <c r="E1936" s="1"/>
      <c r="F1936" s="39">
        <f t="shared" si="102"/>
        <v>0</v>
      </c>
      <c r="G1936" s="497"/>
      <c r="H1936" s="497"/>
      <c r="J1936" s="42"/>
    </row>
    <row r="1937" spans="1:10" s="360" customFormat="1" x14ac:dyDescent="0.25">
      <c r="A1937" s="19" t="s">
        <v>18</v>
      </c>
      <c r="B1937" s="2">
        <v>43973</v>
      </c>
      <c r="C1937" s="1">
        <v>6</v>
      </c>
      <c r="D1937" s="39">
        <v>342</v>
      </c>
      <c r="E1937" s="1">
        <v>2</v>
      </c>
      <c r="F1937" s="39">
        <f t="shared" si="102"/>
        <v>2</v>
      </c>
      <c r="G1937" s="497"/>
      <c r="H1937" s="497"/>
      <c r="J1937" s="42"/>
    </row>
    <row r="1938" spans="1:10" s="360" customFormat="1" x14ac:dyDescent="0.25">
      <c r="A1938" s="19" t="s">
        <v>34</v>
      </c>
      <c r="B1938" s="2">
        <v>43973</v>
      </c>
      <c r="C1938" s="1">
        <v>2</v>
      </c>
      <c r="D1938" s="39">
        <v>7</v>
      </c>
      <c r="E1938" s="1"/>
      <c r="F1938" s="39">
        <f t="shared" si="102"/>
        <v>0</v>
      </c>
      <c r="G1938" s="497"/>
      <c r="H1938" s="497"/>
      <c r="J1938" s="42"/>
    </row>
    <row r="1939" spans="1:10" s="360" customFormat="1" x14ac:dyDescent="0.25">
      <c r="A1939" s="19" t="s">
        <v>35</v>
      </c>
      <c r="B1939" s="2">
        <v>43973</v>
      </c>
      <c r="C1939" s="1">
        <v>0</v>
      </c>
      <c r="D1939" s="39">
        <v>4</v>
      </c>
      <c r="E1939" s="1"/>
      <c r="F1939" s="39">
        <f>E1939+F1915</f>
        <v>0</v>
      </c>
      <c r="G1939" s="497"/>
      <c r="H1939" s="497"/>
      <c r="J1939" s="42"/>
    </row>
    <row r="1940" spans="1:10" s="360" customFormat="1" x14ac:dyDescent="0.25">
      <c r="A1940" s="19" t="s">
        <v>36</v>
      </c>
      <c r="B1940" s="2">
        <v>43973</v>
      </c>
      <c r="C1940" s="1">
        <v>0</v>
      </c>
      <c r="D1940" s="39">
        <v>11</v>
      </c>
      <c r="E1940" s="1"/>
      <c r="F1940" s="39">
        <f t="shared" si="102"/>
        <v>0</v>
      </c>
      <c r="G1940" s="497"/>
      <c r="H1940" s="497"/>
      <c r="J1940" s="42"/>
    </row>
    <row r="1941" spans="1:10" s="360" customFormat="1" x14ac:dyDescent="0.25">
      <c r="A1941" s="19" t="s">
        <v>37</v>
      </c>
      <c r="B1941" s="2">
        <v>43973</v>
      </c>
      <c r="C1941" s="1">
        <v>0</v>
      </c>
      <c r="D1941" s="39">
        <v>49</v>
      </c>
      <c r="E1941" s="1"/>
      <c r="F1941" s="39">
        <f t="shared" si="102"/>
        <v>0</v>
      </c>
      <c r="G1941" s="497"/>
      <c r="H1941" s="497"/>
      <c r="J1941" s="42"/>
    </row>
    <row r="1942" spans="1:10" s="360" customFormat="1" x14ac:dyDescent="0.25">
      <c r="A1942" s="19" t="s">
        <v>22</v>
      </c>
      <c r="B1942" s="2">
        <v>43973</v>
      </c>
      <c r="C1942" s="1">
        <v>4</v>
      </c>
      <c r="D1942" s="39">
        <v>258</v>
      </c>
      <c r="E1942" s="1"/>
      <c r="F1942" s="39">
        <f>E1942+F1918</f>
        <v>3</v>
      </c>
      <c r="G1942" s="497"/>
      <c r="H1942" s="497"/>
      <c r="J1942" s="42"/>
    </row>
    <row r="1943" spans="1:10" s="360" customFormat="1" x14ac:dyDescent="0.25">
      <c r="A1943" s="19" t="s">
        <v>38</v>
      </c>
      <c r="B1943" s="2">
        <v>43973</v>
      </c>
      <c r="C1943" s="1">
        <v>0</v>
      </c>
      <c r="D1943" s="39">
        <v>22</v>
      </c>
      <c r="E1943" s="1"/>
      <c r="F1943" s="39">
        <f>E1943+F1919</f>
        <v>0</v>
      </c>
      <c r="G1943" s="497"/>
      <c r="H1943" s="497"/>
      <c r="J1943" s="42"/>
    </row>
    <row r="1944" spans="1:10" s="360" customFormat="1" x14ac:dyDescent="0.25">
      <c r="A1944" s="19" t="s">
        <v>39</v>
      </c>
      <c r="B1944" s="2">
        <v>43973</v>
      </c>
      <c r="C1944" s="1">
        <v>0</v>
      </c>
      <c r="D1944" s="39">
        <v>148</v>
      </c>
      <c r="E1944" s="1"/>
      <c r="F1944" s="39">
        <f t="shared" si="102"/>
        <v>0</v>
      </c>
      <c r="G1944" s="497"/>
      <c r="H1944" s="497"/>
      <c r="J1944" s="42"/>
    </row>
    <row r="1945" spans="1:10" s="360" customFormat="1" x14ac:dyDescent="0.25">
      <c r="A1945" s="19" t="s">
        <v>40</v>
      </c>
      <c r="B1945" s="2">
        <v>43973</v>
      </c>
      <c r="C1945" s="1">
        <v>0</v>
      </c>
      <c r="D1945" s="39">
        <v>43</v>
      </c>
      <c r="E1945" s="1"/>
      <c r="F1945" s="39">
        <f>E1945+F1921</f>
        <v>3</v>
      </c>
      <c r="G1945" s="497"/>
      <c r="H1945" s="497"/>
      <c r="J1945" s="42"/>
    </row>
    <row r="1946" spans="1:10" s="360" customFormat="1" x14ac:dyDescent="0.25">
      <c r="A1946" s="361" t="s">
        <v>16</v>
      </c>
      <c r="B1946" s="2">
        <v>43974</v>
      </c>
      <c r="C1946" s="1">
        <v>289</v>
      </c>
      <c r="D1946" s="39">
        <v>3864</v>
      </c>
      <c r="E1946" s="1">
        <v>4</v>
      </c>
      <c r="F1946" s="39">
        <f>E1946+F1922</f>
        <v>180</v>
      </c>
      <c r="G1946" s="497"/>
      <c r="H1946" s="497"/>
      <c r="J1946" s="42"/>
    </row>
    <row r="1947" spans="1:10" s="360" customFormat="1" x14ac:dyDescent="0.25">
      <c r="A1947" s="19" t="s">
        <v>28</v>
      </c>
      <c r="B1947" s="2">
        <v>43974</v>
      </c>
      <c r="C1947" s="1">
        <v>0</v>
      </c>
      <c r="D1947" s="39">
        <v>0</v>
      </c>
      <c r="E1947" s="1"/>
      <c r="F1947" s="39">
        <f t="shared" ref="F1947:F1953" si="103">E1947+F1923</f>
        <v>0</v>
      </c>
      <c r="G1947" s="497"/>
      <c r="H1947" s="497"/>
      <c r="J1947" s="42"/>
    </row>
    <row r="1948" spans="1:10" s="360" customFormat="1" x14ac:dyDescent="0.25">
      <c r="A1948" s="19" t="s">
        <v>15</v>
      </c>
      <c r="B1948" s="2">
        <v>43974</v>
      </c>
      <c r="C1948" s="1">
        <v>7</v>
      </c>
      <c r="D1948" s="39">
        <v>728</v>
      </c>
      <c r="E1948" s="1">
        <v>2</v>
      </c>
      <c r="F1948" s="39">
        <f t="shared" si="103"/>
        <v>40</v>
      </c>
      <c r="G1948" s="497"/>
      <c r="H1948" s="497"/>
      <c r="J1948" s="42"/>
    </row>
    <row r="1949" spans="1:10" s="360" customFormat="1" x14ac:dyDescent="0.25">
      <c r="A1949" s="19" t="s">
        <v>29</v>
      </c>
      <c r="B1949" s="2">
        <v>43974</v>
      </c>
      <c r="C1949" s="1">
        <v>0</v>
      </c>
      <c r="D1949" s="39">
        <v>4</v>
      </c>
      <c r="E1949" s="1"/>
      <c r="F1949" s="39">
        <f t="shared" si="103"/>
        <v>1</v>
      </c>
      <c r="G1949" s="497"/>
      <c r="H1949" s="497"/>
      <c r="J1949" s="42"/>
    </row>
    <row r="1950" spans="1:10" s="360" customFormat="1" x14ac:dyDescent="0.25">
      <c r="A1950" s="19" t="s">
        <v>43</v>
      </c>
      <c r="B1950" s="2">
        <v>43974</v>
      </c>
      <c r="C1950" s="1">
        <v>400</v>
      </c>
      <c r="D1950" s="39">
        <v>5005</v>
      </c>
      <c r="E1950" s="1">
        <v>6</v>
      </c>
      <c r="F1950" s="39">
        <f t="shared" si="103"/>
        <v>149</v>
      </c>
      <c r="G1950" s="497"/>
      <c r="H1950" s="497"/>
      <c r="J1950" s="42"/>
    </row>
    <row r="1951" spans="1:10" s="360" customFormat="1" x14ac:dyDescent="0.25">
      <c r="A1951" s="19" t="s">
        <v>20</v>
      </c>
      <c r="B1951" s="2">
        <v>43974</v>
      </c>
      <c r="C1951" s="1">
        <v>0</v>
      </c>
      <c r="D1951" s="39">
        <v>450</v>
      </c>
      <c r="E1951" s="1"/>
      <c r="F1951" s="39">
        <f t="shared" si="103"/>
        <v>25</v>
      </c>
      <c r="G1951" s="497"/>
      <c r="H1951" s="497"/>
      <c r="J1951" s="42"/>
    </row>
    <row r="1952" spans="1:10" s="360" customFormat="1" x14ac:dyDescent="0.25">
      <c r="A1952" s="19" t="s">
        <v>30</v>
      </c>
      <c r="B1952" s="2">
        <v>43974</v>
      </c>
      <c r="C1952" s="1">
        <v>0</v>
      </c>
      <c r="D1952" s="39">
        <v>78</v>
      </c>
      <c r="E1952" s="1"/>
      <c r="F1952" s="39">
        <f t="shared" si="103"/>
        <v>0</v>
      </c>
      <c r="G1952" s="497"/>
      <c r="H1952" s="497"/>
      <c r="J1952" s="42"/>
    </row>
    <row r="1953" spans="1:10" x14ac:dyDescent="0.25">
      <c r="A1953" s="19" t="s">
        <v>31</v>
      </c>
      <c r="B1953" s="2">
        <v>43974</v>
      </c>
      <c r="C1953" s="1">
        <v>0</v>
      </c>
      <c r="D1953" s="39">
        <v>29</v>
      </c>
      <c r="F1953" s="39">
        <f t="shared" si="103"/>
        <v>0</v>
      </c>
    </row>
    <row r="1954" spans="1:10" s="360" customFormat="1" x14ac:dyDescent="0.25">
      <c r="A1954" s="19" t="s">
        <v>41</v>
      </c>
      <c r="B1954" s="2">
        <v>43974</v>
      </c>
      <c r="C1954" s="1">
        <v>0</v>
      </c>
      <c r="D1954" s="39">
        <v>0</v>
      </c>
      <c r="E1954" s="1"/>
      <c r="F1954" s="39">
        <f t="shared" ref="F1954:F1968" si="104">E1954+F1929</f>
        <v>0</v>
      </c>
      <c r="G1954" s="497"/>
      <c r="H1954" s="497"/>
      <c r="J1954" s="42"/>
    </row>
    <row r="1955" spans="1:10" s="360" customFormat="1" x14ac:dyDescent="0.25">
      <c r="A1955" s="19" t="s">
        <v>32</v>
      </c>
      <c r="B1955" s="2">
        <v>43974</v>
      </c>
      <c r="C1955" s="1">
        <v>0</v>
      </c>
      <c r="D1955" s="39">
        <v>5</v>
      </c>
      <c r="E1955" s="1"/>
      <c r="F1955" s="39">
        <f t="shared" si="104"/>
        <v>0</v>
      </c>
      <c r="G1955" s="497"/>
      <c r="H1955" s="497"/>
      <c r="J1955" s="42"/>
    </row>
    <row r="1956" spans="1:10" s="360" customFormat="1" x14ac:dyDescent="0.25">
      <c r="A1956" s="19" t="s">
        <v>33</v>
      </c>
      <c r="B1956" s="2">
        <v>43974</v>
      </c>
      <c r="C1956" s="1">
        <v>0</v>
      </c>
      <c r="D1956" s="39">
        <v>5</v>
      </c>
      <c r="E1956" s="1"/>
      <c r="F1956" s="39">
        <f t="shared" si="104"/>
        <v>0</v>
      </c>
      <c r="G1956" s="497"/>
      <c r="H1956" s="497"/>
      <c r="J1956" s="42"/>
    </row>
    <row r="1957" spans="1:10" s="360" customFormat="1" x14ac:dyDescent="0.25">
      <c r="A1957" s="19" t="s">
        <v>21</v>
      </c>
      <c r="B1957" s="2">
        <v>43974</v>
      </c>
      <c r="C1957" s="1">
        <v>0</v>
      </c>
      <c r="D1957" s="39">
        <v>63</v>
      </c>
      <c r="E1957" s="1"/>
      <c r="F1957" s="39">
        <f t="shared" si="104"/>
        <v>0</v>
      </c>
      <c r="G1957" s="497"/>
      <c r="H1957" s="497"/>
      <c r="J1957" s="42"/>
    </row>
    <row r="1958" spans="1:10" s="360" customFormat="1" x14ac:dyDescent="0.25">
      <c r="A1958" s="19" t="s">
        <v>17</v>
      </c>
      <c r="B1958" s="2">
        <v>43974</v>
      </c>
      <c r="C1958" s="1">
        <v>0</v>
      </c>
      <c r="D1958" s="39">
        <v>90</v>
      </c>
      <c r="E1958" s="1"/>
      <c r="F1958" s="39">
        <f t="shared" si="104"/>
        <v>0</v>
      </c>
      <c r="G1958" s="497"/>
      <c r="H1958" s="497"/>
      <c r="J1958" s="42"/>
    </row>
    <row r="1959" spans="1:10" s="360" customFormat="1" x14ac:dyDescent="0.25">
      <c r="A1959" s="19" t="s">
        <v>23</v>
      </c>
      <c r="B1959" s="2">
        <v>43974</v>
      </c>
      <c r="C1959" s="1">
        <v>0</v>
      </c>
      <c r="D1959" s="39">
        <v>25</v>
      </c>
      <c r="E1959" s="1"/>
      <c r="F1959" s="39">
        <f t="shared" si="104"/>
        <v>0</v>
      </c>
      <c r="G1959" s="497"/>
      <c r="H1959" s="497"/>
      <c r="J1959" s="42"/>
    </row>
    <row r="1960" spans="1:10" s="360" customFormat="1" x14ac:dyDescent="0.25">
      <c r="A1960" s="19" t="s">
        <v>19</v>
      </c>
      <c r="B1960" s="2">
        <v>43974</v>
      </c>
      <c r="C1960" s="1">
        <v>0</v>
      </c>
      <c r="D1960" s="39">
        <v>114</v>
      </c>
      <c r="E1960" s="1"/>
      <c r="F1960" s="39">
        <f t="shared" si="104"/>
        <v>0</v>
      </c>
      <c r="G1960" s="497"/>
      <c r="H1960" s="497"/>
      <c r="J1960" s="42"/>
    </row>
    <row r="1961" spans="1:10" s="360" customFormat="1" x14ac:dyDescent="0.25">
      <c r="A1961" s="19" t="s">
        <v>18</v>
      </c>
      <c r="B1961" s="2">
        <v>43974</v>
      </c>
      <c r="C1961" s="1">
        <v>5</v>
      </c>
      <c r="D1961" s="39">
        <v>347</v>
      </c>
      <c r="E1961" s="1"/>
      <c r="F1961" s="39">
        <f t="shared" si="104"/>
        <v>0</v>
      </c>
      <c r="G1961" s="497"/>
      <c r="H1961" s="497"/>
      <c r="J1961" s="42"/>
    </row>
    <row r="1962" spans="1:10" s="360" customFormat="1" x14ac:dyDescent="0.25">
      <c r="A1962" s="19" t="s">
        <v>34</v>
      </c>
      <c r="B1962" s="2">
        <v>43974</v>
      </c>
      <c r="C1962" s="1">
        <v>0</v>
      </c>
      <c r="D1962" s="39">
        <v>7</v>
      </c>
      <c r="E1962" s="1"/>
      <c r="F1962" s="39">
        <f t="shared" si="104"/>
        <v>2</v>
      </c>
      <c r="G1962" s="497"/>
      <c r="H1962" s="497"/>
      <c r="J1962" s="42"/>
    </row>
    <row r="1963" spans="1:10" s="360" customFormat="1" x14ac:dyDescent="0.25">
      <c r="A1963" s="19" t="s">
        <v>35</v>
      </c>
      <c r="B1963" s="2">
        <v>43974</v>
      </c>
      <c r="C1963" s="1">
        <v>0</v>
      </c>
      <c r="D1963" s="39">
        <v>4</v>
      </c>
      <c r="E1963" s="1"/>
      <c r="F1963" s="39">
        <f>E1963+F1939</f>
        <v>0</v>
      </c>
      <c r="G1963" s="497"/>
      <c r="H1963" s="497"/>
      <c r="J1963" s="42"/>
    </row>
    <row r="1964" spans="1:10" s="360" customFormat="1" x14ac:dyDescent="0.25">
      <c r="A1964" s="19" t="s">
        <v>36</v>
      </c>
      <c r="B1964" s="2">
        <v>43974</v>
      </c>
      <c r="C1964" s="1">
        <v>0</v>
      </c>
      <c r="D1964" s="39">
        <v>11</v>
      </c>
      <c r="E1964" s="1"/>
      <c r="F1964" s="39">
        <f t="shared" si="104"/>
        <v>0</v>
      </c>
      <c r="G1964" s="497"/>
      <c r="H1964" s="497"/>
      <c r="J1964" s="42"/>
    </row>
    <row r="1965" spans="1:10" s="360" customFormat="1" x14ac:dyDescent="0.25">
      <c r="A1965" s="19" t="s">
        <v>37</v>
      </c>
      <c r="B1965" s="2">
        <v>43974</v>
      </c>
      <c r="C1965" s="1">
        <v>0</v>
      </c>
      <c r="D1965" s="39">
        <v>49</v>
      </c>
      <c r="E1965" s="1"/>
      <c r="F1965" s="39">
        <f t="shared" si="104"/>
        <v>0</v>
      </c>
      <c r="G1965" s="497"/>
      <c r="H1965" s="497"/>
      <c r="J1965" s="42"/>
    </row>
    <row r="1966" spans="1:10" s="360" customFormat="1" x14ac:dyDescent="0.25">
      <c r="A1966" s="19" t="s">
        <v>22</v>
      </c>
      <c r="B1966" s="2">
        <v>43974</v>
      </c>
      <c r="C1966" s="1">
        <v>0</v>
      </c>
      <c r="D1966" s="39">
        <v>258</v>
      </c>
      <c r="E1966" s="1"/>
      <c r="F1966" s="39">
        <f>E1966+F1942</f>
        <v>3</v>
      </c>
      <c r="G1966" s="497"/>
      <c r="H1966" s="497"/>
      <c r="J1966" s="42"/>
    </row>
    <row r="1967" spans="1:10" s="360" customFormat="1" x14ac:dyDescent="0.25">
      <c r="A1967" s="19" t="s">
        <v>38</v>
      </c>
      <c r="B1967" s="2">
        <v>43974</v>
      </c>
      <c r="C1967" s="1">
        <v>0</v>
      </c>
      <c r="D1967" s="39">
        <v>22</v>
      </c>
      <c r="E1967" s="1"/>
      <c r="F1967" s="39">
        <f>E1967+F1943</f>
        <v>0</v>
      </c>
      <c r="G1967" s="497"/>
      <c r="H1967" s="497"/>
      <c r="J1967" s="42"/>
    </row>
    <row r="1968" spans="1:10" s="360" customFormat="1" x14ac:dyDescent="0.25">
      <c r="A1968" s="19" t="s">
        <v>39</v>
      </c>
      <c r="B1968" s="2">
        <v>43974</v>
      </c>
      <c r="C1968" s="1">
        <v>0</v>
      </c>
      <c r="D1968" s="39">
        <v>148</v>
      </c>
      <c r="E1968" s="1"/>
      <c r="F1968" s="39">
        <f t="shared" si="104"/>
        <v>0</v>
      </c>
      <c r="G1968" s="497"/>
      <c r="H1968" s="497"/>
      <c r="J1968" s="42"/>
    </row>
    <row r="1969" spans="1:10" s="360" customFormat="1" x14ac:dyDescent="0.25">
      <c r="A1969" s="19" t="s">
        <v>40</v>
      </c>
      <c r="B1969" s="2">
        <v>43974</v>
      </c>
      <c r="C1969" s="1">
        <v>2</v>
      </c>
      <c r="D1969" s="39">
        <v>45</v>
      </c>
      <c r="E1969" s="1"/>
      <c r="F1969" s="39">
        <f>E1969+F1945</f>
        <v>3</v>
      </c>
      <c r="G1969" s="497"/>
      <c r="H1969" s="497"/>
      <c r="J1969" s="42"/>
    </row>
    <row r="1970" spans="1:10" s="360" customFormat="1" x14ac:dyDescent="0.25">
      <c r="A1970" s="361" t="s">
        <v>16</v>
      </c>
      <c r="B1970" s="2">
        <v>43975</v>
      </c>
      <c r="C1970" s="1">
        <v>196</v>
      </c>
      <c r="D1970" s="39">
        <v>4060</v>
      </c>
      <c r="E1970" s="1">
        <v>2</v>
      </c>
      <c r="F1970" s="39">
        <f>E1970+F1946</f>
        <v>182</v>
      </c>
      <c r="G1970" s="497"/>
      <c r="H1970" s="497"/>
      <c r="J1970" s="42"/>
    </row>
    <row r="1971" spans="1:10" s="360" customFormat="1" x14ac:dyDescent="0.25">
      <c r="A1971" s="19" t="s">
        <v>28</v>
      </c>
      <c r="B1971" s="2">
        <v>43975</v>
      </c>
      <c r="C1971" s="1">
        <v>0</v>
      </c>
      <c r="D1971" s="39">
        <v>0</v>
      </c>
      <c r="E1971" s="1"/>
      <c r="F1971" s="39">
        <f t="shared" ref="F1971:F1977" si="105">E1971+F1947</f>
        <v>0</v>
      </c>
      <c r="G1971" s="497"/>
      <c r="H1971" s="497"/>
      <c r="J1971" s="42"/>
    </row>
    <row r="1972" spans="1:10" s="360" customFormat="1" x14ac:dyDescent="0.25">
      <c r="A1972" s="19" t="s">
        <v>15</v>
      </c>
      <c r="B1972" s="2">
        <v>43975</v>
      </c>
      <c r="C1972" s="1">
        <v>20</v>
      </c>
      <c r="D1972" s="39">
        <v>748</v>
      </c>
      <c r="E1972" s="1">
        <v>2</v>
      </c>
      <c r="F1972" s="39">
        <f t="shared" si="105"/>
        <v>42</v>
      </c>
      <c r="G1972" s="497"/>
      <c r="H1972" s="497"/>
      <c r="J1972" s="42"/>
    </row>
    <row r="1973" spans="1:10" s="360" customFormat="1" x14ac:dyDescent="0.25">
      <c r="A1973" s="19" t="s">
        <v>29</v>
      </c>
      <c r="B1973" s="2">
        <v>43975</v>
      </c>
      <c r="C1973" s="1">
        <v>0</v>
      </c>
      <c r="D1973" s="39">
        <v>4</v>
      </c>
      <c r="E1973" s="1"/>
      <c r="F1973" s="39">
        <f t="shared" si="105"/>
        <v>1</v>
      </c>
      <c r="G1973" s="497"/>
      <c r="H1973" s="497"/>
      <c r="J1973" s="42"/>
    </row>
    <row r="1974" spans="1:10" s="360" customFormat="1" x14ac:dyDescent="0.25">
      <c r="A1974" s="19" t="s">
        <v>43</v>
      </c>
      <c r="B1974" s="2">
        <v>43975</v>
      </c>
      <c r="C1974" s="1">
        <v>495</v>
      </c>
      <c r="D1974" s="39">
        <v>5500</v>
      </c>
      <c r="E1974" s="1">
        <v>3</v>
      </c>
      <c r="F1974" s="39">
        <f t="shared" si="105"/>
        <v>152</v>
      </c>
      <c r="G1974" s="497"/>
      <c r="H1974" s="497"/>
      <c r="J1974" s="42"/>
    </row>
    <row r="1975" spans="1:10" s="360" customFormat="1" x14ac:dyDescent="0.25">
      <c r="A1975" s="19" t="s">
        <v>20</v>
      </c>
      <c r="B1975" s="2">
        <v>43975</v>
      </c>
      <c r="C1975" s="1">
        <v>6</v>
      </c>
      <c r="D1975" s="39">
        <v>456</v>
      </c>
      <c r="E1975" s="1"/>
      <c r="F1975" s="39">
        <f t="shared" si="105"/>
        <v>25</v>
      </c>
      <c r="G1975" s="497"/>
      <c r="H1975" s="497"/>
      <c r="J1975" s="42"/>
    </row>
    <row r="1976" spans="1:10" s="360" customFormat="1" x14ac:dyDescent="0.25">
      <c r="A1976" s="19" t="s">
        <v>30</v>
      </c>
      <c r="B1976" s="2">
        <v>43975</v>
      </c>
      <c r="C1976" s="1">
        <v>0</v>
      </c>
      <c r="D1976" s="39">
        <v>78</v>
      </c>
      <c r="E1976" s="1"/>
      <c r="F1976" s="39">
        <f t="shared" si="105"/>
        <v>0</v>
      </c>
      <c r="G1976" s="497"/>
      <c r="H1976" s="497"/>
      <c r="J1976" s="42"/>
    </row>
    <row r="1977" spans="1:10" x14ac:dyDescent="0.25">
      <c r="A1977" s="19" t="s">
        <v>31</v>
      </c>
      <c r="B1977" s="2">
        <v>43975</v>
      </c>
      <c r="C1977" s="1">
        <v>0</v>
      </c>
      <c r="D1977" s="39">
        <v>29</v>
      </c>
      <c r="F1977" s="39">
        <f t="shared" si="105"/>
        <v>0</v>
      </c>
    </row>
    <row r="1978" spans="1:10" s="360" customFormat="1" x14ac:dyDescent="0.25">
      <c r="A1978" s="19" t="s">
        <v>41</v>
      </c>
      <c r="B1978" s="2">
        <v>43975</v>
      </c>
      <c r="C1978" s="1">
        <v>0</v>
      </c>
      <c r="D1978" s="39">
        <v>0</v>
      </c>
      <c r="E1978" s="1"/>
      <c r="F1978" s="39">
        <f t="shared" ref="F1978:F1992" si="106">E1978+F1953</f>
        <v>0</v>
      </c>
      <c r="G1978" s="497"/>
      <c r="H1978" s="497"/>
      <c r="J1978" s="42"/>
    </row>
    <row r="1979" spans="1:10" s="360" customFormat="1" x14ac:dyDescent="0.25">
      <c r="A1979" s="19" t="s">
        <v>32</v>
      </c>
      <c r="B1979" s="2">
        <v>43975</v>
      </c>
      <c r="C1979" s="1">
        <v>0</v>
      </c>
      <c r="D1979" s="39">
        <v>5</v>
      </c>
      <c r="E1979" s="1"/>
      <c r="F1979" s="39">
        <f t="shared" si="106"/>
        <v>0</v>
      </c>
      <c r="G1979" s="497"/>
      <c r="H1979" s="497"/>
      <c r="J1979" s="42"/>
    </row>
    <row r="1980" spans="1:10" s="360" customFormat="1" x14ac:dyDescent="0.25">
      <c r="A1980" s="19" t="s">
        <v>33</v>
      </c>
      <c r="B1980" s="2">
        <v>43975</v>
      </c>
      <c r="C1980" s="1">
        <v>0</v>
      </c>
      <c r="D1980" s="39">
        <v>5</v>
      </c>
      <c r="E1980" s="1"/>
      <c r="F1980" s="39">
        <f t="shared" si="106"/>
        <v>0</v>
      </c>
      <c r="G1980" s="497"/>
      <c r="H1980" s="497"/>
      <c r="J1980" s="42"/>
    </row>
    <row r="1981" spans="1:10" s="360" customFormat="1" x14ac:dyDescent="0.25">
      <c r="A1981" s="19" t="s">
        <v>21</v>
      </c>
      <c r="B1981" s="2">
        <v>43975</v>
      </c>
      <c r="C1981" s="1">
        <v>0</v>
      </c>
      <c r="D1981" s="39">
        <v>63</v>
      </c>
      <c r="E1981" s="1"/>
      <c r="F1981" s="39">
        <f t="shared" si="106"/>
        <v>0</v>
      </c>
      <c r="G1981" s="497"/>
      <c r="H1981" s="497"/>
      <c r="J1981" s="42"/>
    </row>
    <row r="1982" spans="1:10" s="360" customFormat="1" x14ac:dyDescent="0.25">
      <c r="A1982" s="19" t="s">
        <v>17</v>
      </c>
      <c r="B1982" s="2">
        <v>43975</v>
      </c>
      <c r="C1982" s="1">
        <v>0</v>
      </c>
      <c r="D1982" s="39">
        <v>90</v>
      </c>
      <c r="E1982" s="1"/>
      <c r="F1982" s="39">
        <f t="shared" si="106"/>
        <v>0</v>
      </c>
      <c r="G1982" s="497"/>
      <c r="H1982" s="497"/>
      <c r="J1982" s="42"/>
    </row>
    <row r="1983" spans="1:10" s="360" customFormat="1" x14ac:dyDescent="0.25">
      <c r="A1983" s="19" t="s">
        <v>23</v>
      </c>
      <c r="B1983" s="2">
        <v>43975</v>
      </c>
      <c r="C1983" s="1">
        <v>0</v>
      </c>
      <c r="D1983" s="39">
        <v>25</v>
      </c>
      <c r="E1983" s="1"/>
      <c r="F1983" s="39">
        <f t="shared" si="106"/>
        <v>0</v>
      </c>
      <c r="G1983" s="497"/>
      <c r="H1983" s="497"/>
      <c r="J1983" s="42"/>
    </row>
    <row r="1984" spans="1:10" s="360" customFormat="1" x14ac:dyDescent="0.25">
      <c r="A1984" s="19" t="s">
        <v>19</v>
      </c>
      <c r="B1984" s="2">
        <v>43975</v>
      </c>
      <c r="C1984" s="1">
        <v>1</v>
      </c>
      <c r="D1984" s="39">
        <v>115</v>
      </c>
      <c r="E1984" s="1"/>
      <c r="F1984" s="39">
        <f t="shared" si="106"/>
        <v>0</v>
      </c>
      <c r="G1984" s="497"/>
      <c r="H1984" s="497"/>
      <c r="J1984" s="42"/>
    </row>
    <row r="1985" spans="1:10" s="360" customFormat="1" x14ac:dyDescent="0.25">
      <c r="A1985" s="19" t="s">
        <v>18</v>
      </c>
      <c r="B1985" s="2">
        <v>43975</v>
      </c>
      <c r="C1985" s="1">
        <v>5</v>
      </c>
      <c r="D1985" s="39">
        <v>352</v>
      </c>
      <c r="E1985" s="1"/>
      <c r="F1985" s="39">
        <f t="shared" si="106"/>
        <v>0</v>
      </c>
      <c r="G1985" s="497"/>
      <c r="H1985" s="497"/>
      <c r="J1985" s="42"/>
    </row>
    <row r="1986" spans="1:10" s="360" customFormat="1" x14ac:dyDescent="0.25">
      <c r="A1986" s="19" t="s">
        <v>34</v>
      </c>
      <c r="B1986" s="2">
        <v>43975</v>
      </c>
      <c r="C1986" s="1">
        <v>0</v>
      </c>
      <c r="D1986" s="39">
        <v>7</v>
      </c>
      <c r="E1986" s="1"/>
      <c r="F1986" s="39">
        <f t="shared" si="106"/>
        <v>0</v>
      </c>
      <c r="G1986" s="497"/>
      <c r="H1986" s="497"/>
      <c r="J1986" s="42"/>
    </row>
    <row r="1987" spans="1:10" s="360" customFormat="1" x14ac:dyDescent="0.25">
      <c r="A1987" s="19" t="s">
        <v>35</v>
      </c>
      <c r="B1987" s="2">
        <v>43975</v>
      </c>
      <c r="C1987" s="1">
        <v>0</v>
      </c>
      <c r="D1987" s="39">
        <v>4</v>
      </c>
      <c r="E1987" s="1"/>
      <c r="F1987" s="39">
        <f>E1987+F1963</f>
        <v>0</v>
      </c>
      <c r="G1987" s="497"/>
      <c r="H1987" s="497"/>
      <c r="J1987" s="42"/>
    </row>
    <row r="1988" spans="1:10" s="360" customFormat="1" x14ac:dyDescent="0.25">
      <c r="A1988" s="19" t="s">
        <v>36</v>
      </c>
      <c r="B1988" s="2">
        <v>43975</v>
      </c>
      <c r="C1988" s="1">
        <v>0</v>
      </c>
      <c r="D1988" s="39">
        <v>11</v>
      </c>
      <c r="E1988" s="1"/>
      <c r="F1988" s="39">
        <f t="shared" si="106"/>
        <v>0</v>
      </c>
      <c r="G1988" s="497"/>
      <c r="H1988" s="497"/>
      <c r="J1988" s="42"/>
    </row>
    <row r="1989" spans="1:10" s="360" customFormat="1" x14ac:dyDescent="0.25">
      <c r="A1989" s="19" t="s">
        <v>37</v>
      </c>
      <c r="B1989" s="2">
        <v>43975</v>
      </c>
      <c r="C1989" s="1">
        <v>0</v>
      </c>
      <c r="D1989" s="39">
        <v>49</v>
      </c>
      <c r="E1989" s="1"/>
      <c r="F1989" s="39">
        <f t="shared" si="106"/>
        <v>0</v>
      </c>
      <c r="G1989" s="497"/>
      <c r="H1989" s="497"/>
      <c r="J1989" s="42"/>
    </row>
    <row r="1990" spans="1:10" s="360" customFormat="1" x14ac:dyDescent="0.25">
      <c r="A1990" s="19" t="s">
        <v>22</v>
      </c>
      <c r="B1990" s="2">
        <v>43975</v>
      </c>
      <c r="C1990" s="1">
        <v>0</v>
      </c>
      <c r="D1990" s="39">
        <v>258</v>
      </c>
      <c r="E1990" s="1"/>
      <c r="F1990" s="39">
        <f>E1990+F1966</f>
        <v>3</v>
      </c>
      <c r="G1990" s="497"/>
      <c r="H1990" s="497"/>
      <c r="J1990" s="42"/>
    </row>
    <row r="1991" spans="1:10" s="360" customFormat="1" x14ac:dyDescent="0.25">
      <c r="A1991" s="19" t="s">
        <v>38</v>
      </c>
      <c r="B1991" s="2">
        <v>43975</v>
      </c>
      <c r="C1991" s="1">
        <v>0</v>
      </c>
      <c r="D1991" s="39">
        <v>22</v>
      </c>
      <c r="E1991" s="1"/>
      <c r="F1991" s="39">
        <f>E1991+F1967</f>
        <v>0</v>
      </c>
      <c r="G1991" s="497"/>
      <c r="H1991" s="497"/>
      <c r="J1991" s="42"/>
    </row>
    <row r="1992" spans="1:10" s="360" customFormat="1" x14ac:dyDescent="0.25">
      <c r="A1992" s="19" t="s">
        <v>39</v>
      </c>
      <c r="B1992" s="2">
        <v>43975</v>
      </c>
      <c r="C1992" s="1">
        <v>0</v>
      </c>
      <c r="D1992" s="39">
        <v>148</v>
      </c>
      <c r="E1992" s="1"/>
      <c r="F1992" s="39">
        <f t="shared" si="106"/>
        <v>0</v>
      </c>
      <c r="G1992" s="497"/>
      <c r="H1992" s="497"/>
      <c r="J1992" s="42"/>
    </row>
    <row r="1993" spans="1:10" s="360" customFormat="1" x14ac:dyDescent="0.25">
      <c r="A1993" s="19" t="s">
        <v>40</v>
      </c>
      <c r="B1993" s="2">
        <v>43975</v>
      </c>
      <c r="C1993" s="1">
        <v>0</v>
      </c>
      <c r="D1993" s="39">
        <v>45</v>
      </c>
      <c r="E1993" s="1"/>
      <c r="F1993" s="39">
        <f>E1993+F1969</f>
        <v>3</v>
      </c>
      <c r="G1993" s="497"/>
      <c r="H1993" s="497"/>
      <c r="J1993" s="42"/>
    </row>
    <row r="1994" spans="1:10" s="360" customFormat="1" x14ac:dyDescent="0.25">
      <c r="A1994" s="361" t="s">
        <v>16</v>
      </c>
      <c r="B1994" s="2">
        <v>43976</v>
      </c>
      <c r="C1994" s="1">
        <v>159</v>
      </c>
      <c r="D1994" s="39">
        <v>4219</v>
      </c>
      <c r="E1994" s="1">
        <v>5</v>
      </c>
      <c r="F1994" s="39">
        <f>E1994+F1970</f>
        <v>187</v>
      </c>
      <c r="G1994" s="497"/>
      <c r="H1994" s="497"/>
      <c r="J1994" s="42"/>
    </row>
    <row r="1995" spans="1:10" s="360" customFormat="1" x14ac:dyDescent="0.25">
      <c r="A1995" s="19" t="s">
        <v>28</v>
      </c>
      <c r="B1995" s="2">
        <v>43976</v>
      </c>
      <c r="C1995" s="1">
        <v>0</v>
      </c>
      <c r="D1995" s="39">
        <v>0</v>
      </c>
      <c r="E1995" s="1"/>
      <c r="F1995" s="39">
        <f t="shared" ref="F1995:F2001" si="107">E1995+F1971</f>
        <v>0</v>
      </c>
      <c r="G1995" s="497"/>
      <c r="H1995" s="497"/>
      <c r="J1995" s="42"/>
    </row>
    <row r="1996" spans="1:10" s="360" customFormat="1" x14ac:dyDescent="0.25">
      <c r="A1996" s="19" t="s">
        <v>15</v>
      </c>
      <c r="B1996" s="2">
        <v>43976</v>
      </c>
      <c r="C1996" s="1">
        <v>9</v>
      </c>
      <c r="D1996" s="39">
        <v>757</v>
      </c>
      <c r="E1996" s="1"/>
      <c r="F1996" s="39">
        <f t="shared" si="107"/>
        <v>42</v>
      </c>
      <c r="G1996" s="497"/>
      <c r="H1996" s="497"/>
      <c r="J1996" s="42"/>
    </row>
    <row r="1997" spans="1:10" s="360" customFormat="1" x14ac:dyDescent="0.25">
      <c r="A1997" s="19" t="s">
        <v>29</v>
      </c>
      <c r="B1997" s="2">
        <v>43976</v>
      </c>
      <c r="C1997" s="1">
        <v>0</v>
      </c>
      <c r="D1997" s="39">
        <v>4</v>
      </c>
      <c r="E1997" s="1"/>
      <c r="F1997" s="39">
        <f t="shared" si="107"/>
        <v>1</v>
      </c>
      <c r="G1997" s="497"/>
      <c r="H1997" s="497"/>
      <c r="J1997" s="42"/>
    </row>
    <row r="1998" spans="1:10" s="360" customFormat="1" x14ac:dyDescent="0.25">
      <c r="A1998" s="19" t="s">
        <v>43</v>
      </c>
      <c r="B1998" s="2">
        <v>43976</v>
      </c>
      <c r="C1998" s="1">
        <v>375</v>
      </c>
      <c r="D1998" s="39">
        <v>5875</v>
      </c>
      <c r="E1998" s="1">
        <v>8</v>
      </c>
      <c r="F1998" s="39">
        <f t="shared" si="107"/>
        <v>160</v>
      </c>
      <c r="G1998" s="497"/>
      <c r="H1998" s="497"/>
      <c r="J1998" s="42"/>
    </row>
    <row r="1999" spans="1:10" s="360" customFormat="1" x14ac:dyDescent="0.25">
      <c r="A1999" s="19" t="s">
        <v>20</v>
      </c>
      <c r="B1999" s="2">
        <v>43976</v>
      </c>
      <c r="C1999" s="1">
        <v>3</v>
      </c>
      <c r="D1999" s="39">
        <v>459</v>
      </c>
      <c r="E1999" s="1">
        <v>1</v>
      </c>
      <c r="F1999" s="39">
        <f t="shared" si="107"/>
        <v>26</v>
      </c>
      <c r="G1999" s="497"/>
      <c r="H1999" s="497"/>
      <c r="J1999" s="42"/>
    </row>
    <row r="2000" spans="1:10" s="360" customFormat="1" x14ac:dyDescent="0.25">
      <c r="A2000" s="19" t="s">
        <v>30</v>
      </c>
      <c r="B2000" s="2">
        <v>43976</v>
      </c>
      <c r="C2000" s="1">
        <v>0</v>
      </c>
      <c r="D2000" s="39">
        <v>78</v>
      </c>
      <c r="E2000" s="1"/>
      <c r="F2000" s="39">
        <f t="shared" si="107"/>
        <v>0</v>
      </c>
      <c r="G2000" s="497"/>
      <c r="H2000" s="497"/>
      <c r="J2000" s="42"/>
    </row>
    <row r="2001" spans="1:10" x14ac:dyDescent="0.25">
      <c r="A2001" s="19" t="s">
        <v>31</v>
      </c>
      <c r="B2001" s="2">
        <v>43976</v>
      </c>
      <c r="C2001" s="1">
        <v>0</v>
      </c>
      <c r="D2001" s="39">
        <v>29</v>
      </c>
      <c r="F2001" s="39">
        <f t="shared" si="107"/>
        <v>0</v>
      </c>
    </row>
    <row r="2002" spans="1:10" s="360" customFormat="1" x14ac:dyDescent="0.25">
      <c r="A2002" s="19" t="s">
        <v>41</v>
      </c>
      <c r="B2002" s="2">
        <v>43976</v>
      </c>
      <c r="C2002" s="1">
        <v>0</v>
      </c>
      <c r="D2002" s="39">
        <v>0</v>
      </c>
      <c r="E2002" s="1"/>
      <c r="F2002" s="39">
        <f t="shared" ref="F2002:F2016" si="108">E2002+F1977</f>
        <v>0</v>
      </c>
      <c r="G2002" s="497"/>
      <c r="H2002" s="497"/>
      <c r="J2002" s="42"/>
    </row>
    <row r="2003" spans="1:10" s="360" customFormat="1" x14ac:dyDescent="0.25">
      <c r="A2003" s="19" t="s">
        <v>32</v>
      </c>
      <c r="B2003" s="2">
        <v>43976</v>
      </c>
      <c r="C2003" s="1">
        <v>0</v>
      </c>
      <c r="D2003" s="39">
        <v>5</v>
      </c>
      <c r="E2003" s="1"/>
      <c r="F2003" s="39">
        <f t="shared" si="108"/>
        <v>0</v>
      </c>
      <c r="G2003" s="497"/>
      <c r="H2003" s="497"/>
      <c r="J2003" s="42"/>
    </row>
    <row r="2004" spans="1:10" s="360" customFormat="1" x14ac:dyDescent="0.25">
      <c r="A2004" s="19" t="s">
        <v>33</v>
      </c>
      <c r="B2004" s="2">
        <v>43976</v>
      </c>
      <c r="C2004" s="1">
        <v>0</v>
      </c>
      <c r="D2004" s="39">
        <v>5</v>
      </c>
      <c r="E2004" s="1"/>
      <c r="F2004" s="39">
        <f t="shared" si="108"/>
        <v>0</v>
      </c>
      <c r="G2004" s="497"/>
      <c r="H2004" s="497"/>
      <c r="J2004" s="42"/>
    </row>
    <row r="2005" spans="1:10" s="360" customFormat="1" x14ac:dyDescent="0.25">
      <c r="A2005" s="19" t="s">
        <v>21</v>
      </c>
      <c r="B2005" s="2">
        <v>43976</v>
      </c>
      <c r="C2005" s="1">
        <v>0</v>
      </c>
      <c r="D2005" s="39">
        <v>63</v>
      </c>
      <c r="E2005" s="1"/>
      <c r="F2005" s="39">
        <f t="shared" si="108"/>
        <v>0</v>
      </c>
      <c r="G2005" s="497"/>
      <c r="H2005" s="497"/>
      <c r="J2005" s="42"/>
    </row>
    <row r="2006" spans="1:10" s="360" customFormat="1" x14ac:dyDescent="0.25">
      <c r="A2006" s="19" t="s">
        <v>17</v>
      </c>
      <c r="B2006" s="2">
        <v>43976</v>
      </c>
      <c r="C2006" s="1">
        <v>0</v>
      </c>
      <c r="D2006" s="39">
        <v>90</v>
      </c>
      <c r="E2006" s="1"/>
      <c r="F2006" s="39">
        <f t="shared" si="108"/>
        <v>0</v>
      </c>
      <c r="G2006" s="497"/>
      <c r="H2006" s="497"/>
      <c r="J2006" s="42"/>
    </row>
    <row r="2007" spans="1:10" s="360" customFormat="1" x14ac:dyDescent="0.25">
      <c r="A2007" s="19" t="s">
        <v>23</v>
      </c>
      <c r="B2007" s="2">
        <v>43976</v>
      </c>
      <c r="C2007" s="1">
        <v>0</v>
      </c>
      <c r="D2007" s="39">
        <v>25</v>
      </c>
      <c r="E2007" s="1"/>
      <c r="F2007" s="39">
        <f t="shared" si="108"/>
        <v>0</v>
      </c>
      <c r="G2007" s="497"/>
      <c r="H2007" s="497"/>
      <c r="J2007" s="42"/>
    </row>
    <row r="2008" spans="1:10" s="360" customFormat="1" x14ac:dyDescent="0.25">
      <c r="A2008" s="19" t="s">
        <v>19</v>
      </c>
      <c r="B2008" s="2">
        <v>43976</v>
      </c>
      <c r="C2008" s="1">
        <v>1</v>
      </c>
      <c r="D2008" s="39">
        <v>116</v>
      </c>
      <c r="E2008" s="1"/>
      <c r="F2008" s="39">
        <f t="shared" si="108"/>
        <v>0</v>
      </c>
      <c r="G2008" s="497"/>
      <c r="H2008" s="497"/>
      <c r="J2008" s="42"/>
    </row>
    <row r="2009" spans="1:10" s="360" customFormat="1" x14ac:dyDescent="0.25">
      <c r="A2009" s="19" t="s">
        <v>18</v>
      </c>
      <c r="B2009" s="2">
        <v>43976</v>
      </c>
      <c r="C2009" s="1">
        <v>4</v>
      </c>
      <c r="D2009" s="39">
        <v>356</v>
      </c>
      <c r="E2009" s="1">
        <v>1</v>
      </c>
      <c r="F2009" s="39">
        <f t="shared" si="108"/>
        <v>1</v>
      </c>
      <c r="G2009" s="497"/>
      <c r="H2009" s="497"/>
      <c r="J2009" s="42"/>
    </row>
    <row r="2010" spans="1:10" s="360" customFormat="1" x14ac:dyDescent="0.25">
      <c r="A2010" s="19" t="s">
        <v>34</v>
      </c>
      <c r="B2010" s="2">
        <v>43976</v>
      </c>
      <c r="C2010" s="1">
        <v>0</v>
      </c>
      <c r="D2010" s="39">
        <v>7</v>
      </c>
      <c r="E2010" s="1"/>
      <c r="F2010" s="39">
        <f t="shared" si="108"/>
        <v>0</v>
      </c>
      <c r="G2010" s="497"/>
      <c r="H2010" s="497"/>
      <c r="J2010" s="42"/>
    </row>
    <row r="2011" spans="1:10" s="360" customFormat="1" x14ac:dyDescent="0.25">
      <c r="A2011" s="19" t="s">
        <v>35</v>
      </c>
      <c r="B2011" s="2">
        <v>43976</v>
      </c>
      <c r="C2011" s="1">
        <v>0</v>
      </c>
      <c r="D2011" s="39">
        <v>4</v>
      </c>
      <c r="E2011" s="1"/>
      <c r="F2011" s="39">
        <f>E2011+F1987</f>
        <v>0</v>
      </c>
      <c r="G2011" s="497"/>
      <c r="H2011" s="497"/>
      <c r="J2011" s="42"/>
    </row>
    <row r="2012" spans="1:10" s="360" customFormat="1" x14ac:dyDescent="0.25">
      <c r="A2012" s="19" t="s">
        <v>36</v>
      </c>
      <c r="B2012" s="2">
        <v>43976</v>
      </c>
      <c r="C2012" s="1">
        <v>0</v>
      </c>
      <c r="D2012" s="39">
        <v>11</v>
      </c>
      <c r="E2012" s="1"/>
      <c r="F2012" s="39">
        <f t="shared" si="108"/>
        <v>0</v>
      </c>
      <c r="G2012" s="497"/>
      <c r="H2012" s="497"/>
      <c r="J2012" s="42"/>
    </row>
    <row r="2013" spans="1:10" s="360" customFormat="1" x14ac:dyDescent="0.25">
      <c r="A2013" s="19" t="s">
        <v>37</v>
      </c>
      <c r="B2013" s="2">
        <v>43976</v>
      </c>
      <c r="C2013" s="1">
        <v>0</v>
      </c>
      <c r="D2013" s="39">
        <v>49</v>
      </c>
      <c r="E2013" s="1"/>
      <c r="F2013" s="39">
        <f t="shared" si="108"/>
        <v>0</v>
      </c>
      <c r="G2013" s="497"/>
      <c r="H2013" s="497"/>
      <c r="J2013" s="42"/>
    </row>
    <row r="2014" spans="1:10" s="360" customFormat="1" x14ac:dyDescent="0.25">
      <c r="A2014" s="19" t="s">
        <v>22</v>
      </c>
      <c r="B2014" s="2">
        <v>43976</v>
      </c>
      <c r="C2014" s="1">
        <v>0</v>
      </c>
      <c r="D2014" s="39">
        <v>258</v>
      </c>
      <c r="E2014" s="1"/>
      <c r="F2014" s="39">
        <f>E2014+F1990</f>
        <v>3</v>
      </c>
      <c r="G2014" s="497"/>
      <c r="H2014" s="497"/>
      <c r="J2014" s="42"/>
    </row>
    <row r="2015" spans="1:10" s="360" customFormat="1" x14ac:dyDescent="0.25">
      <c r="A2015" s="19" t="s">
        <v>38</v>
      </c>
      <c r="B2015" s="2">
        <v>43976</v>
      </c>
      <c r="C2015" s="1">
        <v>0</v>
      </c>
      <c r="D2015" s="39">
        <v>22</v>
      </c>
      <c r="E2015" s="1"/>
      <c r="F2015" s="39">
        <f>E2015+F1991</f>
        <v>0</v>
      </c>
      <c r="G2015" s="497"/>
      <c r="H2015" s="497"/>
      <c r="J2015" s="42"/>
    </row>
    <row r="2016" spans="1:10" s="360" customFormat="1" x14ac:dyDescent="0.25">
      <c r="A2016" s="19" t="s">
        <v>39</v>
      </c>
      <c r="B2016" s="2">
        <v>43976</v>
      </c>
      <c r="C2016" s="1">
        <v>0</v>
      </c>
      <c r="D2016" s="39">
        <v>148</v>
      </c>
      <c r="E2016" s="1"/>
      <c r="F2016" s="39">
        <f t="shared" si="108"/>
        <v>0</v>
      </c>
      <c r="G2016" s="497"/>
      <c r="H2016" s="497"/>
      <c r="J2016" s="42"/>
    </row>
    <row r="2017" spans="1:10" s="360" customFormat="1" x14ac:dyDescent="0.25">
      <c r="A2017" s="19" t="s">
        <v>40</v>
      </c>
      <c r="B2017" s="2">
        <v>43976</v>
      </c>
      <c r="C2017" s="1">
        <v>2</v>
      </c>
      <c r="D2017" s="39">
        <v>47</v>
      </c>
      <c r="E2017" s="1"/>
      <c r="F2017" s="39">
        <f>E2017+F1993</f>
        <v>3</v>
      </c>
      <c r="G2017" s="497"/>
      <c r="H2017" s="497"/>
      <c r="J2017" s="42"/>
    </row>
    <row r="2018" spans="1:10" s="360" customFormat="1" x14ac:dyDescent="0.25">
      <c r="A2018" s="361" t="s">
        <v>16</v>
      </c>
      <c r="B2018" s="2">
        <v>43977</v>
      </c>
      <c r="C2018" s="1">
        <v>236</v>
      </c>
      <c r="D2018" s="39">
        <v>4455</v>
      </c>
      <c r="E2018" s="1">
        <v>16</v>
      </c>
      <c r="F2018" s="39">
        <f>E2018+F1994</f>
        <v>203</v>
      </c>
      <c r="G2018" s="497"/>
      <c r="H2018" s="497"/>
      <c r="J2018" s="42"/>
    </row>
    <row r="2019" spans="1:10" s="360" customFormat="1" x14ac:dyDescent="0.25">
      <c r="A2019" s="19" t="s">
        <v>28</v>
      </c>
      <c r="B2019" s="2">
        <v>43977</v>
      </c>
      <c r="C2019" s="1">
        <v>0</v>
      </c>
      <c r="D2019" s="39">
        <v>0</v>
      </c>
      <c r="E2019" s="1"/>
      <c r="F2019" s="39">
        <f t="shared" ref="F2019:F2025" si="109">E2019+F1995</f>
        <v>0</v>
      </c>
      <c r="G2019" s="497"/>
      <c r="H2019" s="497"/>
      <c r="J2019" s="42"/>
    </row>
    <row r="2020" spans="1:10" s="360" customFormat="1" x14ac:dyDescent="0.25">
      <c r="A2020" s="19" t="s">
        <v>15</v>
      </c>
      <c r="B2020" s="2">
        <v>43977</v>
      </c>
      <c r="C2020" s="1">
        <v>23</v>
      </c>
      <c r="D2020" s="39">
        <v>780</v>
      </c>
      <c r="E2020" s="1">
        <v>2</v>
      </c>
      <c r="F2020" s="39">
        <f t="shared" si="109"/>
        <v>44</v>
      </c>
      <c r="G2020" s="497"/>
      <c r="H2020" s="497"/>
      <c r="J2020" s="42"/>
    </row>
    <row r="2021" spans="1:10" s="360" customFormat="1" x14ac:dyDescent="0.25">
      <c r="A2021" s="19" t="s">
        <v>29</v>
      </c>
      <c r="B2021" s="2">
        <v>43977</v>
      </c>
      <c r="C2021" s="1">
        <v>1</v>
      </c>
      <c r="D2021" s="39">
        <v>5</v>
      </c>
      <c r="E2021" s="1"/>
      <c r="F2021" s="39">
        <f t="shared" si="109"/>
        <v>1</v>
      </c>
      <c r="G2021" s="497"/>
      <c r="H2021" s="497"/>
      <c r="J2021" s="42"/>
    </row>
    <row r="2022" spans="1:10" s="360" customFormat="1" x14ac:dyDescent="0.25">
      <c r="A2022" s="19" t="s">
        <v>43</v>
      </c>
      <c r="B2022" s="2">
        <v>43977</v>
      </c>
      <c r="C2022" s="1">
        <v>327</v>
      </c>
      <c r="D2022" s="39">
        <v>6202</v>
      </c>
      <c r="E2022" s="1">
        <v>5</v>
      </c>
      <c r="F2022" s="39">
        <f t="shared" si="109"/>
        <v>165</v>
      </c>
      <c r="G2022" s="497"/>
      <c r="H2022" s="497"/>
      <c r="J2022" s="42"/>
    </row>
    <row r="2023" spans="1:10" s="360" customFormat="1" x14ac:dyDescent="0.25">
      <c r="A2023" s="19" t="s">
        <v>20</v>
      </c>
      <c r="B2023" s="2">
        <v>43977</v>
      </c>
      <c r="C2023" s="1">
        <v>0</v>
      </c>
      <c r="D2023" s="39">
        <v>459</v>
      </c>
      <c r="E2023" s="1"/>
      <c r="F2023" s="39">
        <f t="shared" si="109"/>
        <v>26</v>
      </c>
      <c r="G2023" s="497"/>
      <c r="H2023" s="497"/>
      <c r="J2023" s="42"/>
    </row>
    <row r="2024" spans="1:10" s="360" customFormat="1" x14ac:dyDescent="0.25">
      <c r="A2024" s="19" t="s">
        <v>30</v>
      </c>
      <c r="B2024" s="2">
        <v>43977</v>
      </c>
      <c r="C2024" s="1">
        <v>0</v>
      </c>
      <c r="D2024" s="39">
        <v>78</v>
      </c>
      <c r="E2024" s="1"/>
      <c r="F2024" s="39">
        <f t="shared" si="109"/>
        <v>0</v>
      </c>
      <c r="G2024" s="497"/>
      <c r="H2024" s="497"/>
      <c r="J2024" s="42"/>
    </row>
    <row r="2025" spans="1:10" x14ac:dyDescent="0.25">
      <c r="A2025" s="19" t="s">
        <v>31</v>
      </c>
      <c r="B2025" s="2">
        <v>43977</v>
      </c>
      <c r="C2025" s="1">
        <v>0</v>
      </c>
      <c r="D2025" s="39">
        <v>29</v>
      </c>
      <c r="F2025" s="39">
        <f t="shared" si="109"/>
        <v>0</v>
      </c>
    </row>
    <row r="2026" spans="1:10" s="360" customFormat="1" x14ac:dyDescent="0.25">
      <c r="A2026" s="19" t="s">
        <v>41</v>
      </c>
      <c r="B2026" s="2">
        <v>43977</v>
      </c>
      <c r="C2026" s="1">
        <v>0</v>
      </c>
      <c r="D2026" s="39">
        <v>0</v>
      </c>
      <c r="E2026" s="1"/>
      <c r="F2026" s="39">
        <f t="shared" ref="F2026:F2040" si="110">E2026+F2001</f>
        <v>0</v>
      </c>
      <c r="G2026" s="497"/>
      <c r="H2026" s="497"/>
      <c r="J2026" s="42"/>
    </row>
    <row r="2027" spans="1:10" s="360" customFormat="1" x14ac:dyDescent="0.25">
      <c r="A2027" s="19" t="s">
        <v>32</v>
      </c>
      <c r="B2027" s="2">
        <v>43977</v>
      </c>
      <c r="C2027" s="1">
        <v>0</v>
      </c>
      <c r="D2027" s="39">
        <v>5</v>
      </c>
      <c r="E2027" s="1"/>
      <c r="F2027" s="39">
        <f t="shared" si="110"/>
        <v>0</v>
      </c>
      <c r="G2027" s="497"/>
      <c r="H2027" s="497"/>
      <c r="J2027" s="42"/>
    </row>
    <row r="2028" spans="1:10" s="360" customFormat="1" x14ac:dyDescent="0.25">
      <c r="A2028" s="19" t="s">
        <v>33</v>
      </c>
      <c r="B2028" s="2">
        <v>43977</v>
      </c>
      <c r="C2028" s="1">
        <v>0</v>
      </c>
      <c r="D2028" s="39">
        <v>5</v>
      </c>
      <c r="E2028" s="1"/>
      <c r="F2028" s="39">
        <f t="shared" si="110"/>
        <v>0</v>
      </c>
      <c r="G2028" s="497"/>
      <c r="H2028" s="497"/>
      <c r="J2028" s="42"/>
    </row>
    <row r="2029" spans="1:10" s="360" customFormat="1" x14ac:dyDescent="0.25">
      <c r="A2029" s="19" t="s">
        <v>21</v>
      </c>
      <c r="B2029" s="2">
        <v>43977</v>
      </c>
      <c r="C2029" s="1">
        <v>0</v>
      </c>
      <c r="D2029" s="39">
        <v>63</v>
      </c>
      <c r="E2029" s="1"/>
      <c r="F2029" s="39">
        <f t="shared" si="110"/>
        <v>0</v>
      </c>
      <c r="G2029" s="497"/>
      <c r="H2029" s="497"/>
      <c r="J2029" s="42"/>
    </row>
    <row r="2030" spans="1:10" s="360" customFormat="1" x14ac:dyDescent="0.25">
      <c r="A2030" s="19" t="s">
        <v>17</v>
      </c>
      <c r="B2030" s="2">
        <v>43977</v>
      </c>
      <c r="C2030" s="1">
        <v>0</v>
      </c>
      <c r="D2030" s="39">
        <v>90</v>
      </c>
      <c r="E2030" s="1"/>
      <c r="F2030" s="39">
        <f t="shared" si="110"/>
        <v>0</v>
      </c>
      <c r="G2030" s="497"/>
      <c r="H2030" s="497"/>
      <c r="J2030" s="42"/>
    </row>
    <row r="2031" spans="1:10" s="360" customFormat="1" x14ac:dyDescent="0.25">
      <c r="A2031" s="19" t="s">
        <v>23</v>
      </c>
      <c r="B2031" s="2">
        <v>43977</v>
      </c>
      <c r="C2031" s="1">
        <v>0</v>
      </c>
      <c r="D2031" s="39">
        <v>25</v>
      </c>
      <c r="E2031" s="1"/>
      <c r="F2031" s="39">
        <f t="shared" si="110"/>
        <v>0</v>
      </c>
      <c r="G2031" s="497"/>
      <c r="H2031" s="497"/>
      <c r="J2031" s="42"/>
    </row>
    <row r="2032" spans="1:10" s="360" customFormat="1" x14ac:dyDescent="0.25">
      <c r="A2032" s="19" t="s">
        <v>19</v>
      </c>
      <c r="B2032" s="2">
        <v>43977</v>
      </c>
      <c r="C2032" s="1">
        <v>7</v>
      </c>
      <c r="D2032" s="39">
        <v>123</v>
      </c>
      <c r="E2032" s="1"/>
      <c r="F2032" s="39">
        <f t="shared" si="110"/>
        <v>0</v>
      </c>
      <c r="G2032" s="497"/>
      <c r="H2032" s="497"/>
      <c r="J2032" s="42"/>
    </row>
    <row r="2033" spans="1:10" s="360" customFormat="1" x14ac:dyDescent="0.25">
      <c r="A2033" s="19" t="s">
        <v>18</v>
      </c>
      <c r="B2033" s="2">
        <v>43977</v>
      </c>
      <c r="C2033" s="1">
        <v>4</v>
      </c>
      <c r="D2033" s="39">
        <v>360</v>
      </c>
      <c r="E2033" s="1"/>
      <c r="F2033" s="39">
        <f t="shared" si="110"/>
        <v>0</v>
      </c>
      <c r="G2033" s="497"/>
      <c r="H2033" s="497"/>
      <c r="J2033" s="42"/>
    </row>
    <row r="2034" spans="1:10" s="360" customFormat="1" x14ac:dyDescent="0.25">
      <c r="A2034" s="19" t="s">
        <v>34</v>
      </c>
      <c r="B2034" s="2">
        <v>43977</v>
      </c>
      <c r="C2034" s="1">
        <v>0</v>
      </c>
      <c r="D2034" s="39">
        <v>7</v>
      </c>
      <c r="E2034" s="1"/>
      <c r="F2034" s="39">
        <f t="shared" si="110"/>
        <v>1</v>
      </c>
      <c r="G2034" s="497"/>
      <c r="H2034" s="497"/>
      <c r="J2034" s="42"/>
    </row>
    <row r="2035" spans="1:10" s="360" customFormat="1" x14ac:dyDescent="0.25">
      <c r="A2035" s="19" t="s">
        <v>35</v>
      </c>
      <c r="B2035" s="2">
        <v>43977</v>
      </c>
      <c r="C2035" s="1">
        <v>0</v>
      </c>
      <c r="D2035" s="39">
        <v>4</v>
      </c>
      <c r="E2035" s="1"/>
      <c r="F2035" s="39">
        <f>E2035+F2011</f>
        <v>0</v>
      </c>
      <c r="G2035" s="497"/>
      <c r="H2035" s="497"/>
      <c r="J2035" s="42"/>
    </row>
    <row r="2036" spans="1:10" s="360" customFormat="1" x14ac:dyDescent="0.25">
      <c r="A2036" s="19" t="s">
        <v>36</v>
      </c>
      <c r="B2036" s="2">
        <v>43977</v>
      </c>
      <c r="C2036" s="1">
        <v>0</v>
      </c>
      <c r="D2036" s="39">
        <v>11</v>
      </c>
      <c r="E2036" s="1"/>
      <c r="F2036" s="39">
        <f t="shared" si="110"/>
        <v>0</v>
      </c>
      <c r="G2036" s="497"/>
      <c r="H2036" s="497"/>
      <c r="J2036" s="42"/>
    </row>
    <row r="2037" spans="1:10" s="360" customFormat="1" x14ac:dyDescent="0.25">
      <c r="A2037" s="19" t="s">
        <v>37</v>
      </c>
      <c r="B2037" s="2">
        <v>43977</v>
      </c>
      <c r="C2037" s="1">
        <v>0</v>
      </c>
      <c r="D2037" s="39">
        <v>49</v>
      </c>
      <c r="E2037" s="1"/>
      <c r="F2037" s="39">
        <f t="shared" si="110"/>
        <v>0</v>
      </c>
      <c r="G2037" s="497"/>
      <c r="H2037" s="497"/>
      <c r="J2037" s="42"/>
    </row>
    <row r="2038" spans="1:10" s="360" customFormat="1" x14ac:dyDescent="0.25">
      <c r="A2038" s="19" t="s">
        <v>22</v>
      </c>
      <c r="B2038" s="2">
        <v>43977</v>
      </c>
      <c r="C2038" s="1">
        <v>2</v>
      </c>
      <c r="D2038" s="39">
        <v>260</v>
      </c>
      <c r="E2038" s="1"/>
      <c r="F2038" s="39">
        <f>E2038+F2014</f>
        <v>3</v>
      </c>
      <c r="G2038" s="497"/>
      <c r="H2038" s="497"/>
      <c r="J2038" s="42"/>
    </row>
    <row r="2039" spans="1:10" s="360" customFormat="1" x14ac:dyDescent="0.25">
      <c r="A2039" s="19" t="s">
        <v>38</v>
      </c>
      <c r="B2039" s="2">
        <v>43977</v>
      </c>
      <c r="C2039" s="1">
        <v>0</v>
      </c>
      <c r="D2039" s="39">
        <v>22</v>
      </c>
      <c r="E2039" s="1"/>
      <c r="F2039" s="39">
        <f>E2039+F2015</f>
        <v>0</v>
      </c>
      <c r="G2039" s="497"/>
      <c r="H2039" s="497"/>
      <c r="J2039" s="42"/>
    </row>
    <row r="2040" spans="1:10" s="360" customFormat="1" x14ac:dyDescent="0.25">
      <c r="A2040" s="19" t="s">
        <v>39</v>
      </c>
      <c r="B2040" s="2">
        <v>43977</v>
      </c>
      <c r="C2040" s="1">
        <v>0</v>
      </c>
      <c r="D2040" s="39">
        <v>148</v>
      </c>
      <c r="E2040" s="1"/>
      <c r="F2040" s="39">
        <f t="shared" si="110"/>
        <v>0</v>
      </c>
      <c r="G2040" s="497"/>
      <c r="H2040" s="497"/>
      <c r="J2040" s="42"/>
    </row>
    <row r="2041" spans="1:10" s="360" customFormat="1" x14ac:dyDescent="0.25">
      <c r="A2041" s="19" t="s">
        <v>40</v>
      </c>
      <c r="B2041" s="2">
        <v>43977</v>
      </c>
      <c r="C2041" s="1">
        <v>0</v>
      </c>
      <c r="D2041" s="39">
        <v>47</v>
      </c>
      <c r="E2041" s="1"/>
      <c r="F2041" s="39">
        <f>E2041+F2017</f>
        <v>3</v>
      </c>
      <c r="G2041" s="497"/>
      <c r="H2041" s="497"/>
      <c r="J2041" s="42"/>
    </row>
    <row r="2042" spans="1:10" s="360" customFormat="1" x14ac:dyDescent="0.25">
      <c r="A2042" s="361" t="s">
        <v>16</v>
      </c>
      <c r="B2042" s="2">
        <v>43978</v>
      </c>
      <c r="C2042" s="1">
        <v>315</v>
      </c>
      <c r="D2042" s="39">
        <v>4770</v>
      </c>
      <c r="E2042" s="1">
        <v>3</v>
      </c>
      <c r="F2042" s="39">
        <f>E2042+F2018</f>
        <v>206</v>
      </c>
      <c r="G2042" s="497"/>
      <c r="H2042" s="497"/>
      <c r="J2042" s="42"/>
    </row>
    <row r="2043" spans="1:10" s="360" customFormat="1" x14ac:dyDescent="0.25">
      <c r="A2043" s="19" t="s">
        <v>28</v>
      </c>
      <c r="B2043" s="2">
        <v>43978</v>
      </c>
      <c r="C2043" s="1">
        <v>0</v>
      </c>
      <c r="D2043" s="39">
        <v>0</v>
      </c>
      <c r="E2043" s="1"/>
      <c r="F2043" s="39">
        <f t="shared" ref="F2043:F2049" si="111">E2043+F2019</f>
        <v>0</v>
      </c>
      <c r="G2043" s="497"/>
      <c r="H2043" s="497"/>
      <c r="J2043" s="42"/>
    </row>
    <row r="2044" spans="1:10" s="360" customFormat="1" x14ac:dyDescent="0.25">
      <c r="A2044" s="19" t="s">
        <v>15</v>
      </c>
      <c r="B2044" s="2">
        <v>43978</v>
      </c>
      <c r="C2044" s="1">
        <v>16</v>
      </c>
      <c r="D2044" s="39">
        <v>796</v>
      </c>
      <c r="E2044" s="1">
        <v>2</v>
      </c>
      <c r="F2044" s="39">
        <f t="shared" si="111"/>
        <v>46</v>
      </c>
      <c r="G2044" s="497"/>
      <c r="H2044" s="497"/>
      <c r="J2044" s="42"/>
    </row>
    <row r="2045" spans="1:10" s="360" customFormat="1" x14ac:dyDescent="0.25">
      <c r="A2045" s="19" t="s">
        <v>29</v>
      </c>
      <c r="B2045" s="2">
        <v>43978</v>
      </c>
      <c r="C2045" s="1">
        <v>0</v>
      </c>
      <c r="D2045" s="39">
        <v>5</v>
      </c>
      <c r="E2045" s="1"/>
      <c r="F2045" s="39">
        <f t="shared" si="111"/>
        <v>1</v>
      </c>
      <c r="G2045" s="497"/>
      <c r="H2045" s="497"/>
      <c r="J2045" s="42"/>
    </row>
    <row r="2046" spans="1:10" s="360" customFormat="1" x14ac:dyDescent="0.25">
      <c r="A2046" s="19" t="s">
        <v>43</v>
      </c>
      <c r="B2046" s="2">
        <v>43978</v>
      </c>
      <c r="C2046" s="1">
        <v>362</v>
      </c>
      <c r="D2046" s="39">
        <v>6564</v>
      </c>
      <c r="E2046" s="1">
        <v>4</v>
      </c>
      <c r="F2046" s="39">
        <f t="shared" si="111"/>
        <v>169</v>
      </c>
      <c r="G2046" s="497"/>
      <c r="H2046" s="497"/>
      <c r="J2046" s="42"/>
    </row>
    <row r="2047" spans="1:10" s="360" customFormat="1" x14ac:dyDescent="0.25">
      <c r="A2047" s="19" t="s">
        <v>20</v>
      </c>
      <c r="B2047" s="2">
        <v>43978</v>
      </c>
      <c r="C2047" s="1">
        <v>0</v>
      </c>
      <c r="D2047" s="39">
        <v>459</v>
      </c>
      <c r="E2047" s="1">
        <v>1</v>
      </c>
      <c r="F2047" s="39">
        <f t="shared" si="111"/>
        <v>27</v>
      </c>
      <c r="G2047" s="497"/>
      <c r="H2047" s="497"/>
      <c r="J2047" s="42"/>
    </row>
    <row r="2048" spans="1:10" s="360" customFormat="1" x14ac:dyDescent="0.25">
      <c r="A2048" s="19" t="s">
        <v>30</v>
      </c>
      <c r="B2048" s="2">
        <v>43978</v>
      </c>
      <c r="C2048" s="1">
        <v>2</v>
      </c>
      <c r="D2048" s="39">
        <v>80</v>
      </c>
      <c r="E2048" s="1"/>
      <c r="F2048" s="39">
        <f t="shared" si="111"/>
        <v>0</v>
      </c>
      <c r="G2048" s="497"/>
      <c r="H2048" s="497"/>
      <c r="J2048" s="42"/>
    </row>
    <row r="2049" spans="1:10" x14ac:dyDescent="0.25">
      <c r="A2049" s="19" t="s">
        <v>31</v>
      </c>
      <c r="B2049" s="2">
        <v>43978</v>
      </c>
      <c r="C2049" s="1">
        <v>0</v>
      </c>
      <c r="D2049" s="39">
        <v>29</v>
      </c>
      <c r="F2049" s="39">
        <f t="shared" si="111"/>
        <v>0</v>
      </c>
    </row>
    <row r="2050" spans="1:10" s="360" customFormat="1" x14ac:dyDescent="0.25">
      <c r="A2050" s="19" t="s">
        <v>41</v>
      </c>
      <c r="B2050" s="2">
        <v>43978</v>
      </c>
      <c r="C2050" s="1">
        <v>0</v>
      </c>
      <c r="D2050" s="39">
        <v>0</v>
      </c>
      <c r="E2050" s="1"/>
      <c r="F2050" s="39">
        <f t="shared" ref="F2050:F2064" si="112">E2050+F2025</f>
        <v>0</v>
      </c>
      <c r="G2050" s="497"/>
      <c r="H2050" s="497"/>
      <c r="J2050" s="42"/>
    </row>
    <row r="2051" spans="1:10" s="360" customFormat="1" x14ac:dyDescent="0.25">
      <c r="A2051" s="19" t="s">
        <v>32</v>
      </c>
      <c r="B2051" s="2">
        <v>43978</v>
      </c>
      <c r="C2051" s="1">
        <v>0</v>
      </c>
      <c r="D2051" s="39">
        <v>5</v>
      </c>
      <c r="E2051" s="1"/>
      <c r="F2051" s="39">
        <f t="shared" si="112"/>
        <v>0</v>
      </c>
      <c r="G2051" s="497"/>
      <c r="H2051" s="497"/>
      <c r="J2051" s="42"/>
    </row>
    <row r="2052" spans="1:10" s="360" customFormat="1" x14ac:dyDescent="0.25">
      <c r="A2052" s="19" t="s">
        <v>33</v>
      </c>
      <c r="B2052" s="2">
        <v>43978</v>
      </c>
      <c r="C2052" s="1">
        <v>0</v>
      </c>
      <c r="D2052" s="39">
        <v>5</v>
      </c>
      <c r="E2052" s="1"/>
      <c r="F2052" s="39">
        <f t="shared" si="112"/>
        <v>0</v>
      </c>
      <c r="G2052" s="497"/>
      <c r="H2052" s="497"/>
      <c r="J2052" s="42"/>
    </row>
    <row r="2053" spans="1:10" s="360" customFormat="1" x14ac:dyDescent="0.25">
      <c r="A2053" s="19" t="s">
        <v>21</v>
      </c>
      <c r="B2053" s="2">
        <v>43978</v>
      </c>
      <c r="C2053" s="1">
        <v>0</v>
      </c>
      <c r="D2053" s="39">
        <v>63</v>
      </c>
      <c r="E2053" s="1"/>
      <c r="F2053" s="39">
        <f t="shared" si="112"/>
        <v>0</v>
      </c>
      <c r="G2053" s="497"/>
      <c r="H2053" s="497"/>
      <c r="J2053" s="42"/>
    </row>
    <row r="2054" spans="1:10" s="360" customFormat="1" x14ac:dyDescent="0.25">
      <c r="A2054" s="19" t="s">
        <v>17</v>
      </c>
      <c r="B2054" s="2">
        <v>43978</v>
      </c>
      <c r="C2054" s="1">
        <v>-1</v>
      </c>
      <c r="D2054" s="39">
        <v>89</v>
      </c>
      <c r="E2054" s="1"/>
      <c r="F2054" s="39">
        <f t="shared" si="112"/>
        <v>0</v>
      </c>
      <c r="G2054" s="497"/>
      <c r="H2054" s="497"/>
      <c r="J2054" s="42"/>
    </row>
    <row r="2055" spans="1:10" s="360" customFormat="1" x14ac:dyDescent="0.25">
      <c r="A2055" s="19" t="s">
        <v>23</v>
      </c>
      <c r="B2055" s="2">
        <v>43978</v>
      </c>
      <c r="C2055" s="1">
        <v>0</v>
      </c>
      <c r="D2055" s="39">
        <v>25</v>
      </c>
      <c r="E2055" s="1"/>
      <c r="F2055" s="39">
        <f t="shared" si="112"/>
        <v>0</v>
      </c>
      <c r="G2055" s="497"/>
      <c r="H2055" s="497"/>
      <c r="J2055" s="42"/>
    </row>
    <row r="2056" spans="1:10" s="360" customFormat="1" x14ac:dyDescent="0.25">
      <c r="A2056" s="19" t="s">
        <v>19</v>
      </c>
      <c r="B2056" s="2">
        <v>43978</v>
      </c>
      <c r="C2056" s="1">
        <v>2</v>
      </c>
      <c r="D2056" s="39">
        <v>125</v>
      </c>
      <c r="E2056" s="1"/>
      <c r="F2056" s="39">
        <f t="shared" si="112"/>
        <v>0</v>
      </c>
      <c r="G2056" s="497"/>
      <c r="H2056" s="497"/>
      <c r="J2056" s="42"/>
    </row>
    <row r="2057" spans="1:10" s="360" customFormat="1" x14ac:dyDescent="0.25">
      <c r="A2057" s="19" t="s">
        <v>18</v>
      </c>
      <c r="B2057" s="2">
        <v>43978</v>
      </c>
      <c r="C2057" s="1">
        <v>8</v>
      </c>
      <c r="D2057" s="39">
        <v>368</v>
      </c>
      <c r="E2057" s="1"/>
      <c r="F2057" s="39">
        <f t="shared" si="112"/>
        <v>0</v>
      </c>
      <c r="G2057" s="497"/>
      <c r="H2057" s="497"/>
      <c r="J2057" s="42"/>
    </row>
    <row r="2058" spans="1:10" s="360" customFormat="1" x14ac:dyDescent="0.25">
      <c r="A2058" s="19" t="s">
        <v>34</v>
      </c>
      <c r="B2058" s="2">
        <v>43978</v>
      </c>
      <c r="C2058" s="1">
        <v>0</v>
      </c>
      <c r="D2058" s="39">
        <v>7</v>
      </c>
      <c r="E2058" s="1"/>
      <c r="F2058" s="39">
        <f t="shared" si="112"/>
        <v>0</v>
      </c>
      <c r="G2058" s="497"/>
      <c r="H2058" s="497"/>
      <c r="J2058" s="42"/>
    </row>
    <row r="2059" spans="1:10" s="360" customFormat="1" x14ac:dyDescent="0.25">
      <c r="A2059" s="19" t="s">
        <v>35</v>
      </c>
      <c r="B2059" s="2">
        <v>43978</v>
      </c>
      <c r="C2059" s="1">
        <v>1</v>
      </c>
      <c r="D2059" s="39">
        <v>5</v>
      </c>
      <c r="E2059" s="1"/>
      <c r="F2059" s="39">
        <f>E2059+F2035</f>
        <v>0</v>
      </c>
      <c r="G2059" s="497"/>
      <c r="H2059" s="497"/>
      <c r="J2059" s="42"/>
    </row>
    <row r="2060" spans="1:10" s="360" customFormat="1" x14ac:dyDescent="0.25">
      <c r="A2060" s="19" t="s">
        <v>36</v>
      </c>
      <c r="B2060" s="2">
        <v>43978</v>
      </c>
      <c r="C2060" s="1">
        <v>0</v>
      </c>
      <c r="D2060" s="39">
        <v>11</v>
      </c>
      <c r="E2060" s="1"/>
      <c r="F2060" s="39">
        <f t="shared" si="112"/>
        <v>0</v>
      </c>
      <c r="G2060" s="497"/>
      <c r="H2060" s="497"/>
      <c r="J2060" s="42"/>
    </row>
    <row r="2061" spans="1:10" s="360" customFormat="1" x14ac:dyDescent="0.25">
      <c r="A2061" s="19" t="s">
        <v>37</v>
      </c>
      <c r="B2061" s="2">
        <v>43978</v>
      </c>
      <c r="C2061" s="1">
        <v>0</v>
      </c>
      <c r="D2061" s="39">
        <v>49</v>
      </c>
      <c r="E2061" s="1"/>
      <c r="F2061" s="39">
        <f t="shared" si="112"/>
        <v>0</v>
      </c>
      <c r="G2061" s="497"/>
      <c r="H2061" s="497"/>
      <c r="J2061" s="42"/>
    </row>
    <row r="2062" spans="1:10" s="360" customFormat="1" x14ac:dyDescent="0.25">
      <c r="A2062" s="19" t="s">
        <v>22</v>
      </c>
      <c r="B2062" s="2">
        <v>43978</v>
      </c>
      <c r="C2062" s="1">
        <v>0</v>
      </c>
      <c r="D2062" s="39">
        <v>260</v>
      </c>
      <c r="E2062" s="1"/>
      <c r="F2062" s="39">
        <f>E2062+F2038</f>
        <v>3</v>
      </c>
      <c r="G2062" s="497"/>
      <c r="H2062" s="497"/>
      <c r="J2062" s="42"/>
    </row>
    <row r="2063" spans="1:10" s="360" customFormat="1" x14ac:dyDescent="0.25">
      <c r="A2063" s="19" t="s">
        <v>38</v>
      </c>
      <c r="B2063" s="2">
        <v>43978</v>
      </c>
      <c r="C2063" s="1">
        <v>0</v>
      </c>
      <c r="D2063" s="39">
        <v>22</v>
      </c>
      <c r="E2063" s="1"/>
      <c r="F2063" s="39">
        <f>E2063+F2039</f>
        <v>0</v>
      </c>
      <c r="G2063" s="497"/>
      <c r="H2063" s="497"/>
      <c r="J2063" s="42"/>
    </row>
    <row r="2064" spans="1:10" s="360" customFormat="1" x14ac:dyDescent="0.25">
      <c r="A2064" s="19" t="s">
        <v>39</v>
      </c>
      <c r="B2064" s="2">
        <v>43978</v>
      </c>
      <c r="C2064" s="1">
        <v>1</v>
      </c>
      <c r="D2064" s="39">
        <v>149</v>
      </c>
      <c r="E2064" s="1"/>
      <c r="F2064" s="39">
        <f t="shared" si="112"/>
        <v>0</v>
      </c>
      <c r="G2064" s="497"/>
      <c r="H2064" s="497"/>
      <c r="J2064" s="42"/>
    </row>
    <row r="2065" spans="1:10" s="360" customFormat="1" x14ac:dyDescent="0.25">
      <c r="A2065" s="19" t="s">
        <v>40</v>
      </c>
      <c r="B2065" s="2">
        <v>43978</v>
      </c>
      <c r="C2065" s="1">
        <v>0</v>
      </c>
      <c r="D2065" s="39">
        <v>47</v>
      </c>
      <c r="E2065" s="1"/>
      <c r="F2065" s="39">
        <f>E2065+F2041</f>
        <v>3</v>
      </c>
      <c r="G2065" s="497"/>
      <c r="H2065" s="497"/>
      <c r="J2065" s="42"/>
    </row>
    <row r="2066" spans="1:10" s="360" customFormat="1" x14ac:dyDescent="0.25">
      <c r="A2066" s="361" t="s">
        <v>16</v>
      </c>
      <c r="B2066" s="2">
        <v>43979</v>
      </c>
      <c r="C2066" s="1">
        <v>299</v>
      </c>
      <c r="D2066" s="39">
        <v>5069</v>
      </c>
      <c r="E2066" s="1">
        <v>4</v>
      </c>
      <c r="F2066" s="39">
        <f>E2066+F2042</f>
        <v>210</v>
      </c>
      <c r="G2066" s="497"/>
      <c r="H2066" s="497"/>
      <c r="J2066" s="42"/>
    </row>
    <row r="2067" spans="1:10" s="360" customFormat="1" x14ac:dyDescent="0.25">
      <c r="A2067" s="19" t="s">
        <v>28</v>
      </c>
      <c r="B2067" s="2">
        <v>43979</v>
      </c>
      <c r="C2067" s="1">
        <v>0</v>
      </c>
      <c r="D2067" s="39">
        <v>0</v>
      </c>
      <c r="E2067" s="1"/>
      <c r="F2067" s="39">
        <f t="shared" ref="F2067:F2073" si="113">E2067+F2043</f>
        <v>0</v>
      </c>
      <c r="G2067" s="497"/>
      <c r="H2067" s="497"/>
      <c r="J2067" s="42"/>
    </row>
    <row r="2068" spans="1:10" s="360" customFormat="1" x14ac:dyDescent="0.25">
      <c r="A2068" s="19" t="s">
        <v>15</v>
      </c>
      <c r="B2068" s="2">
        <v>43979</v>
      </c>
      <c r="C2068" s="1">
        <v>28</v>
      </c>
      <c r="D2068" s="39">
        <v>824</v>
      </c>
      <c r="E2068" s="1">
        <v>1</v>
      </c>
      <c r="F2068" s="39">
        <f t="shared" si="113"/>
        <v>47</v>
      </c>
      <c r="G2068" s="497"/>
      <c r="H2068" s="497"/>
      <c r="J2068" s="42"/>
    </row>
    <row r="2069" spans="1:10" s="360" customFormat="1" x14ac:dyDescent="0.25">
      <c r="A2069" s="19" t="s">
        <v>29</v>
      </c>
      <c r="B2069" s="2">
        <v>43979</v>
      </c>
      <c r="C2069" s="1">
        <v>3</v>
      </c>
      <c r="D2069" s="39">
        <v>8</v>
      </c>
      <c r="E2069" s="1"/>
      <c r="F2069" s="39">
        <f t="shared" si="113"/>
        <v>1</v>
      </c>
      <c r="G2069" s="497"/>
      <c r="H2069" s="497"/>
      <c r="J2069" s="42"/>
    </row>
    <row r="2070" spans="1:10" s="360" customFormat="1" x14ac:dyDescent="0.25">
      <c r="A2070" s="19" t="s">
        <v>43</v>
      </c>
      <c r="B2070" s="2">
        <v>43979</v>
      </c>
      <c r="C2070" s="1">
        <v>425</v>
      </c>
      <c r="D2070" s="39">
        <v>6989</v>
      </c>
      <c r="E2070" s="1">
        <v>3</v>
      </c>
      <c r="F2070" s="39">
        <f t="shared" si="113"/>
        <v>172</v>
      </c>
      <c r="G2070" s="497"/>
      <c r="H2070" s="497"/>
      <c r="J2070" s="42"/>
    </row>
    <row r="2071" spans="1:10" s="360" customFormat="1" x14ac:dyDescent="0.25">
      <c r="A2071" s="19" t="s">
        <v>20</v>
      </c>
      <c r="B2071" s="2">
        <v>43979</v>
      </c>
      <c r="C2071" s="1">
        <v>-1</v>
      </c>
      <c r="D2071" s="39">
        <v>458</v>
      </c>
      <c r="E2071" s="1"/>
      <c r="F2071" s="39">
        <f t="shared" si="113"/>
        <v>27</v>
      </c>
      <c r="G2071" s="497"/>
      <c r="H2071" s="497"/>
      <c r="J2071" s="42"/>
    </row>
    <row r="2072" spans="1:10" s="360" customFormat="1" x14ac:dyDescent="0.25">
      <c r="A2072" s="19" t="s">
        <v>30</v>
      </c>
      <c r="B2072" s="2">
        <v>43979</v>
      </c>
      <c r="C2072" s="1">
        <v>1</v>
      </c>
      <c r="D2072" s="39">
        <v>81</v>
      </c>
      <c r="E2072" s="1"/>
      <c r="F2072" s="39">
        <f t="shared" si="113"/>
        <v>0</v>
      </c>
      <c r="G2072" s="497"/>
      <c r="H2072" s="497"/>
      <c r="J2072" s="42"/>
    </row>
    <row r="2073" spans="1:10" x14ac:dyDescent="0.25">
      <c r="A2073" s="19" t="s">
        <v>31</v>
      </c>
      <c r="B2073" s="2">
        <v>43979</v>
      </c>
      <c r="C2073" s="1">
        <v>1</v>
      </c>
      <c r="D2073" s="39">
        <v>30</v>
      </c>
      <c r="F2073" s="39">
        <f t="shared" si="113"/>
        <v>0</v>
      </c>
    </row>
    <row r="2074" spans="1:10" s="360" customFormat="1" x14ac:dyDescent="0.25">
      <c r="A2074" s="19" t="s">
        <v>41</v>
      </c>
      <c r="B2074" s="2">
        <v>43979</v>
      </c>
      <c r="C2074" s="1">
        <v>0</v>
      </c>
      <c r="D2074" s="39">
        <v>0</v>
      </c>
      <c r="E2074" s="1"/>
      <c r="F2074" s="39">
        <f t="shared" ref="F2074:F2088" si="114">E2074+F2049</f>
        <v>0</v>
      </c>
      <c r="G2074" s="497"/>
      <c r="H2074" s="497"/>
      <c r="J2074" s="42"/>
    </row>
    <row r="2075" spans="1:10" s="360" customFormat="1" x14ac:dyDescent="0.25">
      <c r="A2075" s="19" t="s">
        <v>32</v>
      </c>
      <c r="B2075" s="2">
        <v>43979</v>
      </c>
      <c r="C2075" s="1">
        <v>1</v>
      </c>
      <c r="D2075" s="39">
        <v>6</v>
      </c>
      <c r="E2075" s="1"/>
      <c r="F2075" s="39">
        <f t="shared" si="114"/>
        <v>0</v>
      </c>
      <c r="G2075" s="497"/>
      <c r="H2075" s="497"/>
      <c r="J2075" s="42"/>
    </row>
    <row r="2076" spans="1:10" s="360" customFormat="1" x14ac:dyDescent="0.25">
      <c r="A2076" s="19" t="s">
        <v>33</v>
      </c>
      <c r="B2076" s="2">
        <v>43979</v>
      </c>
      <c r="C2076" s="1">
        <v>0</v>
      </c>
      <c r="D2076" s="39">
        <v>5</v>
      </c>
      <c r="E2076" s="1"/>
      <c r="F2076" s="39">
        <f t="shared" si="114"/>
        <v>0</v>
      </c>
      <c r="G2076" s="497"/>
      <c r="H2076" s="497"/>
      <c r="J2076" s="42"/>
    </row>
    <row r="2077" spans="1:10" s="360" customFormat="1" x14ac:dyDescent="0.25">
      <c r="A2077" s="19" t="s">
        <v>21</v>
      </c>
      <c r="B2077" s="2">
        <v>43979</v>
      </c>
      <c r="C2077" s="1">
        <v>0</v>
      </c>
      <c r="D2077" s="39">
        <v>63</v>
      </c>
      <c r="E2077" s="1"/>
      <c r="F2077" s="39">
        <f t="shared" si="114"/>
        <v>0</v>
      </c>
      <c r="G2077" s="497"/>
      <c r="H2077" s="497"/>
      <c r="J2077" s="42"/>
    </row>
    <row r="2078" spans="1:10" s="360" customFormat="1" x14ac:dyDescent="0.25">
      <c r="A2078" s="19" t="s">
        <v>17</v>
      </c>
      <c r="B2078" s="2">
        <v>43979</v>
      </c>
      <c r="C2078" s="1">
        <v>0</v>
      </c>
      <c r="D2078" s="39">
        <v>89</v>
      </c>
      <c r="E2078" s="1"/>
      <c r="F2078" s="39">
        <f t="shared" si="114"/>
        <v>0</v>
      </c>
      <c r="G2078" s="497"/>
      <c r="H2078" s="497"/>
      <c r="J2078" s="42"/>
    </row>
    <row r="2079" spans="1:10" s="360" customFormat="1" x14ac:dyDescent="0.25">
      <c r="A2079" s="19" t="s">
        <v>23</v>
      </c>
      <c r="B2079" s="2">
        <v>43979</v>
      </c>
      <c r="C2079" s="1">
        <v>2</v>
      </c>
      <c r="D2079" s="39">
        <v>27</v>
      </c>
      <c r="E2079" s="1"/>
      <c r="F2079" s="39">
        <f t="shared" si="114"/>
        <v>0</v>
      </c>
      <c r="G2079" s="497"/>
      <c r="H2079" s="497"/>
      <c r="J2079" s="42"/>
    </row>
    <row r="2080" spans="1:10" s="360" customFormat="1" x14ac:dyDescent="0.25">
      <c r="A2080" s="19" t="s">
        <v>19</v>
      </c>
      <c r="B2080" s="2">
        <v>43979</v>
      </c>
      <c r="C2080" s="1">
        <v>3</v>
      </c>
      <c r="D2080" s="39">
        <v>128</v>
      </c>
      <c r="E2080" s="1"/>
      <c r="F2080" s="39">
        <f t="shared" si="114"/>
        <v>0</v>
      </c>
      <c r="G2080" s="497"/>
      <c r="H2080" s="497"/>
      <c r="J2080" s="42"/>
    </row>
    <row r="2081" spans="1:10" s="360" customFormat="1" x14ac:dyDescent="0.25">
      <c r="A2081" s="19" t="s">
        <v>18</v>
      </c>
      <c r="B2081" s="2">
        <v>43979</v>
      </c>
      <c r="C2081" s="1">
        <v>7</v>
      </c>
      <c r="D2081" s="39">
        <v>375</v>
      </c>
      <c r="E2081" s="1"/>
      <c r="F2081" s="39">
        <f t="shared" si="114"/>
        <v>0</v>
      </c>
      <c r="G2081" s="497"/>
      <c r="H2081" s="497"/>
      <c r="J2081" s="42"/>
    </row>
    <row r="2082" spans="1:10" s="360" customFormat="1" x14ac:dyDescent="0.25">
      <c r="A2082" s="19" t="s">
        <v>34</v>
      </c>
      <c r="B2082" s="2">
        <v>43979</v>
      </c>
      <c r="C2082" s="1">
        <v>0</v>
      </c>
      <c r="D2082" s="39">
        <v>7</v>
      </c>
      <c r="E2082" s="1"/>
      <c r="F2082" s="39">
        <f t="shared" si="114"/>
        <v>0</v>
      </c>
      <c r="G2082" s="497"/>
      <c r="H2082" s="497"/>
      <c r="J2082" s="42"/>
    </row>
    <row r="2083" spans="1:10" s="360" customFormat="1" x14ac:dyDescent="0.25">
      <c r="A2083" s="19" t="s">
        <v>35</v>
      </c>
      <c r="B2083" s="2">
        <v>43979</v>
      </c>
      <c r="C2083" s="1">
        <v>0</v>
      </c>
      <c r="D2083" s="39">
        <v>5</v>
      </c>
      <c r="E2083" s="1"/>
      <c r="F2083" s="39">
        <f>E2083+F2059</f>
        <v>0</v>
      </c>
      <c r="G2083" s="497"/>
      <c r="H2083" s="497"/>
      <c r="J2083" s="42"/>
    </row>
    <row r="2084" spans="1:10" s="360" customFormat="1" x14ac:dyDescent="0.25">
      <c r="A2084" s="19" t="s">
        <v>36</v>
      </c>
      <c r="B2084" s="2">
        <v>43979</v>
      </c>
      <c r="C2084" s="1">
        <v>0</v>
      </c>
      <c r="D2084" s="39">
        <v>11</v>
      </c>
      <c r="E2084" s="1"/>
      <c r="F2084" s="39">
        <f t="shared" si="114"/>
        <v>0</v>
      </c>
      <c r="G2084" s="497"/>
      <c r="H2084" s="497"/>
      <c r="J2084" s="42"/>
    </row>
    <row r="2085" spans="1:10" s="360" customFormat="1" x14ac:dyDescent="0.25">
      <c r="A2085" s="19" t="s">
        <v>37</v>
      </c>
      <c r="B2085" s="2">
        <v>43979</v>
      </c>
      <c r="C2085" s="1">
        <v>0</v>
      </c>
      <c r="D2085" s="39">
        <v>49</v>
      </c>
      <c r="E2085" s="1"/>
      <c r="F2085" s="39">
        <f t="shared" si="114"/>
        <v>0</v>
      </c>
      <c r="G2085" s="497"/>
      <c r="H2085" s="497"/>
      <c r="J2085" s="42"/>
    </row>
    <row r="2086" spans="1:10" s="360" customFormat="1" x14ac:dyDescent="0.25">
      <c r="A2086" s="19" t="s">
        <v>22</v>
      </c>
      <c r="B2086" s="2">
        <v>43979</v>
      </c>
      <c r="C2086" s="1">
        <v>0</v>
      </c>
      <c r="D2086" s="39">
        <v>260</v>
      </c>
      <c r="E2086" s="1"/>
      <c r="F2086" s="39">
        <f>E2086+F2062</f>
        <v>3</v>
      </c>
      <c r="G2086" s="497"/>
      <c r="H2086" s="497"/>
      <c r="J2086" s="42"/>
    </row>
    <row r="2087" spans="1:10" s="360" customFormat="1" x14ac:dyDescent="0.25">
      <c r="A2087" s="19" t="s">
        <v>38</v>
      </c>
      <c r="B2087" s="2">
        <v>43979</v>
      </c>
      <c r="C2087" s="1">
        <v>0</v>
      </c>
      <c r="D2087" s="39">
        <v>22</v>
      </c>
      <c r="E2087" s="1"/>
      <c r="F2087" s="39">
        <f>E2087+F2063</f>
        <v>0</v>
      </c>
      <c r="G2087" s="497"/>
      <c r="H2087" s="497"/>
      <c r="J2087" s="42"/>
    </row>
    <row r="2088" spans="1:10" s="360" customFormat="1" x14ac:dyDescent="0.25">
      <c r="A2088" s="19" t="s">
        <v>39</v>
      </c>
      <c r="B2088" s="2">
        <v>43979</v>
      </c>
      <c r="C2088" s="1">
        <v>0</v>
      </c>
      <c r="D2088" s="39">
        <v>149</v>
      </c>
      <c r="E2088" s="1"/>
      <c r="F2088" s="39">
        <f t="shared" si="114"/>
        <v>0</v>
      </c>
      <c r="G2088" s="497"/>
      <c r="H2088" s="497"/>
      <c r="J2088" s="42"/>
    </row>
    <row r="2089" spans="1:10" s="360" customFormat="1" x14ac:dyDescent="0.25">
      <c r="A2089" s="19" t="s">
        <v>40</v>
      </c>
      <c r="B2089" s="2">
        <v>43979</v>
      </c>
      <c r="C2089" s="1">
        <v>0</v>
      </c>
      <c r="D2089" s="39">
        <v>47</v>
      </c>
      <c r="E2089" s="1"/>
      <c r="F2089" s="39">
        <f>E2089+F2065</f>
        <v>3</v>
      </c>
      <c r="G2089" s="497"/>
      <c r="H2089" s="497"/>
      <c r="J2089" s="42"/>
    </row>
    <row r="2090" spans="1:10" s="360" customFormat="1" x14ac:dyDescent="0.25">
      <c r="A2090" s="361" t="s">
        <v>16</v>
      </c>
      <c r="B2090" s="2">
        <v>43980</v>
      </c>
      <c r="C2090" s="1">
        <v>273</v>
      </c>
      <c r="D2090" s="39">
        <v>5342</v>
      </c>
      <c r="E2090" s="1">
        <v>5</v>
      </c>
      <c r="F2090" s="39">
        <f>E2090+F2066</f>
        <v>215</v>
      </c>
      <c r="G2090" s="497"/>
      <c r="H2090" s="497"/>
      <c r="J2090" s="42"/>
    </row>
    <row r="2091" spans="1:10" s="360" customFormat="1" x14ac:dyDescent="0.25">
      <c r="A2091" s="19" t="s">
        <v>28</v>
      </c>
      <c r="B2091" s="2">
        <v>43980</v>
      </c>
      <c r="C2091" s="1">
        <v>0</v>
      </c>
      <c r="D2091" s="39">
        <v>0</v>
      </c>
      <c r="E2091" s="1"/>
      <c r="F2091" s="39">
        <f t="shared" ref="F2091:F2097" si="115">E2091+F2067</f>
        <v>0</v>
      </c>
      <c r="G2091" s="497"/>
      <c r="H2091" s="497"/>
      <c r="J2091" s="42"/>
    </row>
    <row r="2092" spans="1:10" s="360" customFormat="1" x14ac:dyDescent="0.25">
      <c r="A2092" s="19" t="s">
        <v>15</v>
      </c>
      <c r="B2092" s="2">
        <v>43980</v>
      </c>
      <c r="C2092" s="1">
        <v>26</v>
      </c>
      <c r="D2092" s="39">
        <v>850</v>
      </c>
      <c r="E2092" s="1">
        <v>1</v>
      </c>
      <c r="F2092" s="39">
        <f t="shared" si="115"/>
        <v>48</v>
      </c>
      <c r="G2092" s="497"/>
      <c r="H2092" s="497"/>
      <c r="J2092" s="42"/>
    </row>
    <row r="2093" spans="1:10" s="360" customFormat="1" x14ac:dyDescent="0.25">
      <c r="A2093" s="19" t="s">
        <v>29</v>
      </c>
      <c r="B2093" s="2">
        <v>43980</v>
      </c>
      <c r="C2093" s="1">
        <v>0</v>
      </c>
      <c r="D2093" s="39">
        <v>8</v>
      </c>
      <c r="E2093" s="1"/>
      <c r="F2093" s="39">
        <f t="shared" si="115"/>
        <v>1</v>
      </c>
      <c r="G2093" s="497"/>
      <c r="H2093" s="497"/>
      <c r="J2093" s="42"/>
    </row>
    <row r="2094" spans="1:10" s="360" customFormat="1" x14ac:dyDescent="0.25">
      <c r="A2094" s="19" t="s">
        <v>43</v>
      </c>
      <c r="B2094" s="2">
        <v>43980</v>
      </c>
      <c r="C2094" s="1">
        <v>399</v>
      </c>
      <c r="D2094" s="39">
        <v>7388</v>
      </c>
      <c r="E2094" s="1">
        <v>6</v>
      </c>
      <c r="F2094" s="39">
        <f t="shared" si="115"/>
        <v>178</v>
      </c>
      <c r="G2094" s="497"/>
      <c r="H2094" s="497"/>
      <c r="J2094" s="42"/>
    </row>
    <row r="2095" spans="1:10" s="360" customFormat="1" x14ac:dyDescent="0.25">
      <c r="A2095" s="19" t="s">
        <v>20</v>
      </c>
      <c r="B2095" s="2">
        <v>43980</v>
      </c>
      <c r="C2095" s="1">
        <v>0</v>
      </c>
      <c r="D2095" s="39">
        <v>458</v>
      </c>
      <c r="E2095" s="1"/>
      <c r="F2095" s="39">
        <f t="shared" si="115"/>
        <v>27</v>
      </c>
      <c r="G2095" s="497"/>
      <c r="H2095" s="497"/>
      <c r="J2095" s="42"/>
    </row>
    <row r="2096" spans="1:10" s="360" customFormat="1" x14ac:dyDescent="0.25">
      <c r="A2096" s="19" t="s">
        <v>30</v>
      </c>
      <c r="B2096" s="2">
        <v>43980</v>
      </c>
      <c r="C2096" s="1">
        <v>6</v>
      </c>
      <c r="D2096" s="39">
        <v>87</v>
      </c>
      <c r="E2096" s="1"/>
      <c r="F2096" s="39">
        <f t="shared" si="115"/>
        <v>0</v>
      </c>
      <c r="G2096" s="497"/>
      <c r="H2096" s="497"/>
      <c r="J2096" s="42"/>
    </row>
    <row r="2097" spans="1:10" x14ac:dyDescent="0.25">
      <c r="A2097" s="19" t="s">
        <v>31</v>
      </c>
      <c r="B2097" s="2">
        <v>43980</v>
      </c>
      <c r="C2097" s="1">
        <v>0</v>
      </c>
      <c r="D2097" s="39">
        <v>30</v>
      </c>
      <c r="F2097" s="39">
        <f t="shared" si="115"/>
        <v>0</v>
      </c>
    </row>
    <row r="2098" spans="1:10" s="360" customFormat="1" x14ac:dyDescent="0.25">
      <c r="A2098" s="19" t="s">
        <v>41</v>
      </c>
      <c r="B2098" s="2">
        <v>43980</v>
      </c>
      <c r="C2098" s="1">
        <v>0</v>
      </c>
      <c r="D2098" s="39">
        <v>0</v>
      </c>
      <c r="E2098" s="1"/>
      <c r="F2098" s="39">
        <f t="shared" ref="F2098:F2112" si="116">E2098+F2073</f>
        <v>0</v>
      </c>
      <c r="G2098" s="497"/>
      <c r="H2098" s="497"/>
      <c r="J2098" s="42"/>
    </row>
    <row r="2099" spans="1:10" s="360" customFormat="1" x14ac:dyDescent="0.25">
      <c r="A2099" s="19" t="s">
        <v>32</v>
      </c>
      <c r="B2099" s="2">
        <v>43980</v>
      </c>
      <c r="C2099" s="1">
        <v>0</v>
      </c>
      <c r="D2099" s="39">
        <v>6</v>
      </c>
      <c r="E2099" s="1"/>
      <c r="F2099" s="39">
        <f t="shared" si="116"/>
        <v>0</v>
      </c>
      <c r="G2099" s="497"/>
      <c r="H2099" s="497"/>
      <c r="J2099" s="42"/>
    </row>
    <row r="2100" spans="1:10" s="360" customFormat="1" x14ac:dyDescent="0.25">
      <c r="A2100" s="19" t="s">
        <v>33</v>
      </c>
      <c r="B2100" s="2">
        <v>43980</v>
      </c>
      <c r="C2100" s="1">
        <v>0</v>
      </c>
      <c r="D2100" s="39">
        <v>5</v>
      </c>
      <c r="E2100" s="1"/>
      <c r="F2100" s="39">
        <f t="shared" si="116"/>
        <v>0</v>
      </c>
      <c r="G2100" s="497"/>
      <c r="H2100" s="497"/>
      <c r="J2100" s="42"/>
    </row>
    <row r="2101" spans="1:10" s="360" customFormat="1" x14ac:dyDescent="0.25">
      <c r="A2101" s="19" t="s">
        <v>21</v>
      </c>
      <c r="B2101" s="2">
        <v>43980</v>
      </c>
      <c r="C2101" s="1">
        <v>0</v>
      </c>
      <c r="D2101" s="39">
        <v>63</v>
      </c>
      <c r="E2101" s="1"/>
      <c r="F2101" s="39">
        <f t="shared" si="116"/>
        <v>0</v>
      </c>
      <c r="G2101" s="497"/>
      <c r="H2101" s="497"/>
      <c r="J2101" s="42"/>
    </row>
    <row r="2102" spans="1:10" s="360" customFormat="1" x14ac:dyDescent="0.25">
      <c r="A2102" s="19" t="s">
        <v>17</v>
      </c>
      <c r="B2102" s="2">
        <v>43980</v>
      </c>
      <c r="C2102" s="1">
        <v>0</v>
      </c>
      <c r="D2102" s="39">
        <v>89</v>
      </c>
      <c r="E2102" s="1"/>
      <c r="F2102" s="39">
        <f t="shared" si="116"/>
        <v>0</v>
      </c>
      <c r="G2102" s="497"/>
      <c r="H2102" s="497"/>
      <c r="J2102" s="42"/>
    </row>
    <row r="2103" spans="1:10" s="360" customFormat="1" x14ac:dyDescent="0.25">
      <c r="A2103" s="19" t="s">
        <v>23</v>
      </c>
      <c r="B2103" s="2">
        <v>43980</v>
      </c>
      <c r="C2103" s="1">
        <v>0</v>
      </c>
      <c r="D2103" s="39">
        <v>27</v>
      </c>
      <c r="E2103" s="1"/>
      <c r="F2103" s="39">
        <f t="shared" si="116"/>
        <v>0</v>
      </c>
      <c r="G2103" s="497"/>
      <c r="H2103" s="497"/>
      <c r="J2103" s="42"/>
    </row>
    <row r="2104" spans="1:10" s="360" customFormat="1" x14ac:dyDescent="0.25">
      <c r="A2104" s="19" t="s">
        <v>19</v>
      </c>
      <c r="B2104" s="2">
        <v>43980</v>
      </c>
      <c r="C2104" s="1">
        <v>2</v>
      </c>
      <c r="D2104" s="39">
        <v>130</v>
      </c>
      <c r="E2104" s="1"/>
      <c r="F2104" s="39">
        <f t="shared" si="116"/>
        <v>0</v>
      </c>
      <c r="G2104" s="497"/>
      <c r="H2104" s="497"/>
      <c r="J2104" s="42"/>
    </row>
    <row r="2105" spans="1:10" s="360" customFormat="1" x14ac:dyDescent="0.25">
      <c r="A2105" s="19" t="s">
        <v>18</v>
      </c>
      <c r="B2105" s="2">
        <v>43980</v>
      </c>
      <c r="C2105" s="1">
        <v>12</v>
      </c>
      <c r="D2105" s="39">
        <v>387</v>
      </c>
      <c r="E2105" s="1"/>
      <c r="F2105" s="39">
        <f t="shared" si="116"/>
        <v>0</v>
      </c>
      <c r="G2105" s="497"/>
      <c r="H2105" s="497"/>
      <c r="J2105" s="42"/>
    </row>
    <row r="2106" spans="1:10" s="360" customFormat="1" x14ac:dyDescent="0.25">
      <c r="A2106" s="19" t="s">
        <v>34</v>
      </c>
      <c r="B2106" s="2">
        <v>43980</v>
      </c>
      <c r="C2106" s="1">
        <v>0</v>
      </c>
      <c r="D2106" s="39">
        <v>7</v>
      </c>
      <c r="E2106" s="1"/>
      <c r="F2106" s="39">
        <f t="shared" si="116"/>
        <v>0</v>
      </c>
      <c r="G2106" s="497"/>
      <c r="H2106" s="497"/>
      <c r="J2106" s="42"/>
    </row>
    <row r="2107" spans="1:10" s="360" customFormat="1" x14ac:dyDescent="0.25">
      <c r="A2107" s="19" t="s">
        <v>35</v>
      </c>
      <c r="B2107" s="2">
        <v>43980</v>
      </c>
      <c r="C2107" s="1">
        <v>0</v>
      </c>
      <c r="D2107" s="39">
        <v>5</v>
      </c>
      <c r="E2107" s="1"/>
      <c r="F2107" s="39">
        <f>E2107+F2083</f>
        <v>0</v>
      </c>
      <c r="G2107" s="497"/>
      <c r="H2107" s="497"/>
      <c r="J2107" s="42"/>
    </row>
    <row r="2108" spans="1:10" s="360" customFormat="1" x14ac:dyDescent="0.25">
      <c r="A2108" s="19" t="s">
        <v>36</v>
      </c>
      <c r="B2108" s="2">
        <v>43980</v>
      </c>
      <c r="C2108" s="1">
        <v>0</v>
      </c>
      <c r="D2108" s="39">
        <v>11</v>
      </c>
      <c r="E2108" s="1"/>
      <c r="F2108" s="39">
        <f t="shared" si="116"/>
        <v>0</v>
      </c>
      <c r="G2108" s="497"/>
      <c r="H2108" s="497"/>
      <c r="J2108" s="42"/>
    </row>
    <row r="2109" spans="1:10" s="360" customFormat="1" x14ac:dyDescent="0.25">
      <c r="A2109" s="19" t="s">
        <v>37</v>
      </c>
      <c r="B2109" s="2">
        <v>43980</v>
      </c>
      <c r="C2109" s="1">
        <v>0</v>
      </c>
      <c r="D2109" s="39">
        <v>49</v>
      </c>
      <c r="E2109" s="1"/>
      <c r="F2109" s="39">
        <f t="shared" si="116"/>
        <v>0</v>
      </c>
      <c r="G2109" s="497"/>
      <c r="H2109" s="497"/>
      <c r="J2109" s="42"/>
    </row>
    <row r="2110" spans="1:10" s="360" customFormat="1" x14ac:dyDescent="0.25">
      <c r="A2110" s="19" t="s">
        <v>22</v>
      </c>
      <c r="B2110" s="2">
        <v>43980</v>
      </c>
      <c r="C2110" s="1">
        <v>0</v>
      </c>
      <c r="D2110" s="39">
        <v>260</v>
      </c>
      <c r="E2110" s="1"/>
      <c r="F2110" s="39">
        <f>E2110+F2086</f>
        <v>3</v>
      </c>
      <c r="G2110" s="497"/>
      <c r="H2110" s="497"/>
      <c r="J2110" s="42"/>
    </row>
    <row r="2111" spans="1:10" s="360" customFormat="1" x14ac:dyDescent="0.25">
      <c r="A2111" s="19" t="s">
        <v>38</v>
      </c>
      <c r="B2111" s="2">
        <v>43980</v>
      </c>
      <c r="C2111" s="1">
        <v>0</v>
      </c>
      <c r="D2111" s="39">
        <v>22</v>
      </c>
      <c r="E2111" s="1"/>
      <c r="F2111" s="39">
        <f>E2111+F2087</f>
        <v>0</v>
      </c>
      <c r="G2111" s="497"/>
      <c r="H2111" s="497"/>
      <c r="J2111" s="42"/>
    </row>
    <row r="2112" spans="1:10" s="360" customFormat="1" x14ac:dyDescent="0.25">
      <c r="A2112" s="19" t="s">
        <v>39</v>
      </c>
      <c r="B2112" s="2">
        <v>43980</v>
      </c>
      <c r="C2112" s="1">
        <v>0</v>
      </c>
      <c r="D2112" s="39">
        <v>149</v>
      </c>
      <c r="E2112" s="1"/>
      <c r="F2112" s="39">
        <f t="shared" si="116"/>
        <v>0</v>
      </c>
      <c r="G2112" s="497"/>
      <c r="H2112" s="497"/>
      <c r="J2112" s="42"/>
    </row>
    <row r="2113" spans="1:10" s="360" customFormat="1" x14ac:dyDescent="0.25">
      <c r="A2113" s="19" t="s">
        <v>40</v>
      </c>
      <c r="B2113" s="2">
        <v>43980</v>
      </c>
      <c r="C2113" s="1">
        <v>0</v>
      </c>
      <c r="D2113" s="39">
        <v>47</v>
      </c>
      <c r="E2113" s="1"/>
      <c r="F2113" s="39">
        <f>E2113+F2089</f>
        <v>3</v>
      </c>
      <c r="G2113" s="497"/>
      <c r="H2113" s="497"/>
      <c r="J2113" s="42"/>
    </row>
    <row r="2114" spans="1:10" s="360" customFormat="1" x14ac:dyDescent="0.25">
      <c r="A2114" s="361" t="s">
        <v>16</v>
      </c>
      <c r="B2114" s="2">
        <v>43981</v>
      </c>
      <c r="C2114" s="1">
        <v>296</v>
      </c>
      <c r="D2114" s="39">
        <v>5638</v>
      </c>
      <c r="E2114" s="1">
        <v>2</v>
      </c>
      <c r="F2114" s="39">
        <f>E2114+F2090</f>
        <v>217</v>
      </c>
      <c r="G2114" s="497"/>
      <c r="H2114" s="497"/>
      <c r="J2114" s="42"/>
    </row>
    <row r="2115" spans="1:10" s="360" customFormat="1" x14ac:dyDescent="0.25">
      <c r="A2115" s="19" t="s">
        <v>28</v>
      </c>
      <c r="B2115" s="2">
        <v>43981</v>
      </c>
      <c r="C2115" s="1">
        <v>0</v>
      </c>
      <c r="D2115" s="39">
        <v>0</v>
      </c>
      <c r="E2115" s="1"/>
      <c r="F2115" s="39">
        <f t="shared" ref="F2115:F2121" si="117">E2115+F2091</f>
        <v>0</v>
      </c>
      <c r="G2115" s="497"/>
      <c r="H2115" s="497"/>
      <c r="J2115" s="42"/>
    </row>
    <row r="2116" spans="1:10" s="360" customFormat="1" x14ac:dyDescent="0.25">
      <c r="A2116" s="19" t="s">
        <v>15</v>
      </c>
      <c r="B2116" s="2">
        <v>43981</v>
      </c>
      <c r="C2116" s="1">
        <v>24</v>
      </c>
      <c r="D2116" s="39">
        <v>874</v>
      </c>
      <c r="E2116" s="1">
        <v>4</v>
      </c>
      <c r="F2116" s="39">
        <f t="shared" si="117"/>
        <v>52</v>
      </c>
      <c r="G2116" s="497"/>
      <c r="H2116" s="497"/>
      <c r="J2116" s="42"/>
    </row>
    <row r="2117" spans="1:10" s="360" customFormat="1" x14ac:dyDescent="0.25">
      <c r="A2117" s="19" t="s">
        <v>29</v>
      </c>
      <c r="B2117" s="2">
        <v>43981</v>
      </c>
      <c r="C2117" s="1">
        <v>2</v>
      </c>
      <c r="D2117" s="39">
        <v>10</v>
      </c>
      <c r="E2117" s="1"/>
      <c r="F2117" s="39">
        <f t="shared" si="117"/>
        <v>1</v>
      </c>
      <c r="G2117" s="497"/>
      <c r="H2117" s="497"/>
      <c r="J2117" s="42"/>
    </row>
    <row r="2118" spans="1:10" s="360" customFormat="1" x14ac:dyDescent="0.25">
      <c r="A2118" s="19" t="s">
        <v>43</v>
      </c>
      <c r="B2118" s="2">
        <v>43981</v>
      </c>
      <c r="C2118" s="1">
        <v>460</v>
      </c>
      <c r="D2118" s="39">
        <v>7848</v>
      </c>
      <c r="E2118" s="1">
        <v>2</v>
      </c>
      <c r="F2118" s="39">
        <f t="shared" si="117"/>
        <v>180</v>
      </c>
      <c r="G2118" s="497"/>
      <c r="H2118" s="497"/>
      <c r="J2118" s="42"/>
    </row>
    <row r="2119" spans="1:10" s="360" customFormat="1" x14ac:dyDescent="0.25">
      <c r="A2119" s="19" t="s">
        <v>20</v>
      </c>
      <c r="B2119" s="2">
        <v>43981</v>
      </c>
      <c r="C2119" s="1">
        <v>0</v>
      </c>
      <c r="D2119" s="39">
        <v>458</v>
      </c>
      <c r="E2119" s="1"/>
      <c r="F2119" s="39">
        <f t="shared" si="117"/>
        <v>27</v>
      </c>
      <c r="G2119" s="497"/>
      <c r="H2119" s="497"/>
      <c r="J2119" s="42"/>
    </row>
    <row r="2120" spans="1:10" s="360" customFormat="1" x14ac:dyDescent="0.25">
      <c r="A2120" s="19" t="s">
        <v>30</v>
      </c>
      <c r="B2120" s="2">
        <v>43981</v>
      </c>
      <c r="C2120" s="1">
        <v>0</v>
      </c>
      <c r="D2120" s="39">
        <v>87</v>
      </c>
      <c r="E2120" s="1"/>
      <c r="F2120" s="39">
        <f t="shared" si="117"/>
        <v>0</v>
      </c>
      <c r="G2120" s="497"/>
      <c r="H2120" s="497"/>
      <c r="J2120" s="42"/>
    </row>
    <row r="2121" spans="1:10" x14ac:dyDescent="0.25">
      <c r="A2121" s="19" t="s">
        <v>31</v>
      </c>
      <c r="B2121" s="2">
        <v>43981</v>
      </c>
      <c r="C2121" s="1">
        <v>1</v>
      </c>
      <c r="D2121" s="39">
        <v>31</v>
      </c>
      <c r="F2121" s="39">
        <f t="shared" si="117"/>
        <v>0</v>
      </c>
    </row>
    <row r="2122" spans="1:10" s="360" customFormat="1" x14ac:dyDescent="0.25">
      <c r="A2122" s="19" t="s">
        <v>41</v>
      </c>
      <c r="B2122" s="2">
        <v>43981</v>
      </c>
      <c r="C2122" s="1">
        <v>0</v>
      </c>
      <c r="D2122" s="39">
        <v>0</v>
      </c>
      <c r="E2122" s="1"/>
      <c r="F2122" s="39">
        <f t="shared" ref="F2122:F2136" si="118">E2122+F2097</f>
        <v>0</v>
      </c>
      <c r="G2122" s="497"/>
      <c r="H2122" s="497"/>
      <c r="J2122" s="42"/>
    </row>
    <row r="2123" spans="1:10" s="360" customFormat="1" x14ac:dyDescent="0.25">
      <c r="A2123" s="19" t="s">
        <v>32</v>
      </c>
      <c r="B2123" s="2">
        <v>43981</v>
      </c>
      <c r="C2123" s="1">
        <v>0</v>
      </c>
      <c r="D2123" s="39">
        <v>6</v>
      </c>
      <c r="E2123" s="1"/>
      <c r="F2123" s="39">
        <f t="shared" si="118"/>
        <v>0</v>
      </c>
      <c r="G2123" s="497"/>
      <c r="H2123" s="497"/>
      <c r="J2123" s="42"/>
    </row>
    <row r="2124" spans="1:10" s="360" customFormat="1" x14ac:dyDescent="0.25">
      <c r="A2124" s="19" t="s">
        <v>33</v>
      </c>
      <c r="B2124" s="2">
        <v>43981</v>
      </c>
      <c r="C2124" s="1">
        <v>0</v>
      </c>
      <c r="D2124" s="39">
        <v>5</v>
      </c>
      <c r="E2124" s="1"/>
      <c r="F2124" s="39">
        <f t="shared" si="118"/>
        <v>0</v>
      </c>
      <c r="G2124" s="497"/>
      <c r="H2124" s="497"/>
      <c r="J2124" s="42"/>
    </row>
    <row r="2125" spans="1:10" s="360" customFormat="1" x14ac:dyDescent="0.25">
      <c r="A2125" s="19" t="s">
        <v>21</v>
      </c>
      <c r="B2125" s="2">
        <v>43981</v>
      </c>
      <c r="C2125" s="1">
        <v>0</v>
      </c>
      <c r="D2125" s="39">
        <v>63</v>
      </c>
      <c r="E2125" s="1"/>
      <c r="F2125" s="39">
        <f t="shared" si="118"/>
        <v>0</v>
      </c>
      <c r="G2125" s="497"/>
      <c r="H2125" s="497"/>
      <c r="J2125" s="42"/>
    </row>
    <row r="2126" spans="1:10" s="360" customFormat="1" x14ac:dyDescent="0.25">
      <c r="A2126" s="19" t="s">
        <v>17</v>
      </c>
      <c r="B2126" s="2">
        <v>43981</v>
      </c>
      <c r="C2126" s="1">
        <v>3</v>
      </c>
      <c r="D2126" s="39">
        <v>92</v>
      </c>
      <c r="E2126" s="1"/>
      <c r="F2126" s="39">
        <f t="shared" si="118"/>
        <v>0</v>
      </c>
      <c r="G2126" s="497"/>
      <c r="H2126" s="497"/>
      <c r="J2126" s="42"/>
    </row>
    <row r="2127" spans="1:10" s="360" customFormat="1" x14ac:dyDescent="0.25">
      <c r="A2127" s="19" t="s">
        <v>23</v>
      </c>
      <c r="B2127" s="2">
        <v>43981</v>
      </c>
      <c r="C2127" s="1">
        <v>0</v>
      </c>
      <c r="D2127" s="39">
        <v>27</v>
      </c>
      <c r="E2127" s="1"/>
      <c r="F2127" s="39">
        <f t="shared" si="118"/>
        <v>0</v>
      </c>
      <c r="G2127" s="497"/>
      <c r="H2127" s="497"/>
      <c r="J2127" s="42"/>
    </row>
    <row r="2128" spans="1:10" s="360" customFormat="1" x14ac:dyDescent="0.25">
      <c r="A2128" s="19" t="s">
        <v>19</v>
      </c>
      <c r="B2128" s="2">
        <v>43981</v>
      </c>
      <c r="C2128" s="1">
        <v>1</v>
      </c>
      <c r="D2128" s="39">
        <v>131</v>
      </c>
      <c r="E2128" s="1"/>
      <c r="F2128" s="39">
        <f t="shared" si="118"/>
        <v>0</v>
      </c>
      <c r="G2128" s="497"/>
      <c r="H2128" s="497"/>
      <c r="J2128" s="42"/>
    </row>
    <row r="2129" spans="1:10" s="360" customFormat="1" x14ac:dyDescent="0.25">
      <c r="A2129" s="19" t="s">
        <v>18</v>
      </c>
      <c r="B2129" s="2">
        <v>43981</v>
      </c>
      <c r="C2129" s="1">
        <v>5</v>
      </c>
      <c r="D2129" s="39">
        <v>392</v>
      </c>
      <c r="E2129" s="1"/>
      <c r="F2129" s="39">
        <f t="shared" si="118"/>
        <v>0</v>
      </c>
      <c r="G2129" s="497"/>
      <c r="H2129" s="497"/>
      <c r="J2129" s="42"/>
    </row>
    <row r="2130" spans="1:10" s="360" customFormat="1" x14ac:dyDescent="0.25">
      <c r="A2130" s="19" t="s">
        <v>34</v>
      </c>
      <c r="B2130" s="2">
        <v>43981</v>
      </c>
      <c r="C2130" s="1">
        <v>1</v>
      </c>
      <c r="D2130" s="39">
        <v>8</v>
      </c>
      <c r="E2130" s="1"/>
      <c r="F2130" s="39">
        <f t="shared" si="118"/>
        <v>0</v>
      </c>
      <c r="G2130" s="497"/>
      <c r="H2130" s="497"/>
      <c r="J2130" s="42"/>
    </row>
    <row r="2131" spans="1:10" s="360" customFormat="1" x14ac:dyDescent="0.25">
      <c r="A2131" s="19" t="s">
        <v>35</v>
      </c>
      <c r="B2131" s="2">
        <v>43981</v>
      </c>
      <c r="C2131" s="1">
        <v>0</v>
      </c>
      <c r="D2131" s="39">
        <v>5</v>
      </c>
      <c r="E2131" s="1"/>
      <c r="F2131" s="39">
        <f>E2131+F2107</f>
        <v>0</v>
      </c>
      <c r="G2131" s="497"/>
      <c r="H2131" s="497"/>
      <c r="J2131" s="42"/>
    </row>
    <row r="2132" spans="1:10" s="360" customFormat="1" x14ac:dyDescent="0.25">
      <c r="A2132" s="19" t="s">
        <v>36</v>
      </c>
      <c r="B2132" s="2">
        <v>43981</v>
      </c>
      <c r="C2132" s="1">
        <v>0</v>
      </c>
      <c r="D2132" s="39">
        <v>11</v>
      </c>
      <c r="E2132" s="1"/>
      <c r="F2132" s="39">
        <f t="shared" si="118"/>
        <v>0</v>
      </c>
      <c r="G2132" s="497"/>
      <c r="H2132" s="497"/>
      <c r="J2132" s="42"/>
    </row>
    <row r="2133" spans="1:10" s="360" customFormat="1" x14ac:dyDescent="0.25">
      <c r="A2133" s="19" t="s">
        <v>37</v>
      </c>
      <c r="B2133" s="2">
        <v>43981</v>
      </c>
      <c r="C2133" s="1">
        <v>0</v>
      </c>
      <c r="D2133" s="39">
        <v>49</v>
      </c>
      <c r="E2133" s="1"/>
      <c r="F2133" s="39">
        <f t="shared" si="118"/>
        <v>0</v>
      </c>
      <c r="G2133" s="497"/>
      <c r="H2133" s="497"/>
      <c r="J2133" s="42"/>
    </row>
    <row r="2134" spans="1:10" s="360" customFormat="1" x14ac:dyDescent="0.25">
      <c r="A2134" s="19" t="s">
        <v>22</v>
      </c>
      <c r="B2134" s="2">
        <v>43981</v>
      </c>
      <c r="C2134" s="1">
        <v>2</v>
      </c>
      <c r="D2134" s="39">
        <v>262</v>
      </c>
      <c r="E2134" s="1"/>
      <c r="F2134" s="39">
        <f>E2134+F2110</f>
        <v>3</v>
      </c>
      <c r="G2134" s="497"/>
      <c r="H2134" s="497"/>
      <c r="J2134" s="42"/>
    </row>
    <row r="2135" spans="1:10" s="360" customFormat="1" x14ac:dyDescent="0.25">
      <c r="A2135" s="19" t="s">
        <v>38</v>
      </c>
      <c r="B2135" s="2">
        <v>43981</v>
      </c>
      <c r="C2135" s="1">
        <v>0</v>
      </c>
      <c r="D2135" s="39">
        <v>22</v>
      </c>
      <c r="E2135" s="1"/>
      <c r="F2135" s="39">
        <f>E2135+F2111</f>
        <v>0</v>
      </c>
      <c r="G2135" s="497"/>
      <c r="H2135" s="497"/>
      <c r="J2135" s="42"/>
    </row>
    <row r="2136" spans="1:10" s="360" customFormat="1" x14ac:dyDescent="0.25">
      <c r="A2136" s="19" t="s">
        <v>39</v>
      </c>
      <c r="B2136" s="2">
        <v>43981</v>
      </c>
      <c r="C2136" s="1">
        <v>0</v>
      </c>
      <c r="D2136" s="39">
        <v>149</v>
      </c>
      <c r="E2136" s="1"/>
      <c r="F2136" s="39">
        <f t="shared" si="118"/>
        <v>0</v>
      </c>
      <c r="G2136" s="497"/>
      <c r="H2136" s="497"/>
      <c r="J2136" s="42"/>
    </row>
    <row r="2137" spans="1:10" s="360" customFormat="1" x14ac:dyDescent="0.25">
      <c r="A2137" s="19" t="s">
        <v>40</v>
      </c>
      <c r="B2137" s="2">
        <v>43981</v>
      </c>
      <c r="C2137" s="1">
        <v>1</v>
      </c>
      <c r="D2137" s="39">
        <v>48</v>
      </c>
      <c r="E2137" s="1"/>
      <c r="F2137" s="39">
        <f>E2137+F2113</f>
        <v>3</v>
      </c>
      <c r="G2137" s="497"/>
      <c r="H2137" s="497"/>
      <c r="J2137" s="42"/>
    </row>
    <row r="2138" spans="1:10" s="360" customFormat="1" x14ac:dyDescent="0.25">
      <c r="A2138" s="361" t="s">
        <v>16</v>
      </c>
      <c r="B2138" s="2">
        <v>43982</v>
      </c>
      <c r="C2138" s="1">
        <v>254</v>
      </c>
      <c r="D2138" s="39">
        <v>5892</v>
      </c>
      <c r="E2138" s="1">
        <v>6</v>
      </c>
      <c r="F2138" s="39">
        <f>E2138+F2114</f>
        <v>223</v>
      </c>
      <c r="G2138" s="497"/>
      <c r="H2138" s="497"/>
      <c r="J2138" s="42"/>
    </row>
    <row r="2139" spans="1:10" s="360" customFormat="1" x14ac:dyDescent="0.25">
      <c r="A2139" s="19" t="s">
        <v>28</v>
      </c>
      <c r="B2139" s="2">
        <v>43982</v>
      </c>
      <c r="C2139" s="1">
        <v>0</v>
      </c>
      <c r="D2139" s="39">
        <v>0</v>
      </c>
      <c r="E2139" s="1"/>
      <c r="F2139" s="39">
        <f t="shared" ref="F2139:F2145" si="119">E2139+F2115</f>
        <v>0</v>
      </c>
      <c r="G2139" s="497"/>
      <c r="H2139" s="497"/>
      <c r="J2139" s="42"/>
    </row>
    <row r="2140" spans="1:10" s="360" customFormat="1" x14ac:dyDescent="0.25">
      <c r="A2140" s="19" t="s">
        <v>15</v>
      </c>
      <c r="B2140" s="2">
        <v>43982</v>
      </c>
      <c r="C2140" s="1">
        <v>13</v>
      </c>
      <c r="D2140" s="39">
        <v>887</v>
      </c>
      <c r="E2140" s="1"/>
      <c r="F2140" s="39">
        <f t="shared" si="119"/>
        <v>52</v>
      </c>
      <c r="G2140" s="497"/>
      <c r="H2140" s="497"/>
      <c r="J2140" s="42"/>
    </row>
    <row r="2141" spans="1:10" s="360" customFormat="1" x14ac:dyDescent="0.25">
      <c r="A2141" s="19" t="s">
        <v>29</v>
      </c>
      <c r="B2141" s="2">
        <v>43982</v>
      </c>
      <c r="C2141" s="1">
        <v>0</v>
      </c>
      <c r="D2141" s="39">
        <v>10</v>
      </c>
      <c r="E2141" s="1"/>
      <c r="F2141" s="39">
        <f t="shared" si="119"/>
        <v>1</v>
      </c>
      <c r="G2141" s="497"/>
      <c r="H2141" s="497"/>
      <c r="J2141" s="42"/>
    </row>
    <row r="2142" spans="1:10" s="360" customFormat="1" x14ac:dyDescent="0.25">
      <c r="A2142" s="19" t="s">
        <v>43</v>
      </c>
      <c r="B2142" s="2">
        <v>43982</v>
      </c>
      <c r="C2142" s="1">
        <v>358</v>
      </c>
      <c r="D2142" s="39">
        <v>8206</v>
      </c>
      <c r="E2142" s="1">
        <v>5</v>
      </c>
      <c r="F2142" s="39">
        <f t="shared" si="119"/>
        <v>185</v>
      </c>
      <c r="G2142" s="497"/>
      <c r="H2142" s="497"/>
      <c r="J2142" s="42"/>
    </row>
    <row r="2143" spans="1:10" s="360" customFormat="1" x14ac:dyDescent="0.25">
      <c r="A2143" s="19" t="s">
        <v>20</v>
      </c>
      <c r="B2143" s="2">
        <v>43982</v>
      </c>
      <c r="C2143" s="1">
        <v>2</v>
      </c>
      <c r="D2143" s="39">
        <v>460</v>
      </c>
      <c r="E2143" s="1"/>
      <c r="F2143" s="39">
        <f t="shared" si="119"/>
        <v>27</v>
      </c>
      <c r="G2143" s="497"/>
      <c r="H2143" s="497"/>
      <c r="J2143" s="42"/>
    </row>
    <row r="2144" spans="1:10" s="360" customFormat="1" x14ac:dyDescent="0.25">
      <c r="A2144" s="19" t="s">
        <v>30</v>
      </c>
      <c r="B2144" s="2">
        <v>43982</v>
      </c>
      <c r="C2144" s="1">
        <v>1</v>
      </c>
      <c r="D2144" s="39">
        <v>88</v>
      </c>
      <c r="E2144" s="1"/>
      <c r="F2144" s="39">
        <f t="shared" si="119"/>
        <v>0</v>
      </c>
      <c r="G2144" s="497"/>
      <c r="H2144" s="497"/>
      <c r="J2144" s="42"/>
    </row>
    <row r="2145" spans="1:10" x14ac:dyDescent="0.25">
      <c r="A2145" s="19" t="s">
        <v>31</v>
      </c>
      <c r="B2145" s="2">
        <v>43982</v>
      </c>
      <c r="C2145" s="1">
        <v>0</v>
      </c>
      <c r="D2145" s="39">
        <v>31</v>
      </c>
      <c r="F2145" s="39">
        <f t="shared" si="119"/>
        <v>0</v>
      </c>
    </row>
    <row r="2146" spans="1:10" s="360" customFormat="1" x14ac:dyDescent="0.25">
      <c r="A2146" s="19" t="s">
        <v>41</v>
      </c>
      <c r="B2146" s="2">
        <v>43982</v>
      </c>
      <c r="C2146" s="1">
        <v>0</v>
      </c>
      <c r="D2146" s="39">
        <v>0</v>
      </c>
      <c r="E2146" s="1"/>
      <c r="F2146" s="39">
        <f t="shared" ref="F2146:F2160" si="120">E2146+F2121</f>
        <v>0</v>
      </c>
      <c r="G2146" s="497"/>
      <c r="H2146" s="497"/>
      <c r="J2146" s="42"/>
    </row>
    <row r="2147" spans="1:10" s="360" customFormat="1" x14ac:dyDescent="0.25">
      <c r="A2147" s="19" t="s">
        <v>32</v>
      </c>
      <c r="B2147" s="2">
        <v>43982</v>
      </c>
      <c r="C2147" s="1">
        <v>0</v>
      </c>
      <c r="D2147" s="39">
        <v>6</v>
      </c>
      <c r="E2147" s="1"/>
      <c r="F2147" s="39">
        <f t="shared" si="120"/>
        <v>0</v>
      </c>
      <c r="G2147" s="497"/>
      <c r="H2147" s="497"/>
      <c r="J2147" s="42"/>
    </row>
    <row r="2148" spans="1:10" s="360" customFormat="1" x14ac:dyDescent="0.25">
      <c r="A2148" s="19" t="s">
        <v>33</v>
      </c>
      <c r="B2148" s="2">
        <v>43982</v>
      </c>
      <c r="C2148" s="1">
        <v>0</v>
      </c>
      <c r="D2148" s="39">
        <v>5</v>
      </c>
      <c r="E2148" s="1"/>
      <c r="F2148" s="39">
        <f t="shared" si="120"/>
        <v>0</v>
      </c>
      <c r="G2148" s="497"/>
      <c r="H2148" s="497"/>
      <c r="J2148" s="42"/>
    </row>
    <row r="2149" spans="1:10" s="360" customFormat="1" x14ac:dyDescent="0.25">
      <c r="A2149" s="19" t="s">
        <v>21</v>
      </c>
      <c r="B2149" s="2">
        <v>43982</v>
      </c>
      <c r="C2149" s="1">
        <v>0</v>
      </c>
      <c r="D2149" s="39">
        <v>63</v>
      </c>
      <c r="E2149" s="1"/>
      <c r="F2149" s="39">
        <f t="shared" si="120"/>
        <v>0</v>
      </c>
      <c r="G2149" s="497"/>
      <c r="H2149" s="497"/>
      <c r="J2149" s="42"/>
    </row>
    <row r="2150" spans="1:10" s="360" customFormat="1" x14ac:dyDescent="0.25">
      <c r="A2150" s="19" t="s">
        <v>17</v>
      </c>
      <c r="B2150" s="2">
        <v>43982</v>
      </c>
      <c r="C2150" s="1">
        <v>0</v>
      </c>
      <c r="D2150" s="39">
        <v>92</v>
      </c>
      <c r="E2150" s="1"/>
      <c r="F2150" s="39">
        <f t="shared" si="120"/>
        <v>0</v>
      </c>
      <c r="G2150" s="497"/>
      <c r="H2150" s="497"/>
      <c r="J2150" s="42"/>
    </row>
    <row r="2151" spans="1:10" s="360" customFormat="1" x14ac:dyDescent="0.25">
      <c r="A2151" s="19" t="s">
        <v>23</v>
      </c>
      <c r="B2151" s="2">
        <v>43982</v>
      </c>
      <c r="C2151" s="1">
        <v>1</v>
      </c>
      <c r="D2151" s="39">
        <v>28</v>
      </c>
      <c r="E2151" s="1"/>
      <c r="F2151" s="39">
        <f t="shared" si="120"/>
        <v>0</v>
      </c>
      <c r="G2151" s="497"/>
      <c r="H2151" s="497"/>
      <c r="J2151" s="42"/>
    </row>
    <row r="2152" spans="1:10" s="360" customFormat="1" x14ac:dyDescent="0.25">
      <c r="A2152" s="19" t="s">
        <v>19</v>
      </c>
      <c r="B2152" s="2">
        <v>43982</v>
      </c>
      <c r="C2152" s="1">
        <v>3</v>
      </c>
      <c r="D2152" s="39">
        <v>134</v>
      </c>
      <c r="E2152" s="1"/>
      <c r="F2152" s="39">
        <f t="shared" si="120"/>
        <v>0</v>
      </c>
      <c r="G2152" s="497"/>
      <c r="H2152" s="497"/>
      <c r="J2152" s="42"/>
    </row>
    <row r="2153" spans="1:10" s="360" customFormat="1" x14ac:dyDescent="0.25">
      <c r="A2153" s="19" t="s">
        <v>18</v>
      </c>
      <c r="B2153" s="2">
        <v>43982</v>
      </c>
      <c r="C2153" s="1">
        <v>4</v>
      </c>
      <c r="D2153" s="39">
        <v>396</v>
      </c>
      <c r="E2153" s="1"/>
      <c r="F2153" s="39">
        <f t="shared" si="120"/>
        <v>0</v>
      </c>
      <c r="G2153" s="497"/>
      <c r="H2153" s="497"/>
      <c r="J2153" s="42"/>
    </row>
    <row r="2154" spans="1:10" s="360" customFormat="1" x14ac:dyDescent="0.25">
      <c r="A2154" s="19" t="s">
        <v>34</v>
      </c>
      <c r="B2154" s="2">
        <v>43982</v>
      </c>
      <c r="C2154" s="1">
        <v>0</v>
      </c>
      <c r="D2154" s="39">
        <v>8</v>
      </c>
      <c r="E2154" s="1"/>
      <c r="F2154" s="39">
        <f t="shared" si="120"/>
        <v>0</v>
      </c>
      <c r="G2154" s="497"/>
      <c r="H2154" s="497"/>
      <c r="J2154" s="42"/>
    </row>
    <row r="2155" spans="1:10" s="360" customFormat="1" x14ac:dyDescent="0.25">
      <c r="A2155" s="19" t="s">
        <v>35</v>
      </c>
      <c r="B2155" s="2">
        <v>43982</v>
      </c>
      <c r="C2155" s="1">
        <v>0</v>
      </c>
      <c r="D2155" s="39">
        <v>5</v>
      </c>
      <c r="E2155" s="1"/>
      <c r="F2155" s="39">
        <f>E2155+F2131</f>
        <v>0</v>
      </c>
      <c r="G2155" s="497"/>
      <c r="H2155" s="497"/>
      <c r="J2155" s="42"/>
    </row>
    <row r="2156" spans="1:10" s="360" customFormat="1" x14ac:dyDescent="0.25">
      <c r="A2156" s="19" t="s">
        <v>36</v>
      </c>
      <c r="B2156" s="2">
        <v>43982</v>
      </c>
      <c r="C2156" s="1">
        <v>0</v>
      </c>
      <c r="D2156" s="39">
        <v>11</v>
      </c>
      <c r="E2156" s="1"/>
      <c r="F2156" s="39">
        <f t="shared" si="120"/>
        <v>0</v>
      </c>
      <c r="G2156" s="497"/>
      <c r="H2156" s="497"/>
      <c r="J2156" s="42"/>
    </row>
    <row r="2157" spans="1:10" s="360" customFormat="1" x14ac:dyDescent="0.25">
      <c r="A2157" s="19" t="s">
        <v>37</v>
      </c>
      <c r="B2157" s="2">
        <v>43982</v>
      </c>
      <c r="C2157" s="1">
        <v>1</v>
      </c>
      <c r="D2157" s="39">
        <v>50</v>
      </c>
      <c r="E2157" s="1"/>
      <c r="F2157" s="39">
        <f t="shared" si="120"/>
        <v>0</v>
      </c>
      <c r="G2157" s="497"/>
      <c r="H2157" s="497"/>
      <c r="J2157" s="42"/>
    </row>
    <row r="2158" spans="1:10" s="360" customFormat="1" x14ac:dyDescent="0.25">
      <c r="A2158" s="19" t="s">
        <v>22</v>
      </c>
      <c r="B2158" s="2">
        <v>43982</v>
      </c>
      <c r="C2158" s="1">
        <v>0</v>
      </c>
      <c r="D2158" s="39">
        <v>262</v>
      </c>
      <c r="E2158" s="1"/>
      <c r="F2158" s="39">
        <f>E2158+F2134</f>
        <v>3</v>
      </c>
      <c r="G2158" s="497"/>
      <c r="H2158" s="497"/>
      <c r="J2158" s="42"/>
    </row>
    <row r="2159" spans="1:10" s="360" customFormat="1" x14ac:dyDescent="0.25">
      <c r="A2159" s="19" t="s">
        <v>38</v>
      </c>
      <c r="B2159" s="2">
        <v>43982</v>
      </c>
      <c r="C2159" s="1">
        <v>0</v>
      </c>
      <c r="D2159" s="39">
        <v>22</v>
      </c>
      <c r="E2159" s="1"/>
      <c r="F2159" s="39">
        <f>E2159+F2135</f>
        <v>0</v>
      </c>
      <c r="G2159" s="497"/>
      <c r="H2159" s="497"/>
      <c r="J2159" s="42"/>
    </row>
    <row r="2160" spans="1:10" s="360" customFormat="1" x14ac:dyDescent="0.25">
      <c r="A2160" s="19" t="s">
        <v>39</v>
      </c>
      <c r="B2160" s="2">
        <v>43982</v>
      </c>
      <c r="C2160" s="1">
        <v>0</v>
      </c>
      <c r="D2160" s="39">
        <v>149</v>
      </c>
      <c r="E2160" s="1"/>
      <c r="F2160" s="39">
        <f t="shared" si="120"/>
        <v>0</v>
      </c>
      <c r="G2160" s="497"/>
      <c r="H2160" s="497"/>
      <c r="J2160" s="42"/>
    </row>
    <row r="2161" spans="1:10" s="360" customFormat="1" x14ac:dyDescent="0.25">
      <c r="A2161" s="19" t="s">
        <v>40</v>
      </c>
      <c r="B2161" s="2">
        <v>43982</v>
      </c>
      <c r="C2161" s="1">
        <v>0</v>
      </c>
      <c r="D2161" s="39">
        <v>48</v>
      </c>
      <c r="E2161" s="1"/>
      <c r="F2161" s="39">
        <f>E2161+F2137</f>
        <v>3</v>
      </c>
      <c r="G2161" s="497"/>
      <c r="H2161" s="497"/>
      <c r="J2161" s="42"/>
    </row>
    <row r="2162" spans="1:10" s="360" customFormat="1" x14ac:dyDescent="0.25">
      <c r="A2162" s="361" t="s">
        <v>16</v>
      </c>
      <c r="B2162" s="2">
        <v>43983</v>
      </c>
      <c r="C2162" s="1">
        <v>252</v>
      </c>
      <c r="D2162" s="39">
        <v>6144</v>
      </c>
      <c r="E2162" s="1">
        <v>5</v>
      </c>
      <c r="F2162" s="39">
        <f>E2162+F2138</f>
        <v>228</v>
      </c>
      <c r="G2162" s="497"/>
      <c r="H2162" s="497"/>
      <c r="J2162" s="42"/>
    </row>
    <row r="2163" spans="1:10" s="360" customFormat="1" x14ac:dyDescent="0.25">
      <c r="A2163" s="19" t="s">
        <v>28</v>
      </c>
      <c r="B2163" s="2">
        <v>43983</v>
      </c>
      <c r="C2163" s="1">
        <v>0</v>
      </c>
      <c r="D2163" s="39">
        <v>0</v>
      </c>
      <c r="E2163" s="1"/>
      <c r="F2163" s="39">
        <f t="shared" ref="F2163:F2169" si="121">E2163+F2139</f>
        <v>0</v>
      </c>
      <c r="G2163" s="497"/>
      <c r="H2163" s="497"/>
      <c r="J2163" s="42"/>
    </row>
    <row r="2164" spans="1:10" s="360" customFormat="1" x14ac:dyDescent="0.25">
      <c r="A2164" s="19" t="s">
        <v>15</v>
      </c>
      <c r="B2164" s="2">
        <v>43983</v>
      </c>
      <c r="C2164" s="1">
        <v>3</v>
      </c>
      <c r="D2164" s="39">
        <v>890</v>
      </c>
      <c r="E2164" s="1">
        <v>3</v>
      </c>
      <c r="F2164" s="39">
        <f t="shared" si="121"/>
        <v>55</v>
      </c>
      <c r="G2164" s="497"/>
      <c r="H2164" s="497"/>
      <c r="J2164" s="42"/>
    </row>
    <row r="2165" spans="1:10" s="360" customFormat="1" x14ac:dyDescent="0.25">
      <c r="A2165" s="19" t="s">
        <v>29</v>
      </c>
      <c r="B2165" s="2">
        <v>43983</v>
      </c>
      <c r="C2165" s="1">
        <v>0</v>
      </c>
      <c r="D2165" s="39">
        <v>10</v>
      </c>
      <c r="E2165" s="1"/>
      <c r="F2165" s="39">
        <f t="shared" si="121"/>
        <v>1</v>
      </c>
      <c r="G2165" s="497"/>
      <c r="H2165" s="497"/>
      <c r="J2165" s="42"/>
    </row>
    <row r="2166" spans="1:10" s="360" customFormat="1" x14ac:dyDescent="0.25">
      <c r="A2166" s="19" t="s">
        <v>43</v>
      </c>
      <c r="B2166" s="2">
        <v>43983</v>
      </c>
      <c r="C2166" s="1">
        <v>274</v>
      </c>
      <c r="D2166" s="39">
        <v>8480</v>
      </c>
      <c r="E2166" s="1">
        <v>8</v>
      </c>
      <c r="F2166" s="39">
        <f t="shared" si="121"/>
        <v>193</v>
      </c>
      <c r="G2166" s="497"/>
      <c r="H2166" s="497"/>
      <c r="J2166" s="42"/>
    </row>
    <row r="2167" spans="1:10" s="360" customFormat="1" x14ac:dyDescent="0.25">
      <c r="A2167" s="19" t="s">
        <v>20</v>
      </c>
      <c r="B2167" s="2">
        <v>43983</v>
      </c>
      <c r="C2167" s="1">
        <v>0</v>
      </c>
      <c r="D2167" s="39">
        <v>460</v>
      </c>
      <c r="E2167" s="1">
        <v>1</v>
      </c>
      <c r="F2167" s="39">
        <f t="shared" si="121"/>
        <v>28</v>
      </c>
      <c r="G2167" s="497"/>
      <c r="H2167" s="497"/>
      <c r="J2167" s="42"/>
    </row>
    <row r="2168" spans="1:10" s="360" customFormat="1" x14ac:dyDescent="0.25">
      <c r="A2168" s="19" t="s">
        <v>30</v>
      </c>
      <c r="B2168" s="2">
        <v>43983</v>
      </c>
      <c r="C2168" s="1">
        <v>6</v>
      </c>
      <c r="D2168" s="39">
        <v>94</v>
      </c>
      <c r="E2168" s="1"/>
      <c r="F2168" s="39">
        <f t="shared" si="121"/>
        <v>0</v>
      </c>
      <c r="G2168" s="497"/>
      <c r="H2168" s="497"/>
      <c r="J2168" s="42"/>
    </row>
    <row r="2169" spans="1:10" x14ac:dyDescent="0.25">
      <c r="A2169" s="19" t="s">
        <v>31</v>
      </c>
      <c r="B2169" s="2">
        <v>43983</v>
      </c>
      <c r="C2169" s="1">
        <v>0</v>
      </c>
      <c r="D2169" s="39">
        <v>31</v>
      </c>
      <c r="F2169" s="39">
        <f t="shared" si="121"/>
        <v>0</v>
      </c>
    </row>
    <row r="2170" spans="1:10" s="360" customFormat="1" x14ac:dyDescent="0.25">
      <c r="A2170" s="19" t="s">
        <v>41</v>
      </c>
      <c r="B2170" s="2">
        <v>43983</v>
      </c>
      <c r="C2170" s="1">
        <v>0</v>
      </c>
      <c r="D2170" s="39">
        <v>0</v>
      </c>
      <c r="E2170" s="1"/>
      <c r="F2170" s="39">
        <f t="shared" ref="F2170:F2184" si="122">E2170+F2145</f>
        <v>0</v>
      </c>
      <c r="G2170" s="497"/>
      <c r="H2170" s="497"/>
      <c r="J2170" s="42"/>
    </row>
    <row r="2171" spans="1:10" s="360" customFormat="1" x14ac:dyDescent="0.25">
      <c r="A2171" s="19" t="s">
        <v>32</v>
      </c>
      <c r="B2171" s="2">
        <v>43983</v>
      </c>
      <c r="C2171" s="1">
        <v>0</v>
      </c>
      <c r="D2171" s="39">
        <v>6</v>
      </c>
      <c r="E2171" s="1"/>
      <c r="F2171" s="39">
        <f t="shared" si="122"/>
        <v>0</v>
      </c>
      <c r="G2171" s="497"/>
      <c r="H2171" s="497"/>
      <c r="J2171" s="42"/>
    </row>
    <row r="2172" spans="1:10" s="360" customFormat="1" x14ac:dyDescent="0.25">
      <c r="A2172" s="19" t="s">
        <v>33</v>
      </c>
      <c r="B2172" s="2">
        <v>43983</v>
      </c>
      <c r="C2172" s="1">
        <v>0</v>
      </c>
      <c r="D2172" s="39">
        <v>5</v>
      </c>
      <c r="E2172" s="1"/>
      <c r="F2172" s="39">
        <f t="shared" si="122"/>
        <v>0</v>
      </c>
      <c r="G2172" s="497"/>
      <c r="H2172" s="497"/>
      <c r="J2172" s="42"/>
    </row>
    <row r="2173" spans="1:10" s="360" customFormat="1" x14ac:dyDescent="0.25">
      <c r="A2173" s="19" t="s">
        <v>21</v>
      </c>
      <c r="B2173" s="2">
        <v>43983</v>
      </c>
      <c r="C2173" s="1">
        <v>0</v>
      </c>
      <c r="D2173" s="39">
        <v>63</v>
      </c>
      <c r="E2173" s="1"/>
      <c r="F2173" s="39">
        <f t="shared" si="122"/>
        <v>0</v>
      </c>
      <c r="G2173" s="497"/>
      <c r="H2173" s="497"/>
      <c r="J2173" s="42"/>
    </row>
    <row r="2174" spans="1:10" s="360" customFormat="1" x14ac:dyDescent="0.25">
      <c r="A2174" s="19" t="s">
        <v>17</v>
      </c>
      <c r="B2174" s="2">
        <v>43983</v>
      </c>
      <c r="C2174" s="1">
        <v>8</v>
      </c>
      <c r="D2174" s="39">
        <v>100</v>
      </c>
      <c r="E2174" s="1"/>
      <c r="F2174" s="39">
        <f t="shared" si="122"/>
        <v>0</v>
      </c>
      <c r="G2174" s="497"/>
      <c r="H2174" s="497"/>
      <c r="J2174" s="42"/>
    </row>
    <row r="2175" spans="1:10" s="360" customFormat="1" x14ac:dyDescent="0.25">
      <c r="A2175" s="19" t="s">
        <v>23</v>
      </c>
      <c r="B2175" s="2">
        <v>43983</v>
      </c>
      <c r="C2175" s="1">
        <v>0</v>
      </c>
      <c r="D2175" s="39">
        <v>28</v>
      </c>
      <c r="E2175" s="1"/>
      <c r="F2175" s="39">
        <f t="shared" si="122"/>
        <v>0</v>
      </c>
      <c r="G2175" s="497"/>
      <c r="H2175" s="497"/>
      <c r="J2175" s="42"/>
    </row>
    <row r="2176" spans="1:10" s="360" customFormat="1" x14ac:dyDescent="0.25">
      <c r="A2176" s="19" t="s">
        <v>19</v>
      </c>
      <c r="B2176" s="2">
        <v>43983</v>
      </c>
      <c r="C2176" s="1">
        <v>3</v>
      </c>
      <c r="D2176" s="39">
        <v>137</v>
      </c>
      <c r="E2176" s="1"/>
      <c r="F2176" s="39">
        <f t="shared" si="122"/>
        <v>0</v>
      </c>
      <c r="G2176" s="497"/>
      <c r="H2176" s="497"/>
      <c r="J2176" s="42"/>
    </row>
    <row r="2177" spans="1:10" s="360" customFormat="1" x14ac:dyDescent="0.25">
      <c r="A2177" s="19" t="s">
        <v>18</v>
      </c>
      <c r="B2177" s="2">
        <v>43983</v>
      </c>
      <c r="C2177" s="1">
        <v>11</v>
      </c>
      <c r="D2177" s="39">
        <v>407</v>
      </c>
      <c r="E2177" s="1"/>
      <c r="F2177" s="39">
        <f t="shared" si="122"/>
        <v>0</v>
      </c>
      <c r="G2177" s="497"/>
      <c r="H2177" s="497"/>
      <c r="J2177" s="42"/>
    </row>
    <row r="2178" spans="1:10" s="360" customFormat="1" x14ac:dyDescent="0.25">
      <c r="A2178" s="19" t="s">
        <v>34</v>
      </c>
      <c r="B2178" s="2">
        <v>43983</v>
      </c>
      <c r="C2178" s="1">
        <v>3</v>
      </c>
      <c r="D2178" s="39">
        <v>11</v>
      </c>
      <c r="E2178" s="1"/>
      <c r="F2178" s="39">
        <f t="shared" si="122"/>
        <v>0</v>
      </c>
      <c r="G2178" s="497"/>
      <c r="H2178" s="497"/>
      <c r="J2178" s="42"/>
    </row>
    <row r="2179" spans="1:10" s="360" customFormat="1" x14ac:dyDescent="0.25">
      <c r="A2179" s="19" t="s">
        <v>35</v>
      </c>
      <c r="B2179" s="2">
        <v>43983</v>
      </c>
      <c r="C2179" s="1">
        <v>0</v>
      </c>
      <c r="D2179" s="39">
        <v>5</v>
      </c>
      <c r="E2179" s="1"/>
      <c r="F2179" s="39">
        <f>E2179+F2155</f>
        <v>0</v>
      </c>
      <c r="G2179" s="497"/>
      <c r="H2179" s="497"/>
      <c r="J2179" s="42"/>
    </row>
    <row r="2180" spans="1:10" s="360" customFormat="1" x14ac:dyDescent="0.25">
      <c r="A2180" s="19" t="s">
        <v>36</v>
      </c>
      <c r="B2180" s="2">
        <v>43983</v>
      </c>
      <c r="C2180" s="1">
        <v>0</v>
      </c>
      <c r="D2180" s="39">
        <v>11</v>
      </c>
      <c r="E2180" s="1"/>
      <c r="F2180" s="39">
        <f t="shared" si="122"/>
        <v>0</v>
      </c>
      <c r="G2180" s="497"/>
      <c r="H2180" s="497"/>
      <c r="J2180" s="42"/>
    </row>
    <row r="2181" spans="1:10" s="360" customFormat="1" x14ac:dyDescent="0.25">
      <c r="A2181" s="19" t="s">
        <v>37</v>
      </c>
      <c r="B2181" s="2">
        <v>43983</v>
      </c>
      <c r="C2181" s="1">
        <v>1</v>
      </c>
      <c r="D2181" s="39">
        <v>51</v>
      </c>
      <c r="E2181" s="1"/>
      <c r="F2181" s="39">
        <f t="shared" si="122"/>
        <v>0</v>
      </c>
      <c r="G2181" s="497"/>
      <c r="H2181" s="497"/>
      <c r="J2181" s="42"/>
    </row>
    <row r="2182" spans="1:10" s="360" customFormat="1" x14ac:dyDescent="0.25">
      <c r="A2182" s="19" t="s">
        <v>22</v>
      </c>
      <c r="B2182" s="2">
        <v>43983</v>
      </c>
      <c r="C2182" s="1">
        <v>3</v>
      </c>
      <c r="D2182" s="39">
        <v>265</v>
      </c>
      <c r="E2182" s="1"/>
      <c r="F2182" s="39">
        <f>E2182+F2158</f>
        <v>3</v>
      </c>
      <c r="G2182" s="497"/>
      <c r="H2182" s="497"/>
      <c r="J2182" s="42"/>
    </row>
    <row r="2183" spans="1:10" s="360" customFormat="1" x14ac:dyDescent="0.25">
      <c r="A2183" s="19" t="s">
        <v>38</v>
      </c>
      <c r="B2183" s="2">
        <v>43983</v>
      </c>
      <c r="C2183" s="1">
        <v>0</v>
      </c>
      <c r="D2183" s="39">
        <v>22</v>
      </c>
      <c r="E2183" s="1"/>
      <c r="F2183" s="39">
        <f>E2183+F2159</f>
        <v>0</v>
      </c>
      <c r="G2183" s="497"/>
      <c r="H2183" s="497"/>
      <c r="J2183" s="42"/>
    </row>
    <row r="2184" spans="1:10" s="360" customFormat="1" x14ac:dyDescent="0.25">
      <c r="A2184" s="19" t="s">
        <v>39</v>
      </c>
      <c r="B2184" s="2">
        <v>43983</v>
      </c>
      <c r="C2184" s="1">
        <v>0</v>
      </c>
      <c r="D2184" s="39">
        <v>149</v>
      </c>
      <c r="E2184" s="1"/>
      <c r="F2184" s="39">
        <f t="shared" si="122"/>
        <v>0</v>
      </c>
      <c r="G2184" s="497"/>
      <c r="H2184" s="497"/>
      <c r="J2184" s="42"/>
    </row>
    <row r="2185" spans="1:10" s="360" customFormat="1" x14ac:dyDescent="0.25">
      <c r="A2185" s="19" t="s">
        <v>40</v>
      </c>
      <c r="B2185" s="2">
        <v>43983</v>
      </c>
      <c r="C2185" s="1">
        <v>0</v>
      </c>
      <c r="D2185" s="39">
        <v>48</v>
      </c>
      <c r="E2185" s="1"/>
      <c r="F2185" s="39">
        <f>E2185+F2161</f>
        <v>3</v>
      </c>
      <c r="G2185" s="497"/>
      <c r="H2185" s="497"/>
      <c r="J2185" s="42"/>
    </row>
    <row r="2186" spans="1:10" s="360" customFormat="1" x14ac:dyDescent="0.25">
      <c r="A2186" s="361" t="s">
        <v>16</v>
      </c>
      <c r="B2186" s="2">
        <v>43984</v>
      </c>
      <c r="C2186" s="1">
        <v>488</v>
      </c>
      <c r="D2186" s="39">
        <v>6632</v>
      </c>
      <c r="E2186" s="1">
        <v>8</v>
      </c>
      <c r="F2186" s="39">
        <f>E2186+F2162</f>
        <v>236</v>
      </c>
      <c r="G2186" s="497"/>
      <c r="H2186" s="497"/>
      <c r="J2186" s="42"/>
    </row>
    <row r="2187" spans="1:10" s="360" customFormat="1" x14ac:dyDescent="0.25">
      <c r="A2187" s="19" t="s">
        <v>28</v>
      </c>
      <c r="B2187" s="2">
        <v>43984</v>
      </c>
      <c r="C2187" s="1">
        <v>0</v>
      </c>
      <c r="D2187" s="39">
        <v>0</v>
      </c>
      <c r="E2187" s="1"/>
      <c r="F2187" s="39">
        <f t="shared" ref="F2187:F2193" si="123">E2187+F2163</f>
        <v>0</v>
      </c>
      <c r="G2187" s="497"/>
      <c r="H2187" s="497"/>
      <c r="J2187" s="42"/>
    </row>
    <row r="2188" spans="1:10" s="360" customFormat="1" x14ac:dyDescent="0.25">
      <c r="A2188" s="19" t="s">
        <v>15</v>
      </c>
      <c r="B2188" s="2">
        <v>43984</v>
      </c>
      <c r="C2188" s="1">
        <v>30</v>
      </c>
      <c r="D2188" s="39">
        <v>920</v>
      </c>
      <c r="E2188" s="1">
        <v>2</v>
      </c>
      <c r="F2188" s="39">
        <f t="shared" si="123"/>
        <v>57</v>
      </c>
      <c r="G2188" s="497"/>
      <c r="H2188" s="497"/>
      <c r="J2188" s="42"/>
    </row>
    <row r="2189" spans="1:10" s="360" customFormat="1" x14ac:dyDescent="0.25">
      <c r="A2189" s="19" t="s">
        <v>29</v>
      </c>
      <c r="B2189" s="2">
        <v>43984</v>
      </c>
      <c r="C2189" s="1">
        <v>0</v>
      </c>
      <c r="D2189" s="39">
        <v>10</v>
      </c>
      <c r="E2189" s="1"/>
      <c r="F2189" s="39">
        <f t="shared" si="123"/>
        <v>1</v>
      </c>
      <c r="G2189" s="497"/>
      <c r="H2189" s="497"/>
      <c r="J2189" s="42"/>
    </row>
    <row r="2190" spans="1:10" s="360" customFormat="1" x14ac:dyDescent="0.25">
      <c r="A2190" s="19" t="s">
        <v>43</v>
      </c>
      <c r="B2190" s="2">
        <v>43984</v>
      </c>
      <c r="C2190" s="1">
        <v>371</v>
      </c>
      <c r="D2190" s="39">
        <v>8851</v>
      </c>
      <c r="E2190" s="1">
        <v>3</v>
      </c>
      <c r="F2190" s="39">
        <f t="shared" si="123"/>
        <v>196</v>
      </c>
      <c r="G2190" s="497"/>
      <c r="H2190" s="497"/>
      <c r="J2190" s="42"/>
    </row>
    <row r="2191" spans="1:10" s="360" customFormat="1" x14ac:dyDescent="0.25">
      <c r="A2191" s="19" t="s">
        <v>20</v>
      </c>
      <c r="B2191" s="2">
        <v>43984</v>
      </c>
      <c r="C2191" s="1">
        <v>1</v>
      </c>
      <c r="D2191" s="39">
        <v>461</v>
      </c>
      <c r="E2191" s="1"/>
      <c r="F2191" s="39">
        <f t="shared" si="123"/>
        <v>28</v>
      </c>
      <c r="G2191" s="497"/>
      <c r="H2191" s="497"/>
      <c r="J2191" s="42"/>
    </row>
    <row r="2192" spans="1:10" s="360" customFormat="1" x14ac:dyDescent="0.25">
      <c r="A2192" s="19" t="s">
        <v>30</v>
      </c>
      <c r="B2192" s="2">
        <v>43984</v>
      </c>
      <c r="C2192" s="1">
        <v>2</v>
      </c>
      <c r="D2192" s="39">
        <v>96</v>
      </c>
      <c r="E2192" s="1"/>
      <c r="F2192" s="39">
        <f t="shared" si="123"/>
        <v>0</v>
      </c>
      <c r="G2192" s="497"/>
      <c r="H2192" s="497"/>
      <c r="J2192" s="42"/>
    </row>
    <row r="2193" spans="1:10" x14ac:dyDescent="0.25">
      <c r="A2193" s="19" t="s">
        <v>31</v>
      </c>
      <c r="B2193" s="2">
        <v>43984</v>
      </c>
      <c r="C2193" s="1">
        <v>2</v>
      </c>
      <c r="D2193" s="39">
        <v>33</v>
      </c>
      <c r="F2193" s="39">
        <f t="shared" si="123"/>
        <v>0</v>
      </c>
    </row>
    <row r="2194" spans="1:10" s="360" customFormat="1" x14ac:dyDescent="0.25">
      <c r="A2194" s="19" t="s">
        <v>41</v>
      </c>
      <c r="B2194" s="2">
        <v>43984</v>
      </c>
      <c r="C2194" s="1">
        <v>0</v>
      </c>
      <c r="D2194" s="39">
        <v>0</v>
      </c>
      <c r="E2194" s="1"/>
      <c r="F2194" s="39">
        <f t="shared" ref="F2194:F2208" si="124">E2194+F2169</f>
        <v>0</v>
      </c>
      <c r="G2194" s="497"/>
      <c r="H2194" s="497"/>
      <c r="J2194" s="42"/>
    </row>
    <row r="2195" spans="1:10" s="360" customFormat="1" x14ac:dyDescent="0.25">
      <c r="A2195" s="19" t="s">
        <v>32</v>
      </c>
      <c r="B2195" s="2">
        <v>43984</v>
      </c>
      <c r="C2195" s="1">
        <v>0</v>
      </c>
      <c r="D2195" s="39">
        <v>6</v>
      </c>
      <c r="E2195" s="1"/>
      <c r="F2195" s="39">
        <f t="shared" si="124"/>
        <v>0</v>
      </c>
      <c r="G2195" s="497"/>
      <c r="H2195" s="497"/>
      <c r="J2195" s="42"/>
    </row>
    <row r="2196" spans="1:10" s="360" customFormat="1" x14ac:dyDescent="0.25">
      <c r="A2196" s="19" t="s">
        <v>33</v>
      </c>
      <c r="B2196" s="2">
        <v>43984</v>
      </c>
      <c r="C2196" s="1">
        <v>0</v>
      </c>
      <c r="D2196" s="39">
        <v>5</v>
      </c>
      <c r="E2196" s="1"/>
      <c r="F2196" s="39">
        <f t="shared" si="124"/>
        <v>0</v>
      </c>
      <c r="G2196" s="497"/>
      <c r="H2196" s="497"/>
      <c r="J2196" s="42"/>
    </row>
    <row r="2197" spans="1:10" s="360" customFormat="1" x14ac:dyDescent="0.25">
      <c r="A2197" s="19" t="s">
        <v>21</v>
      </c>
      <c r="B2197" s="2">
        <v>43984</v>
      </c>
      <c r="C2197" s="1">
        <v>0</v>
      </c>
      <c r="D2197" s="39">
        <v>63</v>
      </c>
      <c r="E2197" s="1"/>
      <c r="F2197" s="39">
        <f t="shared" si="124"/>
        <v>0</v>
      </c>
      <c r="G2197" s="497"/>
      <c r="H2197" s="497"/>
      <c r="J2197" s="42"/>
    </row>
    <row r="2198" spans="1:10" s="360" customFormat="1" x14ac:dyDescent="0.25">
      <c r="A2198" s="19" t="s">
        <v>17</v>
      </c>
      <c r="B2198" s="2">
        <v>43984</v>
      </c>
      <c r="C2198" s="1">
        <v>0</v>
      </c>
      <c r="D2198" s="39">
        <v>100</v>
      </c>
      <c r="E2198" s="1"/>
      <c r="F2198" s="39">
        <f t="shared" si="124"/>
        <v>0</v>
      </c>
      <c r="G2198" s="497"/>
      <c r="H2198" s="497"/>
      <c r="J2198" s="42"/>
    </row>
    <row r="2199" spans="1:10" s="360" customFormat="1" x14ac:dyDescent="0.25">
      <c r="A2199" s="19" t="s">
        <v>23</v>
      </c>
      <c r="B2199" s="2">
        <v>43984</v>
      </c>
      <c r="C2199" s="1">
        <v>0</v>
      </c>
      <c r="D2199" s="39">
        <v>28</v>
      </c>
      <c r="E2199" s="1"/>
      <c r="F2199" s="39">
        <f t="shared" si="124"/>
        <v>0</v>
      </c>
      <c r="G2199" s="497"/>
      <c r="H2199" s="497"/>
      <c r="J2199" s="42"/>
    </row>
    <row r="2200" spans="1:10" s="360" customFormat="1" x14ac:dyDescent="0.25">
      <c r="A2200" s="19" t="s">
        <v>19</v>
      </c>
      <c r="B2200" s="2">
        <v>43984</v>
      </c>
      <c r="C2200" s="1">
        <v>3</v>
      </c>
      <c r="D2200" s="39">
        <v>140</v>
      </c>
      <c r="E2200" s="1"/>
      <c r="F2200" s="39">
        <f t="shared" si="124"/>
        <v>0</v>
      </c>
      <c r="G2200" s="497"/>
      <c r="H2200" s="497"/>
      <c r="J2200" s="42"/>
    </row>
    <row r="2201" spans="1:10" s="360" customFormat="1" x14ac:dyDescent="0.25">
      <c r="A2201" s="19" t="s">
        <v>18</v>
      </c>
      <c r="B2201" s="2">
        <v>43984</v>
      </c>
      <c r="C2201" s="1">
        <v>3</v>
      </c>
      <c r="D2201" s="39">
        <v>410</v>
      </c>
      <c r="E2201" s="1"/>
      <c r="F2201" s="39">
        <f t="shared" si="124"/>
        <v>0</v>
      </c>
      <c r="G2201" s="497"/>
      <c r="H2201" s="497"/>
      <c r="J2201" s="42"/>
    </row>
    <row r="2202" spans="1:10" s="360" customFormat="1" x14ac:dyDescent="0.25">
      <c r="A2202" s="19" t="s">
        <v>34</v>
      </c>
      <c r="B2202" s="2">
        <v>43984</v>
      </c>
      <c r="C2202" s="1">
        <v>4</v>
      </c>
      <c r="D2202" s="39">
        <v>15</v>
      </c>
      <c r="E2202" s="1"/>
      <c r="F2202" s="39">
        <f t="shared" si="124"/>
        <v>0</v>
      </c>
      <c r="G2202" s="497"/>
      <c r="H2202" s="497"/>
      <c r="J2202" s="42"/>
    </row>
    <row r="2203" spans="1:10" s="360" customFormat="1" x14ac:dyDescent="0.25">
      <c r="A2203" s="19" t="s">
        <v>35</v>
      </c>
      <c r="B2203" s="2">
        <v>43984</v>
      </c>
      <c r="C2203" s="1">
        <v>0</v>
      </c>
      <c r="D2203" s="39">
        <v>5</v>
      </c>
      <c r="E2203" s="1"/>
      <c r="F2203" s="39">
        <f>E2203+F2179</f>
        <v>0</v>
      </c>
      <c r="G2203" s="497"/>
      <c r="H2203" s="497"/>
      <c r="J2203" s="42"/>
    </row>
    <row r="2204" spans="1:10" s="360" customFormat="1" x14ac:dyDescent="0.25">
      <c r="A2204" s="19" t="s">
        <v>36</v>
      </c>
      <c r="B2204" s="2">
        <v>43984</v>
      </c>
      <c r="C2204" s="1">
        <v>0</v>
      </c>
      <c r="D2204" s="39">
        <v>11</v>
      </c>
      <c r="E2204" s="1"/>
      <c r="F2204" s="39">
        <f t="shared" si="124"/>
        <v>0</v>
      </c>
      <c r="G2204" s="497"/>
      <c r="H2204" s="497"/>
      <c r="J2204" s="42"/>
    </row>
    <row r="2205" spans="1:10" s="360" customFormat="1" x14ac:dyDescent="0.25">
      <c r="A2205" s="19" t="s">
        <v>37</v>
      </c>
      <c r="B2205" s="2">
        <v>43984</v>
      </c>
      <c r="C2205" s="1">
        <v>0</v>
      </c>
      <c r="D2205" s="39">
        <v>51</v>
      </c>
      <c r="E2205" s="1"/>
      <c r="F2205" s="39">
        <f t="shared" si="124"/>
        <v>0</v>
      </c>
      <c r="G2205" s="497"/>
      <c r="H2205" s="497"/>
      <c r="J2205" s="42"/>
    </row>
    <row r="2206" spans="1:10" s="360" customFormat="1" x14ac:dyDescent="0.25">
      <c r="A2206" s="19" t="s">
        <v>22</v>
      </c>
      <c r="B2206" s="2">
        <v>43984</v>
      </c>
      <c r="C2206" s="1">
        <v>0</v>
      </c>
      <c r="D2206" s="39">
        <v>265</v>
      </c>
      <c r="E2206" s="1"/>
      <c r="F2206" s="39">
        <f>E2206+F2182</f>
        <v>3</v>
      </c>
      <c r="G2206" s="497"/>
      <c r="H2206" s="497"/>
      <c r="J2206" s="42"/>
    </row>
    <row r="2207" spans="1:10" s="360" customFormat="1" x14ac:dyDescent="0.25">
      <c r="A2207" s="19" t="s">
        <v>38</v>
      </c>
      <c r="B2207" s="2">
        <v>43984</v>
      </c>
      <c r="C2207" s="1">
        <v>0</v>
      </c>
      <c r="D2207" s="39">
        <v>22</v>
      </c>
      <c r="E2207" s="1"/>
      <c r="F2207" s="39">
        <f>E2207+F2183</f>
        <v>0</v>
      </c>
      <c r="G2207" s="497"/>
      <c r="H2207" s="497"/>
      <c r="J2207" s="42"/>
    </row>
    <row r="2208" spans="1:10" s="360" customFormat="1" x14ac:dyDescent="0.25">
      <c r="A2208" s="19" t="s">
        <v>39</v>
      </c>
      <c r="B2208" s="2">
        <v>43984</v>
      </c>
      <c r="C2208" s="1">
        <v>0</v>
      </c>
      <c r="D2208" s="39">
        <v>149</v>
      </c>
      <c r="E2208" s="1"/>
      <c r="F2208" s="39">
        <f t="shared" si="124"/>
        <v>0</v>
      </c>
      <c r="G2208" s="497"/>
      <c r="H2208" s="497"/>
      <c r="J2208" s="42"/>
    </row>
    <row r="2209" spans="1:10" s="360" customFormat="1" x14ac:dyDescent="0.25">
      <c r="A2209" s="19" t="s">
        <v>40</v>
      </c>
      <c r="B2209" s="2">
        <v>43984</v>
      </c>
      <c r="C2209" s="1">
        <v>0</v>
      </c>
      <c r="D2209" s="39">
        <v>48</v>
      </c>
      <c r="E2209" s="1"/>
      <c r="F2209" s="39">
        <f>E2209+F2185</f>
        <v>3</v>
      </c>
      <c r="G2209" s="497"/>
      <c r="H2209" s="497"/>
      <c r="J2209" s="42"/>
    </row>
    <row r="2210" spans="1:10" s="360" customFormat="1" x14ac:dyDescent="0.25">
      <c r="A2210" s="361" t="s">
        <v>16</v>
      </c>
      <c r="B2210" s="2">
        <v>43985</v>
      </c>
      <c r="C2210" s="1">
        <v>442</v>
      </c>
      <c r="D2210" s="39">
        <v>7074</v>
      </c>
      <c r="E2210" s="1">
        <v>6</v>
      </c>
      <c r="F2210" s="39">
        <f>E2210+F2186</f>
        <v>242</v>
      </c>
      <c r="G2210" s="497"/>
      <c r="H2210" s="497"/>
      <c r="J2210" s="42"/>
    </row>
    <row r="2211" spans="1:10" s="360" customFormat="1" x14ac:dyDescent="0.25">
      <c r="A2211" s="19" t="s">
        <v>28</v>
      </c>
      <c r="B2211" s="2">
        <v>43985</v>
      </c>
      <c r="C2211" s="1">
        <v>0</v>
      </c>
      <c r="D2211" s="39">
        <v>0</v>
      </c>
      <c r="E2211" s="1"/>
      <c r="F2211" s="39">
        <f t="shared" ref="F2211:F2217" si="125">E2211+F2187</f>
        <v>0</v>
      </c>
      <c r="G2211" s="497"/>
      <c r="H2211" s="497"/>
      <c r="J2211" s="42"/>
    </row>
    <row r="2212" spans="1:10" s="360" customFormat="1" x14ac:dyDescent="0.25">
      <c r="A2212" s="19" t="s">
        <v>15</v>
      </c>
      <c r="B2212" s="2">
        <v>43985</v>
      </c>
      <c r="C2212" s="1">
        <v>6</v>
      </c>
      <c r="D2212" s="39">
        <v>926</v>
      </c>
      <c r="E2212" s="1">
        <v>1</v>
      </c>
      <c r="F2212" s="39">
        <f t="shared" si="125"/>
        <v>58</v>
      </c>
      <c r="G2212" s="497"/>
      <c r="H2212" s="497"/>
      <c r="J2212" s="42"/>
    </row>
    <row r="2213" spans="1:10" s="360" customFormat="1" x14ac:dyDescent="0.25">
      <c r="A2213" s="19" t="s">
        <v>29</v>
      </c>
      <c r="B2213" s="2">
        <v>43985</v>
      </c>
      <c r="C2213" s="1">
        <v>1</v>
      </c>
      <c r="D2213" s="39">
        <v>11</v>
      </c>
      <c r="E2213" s="1"/>
      <c r="F2213" s="39">
        <f t="shared" si="125"/>
        <v>1</v>
      </c>
      <c r="G2213" s="497"/>
      <c r="H2213" s="497"/>
      <c r="J2213" s="42"/>
    </row>
    <row r="2214" spans="1:10" s="360" customFormat="1" x14ac:dyDescent="0.25">
      <c r="A2214" s="19" t="s">
        <v>43</v>
      </c>
      <c r="B2214" s="2">
        <v>43985</v>
      </c>
      <c r="C2214" s="1">
        <v>467</v>
      </c>
      <c r="D2214" s="39">
        <v>9318</v>
      </c>
      <c r="E2214" s="1">
        <v>5</v>
      </c>
      <c r="F2214" s="39">
        <f t="shared" si="125"/>
        <v>201</v>
      </c>
      <c r="G2214" s="497"/>
      <c r="H2214" s="497"/>
      <c r="J2214" s="42"/>
    </row>
    <row r="2215" spans="1:10" s="360" customFormat="1" x14ac:dyDescent="0.25">
      <c r="A2215" s="19" t="s">
        <v>20</v>
      </c>
      <c r="B2215" s="2">
        <v>43985</v>
      </c>
      <c r="C2215" s="1">
        <v>1</v>
      </c>
      <c r="D2215" s="39">
        <v>462</v>
      </c>
      <c r="E2215" s="1">
        <v>1</v>
      </c>
      <c r="F2215" s="39">
        <f t="shared" si="125"/>
        <v>29</v>
      </c>
      <c r="G2215" s="497"/>
      <c r="H2215" s="497"/>
      <c r="J2215" s="42"/>
    </row>
    <row r="2216" spans="1:10" s="360" customFormat="1" x14ac:dyDescent="0.25">
      <c r="A2216" s="19" t="s">
        <v>30</v>
      </c>
      <c r="B2216" s="2">
        <v>43985</v>
      </c>
      <c r="C2216" s="1">
        <v>0</v>
      </c>
      <c r="D2216" s="39">
        <v>96</v>
      </c>
      <c r="E2216" s="1"/>
      <c r="F2216" s="39">
        <f t="shared" si="125"/>
        <v>0</v>
      </c>
      <c r="G2216" s="497"/>
      <c r="H2216" s="497"/>
      <c r="J2216" s="42"/>
    </row>
    <row r="2217" spans="1:10" x14ac:dyDescent="0.25">
      <c r="A2217" s="19" t="s">
        <v>31</v>
      </c>
      <c r="B2217" s="2">
        <v>43985</v>
      </c>
      <c r="C2217" s="1">
        <v>2</v>
      </c>
      <c r="D2217" s="39">
        <v>35</v>
      </c>
      <c r="F2217" s="39">
        <f t="shared" si="125"/>
        <v>0</v>
      </c>
    </row>
    <row r="2218" spans="1:10" s="360" customFormat="1" x14ac:dyDescent="0.25">
      <c r="A2218" s="19" t="s">
        <v>41</v>
      </c>
      <c r="B2218" s="2">
        <v>43985</v>
      </c>
      <c r="C2218" s="1">
        <v>0</v>
      </c>
      <c r="D2218" s="39">
        <v>0</v>
      </c>
      <c r="E2218" s="1"/>
      <c r="F2218" s="39">
        <f t="shared" ref="F2218:F2232" si="126">E2218+F2193</f>
        <v>0</v>
      </c>
      <c r="G2218" s="497"/>
      <c r="H2218" s="497"/>
      <c r="J2218" s="42"/>
    </row>
    <row r="2219" spans="1:10" s="360" customFormat="1" x14ac:dyDescent="0.25">
      <c r="A2219" s="19" t="s">
        <v>32</v>
      </c>
      <c r="B2219" s="2">
        <v>43985</v>
      </c>
      <c r="C2219" s="1">
        <v>0</v>
      </c>
      <c r="D2219" s="39">
        <v>6</v>
      </c>
      <c r="E2219" s="1"/>
      <c r="F2219" s="39">
        <f t="shared" si="126"/>
        <v>0</v>
      </c>
      <c r="G2219" s="497"/>
      <c r="H2219" s="497"/>
      <c r="J2219" s="42"/>
    </row>
    <row r="2220" spans="1:10" s="360" customFormat="1" x14ac:dyDescent="0.25">
      <c r="A2220" s="19" t="s">
        <v>33</v>
      </c>
      <c r="B2220" s="2">
        <v>43985</v>
      </c>
      <c r="C2220" s="1">
        <v>0</v>
      </c>
      <c r="D2220" s="39">
        <v>5</v>
      </c>
      <c r="E2220" s="1"/>
      <c r="F2220" s="39">
        <f t="shared" si="126"/>
        <v>0</v>
      </c>
      <c r="G2220" s="497"/>
      <c r="H2220" s="497"/>
      <c r="J2220" s="42"/>
    </row>
    <row r="2221" spans="1:10" s="360" customFormat="1" x14ac:dyDescent="0.25">
      <c r="A2221" s="19" t="s">
        <v>21</v>
      </c>
      <c r="B2221" s="2">
        <v>43985</v>
      </c>
      <c r="C2221" s="1">
        <v>0</v>
      </c>
      <c r="D2221" s="39">
        <v>63</v>
      </c>
      <c r="E2221" s="1"/>
      <c r="F2221" s="39">
        <f t="shared" si="126"/>
        <v>0</v>
      </c>
      <c r="G2221" s="497"/>
      <c r="H2221" s="497"/>
      <c r="J2221" s="42"/>
    </row>
    <row r="2222" spans="1:10" s="360" customFormat="1" x14ac:dyDescent="0.25">
      <c r="A2222" s="19" t="s">
        <v>17</v>
      </c>
      <c r="B2222" s="2">
        <v>43985</v>
      </c>
      <c r="C2222" s="1">
        <v>0</v>
      </c>
      <c r="D2222" s="39">
        <v>100</v>
      </c>
      <c r="E2222" s="1"/>
      <c r="F2222" s="39">
        <f t="shared" si="126"/>
        <v>0</v>
      </c>
      <c r="G2222" s="497"/>
      <c r="H2222" s="497"/>
      <c r="J2222" s="42"/>
    </row>
    <row r="2223" spans="1:10" s="360" customFormat="1" x14ac:dyDescent="0.25">
      <c r="A2223" s="19" t="s">
        <v>23</v>
      </c>
      <c r="B2223" s="2">
        <v>43985</v>
      </c>
      <c r="C2223" s="1">
        <v>1</v>
      </c>
      <c r="D2223" s="39">
        <v>29</v>
      </c>
      <c r="E2223" s="1"/>
      <c r="F2223" s="39">
        <f t="shared" si="126"/>
        <v>0</v>
      </c>
      <c r="G2223" s="497"/>
      <c r="H2223" s="497"/>
      <c r="J2223" s="42"/>
    </row>
    <row r="2224" spans="1:10" s="360" customFormat="1" x14ac:dyDescent="0.25">
      <c r="A2224" s="19" t="s">
        <v>19</v>
      </c>
      <c r="B2224" s="2">
        <v>43985</v>
      </c>
      <c r="C2224" s="1">
        <v>10</v>
      </c>
      <c r="D2224" s="39">
        <v>150</v>
      </c>
      <c r="E2224" s="1"/>
      <c r="F2224" s="39">
        <f t="shared" si="126"/>
        <v>0</v>
      </c>
      <c r="G2224" s="497"/>
      <c r="H2224" s="497"/>
      <c r="J2224" s="42"/>
    </row>
    <row r="2225" spans="1:10" s="360" customFormat="1" x14ac:dyDescent="0.25">
      <c r="A2225" s="19" t="s">
        <v>18</v>
      </c>
      <c r="B2225" s="2">
        <v>43985</v>
      </c>
      <c r="C2225" s="1">
        <v>16</v>
      </c>
      <c r="D2225" s="39">
        <v>426</v>
      </c>
      <c r="E2225" s="1">
        <v>1</v>
      </c>
      <c r="F2225" s="39">
        <f t="shared" si="126"/>
        <v>1</v>
      </c>
      <c r="G2225" s="497"/>
      <c r="H2225" s="497"/>
      <c r="J2225" s="42"/>
    </row>
    <row r="2226" spans="1:10" s="360" customFormat="1" x14ac:dyDescent="0.25">
      <c r="A2226" s="19" t="s">
        <v>34</v>
      </c>
      <c r="B2226" s="2">
        <v>43985</v>
      </c>
      <c r="C2226" s="1">
        <v>0</v>
      </c>
      <c r="D2226" s="39">
        <v>15</v>
      </c>
      <c r="E2226" s="1"/>
      <c r="F2226" s="39">
        <f t="shared" si="126"/>
        <v>0</v>
      </c>
      <c r="G2226" s="497"/>
      <c r="H2226" s="497"/>
      <c r="J2226" s="42"/>
    </row>
    <row r="2227" spans="1:10" s="360" customFormat="1" x14ac:dyDescent="0.25">
      <c r="A2227" s="19" t="s">
        <v>35</v>
      </c>
      <c r="B2227" s="2">
        <v>43985</v>
      </c>
      <c r="C2227" s="1">
        <v>0</v>
      </c>
      <c r="D2227" s="39">
        <v>5</v>
      </c>
      <c r="E2227" s="1"/>
      <c r="F2227" s="39">
        <f>E2227+F2203</f>
        <v>0</v>
      </c>
      <c r="G2227" s="497"/>
      <c r="H2227" s="497"/>
      <c r="J2227" s="42"/>
    </row>
    <row r="2228" spans="1:10" s="360" customFormat="1" x14ac:dyDescent="0.25">
      <c r="A2228" s="19" t="s">
        <v>36</v>
      </c>
      <c r="B2228" s="2">
        <v>43985</v>
      </c>
      <c r="C2228" s="1">
        <v>0</v>
      </c>
      <c r="D2228" s="39">
        <v>11</v>
      </c>
      <c r="E2228" s="1"/>
      <c r="F2228" s="39">
        <f t="shared" si="126"/>
        <v>0</v>
      </c>
      <c r="G2228" s="497"/>
      <c r="H2228" s="497"/>
      <c r="J2228" s="42"/>
    </row>
    <row r="2229" spans="1:10" s="360" customFormat="1" x14ac:dyDescent="0.25">
      <c r="A2229" s="19" t="s">
        <v>37</v>
      </c>
      <c r="B2229" s="2">
        <v>43985</v>
      </c>
      <c r="C2229" s="1">
        <v>0</v>
      </c>
      <c r="D2229" s="39">
        <v>51</v>
      </c>
      <c r="E2229" s="1"/>
      <c r="F2229" s="39">
        <f t="shared" si="126"/>
        <v>0</v>
      </c>
      <c r="G2229" s="497"/>
      <c r="H2229" s="497"/>
      <c r="J2229" s="42"/>
    </row>
    <row r="2230" spans="1:10" s="360" customFormat="1" x14ac:dyDescent="0.25">
      <c r="A2230" s="19" t="s">
        <v>22</v>
      </c>
      <c r="B2230" s="2">
        <v>43985</v>
      </c>
      <c r="C2230" s="1">
        <v>3</v>
      </c>
      <c r="D2230" s="39">
        <v>268</v>
      </c>
      <c r="E2230" s="1"/>
      <c r="F2230" s="39">
        <f>E2230+F2206</f>
        <v>3</v>
      </c>
      <c r="G2230" s="497"/>
      <c r="H2230" s="497"/>
      <c r="J2230" s="42"/>
    </row>
    <row r="2231" spans="1:10" s="360" customFormat="1" x14ac:dyDescent="0.25">
      <c r="A2231" s="19" t="s">
        <v>38</v>
      </c>
      <c r="B2231" s="2">
        <v>43985</v>
      </c>
      <c r="C2231" s="1">
        <v>0</v>
      </c>
      <c r="D2231" s="39">
        <v>22</v>
      </c>
      <c r="E2231" s="1"/>
      <c r="F2231" s="39">
        <f>E2231+F2207</f>
        <v>0</v>
      </c>
      <c r="G2231" s="497"/>
      <c r="H2231" s="497"/>
      <c r="J2231" s="42"/>
    </row>
    <row r="2232" spans="1:10" s="360" customFormat="1" x14ac:dyDescent="0.25">
      <c r="A2232" s="19" t="s">
        <v>39</v>
      </c>
      <c r="B2232" s="2">
        <v>43985</v>
      </c>
      <c r="C2232" s="1">
        <v>0</v>
      </c>
      <c r="D2232" s="39">
        <v>149</v>
      </c>
      <c r="E2232" s="1"/>
      <c r="F2232" s="39">
        <f t="shared" si="126"/>
        <v>0</v>
      </c>
      <c r="G2232" s="497"/>
      <c r="H2232" s="497"/>
      <c r="J2232" s="42"/>
    </row>
    <row r="2233" spans="1:10" s="360" customFormat="1" x14ac:dyDescent="0.25">
      <c r="A2233" s="19" t="s">
        <v>40</v>
      </c>
      <c r="B2233" s="2">
        <v>43985</v>
      </c>
      <c r="C2233" s="1">
        <v>0</v>
      </c>
      <c r="D2233" s="39">
        <v>48</v>
      </c>
      <c r="E2233" s="1"/>
      <c r="F2233" s="39">
        <f>E2233+F2209</f>
        <v>3</v>
      </c>
      <c r="G2233" s="497"/>
      <c r="H2233" s="497"/>
      <c r="J2233" s="42"/>
    </row>
    <row r="2234" spans="1:10" s="360" customFormat="1" x14ac:dyDescent="0.25">
      <c r="A2234" s="361" t="s">
        <v>16</v>
      </c>
      <c r="B2234" s="2">
        <v>43986</v>
      </c>
      <c r="C2234" s="1">
        <v>422</v>
      </c>
      <c r="D2234" s="39">
        <v>7496</v>
      </c>
      <c r="E2234" s="1">
        <v>11</v>
      </c>
      <c r="F2234" s="39">
        <f>E2234+F2210</f>
        <v>253</v>
      </c>
      <c r="G2234" s="497"/>
      <c r="H2234" s="497"/>
      <c r="J2234" s="42"/>
    </row>
    <row r="2235" spans="1:10" s="360" customFormat="1" x14ac:dyDescent="0.25">
      <c r="A2235" s="19" t="s">
        <v>28</v>
      </c>
      <c r="B2235" s="2">
        <v>43986</v>
      </c>
      <c r="C2235" s="1">
        <v>0</v>
      </c>
      <c r="D2235" s="39">
        <v>0</v>
      </c>
      <c r="E2235" s="1"/>
      <c r="F2235" s="39">
        <f t="shared" ref="F2235:F2241" si="127">E2235+F2211</f>
        <v>0</v>
      </c>
      <c r="G2235" s="497"/>
      <c r="H2235" s="497"/>
      <c r="J2235" s="42"/>
    </row>
    <row r="2236" spans="1:10" s="360" customFormat="1" x14ac:dyDescent="0.25">
      <c r="A2236" s="19" t="s">
        <v>15</v>
      </c>
      <c r="B2236" s="2">
        <v>43986</v>
      </c>
      <c r="C2236" s="1">
        <v>53</v>
      </c>
      <c r="D2236" s="39">
        <v>979</v>
      </c>
      <c r="E2236" s="1">
        <v>1</v>
      </c>
      <c r="F2236" s="39">
        <f t="shared" si="127"/>
        <v>59</v>
      </c>
      <c r="G2236" s="497"/>
      <c r="H2236" s="497"/>
      <c r="J2236" s="42"/>
    </row>
    <row r="2237" spans="1:10" s="360" customFormat="1" x14ac:dyDescent="0.25">
      <c r="A2237" s="19" t="s">
        <v>29</v>
      </c>
      <c r="B2237" s="2">
        <v>43986</v>
      </c>
      <c r="C2237" s="1">
        <v>0</v>
      </c>
      <c r="D2237" s="39">
        <v>11</v>
      </c>
      <c r="E2237" s="1"/>
      <c r="F2237" s="39">
        <f t="shared" si="127"/>
        <v>1</v>
      </c>
      <c r="G2237" s="497"/>
      <c r="H2237" s="497"/>
      <c r="J2237" s="42"/>
    </row>
    <row r="2238" spans="1:10" s="360" customFormat="1" x14ac:dyDescent="0.25">
      <c r="A2238" s="19" t="s">
        <v>43</v>
      </c>
      <c r="B2238" s="2">
        <v>43986</v>
      </c>
      <c r="C2238" s="1">
        <v>436</v>
      </c>
      <c r="D2238" s="39">
        <v>9754</v>
      </c>
      <c r="E2238" s="1">
        <v>12</v>
      </c>
      <c r="F2238" s="39">
        <f t="shared" si="127"/>
        <v>213</v>
      </c>
      <c r="G2238" s="497"/>
      <c r="H2238" s="497"/>
      <c r="J2238" s="42"/>
    </row>
    <row r="2239" spans="1:10" s="360" customFormat="1" x14ac:dyDescent="0.25">
      <c r="A2239" s="19" t="s">
        <v>20</v>
      </c>
      <c r="B2239" s="2">
        <v>43986</v>
      </c>
      <c r="C2239" s="1">
        <v>2</v>
      </c>
      <c r="D2239" s="39">
        <v>464</v>
      </c>
      <c r="E2239" s="1"/>
      <c r="F2239" s="39">
        <f t="shared" si="127"/>
        <v>29</v>
      </c>
      <c r="G2239" s="497"/>
      <c r="H2239" s="497"/>
      <c r="J2239" s="42"/>
    </row>
    <row r="2240" spans="1:10" s="360" customFormat="1" x14ac:dyDescent="0.25">
      <c r="A2240" s="19" t="s">
        <v>30</v>
      </c>
      <c r="B2240" s="2">
        <v>43986</v>
      </c>
      <c r="C2240" s="1">
        <v>0</v>
      </c>
      <c r="D2240" s="39">
        <v>96</v>
      </c>
      <c r="E2240" s="1"/>
      <c r="F2240" s="39">
        <f t="shared" si="127"/>
        <v>0</v>
      </c>
      <c r="G2240" s="497"/>
      <c r="H2240" s="497"/>
      <c r="J2240" s="42"/>
    </row>
    <row r="2241" spans="1:10" x14ac:dyDescent="0.25">
      <c r="A2241" s="19" t="s">
        <v>31</v>
      </c>
      <c r="B2241" s="2">
        <v>43986</v>
      </c>
      <c r="C2241" s="1">
        <v>0</v>
      </c>
      <c r="D2241" s="39">
        <v>35</v>
      </c>
      <c r="F2241" s="39">
        <f t="shared" si="127"/>
        <v>0</v>
      </c>
    </row>
    <row r="2242" spans="1:10" s="360" customFormat="1" x14ac:dyDescent="0.25">
      <c r="A2242" s="19" t="s">
        <v>41</v>
      </c>
      <c r="B2242" s="2">
        <v>43986</v>
      </c>
      <c r="C2242" s="1">
        <v>0</v>
      </c>
      <c r="D2242" s="39">
        <v>0</v>
      </c>
      <c r="E2242" s="1"/>
      <c r="F2242" s="39">
        <f t="shared" ref="F2242:F2256" si="128">E2242+F2217</f>
        <v>0</v>
      </c>
      <c r="G2242" s="497"/>
      <c r="H2242" s="497"/>
      <c r="J2242" s="42"/>
    </row>
    <row r="2243" spans="1:10" s="360" customFormat="1" x14ac:dyDescent="0.25">
      <c r="A2243" s="19" t="s">
        <v>32</v>
      </c>
      <c r="B2243" s="2">
        <v>43986</v>
      </c>
      <c r="C2243" s="1">
        <v>0</v>
      </c>
      <c r="D2243" s="39">
        <v>6</v>
      </c>
      <c r="E2243" s="1"/>
      <c r="F2243" s="39">
        <f t="shared" si="128"/>
        <v>0</v>
      </c>
      <c r="G2243" s="497"/>
      <c r="H2243" s="497"/>
      <c r="J2243" s="42"/>
    </row>
    <row r="2244" spans="1:10" s="360" customFormat="1" x14ac:dyDescent="0.25">
      <c r="A2244" s="19" t="s">
        <v>33</v>
      </c>
      <c r="B2244" s="2">
        <v>43986</v>
      </c>
      <c r="C2244" s="1">
        <v>0</v>
      </c>
      <c r="D2244" s="39">
        <v>5</v>
      </c>
      <c r="E2244" s="1"/>
      <c r="F2244" s="39">
        <f t="shared" si="128"/>
        <v>0</v>
      </c>
      <c r="G2244" s="497"/>
      <c r="H2244" s="497"/>
      <c r="J2244" s="42"/>
    </row>
    <row r="2245" spans="1:10" s="360" customFormat="1" x14ac:dyDescent="0.25">
      <c r="A2245" s="19" t="s">
        <v>21</v>
      </c>
      <c r="B2245" s="2">
        <v>43986</v>
      </c>
      <c r="C2245" s="1">
        <v>0</v>
      </c>
      <c r="D2245" s="39">
        <v>63</v>
      </c>
      <c r="E2245" s="1"/>
      <c r="F2245" s="39">
        <f t="shared" si="128"/>
        <v>0</v>
      </c>
      <c r="G2245" s="497"/>
      <c r="H2245" s="497"/>
      <c r="J2245" s="42"/>
    </row>
    <row r="2246" spans="1:10" s="360" customFormat="1" x14ac:dyDescent="0.25">
      <c r="A2246" s="19" t="s">
        <v>17</v>
      </c>
      <c r="B2246" s="2">
        <v>43986</v>
      </c>
      <c r="C2246" s="1">
        <v>0</v>
      </c>
      <c r="D2246" s="39">
        <v>100</v>
      </c>
      <c r="E2246" s="1"/>
      <c r="F2246" s="39">
        <f t="shared" si="128"/>
        <v>0</v>
      </c>
      <c r="G2246" s="497"/>
      <c r="H2246" s="497"/>
      <c r="J2246" s="42"/>
    </row>
    <row r="2247" spans="1:10" s="360" customFormat="1" x14ac:dyDescent="0.25">
      <c r="A2247" s="19" t="s">
        <v>23</v>
      </c>
      <c r="B2247" s="2">
        <v>43986</v>
      </c>
      <c r="C2247" s="1">
        <v>2</v>
      </c>
      <c r="D2247" s="39">
        <v>31</v>
      </c>
      <c r="E2247" s="1"/>
      <c r="F2247" s="39">
        <f t="shared" si="128"/>
        <v>0</v>
      </c>
      <c r="G2247" s="497"/>
      <c r="H2247" s="497"/>
      <c r="J2247" s="42"/>
    </row>
    <row r="2248" spans="1:10" s="360" customFormat="1" x14ac:dyDescent="0.25">
      <c r="A2248" s="19" t="s">
        <v>19</v>
      </c>
      <c r="B2248" s="2">
        <v>43986</v>
      </c>
      <c r="C2248" s="1">
        <v>0</v>
      </c>
      <c r="D2248" s="39">
        <v>150</v>
      </c>
      <c r="E2248" s="1"/>
      <c r="F2248" s="39">
        <f t="shared" si="128"/>
        <v>0</v>
      </c>
      <c r="G2248" s="497"/>
      <c r="H2248" s="497"/>
      <c r="J2248" s="42"/>
    </row>
    <row r="2249" spans="1:10" s="360" customFormat="1" x14ac:dyDescent="0.25">
      <c r="A2249" s="19" t="s">
        <v>18</v>
      </c>
      <c r="B2249" s="2">
        <v>43986</v>
      </c>
      <c r="C2249" s="1">
        <v>8</v>
      </c>
      <c r="D2249" s="39">
        <v>434</v>
      </c>
      <c r="E2249" s="1">
        <v>1</v>
      </c>
      <c r="F2249" s="39">
        <f t="shared" si="128"/>
        <v>1</v>
      </c>
      <c r="G2249" s="497"/>
      <c r="H2249" s="497"/>
      <c r="J2249" s="42"/>
    </row>
    <row r="2250" spans="1:10" s="360" customFormat="1" x14ac:dyDescent="0.25">
      <c r="A2250" s="19" t="s">
        <v>34</v>
      </c>
      <c r="B2250" s="2">
        <v>43986</v>
      </c>
      <c r="C2250" s="1">
        <v>0</v>
      </c>
      <c r="D2250" s="39">
        <v>15</v>
      </c>
      <c r="E2250" s="1"/>
      <c r="F2250" s="39">
        <f t="shared" si="128"/>
        <v>1</v>
      </c>
      <c r="G2250" s="497"/>
      <c r="H2250" s="497"/>
      <c r="J2250" s="42"/>
    </row>
    <row r="2251" spans="1:10" s="360" customFormat="1" x14ac:dyDescent="0.25">
      <c r="A2251" s="19" t="s">
        <v>35</v>
      </c>
      <c r="B2251" s="2">
        <v>43986</v>
      </c>
      <c r="C2251" s="1">
        <v>0</v>
      </c>
      <c r="D2251" s="39">
        <v>5</v>
      </c>
      <c r="E2251" s="1"/>
      <c r="F2251" s="39">
        <f>E2251+F2227</f>
        <v>0</v>
      </c>
      <c r="G2251" s="497"/>
      <c r="H2251" s="497"/>
      <c r="J2251" s="42"/>
    </row>
    <row r="2252" spans="1:10" s="360" customFormat="1" x14ac:dyDescent="0.25">
      <c r="A2252" s="19" t="s">
        <v>36</v>
      </c>
      <c r="B2252" s="2">
        <v>43986</v>
      </c>
      <c r="C2252" s="1">
        <v>0</v>
      </c>
      <c r="D2252" s="39">
        <v>11</v>
      </c>
      <c r="E2252" s="1"/>
      <c r="F2252" s="39">
        <f t="shared" si="128"/>
        <v>0</v>
      </c>
      <c r="G2252" s="497"/>
      <c r="H2252" s="497"/>
      <c r="J2252" s="42"/>
    </row>
    <row r="2253" spans="1:10" s="360" customFormat="1" x14ac:dyDescent="0.25">
      <c r="A2253" s="19" t="s">
        <v>37</v>
      </c>
      <c r="B2253" s="2">
        <v>43986</v>
      </c>
      <c r="C2253" s="1">
        <v>0</v>
      </c>
      <c r="D2253" s="39">
        <v>51</v>
      </c>
      <c r="E2253" s="1"/>
      <c r="F2253" s="39">
        <f t="shared" si="128"/>
        <v>0</v>
      </c>
      <c r="G2253" s="497"/>
      <c r="H2253" s="497"/>
      <c r="J2253" s="42"/>
    </row>
    <row r="2254" spans="1:10" s="360" customFormat="1" x14ac:dyDescent="0.25">
      <c r="A2254" s="19" t="s">
        <v>22</v>
      </c>
      <c r="B2254" s="2">
        <v>43986</v>
      </c>
      <c r="C2254" s="1">
        <v>5</v>
      </c>
      <c r="D2254" s="39">
        <v>273</v>
      </c>
      <c r="E2254" s="1"/>
      <c r="F2254" s="39">
        <f>E2254+F2230</f>
        <v>3</v>
      </c>
      <c r="G2254" s="497"/>
      <c r="H2254" s="497"/>
      <c r="J2254" s="42"/>
    </row>
    <row r="2255" spans="1:10" s="360" customFormat="1" x14ac:dyDescent="0.25">
      <c r="A2255" s="19" t="s">
        <v>38</v>
      </c>
      <c r="B2255" s="2">
        <v>43986</v>
      </c>
      <c r="C2255" s="1">
        <v>0</v>
      </c>
      <c r="D2255" s="39">
        <v>22</v>
      </c>
      <c r="E2255" s="1"/>
      <c r="F2255" s="39">
        <f>E2255+F2231</f>
        <v>0</v>
      </c>
      <c r="G2255" s="497"/>
      <c r="H2255" s="497"/>
      <c r="J2255" s="42"/>
    </row>
    <row r="2256" spans="1:10" s="360" customFormat="1" x14ac:dyDescent="0.25">
      <c r="A2256" s="19" t="s">
        <v>39</v>
      </c>
      <c r="B2256" s="2">
        <v>43986</v>
      </c>
      <c r="C2256" s="1">
        <v>0</v>
      </c>
      <c r="D2256" s="39">
        <v>149</v>
      </c>
      <c r="E2256" s="1"/>
      <c r="F2256" s="39">
        <f t="shared" si="128"/>
        <v>0</v>
      </c>
      <c r="G2256" s="497"/>
      <c r="H2256" s="497"/>
      <c r="J2256" s="42"/>
    </row>
    <row r="2257" spans="1:10" s="360" customFormat="1" x14ac:dyDescent="0.25">
      <c r="A2257" s="19" t="s">
        <v>40</v>
      </c>
      <c r="B2257" s="2">
        <v>43986</v>
      </c>
      <c r="C2257" s="1">
        <v>1</v>
      </c>
      <c r="D2257" s="39">
        <v>49</v>
      </c>
      <c r="E2257" s="1"/>
      <c r="F2257" s="39">
        <f>E2257+F2233</f>
        <v>3</v>
      </c>
      <c r="G2257" s="497"/>
      <c r="H2257" s="497"/>
      <c r="J2257" s="42"/>
    </row>
    <row r="2258" spans="1:10" s="360" customFormat="1" x14ac:dyDescent="0.25">
      <c r="A2258" s="361" t="s">
        <v>16</v>
      </c>
      <c r="B2258" s="2">
        <v>43987</v>
      </c>
      <c r="C2258" s="1">
        <v>371</v>
      </c>
      <c r="D2258" s="39">
        <v>7867</v>
      </c>
      <c r="E2258" s="1">
        <v>8</v>
      </c>
      <c r="F2258" s="39">
        <f>E2258+F2234</f>
        <v>261</v>
      </c>
      <c r="G2258" s="497"/>
      <c r="H2258" s="497"/>
      <c r="J2258" s="42"/>
    </row>
    <row r="2259" spans="1:10" s="360" customFormat="1" x14ac:dyDescent="0.25">
      <c r="A2259" s="19" t="s">
        <v>28</v>
      </c>
      <c r="B2259" s="2">
        <v>43987</v>
      </c>
      <c r="C2259" s="1">
        <v>0</v>
      </c>
      <c r="D2259" s="39">
        <v>0</v>
      </c>
      <c r="E2259" s="1"/>
      <c r="F2259" s="39">
        <f t="shared" ref="F2259:F2265" si="129">E2259+F2235</f>
        <v>0</v>
      </c>
      <c r="G2259" s="497"/>
      <c r="H2259" s="497"/>
      <c r="J2259" s="42"/>
    </row>
    <row r="2260" spans="1:10" s="360" customFormat="1" x14ac:dyDescent="0.25">
      <c r="A2260" s="19" t="s">
        <v>15</v>
      </c>
      <c r="B2260" s="2">
        <v>43987</v>
      </c>
      <c r="C2260" s="1">
        <v>29</v>
      </c>
      <c r="D2260" s="39">
        <v>1008</v>
      </c>
      <c r="E2260" s="1">
        <v>1</v>
      </c>
      <c r="F2260" s="39">
        <f t="shared" si="129"/>
        <v>60</v>
      </c>
      <c r="G2260" s="497"/>
      <c r="H2260" s="497"/>
      <c r="J2260" s="42"/>
    </row>
    <row r="2261" spans="1:10" s="360" customFormat="1" x14ac:dyDescent="0.25">
      <c r="A2261" s="19" t="s">
        <v>29</v>
      </c>
      <c r="B2261" s="2">
        <v>43987</v>
      </c>
      <c r="C2261" s="1">
        <v>3</v>
      </c>
      <c r="D2261" s="39">
        <v>14</v>
      </c>
      <c r="E2261" s="1"/>
      <c r="F2261" s="39">
        <f t="shared" si="129"/>
        <v>1</v>
      </c>
      <c r="G2261" s="497"/>
      <c r="H2261" s="497"/>
      <c r="J2261" s="42"/>
    </row>
    <row r="2262" spans="1:10" s="360" customFormat="1" x14ac:dyDescent="0.25">
      <c r="A2262" s="19" t="s">
        <v>43</v>
      </c>
      <c r="B2262" s="2">
        <v>43987</v>
      </c>
      <c r="C2262" s="1">
        <v>420</v>
      </c>
      <c r="D2262" s="39">
        <v>10174</v>
      </c>
      <c r="E2262" s="1">
        <v>15</v>
      </c>
      <c r="F2262" s="39">
        <f t="shared" si="129"/>
        <v>228</v>
      </c>
      <c r="G2262" s="497"/>
      <c r="H2262" s="497"/>
      <c r="J2262" s="42"/>
    </row>
    <row r="2263" spans="1:10" s="360" customFormat="1" x14ac:dyDescent="0.25">
      <c r="A2263" s="19" t="s">
        <v>20</v>
      </c>
      <c r="B2263" s="2">
        <v>43987</v>
      </c>
      <c r="C2263" s="1">
        <v>2</v>
      </c>
      <c r="D2263" s="39">
        <v>466</v>
      </c>
      <c r="E2263" s="1"/>
      <c r="F2263" s="39">
        <f t="shared" si="129"/>
        <v>29</v>
      </c>
      <c r="G2263" s="497"/>
      <c r="H2263" s="497"/>
      <c r="J2263" s="42"/>
    </row>
    <row r="2264" spans="1:10" s="360" customFormat="1" x14ac:dyDescent="0.25">
      <c r="A2264" s="19" t="s">
        <v>30</v>
      </c>
      <c r="B2264" s="2">
        <v>43987</v>
      </c>
      <c r="C2264" s="1">
        <v>0</v>
      </c>
      <c r="D2264" s="39">
        <v>96</v>
      </c>
      <c r="E2264" s="1"/>
      <c r="F2264" s="39">
        <f t="shared" si="129"/>
        <v>0</v>
      </c>
      <c r="G2264" s="497"/>
      <c r="H2264" s="497"/>
      <c r="J2264" s="42"/>
    </row>
    <row r="2265" spans="1:10" x14ac:dyDescent="0.25">
      <c r="A2265" s="19" t="s">
        <v>31</v>
      </c>
      <c r="B2265" s="2">
        <v>43987</v>
      </c>
      <c r="C2265" s="1">
        <v>4</v>
      </c>
      <c r="D2265" s="39">
        <v>39</v>
      </c>
      <c r="F2265" s="39">
        <f t="shared" si="129"/>
        <v>0</v>
      </c>
    </row>
    <row r="2266" spans="1:10" s="360" customFormat="1" x14ac:dyDescent="0.25">
      <c r="A2266" s="19" t="s">
        <v>41</v>
      </c>
      <c r="B2266" s="2">
        <v>43987</v>
      </c>
      <c r="C2266" s="1">
        <v>0</v>
      </c>
      <c r="D2266" s="39">
        <v>0</v>
      </c>
      <c r="E2266" s="1"/>
      <c r="F2266" s="39">
        <f t="shared" ref="F2266:F2280" si="130">E2266+F2241</f>
        <v>0</v>
      </c>
      <c r="G2266" s="497"/>
      <c r="H2266" s="497"/>
      <c r="J2266" s="42"/>
    </row>
    <row r="2267" spans="1:10" s="360" customFormat="1" x14ac:dyDescent="0.25">
      <c r="A2267" s="19" t="s">
        <v>32</v>
      </c>
      <c r="B2267" s="2">
        <v>43987</v>
      </c>
      <c r="C2267" s="1">
        <v>0</v>
      </c>
      <c r="D2267" s="39">
        <v>6</v>
      </c>
      <c r="E2267" s="1"/>
      <c r="F2267" s="39">
        <f t="shared" si="130"/>
        <v>0</v>
      </c>
      <c r="G2267" s="497"/>
      <c r="H2267" s="497"/>
      <c r="J2267" s="42"/>
    </row>
    <row r="2268" spans="1:10" s="360" customFormat="1" x14ac:dyDescent="0.25">
      <c r="A2268" s="19" t="s">
        <v>33</v>
      </c>
      <c r="B2268" s="2">
        <v>43987</v>
      </c>
      <c r="C2268" s="1">
        <v>0</v>
      </c>
      <c r="D2268" s="39">
        <v>5</v>
      </c>
      <c r="E2268" s="1"/>
      <c r="F2268" s="39">
        <f t="shared" si="130"/>
        <v>0</v>
      </c>
      <c r="G2268" s="497"/>
      <c r="H2268" s="497"/>
      <c r="J2268" s="42"/>
    </row>
    <row r="2269" spans="1:10" s="360" customFormat="1" x14ac:dyDescent="0.25">
      <c r="A2269" s="19" t="s">
        <v>21</v>
      </c>
      <c r="B2269" s="2">
        <v>43987</v>
      </c>
      <c r="C2269" s="1">
        <v>0</v>
      </c>
      <c r="D2269" s="39">
        <v>63</v>
      </c>
      <c r="E2269" s="1"/>
      <c r="F2269" s="39">
        <f t="shared" si="130"/>
        <v>0</v>
      </c>
      <c r="G2269" s="497"/>
      <c r="H2269" s="497"/>
      <c r="J2269" s="42"/>
    </row>
    <row r="2270" spans="1:10" s="360" customFormat="1" x14ac:dyDescent="0.25">
      <c r="A2270" s="19" t="s">
        <v>17</v>
      </c>
      <c r="B2270" s="2">
        <v>43987</v>
      </c>
      <c r="C2270" s="264">
        <v>1</v>
      </c>
      <c r="D2270" s="39">
        <v>101</v>
      </c>
      <c r="E2270" s="1"/>
      <c r="F2270" s="39">
        <f t="shared" si="130"/>
        <v>0</v>
      </c>
      <c r="G2270" s="497"/>
      <c r="H2270" s="497"/>
      <c r="J2270" s="42"/>
    </row>
    <row r="2271" spans="1:10" s="360" customFormat="1" x14ac:dyDescent="0.25">
      <c r="A2271" s="19" t="s">
        <v>23</v>
      </c>
      <c r="B2271" s="2">
        <v>43987</v>
      </c>
      <c r="C2271" s="1">
        <v>0</v>
      </c>
      <c r="D2271" s="39">
        <v>31</v>
      </c>
      <c r="E2271" s="1"/>
      <c r="F2271" s="39">
        <f t="shared" si="130"/>
        <v>0</v>
      </c>
      <c r="G2271" s="497"/>
      <c r="H2271" s="497"/>
      <c r="J2271" s="42"/>
    </row>
    <row r="2272" spans="1:10" s="360" customFormat="1" x14ac:dyDescent="0.25">
      <c r="A2272" s="19" t="s">
        <v>19</v>
      </c>
      <c r="B2272" s="2">
        <v>43987</v>
      </c>
      <c r="C2272" s="1">
        <v>1</v>
      </c>
      <c r="D2272" s="39">
        <v>151</v>
      </c>
      <c r="E2272" s="1"/>
      <c r="F2272" s="39">
        <f t="shared" si="130"/>
        <v>0</v>
      </c>
      <c r="G2272" s="497"/>
      <c r="H2272" s="497"/>
      <c r="J2272" s="42"/>
    </row>
    <row r="2273" spans="1:10" s="360" customFormat="1" x14ac:dyDescent="0.25">
      <c r="A2273" s="19" t="s">
        <v>18</v>
      </c>
      <c r="B2273" s="2">
        <v>43987</v>
      </c>
      <c r="C2273" s="1">
        <v>8</v>
      </c>
      <c r="D2273" s="39">
        <v>442</v>
      </c>
      <c r="E2273" s="1"/>
      <c r="F2273" s="39">
        <f t="shared" si="130"/>
        <v>0</v>
      </c>
      <c r="G2273" s="497"/>
      <c r="H2273" s="497"/>
      <c r="J2273" s="42"/>
    </row>
    <row r="2274" spans="1:10" s="360" customFormat="1" x14ac:dyDescent="0.25">
      <c r="A2274" s="19" t="s">
        <v>34</v>
      </c>
      <c r="B2274" s="2">
        <v>43987</v>
      </c>
      <c r="C2274" s="1">
        <v>0</v>
      </c>
      <c r="D2274" s="39">
        <v>15</v>
      </c>
      <c r="E2274" s="1"/>
      <c r="F2274" s="39">
        <f t="shared" si="130"/>
        <v>1</v>
      </c>
      <c r="G2274" s="497"/>
      <c r="H2274" s="497"/>
      <c r="J2274" s="42"/>
    </row>
    <row r="2275" spans="1:10" s="360" customFormat="1" x14ac:dyDescent="0.25">
      <c r="A2275" s="19" t="s">
        <v>35</v>
      </c>
      <c r="B2275" s="2">
        <v>43987</v>
      </c>
      <c r="C2275" s="1">
        <v>0</v>
      </c>
      <c r="D2275" s="39">
        <v>5</v>
      </c>
      <c r="E2275" s="1"/>
      <c r="F2275" s="39">
        <f>E2275+F2251</f>
        <v>0</v>
      </c>
      <c r="G2275" s="497"/>
      <c r="H2275" s="497"/>
      <c r="J2275" s="42"/>
    </row>
    <row r="2276" spans="1:10" s="360" customFormat="1" x14ac:dyDescent="0.25">
      <c r="A2276" s="19" t="s">
        <v>36</v>
      </c>
      <c r="B2276" s="2">
        <v>43987</v>
      </c>
      <c r="C2276" s="1">
        <v>0</v>
      </c>
      <c r="D2276" s="39">
        <v>11</v>
      </c>
      <c r="E2276" s="1"/>
      <c r="F2276" s="39">
        <f t="shared" si="130"/>
        <v>0</v>
      </c>
      <c r="G2276" s="497"/>
      <c r="H2276" s="497"/>
      <c r="J2276" s="42"/>
    </row>
    <row r="2277" spans="1:10" s="360" customFormat="1" x14ac:dyDescent="0.25">
      <c r="A2277" s="19" t="s">
        <v>37</v>
      </c>
      <c r="B2277" s="2">
        <v>43987</v>
      </c>
      <c r="C2277" s="1">
        <v>0</v>
      </c>
      <c r="D2277" s="39">
        <v>51</v>
      </c>
      <c r="E2277" s="1"/>
      <c r="F2277" s="39">
        <f t="shared" si="130"/>
        <v>0</v>
      </c>
      <c r="G2277" s="497"/>
      <c r="H2277" s="497"/>
      <c r="J2277" s="42"/>
    </row>
    <row r="2278" spans="1:10" s="360" customFormat="1" x14ac:dyDescent="0.25">
      <c r="A2278" s="19" t="s">
        <v>22</v>
      </c>
      <c r="B2278" s="2">
        <v>43987</v>
      </c>
      <c r="C2278" s="1">
        <v>1</v>
      </c>
      <c r="D2278" s="39">
        <v>274</v>
      </c>
      <c r="E2278" s="1"/>
      <c r="F2278" s="39">
        <f>E2278+F2254</f>
        <v>3</v>
      </c>
      <c r="G2278" s="497"/>
      <c r="H2278" s="497"/>
      <c r="J2278" s="42"/>
    </row>
    <row r="2279" spans="1:10" s="360" customFormat="1" x14ac:dyDescent="0.25">
      <c r="A2279" s="19" t="s">
        <v>38</v>
      </c>
      <c r="B2279" s="2">
        <v>43987</v>
      </c>
      <c r="C2279" s="1">
        <v>0</v>
      </c>
      <c r="D2279" s="39">
        <v>22</v>
      </c>
      <c r="E2279" s="1"/>
      <c r="F2279" s="39">
        <f>E2279+F2255</f>
        <v>0</v>
      </c>
      <c r="G2279" s="497"/>
      <c r="H2279" s="497"/>
      <c r="J2279" s="42"/>
    </row>
    <row r="2280" spans="1:10" s="360" customFormat="1" x14ac:dyDescent="0.25">
      <c r="A2280" s="19" t="s">
        <v>39</v>
      </c>
      <c r="B2280" s="2">
        <v>43987</v>
      </c>
      <c r="C2280" s="1">
        <v>0</v>
      </c>
      <c r="D2280" s="39">
        <v>149</v>
      </c>
      <c r="E2280" s="1"/>
      <c r="F2280" s="39">
        <f t="shared" si="130"/>
        <v>0</v>
      </c>
      <c r="G2280" s="497"/>
      <c r="H2280" s="497"/>
      <c r="J2280" s="42"/>
    </row>
    <row r="2281" spans="1:10" s="360" customFormat="1" x14ac:dyDescent="0.25">
      <c r="A2281" s="19" t="s">
        <v>40</v>
      </c>
      <c r="B2281" s="2">
        <v>43987</v>
      </c>
      <c r="C2281" s="1">
        <v>0</v>
      </c>
      <c r="D2281" s="39">
        <v>49</v>
      </c>
      <c r="E2281" s="1"/>
      <c r="F2281" s="39">
        <f>E2281+F2257</f>
        <v>3</v>
      </c>
      <c r="G2281" s="497"/>
      <c r="H2281" s="497"/>
      <c r="J2281" s="42"/>
    </row>
    <row r="2282" spans="1:10" s="360" customFormat="1" x14ac:dyDescent="0.25">
      <c r="A2282" s="361" t="s">
        <v>16</v>
      </c>
      <c r="B2282" s="2">
        <v>43988</v>
      </c>
      <c r="C2282" s="1">
        <v>457</v>
      </c>
      <c r="D2282" s="39">
        <v>8324</v>
      </c>
      <c r="E2282" s="1">
        <v>2</v>
      </c>
      <c r="F2282" s="39">
        <f>E2282+F2258</f>
        <v>263</v>
      </c>
      <c r="G2282" s="497"/>
      <c r="H2282" s="497"/>
      <c r="J2282" s="42"/>
    </row>
    <row r="2283" spans="1:10" s="360" customFormat="1" x14ac:dyDescent="0.25">
      <c r="A2283" s="19" t="s">
        <v>28</v>
      </c>
      <c r="B2283" s="2">
        <v>43988</v>
      </c>
      <c r="C2283" s="1">
        <v>0</v>
      </c>
      <c r="D2283" s="39">
        <v>0</v>
      </c>
      <c r="E2283" s="1"/>
      <c r="F2283" s="39">
        <f t="shared" ref="F2283:F2289" si="131">E2283+F2259</f>
        <v>0</v>
      </c>
      <c r="G2283" s="497"/>
      <c r="H2283" s="497"/>
      <c r="J2283" s="42"/>
    </row>
    <row r="2284" spans="1:10" s="360" customFormat="1" x14ac:dyDescent="0.25">
      <c r="A2284" s="19" t="s">
        <v>15</v>
      </c>
      <c r="B2284" s="2">
        <v>43988</v>
      </c>
      <c r="C2284" s="1">
        <v>19</v>
      </c>
      <c r="D2284" s="39">
        <v>1027</v>
      </c>
      <c r="E2284" s="1"/>
      <c r="F2284" s="39">
        <f t="shared" si="131"/>
        <v>60</v>
      </c>
      <c r="G2284" s="497"/>
      <c r="H2284" s="497"/>
      <c r="J2284" s="42"/>
    </row>
    <row r="2285" spans="1:10" s="360" customFormat="1" x14ac:dyDescent="0.25">
      <c r="A2285" s="19" t="s">
        <v>29</v>
      </c>
      <c r="B2285" s="2">
        <v>43988</v>
      </c>
      <c r="C2285" s="1">
        <v>1</v>
      </c>
      <c r="D2285" s="39">
        <v>15</v>
      </c>
      <c r="E2285" s="1"/>
      <c r="F2285" s="39">
        <f t="shared" si="131"/>
        <v>1</v>
      </c>
      <c r="G2285" s="497"/>
      <c r="H2285" s="497"/>
      <c r="J2285" s="42"/>
    </row>
    <row r="2286" spans="1:10" s="360" customFormat="1" x14ac:dyDescent="0.25">
      <c r="A2286" s="19" t="s">
        <v>43</v>
      </c>
      <c r="B2286" s="2">
        <v>43988</v>
      </c>
      <c r="C2286" s="1">
        <v>474</v>
      </c>
      <c r="D2286" s="39">
        <v>10648</v>
      </c>
      <c r="E2286" s="1">
        <v>13</v>
      </c>
      <c r="F2286" s="39">
        <f t="shared" si="131"/>
        <v>241</v>
      </c>
      <c r="G2286" s="497"/>
      <c r="H2286" s="497"/>
      <c r="J2286" s="42"/>
    </row>
    <row r="2287" spans="1:10" s="360" customFormat="1" x14ac:dyDescent="0.25">
      <c r="A2287" s="19" t="s">
        <v>20</v>
      </c>
      <c r="B2287" s="2">
        <v>43988</v>
      </c>
      <c r="C2287" s="1">
        <v>0</v>
      </c>
      <c r="D2287" s="39">
        <v>466</v>
      </c>
      <c r="E2287" s="1">
        <v>1</v>
      </c>
      <c r="F2287" s="39">
        <f t="shared" si="131"/>
        <v>30</v>
      </c>
      <c r="G2287" s="497"/>
      <c r="H2287" s="497"/>
      <c r="J2287" s="42"/>
    </row>
    <row r="2288" spans="1:10" s="360" customFormat="1" x14ac:dyDescent="0.25">
      <c r="A2288" s="19" t="s">
        <v>30</v>
      </c>
      <c r="B2288" s="2">
        <v>43988</v>
      </c>
      <c r="C2288" s="1">
        <v>0</v>
      </c>
      <c r="D2288" s="39">
        <v>96</v>
      </c>
      <c r="E2288" s="1"/>
      <c r="F2288" s="39">
        <f t="shared" si="131"/>
        <v>0</v>
      </c>
      <c r="G2288" s="497"/>
      <c r="H2288" s="497"/>
      <c r="J2288" s="42"/>
    </row>
    <row r="2289" spans="1:10" x14ac:dyDescent="0.25">
      <c r="A2289" s="19" t="s">
        <v>31</v>
      </c>
      <c r="B2289" s="2">
        <v>43988</v>
      </c>
      <c r="C2289" s="1">
        <v>10</v>
      </c>
      <c r="D2289" s="39">
        <v>49</v>
      </c>
      <c r="F2289" s="39">
        <f t="shared" si="131"/>
        <v>0</v>
      </c>
    </row>
    <row r="2290" spans="1:10" s="360" customFormat="1" x14ac:dyDescent="0.25">
      <c r="A2290" s="19" t="s">
        <v>41</v>
      </c>
      <c r="B2290" s="2">
        <v>43988</v>
      </c>
      <c r="C2290" s="1">
        <v>0</v>
      </c>
      <c r="D2290" s="39">
        <v>0</v>
      </c>
      <c r="E2290" s="1"/>
      <c r="F2290" s="39">
        <f t="shared" ref="F2290:F2304" si="132">E2290+F2265</f>
        <v>0</v>
      </c>
      <c r="G2290" s="497"/>
      <c r="H2290" s="497"/>
      <c r="J2290" s="42"/>
    </row>
    <row r="2291" spans="1:10" s="360" customFormat="1" x14ac:dyDescent="0.25">
      <c r="A2291" s="19" t="s">
        <v>32</v>
      </c>
      <c r="B2291" s="2">
        <v>43988</v>
      </c>
      <c r="C2291" s="1">
        <v>0</v>
      </c>
      <c r="D2291" s="39">
        <v>6</v>
      </c>
      <c r="E2291" s="1"/>
      <c r="F2291" s="39">
        <f t="shared" si="132"/>
        <v>0</v>
      </c>
      <c r="G2291" s="497"/>
      <c r="H2291" s="497"/>
      <c r="J2291" s="42"/>
    </row>
    <row r="2292" spans="1:10" s="360" customFormat="1" x14ac:dyDescent="0.25">
      <c r="A2292" s="19" t="s">
        <v>33</v>
      </c>
      <c r="B2292" s="2">
        <v>43988</v>
      </c>
      <c r="C2292" s="1">
        <v>0</v>
      </c>
      <c r="D2292" s="39">
        <v>5</v>
      </c>
      <c r="E2292" s="1"/>
      <c r="F2292" s="39">
        <f t="shared" si="132"/>
        <v>0</v>
      </c>
      <c r="G2292" s="497"/>
      <c r="H2292" s="497"/>
      <c r="J2292" s="42"/>
    </row>
    <row r="2293" spans="1:10" s="360" customFormat="1" x14ac:dyDescent="0.25">
      <c r="A2293" s="19" t="s">
        <v>21</v>
      </c>
      <c r="B2293" s="2">
        <v>43988</v>
      </c>
      <c r="C2293" s="1">
        <v>0</v>
      </c>
      <c r="D2293" s="39">
        <v>63</v>
      </c>
      <c r="E2293" s="1"/>
      <c r="F2293" s="39">
        <f t="shared" si="132"/>
        <v>0</v>
      </c>
      <c r="G2293" s="497"/>
      <c r="H2293" s="497"/>
      <c r="J2293" s="42"/>
    </row>
    <row r="2294" spans="1:10" s="360" customFormat="1" x14ac:dyDescent="0.25">
      <c r="A2294" s="19" t="s">
        <v>17</v>
      </c>
      <c r="B2294" s="2">
        <v>43988</v>
      </c>
      <c r="C2294" s="264">
        <v>0</v>
      </c>
      <c r="D2294" s="39">
        <v>101</v>
      </c>
      <c r="E2294" s="1"/>
      <c r="F2294" s="39">
        <f t="shared" si="132"/>
        <v>0</v>
      </c>
      <c r="G2294" s="497"/>
      <c r="H2294" s="497"/>
      <c r="J2294" s="42"/>
    </row>
    <row r="2295" spans="1:10" s="360" customFormat="1" x14ac:dyDescent="0.25">
      <c r="A2295" s="19" t="s">
        <v>23</v>
      </c>
      <c r="B2295" s="2">
        <v>43988</v>
      </c>
      <c r="C2295" s="1">
        <v>4</v>
      </c>
      <c r="D2295" s="39">
        <v>35</v>
      </c>
      <c r="E2295" s="1"/>
      <c r="F2295" s="39">
        <f t="shared" si="132"/>
        <v>0</v>
      </c>
      <c r="G2295" s="497"/>
      <c r="H2295" s="497"/>
      <c r="J2295" s="42"/>
    </row>
    <row r="2296" spans="1:10" s="360" customFormat="1" x14ac:dyDescent="0.25">
      <c r="A2296" s="19" t="s">
        <v>19</v>
      </c>
      <c r="B2296" s="2">
        <v>43988</v>
      </c>
      <c r="C2296" s="1">
        <v>1</v>
      </c>
      <c r="D2296" s="39">
        <v>152</v>
      </c>
      <c r="E2296" s="1"/>
      <c r="F2296" s="39">
        <f t="shared" si="132"/>
        <v>0</v>
      </c>
      <c r="G2296" s="497"/>
      <c r="H2296" s="497"/>
      <c r="J2296" s="42"/>
    </row>
    <row r="2297" spans="1:10" s="360" customFormat="1" x14ac:dyDescent="0.25">
      <c r="A2297" s="19" t="s">
        <v>18</v>
      </c>
      <c r="B2297" s="2">
        <v>43988</v>
      </c>
      <c r="C2297" s="1">
        <v>15</v>
      </c>
      <c r="D2297" s="39">
        <v>457</v>
      </c>
      <c r="E2297" s="1"/>
      <c r="F2297" s="39">
        <f t="shared" si="132"/>
        <v>0</v>
      </c>
      <c r="G2297" s="497"/>
      <c r="H2297" s="497"/>
      <c r="J2297" s="42"/>
    </row>
    <row r="2298" spans="1:10" s="360" customFormat="1" x14ac:dyDescent="0.25">
      <c r="A2298" s="19" t="s">
        <v>34</v>
      </c>
      <c r="B2298" s="2">
        <v>43988</v>
      </c>
      <c r="C2298" s="1">
        <v>0</v>
      </c>
      <c r="D2298" s="39">
        <v>15</v>
      </c>
      <c r="E2298" s="1"/>
      <c r="F2298" s="39">
        <f t="shared" si="132"/>
        <v>0</v>
      </c>
      <c r="G2298" s="497"/>
      <c r="H2298" s="497"/>
      <c r="J2298" s="42"/>
    </row>
    <row r="2299" spans="1:10" s="360" customFormat="1" x14ac:dyDescent="0.25">
      <c r="A2299" s="19" t="s">
        <v>35</v>
      </c>
      <c r="B2299" s="2">
        <v>43988</v>
      </c>
      <c r="C2299" s="1">
        <v>0</v>
      </c>
      <c r="D2299" s="39">
        <v>5</v>
      </c>
      <c r="E2299" s="1"/>
      <c r="F2299" s="39">
        <f>E2299+F2275</f>
        <v>0</v>
      </c>
      <c r="G2299" s="497"/>
      <c r="H2299" s="497"/>
      <c r="J2299" s="42"/>
    </row>
    <row r="2300" spans="1:10" s="360" customFormat="1" x14ac:dyDescent="0.25">
      <c r="A2300" s="19" t="s">
        <v>36</v>
      </c>
      <c r="B2300" s="2">
        <v>43988</v>
      </c>
      <c r="C2300" s="1">
        <v>0</v>
      </c>
      <c r="D2300" s="39">
        <v>11</v>
      </c>
      <c r="E2300" s="1"/>
      <c r="F2300" s="39">
        <f t="shared" si="132"/>
        <v>0</v>
      </c>
      <c r="G2300" s="497"/>
      <c r="H2300" s="497"/>
      <c r="J2300" s="42"/>
    </row>
    <row r="2301" spans="1:10" s="360" customFormat="1" x14ac:dyDescent="0.25">
      <c r="A2301" s="19" t="s">
        <v>37</v>
      </c>
      <c r="B2301" s="2">
        <v>43988</v>
      </c>
      <c r="C2301" s="1">
        <v>0</v>
      </c>
      <c r="D2301" s="39">
        <v>51</v>
      </c>
      <c r="E2301" s="1"/>
      <c r="F2301" s="39">
        <f t="shared" si="132"/>
        <v>0</v>
      </c>
      <c r="G2301" s="497"/>
      <c r="H2301" s="497"/>
      <c r="J2301" s="42"/>
    </row>
    <row r="2302" spans="1:10" s="360" customFormat="1" x14ac:dyDescent="0.25">
      <c r="A2302" s="19" t="s">
        <v>22</v>
      </c>
      <c r="B2302" s="2">
        <v>43988</v>
      </c>
      <c r="C2302" s="1">
        <v>2</v>
      </c>
      <c r="D2302" s="39">
        <v>276</v>
      </c>
      <c r="E2302" s="1"/>
      <c r="F2302" s="39">
        <f>E2302+F2278</f>
        <v>3</v>
      </c>
      <c r="G2302" s="497"/>
      <c r="H2302" s="497"/>
      <c r="J2302" s="42"/>
    </row>
    <row r="2303" spans="1:10" s="360" customFormat="1" x14ac:dyDescent="0.25">
      <c r="A2303" s="19" t="s">
        <v>38</v>
      </c>
      <c r="B2303" s="2">
        <v>43988</v>
      </c>
      <c r="C2303" s="1">
        <v>0</v>
      </c>
      <c r="D2303" s="39">
        <v>22</v>
      </c>
      <c r="E2303" s="1"/>
      <c r="F2303" s="39">
        <f>E2303+F2279</f>
        <v>0</v>
      </c>
      <c r="G2303" s="497"/>
      <c r="H2303" s="497"/>
      <c r="J2303" s="42"/>
    </row>
    <row r="2304" spans="1:10" s="360" customFormat="1" x14ac:dyDescent="0.25">
      <c r="A2304" s="19" t="s">
        <v>39</v>
      </c>
      <c r="B2304" s="2">
        <v>43988</v>
      </c>
      <c r="C2304" s="1">
        <v>0</v>
      </c>
      <c r="D2304" s="39">
        <v>149</v>
      </c>
      <c r="E2304" s="1"/>
      <c r="F2304" s="39">
        <f t="shared" si="132"/>
        <v>0</v>
      </c>
      <c r="G2304" s="497"/>
      <c r="H2304" s="497"/>
      <c r="J2304" s="42"/>
    </row>
    <row r="2305" spans="1:10" s="360" customFormat="1" x14ac:dyDescent="0.25">
      <c r="A2305" s="19" t="s">
        <v>40</v>
      </c>
      <c r="B2305" s="2">
        <v>43988</v>
      </c>
      <c r="C2305" s="1">
        <v>0</v>
      </c>
      <c r="D2305" s="39">
        <v>49</v>
      </c>
      <c r="E2305" s="1"/>
      <c r="F2305" s="39">
        <f>E2305+F2281</f>
        <v>3</v>
      </c>
      <c r="G2305" s="497"/>
      <c r="H2305" s="497"/>
      <c r="J2305" s="42"/>
    </row>
    <row r="2306" spans="1:10" s="360" customFormat="1" x14ac:dyDescent="0.25">
      <c r="A2306" s="361" t="s">
        <v>16</v>
      </c>
      <c r="B2306" s="2">
        <v>43989</v>
      </c>
      <c r="C2306" s="1">
        <v>375</v>
      </c>
      <c r="D2306" s="39">
        <v>8699</v>
      </c>
      <c r="E2306" s="1">
        <v>9</v>
      </c>
      <c r="F2306" s="39">
        <f>E2306+F2282</f>
        <v>272</v>
      </c>
      <c r="G2306" s="497"/>
      <c r="H2306" s="497"/>
      <c r="J2306" s="42"/>
    </row>
    <row r="2307" spans="1:10" s="360" customFormat="1" x14ac:dyDescent="0.25">
      <c r="A2307" s="19" t="s">
        <v>28</v>
      </c>
      <c r="B2307" s="2">
        <v>43989</v>
      </c>
      <c r="C2307" s="1">
        <v>0</v>
      </c>
      <c r="D2307" s="39">
        <v>0</v>
      </c>
      <c r="E2307" s="1"/>
      <c r="F2307" s="39">
        <f t="shared" ref="F2307:F2313" si="133">E2307+F2283</f>
        <v>0</v>
      </c>
      <c r="G2307" s="497"/>
      <c r="H2307" s="497"/>
      <c r="J2307" s="42"/>
    </row>
    <row r="2308" spans="1:10" s="360" customFormat="1" x14ac:dyDescent="0.25">
      <c r="A2308" s="19" t="s">
        <v>15</v>
      </c>
      <c r="B2308" s="2">
        <v>43989</v>
      </c>
      <c r="C2308" s="1">
        <v>18</v>
      </c>
      <c r="D2308" s="39">
        <v>1045</v>
      </c>
      <c r="E2308" s="1">
        <v>1</v>
      </c>
      <c r="F2308" s="39">
        <f t="shared" si="133"/>
        <v>61</v>
      </c>
      <c r="G2308" s="497"/>
      <c r="H2308" s="497"/>
      <c r="J2308" s="42"/>
    </row>
    <row r="2309" spans="1:10" s="360" customFormat="1" x14ac:dyDescent="0.25">
      <c r="A2309" s="19" t="s">
        <v>29</v>
      </c>
      <c r="B2309" s="2">
        <v>43989</v>
      </c>
      <c r="C2309" s="1">
        <v>5</v>
      </c>
      <c r="D2309" s="39">
        <v>20</v>
      </c>
      <c r="E2309" s="1"/>
      <c r="F2309" s="39">
        <f t="shared" si="133"/>
        <v>1</v>
      </c>
      <c r="G2309" s="497"/>
      <c r="H2309" s="497"/>
      <c r="J2309" s="42"/>
    </row>
    <row r="2310" spans="1:10" s="360" customFormat="1" x14ac:dyDescent="0.25">
      <c r="A2310" s="19" t="s">
        <v>43</v>
      </c>
      <c r="B2310" s="2">
        <v>43989</v>
      </c>
      <c r="C2310" s="1">
        <v>359</v>
      </c>
      <c r="D2310" s="39">
        <v>11007</v>
      </c>
      <c r="E2310" s="1">
        <v>4</v>
      </c>
      <c r="F2310" s="39">
        <f t="shared" si="133"/>
        <v>245</v>
      </c>
      <c r="G2310" s="497"/>
      <c r="H2310" s="497"/>
      <c r="J2310" s="42"/>
    </row>
    <row r="2311" spans="1:10" s="360" customFormat="1" x14ac:dyDescent="0.25">
      <c r="A2311" s="19" t="s">
        <v>20</v>
      </c>
      <c r="B2311" s="2">
        <v>43989</v>
      </c>
      <c r="C2311" s="1">
        <v>0</v>
      </c>
      <c r="D2311" s="39">
        <v>466</v>
      </c>
      <c r="E2311" s="1"/>
      <c r="F2311" s="39">
        <f t="shared" si="133"/>
        <v>30</v>
      </c>
      <c r="G2311" s="497"/>
      <c r="H2311" s="497"/>
      <c r="J2311" s="42"/>
    </row>
    <row r="2312" spans="1:10" s="360" customFormat="1" x14ac:dyDescent="0.25">
      <c r="A2312" s="19" t="s">
        <v>30</v>
      </c>
      <c r="B2312" s="2">
        <v>43989</v>
      </c>
      <c r="C2312" s="1">
        <v>0</v>
      </c>
      <c r="D2312" s="39">
        <v>96</v>
      </c>
      <c r="E2312" s="1"/>
      <c r="F2312" s="39">
        <f t="shared" si="133"/>
        <v>0</v>
      </c>
      <c r="G2312" s="497"/>
      <c r="H2312" s="497"/>
      <c r="J2312" s="42"/>
    </row>
    <row r="2313" spans="1:10" x14ac:dyDescent="0.25">
      <c r="A2313" s="19" t="s">
        <v>31</v>
      </c>
      <c r="B2313" s="2">
        <v>43989</v>
      </c>
      <c r="C2313" s="1">
        <v>2</v>
      </c>
      <c r="D2313" s="39">
        <v>51</v>
      </c>
      <c r="F2313" s="39">
        <f t="shared" si="133"/>
        <v>0</v>
      </c>
    </row>
    <row r="2314" spans="1:10" s="360" customFormat="1" x14ac:dyDescent="0.25">
      <c r="A2314" s="19" t="s">
        <v>41</v>
      </c>
      <c r="B2314" s="2">
        <v>43989</v>
      </c>
      <c r="C2314" s="1">
        <v>0</v>
      </c>
      <c r="D2314" s="39">
        <v>0</v>
      </c>
      <c r="E2314" s="1"/>
      <c r="F2314" s="39">
        <f t="shared" ref="F2314:F2328" si="134">E2314+F2289</f>
        <v>0</v>
      </c>
      <c r="G2314" s="497"/>
      <c r="H2314" s="497"/>
      <c r="J2314" s="42"/>
    </row>
    <row r="2315" spans="1:10" s="360" customFormat="1" x14ac:dyDescent="0.25">
      <c r="A2315" s="19" t="s">
        <v>32</v>
      </c>
      <c r="B2315" s="2">
        <v>43989</v>
      </c>
      <c r="C2315" s="1">
        <v>0</v>
      </c>
      <c r="D2315" s="39">
        <v>6</v>
      </c>
      <c r="E2315" s="1"/>
      <c r="F2315" s="39">
        <f t="shared" si="134"/>
        <v>0</v>
      </c>
      <c r="G2315" s="497"/>
      <c r="H2315" s="497"/>
      <c r="J2315" s="42"/>
    </row>
    <row r="2316" spans="1:10" s="360" customFormat="1" x14ac:dyDescent="0.25">
      <c r="A2316" s="19" t="s">
        <v>33</v>
      </c>
      <c r="B2316" s="2">
        <v>43989</v>
      </c>
      <c r="C2316" s="1">
        <v>0</v>
      </c>
      <c r="D2316" s="39">
        <v>5</v>
      </c>
      <c r="E2316" s="1"/>
      <c r="F2316" s="39">
        <f t="shared" si="134"/>
        <v>0</v>
      </c>
      <c r="G2316" s="497"/>
      <c r="H2316" s="497"/>
      <c r="J2316" s="42"/>
    </row>
    <row r="2317" spans="1:10" s="360" customFormat="1" x14ac:dyDescent="0.25">
      <c r="A2317" s="19" t="s">
        <v>21</v>
      </c>
      <c r="B2317" s="2">
        <v>43989</v>
      </c>
      <c r="C2317" s="1">
        <v>1</v>
      </c>
      <c r="D2317" s="39">
        <v>64</v>
      </c>
      <c r="E2317" s="1">
        <v>1</v>
      </c>
      <c r="F2317" s="39">
        <f t="shared" si="134"/>
        <v>1</v>
      </c>
      <c r="G2317" s="497"/>
      <c r="H2317" s="497"/>
      <c r="J2317" s="42"/>
    </row>
    <row r="2318" spans="1:10" s="360" customFormat="1" x14ac:dyDescent="0.25">
      <c r="A2318" s="19" t="s">
        <v>17</v>
      </c>
      <c r="B2318" s="2">
        <v>43989</v>
      </c>
      <c r="C2318" s="1">
        <v>0</v>
      </c>
      <c r="D2318" s="39">
        <v>101</v>
      </c>
      <c r="E2318" s="1"/>
      <c r="F2318" s="39">
        <f t="shared" si="134"/>
        <v>0</v>
      </c>
      <c r="G2318" s="497"/>
      <c r="H2318" s="497"/>
      <c r="J2318" s="42"/>
    </row>
    <row r="2319" spans="1:10" s="360" customFormat="1" x14ac:dyDescent="0.25">
      <c r="A2319" s="19" t="s">
        <v>23</v>
      </c>
      <c r="B2319" s="2">
        <v>43989</v>
      </c>
      <c r="C2319" s="1">
        <v>3</v>
      </c>
      <c r="D2319" s="39">
        <v>38</v>
      </c>
      <c r="E2319" s="1"/>
      <c r="F2319" s="39">
        <f t="shared" si="134"/>
        <v>0</v>
      </c>
      <c r="G2319" s="497"/>
      <c r="H2319" s="497"/>
      <c r="J2319" s="42"/>
    </row>
    <row r="2320" spans="1:10" s="360" customFormat="1" x14ac:dyDescent="0.25">
      <c r="A2320" s="19" t="s">
        <v>19</v>
      </c>
      <c r="B2320" s="2">
        <v>43989</v>
      </c>
      <c r="C2320" s="1">
        <v>0</v>
      </c>
      <c r="D2320" s="39">
        <v>152</v>
      </c>
      <c r="E2320" s="1"/>
      <c r="F2320" s="39">
        <f t="shared" si="134"/>
        <v>0</v>
      </c>
      <c r="G2320" s="497"/>
      <c r="H2320" s="497"/>
      <c r="J2320" s="42"/>
    </row>
    <row r="2321" spans="1:10" s="360" customFormat="1" x14ac:dyDescent="0.25">
      <c r="A2321" s="19" t="s">
        <v>18</v>
      </c>
      <c r="B2321" s="2">
        <v>43989</v>
      </c>
      <c r="C2321" s="1">
        <v>10</v>
      </c>
      <c r="D2321" s="39">
        <v>467</v>
      </c>
      <c r="E2321" s="1">
        <v>1</v>
      </c>
      <c r="F2321" s="39">
        <f t="shared" si="134"/>
        <v>1</v>
      </c>
      <c r="G2321" s="497"/>
      <c r="H2321" s="497"/>
      <c r="J2321" s="42"/>
    </row>
    <row r="2322" spans="1:10" s="360" customFormat="1" x14ac:dyDescent="0.25">
      <c r="A2322" s="19" t="s">
        <v>34</v>
      </c>
      <c r="B2322" s="2">
        <v>43989</v>
      </c>
      <c r="C2322" s="1">
        <v>1</v>
      </c>
      <c r="D2322" s="39">
        <v>16</v>
      </c>
      <c r="E2322" s="1"/>
      <c r="F2322" s="39">
        <f t="shared" si="134"/>
        <v>0</v>
      </c>
      <c r="G2322" s="497"/>
      <c r="H2322" s="497"/>
      <c r="J2322" s="42"/>
    </row>
    <row r="2323" spans="1:10" s="360" customFormat="1" x14ac:dyDescent="0.25">
      <c r="A2323" s="19" t="s">
        <v>35</v>
      </c>
      <c r="B2323" s="2">
        <v>43989</v>
      </c>
      <c r="C2323" s="1">
        <v>0</v>
      </c>
      <c r="D2323" s="39">
        <v>5</v>
      </c>
      <c r="E2323" s="1"/>
      <c r="F2323" s="39">
        <f>E2323+F2299</f>
        <v>0</v>
      </c>
      <c r="G2323" s="497"/>
      <c r="H2323" s="497"/>
      <c r="J2323" s="42"/>
    </row>
    <row r="2324" spans="1:10" s="360" customFormat="1" x14ac:dyDescent="0.25">
      <c r="A2324" s="19" t="s">
        <v>36</v>
      </c>
      <c r="B2324" s="2">
        <v>43989</v>
      </c>
      <c r="C2324" s="1">
        <v>0</v>
      </c>
      <c r="D2324" s="39">
        <v>11</v>
      </c>
      <c r="E2324" s="1"/>
      <c r="F2324" s="39">
        <f t="shared" si="134"/>
        <v>0</v>
      </c>
      <c r="G2324" s="497"/>
      <c r="H2324" s="497"/>
      <c r="J2324" s="42"/>
    </row>
    <row r="2325" spans="1:10" s="360" customFormat="1" x14ac:dyDescent="0.25">
      <c r="A2325" s="19" t="s">
        <v>37</v>
      </c>
      <c r="B2325" s="2">
        <v>43989</v>
      </c>
      <c r="C2325" s="1">
        <v>0</v>
      </c>
      <c r="D2325" s="39">
        <v>51</v>
      </c>
      <c r="E2325" s="1"/>
      <c r="F2325" s="39">
        <f t="shared" si="134"/>
        <v>0</v>
      </c>
      <c r="G2325" s="497"/>
      <c r="H2325" s="497"/>
      <c r="J2325" s="42"/>
    </row>
    <row r="2326" spans="1:10" s="360" customFormat="1" x14ac:dyDescent="0.25">
      <c r="A2326" s="19" t="s">
        <v>22</v>
      </c>
      <c r="B2326" s="2">
        <v>43989</v>
      </c>
      <c r="C2326" s="1">
        <v>0</v>
      </c>
      <c r="D2326" s="39">
        <v>276</v>
      </c>
      <c r="E2326" s="1"/>
      <c r="F2326" s="39">
        <f>E2326+F2302</f>
        <v>3</v>
      </c>
      <c r="G2326" s="497"/>
      <c r="H2326" s="497"/>
      <c r="J2326" s="42"/>
    </row>
    <row r="2327" spans="1:10" s="360" customFormat="1" x14ac:dyDescent="0.25">
      <c r="A2327" s="19" t="s">
        <v>38</v>
      </c>
      <c r="B2327" s="2">
        <v>43989</v>
      </c>
      <c r="C2327" s="1">
        <v>0</v>
      </c>
      <c r="D2327" s="39">
        <v>22</v>
      </c>
      <c r="E2327" s="1"/>
      <c r="F2327" s="39">
        <f>E2327+F2303</f>
        <v>0</v>
      </c>
      <c r="G2327" s="497"/>
      <c r="H2327" s="497"/>
      <c r="J2327" s="42"/>
    </row>
    <row r="2328" spans="1:10" s="360" customFormat="1" x14ac:dyDescent="0.25">
      <c r="A2328" s="19" t="s">
        <v>39</v>
      </c>
      <c r="B2328" s="2">
        <v>43989</v>
      </c>
      <c r="C2328" s="1">
        <v>0</v>
      </c>
      <c r="D2328" s="39">
        <v>149</v>
      </c>
      <c r="E2328" s="1"/>
      <c r="F2328" s="39">
        <f t="shared" si="134"/>
        <v>0</v>
      </c>
      <c r="G2328" s="497"/>
      <c r="H2328" s="497"/>
      <c r="J2328" s="42"/>
    </row>
    <row r="2329" spans="1:10" s="360" customFormat="1" x14ac:dyDescent="0.25">
      <c r="A2329" s="19" t="s">
        <v>40</v>
      </c>
      <c r="B2329" s="2">
        <v>43989</v>
      </c>
      <c r="C2329" s="1">
        <v>0</v>
      </c>
      <c r="D2329" s="39">
        <v>49</v>
      </c>
      <c r="E2329" s="1"/>
      <c r="F2329" s="39">
        <f>E2329+F2305</f>
        <v>3</v>
      </c>
      <c r="G2329" s="497"/>
      <c r="H2329" s="497"/>
      <c r="J2329" s="42"/>
    </row>
    <row r="2330" spans="1:10" s="360" customFormat="1" x14ac:dyDescent="0.25">
      <c r="A2330" s="361" t="s">
        <v>16</v>
      </c>
      <c r="B2330" s="2">
        <v>43990</v>
      </c>
      <c r="C2330" s="1">
        <v>344</v>
      </c>
      <c r="D2330" s="39">
        <v>9043</v>
      </c>
      <c r="E2330" s="1">
        <v>16</v>
      </c>
      <c r="F2330" s="39">
        <f>E2330+F2306</f>
        <v>288</v>
      </c>
      <c r="G2330" s="497"/>
      <c r="H2330" s="497"/>
      <c r="J2330" s="42"/>
    </row>
    <row r="2331" spans="1:10" s="360" customFormat="1" x14ac:dyDescent="0.25">
      <c r="A2331" s="19" t="s">
        <v>28</v>
      </c>
      <c r="B2331" s="2">
        <v>43990</v>
      </c>
      <c r="C2331" s="1">
        <v>0</v>
      </c>
      <c r="D2331" s="39">
        <v>0</v>
      </c>
      <c r="E2331" s="1"/>
      <c r="F2331" s="39">
        <f t="shared" ref="F2331:F2337" si="135">E2331+F2307</f>
        <v>0</v>
      </c>
      <c r="G2331" s="497"/>
      <c r="H2331" s="497"/>
      <c r="J2331" s="42"/>
    </row>
    <row r="2332" spans="1:10" s="360" customFormat="1" x14ac:dyDescent="0.25">
      <c r="A2332" s="19" t="s">
        <v>15</v>
      </c>
      <c r="B2332" s="2">
        <v>43990</v>
      </c>
      <c r="C2332" s="1">
        <v>45</v>
      </c>
      <c r="D2332" s="39">
        <v>1090</v>
      </c>
      <c r="E2332" s="1">
        <v>1</v>
      </c>
      <c r="F2332" s="39">
        <f t="shared" si="135"/>
        <v>62</v>
      </c>
      <c r="G2332" s="497"/>
      <c r="H2332" s="497"/>
      <c r="J2332" s="42"/>
    </row>
    <row r="2333" spans="1:10" s="360" customFormat="1" x14ac:dyDescent="0.25">
      <c r="A2333" s="19" t="s">
        <v>29</v>
      </c>
      <c r="B2333" s="2">
        <v>43990</v>
      </c>
      <c r="C2333" s="1">
        <v>1</v>
      </c>
      <c r="D2333" s="39">
        <v>21</v>
      </c>
      <c r="E2333" s="1"/>
      <c r="F2333" s="39">
        <f t="shared" si="135"/>
        <v>1</v>
      </c>
      <c r="G2333" s="497"/>
      <c r="H2333" s="497"/>
      <c r="J2333" s="42"/>
    </row>
    <row r="2334" spans="1:10" s="360" customFormat="1" x14ac:dyDescent="0.25">
      <c r="A2334" s="19" t="s">
        <v>43</v>
      </c>
      <c r="B2334" s="2">
        <v>43990</v>
      </c>
      <c r="C2334" s="1">
        <v>420</v>
      </c>
      <c r="D2334" s="39">
        <v>11427</v>
      </c>
      <c r="E2334" s="1">
        <v>9</v>
      </c>
      <c r="F2334" s="39">
        <f t="shared" si="135"/>
        <v>254</v>
      </c>
      <c r="G2334" s="497"/>
      <c r="H2334" s="497"/>
      <c r="J2334" s="42"/>
    </row>
    <row r="2335" spans="1:10" s="360" customFormat="1" x14ac:dyDescent="0.25">
      <c r="A2335" s="19" t="s">
        <v>20</v>
      </c>
      <c r="B2335" s="2">
        <v>43990</v>
      </c>
      <c r="C2335" s="1">
        <v>1</v>
      </c>
      <c r="D2335" s="39">
        <v>467</v>
      </c>
      <c r="E2335" s="1"/>
      <c r="F2335" s="39">
        <f t="shared" si="135"/>
        <v>30</v>
      </c>
      <c r="G2335" s="497"/>
      <c r="H2335" s="497"/>
      <c r="J2335" s="42"/>
    </row>
    <row r="2336" spans="1:10" s="360" customFormat="1" x14ac:dyDescent="0.25">
      <c r="A2336" s="19" t="s">
        <v>30</v>
      </c>
      <c r="B2336" s="2">
        <v>43990</v>
      </c>
      <c r="C2336" s="1">
        <v>0</v>
      </c>
      <c r="D2336" s="39">
        <v>96</v>
      </c>
      <c r="E2336" s="1"/>
      <c r="F2336" s="39">
        <f t="shared" si="135"/>
        <v>0</v>
      </c>
      <c r="G2336" s="497"/>
      <c r="H2336" s="497"/>
      <c r="J2336" s="42"/>
    </row>
    <row r="2337" spans="1:10" x14ac:dyDescent="0.25">
      <c r="A2337" s="19" t="s">
        <v>31</v>
      </c>
      <c r="B2337" s="2">
        <v>43990</v>
      </c>
      <c r="C2337" s="1">
        <v>2</v>
      </c>
      <c r="D2337" s="39">
        <v>53</v>
      </c>
      <c r="F2337" s="39">
        <f t="shared" si="135"/>
        <v>0</v>
      </c>
    </row>
    <row r="2338" spans="1:10" s="360" customFormat="1" x14ac:dyDescent="0.25">
      <c r="A2338" s="19" t="s">
        <v>41</v>
      </c>
      <c r="B2338" s="2">
        <v>43990</v>
      </c>
      <c r="C2338" s="1">
        <v>0</v>
      </c>
      <c r="D2338" s="39">
        <v>0</v>
      </c>
      <c r="E2338" s="1"/>
      <c r="F2338" s="39">
        <f t="shared" ref="F2338:F2352" si="136">E2338+F2313</f>
        <v>0</v>
      </c>
      <c r="G2338" s="497"/>
      <c r="H2338" s="497"/>
      <c r="J2338" s="42"/>
    </row>
    <row r="2339" spans="1:10" s="360" customFormat="1" x14ac:dyDescent="0.25">
      <c r="A2339" s="19" t="s">
        <v>32</v>
      </c>
      <c r="B2339" s="2">
        <v>43990</v>
      </c>
      <c r="C2339" s="1">
        <v>0</v>
      </c>
      <c r="D2339" s="39">
        <v>6</v>
      </c>
      <c r="E2339" s="1"/>
      <c r="F2339" s="39">
        <f t="shared" si="136"/>
        <v>0</v>
      </c>
      <c r="G2339" s="497"/>
      <c r="H2339" s="497"/>
      <c r="J2339" s="42"/>
    </row>
    <row r="2340" spans="1:10" s="360" customFormat="1" x14ac:dyDescent="0.25">
      <c r="A2340" s="19" t="s">
        <v>33</v>
      </c>
      <c r="B2340" s="2">
        <v>43990</v>
      </c>
      <c r="C2340" s="1">
        <v>0</v>
      </c>
      <c r="D2340" s="39">
        <v>5</v>
      </c>
      <c r="E2340" s="1"/>
      <c r="F2340" s="39">
        <f t="shared" si="136"/>
        <v>0</v>
      </c>
      <c r="G2340" s="497"/>
      <c r="H2340" s="497"/>
      <c r="J2340" s="42"/>
    </row>
    <row r="2341" spans="1:10" s="360" customFormat="1" x14ac:dyDescent="0.25">
      <c r="A2341" s="19" t="s">
        <v>21</v>
      </c>
      <c r="B2341" s="2">
        <v>43990</v>
      </c>
      <c r="C2341" s="1">
        <v>0</v>
      </c>
      <c r="D2341" s="39">
        <v>64</v>
      </c>
      <c r="E2341" s="1"/>
      <c r="F2341" s="39">
        <f t="shared" si="136"/>
        <v>0</v>
      </c>
      <c r="G2341" s="497"/>
      <c r="H2341" s="497"/>
      <c r="J2341" s="42"/>
    </row>
    <row r="2342" spans="1:10" s="360" customFormat="1" x14ac:dyDescent="0.25">
      <c r="A2342" s="19" t="s">
        <v>17</v>
      </c>
      <c r="B2342" s="2">
        <v>43990</v>
      </c>
      <c r="C2342" s="1">
        <v>1</v>
      </c>
      <c r="D2342" s="39">
        <v>102</v>
      </c>
      <c r="E2342" s="1"/>
      <c r="F2342" s="39">
        <f t="shared" si="136"/>
        <v>1</v>
      </c>
      <c r="G2342" s="497"/>
      <c r="H2342" s="497"/>
      <c r="J2342" s="42"/>
    </row>
    <row r="2343" spans="1:10" s="360" customFormat="1" x14ac:dyDescent="0.25">
      <c r="A2343" s="19" t="s">
        <v>23</v>
      </c>
      <c r="B2343" s="2">
        <v>43990</v>
      </c>
      <c r="C2343" s="1">
        <v>1</v>
      </c>
      <c r="D2343" s="39">
        <v>39</v>
      </c>
      <c r="E2343" s="1"/>
      <c r="F2343" s="39">
        <f t="shared" si="136"/>
        <v>0</v>
      </c>
      <c r="G2343" s="497"/>
      <c r="H2343" s="497"/>
      <c r="J2343" s="42"/>
    </row>
    <row r="2344" spans="1:10" s="360" customFormat="1" x14ac:dyDescent="0.25">
      <c r="A2344" s="19" t="s">
        <v>19</v>
      </c>
      <c r="B2344" s="2">
        <v>43990</v>
      </c>
      <c r="C2344" s="1">
        <v>0</v>
      </c>
      <c r="D2344" s="39">
        <v>152</v>
      </c>
      <c r="E2344" s="1"/>
      <c r="F2344" s="39">
        <f t="shared" si="136"/>
        <v>0</v>
      </c>
      <c r="G2344" s="497"/>
      <c r="H2344" s="497"/>
      <c r="J2344" s="42"/>
    </row>
    <row r="2345" spans="1:10" s="360" customFormat="1" x14ac:dyDescent="0.25">
      <c r="A2345" s="19" t="s">
        <v>18</v>
      </c>
      <c r="B2345" s="2">
        <v>43990</v>
      </c>
      <c r="C2345" s="1">
        <v>11</v>
      </c>
      <c r="D2345" s="39">
        <v>478</v>
      </c>
      <c r="E2345" s="1">
        <v>2</v>
      </c>
      <c r="F2345" s="39">
        <f t="shared" si="136"/>
        <v>2</v>
      </c>
      <c r="G2345" s="497"/>
      <c r="H2345" s="497"/>
      <c r="J2345" s="42"/>
    </row>
    <row r="2346" spans="1:10" s="360" customFormat="1" x14ac:dyDescent="0.25">
      <c r="A2346" s="19" t="s">
        <v>34</v>
      </c>
      <c r="B2346" s="2">
        <v>43990</v>
      </c>
      <c r="C2346" s="1">
        <v>0</v>
      </c>
      <c r="D2346" s="39">
        <v>16</v>
      </c>
      <c r="E2346" s="1"/>
      <c r="F2346" s="39">
        <f t="shared" si="136"/>
        <v>1</v>
      </c>
      <c r="G2346" s="497"/>
      <c r="H2346" s="497"/>
      <c r="J2346" s="42"/>
    </row>
    <row r="2347" spans="1:10" s="360" customFormat="1" x14ac:dyDescent="0.25">
      <c r="A2347" s="19" t="s">
        <v>35</v>
      </c>
      <c r="B2347" s="2">
        <v>43990</v>
      </c>
      <c r="C2347" s="1">
        <v>0</v>
      </c>
      <c r="D2347" s="39">
        <v>5</v>
      </c>
      <c r="E2347" s="1"/>
      <c r="F2347" s="39">
        <f>E2347+F2323</f>
        <v>0</v>
      </c>
      <c r="G2347" s="497"/>
      <c r="H2347" s="497"/>
      <c r="J2347" s="42"/>
    </row>
    <row r="2348" spans="1:10" s="360" customFormat="1" x14ac:dyDescent="0.25">
      <c r="A2348" s="19" t="s">
        <v>36</v>
      </c>
      <c r="B2348" s="2">
        <v>43990</v>
      </c>
      <c r="C2348" s="1">
        <v>0</v>
      </c>
      <c r="D2348" s="39">
        <v>11</v>
      </c>
      <c r="E2348" s="1"/>
      <c r="F2348" s="39">
        <f t="shared" si="136"/>
        <v>0</v>
      </c>
      <c r="G2348" s="497"/>
      <c r="H2348" s="497"/>
      <c r="J2348" s="42"/>
    </row>
    <row r="2349" spans="1:10" s="360" customFormat="1" x14ac:dyDescent="0.25">
      <c r="A2349" s="19" t="s">
        <v>37</v>
      </c>
      <c r="B2349" s="2">
        <v>43990</v>
      </c>
      <c r="C2349" s="1">
        <v>0</v>
      </c>
      <c r="D2349" s="39">
        <v>51</v>
      </c>
      <c r="E2349" s="1"/>
      <c r="F2349" s="39">
        <f t="shared" si="136"/>
        <v>0</v>
      </c>
      <c r="G2349" s="497"/>
      <c r="H2349" s="497"/>
      <c r="J2349" s="42"/>
    </row>
    <row r="2350" spans="1:10" s="360" customFormat="1" x14ac:dyDescent="0.25">
      <c r="A2350" s="19" t="s">
        <v>22</v>
      </c>
      <c r="B2350" s="2">
        <v>43990</v>
      </c>
      <c r="C2350" s="1">
        <v>0</v>
      </c>
      <c r="D2350" s="39">
        <v>276</v>
      </c>
      <c r="E2350" s="1"/>
      <c r="F2350" s="39">
        <f>E2350+F2326</f>
        <v>3</v>
      </c>
      <c r="G2350" s="497"/>
      <c r="H2350" s="497"/>
      <c r="J2350" s="42"/>
    </row>
    <row r="2351" spans="1:10" s="360" customFormat="1" x14ac:dyDescent="0.25">
      <c r="A2351" s="19" t="s">
        <v>38</v>
      </c>
      <c r="B2351" s="2">
        <v>43990</v>
      </c>
      <c r="C2351" s="1">
        <v>0</v>
      </c>
      <c r="D2351" s="39">
        <v>22</v>
      </c>
      <c r="E2351" s="1"/>
      <c r="F2351" s="39">
        <f>E2351+F2327</f>
        <v>0</v>
      </c>
      <c r="G2351" s="497"/>
      <c r="H2351" s="497"/>
      <c r="J2351" s="42"/>
    </row>
    <row r="2352" spans="1:10" s="360" customFormat="1" x14ac:dyDescent="0.25">
      <c r="A2352" s="19" t="s">
        <v>39</v>
      </c>
      <c r="B2352" s="2">
        <v>43990</v>
      </c>
      <c r="C2352" s="1">
        <v>0</v>
      </c>
      <c r="D2352" s="39">
        <v>149</v>
      </c>
      <c r="E2352" s="1"/>
      <c r="F2352" s="39">
        <f t="shared" si="136"/>
        <v>0</v>
      </c>
      <c r="G2352" s="497"/>
      <c r="H2352" s="497"/>
      <c r="J2352" s="42"/>
    </row>
    <row r="2353" spans="1:10" s="360" customFormat="1" x14ac:dyDescent="0.25">
      <c r="A2353" s="19" t="s">
        <v>40</v>
      </c>
      <c r="B2353" s="2">
        <v>43990</v>
      </c>
      <c r="C2353" s="1">
        <v>0</v>
      </c>
      <c r="D2353" s="39">
        <v>49</v>
      </c>
      <c r="E2353" s="1">
        <v>1</v>
      </c>
      <c r="F2353" s="39">
        <f>E2353+F2329</f>
        <v>4</v>
      </c>
      <c r="G2353" s="497"/>
      <c r="H2353" s="497"/>
      <c r="J2353" s="42"/>
    </row>
    <row r="2354" spans="1:10" s="360" customFormat="1" x14ac:dyDescent="0.25">
      <c r="A2354" s="361" t="s">
        <v>16</v>
      </c>
      <c r="B2354" s="2">
        <v>43991</v>
      </c>
      <c r="C2354" s="1">
        <v>545</v>
      </c>
      <c r="D2354" s="39">
        <v>9588</v>
      </c>
      <c r="E2354" s="1">
        <v>13</v>
      </c>
      <c r="F2354" s="39">
        <f>E2354+F2330</f>
        <v>301</v>
      </c>
      <c r="G2354" s="497"/>
      <c r="H2354" s="497"/>
      <c r="J2354" s="42"/>
    </row>
    <row r="2355" spans="1:10" s="360" customFormat="1" x14ac:dyDescent="0.25">
      <c r="A2355" s="19" t="s">
        <v>28</v>
      </c>
      <c r="B2355" s="2">
        <v>43991</v>
      </c>
      <c r="C2355" s="1">
        <v>0</v>
      </c>
      <c r="D2355" s="39">
        <v>0</v>
      </c>
      <c r="E2355" s="1"/>
      <c r="F2355" s="39">
        <f t="shared" ref="F2355:F2361" si="137">E2355+F2331</f>
        <v>0</v>
      </c>
      <c r="G2355" s="497"/>
      <c r="H2355" s="497"/>
      <c r="J2355" s="42"/>
    </row>
    <row r="2356" spans="1:10" s="360" customFormat="1" x14ac:dyDescent="0.25">
      <c r="A2356" s="19" t="s">
        <v>15</v>
      </c>
      <c r="B2356" s="2">
        <v>43991</v>
      </c>
      <c r="C2356" s="1">
        <v>28</v>
      </c>
      <c r="D2356" s="39">
        <v>1118</v>
      </c>
      <c r="E2356" s="1">
        <v>2</v>
      </c>
      <c r="F2356" s="39">
        <f t="shared" si="137"/>
        <v>64</v>
      </c>
      <c r="G2356" s="497"/>
      <c r="H2356" s="497"/>
      <c r="J2356" s="42"/>
    </row>
    <row r="2357" spans="1:10" s="360" customFormat="1" x14ac:dyDescent="0.25">
      <c r="A2357" s="19" t="s">
        <v>29</v>
      </c>
      <c r="B2357" s="2">
        <v>43991</v>
      </c>
      <c r="C2357" s="1">
        <v>5</v>
      </c>
      <c r="D2357" s="39">
        <v>26</v>
      </c>
      <c r="E2357" s="1"/>
      <c r="F2357" s="39">
        <f t="shared" si="137"/>
        <v>1</v>
      </c>
      <c r="G2357" s="497"/>
      <c r="H2357" s="497"/>
      <c r="J2357" s="42"/>
    </row>
    <row r="2358" spans="1:10" s="360" customFormat="1" x14ac:dyDescent="0.25">
      <c r="A2358" s="19" t="s">
        <v>43</v>
      </c>
      <c r="B2358" s="2">
        <v>43991</v>
      </c>
      <c r="C2358" s="1">
        <v>535</v>
      </c>
      <c r="D2358" s="39">
        <v>11962</v>
      </c>
      <c r="E2358" s="1">
        <v>8</v>
      </c>
      <c r="F2358" s="39">
        <f t="shared" si="137"/>
        <v>262</v>
      </c>
      <c r="G2358" s="497"/>
      <c r="H2358" s="497"/>
      <c r="J2358" s="42"/>
    </row>
    <row r="2359" spans="1:10" s="360" customFormat="1" x14ac:dyDescent="0.25">
      <c r="A2359" s="19" t="s">
        <v>20</v>
      </c>
      <c r="B2359" s="2">
        <v>43991</v>
      </c>
      <c r="C2359" s="1">
        <v>2</v>
      </c>
      <c r="D2359" s="39">
        <v>469</v>
      </c>
      <c r="E2359" s="1"/>
      <c r="F2359" s="39">
        <f t="shared" si="137"/>
        <v>30</v>
      </c>
      <c r="G2359" s="497"/>
      <c r="H2359" s="497"/>
      <c r="J2359" s="42"/>
    </row>
    <row r="2360" spans="1:10" s="360" customFormat="1" x14ac:dyDescent="0.25">
      <c r="A2360" s="19" t="s">
        <v>30</v>
      </c>
      <c r="B2360" s="2">
        <v>43991</v>
      </c>
      <c r="C2360" s="1">
        <v>1</v>
      </c>
      <c r="D2360" s="39">
        <v>97</v>
      </c>
      <c r="E2360" s="1"/>
      <c r="F2360" s="39">
        <f t="shared" si="137"/>
        <v>0</v>
      </c>
      <c r="G2360" s="497"/>
      <c r="H2360" s="497"/>
      <c r="J2360" s="42"/>
    </row>
    <row r="2361" spans="1:10" x14ac:dyDescent="0.25">
      <c r="A2361" s="19" t="s">
        <v>31</v>
      </c>
      <c r="B2361" s="2">
        <v>43991</v>
      </c>
      <c r="C2361" s="1">
        <v>2</v>
      </c>
      <c r="D2361" s="39">
        <v>55</v>
      </c>
      <c r="F2361" s="39">
        <f t="shared" si="137"/>
        <v>0</v>
      </c>
    </row>
    <row r="2362" spans="1:10" s="360" customFormat="1" x14ac:dyDescent="0.25">
      <c r="A2362" s="19" t="s">
        <v>41</v>
      </c>
      <c r="B2362" s="2">
        <v>43991</v>
      </c>
      <c r="C2362" s="1">
        <v>0</v>
      </c>
      <c r="D2362" s="39">
        <v>0</v>
      </c>
      <c r="E2362" s="1"/>
      <c r="F2362" s="39">
        <f t="shared" ref="F2362:F2376" si="138">E2362+F2337</f>
        <v>0</v>
      </c>
      <c r="G2362" s="497"/>
      <c r="H2362" s="497"/>
      <c r="J2362" s="42"/>
    </row>
    <row r="2363" spans="1:10" s="360" customFormat="1" x14ac:dyDescent="0.25">
      <c r="A2363" s="19" t="s">
        <v>32</v>
      </c>
      <c r="B2363" s="2">
        <v>43991</v>
      </c>
      <c r="C2363" s="1">
        <v>2</v>
      </c>
      <c r="D2363" s="39">
        <v>8</v>
      </c>
      <c r="E2363" s="1"/>
      <c r="F2363" s="39">
        <f t="shared" si="138"/>
        <v>0</v>
      </c>
      <c r="G2363" s="497"/>
      <c r="H2363" s="497"/>
      <c r="J2363" s="42"/>
    </row>
    <row r="2364" spans="1:10" s="360" customFormat="1" x14ac:dyDescent="0.25">
      <c r="A2364" s="19" t="s">
        <v>33</v>
      </c>
      <c r="B2364" s="2">
        <v>43991</v>
      </c>
      <c r="C2364" s="1">
        <v>0</v>
      </c>
      <c r="D2364" s="39">
        <v>5</v>
      </c>
      <c r="E2364" s="1"/>
      <c r="F2364" s="39">
        <f t="shared" si="138"/>
        <v>0</v>
      </c>
      <c r="G2364" s="497"/>
      <c r="H2364" s="497"/>
      <c r="J2364" s="42"/>
    </row>
    <row r="2365" spans="1:10" s="360" customFormat="1" x14ac:dyDescent="0.25">
      <c r="A2365" s="19" t="s">
        <v>21</v>
      </c>
      <c r="B2365" s="2">
        <v>43991</v>
      </c>
      <c r="C2365" s="1">
        <v>0</v>
      </c>
      <c r="D2365" s="39">
        <v>64</v>
      </c>
      <c r="E2365" s="1"/>
      <c r="F2365" s="39">
        <f t="shared" si="138"/>
        <v>0</v>
      </c>
      <c r="G2365" s="497"/>
      <c r="H2365" s="497"/>
      <c r="J2365" s="42"/>
    </row>
    <row r="2366" spans="1:10" s="360" customFormat="1" x14ac:dyDescent="0.25">
      <c r="A2366" s="19" t="s">
        <v>17</v>
      </c>
      <c r="B2366" s="2">
        <v>43991</v>
      </c>
      <c r="C2366" s="1">
        <v>1</v>
      </c>
      <c r="D2366" s="39">
        <v>103</v>
      </c>
      <c r="E2366" s="1"/>
      <c r="F2366" s="39">
        <f t="shared" si="138"/>
        <v>0</v>
      </c>
      <c r="G2366" s="497"/>
      <c r="H2366" s="497"/>
      <c r="J2366" s="42"/>
    </row>
    <row r="2367" spans="1:10" s="360" customFormat="1" x14ac:dyDescent="0.25">
      <c r="A2367" s="19" t="s">
        <v>23</v>
      </c>
      <c r="B2367" s="2">
        <v>43991</v>
      </c>
      <c r="C2367" s="1">
        <v>-1</v>
      </c>
      <c r="D2367" s="39">
        <v>38</v>
      </c>
      <c r="E2367" s="1"/>
      <c r="F2367" s="39">
        <f t="shared" si="138"/>
        <v>1</v>
      </c>
      <c r="G2367" s="497"/>
      <c r="H2367" s="497"/>
      <c r="J2367" s="42"/>
    </row>
    <row r="2368" spans="1:10" s="360" customFormat="1" x14ac:dyDescent="0.25">
      <c r="A2368" s="19" t="s">
        <v>19</v>
      </c>
      <c r="B2368" s="2">
        <v>43991</v>
      </c>
      <c r="C2368" s="1">
        <v>5</v>
      </c>
      <c r="D2368" s="39">
        <v>157</v>
      </c>
      <c r="E2368" s="1"/>
      <c r="F2368" s="39">
        <f t="shared" si="138"/>
        <v>0</v>
      </c>
      <c r="G2368" s="497"/>
      <c r="H2368" s="497"/>
      <c r="J2368" s="42"/>
    </row>
    <row r="2369" spans="1:10" s="360" customFormat="1" x14ac:dyDescent="0.25">
      <c r="A2369" s="19" t="s">
        <v>18</v>
      </c>
      <c r="B2369" s="2">
        <v>43991</v>
      </c>
      <c r="C2369" s="1">
        <v>13</v>
      </c>
      <c r="D2369" s="39">
        <v>491</v>
      </c>
      <c r="E2369" s="1">
        <v>1</v>
      </c>
      <c r="F2369" s="39">
        <f t="shared" si="138"/>
        <v>1</v>
      </c>
      <c r="G2369" s="497"/>
      <c r="H2369" s="497"/>
      <c r="J2369" s="42"/>
    </row>
    <row r="2370" spans="1:10" s="360" customFormat="1" x14ac:dyDescent="0.25">
      <c r="A2370" s="19" t="s">
        <v>34</v>
      </c>
      <c r="B2370" s="2">
        <v>43991</v>
      </c>
      <c r="C2370" s="1">
        <v>0</v>
      </c>
      <c r="D2370" s="39">
        <v>16</v>
      </c>
      <c r="E2370" s="1"/>
      <c r="F2370" s="39">
        <f t="shared" si="138"/>
        <v>2</v>
      </c>
      <c r="G2370" s="497"/>
      <c r="H2370" s="497"/>
      <c r="J2370" s="42"/>
    </row>
    <row r="2371" spans="1:10" s="360" customFormat="1" x14ac:dyDescent="0.25">
      <c r="A2371" s="19" t="s">
        <v>35</v>
      </c>
      <c r="B2371" s="2">
        <v>43991</v>
      </c>
      <c r="C2371" s="1">
        <v>0</v>
      </c>
      <c r="D2371" s="39">
        <v>5</v>
      </c>
      <c r="E2371" s="1"/>
      <c r="F2371" s="39">
        <f>E2371+F2347</f>
        <v>0</v>
      </c>
      <c r="G2371" s="497"/>
      <c r="H2371" s="497"/>
      <c r="J2371" s="42"/>
    </row>
    <row r="2372" spans="1:10" s="360" customFormat="1" x14ac:dyDescent="0.25">
      <c r="A2372" s="19" t="s">
        <v>36</v>
      </c>
      <c r="B2372" s="2">
        <v>43991</v>
      </c>
      <c r="C2372" s="1">
        <v>0</v>
      </c>
      <c r="D2372" s="39">
        <v>11</v>
      </c>
      <c r="E2372" s="1"/>
      <c r="F2372" s="39">
        <f t="shared" si="138"/>
        <v>0</v>
      </c>
      <c r="G2372" s="497"/>
      <c r="H2372" s="497"/>
      <c r="J2372" s="42"/>
    </row>
    <row r="2373" spans="1:10" s="360" customFormat="1" x14ac:dyDescent="0.25">
      <c r="A2373" s="19" t="s">
        <v>37</v>
      </c>
      <c r="B2373" s="2">
        <v>43991</v>
      </c>
      <c r="C2373" s="1">
        <v>0</v>
      </c>
      <c r="D2373" s="39">
        <v>51</v>
      </c>
      <c r="E2373" s="1"/>
      <c r="F2373" s="39">
        <f t="shared" si="138"/>
        <v>0</v>
      </c>
      <c r="G2373" s="497"/>
      <c r="H2373" s="497"/>
      <c r="J2373" s="42"/>
    </row>
    <row r="2374" spans="1:10" s="360" customFormat="1" x14ac:dyDescent="0.25">
      <c r="A2374" s="19" t="s">
        <v>22</v>
      </c>
      <c r="B2374" s="2">
        <v>43991</v>
      </c>
      <c r="C2374" s="1">
        <v>2</v>
      </c>
      <c r="D2374" s="39">
        <v>278</v>
      </c>
      <c r="E2374" s="1"/>
      <c r="F2374" s="39">
        <f>E2374+F2350</f>
        <v>3</v>
      </c>
      <c r="G2374" s="497"/>
      <c r="H2374" s="497"/>
      <c r="J2374" s="42"/>
    </row>
    <row r="2375" spans="1:10" s="360" customFormat="1" x14ac:dyDescent="0.25">
      <c r="A2375" s="19" t="s">
        <v>38</v>
      </c>
      <c r="B2375" s="2">
        <v>43991</v>
      </c>
      <c r="C2375" s="1">
        <v>0</v>
      </c>
      <c r="D2375" s="39">
        <v>22</v>
      </c>
      <c r="E2375" s="1"/>
      <c r="F2375" s="39">
        <f>E2375+F2351</f>
        <v>0</v>
      </c>
      <c r="G2375" s="497"/>
      <c r="H2375" s="497"/>
      <c r="J2375" s="42"/>
    </row>
    <row r="2376" spans="1:10" s="360" customFormat="1" x14ac:dyDescent="0.25">
      <c r="A2376" s="19" t="s">
        <v>39</v>
      </c>
      <c r="B2376" s="2">
        <v>43991</v>
      </c>
      <c r="C2376" s="1">
        <v>0</v>
      </c>
      <c r="D2376" s="39">
        <v>149</v>
      </c>
      <c r="E2376" s="1"/>
      <c r="F2376" s="39">
        <f t="shared" si="138"/>
        <v>0</v>
      </c>
      <c r="G2376" s="497"/>
      <c r="H2376" s="497"/>
      <c r="J2376" s="42"/>
    </row>
    <row r="2377" spans="1:10" s="360" customFormat="1" x14ac:dyDescent="0.25">
      <c r="A2377" s="19" t="s">
        <v>40</v>
      </c>
      <c r="B2377" s="2">
        <v>43991</v>
      </c>
      <c r="C2377" s="1">
        <v>0</v>
      </c>
      <c r="D2377" s="39">
        <v>49</v>
      </c>
      <c r="E2377" s="1"/>
      <c r="F2377" s="39">
        <f>E2377+F2353</f>
        <v>4</v>
      </c>
      <c r="G2377" s="497"/>
      <c r="H2377" s="497"/>
      <c r="J2377" s="42"/>
    </row>
    <row r="2378" spans="1:10" s="360" customFormat="1" x14ac:dyDescent="0.25">
      <c r="A2378" s="361" t="s">
        <v>16</v>
      </c>
      <c r="B2378" s="2">
        <v>43992</v>
      </c>
      <c r="C2378" s="1">
        <v>621</v>
      </c>
      <c r="D2378" s="39">
        <v>10209</v>
      </c>
      <c r="E2378" s="1">
        <v>7</v>
      </c>
      <c r="F2378" s="39">
        <f>E2378+F2354</f>
        <v>308</v>
      </c>
      <c r="G2378" s="497"/>
      <c r="H2378" s="497"/>
      <c r="J2378" s="42"/>
    </row>
    <row r="2379" spans="1:10" s="360" customFormat="1" x14ac:dyDescent="0.25">
      <c r="A2379" s="19" t="s">
        <v>28</v>
      </c>
      <c r="B2379" s="2">
        <v>43992</v>
      </c>
      <c r="C2379" s="1">
        <v>0</v>
      </c>
      <c r="D2379" s="39">
        <v>0</v>
      </c>
      <c r="E2379" s="1"/>
      <c r="F2379" s="39">
        <f t="shared" ref="F2379:F2385" si="139">E2379+F2355</f>
        <v>0</v>
      </c>
      <c r="G2379" s="497"/>
      <c r="H2379" s="497"/>
      <c r="J2379" s="42"/>
    </row>
    <row r="2380" spans="1:10" s="360" customFormat="1" x14ac:dyDescent="0.25">
      <c r="A2380" s="19" t="s">
        <v>15</v>
      </c>
      <c r="B2380" s="2">
        <v>43992</v>
      </c>
      <c r="C2380" s="1">
        <v>45</v>
      </c>
      <c r="D2380" s="39">
        <v>1163</v>
      </c>
      <c r="E2380" s="1"/>
      <c r="F2380" s="39">
        <f t="shared" si="139"/>
        <v>64</v>
      </c>
      <c r="G2380" s="497"/>
      <c r="H2380" s="497"/>
      <c r="J2380" s="42"/>
    </row>
    <row r="2381" spans="1:10" s="360" customFormat="1" x14ac:dyDescent="0.25">
      <c r="A2381" s="19" t="s">
        <v>29</v>
      </c>
      <c r="B2381" s="2">
        <v>43992</v>
      </c>
      <c r="C2381" s="1">
        <v>0</v>
      </c>
      <c r="D2381" s="39">
        <v>26</v>
      </c>
      <c r="E2381" s="1"/>
      <c r="F2381" s="39">
        <f t="shared" si="139"/>
        <v>1</v>
      </c>
      <c r="G2381" s="497"/>
      <c r="H2381" s="497"/>
      <c r="J2381" s="42"/>
    </row>
    <row r="2382" spans="1:10" s="360" customFormat="1" x14ac:dyDescent="0.25">
      <c r="A2382" s="19" t="s">
        <v>43</v>
      </c>
      <c r="B2382" s="2">
        <v>43992</v>
      </c>
      <c r="C2382" s="1">
        <v>521</v>
      </c>
      <c r="D2382" s="39">
        <v>12483</v>
      </c>
      <c r="E2382" s="1">
        <v>11</v>
      </c>
      <c r="F2382" s="39">
        <f>E2382+F2358</f>
        <v>273</v>
      </c>
      <c r="G2382" s="497"/>
      <c r="H2382" s="497"/>
      <c r="J2382" s="42"/>
    </row>
    <row r="2383" spans="1:10" s="360" customFormat="1" x14ac:dyDescent="0.25">
      <c r="A2383" s="19" t="s">
        <v>20</v>
      </c>
      <c r="B2383" s="2">
        <v>43992</v>
      </c>
      <c r="C2383" s="1">
        <v>5</v>
      </c>
      <c r="D2383" s="39">
        <v>474</v>
      </c>
      <c r="E2383" s="1"/>
      <c r="F2383" s="39">
        <f t="shared" si="139"/>
        <v>30</v>
      </c>
      <c r="G2383" s="497"/>
      <c r="H2383" s="497"/>
      <c r="J2383" s="42"/>
    </row>
    <row r="2384" spans="1:10" s="360" customFormat="1" x14ac:dyDescent="0.25">
      <c r="A2384" s="19" t="s">
        <v>30</v>
      </c>
      <c r="B2384" s="2">
        <v>43992</v>
      </c>
      <c r="C2384" s="1">
        <v>0</v>
      </c>
      <c r="D2384" s="39">
        <v>97</v>
      </c>
      <c r="E2384" s="1"/>
      <c r="F2384" s="39">
        <f t="shared" si="139"/>
        <v>0</v>
      </c>
      <c r="G2384" s="497"/>
      <c r="H2384" s="497"/>
      <c r="J2384" s="42"/>
    </row>
    <row r="2385" spans="1:10" x14ac:dyDescent="0.25">
      <c r="A2385" s="19" t="s">
        <v>31</v>
      </c>
      <c r="B2385" s="2">
        <v>43992</v>
      </c>
      <c r="C2385" s="1">
        <v>4</v>
      </c>
      <c r="D2385" s="39">
        <v>59</v>
      </c>
      <c r="F2385" s="39">
        <f t="shared" si="139"/>
        <v>0</v>
      </c>
    </row>
    <row r="2386" spans="1:10" s="360" customFormat="1" x14ac:dyDescent="0.25">
      <c r="A2386" s="19" t="s">
        <v>41</v>
      </c>
      <c r="B2386" s="2">
        <v>43992</v>
      </c>
      <c r="C2386" s="1">
        <v>0</v>
      </c>
      <c r="D2386" s="39">
        <v>0</v>
      </c>
      <c r="E2386" s="1"/>
      <c r="F2386" s="39">
        <f t="shared" ref="F2386:F2400" si="140">E2386+F2361</f>
        <v>0</v>
      </c>
      <c r="G2386" s="497"/>
      <c r="H2386" s="497"/>
      <c r="J2386" s="42"/>
    </row>
    <row r="2387" spans="1:10" s="360" customFormat="1" x14ac:dyDescent="0.25">
      <c r="A2387" s="19" t="s">
        <v>32</v>
      </c>
      <c r="B2387" s="2">
        <v>43992</v>
      </c>
      <c r="C2387" s="1">
        <v>0</v>
      </c>
      <c r="D2387" s="39">
        <v>8</v>
      </c>
      <c r="E2387" s="1"/>
      <c r="F2387" s="39">
        <f t="shared" si="140"/>
        <v>0</v>
      </c>
      <c r="G2387" s="497"/>
      <c r="H2387" s="497"/>
      <c r="J2387" s="42"/>
    </row>
    <row r="2388" spans="1:10" s="360" customFormat="1" x14ac:dyDescent="0.25">
      <c r="A2388" s="19" t="s">
        <v>33</v>
      </c>
      <c r="B2388" s="2">
        <v>43992</v>
      </c>
      <c r="C2388" s="1">
        <v>0</v>
      </c>
      <c r="D2388" s="39">
        <v>5</v>
      </c>
      <c r="E2388" s="1"/>
      <c r="F2388" s="39">
        <f t="shared" si="140"/>
        <v>0</v>
      </c>
      <c r="G2388" s="497"/>
      <c r="H2388" s="497"/>
      <c r="J2388" s="42"/>
    </row>
    <row r="2389" spans="1:10" s="360" customFormat="1" x14ac:dyDescent="0.25">
      <c r="A2389" s="19" t="s">
        <v>21</v>
      </c>
      <c r="B2389" s="2">
        <v>43992</v>
      </c>
      <c r="C2389" s="1">
        <v>0</v>
      </c>
      <c r="D2389" s="39">
        <v>64</v>
      </c>
      <c r="E2389" s="1"/>
      <c r="F2389" s="39">
        <f t="shared" si="140"/>
        <v>0</v>
      </c>
      <c r="G2389" s="497"/>
      <c r="H2389" s="497"/>
      <c r="J2389" s="42"/>
    </row>
    <row r="2390" spans="1:10" s="360" customFormat="1" x14ac:dyDescent="0.25">
      <c r="A2390" s="19" t="s">
        <v>17</v>
      </c>
      <c r="B2390" s="2">
        <v>43992</v>
      </c>
      <c r="C2390" s="1">
        <v>0</v>
      </c>
      <c r="D2390" s="39">
        <v>103</v>
      </c>
      <c r="E2390" s="1"/>
      <c r="F2390" s="39">
        <f t="shared" si="140"/>
        <v>0</v>
      </c>
      <c r="G2390" s="497"/>
      <c r="H2390" s="497"/>
      <c r="J2390" s="42"/>
    </row>
    <row r="2391" spans="1:10" s="360" customFormat="1" x14ac:dyDescent="0.25">
      <c r="A2391" s="19" t="s">
        <v>23</v>
      </c>
      <c r="B2391" s="2">
        <v>43992</v>
      </c>
      <c r="C2391" s="1">
        <v>0</v>
      </c>
      <c r="D2391" s="39">
        <v>38</v>
      </c>
      <c r="E2391" s="1"/>
      <c r="F2391" s="39">
        <f t="shared" si="140"/>
        <v>0</v>
      </c>
      <c r="G2391" s="497"/>
      <c r="H2391" s="497"/>
      <c r="J2391" s="42"/>
    </row>
    <row r="2392" spans="1:10" s="360" customFormat="1" x14ac:dyDescent="0.25">
      <c r="A2392" s="19" t="s">
        <v>19</v>
      </c>
      <c r="B2392" s="2">
        <v>43992</v>
      </c>
      <c r="C2392" s="1">
        <v>10</v>
      </c>
      <c r="D2392" s="39">
        <v>167</v>
      </c>
      <c r="E2392" s="1"/>
      <c r="F2392" s="39">
        <f t="shared" si="140"/>
        <v>1</v>
      </c>
      <c r="G2392" s="497"/>
      <c r="H2392" s="497"/>
      <c r="J2392" s="42"/>
    </row>
    <row r="2393" spans="1:10" s="360" customFormat="1" x14ac:dyDescent="0.25">
      <c r="A2393" s="19" t="s">
        <v>18</v>
      </c>
      <c r="B2393" s="2">
        <v>43992</v>
      </c>
      <c r="C2393" s="1">
        <v>12</v>
      </c>
      <c r="D2393" s="39">
        <v>503</v>
      </c>
      <c r="E2393" s="1"/>
      <c r="F2393" s="39">
        <f t="shared" si="140"/>
        <v>0</v>
      </c>
      <c r="G2393" s="497"/>
      <c r="H2393" s="497"/>
      <c r="J2393" s="42"/>
    </row>
    <row r="2394" spans="1:10" s="360" customFormat="1" x14ac:dyDescent="0.25">
      <c r="A2394" s="19" t="s">
        <v>34</v>
      </c>
      <c r="B2394" s="2">
        <v>43992</v>
      </c>
      <c r="C2394" s="1">
        <v>3</v>
      </c>
      <c r="D2394" s="39">
        <v>19</v>
      </c>
      <c r="E2394" s="1"/>
      <c r="F2394" s="39">
        <f t="shared" si="140"/>
        <v>1</v>
      </c>
      <c r="G2394" s="497"/>
      <c r="H2394" s="497"/>
      <c r="J2394" s="42"/>
    </row>
    <row r="2395" spans="1:10" s="360" customFormat="1" x14ac:dyDescent="0.25">
      <c r="A2395" s="19" t="s">
        <v>35</v>
      </c>
      <c r="B2395" s="2">
        <v>43992</v>
      </c>
      <c r="C2395" s="1">
        <v>1</v>
      </c>
      <c r="D2395" s="39">
        <v>6</v>
      </c>
      <c r="E2395" s="1"/>
      <c r="F2395" s="39">
        <f>E2395+F2371</f>
        <v>0</v>
      </c>
      <c r="G2395" s="497"/>
      <c r="H2395" s="497"/>
      <c r="J2395" s="42"/>
    </row>
    <row r="2396" spans="1:10" s="360" customFormat="1" x14ac:dyDescent="0.25">
      <c r="A2396" s="19" t="s">
        <v>36</v>
      </c>
      <c r="B2396" s="2">
        <v>43992</v>
      </c>
      <c r="C2396" s="1">
        <v>0</v>
      </c>
      <c r="D2396" s="39">
        <v>11</v>
      </c>
      <c r="E2396" s="1"/>
      <c r="F2396" s="39">
        <f t="shared" si="140"/>
        <v>0</v>
      </c>
      <c r="G2396" s="497"/>
      <c r="H2396" s="497"/>
      <c r="J2396" s="42"/>
    </row>
    <row r="2397" spans="1:10" s="360" customFormat="1" x14ac:dyDescent="0.25">
      <c r="A2397" s="19" t="s">
        <v>37</v>
      </c>
      <c r="B2397" s="2">
        <v>43992</v>
      </c>
      <c r="C2397" s="1">
        <v>0</v>
      </c>
      <c r="D2397" s="39">
        <v>51</v>
      </c>
      <c r="E2397" s="1"/>
      <c r="F2397" s="39">
        <f t="shared" si="140"/>
        <v>0</v>
      </c>
      <c r="G2397" s="497"/>
      <c r="H2397" s="497"/>
      <c r="J2397" s="42"/>
    </row>
    <row r="2398" spans="1:10" s="360" customFormat="1" x14ac:dyDescent="0.25">
      <c r="A2398" s="19" t="s">
        <v>22</v>
      </c>
      <c r="B2398" s="2">
        <v>43992</v>
      </c>
      <c r="C2398" s="1">
        <v>4</v>
      </c>
      <c r="D2398" s="39">
        <v>282</v>
      </c>
      <c r="E2398" s="1"/>
      <c r="F2398" s="39">
        <f>E2398+F2374</f>
        <v>3</v>
      </c>
      <c r="G2398" s="497"/>
      <c r="H2398" s="497"/>
      <c r="J2398" s="42"/>
    </row>
    <row r="2399" spans="1:10" s="360" customFormat="1" x14ac:dyDescent="0.25">
      <c r="A2399" s="19" t="s">
        <v>38</v>
      </c>
      <c r="B2399" s="2">
        <v>43992</v>
      </c>
      <c r="C2399" s="1">
        <v>0</v>
      </c>
      <c r="D2399" s="39">
        <v>22</v>
      </c>
      <c r="E2399" s="1"/>
      <c r="F2399" s="39">
        <f>E2399+F2375</f>
        <v>0</v>
      </c>
      <c r="G2399" s="497"/>
      <c r="H2399" s="497"/>
      <c r="J2399" s="42"/>
    </row>
    <row r="2400" spans="1:10" s="360" customFormat="1" x14ac:dyDescent="0.25">
      <c r="A2400" s="19" t="s">
        <v>39</v>
      </c>
      <c r="B2400" s="2">
        <v>43992</v>
      </c>
      <c r="C2400" s="1">
        <v>0</v>
      </c>
      <c r="D2400" s="39">
        <v>149</v>
      </c>
      <c r="E2400" s="1"/>
      <c r="F2400" s="39">
        <f t="shared" si="140"/>
        <v>0</v>
      </c>
      <c r="G2400" s="497"/>
      <c r="H2400" s="497"/>
      <c r="J2400" s="42"/>
    </row>
    <row r="2401" spans="1:10" s="360" customFormat="1" x14ac:dyDescent="0.25">
      <c r="A2401" s="19" t="s">
        <v>40</v>
      </c>
      <c r="B2401" s="2">
        <v>43992</v>
      </c>
      <c r="C2401" s="1">
        <v>0</v>
      </c>
      <c r="D2401" s="39">
        <v>49</v>
      </c>
      <c r="E2401" s="1"/>
      <c r="F2401" s="39">
        <f>E2401+F2377</f>
        <v>4</v>
      </c>
      <c r="G2401" s="497"/>
      <c r="H2401" s="497"/>
      <c r="J2401" s="42"/>
    </row>
    <row r="2402" spans="1:10" s="360" customFormat="1" x14ac:dyDescent="0.25">
      <c r="A2402" s="361" t="s">
        <v>16</v>
      </c>
      <c r="B2402" s="2">
        <v>43993</v>
      </c>
      <c r="C2402" s="1">
        <v>756</v>
      </c>
      <c r="D2402" s="39">
        <v>10965</v>
      </c>
      <c r="E2402" s="1">
        <v>19</v>
      </c>
      <c r="F2402" s="39">
        <f>E2402+F2378</f>
        <v>327</v>
      </c>
      <c r="G2402" s="497"/>
      <c r="H2402" s="497"/>
      <c r="J2402" s="42"/>
    </row>
    <row r="2403" spans="1:10" s="360" customFormat="1" x14ac:dyDescent="0.25">
      <c r="A2403" s="19" t="s">
        <v>28</v>
      </c>
      <c r="B2403" s="2">
        <v>43993</v>
      </c>
      <c r="C2403" s="1">
        <v>0</v>
      </c>
      <c r="D2403" s="39">
        <v>0</v>
      </c>
      <c r="E2403" s="1"/>
      <c r="F2403" s="39">
        <f t="shared" ref="F2403:F2409" si="141">E2403+F2379</f>
        <v>0</v>
      </c>
      <c r="G2403" s="497"/>
      <c r="H2403" s="497"/>
      <c r="J2403" s="42"/>
    </row>
    <row r="2404" spans="1:10" s="360" customFormat="1" x14ac:dyDescent="0.25">
      <c r="A2404" s="19" t="s">
        <v>15</v>
      </c>
      <c r="B2404" s="2">
        <v>43993</v>
      </c>
      <c r="C2404" s="1">
        <v>48</v>
      </c>
      <c r="D2404" s="39">
        <v>1211</v>
      </c>
      <c r="E2404" s="1">
        <v>1</v>
      </c>
      <c r="F2404" s="39">
        <f t="shared" si="141"/>
        <v>65</v>
      </c>
      <c r="G2404" s="497"/>
      <c r="H2404" s="497"/>
      <c r="J2404" s="42"/>
    </row>
    <row r="2405" spans="1:10" s="360" customFormat="1" x14ac:dyDescent="0.25">
      <c r="A2405" s="19" t="s">
        <v>29</v>
      </c>
      <c r="B2405" s="2">
        <v>43993</v>
      </c>
      <c r="C2405" s="1">
        <v>0</v>
      </c>
      <c r="D2405" s="39">
        <v>26</v>
      </c>
      <c r="E2405" s="1"/>
      <c r="F2405" s="39">
        <f t="shared" si="141"/>
        <v>1</v>
      </c>
      <c r="G2405" s="497"/>
      <c r="H2405" s="497"/>
      <c r="J2405" s="42"/>
    </row>
    <row r="2406" spans="1:10" s="360" customFormat="1" x14ac:dyDescent="0.25">
      <c r="A2406" s="19" t="s">
        <v>43</v>
      </c>
      <c r="B2406" s="2">
        <v>43993</v>
      </c>
      <c r="C2406" s="1">
        <v>538</v>
      </c>
      <c r="D2406" s="39">
        <v>13021</v>
      </c>
      <c r="E2406" s="1">
        <v>7</v>
      </c>
      <c r="F2406" s="39">
        <f t="shared" si="141"/>
        <v>280</v>
      </c>
      <c r="G2406" s="497"/>
      <c r="H2406" s="497"/>
      <c r="J2406" s="42"/>
    </row>
    <row r="2407" spans="1:10" s="360" customFormat="1" x14ac:dyDescent="0.25">
      <c r="A2407" s="19" t="s">
        <v>20</v>
      </c>
      <c r="B2407" s="2">
        <v>43993</v>
      </c>
      <c r="C2407" s="1">
        <v>3</v>
      </c>
      <c r="D2407" s="39">
        <v>477</v>
      </c>
      <c r="E2407" s="1"/>
      <c r="F2407" s="39">
        <f t="shared" si="141"/>
        <v>30</v>
      </c>
      <c r="G2407" s="497"/>
      <c r="H2407" s="497"/>
      <c r="J2407" s="42"/>
    </row>
    <row r="2408" spans="1:10" s="360" customFormat="1" x14ac:dyDescent="0.25">
      <c r="A2408" s="19" t="s">
        <v>30</v>
      </c>
      <c r="B2408" s="2">
        <v>43993</v>
      </c>
      <c r="C2408" s="1">
        <v>3</v>
      </c>
      <c r="D2408" s="39">
        <v>100</v>
      </c>
      <c r="E2408" s="1"/>
      <c r="F2408" s="39">
        <f t="shared" si="141"/>
        <v>0</v>
      </c>
      <c r="G2408" s="497"/>
      <c r="H2408" s="497"/>
      <c r="J2408" s="42"/>
    </row>
    <row r="2409" spans="1:10" x14ac:dyDescent="0.25">
      <c r="A2409" s="19" t="s">
        <v>31</v>
      </c>
      <c r="B2409" s="2">
        <v>43993</v>
      </c>
      <c r="C2409" s="1">
        <v>6</v>
      </c>
      <c r="D2409" s="39">
        <v>65</v>
      </c>
      <c r="F2409" s="39">
        <f t="shared" si="141"/>
        <v>0</v>
      </c>
    </row>
    <row r="2410" spans="1:10" s="360" customFormat="1" x14ac:dyDescent="0.25">
      <c r="A2410" s="19" t="s">
        <v>41</v>
      </c>
      <c r="B2410" s="2">
        <v>43993</v>
      </c>
      <c r="C2410" s="1">
        <v>0</v>
      </c>
      <c r="D2410" s="39">
        <v>0</v>
      </c>
      <c r="E2410" s="1"/>
      <c r="F2410" s="39">
        <f t="shared" ref="F2410:F2424" si="142">E2410+F2385</f>
        <v>0</v>
      </c>
      <c r="G2410" s="497"/>
      <c r="H2410" s="497"/>
      <c r="J2410" s="42"/>
    </row>
    <row r="2411" spans="1:10" s="360" customFormat="1" x14ac:dyDescent="0.25">
      <c r="A2411" s="19" t="s">
        <v>32</v>
      </c>
      <c r="B2411" s="2">
        <v>43993</v>
      </c>
      <c r="C2411" s="1">
        <v>0</v>
      </c>
      <c r="D2411" s="39">
        <v>8</v>
      </c>
      <c r="E2411" s="1"/>
      <c r="F2411" s="39">
        <f t="shared" si="142"/>
        <v>0</v>
      </c>
      <c r="G2411" s="497"/>
      <c r="H2411" s="497"/>
      <c r="J2411" s="42"/>
    </row>
    <row r="2412" spans="1:10" s="360" customFormat="1" x14ac:dyDescent="0.25">
      <c r="A2412" s="19" t="s">
        <v>33</v>
      </c>
      <c r="B2412" s="2">
        <v>43993</v>
      </c>
      <c r="C2412" s="1">
        <v>0</v>
      </c>
      <c r="D2412" s="39">
        <v>5</v>
      </c>
      <c r="E2412" s="1"/>
      <c r="F2412" s="39">
        <f t="shared" si="142"/>
        <v>0</v>
      </c>
      <c r="G2412" s="497"/>
      <c r="H2412" s="497"/>
      <c r="J2412" s="42"/>
    </row>
    <row r="2413" spans="1:10" s="360" customFormat="1" x14ac:dyDescent="0.25">
      <c r="A2413" s="19" t="s">
        <v>21</v>
      </c>
      <c r="B2413" s="2">
        <v>43993</v>
      </c>
      <c r="C2413" s="1">
        <v>0</v>
      </c>
      <c r="D2413" s="39">
        <v>64</v>
      </c>
      <c r="E2413" s="1"/>
      <c r="F2413" s="39">
        <f t="shared" si="142"/>
        <v>0</v>
      </c>
      <c r="G2413" s="497"/>
      <c r="H2413" s="497"/>
      <c r="J2413" s="42"/>
    </row>
    <row r="2414" spans="1:10" s="360" customFormat="1" x14ac:dyDescent="0.25">
      <c r="A2414" s="19" t="s">
        <v>17</v>
      </c>
      <c r="B2414" s="2">
        <v>43993</v>
      </c>
      <c r="C2414" s="1">
        <v>1</v>
      </c>
      <c r="D2414" s="39">
        <v>104</v>
      </c>
      <c r="E2414" s="1"/>
      <c r="F2414" s="39">
        <f t="shared" si="142"/>
        <v>0</v>
      </c>
      <c r="G2414" s="497"/>
      <c r="H2414" s="497"/>
      <c r="J2414" s="42"/>
    </row>
    <row r="2415" spans="1:10" s="360" customFormat="1" x14ac:dyDescent="0.25">
      <c r="A2415" s="19" t="s">
        <v>23</v>
      </c>
      <c r="B2415" s="2">
        <v>43993</v>
      </c>
      <c r="C2415" s="1">
        <v>1</v>
      </c>
      <c r="D2415" s="39">
        <v>39</v>
      </c>
      <c r="E2415" s="1">
        <v>1</v>
      </c>
      <c r="F2415" s="39">
        <f t="shared" si="142"/>
        <v>1</v>
      </c>
      <c r="G2415" s="497"/>
      <c r="H2415" s="497"/>
      <c r="J2415" s="42"/>
    </row>
    <row r="2416" spans="1:10" s="360" customFormat="1" x14ac:dyDescent="0.25">
      <c r="A2416" s="19" t="s">
        <v>19</v>
      </c>
      <c r="B2416" s="2">
        <v>43993</v>
      </c>
      <c r="C2416" s="1">
        <v>14</v>
      </c>
      <c r="D2416" s="39">
        <v>181</v>
      </c>
      <c r="E2416" s="1"/>
      <c r="F2416" s="39">
        <f t="shared" si="142"/>
        <v>0</v>
      </c>
      <c r="G2416" s="497"/>
      <c r="H2416" s="497"/>
      <c r="J2416" s="42"/>
    </row>
    <row r="2417" spans="1:10" s="360" customFormat="1" x14ac:dyDescent="0.25">
      <c r="A2417" s="19" t="s">
        <v>18</v>
      </c>
      <c r="B2417" s="2">
        <v>43993</v>
      </c>
      <c r="C2417" s="1">
        <v>14</v>
      </c>
      <c r="D2417" s="39">
        <v>517</v>
      </c>
      <c r="E2417" s="1">
        <v>1</v>
      </c>
      <c r="F2417" s="39">
        <f t="shared" si="142"/>
        <v>2</v>
      </c>
      <c r="G2417" s="497"/>
      <c r="H2417" s="497"/>
      <c r="J2417" s="42"/>
    </row>
    <row r="2418" spans="1:10" s="360" customFormat="1" x14ac:dyDescent="0.25">
      <c r="A2418" s="19" t="s">
        <v>34</v>
      </c>
      <c r="B2418" s="2">
        <v>43993</v>
      </c>
      <c r="C2418" s="1">
        <v>-2</v>
      </c>
      <c r="D2418" s="39">
        <v>17</v>
      </c>
      <c r="E2418" s="1"/>
      <c r="F2418" s="39">
        <f t="shared" si="142"/>
        <v>0</v>
      </c>
      <c r="G2418" s="497"/>
      <c r="H2418" s="497"/>
      <c r="J2418" s="42"/>
    </row>
    <row r="2419" spans="1:10" s="360" customFormat="1" x14ac:dyDescent="0.25">
      <c r="A2419" s="19" t="s">
        <v>35</v>
      </c>
      <c r="B2419" s="2">
        <v>43993</v>
      </c>
      <c r="C2419" s="1">
        <v>0</v>
      </c>
      <c r="D2419" s="39">
        <v>6</v>
      </c>
      <c r="E2419" s="1"/>
      <c r="F2419" s="39">
        <f>E2419+F2395</f>
        <v>0</v>
      </c>
      <c r="G2419" s="497"/>
      <c r="H2419" s="497"/>
      <c r="J2419" s="42"/>
    </row>
    <row r="2420" spans="1:10" s="360" customFormat="1" x14ac:dyDescent="0.25">
      <c r="A2420" s="19" t="s">
        <v>36</v>
      </c>
      <c r="B2420" s="2">
        <v>43993</v>
      </c>
      <c r="C2420" s="1">
        <v>0</v>
      </c>
      <c r="D2420" s="39">
        <v>11</v>
      </c>
      <c r="E2420" s="1"/>
      <c r="F2420" s="39">
        <f t="shared" si="142"/>
        <v>0</v>
      </c>
      <c r="G2420" s="497"/>
      <c r="H2420" s="497"/>
      <c r="J2420" s="42"/>
    </row>
    <row r="2421" spans="1:10" s="360" customFormat="1" x14ac:dyDescent="0.25">
      <c r="A2421" s="19" t="s">
        <v>37</v>
      </c>
      <c r="B2421" s="2">
        <v>43993</v>
      </c>
      <c r="C2421" s="1">
        <v>0</v>
      </c>
      <c r="D2421" s="39">
        <v>51</v>
      </c>
      <c r="E2421" s="1"/>
      <c r="F2421" s="39">
        <f t="shared" si="142"/>
        <v>0</v>
      </c>
      <c r="G2421" s="497"/>
      <c r="H2421" s="497"/>
      <c r="J2421" s="42"/>
    </row>
    <row r="2422" spans="1:10" s="360" customFormat="1" x14ac:dyDescent="0.25">
      <c r="A2422" s="19" t="s">
        <v>22</v>
      </c>
      <c r="B2422" s="2">
        <v>43993</v>
      </c>
      <c r="C2422" s="1">
        <v>2</v>
      </c>
      <c r="D2422" s="39">
        <v>284</v>
      </c>
      <c r="E2422" s="1"/>
      <c r="F2422" s="39">
        <f>E2422+F2398</f>
        <v>3</v>
      </c>
      <c r="G2422" s="497"/>
      <c r="H2422" s="497"/>
      <c r="J2422" s="42"/>
    </row>
    <row r="2423" spans="1:10" s="360" customFormat="1" x14ac:dyDescent="0.25">
      <c r="A2423" s="19" t="s">
        <v>38</v>
      </c>
      <c r="B2423" s="2">
        <v>43993</v>
      </c>
      <c r="C2423" s="1">
        <v>0</v>
      </c>
      <c r="D2423" s="39">
        <v>22</v>
      </c>
      <c r="E2423" s="1"/>
      <c r="F2423" s="39">
        <f>E2423+F2399</f>
        <v>0</v>
      </c>
      <c r="G2423" s="497"/>
      <c r="H2423" s="497"/>
      <c r="J2423" s="42"/>
    </row>
    <row r="2424" spans="1:10" s="360" customFormat="1" x14ac:dyDescent="0.25">
      <c r="A2424" s="19" t="s">
        <v>39</v>
      </c>
      <c r="B2424" s="2">
        <v>43993</v>
      </c>
      <c r="C2424" s="1">
        <v>0</v>
      </c>
      <c r="D2424" s="39">
        <v>149</v>
      </c>
      <c r="E2424" s="1"/>
      <c r="F2424" s="39">
        <f t="shared" si="142"/>
        <v>0</v>
      </c>
      <c r="G2424" s="497"/>
      <c r="H2424" s="497"/>
      <c r="J2424" s="42"/>
    </row>
    <row r="2425" spans="1:10" s="360" customFormat="1" x14ac:dyDescent="0.25">
      <c r="A2425" s="19" t="s">
        <v>40</v>
      </c>
      <c r="B2425" s="2">
        <v>43993</v>
      </c>
      <c r="C2425" s="1">
        <v>0</v>
      </c>
      <c r="D2425" s="39">
        <v>49</v>
      </c>
      <c r="E2425" s="1"/>
      <c r="F2425" s="39">
        <f>E2425+F2401</f>
        <v>4</v>
      </c>
      <c r="G2425" s="497"/>
      <c r="H2425" s="497"/>
      <c r="J2425" s="42"/>
    </row>
    <row r="2426" spans="1:10" s="360" customFormat="1" x14ac:dyDescent="0.25">
      <c r="A2426" s="361" t="s">
        <v>16</v>
      </c>
      <c r="B2426" s="2">
        <v>43994</v>
      </c>
      <c r="C2426" s="1">
        <v>745</v>
      </c>
      <c r="D2426" s="39">
        <v>11710</v>
      </c>
      <c r="E2426" s="1">
        <v>11</v>
      </c>
      <c r="F2426" s="39">
        <f>E2426+F2402</f>
        <v>338</v>
      </c>
      <c r="G2426" s="497"/>
      <c r="H2426" s="497"/>
      <c r="J2426" s="42"/>
    </row>
    <row r="2427" spans="1:10" s="360" customFormat="1" x14ac:dyDescent="0.25">
      <c r="A2427" s="19" t="s">
        <v>28</v>
      </c>
      <c r="B2427" s="2">
        <v>43994</v>
      </c>
      <c r="C2427" s="1">
        <v>0</v>
      </c>
      <c r="D2427" s="39">
        <v>0</v>
      </c>
      <c r="E2427" s="1"/>
      <c r="F2427" s="39">
        <f t="shared" ref="F2427:F2433" si="143">E2427+F2403</f>
        <v>0</v>
      </c>
      <c r="G2427" s="497"/>
      <c r="H2427" s="497"/>
      <c r="J2427" s="42"/>
    </row>
    <row r="2428" spans="1:10" s="360" customFormat="1" x14ac:dyDescent="0.25">
      <c r="A2428" s="19" t="s">
        <v>15</v>
      </c>
      <c r="B2428" s="2">
        <v>43994</v>
      </c>
      <c r="C2428" s="1">
        <v>39</v>
      </c>
      <c r="D2428" s="39">
        <v>1250</v>
      </c>
      <c r="E2428" s="1">
        <v>3</v>
      </c>
      <c r="F2428" s="39">
        <f t="shared" si="143"/>
        <v>68</v>
      </c>
      <c r="G2428" s="497"/>
      <c r="H2428" s="497"/>
      <c r="J2428" s="42"/>
    </row>
    <row r="2429" spans="1:10" s="360" customFormat="1" x14ac:dyDescent="0.25">
      <c r="A2429" s="19" t="s">
        <v>29</v>
      </c>
      <c r="B2429" s="2">
        <v>43994</v>
      </c>
      <c r="C2429" s="1">
        <v>4</v>
      </c>
      <c r="D2429" s="39">
        <v>30</v>
      </c>
      <c r="E2429" s="1">
        <v>1</v>
      </c>
      <c r="F2429" s="39">
        <f t="shared" si="143"/>
        <v>2</v>
      </c>
      <c r="G2429" s="497"/>
      <c r="H2429" s="497"/>
      <c r="J2429" s="42"/>
    </row>
    <row r="2430" spans="1:10" s="360" customFormat="1" x14ac:dyDescent="0.25">
      <c r="A2430" s="19" t="s">
        <v>43</v>
      </c>
      <c r="B2430" s="2">
        <v>43994</v>
      </c>
      <c r="C2430" s="1">
        <v>565</v>
      </c>
      <c r="D2430" s="39">
        <v>13586</v>
      </c>
      <c r="E2430" s="1">
        <v>4</v>
      </c>
      <c r="F2430" s="39">
        <f t="shared" si="143"/>
        <v>284</v>
      </c>
      <c r="G2430" s="497"/>
      <c r="H2430" s="497"/>
      <c r="J2430" s="42"/>
    </row>
    <row r="2431" spans="1:10" s="360" customFormat="1" x14ac:dyDescent="0.25">
      <c r="A2431" s="19" t="s">
        <v>20</v>
      </c>
      <c r="B2431" s="2">
        <v>43994</v>
      </c>
      <c r="C2431" s="1">
        <v>9</v>
      </c>
      <c r="D2431" s="39">
        <v>486</v>
      </c>
      <c r="E2431" s="1">
        <v>1</v>
      </c>
      <c r="F2431" s="39">
        <f t="shared" si="143"/>
        <v>31</v>
      </c>
      <c r="G2431" s="497"/>
      <c r="H2431" s="497"/>
      <c r="J2431" s="42"/>
    </row>
    <row r="2432" spans="1:10" s="360" customFormat="1" x14ac:dyDescent="0.25">
      <c r="A2432" s="19" t="s">
        <v>30</v>
      </c>
      <c r="B2432" s="2">
        <v>43994</v>
      </c>
      <c r="C2432" s="1">
        <v>0</v>
      </c>
      <c r="D2432" s="39">
        <v>100</v>
      </c>
      <c r="E2432" s="1"/>
      <c r="F2432" s="39">
        <f t="shared" si="143"/>
        <v>0</v>
      </c>
      <c r="G2432" s="497"/>
      <c r="H2432" s="497"/>
      <c r="J2432" s="42"/>
    </row>
    <row r="2433" spans="1:10" x14ac:dyDescent="0.25">
      <c r="A2433" s="19" t="s">
        <v>31</v>
      </c>
      <c r="B2433" s="2">
        <v>43994</v>
      </c>
      <c r="C2433" s="1">
        <v>4</v>
      </c>
      <c r="D2433" s="39">
        <v>69</v>
      </c>
      <c r="F2433" s="39">
        <f t="shared" si="143"/>
        <v>0</v>
      </c>
    </row>
    <row r="2434" spans="1:10" s="360" customFormat="1" x14ac:dyDescent="0.25">
      <c r="A2434" s="19" t="s">
        <v>41</v>
      </c>
      <c r="B2434" s="2">
        <v>43994</v>
      </c>
      <c r="C2434" s="1">
        <v>1</v>
      </c>
      <c r="D2434" s="39">
        <v>1</v>
      </c>
      <c r="E2434" s="1"/>
      <c r="F2434" s="39">
        <f t="shared" ref="F2434:F2448" si="144">E2434+F2409</f>
        <v>0</v>
      </c>
      <c r="G2434" s="497"/>
      <c r="H2434" s="497"/>
      <c r="J2434" s="42"/>
    </row>
    <row r="2435" spans="1:10" s="360" customFormat="1" x14ac:dyDescent="0.25">
      <c r="A2435" s="19" t="s">
        <v>32</v>
      </c>
      <c r="B2435" s="2">
        <v>43994</v>
      </c>
      <c r="C2435" s="1">
        <v>0</v>
      </c>
      <c r="D2435" s="39">
        <v>8</v>
      </c>
      <c r="E2435" s="1"/>
      <c r="F2435" s="39">
        <f t="shared" si="144"/>
        <v>0</v>
      </c>
      <c r="G2435" s="497"/>
      <c r="H2435" s="497"/>
      <c r="J2435" s="42"/>
    </row>
    <row r="2436" spans="1:10" s="360" customFormat="1" x14ac:dyDescent="0.25">
      <c r="A2436" s="19" t="s">
        <v>33</v>
      </c>
      <c r="B2436" s="2">
        <v>43994</v>
      </c>
      <c r="C2436" s="1">
        <v>0</v>
      </c>
      <c r="D2436" s="39">
        <v>5</v>
      </c>
      <c r="E2436" s="1"/>
      <c r="F2436" s="39">
        <f t="shared" si="144"/>
        <v>0</v>
      </c>
      <c r="G2436" s="497"/>
      <c r="H2436" s="497"/>
      <c r="J2436" s="42"/>
    </row>
    <row r="2437" spans="1:10" s="360" customFormat="1" x14ac:dyDescent="0.25">
      <c r="A2437" s="19" t="s">
        <v>21</v>
      </c>
      <c r="B2437" s="2">
        <v>43994</v>
      </c>
      <c r="C2437" s="1">
        <v>0</v>
      </c>
      <c r="D2437" s="39">
        <v>64</v>
      </c>
      <c r="E2437" s="1"/>
      <c r="F2437" s="39">
        <f t="shared" si="144"/>
        <v>0</v>
      </c>
      <c r="G2437" s="497"/>
      <c r="H2437" s="497"/>
      <c r="J2437" s="42"/>
    </row>
    <row r="2438" spans="1:10" s="360" customFormat="1" x14ac:dyDescent="0.25">
      <c r="A2438" s="19" t="s">
        <v>17</v>
      </c>
      <c r="B2438" s="2">
        <v>43994</v>
      </c>
      <c r="C2438" s="1">
        <v>2</v>
      </c>
      <c r="D2438" s="39">
        <v>106</v>
      </c>
      <c r="E2438" s="1"/>
      <c r="F2438" s="39">
        <f t="shared" si="144"/>
        <v>0</v>
      </c>
      <c r="G2438" s="497"/>
      <c r="H2438" s="497"/>
      <c r="J2438" s="42"/>
    </row>
    <row r="2439" spans="1:10" s="360" customFormat="1" x14ac:dyDescent="0.25">
      <c r="A2439" s="19" t="s">
        <v>23</v>
      </c>
      <c r="B2439" s="2">
        <v>43994</v>
      </c>
      <c r="C2439" s="1">
        <v>0</v>
      </c>
      <c r="D2439" s="39">
        <v>39</v>
      </c>
      <c r="E2439" s="1"/>
      <c r="F2439" s="39">
        <f t="shared" si="144"/>
        <v>0</v>
      </c>
      <c r="G2439" s="497"/>
      <c r="H2439" s="497"/>
      <c r="J2439" s="42"/>
    </row>
    <row r="2440" spans="1:10" s="360" customFormat="1" x14ac:dyDescent="0.25">
      <c r="A2440" s="19" t="s">
        <v>19</v>
      </c>
      <c r="B2440" s="2">
        <v>43994</v>
      </c>
      <c r="C2440" s="1">
        <v>6</v>
      </c>
      <c r="D2440" s="39">
        <v>187</v>
      </c>
      <c r="E2440" s="1"/>
      <c r="F2440" s="39">
        <f t="shared" si="144"/>
        <v>1</v>
      </c>
      <c r="G2440" s="497"/>
      <c r="H2440" s="497"/>
      <c r="J2440" s="42"/>
    </row>
    <row r="2441" spans="1:10" s="360" customFormat="1" x14ac:dyDescent="0.25">
      <c r="A2441" s="19" t="s">
        <v>18</v>
      </c>
      <c r="B2441" s="2">
        <v>43994</v>
      </c>
      <c r="C2441" s="1">
        <v>16</v>
      </c>
      <c r="D2441" s="39">
        <v>533</v>
      </c>
      <c r="E2441" s="1"/>
      <c r="F2441" s="39">
        <f t="shared" si="144"/>
        <v>0</v>
      </c>
      <c r="G2441" s="497"/>
      <c r="H2441" s="497"/>
      <c r="J2441" s="42"/>
    </row>
    <row r="2442" spans="1:10" s="360" customFormat="1" x14ac:dyDescent="0.25">
      <c r="A2442" s="19" t="s">
        <v>34</v>
      </c>
      <c r="B2442" s="2">
        <v>43994</v>
      </c>
      <c r="C2442" s="1">
        <v>0</v>
      </c>
      <c r="D2442" s="39">
        <v>17</v>
      </c>
      <c r="E2442" s="1"/>
      <c r="F2442" s="39">
        <f t="shared" si="144"/>
        <v>2</v>
      </c>
      <c r="G2442" s="497"/>
      <c r="H2442" s="497"/>
      <c r="J2442" s="42"/>
    </row>
    <row r="2443" spans="1:10" s="360" customFormat="1" x14ac:dyDescent="0.25">
      <c r="A2443" s="19" t="s">
        <v>35</v>
      </c>
      <c r="B2443" s="2">
        <v>43994</v>
      </c>
      <c r="C2443" s="1">
        <v>0</v>
      </c>
      <c r="D2443" s="39">
        <v>6</v>
      </c>
      <c r="E2443" s="1"/>
      <c r="F2443" s="39">
        <f>E2443+F2419</f>
        <v>0</v>
      </c>
      <c r="G2443" s="497"/>
      <c r="H2443" s="497"/>
      <c r="J2443" s="42"/>
    </row>
    <row r="2444" spans="1:10" s="360" customFormat="1" x14ac:dyDescent="0.25">
      <c r="A2444" s="19" t="s">
        <v>36</v>
      </c>
      <c r="B2444" s="2">
        <v>43994</v>
      </c>
      <c r="C2444" s="1">
        <v>0</v>
      </c>
      <c r="D2444" s="39">
        <v>11</v>
      </c>
      <c r="E2444" s="1"/>
      <c r="F2444" s="39">
        <f t="shared" si="144"/>
        <v>0</v>
      </c>
      <c r="G2444" s="497"/>
      <c r="H2444" s="497"/>
      <c r="J2444" s="42"/>
    </row>
    <row r="2445" spans="1:10" s="360" customFormat="1" x14ac:dyDescent="0.25">
      <c r="A2445" s="19" t="s">
        <v>37</v>
      </c>
      <c r="B2445" s="2">
        <v>43994</v>
      </c>
      <c r="C2445" s="1">
        <v>0</v>
      </c>
      <c r="D2445" s="39">
        <v>51</v>
      </c>
      <c r="E2445" s="1"/>
      <c r="F2445" s="39">
        <f t="shared" si="144"/>
        <v>0</v>
      </c>
      <c r="G2445" s="497"/>
      <c r="H2445" s="497"/>
      <c r="J2445" s="42"/>
    </row>
    <row r="2446" spans="1:10" s="360" customFormat="1" x14ac:dyDescent="0.25">
      <c r="A2446" s="19" t="s">
        <v>22</v>
      </c>
      <c r="B2446" s="2">
        <v>43994</v>
      </c>
      <c r="C2446" s="1">
        <v>0</v>
      </c>
      <c r="D2446" s="39">
        <v>284</v>
      </c>
      <c r="E2446" s="1"/>
      <c r="F2446" s="39">
        <f>E2446+F2422</f>
        <v>3</v>
      </c>
      <c r="G2446" s="497"/>
      <c r="H2446" s="497"/>
      <c r="J2446" s="42"/>
    </row>
    <row r="2447" spans="1:10" s="360" customFormat="1" x14ac:dyDescent="0.25">
      <c r="A2447" s="19" t="s">
        <v>38</v>
      </c>
      <c r="B2447" s="2">
        <v>43994</v>
      </c>
      <c r="C2447" s="1">
        <v>0</v>
      </c>
      <c r="D2447" s="39">
        <v>22</v>
      </c>
      <c r="E2447" s="1"/>
      <c r="F2447" s="39">
        <f>E2447+F2423</f>
        <v>0</v>
      </c>
      <c r="G2447" s="497"/>
      <c r="H2447" s="497"/>
      <c r="J2447" s="42"/>
    </row>
    <row r="2448" spans="1:10" s="360" customFormat="1" x14ac:dyDescent="0.25">
      <c r="A2448" s="19" t="s">
        <v>39</v>
      </c>
      <c r="B2448" s="2">
        <v>43994</v>
      </c>
      <c r="C2448" s="1">
        <v>0</v>
      </c>
      <c r="D2448" s="39">
        <v>149</v>
      </c>
      <c r="E2448" s="1"/>
      <c r="F2448" s="39">
        <f t="shared" si="144"/>
        <v>0</v>
      </c>
      <c r="G2448" s="497"/>
      <c r="H2448" s="497"/>
      <c r="J2448" s="42"/>
    </row>
    <row r="2449" spans="1:10" s="360" customFormat="1" x14ac:dyDescent="0.25">
      <c r="A2449" s="19" t="s">
        <v>40</v>
      </c>
      <c r="B2449" s="2">
        <v>43994</v>
      </c>
      <c r="C2449" s="1">
        <v>1</v>
      </c>
      <c r="D2449" s="39">
        <v>50</v>
      </c>
      <c r="E2449" s="1"/>
      <c r="F2449" s="39">
        <f>E2449+F2425</f>
        <v>4</v>
      </c>
      <c r="G2449" s="497"/>
      <c r="H2449" s="497"/>
      <c r="J2449" s="42"/>
    </row>
    <row r="2450" spans="1:10" s="360" customFormat="1" x14ac:dyDescent="0.25">
      <c r="A2450" s="361" t="s">
        <v>16</v>
      </c>
      <c r="B2450" s="2">
        <v>43995</v>
      </c>
      <c r="C2450" s="1">
        <v>849</v>
      </c>
      <c r="D2450" s="39">
        <v>12559</v>
      </c>
      <c r="E2450" s="1">
        <v>19</v>
      </c>
      <c r="F2450" s="39">
        <f>E2450+F2426</f>
        <v>357</v>
      </c>
      <c r="G2450" s="497"/>
      <c r="H2450" s="497"/>
      <c r="J2450" s="42"/>
    </row>
    <row r="2451" spans="1:10" s="360" customFormat="1" x14ac:dyDescent="0.25">
      <c r="A2451" s="19" t="s">
        <v>28</v>
      </c>
      <c r="B2451" s="2">
        <v>43995</v>
      </c>
      <c r="C2451" s="1">
        <v>0</v>
      </c>
      <c r="D2451" s="39">
        <v>0</v>
      </c>
      <c r="E2451" s="1"/>
      <c r="F2451" s="39">
        <f t="shared" ref="F2451:F2457" si="145">E2451+F2427</f>
        <v>0</v>
      </c>
      <c r="G2451" s="497"/>
      <c r="H2451" s="497"/>
      <c r="J2451" s="42"/>
    </row>
    <row r="2452" spans="1:10" s="360" customFormat="1" x14ac:dyDescent="0.25">
      <c r="A2452" s="19" t="s">
        <v>15</v>
      </c>
      <c r="B2452" s="2">
        <v>43995</v>
      </c>
      <c r="C2452" s="1">
        <v>49</v>
      </c>
      <c r="D2452" s="39">
        <v>1299</v>
      </c>
      <c r="E2452" s="1"/>
      <c r="F2452" s="39">
        <f t="shared" si="145"/>
        <v>68</v>
      </c>
      <c r="G2452" s="497"/>
      <c r="H2452" s="497"/>
      <c r="J2452" s="42"/>
    </row>
    <row r="2453" spans="1:10" s="360" customFormat="1" x14ac:dyDescent="0.25">
      <c r="A2453" s="19" t="s">
        <v>29</v>
      </c>
      <c r="B2453" s="2">
        <v>43995</v>
      </c>
      <c r="C2453" s="1">
        <v>9</v>
      </c>
      <c r="D2453" s="39">
        <v>39</v>
      </c>
      <c r="E2453" s="1"/>
      <c r="F2453" s="39">
        <f t="shared" si="145"/>
        <v>2</v>
      </c>
      <c r="G2453" s="497"/>
      <c r="H2453" s="497"/>
      <c r="J2453" s="42"/>
    </row>
    <row r="2454" spans="1:10" s="360" customFormat="1" x14ac:dyDescent="0.25">
      <c r="A2454" s="19" t="s">
        <v>43</v>
      </c>
      <c r="B2454" s="2">
        <v>43995</v>
      </c>
      <c r="C2454" s="1">
        <v>558</v>
      </c>
      <c r="D2454" s="39">
        <v>14144</v>
      </c>
      <c r="E2454" s="1">
        <v>7</v>
      </c>
      <c r="F2454" s="39">
        <f t="shared" si="145"/>
        <v>291</v>
      </c>
      <c r="G2454" s="497"/>
      <c r="H2454" s="497"/>
      <c r="J2454" s="42"/>
    </row>
    <row r="2455" spans="1:10" s="360" customFormat="1" x14ac:dyDescent="0.25">
      <c r="A2455" s="19" t="s">
        <v>20</v>
      </c>
      <c r="B2455" s="2">
        <v>43995</v>
      </c>
      <c r="C2455" s="1">
        <v>6</v>
      </c>
      <c r="D2455" s="39">
        <v>492</v>
      </c>
      <c r="E2455" s="1"/>
      <c r="F2455" s="39">
        <f t="shared" si="145"/>
        <v>31</v>
      </c>
      <c r="G2455" s="497"/>
      <c r="H2455" s="497"/>
      <c r="J2455" s="42"/>
    </row>
    <row r="2456" spans="1:10" s="360" customFormat="1" x14ac:dyDescent="0.25">
      <c r="A2456" s="19" t="s">
        <v>30</v>
      </c>
      <c r="B2456" s="2">
        <v>43995</v>
      </c>
      <c r="C2456" s="1">
        <v>1</v>
      </c>
      <c r="D2456" s="39">
        <v>101</v>
      </c>
      <c r="E2456" s="1"/>
      <c r="F2456" s="39">
        <f t="shared" si="145"/>
        <v>0</v>
      </c>
      <c r="G2456" s="497"/>
      <c r="H2456" s="497"/>
      <c r="J2456" s="42"/>
    </row>
    <row r="2457" spans="1:10" x14ac:dyDescent="0.25">
      <c r="A2457" s="19" t="s">
        <v>31</v>
      </c>
      <c r="B2457" s="2">
        <v>43995</v>
      </c>
      <c r="C2457" s="1">
        <v>2</v>
      </c>
      <c r="D2457" s="39">
        <v>71</v>
      </c>
      <c r="F2457" s="39">
        <f t="shared" si="145"/>
        <v>0</v>
      </c>
    </row>
    <row r="2458" spans="1:10" s="360" customFormat="1" x14ac:dyDescent="0.25">
      <c r="A2458" s="19" t="s">
        <v>41</v>
      </c>
      <c r="B2458" s="2">
        <v>43995</v>
      </c>
      <c r="C2458" s="1">
        <v>26</v>
      </c>
      <c r="D2458" s="39">
        <v>27</v>
      </c>
      <c r="E2458" s="1"/>
      <c r="F2458" s="39">
        <f t="shared" ref="F2458:F2472" si="146">E2458+F2433</f>
        <v>0</v>
      </c>
      <c r="G2458" s="497"/>
      <c r="H2458" s="497"/>
      <c r="J2458" s="42"/>
    </row>
    <row r="2459" spans="1:10" s="360" customFormat="1" x14ac:dyDescent="0.25">
      <c r="A2459" s="19" t="s">
        <v>32</v>
      </c>
      <c r="B2459" s="2">
        <v>43995</v>
      </c>
      <c r="C2459" s="1">
        <v>0</v>
      </c>
      <c r="D2459" s="39">
        <v>8</v>
      </c>
      <c r="E2459" s="1">
        <v>1</v>
      </c>
      <c r="F2459" s="39">
        <f t="shared" si="146"/>
        <v>1</v>
      </c>
      <c r="G2459" s="497"/>
      <c r="H2459" s="497"/>
      <c r="J2459" s="42"/>
    </row>
    <row r="2460" spans="1:10" s="360" customFormat="1" x14ac:dyDescent="0.25">
      <c r="A2460" s="19" t="s">
        <v>33</v>
      </c>
      <c r="B2460" s="2">
        <v>43995</v>
      </c>
      <c r="C2460" s="1">
        <v>0</v>
      </c>
      <c r="D2460" s="39">
        <v>5</v>
      </c>
      <c r="E2460" s="1"/>
      <c r="F2460" s="39">
        <f t="shared" si="146"/>
        <v>0</v>
      </c>
      <c r="G2460" s="497"/>
      <c r="H2460" s="497"/>
      <c r="J2460" s="42"/>
    </row>
    <row r="2461" spans="1:10" s="360" customFormat="1" x14ac:dyDescent="0.25">
      <c r="A2461" s="19" t="s">
        <v>21</v>
      </c>
      <c r="B2461" s="2">
        <v>43995</v>
      </c>
      <c r="C2461" s="1">
        <v>0</v>
      </c>
      <c r="D2461" s="39">
        <v>64</v>
      </c>
      <c r="E2461" s="1"/>
      <c r="F2461" s="39">
        <f t="shared" si="146"/>
        <v>0</v>
      </c>
      <c r="G2461" s="497"/>
      <c r="H2461" s="497"/>
      <c r="J2461" s="42"/>
    </row>
    <row r="2462" spans="1:10" s="360" customFormat="1" x14ac:dyDescent="0.25">
      <c r="A2462" s="19" t="s">
        <v>17</v>
      </c>
      <c r="B2462" s="2">
        <v>43995</v>
      </c>
      <c r="C2462" s="1">
        <v>0</v>
      </c>
      <c r="D2462" s="39">
        <v>106</v>
      </c>
      <c r="E2462" s="1"/>
      <c r="F2462" s="39">
        <f t="shared" si="146"/>
        <v>0</v>
      </c>
      <c r="G2462" s="497"/>
      <c r="H2462" s="497"/>
      <c r="J2462" s="42"/>
    </row>
    <row r="2463" spans="1:10" s="360" customFormat="1" x14ac:dyDescent="0.25">
      <c r="A2463" s="19" t="s">
        <v>23</v>
      </c>
      <c r="B2463" s="2">
        <v>43995</v>
      </c>
      <c r="C2463" s="1">
        <v>0</v>
      </c>
      <c r="D2463" s="39">
        <v>39</v>
      </c>
      <c r="E2463" s="1"/>
      <c r="F2463" s="39">
        <f t="shared" si="146"/>
        <v>0</v>
      </c>
      <c r="G2463" s="497"/>
      <c r="H2463" s="497"/>
      <c r="J2463" s="42"/>
    </row>
    <row r="2464" spans="1:10" s="360" customFormat="1" x14ac:dyDescent="0.25">
      <c r="A2464" s="19" t="s">
        <v>19</v>
      </c>
      <c r="B2464" s="2">
        <v>43995</v>
      </c>
      <c r="C2464" s="1">
        <v>13</v>
      </c>
      <c r="D2464" s="39">
        <v>200</v>
      </c>
      <c r="E2464" s="1"/>
      <c r="F2464" s="39">
        <f t="shared" si="146"/>
        <v>0</v>
      </c>
      <c r="G2464" s="497"/>
      <c r="H2464" s="497"/>
      <c r="J2464" s="42"/>
    </row>
    <row r="2465" spans="1:10" s="360" customFormat="1" x14ac:dyDescent="0.25">
      <c r="A2465" s="19" t="s">
        <v>18</v>
      </c>
      <c r="B2465" s="2">
        <v>43995</v>
      </c>
      <c r="C2465" s="1">
        <v>13</v>
      </c>
      <c r="D2465" s="39">
        <v>546</v>
      </c>
      <c r="E2465" s="1">
        <v>3</v>
      </c>
      <c r="F2465" s="39">
        <f t="shared" si="146"/>
        <v>4</v>
      </c>
      <c r="G2465" s="497"/>
      <c r="H2465" s="497"/>
      <c r="J2465" s="42"/>
    </row>
    <row r="2466" spans="1:10" s="360" customFormat="1" x14ac:dyDescent="0.25">
      <c r="A2466" s="19" t="s">
        <v>34</v>
      </c>
      <c r="B2466" s="2">
        <v>43995</v>
      </c>
      <c r="C2466" s="1">
        <v>2</v>
      </c>
      <c r="D2466" s="39">
        <v>19</v>
      </c>
      <c r="E2466" s="1"/>
      <c r="F2466" s="39">
        <f t="shared" si="146"/>
        <v>0</v>
      </c>
      <c r="G2466" s="497"/>
      <c r="H2466" s="497"/>
      <c r="J2466" s="42"/>
    </row>
    <row r="2467" spans="1:10" s="360" customFormat="1" x14ac:dyDescent="0.25">
      <c r="A2467" s="19" t="s">
        <v>35</v>
      </c>
      <c r="B2467" s="2">
        <v>43995</v>
      </c>
      <c r="C2467" s="1">
        <v>1</v>
      </c>
      <c r="D2467" s="39">
        <v>7</v>
      </c>
      <c r="E2467" s="1"/>
      <c r="F2467" s="39">
        <f>E2467+F2443</f>
        <v>0</v>
      </c>
      <c r="G2467" s="497"/>
      <c r="H2467" s="497"/>
      <c r="J2467" s="42"/>
    </row>
    <row r="2468" spans="1:10" s="360" customFormat="1" x14ac:dyDescent="0.25">
      <c r="A2468" s="19" t="s">
        <v>36</v>
      </c>
      <c r="B2468" s="2">
        <v>43995</v>
      </c>
      <c r="C2468" s="1">
        <v>0</v>
      </c>
      <c r="D2468" s="39">
        <v>11</v>
      </c>
      <c r="E2468" s="1"/>
      <c r="F2468" s="39">
        <f t="shared" si="146"/>
        <v>0</v>
      </c>
      <c r="G2468" s="497"/>
      <c r="H2468" s="497"/>
      <c r="J2468" s="42"/>
    </row>
    <row r="2469" spans="1:10" s="360" customFormat="1" x14ac:dyDescent="0.25">
      <c r="A2469" s="19" t="s">
        <v>37</v>
      </c>
      <c r="B2469" s="2">
        <v>43995</v>
      </c>
      <c r="C2469" s="1">
        <v>0</v>
      </c>
      <c r="D2469" s="39">
        <v>51</v>
      </c>
      <c r="E2469" s="1"/>
      <c r="F2469" s="39">
        <f t="shared" si="146"/>
        <v>0</v>
      </c>
      <c r="G2469" s="497"/>
      <c r="H2469" s="497"/>
      <c r="J2469" s="42"/>
    </row>
    <row r="2470" spans="1:10" s="360" customFormat="1" x14ac:dyDescent="0.25">
      <c r="A2470" s="19" t="s">
        <v>22</v>
      </c>
      <c r="B2470" s="2">
        <v>43995</v>
      </c>
      <c r="C2470" s="1">
        <v>1</v>
      </c>
      <c r="D2470" s="39">
        <v>285</v>
      </c>
      <c r="E2470" s="1"/>
      <c r="F2470" s="39">
        <f>E2470+F2446</f>
        <v>3</v>
      </c>
      <c r="G2470" s="497"/>
      <c r="H2470" s="497"/>
      <c r="J2470" s="42"/>
    </row>
    <row r="2471" spans="1:10" s="360" customFormat="1" x14ac:dyDescent="0.25">
      <c r="A2471" s="19" t="s">
        <v>38</v>
      </c>
      <c r="B2471" s="2">
        <v>43995</v>
      </c>
      <c r="C2471" s="1">
        <v>0</v>
      </c>
      <c r="D2471" s="39">
        <v>22</v>
      </c>
      <c r="E2471" s="1"/>
      <c r="F2471" s="39">
        <f>E2471+F2447</f>
        <v>0</v>
      </c>
      <c r="G2471" s="497"/>
      <c r="H2471" s="497"/>
      <c r="J2471" s="42"/>
    </row>
    <row r="2472" spans="1:10" s="360" customFormat="1" x14ac:dyDescent="0.25">
      <c r="A2472" s="19" t="s">
        <v>39</v>
      </c>
      <c r="B2472" s="2">
        <v>43995</v>
      </c>
      <c r="C2472" s="1">
        <v>0</v>
      </c>
      <c r="D2472" s="39">
        <v>149</v>
      </c>
      <c r="E2472" s="1"/>
      <c r="F2472" s="39">
        <f t="shared" si="146"/>
        <v>0</v>
      </c>
      <c r="G2472" s="497"/>
      <c r="H2472" s="497"/>
      <c r="J2472" s="42"/>
    </row>
    <row r="2473" spans="1:10" s="360" customFormat="1" x14ac:dyDescent="0.25">
      <c r="A2473" s="19" t="s">
        <v>40</v>
      </c>
      <c r="B2473" s="2">
        <v>43995</v>
      </c>
      <c r="C2473" s="1">
        <v>1</v>
      </c>
      <c r="D2473" s="39">
        <v>51</v>
      </c>
      <c r="E2473" s="1"/>
      <c r="F2473" s="39">
        <f>E2473+F2449</f>
        <v>4</v>
      </c>
      <c r="G2473" s="497"/>
      <c r="H2473" s="497"/>
      <c r="J2473" s="42"/>
    </row>
    <row r="2474" spans="1:10" s="360" customFormat="1" x14ac:dyDescent="0.25">
      <c r="A2474" s="361" t="s">
        <v>16</v>
      </c>
      <c r="B2474" s="2">
        <v>43996</v>
      </c>
      <c r="C2474" s="1">
        <v>635</v>
      </c>
      <c r="D2474" s="39">
        <v>13194</v>
      </c>
      <c r="E2474" s="1">
        <v>9</v>
      </c>
      <c r="F2474" s="39">
        <f>E2474+F2450</f>
        <v>366</v>
      </c>
      <c r="G2474" s="497"/>
      <c r="H2474" s="497"/>
      <c r="J2474" s="42"/>
    </row>
    <row r="2475" spans="1:10" s="360" customFormat="1" x14ac:dyDescent="0.25">
      <c r="A2475" s="19" t="s">
        <v>28</v>
      </c>
      <c r="B2475" s="2">
        <v>43996</v>
      </c>
      <c r="C2475" s="1">
        <v>0</v>
      </c>
      <c r="D2475" s="39">
        <v>0</v>
      </c>
      <c r="E2475" s="1"/>
      <c r="F2475" s="39">
        <f t="shared" ref="F2475:F2481" si="147">E2475+F2451</f>
        <v>0</v>
      </c>
      <c r="G2475" s="497"/>
      <c r="H2475" s="497"/>
      <c r="J2475" s="42"/>
    </row>
    <row r="2476" spans="1:10" s="360" customFormat="1" x14ac:dyDescent="0.25">
      <c r="A2476" s="19" t="s">
        <v>15</v>
      </c>
      <c r="B2476" s="2">
        <v>43996</v>
      </c>
      <c r="C2476" s="1">
        <v>27</v>
      </c>
      <c r="D2476" s="39">
        <v>1326</v>
      </c>
      <c r="E2476" s="1">
        <v>3</v>
      </c>
      <c r="F2476" s="39">
        <f t="shared" si="147"/>
        <v>71</v>
      </c>
      <c r="G2476" s="497"/>
      <c r="H2476" s="497"/>
      <c r="J2476" s="42"/>
    </row>
    <row r="2477" spans="1:10" s="360" customFormat="1" x14ac:dyDescent="0.25">
      <c r="A2477" s="19" t="s">
        <v>29</v>
      </c>
      <c r="B2477" s="2">
        <v>43996</v>
      </c>
      <c r="C2477" s="1">
        <v>2</v>
      </c>
      <c r="D2477" s="39">
        <v>41</v>
      </c>
      <c r="E2477" s="1"/>
      <c r="F2477" s="39">
        <f t="shared" si="147"/>
        <v>2</v>
      </c>
      <c r="G2477" s="497"/>
      <c r="H2477" s="497"/>
      <c r="J2477" s="42"/>
    </row>
    <row r="2478" spans="1:10" s="360" customFormat="1" x14ac:dyDescent="0.25">
      <c r="A2478" s="19" t="s">
        <v>43</v>
      </c>
      <c r="B2478" s="2">
        <v>43996</v>
      </c>
      <c r="C2478" s="1">
        <v>558</v>
      </c>
      <c r="D2478" s="39">
        <v>14702</v>
      </c>
      <c r="E2478" s="1">
        <v>5</v>
      </c>
      <c r="F2478" s="39">
        <f t="shared" si="147"/>
        <v>296</v>
      </c>
      <c r="G2478" s="497"/>
      <c r="H2478" s="497"/>
      <c r="J2478" s="42"/>
    </row>
    <row r="2479" spans="1:10" s="360" customFormat="1" x14ac:dyDescent="0.25">
      <c r="A2479" s="19" t="s">
        <v>20</v>
      </c>
      <c r="B2479" s="2">
        <v>43996</v>
      </c>
      <c r="C2479" s="1">
        <v>6</v>
      </c>
      <c r="D2479" s="39">
        <v>498</v>
      </c>
      <c r="E2479" s="1">
        <v>1</v>
      </c>
      <c r="F2479" s="39">
        <f t="shared" si="147"/>
        <v>32</v>
      </c>
      <c r="G2479" s="497"/>
      <c r="H2479" s="497"/>
      <c r="J2479" s="42"/>
    </row>
    <row r="2480" spans="1:10" s="360" customFormat="1" x14ac:dyDescent="0.25">
      <c r="A2480" s="19" t="s">
        <v>30</v>
      </c>
      <c r="B2480" s="2">
        <v>43996</v>
      </c>
      <c r="C2480" s="1">
        <v>2</v>
      </c>
      <c r="D2480" s="39">
        <v>103</v>
      </c>
      <c r="E2480" s="1"/>
      <c r="F2480" s="39">
        <f t="shared" si="147"/>
        <v>0</v>
      </c>
      <c r="G2480" s="497"/>
      <c r="H2480" s="497"/>
      <c r="J2480" s="42"/>
    </row>
    <row r="2481" spans="1:10" x14ac:dyDescent="0.25">
      <c r="A2481" s="19" t="s">
        <v>31</v>
      </c>
      <c r="B2481" s="2">
        <v>43996</v>
      </c>
      <c r="C2481" s="1">
        <v>15</v>
      </c>
      <c r="D2481" s="39">
        <v>86</v>
      </c>
      <c r="F2481" s="39">
        <f t="shared" si="147"/>
        <v>0</v>
      </c>
    </row>
    <row r="2482" spans="1:10" s="360" customFormat="1" x14ac:dyDescent="0.25">
      <c r="A2482" s="19" t="s">
        <v>41</v>
      </c>
      <c r="B2482" s="2">
        <v>43996</v>
      </c>
      <c r="C2482" s="1">
        <v>6</v>
      </c>
      <c r="D2482" s="39">
        <v>33</v>
      </c>
      <c r="E2482" s="1"/>
      <c r="F2482" s="39">
        <f t="shared" ref="F2482:F2496" si="148">E2482+F2457</f>
        <v>0</v>
      </c>
      <c r="G2482" s="497"/>
      <c r="H2482" s="497"/>
      <c r="J2482" s="42"/>
    </row>
    <row r="2483" spans="1:10" s="360" customFormat="1" x14ac:dyDescent="0.25">
      <c r="A2483" s="19" t="s">
        <v>32</v>
      </c>
      <c r="B2483" s="2">
        <v>43996</v>
      </c>
      <c r="C2483" s="1">
        <v>0</v>
      </c>
      <c r="D2483" s="39">
        <v>8</v>
      </c>
      <c r="E2483" s="1"/>
      <c r="F2483" s="39">
        <f t="shared" si="148"/>
        <v>0</v>
      </c>
      <c r="G2483" s="497"/>
      <c r="H2483" s="497"/>
      <c r="J2483" s="42"/>
    </row>
    <row r="2484" spans="1:10" s="360" customFormat="1" x14ac:dyDescent="0.25">
      <c r="A2484" s="19" t="s">
        <v>33</v>
      </c>
      <c r="B2484" s="2">
        <v>43996</v>
      </c>
      <c r="C2484" s="1">
        <v>1</v>
      </c>
      <c r="D2484" s="39">
        <v>6</v>
      </c>
      <c r="E2484" s="1"/>
      <c r="F2484" s="39">
        <f t="shared" si="148"/>
        <v>1</v>
      </c>
      <c r="G2484" s="497"/>
      <c r="H2484" s="497"/>
      <c r="J2484" s="42"/>
    </row>
    <row r="2485" spans="1:10" s="360" customFormat="1" x14ac:dyDescent="0.25">
      <c r="A2485" s="19" t="s">
        <v>21</v>
      </c>
      <c r="B2485" s="2">
        <v>43996</v>
      </c>
      <c r="C2485" s="1">
        <v>0</v>
      </c>
      <c r="D2485" s="39">
        <v>64</v>
      </c>
      <c r="E2485" s="1"/>
      <c r="F2485" s="39">
        <f t="shared" si="148"/>
        <v>0</v>
      </c>
      <c r="G2485" s="497"/>
      <c r="H2485" s="497"/>
      <c r="J2485" s="42"/>
    </row>
    <row r="2486" spans="1:10" s="360" customFormat="1" x14ac:dyDescent="0.25">
      <c r="A2486" s="19" t="s">
        <v>17</v>
      </c>
      <c r="B2486" s="2">
        <v>43996</v>
      </c>
      <c r="C2486" s="1">
        <v>7</v>
      </c>
      <c r="D2486" s="39">
        <v>113</v>
      </c>
      <c r="E2486" s="1"/>
      <c r="F2486" s="39">
        <f t="shared" si="148"/>
        <v>0</v>
      </c>
      <c r="G2486" s="497"/>
      <c r="H2486" s="497"/>
      <c r="J2486" s="42"/>
    </row>
    <row r="2487" spans="1:10" s="360" customFormat="1" x14ac:dyDescent="0.25">
      <c r="A2487" s="19" t="s">
        <v>23</v>
      </c>
      <c r="B2487" s="2">
        <v>43996</v>
      </c>
      <c r="C2487" s="1">
        <v>0</v>
      </c>
      <c r="D2487" s="39">
        <v>39</v>
      </c>
      <c r="E2487" s="1"/>
      <c r="F2487" s="39">
        <f t="shared" si="148"/>
        <v>0</v>
      </c>
      <c r="G2487" s="497"/>
      <c r="H2487" s="497"/>
      <c r="J2487" s="42"/>
    </row>
    <row r="2488" spans="1:10" s="360" customFormat="1" x14ac:dyDescent="0.25">
      <c r="A2488" s="19" t="s">
        <v>19</v>
      </c>
      <c r="B2488" s="2">
        <v>43996</v>
      </c>
      <c r="C2488" s="1">
        <v>9</v>
      </c>
      <c r="D2488" s="39">
        <v>209</v>
      </c>
      <c r="E2488" s="1"/>
      <c r="F2488" s="39">
        <f t="shared" si="148"/>
        <v>0</v>
      </c>
      <c r="G2488" s="497"/>
      <c r="H2488" s="497"/>
      <c r="J2488" s="42"/>
    </row>
    <row r="2489" spans="1:10" s="360" customFormat="1" x14ac:dyDescent="0.25">
      <c r="A2489" s="19" t="s">
        <v>18</v>
      </c>
      <c r="B2489" s="2">
        <v>43996</v>
      </c>
      <c r="C2489" s="1">
        <v>6</v>
      </c>
      <c r="D2489" s="39">
        <v>552</v>
      </c>
      <c r="E2489" s="1"/>
      <c r="F2489" s="39">
        <f t="shared" si="148"/>
        <v>0</v>
      </c>
      <c r="G2489" s="497"/>
      <c r="H2489" s="497"/>
      <c r="J2489" s="42"/>
    </row>
    <row r="2490" spans="1:10" s="360" customFormat="1" x14ac:dyDescent="0.25">
      <c r="A2490" s="19" t="s">
        <v>34</v>
      </c>
      <c r="B2490" s="2">
        <v>43996</v>
      </c>
      <c r="C2490" s="1">
        <v>2</v>
      </c>
      <c r="D2490" s="39">
        <v>21</v>
      </c>
      <c r="E2490" s="1"/>
      <c r="F2490" s="39">
        <f t="shared" si="148"/>
        <v>4</v>
      </c>
      <c r="G2490" s="497"/>
      <c r="H2490" s="497"/>
      <c r="J2490" s="42"/>
    </row>
    <row r="2491" spans="1:10" s="360" customFormat="1" x14ac:dyDescent="0.25">
      <c r="A2491" s="19" t="s">
        <v>35</v>
      </c>
      <c r="B2491" s="2">
        <v>43996</v>
      </c>
      <c r="C2491" s="1">
        <v>0</v>
      </c>
      <c r="D2491" s="39">
        <v>7</v>
      </c>
      <c r="E2491" s="1"/>
      <c r="F2491" s="39">
        <f>E2491+F2467</f>
        <v>0</v>
      </c>
      <c r="G2491" s="497"/>
      <c r="H2491" s="497"/>
      <c r="J2491" s="42"/>
    </row>
    <row r="2492" spans="1:10" s="360" customFormat="1" x14ac:dyDescent="0.25">
      <c r="A2492" s="19" t="s">
        <v>36</v>
      </c>
      <c r="B2492" s="2">
        <v>43996</v>
      </c>
      <c r="C2492" s="1">
        <v>0</v>
      </c>
      <c r="D2492" s="39">
        <v>11</v>
      </c>
      <c r="E2492" s="1"/>
      <c r="F2492" s="39">
        <f t="shared" si="148"/>
        <v>0</v>
      </c>
      <c r="G2492" s="497"/>
      <c r="H2492" s="497"/>
      <c r="J2492" s="42"/>
    </row>
    <row r="2493" spans="1:10" s="360" customFormat="1" x14ac:dyDescent="0.25">
      <c r="A2493" s="19" t="s">
        <v>37</v>
      </c>
      <c r="B2493" s="2">
        <v>43996</v>
      </c>
      <c r="C2493" s="1">
        <v>0</v>
      </c>
      <c r="D2493" s="39">
        <v>51</v>
      </c>
      <c r="E2493" s="1"/>
      <c r="F2493" s="39">
        <f t="shared" si="148"/>
        <v>0</v>
      </c>
      <c r="G2493" s="497"/>
      <c r="H2493" s="497"/>
      <c r="J2493" s="42"/>
    </row>
    <row r="2494" spans="1:10" s="360" customFormat="1" x14ac:dyDescent="0.25">
      <c r="A2494" s="19" t="s">
        <v>22</v>
      </c>
      <c r="B2494" s="2">
        <v>43996</v>
      </c>
      <c r="C2494" s="1">
        <v>0</v>
      </c>
      <c r="D2494" s="39">
        <v>285</v>
      </c>
      <c r="E2494" s="1"/>
      <c r="F2494" s="39">
        <f>E2494+F2470</f>
        <v>3</v>
      </c>
      <c r="G2494" s="497"/>
      <c r="H2494" s="497"/>
      <c r="J2494" s="42"/>
    </row>
    <row r="2495" spans="1:10" s="360" customFormat="1" x14ac:dyDescent="0.25">
      <c r="A2495" s="19" t="s">
        <v>38</v>
      </c>
      <c r="B2495" s="2">
        <v>43996</v>
      </c>
      <c r="C2495" s="1">
        <v>0</v>
      </c>
      <c r="D2495" s="39">
        <v>22</v>
      </c>
      <c r="E2495" s="1"/>
      <c r="F2495" s="39">
        <f>E2495+F2471</f>
        <v>0</v>
      </c>
      <c r="G2495" s="497"/>
      <c r="H2495" s="497"/>
      <c r="J2495" s="42"/>
    </row>
    <row r="2496" spans="1:10" s="360" customFormat="1" x14ac:dyDescent="0.25">
      <c r="A2496" s="19" t="s">
        <v>39</v>
      </c>
      <c r="B2496" s="2">
        <v>43996</v>
      </c>
      <c r="C2496" s="1">
        <v>0</v>
      </c>
      <c r="D2496" s="39">
        <v>149</v>
      </c>
      <c r="E2496" s="1"/>
      <c r="F2496" s="39">
        <f t="shared" si="148"/>
        <v>0</v>
      </c>
      <c r="G2496" s="497"/>
      <c r="H2496" s="497"/>
      <c r="J2496" s="42"/>
    </row>
    <row r="2497" spans="1:10" s="360" customFormat="1" x14ac:dyDescent="0.25">
      <c r="A2497" s="19" t="s">
        <v>40</v>
      </c>
      <c r="B2497" s="2">
        <v>43996</v>
      </c>
      <c r="C2497" s="1">
        <v>6</v>
      </c>
      <c r="D2497" s="39">
        <v>57</v>
      </c>
      <c r="E2497" s="1"/>
      <c r="F2497" s="39">
        <f>E2497+F2473</f>
        <v>4</v>
      </c>
      <c r="G2497" s="497"/>
      <c r="H2497" s="497"/>
      <c r="J2497" s="42"/>
    </row>
    <row r="2498" spans="1:10" s="360" customFormat="1" x14ac:dyDescent="0.25">
      <c r="A2498" s="361" t="s">
        <v>16</v>
      </c>
      <c r="B2498" s="2">
        <v>43997</v>
      </c>
      <c r="C2498" s="1">
        <v>552</v>
      </c>
      <c r="D2498" s="39">
        <v>13746</v>
      </c>
      <c r="E2498" s="1">
        <v>12</v>
      </c>
      <c r="F2498" s="39">
        <f>E2498+F2474</f>
        <v>378</v>
      </c>
      <c r="G2498" s="497"/>
      <c r="H2498" s="497"/>
      <c r="J2498" s="42"/>
    </row>
    <row r="2499" spans="1:10" s="360" customFormat="1" x14ac:dyDescent="0.25">
      <c r="A2499" s="19" t="s">
        <v>28</v>
      </c>
      <c r="B2499" s="2">
        <v>43997</v>
      </c>
      <c r="C2499" s="1">
        <v>0</v>
      </c>
      <c r="D2499" s="39">
        <v>0</v>
      </c>
      <c r="E2499" s="1"/>
      <c r="F2499" s="39">
        <f t="shared" ref="F2499:F2505" si="149">E2499+F2475</f>
        <v>0</v>
      </c>
      <c r="G2499" s="497"/>
      <c r="H2499" s="497"/>
      <c r="J2499" s="42"/>
    </row>
    <row r="2500" spans="1:10" s="360" customFormat="1" x14ac:dyDescent="0.25">
      <c r="A2500" s="19" t="s">
        <v>15</v>
      </c>
      <c r="B2500" s="2">
        <v>43997</v>
      </c>
      <c r="C2500" s="1">
        <v>38</v>
      </c>
      <c r="D2500" s="39">
        <v>1364</v>
      </c>
      <c r="E2500" s="1"/>
      <c r="F2500" s="39">
        <f t="shared" si="149"/>
        <v>71</v>
      </c>
      <c r="G2500" s="497"/>
      <c r="H2500" s="497"/>
      <c r="J2500" s="42"/>
    </row>
    <row r="2501" spans="1:10" s="360" customFormat="1" x14ac:dyDescent="0.25">
      <c r="A2501" s="19" t="s">
        <v>29</v>
      </c>
      <c r="B2501" s="2">
        <v>43997</v>
      </c>
      <c r="C2501" s="1">
        <v>22</v>
      </c>
      <c r="D2501" s="39">
        <v>63</v>
      </c>
      <c r="E2501" s="1"/>
      <c r="F2501" s="39">
        <f t="shared" si="149"/>
        <v>2</v>
      </c>
      <c r="G2501" s="497"/>
      <c r="H2501" s="497"/>
      <c r="J2501" s="42"/>
    </row>
    <row r="2502" spans="1:10" s="360" customFormat="1" x14ac:dyDescent="0.25">
      <c r="A2502" s="19" t="s">
        <v>43</v>
      </c>
      <c r="B2502" s="2">
        <v>43997</v>
      </c>
      <c r="C2502" s="1">
        <v>575</v>
      </c>
      <c r="D2502" s="39">
        <v>15277</v>
      </c>
      <c r="E2502" s="1">
        <v>7</v>
      </c>
      <c r="F2502" s="39">
        <f t="shared" si="149"/>
        <v>303</v>
      </c>
      <c r="G2502" s="497"/>
      <c r="H2502" s="497"/>
      <c r="J2502" s="42"/>
    </row>
    <row r="2503" spans="1:10" s="360" customFormat="1" x14ac:dyDescent="0.25">
      <c r="A2503" s="19" t="s">
        <v>20</v>
      </c>
      <c r="B2503" s="2">
        <v>43997</v>
      </c>
      <c r="C2503" s="1">
        <v>2</v>
      </c>
      <c r="D2503" s="39">
        <v>500</v>
      </c>
      <c r="E2503" s="1">
        <v>1</v>
      </c>
      <c r="F2503" s="39">
        <f t="shared" si="149"/>
        <v>33</v>
      </c>
      <c r="G2503" s="497"/>
      <c r="H2503" s="497"/>
      <c r="J2503" s="42"/>
    </row>
    <row r="2504" spans="1:10" s="360" customFormat="1" x14ac:dyDescent="0.25">
      <c r="A2504" s="19" t="s">
        <v>30</v>
      </c>
      <c r="B2504" s="2">
        <v>43997</v>
      </c>
      <c r="C2504" s="1">
        <v>1</v>
      </c>
      <c r="D2504" s="39">
        <v>104</v>
      </c>
      <c r="E2504" s="1"/>
      <c r="F2504" s="39">
        <f t="shared" si="149"/>
        <v>0</v>
      </c>
      <c r="G2504" s="497"/>
      <c r="H2504" s="497"/>
      <c r="J2504" s="42"/>
    </row>
    <row r="2505" spans="1:10" x14ac:dyDescent="0.25">
      <c r="A2505" s="19" t="s">
        <v>31</v>
      </c>
      <c r="B2505" s="2">
        <v>43997</v>
      </c>
      <c r="C2505" s="1">
        <v>2</v>
      </c>
      <c r="D2505" s="39">
        <v>88</v>
      </c>
      <c r="F2505" s="39">
        <f t="shared" si="149"/>
        <v>0</v>
      </c>
    </row>
    <row r="2506" spans="1:10" s="360" customFormat="1" x14ac:dyDescent="0.25">
      <c r="A2506" s="19" t="s">
        <v>41</v>
      </c>
      <c r="B2506" s="2">
        <v>43997</v>
      </c>
      <c r="C2506" s="1">
        <v>0</v>
      </c>
      <c r="D2506" s="39">
        <v>33</v>
      </c>
      <c r="E2506" s="1"/>
      <c r="F2506" s="39">
        <f t="shared" ref="F2506:F2520" si="150">E2506+F2481</f>
        <v>0</v>
      </c>
      <c r="G2506" s="497"/>
      <c r="H2506" s="497"/>
      <c r="J2506" s="42"/>
    </row>
    <row r="2507" spans="1:10" s="360" customFormat="1" x14ac:dyDescent="0.25">
      <c r="A2507" s="19" t="s">
        <v>32</v>
      </c>
      <c r="B2507" s="2">
        <v>43997</v>
      </c>
      <c r="C2507" s="1">
        <v>0</v>
      </c>
      <c r="D2507" s="39">
        <v>8</v>
      </c>
      <c r="E2507" s="1"/>
      <c r="F2507" s="39">
        <f t="shared" si="150"/>
        <v>0</v>
      </c>
      <c r="G2507" s="497"/>
      <c r="H2507" s="497"/>
      <c r="J2507" s="42"/>
    </row>
    <row r="2508" spans="1:10" s="360" customFormat="1" x14ac:dyDescent="0.25">
      <c r="A2508" s="19" t="s">
        <v>33</v>
      </c>
      <c r="B2508" s="2">
        <v>43997</v>
      </c>
      <c r="C2508" s="1">
        <v>0</v>
      </c>
      <c r="D2508" s="39">
        <v>6</v>
      </c>
      <c r="E2508" s="1"/>
      <c r="F2508" s="39">
        <f t="shared" si="150"/>
        <v>0</v>
      </c>
      <c r="G2508" s="497"/>
      <c r="H2508" s="497"/>
      <c r="J2508" s="42"/>
    </row>
    <row r="2509" spans="1:10" s="360" customFormat="1" x14ac:dyDescent="0.25">
      <c r="A2509" s="19" t="s">
        <v>21</v>
      </c>
      <c r="B2509" s="2">
        <v>43997</v>
      </c>
      <c r="C2509" s="1">
        <v>0</v>
      </c>
      <c r="D2509" s="39">
        <v>64</v>
      </c>
      <c r="E2509" s="1"/>
      <c r="F2509" s="39">
        <f t="shared" si="150"/>
        <v>1</v>
      </c>
      <c r="G2509" s="497"/>
      <c r="H2509" s="497"/>
      <c r="J2509" s="42"/>
    </row>
    <row r="2510" spans="1:10" s="360" customFormat="1" x14ac:dyDescent="0.25">
      <c r="A2510" s="19" t="s">
        <v>17</v>
      </c>
      <c r="B2510" s="2">
        <v>43997</v>
      </c>
      <c r="C2510" s="1">
        <v>0</v>
      </c>
      <c r="D2510" s="39">
        <v>113</v>
      </c>
      <c r="E2510" s="1"/>
      <c r="F2510" s="39">
        <f t="shared" si="150"/>
        <v>0</v>
      </c>
      <c r="G2510" s="497"/>
      <c r="H2510" s="497"/>
      <c r="J2510" s="42"/>
    </row>
    <row r="2511" spans="1:10" s="360" customFormat="1" x14ac:dyDescent="0.25">
      <c r="A2511" s="19" t="s">
        <v>23</v>
      </c>
      <c r="B2511" s="2">
        <v>43997</v>
      </c>
      <c r="C2511" s="1">
        <v>1</v>
      </c>
      <c r="D2511" s="39">
        <v>40</v>
      </c>
      <c r="E2511" s="1"/>
      <c r="F2511" s="39">
        <f t="shared" si="150"/>
        <v>0</v>
      </c>
      <c r="G2511" s="497"/>
      <c r="H2511" s="497"/>
      <c r="J2511" s="42"/>
    </row>
    <row r="2512" spans="1:10" s="360" customFormat="1" x14ac:dyDescent="0.25">
      <c r="A2512" s="19" t="s">
        <v>19</v>
      </c>
      <c r="B2512" s="2">
        <v>43997</v>
      </c>
      <c r="C2512" s="1">
        <v>3</v>
      </c>
      <c r="D2512" s="39">
        <v>212</v>
      </c>
      <c r="E2512" s="1"/>
      <c r="F2512" s="39">
        <f t="shared" si="150"/>
        <v>0</v>
      </c>
      <c r="G2512" s="497"/>
      <c r="H2512" s="497"/>
      <c r="J2512" s="42"/>
    </row>
    <row r="2513" spans="1:10" s="360" customFormat="1" x14ac:dyDescent="0.25">
      <c r="A2513" s="19" t="s">
        <v>18</v>
      </c>
      <c r="B2513" s="2">
        <v>43997</v>
      </c>
      <c r="C2513" s="1">
        <v>12</v>
      </c>
      <c r="D2513" s="39">
        <v>564</v>
      </c>
      <c r="E2513" s="1">
        <v>1</v>
      </c>
      <c r="F2513" s="39">
        <f t="shared" si="150"/>
        <v>1</v>
      </c>
      <c r="G2513" s="497"/>
      <c r="H2513" s="497"/>
      <c r="J2513" s="42"/>
    </row>
    <row r="2514" spans="1:10" s="360" customFormat="1" x14ac:dyDescent="0.25">
      <c r="A2514" s="19" t="s">
        <v>34</v>
      </c>
      <c r="B2514" s="2">
        <v>43997</v>
      </c>
      <c r="C2514" s="1">
        <v>0</v>
      </c>
      <c r="D2514" s="39">
        <v>21</v>
      </c>
      <c r="E2514" s="1"/>
      <c r="F2514" s="39">
        <f t="shared" si="150"/>
        <v>0</v>
      </c>
      <c r="G2514" s="497"/>
      <c r="H2514" s="497"/>
      <c r="J2514" s="42"/>
    </row>
    <row r="2515" spans="1:10" s="360" customFormat="1" x14ac:dyDescent="0.25">
      <c r="A2515" s="19" t="s">
        <v>35</v>
      </c>
      <c r="B2515" s="2">
        <v>43997</v>
      </c>
      <c r="C2515" s="1">
        <v>0</v>
      </c>
      <c r="D2515" s="39">
        <v>7</v>
      </c>
      <c r="E2515" s="1"/>
      <c r="F2515" s="39">
        <f>E2515+F2491</f>
        <v>0</v>
      </c>
      <c r="G2515" s="497"/>
      <c r="H2515" s="497"/>
      <c r="J2515" s="42"/>
    </row>
    <row r="2516" spans="1:10" s="360" customFormat="1" x14ac:dyDescent="0.25">
      <c r="A2516" s="19" t="s">
        <v>36</v>
      </c>
      <c r="B2516" s="2">
        <v>43997</v>
      </c>
      <c r="C2516" s="1">
        <v>0</v>
      </c>
      <c r="D2516" s="39">
        <v>11</v>
      </c>
      <c r="E2516" s="1"/>
      <c r="F2516" s="39">
        <f t="shared" si="150"/>
        <v>0</v>
      </c>
      <c r="G2516" s="497"/>
      <c r="H2516" s="497"/>
      <c r="J2516" s="42"/>
    </row>
    <row r="2517" spans="1:10" s="360" customFormat="1" x14ac:dyDescent="0.25">
      <c r="A2517" s="19" t="s">
        <v>37</v>
      </c>
      <c r="B2517" s="2">
        <v>43997</v>
      </c>
      <c r="C2517" s="1">
        <v>0</v>
      </c>
      <c r="D2517" s="39">
        <v>51</v>
      </c>
      <c r="E2517" s="1"/>
      <c r="F2517" s="39">
        <f t="shared" si="150"/>
        <v>0</v>
      </c>
      <c r="G2517" s="497"/>
      <c r="H2517" s="497"/>
      <c r="J2517" s="42"/>
    </row>
    <row r="2518" spans="1:10" s="360" customFormat="1" x14ac:dyDescent="0.25">
      <c r="A2518" s="19" t="s">
        <v>22</v>
      </c>
      <c r="B2518" s="2">
        <v>43997</v>
      </c>
      <c r="C2518" s="1">
        <v>0</v>
      </c>
      <c r="D2518" s="39">
        <v>285</v>
      </c>
      <c r="E2518" s="1"/>
      <c r="F2518" s="39">
        <f>E2518+F2494</f>
        <v>3</v>
      </c>
      <c r="G2518" s="497"/>
      <c r="H2518" s="497"/>
      <c r="J2518" s="42"/>
    </row>
    <row r="2519" spans="1:10" s="360" customFormat="1" x14ac:dyDescent="0.25">
      <c r="A2519" s="19" t="s">
        <v>38</v>
      </c>
      <c r="B2519" s="2">
        <v>43997</v>
      </c>
      <c r="C2519" s="1">
        <v>0</v>
      </c>
      <c r="D2519" s="39">
        <v>22</v>
      </c>
      <c r="E2519" s="1"/>
      <c r="F2519" s="39">
        <f>E2519+F2495</f>
        <v>0</v>
      </c>
      <c r="G2519" s="497"/>
      <c r="H2519" s="497"/>
      <c r="J2519" s="42"/>
    </row>
    <row r="2520" spans="1:10" s="360" customFormat="1" x14ac:dyDescent="0.25">
      <c r="A2520" s="19" t="s">
        <v>39</v>
      </c>
      <c r="B2520" s="2">
        <v>43997</v>
      </c>
      <c r="C2520" s="1">
        <v>0</v>
      </c>
      <c r="D2520" s="39">
        <v>149</v>
      </c>
      <c r="E2520" s="1"/>
      <c r="F2520" s="39">
        <f t="shared" si="150"/>
        <v>0</v>
      </c>
      <c r="G2520" s="497"/>
      <c r="H2520" s="497"/>
      <c r="J2520" s="42"/>
    </row>
    <row r="2521" spans="1:10" s="360" customFormat="1" x14ac:dyDescent="0.25">
      <c r="A2521" s="19" t="s">
        <v>40</v>
      </c>
      <c r="B2521" s="2">
        <v>43997</v>
      </c>
      <c r="C2521" s="1">
        <v>0</v>
      </c>
      <c r="D2521" s="39">
        <v>57</v>
      </c>
      <c r="E2521" s="1"/>
      <c r="F2521" s="39">
        <f>E2521+F2497</f>
        <v>4</v>
      </c>
      <c r="G2521" s="497"/>
      <c r="H2521" s="497"/>
      <c r="J2521" s="42"/>
    </row>
    <row r="2522" spans="1:10" s="360" customFormat="1" x14ac:dyDescent="0.25">
      <c r="A2522" s="361" t="s">
        <v>16</v>
      </c>
      <c r="B2522" s="2">
        <v>43998</v>
      </c>
      <c r="C2522" s="1">
        <v>798</v>
      </c>
      <c r="D2522" s="39">
        <v>14544</v>
      </c>
      <c r="E2522" s="1">
        <v>7</v>
      </c>
      <c r="F2522" s="39">
        <f>E2522+F2498</f>
        <v>385</v>
      </c>
      <c r="G2522" s="497"/>
      <c r="H2522" s="497"/>
      <c r="J2522" s="42"/>
    </row>
    <row r="2523" spans="1:10" s="360" customFormat="1" x14ac:dyDescent="0.25">
      <c r="A2523" s="19" t="s">
        <v>28</v>
      </c>
      <c r="B2523" s="2">
        <v>43998</v>
      </c>
      <c r="C2523" s="1">
        <v>0</v>
      </c>
      <c r="D2523" s="39">
        <v>0</v>
      </c>
      <c r="E2523" s="1"/>
      <c r="F2523" s="39">
        <f t="shared" ref="F2523:F2529" si="151">E2523+F2499</f>
        <v>0</v>
      </c>
      <c r="G2523" s="497"/>
      <c r="H2523" s="497"/>
      <c r="J2523" s="42"/>
    </row>
    <row r="2524" spans="1:10" s="360" customFormat="1" x14ac:dyDescent="0.25">
      <c r="A2524" s="19" t="s">
        <v>15</v>
      </c>
      <c r="B2524" s="2">
        <v>43998</v>
      </c>
      <c r="C2524" s="1">
        <v>23</v>
      </c>
      <c r="D2524" s="39">
        <v>1387</v>
      </c>
      <c r="E2524" s="1">
        <v>5</v>
      </c>
      <c r="F2524" s="39">
        <f t="shared" si="151"/>
        <v>76</v>
      </c>
      <c r="G2524" s="497"/>
      <c r="H2524" s="497"/>
      <c r="J2524" s="42"/>
    </row>
    <row r="2525" spans="1:10" s="360" customFormat="1" x14ac:dyDescent="0.25">
      <c r="A2525" s="19" t="s">
        <v>29</v>
      </c>
      <c r="B2525" s="2">
        <v>43998</v>
      </c>
      <c r="C2525" s="1">
        <v>1</v>
      </c>
      <c r="D2525" s="39">
        <v>64</v>
      </c>
      <c r="E2525" s="1"/>
      <c r="F2525" s="39">
        <f t="shared" si="151"/>
        <v>2</v>
      </c>
      <c r="G2525" s="497"/>
      <c r="H2525" s="497"/>
      <c r="J2525" s="42"/>
    </row>
    <row r="2526" spans="1:10" s="360" customFormat="1" x14ac:dyDescent="0.25">
      <c r="A2526" s="19" t="s">
        <v>43</v>
      </c>
      <c r="B2526" s="2">
        <v>43998</v>
      </c>
      <c r="C2526" s="1">
        <v>488</v>
      </c>
      <c r="D2526" s="39">
        <v>15765</v>
      </c>
      <c r="E2526" s="1">
        <v>10</v>
      </c>
      <c r="F2526" s="39">
        <f>E2526+F2502</f>
        <v>313</v>
      </c>
      <c r="G2526" s="497"/>
      <c r="H2526" s="497"/>
      <c r="J2526" s="42"/>
    </row>
    <row r="2527" spans="1:10" s="360" customFormat="1" x14ac:dyDescent="0.25">
      <c r="A2527" s="19" t="s">
        <v>20</v>
      </c>
      <c r="B2527" s="2">
        <v>43998</v>
      </c>
      <c r="C2527" s="1">
        <v>1</v>
      </c>
      <c r="D2527" s="39">
        <v>501</v>
      </c>
      <c r="E2527" s="1"/>
      <c r="F2527" s="39">
        <f t="shared" si="151"/>
        <v>33</v>
      </c>
      <c r="G2527" s="497"/>
      <c r="H2527" s="497"/>
      <c r="J2527" s="42"/>
    </row>
    <row r="2528" spans="1:10" s="360" customFormat="1" x14ac:dyDescent="0.25">
      <c r="A2528" s="19" t="s">
        <v>30</v>
      </c>
      <c r="B2528" s="2">
        <v>43998</v>
      </c>
      <c r="C2528" s="1">
        <v>1</v>
      </c>
      <c r="D2528" s="39">
        <v>105</v>
      </c>
      <c r="E2528" s="1"/>
      <c r="F2528" s="39">
        <f t="shared" si="151"/>
        <v>0</v>
      </c>
      <c r="G2528" s="497"/>
      <c r="H2528" s="497"/>
      <c r="J2528" s="42"/>
    </row>
    <row r="2529" spans="1:10" x14ac:dyDescent="0.25">
      <c r="A2529" s="19" t="s">
        <v>31</v>
      </c>
      <c r="B2529" s="2">
        <v>43998</v>
      </c>
      <c r="C2529" s="1">
        <v>12</v>
      </c>
      <c r="D2529" s="39">
        <v>100</v>
      </c>
      <c r="F2529" s="39">
        <f t="shared" si="151"/>
        <v>0</v>
      </c>
    </row>
    <row r="2530" spans="1:10" s="360" customFormat="1" x14ac:dyDescent="0.25">
      <c r="A2530" s="19" t="s">
        <v>41</v>
      </c>
      <c r="B2530" s="2">
        <v>43998</v>
      </c>
      <c r="C2530" s="1">
        <v>0</v>
      </c>
      <c r="D2530" s="39">
        <v>33</v>
      </c>
      <c r="E2530" s="1"/>
      <c r="F2530" s="39">
        <f t="shared" ref="F2530:F2544" si="152">E2530+F2505</f>
        <v>0</v>
      </c>
      <c r="G2530" s="497"/>
      <c r="H2530" s="497"/>
      <c r="J2530" s="42"/>
    </row>
    <row r="2531" spans="1:10" s="360" customFormat="1" x14ac:dyDescent="0.25">
      <c r="A2531" s="19" t="s">
        <v>32</v>
      </c>
      <c r="B2531" s="2">
        <v>43998</v>
      </c>
      <c r="C2531" s="1">
        <v>0</v>
      </c>
      <c r="D2531" s="39">
        <v>8</v>
      </c>
      <c r="E2531" s="1"/>
      <c r="F2531" s="39">
        <f t="shared" si="152"/>
        <v>0</v>
      </c>
      <c r="G2531" s="497"/>
      <c r="H2531" s="497"/>
      <c r="J2531" s="42"/>
    </row>
    <row r="2532" spans="1:10" s="360" customFormat="1" x14ac:dyDescent="0.25">
      <c r="A2532" s="19" t="s">
        <v>33</v>
      </c>
      <c r="B2532" s="2">
        <v>43998</v>
      </c>
      <c r="C2532" s="1">
        <v>0</v>
      </c>
      <c r="D2532" s="39">
        <v>6</v>
      </c>
      <c r="E2532" s="1"/>
      <c r="F2532" s="39">
        <f t="shared" si="152"/>
        <v>0</v>
      </c>
      <c r="G2532" s="497"/>
      <c r="H2532" s="497"/>
      <c r="J2532" s="42"/>
    </row>
    <row r="2533" spans="1:10" s="360" customFormat="1" x14ac:dyDescent="0.25">
      <c r="A2533" s="19" t="s">
        <v>21</v>
      </c>
      <c r="B2533" s="2">
        <v>43998</v>
      </c>
      <c r="C2533" s="1">
        <v>0</v>
      </c>
      <c r="D2533" s="39">
        <v>64</v>
      </c>
      <c r="E2533" s="1"/>
      <c r="F2533" s="39">
        <f t="shared" si="152"/>
        <v>0</v>
      </c>
      <c r="G2533" s="497"/>
      <c r="H2533" s="497"/>
      <c r="J2533" s="42"/>
    </row>
    <row r="2534" spans="1:10" s="360" customFormat="1" x14ac:dyDescent="0.25">
      <c r="A2534" s="19" t="s">
        <v>17</v>
      </c>
      <c r="B2534" s="2">
        <v>43998</v>
      </c>
      <c r="C2534" s="1">
        <v>3</v>
      </c>
      <c r="D2534" s="39">
        <v>116</v>
      </c>
      <c r="E2534" s="1"/>
      <c r="F2534" s="39">
        <f t="shared" si="152"/>
        <v>1</v>
      </c>
      <c r="G2534" s="497"/>
      <c r="H2534" s="497"/>
      <c r="J2534" s="42"/>
    </row>
    <row r="2535" spans="1:10" s="360" customFormat="1" x14ac:dyDescent="0.25">
      <c r="A2535" s="19" t="s">
        <v>23</v>
      </c>
      <c r="B2535" s="2">
        <v>43998</v>
      </c>
      <c r="C2535" s="1">
        <v>0</v>
      </c>
      <c r="D2535" s="39">
        <v>40</v>
      </c>
      <c r="E2535" s="1"/>
      <c r="F2535" s="39">
        <f t="shared" si="152"/>
        <v>0</v>
      </c>
      <c r="G2535" s="497"/>
      <c r="H2535" s="497"/>
      <c r="J2535" s="42"/>
    </row>
    <row r="2536" spans="1:10" s="360" customFormat="1" x14ac:dyDescent="0.25">
      <c r="A2536" s="19" t="s">
        <v>19</v>
      </c>
      <c r="B2536" s="2">
        <v>43998</v>
      </c>
      <c r="C2536" s="1">
        <v>28</v>
      </c>
      <c r="D2536" s="39">
        <v>240</v>
      </c>
      <c r="E2536" s="1">
        <v>1</v>
      </c>
      <c r="F2536" s="39">
        <f t="shared" si="152"/>
        <v>1</v>
      </c>
      <c r="G2536" s="497"/>
      <c r="H2536" s="497"/>
      <c r="J2536" s="42"/>
    </row>
    <row r="2537" spans="1:10" s="360" customFormat="1" x14ac:dyDescent="0.25">
      <c r="A2537" s="19" t="s">
        <v>18</v>
      </c>
      <c r="B2537" s="2">
        <v>43998</v>
      </c>
      <c r="C2537" s="1">
        <v>17</v>
      </c>
      <c r="D2537" s="39">
        <v>581</v>
      </c>
      <c r="E2537" s="1"/>
      <c r="F2537" s="39">
        <f t="shared" si="152"/>
        <v>0</v>
      </c>
      <c r="G2537" s="497"/>
      <c r="H2537" s="497"/>
      <c r="J2537" s="42"/>
    </row>
    <row r="2538" spans="1:10" s="360" customFormat="1" x14ac:dyDescent="0.25">
      <c r="A2538" s="19" t="s">
        <v>34</v>
      </c>
      <c r="B2538" s="2">
        <v>43998</v>
      </c>
      <c r="C2538" s="1">
        <v>-1</v>
      </c>
      <c r="D2538" s="39">
        <v>20</v>
      </c>
      <c r="E2538" s="1"/>
      <c r="F2538" s="39">
        <f t="shared" si="152"/>
        <v>1</v>
      </c>
      <c r="G2538" s="497"/>
      <c r="H2538" s="497"/>
      <c r="J2538" s="42"/>
    </row>
    <row r="2539" spans="1:10" s="360" customFormat="1" x14ac:dyDescent="0.25">
      <c r="A2539" s="19" t="s">
        <v>35</v>
      </c>
      <c r="B2539" s="2">
        <v>43998</v>
      </c>
      <c r="C2539" s="1">
        <v>0</v>
      </c>
      <c r="D2539" s="39">
        <v>7</v>
      </c>
      <c r="E2539" s="1"/>
      <c r="F2539" s="39">
        <f>E2539+F2515</f>
        <v>0</v>
      </c>
      <c r="G2539" s="497"/>
      <c r="H2539" s="497"/>
      <c r="J2539" s="42"/>
    </row>
    <row r="2540" spans="1:10" s="360" customFormat="1" x14ac:dyDescent="0.25">
      <c r="A2540" s="19" t="s">
        <v>36</v>
      </c>
      <c r="B2540" s="2">
        <v>43998</v>
      </c>
      <c r="C2540" s="1">
        <v>0</v>
      </c>
      <c r="D2540" s="39">
        <v>11</v>
      </c>
      <c r="E2540" s="1"/>
      <c r="F2540" s="39">
        <f t="shared" si="152"/>
        <v>0</v>
      </c>
      <c r="G2540" s="497"/>
      <c r="H2540" s="497"/>
      <c r="J2540" s="42"/>
    </row>
    <row r="2541" spans="1:10" s="360" customFormat="1" x14ac:dyDescent="0.25">
      <c r="A2541" s="19" t="s">
        <v>37</v>
      </c>
      <c r="B2541" s="2">
        <v>43998</v>
      </c>
      <c r="C2541" s="1">
        <v>0</v>
      </c>
      <c r="D2541" s="39">
        <v>51</v>
      </c>
      <c r="E2541" s="1"/>
      <c r="F2541" s="39">
        <f t="shared" si="152"/>
        <v>0</v>
      </c>
      <c r="G2541" s="497"/>
      <c r="H2541" s="497"/>
      <c r="J2541" s="42"/>
    </row>
    <row r="2542" spans="1:10" s="360" customFormat="1" x14ac:dyDescent="0.25">
      <c r="A2542" s="19" t="s">
        <v>22</v>
      </c>
      <c r="B2542" s="2">
        <v>43998</v>
      </c>
      <c r="C2542" s="1">
        <v>3</v>
      </c>
      <c r="D2542" s="39">
        <v>288</v>
      </c>
      <c r="E2542" s="1">
        <v>1</v>
      </c>
      <c r="F2542" s="39">
        <f>E2542+F2518</f>
        <v>4</v>
      </c>
      <c r="G2542" s="497"/>
      <c r="H2542" s="497"/>
      <c r="J2542" s="42"/>
    </row>
    <row r="2543" spans="1:10" s="360" customFormat="1" x14ac:dyDescent="0.25">
      <c r="A2543" s="19" t="s">
        <v>38</v>
      </c>
      <c r="B2543" s="2">
        <v>43998</v>
      </c>
      <c r="C2543" s="1">
        <v>0</v>
      </c>
      <c r="D2543" s="39">
        <v>22</v>
      </c>
      <c r="E2543" s="1"/>
      <c r="F2543" s="39">
        <f>E2543+F2519</f>
        <v>0</v>
      </c>
      <c r="G2543" s="497"/>
      <c r="H2543" s="497"/>
      <c r="J2543" s="42"/>
    </row>
    <row r="2544" spans="1:10" s="360" customFormat="1" x14ac:dyDescent="0.25">
      <c r="A2544" s="19" t="s">
        <v>39</v>
      </c>
      <c r="B2544" s="2">
        <v>43998</v>
      </c>
      <c r="C2544" s="1">
        <v>0</v>
      </c>
      <c r="D2544" s="39">
        <v>149</v>
      </c>
      <c r="E2544" s="1"/>
      <c r="F2544" s="39">
        <f t="shared" si="152"/>
        <v>0</v>
      </c>
      <c r="G2544" s="497"/>
      <c r="H2544" s="497"/>
      <c r="J2544" s="42"/>
    </row>
    <row r="2545" spans="1:10" s="360" customFormat="1" x14ac:dyDescent="0.25">
      <c r="A2545" s="19" t="s">
        <v>40</v>
      </c>
      <c r="B2545" s="2">
        <v>43998</v>
      </c>
      <c r="C2545" s="1">
        <v>0</v>
      </c>
      <c r="D2545" s="39">
        <v>57</v>
      </c>
      <c r="E2545" s="1"/>
      <c r="F2545" s="39">
        <f>E2545+F2521</f>
        <v>4</v>
      </c>
      <c r="G2545" s="497"/>
      <c r="H2545" s="497"/>
      <c r="J2545" s="42"/>
    </row>
    <row r="2546" spans="1:10" s="360" customFormat="1" x14ac:dyDescent="0.25">
      <c r="A2546" s="361" t="s">
        <v>16</v>
      </c>
      <c r="B2546" s="2">
        <v>43999</v>
      </c>
      <c r="C2546" s="1">
        <v>799</v>
      </c>
      <c r="D2546" s="39">
        <v>15343</v>
      </c>
      <c r="E2546" s="1">
        <v>12</v>
      </c>
      <c r="F2546" s="39">
        <f>E2546+F2522</f>
        <v>397</v>
      </c>
      <c r="G2546" s="497"/>
      <c r="H2546" s="497"/>
      <c r="J2546" s="42"/>
    </row>
    <row r="2547" spans="1:10" s="360" customFormat="1" x14ac:dyDescent="0.25">
      <c r="A2547" s="19" t="s">
        <v>28</v>
      </c>
      <c r="B2547" s="2">
        <v>43999</v>
      </c>
      <c r="C2547" s="1">
        <v>0</v>
      </c>
      <c r="D2547" s="39">
        <v>0</v>
      </c>
      <c r="E2547" s="1"/>
      <c r="F2547" s="39">
        <f t="shared" ref="F2547:F2553" si="153">E2547+F2523</f>
        <v>0</v>
      </c>
      <c r="G2547" s="497"/>
      <c r="H2547" s="497"/>
      <c r="J2547" s="42"/>
    </row>
    <row r="2548" spans="1:10" s="360" customFormat="1" x14ac:dyDescent="0.25">
      <c r="A2548" s="19" t="s">
        <v>15</v>
      </c>
      <c r="B2548" s="2">
        <v>43999</v>
      </c>
      <c r="C2548" s="1">
        <v>20</v>
      </c>
      <c r="D2548" s="39">
        <v>1407</v>
      </c>
      <c r="E2548" s="1"/>
      <c r="F2548" s="39">
        <f t="shared" si="153"/>
        <v>76</v>
      </c>
      <c r="G2548" s="497"/>
      <c r="H2548" s="497"/>
      <c r="J2548" s="42"/>
    </row>
    <row r="2549" spans="1:10" s="360" customFormat="1" x14ac:dyDescent="0.25">
      <c r="A2549" s="19" t="s">
        <v>29</v>
      </c>
      <c r="B2549" s="2">
        <v>43999</v>
      </c>
      <c r="C2549" s="1">
        <v>8</v>
      </c>
      <c r="D2549" s="39">
        <v>72</v>
      </c>
      <c r="E2549" s="1"/>
      <c r="F2549" s="39">
        <f t="shared" si="153"/>
        <v>2</v>
      </c>
      <c r="G2549" s="497"/>
      <c r="H2549" s="497"/>
      <c r="J2549" s="42"/>
    </row>
    <row r="2550" spans="1:10" s="360" customFormat="1" x14ac:dyDescent="0.25">
      <c r="A2550" s="19" t="s">
        <v>43</v>
      </c>
      <c r="B2550" s="2">
        <v>43999</v>
      </c>
      <c r="C2550" s="1">
        <v>522</v>
      </c>
      <c r="D2550" s="39">
        <v>16287</v>
      </c>
      <c r="E2550" s="1">
        <v>23</v>
      </c>
      <c r="F2550" s="39">
        <f t="shared" si="153"/>
        <v>336</v>
      </c>
      <c r="G2550" s="497"/>
      <c r="H2550" s="497"/>
      <c r="J2550" s="42"/>
    </row>
    <row r="2551" spans="1:10" s="360" customFormat="1" x14ac:dyDescent="0.25">
      <c r="A2551" s="19" t="s">
        <v>20</v>
      </c>
      <c r="B2551" s="2">
        <v>43999</v>
      </c>
      <c r="C2551" s="1">
        <v>6</v>
      </c>
      <c r="D2551" s="39">
        <v>507</v>
      </c>
      <c r="E2551" s="1"/>
      <c r="F2551" s="39">
        <f t="shared" si="153"/>
        <v>33</v>
      </c>
      <c r="G2551" s="497"/>
      <c r="H2551" s="497"/>
      <c r="J2551" s="42"/>
    </row>
    <row r="2552" spans="1:10" s="360" customFormat="1" x14ac:dyDescent="0.25">
      <c r="A2552" s="19" t="s">
        <v>30</v>
      </c>
      <c r="B2552" s="2">
        <v>43999</v>
      </c>
      <c r="C2552" s="1">
        <v>2</v>
      </c>
      <c r="D2552" s="39">
        <v>107</v>
      </c>
      <c r="E2552" s="1"/>
      <c r="F2552" s="39">
        <f t="shared" si="153"/>
        <v>0</v>
      </c>
      <c r="G2552" s="497"/>
      <c r="H2552" s="497"/>
      <c r="J2552" s="42"/>
    </row>
    <row r="2553" spans="1:10" x14ac:dyDescent="0.25">
      <c r="A2553" s="19" t="s">
        <v>31</v>
      </c>
      <c r="B2553" s="2">
        <v>43999</v>
      </c>
      <c r="C2553" s="1">
        <v>5</v>
      </c>
      <c r="D2553" s="39">
        <v>105</v>
      </c>
      <c r="F2553" s="39">
        <f t="shared" si="153"/>
        <v>0</v>
      </c>
    </row>
    <row r="2554" spans="1:10" s="360" customFormat="1" x14ac:dyDescent="0.25">
      <c r="A2554" s="19" t="s">
        <v>41</v>
      </c>
      <c r="B2554" s="2">
        <v>43999</v>
      </c>
      <c r="C2554" s="1">
        <v>0</v>
      </c>
      <c r="D2554" s="39">
        <v>33</v>
      </c>
      <c r="E2554" s="1"/>
      <c r="F2554" s="39">
        <f t="shared" ref="F2554:F2568" si="154">E2554+F2529</f>
        <v>0</v>
      </c>
      <c r="G2554" s="497"/>
      <c r="H2554" s="497"/>
      <c r="J2554" s="42"/>
    </row>
    <row r="2555" spans="1:10" s="360" customFormat="1" x14ac:dyDescent="0.25">
      <c r="A2555" s="19" t="s">
        <v>32</v>
      </c>
      <c r="B2555" s="2">
        <v>43999</v>
      </c>
      <c r="C2555" s="1">
        <v>1</v>
      </c>
      <c r="D2555" s="39">
        <v>9</v>
      </c>
      <c r="E2555" s="1"/>
      <c r="F2555" s="39">
        <f t="shared" si="154"/>
        <v>0</v>
      </c>
      <c r="G2555" s="497"/>
      <c r="H2555" s="497"/>
      <c r="J2555" s="42"/>
    </row>
    <row r="2556" spans="1:10" s="360" customFormat="1" x14ac:dyDescent="0.25">
      <c r="A2556" s="19" t="s">
        <v>33</v>
      </c>
      <c r="B2556" s="2">
        <v>43999</v>
      </c>
      <c r="C2556" s="1">
        <v>0</v>
      </c>
      <c r="D2556" s="39">
        <v>6</v>
      </c>
      <c r="E2556" s="1"/>
      <c r="F2556" s="39">
        <f t="shared" si="154"/>
        <v>0</v>
      </c>
      <c r="G2556" s="497"/>
      <c r="H2556" s="497"/>
      <c r="J2556" s="42"/>
    </row>
    <row r="2557" spans="1:10" s="360" customFormat="1" x14ac:dyDescent="0.25">
      <c r="A2557" s="19" t="s">
        <v>21</v>
      </c>
      <c r="B2557" s="2">
        <v>43999</v>
      </c>
      <c r="C2557" s="1">
        <v>0</v>
      </c>
      <c r="D2557" s="39">
        <v>64</v>
      </c>
      <c r="E2557" s="1"/>
      <c r="F2557" s="39">
        <f t="shared" si="154"/>
        <v>0</v>
      </c>
      <c r="G2557" s="497"/>
      <c r="H2557" s="497"/>
      <c r="J2557" s="42"/>
    </row>
    <row r="2558" spans="1:10" s="360" customFormat="1" x14ac:dyDescent="0.25">
      <c r="A2558" s="19" t="s">
        <v>17</v>
      </c>
      <c r="B2558" s="2">
        <v>43999</v>
      </c>
      <c r="C2558" s="1">
        <v>1</v>
      </c>
      <c r="D2558" s="39">
        <v>117</v>
      </c>
      <c r="E2558" s="1"/>
      <c r="F2558" s="39">
        <f t="shared" si="154"/>
        <v>0</v>
      </c>
      <c r="G2558" s="497"/>
      <c r="H2558" s="497"/>
      <c r="J2558" s="42"/>
    </row>
    <row r="2559" spans="1:10" s="360" customFormat="1" x14ac:dyDescent="0.25">
      <c r="A2559" s="19" t="s">
        <v>23</v>
      </c>
      <c r="B2559" s="2">
        <v>43999</v>
      </c>
      <c r="C2559" s="1">
        <v>0</v>
      </c>
      <c r="D2559" s="39">
        <v>40</v>
      </c>
      <c r="E2559" s="1"/>
      <c r="F2559" s="39">
        <f t="shared" si="154"/>
        <v>1</v>
      </c>
      <c r="G2559" s="497"/>
      <c r="H2559" s="497"/>
      <c r="J2559" s="42"/>
    </row>
    <row r="2560" spans="1:10" s="360" customFormat="1" x14ac:dyDescent="0.25">
      <c r="A2560" s="19" t="s">
        <v>19</v>
      </c>
      <c r="B2560" s="2">
        <v>43999</v>
      </c>
      <c r="C2560" s="1">
        <v>11</v>
      </c>
      <c r="D2560" s="39">
        <v>251</v>
      </c>
      <c r="E2560" s="1"/>
      <c r="F2560" s="39">
        <f t="shared" si="154"/>
        <v>0</v>
      </c>
      <c r="G2560" s="497"/>
      <c r="H2560" s="497"/>
      <c r="J2560" s="42"/>
    </row>
    <row r="2561" spans="1:10" s="360" customFormat="1" x14ac:dyDescent="0.25">
      <c r="A2561" s="19" t="s">
        <v>18</v>
      </c>
      <c r="B2561" s="2">
        <v>43999</v>
      </c>
      <c r="C2561" s="1">
        <v>14</v>
      </c>
      <c r="D2561" s="39">
        <v>595</v>
      </c>
      <c r="E2561" s="1"/>
      <c r="F2561" s="39">
        <f t="shared" si="154"/>
        <v>1</v>
      </c>
      <c r="G2561" s="497"/>
      <c r="H2561" s="497"/>
      <c r="J2561" s="42"/>
    </row>
    <row r="2562" spans="1:10" s="360" customFormat="1" x14ac:dyDescent="0.25">
      <c r="A2562" s="19" t="s">
        <v>34</v>
      </c>
      <c r="B2562" s="2">
        <v>43999</v>
      </c>
      <c r="C2562" s="1">
        <v>1</v>
      </c>
      <c r="D2562" s="39">
        <v>21</v>
      </c>
      <c r="E2562" s="1"/>
      <c r="F2562" s="39">
        <f t="shared" si="154"/>
        <v>0</v>
      </c>
      <c r="G2562" s="497"/>
      <c r="H2562" s="497"/>
      <c r="J2562" s="42"/>
    </row>
    <row r="2563" spans="1:10" s="360" customFormat="1" x14ac:dyDescent="0.25">
      <c r="A2563" s="19" t="s">
        <v>35</v>
      </c>
      <c r="B2563" s="2">
        <v>43999</v>
      </c>
      <c r="C2563" s="1">
        <v>0</v>
      </c>
      <c r="D2563" s="39">
        <v>7</v>
      </c>
      <c r="E2563" s="1"/>
      <c r="F2563" s="39">
        <f>E2563+F2539</f>
        <v>0</v>
      </c>
      <c r="G2563" s="497"/>
      <c r="H2563" s="497"/>
      <c r="J2563" s="42"/>
    </row>
    <row r="2564" spans="1:10" s="360" customFormat="1" x14ac:dyDescent="0.25">
      <c r="A2564" s="19" t="s">
        <v>36</v>
      </c>
      <c r="B2564" s="2">
        <v>43999</v>
      </c>
      <c r="C2564" s="1">
        <v>0</v>
      </c>
      <c r="D2564" s="39">
        <v>11</v>
      </c>
      <c r="E2564" s="1"/>
      <c r="F2564" s="39">
        <f t="shared" si="154"/>
        <v>0</v>
      </c>
      <c r="G2564" s="497"/>
      <c r="H2564" s="497"/>
      <c r="J2564" s="42"/>
    </row>
    <row r="2565" spans="1:10" s="360" customFormat="1" x14ac:dyDescent="0.25">
      <c r="A2565" s="19" t="s">
        <v>37</v>
      </c>
      <c r="B2565" s="2">
        <v>43999</v>
      </c>
      <c r="C2565" s="1">
        <v>0</v>
      </c>
      <c r="D2565" s="39">
        <v>51</v>
      </c>
      <c r="E2565" s="1"/>
      <c r="F2565" s="39">
        <f t="shared" si="154"/>
        <v>0</v>
      </c>
      <c r="G2565" s="497"/>
      <c r="H2565" s="497"/>
      <c r="J2565" s="42"/>
    </row>
    <row r="2566" spans="1:10" s="360" customFormat="1" x14ac:dyDescent="0.25">
      <c r="A2566" s="19" t="s">
        <v>22</v>
      </c>
      <c r="B2566" s="2">
        <v>43999</v>
      </c>
      <c r="C2566" s="1">
        <v>2</v>
      </c>
      <c r="D2566" s="39">
        <v>290</v>
      </c>
      <c r="E2566" s="1"/>
      <c r="F2566" s="39">
        <f>E2566+F2542</f>
        <v>4</v>
      </c>
      <c r="G2566" s="497"/>
      <c r="H2566" s="497"/>
      <c r="J2566" s="42"/>
    </row>
    <row r="2567" spans="1:10" s="360" customFormat="1" x14ac:dyDescent="0.25">
      <c r="A2567" s="19" t="s">
        <v>38</v>
      </c>
      <c r="B2567" s="2">
        <v>43999</v>
      </c>
      <c r="C2567" s="1">
        <v>0</v>
      </c>
      <c r="D2567" s="39">
        <v>22</v>
      </c>
      <c r="E2567" s="1"/>
      <c r="F2567" s="39">
        <f>E2567+F2543</f>
        <v>0</v>
      </c>
      <c r="G2567" s="497"/>
      <c r="H2567" s="497"/>
      <c r="J2567" s="42"/>
    </row>
    <row r="2568" spans="1:10" s="360" customFormat="1" x14ac:dyDescent="0.25">
      <c r="A2568" s="19" t="s">
        <v>39</v>
      </c>
      <c r="B2568" s="2">
        <v>43999</v>
      </c>
      <c r="C2568" s="1">
        <v>0</v>
      </c>
      <c r="D2568" s="39">
        <v>149</v>
      </c>
      <c r="E2568" s="1"/>
      <c r="F2568" s="39">
        <f t="shared" si="154"/>
        <v>0</v>
      </c>
      <c r="G2568" s="497"/>
      <c r="H2568" s="497"/>
      <c r="J2568" s="42"/>
    </row>
    <row r="2569" spans="1:10" s="360" customFormat="1" x14ac:dyDescent="0.25">
      <c r="A2569" s="19" t="s">
        <v>40</v>
      </c>
      <c r="B2569" s="2">
        <v>43999</v>
      </c>
      <c r="C2569" s="1">
        <v>1</v>
      </c>
      <c r="D2569" s="39">
        <v>58</v>
      </c>
      <c r="E2569" s="1"/>
      <c r="F2569" s="39">
        <f>E2569+F2545</f>
        <v>4</v>
      </c>
      <c r="G2569" s="497"/>
      <c r="H2569" s="497"/>
      <c r="J2569" s="42"/>
    </row>
    <row r="2570" spans="1:10" s="360" customFormat="1" x14ac:dyDescent="0.25">
      <c r="A2570" s="361" t="s">
        <v>16</v>
      </c>
      <c r="B2570" s="2">
        <v>44000</v>
      </c>
      <c r="C2570" s="1">
        <v>1106</v>
      </c>
      <c r="D2570" s="39">
        <v>16449</v>
      </c>
      <c r="E2570" s="1">
        <v>13</v>
      </c>
      <c r="F2570" s="39">
        <f>E2570+F2546</f>
        <v>410</v>
      </c>
      <c r="G2570" s="497"/>
      <c r="H2570" s="497"/>
      <c r="J2570" s="42"/>
    </row>
    <row r="2571" spans="1:10" s="360" customFormat="1" x14ac:dyDescent="0.25">
      <c r="A2571" s="19" t="s">
        <v>28</v>
      </c>
      <c r="B2571" s="2">
        <v>44000</v>
      </c>
      <c r="C2571" s="1">
        <v>0</v>
      </c>
      <c r="D2571" s="39">
        <v>0</v>
      </c>
      <c r="E2571" s="1"/>
      <c r="F2571" s="39">
        <f t="shared" ref="F2571:F2577" si="155">E2571+F2547</f>
        <v>0</v>
      </c>
      <c r="G2571" s="497"/>
      <c r="H2571" s="497"/>
      <c r="J2571" s="42"/>
    </row>
    <row r="2572" spans="1:10" s="360" customFormat="1" x14ac:dyDescent="0.25">
      <c r="A2572" s="19" t="s">
        <v>15</v>
      </c>
      <c r="B2572" s="2">
        <v>44000</v>
      </c>
      <c r="C2572" s="1">
        <v>68</v>
      </c>
      <c r="D2572" s="39">
        <v>1475</v>
      </c>
      <c r="E2572" s="1">
        <v>2</v>
      </c>
      <c r="F2572" s="39">
        <f t="shared" si="155"/>
        <v>78</v>
      </c>
      <c r="G2572" s="497"/>
      <c r="H2572" s="497"/>
      <c r="J2572" s="42"/>
    </row>
    <row r="2573" spans="1:10" s="360" customFormat="1" x14ac:dyDescent="0.25">
      <c r="A2573" s="19" t="s">
        <v>29</v>
      </c>
      <c r="B2573" s="2">
        <v>44000</v>
      </c>
      <c r="C2573" s="1">
        <v>10</v>
      </c>
      <c r="D2573" s="39">
        <v>82</v>
      </c>
      <c r="E2573" s="1"/>
      <c r="F2573" s="39">
        <f t="shared" si="155"/>
        <v>2</v>
      </c>
      <c r="G2573" s="497"/>
      <c r="H2573" s="497"/>
      <c r="J2573" s="42"/>
    </row>
    <row r="2574" spans="1:10" s="360" customFormat="1" x14ac:dyDescent="0.25">
      <c r="A2574" s="19" t="s">
        <v>43</v>
      </c>
      <c r="B2574" s="2">
        <v>44000</v>
      </c>
      <c r="C2574" s="1">
        <v>692</v>
      </c>
      <c r="D2574" s="39">
        <v>16979</v>
      </c>
      <c r="E2574" s="1">
        <v>15</v>
      </c>
      <c r="F2574" s="39">
        <f t="shared" si="155"/>
        <v>351</v>
      </c>
      <c r="G2574" s="497"/>
      <c r="H2574" s="497"/>
      <c r="J2574" s="42"/>
    </row>
    <row r="2575" spans="1:10" s="360" customFormat="1" x14ac:dyDescent="0.25">
      <c r="A2575" s="19" t="s">
        <v>20</v>
      </c>
      <c r="B2575" s="2">
        <v>44000</v>
      </c>
      <c r="C2575" s="1">
        <v>9</v>
      </c>
      <c r="D2575" s="39">
        <v>516</v>
      </c>
      <c r="E2575" s="1"/>
      <c r="F2575" s="39">
        <f t="shared" si="155"/>
        <v>33</v>
      </c>
      <c r="G2575" s="497"/>
      <c r="H2575" s="497"/>
      <c r="J2575" s="42"/>
    </row>
    <row r="2576" spans="1:10" s="360" customFormat="1" x14ac:dyDescent="0.25">
      <c r="A2576" s="19" t="s">
        <v>30</v>
      </c>
      <c r="B2576" s="2">
        <v>44000</v>
      </c>
      <c r="C2576" s="1">
        <v>1</v>
      </c>
      <c r="D2576" s="39">
        <v>108</v>
      </c>
      <c r="E2576" s="1"/>
      <c r="F2576" s="39">
        <f t="shared" si="155"/>
        <v>0</v>
      </c>
      <c r="G2576" s="497"/>
      <c r="H2576" s="497"/>
      <c r="J2576" s="42"/>
    </row>
    <row r="2577" spans="1:10" x14ac:dyDescent="0.25">
      <c r="A2577" s="19" t="s">
        <v>31</v>
      </c>
      <c r="B2577" s="2">
        <v>44000</v>
      </c>
      <c r="C2577" s="1">
        <v>6</v>
      </c>
      <c r="D2577" s="39">
        <v>111</v>
      </c>
      <c r="F2577" s="39">
        <f t="shared" si="155"/>
        <v>0</v>
      </c>
    </row>
    <row r="2578" spans="1:10" s="360" customFormat="1" x14ac:dyDescent="0.25">
      <c r="A2578" s="19" t="s">
        <v>41</v>
      </c>
      <c r="B2578" s="2">
        <v>44000</v>
      </c>
      <c r="C2578" s="1">
        <v>4</v>
      </c>
      <c r="D2578" s="39">
        <v>37</v>
      </c>
      <c r="E2578" s="1"/>
      <c r="F2578" s="39">
        <f t="shared" ref="F2578:F2592" si="156">E2578+F2553</f>
        <v>0</v>
      </c>
      <c r="G2578" s="497"/>
      <c r="H2578" s="497"/>
      <c r="J2578" s="42"/>
    </row>
    <row r="2579" spans="1:10" s="360" customFormat="1" x14ac:dyDescent="0.25">
      <c r="A2579" s="19" t="s">
        <v>32</v>
      </c>
      <c r="B2579" s="2">
        <v>44000</v>
      </c>
      <c r="C2579" s="1">
        <v>3</v>
      </c>
      <c r="D2579" s="39">
        <v>12</v>
      </c>
      <c r="E2579" s="1"/>
      <c r="F2579" s="39">
        <f t="shared" si="156"/>
        <v>0</v>
      </c>
      <c r="G2579" s="497"/>
      <c r="H2579" s="497"/>
      <c r="J2579" s="42"/>
    </row>
    <row r="2580" spans="1:10" s="360" customFormat="1" x14ac:dyDescent="0.25">
      <c r="A2580" s="19" t="s">
        <v>33</v>
      </c>
      <c r="B2580" s="2">
        <v>44000</v>
      </c>
      <c r="C2580" s="1">
        <v>0</v>
      </c>
      <c r="D2580" s="39">
        <v>6</v>
      </c>
      <c r="E2580" s="1"/>
      <c r="F2580" s="39">
        <f t="shared" si="156"/>
        <v>0</v>
      </c>
      <c r="G2580" s="497"/>
      <c r="H2580" s="497"/>
      <c r="J2580" s="42"/>
    </row>
    <row r="2581" spans="1:10" s="360" customFormat="1" x14ac:dyDescent="0.25">
      <c r="A2581" s="19" t="s">
        <v>21</v>
      </c>
      <c r="B2581" s="2">
        <v>44000</v>
      </c>
      <c r="C2581" s="1">
        <v>0</v>
      </c>
      <c r="D2581" s="39">
        <v>64</v>
      </c>
      <c r="E2581" s="1"/>
      <c r="F2581" s="39">
        <f t="shared" si="156"/>
        <v>0</v>
      </c>
      <c r="G2581" s="497"/>
      <c r="H2581" s="497"/>
      <c r="J2581" s="42"/>
    </row>
    <row r="2582" spans="1:10" s="360" customFormat="1" x14ac:dyDescent="0.25">
      <c r="A2582" s="19" t="s">
        <v>17</v>
      </c>
      <c r="B2582" s="2">
        <v>44000</v>
      </c>
      <c r="C2582" s="1">
        <v>3</v>
      </c>
      <c r="D2582" s="39">
        <v>120</v>
      </c>
      <c r="E2582" s="1"/>
      <c r="F2582" s="39">
        <f t="shared" si="156"/>
        <v>0</v>
      </c>
      <c r="G2582" s="497"/>
      <c r="H2582" s="497"/>
      <c r="J2582" s="42"/>
    </row>
    <row r="2583" spans="1:10" s="360" customFormat="1" x14ac:dyDescent="0.25">
      <c r="A2583" s="19" t="s">
        <v>23</v>
      </c>
      <c r="B2583" s="2">
        <v>44000</v>
      </c>
      <c r="C2583" s="1">
        <v>1</v>
      </c>
      <c r="D2583" s="39">
        <v>41</v>
      </c>
      <c r="E2583" s="1"/>
      <c r="F2583" s="39">
        <f t="shared" si="156"/>
        <v>0</v>
      </c>
      <c r="G2583" s="497"/>
      <c r="H2583" s="497"/>
      <c r="J2583" s="42"/>
    </row>
    <row r="2584" spans="1:10" s="360" customFormat="1" x14ac:dyDescent="0.25">
      <c r="A2584" s="19" t="s">
        <v>19</v>
      </c>
      <c r="B2584" s="2">
        <v>44000</v>
      </c>
      <c r="C2584" s="1">
        <v>16</v>
      </c>
      <c r="D2584" s="39">
        <v>267</v>
      </c>
      <c r="E2584" s="1">
        <v>1</v>
      </c>
      <c r="F2584" s="39">
        <f t="shared" si="156"/>
        <v>2</v>
      </c>
      <c r="G2584" s="497"/>
      <c r="H2584" s="497"/>
      <c r="J2584" s="42"/>
    </row>
    <row r="2585" spans="1:10" s="360" customFormat="1" x14ac:dyDescent="0.25">
      <c r="A2585" s="19" t="s">
        <v>18</v>
      </c>
      <c r="B2585" s="2">
        <v>44000</v>
      </c>
      <c r="C2585" s="1">
        <v>27</v>
      </c>
      <c r="D2585" s="39">
        <v>622</v>
      </c>
      <c r="E2585" s="1">
        <v>3</v>
      </c>
      <c r="F2585" s="39">
        <f t="shared" si="156"/>
        <v>3</v>
      </c>
      <c r="G2585" s="497"/>
      <c r="H2585" s="497"/>
      <c r="J2585" s="42"/>
    </row>
    <row r="2586" spans="1:10" s="360" customFormat="1" x14ac:dyDescent="0.25">
      <c r="A2586" s="19" t="s">
        <v>34</v>
      </c>
      <c r="B2586" s="2">
        <v>44000</v>
      </c>
      <c r="C2586" s="1">
        <v>0</v>
      </c>
      <c r="D2586" s="39">
        <v>21</v>
      </c>
      <c r="E2586" s="1"/>
      <c r="F2586" s="39">
        <f t="shared" si="156"/>
        <v>1</v>
      </c>
      <c r="G2586" s="497"/>
      <c r="H2586" s="497"/>
      <c r="J2586" s="42"/>
    </row>
    <row r="2587" spans="1:10" s="360" customFormat="1" x14ac:dyDescent="0.25">
      <c r="A2587" s="19" t="s">
        <v>35</v>
      </c>
      <c r="B2587" s="2">
        <v>44000</v>
      </c>
      <c r="C2587" s="1">
        <v>0</v>
      </c>
      <c r="D2587" s="39">
        <v>7</v>
      </c>
      <c r="E2587" s="1"/>
      <c r="F2587" s="39">
        <f>E2587+F2563</f>
        <v>0</v>
      </c>
      <c r="G2587" s="497"/>
      <c r="H2587" s="497"/>
      <c r="J2587" s="42"/>
    </row>
    <row r="2588" spans="1:10" s="360" customFormat="1" x14ac:dyDescent="0.25">
      <c r="A2588" s="19" t="s">
        <v>36</v>
      </c>
      <c r="B2588" s="2">
        <v>44000</v>
      </c>
      <c r="C2588" s="1">
        <v>0</v>
      </c>
      <c r="D2588" s="39">
        <v>11</v>
      </c>
      <c r="E2588" s="1"/>
      <c r="F2588" s="39">
        <f t="shared" si="156"/>
        <v>0</v>
      </c>
      <c r="G2588" s="497"/>
      <c r="H2588" s="497"/>
      <c r="J2588" s="42"/>
    </row>
    <row r="2589" spans="1:10" s="360" customFormat="1" x14ac:dyDescent="0.25">
      <c r="A2589" s="19" t="s">
        <v>37</v>
      </c>
      <c r="B2589" s="2">
        <v>44000</v>
      </c>
      <c r="C2589" s="1">
        <v>0</v>
      </c>
      <c r="D2589" s="39">
        <v>51</v>
      </c>
      <c r="E2589" s="1"/>
      <c r="F2589" s="39">
        <f t="shared" si="156"/>
        <v>0</v>
      </c>
      <c r="G2589" s="497"/>
      <c r="H2589" s="497"/>
      <c r="J2589" s="42"/>
    </row>
    <row r="2590" spans="1:10" s="360" customFormat="1" x14ac:dyDescent="0.25">
      <c r="A2590" s="19" t="s">
        <v>22</v>
      </c>
      <c r="B2590" s="2">
        <v>44000</v>
      </c>
      <c r="C2590" s="1">
        <v>11</v>
      </c>
      <c r="D2590" s="39">
        <v>301</v>
      </c>
      <c r="E2590" s="1"/>
      <c r="F2590" s="39">
        <f>E2590+F2566</f>
        <v>4</v>
      </c>
      <c r="G2590" s="497"/>
      <c r="H2590" s="497"/>
      <c r="J2590" s="42"/>
    </row>
    <row r="2591" spans="1:10" s="360" customFormat="1" x14ac:dyDescent="0.25">
      <c r="A2591" s="19" t="s">
        <v>38</v>
      </c>
      <c r="B2591" s="2">
        <v>44000</v>
      </c>
      <c r="C2591" s="1">
        <v>0</v>
      </c>
      <c r="D2591" s="39">
        <v>22</v>
      </c>
      <c r="E2591" s="1"/>
      <c r="F2591" s="39">
        <f>E2591+F2567</f>
        <v>0</v>
      </c>
      <c r="G2591" s="497"/>
      <c r="H2591" s="497"/>
      <c r="J2591" s="42"/>
    </row>
    <row r="2592" spans="1:10" s="360" customFormat="1" x14ac:dyDescent="0.25">
      <c r="A2592" s="19" t="s">
        <v>39</v>
      </c>
      <c r="B2592" s="2">
        <v>44000</v>
      </c>
      <c r="C2592" s="1">
        <v>0</v>
      </c>
      <c r="D2592" s="39">
        <v>149</v>
      </c>
      <c r="E2592" s="1"/>
      <c r="F2592" s="39">
        <f t="shared" si="156"/>
        <v>0</v>
      </c>
      <c r="G2592" s="497"/>
      <c r="H2592" s="497"/>
      <c r="J2592" s="42"/>
    </row>
    <row r="2593" spans="1:10" s="360" customFormat="1" x14ac:dyDescent="0.25">
      <c r="A2593" s="19" t="s">
        <v>40</v>
      </c>
      <c r="B2593" s="2">
        <v>44000</v>
      </c>
      <c r="C2593" s="1">
        <v>1</v>
      </c>
      <c r="D2593" s="39">
        <v>59</v>
      </c>
      <c r="E2593" s="1"/>
      <c r="F2593" s="39">
        <f>E2593+F2569</f>
        <v>4</v>
      </c>
      <c r="G2593" s="497"/>
      <c r="H2593" s="497"/>
      <c r="J2593" s="42"/>
    </row>
    <row r="2594" spans="1:10" s="360" customFormat="1" x14ac:dyDescent="0.25">
      <c r="A2594" s="361" t="s">
        <v>16</v>
      </c>
      <c r="B2594" s="2">
        <v>44001</v>
      </c>
      <c r="C2594" s="1">
        <v>1119</v>
      </c>
      <c r="D2594" s="39">
        <v>17568</v>
      </c>
      <c r="E2594" s="1">
        <v>16</v>
      </c>
      <c r="F2594" s="39">
        <f>E2594+F2570</f>
        <v>426</v>
      </c>
      <c r="G2594" s="497"/>
      <c r="H2594" s="497"/>
      <c r="J2594" s="42"/>
    </row>
    <row r="2595" spans="1:10" s="360" customFormat="1" x14ac:dyDescent="0.25">
      <c r="A2595" s="19" t="s">
        <v>28</v>
      </c>
      <c r="B2595" s="2">
        <v>44001</v>
      </c>
      <c r="C2595" s="1">
        <v>0</v>
      </c>
      <c r="D2595" s="39">
        <v>0</v>
      </c>
      <c r="E2595" s="1"/>
      <c r="F2595" s="39">
        <f t="shared" ref="F2595:F2601" si="157">E2595+F2571</f>
        <v>0</v>
      </c>
      <c r="G2595" s="497"/>
      <c r="H2595" s="497"/>
      <c r="J2595" s="42"/>
    </row>
    <row r="2596" spans="1:10" s="360" customFormat="1" x14ac:dyDescent="0.25">
      <c r="A2596" s="19" t="s">
        <v>15</v>
      </c>
      <c r="B2596" s="2">
        <v>44001</v>
      </c>
      <c r="C2596" s="1">
        <v>31</v>
      </c>
      <c r="D2596" s="39">
        <v>1506</v>
      </c>
      <c r="E2596" s="1">
        <v>5</v>
      </c>
      <c r="F2596" s="39">
        <f t="shared" si="157"/>
        <v>83</v>
      </c>
      <c r="G2596" s="497"/>
      <c r="H2596" s="497"/>
      <c r="J2596" s="42"/>
    </row>
    <row r="2597" spans="1:10" s="360" customFormat="1" x14ac:dyDescent="0.25">
      <c r="A2597" s="19" t="s">
        <v>29</v>
      </c>
      <c r="B2597" s="2">
        <v>44001</v>
      </c>
      <c r="C2597" s="1">
        <v>3</v>
      </c>
      <c r="D2597" s="39">
        <v>85</v>
      </c>
      <c r="E2597" s="1"/>
      <c r="F2597" s="39">
        <f t="shared" si="157"/>
        <v>2</v>
      </c>
      <c r="G2597" s="497"/>
      <c r="H2597" s="497"/>
      <c r="J2597" s="42"/>
    </row>
    <row r="2598" spans="1:10" s="360" customFormat="1" x14ac:dyDescent="0.25">
      <c r="A2598" s="19" t="s">
        <v>43</v>
      </c>
      <c r="B2598" s="2">
        <v>44001</v>
      </c>
      <c r="C2598" s="1">
        <v>804</v>
      </c>
      <c r="D2598" s="39">
        <v>17783</v>
      </c>
      <c r="E2598" s="1">
        <v>11</v>
      </c>
      <c r="F2598" s="39">
        <f t="shared" si="157"/>
        <v>362</v>
      </c>
      <c r="G2598" s="497"/>
      <c r="H2598" s="497"/>
      <c r="J2598" s="42"/>
    </row>
    <row r="2599" spans="1:10" s="360" customFormat="1" x14ac:dyDescent="0.25">
      <c r="A2599" s="19" t="s">
        <v>20</v>
      </c>
      <c r="B2599" s="2">
        <v>44001</v>
      </c>
      <c r="C2599" s="1">
        <v>19</v>
      </c>
      <c r="D2599" s="39">
        <v>535</v>
      </c>
      <c r="E2599" s="1"/>
      <c r="F2599" s="39">
        <f t="shared" si="157"/>
        <v>33</v>
      </c>
      <c r="G2599" s="497"/>
      <c r="H2599" s="497"/>
      <c r="J2599" s="42"/>
    </row>
    <row r="2600" spans="1:10" s="360" customFormat="1" x14ac:dyDescent="0.25">
      <c r="A2600" s="19" t="s">
        <v>30</v>
      </c>
      <c r="B2600" s="2">
        <v>44001</v>
      </c>
      <c r="C2600" s="1">
        <v>5</v>
      </c>
      <c r="D2600" s="39">
        <v>113</v>
      </c>
      <c r="E2600" s="1"/>
      <c r="F2600" s="39">
        <f t="shared" si="157"/>
        <v>0</v>
      </c>
      <c r="G2600" s="497"/>
      <c r="H2600" s="497"/>
      <c r="J2600" s="42"/>
    </row>
    <row r="2601" spans="1:10" x14ac:dyDescent="0.25">
      <c r="A2601" s="19" t="s">
        <v>31</v>
      </c>
      <c r="B2601" s="2">
        <v>44001</v>
      </c>
      <c r="C2601" s="1">
        <v>4</v>
      </c>
      <c r="D2601" s="39">
        <v>115</v>
      </c>
      <c r="F2601" s="39">
        <f t="shared" si="157"/>
        <v>0</v>
      </c>
    </row>
    <row r="2602" spans="1:10" s="360" customFormat="1" x14ac:dyDescent="0.25">
      <c r="A2602" s="19" t="s">
        <v>41</v>
      </c>
      <c r="B2602" s="2">
        <v>44001</v>
      </c>
      <c r="C2602" s="1">
        <v>0</v>
      </c>
      <c r="D2602" s="39">
        <v>37</v>
      </c>
      <c r="E2602" s="1"/>
      <c r="F2602" s="39">
        <f t="shared" ref="F2602:F2616" si="158">E2602+F2577</f>
        <v>0</v>
      </c>
      <c r="G2602" s="497"/>
      <c r="H2602" s="497"/>
      <c r="J2602" s="42"/>
    </row>
    <row r="2603" spans="1:10" s="360" customFormat="1" x14ac:dyDescent="0.25">
      <c r="A2603" s="19" t="s">
        <v>32</v>
      </c>
      <c r="B2603" s="2">
        <v>44001</v>
      </c>
      <c r="C2603" s="1">
        <v>1</v>
      </c>
      <c r="D2603" s="39">
        <v>13</v>
      </c>
      <c r="E2603" s="1"/>
      <c r="F2603" s="39">
        <f t="shared" si="158"/>
        <v>0</v>
      </c>
      <c r="G2603" s="497"/>
      <c r="H2603" s="497"/>
      <c r="J2603" s="42"/>
    </row>
    <row r="2604" spans="1:10" s="360" customFormat="1" x14ac:dyDescent="0.25">
      <c r="A2604" s="19" t="s">
        <v>33</v>
      </c>
      <c r="B2604" s="2">
        <v>44001</v>
      </c>
      <c r="C2604" s="1">
        <v>0</v>
      </c>
      <c r="D2604" s="39">
        <v>6</v>
      </c>
      <c r="E2604" s="1"/>
      <c r="F2604" s="39">
        <f t="shared" si="158"/>
        <v>0</v>
      </c>
      <c r="G2604" s="497"/>
      <c r="H2604" s="497"/>
      <c r="J2604" s="42"/>
    </row>
    <row r="2605" spans="1:10" s="360" customFormat="1" x14ac:dyDescent="0.25">
      <c r="A2605" s="19" t="s">
        <v>21</v>
      </c>
      <c r="B2605" s="2">
        <v>44001</v>
      </c>
      <c r="C2605" s="1">
        <v>0</v>
      </c>
      <c r="D2605" s="39">
        <v>64</v>
      </c>
      <c r="E2605" s="1"/>
      <c r="F2605" s="39">
        <f t="shared" si="158"/>
        <v>0</v>
      </c>
      <c r="G2605" s="497"/>
      <c r="H2605" s="497"/>
      <c r="J2605" s="42"/>
    </row>
    <row r="2606" spans="1:10" s="360" customFormat="1" x14ac:dyDescent="0.25">
      <c r="A2606" s="19" t="s">
        <v>17</v>
      </c>
      <c r="B2606" s="2">
        <v>44001</v>
      </c>
      <c r="C2606" s="1">
        <v>3</v>
      </c>
      <c r="D2606" s="39">
        <v>123</v>
      </c>
      <c r="E2606" s="1"/>
      <c r="F2606" s="39">
        <f t="shared" si="158"/>
        <v>0</v>
      </c>
      <c r="G2606" s="497"/>
      <c r="H2606" s="497"/>
      <c r="J2606" s="42"/>
    </row>
    <row r="2607" spans="1:10" s="360" customFormat="1" x14ac:dyDescent="0.25">
      <c r="A2607" s="19" t="s">
        <v>23</v>
      </c>
      <c r="B2607" s="2">
        <v>44001</v>
      </c>
      <c r="C2607" s="1">
        <v>-1</v>
      </c>
      <c r="D2607" s="39">
        <v>40</v>
      </c>
      <c r="E2607" s="1"/>
      <c r="F2607" s="39">
        <f t="shared" si="158"/>
        <v>0</v>
      </c>
      <c r="G2607" s="497"/>
      <c r="H2607" s="497"/>
      <c r="J2607" s="42"/>
    </row>
    <row r="2608" spans="1:10" s="360" customFormat="1" x14ac:dyDescent="0.25">
      <c r="A2608" s="19" t="s">
        <v>19</v>
      </c>
      <c r="B2608" s="2">
        <v>44001</v>
      </c>
      <c r="C2608" s="1">
        <v>27</v>
      </c>
      <c r="D2608" s="39">
        <v>294</v>
      </c>
      <c r="E2608" s="1"/>
      <c r="F2608" s="39">
        <f t="shared" si="158"/>
        <v>0</v>
      </c>
      <c r="G2608" s="497"/>
      <c r="H2608" s="497"/>
      <c r="J2608" s="42"/>
    </row>
    <row r="2609" spans="1:10" s="360" customFormat="1" x14ac:dyDescent="0.25">
      <c r="A2609" s="19" t="s">
        <v>18</v>
      </c>
      <c r="B2609" s="2">
        <v>44001</v>
      </c>
      <c r="C2609" s="1">
        <v>34</v>
      </c>
      <c r="D2609" s="39">
        <v>656</v>
      </c>
      <c r="E2609" s="1"/>
      <c r="F2609" s="39">
        <f t="shared" si="158"/>
        <v>2</v>
      </c>
      <c r="G2609" s="497"/>
      <c r="H2609" s="497"/>
      <c r="J2609" s="42"/>
    </row>
    <row r="2610" spans="1:10" s="360" customFormat="1" x14ac:dyDescent="0.25">
      <c r="A2610" s="19" t="s">
        <v>34</v>
      </c>
      <c r="B2610" s="2">
        <v>44001</v>
      </c>
      <c r="C2610" s="1">
        <v>0</v>
      </c>
      <c r="D2610" s="39">
        <v>21</v>
      </c>
      <c r="E2610" s="1"/>
      <c r="F2610" s="39">
        <f t="shared" si="158"/>
        <v>3</v>
      </c>
      <c r="G2610" s="497"/>
      <c r="H2610" s="497"/>
      <c r="J2610" s="42"/>
    </row>
    <row r="2611" spans="1:10" s="360" customFormat="1" x14ac:dyDescent="0.25">
      <c r="A2611" s="19" t="s">
        <v>35</v>
      </c>
      <c r="B2611" s="2">
        <v>44001</v>
      </c>
      <c r="C2611" s="1">
        <v>0</v>
      </c>
      <c r="D2611" s="39">
        <v>7</v>
      </c>
      <c r="E2611" s="1"/>
      <c r="F2611" s="39">
        <f>E2611+F2587</f>
        <v>0</v>
      </c>
      <c r="G2611" s="497"/>
      <c r="H2611" s="497"/>
      <c r="J2611" s="42"/>
    </row>
    <row r="2612" spans="1:10" s="360" customFormat="1" x14ac:dyDescent="0.25">
      <c r="A2612" s="19" t="s">
        <v>36</v>
      </c>
      <c r="B2612" s="2">
        <v>44001</v>
      </c>
      <c r="C2612" s="1">
        <v>0</v>
      </c>
      <c r="D2612" s="39">
        <v>11</v>
      </c>
      <c r="E2612" s="1"/>
      <c r="F2612" s="39">
        <f t="shared" si="158"/>
        <v>0</v>
      </c>
      <c r="G2612" s="497"/>
      <c r="H2612" s="497"/>
      <c r="J2612" s="42"/>
    </row>
    <row r="2613" spans="1:10" s="360" customFormat="1" x14ac:dyDescent="0.25">
      <c r="A2613" s="19" t="s">
        <v>37</v>
      </c>
      <c r="B2613" s="2">
        <v>44001</v>
      </c>
      <c r="C2613" s="1">
        <v>0</v>
      </c>
      <c r="D2613" s="39">
        <v>51</v>
      </c>
      <c r="E2613" s="1"/>
      <c r="F2613" s="39">
        <f t="shared" si="158"/>
        <v>0</v>
      </c>
      <c r="G2613" s="497"/>
      <c r="H2613" s="497"/>
      <c r="J2613" s="42"/>
    </row>
    <row r="2614" spans="1:10" s="360" customFormat="1" x14ac:dyDescent="0.25">
      <c r="A2614" s="19" t="s">
        <v>22</v>
      </c>
      <c r="B2614" s="2">
        <v>44001</v>
      </c>
      <c r="C2614" s="1">
        <v>11</v>
      </c>
      <c r="D2614" s="39">
        <v>312</v>
      </c>
      <c r="E2614" s="1"/>
      <c r="F2614" s="39">
        <f>E2614+F2590</f>
        <v>4</v>
      </c>
      <c r="G2614" s="497"/>
      <c r="H2614" s="497"/>
      <c r="J2614" s="42"/>
    </row>
    <row r="2615" spans="1:10" s="360" customFormat="1" x14ac:dyDescent="0.25">
      <c r="A2615" s="19" t="s">
        <v>38</v>
      </c>
      <c r="B2615" s="2">
        <v>44001</v>
      </c>
      <c r="C2615" s="1">
        <v>0</v>
      </c>
      <c r="D2615" s="39">
        <v>22</v>
      </c>
      <c r="E2615" s="1"/>
      <c r="F2615" s="39">
        <f>E2615+F2591</f>
        <v>0</v>
      </c>
      <c r="G2615" s="497"/>
      <c r="H2615" s="497"/>
      <c r="J2615" s="42"/>
    </row>
    <row r="2616" spans="1:10" s="360" customFormat="1" x14ac:dyDescent="0.25">
      <c r="A2616" s="19" t="s">
        <v>39</v>
      </c>
      <c r="B2616" s="2">
        <v>44001</v>
      </c>
      <c r="C2616" s="1">
        <v>0</v>
      </c>
      <c r="D2616" s="39">
        <v>149</v>
      </c>
      <c r="E2616" s="1"/>
      <c r="F2616" s="39">
        <f t="shared" si="158"/>
        <v>0</v>
      </c>
      <c r="G2616" s="497"/>
      <c r="H2616" s="497"/>
      <c r="J2616" s="42"/>
    </row>
    <row r="2617" spans="1:10" s="360" customFormat="1" x14ac:dyDescent="0.25">
      <c r="A2617" s="19" t="s">
        <v>40</v>
      </c>
      <c r="B2617" s="2">
        <v>44001</v>
      </c>
      <c r="C2617" s="1">
        <v>0</v>
      </c>
      <c r="D2617" s="39">
        <v>59</v>
      </c>
      <c r="E2617" s="1"/>
      <c r="F2617" s="39">
        <f>E2617+F2593</f>
        <v>4</v>
      </c>
      <c r="G2617" s="497"/>
      <c r="H2617" s="497"/>
      <c r="J2617" s="42"/>
    </row>
    <row r="2618" spans="1:10" s="360" customFormat="1" x14ac:dyDescent="0.25">
      <c r="A2618" s="361" t="s">
        <v>16</v>
      </c>
      <c r="B2618" s="2">
        <v>44002</v>
      </c>
      <c r="C2618" s="1">
        <v>1013</v>
      </c>
      <c r="D2618" s="39">
        <v>18581</v>
      </c>
      <c r="E2618" s="1">
        <v>6</v>
      </c>
      <c r="F2618" s="39">
        <f>E2618+F2594</f>
        <v>432</v>
      </c>
      <c r="G2618" s="497"/>
      <c r="H2618" s="497"/>
      <c r="J2618" s="42"/>
    </row>
    <row r="2619" spans="1:10" s="360" customFormat="1" x14ac:dyDescent="0.25">
      <c r="A2619" s="19" t="s">
        <v>28</v>
      </c>
      <c r="B2619" s="2">
        <v>44002</v>
      </c>
      <c r="C2619" s="1">
        <v>0</v>
      </c>
      <c r="D2619" s="39">
        <v>0</v>
      </c>
      <c r="E2619" s="1"/>
      <c r="F2619" s="39">
        <f t="shared" ref="F2619:F2625" si="159">E2619+F2595</f>
        <v>0</v>
      </c>
      <c r="G2619" s="497"/>
      <c r="H2619" s="497"/>
      <c r="J2619" s="42"/>
    </row>
    <row r="2620" spans="1:10" s="360" customFormat="1" x14ac:dyDescent="0.25">
      <c r="A2620" s="19" t="s">
        <v>15</v>
      </c>
      <c r="B2620" s="2">
        <v>44002</v>
      </c>
      <c r="C2620" s="1">
        <v>24</v>
      </c>
      <c r="D2620" s="39">
        <v>1530</v>
      </c>
      <c r="E2620" s="1"/>
      <c r="F2620" s="39">
        <f t="shared" si="159"/>
        <v>83</v>
      </c>
      <c r="G2620" s="497"/>
      <c r="H2620" s="497"/>
      <c r="J2620" s="42"/>
    </row>
    <row r="2621" spans="1:10" s="360" customFormat="1" x14ac:dyDescent="0.25">
      <c r="A2621" s="19" t="s">
        <v>29</v>
      </c>
      <c r="B2621" s="2">
        <v>44002</v>
      </c>
      <c r="C2621" s="1">
        <v>3</v>
      </c>
      <c r="D2621" s="39">
        <v>88</v>
      </c>
      <c r="E2621" s="1"/>
      <c r="F2621" s="39">
        <f t="shared" si="159"/>
        <v>2</v>
      </c>
      <c r="G2621" s="497"/>
      <c r="H2621" s="497"/>
      <c r="J2621" s="42"/>
    </row>
    <row r="2622" spans="1:10" s="360" customFormat="1" x14ac:dyDescent="0.25">
      <c r="A2622" s="19" t="s">
        <v>43</v>
      </c>
      <c r="B2622" s="2">
        <v>44002</v>
      </c>
      <c r="C2622" s="1">
        <v>512</v>
      </c>
      <c r="D2622" s="39">
        <v>18295</v>
      </c>
      <c r="E2622" s="1">
        <v>7</v>
      </c>
      <c r="F2622" s="39">
        <f t="shared" si="159"/>
        <v>369</v>
      </c>
      <c r="G2622" s="497"/>
      <c r="H2622" s="497"/>
      <c r="J2622" s="42"/>
    </row>
    <row r="2623" spans="1:10" s="360" customFormat="1" x14ac:dyDescent="0.25">
      <c r="A2623" s="19" t="s">
        <v>20</v>
      </c>
      <c r="B2623" s="2">
        <v>44002</v>
      </c>
      <c r="C2623" s="1">
        <v>20</v>
      </c>
      <c r="D2623" s="39">
        <v>555</v>
      </c>
      <c r="E2623" s="1"/>
      <c r="F2623" s="39">
        <f t="shared" si="159"/>
        <v>33</v>
      </c>
      <c r="G2623" s="497"/>
      <c r="H2623" s="497"/>
      <c r="J2623" s="42"/>
    </row>
    <row r="2624" spans="1:10" s="360" customFormat="1" x14ac:dyDescent="0.25">
      <c r="A2624" s="19" t="s">
        <v>30</v>
      </c>
      <c r="B2624" s="2">
        <v>44002</v>
      </c>
      <c r="C2624" s="1">
        <v>2</v>
      </c>
      <c r="D2624" s="39">
        <v>115</v>
      </c>
      <c r="E2624" s="1"/>
      <c r="F2624" s="39">
        <f t="shared" si="159"/>
        <v>0</v>
      </c>
      <c r="G2624" s="497"/>
      <c r="H2624" s="497"/>
      <c r="J2624" s="42"/>
    </row>
    <row r="2625" spans="1:10" x14ac:dyDescent="0.25">
      <c r="A2625" s="19" t="s">
        <v>31</v>
      </c>
      <c r="B2625" s="2">
        <v>44002</v>
      </c>
      <c r="C2625" s="1">
        <v>19</v>
      </c>
      <c r="D2625" s="39">
        <v>134</v>
      </c>
      <c r="F2625" s="39">
        <f t="shared" si="159"/>
        <v>0</v>
      </c>
    </row>
    <row r="2626" spans="1:10" s="360" customFormat="1" x14ac:dyDescent="0.25">
      <c r="A2626" s="19" t="s">
        <v>41</v>
      </c>
      <c r="B2626" s="2">
        <v>44002</v>
      </c>
      <c r="C2626" s="1">
        <v>2</v>
      </c>
      <c r="D2626" s="39">
        <v>39</v>
      </c>
      <c r="E2626" s="1"/>
      <c r="F2626" s="39">
        <f t="shared" ref="F2626:F2640" si="160">E2626+F2601</f>
        <v>0</v>
      </c>
      <c r="G2626" s="497"/>
      <c r="H2626" s="497"/>
      <c r="J2626" s="42"/>
    </row>
    <row r="2627" spans="1:10" s="360" customFormat="1" x14ac:dyDescent="0.25">
      <c r="A2627" s="19" t="s">
        <v>32</v>
      </c>
      <c r="B2627" s="2">
        <v>44002</v>
      </c>
      <c r="C2627" s="1">
        <v>0</v>
      </c>
      <c r="D2627" s="39">
        <v>13</v>
      </c>
      <c r="E2627" s="1"/>
      <c r="F2627" s="39">
        <f t="shared" si="160"/>
        <v>0</v>
      </c>
      <c r="G2627" s="497"/>
      <c r="H2627" s="497"/>
      <c r="J2627" s="42"/>
    </row>
    <row r="2628" spans="1:10" s="360" customFormat="1" x14ac:dyDescent="0.25">
      <c r="A2628" s="19" t="s">
        <v>33</v>
      </c>
      <c r="B2628" s="2">
        <v>44002</v>
      </c>
      <c r="C2628" s="1">
        <v>0</v>
      </c>
      <c r="D2628" s="39">
        <v>6</v>
      </c>
      <c r="E2628" s="1"/>
      <c r="F2628" s="39">
        <f t="shared" si="160"/>
        <v>0</v>
      </c>
      <c r="G2628" s="497"/>
      <c r="H2628" s="497"/>
      <c r="J2628" s="42"/>
    </row>
    <row r="2629" spans="1:10" s="360" customFormat="1" x14ac:dyDescent="0.25">
      <c r="A2629" s="19" t="s">
        <v>21</v>
      </c>
      <c r="B2629" s="2">
        <v>44002</v>
      </c>
      <c r="C2629" s="1">
        <v>0</v>
      </c>
      <c r="D2629" s="39">
        <v>64</v>
      </c>
      <c r="E2629" s="1"/>
      <c r="F2629" s="39">
        <f t="shared" si="160"/>
        <v>0</v>
      </c>
      <c r="G2629" s="497"/>
      <c r="H2629" s="497"/>
      <c r="J2629" s="42"/>
    </row>
    <row r="2630" spans="1:10" s="360" customFormat="1" x14ac:dyDescent="0.25">
      <c r="A2630" s="19" t="s">
        <v>17</v>
      </c>
      <c r="B2630" s="2">
        <v>44002</v>
      </c>
      <c r="C2630" s="1">
        <v>0</v>
      </c>
      <c r="D2630" s="39">
        <v>123</v>
      </c>
      <c r="E2630" s="1"/>
      <c r="F2630" s="39">
        <f t="shared" si="160"/>
        <v>0</v>
      </c>
      <c r="G2630" s="497"/>
      <c r="H2630" s="497"/>
      <c r="J2630" s="42"/>
    </row>
    <row r="2631" spans="1:10" s="360" customFormat="1" x14ac:dyDescent="0.25">
      <c r="A2631" s="19" t="s">
        <v>23</v>
      </c>
      <c r="B2631" s="2">
        <v>44002</v>
      </c>
      <c r="C2631" s="1">
        <v>5</v>
      </c>
      <c r="D2631" s="39">
        <v>45</v>
      </c>
      <c r="E2631" s="1"/>
      <c r="F2631" s="39">
        <f t="shared" si="160"/>
        <v>0</v>
      </c>
      <c r="G2631" s="497"/>
      <c r="H2631" s="497"/>
      <c r="J2631" s="42"/>
    </row>
    <row r="2632" spans="1:10" s="360" customFormat="1" x14ac:dyDescent="0.25">
      <c r="A2632" s="19" t="s">
        <v>19</v>
      </c>
      <c r="B2632" s="2">
        <v>44002</v>
      </c>
      <c r="C2632" s="1">
        <v>0</v>
      </c>
      <c r="D2632" s="39">
        <v>294</v>
      </c>
      <c r="E2632" s="1"/>
      <c r="F2632" s="39">
        <f t="shared" si="160"/>
        <v>0</v>
      </c>
      <c r="G2632" s="497"/>
      <c r="H2632" s="497"/>
      <c r="J2632" s="42"/>
    </row>
    <row r="2633" spans="1:10" s="360" customFormat="1" x14ac:dyDescent="0.25">
      <c r="A2633" s="19" t="s">
        <v>18</v>
      </c>
      <c r="B2633" s="2">
        <v>44002</v>
      </c>
      <c r="C2633" s="1">
        <v>19</v>
      </c>
      <c r="D2633" s="39">
        <v>675</v>
      </c>
      <c r="E2633" s="1"/>
      <c r="F2633" s="39">
        <f t="shared" si="160"/>
        <v>0</v>
      </c>
      <c r="G2633" s="497"/>
      <c r="H2633" s="497"/>
      <c r="J2633" s="42"/>
    </row>
    <row r="2634" spans="1:10" s="360" customFormat="1" x14ac:dyDescent="0.25">
      <c r="A2634" s="19" t="s">
        <v>34</v>
      </c>
      <c r="B2634" s="2">
        <v>44002</v>
      </c>
      <c r="C2634" s="1">
        <v>0</v>
      </c>
      <c r="D2634" s="39">
        <v>21</v>
      </c>
      <c r="E2634" s="1"/>
      <c r="F2634" s="39">
        <f t="shared" si="160"/>
        <v>2</v>
      </c>
      <c r="G2634" s="497"/>
      <c r="H2634" s="497"/>
      <c r="J2634" s="42"/>
    </row>
    <row r="2635" spans="1:10" s="360" customFormat="1" x14ac:dyDescent="0.25">
      <c r="A2635" s="19" t="s">
        <v>35</v>
      </c>
      <c r="B2635" s="2">
        <v>44002</v>
      </c>
      <c r="C2635" s="1">
        <v>0</v>
      </c>
      <c r="D2635" s="39">
        <v>7</v>
      </c>
      <c r="E2635" s="1"/>
      <c r="F2635" s="39">
        <f>E2635+F2611</f>
        <v>0</v>
      </c>
      <c r="G2635" s="497"/>
      <c r="H2635" s="497"/>
      <c r="J2635" s="42"/>
    </row>
    <row r="2636" spans="1:10" s="360" customFormat="1" x14ac:dyDescent="0.25">
      <c r="A2636" s="19" t="s">
        <v>36</v>
      </c>
      <c r="B2636" s="2">
        <v>44002</v>
      </c>
      <c r="C2636" s="1">
        <v>0</v>
      </c>
      <c r="D2636" s="39">
        <v>11</v>
      </c>
      <c r="E2636" s="1"/>
      <c r="F2636" s="39">
        <f t="shared" si="160"/>
        <v>0</v>
      </c>
      <c r="G2636" s="497"/>
      <c r="H2636" s="497"/>
      <c r="J2636" s="42"/>
    </row>
    <row r="2637" spans="1:10" s="360" customFormat="1" x14ac:dyDescent="0.25">
      <c r="A2637" s="19" t="s">
        <v>37</v>
      </c>
      <c r="B2637" s="2">
        <v>44002</v>
      </c>
      <c r="C2637" s="1">
        <v>0</v>
      </c>
      <c r="D2637" s="39">
        <v>51</v>
      </c>
      <c r="E2637" s="1"/>
      <c r="F2637" s="39">
        <f t="shared" si="160"/>
        <v>0</v>
      </c>
      <c r="G2637" s="497"/>
      <c r="H2637" s="497"/>
      <c r="J2637" s="42"/>
    </row>
    <row r="2638" spans="1:10" s="360" customFormat="1" x14ac:dyDescent="0.25">
      <c r="A2638" s="19" t="s">
        <v>22</v>
      </c>
      <c r="B2638" s="2">
        <v>44002</v>
      </c>
      <c r="C2638" s="1">
        <v>6</v>
      </c>
      <c r="D2638" s="39">
        <v>318</v>
      </c>
      <c r="E2638" s="1"/>
      <c r="F2638" s="39">
        <f>E2638+F2614</f>
        <v>4</v>
      </c>
      <c r="G2638" s="497"/>
      <c r="H2638" s="497"/>
      <c r="J2638" s="42"/>
    </row>
    <row r="2639" spans="1:10" s="360" customFormat="1" x14ac:dyDescent="0.25">
      <c r="A2639" s="19" t="s">
        <v>38</v>
      </c>
      <c r="B2639" s="2">
        <v>44002</v>
      </c>
      <c r="C2639" s="1">
        <v>0</v>
      </c>
      <c r="D2639" s="39">
        <v>22</v>
      </c>
      <c r="E2639" s="1"/>
      <c r="F2639" s="39">
        <f>E2639+F2615</f>
        <v>0</v>
      </c>
      <c r="G2639" s="497"/>
      <c r="H2639" s="497"/>
      <c r="J2639" s="42"/>
    </row>
    <row r="2640" spans="1:10" s="360" customFormat="1" x14ac:dyDescent="0.25">
      <c r="A2640" s="19" t="s">
        <v>39</v>
      </c>
      <c r="B2640" s="2">
        <v>44002</v>
      </c>
      <c r="C2640" s="1">
        <v>0</v>
      </c>
      <c r="D2640" s="39">
        <v>149</v>
      </c>
      <c r="E2640" s="1"/>
      <c r="F2640" s="39">
        <f t="shared" si="160"/>
        <v>0</v>
      </c>
      <c r="G2640" s="497"/>
      <c r="H2640" s="497"/>
      <c r="J2640" s="42"/>
    </row>
    <row r="2641" spans="1:10" s="360" customFormat="1" x14ac:dyDescent="0.25">
      <c r="A2641" s="19" t="s">
        <v>40</v>
      </c>
      <c r="B2641" s="2">
        <v>44002</v>
      </c>
      <c r="C2641" s="1">
        <v>0</v>
      </c>
      <c r="D2641" s="39">
        <v>59</v>
      </c>
      <c r="E2641" s="1"/>
      <c r="F2641" s="39">
        <f>E2641+F2617</f>
        <v>4</v>
      </c>
      <c r="G2641" s="497"/>
      <c r="H2641" s="497"/>
      <c r="J2641" s="42"/>
    </row>
    <row r="2642" spans="1:10" s="360" customFormat="1" x14ac:dyDescent="0.25">
      <c r="A2642" s="361" t="s">
        <v>16</v>
      </c>
      <c r="B2642" s="2">
        <v>44003</v>
      </c>
      <c r="C2642" s="1">
        <v>746</v>
      </c>
      <c r="D2642" s="39">
        <v>19327</v>
      </c>
      <c r="E2642" s="1">
        <v>9</v>
      </c>
      <c r="F2642" s="39">
        <f>E2642+F2618</f>
        <v>441</v>
      </c>
      <c r="G2642" s="497"/>
      <c r="H2642" s="497"/>
      <c r="J2642" s="42"/>
    </row>
    <row r="2643" spans="1:10" s="360" customFormat="1" x14ac:dyDescent="0.25">
      <c r="A2643" s="19" t="s">
        <v>28</v>
      </c>
      <c r="B2643" s="2">
        <v>44003</v>
      </c>
      <c r="C2643" s="1">
        <v>0</v>
      </c>
      <c r="D2643" s="39">
        <v>0</v>
      </c>
      <c r="E2643" s="1"/>
      <c r="F2643" s="39">
        <f t="shared" ref="F2643:F2649" si="161">E2643+F2619</f>
        <v>0</v>
      </c>
      <c r="G2643" s="497"/>
      <c r="H2643" s="497"/>
      <c r="J2643" s="42"/>
    </row>
    <row r="2644" spans="1:10" s="360" customFormat="1" x14ac:dyDescent="0.25">
      <c r="A2644" s="19" t="s">
        <v>15</v>
      </c>
      <c r="B2644" s="2">
        <v>44003</v>
      </c>
      <c r="C2644" s="1">
        <v>52</v>
      </c>
      <c r="D2644" s="39">
        <v>1582</v>
      </c>
      <c r="E2644" s="1"/>
      <c r="F2644" s="39">
        <f t="shared" si="161"/>
        <v>83</v>
      </c>
      <c r="G2644" s="497"/>
      <c r="H2644" s="497"/>
      <c r="J2644" s="42"/>
    </row>
    <row r="2645" spans="1:10" s="360" customFormat="1" x14ac:dyDescent="0.25">
      <c r="A2645" s="19" t="s">
        <v>29</v>
      </c>
      <c r="B2645" s="2">
        <v>44003</v>
      </c>
      <c r="C2645" s="1">
        <v>6</v>
      </c>
      <c r="D2645" s="39">
        <v>94</v>
      </c>
      <c r="E2645" s="1"/>
      <c r="F2645" s="39">
        <f t="shared" si="161"/>
        <v>2</v>
      </c>
      <c r="G2645" s="497"/>
      <c r="H2645" s="497"/>
      <c r="J2645" s="42"/>
    </row>
    <row r="2646" spans="1:10" s="360" customFormat="1" x14ac:dyDescent="0.25">
      <c r="A2646" s="19" t="s">
        <v>43</v>
      </c>
      <c r="B2646" s="2">
        <v>44003</v>
      </c>
      <c r="C2646" s="1">
        <v>707</v>
      </c>
      <c r="D2646" s="39">
        <v>19002</v>
      </c>
      <c r="E2646" s="1">
        <v>8</v>
      </c>
      <c r="F2646" s="39">
        <f t="shared" si="161"/>
        <v>377</v>
      </c>
      <c r="G2646" s="497"/>
      <c r="H2646" s="497"/>
      <c r="J2646" s="42"/>
    </row>
    <row r="2647" spans="1:10" s="360" customFormat="1" x14ac:dyDescent="0.25">
      <c r="A2647" s="19" t="s">
        <v>20</v>
      </c>
      <c r="B2647" s="2">
        <v>44003</v>
      </c>
      <c r="C2647" s="1">
        <v>13</v>
      </c>
      <c r="D2647" s="39">
        <v>568</v>
      </c>
      <c r="E2647" s="1"/>
      <c r="F2647" s="39">
        <f t="shared" si="161"/>
        <v>33</v>
      </c>
      <c r="G2647" s="497"/>
      <c r="H2647" s="497"/>
      <c r="J2647" s="42"/>
    </row>
    <row r="2648" spans="1:10" s="360" customFormat="1" x14ac:dyDescent="0.25">
      <c r="A2648" s="19" t="s">
        <v>30</v>
      </c>
      <c r="B2648" s="2">
        <v>44003</v>
      </c>
      <c r="C2648" s="1">
        <v>0</v>
      </c>
      <c r="D2648" s="39">
        <v>115</v>
      </c>
      <c r="E2648" s="1"/>
      <c r="F2648" s="39">
        <f t="shared" si="161"/>
        <v>0</v>
      </c>
      <c r="G2648" s="497"/>
      <c r="H2648" s="497"/>
      <c r="J2648" s="42"/>
    </row>
    <row r="2649" spans="1:10" x14ac:dyDescent="0.25">
      <c r="A2649" s="19" t="s">
        <v>31</v>
      </c>
      <c r="B2649" s="2">
        <v>44003</v>
      </c>
      <c r="C2649" s="1">
        <v>10</v>
      </c>
      <c r="D2649" s="39">
        <v>144</v>
      </c>
      <c r="F2649" s="39">
        <f t="shared" si="161"/>
        <v>0</v>
      </c>
    </row>
    <row r="2650" spans="1:10" s="360" customFormat="1" x14ac:dyDescent="0.25">
      <c r="A2650" s="19" t="s">
        <v>41</v>
      </c>
      <c r="B2650" s="2">
        <v>44003</v>
      </c>
      <c r="C2650" s="1">
        <v>0</v>
      </c>
      <c r="D2650" s="39">
        <v>39</v>
      </c>
      <c r="E2650" s="1"/>
      <c r="F2650" s="39">
        <f t="shared" ref="F2650:F2664" si="162">E2650+F2625</f>
        <v>0</v>
      </c>
      <c r="G2650" s="497"/>
      <c r="H2650" s="497"/>
      <c r="J2650" s="42"/>
    </row>
    <row r="2651" spans="1:10" s="360" customFormat="1" x14ac:dyDescent="0.25">
      <c r="A2651" s="19" t="s">
        <v>32</v>
      </c>
      <c r="B2651" s="2">
        <v>44003</v>
      </c>
      <c r="C2651" s="1">
        <v>0</v>
      </c>
      <c r="D2651" s="39">
        <v>13</v>
      </c>
      <c r="E2651" s="1"/>
      <c r="F2651" s="39">
        <f t="shared" si="162"/>
        <v>0</v>
      </c>
      <c r="G2651" s="497"/>
      <c r="H2651" s="497"/>
      <c r="J2651" s="42"/>
    </row>
    <row r="2652" spans="1:10" s="360" customFormat="1" x14ac:dyDescent="0.25">
      <c r="A2652" s="19" t="s">
        <v>33</v>
      </c>
      <c r="B2652" s="2">
        <v>44003</v>
      </c>
      <c r="C2652" s="1">
        <v>0</v>
      </c>
      <c r="D2652" s="39">
        <v>6</v>
      </c>
      <c r="E2652" s="1"/>
      <c r="F2652" s="39">
        <f t="shared" si="162"/>
        <v>0</v>
      </c>
      <c r="G2652" s="497"/>
      <c r="H2652" s="497"/>
      <c r="J2652" s="42"/>
    </row>
    <row r="2653" spans="1:10" s="360" customFormat="1" x14ac:dyDescent="0.25">
      <c r="A2653" s="19" t="s">
        <v>21</v>
      </c>
      <c r="B2653" s="2">
        <v>44003</v>
      </c>
      <c r="C2653" s="1">
        <v>0</v>
      </c>
      <c r="D2653" s="39">
        <v>64</v>
      </c>
      <c r="E2653" s="1"/>
      <c r="F2653" s="39">
        <f t="shared" si="162"/>
        <v>0</v>
      </c>
      <c r="G2653" s="497"/>
      <c r="H2653" s="497"/>
      <c r="J2653" s="42"/>
    </row>
    <row r="2654" spans="1:10" s="360" customFormat="1" x14ac:dyDescent="0.25">
      <c r="A2654" s="19" t="s">
        <v>17</v>
      </c>
      <c r="B2654" s="2">
        <v>44003</v>
      </c>
      <c r="C2654" s="1">
        <v>5</v>
      </c>
      <c r="D2654" s="39">
        <v>128</v>
      </c>
      <c r="E2654" s="1"/>
      <c r="F2654" s="39">
        <f t="shared" si="162"/>
        <v>0</v>
      </c>
      <c r="G2654" s="497"/>
      <c r="H2654" s="497"/>
      <c r="J2654" s="42"/>
    </row>
    <row r="2655" spans="1:10" s="360" customFormat="1" x14ac:dyDescent="0.25">
      <c r="A2655" s="19" t="s">
        <v>23</v>
      </c>
      <c r="B2655" s="2">
        <v>44003</v>
      </c>
      <c r="C2655" s="1">
        <v>0</v>
      </c>
      <c r="D2655" s="39">
        <v>45</v>
      </c>
      <c r="E2655" s="1"/>
      <c r="F2655" s="39">
        <f t="shared" si="162"/>
        <v>0</v>
      </c>
      <c r="G2655" s="497"/>
      <c r="H2655" s="497"/>
      <c r="J2655" s="42"/>
    </row>
    <row r="2656" spans="1:10" s="360" customFormat="1" x14ac:dyDescent="0.25">
      <c r="A2656" s="19" t="s">
        <v>19</v>
      </c>
      <c r="B2656" s="2">
        <v>44003</v>
      </c>
      <c r="C2656" s="1">
        <v>9</v>
      </c>
      <c r="D2656" s="39">
        <v>303</v>
      </c>
      <c r="E2656" s="1"/>
      <c r="F2656" s="39">
        <f t="shared" si="162"/>
        <v>0</v>
      </c>
      <c r="G2656" s="497"/>
      <c r="H2656" s="497"/>
      <c r="J2656" s="42"/>
    </row>
    <row r="2657" spans="1:10" s="360" customFormat="1" x14ac:dyDescent="0.25">
      <c r="A2657" s="19" t="s">
        <v>18</v>
      </c>
      <c r="B2657" s="2">
        <v>44003</v>
      </c>
      <c r="C2657" s="1">
        <v>16</v>
      </c>
      <c r="D2657" s="39">
        <v>691</v>
      </c>
      <c r="E2657" s="1">
        <v>2</v>
      </c>
      <c r="F2657" s="39">
        <f t="shared" si="162"/>
        <v>2</v>
      </c>
      <c r="G2657" s="497"/>
      <c r="H2657" s="497"/>
      <c r="J2657" s="42"/>
    </row>
    <row r="2658" spans="1:10" s="360" customFormat="1" x14ac:dyDescent="0.25">
      <c r="A2658" s="19" t="s">
        <v>34</v>
      </c>
      <c r="B2658" s="2">
        <v>44003</v>
      </c>
      <c r="C2658" s="1">
        <v>0</v>
      </c>
      <c r="D2658" s="39">
        <v>21</v>
      </c>
      <c r="E2658" s="1"/>
      <c r="F2658" s="39">
        <f t="shared" si="162"/>
        <v>0</v>
      </c>
      <c r="G2658" s="497"/>
      <c r="H2658" s="497"/>
      <c r="J2658" s="42"/>
    </row>
    <row r="2659" spans="1:10" s="360" customFormat="1" x14ac:dyDescent="0.25">
      <c r="A2659" s="19" t="s">
        <v>35</v>
      </c>
      <c r="B2659" s="2">
        <v>44003</v>
      </c>
      <c r="C2659" s="1">
        <v>0</v>
      </c>
      <c r="D2659" s="39">
        <v>7</v>
      </c>
      <c r="E2659" s="1"/>
      <c r="F2659" s="39">
        <f>E2659+F2635</f>
        <v>0</v>
      </c>
      <c r="G2659" s="497"/>
      <c r="H2659" s="497"/>
      <c r="J2659" s="42"/>
    </row>
    <row r="2660" spans="1:10" s="360" customFormat="1" x14ac:dyDescent="0.25">
      <c r="A2660" s="19" t="s">
        <v>36</v>
      </c>
      <c r="B2660" s="2">
        <v>44003</v>
      </c>
      <c r="C2660" s="1">
        <v>0</v>
      </c>
      <c r="D2660" s="39">
        <v>11</v>
      </c>
      <c r="E2660" s="1"/>
      <c r="F2660" s="39">
        <f t="shared" si="162"/>
        <v>0</v>
      </c>
      <c r="G2660" s="497"/>
      <c r="H2660" s="497"/>
      <c r="J2660" s="42"/>
    </row>
    <row r="2661" spans="1:10" s="360" customFormat="1" x14ac:dyDescent="0.25">
      <c r="A2661" s="19" t="s">
        <v>37</v>
      </c>
      <c r="B2661" s="2">
        <v>44003</v>
      </c>
      <c r="C2661" s="1">
        <v>0</v>
      </c>
      <c r="D2661" s="39">
        <v>51</v>
      </c>
      <c r="E2661" s="1"/>
      <c r="F2661" s="39">
        <f t="shared" si="162"/>
        <v>0</v>
      </c>
      <c r="G2661" s="497"/>
      <c r="H2661" s="497"/>
      <c r="J2661" s="42"/>
    </row>
    <row r="2662" spans="1:10" s="360" customFormat="1" x14ac:dyDescent="0.25">
      <c r="A2662" s="19" t="s">
        <v>22</v>
      </c>
      <c r="B2662" s="2">
        <v>44003</v>
      </c>
      <c r="C2662" s="1">
        <v>17</v>
      </c>
      <c r="D2662" s="39">
        <v>335</v>
      </c>
      <c r="E2662" s="1"/>
      <c r="F2662" s="39">
        <f>E2662+F2638</f>
        <v>4</v>
      </c>
      <c r="G2662" s="497"/>
      <c r="H2662" s="497"/>
      <c r="J2662" s="42"/>
    </row>
    <row r="2663" spans="1:10" s="360" customFormat="1" x14ac:dyDescent="0.25">
      <c r="A2663" s="19" t="s">
        <v>38</v>
      </c>
      <c r="B2663" s="2">
        <v>44003</v>
      </c>
      <c r="C2663" s="1">
        <v>0</v>
      </c>
      <c r="D2663" s="39">
        <v>22</v>
      </c>
      <c r="E2663" s="1"/>
      <c r="F2663" s="39">
        <f>E2663+F2639</f>
        <v>0</v>
      </c>
      <c r="G2663" s="497"/>
      <c r="H2663" s="497"/>
      <c r="J2663" s="42"/>
    </row>
    <row r="2664" spans="1:10" s="360" customFormat="1" x14ac:dyDescent="0.25">
      <c r="A2664" s="19" t="s">
        <v>39</v>
      </c>
      <c r="B2664" s="2">
        <v>44003</v>
      </c>
      <c r="C2664" s="1">
        <v>0</v>
      </c>
      <c r="D2664" s="39">
        <v>149</v>
      </c>
      <c r="E2664" s="1"/>
      <c r="F2664" s="39">
        <f t="shared" si="162"/>
        <v>0</v>
      </c>
      <c r="G2664" s="497"/>
      <c r="H2664" s="497"/>
      <c r="J2664" s="42"/>
    </row>
    <row r="2665" spans="1:10" s="360" customFormat="1" x14ac:dyDescent="0.25">
      <c r="A2665" s="19" t="s">
        <v>40</v>
      </c>
      <c r="B2665" s="2">
        <v>44003</v>
      </c>
      <c r="C2665" s="1">
        <v>0</v>
      </c>
      <c r="D2665" s="39">
        <v>59</v>
      </c>
      <c r="E2665" s="1"/>
      <c r="F2665" s="39">
        <f>E2665+F2641</f>
        <v>4</v>
      </c>
      <c r="G2665" s="497"/>
      <c r="H2665" s="497"/>
      <c r="J2665" s="42"/>
    </row>
    <row r="2666" spans="1:10" s="360" customFormat="1" x14ac:dyDescent="0.25">
      <c r="A2666" s="361" t="s">
        <v>16</v>
      </c>
      <c r="B2666" s="2">
        <v>44004</v>
      </c>
      <c r="C2666" s="1">
        <v>1037</v>
      </c>
      <c r="D2666" s="39">
        <v>20364</v>
      </c>
      <c r="E2666" s="1">
        <v>8</v>
      </c>
      <c r="F2666" s="39">
        <f>E2666+F2642</f>
        <v>449</v>
      </c>
      <c r="G2666" s="497"/>
      <c r="H2666" s="497"/>
      <c r="J2666" s="42"/>
    </row>
    <row r="2667" spans="1:10" s="360" customFormat="1" x14ac:dyDescent="0.25">
      <c r="A2667" s="19" t="s">
        <v>28</v>
      </c>
      <c r="B2667" s="2">
        <v>44004</v>
      </c>
      <c r="C2667" s="1">
        <v>0</v>
      </c>
      <c r="D2667" s="39">
        <v>0</v>
      </c>
      <c r="E2667" s="1"/>
      <c r="F2667" s="39">
        <f t="shared" ref="F2667:F2673" si="163">E2667+F2643</f>
        <v>0</v>
      </c>
      <c r="G2667" s="497"/>
      <c r="H2667" s="497"/>
      <c r="J2667" s="42"/>
    </row>
    <row r="2668" spans="1:10" s="360" customFormat="1" x14ac:dyDescent="0.25">
      <c r="A2668" s="19" t="s">
        <v>15</v>
      </c>
      <c r="B2668" s="2">
        <v>44004</v>
      </c>
      <c r="C2668" s="1">
        <v>20</v>
      </c>
      <c r="D2668" s="39">
        <v>1602</v>
      </c>
      <c r="E2668" s="1">
        <v>1</v>
      </c>
      <c r="F2668" s="39">
        <f>E2668+F2644</f>
        <v>84</v>
      </c>
      <c r="G2668" s="497"/>
      <c r="H2668" s="497"/>
      <c r="J2668" s="42"/>
    </row>
    <row r="2669" spans="1:10" s="360" customFormat="1" x14ac:dyDescent="0.25">
      <c r="A2669" s="19" t="s">
        <v>29</v>
      </c>
      <c r="B2669" s="2">
        <v>44004</v>
      </c>
      <c r="C2669" s="1">
        <v>5</v>
      </c>
      <c r="D2669" s="39">
        <v>99</v>
      </c>
      <c r="E2669" s="1"/>
      <c r="F2669" s="39">
        <f t="shared" si="163"/>
        <v>2</v>
      </c>
      <c r="G2669" s="497"/>
      <c r="H2669" s="497"/>
      <c r="J2669" s="42"/>
    </row>
    <row r="2670" spans="1:10" s="360" customFormat="1" x14ac:dyDescent="0.25">
      <c r="A2670" s="19" t="s">
        <v>43</v>
      </c>
      <c r="B2670" s="2">
        <v>44004</v>
      </c>
      <c r="C2670" s="1">
        <v>1024</v>
      </c>
      <c r="D2670" s="39">
        <v>20026</v>
      </c>
      <c r="E2670" s="1">
        <v>18</v>
      </c>
      <c r="F2670" s="39">
        <f t="shared" si="163"/>
        <v>395</v>
      </c>
      <c r="G2670" s="497"/>
      <c r="H2670" s="497"/>
      <c r="J2670" s="42"/>
    </row>
    <row r="2671" spans="1:10" s="360" customFormat="1" x14ac:dyDescent="0.25">
      <c r="A2671" s="19" t="s">
        <v>20</v>
      </c>
      <c r="B2671" s="2">
        <v>44004</v>
      </c>
      <c r="C2671" s="1">
        <v>11</v>
      </c>
      <c r="D2671" s="39">
        <v>579</v>
      </c>
      <c r="E2671" s="1"/>
      <c r="F2671" s="39">
        <f t="shared" si="163"/>
        <v>33</v>
      </c>
      <c r="G2671" s="497"/>
      <c r="H2671" s="497"/>
      <c r="J2671" s="42"/>
    </row>
    <row r="2672" spans="1:10" s="360" customFormat="1" x14ac:dyDescent="0.25">
      <c r="A2672" s="19" t="s">
        <v>30</v>
      </c>
      <c r="B2672" s="2">
        <v>44004</v>
      </c>
      <c r="C2672" s="1">
        <v>0</v>
      </c>
      <c r="D2672" s="39">
        <v>115</v>
      </c>
      <c r="E2672" s="1"/>
      <c r="F2672" s="39">
        <f t="shared" si="163"/>
        <v>0</v>
      </c>
      <c r="G2672" s="497"/>
      <c r="H2672" s="497"/>
      <c r="J2672" s="42"/>
    </row>
    <row r="2673" spans="1:10" x14ac:dyDescent="0.25">
      <c r="A2673" s="19" t="s">
        <v>31</v>
      </c>
      <c r="B2673" s="2">
        <v>44004</v>
      </c>
      <c r="C2673" s="1">
        <v>16</v>
      </c>
      <c r="D2673" s="39">
        <v>160</v>
      </c>
      <c r="F2673" s="39">
        <f t="shared" si="163"/>
        <v>0</v>
      </c>
    </row>
    <row r="2674" spans="1:10" s="360" customFormat="1" x14ac:dyDescent="0.25">
      <c r="A2674" s="19" t="s">
        <v>41</v>
      </c>
      <c r="B2674" s="2">
        <v>44004</v>
      </c>
      <c r="C2674" s="1">
        <v>0</v>
      </c>
      <c r="D2674" s="39">
        <v>39</v>
      </c>
      <c r="E2674" s="1"/>
      <c r="F2674" s="39">
        <f t="shared" ref="F2674:F2688" si="164">E2674+F2649</f>
        <v>0</v>
      </c>
      <c r="G2674" s="497"/>
      <c r="H2674" s="497"/>
      <c r="J2674" s="42"/>
    </row>
    <row r="2675" spans="1:10" s="360" customFormat="1" x14ac:dyDescent="0.25">
      <c r="A2675" s="19" t="s">
        <v>32</v>
      </c>
      <c r="B2675" s="2">
        <v>44004</v>
      </c>
      <c r="C2675" s="1">
        <v>2</v>
      </c>
      <c r="D2675" s="39">
        <v>15</v>
      </c>
      <c r="E2675" s="1"/>
      <c r="F2675" s="39">
        <f t="shared" si="164"/>
        <v>0</v>
      </c>
      <c r="G2675" s="497"/>
      <c r="H2675" s="497"/>
      <c r="J2675" s="42"/>
    </row>
    <row r="2676" spans="1:10" s="360" customFormat="1" x14ac:dyDescent="0.25">
      <c r="A2676" s="19" t="s">
        <v>33</v>
      </c>
      <c r="B2676" s="2">
        <v>44004</v>
      </c>
      <c r="C2676" s="1">
        <v>0</v>
      </c>
      <c r="D2676" s="39">
        <v>6</v>
      </c>
      <c r="E2676" s="1"/>
      <c r="F2676" s="39">
        <f t="shared" si="164"/>
        <v>0</v>
      </c>
      <c r="G2676" s="497"/>
      <c r="H2676" s="497"/>
      <c r="J2676" s="42"/>
    </row>
    <row r="2677" spans="1:10" s="360" customFormat="1" x14ac:dyDescent="0.25">
      <c r="A2677" s="19" t="s">
        <v>21</v>
      </c>
      <c r="B2677" s="2">
        <v>44004</v>
      </c>
      <c r="C2677" s="1">
        <v>0</v>
      </c>
      <c r="D2677" s="39">
        <v>64</v>
      </c>
      <c r="E2677" s="1"/>
      <c r="F2677" s="39">
        <f t="shared" si="164"/>
        <v>0</v>
      </c>
      <c r="G2677" s="497"/>
      <c r="H2677" s="497"/>
      <c r="J2677" s="42"/>
    </row>
    <row r="2678" spans="1:10" s="360" customFormat="1" x14ac:dyDescent="0.25">
      <c r="A2678" s="19" t="s">
        <v>17</v>
      </c>
      <c r="B2678" s="2">
        <v>44004</v>
      </c>
      <c r="C2678" s="1">
        <v>3</v>
      </c>
      <c r="D2678" s="39">
        <v>131</v>
      </c>
      <c r="E2678" s="1"/>
      <c r="F2678" s="39">
        <f t="shared" si="164"/>
        <v>0</v>
      </c>
      <c r="G2678" s="497"/>
      <c r="H2678" s="497"/>
      <c r="J2678" s="42"/>
    </row>
    <row r="2679" spans="1:10" s="360" customFormat="1" x14ac:dyDescent="0.25">
      <c r="A2679" s="19" t="s">
        <v>23</v>
      </c>
      <c r="B2679" s="2">
        <v>44004</v>
      </c>
      <c r="C2679" s="1">
        <v>0</v>
      </c>
      <c r="D2679" s="39">
        <v>45</v>
      </c>
      <c r="E2679" s="1"/>
      <c r="F2679" s="39">
        <f t="shared" si="164"/>
        <v>0</v>
      </c>
      <c r="G2679" s="497"/>
      <c r="H2679" s="497"/>
      <c r="J2679" s="42"/>
    </row>
    <row r="2680" spans="1:10" s="360" customFormat="1" x14ac:dyDescent="0.25">
      <c r="A2680" s="19" t="s">
        <v>19</v>
      </c>
      <c r="B2680" s="2">
        <v>44004</v>
      </c>
      <c r="C2680" s="1">
        <v>11</v>
      </c>
      <c r="D2680" s="39">
        <v>314</v>
      </c>
      <c r="E2680" s="1">
        <v>1</v>
      </c>
      <c r="F2680" s="39">
        <f t="shared" si="164"/>
        <v>1</v>
      </c>
      <c r="G2680" s="497"/>
      <c r="H2680" s="497"/>
      <c r="J2680" s="42"/>
    </row>
    <row r="2681" spans="1:10" s="360" customFormat="1" x14ac:dyDescent="0.25">
      <c r="A2681" s="19" t="s">
        <v>18</v>
      </c>
      <c r="B2681" s="2">
        <v>44004</v>
      </c>
      <c r="C2681" s="1">
        <v>8</v>
      </c>
      <c r="D2681" s="39">
        <v>699</v>
      </c>
      <c r="E2681" s="1">
        <v>4</v>
      </c>
      <c r="F2681" s="39">
        <f t="shared" si="164"/>
        <v>4</v>
      </c>
      <c r="G2681" s="497"/>
      <c r="H2681" s="497"/>
      <c r="J2681" s="42"/>
    </row>
    <row r="2682" spans="1:10" s="360" customFormat="1" x14ac:dyDescent="0.25">
      <c r="A2682" s="19" t="s">
        <v>34</v>
      </c>
      <c r="B2682" s="2">
        <v>44004</v>
      </c>
      <c r="C2682" s="1">
        <v>1</v>
      </c>
      <c r="D2682" s="39">
        <v>22</v>
      </c>
      <c r="E2682" s="1"/>
      <c r="F2682" s="39">
        <f t="shared" si="164"/>
        <v>2</v>
      </c>
      <c r="G2682" s="497"/>
      <c r="H2682" s="497"/>
      <c r="J2682" s="42"/>
    </row>
    <row r="2683" spans="1:10" s="360" customFormat="1" x14ac:dyDescent="0.25">
      <c r="A2683" s="19" t="s">
        <v>35</v>
      </c>
      <c r="B2683" s="2">
        <v>44004</v>
      </c>
      <c r="C2683" s="1">
        <v>1</v>
      </c>
      <c r="D2683" s="39">
        <v>8</v>
      </c>
      <c r="E2683" s="1"/>
      <c r="F2683" s="39">
        <f>E2683+F2659</f>
        <v>0</v>
      </c>
      <c r="G2683" s="497"/>
      <c r="H2683" s="497"/>
      <c r="J2683" s="42"/>
    </row>
    <row r="2684" spans="1:10" s="360" customFormat="1" x14ac:dyDescent="0.25">
      <c r="A2684" s="19" t="s">
        <v>36</v>
      </c>
      <c r="B2684" s="2">
        <v>44004</v>
      </c>
      <c r="C2684" s="1">
        <v>0</v>
      </c>
      <c r="D2684" s="39">
        <v>11</v>
      </c>
      <c r="E2684" s="1"/>
      <c r="F2684" s="39">
        <f t="shared" si="164"/>
        <v>0</v>
      </c>
      <c r="G2684" s="497"/>
      <c r="H2684" s="497"/>
      <c r="J2684" s="42"/>
    </row>
    <row r="2685" spans="1:10" s="360" customFormat="1" x14ac:dyDescent="0.25">
      <c r="A2685" s="19" t="s">
        <v>37</v>
      </c>
      <c r="B2685" s="2">
        <v>44004</v>
      </c>
      <c r="C2685" s="1">
        <v>0</v>
      </c>
      <c r="D2685" s="39">
        <v>51</v>
      </c>
      <c r="E2685" s="1"/>
      <c r="F2685" s="39">
        <f t="shared" si="164"/>
        <v>0</v>
      </c>
      <c r="G2685" s="497"/>
      <c r="H2685" s="497"/>
      <c r="J2685" s="42"/>
    </row>
    <row r="2686" spans="1:10" s="360" customFormat="1" x14ac:dyDescent="0.25">
      <c r="A2686" s="19" t="s">
        <v>22</v>
      </c>
      <c r="B2686" s="2">
        <v>44004</v>
      </c>
      <c r="C2686" s="1">
        <v>5</v>
      </c>
      <c r="D2686" s="39">
        <v>340</v>
      </c>
      <c r="E2686" s="1"/>
      <c r="F2686" s="39">
        <f>E2686+F2662</f>
        <v>4</v>
      </c>
      <c r="G2686" s="497"/>
      <c r="H2686" s="497"/>
      <c r="J2686" s="42"/>
    </row>
    <row r="2687" spans="1:10" s="360" customFormat="1" x14ac:dyDescent="0.25">
      <c r="A2687" s="19" t="s">
        <v>38</v>
      </c>
      <c r="B2687" s="2">
        <v>44004</v>
      </c>
      <c r="C2687" s="1">
        <v>0</v>
      </c>
      <c r="D2687" s="39">
        <v>22</v>
      </c>
      <c r="E2687" s="1"/>
      <c r="F2687" s="39">
        <f>E2687+F2663</f>
        <v>0</v>
      </c>
      <c r="G2687" s="497"/>
      <c r="H2687" s="497"/>
      <c r="J2687" s="42"/>
    </row>
    <row r="2688" spans="1:10" s="360" customFormat="1" x14ac:dyDescent="0.25">
      <c r="A2688" s="19" t="s">
        <v>39</v>
      </c>
      <c r="B2688" s="2">
        <v>44004</v>
      </c>
      <c r="C2688" s="1">
        <v>0</v>
      </c>
      <c r="D2688" s="39">
        <v>149</v>
      </c>
      <c r="E2688" s="1"/>
      <c r="F2688" s="39">
        <f t="shared" si="164"/>
        <v>0</v>
      </c>
      <c r="G2688" s="497"/>
      <c r="H2688" s="497"/>
      <c r="J2688" s="42"/>
    </row>
    <row r="2689" spans="1:10" s="360" customFormat="1" x14ac:dyDescent="0.25">
      <c r="A2689" s="19" t="s">
        <v>40</v>
      </c>
      <c r="B2689" s="2">
        <v>44004</v>
      </c>
      <c r="C2689" s="1">
        <v>1</v>
      </c>
      <c r="D2689" s="39">
        <v>60</v>
      </c>
      <c r="E2689" s="1"/>
      <c r="F2689" s="39">
        <f>E2689+F2665</f>
        <v>4</v>
      </c>
      <c r="G2689" s="497"/>
      <c r="H2689" s="497"/>
      <c r="J2689" s="42"/>
    </row>
    <row r="2690" spans="1:10" s="360" customFormat="1" x14ac:dyDescent="0.25">
      <c r="A2690" s="361" t="s">
        <v>16</v>
      </c>
      <c r="B2690" s="2">
        <v>44005</v>
      </c>
      <c r="C2690" s="1">
        <v>1334</v>
      </c>
      <c r="D2690" s="39">
        <v>21698</v>
      </c>
      <c r="E2690" s="1">
        <v>15</v>
      </c>
      <c r="F2690" s="39">
        <f>E2690+F2666</f>
        <v>464</v>
      </c>
      <c r="G2690" s="497"/>
      <c r="H2690" s="497"/>
      <c r="J2690" s="42"/>
    </row>
    <row r="2691" spans="1:10" s="360" customFormat="1" x14ac:dyDescent="0.25">
      <c r="A2691" s="19" t="s">
        <v>28</v>
      </c>
      <c r="B2691" s="2">
        <v>44005</v>
      </c>
      <c r="C2691" s="1">
        <v>0</v>
      </c>
      <c r="D2691" s="39">
        <v>0</v>
      </c>
      <c r="E2691" s="1"/>
      <c r="F2691" s="39">
        <f t="shared" ref="F2691:F2697" si="165">E2691+F2667</f>
        <v>0</v>
      </c>
      <c r="G2691" s="497"/>
      <c r="H2691" s="497"/>
      <c r="J2691" s="42"/>
    </row>
    <row r="2692" spans="1:10" s="360" customFormat="1" x14ac:dyDescent="0.25">
      <c r="A2692" s="19" t="s">
        <v>15</v>
      </c>
      <c r="B2692" s="2">
        <v>44005</v>
      </c>
      <c r="C2692" s="1">
        <v>55</v>
      </c>
      <c r="D2692" s="39">
        <v>1657</v>
      </c>
      <c r="E2692" s="1">
        <v>1</v>
      </c>
      <c r="F2692" s="39">
        <f t="shared" si="165"/>
        <v>85</v>
      </c>
      <c r="G2692" s="497"/>
      <c r="H2692" s="497"/>
      <c r="J2692" s="42"/>
    </row>
    <row r="2693" spans="1:10" s="360" customFormat="1" x14ac:dyDescent="0.25">
      <c r="A2693" s="19" t="s">
        <v>29</v>
      </c>
      <c r="B2693" s="2">
        <v>44005</v>
      </c>
      <c r="C2693" s="1">
        <v>2</v>
      </c>
      <c r="D2693" s="39">
        <v>101</v>
      </c>
      <c r="E2693" s="1"/>
      <c r="F2693" s="39">
        <f t="shared" si="165"/>
        <v>2</v>
      </c>
      <c r="G2693" s="497"/>
      <c r="H2693" s="497"/>
      <c r="J2693" s="42"/>
    </row>
    <row r="2694" spans="1:10" s="360" customFormat="1" x14ac:dyDescent="0.25">
      <c r="A2694" s="19" t="s">
        <v>43</v>
      </c>
      <c r="B2694" s="2">
        <v>44005</v>
      </c>
      <c r="C2694" s="1">
        <v>759</v>
      </c>
      <c r="D2694" s="39">
        <v>20785</v>
      </c>
      <c r="E2694" s="1">
        <v>17</v>
      </c>
      <c r="F2694" s="39">
        <f>E2694+F2670</f>
        <v>412</v>
      </c>
      <c r="G2694" s="497"/>
      <c r="H2694" s="497"/>
      <c r="J2694" s="42"/>
    </row>
    <row r="2695" spans="1:10" s="360" customFormat="1" x14ac:dyDescent="0.25">
      <c r="A2695" s="19" t="s">
        <v>20</v>
      </c>
      <c r="B2695" s="2">
        <v>44005</v>
      </c>
      <c r="C2695" s="1">
        <v>23</v>
      </c>
      <c r="D2695" s="39">
        <v>602</v>
      </c>
      <c r="E2695" s="1"/>
      <c r="F2695" s="39">
        <f t="shared" si="165"/>
        <v>33</v>
      </c>
      <c r="G2695" s="497"/>
      <c r="H2695" s="497"/>
      <c r="J2695" s="42"/>
    </row>
    <row r="2696" spans="1:10" s="360" customFormat="1" x14ac:dyDescent="0.25">
      <c r="A2696" s="19" t="s">
        <v>30</v>
      </c>
      <c r="B2696" s="2">
        <v>44005</v>
      </c>
      <c r="C2696" s="1">
        <v>0</v>
      </c>
      <c r="D2696" s="39">
        <v>115</v>
      </c>
      <c r="E2696" s="1"/>
      <c r="F2696" s="39">
        <f t="shared" si="165"/>
        <v>0</v>
      </c>
      <c r="G2696" s="497"/>
      <c r="H2696" s="497"/>
      <c r="J2696" s="42"/>
    </row>
    <row r="2697" spans="1:10" x14ac:dyDescent="0.25">
      <c r="A2697" s="19" t="s">
        <v>31</v>
      </c>
      <c r="B2697" s="2">
        <v>44005</v>
      </c>
      <c r="C2697" s="1">
        <v>17</v>
      </c>
      <c r="D2697" s="39">
        <v>177</v>
      </c>
      <c r="F2697" s="39">
        <f t="shared" si="165"/>
        <v>0</v>
      </c>
    </row>
    <row r="2698" spans="1:10" s="360" customFormat="1" x14ac:dyDescent="0.25">
      <c r="A2698" s="19" t="s">
        <v>41</v>
      </c>
      <c r="B2698" s="2">
        <v>44005</v>
      </c>
      <c r="C2698" s="1">
        <v>6</v>
      </c>
      <c r="D2698" s="39">
        <v>45</v>
      </c>
      <c r="E2698" s="1"/>
      <c r="F2698" s="39">
        <f t="shared" ref="F2698:F2712" si="166">E2698+F2673</f>
        <v>0</v>
      </c>
      <c r="G2698" s="497"/>
      <c r="H2698" s="497"/>
      <c r="J2698" s="42"/>
    </row>
    <row r="2699" spans="1:10" s="360" customFormat="1" x14ac:dyDescent="0.25">
      <c r="A2699" s="19" t="s">
        <v>32</v>
      </c>
      <c r="B2699" s="2">
        <v>44005</v>
      </c>
      <c r="C2699" s="1">
        <v>2</v>
      </c>
      <c r="D2699" s="39">
        <v>17</v>
      </c>
      <c r="E2699" s="1"/>
      <c r="F2699" s="39">
        <f t="shared" si="166"/>
        <v>0</v>
      </c>
      <c r="G2699" s="497"/>
      <c r="H2699" s="497"/>
      <c r="J2699" s="42"/>
    </row>
    <row r="2700" spans="1:10" s="360" customFormat="1" x14ac:dyDescent="0.25">
      <c r="A2700" s="19" t="s">
        <v>33</v>
      </c>
      <c r="B2700" s="2">
        <v>44005</v>
      </c>
      <c r="C2700" s="1">
        <v>0</v>
      </c>
      <c r="D2700" s="39">
        <v>6</v>
      </c>
      <c r="E2700" s="1"/>
      <c r="F2700" s="39">
        <f t="shared" si="166"/>
        <v>0</v>
      </c>
      <c r="G2700" s="497"/>
      <c r="H2700" s="497"/>
      <c r="J2700" s="42"/>
    </row>
    <row r="2701" spans="1:10" s="360" customFormat="1" x14ac:dyDescent="0.25">
      <c r="A2701" s="19" t="s">
        <v>21</v>
      </c>
      <c r="B2701" s="2">
        <v>44005</v>
      </c>
      <c r="C2701" s="1">
        <v>1</v>
      </c>
      <c r="D2701" s="39">
        <v>65</v>
      </c>
      <c r="E2701" s="1"/>
      <c r="F2701" s="39">
        <f t="shared" si="166"/>
        <v>0</v>
      </c>
      <c r="G2701" s="497"/>
      <c r="H2701" s="497"/>
      <c r="J2701" s="42"/>
    </row>
    <row r="2702" spans="1:10" s="360" customFormat="1" x14ac:dyDescent="0.25">
      <c r="A2702" s="19" t="s">
        <v>17</v>
      </c>
      <c r="B2702" s="2">
        <v>44005</v>
      </c>
      <c r="C2702" s="1">
        <v>8</v>
      </c>
      <c r="D2702" s="39">
        <v>139</v>
      </c>
      <c r="E2702" s="1"/>
      <c r="F2702" s="39">
        <f t="shared" si="166"/>
        <v>0</v>
      </c>
      <c r="G2702" s="497"/>
      <c r="H2702" s="497"/>
      <c r="J2702" s="42"/>
    </row>
    <row r="2703" spans="1:10" s="360" customFormat="1" x14ac:dyDescent="0.25">
      <c r="A2703" s="19" t="s">
        <v>23</v>
      </c>
      <c r="B2703" s="2">
        <v>44005</v>
      </c>
      <c r="C2703" s="1">
        <v>0</v>
      </c>
      <c r="D2703" s="39">
        <v>45</v>
      </c>
      <c r="E2703" s="1"/>
      <c r="F2703" s="39">
        <f t="shared" si="166"/>
        <v>0</v>
      </c>
      <c r="G2703" s="497"/>
      <c r="H2703" s="497"/>
      <c r="J2703" s="42"/>
    </row>
    <row r="2704" spans="1:10" s="360" customFormat="1" x14ac:dyDescent="0.25">
      <c r="A2704" s="19" t="s">
        <v>19</v>
      </c>
      <c r="B2704" s="2">
        <v>44005</v>
      </c>
      <c r="C2704" s="1">
        <v>29</v>
      </c>
      <c r="D2704" s="39">
        <v>343</v>
      </c>
      <c r="E2704" s="1"/>
      <c r="F2704" s="39">
        <f t="shared" si="166"/>
        <v>0</v>
      </c>
      <c r="G2704" s="497"/>
      <c r="H2704" s="497"/>
      <c r="J2704" s="42"/>
    </row>
    <row r="2705" spans="1:10" s="360" customFormat="1" x14ac:dyDescent="0.25">
      <c r="A2705" s="19" t="s">
        <v>18</v>
      </c>
      <c r="B2705" s="2">
        <v>44005</v>
      </c>
      <c r="C2705" s="1">
        <v>19</v>
      </c>
      <c r="D2705" s="39">
        <v>718</v>
      </c>
      <c r="E2705" s="1">
        <v>1</v>
      </c>
      <c r="F2705" s="39">
        <f t="shared" si="166"/>
        <v>2</v>
      </c>
      <c r="G2705" s="497"/>
      <c r="H2705" s="497"/>
      <c r="J2705" s="42"/>
    </row>
    <row r="2706" spans="1:10" s="360" customFormat="1" x14ac:dyDescent="0.25">
      <c r="A2706" s="19" t="s">
        <v>34</v>
      </c>
      <c r="B2706" s="2">
        <v>44005</v>
      </c>
      <c r="C2706" s="1">
        <v>0</v>
      </c>
      <c r="D2706" s="39">
        <v>22</v>
      </c>
      <c r="E2706" s="1"/>
      <c r="F2706" s="39">
        <f t="shared" si="166"/>
        <v>4</v>
      </c>
      <c r="G2706" s="497"/>
      <c r="H2706" s="497"/>
      <c r="J2706" s="42"/>
    </row>
    <row r="2707" spans="1:10" s="360" customFormat="1" x14ac:dyDescent="0.25">
      <c r="A2707" s="19" t="s">
        <v>35</v>
      </c>
      <c r="B2707" s="2">
        <v>44005</v>
      </c>
      <c r="C2707" s="1">
        <v>0</v>
      </c>
      <c r="D2707" s="39">
        <v>8</v>
      </c>
      <c r="E2707" s="1"/>
      <c r="F2707" s="39">
        <f>E2707+F2683</f>
        <v>0</v>
      </c>
      <c r="G2707" s="497"/>
      <c r="H2707" s="497"/>
      <c r="J2707" s="42"/>
    </row>
    <row r="2708" spans="1:10" s="360" customFormat="1" x14ac:dyDescent="0.25">
      <c r="A2708" s="19" t="s">
        <v>36</v>
      </c>
      <c r="B2708" s="2">
        <v>44005</v>
      </c>
      <c r="C2708" s="1">
        <v>0</v>
      </c>
      <c r="D2708" s="39">
        <v>11</v>
      </c>
      <c r="E2708" s="1"/>
      <c r="F2708" s="39">
        <f t="shared" si="166"/>
        <v>0</v>
      </c>
      <c r="G2708" s="497"/>
      <c r="H2708" s="497"/>
      <c r="J2708" s="42"/>
    </row>
    <row r="2709" spans="1:10" s="360" customFormat="1" x14ac:dyDescent="0.25">
      <c r="A2709" s="19" t="s">
        <v>37</v>
      </c>
      <c r="B2709" s="2">
        <v>44005</v>
      </c>
      <c r="C2709" s="1">
        <v>0</v>
      </c>
      <c r="D2709" s="39">
        <v>51</v>
      </c>
      <c r="E2709" s="1"/>
      <c r="F2709" s="39">
        <f t="shared" si="166"/>
        <v>0</v>
      </c>
      <c r="G2709" s="497"/>
      <c r="H2709" s="497"/>
      <c r="J2709" s="42"/>
    </row>
    <row r="2710" spans="1:10" s="360" customFormat="1" x14ac:dyDescent="0.25">
      <c r="A2710" s="19" t="s">
        <v>22</v>
      </c>
      <c r="B2710" s="2">
        <v>44005</v>
      </c>
      <c r="C2710" s="1">
        <v>29</v>
      </c>
      <c r="D2710" s="39">
        <v>369</v>
      </c>
      <c r="E2710" s="1"/>
      <c r="F2710" s="39">
        <f>E2710+F2686</f>
        <v>4</v>
      </c>
      <c r="G2710" s="497"/>
      <c r="H2710" s="497"/>
      <c r="J2710" s="42"/>
    </row>
    <row r="2711" spans="1:10" s="360" customFormat="1" x14ac:dyDescent="0.25">
      <c r="A2711" s="19" t="s">
        <v>38</v>
      </c>
      <c r="B2711" s="2">
        <v>44005</v>
      </c>
      <c r="C2711" s="1">
        <v>0</v>
      </c>
      <c r="D2711" s="39">
        <v>22</v>
      </c>
      <c r="E2711" s="1"/>
      <c r="F2711" s="39">
        <f>E2711+F2687</f>
        <v>0</v>
      </c>
      <c r="G2711" s="497"/>
      <c r="H2711" s="497"/>
      <c r="J2711" s="42"/>
    </row>
    <row r="2712" spans="1:10" s="360" customFormat="1" x14ac:dyDescent="0.25">
      <c r="A2712" s="19" t="s">
        <v>39</v>
      </c>
      <c r="B2712" s="2">
        <v>44005</v>
      </c>
      <c r="C2712" s="1">
        <v>0</v>
      </c>
      <c r="D2712" s="39">
        <v>149</v>
      </c>
      <c r="E2712" s="1"/>
      <c r="F2712" s="39">
        <f t="shared" si="166"/>
        <v>0</v>
      </c>
      <c r="G2712" s="497"/>
      <c r="H2712" s="497"/>
      <c r="J2712" s="42"/>
    </row>
    <row r="2713" spans="1:10" s="360" customFormat="1" x14ac:dyDescent="0.25">
      <c r="A2713" s="19" t="s">
        <v>40</v>
      </c>
      <c r="B2713" s="2">
        <v>44005</v>
      </c>
      <c r="C2713" s="1">
        <v>0</v>
      </c>
      <c r="D2713" s="39">
        <v>60</v>
      </c>
      <c r="E2713" s="1"/>
      <c r="F2713" s="39">
        <f>E2713+F2689</f>
        <v>4</v>
      </c>
      <c r="G2713" s="497"/>
      <c r="H2713" s="497"/>
      <c r="J2713" s="42"/>
    </row>
    <row r="2714" spans="1:10" s="360" customFormat="1" x14ac:dyDescent="0.25">
      <c r="A2714" s="361" t="s">
        <v>16</v>
      </c>
      <c r="B2714" s="2">
        <v>44006</v>
      </c>
      <c r="C2714" s="1">
        <v>1463</v>
      </c>
      <c r="D2714" s="39">
        <v>23161</v>
      </c>
      <c r="E2714" s="1">
        <v>21</v>
      </c>
      <c r="F2714" s="39">
        <f>E2714+F2690</f>
        <v>485</v>
      </c>
      <c r="G2714" s="497"/>
      <c r="H2714" s="497"/>
      <c r="J2714" s="42"/>
    </row>
    <row r="2715" spans="1:10" s="360" customFormat="1" x14ac:dyDescent="0.25">
      <c r="A2715" s="19" t="s">
        <v>28</v>
      </c>
      <c r="B2715" s="2">
        <v>44006</v>
      </c>
      <c r="C2715" s="1">
        <v>0</v>
      </c>
      <c r="D2715" s="39">
        <v>0</v>
      </c>
      <c r="E2715" s="1"/>
      <c r="F2715" s="39">
        <f t="shared" ref="F2715:F2721" si="167">E2715+F2691</f>
        <v>0</v>
      </c>
      <c r="G2715" s="497"/>
      <c r="H2715" s="497"/>
      <c r="J2715" s="42"/>
    </row>
    <row r="2716" spans="1:10" s="360" customFormat="1" x14ac:dyDescent="0.25">
      <c r="A2716" s="19" t="s">
        <v>15</v>
      </c>
      <c r="B2716" s="2">
        <v>44006</v>
      </c>
      <c r="C2716" s="1">
        <v>37</v>
      </c>
      <c r="D2716" s="39">
        <v>1694</v>
      </c>
      <c r="E2716" s="1">
        <v>2</v>
      </c>
      <c r="F2716" s="39">
        <f t="shared" si="167"/>
        <v>87</v>
      </c>
      <c r="G2716" s="497"/>
      <c r="H2716" s="497"/>
      <c r="J2716" s="42"/>
    </row>
    <row r="2717" spans="1:10" s="360" customFormat="1" x14ac:dyDescent="0.25">
      <c r="A2717" s="19" t="s">
        <v>29</v>
      </c>
      <c r="B2717" s="2">
        <v>44006</v>
      </c>
      <c r="C2717" s="1">
        <v>2</v>
      </c>
      <c r="D2717" s="39">
        <v>103</v>
      </c>
      <c r="E2717" s="1"/>
      <c r="F2717" s="39">
        <f t="shared" si="167"/>
        <v>2</v>
      </c>
      <c r="G2717" s="497"/>
      <c r="H2717" s="497"/>
      <c r="J2717" s="42"/>
    </row>
    <row r="2718" spans="1:10" s="360" customFormat="1" x14ac:dyDescent="0.25">
      <c r="A2718" s="19" t="s">
        <v>43</v>
      </c>
      <c r="B2718" s="2">
        <v>44006</v>
      </c>
      <c r="C2718" s="1">
        <v>1012</v>
      </c>
      <c r="D2718" s="39">
        <v>21797</v>
      </c>
      <c r="E2718" s="1">
        <v>10</v>
      </c>
      <c r="F2718" s="39">
        <f t="shared" si="167"/>
        <v>422</v>
      </c>
      <c r="G2718" s="497"/>
      <c r="H2718" s="497"/>
      <c r="J2718" s="42"/>
    </row>
    <row r="2719" spans="1:10" s="360" customFormat="1" x14ac:dyDescent="0.25">
      <c r="A2719" s="19" t="s">
        <v>20</v>
      </c>
      <c r="B2719" s="2">
        <v>44006</v>
      </c>
      <c r="C2719" s="1">
        <v>2</v>
      </c>
      <c r="D2719" s="39">
        <v>604</v>
      </c>
      <c r="E2719" s="1"/>
      <c r="F2719" s="39">
        <f t="shared" si="167"/>
        <v>33</v>
      </c>
      <c r="G2719" s="497"/>
      <c r="H2719" s="497"/>
      <c r="J2719" s="42"/>
    </row>
    <row r="2720" spans="1:10" s="360" customFormat="1" x14ac:dyDescent="0.25">
      <c r="A2720" s="19" t="s">
        <v>30</v>
      </c>
      <c r="B2720" s="2">
        <v>44006</v>
      </c>
      <c r="C2720" s="1">
        <v>0</v>
      </c>
      <c r="D2720" s="39">
        <v>115</v>
      </c>
      <c r="E2720" s="1"/>
      <c r="F2720" s="39">
        <f t="shared" si="167"/>
        <v>0</v>
      </c>
      <c r="G2720" s="497"/>
      <c r="H2720" s="497"/>
      <c r="J2720" s="42"/>
    </row>
    <row r="2721" spans="1:10" x14ac:dyDescent="0.25">
      <c r="A2721" s="19" t="s">
        <v>31</v>
      </c>
      <c r="B2721" s="2">
        <v>44006</v>
      </c>
      <c r="C2721" s="1">
        <v>24</v>
      </c>
      <c r="D2721" s="39">
        <v>201</v>
      </c>
      <c r="F2721" s="39">
        <f t="shared" si="167"/>
        <v>0</v>
      </c>
    </row>
    <row r="2722" spans="1:10" s="360" customFormat="1" x14ac:dyDescent="0.25">
      <c r="A2722" s="19" t="s">
        <v>41</v>
      </c>
      <c r="B2722" s="2">
        <v>44006</v>
      </c>
      <c r="C2722" s="1">
        <v>0</v>
      </c>
      <c r="D2722" s="39">
        <v>45</v>
      </c>
      <c r="E2722" s="1"/>
      <c r="F2722" s="39">
        <f t="shared" ref="F2722:F2733" si="168">E2722+F2697</f>
        <v>0</v>
      </c>
      <c r="G2722" s="497"/>
      <c r="H2722" s="497"/>
      <c r="J2722" s="42"/>
    </row>
    <row r="2723" spans="1:10" s="360" customFormat="1" x14ac:dyDescent="0.25">
      <c r="A2723" s="19" t="s">
        <v>32</v>
      </c>
      <c r="B2723" s="2">
        <v>44006</v>
      </c>
      <c r="C2723" s="1">
        <v>26</v>
      </c>
      <c r="D2723" s="39">
        <v>43</v>
      </c>
      <c r="E2723" s="1"/>
      <c r="F2723" s="39">
        <f t="shared" si="168"/>
        <v>0</v>
      </c>
      <c r="G2723" s="497"/>
      <c r="H2723" s="497"/>
      <c r="J2723" s="42"/>
    </row>
    <row r="2724" spans="1:10" s="360" customFormat="1" x14ac:dyDescent="0.25">
      <c r="A2724" s="19" t="s">
        <v>33</v>
      </c>
      <c r="B2724" s="2">
        <v>44006</v>
      </c>
      <c r="C2724" s="1">
        <v>1</v>
      </c>
      <c r="D2724" s="39">
        <v>7</v>
      </c>
      <c r="E2724" s="1"/>
      <c r="F2724" s="39">
        <f t="shared" si="168"/>
        <v>0</v>
      </c>
      <c r="G2724" s="497"/>
      <c r="H2724" s="497"/>
      <c r="J2724" s="42"/>
    </row>
    <row r="2725" spans="1:10" s="360" customFormat="1" x14ac:dyDescent="0.25">
      <c r="A2725" s="19" t="s">
        <v>21</v>
      </c>
      <c r="B2725" s="2">
        <v>44006</v>
      </c>
      <c r="C2725" s="1">
        <v>7</v>
      </c>
      <c r="D2725" s="39">
        <v>72</v>
      </c>
      <c r="E2725" s="1"/>
      <c r="F2725" s="39">
        <f t="shared" si="168"/>
        <v>0</v>
      </c>
      <c r="G2725" s="497"/>
      <c r="H2725" s="497"/>
      <c r="J2725" s="42"/>
    </row>
    <row r="2726" spans="1:10" s="360" customFormat="1" x14ac:dyDescent="0.25">
      <c r="A2726" s="19" t="s">
        <v>17</v>
      </c>
      <c r="B2726" s="2">
        <v>44006</v>
      </c>
      <c r="C2726" s="1">
        <v>8</v>
      </c>
      <c r="D2726" s="39">
        <v>147</v>
      </c>
      <c r="E2726" s="1"/>
      <c r="F2726" s="39">
        <f t="shared" si="168"/>
        <v>0</v>
      </c>
      <c r="G2726" s="497"/>
      <c r="H2726" s="497"/>
      <c r="J2726" s="42"/>
    </row>
    <row r="2727" spans="1:10" s="360" customFormat="1" x14ac:dyDescent="0.25">
      <c r="A2727" s="19" t="s">
        <v>23</v>
      </c>
      <c r="B2727" s="2">
        <v>44006</v>
      </c>
      <c r="C2727" s="1">
        <v>0</v>
      </c>
      <c r="D2727" s="39">
        <v>45</v>
      </c>
      <c r="E2727" s="1"/>
      <c r="F2727" s="39">
        <f t="shared" si="168"/>
        <v>0</v>
      </c>
      <c r="G2727" s="497"/>
      <c r="H2727" s="497"/>
      <c r="J2727" s="42"/>
    </row>
    <row r="2728" spans="1:10" s="360" customFormat="1" x14ac:dyDescent="0.25">
      <c r="A2728" s="19" t="s">
        <v>19</v>
      </c>
      <c r="B2728" s="2">
        <v>44006</v>
      </c>
      <c r="C2728" s="1">
        <v>12</v>
      </c>
      <c r="D2728" s="39">
        <v>355</v>
      </c>
      <c r="E2728" s="1">
        <v>1</v>
      </c>
      <c r="F2728" s="39">
        <f t="shared" si="168"/>
        <v>1</v>
      </c>
      <c r="G2728" s="497"/>
      <c r="H2728" s="497"/>
      <c r="J2728" s="42"/>
    </row>
    <row r="2729" spans="1:10" s="360" customFormat="1" x14ac:dyDescent="0.25">
      <c r="A2729" s="19" t="s">
        <v>18</v>
      </c>
      <c r="B2729" s="2">
        <v>44006</v>
      </c>
      <c r="C2729" s="1">
        <v>24</v>
      </c>
      <c r="D2729" s="39">
        <v>742</v>
      </c>
      <c r="E2729" s="1">
        <v>2</v>
      </c>
      <c r="F2729" s="39">
        <f t="shared" si="168"/>
        <v>2</v>
      </c>
      <c r="G2729" s="497"/>
      <c r="H2729" s="497"/>
      <c r="J2729" s="42"/>
    </row>
    <row r="2730" spans="1:10" s="360" customFormat="1" x14ac:dyDescent="0.25">
      <c r="A2730" s="19" t="s">
        <v>34</v>
      </c>
      <c r="B2730" s="2">
        <v>44006</v>
      </c>
      <c r="C2730" s="1">
        <v>3</v>
      </c>
      <c r="D2730" s="39">
        <v>25</v>
      </c>
      <c r="E2730" s="1"/>
      <c r="F2730" s="39">
        <f t="shared" si="168"/>
        <v>2</v>
      </c>
      <c r="G2730" s="497"/>
      <c r="H2730" s="497"/>
      <c r="J2730" s="42"/>
    </row>
    <row r="2731" spans="1:10" s="360" customFormat="1" x14ac:dyDescent="0.25">
      <c r="A2731" s="19" t="s">
        <v>35</v>
      </c>
      <c r="B2731" s="2">
        <v>44006</v>
      </c>
      <c r="C2731" s="1">
        <v>0</v>
      </c>
      <c r="D2731" s="39">
        <v>8</v>
      </c>
      <c r="E2731" s="1"/>
      <c r="F2731" s="39">
        <f>E2731+F2707</f>
        <v>0</v>
      </c>
      <c r="G2731" s="497"/>
      <c r="H2731" s="497"/>
      <c r="J2731" s="42"/>
    </row>
    <row r="2732" spans="1:10" s="360" customFormat="1" x14ac:dyDescent="0.25">
      <c r="A2732" s="19" t="s">
        <v>36</v>
      </c>
      <c r="B2732" s="2">
        <v>44006</v>
      </c>
      <c r="C2732" s="1">
        <v>0</v>
      </c>
      <c r="D2732" s="39">
        <v>11</v>
      </c>
      <c r="E2732" s="1"/>
      <c r="F2732" s="39">
        <f t="shared" si="168"/>
        <v>0</v>
      </c>
      <c r="G2732" s="497"/>
      <c r="H2732" s="497"/>
      <c r="J2732" s="42"/>
    </row>
    <row r="2733" spans="1:10" s="360" customFormat="1" x14ac:dyDescent="0.25">
      <c r="A2733" s="19" t="s">
        <v>37</v>
      </c>
      <c r="B2733" s="2">
        <v>44006</v>
      </c>
      <c r="C2733" s="1">
        <v>-1</v>
      </c>
      <c r="D2733" s="39">
        <v>50</v>
      </c>
      <c r="E2733" s="1"/>
      <c r="F2733" s="39">
        <f t="shared" si="168"/>
        <v>0</v>
      </c>
      <c r="G2733" s="497"/>
      <c r="H2733" s="497"/>
      <c r="J2733" s="42"/>
    </row>
    <row r="2734" spans="1:10" s="360" customFormat="1" x14ac:dyDescent="0.25">
      <c r="A2734" s="19" t="s">
        <v>22</v>
      </c>
      <c r="B2734" s="2">
        <v>44006</v>
      </c>
      <c r="C2734" s="1">
        <v>4</v>
      </c>
      <c r="D2734" s="39">
        <v>373</v>
      </c>
      <c r="E2734" s="1"/>
      <c r="F2734" s="39">
        <f>E2734+F2710</f>
        <v>4</v>
      </c>
      <c r="G2734" s="497"/>
      <c r="H2734" s="497"/>
      <c r="J2734" s="42"/>
    </row>
    <row r="2735" spans="1:10" s="360" customFormat="1" x14ac:dyDescent="0.25">
      <c r="A2735" s="19" t="s">
        <v>38</v>
      </c>
      <c r="B2735" s="2">
        <v>44006</v>
      </c>
      <c r="C2735" s="1">
        <v>0</v>
      </c>
      <c r="D2735" s="39">
        <v>22</v>
      </c>
      <c r="E2735" s="1"/>
      <c r="F2735" s="39">
        <f>E2735+F2711</f>
        <v>0</v>
      </c>
      <c r="G2735" s="497"/>
      <c r="H2735" s="497"/>
      <c r="J2735" s="42"/>
    </row>
    <row r="2736" spans="1:10" s="360" customFormat="1" x14ac:dyDescent="0.25">
      <c r="A2736" s="19" t="s">
        <v>39</v>
      </c>
      <c r="B2736" s="2">
        <v>44006</v>
      </c>
      <c r="C2736" s="1">
        <v>0</v>
      </c>
      <c r="D2736" s="39">
        <v>149</v>
      </c>
      <c r="E2736" s="1">
        <v>1</v>
      </c>
      <c r="F2736" s="39">
        <f>E2736+F2712</f>
        <v>1</v>
      </c>
      <c r="G2736" s="497"/>
      <c r="H2736" s="497"/>
      <c r="J2736" s="42"/>
    </row>
    <row r="2737" spans="1:10" s="360" customFormat="1" x14ac:dyDescent="0.25">
      <c r="A2737" s="19" t="s">
        <v>40</v>
      </c>
      <c r="B2737" s="2">
        <v>44006</v>
      </c>
      <c r="C2737" s="1">
        <v>10</v>
      </c>
      <c r="D2737" s="39">
        <v>70</v>
      </c>
      <c r="E2737" s="1"/>
      <c r="F2737" s="39">
        <f>E2737+F2713</f>
        <v>4</v>
      </c>
      <c r="G2737" s="497"/>
      <c r="H2737" s="497"/>
      <c r="J2737" s="42"/>
    </row>
    <row r="2738" spans="1:10" s="360" customFormat="1" x14ac:dyDescent="0.25">
      <c r="A2738" s="361" t="s">
        <v>16</v>
      </c>
      <c r="B2738" s="2">
        <v>44007</v>
      </c>
      <c r="C2738" s="1">
        <v>1482</v>
      </c>
      <c r="D2738" s="39">
        <v>24643</v>
      </c>
      <c r="E2738" s="1">
        <v>15</v>
      </c>
      <c r="F2738" s="39">
        <f>E2738+F2714</f>
        <v>500</v>
      </c>
      <c r="G2738" s="497"/>
      <c r="H2738" s="497"/>
      <c r="J2738" s="42"/>
    </row>
    <row r="2739" spans="1:10" s="360" customFormat="1" x14ac:dyDescent="0.25">
      <c r="A2739" s="19" t="s">
        <v>28</v>
      </c>
      <c r="B2739" s="2">
        <v>44007</v>
      </c>
      <c r="C2739" s="1">
        <v>0</v>
      </c>
      <c r="D2739" s="39">
        <v>0</v>
      </c>
      <c r="E2739" s="1"/>
      <c r="F2739" s="39">
        <f t="shared" ref="F2739:F2745" si="169">E2739+F2715</f>
        <v>0</v>
      </c>
      <c r="G2739" s="497"/>
      <c r="H2739" s="497"/>
      <c r="J2739" s="42"/>
    </row>
    <row r="2740" spans="1:10" s="360" customFormat="1" x14ac:dyDescent="0.25">
      <c r="A2740" s="19" t="s">
        <v>15</v>
      </c>
      <c r="B2740" s="2">
        <v>44007</v>
      </c>
      <c r="C2740" s="1">
        <v>61</v>
      </c>
      <c r="D2740" s="39">
        <v>1755</v>
      </c>
      <c r="E2740" s="1">
        <v>2</v>
      </c>
      <c r="F2740" s="39">
        <f t="shared" si="169"/>
        <v>89</v>
      </c>
      <c r="G2740" s="497"/>
      <c r="H2740" s="497"/>
      <c r="J2740" s="42"/>
    </row>
    <row r="2741" spans="1:10" s="360" customFormat="1" x14ac:dyDescent="0.25">
      <c r="A2741" s="19" t="s">
        <v>29</v>
      </c>
      <c r="B2741" s="2">
        <v>44007</v>
      </c>
      <c r="C2741" s="1">
        <v>1</v>
      </c>
      <c r="D2741" s="39">
        <v>104</v>
      </c>
      <c r="E2741" s="1"/>
      <c r="F2741" s="39">
        <f t="shared" si="169"/>
        <v>2</v>
      </c>
      <c r="G2741" s="497"/>
      <c r="H2741" s="497"/>
      <c r="J2741" s="42"/>
    </row>
    <row r="2742" spans="1:10" s="360" customFormat="1" x14ac:dyDescent="0.25">
      <c r="A2742" s="19" t="s">
        <v>43</v>
      </c>
      <c r="B2742" s="2">
        <v>44007</v>
      </c>
      <c r="C2742" s="1">
        <v>942</v>
      </c>
      <c r="D2742" s="39">
        <v>22739</v>
      </c>
      <c r="E2742" s="1">
        <v>15</v>
      </c>
      <c r="F2742" s="39">
        <f t="shared" si="169"/>
        <v>437</v>
      </c>
      <c r="G2742" s="497"/>
      <c r="H2742" s="497"/>
      <c r="J2742" s="42"/>
    </row>
    <row r="2743" spans="1:10" s="360" customFormat="1" x14ac:dyDescent="0.25">
      <c r="A2743" s="19" t="s">
        <v>20</v>
      </c>
      <c r="B2743" s="2">
        <v>44007</v>
      </c>
      <c r="C2743" s="1">
        <v>6</v>
      </c>
      <c r="D2743" s="39">
        <v>610</v>
      </c>
      <c r="E2743" s="1"/>
      <c r="F2743" s="39">
        <f t="shared" si="169"/>
        <v>33</v>
      </c>
      <c r="G2743" s="497"/>
      <c r="H2743" s="497"/>
      <c r="J2743" s="42"/>
    </row>
    <row r="2744" spans="1:10" s="360" customFormat="1" x14ac:dyDescent="0.25">
      <c r="A2744" s="19" t="s">
        <v>30</v>
      </c>
      <c r="B2744" s="2">
        <v>44007</v>
      </c>
      <c r="C2744" s="1">
        <v>0</v>
      </c>
      <c r="D2744" s="39">
        <v>115</v>
      </c>
      <c r="E2744" s="1"/>
      <c r="F2744" s="39">
        <f t="shared" si="169"/>
        <v>0</v>
      </c>
      <c r="G2744" s="497"/>
      <c r="H2744" s="497"/>
      <c r="J2744" s="42"/>
    </row>
    <row r="2745" spans="1:10" x14ac:dyDescent="0.25">
      <c r="A2745" s="19" t="s">
        <v>31</v>
      </c>
      <c r="B2745" s="2">
        <v>44007</v>
      </c>
      <c r="C2745" s="1">
        <v>17</v>
      </c>
      <c r="D2745" s="39">
        <v>218</v>
      </c>
      <c r="F2745" s="39">
        <f t="shared" si="169"/>
        <v>0</v>
      </c>
    </row>
    <row r="2746" spans="1:10" s="360" customFormat="1" x14ac:dyDescent="0.25">
      <c r="A2746" s="19" t="s">
        <v>41</v>
      </c>
      <c r="B2746" s="2">
        <v>44007</v>
      </c>
      <c r="C2746" s="1">
        <v>0</v>
      </c>
      <c r="D2746" s="39">
        <v>45</v>
      </c>
      <c r="E2746" s="1"/>
      <c r="F2746" s="39">
        <f t="shared" ref="F2746:F2757" si="170">E2746+F2721</f>
        <v>0</v>
      </c>
      <c r="G2746" s="497"/>
      <c r="H2746" s="497"/>
      <c r="J2746" s="42"/>
    </row>
    <row r="2747" spans="1:10" s="360" customFormat="1" x14ac:dyDescent="0.25">
      <c r="A2747" s="19" t="s">
        <v>32</v>
      </c>
      <c r="B2747" s="2">
        <v>44007</v>
      </c>
      <c r="C2747" s="1">
        <v>1</v>
      </c>
      <c r="D2747" s="39">
        <v>44</v>
      </c>
      <c r="E2747" s="1"/>
      <c r="F2747" s="39">
        <f t="shared" si="170"/>
        <v>0</v>
      </c>
      <c r="G2747" s="497"/>
      <c r="H2747" s="497"/>
      <c r="J2747" s="42"/>
    </row>
    <row r="2748" spans="1:10" s="360" customFormat="1" x14ac:dyDescent="0.25">
      <c r="A2748" s="19" t="s">
        <v>33</v>
      </c>
      <c r="B2748" s="2">
        <v>44007</v>
      </c>
      <c r="C2748" s="1">
        <v>0</v>
      </c>
      <c r="D2748" s="39">
        <v>7</v>
      </c>
      <c r="E2748" s="1"/>
      <c r="F2748" s="39">
        <f t="shared" si="170"/>
        <v>0</v>
      </c>
      <c r="G2748" s="497"/>
      <c r="H2748" s="497"/>
      <c r="J2748" s="42"/>
    </row>
    <row r="2749" spans="1:10" s="360" customFormat="1" x14ac:dyDescent="0.25">
      <c r="A2749" s="19" t="s">
        <v>21</v>
      </c>
      <c r="B2749" s="2">
        <v>44007</v>
      </c>
      <c r="C2749" s="1">
        <v>2</v>
      </c>
      <c r="D2749" s="39">
        <v>74</v>
      </c>
      <c r="E2749" s="1"/>
      <c r="F2749" s="39">
        <f t="shared" si="170"/>
        <v>0</v>
      </c>
      <c r="G2749" s="497"/>
      <c r="H2749" s="497"/>
      <c r="J2749" s="42"/>
    </row>
    <row r="2750" spans="1:10" s="360" customFormat="1" x14ac:dyDescent="0.25">
      <c r="A2750" s="19" t="s">
        <v>17</v>
      </c>
      <c r="B2750" s="2">
        <v>44007</v>
      </c>
      <c r="C2750" s="1">
        <v>1</v>
      </c>
      <c r="D2750" s="39">
        <v>148</v>
      </c>
      <c r="E2750" s="1"/>
      <c r="F2750" s="39">
        <f t="shared" si="170"/>
        <v>0</v>
      </c>
      <c r="G2750" s="497"/>
      <c r="H2750" s="497"/>
      <c r="J2750" s="42"/>
    </row>
    <row r="2751" spans="1:10" s="360" customFormat="1" x14ac:dyDescent="0.25">
      <c r="A2751" s="19" t="s">
        <v>23</v>
      </c>
      <c r="B2751" s="2">
        <v>44007</v>
      </c>
      <c r="C2751" s="1">
        <v>1</v>
      </c>
      <c r="D2751" s="39">
        <v>46</v>
      </c>
      <c r="E2751" s="1"/>
      <c r="F2751" s="39">
        <f t="shared" si="170"/>
        <v>0</v>
      </c>
      <c r="G2751" s="497"/>
      <c r="H2751" s="497"/>
      <c r="J2751" s="42"/>
    </row>
    <row r="2752" spans="1:10" s="360" customFormat="1" x14ac:dyDescent="0.25">
      <c r="A2752" s="19" t="s">
        <v>19</v>
      </c>
      <c r="B2752" s="2">
        <v>44007</v>
      </c>
      <c r="C2752" s="1">
        <v>20</v>
      </c>
      <c r="D2752" s="39">
        <v>375</v>
      </c>
      <c r="E2752" s="1">
        <v>2</v>
      </c>
      <c r="F2752" s="39">
        <f t="shared" si="170"/>
        <v>2</v>
      </c>
      <c r="G2752" s="497"/>
      <c r="H2752" s="497"/>
      <c r="J2752" s="42"/>
    </row>
    <row r="2753" spans="1:10" s="360" customFormat="1" x14ac:dyDescent="0.25">
      <c r="A2753" s="19" t="s">
        <v>18</v>
      </c>
      <c r="B2753" s="2">
        <v>44007</v>
      </c>
      <c r="C2753" s="1">
        <v>50</v>
      </c>
      <c r="D2753" s="39">
        <v>792</v>
      </c>
      <c r="E2753" s="1"/>
      <c r="F2753" s="39">
        <f t="shared" si="170"/>
        <v>1</v>
      </c>
      <c r="G2753" s="497"/>
      <c r="H2753" s="497"/>
      <c r="J2753" s="42"/>
    </row>
    <row r="2754" spans="1:10" s="360" customFormat="1" x14ac:dyDescent="0.25">
      <c r="A2754" s="19" t="s">
        <v>34</v>
      </c>
      <c r="B2754" s="2">
        <v>44007</v>
      </c>
      <c r="C2754" s="1">
        <v>0</v>
      </c>
      <c r="D2754" s="39">
        <v>25</v>
      </c>
      <c r="E2754" s="1"/>
      <c r="F2754" s="39">
        <f t="shared" si="170"/>
        <v>2</v>
      </c>
      <c r="G2754" s="497"/>
      <c r="H2754" s="497"/>
      <c r="J2754" s="42"/>
    </row>
    <row r="2755" spans="1:10" s="360" customFormat="1" x14ac:dyDescent="0.25">
      <c r="A2755" s="19" t="s">
        <v>35</v>
      </c>
      <c r="B2755" s="2">
        <v>44007</v>
      </c>
      <c r="C2755" s="1">
        <v>0</v>
      </c>
      <c r="D2755" s="39">
        <v>8</v>
      </c>
      <c r="E2755" s="1"/>
      <c r="F2755" s="39">
        <f>E2755+F2731</f>
        <v>0</v>
      </c>
      <c r="G2755" s="497"/>
      <c r="H2755" s="497"/>
      <c r="J2755" s="42"/>
    </row>
    <row r="2756" spans="1:10" s="360" customFormat="1" x14ac:dyDescent="0.25">
      <c r="A2756" s="19" t="s">
        <v>36</v>
      </c>
      <c r="B2756" s="2">
        <v>44007</v>
      </c>
      <c r="C2756" s="1">
        <v>0</v>
      </c>
      <c r="D2756" s="39">
        <v>11</v>
      </c>
      <c r="E2756" s="1"/>
      <c r="F2756" s="39">
        <f t="shared" si="170"/>
        <v>0</v>
      </c>
      <c r="G2756" s="497"/>
      <c r="H2756" s="497"/>
      <c r="J2756" s="42"/>
    </row>
    <row r="2757" spans="1:10" s="360" customFormat="1" x14ac:dyDescent="0.25">
      <c r="A2757" s="19" t="s">
        <v>37</v>
      </c>
      <c r="B2757" s="2">
        <v>44007</v>
      </c>
      <c r="C2757" s="1">
        <v>0</v>
      </c>
      <c r="D2757" s="39">
        <v>50</v>
      </c>
      <c r="E2757" s="1"/>
      <c r="F2757" s="39">
        <f t="shared" si="170"/>
        <v>0</v>
      </c>
      <c r="G2757" s="497"/>
      <c r="H2757" s="497"/>
      <c r="J2757" s="42"/>
    </row>
    <row r="2758" spans="1:10" s="360" customFormat="1" x14ac:dyDescent="0.25">
      <c r="A2758" s="19" t="s">
        <v>22</v>
      </c>
      <c r="B2758" s="2">
        <v>44007</v>
      </c>
      <c r="C2758" s="1">
        <v>21</v>
      </c>
      <c r="D2758" s="39">
        <v>394</v>
      </c>
      <c r="E2758" s="1"/>
      <c r="F2758" s="39">
        <f>E2758+F2734</f>
        <v>4</v>
      </c>
      <c r="G2758" s="497"/>
      <c r="H2758" s="497"/>
      <c r="J2758" s="42"/>
    </row>
    <row r="2759" spans="1:10" s="360" customFormat="1" x14ac:dyDescent="0.25">
      <c r="A2759" s="19" t="s">
        <v>38</v>
      </c>
      <c r="B2759" s="2">
        <v>44007</v>
      </c>
      <c r="C2759" s="1">
        <v>0</v>
      </c>
      <c r="D2759" s="39">
        <v>22</v>
      </c>
      <c r="E2759" s="1"/>
      <c r="F2759" s="39">
        <f>E2759+F2735</f>
        <v>0</v>
      </c>
      <c r="G2759" s="497"/>
      <c r="H2759" s="497"/>
      <c r="J2759" s="42"/>
    </row>
    <row r="2760" spans="1:10" s="360" customFormat="1" x14ac:dyDescent="0.25">
      <c r="A2760" s="19" t="s">
        <v>39</v>
      </c>
      <c r="B2760" s="2">
        <v>44007</v>
      </c>
      <c r="C2760" s="1">
        <v>0</v>
      </c>
      <c r="D2760" s="39">
        <v>149</v>
      </c>
      <c r="E2760" s="1"/>
      <c r="F2760" s="39">
        <f>E2760+F2736</f>
        <v>1</v>
      </c>
      <c r="G2760" s="497"/>
      <c r="H2760" s="497"/>
      <c r="J2760" s="42"/>
    </row>
    <row r="2761" spans="1:10" s="360" customFormat="1" x14ac:dyDescent="0.25">
      <c r="A2761" s="19" t="s">
        <v>40</v>
      </c>
      <c r="B2761" s="2">
        <v>44007</v>
      </c>
      <c r="C2761" s="1">
        <v>1</v>
      </c>
      <c r="D2761" s="39">
        <v>71</v>
      </c>
      <c r="E2761" s="1"/>
      <c r="F2761" s="39">
        <f>E2761+F2737</f>
        <v>4</v>
      </c>
      <c r="G2761" s="497"/>
      <c r="H2761" s="497"/>
      <c r="J2761" s="42"/>
    </row>
    <row r="2762" spans="1:10" s="360" customFormat="1" x14ac:dyDescent="0.25">
      <c r="A2762" s="361" t="s">
        <v>16</v>
      </c>
      <c r="B2762" s="2">
        <v>44008</v>
      </c>
      <c r="C2762" s="1">
        <v>1692</v>
      </c>
      <c r="D2762" s="39">
        <v>26335</v>
      </c>
      <c r="E2762" s="1">
        <v>21</v>
      </c>
      <c r="F2762" s="39">
        <f>E2762+F2738</f>
        <v>521</v>
      </c>
      <c r="G2762" s="497"/>
      <c r="H2762" s="497"/>
      <c r="J2762" s="42"/>
    </row>
    <row r="2763" spans="1:10" s="360" customFormat="1" x14ac:dyDescent="0.25">
      <c r="A2763" s="19" t="s">
        <v>28</v>
      </c>
      <c r="B2763" s="2">
        <v>44008</v>
      </c>
      <c r="C2763" s="1">
        <v>0</v>
      </c>
      <c r="D2763" s="39">
        <v>0</v>
      </c>
      <c r="E2763" s="1"/>
      <c r="F2763" s="39">
        <f t="shared" ref="F2763:F2769" si="171">E2763+F2739</f>
        <v>0</v>
      </c>
      <c r="G2763" s="497"/>
      <c r="H2763" s="497"/>
      <c r="J2763" s="42"/>
    </row>
    <row r="2764" spans="1:10" s="360" customFormat="1" x14ac:dyDescent="0.25">
      <c r="A2764" s="19" t="s">
        <v>15</v>
      </c>
      <c r="B2764" s="2">
        <v>44008</v>
      </c>
      <c r="C2764" s="1">
        <v>76</v>
      </c>
      <c r="D2764" s="39">
        <v>1831</v>
      </c>
      <c r="E2764" s="1">
        <v>2</v>
      </c>
      <c r="F2764" s="39">
        <f t="shared" si="171"/>
        <v>91</v>
      </c>
      <c r="G2764" s="497"/>
      <c r="H2764" s="497"/>
      <c r="J2764" s="42"/>
    </row>
    <row r="2765" spans="1:10" s="360" customFormat="1" x14ac:dyDescent="0.25">
      <c r="A2765" s="19" t="s">
        <v>29</v>
      </c>
      <c r="B2765" s="2">
        <v>44008</v>
      </c>
      <c r="C2765" s="1">
        <v>10</v>
      </c>
      <c r="D2765" s="39">
        <v>114</v>
      </c>
      <c r="E2765" s="1"/>
      <c r="F2765" s="39">
        <f t="shared" si="171"/>
        <v>2</v>
      </c>
      <c r="G2765" s="497"/>
      <c r="H2765" s="497"/>
      <c r="J2765" s="42"/>
    </row>
    <row r="2766" spans="1:10" s="360" customFormat="1" x14ac:dyDescent="0.25">
      <c r="A2766" s="19" t="s">
        <v>43</v>
      </c>
      <c r="B2766" s="2">
        <v>44008</v>
      </c>
      <c r="C2766" s="1">
        <v>967</v>
      </c>
      <c r="D2766" s="39">
        <v>23706</v>
      </c>
      <c r="E2766" s="1">
        <v>11</v>
      </c>
      <c r="F2766" s="39">
        <f t="shared" si="171"/>
        <v>448</v>
      </c>
      <c r="G2766" s="497"/>
      <c r="H2766" s="497"/>
      <c r="J2766" s="42"/>
    </row>
    <row r="2767" spans="1:10" s="360" customFormat="1" x14ac:dyDescent="0.25">
      <c r="A2767" s="19" t="s">
        <v>20</v>
      </c>
      <c r="B2767" s="2">
        <v>44008</v>
      </c>
      <c r="C2767" s="1">
        <v>8</v>
      </c>
      <c r="D2767" s="39">
        <v>618</v>
      </c>
      <c r="E2767" s="1"/>
      <c r="F2767" s="39">
        <f t="shared" si="171"/>
        <v>33</v>
      </c>
      <c r="G2767" s="497"/>
      <c r="H2767" s="497"/>
      <c r="J2767" s="42"/>
    </row>
    <row r="2768" spans="1:10" s="360" customFormat="1" x14ac:dyDescent="0.25">
      <c r="A2768" s="19" t="s">
        <v>30</v>
      </c>
      <c r="B2768" s="2">
        <v>44008</v>
      </c>
      <c r="C2768" s="1">
        <v>0</v>
      </c>
      <c r="D2768" s="39">
        <v>115</v>
      </c>
      <c r="E2768" s="1"/>
      <c r="F2768" s="39">
        <f t="shared" si="171"/>
        <v>0</v>
      </c>
      <c r="G2768" s="497"/>
      <c r="H2768" s="497"/>
      <c r="J2768" s="42"/>
    </row>
    <row r="2769" spans="1:10" x14ac:dyDescent="0.25">
      <c r="A2769" s="19" t="s">
        <v>31</v>
      </c>
      <c r="B2769" s="2">
        <v>44008</v>
      </c>
      <c r="C2769" s="1">
        <v>19</v>
      </c>
      <c r="D2769" s="39">
        <v>237</v>
      </c>
      <c r="F2769" s="39">
        <f t="shared" si="171"/>
        <v>0</v>
      </c>
    </row>
    <row r="2770" spans="1:10" s="360" customFormat="1" x14ac:dyDescent="0.25">
      <c r="A2770" s="19" t="s">
        <v>41</v>
      </c>
      <c r="B2770" s="2">
        <v>44008</v>
      </c>
      <c r="C2770" s="1">
        <v>25</v>
      </c>
      <c r="D2770" s="39">
        <v>70</v>
      </c>
      <c r="E2770" s="1"/>
      <c r="F2770" s="39">
        <f t="shared" ref="F2770:F2781" si="172">E2770+F2745</f>
        <v>0</v>
      </c>
      <c r="G2770" s="497"/>
      <c r="H2770" s="497"/>
      <c r="J2770" s="42"/>
    </row>
    <row r="2771" spans="1:10" s="360" customFormat="1" x14ac:dyDescent="0.25">
      <c r="A2771" s="19" t="s">
        <v>32</v>
      </c>
      <c r="B2771" s="2">
        <v>44008</v>
      </c>
      <c r="C2771" s="1">
        <v>27</v>
      </c>
      <c r="D2771" s="39">
        <v>71</v>
      </c>
      <c r="E2771" s="1"/>
      <c r="F2771" s="39">
        <f t="shared" si="172"/>
        <v>0</v>
      </c>
      <c r="G2771" s="497"/>
      <c r="H2771" s="497"/>
      <c r="J2771" s="42"/>
    </row>
    <row r="2772" spans="1:10" s="360" customFormat="1" x14ac:dyDescent="0.25">
      <c r="A2772" s="19" t="s">
        <v>33</v>
      </c>
      <c r="B2772" s="2">
        <v>44008</v>
      </c>
      <c r="C2772" s="1">
        <v>0</v>
      </c>
      <c r="D2772" s="39">
        <v>7</v>
      </c>
      <c r="E2772" s="1"/>
      <c r="F2772" s="39">
        <f t="shared" si="172"/>
        <v>0</v>
      </c>
      <c r="G2772" s="497"/>
      <c r="H2772" s="497"/>
      <c r="J2772" s="42"/>
    </row>
    <row r="2773" spans="1:10" s="360" customFormat="1" x14ac:dyDescent="0.25">
      <c r="A2773" s="19" t="s">
        <v>21</v>
      </c>
      <c r="B2773" s="2">
        <v>44008</v>
      </c>
      <c r="C2773" s="1">
        <v>1</v>
      </c>
      <c r="D2773" s="39">
        <v>75</v>
      </c>
      <c r="E2773" s="1"/>
      <c r="F2773" s="39">
        <f t="shared" si="172"/>
        <v>0</v>
      </c>
      <c r="G2773" s="497"/>
      <c r="H2773" s="497"/>
      <c r="J2773" s="42"/>
    </row>
    <row r="2774" spans="1:10" s="360" customFormat="1" x14ac:dyDescent="0.25">
      <c r="A2774" s="19" t="s">
        <v>17</v>
      </c>
      <c r="B2774" s="2">
        <v>44008</v>
      </c>
      <c r="C2774" s="1">
        <v>3</v>
      </c>
      <c r="D2774" s="39">
        <v>151</v>
      </c>
      <c r="E2774" s="1"/>
      <c r="F2774" s="39">
        <f t="shared" si="172"/>
        <v>0</v>
      </c>
      <c r="G2774" s="497"/>
      <c r="H2774" s="497"/>
      <c r="J2774" s="42"/>
    </row>
    <row r="2775" spans="1:10" s="360" customFormat="1" x14ac:dyDescent="0.25">
      <c r="A2775" s="19" t="s">
        <v>23</v>
      </c>
      <c r="B2775" s="2">
        <v>44008</v>
      </c>
      <c r="C2775" s="1">
        <v>0</v>
      </c>
      <c r="D2775" s="39">
        <v>46</v>
      </c>
      <c r="E2775" s="1"/>
      <c r="F2775" s="39">
        <f t="shared" si="172"/>
        <v>0</v>
      </c>
      <c r="G2775" s="497"/>
      <c r="H2775" s="497"/>
      <c r="J2775" s="42"/>
    </row>
    <row r="2776" spans="1:10" s="360" customFormat="1" x14ac:dyDescent="0.25">
      <c r="A2776" s="19" t="s">
        <v>19</v>
      </c>
      <c r="B2776" s="2">
        <v>44008</v>
      </c>
      <c r="C2776" s="1">
        <v>31</v>
      </c>
      <c r="D2776" s="39">
        <v>406</v>
      </c>
      <c r="E2776" s="1"/>
      <c r="F2776" s="39">
        <f t="shared" si="172"/>
        <v>0</v>
      </c>
      <c r="G2776" s="497"/>
      <c r="H2776" s="497"/>
      <c r="J2776" s="42"/>
    </row>
    <row r="2777" spans="1:10" s="360" customFormat="1" x14ac:dyDescent="0.25">
      <c r="A2777" s="19" t="s">
        <v>18</v>
      </c>
      <c r="B2777" s="2">
        <v>44008</v>
      </c>
      <c r="C2777" s="1">
        <v>13</v>
      </c>
      <c r="D2777" s="39">
        <v>805</v>
      </c>
      <c r="E2777" s="1"/>
      <c r="F2777" s="39">
        <f t="shared" si="172"/>
        <v>2</v>
      </c>
      <c r="G2777" s="497"/>
      <c r="H2777" s="497"/>
      <c r="J2777" s="42"/>
    </row>
    <row r="2778" spans="1:10" s="360" customFormat="1" x14ac:dyDescent="0.25">
      <c r="A2778" s="19" t="s">
        <v>34</v>
      </c>
      <c r="B2778" s="2">
        <v>44008</v>
      </c>
      <c r="C2778" s="1">
        <v>0</v>
      </c>
      <c r="D2778" s="39">
        <v>25</v>
      </c>
      <c r="E2778" s="1"/>
      <c r="F2778" s="39">
        <f t="shared" si="172"/>
        <v>1</v>
      </c>
      <c r="G2778" s="497"/>
      <c r="H2778" s="497"/>
      <c r="J2778" s="42"/>
    </row>
    <row r="2779" spans="1:10" s="360" customFormat="1" x14ac:dyDescent="0.25">
      <c r="A2779" s="19" t="s">
        <v>35</v>
      </c>
      <c r="B2779" s="2">
        <v>44008</v>
      </c>
      <c r="C2779" s="1">
        <v>0</v>
      </c>
      <c r="D2779" s="39">
        <v>8</v>
      </c>
      <c r="E2779" s="1"/>
      <c r="F2779" s="39">
        <f>E2779+F2755</f>
        <v>0</v>
      </c>
      <c r="G2779" s="497"/>
      <c r="H2779" s="497"/>
      <c r="J2779" s="42"/>
    </row>
    <row r="2780" spans="1:10" s="360" customFormat="1" x14ac:dyDescent="0.25">
      <c r="A2780" s="19" t="s">
        <v>36</v>
      </c>
      <c r="B2780" s="2">
        <v>44008</v>
      </c>
      <c r="C2780" s="1">
        <v>0</v>
      </c>
      <c r="D2780" s="39">
        <v>11</v>
      </c>
      <c r="E2780" s="1"/>
      <c r="F2780" s="39">
        <f t="shared" si="172"/>
        <v>0</v>
      </c>
      <c r="G2780" s="497"/>
      <c r="H2780" s="497"/>
      <c r="J2780" s="42"/>
    </row>
    <row r="2781" spans="1:10" s="360" customFormat="1" x14ac:dyDescent="0.25">
      <c r="A2781" s="19" t="s">
        <v>37</v>
      </c>
      <c r="B2781" s="2">
        <v>44008</v>
      </c>
      <c r="C2781" s="1">
        <v>0</v>
      </c>
      <c r="D2781" s="39">
        <v>50</v>
      </c>
      <c r="E2781" s="1"/>
      <c r="F2781" s="39">
        <f t="shared" si="172"/>
        <v>0</v>
      </c>
      <c r="G2781" s="497"/>
      <c r="H2781" s="497"/>
      <c r="J2781" s="42"/>
    </row>
    <row r="2782" spans="1:10" s="360" customFormat="1" x14ac:dyDescent="0.25">
      <c r="A2782" s="19" t="s">
        <v>22</v>
      </c>
      <c r="B2782" s="2">
        <v>44008</v>
      </c>
      <c r="C2782" s="1">
        <v>12</v>
      </c>
      <c r="D2782" s="39">
        <v>406</v>
      </c>
      <c r="E2782" s="1"/>
      <c r="F2782" s="39">
        <f>E2782+F2758</f>
        <v>4</v>
      </c>
      <c r="G2782" s="497"/>
      <c r="H2782" s="497"/>
      <c r="J2782" s="42"/>
    </row>
    <row r="2783" spans="1:10" s="360" customFormat="1" x14ac:dyDescent="0.25">
      <c r="A2783" s="19" t="s">
        <v>38</v>
      </c>
      <c r="B2783" s="2">
        <v>44008</v>
      </c>
      <c r="C2783" s="1">
        <v>0</v>
      </c>
      <c r="D2783" s="39">
        <v>22</v>
      </c>
      <c r="E2783" s="1"/>
      <c r="F2783" s="39">
        <f>E2783+F2759</f>
        <v>0</v>
      </c>
      <c r="G2783" s="497"/>
      <c r="H2783" s="497"/>
      <c r="J2783" s="42"/>
    </row>
    <row r="2784" spans="1:10" s="360" customFormat="1" x14ac:dyDescent="0.25">
      <c r="A2784" s="19" t="s">
        <v>39</v>
      </c>
      <c r="B2784" s="2">
        <v>44008</v>
      </c>
      <c r="C2784" s="1">
        <v>0</v>
      </c>
      <c r="D2784" s="39">
        <v>149</v>
      </c>
      <c r="E2784" s="1"/>
      <c r="F2784" s="39">
        <f>E2784+F2760</f>
        <v>1</v>
      </c>
      <c r="G2784" s="497"/>
      <c r="H2784" s="497"/>
      <c r="J2784" s="42"/>
    </row>
    <row r="2785" spans="1:10" s="360" customFormat="1" x14ac:dyDescent="0.25">
      <c r="A2785" s="19" t="s">
        <v>40</v>
      </c>
      <c r="B2785" s="2">
        <v>44008</v>
      </c>
      <c r="C2785" s="1">
        <v>1</v>
      </c>
      <c r="D2785" s="39">
        <v>72</v>
      </c>
      <c r="E2785" s="1"/>
      <c r="F2785" s="39">
        <f>E2785+F2761</f>
        <v>4</v>
      </c>
      <c r="G2785" s="497"/>
      <c r="H2785" s="497"/>
      <c r="J2785" s="42"/>
    </row>
    <row r="2786" spans="1:10" s="360" customFormat="1" x14ac:dyDescent="0.25">
      <c r="A2786" s="361" t="s">
        <v>16</v>
      </c>
      <c r="B2786" s="2">
        <v>44009</v>
      </c>
      <c r="C2786" s="1">
        <v>1423</v>
      </c>
      <c r="D2786" s="39">
        <v>27758</v>
      </c>
      <c r="E2786" s="1">
        <v>13</v>
      </c>
      <c r="F2786" s="39">
        <f>E2786+F2762</f>
        <v>534</v>
      </c>
      <c r="G2786" s="497"/>
      <c r="H2786" s="497"/>
      <c r="J2786" s="42"/>
    </row>
    <row r="2787" spans="1:10" s="360" customFormat="1" x14ac:dyDescent="0.25">
      <c r="A2787" s="19" t="s">
        <v>28</v>
      </c>
      <c r="B2787" s="2">
        <v>44009</v>
      </c>
      <c r="C2787" s="1">
        <v>0</v>
      </c>
      <c r="D2787" s="39">
        <v>0</v>
      </c>
      <c r="E2787" s="1"/>
      <c r="F2787" s="39">
        <f t="shared" ref="F2787:F2793" si="173">E2787+F2763</f>
        <v>0</v>
      </c>
      <c r="G2787" s="497"/>
      <c r="H2787" s="497"/>
      <c r="J2787" s="42"/>
    </row>
    <row r="2788" spans="1:10" s="360" customFormat="1" x14ac:dyDescent="0.25">
      <c r="A2788" s="19" t="s">
        <v>15</v>
      </c>
      <c r="B2788" s="2">
        <v>44009</v>
      </c>
      <c r="C2788" s="1">
        <v>52</v>
      </c>
      <c r="D2788" s="39">
        <v>1883</v>
      </c>
      <c r="E2788" s="1"/>
      <c r="F2788" s="39">
        <f t="shared" si="173"/>
        <v>91</v>
      </c>
      <c r="G2788" s="497"/>
      <c r="H2788" s="497"/>
      <c r="J2788" s="42"/>
    </row>
    <row r="2789" spans="1:10" s="360" customFormat="1" x14ac:dyDescent="0.25">
      <c r="A2789" s="19" t="s">
        <v>29</v>
      </c>
      <c r="B2789" s="2">
        <v>44009</v>
      </c>
      <c r="C2789" s="1">
        <v>0</v>
      </c>
      <c r="D2789" s="39">
        <v>114</v>
      </c>
      <c r="E2789" s="1"/>
      <c r="F2789" s="39">
        <f t="shared" si="173"/>
        <v>2</v>
      </c>
      <c r="G2789" s="497"/>
      <c r="H2789" s="497"/>
      <c r="J2789" s="42"/>
    </row>
    <row r="2790" spans="1:10" s="360" customFormat="1" x14ac:dyDescent="0.25">
      <c r="A2790" s="19" t="s">
        <v>43</v>
      </c>
      <c r="B2790" s="2">
        <v>44009</v>
      </c>
      <c r="C2790" s="1">
        <v>849</v>
      </c>
      <c r="D2790" s="39">
        <v>24555</v>
      </c>
      <c r="E2790" s="1">
        <v>10</v>
      </c>
      <c r="F2790" s="39">
        <f t="shared" si="173"/>
        <v>458</v>
      </c>
      <c r="G2790" s="497"/>
      <c r="H2790" s="497"/>
      <c r="J2790" s="42"/>
    </row>
    <row r="2791" spans="1:10" s="360" customFormat="1" x14ac:dyDescent="0.25">
      <c r="A2791" s="19" t="s">
        <v>20</v>
      </c>
      <c r="B2791" s="2">
        <v>44009</v>
      </c>
      <c r="C2791" s="1">
        <v>15</v>
      </c>
      <c r="D2791" s="39">
        <v>633</v>
      </c>
      <c r="E2791" s="1"/>
      <c r="F2791" s="39">
        <f t="shared" si="173"/>
        <v>33</v>
      </c>
      <c r="G2791" s="497"/>
      <c r="H2791" s="497"/>
      <c r="J2791" s="42"/>
    </row>
    <row r="2792" spans="1:10" s="360" customFormat="1" x14ac:dyDescent="0.25">
      <c r="A2792" s="19" t="s">
        <v>30</v>
      </c>
      <c r="B2792" s="2">
        <v>44009</v>
      </c>
      <c r="C2792" s="1">
        <v>1</v>
      </c>
      <c r="D2792" s="39">
        <v>116</v>
      </c>
      <c r="E2792" s="1"/>
      <c r="F2792" s="39">
        <f t="shared" si="173"/>
        <v>0</v>
      </c>
      <c r="G2792" s="497"/>
      <c r="H2792" s="497"/>
      <c r="J2792" s="42"/>
    </row>
    <row r="2793" spans="1:10" x14ac:dyDescent="0.25">
      <c r="A2793" s="19" t="s">
        <v>31</v>
      </c>
      <c r="B2793" s="2">
        <v>44009</v>
      </c>
      <c r="C2793" s="1">
        <v>12</v>
      </c>
      <c r="D2793" s="39">
        <v>249</v>
      </c>
      <c r="F2793" s="39">
        <f t="shared" si="173"/>
        <v>0</v>
      </c>
    </row>
    <row r="2794" spans="1:10" s="360" customFormat="1" x14ac:dyDescent="0.25">
      <c r="A2794" s="19" t="s">
        <v>41</v>
      </c>
      <c r="B2794" s="2">
        <v>44009</v>
      </c>
      <c r="C2794" s="1">
        <v>1</v>
      </c>
      <c r="D2794" s="39">
        <v>71</v>
      </c>
      <c r="E2794" s="1"/>
      <c r="F2794" s="39">
        <f t="shared" ref="F2794:F2805" si="174">E2794+F2769</f>
        <v>0</v>
      </c>
      <c r="G2794" s="497"/>
      <c r="H2794" s="497"/>
      <c r="J2794" s="42"/>
    </row>
    <row r="2795" spans="1:10" s="360" customFormat="1" x14ac:dyDescent="0.25">
      <c r="A2795" s="19" t="s">
        <v>32</v>
      </c>
      <c r="B2795" s="2">
        <v>44009</v>
      </c>
      <c r="C2795" s="1">
        <v>3</v>
      </c>
      <c r="D2795" s="39">
        <v>74</v>
      </c>
      <c r="E2795" s="1"/>
      <c r="F2795" s="39">
        <f t="shared" si="174"/>
        <v>0</v>
      </c>
      <c r="G2795" s="497"/>
      <c r="H2795" s="497"/>
      <c r="J2795" s="42"/>
    </row>
    <row r="2796" spans="1:10" s="360" customFormat="1" x14ac:dyDescent="0.25">
      <c r="A2796" s="19" t="s">
        <v>33</v>
      </c>
      <c r="B2796" s="2">
        <v>44009</v>
      </c>
      <c r="C2796" s="1">
        <v>0</v>
      </c>
      <c r="D2796" s="39">
        <v>7</v>
      </c>
      <c r="E2796" s="1"/>
      <c r="F2796" s="39">
        <f t="shared" si="174"/>
        <v>0</v>
      </c>
      <c r="G2796" s="497"/>
      <c r="H2796" s="497"/>
      <c r="J2796" s="42"/>
    </row>
    <row r="2797" spans="1:10" s="360" customFormat="1" x14ac:dyDescent="0.25">
      <c r="A2797" s="19" t="s">
        <v>21</v>
      </c>
      <c r="B2797" s="2">
        <v>44009</v>
      </c>
      <c r="C2797" s="1">
        <v>1</v>
      </c>
      <c r="D2797" s="39">
        <v>76</v>
      </c>
      <c r="E2797" s="1"/>
      <c r="F2797" s="39">
        <f t="shared" si="174"/>
        <v>0</v>
      </c>
      <c r="G2797" s="497"/>
      <c r="H2797" s="497"/>
      <c r="J2797" s="42"/>
    </row>
    <row r="2798" spans="1:10" s="360" customFormat="1" x14ac:dyDescent="0.25">
      <c r="A2798" s="19" t="s">
        <v>17</v>
      </c>
      <c r="B2798" s="2">
        <v>44009</v>
      </c>
      <c r="C2798" s="1">
        <v>6</v>
      </c>
      <c r="D2798" s="39">
        <v>157</v>
      </c>
      <c r="E2798" s="1"/>
      <c r="F2798" s="39">
        <f t="shared" si="174"/>
        <v>0</v>
      </c>
      <c r="G2798" s="497"/>
      <c r="H2798" s="497"/>
      <c r="J2798" s="42"/>
    </row>
    <row r="2799" spans="1:10" s="360" customFormat="1" x14ac:dyDescent="0.25">
      <c r="A2799" s="19" t="s">
        <v>23</v>
      </c>
      <c r="B2799" s="2">
        <v>44009</v>
      </c>
      <c r="C2799" s="1">
        <v>0</v>
      </c>
      <c r="D2799" s="39">
        <v>46</v>
      </c>
      <c r="E2799" s="1"/>
      <c r="F2799" s="39">
        <f t="shared" si="174"/>
        <v>0</v>
      </c>
      <c r="G2799" s="497"/>
      <c r="H2799" s="497"/>
      <c r="J2799" s="42"/>
    </row>
    <row r="2800" spans="1:10" s="360" customFormat="1" x14ac:dyDescent="0.25">
      <c r="A2800" s="19" t="s">
        <v>19</v>
      </c>
      <c r="B2800" s="2">
        <v>44009</v>
      </c>
      <c r="C2800" s="1">
        <v>16</v>
      </c>
      <c r="D2800" s="39">
        <v>422</v>
      </c>
      <c r="E2800" s="1"/>
      <c r="F2800" s="39">
        <f t="shared" si="174"/>
        <v>0</v>
      </c>
      <c r="G2800" s="497"/>
      <c r="H2800" s="497"/>
      <c r="J2800" s="42"/>
    </row>
    <row r="2801" spans="1:10" s="360" customFormat="1" x14ac:dyDescent="0.25">
      <c r="A2801" s="19" t="s">
        <v>18</v>
      </c>
      <c r="B2801" s="2">
        <v>44009</v>
      </c>
      <c r="C2801" s="1">
        <v>14</v>
      </c>
      <c r="D2801" s="39">
        <v>819</v>
      </c>
      <c r="E2801" s="1"/>
      <c r="F2801" s="39">
        <f t="shared" si="174"/>
        <v>0</v>
      </c>
      <c r="G2801" s="497"/>
      <c r="H2801" s="497"/>
      <c r="J2801" s="42"/>
    </row>
    <row r="2802" spans="1:10" s="360" customFormat="1" x14ac:dyDescent="0.25">
      <c r="A2802" s="19" t="s">
        <v>34</v>
      </c>
      <c r="B2802" s="2">
        <v>44009</v>
      </c>
      <c r="C2802" s="1">
        <v>2</v>
      </c>
      <c r="D2802" s="39">
        <v>27</v>
      </c>
      <c r="E2802" s="1"/>
      <c r="F2802" s="39">
        <f t="shared" si="174"/>
        <v>2</v>
      </c>
      <c r="G2802" s="497"/>
      <c r="H2802" s="497"/>
      <c r="J2802" s="42"/>
    </row>
    <row r="2803" spans="1:10" s="360" customFormat="1" x14ac:dyDescent="0.25">
      <c r="A2803" s="19" t="s">
        <v>35</v>
      </c>
      <c r="B2803" s="2">
        <v>44009</v>
      </c>
      <c r="C2803" s="1">
        <v>0</v>
      </c>
      <c r="D2803" s="39">
        <v>8</v>
      </c>
      <c r="E2803" s="1"/>
      <c r="F2803" s="39">
        <f>E2803+F2779</f>
        <v>0</v>
      </c>
      <c r="G2803" s="497"/>
      <c r="H2803" s="497"/>
      <c r="J2803" s="42"/>
    </row>
    <row r="2804" spans="1:10" s="360" customFormat="1" x14ac:dyDescent="0.25">
      <c r="A2804" s="19" t="s">
        <v>36</v>
      </c>
      <c r="B2804" s="2">
        <v>44009</v>
      </c>
      <c r="C2804" s="1">
        <v>0</v>
      </c>
      <c r="D2804" s="39">
        <v>11</v>
      </c>
      <c r="E2804" s="1"/>
      <c r="F2804" s="39">
        <f t="shared" si="174"/>
        <v>0</v>
      </c>
      <c r="G2804" s="497"/>
      <c r="H2804" s="497"/>
      <c r="J2804" s="42"/>
    </row>
    <row r="2805" spans="1:10" s="360" customFormat="1" x14ac:dyDescent="0.25">
      <c r="A2805" s="19" t="s">
        <v>37</v>
      </c>
      <c r="B2805" s="2">
        <v>44009</v>
      </c>
      <c r="C2805" s="1">
        <v>0</v>
      </c>
      <c r="D2805" s="39">
        <v>50</v>
      </c>
      <c r="E2805" s="1"/>
      <c r="F2805" s="39">
        <f t="shared" si="174"/>
        <v>0</v>
      </c>
      <c r="G2805" s="497"/>
      <c r="H2805" s="497"/>
      <c r="J2805" s="42"/>
    </row>
    <row r="2806" spans="1:10" s="360" customFormat="1" x14ac:dyDescent="0.25">
      <c r="A2806" s="19" t="s">
        <v>22</v>
      </c>
      <c r="B2806" s="2">
        <v>44009</v>
      </c>
      <c r="C2806" s="1">
        <v>5</v>
      </c>
      <c r="D2806" s="39">
        <v>411</v>
      </c>
      <c r="E2806" s="1"/>
      <c r="F2806" s="39">
        <f>E2806+F2782</f>
        <v>4</v>
      </c>
      <c r="G2806" s="497"/>
      <c r="H2806" s="497"/>
      <c r="J2806" s="42"/>
    </row>
    <row r="2807" spans="1:10" s="360" customFormat="1" x14ac:dyDescent="0.25">
      <c r="A2807" s="19" t="s">
        <v>38</v>
      </c>
      <c r="B2807" s="2">
        <v>44009</v>
      </c>
      <c r="C2807" s="1">
        <v>0</v>
      </c>
      <c r="D2807" s="39">
        <v>22</v>
      </c>
      <c r="E2807" s="1"/>
      <c r="F2807" s="39">
        <f>E2807+F2783</f>
        <v>0</v>
      </c>
      <c r="G2807" s="497"/>
      <c r="H2807" s="497"/>
      <c r="J2807" s="42"/>
    </row>
    <row r="2808" spans="1:10" s="360" customFormat="1" x14ac:dyDescent="0.25">
      <c r="A2808" s="19" t="s">
        <v>39</v>
      </c>
      <c r="B2808" s="2">
        <v>44009</v>
      </c>
      <c r="C2808" s="1">
        <v>0</v>
      </c>
      <c r="D2808" s="39">
        <v>149</v>
      </c>
      <c r="E2808" s="1"/>
      <c r="F2808" s="39">
        <f>E2808+F2784</f>
        <v>1</v>
      </c>
      <c r="G2808" s="497"/>
      <c r="H2808" s="497"/>
      <c r="J2808" s="42"/>
    </row>
    <row r="2809" spans="1:10" s="360" customFormat="1" x14ac:dyDescent="0.25">
      <c r="A2809" s="19" t="s">
        <v>40</v>
      </c>
      <c r="B2809" s="2">
        <v>44009</v>
      </c>
      <c r="C2809" s="1">
        <v>1</v>
      </c>
      <c r="D2809" s="39">
        <v>73</v>
      </c>
      <c r="E2809" s="1"/>
      <c r="F2809" s="39">
        <f>E2809+F2785</f>
        <v>4</v>
      </c>
      <c r="G2809" s="497"/>
      <c r="H2809" s="497"/>
      <c r="J2809" s="42"/>
    </row>
    <row r="2810" spans="1:10" s="360" customFormat="1" x14ac:dyDescent="0.25">
      <c r="A2810" s="361" t="s">
        <v>16</v>
      </c>
      <c r="B2810" s="2">
        <v>44010</v>
      </c>
      <c r="C2810" s="1">
        <v>1225</v>
      </c>
      <c r="D2810" s="39">
        <v>28983</v>
      </c>
      <c r="E2810" s="1">
        <v>11</v>
      </c>
      <c r="F2810" s="39">
        <f>E2810+F2786</f>
        <v>545</v>
      </c>
      <c r="G2810" s="497"/>
      <c r="H2810" s="497"/>
      <c r="J2810" s="42"/>
    </row>
    <row r="2811" spans="1:10" s="360" customFormat="1" x14ac:dyDescent="0.25">
      <c r="A2811" s="19" t="s">
        <v>28</v>
      </c>
      <c r="B2811" s="2">
        <v>44010</v>
      </c>
      <c r="C2811" s="1">
        <v>0</v>
      </c>
      <c r="D2811" s="39">
        <v>0</v>
      </c>
      <c r="E2811" s="1"/>
      <c r="F2811" s="39">
        <f t="shared" ref="F2811:F2817" si="175">E2811+F2787</f>
        <v>0</v>
      </c>
      <c r="G2811" s="497"/>
      <c r="H2811" s="497"/>
      <c r="J2811" s="42"/>
    </row>
    <row r="2812" spans="1:10" s="360" customFormat="1" x14ac:dyDescent="0.25">
      <c r="A2812" s="19" t="s">
        <v>15</v>
      </c>
      <c r="B2812" s="2">
        <v>44010</v>
      </c>
      <c r="C2812" s="1">
        <v>47</v>
      </c>
      <c r="D2812" s="39">
        <v>1930</v>
      </c>
      <c r="E2812" s="1"/>
      <c r="F2812" s="39">
        <f t="shared" si="175"/>
        <v>91</v>
      </c>
      <c r="G2812" s="497"/>
      <c r="H2812" s="497"/>
      <c r="J2812" s="42"/>
    </row>
    <row r="2813" spans="1:10" s="360" customFormat="1" x14ac:dyDescent="0.25">
      <c r="A2813" s="19" t="s">
        <v>29</v>
      </c>
      <c r="B2813" s="2">
        <v>44010</v>
      </c>
      <c r="C2813" s="1">
        <v>5</v>
      </c>
      <c r="D2813" s="39">
        <v>119</v>
      </c>
      <c r="E2813" s="1"/>
      <c r="F2813" s="39">
        <f t="shared" si="175"/>
        <v>2</v>
      </c>
      <c r="G2813" s="497"/>
      <c r="H2813" s="497"/>
      <c r="J2813" s="42"/>
    </row>
    <row r="2814" spans="1:10" s="360" customFormat="1" x14ac:dyDescent="0.25">
      <c r="A2814" s="19" t="s">
        <v>43</v>
      </c>
      <c r="B2814" s="2">
        <v>44010</v>
      </c>
      <c r="C2814" s="1">
        <v>852</v>
      </c>
      <c r="D2814" s="39">
        <v>25407</v>
      </c>
      <c r="E2814" s="1">
        <v>12</v>
      </c>
      <c r="F2814" s="39">
        <f>E2814+F2790</f>
        <v>470</v>
      </c>
      <c r="G2814" s="497"/>
      <c r="H2814" s="497"/>
      <c r="J2814" s="42"/>
    </row>
    <row r="2815" spans="1:10" s="360" customFormat="1" x14ac:dyDescent="0.25">
      <c r="A2815" s="19" t="s">
        <v>20</v>
      </c>
      <c r="B2815" s="2">
        <v>44010</v>
      </c>
      <c r="C2815" s="1">
        <v>5</v>
      </c>
      <c r="D2815" s="39">
        <v>638</v>
      </c>
      <c r="E2815" s="1"/>
      <c r="F2815" s="39">
        <f t="shared" si="175"/>
        <v>33</v>
      </c>
      <c r="G2815" s="497"/>
      <c r="H2815" s="497"/>
      <c r="J2815" s="42"/>
    </row>
    <row r="2816" spans="1:10" s="360" customFormat="1" x14ac:dyDescent="0.25">
      <c r="A2816" s="19" t="s">
        <v>30</v>
      </c>
      <c r="B2816" s="2">
        <v>44010</v>
      </c>
      <c r="C2816" s="1">
        <v>0</v>
      </c>
      <c r="D2816" s="39">
        <v>116</v>
      </c>
      <c r="E2816" s="1"/>
      <c r="F2816" s="39">
        <f t="shared" si="175"/>
        <v>0</v>
      </c>
      <c r="G2816" s="497"/>
      <c r="H2816" s="497"/>
      <c r="J2816" s="42"/>
    </row>
    <row r="2817" spans="1:10" x14ac:dyDescent="0.25">
      <c r="A2817" s="19" t="s">
        <v>31</v>
      </c>
      <c r="B2817" s="2">
        <v>44010</v>
      </c>
      <c r="C2817" s="1">
        <v>24</v>
      </c>
      <c r="D2817" s="39">
        <v>273</v>
      </c>
      <c r="F2817" s="39">
        <f t="shared" si="175"/>
        <v>0</v>
      </c>
    </row>
    <row r="2818" spans="1:10" s="360" customFormat="1" x14ac:dyDescent="0.25">
      <c r="A2818" s="19" t="s">
        <v>41</v>
      </c>
      <c r="B2818" s="2">
        <v>44010</v>
      </c>
      <c r="C2818" s="1">
        <v>0</v>
      </c>
      <c r="D2818" s="39">
        <v>71</v>
      </c>
      <c r="E2818" s="1"/>
      <c r="F2818" s="39">
        <f t="shared" ref="F2818:F2829" si="176">E2818+F2793</f>
        <v>0</v>
      </c>
      <c r="G2818" s="497"/>
      <c r="H2818" s="497"/>
      <c r="J2818" s="42"/>
    </row>
    <row r="2819" spans="1:10" s="360" customFormat="1" x14ac:dyDescent="0.25">
      <c r="A2819" s="19" t="s">
        <v>32</v>
      </c>
      <c r="B2819" s="2">
        <v>44010</v>
      </c>
      <c r="C2819" s="1">
        <v>0</v>
      </c>
      <c r="D2819" s="39">
        <v>74</v>
      </c>
      <c r="E2819" s="1"/>
      <c r="F2819" s="39">
        <f t="shared" si="176"/>
        <v>0</v>
      </c>
      <c r="G2819" s="497"/>
      <c r="H2819" s="497"/>
      <c r="J2819" s="42"/>
    </row>
    <row r="2820" spans="1:10" s="360" customFormat="1" x14ac:dyDescent="0.25">
      <c r="A2820" s="19" t="s">
        <v>33</v>
      </c>
      <c r="B2820" s="2">
        <v>44010</v>
      </c>
      <c r="C2820" s="1">
        <v>0</v>
      </c>
      <c r="D2820" s="39">
        <v>7</v>
      </c>
      <c r="E2820" s="1"/>
      <c r="F2820" s="39">
        <f t="shared" si="176"/>
        <v>0</v>
      </c>
      <c r="G2820" s="497"/>
      <c r="H2820" s="497"/>
      <c r="J2820" s="42"/>
    </row>
    <row r="2821" spans="1:10" s="360" customFormat="1" x14ac:dyDescent="0.25">
      <c r="A2821" s="19" t="s">
        <v>21</v>
      </c>
      <c r="B2821" s="2">
        <v>44010</v>
      </c>
      <c r="C2821" s="1">
        <v>0</v>
      </c>
      <c r="D2821" s="39">
        <v>76</v>
      </c>
      <c r="E2821" s="1"/>
      <c r="F2821" s="39">
        <f t="shared" si="176"/>
        <v>0</v>
      </c>
      <c r="G2821" s="497"/>
      <c r="H2821" s="497"/>
      <c r="J2821" s="42"/>
    </row>
    <row r="2822" spans="1:10" s="360" customFormat="1" x14ac:dyDescent="0.25">
      <c r="A2822" s="19" t="s">
        <v>17</v>
      </c>
      <c r="B2822" s="2">
        <v>44010</v>
      </c>
      <c r="C2822" s="1">
        <v>6</v>
      </c>
      <c r="D2822" s="39">
        <v>163</v>
      </c>
      <c r="E2822" s="1">
        <v>1</v>
      </c>
      <c r="F2822" s="39">
        <f t="shared" si="176"/>
        <v>1</v>
      </c>
      <c r="G2822" s="497"/>
      <c r="H2822" s="497"/>
      <c r="J2822" s="42"/>
    </row>
    <row r="2823" spans="1:10" s="360" customFormat="1" x14ac:dyDescent="0.25">
      <c r="A2823" s="19" t="s">
        <v>23</v>
      </c>
      <c r="B2823" s="2">
        <v>44010</v>
      </c>
      <c r="C2823" s="1">
        <v>0</v>
      </c>
      <c r="D2823" s="39">
        <v>46</v>
      </c>
      <c r="E2823" s="1"/>
      <c r="F2823" s="39">
        <f t="shared" si="176"/>
        <v>0</v>
      </c>
      <c r="G2823" s="497"/>
      <c r="H2823" s="497"/>
      <c r="J2823" s="42"/>
    </row>
    <row r="2824" spans="1:10" s="360" customFormat="1" x14ac:dyDescent="0.25">
      <c r="A2824" s="19" t="s">
        <v>19</v>
      </c>
      <c r="B2824" s="2">
        <v>44010</v>
      </c>
      <c r="C2824" s="1">
        <v>12</v>
      </c>
      <c r="D2824" s="39">
        <v>434</v>
      </c>
      <c r="E2824" s="1">
        <v>1</v>
      </c>
      <c r="F2824" s="39">
        <f t="shared" si="176"/>
        <v>1</v>
      </c>
      <c r="G2824" s="497"/>
      <c r="H2824" s="497"/>
      <c r="J2824" s="42"/>
    </row>
    <row r="2825" spans="1:10" s="360" customFormat="1" x14ac:dyDescent="0.25">
      <c r="A2825" s="19" t="s">
        <v>18</v>
      </c>
      <c r="B2825" s="2">
        <v>44010</v>
      </c>
      <c r="C2825" s="1">
        <v>6</v>
      </c>
      <c r="D2825" s="39">
        <v>825</v>
      </c>
      <c r="E2825" s="1">
        <v>1</v>
      </c>
      <c r="F2825" s="39">
        <f t="shared" si="176"/>
        <v>1</v>
      </c>
      <c r="G2825" s="497"/>
      <c r="H2825" s="497"/>
      <c r="J2825" s="42"/>
    </row>
    <row r="2826" spans="1:10" s="360" customFormat="1" x14ac:dyDescent="0.25">
      <c r="A2826" s="19" t="s">
        <v>34</v>
      </c>
      <c r="B2826" s="2">
        <v>44010</v>
      </c>
      <c r="C2826" s="1">
        <v>0</v>
      </c>
      <c r="D2826" s="39">
        <v>27</v>
      </c>
      <c r="E2826" s="1"/>
      <c r="F2826" s="39">
        <f t="shared" si="176"/>
        <v>0</v>
      </c>
      <c r="G2826" s="497"/>
      <c r="H2826" s="497"/>
      <c r="J2826" s="42"/>
    </row>
    <row r="2827" spans="1:10" s="360" customFormat="1" x14ac:dyDescent="0.25">
      <c r="A2827" s="19" t="s">
        <v>35</v>
      </c>
      <c r="B2827" s="2">
        <v>44010</v>
      </c>
      <c r="C2827" s="1">
        <v>0</v>
      </c>
      <c r="D2827" s="39">
        <v>8</v>
      </c>
      <c r="E2827" s="1"/>
      <c r="F2827" s="39">
        <f>E2827+F2803</f>
        <v>0</v>
      </c>
      <c r="G2827" s="497"/>
      <c r="H2827" s="497"/>
      <c r="J2827" s="42"/>
    </row>
    <row r="2828" spans="1:10" s="360" customFormat="1" x14ac:dyDescent="0.25">
      <c r="A2828" s="19" t="s">
        <v>36</v>
      </c>
      <c r="B2828" s="2">
        <v>44010</v>
      </c>
      <c r="C2828" s="1">
        <v>0</v>
      </c>
      <c r="D2828" s="39">
        <v>11</v>
      </c>
      <c r="E2828" s="1"/>
      <c r="F2828" s="39">
        <f t="shared" si="176"/>
        <v>0</v>
      </c>
      <c r="G2828" s="497"/>
      <c r="H2828" s="497"/>
      <c r="J2828" s="42"/>
    </row>
    <row r="2829" spans="1:10" s="360" customFormat="1" x14ac:dyDescent="0.25">
      <c r="A2829" s="19" t="s">
        <v>37</v>
      </c>
      <c r="B2829" s="2">
        <v>44010</v>
      </c>
      <c r="C2829" s="1">
        <v>0</v>
      </c>
      <c r="D2829" s="39">
        <v>50</v>
      </c>
      <c r="E2829" s="1"/>
      <c r="F2829" s="39">
        <f t="shared" si="176"/>
        <v>0</v>
      </c>
      <c r="G2829" s="497"/>
      <c r="H2829" s="497"/>
      <c r="J2829" s="42"/>
    </row>
    <row r="2830" spans="1:10" s="360" customFormat="1" x14ac:dyDescent="0.25">
      <c r="A2830" s="19" t="s">
        <v>22</v>
      </c>
      <c r="B2830" s="2">
        <v>44010</v>
      </c>
      <c r="C2830" s="1">
        <v>6</v>
      </c>
      <c r="D2830" s="39">
        <v>417</v>
      </c>
      <c r="E2830" s="1"/>
      <c r="F2830" s="39">
        <f>E2830+F2806</f>
        <v>4</v>
      </c>
      <c r="G2830" s="497"/>
      <c r="H2830" s="497"/>
      <c r="J2830" s="42"/>
    </row>
    <row r="2831" spans="1:10" s="360" customFormat="1" x14ac:dyDescent="0.25">
      <c r="A2831" s="19" t="s">
        <v>38</v>
      </c>
      <c r="B2831" s="2">
        <v>44010</v>
      </c>
      <c r="C2831" s="1">
        <v>1</v>
      </c>
      <c r="D2831" s="39">
        <v>23</v>
      </c>
      <c r="E2831" s="1"/>
      <c r="F2831" s="39">
        <f>E2831+F2807</f>
        <v>0</v>
      </c>
      <c r="G2831" s="497"/>
      <c r="H2831" s="497"/>
      <c r="J2831" s="42"/>
    </row>
    <row r="2832" spans="1:10" s="360" customFormat="1" x14ac:dyDescent="0.25">
      <c r="A2832" s="19" t="s">
        <v>39</v>
      </c>
      <c r="B2832" s="2">
        <v>44010</v>
      </c>
      <c r="C2832" s="1">
        <v>0</v>
      </c>
      <c r="D2832" s="39">
        <v>149</v>
      </c>
      <c r="E2832" s="1"/>
      <c r="F2832" s="39">
        <f>E2832+F2808</f>
        <v>1</v>
      </c>
      <c r="G2832" s="497"/>
      <c r="H2832" s="497"/>
      <c r="J2832" s="42"/>
    </row>
    <row r="2833" spans="1:10" s="360" customFormat="1" x14ac:dyDescent="0.25">
      <c r="A2833" s="19" t="s">
        <v>40</v>
      </c>
      <c r="B2833" s="2">
        <v>44010</v>
      </c>
      <c r="C2833" s="1">
        <v>0</v>
      </c>
      <c r="D2833" s="39">
        <v>73</v>
      </c>
      <c r="E2833" s="1"/>
      <c r="F2833" s="39">
        <f>E2833+F2809</f>
        <v>4</v>
      </c>
      <c r="G2833" s="497"/>
      <c r="H2833" s="497"/>
      <c r="J2833" s="42"/>
    </row>
    <row r="2834" spans="1:10" s="360" customFormat="1" x14ac:dyDescent="0.25">
      <c r="A2834" s="361" t="s">
        <v>16</v>
      </c>
      <c r="B2834" s="2">
        <v>44011</v>
      </c>
      <c r="C2834" s="1">
        <v>1280</v>
      </c>
      <c r="D2834" s="39">
        <v>30263</v>
      </c>
      <c r="E2834" s="1">
        <v>21</v>
      </c>
      <c r="F2834" s="39">
        <f>E2834+F2810</f>
        <v>566</v>
      </c>
      <c r="G2834" s="497"/>
      <c r="H2834" s="497"/>
      <c r="J2834" s="42"/>
    </row>
    <row r="2835" spans="1:10" s="360" customFormat="1" x14ac:dyDescent="0.25">
      <c r="A2835" s="19" t="s">
        <v>28</v>
      </c>
      <c r="B2835" s="2">
        <v>44011</v>
      </c>
      <c r="C2835" s="1">
        <v>0</v>
      </c>
      <c r="D2835" s="39">
        <v>0</v>
      </c>
      <c r="E2835" s="1"/>
      <c r="F2835" s="39">
        <f t="shared" ref="F2835:F2841" si="177">E2835+F2811</f>
        <v>0</v>
      </c>
      <c r="G2835" s="497"/>
      <c r="H2835" s="497"/>
      <c r="J2835" s="42"/>
    </row>
    <row r="2836" spans="1:10" s="360" customFormat="1" x14ac:dyDescent="0.25">
      <c r="A2836" s="19" t="s">
        <v>15</v>
      </c>
      <c r="B2836" s="2">
        <v>44011</v>
      </c>
      <c r="C2836" s="1">
        <v>31</v>
      </c>
      <c r="D2836" s="39">
        <v>1961</v>
      </c>
      <c r="E2836" s="1">
        <v>2</v>
      </c>
      <c r="F2836" s="39">
        <f t="shared" si="177"/>
        <v>93</v>
      </c>
      <c r="G2836" s="497"/>
      <c r="H2836" s="497"/>
      <c r="J2836" s="42"/>
    </row>
    <row r="2837" spans="1:10" s="360" customFormat="1" x14ac:dyDescent="0.25">
      <c r="A2837" s="19" t="s">
        <v>29</v>
      </c>
      <c r="B2837" s="2">
        <v>44011</v>
      </c>
      <c r="C2837" s="1">
        <v>1</v>
      </c>
      <c r="D2837" s="39">
        <v>120</v>
      </c>
      <c r="E2837" s="1"/>
      <c r="F2837" s="39">
        <f t="shared" si="177"/>
        <v>2</v>
      </c>
      <c r="G2837" s="497"/>
      <c r="H2837" s="497"/>
      <c r="J2837" s="42"/>
    </row>
    <row r="2838" spans="1:10" s="360" customFormat="1" x14ac:dyDescent="0.25">
      <c r="A2838" s="19" t="s">
        <v>43</v>
      </c>
      <c r="B2838" s="2">
        <v>44011</v>
      </c>
      <c r="C2838" s="1">
        <v>944</v>
      </c>
      <c r="D2838" s="39">
        <v>26351</v>
      </c>
      <c r="E2838" s="1">
        <v>23</v>
      </c>
      <c r="F2838" s="39">
        <f t="shared" si="177"/>
        <v>493</v>
      </c>
      <c r="G2838" s="497"/>
      <c r="H2838" s="497"/>
      <c r="J2838" s="42"/>
    </row>
    <row r="2839" spans="1:10" s="360" customFormat="1" x14ac:dyDescent="0.25">
      <c r="A2839" s="19" t="s">
        <v>20</v>
      </c>
      <c r="B2839" s="2">
        <v>44011</v>
      </c>
      <c r="C2839" s="1">
        <v>2</v>
      </c>
      <c r="D2839" s="39">
        <v>640</v>
      </c>
      <c r="E2839" s="1">
        <v>1</v>
      </c>
      <c r="F2839" s="39">
        <f t="shared" si="177"/>
        <v>34</v>
      </c>
      <c r="G2839" s="497"/>
      <c r="H2839" s="497"/>
      <c r="J2839" s="42"/>
    </row>
    <row r="2840" spans="1:10" s="360" customFormat="1" x14ac:dyDescent="0.25">
      <c r="A2840" s="19" t="s">
        <v>30</v>
      </c>
      <c r="B2840" s="2">
        <v>44011</v>
      </c>
      <c r="C2840" s="1">
        <v>2</v>
      </c>
      <c r="D2840" s="39">
        <v>118</v>
      </c>
      <c r="E2840" s="1"/>
      <c r="F2840" s="39">
        <f t="shared" si="177"/>
        <v>0</v>
      </c>
      <c r="G2840" s="497"/>
      <c r="H2840" s="497"/>
      <c r="J2840" s="42"/>
    </row>
    <row r="2841" spans="1:10" x14ac:dyDescent="0.25">
      <c r="A2841" s="19" t="s">
        <v>31</v>
      </c>
      <c r="B2841" s="2">
        <v>44011</v>
      </c>
      <c r="C2841" s="1">
        <v>5</v>
      </c>
      <c r="D2841" s="39">
        <v>278</v>
      </c>
      <c r="F2841" s="39">
        <f t="shared" si="177"/>
        <v>0</v>
      </c>
    </row>
    <row r="2842" spans="1:10" s="360" customFormat="1" x14ac:dyDescent="0.25">
      <c r="A2842" s="19" t="s">
        <v>41</v>
      </c>
      <c r="B2842" s="2">
        <v>44011</v>
      </c>
      <c r="C2842" s="1">
        <v>0</v>
      </c>
      <c r="D2842" s="39">
        <v>71</v>
      </c>
      <c r="E2842" s="1"/>
      <c r="F2842" s="39">
        <f t="shared" ref="F2842:F2853" si="178">E2842+F2817</f>
        <v>0</v>
      </c>
      <c r="G2842" s="497"/>
      <c r="H2842" s="497"/>
      <c r="J2842" s="42"/>
    </row>
    <row r="2843" spans="1:10" s="360" customFormat="1" x14ac:dyDescent="0.25">
      <c r="A2843" s="19" t="s">
        <v>32</v>
      </c>
      <c r="B2843" s="2">
        <v>44011</v>
      </c>
      <c r="C2843" s="1">
        <v>16</v>
      </c>
      <c r="D2843" s="39">
        <v>90</v>
      </c>
      <c r="E2843" s="1"/>
      <c r="F2843" s="39">
        <f t="shared" si="178"/>
        <v>0</v>
      </c>
      <c r="G2843" s="497"/>
      <c r="H2843" s="497"/>
      <c r="J2843" s="42"/>
    </row>
    <row r="2844" spans="1:10" s="360" customFormat="1" x14ac:dyDescent="0.25">
      <c r="A2844" s="19" t="s">
        <v>33</v>
      </c>
      <c r="B2844" s="2">
        <v>44011</v>
      </c>
      <c r="C2844" s="1">
        <v>0</v>
      </c>
      <c r="D2844" s="39">
        <v>7</v>
      </c>
      <c r="E2844" s="1"/>
      <c r="F2844" s="39">
        <f t="shared" si="178"/>
        <v>0</v>
      </c>
      <c r="G2844" s="497"/>
      <c r="H2844" s="497"/>
      <c r="J2844" s="42"/>
    </row>
    <row r="2845" spans="1:10" s="360" customFormat="1" x14ac:dyDescent="0.25">
      <c r="A2845" s="19" t="s">
        <v>21</v>
      </c>
      <c r="B2845" s="2">
        <v>44011</v>
      </c>
      <c r="C2845" s="1">
        <v>4</v>
      </c>
      <c r="D2845" s="39">
        <v>80</v>
      </c>
      <c r="E2845" s="1"/>
      <c r="F2845" s="39">
        <f t="shared" si="178"/>
        <v>0</v>
      </c>
      <c r="G2845" s="497"/>
      <c r="H2845" s="497"/>
      <c r="J2845" s="42"/>
    </row>
    <row r="2846" spans="1:10" s="360" customFormat="1" x14ac:dyDescent="0.25">
      <c r="A2846" s="19" t="s">
        <v>17</v>
      </c>
      <c r="B2846" s="2">
        <v>44011</v>
      </c>
      <c r="C2846" s="1">
        <v>1</v>
      </c>
      <c r="D2846" s="39">
        <v>164</v>
      </c>
      <c r="E2846" s="1"/>
      <c r="F2846" s="39">
        <f t="shared" si="178"/>
        <v>0</v>
      </c>
      <c r="G2846" s="497"/>
      <c r="H2846" s="497"/>
      <c r="J2846" s="42"/>
    </row>
    <row r="2847" spans="1:10" s="360" customFormat="1" x14ac:dyDescent="0.25">
      <c r="A2847" s="19" t="s">
        <v>23</v>
      </c>
      <c r="B2847" s="2">
        <v>44011</v>
      </c>
      <c r="C2847" s="1">
        <v>1</v>
      </c>
      <c r="D2847" s="39">
        <v>47</v>
      </c>
      <c r="E2847" s="1"/>
      <c r="F2847" s="39">
        <f t="shared" si="178"/>
        <v>1</v>
      </c>
      <c r="G2847" s="497"/>
      <c r="H2847" s="497"/>
      <c r="J2847" s="42"/>
    </row>
    <row r="2848" spans="1:10" s="360" customFormat="1" x14ac:dyDescent="0.25">
      <c r="A2848" s="19" t="s">
        <v>19</v>
      </c>
      <c r="B2848" s="2">
        <v>44011</v>
      </c>
      <c r="C2848" s="1">
        <v>18</v>
      </c>
      <c r="D2848" s="39">
        <v>452</v>
      </c>
      <c r="E2848" s="1">
        <v>1</v>
      </c>
      <c r="F2848" s="39">
        <f t="shared" si="178"/>
        <v>1</v>
      </c>
      <c r="G2848" s="497"/>
      <c r="H2848" s="497"/>
      <c r="J2848" s="42"/>
    </row>
    <row r="2849" spans="1:10" s="360" customFormat="1" x14ac:dyDescent="0.25">
      <c r="A2849" s="19" t="s">
        <v>18</v>
      </c>
      <c r="B2849" s="2">
        <v>44011</v>
      </c>
      <c r="C2849" s="1">
        <v>24</v>
      </c>
      <c r="D2849" s="39">
        <v>849</v>
      </c>
      <c r="E2849" s="1"/>
      <c r="F2849" s="39">
        <f t="shared" si="178"/>
        <v>1</v>
      </c>
      <c r="G2849" s="497"/>
      <c r="H2849" s="497"/>
      <c r="J2849" s="42"/>
    </row>
    <row r="2850" spans="1:10" s="360" customFormat="1" x14ac:dyDescent="0.25">
      <c r="A2850" s="19" t="s">
        <v>34</v>
      </c>
      <c r="B2850" s="2">
        <v>44011</v>
      </c>
      <c r="C2850" s="1">
        <v>3</v>
      </c>
      <c r="D2850" s="39">
        <v>30</v>
      </c>
      <c r="E2850" s="1"/>
      <c r="F2850" s="39">
        <f t="shared" si="178"/>
        <v>1</v>
      </c>
      <c r="G2850" s="497"/>
      <c r="H2850" s="497"/>
      <c r="J2850" s="42"/>
    </row>
    <row r="2851" spans="1:10" s="360" customFormat="1" x14ac:dyDescent="0.25">
      <c r="A2851" s="19" t="s">
        <v>35</v>
      </c>
      <c r="B2851" s="2">
        <v>44011</v>
      </c>
      <c r="C2851" s="1">
        <v>0</v>
      </c>
      <c r="D2851" s="39">
        <v>8</v>
      </c>
      <c r="E2851" s="1"/>
      <c r="F2851" s="39">
        <f>E2851+F2827</f>
        <v>0</v>
      </c>
      <c r="G2851" s="497"/>
      <c r="H2851" s="497"/>
      <c r="J2851" s="42"/>
    </row>
    <row r="2852" spans="1:10" s="360" customFormat="1" x14ac:dyDescent="0.25">
      <c r="A2852" s="19" t="s">
        <v>36</v>
      </c>
      <c r="B2852" s="2">
        <v>44011</v>
      </c>
      <c r="C2852" s="1">
        <v>0</v>
      </c>
      <c r="D2852" s="39">
        <v>11</v>
      </c>
      <c r="E2852" s="1"/>
      <c r="F2852" s="39">
        <f t="shared" si="178"/>
        <v>0</v>
      </c>
      <c r="G2852" s="497"/>
      <c r="H2852" s="497"/>
      <c r="J2852" s="42"/>
    </row>
    <row r="2853" spans="1:10" s="360" customFormat="1" x14ac:dyDescent="0.25">
      <c r="A2853" s="19" t="s">
        <v>37</v>
      </c>
      <c r="B2853" s="2">
        <v>44011</v>
      </c>
      <c r="C2853" s="1">
        <v>0</v>
      </c>
      <c r="D2853" s="39">
        <v>50</v>
      </c>
      <c r="E2853" s="1"/>
      <c r="F2853" s="39">
        <f t="shared" si="178"/>
        <v>0</v>
      </c>
      <c r="G2853" s="497"/>
      <c r="H2853" s="497"/>
      <c r="J2853" s="42"/>
    </row>
    <row r="2854" spans="1:10" s="360" customFormat="1" x14ac:dyDescent="0.25">
      <c r="A2854" s="19" t="s">
        <v>22</v>
      </c>
      <c r="B2854" s="2">
        <v>44011</v>
      </c>
      <c r="C2854" s="1">
        <v>3</v>
      </c>
      <c r="D2854" s="39">
        <v>420</v>
      </c>
      <c r="E2854" s="1"/>
      <c r="F2854" s="39">
        <f>E2854+F2830</f>
        <v>4</v>
      </c>
      <c r="G2854" s="497"/>
      <c r="H2854" s="497"/>
      <c r="J2854" s="42"/>
    </row>
    <row r="2855" spans="1:10" s="360" customFormat="1" x14ac:dyDescent="0.25">
      <c r="A2855" s="19" t="s">
        <v>38</v>
      </c>
      <c r="B2855" s="2">
        <v>44011</v>
      </c>
      <c r="C2855" s="1">
        <v>1</v>
      </c>
      <c r="D2855" s="39">
        <v>24</v>
      </c>
      <c r="E2855" s="1"/>
      <c r="F2855" s="39">
        <f>E2855+F2831</f>
        <v>0</v>
      </c>
      <c r="G2855" s="497"/>
      <c r="H2855" s="497"/>
      <c r="J2855" s="42"/>
    </row>
    <row r="2856" spans="1:10" s="360" customFormat="1" x14ac:dyDescent="0.25">
      <c r="A2856" s="19" t="s">
        <v>39</v>
      </c>
      <c r="B2856" s="2">
        <v>44011</v>
      </c>
      <c r="C2856" s="1">
        <v>0</v>
      </c>
      <c r="D2856" s="39">
        <v>149</v>
      </c>
      <c r="E2856" s="1"/>
      <c r="F2856" s="39">
        <f>E2856+F2832</f>
        <v>1</v>
      </c>
      <c r="G2856" s="497"/>
      <c r="H2856" s="497"/>
      <c r="J2856" s="42"/>
    </row>
    <row r="2857" spans="1:10" s="360" customFormat="1" x14ac:dyDescent="0.25">
      <c r="A2857" s="19" t="s">
        <v>40</v>
      </c>
      <c r="B2857" s="2">
        <v>44011</v>
      </c>
      <c r="C2857" s="1">
        <v>0</v>
      </c>
      <c r="D2857" s="39">
        <v>73</v>
      </c>
      <c r="E2857" s="1"/>
      <c r="F2857" s="39">
        <f>E2857+F2833</f>
        <v>4</v>
      </c>
      <c r="G2857" s="497"/>
      <c r="H2857" s="497"/>
      <c r="J2857" s="42"/>
    </row>
    <row r="2858" spans="1:10" s="360" customFormat="1" x14ac:dyDescent="0.25">
      <c r="A2858" s="361" t="s">
        <v>16</v>
      </c>
      <c r="B2858" s="2">
        <v>44012</v>
      </c>
      <c r="C2858" s="1">
        <v>1374</v>
      </c>
      <c r="D2858" s="39">
        <v>31637</v>
      </c>
      <c r="E2858" s="1">
        <v>13</v>
      </c>
      <c r="F2858" s="39">
        <f>E2858+F2834</f>
        <v>579</v>
      </c>
      <c r="G2858" s="497"/>
      <c r="H2858" s="497"/>
      <c r="J2858" s="42"/>
    </row>
    <row r="2859" spans="1:10" s="360" customFormat="1" x14ac:dyDescent="0.25">
      <c r="A2859" s="19" t="s">
        <v>28</v>
      </c>
      <c r="B2859" s="2">
        <v>44012</v>
      </c>
      <c r="C2859" s="1">
        <v>0</v>
      </c>
      <c r="D2859" s="39">
        <v>0</v>
      </c>
      <c r="E2859" s="1"/>
      <c r="F2859" s="39">
        <f t="shared" ref="F2859:F2865" si="179">E2859+F2835</f>
        <v>0</v>
      </c>
      <c r="G2859" s="497"/>
      <c r="H2859" s="497"/>
      <c r="J2859" s="42"/>
    </row>
    <row r="2860" spans="1:10" s="360" customFormat="1" x14ac:dyDescent="0.25">
      <c r="A2860" s="19" t="s">
        <v>15</v>
      </c>
      <c r="B2860" s="2">
        <v>44012</v>
      </c>
      <c r="C2860" s="1">
        <v>70</v>
      </c>
      <c r="D2860" s="39">
        <v>2031</v>
      </c>
      <c r="E2860" s="1">
        <v>2</v>
      </c>
      <c r="F2860" s="39">
        <f t="shared" si="179"/>
        <v>95</v>
      </c>
      <c r="G2860" s="497"/>
      <c r="H2860" s="497"/>
      <c r="J2860" s="42"/>
    </row>
    <row r="2861" spans="1:10" s="360" customFormat="1" x14ac:dyDescent="0.25">
      <c r="A2861" s="19" t="s">
        <v>29</v>
      </c>
      <c r="B2861" s="2">
        <v>44012</v>
      </c>
      <c r="C2861" s="1">
        <v>8</v>
      </c>
      <c r="D2861" s="39">
        <v>128</v>
      </c>
      <c r="E2861" s="1"/>
      <c r="F2861" s="39">
        <f t="shared" si="179"/>
        <v>2</v>
      </c>
      <c r="G2861" s="497"/>
      <c r="H2861" s="497"/>
      <c r="J2861" s="42"/>
    </row>
    <row r="2862" spans="1:10" s="360" customFormat="1" x14ac:dyDescent="0.25">
      <c r="A2862" s="19" t="s">
        <v>43</v>
      </c>
      <c r="B2862" s="2">
        <v>44012</v>
      </c>
      <c r="C2862" s="1">
        <v>744</v>
      </c>
      <c r="D2862" s="39">
        <v>27095</v>
      </c>
      <c r="E2862" s="1">
        <v>12</v>
      </c>
      <c r="F2862" s="39">
        <f t="shared" si="179"/>
        <v>505</v>
      </c>
      <c r="G2862" s="497"/>
      <c r="H2862" s="497"/>
      <c r="J2862" s="42"/>
    </row>
    <row r="2863" spans="1:10" s="360" customFormat="1" x14ac:dyDescent="0.25">
      <c r="A2863" s="19" t="s">
        <v>20</v>
      </c>
      <c r="B2863" s="2">
        <v>44012</v>
      </c>
      <c r="C2863" s="1">
        <v>11</v>
      </c>
      <c r="D2863" s="39">
        <v>651</v>
      </c>
      <c r="E2863" s="1"/>
      <c r="F2863" s="39">
        <f t="shared" si="179"/>
        <v>34</v>
      </c>
      <c r="G2863" s="497"/>
      <c r="H2863" s="497"/>
      <c r="J2863" s="42"/>
    </row>
    <row r="2864" spans="1:10" s="360" customFormat="1" x14ac:dyDescent="0.25">
      <c r="A2864" s="19" t="s">
        <v>30</v>
      </c>
      <c r="B2864" s="2">
        <v>44012</v>
      </c>
      <c r="C2864" s="1">
        <v>0</v>
      </c>
      <c r="D2864" s="39">
        <v>118</v>
      </c>
      <c r="E2864" s="1"/>
      <c r="F2864" s="39">
        <f t="shared" si="179"/>
        <v>0</v>
      </c>
      <c r="G2864" s="497"/>
      <c r="H2864" s="497"/>
      <c r="J2864" s="42"/>
    </row>
    <row r="2865" spans="1:10" x14ac:dyDescent="0.25">
      <c r="A2865" s="19" t="s">
        <v>31</v>
      </c>
      <c r="B2865" s="2">
        <v>44012</v>
      </c>
      <c r="C2865" s="1">
        <v>6</v>
      </c>
      <c r="D2865" s="39">
        <v>284</v>
      </c>
      <c r="F2865" s="39">
        <f t="shared" si="179"/>
        <v>0</v>
      </c>
    </row>
    <row r="2866" spans="1:10" s="360" customFormat="1" x14ac:dyDescent="0.25">
      <c r="A2866" s="19" t="s">
        <v>41</v>
      </c>
      <c r="B2866" s="2">
        <v>44012</v>
      </c>
      <c r="C2866" s="1">
        <v>0</v>
      </c>
      <c r="D2866" s="39">
        <v>71</v>
      </c>
      <c r="E2866" s="1"/>
      <c r="F2866" s="39">
        <f t="shared" ref="F2866:F2877" si="180">E2866+F2841</f>
        <v>0</v>
      </c>
      <c r="G2866" s="497"/>
      <c r="H2866" s="497"/>
      <c r="J2866" s="42"/>
    </row>
    <row r="2867" spans="1:10" s="360" customFormat="1" x14ac:dyDescent="0.25">
      <c r="A2867" s="19" t="s">
        <v>32</v>
      </c>
      <c r="B2867" s="2">
        <v>44012</v>
      </c>
      <c r="C2867" s="1">
        <v>6</v>
      </c>
      <c r="D2867" s="39">
        <v>96</v>
      </c>
      <c r="E2867" s="1"/>
      <c r="F2867" s="39">
        <f t="shared" si="180"/>
        <v>0</v>
      </c>
      <c r="G2867" s="497"/>
      <c r="H2867" s="497"/>
      <c r="J2867" s="42"/>
    </row>
    <row r="2868" spans="1:10" s="360" customFormat="1" x14ac:dyDescent="0.25">
      <c r="A2868" s="19" t="s">
        <v>33</v>
      </c>
      <c r="B2868" s="2">
        <v>44012</v>
      </c>
      <c r="C2868" s="1">
        <v>0</v>
      </c>
      <c r="D2868" s="39">
        <v>7</v>
      </c>
      <c r="E2868" s="1"/>
      <c r="F2868" s="39">
        <f t="shared" si="180"/>
        <v>0</v>
      </c>
      <c r="G2868" s="497"/>
      <c r="H2868" s="497"/>
      <c r="J2868" s="42"/>
    </row>
    <row r="2869" spans="1:10" s="360" customFormat="1" x14ac:dyDescent="0.25">
      <c r="A2869" s="19" t="s">
        <v>21</v>
      </c>
      <c r="B2869" s="2">
        <v>44012</v>
      </c>
      <c r="C2869" s="1">
        <v>4</v>
      </c>
      <c r="D2869" s="39">
        <v>84</v>
      </c>
      <c r="E2869" s="1"/>
      <c r="F2869" s="39">
        <f t="shared" si="180"/>
        <v>0</v>
      </c>
      <c r="G2869" s="497"/>
      <c r="H2869" s="497"/>
      <c r="J2869" s="42"/>
    </row>
    <row r="2870" spans="1:10" s="360" customFormat="1" x14ac:dyDescent="0.25">
      <c r="A2870" s="19" t="s">
        <v>17</v>
      </c>
      <c r="B2870" s="2">
        <v>44012</v>
      </c>
      <c r="C2870" s="1">
        <v>4</v>
      </c>
      <c r="D2870" s="39">
        <v>168</v>
      </c>
      <c r="E2870" s="1"/>
      <c r="F2870" s="39">
        <f t="shared" si="180"/>
        <v>0</v>
      </c>
      <c r="G2870" s="497"/>
      <c r="H2870" s="497"/>
      <c r="J2870" s="42"/>
    </row>
    <row r="2871" spans="1:10" s="360" customFormat="1" x14ac:dyDescent="0.25">
      <c r="A2871" s="19" t="s">
        <v>23</v>
      </c>
      <c r="B2871" s="2">
        <v>44012</v>
      </c>
      <c r="C2871" s="1">
        <v>0</v>
      </c>
      <c r="D2871" s="39">
        <v>47</v>
      </c>
      <c r="E2871" s="1"/>
      <c r="F2871" s="39">
        <f t="shared" si="180"/>
        <v>0</v>
      </c>
      <c r="G2871" s="497"/>
      <c r="H2871" s="497"/>
      <c r="J2871" s="42"/>
    </row>
    <row r="2872" spans="1:10" s="360" customFormat="1" x14ac:dyDescent="0.25">
      <c r="A2872" s="19" t="s">
        <v>19</v>
      </c>
      <c r="B2872" s="2">
        <v>44012</v>
      </c>
      <c r="C2872" s="1">
        <v>18</v>
      </c>
      <c r="D2872" s="39">
        <v>470</v>
      </c>
      <c r="E2872" s="1"/>
      <c r="F2872" s="39">
        <f t="shared" si="180"/>
        <v>1</v>
      </c>
      <c r="G2872" s="497"/>
      <c r="H2872" s="497"/>
      <c r="J2872" s="42"/>
    </row>
    <row r="2873" spans="1:10" s="360" customFormat="1" x14ac:dyDescent="0.25">
      <c r="A2873" s="19" t="s">
        <v>18</v>
      </c>
      <c r="B2873" s="2">
        <v>44012</v>
      </c>
      <c r="C2873" s="1">
        <v>15</v>
      </c>
      <c r="D2873" s="39">
        <v>864</v>
      </c>
      <c r="E2873" s="1"/>
      <c r="F2873" s="39">
        <f t="shared" si="180"/>
        <v>1</v>
      </c>
      <c r="G2873" s="497"/>
      <c r="H2873" s="497"/>
      <c r="J2873" s="42"/>
    </row>
    <row r="2874" spans="1:10" s="360" customFormat="1" x14ac:dyDescent="0.25">
      <c r="A2874" s="19" t="s">
        <v>34</v>
      </c>
      <c r="B2874" s="2">
        <v>44012</v>
      </c>
      <c r="C2874" s="1">
        <v>1</v>
      </c>
      <c r="D2874" s="39">
        <v>31</v>
      </c>
      <c r="E2874" s="1"/>
      <c r="F2874" s="39">
        <f t="shared" si="180"/>
        <v>1</v>
      </c>
      <c r="G2874" s="497"/>
      <c r="H2874" s="497"/>
      <c r="J2874" s="42"/>
    </row>
    <row r="2875" spans="1:10" s="360" customFormat="1" x14ac:dyDescent="0.25">
      <c r="A2875" s="19" t="s">
        <v>35</v>
      </c>
      <c r="B2875" s="2">
        <v>44012</v>
      </c>
      <c r="C2875" s="1">
        <v>0</v>
      </c>
      <c r="D2875" s="39">
        <v>8</v>
      </c>
      <c r="E2875" s="1"/>
      <c r="F2875" s="39">
        <f>E2875+F2851</f>
        <v>0</v>
      </c>
      <c r="G2875" s="497"/>
      <c r="H2875" s="497"/>
      <c r="J2875" s="42"/>
    </row>
    <row r="2876" spans="1:10" s="360" customFormat="1" x14ac:dyDescent="0.25">
      <c r="A2876" s="19" t="s">
        <v>36</v>
      </c>
      <c r="B2876" s="2">
        <v>44012</v>
      </c>
      <c r="C2876" s="1">
        <v>0</v>
      </c>
      <c r="D2876" s="39">
        <v>11</v>
      </c>
      <c r="E2876" s="1"/>
      <c r="F2876" s="39">
        <f t="shared" si="180"/>
        <v>0</v>
      </c>
      <c r="G2876" s="497"/>
      <c r="H2876" s="497"/>
      <c r="J2876" s="42"/>
    </row>
    <row r="2877" spans="1:10" s="360" customFormat="1" x14ac:dyDescent="0.25">
      <c r="A2877" s="19" t="s">
        <v>37</v>
      </c>
      <c r="B2877" s="2">
        <v>44012</v>
      </c>
      <c r="C2877" s="1">
        <v>0</v>
      </c>
      <c r="D2877" s="39">
        <v>50</v>
      </c>
      <c r="E2877" s="1"/>
      <c r="F2877" s="39">
        <f t="shared" si="180"/>
        <v>0</v>
      </c>
      <c r="G2877" s="497"/>
      <c r="H2877" s="497"/>
      <c r="J2877" s="42"/>
    </row>
    <row r="2878" spans="1:10" s="360" customFormat="1" x14ac:dyDescent="0.25">
      <c r="A2878" s="19" t="s">
        <v>22</v>
      </c>
      <c r="B2878" s="2">
        <v>44012</v>
      </c>
      <c r="C2878" s="1">
        <v>1</v>
      </c>
      <c r="D2878" s="39">
        <v>421</v>
      </c>
      <c r="E2878" s="1"/>
      <c r="F2878" s="39">
        <f>E2878+F2854</f>
        <v>4</v>
      </c>
      <c r="G2878" s="497"/>
      <c r="H2878" s="497"/>
      <c r="J2878" s="42"/>
    </row>
    <row r="2879" spans="1:10" s="360" customFormat="1" x14ac:dyDescent="0.25">
      <c r="A2879" s="19" t="s">
        <v>38</v>
      </c>
      <c r="B2879" s="2">
        <v>44012</v>
      </c>
      <c r="C2879" s="1">
        <v>0</v>
      </c>
      <c r="D2879" s="39">
        <v>24</v>
      </c>
      <c r="E2879" s="1"/>
      <c r="F2879" s="39">
        <f>E2879+F2855</f>
        <v>0</v>
      </c>
      <c r="G2879" s="497"/>
      <c r="H2879" s="497"/>
      <c r="J2879" s="42"/>
    </row>
    <row r="2880" spans="1:10" s="360" customFormat="1" x14ac:dyDescent="0.25">
      <c r="A2880" s="19" t="s">
        <v>39</v>
      </c>
      <c r="B2880" s="2">
        <v>44012</v>
      </c>
      <c r="C2880" s="1">
        <v>0</v>
      </c>
      <c r="D2880" s="39">
        <v>149</v>
      </c>
      <c r="E2880" s="1"/>
      <c r="F2880" s="39">
        <f>E2880+F2856</f>
        <v>1</v>
      </c>
      <c r="G2880" s="497"/>
      <c r="H2880" s="497"/>
      <c r="J2880" s="42"/>
    </row>
    <row r="2881" spans="1:10" s="360" customFormat="1" x14ac:dyDescent="0.25">
      <c r="A2881" s="19" t="s">
        <v>40</v>
      </c>
      <c r="B2881" s="2">
        <v>44012</v>
      </c>
      <c r="C2881" s="1">
        <v>0</v>
      </c>
      <c r="D2881" s="39">
        <v>73</v>
      </c>
      <c r="E2881" s="1"/>
      <c r="F2881" s="39">
        <f>E2881+F2857</f>
        <v>4</v>
      </c>
      <c r="G2881" s="497"/>
      <c r="H2881" s="497"/>
      <c r="J2881" s="42"/>
    </row>
    <row r="2882" spans="1:10" s="360" customFormat="1" x14ac:dyDescent="0.25">
      <c r="A2882" s="361" t="s">
        <v>16</v>
      </c>
      <c r="B2882" s="2">
        <v>44013</v>
      </c>
      <c r="C2882" s="1">
        <v>1671</v>
      </c>
      <c r="D2882" s="39">
        <v>33308</v>
      </c>
      <c r="E2882" s="1">
        <v>27</v>
      </c>
      <c r="F2882" s="39">
        <f>E2882+F2858</f>
        <v>606</v>
      </c>
      <c r="G2882" s="497"/>
      <c r="H2882" s="497"/>
      <c r="J2882" s="42"/>
    </row>
    <row r="2883" spans="1:10" s="360" customFormat="1" x14ac:dyDescent="0.25">
      <c r="A2883" s="19" t="s">
        <v>28</v>
      </c>
      <c r="B2883" s="2">
        <v>44013</v>
      </c>
      <c r="C2883" s="1">
        <v>0</v>
      </c>
      <c r="D2883" s="39">
        <v>0</v>
      </c>
      <c r="E2883" s="1"/>
      <c r="F2883" s="39">
        <f t="shared" ref="F2883:F2889" si="181">E2883+F2859</f>
        <v>0</v>
      </c>
      <c r="G2883" s="497"/>
      <c r="H2883" s="497"/>
      <c r="J2883" s="42"/>
    </row>
    <row r="2884" spans="1:10" s="360" customFormat="1" x14ac:dyDescent="0.25">
      <c r="A2884" s="19" t="s">
        <v>15</v>
      </c>
      <c r="B2884" s="2">
        <v>44013</v>
      </c>
      <c r="C2884" s="1">
        <v>60</v>
      </c>
      <c r="D2884" s="39">
        <v>2091</v>
      </c>
      <c r="E2884" s="1">
        <v>3</v>
      </c>
      <c r="F2884" s="39">
        <f t="shared" si="181"/>
        <v>98</v>
      </c>
      <c r="G2884" s="497"/>
      <c r="H2884" s="497"/>
      <c r="J2884" s="42"/>
    </row>
    <row r="2885" spans="1:10" s="360" customFormat="1" x14ac:dyDescent="0.25">
      <c r="A2885" s="19" t="s">
        <v>29</v>
      </c>
      <c r="B2885" s="2">
        <v>44013</v>
      </c>
      <c r="C2885" s="1">
        <v>8</v>
      </c>
      <c r="D2885" s="39">
        <v>136</v>
      </c>
      <c r="E2885" s="1"/>
      <c r="F2885" s="39">
        <f t="shared" si="181"/>
        <v>2</v>
      </c>
      <c r="G2885" s="497"/>
      <c r="H2885" s="497"/>
      <c r="J2885" s="42"/>
    </row>
    <row r="2886" spans="1:10" s="360" customFormat="1" x14ac:dyDescent="0.25">
      <c r="A2886" s="19" t="s">
        <v>43</v>
      </c>
      <c r="B2886" s="2">
        <v>44013</v>
      </c>
      <c r="C2886" s="1">
        <v>841</v>
      </c>
      <c r="D2886" s="39">
        <v>27936</v>
      </c>
      <c r="E2886" s="1">
        <v>13</v>
      </c>
      <c r="F2886" s="39">
        <f t="shared" si="181"/>
        <v>518</v>
      </c>
      <c r="G2886" s="497"/>
      <c r="H2886" s="497"/>
      <c r="J2886" s="42"/>
    </row>
    <row r="2887" spans="1:10" s="360" customFormat="1" x14ac:dyDescent="0.25">
      <c r="A2887" s="19" t="s">
        <v>20</v>
      </c>
      <c r="B2887" s="2">
        <v>44013</v>
      </c>
      <c r="C2887" s="1">
        <v>11</v>
      </c>
      <c r="D2887" s="39">
        <v>662</v>
      </c>
      <c r="E2887" s="1"/>
      <c r="F2887" s="39">
        <f t="shared" si="181"/>
        <v>34</v>
      </c>
      <c r="G2887" s="497"/>
      <c r="H2887" s="497"/>
      <c r="J2887" s="42"/>
    </row>
    <row r="2888" spans="1:10" s="360" customFormat="1" x14ac:dyDescent="0.25">
      <c r="A2888" s="19" t="s">
        <v>30</v>
      </c>
      <c r="B2888" s="2">
        <v>44013</v>
      </c>
      <c r="C2888" s="1">
        <v>1</v>
      </c>
      <c r="D2888" s="39">
        <v>119</v>
      </c>
      <c r="E2888" s="1"/>
      <c r="F2888" s="39">
        <f t="shared" si="181"/>
        <v>0</v>
      </c>
      <c r="G2888" s="497"/>
      <c r="H2888" s="497"/>
      <c r="J2888" s="42"/>
    </row>
    <row r="2889" spans="1:10" x14ac:dyDescent="0.25">
      <c r="A2889" s="19" t="s">
        <v>31</v>
      </c>
      <c r="B2889" s="2">
        <v>44013</v>
      </c>
      <c r="C2889" s="1">
        <v>9</v>
      </c>
      <c r="D2889" s="39">
        <v>293</v>
      </c>
      <c r="F2889" s="39">
        <f t="shared" si="181"/>
        <v>0</v>
      </c>
    </row>
    <row r="2890" spans="1:10" s="360" customFormat="1" x14ac:dyDescent="0.25">
      <c r="A2890" s="19" t="s">
        <v>41</v>
      </c>
      <c r="B2890" s="2">
        <v>44013</v>
      </c>
      <c r="C2890" s="1">
        <v>4</v>
      </c>
      <c r="D2890" s="39">
        <v>75</v>
      </c>
      <c r="E2890" s="1"/>
      <c r="F2890" s="39">
        <f t="shared" ref="F2890:F2901" si="182">E2890+F2865</f>
        <v>0</v>
      </c>
      <c r="G2890" s="497"/>
      <c r="H2890" s="497"/>
      <c r="J2890" s="42"/>
    </row>
    <row r="2891" spans="1:10" s="360" customFormat="1" x14ac:dyDescent="0.25">
      <c r="A2891" s="19" t="s">
        <v>32</v>
      </c>
      <c r="B2891" s="2">
        <v>44013</v>
      </c>
      <c r="C2891" s="1">
        <v>17</v>
      </c>
      <c r="D2891" s="39">
        <v>113</v>
      </c>
      <c r="E2891" s="1"/>
      <c r="F2891" s="39">
        <f t="shared" si="182"/>
        <v>0</v>
      </c>
      <c r="G2891" s="497"/>
      <c r="H2891" s="497"/>
      <c r="J2891" s="42"/>
    </row>
    <row r="2892" spans="1:10" s="360" customFormat="1" x14ac:dyDescent="0.25">
      <c r="A2892" s="19" t="s">
        <v>33</v>
      </c>
      <c r="B2892" s="2">
        <v>44013</v>
      </c>
      <c r="C2892" s="1">
        <v>0</v>
      </c>
      <c r="D2892" s="39">
        <v>7</v>
      </c>
      <c r="E2892" s="1"/>
      <c r="F2892" s="39">
        <f t="shared" si="182"/>
        <v>0</v>
      </c>
      <c r="G2892" s="497"/>
      <c r="H2892" s="497"/>
      <c r="J2892" s="42"/>
    </row>
    <row r="2893" spans="1:10" s="360" customFormat="1" x14ac:dyDescent="0.25">
      <c r="A2893" s="19" t="s">
        <v>21</v>
      </c>
      <c r="B2893" s="2">
        <v>44013</v>
      </c>
      <c r="C2893" s="1">
        <v>1</v>
      </c>
      <c r="D2893" s="39">
        <v>85</v>
      </c>
      <c r="E2893" s="1">
        <v>1</v>
      </c>
      <c r="F2893" s="39">
        <f t="shared" si="182"/>
        <v>1</v>
      </c>
      <c r="G2893" s="497"/>
      <c r="H2893" s="497"/>
      <c r="J2893" s="42"/>
    </row>
    <row r="2894" spans="1:10" s="360" customFormat="1" x14ac:dyDescent="0.25">
      <c r="A2894" s="19" t="s">
        <v>17</v>
      </c>
      <c r="B2894" s="2">
        <v>44013</v>
      </c>
      <c r="C2894" s="1">
        <v>7</v>
      </c>
      <c r="D2894" s="39">
        <v>175</v>
      </c>
      <c r="E2894" s="1"/>
      <c r="F2894" s="39">
        <f t="shared" si="182"/>
        <v>0</v>
      </c>
      <c r="G2894" s="497"/>
      <c r="H2894" s="497"/>
      <c r="J2894" s="42"/>
    </row>
    <row r="2895" spans="1:10" s="360" customFormat="1" x14ac:dyDescent="0.25">
      <c r="A2895" s="19" t="s">
        <v>23</v>
      </c>
      <c r="B2895" s="2">
        <v>44013</v>
      </c>
      <c r="C2895" s="1">
        <v>0</v>
      </c>
      <c r="D2895" s="39">
        <v>47</v>
      </c>
      <c r="E2895" s="1"/>
      <c r="F2895" s="39">
        <f t="shared" si="182"/>
        <v>0</v>
      </c>
      <c r="G2895" s="497"/>
      <c r="H2895" s="497"/>
      <c r="J2895" s="42"/>
    </row>
    <row r="2896" spans="1:10" s="360" customFormat="1" x14ac:dyDescent="0.25">
      <c r="A2896" s="19" t="s">
        <v>19</v>
      </c>
      <c r="B2896" s="2">
        <v>44013</v>
      </c>
      <c r="C2896" s="1">
        <v>12</v>
      </c>
      <c r="D2896" s="39">
        <v>482</v>
      </c>
      <c r="E2896" s="1"/>
      <c r="F2896" s="39">
        <f t="shared" si="182"/>
        <v>0</v>
      </c>
      <c r="G2896" s="497"/>
      <c r="H2896" s="497"/>
      <c r="J2896" s="42"/>
    </row>
    <row r="2897" spans="1:10" s="360" customFormat="1" x14ac:dyDescent="0.25">
      <c r="A2897" s="19" t="s">
        <v>18</v>
      </c>
      <c r="B2897" s="2">
        <v>44013</v>
      </c>
      <c r="C2897" s="1">
        <v>13</v>
      </c>
      <c r="D2897" s="39">
        <v>877</v>
      </c>
      <c r="E2897" s="1"/>
      <c r="F2897" s="39">
        <f t="shared" si="182"/>
        <v>1</v>
      </c>
      <c r="G2897" s="497"/>
      <c r="H2897" s="497"/>
      <c r="J2897" s="42"/>
    </row>
    <row r="2898" spans="1:10" s="360" customFormat="1" x14ac:dyDescent="0.25">
      <c r="A2898" s="19" t="s">
        <v>34</v>
      </c>
      <c r="B2898" s="2">
        <v>44013</v>
      </c>
      <c r="C2898" s="1">
        <v>2</v>
      </c>
      <c r="D2898" s="39">
        <v>33</v>
      </c>
      <c r="E2898" s="1"/>
      <c r="F2898" s="39">
        <f t="shared" si="182"/>
        <v>1</v>
      </c>
      <c r="G2898" s="497"/>
      <c r="H2898" s="497"/>
      <c r="J2898" s="42"/>
    </row>
    <row r="2899" spans="1:10" s="360" customFormat="1" x14ac:dyDescent="0.25">
      <c r="A2899" s="19" t="s">
        <v>35</v>
      </c>
      <c r="B2899" s="2">
        <v>44013</v>
      </c>
      <c r="C2899" s="1">
        <v>0</v>
      </c>
      <c r="D2899" s="39">
        <v>8</v>
      </c>
      <c r="E2899" s="1"/>
      <c r="F2899" s="39">
        <f>E2899+F2875</f>
        <v>0</v>
      </c>
      <c r="G2899" s="497"/>
      <c r="H2899" s="497"/>
      <c r="J2899" s="42"/>
    </row>
    <row r="2900" spans="1:10" s="360" customFormat="1" x14ac:dyDescent="0.25">
      <c r="A2900" s="19" t="s">
        <v>36</v>
      </c>
      <c r="B2900" s="2">
        <v>44013</v>
      </c>
      <c r="C2900" s="1">
        <v>0</v>
      </c>
      <c r="D2900" s="39">
        <v>11</v>
      </c>
      <c r="E2900" s="1"/>
      <c r="F2900" s="39">
        <f t="shared" si="182"/>
        <v>0</v>
      </c>
      <c r="G2900" s="497"/>
      <c r="H2900" s="497"/>
      <c r="J2900" s="42"/>
    </row>
    <row r="2901" spans="1:10" s="360" customFormat="1" x14ac:dyDescent="0.25">
      <c r="A2901" s="19" t="s">
        <v>37</v>
      </c>
      <c r="B2901" s="2">
        <v>44013</v>
      </c>
      <c r="C2901" s="1">
        <v>0</v>
      </c>
      <c r="D2901" s="39">
        <v>50</v>
      </c>
      <c r="E2901" s="1"/>
      <c r="F2901" s="39">
        <f t="shared" si="182"/>
        <v>0</v>
      </c>
      <c r="G2901" s="497"/>
      <c r="H2901" s="497"/>
      <c r="J2901" s="42"/>
    </row>
    <row r="2902" spans="1:10" s="360" customFormat="1" x14ac:dyDescent="0.25">
      <c r="A2902" s="19" t="s">
        <v>22</v>
      </c>
      <c r="B2902" s="2">
        <v>44013</v>
      </c>
      <c r="C2902" s="1">
        <v>1</v>
      </c>
      <c r="D2902" s="39">
        <v>422</v>
      </c>
      <c r="E2902" s="1"/>
      <c r="F2902" s="39">
        <f>E2902+F2878</f>
        <v>4</v>
      </c>
      <c r="G2902" s="497"/>
      <c r="H2902" s="497"/>
      <c r="J2902" s="42"/>
    </row>
    <row r="2903" spans="1:10" s="360" customFormat="1" x14ac:dyDescent="0.25">
      <c r="A2903" s="19" t="s">
        <v>38</v>
      </c>
      <c r="B2903" s="2">
        <v>44013</v>
      </c>
      <c r="C2903" s="1">
        <v>1</v>
      </c>
      <c r="D2903" s="39">
        <v>25</v>
      </c>
      <c r="E2903" s="1"/>
      <c r="F2903" s="39">
        <f>E2903+F2879</f>
        <v>0</v>
      </c>
      <c r="G2903" s="497"/>
      <c r="H2903" s="497"/>
      <c r="J2903" s="42"/>
    </row>
    <row r="2904" spans="1:10" s="360" customFormat="1" x14ac:dyDescent="0.25">
      <c r="A2904" s="19" t="s">
        <v>39</v>
      </c>
      <c r="B2904" s="2">
        <v>44013</v>
      </c>
      <c r="C2904" s="1">
        <v>0</v>
      </c>
      <c r="D2904" s="39">
        <v>149</v>
      </c>
      <c r="E2904" s="1"/>
      <c r="F2904" s="39">
        <f>E2904+F2880</f>
        <v>1</v>
      </c>
      <c r="G2904" s="497"/>
      <c r="H2904" s="497"/>
      <c r="J2904" s="42"/>
    </row>
    <row r="2905" spans="1:10" s="360" customFormat="1" x14ac:dyDescent="0.25">
      <c r="A2905" s="19" t="s">
        <v>40</v>
      </c>
      <c r="B2905" s="2">
        <v>44013</v>
      </c>
      <c r="C2905" s="1">
        <v>8</v>
      </c>
      <c r="D2905" s="39">
        <v>81</v>
      </c>
      <c r="E2905" s="1"/>
      <c r="F2905" s="39">
        <f>E2905+F2881</f>
        <v>4</v>
      </c>
      <c r="G2905" s="497"/>
      <c r="H2905" s="497"/>
      <c r="J2905" s="42"/>
    </row>
    <row r="2906" spans="1:10" s="360" customFormat="1" x14ac:dyDescent="0.25">
      <c r="A2906" s="361" t="s">
        <v>16</v>
      </c>
      <c r="B2906" s="2">
        <v>44014</v>
      </c>
      <c r="C2906" s="1">
        <v>1733</v>
      </c>
      <c r="D2906" s="39">
        <v>35041</v>
      </c>
      <c r="E2906" s="1">
        <v>21</v>
      </c>
      <c r="F2906" s="39">
        <f>E2906+F2882</f>
        <v>627</v>
      </c>
      <c r="G2906" s="497"/>
      <c r="H2906" s="497"/>
      <c r="J2906" s="42"/>
    </row>
    <row r="2907" spans="1:10" s="360" customFormat="1" x14ac:dyDescent="0.25">
      <c r="A2907" s="19" t="s">
        <v>28</v>
      </c>
      <c r="B2907" s="2">
        <v>44014</v>
      </c>
      <c r="C2907" s="1">
        <v>0</v>
      </c>
      <c r="D2907" s="39">
        <v>0</v>
      </c>
      <c r="E2907" s="1"/>
      <c r="F2907" s="39">
        <f t="shared" ref="F2907:F2913" si="183">E2907+F2883</f>
        <v>0</v>
      </c>
      <c r="G2907" s="497"/>
      <c r="H2907" s="497"/>
      <c r="J2907" s="42"/>
    </row>
    <row r="2908" spans="1:10" s="360" customFormat="1" x14ac:dyDescent="0.25">
      <c r="A2908" s="19" t="s">
        <v>15</v>
      </c>
      <c r="B2908" s="2">
        <v>44014</v>
      </c>
      <c r="C2908" s="1">
        <v>81</v>
      </c>
      <c r="D2908" s="39">
        <v>2172</v>
      </c>
      <c r="E2908" s="1">
        <v>2</v>
      </c>
      <c r="F2908" s="39">
        <f t="shared" si="183"/>
        <v>100</v>
      </c>
      <c r="G2908" s="497"/>
      <c r="H2908" s="497"/>
      <c r="J2908" s="42"/>
    </row>
    <row r="2909" spans="1:10" s="360" customFormat="1" x14ac:dyDescent="0.25">
      <c r="A2909" s="19" t="s">
        <v>29</v>
      </c>
      <c r="B2909" s="2">
        <v>44014</v>
      </c>
      <c r="C2909" s="1">
        <v>0</v>
      </c>
      <c r="D2909" s="39">
        <v>136</v>
      </c>
      <c r="E2909" s="1"/>
      <c r="F2909" s="39">
        <f t="shared" si="183"/>
        <v>2</v>
      </c>
      <c r="G2909" s="497"/>
      <c r="H2909" s="497"/>
      <c r="J2909" s="42"/>
    </row>
    <row r="2910" spans="1:10" s="360" customFormat="1" x14ac:dyDescent="0.25">
      <c r="A2910" s="19" t="s">
        <v>43</v>
      </c>
      <c r="B2910" s="2">
        <v>44014</v>
      </c>
      <c r="C2910" s="1">
        <v>840</v>
      </c>
      <c r="D2910" s="39">
        <v>28776</v>
      </c>
      <c r="E2910" s="1">
        <v>11</v>
      </c>
      <c r="F2910" s="39">
        <f t="shared" si="183"/>
        <v>529</v>
      </c>
      <c r="G2910" s="497"/>
      <c r="H2910" s="497"/>
      <c r="J2910" s="42"/>
    </row>
    <row r="2911" spans="1:10" s="360" customFormat="1" x14ac:dyDescent="0.25">
      <c r="A2911" s="19" t="s">
        <v>20</v>
      </c>
      <c r="B2911" s="2">
        <v>44014</v>
      </c>
      <c r="C2911" s="1">
        <v>8</v>
      </c>
      <c r="D2911" s="39">
        <v>670</v>
      </c>
      <c r="E2911" s="1"/>
      <c r="F2911" s="39">
        <f t="shared" si="183"/>
        <v>34</v>
      </c>
      <c r="G2911" s="497"/>
      <c r="H2911" s="497"/>
      <c r="J2911" s="42"/>
    </row>
    <row r="2912" spans="1:10" s="360" customFormat="1" x14ac:dyDescent="0.25">
      <c r="A2912" s="19" t="s">
        <v>30</v>
      </c>
      <c r="B2912" s="2">
        <v>44014</v>
      </c>
      <c r="C2912" s="1">
        <v>0</v>
      </c>
      <c r="D2912" s="39">
        <v>119</v>
      </c>
      <c r="E2912" s="1"/>
      <c r="F2912" s="39">
        <f t="shared" si="183"/>
        <v>0</v>
      </c>
      <c r="G2912" s="497"/>
      <c r="H2912" s="497"/>
      <c r="J2912" s="42"/>
    </row>
    <row r="2913" spans="1:10" x14ac:dyDescent="0.25">
      <c r="A2913" s="19" t="s">
        <v>31</v>
      </c>
      <c r="B2913" s="2">
        <v>44014</v>
      </c>
      <c r="C2913" s="1">
        <v>14</v>
      </c>
      <c r="D2913" s="39">
        <v>307</v>
      </c>
      <c r="F2913" s="39">
        <f t="shared" si="183"/>
        <v>0</v>
      </c>
    </row>
    <row r="2914" spans="1:10" s="360" customFormat="1" x14ac:dyDescent="0.25">
      <c r="A2914" s="19" t="s">
        <v>41</v>
      </c>
      <c r="B2914" s="2">
        <v>44014</v>
      </c>
      <c r="C2914" s="1">
        <v>1</v>
      </c>
      <c r="D2914" s="39">
        <v>76</v>
      </c>
      <c r="E2914" s="1"/>
      <c r="F2914" s="39">
        <f t="shared" ref="F2914:F2925" si="184">E2914+F2889</f>
        <v>0</v>
      </c>
      <c r="G2914" s="497"/>
      <c r="H2914" s="497"/>
      <c r="J2914" s="42"/>
    </row>
    <row r="2915" spans="1:10" s="360" customFormat="1" x14ac:dyDescent="0.25">
      <c r="A2915" s="19" t="s">
        <v>32</v>
      </c>
      <c r="B2915" s="2">
        <v>44014</v>
      </c>
      <c r="C2915" s="1">
        <v>14</v>
      </c>
      <c r="D2915" s="39">
        <v>127</v>
      </c>
      <c r="E2915" s="1"/>
      <c r="F2915" s="39">
        <f t="shared" si="184"/>
        <v>0</v>
      </c>
      <c r="G2915" s="497"/>
      <c r="H2915" s="497"/>
      <c r="J2915" s="42"/>
    </row>
    <row r="2916" spans="1:10" s="360" customFormat="1" x14ac:dyDescent="0.25">
      <c r="A2916" s="19" t="s">
        <v>33</v>
      </c>
      <c r="B2916" s="2">
        <v>44014</v>
      </c>
      <c r="C2916" s="1">
        <v>0</v>
      </c>
      <c r="D2916" s="39">
        <v>7</v>
      </c>
      <c r="E2916" s="1"/>
      <c r="F2916" s="39">
        <f t="shared" si="184"/>
        <v>0</v>
      </c>
      <c r="G2916" s="497"/>
      <c r="H2916" s="497"/>
      <c r="J2916" s="42"/>
    </row>
    <row r="2917" spans="1:10" s="360" customFormat="1" x14ac:dyDescent="0.25">
      <c r="A2917" s="19" t="s">
        <v>21</v>
      </c>
      <c r="B2917" s="2">
        <v>44014</v>
      </c>
      <c r="C2917" s="1">
        <v>3</v>
      </c>
      <c r="D2917" s="39">
        <v>88</v>
      </c>
      <c r="E2917" s="1"/>
      <c r="F2917" s="39">
        <f t="shared" si="184"/>
        <v>0</v>
      </c>
      <c r="G2917" s="497"/>
      <c r="H2917" s="497"/>
      <c r="J2917" s="42"/>
    </row>
    <row r="2918" spans="1:10" s="360" customFormat="1" x14ac:dyDescent="0.25">
      <c r="A2918" s="19" t="s">
        <v>17</v>
      </c>
      <c r="B2918" s="2">
        <v>44014</v>
      </c>
      <c r="C2918" s="1">
        <v>2</v>
      </c>
      <c r="D2918" s="39">
        <v>177</v>
      </c>
      <c r="E2918" s="1"/>
      <c r="F2918" s="39">
        <f t="shared" si="184"/>
        <v>1</v>
      </c>
      <c r="G2918" s="497"/>
      <c r="H2918" s="497"/>
      <c r="J2918" s="42"/>
    </row>
    <row r="2919" spans="1:10" s="360" customFormat="1" x14ac:dyDescent="0.25">
      <c r="A2919" s="19" t="s">
        <v>23</v>
      </c>
      <c r="B2919" s="2">
        <v>44014</v>
      </c>
      <c r="C2919" s="1">
        <v>0</v>
      </c>
      <c r="D2919" s="39">
        <v>47</v>
      </c>
      <c r="E2919" s="1"/>
      <c r="F2919" s="39">
        <f t="shared" si="184"/>
        <v>0</v>
      </c>
      <c r="G2919" s="497"/>
      <c r="H2919" s="497"/>
      <c r="J2919" s="42"/>
    </row>
    <row r="2920" spans="1:10" s="360" customFormat="1" x14ac:dyDescent="0.25">
      <c r="A2920" s="19" t="s">
        <v>19</v>
      </c>
      <c r="B2920" s="2">
        <v>44014</v>
      </c>
      <c r="C2920" s="1">
        <v>12</v>
      </c>
      <c r="D2920" s="39">
        <v>494</v>
      </c>
      <c r="E2920" s="1"/>
      <c r="F2920" s="39">
        <f t="shared" si="184"/>
        <v>0</v>
      </c>
      <c r="G2920" s="497"/>
      <c r="H2920" s="497"/>
      <c r="J2920" s="42"/>
    </row>
    <row r="2921" spans="1:10" s="360" customFormat="1" x14ac:dyDescent="0.25">
      <c r="A2921" s="19" t="s">
        <v>18</v>
      </c>
      <c r="B2921" s="2">
        <v>44014</v>
      </c>
      <c r="C2921" s="1">
        <v>34</v>
      </c>
      <c r="D2921" s="39">
        <v>911</v>
      </c>
      <c r="E2921" s="1"/>
      <c r="F2921" s="39">
        <f t="shared" si="184"/>
        <v>0</v>
      </c>
      <c r="G2921" s="497"/>
      <c r="H2921" s="497"/>
      <c r="J2921" s="42"/>
    </row>
    <row r="2922" spans="1:10" s="360" customFormat="1" x14ac:dyDescent="0.25">
      <c r="A2922" s="19" t="s">
        <v>34</v>
      </c>
      <c r="B2922" s="2">
        <v>44014</v>
      </c>
      <c r="C2922" s="1">
        <v>0</v>
      </c>
      <c r="D2922" s="39">
        <v>33</v>
      </c>
      <c r="E2922" s="1"/>
      <c r="F2922" s="39">
        <f t="shared" si="184"/>
        <v>1</v>
      </c>
      <c r="G2922" s="497"/>
      <c r="H2922" s="497"/>
      <c r="J2922" s="42"/>
    </row>
    <row r="2923" spans="1:10" s="360" customFormat="1" x14ac:dyDescent="0.25">
      <c r="A2923" s="19" t="s">
        <v>35</v>
      </c>
      <c r="B2923" s="2">
        <v>44014</v>
      </c>
      <c r="C2923" s="1">
        <v>0</v>
      </c>
      <c r="D2923" s="39">
        <v>8</v>
      </c>
      <c r="E2923" s="1"/>
      <c r="F2923" s="39">
        <f>E2923+F2899</f>
        <v>0</v>
      </c>
      <c r="G2923" s="497"/>
      <c r="H2923" s="497"/>
      <c r="J2923" s="42"/>
    </row>
    <row r="2924" spans="1:10" s="360" customFormat="1" x14ac:dyDescent="0.25">
      <c r="A2924" s="19" t="s">
        <v>36</v>
      </c>
      <c r="B2924" s="2">
        <v>44014</v>
      </c>
      <c r="C2924" s="1">
        <v>0</v>
      </c>
      <c r="D2924" s="39">
        <v>11</v>
      </c>
      <c r="E2924" s="1"/>
      <c r="F2924" s="39">
        <f t="shared" si="184"/>
        <v>0</v>
      </c>
      <c r="G2924" s="497"/>
      <c r="H2924" s="497"/>
      <c r="J2924" s="42"/>
    </row>
    <row r="2925" spans="1:10" s="360" customFormat="1" x14ac:dyDescent="0.25">
      <c r="A2925" s="19" t="s">
        <v>37</v>
      </c>
      <c r="B2925" s="2">
        <v>44014</v>
      </c>
      <c r="C2925" s="1">
        <v>0</v>
      </c>
      <c r="D2925" s="39">
        <v>50</v>
      </c>
      <c r="E2925" s="1"/>
      <c r="F2925" s="39">
        <f t="shared" si="184"/>
        <v>0</v>
      </c>
      <c r="G2925" s="497"/>
      <c r="H2925" s="497"/>
      <c r="J2925" s="42"/>
    </row>
    <row r="2926" spans="1:10" s="360" customFormat="1" x14ac:dyDescent="0.25">
      <c r="A2926" s="19" t="s">
        <v>22</v>
      </c>
      <c r="B2926" s="2">
        <v>44014</v>
      </c>
      <c r="C2926" s="1">
        <v>2</v>
      </c>
      <c r="D2926" s="39">
        <v>424</v>
      </c>
      <c r="E2926" s="1"/>
      <c r="F2926" s="39">
        <f>E2926+F2902</f>
        <v>4</v>
      </c>
      <c r="G2926" s="497"/>
      <c r="H2926" s="497"/>
      <c r="J2926" s="42"/>
    </row>
    <row r="2927" spans="1:10" s="360" customFormat="1" x14ac:dyDescent="0.25">
      <c r="A2927" s="19" t="s">
        <v>38</v>
      </c>
      <c r="B2927" s="2">
        <v>44014</v>
      </c>
      <c r="C2927" s="1">
        <v>0</v>
      </c>
      <c r="D2927" s="39">
        <v>25</v>
      </c>
      <c r="E2927" s="1"/>
      <c r="F2927" s="39">
        <f>E2927+F2903</f>
        <v>0</v>
      </c>
      <c r="G2927" s="497"/>
      <c r="H2927" s="497"/>
      <c r="J2927" s="42"/>
    </row>
    <row r="2928" spans="1:10" s="360" customFormat="1" x14ac:dyDescent="0.25">
      <c r="A2928" s="19" t="s">
        <v>39</v>
      </c>
      <c r="B2928" s="2">
        <v>44014</v>
      </c>
      <c r="C2928" s="1">
        <v>0</v>
      </c>
      <c r="D2928" s="39">
        <v>149</v>
      </c>
      <c r="E2928" s="1"/>
      <c r="F2928" s="39">
        <f>E2928+F2904</f>
        <v>1</v>
      </c>
      <c r="G2928" s="497"/>
      <c r="H2928" s="497"/>
      <c r="J2928" s="42"/>
    </row>
    <row r="2929" spans="1:10" s="360" customFormat="1" x14ac:dyDescent="0.25">
      <c r="A2929" s="19" t="s">
        <v>40</v>
      </c>
      <c r="B2929" s="2">
        <v>44014</v>
      </c>
      <c r="C2929" s="1">
        <v>0</v>
      </c>
      <c r="D2929" s="39">
        <v>81</v>
      </c>
      <c r="E2929" s="1"/>
      <c r="F2929" s="39">
        <f>E2929+F2905</f>
        <v>4</v>
      </c>
      <c r="G2929" s="497"/>
      <c r="H2929" s="497"/>
      <c r="J2929" s="42"/>
    </row>
    <row r="2930" spans="1:10" s="360" customFormat="1" x14ac:dyDescent="0.25">
      <c r="A2930" s="361" t="s">
        <v>16</v>
      </c>
      <c r="B2930" s="2">
        <v>44015</v>
      </c>
      <c r="C2930" s="1">
        <v>1849</v>
      </c>
      <c r="D2930" s="39">
        <v>36890</v>
      </c>
      <c r="E2930" s="1">
        <v>26</v>
      </c>
      <c r="F2930" s="39">
        <f>E2930+F2906</f>
        <v>653</v>
      </c>
      <c r="G2930" s="497"/>
      <c r="H2930" s="497"/>
      <c r="J2930" s="42"/>
    </row>
    <row r="2931" spans="1:10" s="360" customFormat="1" x14ac:dyDescent="0.25">
      <c r="A2931" s="19" t="s">
        <v>28</v>
      </c>
      <c r="B2931" s="2">
        <v>44015</v>
      </c>
      <c r="C2931" s="1">
        <v>1</v>
      </c>
      <c r="D2931" s="39">
        <v>1</v>
      </c>
      <c r="E2931" s="1"/>
      <c r="F2931" s="39">
        <f t="shared" ref="F2931:F2937" si="185">E2931+F2907</f>
        <v>0</v>
      </c>
      <c r="G2931" s="497"/>
      <c r="H2931" s="497"/>
      <c r="J2931" s="42"/>
    </row>
    <row r="2932" spans="1:10" s="360" customFormat="1" x14ac:dyDescent="0.25">
      <c r="A2932" s="19" t="s">
        <v>15</v>
      </c>
      <c r="B2932" s="2">
        <v>44015</v>
      </c>
      <c r="C2932" s="1">
        <v>37</v>
      </c>
      <c r="D2932" s="39">
        <v>2209</v>
      </c>
      <c r="E2932" s="1">
        <v>3</v>
      </c>
      <c r="F2932" s="39">
        <f t="shared" si="185"/>
        <v>103</v>
      </c>
      <c r="G2932" s="497"/>
      <c r="H2932" s="497"/>
      <c r="J2932" s="42"/>
    </row>
    <row r="2933" spans="1:10" s="360" customFormat="1" x14ac:dyDescent="0.25">
      <c r="A2933" s="19" t="s">
        <v>29</v>
      </c>
      <c r="B2933" s="2">
        <v>44015</v>
      </c>
      <c r="C2933" s="1">
        <v>12</v>
      </c>
      <c r="D2933" s="39">
        <v>148</v>
      </c>
      <c r="E2933" s="1"/>
      <c r="F2933" s="39">
        <f t="shared" si="185"/>
        <v>2</v>
      </c>
      <c r="G2933" s="497"/>
      <c r="H2933" s="497"/>
      <c r="J2933" s="42"/>
    </row>
    <row r="2934" spans="1:10" s="360" customFormat="1" x14ac:dyDescent="0.25">
      <c r="A2934" s="19" t="s">
        <v>43</v>
      </c>
      <c r="B2934" s="2">
        <v>44015</v>
      </c>
      <c r="C2934" s="1">
        <v>835</v>
      </c>
      <c r="D2934" s="39">
        <v>29611</v>
      </c>
      <c r="E2934" s="1">
        <v>22</v>
      </c>
      <c r="F2934" s="39">
        <f t="shared" si="185"/>
        <v>551</v>
      </c>
      <c r="G2934" s="497"/>
      <c r="H2934" s="497"/>
      <c r="J2934" s="42"/>
    </row>
    <row r="2935" spans="1:10" s="360" customFormat="1" x14ac:dyDescent="0.25">
      <c r="A2935" s="19" t="s">
        <v>20</v>
      </c>
      <c r="B2935" s="2">
        <v>44015</v>
      </c>
      <c r="C2935" s="1">
        <v>8</v>
      </c>
      <c r="D2935" s="39">
        <v>678</v>
      </c>
      <c r="E2935" s="1"/>
      <c r="F2935" s="39">
        <f t="shared" si="185"/>
        <v>34</v>
      </c>
      <c r="G2935" s="497"/>
      <c r="H2935" s="497"/>
      <c r="J2935" s="42"/>
    </row>
    <row r="2936" spans="1:10" s="360" customFormat="1" x14ac:dyDescent="0.25">
      <c r="A2936" s="19" t="s">
        <v>30</v>
      </c>
      <c r="B2936" s="2">
        <v>44015</v>
      </c>
      <c r="C2936" s="1">
        <v>0</v>
      </c>
      <c r="D2936" s="39">
        <v>119</v>
      </c>
      <c r="E2936" s="1"/>
      <c r="F2936" s="39">
        <f t="shared" si="185"/>
        <v>0</v>
      </c>
      <c r="G2936" s="497"/>
      <c r="H2936" s="497"/>
      <c r="J2936" s="42"/>
    </row>
    <row r="2937" spans="1:10" x14ac:dyDescent="0.25">
      <c r="A2937" s="19" t="s">
        <v>31</v>
      </c>
      <c r="B2937" s="2">
        <v>44015</v>
      </c>
      <c r="C2937" s="1">
        <v>11</v>
      </c>
      <c r="D2937" s="39">
        <v>318</v>
      </c>
      <c r="F2937" s="39">
        <f t="shared" si="185"/>
        <v>0</v>
      </c>
    </row>
    <row r="2938" spans="1:10" s="360" customFormat="1" x14ac:dyDescent="0.25">
      <c r="A2938" s="19" t="s">
        <v>41</v>
      </c>
      <c r="B2938" s="2">
        <v>44015</v>
      </c>
      <c r="C2938" s="1">
        <v>0</v>
      </c>
      <c r="D2938" s="39">
        <v>76</v>
      </c>
      <c r="E2938" s="1"/>
      <c r="F2938" s="39">
        <f t="shared" ref="F2938:F2949" si="186">E2938+F2913</f>
        <v>0</v>
      </c>
      <c r="G2938" s="497"/>
      <c r="H2938" s="497"/>
      <c r="J2938" s="42"/>
    </row>
    <row r="2939" spans="1:10" s="360" customFormat="1" x14ac:dyDescent="0.25">
      <c r="A2939" s="19" t="s">
        <v>32</v>
      </c>
      <c r="B2939" s="2">
        <v>44015</v>
      </c>
      <c r="C2939" s="1">
        <v>20</v>
      </c>
      <c r="D2939" s="39">
        <v>147</v>
      </c>
      <c r="E2939" s="1"/>
      <c r="F2939" s="39">
        <f t="shared" si="186"/>
        <v>0</v>
      </c>
      <c r="G2939" s="497"/>
      <c r="H2939" s="497"/>
      <c r="J2939" s="42"/>
    </row>
    <row r="2940" spans="1:10" s="360" customFormat="1" x14ac:dyDescent="0.25">
      <c r="A2940" s="19" t="s">
        <v>33</v>
      </c>
      <c r="B2940" s="2">
        <v>44015</v>
      </c>
      <c r="C2940" s="1">
        <v>0</v>
      </c>
      <c r="D2940" s="39">
        <v>7</v>
      </c>
      <c r="E2940" s="1"/>
      <c r="F2940" s="39">
        <f t="shared" si="186"/>
        <v>0</v>
      </c>
      <c r="G2940" s="497"/>
      <c r="H2940" s="497"/>
      <c r="J2940" s="42"/>
    </row>
    <row r="2941" spans="1:10" s="360" customFormat="1" x14ac:dyDescent="0.25">
      <c r="A2941" s="19" t="s">
        <v>21</v>
      </c>
      <c r="B2941" s="2">
        <v>44015</v>
      </c>
      <c r="C2941" s="1">
        <v>3</v>
      </c>
      <c r="D2941" s="39">
        <v>91</v>
      </c>
      <c r="E2941" s="1"/>
      <c r="F2941" s="39">
        <f t="shared" si="186"/>
        <v>0</v>
      </c>
      <c r="G2941" s="497"/>
      <c r="H2941" s="497"/>
      <c r="J2941" s="42"/>
    </row>
    <row r="2942" spans="1:10" s="360" customFormat="1" x14ac:dyDescent="0.25">
      <c r="A2942" s="19" t="s">
        <v>17</v>
      </c>
      <c r="B2942" s="2">
        <v>44015</v>
      </c>
      <c r="C2942" s="1">
        <v>3</v>
      </c>
      <c r="D2942" s="39">
        <v>180</v>
      </c>
      <c r="E2942" s="1"/>
      <c r="F2942" s="39">
        <f t="shared" si="186"/>
        <v>0</v>
      </c>
      <c r="G2942" s="497"/>
      <c r="H2942" s="497"/>
      <c r="J2942" s="42"/>
    </row>
    <row r="2943" spans="1:10" s="360" customFormat="1" x14ac:dyDescent="0.25">
      <c r="A2943" s="19" t="s">
        <v>23</v>
      </c>
      <c r="B2943" s="2">
        <v>44015</v>
      </c>
      <c r="C2943" s="1">
        <v>0</v>
      </c>
      <c r="D2943" s="39">
        <v>47</v>
      </c>
      <c r="E2943" s="1"/>
      <c r="F2943" s="39">
        <f t="shared" si="186"/>
        <v>1</v>
      </c>
      <c r="G2943" s="497"/>
      <c r="H2943" s="497"/>
      <c r="J2943" s="42"/>
    </row>
    <row r="2944" spans="1:10" s="360" customFormat="1" x14ac:dyDescent="0.25">
      <c r="A2944" s="19" t="s">
        <v>19</v>
      </c>
      <c r="B2944" s="2">
        <v>44015</v>
      </c>
      <c r="C2944" s="1">
        <v>28</v>
      </c>
      <c r="D2944" s="39">
        <v>522</v>
      </c>
      <c r="E2944" s="1"/>
      <c r="F2944" s="39">
        <f t="shared" si="186"/>
        <v>0</v>
      </c>
      <c r="G2944" s="497"/>
      <c r="H2944" s="497"/>
      <c r="J2944" s="42"/>
    </row>
    <row r="2945" spans="1:10" s="360" customFormat="1" x14ac:dyDescent="0.25">
      <c r="A2945" s="19" t="s">
        <v>18</v>
      </c>
      <c r="B2945" s="2">
        <v>44015</v>
      </c>
      <c r="C2945" s="1">
        <v>23</v>
      </c>
      <c r="D2945" s="39">
        <v>934</v>
      </c>
      <c r="E2945" s="1"/>
      <c r="F2945" s="39">
        <f t="shared" si="186"/>
        <v>0</v>
      </c>
      <c r="G2945" s="497"/>
      <c r="H2945" s="497"/>
      <c r="J2945" s="42"/>
    </row>
    <row r="2946" spans="1:10" s="360" customFormat="1" x14ac:dyDescent="0.25">
      <c r="A2946" s="19" t="s">
        <v>34</v>
      </c>
      <c r="B2946" s="2">
        <v>44015</v>
      </c>
      <c r="C2946" s="1">
        <v>8</v>
      </c>
      <c r="D2946" s="39">
        <v>41</v>
      </c>
      <c r="E2946" s="1"/>
      <c r="F2946" s="39">
        <f t="shared" si="186"/>
        <v>0</v>
      </c>
      <c r="G2946" s="497"/>
      <c r="H2946" s="497"/>
      <c r="J2946" s="42"/>
    </row>
    <row r="2947" spans="1:10" s="360" customFormat="1" x14ac:dyDescent="0.25">
      <c r="A2947" s="19" t="s">
        <v>35</v>
      </c>
      <c r="B2947" s="2">
        <v>44015</v>
      </c>
      <c r="C2947" s="1">
        <v>0</v>
      </c>
      <c r="D2947" s="39">
        <v>8</v>
      </c>
      <c r="E2947" s="1"/>
      <c r="F2947" s="39">
        <f>E2947+F2923</f>
        <v>0</v>
      </c>
      <c r="G2947" s="497"/>
      <c r="H2947" s="497"/>
      <c r="J2947" s="42"/>
    </row>
    <row r="2948" spans="1:10" s="360" customFormat="1" x14ac:dyDescent="0.25">
      <c r="A2948" s="19" t="s">
        <v>36</v>
      </c>
      <c r="B2948" s="2">
        <v>44015</v>
      </c>
      <c r="C2948" s="1">
        <v>0</v>
      </c>
      <c r="D2948" s="39">
        <v>11</v>
      </c>
      <c r="E2948" s="1"/>
      <c r="F2948" s="39">
        <f t="shared" si="186"/>
        <v>0</v>
      </c>
      <c r="G2948" s="497"/>
      <c r="H2948" s="497"/>
      <c r="J2948" s="42"/>
    </row>
    <row r="2949" spans="1:10" s="360" customFormat="1" x14ac:dyDescent="0.25">
      <c r="A2949" s="19" t="s">
        <v>37</v>
      </c>
      <c r="B2949" s="2">
        <v>44015</v>
      </c>
      <c r="C2949" s="1">
        <v>0</v>
      </c>
      <c r="D2949" s="39">
        <v>50</v>
      </c>
      <c r="E2949" s="1"/>
      <c r="F2949" s="39">
        <f t="shared" si="186"/>
        <v>0</v>
      </c>
      <c r="G2949" s="497"/>
      <c r="H2949" s="497"/>
      <c r="J2949" s="42"/>
    </row>
    <row r="2950" spans="1:10" s="360" customFormat="1" x14ac:dyDescent="0.25">
      <c r="A2950" s="19" t="s">
        <v>22</v>
      </c>
      <c r="B2950" s="2">
        <v>44015</v>
      </c>
      <c r="C2950" s="1">
        <v>5</v>
      </c>
      <c r="D2950" s="39">
        <v>429</v>
      </c>
      <c r="E2950" s="1">
        <v>1</v>
      </c>
      <c r="F2950" s="39">
        <f>E2950+F2926</f>
        <v>5</v>
      </c>
      <c r="G2950" s="497"/>
      <c r="H2950" s="497"/>
      <c r="J2950" s="42"/>
    </row>
    <row r="2951" spans="1:10" s="360" customFormat="1" x14ac:dyDescent="0.25">
      <c r="A2951" s="19" t="s">
        <v>38</v>
      </c>
      <c r="B2951" s="2">
        <v>44015</v>
      </c>
      <c r="C2951" s="1">
        <v>0</v>
      </c>
      <c r="D2951" s="39">
        <v>25</v>
      </c>
      <c r="E2951" s="1"/>
      <c r="F2951" s="39">
        <f>E2951+F2927</f>
        <v>0</v>
      </c>
      <c r="G2951" s="497"/>
      <c r="H2951" s="497"/>
      <c r="J2951" s="42"/>
    </row>
    <row r="2952" spans="1:10" s="360" customFormat="1" x14ac:dyDescent="0.25">
      <c r="A2952" s="19" t="s">
        <v>39</v>
      </c>
      <c r="B2952" s="2">
        <v>44015</v>
      </c>
      <c r="C2952" s="1">
        <v>0</v>
      </c>
      <c r="D2952" s="39">
        <v>149</v>
      </c>
      <c r="E2952" s="1"/>
      <c r="F2952" s="39">
        <f>E2952+F2928</f>
        <v>1</v>
      </c>
      <c r="G2952" s="497"/>
      <c r="H2952" s="497"/>
      <c r="J2952" s="42"/>
    </row>
    <row r="2953" spans="1:10" s="360" customFormat="1" x14ac:dyDescent="0.25">
      <c r="A2953" s="19" t="s">
        <v>40</v>
      </c>
      <c r="B2953" s="2">
        <v>44015</v>
      </c>
      <c r="C2953" s="1">
        <v>2</v>
      </c>
      <c r="D2953" s="39">
        <v>83</v>
      </c>
      <c r="E2953" s="1"/>
      <c r="F2953" s="39">
        <f>E2953+F2929</f>
        <v>4</v>
      </c>
      <c r="G2953" s="497"/>
      <c r="H2953" s="497"/>
      <c r="J2953" s="42"/>
    </row>
    <row r="2954" spans="1:10" s="360" customFormat="1" x14ac:dyDescent="0.25">
      <c r="A2954" s="361" t="s">
        <v>16</v>
      </c>
      <c r="B2954" s="2">
        <v>44016</v>
      </c>
      <c r="C2954" s="1">
        <v>1517</v>
      </c>
      <c r="D2954" s="39">
        <v>38407</v>
      </c>
      <c r="E2954" s="1">
        <v>26</v>
      </c>
      <c r="F2954" s="39">
        <f>E2954+F2930</f>
        <v>679</v>
      </c>
      <c r="G2954" s="497"/>
      <c r="H2954" s="497"/>
      <c r="J2954" s="42"/>
    </row>
    <row r="2955" spans="1:10" s="360" customFormat="1" x14ac:dyDescent="0.25">
      <c r="A2955" s="19" t="s">
        <v>28</v>
      </c>
      <c r="B2955" s="2">
        <v>44016</v>
      </c>
      <c r="C2955" s="1">
        <v>5</v>
      </c>
      <c r="D2955" s="39">
        <v>6</v>
      </c>
      <c r="E2955" s="1"/>
      <c r="F2955" s="39">
        <f t="shared" ref="F2955:F2961" si="187">E2955+F2931</f>
        <v>0</v>
      </c>
      <c r="G2955" s="497"/>
      <c r="H2955" s="497"/>
      <c r="J2955" s="42"/>
    </row>
    <row r="2956" spans="1:10" s="360" customFormat="1" x14ac:dyDescent="0.25">
      <c r="A2956" s="19" t="s">
        <v>15</v>
      </c>
      <c r="B2956" s="2">
        <v>44016</v>
      </c>
      <c r="C2956" s="1">
        <v>53</v>
      </c>
      <c r="D2956" s="39">
        <v>2262</v>
      </c>
      <c r="E2956" s="1">
        <v>3</v>
      </c>
      <c r="F2956" s="39">
        <f t="shared" si="187"/>
        <v>106</v>
      </c>
      <c r="G2956" s="497"/>
      <c r="H2956" s="497"/>
      <c r="J2956" s="42"/>
    </row>
    <row r="2957" spans="1:10" s="360" customFormat="1" x14ac:dyDescent="0.25">
      <c r="A2957" s="19" t="s">
        <v>29</v>
      </c>
      <c r="B2957" s="2">
        <v>44016</v>
      </c>
      <c r="C2957" s="1">
        <v>0</v>
      </c>
      <c r="D2957" s="39">
        <v>148</v>
      </c>
      <c r="E2957" s="1"/>
      <c r="F2957" s="39">
        <f t="shared" si="187"/>
        <v>2</v>
      </c>
      <c r="G2957" s="497"/>
      <c r="H2957" s="497"/>
      <c r="J2957" s="42"/>
    </row>
    <row r="2958" spans="1:10" s="360" customFormat="1" x14ac:dyDescent="0.25">
      <c r="A2958" s="19" t="s">
        <v>43</v>
      </c>
      <c r="B2958" s="2">
        <v>44016</v>
      </c>
      <c r="C2958" s="1">
        <v>899</v>
      </c>
      <c r="D2958" s="39">
        <v>30510</v>
      </c>
      <c r="E2958" s="1">
        <v>13</v>
      </c>
      <c r="F2958" s="39">
        <f t="shared" si="187"/>
        <v>564</v>
      </c>
      <c r="G2958" s="497"/>
      <c r="H2958" s="497"/>
      <c r="J2958" s="42"/>
    </row>
    <row r="2959" spans="1:10" s="360" customFormat="1" x14ac:dyDescent="0.25">
      <c r="A2959" s="19" t="s">
        <v>20</v>
      </c>
      <c r="B2959" s="2">
        <v>44016</v>
      </c>
      <c r="C2959" s="1">
        <v>13</v>
      </c>
      <c r="D2959" s="39">
        <v>691</v>
      </c>
      <c r="E2959" s="1"/>
      <c r="F2959" s="39">
        <f t="shared" si="187"/>
        <v>34</v>
      </c>
      <c r="G2959" s="497"/>
      <c r="H2959" s="497"/>
      <c r="J2959" s="42"/>
    </row>
    <row r="2960" spans="1:10" s="360" customFormat="1" x14ac:dyDescent="0.25">
      <c r="A2960" s="19" t="s">
        <v>30</v>
      </c>
      <c r="B2960" s="2">
        <v>44016</v>
      </c>
      <c r="C2960" s="1">
        <v>0</v>
      </c>
      <c r="D2960" s="39">
        <v>119</v>
      </c>
      <c r="E2960" s="1"/>
      <c r="F2960" s="39">
        <f t="shared" si="187"/>
        <v>0</v>
      </c>
      <c r="G2960" s="497"/>
      <c r="H2960" s="497"/>
      <c r="J2960" s="42"/>
    </row>
    <row r="2961" spans="1:10" x14ac:dyDescent="0.25">
      <c r="A2961" s="19" t="s">
        <v>31</v>
      </c>
      <c r="B2961" s="2">
        <v>44016</v>
      </c>
      <c r="C2961" s="1">
        <v>5</v>
      </c>
      <c r="D2961" s="39">
        <v>323</v>
      </c>
      <c r="F2961" s="39">
        <f t="shared" si="187"/>
        <v>0</v>
      </c>
    </row>
    <row r="2962" spans="1:10" s="360" customFormat="1" x14ac:dyDescent="0.25">
      <c r="A2962" s="19" t="s">
        <v>41</v>
      </c>
      <c r="B2962" s="2">
        <v>44016</v>
      </c>
      <c r="C2962" s="1">
        <v>0</v>
      </c>
      <c r="D2962" s="39">
        <v>76</v>
      </c>
      <c r="E2962" s="1"/>
      <c r="F2962" s="39">
        <f t="shared" ref="F2962:F2973" si="188">E2962+F2937</f>
        <v>0</v>
      </c>
      <c r="G2962" s="497"/>
      <c r="H2962" s="497"/>
      <c r="J2962" s="42"/>
    </row>
    <row r="2963" spans="1:10" s="360" customFormat="1" x14ac:dyDescent="0.25">
      <c r="A2963" s="19" t="s">
        <v>32</v>
      </c>
      <c r="B2963" s="2">
        <v>44016</v>
      </c>
      <c r="C2963" s="1">
        <v>14</v>
      </c>
      <c r="D2963" s="39">
        <v>161</v>
      </c>
      <c r="E2963" s="1"/>
      <c r="F2963" s="39">
        <f t="shared" si="188"/>
        <v>0</v>
      </c>
      <c r="G2963" s="497"/>
      <c r="H2963" s="497"/>
      <c r="J2963" s="42"/>
    </row>
    <row r="2964" spans="1:10" s="360" customFormat="1" x14ac:dyDescent="0.25">
      <c r="A2964" s="19" t="s">
        <v>33</v>
      </c>
      <c r="B2964" s="2">
        <v>44016</v>
      </c>
      <c r="C2964" s="1">
        <v>0</v>
      </c>
      <c r="D2964" s="39">
        <v>7</v>
      </c>
      <c r="E2964" s="1"/>
      <c r="F2964" s="39">
        <f t="shared" si="188"/>
        <v>0</v>
      </c>
      <c r="G2964" s="497"/>
      <c r="H2964" s="497"/>
      <c r="J2964" s="42"/>
    </row>
    <row r="2965" spans="1:10" s="360" customFormat="1" x14ac:dyDescent="0.25">
      <c r="A2965" s="19" t="s">
        <v>21</v>
      </c>
      <c r="B2965" s="2">
        <v>44016</v>
      </c>
      <c r="C2965" s="1">
        <v>5</v>
      </c>
      <c r="D2965" s="39">
        <v>96</v>
      </c>
      <c r="E2965" s="1"/>
      <c r="F2965" s="39">
        <f t="shared" si="188"/>
        <v>0</v>
      </c>
      <c r="G2965" s="497"/>
      <c r="H2965" s="497"/>
      <c r="J2965" s="42"/>
    </row>
    <row r="2966" spans="1:10" s="360" customFormat="1" x14ac:dyDescent="0.25">
      <c r="A2966" s="19" t="s">
        <v>17</v>
      </c>
      <c r="B2966" s="2">
        <v>44016</v>
      </c>
      <c r="C2966" s="1">
        <v>4</v>
      </c>
      <c r="D2966" s="39">
        <v>184</v>
      </c>
      <c r="E2966" s="1"/>
      <c r="F2966" s="39">
        <f t="shared" si="188"/>
        <v>0</v>
      </c>
      <c r="G2966" s="497"/>
      <c r="H2966" s="497"/>
      <c r="J2966" s="42"/>
    </row>
    <row r="2967" spans="1:10" s="360" customFormat="1" x14ac:dyDescent="0.25">
      <c r="A2967" s="19" t="s">
        <v>23</v>
      </c>
      <c r="B2967" s="2">
        <v>44016</v>
      </c>
      <c r="C2967" s="1">
        <v>0</v>
      </c>
      <c r="D2967" s="39">
        <v>47</v>
      </c>
      <c r="E2967" s="1"/>
      <c r="F2967" s="39">
        <f t="shared" si="188"/>
        <v>0</v>
      </c>
      <c r="G2967" s="497"/>
      <c r="H2967" s="497"/>
      <c r="J2967" s="42"/>
    </row>
    <row r="2968" spans="1:10" s="360" customFormat="1" x14ac:dyDescent="0.25">
      <c r="A2968" s="19" t="s">
        <v>19</v>
      </c>
      <c r="B2968" s="2">
        <v>44016</v>
      </c>
      <c r="C2968" s="1">
        <v>20</v>
      </c>
      <c r="D2968" s="39">
        <v>542</v>
      </c>
      <c r="E2968" s="1">
        <v>1</v>
      </c>
      <c r="F2968" s="39">
        <f t="shared" si="188"/>
        <v>2</v>
      </c>
      <c r="G2968" s="497"/>
      <c r="H2968" s="497"/>
      <c r="J2968" s="42"/>
    </row>
    <row r="2969" spans="1:10" s="360" customFormat="1" x14ac:dyDescent="0.25">
      <c r="A2969" s="19" t="s">
        <v>18</v>
      </c>
      <c r="B2969" s="2">
        <v>44016</v>
      </c>
      <c r="C2969" s="1">
        <v>28</v>
      </c>
      <c r="D2969" s="39">
        <v>962</v>
      </c>
      <c r="E2969" s="1"/>
      <c r="F2969" s="39">
        <f t="shared" si="188"/>
        <v>0</v>
      </c>
      <c r="G2969" s="497"/>
      <c r="H2969" s="497"/>
      <c r="J2969" s="42"/>
    </row>
    <row r="2970" spans="1:10" s="360" customFormat="1" x14ac:dyDescent="0.25">
      <c r="A2970" s="19" t="s">
        <v>34</v>
      </c>
      <c r="B2970" s="2">
        <v>44016</v>
      </c>
      <c r="C2970" s="1">
        <v>16</v>
      </c>
      <c r="D2970" s="39">
        <v>57</v>
      </c>
      <c r="E2970" s="1"/>
      <c r="F2970" s="39">
        <f t="shared" si="188"/>
        <v>0</v>
      </c>
      <c r="G2970" s="497"/>
      <c r="H2970" s="497"/>
      <c r="J2970" s="42"/>
    </row>
    <row r="2971" spans="1:10" s="360" customFormat="1" x14ac:dyDescent="0.25">
      <c r="A2971" s="19" t="s">
        <v>35</v>
      </c>
      <c r="B2971" s="2">
        <v>44016</v>
      </c>
      <c r="C2971" s="1">
        <v>0</v>
      </c>
      <c r="D2971" s="39">
        <v>8</v>
      </c>
      <c r="E2971" s="1"/>
      <c r="F2971" s="39">
        <f>E2971+F2947</f>
        <v>0</v>
      </c>
      <c r="G2971" s="497"/>
      <c r="H2971" s="497"/>
      <c r="J2971" s="42"/>
    </row>
    <row r="2972" spans="1:10" s="360" customFormat="1" x14ac:dyDescent="0.25">
      <c r="A2972" s="19" t="s">
        <v>36</v>
      </c>
      <c r="B2972" s="2">
        <v>44016</v>
      </c>
      <c r="C2972" s="1">
        <v>1</v>
      </c>
      <c r="D2972" s="39">
        <v>12</v>
      </c>
      <c r="E2972" s="1"/>
      <c r="F2972" s="39">
        <f t="shared" si="188"/>
        <v>0</v>
      </c>
      <c r="G2972" s="497"/>
      <c r="H2972" s="497"/>
      <c r="J2972" s="42"/>
    </row>
    <row r="2973" spans="1:10" s="360" customFormat="1" x14ac:dyDescent="0.25">
      <c r="A2973" s="19" t="s">
        <v>37</v>
      </c>
      <c r="B2973" s="2">
        <v>44016</v>
      </c>
      <c r="C2973" s="1">
        <v>0</v>
      </c>
      <c r="D2973" s="39">
        <v>50</v>
      </c>
      <c r="E2973" s="1"/>
      <c r="F2973" s="39">
        <f t="shared" si="188"/>
        <v>0</v>
      </c>
      <c r="G2973" s="497"/>
      <c r="H2973" s="497"/>
      <c r="J2973" s="42"/>
    </row>
    <row r="2974" spans="1:10" s="360" customFormat="1" x14ac:dyDescent="0.25">
      <c r="A2974" s="19" t="s">
        <v>22</v>
      </c>
      <c r="B2974" s="2">
        <v>44016</v>
      </c>
      <c r="C2974" s="1">
        <v>5</v>
      </c>
      <c r="D2974" s="39">
        <v>434</v>
      </c>
      <c r="E2974" s="1">
        <v>1</v>
      </c>
      <c r="F2974" s="39">
        <f>E2974+F2950</f>
        <v>6</v>
      </c>
      <c r="G2974" s="497"/>
      <c r="H2974" s="497"/>
      <c r="J2974" s="42"/>
    </row>
    <row r="2975" spans="1:10" s="360" customFormat="1" x14ac:dyDescent="0.25">
      <c r="A2975" s="19" t="s">
        <v>38</v>
      </c>
      <c r="B2975" s="2">
        <v>44016</v>
      </c>
      <c r="C2975" s="1">
        <v>0</v>
      </c>
      <c r="D2975" s="39">
        <v>25</v>
      </c>
      <c r="E2975" s="1"/>
      <c r="F2975" s="39">
        <f>E2975+F2951</f>
        <v>0</v>
      </c>
      <c r="G2975" s="497"/>
      <c r="H2975" s="497"/>
      <c r="J2975" s="42"/>
    </row>
    <row r="2976" spans="1:10" s="360" customFormat="1" x14ac:dyDescent="0.25">
      <c r="A2976" s="19" t="s">
        <v>39</v>
      </c>
      <c r="B2976" s="2">
        <v>44016</v>
      </c>
      <c r="C2976" s="1">
        <v>4</v>
      </c>
      <c r="D2976" s="39">
        <v>153</v>
      </c>
      <c r="E2976" s="1"/>
      <c r="F2976" s="39">
        <f>E2976+F2952</f>
        <v>1</v>
      </c>
      <c r="G2976" s="497"/>
      <c r="H2976" s="497"/>
      <c r="J2976" s="42"/>
    </row>
    <row r="2977" spans="1:10" s="360" customFormat="1" x14ac:dyDescent="0.25">
      <c r="A2977" s="19" t="s">
        <v>40</v>
      </c>
      <c r="B2977" s="2">
        <v>44016</v>
      </c>
      <c r="C2977" s="1">
        <v>1</v>
      </c>
      <c r="D2977" s="39">
        <v>84</v>
      </c>
      <c r="E2977" s="1"/>
      <c r="F2977" s="39">
        <f>E2977+F2953</f>
        <v>4</v>
      </c>
      <c r="G2977" s="497"/>
      <c r="H2977" s="497"/>
      <c r="J2977" s="42"/>
    </row>
    <row r="2978" spans="1:10" s="360" customFormat="1" x14ac:dyDescent="0.25">
      <c r="A2978" s="361" t="s">
        <v>16</v>
      </c>
      <c r="B2978" s="2">
        <v>44017</v>
      </c>
      <c r="C2978" s="1">
        <v>1564</v>
      </c>
      <c r="D2978" s="39">
        <v>39971</v>
      </c>
      <c r="E2978" s="1">
        <v>12</v>
      </c>
      <c r="F2978" s="39">
        <f>E2978+F2954</f>
        <v>691</v>
      </c>
      <c r="G2978" s="497"/>
      <c r="H2978" s="497"/>
      <c r="J2978" s="42"/>
    </row>
    <row r="2979" spans="1:10" s="360" customFormat="1" x14ac:dyDescent="0.25">
      <c r="A2979" s="19" t="s">
        <v>28</v>
      </c>
      <c r="B2979" s="2">
        <v>44017</v>
      </c>
      <c r="C2979" s="1">
        <v>0</v>
      </c>
      <c r="D2979" s="39">
        <v>6</v>
      </c>
      <c r="E2979" s="1"/>
      <c r="F2979" s="39">
        <f t="shared" ref="F2979:F2985" si="189">E2979+F2955</f>
        <v>0</v>
      </c>
      <c r="G2979" s="497"/>
      <c r="H2979" s="497"/>
      <c r="J2979" s="42"/>
    </row>
    <row r="2980" spans="1:10" s="360" customFormat="1" x14ac:dyDescent="0.25">
      <c r="A2980" s="19" t="s">
        <v>15</v>
      </c>
      <c r="B2980" s="2">
        <v>44017</v>
      </c>
      <c r="C2980" s="1">
        <v>47</v>
      </c>
      <c r="D2980" s="39">
        <v>2309</v>
      </c>
      <c r="E2980" s="1"/>
      <c r="F2980" s="39">
        <f t="shared" si="189"/>
        <v>106</v>
      </c>
      <c r="G2980" s="497"/>
      <c r="H2980" s="497"/>
      <c r="J2980" s="42"/>
    </row>
    <row r="2981" spans="1:10" s="360" customFormat="1" x14ac:dyDescent="0.25">
      <c r="A2981" s="19" t="s">
        <v>29</v>
      </c>
      <c r="B2981" s="2">
        <v>44017</v>
      </c>
      <c r="C2981" s="1">
        <v>6</v>
      </c>
      <c r="D2981" s="39">
        <v>154</v>
      </c>
      <c r="E2981" s="1"/>
      <c r="F2981" s="39">
        <f t="shared" si="189"/>
        <v>2</v>
      </c>
      <c r="G2981" s="497"/>
      <c r="H2981" s="497"/>
      <c r="J2981" s="42"/>
    </row>
    <row r="2982" spans="1:10" s="360" customFormat="1" x14ac:dyDescent="0.25">
      <c r="A2982" s="19" t="s">
        <v>43</v>
      </c>
      <c r="B2982" s="2">
        <v>44017</v>
      </c>
      <c r="C2982" s="1">
        <v>767</v>
      </c>
      <c r="D2982" s="39">
        <v>31277</v>
      </c>
      <c r="E2982" s="1">
        <v>10</v>
      </c>
      <c r="F2982" s="39">
        <f t="shared" si="189"/>
        <v>574</v>
      </c>
      <c r="G2982" s="497"/>
      <c r="H2982" s="497"/>
      <c r="J2982" s="42"/>
    </row>
    <row r="2983" spans="1:10" s="360" customFormat="1" x14ac:dyDescent="0.25">
      <c r="A2983" s="19" t="s">
        <v>20</v>
      </c>
      <c r="B2983" s="2">
        <v>44017</v>
      </c>
      <c r="C2983" s="1">
        <v>14</v>
      </c>
      <c r="D2983" s="39">
        <v>705</v>
      </c>
      <c r="E2983" s="1"/>
      <c r="F2983" s="39">
        <f t="shared" si="189"/>
        <v>34</v>
      </c>
      <c r="G2983" s="497"/>
      <c r="H2983" s="497"/>
      <c r="J2983" s="42"/>
    </row>
    <row r="2984" spans="1:10" s="360" customFormat="1" x14ac:dyDescent="0.25">
      <c r="A2984" s="19" t="s">
        <v>30</v>
      </c>
      <c r="B2984" s="2">
        <v>44017</v>
      </c>
      <c r="C2984" s="1">
        <v>1</v>
      </c>
      <c r="D2984" s="39">
        <v>120</v>
      </c>
      <c r="E2984" s="1"/>
      <c r="F2984" s="39">
        <f t="shared" si="189"/>
        <v>0</v>
      </c>
      <c r="G2984" s="497"/>
      <c r="H2984" s="497"/>
      <c r="J2984" s="42"/>
    </row>
    <row r="2985" spans="1:10" x14ac:dyDescent="0.25">
      <c r="A2985" s="19" t="s">
        <v>31</v>
      </c>
      <c r="B2985" s="2">
        <v>44017</v>
      </c>
      <c r="C2985" s="1">
        <v>6</v>
      </c>
      <c r="D2985" s="39">
        <v>329</v>
      </c>
      <c r="F2985" s="39">
        <f t="shared" si="189"/>
        <v>0</v>
      </c>
    </row>
    <row r="2986" spans="1:10" s="360" customFormat="1" x14ac:dyDescent="0.25">
      <c r="A2986" s="19" t="s">
        <v>41</v>
      </c>
      <c r="B2986" s="2">
        <v>44017</v>
      </c>
      <c r="C2986" s="1">
        <v>0</v>
      </c>
      <c r="D2986" s="39">
        <v>76</v>
      </c>
      <c r="E2986" s="1"/>
      <c r="F2986" s="39">
        <f t="shared" ref="F2986:F2997" si="190">E2986+F2961</f>
        <v>0</v>
      </c>
      <c r="G2986" s="497"/>
      <c r="H2986" s="497"/>
      <c r="J2986" s="42"/>
    </row>
    <row r="2987" spans="1:10" s="360" customFormat="1" x14ac:dyDescent="0.25">
      <c r="A2987" s="19" t="s">
        <v>32</v>
      </c>
      <c r="B2987" s="2">
        <v>44017</v>
      </c>
      <c r="C2987" s="1">
        <v>1</v>
      </c>
      <c r="D2987" s="39">
        <v>162</v>
      </c>
      <c r="E2987" s="1"/>
      <c r="F2987" s="39">
        <f t="shared" si="190"/>
        <v>0</v>
      </c>
      <c r="G2987" s="497"/>
      <c r="H2987" s="497"/>
      <c r="J2987" s="42"/>
    </row>
    <row r="2988" spans="1:10" s="360" customFormat="1" x14ac:dyDescent="0.25">
      <c r="A2988" s="19" t="s">
        <v>33</v>
      </c>
      <c r="B2988" s="2">
        <v>44017</v>
      </c>
      <c r="C2988" s="1">
        <v>0</v>
      </c>
      <c r="D2988" s="39">
        <v>7</v>
      </c>
      <c r="E2988" s="1"/>
      <c r="F2988" s="39">
        <f t="shared" si="190"/>
        <v>0</v>
      </c>
      <c r="G2988" s="497"/>
      <c r="H2988" s="497"/>
      <c r="J2988" s="42"/>
    </row>
    <row r="2989" spans="1:10" s="360" customFormat="1" x14ac:dyDescent="0.25">
      <c r="A2989" s="19" t="s">
        <v>21</v>
      </c>
      <c r="B2989" s="2">
        <v>44017</v>
      </c>
      <c r="C2989" s="1">
        <v>6</v>
      </c>
      <c r="D2989" s="39">
        <v>102</v>
      </c>
      <c r="E2989" s="1"/>
      <c r="F2989" s="39">
        <f t="shared" si="190"/>
        <v>0</v>
      </c>
      <c r="G2989" s="497"/>
      <c r="H2989" s="497"/>
      <c r="J2989" s="42"/>
    </row>
    <row r="2990" spans="1:10" s="360" customFormat="1" x14ac:dyDescent="0.25">
      <c r="A2990" s="19" t="s">
        <v>17</v>
      </c>
      <c r="B2990" s="2">
        <v>44017</v>
      </c>
      <c r="C2990" s="1">
        <v>7</v>
      </c>
      <c r="D2990" s="39">
        <v>191</v>
      </c>
      <c r="E2990" s="1"/>
      <c r="F2990" s="39">
        <f t="shared" si="190"/>
        <v>0</v>
      </c>
      <c r="G2990" s="497"/>
      <c r="H2990" s="497"/>
      <c r="J2990" s="42"/>
    </row>
    <row r="2991" spans="1:10" s="360" customFormat="1" x14ac:dyDescent="0.25">
      <c r="A2991" s="19" t="s">
        <v>23</v>
      </c>
      <c r="B2991" s="2">
        <v>44017</v>
      </c>
      <c r="C2991" s="1">
        <v>0</v>
      </c>
      <c r="D2991" s="39">
        <v>47</v>
      </c>
      <c r="E2991" s="1"/>
      <c r="F2991" s="39">
        <f t="shared" si="190"/>
        <v>0</v>
      </c>
      <c r="G2991" s="497"/>
      <c r="H2991" s="497"/>
      <c r="J2991" s="42"/>
    </row>
    <row r="2992" spans="1:10" s="360" customFormat="1" x14ac:dyDescent="0.25">
      <c r="A2992" s="19" t="s">
        <v>19</v>
      </c>
      <c r="B2992" s="2">
        <v>44017</v>
      </c>
      <c r="C2992" s="1">
        <v>9</v>
      </c>
      <c r="D2992" s="39">
        <v>551</v>
      </c>
      <c r="E2992" s="1">
        <v>3</v>
      </c>
      <c r="F2992" s="39">
        <f t="shared" si="190"/>
        <v>3</v>
      </c>
      <c r="G2992" s="497"/>
      <c r="H2992" s="497"/>
      <c r="J2992" s="42"/>
    </row>
    <row r="2993" spans="1:10" s="360" customFormat="1" x14ac:dyDescent="0.25">
      <c r="A2993" s="19" t="s">
        <v>18</v>
      </c>
      <c r="B2993" s="2">
        <v>44017</v>
      </c>
      <c r="C2993" s="1">
        <v>3</v>
      </c>
      <c r="D2993" s="39">
        <v>965</v>
      </c>
      <c r="E2993" s="1">
        <v>1</v>
      </c>
      <c r="F2993" s="39">
        <f t="shared" si="190"/>
        <v>3</v>
      </c>
      <c r="G2993" s="497"/>
      <c r="H2993" s="497"/>
      <c r="J2993" s="42"/>
    </row>
    <row r="2994" spans="1:10" s="360" customFormat="1" x14ac:dyDescent="0.25">
      <c r="A2994" s="19" t="s">
        <v>34</v>
      </c>
      <c r="B2994" s="2">
        <v>44017</v>
      </c>
      <c r="C2994" s="1">
        <v>2</v>
      </c>
      <c r="D2994" s="39">
        <v>59</v>
      </c>
      <c r="E2994" s="1"/>
      <c r="F2994" s="39">
        <f t="shared" si="190"/>
        <v>0</v>
      </c>
      <c r="G2994" s="497"/>
      <c r="H2994" s="497"/>
      <c r="J2994" s="42"/>
    </row>
    <row r="2995" spans="1:10" s="360" customFormat="1" x14ac:dyDescent="0.25">
      <c r="A2995" s="19" t="s">
        <v>35</v>
      </c>
      <c r="B2995" s="2">
        <v>44017</v>
      </c>
      <c r="C2995" s="1">
        <v>0</v>
      </c>
      <c r="D2995" s="39">
        <v>8</v>
      </c>
      <c r="E2995" s="1"/>
      <c r="F2995" s="39">
        <f>E2995+F2971</f>
        <v>0</v>
      </c>
      <c r="G2995" s="497"/>
      <c r="H2995" s="497"/>
      <c r="J2995" s="42"/>
    </row>
    <row r="2996" spans="1:10" s="360" customFormat="1" x14ac:dyDescent="0.25">
      <c r="A2996" s="19" t="s">
        <v>36</v>
      </c>
      <c r="B2996" s="2">
        <v>44017</v>
      </c>
      <c r="C2996" s="1">
        <v>0</v>
      </c>
      <c r="D2996" s="39">
        <v>12</v>
      </c>
      <c r="E2996" s="1"/>
      <c r="F2996" s="39">
        <f t="shared" si="190"/>
        <v>0</v>
      </c>
      <c r="G2996" s="497"/>
      <c r="H2996" s="497"/>
      <c r="J2996" s="42"/>
    </row>
    <row r="2997" spans="1:10" s="360" customFormat="1" x14ac:dyDescent="0.25">
      <c r="A2997" s="19" t="s">
        <v>37</v>
      </c>
      <c r="B2997" s="2">
        <v>44017</v>
      </c>
      <c r="C2997" s="1">
        <v>0</v>
      </c>
      <c r="D2997" s="39">
        <v>50</v>
      </c>
      <c r="E2997" s="1"/>
      <c r="F2997" s="39">
        <f t="shared" si="190"/>
        <v>0</v>
      </c>
      <c r="G2997" s="497"/>
      <c r="H2997" s="497"/>
      <c r="J2997" s="42"/>
    </row>
    <row r="2998" spans="1:10" s="360" customFormat="1" x14ac:dyDescent="0.25">
      <c r="A2998" s="19" t="s">
        <v>22</v>
      </c>
      <c r="B2998" s="2">
        <v>44017</v>
      </c>
      <c r="C2998" s="1">
        <v>3</v>
      </c>
      <c r="D2998" s="39">
        <v>437</v>
      </c>
      <c r="E2998" s="1"/>
      <c r="F2998" s="39">
        <f>E2998+F2974</f>
        <v>6</v>
      </c>
      <c r="G2998" s="497"/>
      <c r="H2998" s="497"/>
      <c r="J2998" s="42"/>
    </row>
    <row r="2999" spans="1:10" s="360" customFormat="1" x14ac:dyDescent="0.25">
      <c r="A2999" s="19" t="s">
        <v>38</v>
      </c>
      <c r="B2999" s="2">
        <v>44017</v>
      </c>
      <c r="C2999" s="1">
        <v>0</v>
      </c>
      <c r="D2999" s="39">
        <v>25</v>
      </c>
      <c r="E2999" s="1"/>
      <c r="F2999" s="39">
        <f>E2999+F2975</f>
        <v>0</v>
      </c>
      <c r="G2999" s="497"/>
      <c r="H2999" s="497"/>
      <c r="J2999" s="42"/>
    </row>
    <row r="3000" spans="1:10" s="360" customFormat="1" x14ac:dyDescent="0.25">
      <c r="A3000" s="19" t="s">
        <v>39</v>
      </c>
      <c r="B3000" s="2">
        <v>44017</v>
      </c>
      <c r="C3000" s="1">
        <v>0</v>
      </c>
      <c r="D3000" s="39">
        <v>153</v>
      </c>
      <c r="E3000" s="1"/>
      <c r="F3000" s="39">
        <f>E3000+F2976</f>
        <v>1</v>
      </c>
      <c r="G3000" s="497"/>
      <c r="H3000" s="497"/>
      <c r="J3000" s="42"/>
    </row>
    <row r="3001" spans="1:10" s="360" customFormat="1" x14ac:dyDescent="0.25">
      <c r="A3001" s="19" t="s">
        <v>40</v>
      </c>
      <c r="B3001" s="2">
        <v>44017</v>
      </c>
      <c r="C3001" s="1">
        <v>3</v>
      </c>
      <c r="D3001" s="39">
        <v>87</v>
      </c>
      <c r="E3001" s="1"/>
      <c r="F3001" s="39">
        <f>E3001+F2977</f>
        <v>4</v>
      </c>
      <c r="G3001" s="497"/>
      <c r="H3001" s="497"/>
      <c r="J3001" s="42"/>
    </row>
    <row r="3002" spans="1:10" s="360" customFormat="1" x14ac:dyDescent="0.25">
      <c r="A3002" s="361" t="s">
        <v>16</v>
      </c>
      <c r="B3002" s="2">
        <v>44018</v>
      </c>
      <c r="C3002" s="1">
        <v>1476</v>
      </c>
      <c r="D3002" s="39">
        <v>41447</v>
      </c>
      <c r="E3002" s="1">
        <v>54</v>
      </c>
      <c r="F3002" s="39">
        <f>E3002+F2978</f>
        <v>745</v>
      </c>
      <c r="G3002" s="497"/>
      <c r="H3002" s="497"/>
      <c r="J3002" s="42"/>
    </row>
    <row r="3003" spans="1:10" s="360" customFormat="1" x14ac:dyDescent="0.25">
      <c r="A3003" s="19" t="s">
        <v>28</v>
      </c>
      <c r="B3003" s="2">
        <v>44018</v>
      </c>
      <c r="C3003" s="1">
        <v>1</v>
      </c>
      <c r="D3003" s="39">
        <v>7</v>
      </c>
      <c r="E3003" s="1"/>
      <c r="F3003" s="39">
        <f t="shared" ref="F3003:F3009" si="191">E3003+F2979</f>
        <v>0</v>
      </c>
      <c r="G3003" s="497"/>
      <c r="H3003" s="497"/>
      <c r="J3003" s="42"/>
    </row>
    <row r="3004" spans="1:10" s="360" customFormat="1" x14ac:dyDescent="0.25">
      <c r="A3004" s="19" t="s">
        <v>15</v>
      </c>
      <c r="B3004" s="2">
        <v>44018</v>
      </c>
      <c r="C3004" s="1">
        <v>26</v>
      </c>
      <c r="D3004" s="39">
        <v>2335</v>
      </c>
      <c r="E3004" s="1">
        <v>2</v>
      </c>
      <c r="F3004" s="39">
        <f t="shared" si="191"/>
        <v>108</v>
      </c>
      <c r="G3004" s="497"/>
      <c r="H3004" s="497"/>
      <c r="J3004" s="42"/>
    </row>
    <row r="3005" spans="1:10" s="360" customFormat="1" x14ac:dyDescent="0.25">
      <c r="A3005" s="19" t="s">
        <v>29</v>
      </c>
      <c r="B3005" s="2">
        <v>44018</v>
      </c>
      <c r="C3005" s="1">
        <v>6</v>
      </c>
      <c r="D3005" s="39">
        <v>160</v>
      </c>
      <c r="E3005" s="1"/>
      <c r="F3005" s="39">
        <f t="shared" si="191"/>
        <v>2</v>
      </c>
      <c r="G3005" s="497"/>
      <c r="H3005" s="497"/>
      <c r="J3005" s="42"/>
    </row>
    <row r="3006" spans="1:10" s="360" customFormat="1" x14ac:dyDescent="0.25">
      <c r="A3006" s="19" t="s">
        <v>43</v>
      </c>
      <c r="B3006" s="2">
        <v>44018</v>
      </c>
      <c r="C3006" s="1">
        <v>995</v>
      </c>
      <c r="D3006" s="39">
        <v>32272</v>
      </c>
      <c r="E3006" s="1">
        <v>14</v>
      </c>
      <c r="F3006" s="39">
        <f t="shared" si="191"/>
        <v>588</v>
      </c>
      <c r="G3006" s="497"/>
      <c r="H3006" s="497"/>
      <c r="J3006" s="42"/>
    </row>
    <row r="3007" spans="1:10" s="360" customFormat="1" x14ac:dyDescent="0.25">
      <c r="A3007" s="19" t="s">
        <v>20</v>
      </c>
      <c r="B3007" s="2">
        <v>44018</v>
      </c>
      <c r="C3007" s="1">
        <v>28</v>
      </c>
      <c r="D3007" s="39">
        <v>733</v>
      </c>
      <c r="E3007" s="1"/>
      <c r="F3007" s="39">
        <f t="shared" si="191"/>
        <v>34</v>
      </c>
      <c r="G3007" s="497"/>
      <c r="H3007" s="497"/>
      <c r="J3007" s="42"/>
    </row>
    <row r="3008" spans="1:10" s="360" customFormat="1" x14ac:dyDescent="0.25">
      <c r="A3008" s="19" t="s">
        <v>30</v>
      </c>
      <c r="B3008" s="2">
        <v>44018</v>
      </c>
      <c r="C3008" s="1">
        <v>1</v>
      </c>
      <c r="D3008" s="39">
        <v>121</v>
      </c>
      <c r="E3008" s="1"/>
      <c r="F3008" s="39">
        <f t="shared" si="191"/>
        <v>0</v>
      </c>
      <c r="G3008" s="497"/>
      <c r="H3008" s="497"/>
      <c r="J3008" s="42"/>
    </row>
    <row r="3009" spans="1:10" x14ac:dyDescent="0.25">
      <c r="A3009" s="19" t="s">
        <v>31</v>
      </c>
      <c r="B3009" s="2">
        <v>44018</v>
      </c>
      <c r="C3009" s="1">
        <v>5</v>
      </c>
      <c r="D3009" s="39">
        <v>334</v>
      </c>
      <c r="F3009" s="39">
        <f t="shared" si="191"/>
        <v>0</v>
      </c>
    </row>
    <row r="3010" spans="1:10" s="360" customFormat="1" x14ac:dyDescent="0.25">
      <c r="A3010" s="19" t="s">
        <v>41</v>
      </c>
      <c r="B3010" s="2">
        <v>44018</v>
      </c>
      <c r="C3010" s="1">
        <v>0</v>
      </c>
      <c r="D3010" s="39">
        <v>76</v>
      </c>
      <c r="E3010" s="1"/>
      <c r="F3010" s="39">
        <f t="shared" ref="F3010:F3021" si="192">E3010+F2985</f>
        <v>0</v>
      </c>
      <c r="G3010" s="497"/>
      <c r="H3010" s="497"/>
      <c r="J3010" s="42"/>
    </row>
    <row r="3011" spans="1:10" s="360" customFormat="1" x14ac:dyDescent="0.25">
      <c r="A3011" s="19" t="s">
        <v>32</v>
      </c>
      <c r="B3011" s="2">
        <v>44018</v>
      </c>
      <c r="C3011" s="1">
        <v>29</v>
      </c>
      <c r="D3011" s="39">
        <v>191</v>
      </c>
      <c r="E3011" s="1"/>
      <c r="F3011" s="39">
        <f t="shared" si="192"/>
        <v>0</v>
      </c>
      <c r="G3011" s="497"/>
      <c r="H3011" s="497"/>
      <c r="J3011" s="42"/>
    </row>
    <row r="3012" spans="1:10" s="360" customFormat="1" x14ac:dyDescent="0.25">
      <c r="A3012" s="19" t="s">
        <v>33</v>
      </c>
      <c r="B3012" s="2">
        <v>44018</v>
      </c>
      <c r="C3012" s="1">
        <v>0</v>
      </c>
      <c r="D3012" s="39">
        <v>7</v>
      </c>
      <c r="E3012" s="1"/>
      <c r="F3012" s="39">
        <f t="shared" si="192"/>
        <v>0</v>
      </c>
      <c r="G3012" s="497"/>
      <c r="H3012" s="497"/>
      <c r="J3012" s="42"/>
    </row>
    <row r="3013" spans="1:10" s="360" customFormat="1" x14ac:dyDescent="0.25">
      <c r="A3013" s="19" t="s">
        <v>21</v>
      </c>
      <c r="B3013" s="2">
        <v>44018</v>
      </c>
      <c r="C3013" s="1">
        <v>5</v>
      </c>
      <c r="D3013" s="39">
        <v>107</v>
      </c>
      <c r="E3013" s="1"/>
      <c r="F3013" s="39">
        <f t="shared" si="192"/>
        <v>0</v>
      </c>
      <c r="G3013" s="497"/>
      <c r="H3013" s="497"/>
      <c r="J3013" s="42"/>
    </row>
    <row r="3014" spans="1:10" s="360" customFormat="1" x14ac:dyDescent="0.25">
      <c r="A3014" s="19" t="s">
        <v>17</v>
      </c>
      <c r="B3014" s="2">
        <v>44018</v>
      </c>
      <c r="C3014" s="1">
        <v>4</v>
      </c>
      <c r="D3014" s="39">
        <v>195</v>
      </c>
      <c r="E3014" s="1"/>
      <c r="F3014" s="39">
        <f t="shared" si="192"/>
        <v>0</v>
      </c>
      <c r="G3014" s="497"/>
      <c r="H3014" s="497"/>
      <c r="J3014" s="42"/>
    </row>
    <row r="3015" spans="1:10" s="360" customFormat="1" x14ac:dyDescent="0.25">
      <c r="A3015" s="19" t="s">
        <v>23</v>
      </c>
      <c r="B3015" s="2">
        <v>44018</v>
      </c>
      <c r="C3015" s="1">
        <v>2</v>
      </c>
      <c r="D3015" s="39">
        <v>49</v>
      </c>
      <c r="E3015" s="1"/>
      <c r="F3015" s="39">
        <f t="shared" si="192"/>
        <v>0</v>
      </c>
      <c r="G3015" s="497"/>
      <c r="H3015" s="497"/>
      <c r="J3015" s="42"/>
    </row>
    <row r="3016" spans="1:10" s="360" customFormat="1" x14ac:dyDescent="0.25">
      <c r="A3016" s="19" t="s">
        <v>19</v>
      </c>
      <c r="B3016" s="2">
        <v>44018</v>
      </c>
      <c r="C3016" s="1">
        <v>34</v>
      </c>
      <c r="D3016" s="39">
        <v>585</v>
      </c>
      <c r="E3016" s="1">
        <v>1</v>
      </c>
      <c r="F3016" s="39">
        <f t="shared" si="192"/>
        <v>1</v>
      </c>
      <c r="G3016" s="497"/>
      <c r="H3016" s="497"/>
      <c r="J3016" s="42"/>
    </row>
    <row r="3017" spans="1:10" s="360" customFormat="1" x14ac:dyDescent="0.25">
      <c r="A3017" s="19" t="s">
        <v>18</v>
      </c>
      <c r="B3017" s="2">
        <v>44018</v>
      </c>
      <c r="C3017" s="1">
        <v>7</v>
      </c>
      <c r="D3017" s="39">
        <v>972</v>
      </c>
      <c r="E3017" s="1">
        <v>3</v>
      </c>
      <c r="F3017" s="39">
        <f t="shared" si="192"/>
        <v>6</v>
      </c>
      <c r="G3017" s="497"/>
      <c r="H3017" s="497"/>
      <c r="J3017" s="42"/>
    </row>
    <row r="3018" spans="1:10" s="360" customFormat="1" x14ac:dyDescent="0.25">
      <c r="A3018" s="19" t="s">
        <v>34</v>
      </c>
      <c r="B3018" s="2">
        <v>44018</v>
      </c>
      <c r="C3018" s="1">
        <v>2</v>
      </c>
      <c r="D3018" s="39">
        <v>61</v>
      </c>
      <c r="E3018" s="1">
        <v>1</v>
      </c>
      <c r="F3018" s="39">
        <f t="shared" si="192"/>
        <v>4</v>
      </c>
      <c r="G3018" s="497"/>
      <c r="H3018" s="497"/>
      <c r="J3018" s="42"/>
    </row>
    <row r="3019" spans="1:10" s="360" customFormat="1" x14ac:dyDescent="0.25">
      <c r="A3019" s="19" t="s">
        <v>35</v>
      </c>
      <c r="B3019" s="2">
        <v>44018</v>
      </c>
      <c r="C3019" s="1">
        <v>1</v>
      </c>
      <c r="D3019" s="39">
        <v>9</v>
      </c>
      <c r="E3019" s="1"/>
      <c r="F3019" s="39">
        <f>E3019+F2995</f>
        <v>0</v>
      </c>
      <c r="G3019" s="497"/>
      <c r="H3019" s="497"/>
      <c r="J3019" s="42"/>
    </row>
    <row r="3020" spans="1:10" s="360" customFormat="1" x14ac:dyDescent="0.25">
      <c r="A3020" s="19" t="s">
        <v>36</v>
      </c>
      <c r="B3020" s="2">
        <v>44018</v>
      </c>
      <c r="C3020" s="1">
        <v>0</v>
      </c>
      <c r="D3020" s="39">
        <v>12</v>
      </c>
      <c r="E3020" s="1"/>
      <c r="F3020" s="39">
        <f t="shared" si="192"/>
        <v>0</v>
      </c>
      <c r="G3020" s="497"/>
      <c r="H3020" s="497"/>
      <c r="J3020" s="42"/>
    </row>
    <row r="3021" spans="1:10" s="360" customFormat="1" x14ac:dyDescent="0.25">
      <c r="A3021" s="19" t="s">
        <v>37</v>
      </c>
      <c r="B3021" s="2">
        <v>44018</v>
      </c>
      <c r="C3021" s="1">
        <v>4</v>
      </c>
      <c r="D3021" s="39">
        <v>54</v>
      </c>
      <c r="E3021" s="1"/>
      <c r="F3021" s="39">
        <f t="shared" si="192"/>
        <v>0</v>
      </c>
      <c r="G3021" s="497"/>
      <c r="H3021" s="497"/>
      <c r="J3021" s="42"/>
    </row>
    <row r="3022" spans="1:10" s="360" customFormat="1" x14ac:dyDescent="0.25">
      <c r="A3022" s="19" t="s">
        <v>22</v>
      </c>
      <c r="B3022" s="2">
        <v>44018</v>
      </c>
      <c r="C3022" s="1">
        <v>5</v>
      </c>
      <c r="D3022" s="39">
        <v>442</v>
      </c>
      <c r="E3022" s="1"/>
      <c r="F3022" s="39">
        <f>E3022+F2998</f>
        <v>6</v>
      </c>
      <c r="G3022" s="497"/>
      <c r="H3022" s="497"/>
      <c r="J3022" s="42"/>
    </row>
    <row r="3023" spans="1:10" s="360" customFormat="1" x14ac:dyDescent="0.25">
      <c r="A3023" s="19" t="s">
        <v>38</v>
      </c>
      <c r="B3023" s="2">
        <v>44018</v>
      </c>
      <c r="C3023" s="1">
        <v>1</v>
      </c>
      <c r="D3023" s="39">
        <v>26</v>
      </c>
      <c r="E3023" s="1"/>
      <c r="F3023" s="39">
        <f>E3023+F2999</f>
        <v>0</v>
      </c>
      <c r="G3023" s="497"/>
      <c r="H3023" s="497"/>
      <c r="J3023" s="42"/>
    </row>
    <row r="3024" spans="1:10" s="360" customFormat="1" x14ac:dyDescent="0.25">
      <c r="A3024" s="19" t="s">
        <v>39</v>
      </c>
      <c r="B3024" s="2">
        <v>44018</v>
      </c>
      <c r="C3024" s="1">
        <v>0</v>
      </c>
      <c r="D3024" s="39">
        <v>153</v>
      </c>
      <c r="E3024" s="1"/>
      <c r="F3024" s="39">
        <f>E3024+F3000</f>
        <v>1</v>
      </c>
      <c r="G3024" s="497"/>
      <c r="H3024" s="497"/>
      <c r="J3024" s="42"/>
    </row>
    <row r="3025" spans="1:10" s="360" customFormat="1" x14ac:dyDescent="0.25">
      <c r="A3025" s="19" t="s">
        <v>40</v>
      </c>
      <c r="B3025" s="2">
        <v>44018</v>
      </c>
      <c r="C3025" s="1">
        <v>0</v>
      </c>
      <c r="D3025" s="39">
        <v>87</v>
      </c>
      <c r="E3025" s="1"/>
      <c r="F3025" s="39">
        <f>E3025+F3001</f>
        <v>4</v>
      </c>
      <c r="G3025" s="497"/>
      <c r="H3025" s="497"/>
      <c r="J3025" s="42"/>
    </row>
    <row r="3026" spans="1:10" s="360" customFormat="1" x14ac:dyDescent="0.25">
      <c r="A3026" s="361" t="s">
        <v>16</v>
      </c>
      <c r="B3026" s="2">
        <v>44019</v>
      </c>
      <c r="C3026" s="1">
        <v>1752</v>
      </c>
      <c r="D3026" s="39">
        <v>43199</v>
      </c>
      <c r="E3026" s="1">
        <v>39</v>
      </c>
      <c r="F3026" s="39">
        <f>E3026+F3002</f>
        <v>784</v>
      </c>
      <c r="G3026" s="497"/>
      <c r="H3026" s="497"/>
      <c r="J3026" s="42"/>
    </row>
    <row r="3027" spans="1:10" s="360" customFormat="1" x14ac:dyDescent="0.25">
      <c r="A3027" s="19" t="s">
        <v>28</v>
      </c>
      <c r="B3027" s="2">
        <v>44019</v>
      </c>
      <c r="C3027" s="1">
        <v>0</v>
      </c>
      <c r="D3027" s="39">
        <v>7</v>
      </c>
      <c r="E3027" s="1"/>
      <c r="F3027" s="39">
        <f t="shared" ref="F3027:F3033" si="193">E3027+F3003</f>
        <v>0</v>
      </c>
      <c r="G3027" s="497"/>
      <c r="H3027" s="497"/>
      <c r="J3027" s="42"/>
    </row>
    <row r="3028" spans="1:10" s="360" customFormat="1" x14ac:dyDescent="0.25">
      <c r="A3028" s="19" t="s">
        <v>15</v>
      </c>
      <c r="B3028" s="2">
        <v>44019</v>
      </c>
      <c r="C3028" s="1">
        <v>22</v>
      </c>
      <c r="D3028" s="39">
        <v>2357</v>
      </c>
      <c r="E3028" s="1"/>
      <c r="F3028" s="39">
        <f t="shared" si="193"/>
        <v>108</v>
      </c>
      <c r="G3028" s="497"/>
      <c r="H3028" s="497"/>
      <c r="J3028" s="42"/>
    </row>
    <row r="3029" spans="1:10" s="360" customFormat="1" x14ac:dyDescent="0.25">
      <c r="A3029" s="19" t="s">
        <v>29</v>
      </c>
      <c r="B3029" s="2">
        <v>44019</v>
      </c>
      <c r="C3029" s="1">
        <v>0</v>
      </c>
      <c r="D3029" s="39">
        <v>160</v>
      </c>
      <c r="E3029" s="1"/>
      <c r="F3029" s="39">
        <f t="shared" si="193"/>
        <v>2</v>
      </c>
      <c r="G3029" s="497"/>
      <c r="H3029" s="497"/>
      <c r="J3029" s="42"/>
    </row>
    <row r="3030" spans="1:10" s="360" customFormat="1" x14ac:dyDescent="0.25">
      <c r="A3030" s="19" t="s">
        <v>43</v>
      </c>
      <c r="B3030" s="2">
        <v>44019</v>
      </c>
      <c r="C3030" s="1">
        <v>1025</v>
      </c>
      <c r="D3030" s="39">
        <v>33297</v>
      </c>
      <c r="E3030" s="1">
        <v>21</v>
      </c>
      <c r="F3030" s="39">
        <f t="shared" si="193"/>
        <v>609</v>
      </c>
      <c r="G3030" s="497"/>
      <c r="H3030" s="497"/>
      <c r="J3030" s="42"/>
    </row>
    <row r="3031" spans="1:10" s="360" customFormat="1" x14ac:dyDescent="0.25">
      <c r="A3031" s="19" t="s">
        <v>20</v>
      </c>
      <c r="B3031" s="2">
        <v>44019</v>
      </c>
      <c r="C3031" s="1">
        <v>48</v>
      </c>
      <c r="D3031" s="39">
        <v>781</v>
      </c>
      <c r="E3031" s="1"/>
      <c r="F3031" s="39">
        <f t="shared" si="193"/>
        <v>34</v>
      </c>
      <c r="G3031" s="497"/>
      <c r="H3031" s="497"/>
      <c r="J3031" s="42"/>
    </row>
    <row r="3032" spans="1:10" s="360" customFormat="1" x14ac:dyDescent="0.25">
      <c r="A3032" s="19" t="s">
        <v>30</v>
      </c>
      <c r="B3032" s="2">
        <v>44019</v>
      </c>
      <c r="C3032" s="1">
        <v>1</v>
      </c>
      <c r="D3032" s="39">
        <v>122</v>
      </c>
      <c r="E3032" s="1"/>
      <c r="F3032" s="39">
        <f t="shared" si="193"/>
        <v>0</v>
      </c>
      <c r="G3032" s="497"/>
      <c r="H3032" s="497"/>
      <c r="J3032" s="42"/>
    </row>
    <row r="3033" spans="1:10" x14ac:dyDescent="0.25">
      <c r="A3033" s="19" t="s">
        <v>31</v>
      </c>
      <c r="B3033" s="2">
        <v>44019</v>
      </c>
      <c r="C3033" s="1">
        <v>10</v>
      </c>
      <c r="D3033" s="39">
        <v>344</v>
      </c>
      <c r="F3033" s="39">
        <f t="shared" si="193"/>
        <v>0</v>
      </c>
    </row>
    <row r="3034" spans="1:10" s="360" customFormat="1" x14ac:dyDescent="0.25">
      <c r="A3034" s="19" t="s">
        <v>41</v>
      </c>
      <c r="B3034" s="2">
        <v>44019</v>
      </c>
      <c r="C3034" s="1">
        <v>0</v>
      </c>
      <c r="D3034" s="39">
        <v>76</v>
      </c>
      <c r="E3034" s="1"/>
      <c r="F3034" s="39">
        <f t="shared" ref="F3034:F3045" si="194">E3034+F3009</f>
        <v>0</v>
      </c>
      <c r="G3034" s="497"/>
      <c r="H3034" s="497"/>
      <c r="J3034" s="42"/>
    </row>
    <row r="3035" spans="1:10" s="360" customFormat="1" x14ac:dyDescent="0.25">
      <c r="A3035" s="19" t="s">
        <v>32</v>
      </c>
      <c r="B3035" s="2">
        <v>44019</v>
      </c>
      <c r="C3035" s="1">
        <v>30</v>
      </c>
      <c r="D3035" s="39">
        <v>221</v>
      </c>
      <c r="E3035" s="1"/>
      <c r="F3035" s="39">
        <f t="shared" si="194"/>
        <v>0</v>
      </c>
      <c r="G3035" s="497"/>
      <c r="H3035" s="497"/>
      <c r="J3035" s="42"/>
    </row>
    <row r="3036" spans="1:10" s="360" customFormat="1" x14ac:dyDescent="0.25">
      <c r="A3036" s="19" t="s">
        <v>33</v>
      </c>
      <c r="B3036" s="2">
        <v>44019</v>
      </c>
      <c r="C3036" s="1">
        <v>0</v>
      </c>
      <c r="D3036" s="39">
        <v>7</v>
      </c>
      <c r="E3036" s="1"/>
      <c r="F3036" s="39">
        <f t="shared" si="194"/>
        <v>0</v>
      </c>
      <c r="G3036" s="497"/>
      <c r="H3036" s="497"/>
      <c r="J3036" s="42"/>
    </row>
    <row r="3037" spans="1:10" s="360" customFormat="1" x14ac:dyDescent="0.25">
      <c r="A3037" s="19" t="s">
        <v>21</v>
      </c>
      <c r="B3037" s="2">
        <v>44019</v>
      </c>
      <c r="C3037" s="1">
        <v>3</v>
      </c>
      <c r="D3037" s="39">
        <v>110</v>
      </c>
      <c r="E3037" s="1"/>
      <c r="F3037" s="39">
        <f t="shared" si="194"/>
        <v>0</v>
      </c>
      <c r="G3037" s="497"/>
      <c r="H3037" s="497"/>
      <c r="J3037" s="42"/>
    </row>
    <row r="3038" spans="1:10" s="360" customFormat="1" x14ac:dyDescent="0.25">
      <c r="A3038" s="19" t="s">
        <v>17</v>
      </c>
      <c r="B3038" s="2">
        <v>44019</v>
      </c>
      <c r="C3038" s="1">
        <v>23</v>
      </c>
      <c r="D3038" s="39">
        <v>218</v>
      </c>
      <c r="E3038" s="1"/>
      <c r="F3038" s="39">
        <f t="shared" si="194"/>
        <v>0</v>
      </c>
      <c r="G3038" s="497"/>
      <c r="H3038" s="497"/>
      <c r="J3038" s="42"/>
    </row>
    <row r="3039" spans="1:10" s="360" customFormat="1" x14ac:dyDescent="0.25">
      <c r="A3039" s="19" t="s">
        <v>23</v>
      </c>
      <c r="B3039" s="2">
        <v>44019</v>
      </c>
      <c r="C3039" s="1">
        <v>0</v>
      </c>
      <c r="D3039" s="39">
        <v>49</v>
      </c>
      <c r="E3039" s="1"/>
      <c r="F3039" s="39">
        <f t="shared" si="194"/>
        <v>0</v>
      </c>
      <c r="G3039" s="497"/>
      <c r="H3039" s="497"/>
      <c r="J3039" s="42"/>
    </row>
    <row r="3040" spans="1:10" s="360" customFormat="1" x14ac:dyDescent="0.25">
      <c r="A3040" s="19" t="s">
        <v>19</v>
      </c>
      <c r="B3040" s="2">
        <v>44019</v>
      </c>
      <c r="C3040" s="1">
        <v>22</v>
      </c>
      <c r="D3040" s="39">
        <v>607</v>
      </c>
      <c r="E3040" s="1"/>
      <c r="F3040" s="39">
        <f t="shared" si="194"/>
        <v>0</v>
      </c>
      <c r="G3040" s="497"/>
      <c r="H3040" s="497"/>
      <c r="J3040" s="42"/>
    </row>
    <row r="3041" spans="1:10" s="360" customFormat="1" x14ac:dyDescent="0.25">
      <c r="A3041" s="19" t="s">
        <v>18</v>
      </c>
      <c r="B3041" s="2">
        <v>44019</v>
      </c>
      <c r="C3041" s="1">
        <v>25</v>
      </c>
      <c r="D3041" s="39">
        <v>997</v>
      </c>
      <c r="E3041" s="1">
        <v>1</v>
      </c>
      <c r="F3041" s="39">
        <f t="shared" si="194"/>
        <v>2</v>
      </c>
      <c r="G3041" s="497"/>
      <c r="H3041" s="497"/>
      <c r="J3041" s="42"/>
    </row>
    <row r="3042" spans="1:10" s="360" customFormat="1" x14ac:dyDescent="0.25">
      <c r="A3042" s="19" t="s">
        <v>34</v>
      </c>
      <c r="B3042" s="2">
        <v>44019</v>
      </c>
      <c r="C3042" s="1">
        <v>8</v>
      </c>
      <c r="D3042" s="39">
        <v>69</v>
      </c>
      <c r="E3042" s="1">
        <v>1</v>
      </c>
      <c r="F3042" s="39">
        <f t="shared" si="194"/>
        <v>7</v>
      </c>
      <c r="G3042" s="497"/>
      <c r="H3042" s="497"/>
      <c r="J3042" s="42"/>
    </row>
    <row r="3043" spans="1:10" s="360" customFormat="1" x14ac:dyDescent="0.25">
      <c r="A3043" s="19" t="s">
        <v>35</v>
      </c>
      <c r="B3043" s="2">
        <v>44019</v>
      </c>
      <c r="C3043" s="1">
        <v>0</v>
      </c>
      <c r="D3043" s="39">
        <v>9</v>
      </c>
      <c r="E3043" s="1"/>
      <c r="F3043" s="39">
        <f>E3043+F3019</f>
        <v>0</v>
      </c>
      <c r="G3043" s="497"/>
      <c r="H3043" s="497"/>
      <c r="J3043" s="42"/>
    </row>
    <row r="3044" spans="1:10" s="360" customFormat="1" x14ac:dyDescent="0.25">
      <c r="A3044" s="19" t="s">
        <v>36</v>
      </c>
      <c r="B3044" s="2">
        <v>44019</v>
      </c>
      <c r="C3044" s="1">
        <v>0</v>
      </c>
      <c r="D3044" s="39">
        <v>12</v>
      </c>
      <c r="E3044" s="1"/>
      <c r="F3044" s="39">
        <f t="shared" si="194"/>
        <v>0</v>
      </c>
      <c r="G3044" s="497"/>
      <c r="H3044" s="497"/>
      <c r="J3044" s="42"/>
    </row>
    <row r="3045" spans="1:10" s="360" customFormat="1" x14ac:dyDescent="0.25">
      <c r="A3045" s="19" t="s">
        <v>37</v>
      </c>
      <c r="B3045" s="2">
        <v>44019</v>
      </c>
      <c r="C3045" s="1">
        <v>0</v>
      </c>
      <c r="D3045" s="39">
        <v>54</v>
      </c>
      <c r="E3045" s="1"/>
      <c r="F3045" s="39">
        <f t="shared" si="194"/>
        <v>0</v>
      </c>
      <c r="G3045" s="497"/>
      <c r="H3045" s="497"/>
      <c r="J3045" s="42"/>
    </row>
    <row r="3046" spans="1:10" s="360" customFormat="1" x14ac:dyDescent="0.25">
      <c r="A3046" s="19" t="s">
        <v>22</v>
      </c>
      <c r="B3046" s="2">
        <v>44019</v>
      </c>
      <c r="C3046" s="1">
        <v>9</v>
      </c>
      <c r="D3046" s="39">
        <v>451</v>
      </c>
      <c r="E3046" s="1"/>
      <c r="F3046" s="39">
        <f>E3046+F3022</f>
        <v>6</v>
      </c>
      <c r="G3046" s="497"/>
      <c r="H3046" s="497"/>
      <c r="J3046" s="42"/>
    </row>
    <row r="3047" spans="1:10" s="360" customFormat="1" x14ac:dyDescent="0.25">
      <c r="A3047" s="19" t="s">
        <v>38</v>
      </c>
      <c r="B3047" s="2">
        <v>44019</v>
      </c>
      <c r="C3047" s="1">
        <v>1</v>
      </c>
      <c r="D3047" s="39">
        <v>27</v>
      </c>
      <c r="E3047" s="1"/>
      <c r="F3047" s="39">
        <f>E3047+F3023</f>
        <v>0</v>
      </c>
      <c r="G3047" s="497"/>
      <c r="H3047" s="497"/>
      <c r="J3047" s="42"/>
    </row>
    <row r="3048" spans="1:10" s="360" customFormat="1" x14ac:dyDescent="0.25">
      <c r="A3048" s="19" t="s">
        <v>39</v>
      </c>
      <c r="B3048" s="2">
        <v>44019</v>
      </c>
      <c r="C3048" s="1">
        <v>1</v>
      </c>
      <c r="D3048" s="39">
        <v>154</v>
      </c>
      <c r="E3048" s="1"/>
      <c r="F3048" s="39">
        <f>E3048+F3024</f>
        <v>1</v>
      </c>
      <c r="G3048" s="497"/>
      <c r="H3048" s="497"/>
      <c r="J3048" s="42"/>
    </row>
    <row r="3049" spans="1:10" s="360" customFormat="1" x14ac:dyDescent="0.25">
      <c r="A3049" s="19" t="s">
        <v>40</v>
      </c>
      <c r="B3049" s="2">
        <v>44019</v>
      </c>
      <c r="C3049" s="1">
        <v>0</v>
      </c>
      <c r="D3049" s="39">
        <v>87</v>
      </c>
      <c r="E3049" s="1"/>
      <c r="F3049" s="39">
        <f>E3049+F3025</f>
        <v>4</v>
      </c>
      <c r="G3049" s="497"/>
      <c r="H3049" s="497"/>
      <c r="J3049" s="42"/>
    </row>
    <row r="3050" spans="1:10" s="360" customFormat="1" x14ac:dyDescent="0.25">
      <c r="A3050" s="361" t="s">
        <v>16</v>
      </c>
      <c r="B3050" s="2">
        <v>44020</v>
      </c>
      <c r="C3050" s="1">
        <v>2222</v>
      </c>
      <c r="D3050" s="39">
        <v>45421</v>
      </c>
      <c r="E3050" s="1">
        <v>35</v>
      </c>
      <c r="F3050" s="39">
        <f>E3050+F3026</f>
        <v>819</v>
      </c>
      <c r="G3050" s="497"/>
      <c r="H3050" s="497"/>
      <c r="J3050" s="42"/>
    </row>
    <row r="3051" spans="1:10" s="360" customFormat="1" x14ac:dyDescent="0.25">
      <c r="A3051" s="19" t="s">
        <v>28</v>
      </c>
      <c r="B3051" s="2">
        <v>44020</v>
      </c>
      <c r="C3051" s="1">
        <v>21</v>
      </c>
      <c r="D3051" s="39">
        <v>28</v>
      </c>
      <c r="E3051" s="1"/>
      <c r="F3051" s="39">
        <f t="shared" ref="F3051:F3057" si="195">E3051+F3027</f>
        <v>0</v>
      </c>
      <c r="G3051" s="497"/>
      <c r="H3051" s="497"/>
      <c r="J3051" s="42"/>
    </row>
    <row r="3052" spans="1:10" s="360" customFormat="1" x14ac:dyDescent="0.25">
      <c r="A3052" s="19" t="s">
        <v>15</v>
      </c>
      <c r="B3052" s="2">
        <v>44020</v>
      </c>
      <c r="C3052" s="1">
        <v>59</v>
      </c>
      <c r="D3052" s="39">
        <v>2416</v>
      </c>
      <c r="E3052" s="1"/>
      <c r="F3052" s="39">
        <f t="shared" si="195"/>
        <v>108</v>
      </c>
      <c r="G3052" s="497"/>
      <c r="H3052" s="497"/>
      <c r="J3052" s="42"/>
    </row>
    <row r="3053" spans="1:10" s="360" customFormat="1" x14ac:dyDescent="0.25">
      <c r="A3053" s="19" t="s">
        <v>29</v>
      </c>
      <c r="B3053" s="2">
        <v>44020</v>
      </c>
      <c r="C3053" s="1">
        <v>13</v>
      </c>
      <c r="D3053" s="39">
        <v>173</v>
      </c>
      <c r="E3053" s="1"/>
      <c r="F3053" s="39">
        <f t="shared" si="195"/>
        <v>2</v>
      </c>
      <c r="G3053" s="497"/>
      <c r="H3053" s="497"/>
      <c r="J3053" s="42"/>
    </row>
    <row r="3054" spans="1:10" s="360" customFormat="1" x14ac:dyDescent="0.25">
      <c r="A3054" s="19" t="s">
        <v>43</v>
      </c>
      <c r="B3054" s="2">
        <v>44020</v>
      </c>
      <c r="C3054" s="1">
        <v>1116</v>
      </c>
      <c r="D3054" s="39">
        <v>34413</v>
      </c>
      <c r="E3054" s="1">
        <v>16</v>
      </c>
      <c r="F3054" s="39">
        <f t="shared" si="195"/>
        <v>625</v>
      </c>
      <c r="G3054" s="497"/>
      <c r="H3054" s="497"/>
      <c r="J3054" s="42"/>
    </row>
    <row r="3055" spans="1:10" s="360" customFormat="1" x14ac:dyDescent="0.25">
      <c r="A3055" s="19" t="s">
        <v>20</v>
      </c>
      <c r="B3055" s="2">
        <v>44020</v>
      </c>
      <c r="C3055" s="1">
        <v>21</v>
      </c>
      <c r="D3055" s="39">
        <v>802</v>
      </c>
      <c r="E3055" s="1"/>
      <c r="F3055" s="39">
        <f t="shared" si="195"/>
        <v>34</v>
      </c>
      <c r="G3055" s="497"/>
      <c r="H3055" s="497"/>
      <c r="J3055" s="42"/>
    </row>
    <row r="3056" spans="1:10" s="360" customFormat="1" x14ac:dyDescent="0.25">
      <c r="A3056" s="19" t="s">
        <v>30</v>
      </c>
      <c r="B3056" s="2">
        <v>44020</v>
      </c>
      <c r="C3056" s="1">
        <v>4</v>
      </c>
      <c r="D3056" s="39">
        <v>126</v>
      </c>
      <c r="E3056" s="1"/>
      <c r="F3056" s="39">
        <f t="shared" si="195"/>
        <v>0</v>
      </c>
      <c r="G3056" s="497"/>
      <c r="H3056" s="497"/>
      <c r="J3056" s="42"/>
    </row>
    <row r="3057" spans="1:10" x14ac:dyDescent="0.25">
      <c r="A3057" s="19" t="s">
        <v>31</v>
      </c>
      <c r="B3057" s="2">
        <v>44020</v>
      </c>
      <c r="C3057" s="1">
        <v>11</v>
      </c>
      <c r="D3057" s="39">
        <v>355</v>
      </c>
      <c r="F3057" s="39">
        <f t="shared" si="195"/>
        <v>0</v>
      </c>
    </row>
    <row r="3058" spans="1:10" s="360" customFormat="1" x14ac:dyDescent="0.25">
      <c r="A3058" s="19" t="s">
        <v>41</v>
      </c>
      <c r="B3058" s="2">
        <v>44020</v>
      </c>
      <c r="C3058" s="1">
        <v>0</v>
      </c>
      <c r="D3058" s="39">
        <v>76</v>
      </c>
      <c r="E3058" s="1"/>
      <c r="F3058" s="39">
        <f t="shared" ref="F3058:F3069" si="196">E3058+F3033</f>
        <v>0</v>
      </c>
      <c r="G3058" s="497"/>
      <c r="H3058" s="497"/>
      <c r="J3058" s="42"/>
    </row>
    <row r="3059" spans="1:10" s="360" customFormat="1" x14ac:dyDescent="0.25">
      <c r="A3059" s="19" t="s">
        <v>32</v>
      </c>
      <c r="B3059" s="2">
        <v>44020</v>
      </c>
      <c r="C3059" s="1">
        <v>38</v>
      </c>
      <c r="D3059" s="39">
        <v>259</v>
      </c>
      <c r="E3059" s="1"/>
      <c r="F3059" s="39">
        <f t="shared" si="196"/>
        <v>0</v>
      </c>
      <c r="G3059" s="497"/>
      <c r="H3059" s="497"/>
      <c r="J3059" s="42"/>
    </row>
    <row r="3060" spans="1:10" s="360" customFormat="1" x14ac:dyDescent="0.25">
      <c r="A3060" s="19" t="s">
        <v>33</v>
      </c>
      <c r="B3060" s="2">
        <v>44020</v>
      </c>
      <c r="C3060" s="1">
        <v>0</v>
      </c>
      <c r="D3060" s="39">
        <v>7</v>
      </c>
      <c r="E3060" s="1"/>
      <c r="F3060" s="39">
        <f t="shared" si="196"/>
        <v>0</v>
      </c>
      <c r="G3060" s="497"/>
      <c r="H3060" s="497"/>
      <c r="J3060" s="42"/>
    </row>
    <row r="3061" spans="1:10" s="360" customFormat="1" x14ac:dyDescent="0.25">
      <c r="A3061" s="19" t="s">
        <v>21</v>
      </c>
      <c r="B3061" s="2">
        <v>44020</v>
      </c>
      <c r="C3061" s="1">
        <v>14</v>
      </c>
      <c r="D3061" s="39">
        <v>124</v>
      </c>
      <c r="E3061" s="1"/>
      <c r="F3061" s="39">
        <f t="shared" si="196"/>
        <v>0</v>
      </c>
      <c r="G3061" s="497"/>
      <c r="H3061" s="497"/>
      <c r="J3061" s="42"/>
    </row>
    <row r="3062" spans="1:10" s="360" customFormat="1" x14ac:dyDescent="0.25">
      <c r="A3062" s="19" t="s">
        <v>17</v>
      </c>
      <c r="B3062" s="2">
        <v>44020</v>
      </c>
      <c r="C3062" s="1">
        <v>22</v>
      </c>
      <c r="D3062" s="39">
        <v>240</v>
      </c>
      <c r="E3062" s="1"/>
      <c r="F3062" s="39">
        <f t="shared" si="196"/>
        <v>0</v>
      </c>
      <c r="G3062" s="497"/>
      <c r="H3062" s="497"/>
      <c r="J3062" s="42"/>
    </row>
    <row r="3063" spans="1:10" s="360" customFormat="1" x14ac:dyDescent="0.25">
      <c r="A3063" s="19" t="s">
        <v>23</v>
      </c>
      <c r="B3063" s="2">
        <v>44020</v>
      </c>
      <c r="C3063" s="1">
        <v>0</v>
      </c>
      <c r="D3063" s="39">
        <v>49</v>
      </c>
      <c r="E3063" s="1"/>
      <c r="F3063" s="39">
        <f t="shared" si="196"/>
        <v>0</v>
      </c>
      <c r="G3063" s="497"/>
      <c r="H3063" s="497"/>
      <c r="J3063" s="42"/>
    </row>
    <row r="3064" spans="1:10" s="360" customFormat="1" x14ac:dyDescent="0.25">
      <c r="A3064" s="19" t="s">
        <v>19</v>
      </c>
      <c r="B3064" s="2">
        <v>44020</v>
      </c>
      <c r="C3064" s="1">
        <v>23</v>
      </c>
      <c r="D3064" s="39">
        <v>630</v>
      </c>
      <c r="E3064" s="1"/>
      <c r="F3064" s="39">
        <f t="shared" si="196"/>
        <v>0</v>
      </c>
      <c r="G3064" s="497"/>
      <c r="H3064" s="497"/>
      <c r="J3064" s="42"/>
    </row>
    <row r="3065" spans="1:10" s="360" customFormat="1" x14ac:dyDescent="0.25">
      <c r="A3065" s="19" t="s">
        <v>18</v>
      </c>
      <c r="B3065" s="2">
        <v>44020</v>
      </c>
      <c r="C3065" s="1">
        <v>11</v>
      </c>
      <c r="D3065" s="39">
        <v>1008</v>
      </c>
      <c r="E3065" s="1"/>
      <c r="F3065" s="39">
        <f t="shared" si="196"/>
        <v>0</v>
      </c>
      <c r="G3065" s="497"/>
      <c r="H3065" s="497"/>
      <c r="J3065" s="42"/>
    </row>
    <row r="3066" spans="1:10" s="360" customFormat="1" x14ac:dyDescent="0.25">
      <c r="A3066" s="19" t="s">
        <v>34</v>
      </c>
      <c r="B3066" s="2">
        <v>44020</v>
      </c>
      <c r="C3066" s="1">
        <v>6</v>
      </c>
      <c r="D3066" s="39">
        <v>75</v>
      </c>
      <c r="E3066" s="1"/>
      <c r="F3066" s="39">
        <f t="shared" si="196"/>
        <v>2</v>
      </c>
      <c r="G3066" s="497"/>
      <c r="H3066" s="497"/>
      <c r="J3066" s="42"/>
    </row>
    <row r="3067" spans="1:10" s="360" customFormat="1" x14ac:dyDescent="0.25">
      <c r="A3067" s="19" t="s">
        <v>35</v>
      </c>
      <c r="B3067" s="2">
        <v>44020</v>
      </c>
      <c r="C3067" s="1">
        <v>0</v>
      </c>
      <c r="D3067" s="39">
        <v>9</v>
      </c>
      <c r="E3067" s="1"/>
      <c r="F3067" s="39">
        <f>E3067+F3043</f>
        <v>0</v>
      </c>
      <c r="G3067" s="497"/>
      <c r="H3067" s="497"/>
      <c r="J3067" s="42"/>
    </row>
    <row r="3068" spans="1:10" s="360" customFormat="1" x14ac:dyDescent="0.25">
      <c r="A3068" s="19" t="s">
        <v>36</v>
      </c>
      <c r="B3068" s="2">
        <v>44020</v>
      </c>
      <c r="C3068" s="1">
        <v>0</v>
      </c>
      <c r="D3068" s="39">
        <v>12</v>
      </c>
      <c r="E3068" s="1"/>
      <c r="F3068" s="39">
        <f t="shared" si="196"/>
        <v>0</v>
      </c>
      <c r="G3068" s="497"/>
      <c r="H3068" s="497"/>
      <c r="J3068" s="42"/>
    </row>
    <row r="3069" spans="1:10" s="360" customFormat="1" x14ac:dyDescent="0.25">
      <c r="A3069" s="19" t="s">
        <v>37</v>
      </c>
      <c r="B3069" s="2">
        <v>44020</v>
      </c>
      <c r="C3069" s="1">
        <v>0</v>
      </c>
      <c r="D3069" s="39">
        <v>54</v>
      </c>
      <c r="E3069" s="1"/>
      <c r="F3069" s="39">
        <f t="shared" si="196"/>
        <v>0</v>
      </c>
      <c r="G3069" s="497"/>
      <c r="H3069" s="497"/>
      <c r="J3069" s="42"/>
    </row>
    <row r="3070" spans="1:10" s="360" customFormat="1" x14ac:dyDescent="0.25">
      <c r="A3070" s="19" t="s">
        <v>22</v>
      </c>
      <c r="B3070" s="2">
        <v>44020</v>
      </c>
      <c r="C3070" s="1">
        <v>14</v>
      </c>
      <c r="D3070" s="39">
        <v>465</v>
      </c>
      <c r="E3070" s="1"/>
      <c r="F3070" s="39">
        <f>E3070+F3046</f>
        <v>6</v>
      </c>
      <c r="G3070" s="497"/>
      <c r="H3070" s="497"/>
      <c r="J3070" s="42"/>
    </row>
    <row r="3071" spans="1:10" s="360" customFormat="1" x14ac:dyDescent="0.25">
      <c r="A3071" s="19" t="s">
        <v>38</v>
      </c>
      <c r="B3071" s="2">
        <v>44020</v>
      </c>
      <c r="C3071" s="1">
        <v>8</v>
      </c>
      <c r="D3071" s="39">
        <v>35</v>
      </c>
      <c r="E3071" s="1"/>
      <c r="F3071" s="39">
        <f>E3071+F3047</f>
        <v>0</v>
      </c>
      <c r="G3071" s="497"/>
      <c r="H3071" s="497"/>
      <c r="J3071" s="42"/>
    </row>
    <row r="3072" spans="1:10" s="360" customFormat="1" x14ac:dyDescent="0.25">
      <c r="A3072" s="19" t="s">
        <v>39</v>
      </c>
      <c r="B3072" s="2">
        <v>44020</v>
      </c>
      <c r="C3072" s="1">
        <v>0</v>
      </c>
      <c r="D3072" s="39">
        <v>154</v>
      </c>
      <c r="E3072" s="1"/>
      <c r="F3072" s="39">
        <f>E3072+F3048</f>
        <v>1</v>
      </c>
      <c r="G3072" s="497"/>
      <c r="H3072" s="497"/>
      <c r="J3072" s="42"/>
    </row>
    <row r="3073" spans="1:10" s="360" customFormat="1" x14ac:dyDescent="0.25">
      <c r="A3073" s="19" t="s">
        <v>40</v>
      </c>
      <c r="B3073" s="2">
        <v>44020</v>
      </c>
      <c r="C3073" s="1">
        <v>1</v>
      </c>
      <c r="D3073" s="39">
        <v>88</v>
      </c>
      <c r="E3073" s="1"/>
      <c r="F3073" s="39">
        <f>E3073+F3049</f>
        <v>4</v>
      </c>
      <c r="G3073" s="497"/>
      <c r="H3073" s="497"/>
      <c r="J3073" s="42"/>
    </row>
    <row r="3074" spans="1:10" s="360" customFormat="1" x14ac:dyDescent="0.25">
      <c r="A3074" s="361" t="s">
        <v>16</v>
      </c>
      <c r="B3074" s="2">
        <v>44021</v>
      </c>
      <c r="C3074" s="1">
        <v>2372</v>
      </c>
      <c r="D3074" s="39">
        <v>47793</v>
      </c>
      <c r="E3074" s="1">
        <v>11</v>
      </c>
      <c r="F3074" s="39">
        <f>E3074+F3050</f>
        <v>830</v>
      </c>
      <c r="G3074" s="497"/>
      <c r="H3074" s="497"/>
      <c r="J3074" s="42"/>
    </row>
    <row r="3075" spans="1:10" s="360" customFormat="1" x14ac:dyDescent="0.25">
      <c r="A3075" s="19" t="s">
        <v>28</v>
      </c>
      <c r="B3075" s="2">
        <v>44021</v>
      </c>
      <c r="C3075" s="1">
        <v>10</v>
      </c>
      <c r="D3075" s="39">
        <v>38</v>
      </c>
      <c r="E3075" s="1"/>
      <c r="F3075" s="39">
        <f t="shared" ref="F3075:F3081" si="197">E3075+F3051</f>
        <v>0</v>
      </c>
      <c r="G3075" s="497"/>
      <c r="H3075" s="497"/>
      <c r="J3075" s="42"/>
    </row>
    <row r="3076" spans="1:10" s="360" customFormat="1" x14ac:dyDescent="0.25">
      <c r="A3076" s="19" t="s">
        <v>15</v>
      </c>
      <c r="B3076" s="2">
        <v>44021</v>
      </c>
      <c r="C3076" s="1">
        <v>30</v>
      </c>
      <c r="D3076" s="39">
        <v>2446</v>
      </c>
      <c r="E3076" s="1">
        <v>4</v>
      </c>
      <c r="F3076" s="39">
        <f t="shared" si="197"/>
        <v>112</v>
      </c>
      <c r="G3076" s="497"/>
      <c r="H3076" s="497"/>
      <c r="J3076" s="42"/>
    </row>
    <row r="3077" spans="1:10" s="360" customFormat="1" x14ac:dyDescent="0.25">
      <c r="A3077" s="19" t="s">
        <v>29</v>
      </c>
      <c r="B3077" s="2">
        <v>44021</v>
      </c>
      <c r="C3077" s="1">
        <v>19</v>
      </c>
      <c r="D3077" s="39">
        <v>192</v>
      </c>
      <c r="E3077" s="1"/>
      <c r="F3077" s="39">
        <f t="shared" si="197"/>
        <v>2</v>
      </c>
      <c r="G3077" s="497"/>
      <c r="H3077" s="497"/>
      <c r="J3077" s="42"/>
    </row>
    <row r="3078" spans="1:10" s="360" customFormat="1" x14ac:dyDescent="0.25">
      <c r="A3078" s="19" t="s">
        <v>43</v>
      </c>
      <c r="B3078" s="2">
        <v>44021</v>
      </c>
      <c r="C3078" s="1">
        <v>1058</v>
      </c>
      <c r="D3078" s="39">
        <v>35471</v>
      </c>
      <c r="E3078" s="1">
        <v>10</v>
      </c>
      <c r="F3078" s="39">
        <f t="shared" si="197"/>
        <v>635</v>
      </c>
      <c r="G3078" s="497"/>
      <c r="H3078" s="497"/>
      <c r="J3078" s="42"/>
    </row>
    <row r="3079" spans="1:10" s="360" customFormat="1" x14ac:dyDescent="0.25">
      <c r="A3079" s="19" t="s">
        <v>20</v>
      </c>
      <c r="B3079" s="2">
        <v>44021</v>
      </c>
      <c r="C3079" s="1">
        <v>27</v>
      </c>
      <c r="D3079" s="39">
        <v>829</v>
      </c>
      <c r="E3079" s="1"/>
      <c r="F3079" s="39">
        <f t="shared" si="197"/>
        <v>34</v>
      </c>
      <c r="G3079" s="497"/>
      <c r="H3079" s="497"/>
      <c r="J3079" s="42"/>
    </row>
    <row r="3080" spans="1:10" s="360" customFormat="1" x14ac:dyDescent="0.25">
      <c r="A3080" s="19" t="s">
        <v>30</v>
      </c>
      <c r="B3080" s="2">
        <v>44021</v>
      </c>
      <c r="C3080" s="1">
        <v>0</v>
      </c>
      <c r="D3080" s="39">
        <v>126</v>
      </c>
      <c r="E3080" s="1"/>
      <c r="F3080" s="39">
        <f t="shared" si="197"/>
        <v>0</v>
      </c>
      <c r="G3080" s="497"/>
      <c r="H3080" s="497"/>
      <c r="J3080" s="42"/>
    </row>
    <row r="3081" spans="1:10" x14ac:dyDescent="0.25">
      <c r="A3081" s="19" t="s">
        <v>31</v>
      </c>
      <c r="B3081" s="2">
        <v>44021</v>
      </c>
      <c r="C3081" s="1">
        <v>21</v>
      </c>
      <c r="D3081" s="39">
        <v>376</v>
      </c>
      <c r="F3081" s="39">
        <f t="shared" si="197"/>
        <v>0</v>
      </c>
    </row>
    <row r="3082" spans="1:10" s="360" customFormat="1" x14ac:dyDescent="0.25">
      <c r="A3082" s="19" t="s">
        <v>41</v>
      </c>
      <c r="B3082" s="2">
        <v>44021</v>
      </c>
      <c r="C3082" s="1">
        <v>0</v>
      </c>
      <c r="D3082" s="39">
        <v>76</v>
      </c>
      <c r="E3082" s="1"/>
      <c r="F3082" s="39">
        <f t="shared" ref="F3082:F3093" si="198">E3082+F3057</f>
        <v>0</v>
      </c>
      <c r="G3082" s="497"/>
      <c r="H3082" s="497"/>
      <c r="J3082" s="42"/>
    </row>
    <row r="3083" spans="1:10" s="360" customFormat="1" x14ac:dyDescent="0.25">
      <c r="A3083" s="19" t="s">
        <v>32</v>
      </c>
      <c r="B3083" s="2">
        <v>44021</v>
      </c>
      <c r="C3083" s="1">
        <v>52</v>
      </c>
      <c r="D3083" s="39">
        <v>311</v>
      </c>
      <c r="E3083" s="1"/>
      <c r="F3083" s="39">
        <f t="shared" si="198"/>
        <v>0</v>
      </c>
      <c r="G3083" s="497"/>
      <c r="H3083" s="497"/>
      <c r="J3083" s="42"/>
    </row>
    <row r="3084" spans="1:10" s="360" customFormat="1" x14ac:dyDescent="0.25">
      <c r="A3084" s="19" t="s">
        <v>33</v>
      </c>
      <c r="B3084" s="2">
        <v>44021</v>
      </c>
      <c r="C3084" s="1">
        <v>0</v>
      </c>
      <c r="D3084" s="39">
        <v>7</v>
      </c>
      <c r="E3084" s="1"/>
      <c r="F3084" s="39">
        <f t="shared" si="198"/>
        <v>0</v>
      </c>
      <c r="G3084" s="497"/>
      <c r="H3084" s="497"/>
      <c r="J3084" s="42"/>
    </row>
    <row r="3085" spans="1:10" s="360" customFormat="1" x14ac:dyDescent="0.25">
      <c r="A3085" s="19" t="s">
        <v>21</v>
      </c>
      <c r="B3085" s="2">
        <v>44021</v>
      </c>
      <c r="C3085" s="1">
        <v>1</v>
      </c>
      <c r="D3085" s="39">
        <v>125</v>
      </c>
      <c r="E3085" s="1"/>
      <c r="F3085" s="39">
        <f t="shared" si="198"/>
        <v>0</v>
      </c>
      <c r="G3085" s="497"/>
      <c r="H3085" s="497"/>
      <c r="J3085" s="42"/>
    </row>
    <row r="3086" spans="1:10" s="360" customFormat="1" x14ac:dyDescent="0.25">
      <c r="A3086" s="19" t="s">
        <v>17</v>
      </c>
      <c r="B3086" s="2">
        <v>44021</v>
      </c>
      <c r="C3086" s="1">
        <v>11</v>
      </c>
      <c r="D3086" s="39">
        <v>251</v>
      </c>
      <c r="E3086" s="1"/>
      <c r="F3086" s="39">
        <f t="shared" si="198"/>
        <v>0</v>
      </c>
      <c r="G3086" s="497"/>
      <c r="H3086" s="497"/>
      <c r="J3086" s="42"/>
    </row>
    <row r="3087" spans="1:10" s="360" customFormat="1" x14ac:dyDescent="0.25">
      <c r="A3087" s="19" t="s">
        <v>23</v>
      </c>
      <c r="B3087" s="2">
        <v>44021</v>
      </c>
      <c r="C3087" s="1">
        <v>0</v>
      </c>
      <c r="D3087" s="39">
        <v>49</v>
      </c>
      <c r="E3087" s="1"/>
      <c r="F3087" s="39">
        <f t="shared" si="198"/>
        <v>0</v>
      </c>
      <c r="G3087" s="497"/>
      <c r="H3087" s="497"/>
      <c r="J3087" s="42"/>
    </row>
    <row r="3088" spans="1:10" s="360" customFormat="1" x14ac:dyDescent="0.25">
      <c r="A3088" s="19" t="s">
        <v>19</v>
      </c>
      <c r="B3088" s="2">
        <v>44021</v>
      </c>
      <c r="C3088" s="1">
        <v>10</v>
      </c>
      <c r="D3088" s="39">
        <v>640</v>
      </c>
      <c r="E3088" s="1"/>
      <c r="F3088" s="39">
        <f t="shared" si="198"/>
        <v>0</v>
      </c>
      <c r="G3088" s="497"/>
      <c r="H3088" s="497"/>
      <c r="J3088" s="42"/>
    </row>
    <row r="3089" spans="1:10" s="360" customFormat="1" x14ac:dyDescent="0.25">
      <c r="A3089" s="19" t="s">
        <v>18</v>
      </c>
      <c r="B3089" s="2">
        <v>44021</v>
      </c>
      <c r="C3089" s="1">
        <v>23</v>
      </c>
      <c r="D3089" s="39">
        <v>1031</v>
      </c>
      <c r="E3089" s="1"/>
      <c r="F3089" s="39">
        <f t="shared" si="198"/>
        <v>0</v>
      </c>
      <c r="G3089" s="497"/>
      <c r="H3089" s="497"/>
      <c r="J3089" s="42"/>
    </row>
    <row r="3090" spans="1:10" s="360" customFormat="1" x14ac:dyDescent="0.25">
      <c r="A3090" s="19" t="s">
        <v>34</v>
      </c>
      <c r="B3090" s="2">
        <v>44021</v>
      </c>
      <c r="C3090" s="1">
        <v>9</v>
      </c>
      <c r="D3090" s="39">
        <v>84</v>
      </c>
      <c r="E3090" s="1">
        <v>1</v>
      </c>
      <c r="F3090" s="39">
        <f t="shared" si="198"/>
        <v>1</v>
      </c>
      <c r="G3090" s="497"/>
      <c r="H3090" s="497"/>
      <c r="J3090" s="42"/>
    </row>
    <row r="3091" spans="1:10" s="360" customFormat="1" x14ac:dyDescent="0.25">
      <c r="A3091" s="19" t="s">
        <v>35</v>
      </c>
      <c r="B3091" s="2">
        <v>44021</v>
      </c>
      <c r="C3091" s="1">
        <v>0</v>
      </c>
      <c r="D3091" s="39">
        <v>9</v>
      </c>
      <c r="E3091" s="1"/>
      <c r="F3091" s="39">
        <f>E3091+F3067</f>
        <v>0</v>
      </c>
      <c r="G3091" s="497"/>
      <c r="H3091" s="497"/>
      <c r="J3091" s="42"/>
    </row>
    <row r="3092" spans="1:10" s="360" customFormat="1" x14ac:dyDescent="0.25">
      <c r="A3092" s="19" t="s">
        <v>36</v>
      </c>
      <c r="B3092" s="2">
        <v>44021</v>
      </c>
      <c r="C3092" s="1">
        <v>0</v>
      </c>
      <c r="D3092" s="39">
        <v>12</v>
      </c>
      <c r="E3092" s="1"/>
      <c r="F3092" s="39">
        <f t="shared" si="198"/>
        <v>0</v>
      </c>
      <c r="G3092" s="497"/>
      <c r="H3092" s="497"/>
      <c r="J3092" s="42"/>
    </row>
    <row r="3093" spans="1:10" s="360" customFormat="1" x14ac:dyDescent="0.25">
      <c r="A3093" s="19" t="s">
        <v>37</v>
      </c>
      <c r="B3093" s="2">
        <v>44021</v>
      </c>
      <c r="C3093" s="1">
        <v>2</v>
      </c>
      <c r="D3093" s="39">
        <v>56</v>
      </c>
      <c r="E3093" s="1"/>
      <c r="F3093" s="39">
        <f t="shared" si="198"/>
        <v>0</v>
      </c>
      <c r="G3093" s="497"/>
      <c r="H3093" s="497"/>
      <c r="J3093" s="42"/>
    </row>
    <row r="3094" spans="1:10" s="360" customFormat="1" x14ac:dyDescent="0.25">
      <c r="A3094" s="19" t="s">
        <v>22</v>
      </c>
      <c r="B3094" s="2">
        <v>44021</v>
      </c>
      <c r="C3094" s="1">
        <v>15</v>
      </c>
      <c r="D3094" s="39">
        <v>480</v>
      </c>
      <c r="E3094" s="1"/>
      <c r="F3094" s="39">
        <f>E3094+F3070</f>
        <v>6</v>
      </c>
      <c r="G3094" s="497"/>
      <c r="H3094" s="497"/>
      <c r="J3094" s="42"/>
    </row>
    <row r="3095" spans="1:10" s="360" customFormat="1" x14ac:dyDescent="0.25">
      <c r="A3095" s="19" t="s">
        <v>38</v>
      </c>
      <c r="B3095" s="2">
        <v>44021</v>
      </c>
      <c r="C3095" s="1">
        <v>1</v>
      </c>
      <c r="D3095" s="39">
        <v>36</v>
      </c>
      <c r="E3095" s="1"/>
      <c r="F3095" s="39">
        <f>E3095+F3071</f>
        <v>0</v>
      </c>
      <c r="G3095" s="497"/>
      <c r="H3095" s="497"/>
      <c r="J3095" s="42"/>
    </row>
    <row r="3096" spans="1:10" s="360" customFormat="1" x14ac:dyDescent="0.25">
      <c r="A3096" s="19" t="s">
        <v>39</v>
      </c>
      <c r="B3096" s="2">
        <v>44021</v>
      </c>
      <c r="C3096" s="1">
        <v>1</v>
      </c>
      <c r="D3096" s="39">
        <v>155</v>
      </c>
      <c r="E3096" s="1"/>
      <c r="F3096" s="39">
        <f>E3096+F3072</f>
        <v>1</v>
      </c>
      <c r="G3096" s="497"/>
      <c r="H3096" s="497"/>
      <c r="J3096" s="42"/>
    </row>
    <row r="3097" spans="1:10" s="360" customFormat="1" x14ac:dyDescent="0.25">
      <c r="A3097" s="19" t="s">
        <v>40</v>
      </c>
      <c r="B3097" s="2">
        <v>44021</v>
      </c>
      <c r="C3097" s="1">
        <v>1</v>
      </c>
      <c r="D3097" s="39">
        <v>89</v>
      </c>
      <c r="E3097" s="1"/>
      <c r="F3097" s="39">
        <f>E3097+F3073</f>
        <v>4</v>
      </c>
      <c r="G3097" s="497"/>
      <c r="H3097" s="497"/>
      <c r="J3097" s="42"/>
    </row>
    <row r="3098" spans="1:10" s="360" customFormat="1" x14ac:dyDescent="0.25">
      <c r="A3098" s="361" t="s">
        <v>16</v>
      </c>
      <c r="B3098" s="2">
        <v>44022</v>
      </c>
      <c r="C3098" s="1">
        <v>2118</v>
      </c>
      <c r="D3098" s="39">
        <v>49911</v>
      </c>
      <c r="E3098" s="1">
        <v>29</v>
      </c>
      <c r="F3098" s="39">
        <f>E3098+F3074</f>
        <v>859</v>
      </c>
      <c r="G3098" s="497"/>
      <c r="H3098" s="497"/>
      <c r="J3098" s="42"/>
    </row>
    <row r="3099" spans="1:10" s="360" customFormat="1" x14ac:dyDescent="0.25">
      <c r="A3099" s="19" t="s">
        <v>28</v>
      </c>
      <c r="B3099" s="2">
        <v>44022</v>
      </c>
      <c r="C3099" s="1">
        <v>0</v>
      </c>
      <c r="D3099" s="39">
        <v>38</v>
      </c>
      <c r="E3099" s="1"/>
      <c r="F3099" s="39">
        <f t="shared" ref="F3099:F3105" si="199">E3099+F3075</f>
        <v>0</v>
      </c>
      <c r="G3099" s="497"/>
      <c r="H3099" s="497"/>
      <c r="J3099" s="42"/>
    </row>
    <row r="3100" spans="1:10" s="360" customFormat="1" x14ac:dyDescent="0.25">
      <c r="A3100" s="19" t="s">
        <v>15</v>
      </c>
      <c r="B3100" s="2">
        <v>44022</v>
      </c>
      <c r="C3100" s="1">
        <v>50</v>
      </c>
      <c r="D3100" s="39">
        <v>2496</v>
      </c>
      <c r="E3100" s="1">
        <v>1</v>
      </c>
      <c r="F3100" s="39">
        <f t="shared" si="199"/>
        <v>113</v>
      </c>
      <c r="G3100" s="497"/>
      <c r="H3100" s="497"/>
      <c r="J3100" s="42"/>
    </row>
    <row r="3101" spans="1:10" s="360" customFormat="1" x14ac:dyDescent="0.25">
      <c r="A3101" s="19" t="s">
        <v>29</v>
      </c>
      <c r="B3101" s="2">
        <v>44022</v>
      </c>
      <c r="C3101" s="1">
        <v>4</v>
      </c>
      <c r="D3101" s="39">
        <v>196</v>
      </c>
      <c r="E3101" s="1"/>
      <c r="F3101" s="39">
        <f t="shared" si="199"/>
        <v>2</v>
      </c>
      <c r="G3101" s="497"/>
      <c r="H3101" s="497"/>
      <c r="J3101" s="42"/>
    </row>
    <row r="3102" spans="1:10" s="360" customFormat="1" x14ac:dyDescent="0.25">
      <c r="A3102" s="19" t="s">
        <v>43</v>
      </c>
      <c r="B3102" s="2">
        <v>44022</v>
      </c>
      <c r="C3102" s="1">
        <v>1049</v>
      </c>
      <c r="D3102" s="39">
        <v>36520</v>
      </c>
      <c r="E3102" s="1">
        <v>21</v>
      </c>
      <c r="F3102" s="39">
        <f t="shared" si="199"/>
        <v>656</v>
      </c>
      <c r="G3102" s="497"/>
      <c r="H3102" s="497"/>
      <c r="J3102" s="42"/>
    </row>
    <row r="3103" spans="1:10" s="360" customFormat="1" x14ac:dyDescent="0.25">
      <c r="A3103" s="19" t="s">
        <v>20</v>
      </c>
      <c r="B3103" s="2">
        <v>44022</v>
      </c>
      <c r="C3103" s="1">
        <v>26</v>
      </c>
      <c r="D3103" s="39">
        <v>855</v>
      </c>
      <c r="E3103" s="1"/>
      <c r="F3103" s="39">
        <f t="shared" si="199"/>
        <v>34</v>
      </c>
      <c r="G3103" s="497"/>
      <c r="H3103" s="497"/>
      <c r="J3103" s="42"/>
    </row>
    <row r="3104" spans="1:10" s="360" customFormat="1" x14ac:dyDescent="0.25">
      <c r="A3104" s="19" t="s">
        <v>30</v>
      </c>
      <c r="B3104" s="2">
        <v>44022</v>
      </c>
      <c r="C3104" s="1">
        <v>0</v>
      </c>
      <c r="D3104" s="39">
        <v>126</v>
      </c>
      <c r="E3104" s="1"/>
      <c r="F3104" s="39">
        <f t="shared" si="199"/>
        <v>0</v>
      </c>
      <c r="G3104" s="497"/>
      <c r="H3104" s="497"/>
      <c r="J3104" s="42"/>
    </row>
    <row r="3105" spans="1:10" x14ac:dyDescent="0.25">
      <c r="A3105" s="19" t="s">
        <v>31</v>
      </c>
      <c r="B3105" s="2">
        <v>44022</v>
      </c>
      <c r="C3105" s="1">
        <v>25</v>
      </c>
      <c r="D3105" s="39">
        <v>401</v>
      </c>
      <c r="F3105" s="39">
        <f t="shared" si="199"/>
        <v>0</v>
      </c>
    </row>
    <row r="3106" spans="1:10" s="360" customFormat="1" x14ac:dyDescent="0.25">
      <c r="A3106" s="19" t="s">
        <v>41</v>
      </c>
      <c r="B3106" s="2">
        <v>44022</v>
      </c>
      <c r="C3106" s="1">
        <v>0</v>
      </c>
      <c r="D3106" s="39">
        <v>76</v>
      </c>
      <c r="E3106" s="1"/>
      <c r="F3106" s="39">
        <f t="shared" ref="F3106:F3117" si="200">E3106+F3081</f>
        <v>0</v>
      </c>
      <c r="G3106" s="497"/>
      <c r="H3106" s="497"/>
      <c r="J3106" s="42"/>
    </row>
    <row r="3107" spans="1:10" s="360" customFormat="1" x14ac:dyDescent="0.25">
      <c r="A3107" s="19" t="s">
        <v>32</v>
      </c>
      <c r="B3107" s="2">
        <v>44022</v>
      </c>
      <c r="C3107" s="1">
        <v>23</v>
      </c>
      <c r="D3107" s="39">
        <v>334</v>
      </c>
      <c r="E3107" s="1"/>
      <c r="F3107" s="39">
        <f t="shared" si="200"/>
        <v>0</v>
      </c>
      <c r="G3107" s="497"/>
      <c r="H3107" s="497"/>
      <c r="J3107" s="42"/>
    </row>
    <row r="3108" spans="1:10" s="360" customFormat="1" x14ac:dyDescent="0.25">
      <c r="A3108" s="19" t="s">
        <v>33</v>
      </c>
      <c r="B3108" s="2">
        <v>44022</v>
      </c>
      <c r="C3108" s="1">
        <v>0</v>
      </c>
      <c r="D3108" s="39">
        <v>7</v>
      </c>
      <c r="E3108" s="1"/>
      <c r="F3108" s="39">
        <f t="shared" si="200"/>
        <v>0</v>
      </c>
      <c r="G3108" s="497"/>
      <c r="H3108" s="497"/>
      <c r="J3108" s="42"/>
    </row>
    <row r="3109" spans="1:10" s="360" customFormat="1" x14ac:dyDescent="0.25">
      <c r="A3109" s="19" t="s">
        <v>21</v>
      </c>
      <c r="B3109" s="2">
        <v>44022</v>
      </c>
      <c r="C3109" s="1">
        <v>6</v>
      </c>
      <c r="D3109" s="39">
        <v>131</v>
      </c>
      <c r="E3109" s="1">
        <v>2</v>
      </c>
      <c r="F3109" s="39">
        <f t="shared" si="200"/>
        <v>2</v>
      </c>
      <c r="G3109" s="497"/>
      <c r="H3109" s="497"/>
      <c r="J3109" s="42"/>
    </row>
    <row r="3110" spans="1:10" s="360" customFormat="1" x14ac:dyDescent="0.25">
      <c r="A3110" s="19" t="s">
        <v>17</v>
      </c>
      <c r="B3110" s="2">
        <v>44022</v>
      </c>
      <c r="C3110" s="1">
        <v>12</v>
      </c>
      <c r="D3110" s="39">
        <v>263</v>
      </c>
      <c r="E3110" s="1"/>
      <c r="F3110" s="39">
        <f t="shared" si="200"/>
        <v>0</v>
      </c>
      <c r="G3110" s="497"/>
      <c r="H3110" s="497"/>
      <c r="J3110" s="42"/>
    </row>
    <row r="3111" spans="1:10" s="360" customFormat="1" x14ac:dyDescent="0.25">
      <c r="A3111" s="19" t="s">
        <v>23</v>
      </c>
      <c r="B3111" s="2">
        <v>44022</v>
      </c>
      <c r="C3111" s="1">
        <v>0</v>
      </c>
      <c r="D3111" s="39">
        <v>49</v>
      </c>
      <c r="E3111" s="1"/>
      <c r="F3111" s="39">
        <f t="shared" si="200"/>
        <v>0</v>
      </c>
      <c r="G3111" s="497"/>
      <c r="H3111" s="497"/>
      <c r="J3111" s="42"/>
    </row>
    <row r="3112" spans="1:10" s="360" customFormat="1" x14ac:dyDescent="0.25">
      <c r="A3112" s="19" t="s">
        <v>19</v>
      </c>
      <c r="B3112" s="2">
        <v>44022</v>
      </c>
      <c r="C3112" s="1">
        <v>14</v>
      </c>
      <c r="D3112" s="39">
        <v>654</v>
      </c>
      <c r="E3112" s="1">
        <v>1</v>
      </c>
      <c r="F3112" s="39">
        <f t="shared" si="200"/>
        <v>1</v>
      </c>
      <c r="G3112" s="497"/>
      <c r="H3112" s="497"/>
      <c r="J3112" s="42"/>
    </row>
    <row r="3113" spans="1:10" s="360" customFormat="1" x14ac:dyDescent="0.25">
      <c r="A3113" s="19" t="s">
        <v>18</v>
      </c>
      <c r="B3113" s="2">
        <v>44022</v>
      </c>
      <c r="C3113" s="1">
        <v>26</v>
      </c>
      <c r="D3113" s="39">
        <v>1057</v>
      </c>
      <c r="E3113" s="1"/>
      <c r="F3113" s="39">
        <f t="shared" si="200"/>
        <v>0</v>
      </c>
      <c r="G3113" s="497"/>
      <c r="H3113" s="497"/>
      <c r="J3113" s="42"/>
    </row>
    <row r="3114" spans="1:10" s="360" customFormat="1" x14ac:dyDescent="0.25">
      <c r="A3114" s="19" t="s">
        <v>34</v>
      </c>
      <c r="B3114" s="2">
        <v>44022</v>
      </c>
      <c r="C3114" s="1">
        <v>2</v>
      </c>
      <c r="D3114" s="39">
        <v>86</v>
      </c>
      <c r="E3114" s="1"/>
      <c r="F3114" s="39">
        <f t="shared" si="200"/>
        <v>0</v>
      </c>
      <c r="G3114" s="497"/>
      <c r="H3114" s="497"/>
      <c r="J3114" s="42"/>
    </row>
    <row r="3115" spans="1:10" s="360" customFormat="1" x14ac:dyDescent="0.25">
      <c r="A3115" s="19" t="s">
        <v>35</v>
      </c>
      <c r="B3115" s="2">
        <v>44022</v>
      </c>
      <c r="C3115" s="1">
        <v>0</v>
      </c>
      <c r="D3115" s="39">
        <v>9</v>
      </c>
      <c r="E3115" s="1"/>
      <c r="F3115" s="39">
        <f>E3115+F3091</f>
        <v>0</v>
      </c>
      <c r="G3115" s="497"/>
      <c r="H3115" s="497"/>
      <c r="J3115" s="42"/>
    </row>
    <row r="3116" spans="1:10" s="360" customFormat="1" x14ac:dyDescent="0.25">
      <c r="A3116" s="19" t="s">
        <v>36</v>
      </c>
      <c r="B3116" s="2">
        <v>44022</v>
      </c>
      <c r="C3116" s="1">
        <v>0</v>
      </c>
      <c r="D3116" s="39">
        <v>12</v>
      </c>
      <c r="E3116" s="1"/>
      <c r="F3116" s="39">
        <f t="shared" si="200"/>
        <v>0</v>
      </c>
      <c r="G3116" s="497"/>
      <c r="H3116" s="497"/>
      <c r="J3116" s="42"/>
    </row>
    <row r="3117" spans="1:10" s="360" customFormat="1" x14ac:dyDescent="0.25">
      <c r="A3117" s="19" t="s">
        <v>37</v>
      </c>
      <c r="B3117" s="2">
        <v>44022</v>
      </c>
      <c r="C3117" s="1">
        <v>4</v>
      </c>
      <c r="D3117" s="39">
        <v>60</v>
      </c>
      <c r="E3117" s="1"/>
      <c r="F3117" s="39">
        <f t="shared" si="200"/>
        <v>0</v>
      </c>
      <c r="G3117" s="497"/>
      <c r="H3117" s="497"/>
      <c r="J3117" s="42"/>
    </row>
    <row r="3118" spans="1:10" s="360" customFormat="1" x14ac:dyDescent="0.25">
      <c r="A3118" s="19" t="s">
        <v>22</v>
      </c>
      <c r="B3118" s="2">
        <v>44022</v>
      </c>
      <c r="C3118" s="1">
        <v>6</v>
      </c>
      <c r="D3118" s="39">
        <v>486</v>
      </c>
      <c r="E3118" s="1"/>
      <c r="F3118" s="39">
        <f>E3118+F3094</f>
        <v>6</v>
      </c>
      <c r="G3118" s="497"/>
      <c r="H3118" s="497"/>
      <c r="J3118" s="42"/>
    </row>
    <row r="3119" spans="1:10" s="360" customFormat="1" x14ac:dyDescent="0.25">
      <c r="A3119" s="19" t="s">
        <v>38</v>
      </c>
      <c r="B3119" s="2">
        <v>44022</v>
      </c>
      <c r="C3119" s="1">
        <v>0</v>
      </c>
      <c r="D3119" s="39">
        <v>36</v>
      </c>
      <c r="E3119" s="1"/>
      <c r="F3119" s="39">
        <f>E3119+F3095</f>
        <v>0</v>
      </c>
      <c r="G3119" s="497"/>
      <c r="H3119" s="497"/>
      <c r="J3119" s="42"/>
    </row>
    <row r="3120" spans="1:10" s="360" customFormat="1" x14ac:dyDescent="0.25">
      <c r="A3120" s="19" t="s">
        <v>39</v>
      </c>
      <c r="B3120" s="2">
        <v>44022</v>
      </c>
      <c r="C3120" s="1">
        <v>0</v>
      </c>
      <c r="D3120" s="39">
        <v>155</v>
      </c>
      <c r="E3120" s="1"/>
      <c r="F3120" s="39">
        <f>E3120+F3096</f>
        <v>1</v>
      </c>
      <c r="G3120" s="497"/>
      <c r="H3120" s="497"/>
      <c r="J3120" s="42"/>
    </row>
    <row r="3121" spans="1:10" s="360" customFormat="1" x14ac:dyDescent="0.25">
      <c r="A3121" s="19" t="s">
        <v>40</v>
      </c>
      <c r="B3121" s="2">
        <v>44022</v>
      </c>
      <c r="C3121" s="1">
        <v>2</v>
      </c>
      <c r="D3121" s="39">
        <v>91</v>
      </c>
      <c r="E3121" s="1"/>
      <c r="F3121" s="39">
        <f>E3121+F3097</f>
        <v>4</v>
      </c>
      <c r="G3121" s="497"/>
      <c r="H3121" s="497"/>
      <c r="J3121" s="42"/>
    </row>
    <row r="3122" spans="1:10" s="360" customFormat="1" x14ac:dyDescent="0.25">
      <c r="A3122" s="361" t="s">
        <v>16</v>
      </c>
      <c r="B3122" s="2">
        <v>44023</v>
      </c>
      <c r="C3122" s="1">
        <v>2113</v>
      </c>
      <c r="D3122" s="39">
        <v>52024</v>
      </c>
      <c r="E3122" s="1">
        <v>21</v>
      </c>
      <c r="F3122" s="39">
        <f>E3122+F3098</f>
        <v>880</v>
      </c>
      <c r="G3122" s="497"/>
      <c r="H3122" s="497"/>
      <c r="J3122" s="42"/>
    </row>
    <row r="3123" spans="1:10" s="360" customFormat="1" x14ac:dyDescent="0.25">
      <c r="A3123" s="19" t="s">
        <v>28</v>
      </c>
      <c r="B3123" s="2">
        <v>44023</v>
      </c>
      <c r="C3123" s="1">
        <v>1</v>
      </c>
      <c r="D3123" s="39">
        <v>39</v>
      </c>
      <c r="E3123" s="1"/>
      <c r="F3123" s="39">
        <f t="shared" ref="F3123:F3129" si="201">E3123+F3099</f>
        <v>0</v>
      </c>
      <c r="G3123" s="497"/>
      <c r="H3123" s="497"/>
      <c r="J3123" s="42"/>
    </row>
    <row r="3124" spans="1:10" s="360" customFormat="1" x14ac:dyDescent="0.25">
      <c r="A3124" s="19" t="s">
        <v>15</v>
      </c>
      <c r="B3124" s="2">
        <v>44023</v>
      </c>
      <c r="C3124" s="1">
        <v>56</v>
      </c>
      <c r="D3124" s="39">
        <v>2552</v>
      </c>
      <c r="E3124" s="1">
        <v>1</v>
      </c>
      <c r="F3124" s="39">
        <f t="shared" si="201"/>
        <v>114</v>
      </c>
      <c r="G3124" s="497"/>
      <c r="H3124" s="497"/>
      <c r="J3124" s="42"/>
    </row>
    <row r="3125" spans="1:10" s="360" customFormat="1" x14ac:dyDescent="0.25">
      <c r="A3125" s="19" t="s">
        <v>29</v>
      </c>
      <c r="B3125" s="2">
        <v>44023</v>
      </c>
      <c r="C3125" s="1">
        <v>9</v>
      </c>
      <c r="D3125" s="39">
        <v>205</v>
      </c>
      <c r="E3125" s="1">
        <v>1</v>
      </c>
      <c r="F3125" s="39">
        <f t="shared" si="201"/>
        <v>3</v>
      </c>
      <c r="G3125" s="497"/>
      <c r="H3125" s="497"/>
      <c r="J3125" s="42"/>
    </row>
    <row r="3126" spans="1:10" s="360" customFormat="1" x14ac:dyDescent="0.25">
      <c r="A3126" s="19" t="s">
        <v>43</v>
      </c>
      <c r="B3126" s="2">
        <v>44023</v>
      </c>
      <c r="C3126" s="1">
        <v>1051</v>
      </c>
      <c r="D3126" s="39">
        <v>37571</v>
      </c>
      <c r="E3126" s="1">
        <v>13</v>
      </c>
      <c r="F3126" s="39">
        <f t="shared" si="201"/>
        <v>669</v>
      </c>
      <c r="G3126" s="497"/>
      <c r="H3126" s="497"/>
      <c r="J3126" s="42"/>
    </row>
    <row r="3127" spans="1:10" s="360" customFormat="1" x14ac:dyDescent="0.25">
      <c r="A3127" s="19" t="s">
        <v>20</v>
      </c>
      <c r="B3127" s="2">
        <v>44023</v>
      </c>
      <c r="C3127" s="1">
        <v>30</v>
      </c>
      <c r="D3127" s="39">
        <v>885</v>
      </c>
      <c r="E3127" s="1"/>
      <c r="F3127" s="39">
        <f t="shared" si="201"/>
        <v>34</v>
      </c>
      <c r="G3127" s="497"/>
      <c r="H3127" s="497"/>
      <c r="J3127" s="42"/>
    </row>
    <row r="3128" spans="1:10" s="360" customFormat="1" x14ac:dyDescent="0.25">
      <c r="A3128" s="19" t="s">
        <v>30</v>
      </c>
      <c r="B3128" s="2">
        <v>44023</v>
      </c>
      <c r="C3128" s="1">
        <v>1</v>
      </c>
      <c r="D3128" s="39">
        <v>127</v>
      </c>
      <c r="E3128" s="1"/>
      <c r="F3128" s="39">
        <f t="shared" si="201"/>
        <v>0</v>
      </c>
      <c r="G3128" s="497"/>
      <c r="H3128" s="497"/>
      <c r="J3128" s="42"/>
    </row>
    <row r="3129" spans="1:10" x14ac:dyDescent="0.25">
      <c r="A3129" s="19" t="s">
        <v>31</v>
      </c>
      <c r="B3129" s="2">
        <v>44023</v>
      </c>
      <c r="C3129" s="1">
        <v>31</v>
      </c>
      <c r="D3129" s="39">
        <v>432</v>
      </c>
      <c r="F3129" s="39">
        <f t="shared" si="201"/>
        <v>0</v>
      </c>
    </row>
    <row r="3130" spans="1:10" s="360" customFormat="1" x14ac:dyDescent="0.25">
      <c r="A3130" s="19" t="s">
        <v>41</v>
      </c>
      <c r="B3130" s="2">
        <v>44023</v>
      </c>
      <c r="C3130" s="1">
        <v>0</v>
      </c>
      <c r="D3130" s="39">
        <v>76</v>
      </c>
      <c r="E3130" s="1"/>
      <c r="F3130" s="39">
        <f t="shared" ref="F3130:F3141" si="202">E3130+F3105</f>
        <v>0</v>
      </c>
      <c r="G3130" s="497"/>
      <c r="H3130" s="497"/>
      <c r="J3130" s="42"/>
    </row>
    <row r="3131" spans="1:10" s="360" customFormat="1" x14ac:dyDescent="0.25">
      <c r="A3131" s="19" t="s">
        <v>32</v>
      </c>
      <c r="B3131" s="2">
        <v>44023</v>
      </c>
      <c r="C3131" s="1">
        <v>59</v>
      </c>
      <c r="D3131" s="39">
        <v>393</v>
      </c>
      <c r="E3131" s="1"/>
      <c r="F3131" s="39">
        <f t="shared" si="202"/>
        <v>0</v>
      </c>
      <c r="G3131" s="497"/>
      <c r="H3131" s="497"/>
      <c r="J3131" s="42"/>
    </row>
    <row r="3132" spans="1:10" s="360" customFormat="1" x14ac:dyDescent="0.25">
      <c r="A3132" s="19" t="s">
        <v>33</v>
      </c>
      <c r="B3132" s="2">
        <v>44023</v>
      </c>
      <c r="C3132" s="1">
        <v>0</v>
      </c>
      <c r="D3132" s="39">
        <v>7</v>
      </c>
      <c r="E3132" s="1"/>
      <c r="F3132" s="39">
        <f t="shared" si="202"/>
        <v>0</v>
      </c>
      <c r="G3132" s="497"/>
      <c r="H3132" s="497"/>
      <c r="J3132" s="42"/>
    </row>
    <row r="3133" spans="1:10" s="360" customFormat="1" x14ac:dyDescent="0.25">
      <c r="A3133" s="19" t="s">
        <v>21</v>
      </c>
      <c r="B3133" s="2">
        <v>44023</v>
      </c>
      <c r="C3133" s="1">
        <v>5</v>
      </c>
      <c r="D3133" s="39">
        <v>136</v>
      </c>
      <c r="E3133" s="1"/>
      <c r="F3133" s="39">
        <f t="shared" si="202"/>
        <v>0</v>
      </c>
      <c r="G3133" s="497"/>
      <c r="H3133" s="497"/>
      <c r="J3133" s="42"/>
    </row>
    <row r="3134" spans="1:10" s="360" customFormat="1" x14ac:dyDescent="0.25">
      <c r="A3134" s="19" t="s">
        <v>17</v>
      </c>
      <c r="B3134" s="2">
        <v>44023</v>
      </c>
      <c r="C3134" s="1">
        <v>14</v>
      </c>
      <c r="D3134" s="39">
        <v>277</v>
      </c>
      <c r="E3134" s="1"/>
      <c r="F3134" s="39">
        <f t="shared" si="202"/>
        <v>2</v>
      </c>
      <c r="G3134" s="497"/>
      <c r="H3134" s="497"/>
      <c r="J3134" s="42"/>
    </row>
    <row r="3135" spans="1:10" s="360" customFormat="1" x14ac:dyDescent="0.25">
      <c r="A3135" s="19" t="s">
        <v>23</v>
      </c>
      <c r="B3135" s="2">
        <v>44023</v>
      </c>
      <c r="C3135" s="1">
        <v>0</v>
      </c>
      <c r="D3135" s="39">
        <v>49</v>
      </c>
      <c r="E3135" s="1"/>
      <c r="F3135" s="39">
        <f t="shared" si="202"/>
        <v>0</v>
      </c>
      <c r="G3135" s="497"/>
      <c r="H3135" s="497"/>
      <c r="J3135" s="42"/>
    </row>
    <row r="3136" spans="1:10" s="360" customFormat="1" x14ac:dyDescent="0.25">
      <c r="A3136" s="19" t="s">
        <v>19</v>
      </c>
      <c r="B3136" s="2">
        <v>44023</v>
      </c>
      <c r="C3136" s="1">
        <v>13</v>
      </c>
      <c r="D3136" s="39">
        <v>667</v>
      </c>
      <c r="E3136" s="1"/>
      <c r="F3136" s="39">
        <f t="shared" si="202"/>
        <v>0</v>
      </c>
      <c r="G3136" s="497"/>
      <c r="H3136" s="497"/>
      <c r="J3136" s="42"/>
    </row>
    <row r="3137" spans="1:10" s="360" customFormat="1" x14ac:dyDescent="0.25">
      <c r="A3137" s="19" t="s">
        <v>18</v>
      </c>
      <c r="B3137" s="2">
        <v>44023</v>
      </c>
      <c r="C3137" s="1">
        <v>25</v>
      </c>
      <c r="D3137" s="39">
        <v>1082</v>
      </c>
      <c r="E3137" s="1"/>
      <c r="F3137" s="39">
        <f t="shared" si="202"/>
        <v>1</v>
      </c>
      <c r="G3137" s="497"/>
      <c r="H3137" s="497"/>
      <c r="J3137" s="42"/>
    </row>
    <row r="3138" spans="1:10" s="360" customFormat="1" x14ac:dyDescent="0.25">
      <c r="A3138" s="19" t="s">
        <v>34</v>
      </c>
      <c r="B3138" s="2">
        <v>44023</v>
      </c>
      <c r="C3138" s="1">
        <v>21</v>
      </c>
      <c r="D3138" s="39">
        <v>107</v>
      </c>
      <c r="E3138" s="1"/>
      <c r="F3138" s="39">
        <f t="shared" si="202"/>
        <v>0</v>
      </c>
      <c r="G3138" s="497"/>
      <c r="H3138" s="497"/>
      <c r="J3138" s="42"/>
    </row>
    <row r="3139" spans="1:10" s="360" customFormat="1" x14ac:dyDescent="0.25">
      <c r="A3139" s="19" t="s">
        <v>35</v>
      </c>
      <c r="B3139" s="2">
        <v>44023</v>
      </c>
      <c r="C3139" s="1">
        <v>0</v>
      </c>
      <c r="D3139" s="39">
        <v>9</v>
      </c>
      <c r="E3139" s="1"/>
      <c r="F3139" s="39">
        <f>E3139+F3115</f>
        <v>0</v>
      </c>
      <c r="G3139" s="497"/>
      <c r="H3139" s="497"/>
      <c r="J3139" s="42"/>
    </row>
    <row r="3140" spans="1:10" s="360" customFormat="1" x14ac:dyDescent="0.25">
      <c r="A3140" s="19" t="s">
        <v>36</v>
      </c>
      <c r="B3140" s="2">
        <v>44023</v>
      </c>
      <c r="C3140" s="1">
        <v>0</v>
      </c>
      <c r="D3140" s="39">
        <v>12</v>
      </c>
      <c r="E3140" s="1"/>
      <c r="F3140" s="39">
        <f t="shared" si="202"/>
        <v>0</v>
      </c>
      <c r="G3140" s="497"/>
      <c r="H3140" s="497"/>
      <c r="J3140" s="42"/>
    </row>
    <row r="3141" spans="1:10" s="360" customFormat="1" x14ac:dyDescent="0.25">
      <c r="A3141" s="19" t="s">
        <v>37</v>
      </c>
      <c r="B3141" s="2">
        <v>44023</v>
      </c>
      <c r="C3141" s="1">
        <v>0</v>
      </c>
      <c r="D3141" s="39">
        <v>60</v>
      </c>
      <c r="E3141" s="1"/>
      <c r="F3141" s="39">
        <f t="shared" si="202"/>
        <v>0</v>
      </c>
      <c r="G3141" s="497"/>
      <c r="H3141" s="497"/>
      <c r="J3141" s="42"/>
    </row>
    <row r="3142" spans="1:10" s="360" customFormat="1" x14ac:dyDescent="0.25">
      <c r="A3142" s="19" t="s">
        <v>22</v>
      </c>
      <c r="B3142" s="2">
        <v>44023</v>
      </c>
      <c r="C3142" s="1">
        <v>19</v>
      </c>
      <c r="D3142" s="39">
        <v>505</v>
      </c>
      <c r="E3142" s="1"/>
      <c r="F3142" s="39">
        <f>E3142+F3118</f>
        <v>6</v>
      </c>
      <c r="G3142" s="497"/>
      <c r="H3142" s="497"/>
      <c r="J3142" s="42"/>
    </row>
    <row r="3143" spans="1:10" s="360" customFormat="1" x14ac:dyDescent="0.25">
      <c r="A3143" s="19" t="s">
        <v>38</v>
      </c>
      <c r="B3143" s="2">
        <v>44023</v>
      </c>
      <c r="C3143" s="1">
        <v>0</v>
      </c>
      <c r="D3143" s="39">
        <v>36</v>
      </c>
      <c r="E3143" s="1"/>
      <c r="F3143" s="39">
        <f>E3143+F3119</f>
        <v>0</v>
      </c>
      <c r="G3143" s="497"/>
      <c r="H3143" s="497"/>
      <c r="J3143" s="42"/>
    </row>
    <row r="3144" spans="1:10" s="360" customFormat="1" x14ac:dyDescent="0.25">
      <c r="A3144" s="19" t="s">
        <v>39</v>
      </c>
      <c r="B3144" s="2">
        <v>44023</v>
      </c>
      <c r="C3144" s="1">
        <v>0</v>
      </c>
      <c r="D3144" s="39">
        <v>155</v>
      </c>
      <c r="E3144" s="1"/>
      <c r="F3144" s="39">
        <f>E3144+F3120</f>
        <v>1</v>
      </c>
      <c r="G3144" s="497"/>
      <c r="H3144" s="497"/>
      <c r="J3144" s="42"/>
    </row>
    <row r="3145" spans="1:10" s="360" customFormat="1" x14ac:dyDescent="0.25">
      <c r="A3145" s="19" t="s">
        <v>40</v>
      </c>
      <c r="B3145" s="2">
        <v>44023</v>
      </c>
      <c r="C3145" s="1">
        <v>0</v>
      </c>
      <c r="D3145" s="39">
        <v>91</v>
      </c>
      <c r="E3145" s="1"/>
      <c r="F3145" s="39">
        <f>E3145+F3121</f>
        <v>4</v>
      </c>
      <c r="G3145" s="497"/>
      <c r="H3145" s="497"/>
      <c r="J3145" s="42"/>
    </row>
    <row r="3146" spans="1:10" s="360" customFormat="1" x14ac:dyDescent="0.25">
      <c r="A3146" s="361" t="s">
        <v>16</v>
      </c>
      <c r="B3146" s="2">
        <v>44024</v>
      </c>
      <c r="C3146" s="1">
        <v>1633</v>
      </c>
      <c r="D3146" s="39">
        <v>53657</v>
      </c>
      <c r="E3146" s="1">
        <v>23</v>
      </c>
      <c r="F3146" s="39">
        <f>E3146+F3122</f>
        <v>903</v>
      </c>
      <c r="G3146" s="497"/>
      <c r="H3146" s="497"/>
      <c r="J3146" s="42"/>
    </row>
    <row r="3147" spans="1:10" s="360" customFormat="1" x14ac:dyDescent="0.25">
      <c r="A3147" s="19" t="s">
        <v>28</v>
      </c>
      <c r="B3147" s="2">
        <v>44024</v>
      </c>
      <c r="C3147" s="1">
        <v>0</v>
      </c>
      <c r="D3147" s="39">
        <v>39</v>
      </c>
      <c r="E3147" s="1"/>
      <c r="F3147" s="39">
        <f t="shared" ref="F3147:F3153" si="203">E3147+F3123</f>
        <v>0</v>
      </c>
      <c r="G3147" s="497"/>
      <c r="H3147" s="497"/>
      <c r="J3147" s="42"/>
    </row>
    <row r="3148" spans="1:10" s="360" customFormat="1" x14ac:dyDescent="0.25">
      <c r="A3148" s="19" t="s">
        <v>15</v>
      </c>
      <c r="B3148" s="2">
        <v>44024</v>
      </c>
      <c r="C3148" s="1">
        <v>25</v>
      </c>
      <c r="D3148" s="39">
        <v>2577</v>
      </c>
      <c r="E3148" s="1"/>
      <c r="F3148" s="39">
        <f t="shared" si="203"/>
        <v>114</v>
      </c>
      <c r="G3148" s="497"/>
      <c r="H3148" s="497"/>
      <c r="J3148" s="42"/>
    </row>
    <row r="3149" spans="1:10" s="360" customFormat="1" x14ac:dyDescent="0.25">
      <c r="A3149" s="19" t="s">
        <v>29</v>
      </c>
      <c r="B3149" s="2">
        <v>44024</v>
      </c>
      <c r="C3149" s="1">
        <v>1</v>
      </c>
      <c r="D3149" s="39">
        <v>206</v>
      </c>
      <c r="E3149" s="1"/>
      <c r="F3149" s="39">
        <f t="shared" si="203"/>
        <v>3</v>
      </c>
      <c r="G3149" s="497"/>
      <c r="H3149" s="497"/>
      <c r="J3149" s="42"/>
    </row>
    <row r="3150" spans="1:10" s="360" customFormat="1" x14ac:dyDescent="0.25">
      <c r="A3150" s="19" t="s">
        <v>43</v>
      </c>
      <c r="B3150" s="2">
        <v>44024</v>
      </c>
      <c r="C3150" s="1">
        <v>754</v>
      </c>
      <c r="D3150" s="39">
        <v>38325</v>
      </c>
      <c r="E3150" s="1">
        <v>11</v>
      </c>
      <c r="F3150" s="39">
        <f t="shared" si="203"/>
        <v>680</v>
      </c>
      <c r="G3150" s="497"/>
      <c r="H3150" s="497"/>
      <c r="J3150" s="42"/>
    </row>
    <row r="3151" spans="1:10" s="360" customFormat="1" x14ac:dyDescent="0.25">
      <c r="A3151" s="19" t="s">
        <v>20</v>
      </c>
      <c r="B3151" s="2">
        <v>44024</v>
      </c>
      <c r="C3151" s="1">
        <v>34</v>
      </c>
      <c r="D3151" s="39">
        <v>919</v>
      </c>
      <c r="E3151" s="1"/>
      <c r="F3151" s="39">
        <f t="shared" si="203"/>
        <v>34</v>
      </c>
      <c r="G3151" s="497"/>
      <c r="H3151" s="497"/>
      <c r="J3151" s="42"/>
    </row>
    <row r="3152" spans="1:10" s="360" customFormat="1" x14ac:dyDescent="0.25">
      <c r="A3152" s="19" t="s">
        <v>30</v>
      </c>
      <c r="B3152" s="2">
        <v>44024</v>
      </c>
      <c r="C3152" s="1">
        <v>0</v>
      </c>
      <c r="D3152" s="39">
        <v>127</v>
      </c>
      <c r="E3152" s="1"/>
      <c r="F3152" s="39">
        <f t="shared" si="203"/>
        <v>0</v>
      </c>
      <c r="G3152" s="497"/>
      <c r="H3152" s="497"/>
      <c r="J3152" s="42"/>
    </row>
    <row r="3153" spans="1:10" x14ac:dyDescent="0.25">
      <c r="A3153" s="19" t="s">
        <v>31</v>
      </c>
      <c r="B3153" s="2">
        <v>44024</v>
      </c>
      <c r="C3153" s="1">
        <v>60</v>
      </c>
      <c r="D3153" s="39">
        <v>492</v>
      </c>
      <c r="F3153" s="39">
        <f t="shared" si="203"/>
        <v>0</v>
      </c>
    </row>
    <row r="3154" spans="1:10" s="360" customFormat="1" x14ac:dyDescent="0.25">
      <c r="A3154" s="19" t="s">
        <v>41</v>
      </c>
      <c r="B3154" s="2">
        <v>44024</v>
      </c>
      <c r="C3154" s="1">
        <v>0</v>
      </c>
      <c r="D3154" s="39">
        <v>76</v>
      </c>
      <c r="E3154" s="1"/>
      <c r="F3154" s="39">
        <f t="shared" ref="F3154:F3165" si="204">E3154+F3129</f>
        <v>0</v>
      </c>
      <c r="G3154" s="497"/>
      <c r="H3154" s="497"/>
      <c r="J3154" s="42"/>
    </row>
    <row r="3155" spans="1:10" s="360" customFormat="1" x14ac:dyDescent="0.25">
      <c r="A3155" s="19" t="s">
        <v>32</v>
      </c>
      <c r="B3155" s="2">
        <v>44024</v>
      </c>
      <c r="C3155" s="1">
        <v>68</v>
      </c>
      <c r="D3155" s="39">
        <v>461</v>
      </c>
      <c r="E3155" s="1"/>
      <c r="F3155" s="39">
        <f t="shared" si="204"/>
        <v>0</v>
      </c>
      <c r="G3155" s="497"/>
      <c r="H3155" s="497"/>
      <c r="J3155" s="42"/>
    </row>
    <row r="3156" spans="1:10" s="360" customFormat="1" x14ac:dyDescent="0.25">
      <c r="A3156" s="19" t="s">
        <v>33</v>
      </c>
      <c r="B3156" s="2">
        <v>44024</v>
      </c>
      <c r="C3156" s="1">
        <v>0</v>
      </c>
      <c r="D3156" s="39">
        <v>7</v>
      </c>
      <c r="E3156" s="1"/>
      <c r="F3156" s="39">
        <f t="shared" si="204"/>
        <v>0</v>
      </c>
      <c r="G3156" s="497"/>
      <c r="H3156" s="497"/>
      <c r="J3156" s="42"/>
    </row>
    <row r="3157" spans="1:10" s="360" customFormat="1" x14ac:dyDescent="0.25">
      <c r="A3157" s="19" t="s">
        <v>21</v>
      </c>
      <c r="B3157" s="2">
        <v>44024</v>
      </c>
      <c r="C3157" s="1">
        <v>4</v>
      </c>
      <c r="D3157" s="39">
        <v>140</v>
      </c>
      <c r="E3157" s="1"/>
      <c r="F3157" s="39">
        <f t="shared" si="204"/>
        <v>0</v>
      </c>
      <c r="G3157" s="497"/>
      <c r="H3157" s="497"/>
      <c r="J3157" s="42"/>
    </row>
    <row r="3158" spans="1:10" s="360" customFormat="1" x14ac:dyDescent="0.25">
      <c r="A3158" s="19" t="s">
        <v>17</v>
      </c>
      <c r="B3158" s="2">
        <v>44024</v>
      </c>
      <c r="C3158" s="1">
        <v>14</v>
      </c>
      <c r="D3158" s="39">
        <v>291</v>
      </c>
      <c r="E3158" s="1"/>
      <c r="F3158" s="39">
        <f t="shared" si="204"/>
        <v>0</v>
      </c>
      <c r="G3158" s="497"/>
      <c r="H3158" s="497"/>
      <c r="J3158" s="42"/>
    </row>
    <row r="3159" spans="1:10" s="360" customFormat="1" x14ac:dyDescent="0.25">
      <c r="A3159" s="19" t="s">
        <v>23</v>
      </c>
      <c r="B3159" s="2">
        <v>44024</v>
      </c>
      <c r="C3159" s="1">
        <v>0</v>
      </c>
      <c r="D3159" s="39">
        <v>49</v>
      </c>
      <c r="E3159" s="1"/>
      <c r="F3159" s="39">
        <f t="shared" si="204"/>
        <v>2</v>
      </c>
      <c r="G3159" s="497"/>
      <c r="H3159" s="497"/>
      <c r="J3159" s="42"/>
    </row>
    <row r="3160" spans="1:10" s="360" customFormat="1" x14ac:dyDescent="0.25">
      <c r="A3160" s="19" t="s">
        <v>19</v>
      </c>
      <c r="B3160" s="2">
        <v>44024</v>
      </c>
      <c r="C3160" s="1">
        <v>17</v>
      </c>
      <c r="D3160" s="39">
        <v>684</v>
      </c>
      <c r="E3160" s="1"/>
      <c r="F3160" s="39">
        <f t="shared" si="204"/>
        <v>0</v>
      </c>
      <c r="G3160" s="497"/>
      <c r="H3160" s="497"/>
      <c r="J3160" s="42"/>
    </row>
    <row r="3161" spans="1:10" s="360" customFormat="1" x14ac:dyDescent="0.25">
      <c r="A3161" s="19" t="s">
        <v>18</v>
      </c>
      <c r="B3161" s="2">
        <v>44024</v>
      </c>
      <c r="C3161" s="1">
        <v>14</v>
      </c>
      <c r="D3161" s="39">
        <v>1096</v>
      </c>
      <c r="E3161" s="1">
        <v>1</v>
      </c>
      <c r="F3161" s="39">
        <f t="shared" si="204"/>
        <v>1</v>
      </c>
      <c r="G3161" s="497"/>
      <c r="H3161" s="497"/>
      <c r="J3161" s="42"/>
    </row>
    <row r="3162" spans="1:10" s="360" customFormat="1" x14ac:dyDescent="0.25">
      <c r="A3162" s="19" t="s">
        <v>34</v>
      </c>
      <c r="B3162" s="2">
        <v>44024</v>
      </c>
      <c r="C3162" s="1">
        <v>2</v>
      </c>
      <c r="D3162" s="39">
        <v>109</v>
      </c>
      <c r="E3162" s="1"/>
      <c r="F3162" s="39">
        <f t="shared" si="204"/>
        <v>1</v>
      </c>
      <c r="G3162" s="497"/>
      <c r="H3162" s="497"/>
      <c r="J3162" s="42"/>
    </row>
    <row r="3163" spans="1:10" s="360" customFormat="1" x14ac:dyDescent="0.25">
      <c r="A3163" s="19" t="s">
        <v>35</v>
      </c>
      <c r="B3163" s="2">
        <v>44024</v>
      </c>
      <c r="C3163" s="1">
        <v>0</v>
      </c>
      <c r="D3163" s="39">
        <v>9</v>
      </c>
      <c r="E3163" s="1"/>
      <c r="F3163" s="39">
        <f>E3163+F3139</f>
        <v>0</v>
      </c>
      <c r="G3163" s="497"/>
      <c r="H3163" s="497"/>
      <c r="J3163" s="42"/>
    </row>
    <row r="3164" spans="1:10" s="360" customFormat="1" x14ac:dyDescent="0.25">
      <c r="A3164" s="19" t="s">
        <v>36</v>
      </c>
      <c r="B3164" s="2">
        <v>44024</v>
      </c>
      <c r="C3164" s="1">
        <v>0</v>
      </c>
      <c r="D3164" s="39">
        <v>12</v>
      </c>
      <c r="E3164" s="1"/>
      <c r="F3164" s="39">
        <f t="shared" si="204"/>
        <v>0</v>
      </c>
      <c r="G3164" s="497"/>
      <c r="H3164" s="497"/>
      <c r="J3164" s="42"/>
    </row>
    <row r="3165" spans="1:10" s="360" customFormat="1" x14ac:dyDescent="0.25">
      <c r="A3165" s="19" t="s">
        <v>37</v>
      </c>
      <c r="B3165" s="2">
        <v>44024</v>
      </c>
      <c r="C3165" s="1">
        <v>1</v>
      </c>
      <c r="D3165" s="39">
        <v>61</v>
      </c>
      <c r="E3165" s="1"/>
      <c r="F3165" s="39">
        <f t="shared" si="204"/>
        <v>0</v>
      </c>
      <c r="G3165" s="497"/>
      <c r="H3165" s="497"/>
      <c r="J3165" s="42"/>
    </row>
    <row r="3166" spans="1:10" s="360" customFormat="1" x14ac:dyDescent="0.25">
      <c r="A3166" s="19" t="s">
        <v>22</v>
      </c>
      <c r="B3166" s="2">
        <v>44024</v>
      </c>
      <c r="C3166" s="1">
        <v>23</v>
      </c>
      <c r="D3166" s="39">
        <v>528</v>
      </c>
      <c r="E3166" s="1"/>
      <c r="F3166" s="39">
        <f>E3166+F3142</f>
        <v>6</v>
      </c>
      <c r="G3166" s="497"/>
      <c r="H3166" s="497"/>
      <c r="J3166" s="42"/>
    </row>
    <row r="3167" spans="1:10" s="360" customFormat="1" x14ac:dyDescent="0.25">
      <c r="A3167" s="19" t="s">
        <v>38</v>
      </c>
      <c r="B3167" s="2">
        <v>44024</v>
      </c>
      <c r="C3167" s="1">
        <v>0</v>
      </c>
      <c r="D3167" s="39">
        <v>36</v>
      </c>
      <c r="E3167" s="1"/>
      <c r="F3167" s="39">
        <f>E3167+F3143</f>
        <v>0</v>
      </c>
      <c r="G3167" s="497"/>
      <c r="H3167" s="497"/>
      <c r="J3167" s="42"/>
    </row>
    <row r="3168" spans="1:10" s="360" customFormat="1" x14ac:dyDescent="0.25">
      <c r="A3168" s="19" t="s">
        <v>39</v>
      </c>
      <c r="B3168" s="2">
        <v>44024</v>
      </c>
      <c r="C3168" s="1">
        <v>6</v>
      </c>
      <c r="D3168" s="39">
        <v>161</v>
      </c>
      <c r="E3168" s="1"/>
      <c r="F3168" s="39">
        <f>E3168+F3144</f>
        <v>1</v>
      </c>
      <c r="G3168" s="497"/>
      <c r="H3168" s="497"/>
      <c r="J3168" s="42"/>
    </row>
    <row r="3169" spans="1:10" s="360" customFormat="1" x14ac:dyDescent="0.25">
      <c r="A3169" s="19" t="s">
        <v>40</v>
      </c>
      <c r="B3169" s="2">
        <v>44024</v>
      </c>
      <c r="C3169" s="1">
        <v>1</v>
      </c>
      <c r="D3169" s="39">
        <v>92</v>
      </c>
      <c r="E3169" s="1"/>
      <c r="F3169" s="39">
        <f>E3169+F3145</f>
        <v>4</v>
      </c>
      <c r="G3169" s="497"/>
      <c r="H3169" s="497"/>
      <c r="J3169" s="42"/>
    </row>
    <row r="3170" spans="1:10" s="360" customFormat="1" x14ac:dyDescent="0.25">
      <c r="A3170" s="361" t="s">
        <v>16</v>
      </c>
      <c r="B3170" s="2">
        <v>44025</v>
      </c>
      <c r="C3170" s="1">
        <v>2002</v>
      </c>
      <c r="D3170" s="39">
        <v>55659</v>
      </c>
      <c r="E3170" s="1">
        <v>27</v>
      </c>
      <c r="F3170" s="39">
        <f>E3170+F3146</f>
        <v>930</v>
      </c>
      <c r="G3170" s="497"/>
      <c r="H3170" s="497"/>
      <c r="J3170" s="42"/>
    </row>
    <row r="3171" spans="1:10" s="360" customFormat="1" x14ac:dyDescent="0.25">
      <c r="A3171" s="19" t="s">
        <v>28</v>
      </c>
      <c r="B3171" s="2">
        <v>44025</v>
      </c>
      <c r="C3171" s="1">
        <v>0</v>
      </c>
      <c r="D3171" s="39">
        <v>39</v>
      </c>
      <c r="E3171" s="1"/>
      <c r="F3171" s="39">
        <f t="shared" ref="F3171:F3177" si="205">E3171+F3147</f>
        <v>0</v>
      </c>
      <c r="G3171" s="497"/>
      <c r="H3171" s="497"/>
      <c r="J3171" s="42"/>
    </row>
    <row r="3172" spans="1:10" s="360" customFormat="1" x14ac:dyDescent="0.25">
      <c r="A3172" s="19" t="s">
        <v>15</v>
      </c>
      <c r="B3172" s="2">
        <v>44025</v>
      </c>
      <c r="C3172" s="1">
        <v>25</v>
      </c>
      <c r="D3172" s="39">
        <v>2602</v>
      </c>
      <c r="E3172" s="1"/>
      <c r="F3172" s="39">
        <f t="shared" si="205"/>
        <v>114</v>
      </c>
      <c r="G3172" s="497"/>
      <c r="H3172" s="497"/>
      <c r="J3172" s="42"/>
    </row>
    <row r="3173" spans="1:10" s="360" customFormat="1" x14ac:dyDescent="0.25">
      <c r="A3173" s="19" t="s">
        <v>29</v>
      </c>
      <c r="B3173" s="2">
        <v>44025</v>
      </c>
      <c r="C3173" s="1">
        <v>5</v>
      </c>
      <c r="D3173" s="39">
        <v>211</v>
      </c>
      <c r="E3173" s="1"/>
      <c r="F3173" s="39">
        <f t="shared" si="205"/>
        <v>3</v>
      </c>
      <c r="G3173" s="497"/>
      <c r="H3173" s="497"/>
      <c r="J3173" s="42"/>
    </row>
    <row r="3174" spans="1:10" s="360" customFormat="1" x14ac:dyDescent="0.25">
      <c r="A3174" s="19" t="s">
        <v>43</v>
      </c>
      <c r="B3174" s="2">
        <v>44025</v>
      </c>
      <c r="C3174" s="1">
        <v>860</v>
      </c>
      <c r="D3174" s="39">
        <v>39185</v>
      </c>
      <c r="E3174" s="1">
        <v>31</v>
      </c>
      <c r="F3174" s="39">
        <f t="shared" si="205"/>
        <v>711</v>
      </c>
      <c r="G3174" s="497"/>
      <c r="H3174" s="497"/>
      <c r="J3174" s="42"/>
    </row>
    <row r="3175" spans="1:10" s="360" customFormat="1" x14ac:dyDescent="0.25">
      <c r="A3175" s="19" t="s">
        <v>20</v>
      </c>
      <c r="B3175" s="2">
        <v>44025</v>
      </c>
      <c r="C3175" s="1">
        <v>44</v>
      </c>
      <c r="D3175" s="39">
        <v>963</v>
      </c>
      <c r="E3175" s="1"/>
      <c r="F3175" s="39">
        <f t="shared" si="205"/>
        <v>34</v>
      </c>
      <c r="G3175" s="497"/>
      <c r="H3175" s="497"/>
      <c r="J3175" s="42"/>
    </row>
    <row r="3176" spans="1:10" s="360" customFormat="1" x14ac:dyDescent="0.25">
      <c r="A3176" s="19" t="s">
        <v>30</v>
      </c>
      <c r="B3176" s="2">
        <v>44025</v>
      </c>
      <c r="C3176" s="1">
        <v>0</v>
      </c>
      <c r="D3176" s="39">
        <v>127</v>
      </c>
      <c r="E3176" s="1"/>
      <c r="F3176" s="39">
        <f t="shared" si="205"/>
        <v>0</v>
      </c>
      <c r="G3176" s="497"/>
      <c r="H3176" s="497"/>
      <c r="J3176" s="42"/>
    </row>
    <row r="3177" spans="1:10" x14ac:dyDescent="0.25">
      <c r="A3177" s="19" t="s">
        <v>31</v>
      </c>
      <c r="B3177" s="2">
        <v>44025</v>
      </c>
      <c r="C3177" s="1">
        <v>42</v>
      </c>
      <c r="D3177" s="39">
        <v>534</v>
      </c>
      <c r="F3177" s="39">
        <f t="shared" si="205"/>
        <v>0</v>
      </c>
    </row>
    <row r="3178" spans="1:10" s="360" customFormat="1" x14ac:dyDescent="0.25">
      <c r="A3178" s="19" t="s">
        <v>41</v>
      </c>
      <c r="B3178" s="2">
        <v>44025</v>
      </c>
      <c r="C3178" s="1">
        <v>2</v>
      </c>
      <c r="D3178" s="39">
        <v>78</v>
      </c>
      <c r="E3178" s="1"/>
      <c r="F3178" s="39">
        <f t="shared" ref="F3178:F3189" si="206">E3178+F3153</f>
        <v>0</v>
      </c>
      <c r="G3178" s="497"/>
      <c r="H3178" s="497"/>
      <c r="J3178" s="42"/>
    </row>
    <row r="3179" spans="1:10" s="360" customFormat="1" x14ac:dyDescent="0.25">
      <c r="A3179" s="19" t="s">
        <v>32</v>
      </c>
      <c r="B3179" s="2">
        <v>44025</v>
      </c>
      <c r="C3179" s="1">
        <v>5</v>
      </c>
      <c r="D3179" s="39">
        <v>466</v>
      </c>
      <c r="E3179" s="1"/>
      <c r="F3179" s="39">
        <f t="shared" si="206"/>
        <v>0</v>
      </c>
      <c r="G3179" s="497"/>
      <c r="H3179" s="497"/>
      <c r="J3179" s="42"/>
    </row>
    <row r="3180" spans="1:10" s="360" customFormat="1" x14ac:dyDescent="0.25">
      <c r="A3180" s="19" t="s">
        <v>33</v>
      </c>
      <c r="B3180" s="2">
        <v>44025</v>
      </c>
      <c r="C3180" s="1">
        <v>0</v>
      </c>
      <c r="D3180" s="39">
        <v>7</v>
      </c>
      <c r="E3180" s="1"/>
      <c r="F3180" s="39">
        <f t="shared" si="206"/>
        <v>0</v>
      </c>
      <c r="G3180" s="497"/>
      <c r="H3180" s="497"/>
      <c r="J3180" s="42"/>
    </row>
    <row r="3181" spans="1:10" s="360" customFormat="1" x14ac:dyDescent="0.25">
      <c r="A3181" s="19" t="s">
        <v>21</v>
      </c>
      <c r="B3181" s="2">
        <v>44025</v>
      </c>
      <c r="C3181" s="1">
        <v>6</v>
      </c>
      <c r="D3181" s="39">
        <v>146</v>
      </c>
      <c r="E3181" s="1"/>
      <c r="F3181" s="39">
        <f t="shared" si="206"/>
        <v>0</v>
      </c>
      <c r="G3181" s="497"/>
      <c r="H3181" s="497"/>
      <c r="J3181" s="42"/>
    </row>
    <row r="3182" spans="1:10" s="360" customFormat="1" x14ac:dyDescent="0.25">
      <c r="A3182" s="19" t="s">
        <v>17</v>
      </c>
      <c r="B3182" s="2">
        <v>44025</v>
      </c>
      <c r="C3182" s="1">
        <v>13</v>
      </c>
      <c r="D3182" s="39">
        <v>304</v>
      </c>
      <c r="E3182" s="1"/>
      <c r="F3182" s="39">
        <f t="shared" si="206"/>
        <v>0</v>
      </c>
      <c r="G3182" s="497"/>
      <c r="H3182" s="497"/>
      <c r="J3182" s="42"/>
    </row>
    <row r="3183" spans="1:10" s="360" customFormat="1" x14ac:dyDescent="0.25">
      <c r="A3183" s="19" t="s">
        <v>23</v>
      </c>
      <c r="B3183" s="2">
        <v>44025</v>
      </c>
      <c r="C3183" s="1">
        <v>0</v>
      </c>
      <c r="D3183" s="39">
        <v>49</v>
      </c>
      <c r="E3183" s="1"/>
      <c r="F3183" s="39">
        <f t="shared" si="206"/>
        <v>0</v>
      </c>
      <c r="G3183" s="497"/>
      <c r="H3183" s="497"/>
      <c r="J3183" s="42"/>
    </row>
    <row r="3184" spans="1:10" s="360" customFormat="1" x14ac:dyDescent="0.25">
      <c r="A3184" s="19" t="s">
        <v>19</v>
      </c>
      <c r="B3184" s="2">
        <v>44025</v>
      </c>
      <c r="C3184" s="1">
        <v>47</v>
      </c>
      <c r="D3184" s="39">
        <v>731</v>
      </c>
      <c r="E3184" s="1"/>
      <c r="F3184" s="39">
        <f t="shared" si="206"/>
        <v>2</v>
      </c>
      <c r="G3184" s="497"/>
      <c r="H3184" s="497"/>
      <c r="J3184" s="42"/>
    </row>
    <row r="3185" spans="1:10" s="360" customFormat="1" x14ac:dyDescent="0.25">
      <c r="A3185" s="19" t="s">
        <v>18</v>
      </c>
      <c r="B3185" s="2">
        <v>44025</v>
      </c>
      <c r="C3185" s="1">
        <v>27</v>
      </c>
      <c r="D3185" s="39">
        <v>1123</v>
      </c>
      <c r="E3185" s="1"/>
      <c r="F3185" s="39">
        <f t="shared" si="206"/>
        <v>0</v>
      </c>
      <c r="G3185" s="497"/>
      <c r="H3185" s="497"/>
      <c r="J3185" s="42"/>
    </row>
    <row r="3186" spans="1:10" s="360" customFormat="1" x14ac:dyDescent="0.25">
      <c r="A3186" s="19" t="s">
        <v>34</v>
      </c>
      <c r="B3186" s="2">
        <v>44025</v>
      </c>
      <c r="C3186" s="1">
        <v>8</v>
      </c>
      <c r="D3186" s="39">
        <v>117</v>
      </c>
      <c r="E3186" s="1"/>
      <c r="F3186" s="39">
        <f t="shared" si="206"/>
        <v>1</v>
      </c>
      <c r="G3186" s="497"/>
      <c r="H3186" s="497"/>
      <c r="J3186" s="42"/>
    </row>
    <row r="3187" spans="1:10" s="360" customFormat="1" x14ac:dyDescent="0.25">
      <c r="A3187" s="19" t="s">
        <v>35</v>
      </c>
      <c r="B3187" s="2">
        <v>44025</v>
      </c>
      <c r="C3187" s="1">
        <v>0</v>
      </c>
      <c r="D3187" s="39">
        <v>9</v>
      </c>
      <c r="E3187" s="1"/>
      <c r="F3187" s="39">
        <f>E3187+F3163</f>
        <v>0</v>
      </c>
      <c r="G3187" s="497"/>
      <c r="H3187" s="497"/>
      <c r="J3187" s="42"/>
    </row>
    <row r="3188" spans="1:10" s="360" customFormat="1" x14ac:dyDescent="0.25">
      <c r="A3188" s="19" t="s">
        <v>36</v>
      </c>
      <c r="B3188" s="2">
        <v>44025</v>
      </c>
      <c r="C3188" s="1">
        <v>0</v>
      </c>
      <c r="D3188" s="39">
        <v>12</v>
      </c>
      <c r="E3188" s="1"/>
      <c r="F3188" s="39">
        <f t="shared" si="206"/>
        <v>0</v>
      </c>
      <c r="G3188" s="497"/>
      <c r="H3188" s="497"/>
      <c r="J3188" s="42"/>
    </row>
    <row r="3189" spans="1:10" s="360" customFormat="1" x14ac:dyDescent="0.25">
      <c r="A3189" s="19" t="s">
        <v>37</v>
      </c>
      <c r="B3189" s="2">
        <v>44025</v>
      </c>
      <c r="C3189" s="1">
        <v>0</v>
      </c>
      <c r="D3189" s="39">
        <v>61</v>
      </c>
      <c r="E3189" s="1"/>
      <c r="F3189" s="39">
        <f t="shared" si="206"/>
        <v>0</v>
      </c>
      <c r="G3189" s="497"/>
      <c r="H3189" s="497"/>
      <c r="J3189" s="42"/>
    </row>
    <row r="3190" spans="1:10" s="360" customFormat="1" x14ac:dyDescent="0.25">
      <c r="A3190" s="19" t="s">
        <v>22</v>
      </c>
      <c r="B3190" s="2">
        <v>44025</v>
      </c>
      <c r="C3190" s="1">
        <v>11</v>
      </c>
      <c r="D3190" s="39">
        <v>539</v>
      </c>
      <c r="E3190" s="1"/>
      <c r="F3190" s="39">
        <f>E3190+F3166</f>
        <v>6</v>
      </c>
      <c r="G3190" s="497"/>
      <c r="H3190" s="497"/>
      <c r="J3190" s="42"/>
    </row>
    <row r="3191" spans="1:10" s="360" customFormat="1" x14ac:dyDescent="0.25">
      <c r="A3191" s="19" t="s">
        <v>38</v>
      </c>
      <c r="B3191" s="2">
        <v>44025</v>
      </c>
      <c r="C3191" s="1">
        <v>0</v>
      </c>
      <c r="D3191" s="39">
        <v>36</v>
      </c>
      <c r="E3191" s="1"/>
      <c r="F3191" s="39">
        <f>E3191+F3167</f>
        <v>0</v>
      </c>
      <c r="G3191" s="497"/>
      <c r="H3191" s="497"/>
      <c r="J3191" s="42"/>
    </row>
    <row r="3192" spans="1:10" s="360" customFormat="1" x14ac:dyDescent="0.25">
      <c r="A3192" s="19" t="s">
        <v>39</v>
      </c>
      <c r="B3192" s="2">
        <v>44025</v>
      </c>
      <c r="C3192" s="1">
        <v>0</v>
      </c>
      <c r="D3192" s="39">
        <v>161</v>
      </c>
      <c r="E3192" s="1"/>
      <c r="F3192" s="39">
        <f>E3192+F3168</f>
        <v>1</v>
      </c>
      <c r="G3192" s="497"/>
      <c r="H3192" s="497"/>
      <c r="J3192" s="42"/>
    </row>
    <row r="3193" spans="1:10" s="360" customFormat="1" x14ac:dyDescent="0.25">
      <c r="A3193" s="19" t="s">
        <v>40</v>
      </c>
      <c r="B3193" s="2">
        <v>44025</v>
      </c>
      <c r="C3193" s="1">
        <v>2</v>
      </c>
      <c r="D3193" s="39">
        <v>94</v>
      </c>
      <c r="E3193" s="1"/>
      <c r="F3193" s="39">
        <f>E3193+F3169</f>
        <v>4</v>
      </c>
      <c r="G3193" s="497"/>
      <c r="H3193" s="497"/>
      <c r="J3193" s="42"/>
    </row>
    <row r="3194" spans="1:10" s="360" customFormat="1" x14ac:dyDescent="0.25">
      <c r="A3194" s="361" t="s">
        <v>16</v>
      </c>
      <c r="B3194" s="2">
        <v>44026</v>
      </c>
      <c r="C3194" s="1">
        <v>2262</v>
      </c>
      <c r="D3194" s="39">
        <v>57921</v>
      </c>
      <c r="E3194" s="1">
        <v>35</v>
      </c>
      <c r="F3194" s="39">
        <f>E3194+F3170</f>
        <v>965</v>
      </c>
      <c r="G3194" s="497"/>
      <c r="H3194" s="497"/>
      <c r="J3194" s="42"/>
    </row>
    <row r="3195" spans="1:10" s="360" customFormat="1" x14ac:dyDescent="0.25">
      <c r="A3195" s="19" t="s">
        <v>28</v>
      </c>
      <c r="B3195" s="2">
        <v>44026</v>
      </c>
      <c r="C3195" s="1">
        <v>0</v>
      </c>
      <c r="D3195" s="39">
        <v>39</v>
      </c>
      <c r="E3195" s="1"/>
      <c r="F3195" s="39">
        <f t="shared" ref="F3195:F3201" si="207">E3195+F3171</f>
        <v>0</v>
      </c>
      <c r="G3195" s="497"/>
      <c r="H3195" s="497"/>
      <c r="J3195" s="42"/>
    </row>
    <row r="3196" spans="1:10" s="360" customFormat="1" x14ac:dyDescent="0.25">
      <c r="A3196" s="19" t="s">
        <v>15</v>
      </c>
      <c r="B3196" s="2">
        <v>44026</v>
      </c>
      <c r="C3196" s="1">
        <v>72</v>
      </c>
      <c r="D3196" s="39">
        <v>2674</v>
      </c>
      <c r="E3196" s="1">
        <v>1</v>
      </c>
      <c r="F3196" s="39">
        <f t="shared" si="207"/>
        <v>115</v>
      </c>
      <c r="G3196" s="497"/>
      <c r="H3196" s="497"/>
      <c r="J3196" s="42"/>
    </row>
    <row r="3197" spans="1:10" s="360" customFormat="1" x14ac:dyDescent="0.25">
      <c r="A3197" s="19" t="s">
        <v>29</v>
      </c>
      <c r="B3197" s="2">
        <v>44026</v>
      </c>
      <c r="C3197" s="1">
        <v>2</v>
      </c>
      <c r="D3197" s="39">
        <v>213</v>
      </c>
      <c r="E3197" s="1"/>
      <c r="F3197" s="39">
        <f t="shared" si="207"/>
        <v>3</v>
      </c>
      <c r="G3197" s="497"/>
      <c r="H3197" s="497"/>
      <c r="J3197" s="42"/>
    </row>
    <row r="3198" spans="1:10" s="360" customFormat="1" x14ac:dyDescent="0.25">
      <c r="A3198" s="19" t="s">
        <v>43</v>
      </c>
      <c r="B3198" s="2">
        <v>44026</v>
      </c>
      <c r="C3198" s="1">
        <v>1039</v>
      </c>
      <c r="D3198" s="39">
        <v>40224</v>
      </c>
      <c r="E3198" s="1">
        <v>28</v>
      </c>
      <c r="F3198" s="39">
        <f t="shared" si="207"/>
        <v>739</v>
      </c>
      <c r="G3198" s="497"/>
      <c r="H3198" s="497"/>
      <c r="J3198" s="42"/>
    </row>
    <row r="3199" spans="1:10" s="360" customFormat="1" x14ac:dyDescent="0.25">
      <c r="A3199" s="19" t="s">
        <v>20</v>
      </c>
      <c r="B3199" s="2">
        <v>44026</v>
      </c>
      <c r="C3199" s="1">
        <v>43</v>
      </c>
      <c r="D3199" s="39">
        <v>1006</v>
      </c>
      <c r="E3199" s="1"/>
      <c r="F3199" s="39">
        <f t="shared" si="207"/>
        <v>34</v>
      </c>
      <c r="G3199" s="497"/>
      <c r="H3199" s="497"/>
      <c r="J3199" s="42"/>
    </row>
    <row r="3200" spans="1:10" s="360" customFormat="1" x14ac:dyDescent="0.25">
      <c r="A3200" s="19" t="s">
        <v>30</v>
      </c>
      <c r="B3200" s="2">
        <v>44026</v>
      </c>
      <c r="C3200" s="1">
        <v>1</v>
      </c>
      <c r="D3200" s="39">
        <v>128</v>
      </c>
      <c r="E3200" s="1"/>
      <c r="F3200" s="39">
        <f t="shared" si="207"/>
        <v>0</v>
      </c>
      <c r="G3200" s="497"/>
      <c r="H3200" s="497"/>
      <c r="J3200" s="42"/>
    </row>
    <row r="3201" spans="1:10" x14ac:dyDescent="0.25">
      <c r="A3201" s="19" t="s">
        <v>31</v>
      </c>
      <c r="B3201" s="2">
        <v>44026</v>
      </c>
      <c r="C3201" s="1">
        <v>22</v>
      </c>
      <c r="D3201" s="39">
        <v>556</v>
      </c>
      <c r="F3201" s="39">
        <f t="shared" si="207"/>
        <v>0</v>
      </c>
    </row>
    <row r="3202" spans="1:10" s="360" customFormat="1" x14ac:dyDescent="0.25">
      <c r="A3202" s="19" t="s">
        <v>41</v>
      </c>
      <c r="B3202" s="2">
        <v>44026</v>
      </c>
      <c r="C3202" s="1">
        <v>0</v>
      </c>
      <c r="D3202" s="39">
        <v>78</v>
      </c>
      <c r="E3202" s="1"/>
      <c r="F3202" s="39">
        <f t="shared" ref="F3202:F3213" si="208">E3202+F3177</f>
        <v>0</v>
      </c>
      <c r="G3202" s="497"/>
      <c r="H3202" s="497"/>
      <c r="J3202" s="42"/>
    </row>
    <row r="3203" spans="1:10" s="360" customFormat="1" x14ac:dyDescent="0.25">
      <c r="A3203" s="19" t="s">
        <v>32</v>
      </c>
      <c r="B3203" s="2">
        <v>44026</v>
      </c>
      <c r="C3203" s="1">
        <v>16</v>
      </c>
      <c r="D3203" s="39">
        <v>482</v>
      </c>
      <c r="E3203" s="1"/>
      <c r="F3203" s="39">
        <f t="shared" si="208"/>
        <v>0</v>
      </c>
      <c r="G3203" s="497"/>
      <c r="H3203" s="497"/>
      <c r="J3203" s="42"/>
    </row>
    <row r="3204" spans="1:10" s="360" customFormat="1" x14ac:dyDescent="0.25">
      <c r="A3204" s="19" t="s">
        <v>33</v>
      </c>
      <c r="B3204" s="2">
        <v>44026</v>
      </c>
      <c r="C3204" s="1">
        <v>0</v>
      </c>
      <c r="D3204" s="39">
        <v>7</v>
      </c>
      <c r="E3204" s="1"/>
      <c r="F3204" s="39">
        <f t="shared" si="208"/>
        <v>0</v>
      </c>
      <c r="G3204" s="497"/>
      <c r="H3204" s="497"/>
      <c r="J3204" s="42"/>
    </row>
    <row r="3205" spans="1:10" s="360" customFormat="1" x14ac:dyDescent="0.25">
      <c r="A3205" s="19" t="s">
        <v>21</v>
      </c>
      <c r="B3205" s="2">
        <v>44026</v>
      </c>
      <c r="C3205" s="1">
        <v>8</v>
      </c>
      <c r="D3205" s="39">
        <v>154</v>
      </c>
      <c r="E3205" s="1"/>
      <c r="F3205" s="39">
        <f t="shared" si="208"/>
        <v>0</v>
      </c>
      <c r="G3205" s="497"/>
      <c r="H3205" s="497"/>
      <c r="J3205" s="42"/>
    </row>
    <row r="3206" spans="1:10" s="360" customFormat="1" x14ac:dyDescent="0.25">
      <c r="A3206" s="19" t="s">
        <v>17</v>
      </c>
      <c r="B3206" s="2">
        <v>44026</v>
      </c>
      <c r="C3206" s="1">
        <v>27</v>
      </c>
      <c r="D3206" s="39">
        <v>331</v>
      </c>
      <c r="E3206" s="1"/>
      <c r="F3206" s="39">
        <f t="shared" si="208"/>
        <v>0</v>
      </c>
      <c r="G3206" s="497"/>
      <c r="H3206" s="497"/>
      <c r="J3206" s="42"/>
    </row>
    <row r="3207" spans="1:10" s="360" customFormat="1" x14ac:dyDescent="0.25">
      <c r="A3207" s="19" t="s">
        <v>23</v>
      </c>
      <c r="B3207" s="2">
        <v>44026</v>
      </c>
      <c r="C3207" s="1">
        <v>0</v>
      </c>
      <c r="D3207" s="39">
        <v>49</v>
      </c>
      <c r="E3207" s="1"/>
      <c r="F3207" s="39">
        <f t="shared" si="208"/>
        <v>0</v>
      </c>
      <c r="G3207" s="497"/>
      <c r="H3207" s="497"/>
      <c r="J3207" s="42"/>
    </row>
    <row r="3208" spans="1:10" s="360" customFormat="1" x14ac:dyDescent="0.25">
      <c r="A3208" s="19" t="s">
        <v>19</v>
      </c>
      <c r="B3208" s="2">
        <v>44026</v>
      </c>
      <c r="C3208" s="1">
        <v>21</v>
      </c>
      <c r="D3208" s="39">
        <v>752</v>
      </c>
      <c r="E3208" s="1"/>
      <c r="F3208" s="39">
        <f t="shared" si="208"/>
        <v>0</v>
      </c>
      <c r="G3208" s="497"/>
      <c r="H3208" s="497"/>
      <c r="J3208" s="42"/>
    </row>
    <row r="3209" spans="1:10" s="360" customFormat="1" x14ac:dyDescent="0.25">
      <c r="A3209" s="19" t="s">
        <v>18</v>
      </c>
      <c r="B3209" s="2">
        <v>44026</v>
      </c>
      <c r="C3209" s="1">
        <v>43</v>
      </c>
      <c r="D3209" s="39">
        <v>1166</v>
      </c>
      <c r="E3209" s="1">
        <v>1</v>
      </c>
      <c r="F3209" s="39">
        <f t="shared" si="208"/>
        <v>3</v>
      </c>
      <c r="G3209" s="497"/>
      <c r="H3209" s="497"/>
      <c r="J3209" s="42"/>
    </row>
    <row r="3210" spans="1:10" s="360" customFormat="1" x14ac:dyDescent="0.25">
      <c r="A3210" s="19" t="s">
        <v>34</v>
      </c>
      <c r="B3210" s="2">
        <v>44026</v>
      </c>
      <c r="C3210" s="1">
        <v>9</v>
      </c>
      <c r="D3210" s="39">
        <v>126</v>
      </c>
      <c r="E3210" s="1"/>
      <c r="F3210" s="39">
        <f t="shared" si="208"/>
        <v>0</v>
      </c>
      <c r="G3210" s="497"/>
      <c r="H3210" s="497"/>
      <c r="J3210" s="42"/>
    </row>
    <row r="3211" spans="1:10" s="360" customFormat="1" x14ac:dyDescent="0.25">
      <c r="A3211" s="19" t="s">
        <v>35</v>
      </c>
      <c r="B3211" s="2">
        <v>44026</v>
      </c>
      <c r="C3211" s="1">
        <v>0</v>
      </c>
      <c r="D3211" s="39">
        <v>9</v>
      </c>
      <c r="E3211" s="1"/>
      <c r="F3211" s="39">
        <f>E3211+F3187</f>
        <v>0</v>
      </c>
      <c r="G3211" s="497"/>
      <c r="H3211" s="497"/>
      <c r="J3211" s="42"/>
    </row>
    <row r="3212" spans="1:10" s="360" customFormat="1" x14ac:dyDescent="0.25">
      <c r="A3212" s="19" t="s">
        <v>36</v>
      </c>
      <c r="B3212" s="2">
        <v>44026</v>
      </c>
      <c r="C3212" s="1">
        <v>1</v>
      </c>
      <c r="D3212" s="39">
        <v>13</v>
      </c>
      <c r="E3212" s="1"/>
      <c r="F3212" s="39">
        <f t="shared" si="208"/>
        <v>0</v>
      </c>
      <c r="G3212" s="497"/>
      <c r="H3212" s="497"/>
      <c r="J3212" s="42"/>
    </row>
    <row r="3213" spans="1:10" s="360" customFormat="1" x14ac:dyDescent="0.25">
      <c r="A3213" s="19" t="s">
        <v>37</v>
      </c>
      <c r="B3213" s="2">
        <v>44026</v>
      </c>
      <c r="C3213" s="1">
        <v>0</v>
      </c>
      <c r="D3213" s="39">
        <v>61</v>
      </c>
      <c r="E3213" s="1"/>
      <c r="F3213" s="39">
        <f t="shared" si="208"/>
        <v>0</v>
      </c>
      <c r="G3213" s="497"/>
      <c r="H3213" s="497"/>
      <c r="J3213" s="42"/>
    </row>
    <row r="3214" spans="1:10" s="360" customFormat="1" x14ac:dyDescent="0.25">
      <c r="A3214" s="19" t="s">
        <v>22</v>
      </c>
      <c r="B3214" s="2">
        <v>44026</v>
      </c>
      <c r="C3214" s="1">
        <v>29</v>
      </c>
      <c r="D3214" s="39">
        <v>568</v>
      </c>
      <c r="E3214" s="1"/>
      <c r="F3214" s="39">
        <f>E3214+F3190</f>
        <v>6</v>
      </c>
      <c r="G3214" s="497"/>
      <c r="H3214" s="497"/>
      <c r="J3214" s="42"/>
    </row>
    <row r="3215" spans="1:10" s="360" customFormat="1" x14ac:dyDescent="0.25">
      <c r="A3215" s="19" t="s">
        <v>38</v>
      </c>
      <c r="B3215" s="2">
        <v>44026</v>
      </c>
      <c r="C3215" s="1">
        <v>1</v>
      </c>
      <c r="D3215" s="39">
        <v>37</v>
      </c>
      <c r="E3215" s="1"/>
      <c r="F3215" s="39">
        <f>E3215+F3191</f>
        <v>0</v>
      </c>
      <c r="G3215" s="497"/>
      <c r="H3215" s="497"/>
      <c r="J3215" s="42"/>
    </row>
    <row r="3216" spans="1:10" s="360" customFormat="1" x14ac:dyDescent="0.25">
      <c r="A3216" s="19" t="s">
        <v>39</v>
      </c>
      <c r="B3216" s="2">
        <v>44026</v>
      </c>
      <c r="C3216" s="1">
        <v>47</v>
      </c>
      <c r="D3216" s="39">
        <v>208</v>
      </c>
      <c r="E3216" s="1"/>
      <c r="F3216" s="39">
        <f>E3216+F3192</f>
        <v>1</v>
      </c>
      <c r="G3216" s="497"/>
      <c r="H3216" s="497"/>
      <c r="J3216" s="42"/>
    </row>
    <row r="3217" spans="1:10" s="360" customFormat="1" x14ac:dyDescent="0.25">
      <c r="A3217" s="19" t="s">
        <v>40</v>
      </c>
      <c r="B3217" s="2">
        <v>44026</v>
      </c>
      <c r="C3217" s="1">
        <v>0</v>
      </c>
      <c r="D3217" s="39">
        <v>94</v>
      </c>
      <c r="E3217" s="1"/>
      <c r="F3217" s="39">
        <f>E3217+F3193</f>
        <v>4</v>
      </c>
      <c r="G3217" s="497"/>
      <c r="H3217" s="497"/>
      <c r="J3217" s="42"/>
    </row>
    <row r="3218" spans="1:10" s="360" customFormat="1" x14ac:dyDescent="0.25">
      <c r="A3218" s="361" t="s">
        <v>16</v>
      </c>
      <c r="B3218" s="2">
        <v>44027</v>
      </c>
      <c r="C3218" s="1">
        <v>2735</v>
      </c>
      <c r="D3218" s="39">
        <v>60656</v>
      </c>
      <c r="E3218" s="1">
        <v>42</v>
      </c>
      <c r="F3218" s="39">
        <f>E3218+F3194</f>
        <v>1007</v>
      </c>
      <c r="G3218" s="497"/>
      <c r="H3218" s="497"/>
      <c r="J3218" s="42"/>
    </row>
    <row r="3219" spans="1:10" s="360" customFormat="1" x14ac:dyDescent="0.25">
      <c r="A3219" s="19" t="s">
        <v>28</v>
      </c>
      <c r="B3219" s="2">
        <v>44027</v>
      </c>
      <c r="C3219" s="1">
        <v>2</v>
      </c>
      <c r="D3219" s="39">
        <v>41</v>
      </c>
      <c r="E3219" s="1"/>
      <c r="F3219" s="39">
        <f t="shared" ref="F3219:F3225" si="209">E3219+F3195</f>
        <v>0</v>
      </c>
      <c r="G3219" s="497"/>
      <c r="H3219" s="497"/>
      <c r="J3219" s="42"/>
    </row>
    <row r="3220" spans="1:10" s="360" customFormat="1" x14ac:dyDescent="0.25">
      <c r="A3220" s="19" t="s">
        <v>15</v>
      </c>
      <c r="B3220" s="2">
        <v>44027</v>
      </c>
      <c r="C3220" s="1">
        <v>77</v>
      </c>
      <c r="D3220" s="39">
        <v>2751</v>
      </c>
      <c r="E3220" s="1"/>
      <c r="F3220" s="39">
        <f t="shared" si="209"/>
        <v>115</v>
      </c>
      <c r="G3220" s="497"/>
      <c r="H3220" s="497"/>
      <c r="J3220" s="42"/>
    </row>
    <row r="3221" spans="1:10" s="360" customFormat="1" x14ac:dyDescent="0.25">
      <c r="A3221" s="19" t="s">
        <v>29</v>
      </c>
      <c r="B3221" s="2">
        <v>44027</v>
      </c>
      <c r="C3221" s="1">
        <v>5</v>
      </c>
      <c r="D3221" s="39">
        <v>218</v>
      </c>
      <c r="E3221" s="1"/>
      <c r="F3221" s="39">
        <f t="shared" si="209"/>
        <v>3</v>
      </c>
      <c r="G3221" s="497"/>
      <c r="H3221" s="497"/>
      <c r="J3221" s="42"/>
    </row>
    <row r="3222" spans="1:10" s="360" customFormat="1" x14ac:dyDescent="0.25">
      <c r="A3222" s="19" t="s">
        <v>43</v>
      </c>
      <c r="B3222" s="2">
        <v>44027</v>
      </c>
      <c r="C3222" s="1">
        <v>1220</v>
      </c>
      <c r="D3222" s="39">
        <v>41444</v>
      </c>
      <c r="E3222" s="1">
        <v>28</v>
      </c>
      <c r="F3222" s="39">
        <f t="shared" si="209"/>
        <v>767</v>
      </c>
      <c r="G3222" s="497"/>
      <c r="H3222" s="497"/>
      <c r="J3222" s="42"/>
    </row>
    <row r="3223" spans="1:10" s="360" customFormat="1" x14ac:dyDescent="0.25">
      <c r="A3223" s="19" t="s">
        <v>20</v>
      </c>
      <c r="B3223" s="2">
        <v>44027</v>
      </c>
      <c r="C3223" s="1">
        <v>17</v>
      </c>
      <c r="D3223" s="39">
        <v>1023</v>
      </c>
      <c r="E3223" s="1"/>
      <c r="F3223" s="39">
        <f t="shared" si="209"/>
        <v>34</v>
      </c>
      <c r="G3223" s="497"/>
      <c r="H3223" s="497"/>
      <c r="J3223" s="42"/>
    </row>
    <row r="3224" spans="1:10" s="360" customFormat="1" x14ac:dyDescent="0.25">
      <c r="A3224" s="19" t="s">
        <v>30</v>
      </c>
      <c r="B3224" s="2">
        <v>44027</v>
      </c>
      <c r="C3224" s="1">
        <v>0</v>
      </c>
      <c r="D3224" s="39">
        <v>128</v>
      </c>
      <c r="E3224" s="1"/>
      <c r="F3224" s="39">
        <f t="shared" si="209"/>
        <v>0</v>
      </c>
      <c r="G3224" s="497"/>
      <c r="H3224" s="497"/>
      <c r="J3224" s="42"/>
    </row>
    <row r="3225" spans="1:10" x14ac:dyDescent="0.25">
      <c r="A3225" s="19" t="s">
        <v>31</v>
      </c>
      <c r="B3225" s="2">
        <v>44027</v>
      </c>
      <c r="C3225" s="1">
        <v>9</v>
      </c>
      <c r="D3225" s="39">
        <v>565</v>
      </c>
      <c r="E3225" s="1">
        <v>4</v>
      </c>
      <c r="F3225" s="39">
        <f t="shared" si="209"/>
        <v>4</v>
      </c>
    </row>
    <row r="3226" spans="1:10" s="360" customFormat="1" x14ac:dyDescent="0.25">
      <c r="A3226" s="19" t="s">
        <v>41</v>
      </c>
      <c r="B3226" s="2">
        <v>44027</v>
      </c>
      <c r="C3226" s="1">
        <v>0</v>
      </c>
      <c r="D3226" s="39">
        <v>78</v>
      </c>
      <c r="E3226" s="1"/>
      <c r="F3226" s="39">
        <f t="shared" ref="F3226:F3237" si="210">E3226+F3201</f>
        <v>0</v>
      </c>
      <c r="G3226" s="497"/>
      <c r="H3226" s="497"/>
      <c r="J3226" s="42"/>
    </row>
    <row r="3227" spans="1:10" s="360" customFormat="1" x14ac:dyDescent="0.25">
      <c r="A3227" s="19" t="s">
        <v>32</v>
      </c>
      <c r="B3227" s="2">
        <v>44027</v>
      </c>
      <c r="C3227" s="1">
        <v>50</v>
      </c>
      <c r="D3227" s="39">
        <v>532</v>
      </c>
      <c r="E3227" s="1"/>
      <c r="F3227" s="39">
        <f t="shared" si="210"/>
        <v>0</v>
      </c>
      <c r="G3227" s="497"/>
      <c r="H3227" s="497"/>
      <c r="J3227" s="42"/>
    </row>
    <row r="3228" spans="1:10" s="360" customFormat="1" x14ac:dyDescent="0.25">
      <c r="A3228" s="19" t="s">
        <v>33</v>
      </c>
      <c r="B3228" s="2">
        <v>44027</v>
      </c>
      <c r="C3228" s="1">
        <v>1</v>
      </c>
      <c r="D3228" s="39">
        <v>8</v>
      </c>
      <c r="E3228" s="1"/>
      <c r="F3228" s="39">
        <f t="shared" si="210"/>
        <v>0</v>
      </c>
      <c r="G3228" s="497"/>
      <c r="H3228" s="497"/>
      <c r="J3228" s="42"/>
    </row>
    <row r="3229" spans="1:10" s="360" customFormat="1" x14ac:dyDescent="0.25">
      <c r="A3229" s="19" t="s">
        <v>21</v>
      </c>
      <c r="B3229" s="2">
        <v>44027</v>
      </c>
      <c r="C3229" s="1">
        <v>3</v>
      </c>
      <c r="D3229" s="39">
        <v>157</v>
      </c>
      <c r="E3229" s="1"/>
      <c r="F3229" s="39">
        <f t="shared" si="210"/>
        <v>0</v>
      </c>
      <c r="G3229" s="497"/>
      <c r="H3229" s="497"/>
      <c r="J3229" s="42"/>
    </row>
    <row r="3230" spans="1:10" s="360" customFormat="1" x14ac:dyDescent="0.25">
      <c r="A3230" s="19" t="s">
        <v>17</v>
      </c>
      <c r="B3230" s="2">
        <v>44027</v>
      </c>
      <c r="C3230" s="1">
        <v>29</v>
      </c>
      <c r="D3230" s="39">
        <v>360</v>
      </c>
      <c r="E3230" s="1"/>
      <c r="F3230" s="39">
        <f t="shared" si="210"/>
        <v>0</v>
      </c>
      <c r="G3230" s="497"/>
      <c r="H3230" s="497"/>
      <c r="J3230" s="42"/>
    </row>
    <row r="3231" spans="1:10" s="360" customFormat="1" x14ac:dyDescent="0.25">
      <c r="A3231" s="19" t="s">
        <v>23</v>
      </c>
      <c r="B3231" s="2">
        <v>44027</v>
      </c>
      <c r="C3231" s="1">
        <v>0</v>
      </c>
      <c r="D3231" s="39">
        <v>49</v>
      </c>
      <c r="E3231" s="1"/>
      <c r="F3231" s="39">
        <f t="shared" si="210"/>
        <v>0</v>
      </c>
      <c r="G3231" s="497"/>
      <c r="H3231" s="497"/>
      <c r="J3231" s="42"/>
    </row>
    <row r="3232" spans="1:10" s="360" customFormat="1" x14ac:dyDescent="0.25">
      <c r="A3232" s="19" t="s">
        <v>19</v>
      </c>
      <c r="B3232" s="2">
        <v>44027</v>
      </c>
      <c r="C3232" s="1">
        <v>35</v>
      </c>
      <c r="D3232" s="39">
        <v>787</v>
      </c>
      <c r="E3232" s="1">
        <v>1</v>
      </c>
      <c r="F3232" s="39">
        <f t="shared" si="210"/>
        <v>1</v>
      </c>
      <c r="G3232" s="497"/>
      <c r="H3232" s="497"/>
      <c r="J3232" s="42"/>
    </row>
    <row r="3233" spans="1:10" s="360" customFormat="1" x14ac:dyDescent="0.25">
      <c r="A3233" s="19" t="s">
        <v>18</v>
      </c>
      <c r="B3233" s="2">
        <v>44027</v>
      </c>
      <c r="C3233" s="1">
        <v>28</v>
      </c>
      <c r="D3233" s="39">
        <v>1194</v>
      </c>
      <c r="E3233" s="1">
        <v>5</v>
      </c>
      <c r="F3233" s="39">
        <f t="shared" si="210"/>
        <v>5</v>
      </c>
      <c r="G3233" s="497"/>
      <c r="H3233" s="497"/>
      <c r="J3233" s="42"/>
    </row>
    <row r="3234" spans="1:10" s="360" customFormat="1" x14ac:dyDescent="0.25">
      <c r="A3234" s="19" t="s">
        <v>34</v>
      </c>
      <c r="B3234" s="2">
        <v>44027</v>
      </c>
      <c r="C3234" s="1">
        <v>2</v>
      </c>
      <c r="D3234" s="39">
        <v>128</v>
      </c>
      <c r="E3234" s="1"/>
      <c r="F3234" s="39">
        <f t="shared" si="210"/>
        <v>3</v>
      </c>
      <c r="G3234" s="497"/>
      <c r="H3234" s="497"/>
      <c r="J3234" s="42"/>
    </row>
    <row r="3235" spans="1:10" s="360" customFormat="1" x14ac:dyDescent="0.25">
      <c r="A3235" s="19" t="s">
        <v>35</v>
      </c>
      <c r="B3235" s="2">
        <v>44027</v>
      </c>
      <c r="C3235" s="1">
        <v>5</v>
      </c>
      <c r="D3235" s="39">
        <v>14</v>
      </c>
      <c r="E3235" s="1"/>
      <c r="F3235" s="39">
        <f>E3235+F3211</f>
        <v>0</v>
      </c>
      <c r="G3235" s="497"/>
      <c r="H3235" s="497"/>
      <c r="J3235" s="42"/>
    </row>
    <row r="3236" spans="1:10" s="360" customFormat="1" x14ac:dyDescent="0.25">
      <c r="A3236" s="19" t="s">
        <v>36</v>
      </c>
      <c r="B3236" s="2">
        <v>44027</v>
      </c>
      <c r="C3236" s="1">
        <v>0</v>
      </c>
      <c r="D3236" s="39">
        <v>13</v>
      </c>
      <c r="E3236" s="1"/>
      <c r="F3236" s="39">
        <f t="shared" si="210"/>
        <v>0</v>
      </c>
      <c r="G3236" s="497"/>
      <c r="H3236" s="497"/>
      <c r="J3236" s="42"/>
    </row>
    <row r="3237" spans="1:10" s="360" customFormat="1" x14ac:dyDescent="0.25">
      <c r="A3237" s="19" t="s">
        <v>37</v>
      </c>
      <c r="B3237" s="2">
        <v>44027</v>
      </c>
      <c r="C3237" s="1">
        <v>9</v>
      </c>
      <c r="D3237" s="39">
        <v>70</v>
      </c>
      <c r="E3237" s="1"/>
      <c r="F3237" s="39">
        <f t="shared" si="210"/>
        <v>0</v>
      </c>
      <c r="G3237" s="497"/>
      <c r="H3237" s="497"/>
      <c r="J3237" s="42"/>
    </row>
    <row r="3238" spans="1:10" s="360" customFormat="1" x14ac:dyDescent="0.25">
      <c r="A3238" s="19" t="s">
        <v>22</v>
      </c>
      <c r="B3238" s="2">
        <v>44027</v>
      </c>
      <c r="C3238" s="1">
        <v>23</v>
      </c>
      <c r="D3238" s="39">
        <v>591</v>
      </c>
      <c r="E3238" s="1">
        <v>2</v>
      </c>
      <c r="F3238" s="39">
        <f>E3238+F3214</f>
        <v>8</v>
      </c>
      <c r="G3238" s="497"/>
      <c r="H3238" s="497"/>
      <c r="J3238" s="42"/>
    </row>
    <row r="3239" spans="1:10" s="360" customFormat="1" x14ac:dyDescent="0.25">
      <c r="A3239" s="19" t="s">
        <v>38</v>
      </c>
      <c r="B3239" s="2">
        <v>44027</v>
      </c>
      <c r="C3239" s="1">
        <v>0</v>
      </c>
      <c r="D3239" s="39">
        <v>37</v>
      </c>
      <c r="E3239" s="1"/>
      <c r="F3239" s="39">
        <f>E3239+F3215</f>
        <v>0</v>
      </c>
      <c r="G3239" s="497"/>
      <c r="H3239" s="497"/>
      <c r="J3239" s="42"/>
    </row>
    <row r="3240" spans="1:10" s="360" customFormat="1" x14ac:dyDescent="0.25">
      <c r="A3240" s="19" t="s">
        <v>39</v>
      </c>
      <c r="B3240" s="2">
        <v>44027</v>
      </c>
      <c r="C3240" s="1">
        <v>0</v>
      </c>
      <c r="D3240" s="39">
        <v>208</v>
      </c>
      <c r="E3240" s="1"/>
      <c r="F3240" s="39">
        <f>E3240+F3216</f>
        <v>1</v>
      </c>
      <c r="G3240" s="497"/>
      <c r="H3240" s="497"/>
      <c r="J3240" s="42"/>
    </row>
    <row r="3241" spans="1:10" s="360" customFormat="1" x14ac:dyDescent="0.25">
      <c r="A3241" s="19" t="s">
        <v>40</v>
      </c>
      <c r="B3241" s="2">
        <v>44027</v>
      </c>
      <c r="C3241" s="1">
        <v>1</v>
      </c>
      <c r="D3241" s="39">
        <v>95</v>
      </c>
      <c r="E3241" s="1"/>
      <c r="F3241" s="39">
        <f>E3241+F3217</f>
        <v>4</v>
      </c>
      <c r="G3241" s="497"/>
      <c r="H3241" s="497"/>
      <c r="J3241" s="42"/>
    </row>
    <row r="3242" spans="1:10" s="360" customFormat="1" x14ac:dyDescent="0.25">
      <c r="A3242" s="361" t="s">
        <v>16</v>
      </c>
      <c r="B3242" s="2">
        <v>44028</v>
      </c>
      <c r="C3242" s="1">
        <v>2546</v>
      </c>
      <c r="D3242" s="39">
        <v>63202</v>
      </c>
      <c r="E3242" s="1">
        <v>42</v>
      </c>
      <c r="F3242" s="39">
        <f>E3242+F3218</f>
        <v>1049</v>
      </c>
      <c r="G3242" s="497"/>
      <c r="H3242" s="497"/>
      <c r="J3242" s="42"/>
    </row>
    <row r="3243" spans="1:10" s="360" customFormat="1" x14ac:dyDescent="0.25">
      <c r="A3243" s="19" t="s">
        <v>28</v>
      </c>
      <c r="B3243" s="2">
        <v>44028</v>
      </c>
      <c r="C3243" s="1">
        <v>0</v>
      </c>
      <c r="D3243" s="39">
        <v>41</v>
      </c>
      <c r="E3243" s="1"/>
      <c r="F3243" s="39">
        <f t="shared" ref="F3243:F3249" si="211">E3243+F3219</f>
        <v>0</v>
      </c>
      <c r="G3243" s="497"/>
      <c r="H3243" s="497"/>
      <c r="J3243" s="42"/>
    </row>
    <row r="3244" spans="1:10" s="360" customFormat="1" x14ac:dyDescent="0.25">
      <c r="A3244" s="19" t="s">
        <v>15</v>
      </c>
      <c r="B3244" s="2">
        <v>44028</v>
      </c>
      <c r="C3244" s="1">
        <v>42</v>
      </c>
      <c r="D3244" s="39">
        <v>2793</v>
      </c>
      <c r="E3244" s="1">
        <v>2</v>
      </c>
      <c r="F3244" s="39">
        <f t="shared" si="211"/>
        <v>117</v>
      </c>
      <c r="G3244" s="497"/>
      <c r="H3244" s="497"/>
      <c r="J3244" s="42"/>
    </row>
    <row r="3245" spans="1:10" s="360" customFormat="1" x14ac:dyDescent="0.25">
      <c r="A3245" s="19" t="s">
        <v>29</v>
      </c>
      <c r="B3245" s="2">
        <v>44028</v>
      </c>
      <c r="C3245" s="1">
        <v>0</v>
      </c>
      <c r="D3245" s="39">
        <v>218</v>
      </c>
      <c r="E3245" s="1"/>
      <c r="F3245" s="39">
        <f t="shared" si="211"/>
        <v>3</v>
      </c>
      <c r="G3245" s="497"/>
      <c r="H3245" s="497"/>
      <c r="J3245" s="42"/>
    </row>
    <row r="3246" spans="1:10" s="360" customFormat="1" x14ac:dyDescent="0.25">
      <c r="A3246" s="19" t="s">
        <v>43</v>
      </c>
      <c r="B3246" s="2">
        <v>44028</v>
      </c>
      <c r="C3246" s="1">
        <v>854</v>
      </c>
      <c r="D3246" s="39">
        <v>42298</v>
      </c>
      <c r="E3246" s="1">
        <v>15</v>
      </c>
      <c r="F3246" s="39">
        <f t="shared" si="211"/>
        <v>782</v>
      </c>
      <c r="G3246" s="497"/>
      <c r="H3246" s="497"/>
      <c r="J3246" s="42"/>
    </row>
    <row r="3247" spans="1:10" s="360" customFormat="1" x14ac:dyDescent="0.25">
      <c r="A3247" s="19" t="s">
        <v>20</v>
      </c>
      <c r="B3247" s="2">
        <v>44028</v>
      </c>
      <c r="C3247" s="1">
        <v>40</v>
      </c>
      <c r="D3247" s="39">
        <v>1063</v>
      </c>
      <c r="E3247" s="1"/>
      <c r="F3247" s="39">
        <f t="shared" si="211"/>
        <v>34</v>
      </c>
      <c r="G3247" s="497"/>
      <c r="H3247" s="497"/>
      <c r="J3247" s="42"/>
    </row>
    <row r="3248" spans="1:10" s="360" customFormat="1" x14ac:dyDescent="0.25">
      <c r="A3248" s="19" t="s">
        <v>30</v>
      </c>
      <c r="B3248" s="2">
        <v>44028</v>
      </c>
      <c r="C3248" s="1">
        <v>1</v>
      </c>
      <c r="D3248" s="39">
        <v>129</v>
      </c>
      <c r="E3248" s="1"/>
      <c r="F3248" s="39">
        <f t="shared" si="211"/>
        <v>0</v>
      </c>
      <c r="G3248" s="497"/>
      <c r="H3248" s="497"/>
      <c r="J3248" s="42"/>
    </row>
    <row r="3249" spans="1:10" x14ac:dyDescent="0.25">
      <c r="A3249" s="19" t="s">
        <v>31</v>
      </c>
      <c r="B3249" s="2">
        <v>44028</v>
      </c>
      <c r="C3249" s="1">
        <v>10</v>
      </c>
      <c r="D3249" s="39">
        <v>575</v>
      </c>
      <c r="F3249" s="39">
        <f t="shared" si="211"/>
        <v>4</v>
      </c>
    </row>
    <row r="3250" spans="1:10" s="360" customFormat="1" x14ac:dyDescent="0.25">
      <c r="A3250" s="19" t="s">
        <v>41</v>
      </c>
      <c r="B3250" s="2">
        <v>44028</v>
      </c>
      <c r="C3250" s="1">
        <v>0</v>
      </c>
      <c r="D3250" s="39">
        <v>78</v>
      </c>
      <c r="E3250" s="1"/>
      <c r="F3250" s="39">
        <f>E3250+F3226</f>
        <v>0</v>
      </c>
      <c r="G3250" s="497"/>
      <c r="H3250" s="497"/>
      <c r="J3250" s="42"/>
    </row>
    <row r="3251" spans="1:10" s="360" customFormat="1" x14ac:dyDescent="0.25">
      <c r="A3251" s="19" t="s">
        <v>32</v>
      </c>
      <c r="B3251" s="2">
        <v>44028</v>
      </c>
      <c r="C3251" s="1">
        <v>22</v>
      </c>
      <c r="D3251" s="39">
        <v>554</v>
      </c>
      <c r="E3251" s="1"/>
      <c r="F3251" s="39">
        <f t="shared" ref="F3251:F3261" si="212">E3251+F3226</f>
        <v>0</v>
      </c>
      <c r="G3251" s="497"/>
      <c r="H3251" s="497"/>
      <c r="J3251" s="42"/>
    </row>
    <row r="3252" spans="1:10" s="360" customFormat="1" x14ac:dyDescent="0.25">
      <c r="A3252" s="19" t="s">
        <v>33</v>
      </c>
      <c r="B3252" s="2">
        <v>44028</v>
      </c>
      <c r="C3252" s="1">
        <v>0</v>
      </c>
      <c r="D3252" s="39">
        <v>8</v>
      </c>
      <c r="E3252" s="1"/>
      <c r="F3252" s="39">
        <f t="shared" si="212"/>
        <v>0</v>
      </c>
      <c r="G3252" s="497"/>
      <c r="H3252" s="497"/>
      <c r="J3252" s="42"/>
    </row>
    <row r="3253" spans="1:10" s="360" customFormat="1" x14ac:dyDescent="0.25">
      <c r="A3253" s="19" t="s">
        <v>21</v>
      </c>
      <c r="B3253" s="2">
        <v>44028</v>
      </c>
      <c r="C3253" s="1">
        <v>4</v>
      </c>
      <c r="D3253" s="39">
        <v>161</v>
      </c>
      <c r="E3253" s="1">
        <v>2</v>
      </c>
      <c r="F3253" s="39">
        <f t="shared" si="212"/>
        <v>2</v>
      </c>
      <c r="G3253" s="497"/>
      <c r="H3253" s="497"/>
      <c r="J3253" s="42"/>
    </row>
    <row r="3254" spans="1:10" s="360" customFormat="1" x14ac:dyDescent="0.25">
      <c r="A3254" s="19" t="s">
        <v>17</v>
      </c>
      <c r="B3254" s="2">
        <v>44028</v>
      </c>
      <c r="C3254" s="1">
        <v>22</v>
      </c>
      <c r="D3254" s="39">
        <v>382</v>
      </c>
      <c r="E3254" s="1">
        <v>1</v>
      </c>
      <c r="F3254" s="39">
        <f t="shared" si="212"/>
        <v>1</v>
      </c>
      <c r="G3254" s="497"/>
      <c r="H3254" s="497"/>
      <c r="J3254" s="42"/>
    </row>
    <row r="3255" spans="1:10" s="360" customFormat="1" x14ac:dyDescent="0.25">
      <c r="A3255" s="19" t="s">
        <v>23</v>
      </c>
      <c r="B3255" s="2">
        <v>44028</v>
      </c>
      <c r="C3255" s="1">
        <v>0</v>
      </c>
      <c r="D3255" s="39">
        <v>49</v>
      </c>
      <c r="E3255" s="1"/>
      <c r="F3255" s="39">
        <f t="shared" si="212"/>
        <v>0</v>
      </c>
      <c r="G3255" s="497"/>
      <c r="H3255" s="497"/>
      <c r="J3255" s="42"/>
    </row>
    <row r="3256" spans="1:10" s="360" customFormat="1" x14ac:dyDescent="0.25">
      <c r="A3256" s="19" t="s">
        <v>19</v>
      </c>
      <c r="B3256" s="2">
        <v>44028</v>
      </c>
      <c r="C3256" s="1">
        <v>15</v>
      </c>
      <c r="D3256" s="39">
        <v>802</v>
      </c>
      <c r="E3256" s="1"/>
      <c r="F3256" s="39">
        <f t="shared" si="212"/>
        <v>0</v>
      </c>
      <c r="G3256" s="497"/>
      <c r="H3256" s="497"/>
      <c r="J3256" s="42"/>
    </row>
    <row r="3257" spans="1:10" s="360" customFormat="1" x14ac:dyDescent="0.25">
      <c r="A3257" s="19" t="s">
        <v>18</v>
      </c>
      <c r="B3257" s="2">
        <v>44028</v>
      </c>
      <c r="C3257" s="1">
        <v>21</v>
      </c>
      <c r="D3257" s="39">
        <v>1215</v>
      </c>
      <c r="E3257" s="1"/>
      <c r="F3257" s="39">
        <f t="shared" si="212"/>
        <v>1</v>
      </c>
      <c r="G3257" s="497"/>
      <c r="H3257" s="497"/>
      <c r="J3257" s="42"/>
    </row>
    <row r="3258" spans="1:10" s="360" customFormat="1" x14ac:dyDescent="0.25">
      <c r="A3258" s="19" t="s">
        <v>34</v>
      </c>
      <c r="B3258" s="2">
        <v>44028</v>
      </c>
      <c r="C3258" s="1">
        <v>17</v>
      </c>
      <c r="D3258" s="39">
        <v>145</v>
      </c>
      <c r="E3258" s="1"/>
      <c r="F3258" s="39">
        <f t="shared" si="212"/>
        <v>5</v>
      </c>
      <c r="G3258" s="497"/>
      <c r="H3258" s="497"/>
      <c r="J3258" s="42"/>
    </row>
    <row r="3259" spans="1:10" s="360" customFormat="1" x14ac:dyDescent="0.25">
      <c r="A3259" s="19" t="s">
        <v>35</v>
      </c>
      <c r="B3259" s="2">
        <v>44028</v>
      </c>
      <c r="C3259" s="1">
        <v>0</v>
      </c>
      <c r="D3259" s="39">
        <v>14</v>
      </c>
      <c r="E3259" s="1"/>
      <c r="F3259" s="39">
        <f>E3259+F3235</f>
        <v>0</v>
      </c>
      <c r="G3259" s="497"/>
      <c r="H3259" s="497"/>
      <c r="J3259" s="42"/>
    </row>
    <row r="3260" spans="1:10" s="360" customFormat="1" x14ac:dyDescent="0.25">
      <c r="A3260" s="19" t="s">
        <v>36</v>
      </c>
      <c r="B3260" s="2">
        <v>44028</v>
      </c>
      <c r="C3260" s="1">
        <v>0</v>
      </c>
      <c r="D3260" s="39">
        <v>13</v>
      </c>
      <c r="E3260" s="1"/>
      <c r="F3260" s="39">
        <f t="shared" si="212"/>
        <v>0</v>
      </c>
      <c r="G3260" s="497"/>
      <c r="H3260" s="497"/>
      <c r="J3260" s="42"/>
    </row>
    <row r="3261" spans="1:10" s="360" customFormat="1" x14ac:dyDescent="0.25">
      <c r="A3261" s="19" t="s">
        <v>37</v>
      </c>
      <c r="B3261" s="2">
        <v>44028</v>
      </c>
      <c r="C3261" s="1">
        <v>13</v>
      </c>
      <c r="D3261" s="39">
        <v>83</v>
      </c>
      <c r="E3261" s="1"/>
      <c r="F3261" s="39">
        <f t="shared" si="212"/>
        <v>0</v>
      </c>
      <c r="G3261" s="497"/>
      <c r="H3261" s="497"/>
      <c r="J3261" s="42"/>
    </row>
    <row r="3262" spans="1:10" s="360" customFormat="1" x14ac:dyDescent="0.25">
      <c r="A3262" s="19" t="s">
        <v>22</v>
      </c>
      <c r="B3262" s="2">
        <v>44028</v>
      </c>
      <c r="C3262" s="1">
        <v>15</v>
      </c>
      <c r="D3262" s="39">
        <v>606</v>
      </c>
      <c r="E3262" s="1"/>
      <c r="F3262" s="39">
        <f>E3262+F3238</f>
        <v>8</v>
      </c>
      <c r="G3262" s="497"/>
      <c r="H3262" s="497"/>
      <c r="J3262" s="42"/>
    </row>
    <row r="3263" spans="1:10" s="360" customFormat="1" x14ac:dyDescent="0.25">
      <c r="A3263" s="19" t="s">
        <v>38</v>
      </c>
      <c r="B3263" s="2">
        <v>44028</v>
      </c>
      <c r="C3263" s="1">
        <v>0</v>
      </c>
      <c r="D3263" s="39">
        <v>37</v>
      </c>
      <c r="E3263" s="1"/>
      <c r="F3263" s="39">
        <f>E3263+F3239</f>
        <v>0</v>
      </c>
      <c r="G3263" s="497"/>
      <c r="H3263" s="497"/>
      <c r="J3263" s="42"/>
    </row>
    <row r="3264" spans="1:10" s="360" customFormat="1" x14ac:dyDescent="0.25">
      <c r="A3264" s="19" t="s">
        <v>39</v>
      </c>
      <c r="B3264" s="2">
        <v>44028</v>
      </c>
      <c r="C3264" s="1">
        <v>1</v>
      </c>
      <c r="D3264" s="39">
        <v>209</v>
      </c>
      <c r="E3264" s="1"/>
      <c r="F3264" s="39">
        <f>E3264+F3240</f>
        <v>1</v>
      </c>
      <c r="G3264" s="497"/>
      <c r="H3264" s="497"/>
      <c r="J3264" s="42"/>
    </row>
    <row r="3265" spans="1:10" s="360" customFormat="1" x14ac:dyDescent="0.25">
      <c r="A3265" s="19" t="s">
        <v>40</v>
      </c>
      <c r="B3265" s="2">
        <v>44028</v>
      </c>
      <c r="C3265" s="1">
        <v>1</v>
      </c>
      <c r="D3265" s="39">
        <v>96</v>
      </c>
      <c r="E3265" s="1"/>
      <c r="F3265" s="39">
        <f>E3265+F3241</f>
        <v>4</v>
      </c>
      <c r="G3265" s="497"/>
      <c r="H3265" s="497"/>
      <c r="J3265" s="42"/>
    </row>
    <row r="3266" spans="1:10" s="360" customFormat="1" x14ac:dyDescent="0.25">
      <c r="A3266" s="361" t="s">
        <v>16</v>
      </c>
      <c r="B3266" s="2">
        <v>44029</v>
      </c>
      <c r="C3266" s="1">
        <v>3002</v>
      </c>
      <c r="D3266" s="39">
        <v>66204</v>
      </c>
      <c r="E3266" s="1">
        <v>28</v>
      </c>
      <c r="F3266" s="39">
        <f>E3266+F3242</f>
        <v>1077</v>
      </c>
      <c r="G3266" s="497"/>
      <c r="H3266" s="497"/>
      <c r="J3266" s="42"/>
    </row>
    <row r="3267" spans="1:10" s="360" customFormat="1" x14ac:dyDescent="0.25">
      <c r="A3267" s="19" t="s">
        <v>28</v>
      </c>
      <c r="B3267" s="2">
        <v>44029</v>
      </c>
      <c r="C3267" s="1">
        <v>14</v>
      </c>
      <c r="D3267" s="39">
        <v>55</v>
      </c>
      <c r="E3267" s="1"/>
      <c r="F3267" s="39">
        <f t="shared" ref="F3267:F3273" si="213">E3267+F3243</f>
        <v>0</v>
      </c>
      <c r="G3267" s="497"/>
      <c r="H3267" s="497"/>
      <c r="J3267" s="42"/>
    </row>
    <row r="3268" spans="1:10" s="360" customFormat="1" x14ac:dyDescent="0.25">
      <c r="A3268" s="19" t="s">
        <v>15</v>
      </c>
      <c r="B3268" s="2">
        <v>44029</v>
      </c>
      <c r="C3268" s="1">
        <v>65</v>
      </c>
      <c r="D3268" s="39">
        <v>2858</v>
      </c>
      <c r="E3268" s="1"/>
      <c r="F3268" s="39">
        <f t="shared" si="213"/>
        <v>117</v>
      </c>
      <c r="G3268" s="497"/>
      <c r="H3268" s="497"/>
      <c r="J3268" s="42"/>
    </row>
    <row r="3269" spans="1:10" s="360" customFormat="1" x14ac:dyDescent="0.25">
      <c r="A3269" s="19" t="s">
        <v>29</v>
      </c>
      <c r="B3269" s="2">
        <v>44029</v>
      </c>
      <c r="C3269" s="1">
        <v>9</v>
      </c>
      <c r="D3269" s="39">
        <v>227</v>
      </c>
      <c r="E3269" s="1"/>
      <c r="F3269" s="39">
        <f t="shared" si="213"/>
        <v>3</v>
      </c>
      <c r="G3269" s="497"/>
      <c r="H3269" s="497"/>
      <c r="J3269" s="42"/>
    </row>
    <row r="3270" spans="1:10" s="360" customFormat="1" x14ac:dyDescent="0.25">
      <c r="A3270" s="19" t="s">
        <v>43</v>
      </c>
      <c r="B3270" s="2">
        <v>44029</v>
      </c>
      <c r="C3270" s="1">
        <v>1081</v>
      </c>
      <c r="D3270" s="39">
        <v>43379</v>
      </c>
      <c r="E3270" s="1">
        <v>28</v>
      </c>
      <c r="F3270" s="39">
        <f t="shared" si="213"/>
        <v>810</v>
      </c>
      <c r="G3270" s="497"/>
      <c r="H3270" s="497"/>
      <c r="J3270" s="42"/>
    </row>
    <row r="3271" spans="1:10" s="360" customFormat="1" x14ac:dyDescent="0.25">
      <c r="A3271" s="19" t="s">
        <v>20</v>
      </c>
      <c r="B3271" s="2">
        <v>44029</v>
      </c>
      <c r="C3271" s="1">
        <v>49</v>
      </c>
      <c r="D3271" s="39">
        <v>1112</v>
      </c>
      <c r="E3271" s="1">
        <v>1</v>
      </c>
      <c r="F3271" s="39">
        <f t="shared" si="213"/>
        <v>35</v>
      </c>
      <c r="G3271" s="497"/>
      <c r="H3271" s="497"/>
      <c r="J3271" s="42"/>
    </row>
    <row r="3272" spans="1:10" s="360" customFormat="1" x14ac:dyDescent="0.25">
      <c r="A3272" s="19" t="s">
        <v>30</v>
      </c>
      <c r="B3272" s="2">
        <v>44029</v>
      </c>
      <c r="C3272" s="1">
        <v>0</v>
      </c>
      <c r="D3272" s="39">
        <v>129</v>
      </c>
      <c r="E3272" s="1"/>
      <c r="F3272" s="39">
        <f t="shared" si="213"/>
        <v>0</v>
      </c>
      <c r="G3272" s="497"/>
      <c r="H3272" s="497"/>
      <c r="J3272" s="42"/>
    </row>
    <row r="3273" spans="1:10" x14ac:dyDescent="0.25">
      <c r="A3273" s="19" t="s">
        <v>31</v>
      </c>
      <c r="B3273" s="2">
        <v>44029</v>
      </c>
      <c r="C3273" s="1">
        <v>24</v>
      </c>
      <c r="D3273" s="39">
        <v>599</v>
      </c>
      <c r="E3273" s="1">
        <v>1</v>
      </c>
      <c r="F3273" s="39">
        <f t="shared" si="213"/>
        <v>5</v>
      </c>
    </row>
    <row r="3274" spans="1:10" s="360" customFormat="1" x14ac:dyDescent="0.25">
      <c r="A3274" s="19" t="s">
        <v>41</v>
      </c>
      <c r="B3274" s="2">
        <v>44029</v>
      </c>
      <c r="C3274" s="1">
        <v>0</v>
      </c>
      <c r="D3274" s="39">
        <v>78</v>
      </c>
      <c r="E3274" s="1"/>
      <c r="F3274" s="39">
        <f>E3274+F3250</f>
        <v>0</v>
      </c>
      <c r="G3274" s="497"/>
      <c r="H3274" s="497"/>
      <c r="J3274" s="42"/>
    </row>
    <row r="3275" spans="1:10" s="360" customFormat="1" x14ac:dyDescent="0.25">
      <c r="A3275" s="19" t="s">
        <v>32</v>
      </c>
      <c r="B3275" s="2">
        <v>44029</v>
      </c>
      <c r="C3275" s="1">
        <v>107</v>
      </c>
      <c r="D3275" s="39">
        <v>661</v>
      </c>
      <c r="E3275" s="1"/>
      <c r="F3275" s="39">
        <f t="shared" ref="F3275:F3285" si="214">E3275+F3250</f>
        <v>0</v>
      </c>
      <c r="G3275" s="497"/>
      <c r="H3275" s="497"/>
      <c r="J3275" s="42"/>
    </row>
    <row r="3276" spans="1:10" s="360" customFormat="1" x14ac:dyDescent="0.25">
      <c r="A3276" s="19" t="s">
        <v>33</v>
      </c>
      <c r="B3276" s="2">
        <v>44029</v>
      </c>
      <c r="C3276" s="1">
        <v>0</v>
      </c>
      <c r="D3276" s="39">
        <v>8</v>
      </c>
      <c r="E3276" s="1"/>
      <c r="F3276" s="39">
        <f t="shared" si="214"/>
        <v>0</v>
      </c>
      <c r="G3276" s="497"/>
      <c r="H3276" s="497"/>
      <c r="J3276" s="42"/>
    </row>
    <row r="3277" spans="1:10" s="360" customFormat="1" x14ac:dyDescent="0.25">
      <c r="A3277" s="19" t="s">
        <v>21</v>
      </c>
      <c r="B3277" s="2">
        <v>44029</v>
      </c>
      <c r="C3277" s="1">
        <v>2</v>
      </c>
      <c r="D3277" s="39">
        <v>163</v>
      </c>
      <c r="E3277" s="1">
        <v>2</v>
      </c>
      <c r="F3277" s="39">
        <f t="shared" si="214"/>
        <v>2</v>
      </c>
      <c r="G3277" s="497"/>
      <c r="H3277" s="497"/>
      <c r="J3277" s="42"/>
    </row>
    <row r="3278" spans="1:10" s="360" customFormat="1" x14ac:dyDescent="0.25">
      <c r="A3278" s="19" t="s">
        <v>17</v>
      </c>
      <c r="B3278" s="2">
        <v>44029</v>
      </c>
      <c r="C3278" s="1">
        <v>21</v>
      </c>
      <c r="D3278" s="39">
        <v>403</v>
      </c>
      <c r="E3278" s="1">
        <v>3</v>
      </c>
      <c r="F3278" s="39">
        <f t="shared" si="214"/>
        <v>5</v>
      </c>
      <c r="G3278" s="497"/>
      <c r="H3278" s="497"/>
      <c r="J3278" s="42"/>
    </row>
    <row r="3279" spans="1:10" s="360" customFormat="1" x14ac:dyDescent="0.25">
      <c r="A3279" s="19" t="s">
        <v>23</v>
      </c>
      <c r="B3279" s="2">
        <v>44029</v>
      </c>
      <c r="C3279" s="1">
        <v>0</v>
      </c>
      <c r="D3279" s="39">
        <v>49</v>
      </c>
      <c r="E3279" s="1"/>
      <c r="F3279" s="39">
        <f t="shared" si="214"/>
        <v>1</v>
      </c>
      <c r="G3279" s="497"/>
      <c r="H3279" s="497"/>
      <c r="J3279" s="42"/>
    </row>
    <row r="3280" spans="1:10" s="360" customFormat="1" x14ac:dyDescent="0.25">
      <c r="A3280" s="19" t="s">
        <v>19</v>
      </c>
      <c r="B3280" s="2">
        <v>44029</v>
      </c>
      <c r="C3280" s="1">
        <v>29</v>
      </c>
      <c r="D3280" s="39">
        <v>831</v>
      </c>
      <c r="E3280" s="1">
        <v>2</v>
      </c>
      <c r="F3280" s="39">
        <f t="shared" si="214"/>
        <v>2</v>
      </c>
      <c r="G3280" s="497"/>
      <c r="H3280" s="497"/>
      <c r="J3280" s="42"/>
    </row>
    <row r="3281" spans="1:10" s="360" customFormat="1" x14ac:dyDescent="0.25">
      <c r="A3281" s="19" t="s">
        <v>18</v>
      </c>
      <c r="B3281" s="2">
        <v>44029</v>
      </c>
      <c r="C3281" s="1">
        <v>57</v>
      </c>
      <c r="D3281" s="39">
        <v>1272</v>
      </c>
      <c r="E3281" s="1">
        <v>1</v>
      </c>
      <c r="F3281" s="39">
        <f t="shared" si="214"/>
        <v>1</v>
      </c>
      <c r="G3281" s="497"/>
      <c r="H3281" s="497"/>
      <c r="J3281" s="42"/>
    </row>
    <row r="3282" spans="1:10" s="360" customFormat="1" x14ac:dyDescent="0.25">
      <c r="A3282" s="19" t="s">
        <v>34</v>
      </c>
      <c r="B3282" s="2">
        <v>44029</v>
      </c>
      <c r="C3282" s="1">
        <v>0</v>
      </c>
      <c r="D3282" s="39">
        <v>145</v>
      </c>
      <c r="E3282" s="1"/>
      <c r="F3282" s="39">
        <f t="shared" si="214"/>
        <v>1</v>
      </c>
      <c r="G3282" s="497"/>
      <c r="H3282" s="497"/>
      <c r="J3282" s="42"/>
    </row>
    <row r="3283" spans="1:10" s="360" customFormat="1" x14ac:dyDescent="0.25">
      <c r="A3283" s="19" t="s">
        <v>35</v>
      </c>
      <c r="B3283" s="2">
        <v>44029</v>
      </c>
      <c r="C3283" s="1">
        <v>0</v>
      </c>
      <c r="D3283" s="39">
        <v>14</v>
      </c>
      <c r="E3283" s="1"/>
      <c r="F3283" s="39">
        <f>E3283+F3259</f>
        <v>0</v>
      </c>
      <c r="G3283" s="497"/>
      <c r="H3283" s="497"/>
      <c r="J3283" s="42"/>
    </row>
    <row r="3284" spans="1:10" s="360" customFormat="1" x14ac:dyDescent="0.25">
      <c r="A3284" s="19" t="s">
        <v>36</v>
      </c>
      <c r="B3284" s="2">
        <v>44029</v>
      </c>
      <c r="C3284" s="1">
        <v>1</v>
      </c>
      <c r="D3284" s="39">
        <v>14</v>
      </c>
      <c r="E3284" s="1"/>
      <c r="F3284" s="39">
        <f t="shared" si="214"/>
        <v>0</v>
      </c>
      <c r="G3284" s="497"/>
      <c r="H3284" s="497"/>
      <c r="J3284" s="42"/>
    </row>
    <row r="3285" spans="1:10" s="360" customFormat="1" x14ac:dyDescent="0.25">
      <c r="A3285" s="19" t="s">
        <v>37</v>
      </c>
      <c r="B3285" s="2">
        <v>44029</v>
      </c>
      <c r="C3285" s="1">
        <v>20</v>
      </c>
      <c r="D3285" s="39">
        <v>103</v>
      </c>
      <c r="E3285" s="1"/>
      <c r="F3285" s="39">
        <f t="shared" si="214"/>
        <v>0</v>
      </c>
      <c r="G3285" s="497"/>
      <c r="H3285" s="497"/>
      <c r="J3285" s="42"/>
    </row>
    <row r="3286" spans="1:10" s="360" customFormat="1" x14ac:dyDescent="0.25">
      <c r="A3286" s="19" t="s">
        <v>22</v>
      </c>
      <c r="B3286" s="2">
        <v>44029</v>
      </c>
      <c r="C3286" s="1">
        <v>26</v>
      </c>
      <c r="D3286" s="39">
        <v>632</v>
      </c>
      <c r="E3286" s="1"/>
      <c r="F3286" s="39">
        <f>E3286+F3262</f>
        <v>8</v>
      </c>
      <c r="G3286" s="497"/>
      <c r="H3286" s="497"/>
      <c r="J3286" s="42"/>
    </row>
    <row r="3287" spans="1:10" s="360" customFormat="1" x14ac:dyDescent="0.25">
      <c r="A3287" s="19" t="s">
        <v>38</v>
      </c>
      <c r="B3287" s="2">
        <v>44029</v>
      </c>
      <c r="C3287" s="1">
        <v>0</v>
      </c>
      <c r="D3287" s="39">
        <v>37</v>
      </c>
      <c r="E3287" s="1"/>
      <c r="F3287" s="39">
        <f>E3287+F3263</f>
        <v>0</v>
      </c>
      <c r="G3287" s="497"/>
      <c r="H3287" s="497"/>
      <c r="J3287" s="42"/>
    </row>
    <row r="3288" spans="1:10" s="360" customFormat="1" x14ac:dyDescent="0.25">
      <c r="A3288" s="19" t="s">
        <v>39</v>
      </c>
      <c r="B3288" s="2">
        <v>44029</v>
      </c>
      <c r="C3288" s="1">
        <v>4</v>
      </c>
      <c r="D3288" s="39">
        <v>213</v>
      </c>
      <c r="E3288" s="1"/>
      <c r="F3288" s="39">
        <f>E3288+F3264</f>
        <v>1</v>
      </c>
      <c r="G3288" s="497"/>
      <c r="H3288" s="497"/>
      <c r="J3288" s="42"/>
    </row>
    <row r="3289" spans="1:10" s="360" customFormat="1" x14ac:dyDescent="0.25">
      <c r="A3289" s="19" t="s">
        <v>40</v>
      </c>
      <c r="B3289" s="2">
        <v>44029</v>
      </c>
      <c r="C3289" s="1">
        <v>7</v>
      </c>
      <c r="D3289" s="39">
        <v>103</v>
      </c>
      <c r="E3289" s="1"/>
      <c r="F3289" s="39">
        <f>E3289+F3265</f>
        <v>4</v>
      </c>
      <c r="G3289" s="497"/>
      <c r="H3289" s="497"/>
      <c r="J3289" s="42"/>
    </row>
    <row r="3290" spans="1:10" s="360" customFormat="1" x14ac:dyDescent="0.25">
      <c r="A3290" s="361" t="s">
        <v>16</v>
      </c>
      <c r="B3290" s="2">
        <v>44030</v>
      </c>
      <c r="C3290" s="1">
        <v>1817</v>
      </c>
      <c r="D3290" s="39">
        <v>68021</v>
      </c>
      <c r="E3290" s="1">
        <v>21</v>
      </c>
      <c r="F3290" s="39">
        <f>E3290+F3266</f>
        <v>1098</v>
      </c>
      <c r="G3290" s="497"/>
      <c r="H3290" s="497"/>
      <c r="J3290" s="42"/>
    </row>
    <row r="3291" spans="1:10" s="360" customFormat="1" x14ac:dyDescent="0.25">
      <c r="A3291" s="19" t="s">
        <v>28</v>
      </c>
      <c r="B3291" s="2">
        <v>44030</v>
      </c>
      <c r="C3291" s="1">
        <v>0</v>
      </c>
      <c r="D3291" s="39">
        <v>55</v>
      </c>
      <c r="E3291" s="1"/>
      <c r="F3291" s="39">
        <f t="shared" ref="F3291:F3297" si="215">E3291+F3267</f>
        <v>0</v>
      </c>
      <c r="G3291" s="497"/>
      <c r="H3291" s="497"/>
      <c r="J3291" s="42"/>
    </row>
    <row r="3292" spans="1:10" s="360" customFormat="1" x14ac:dyDescent="0.25">
      <c r="A3292" s="19" t="s">
        <v>15</v>
      </c>
      <c r="B3292" s="2">
        <v>44030</v>
      </c>
      <c r="C3292" s="1">
        <v>60</v>
      </c>
      <c r="D3292" s="39">
        <v>2918</v>
      </c>
      <c r="E3292" s="1">
        <v>3</v>
      </c>
      <c r="F3292" s="39">
        <f t="shared" si="215"/>
        <v>120</v>
      </c>
      <c r="G3292" s="497"/>
      <c r="H3292" s="497"/>
      <c r="J3292" s="42"/>
    </row>
    <row r="3293" spans="1:10" s="360" customFormat="1" x14ac:dyDescent="0.25">
      <c r="A3293" s="19" t="s">
        <v>29</v>
      </c>
      <c r="B3293" s="2">
        <v>44030</v>
      </c>
      <c r="C3293" s="1">
        <v>8</v>
      </c>
      <c r="D3293" s="39">
        <v>235</v>
      </c>
      <c r="E3293" s="1"/>
      <c r="F3293" s="39">
        <f t="shared" si="215"/>
        <v>3</v>
      </c>
      <c r="G3293" s="497"/>
      <c r="H3293" s="497"/>
      <c r="J3293" s="42"/>
    </row>
    <row r="3294" spans="1:10" s="360" customFormat="1" x14ac:dyDescent="0.25">
      <c r="A3294" s="19" t="s">
        <v>43</v>
      </c>
      <c r="B3294" s="2">
        <v>44030</v>
      </c>
      <c r="C3294" s="1">
        <v>1106</v>
      </c>
      <c r="D3294" s="39">
        <v>44485</v>
      </c>
      <c r="E3294" s="1">
        <v>16</v>
      </c>
      <c r="F3294" s="39">
        <f t="shared" si="215"/>
        <v>826</v>
      </c>
      <c r="G3294" s="497"/>
      <c r="H3294" s="497"/>
      <c r="J3294" s="42"/>
    </row>
    <row r="3295" spans="1:10" s="360" customFormat="1" x14ac:dyDescent="0.25">
      <c r="A3295" s="19" t="s">
        <v>20</v>
      </c>
      <c r="B3295" s="2">
        <v>44030</v>
      </c>
      <c r="C3295" s="1">
        <v>104</v>
      </c>
      <c r="D3295" s="39">
        <v>1216</v>
      </c>
      <c r="E3295" s="1"/>
      <c r="F3295" s="39">
        <f t="shared" si="215"/>
        <v>35</v>
      </c>
      <c r="G3295" s="497"/>
      <c r="H3295" s="497"/>
      <c r="J3295" s="42"/>
    </row>
    <row r="3296" spans="1:10" s="360" customFormat="1" x14ac:dyDescent="0.25">
      <c r="A3296" s="19" t="s">
        <v>30</v>
      </c>
      <c r="B3296" s="2">
        <v>44030</v>
      </c>
      <c r="C3296" s="1">
        <v>1</v>
      </c>
      <c r="D3296" s="39">
        <v>130</v>
      </c>
      <c r="E3296" s="1"/>
      <c r="F3296" s="39">
        <f t="shared" si="215"/>
        <v>0</v>
      </c>
      <c r="G3296" s="497"/>
      <c r="H3296" s="497"/>
      <c r="J3296" s="42"/>
    </row>
    <row r="3297" spans="1:10" x14ac:dyDescent="0.25">
      <c r="A3297" s="19" t="s">
        <v>31</v>
      </c>
      <c r="B3297" s="2">
        <v>44030</v>
      </c>
      <c r="C3297" s="1">
        <v>15</v>
      </c>
      <c r="D3297" s="39">
        <v>614</v>
      </c>
      <c r="F3297" s="39">
        <f t="shared" si="215"/>
        <v>5</v>
      </c>
    </row>
    <row r="3298" spans="1:10" s="360" customFormat="1" x14ac:dyDescent="0.25">
      <c r="A3298" s="19" t="s">
        <v>41</v>
      </c>
      <c r="B3298" s="2">
        <v>44030</v>
      </c>
      <c r="C3298" s="1">
        <v>0</v>
      </c>
      <c r="D3298" s="39">
        <v>78</v>
      </c>
      <c r="E3298" s="1"/>
      <c r="F3298" s="39">
        <f>E3298+F3274</f>
        <v>0</v>
      </c>
      <c r="G3298" s="497"/>
      <c r="H3298" s="497"/>
      <c r="J3298" s="42"/>
    </row>
    <row r="3299" spans="1:10" s="360" customFormat="1" x14ac:dyDescent="0.25">
      <c r="A3299" s="19" t="s">
        <v>32</v>
      </c>
      <c r="B3299" s="2">
        <v>44030</v>
      </c>
      <c r="C3299" s="1">
        <v>7</v>
      </c>
      <c r="D3299" s="39">
        <v>668</v>
      </c>
      <c r="E3299" s="1"/>
      <c r="F3299" s="39">
        <f t="shared" ref="F3299:F3309" si="216">E3299+F3274</f>
        <v>0</v>
      </c>
      <c r="G3299" s="497"/>
      <c r="H3299" s="497"/>
      <c r="J3299" s="42"/>
    </row>
    <row r="3300" spans="1:10" s="360" customFormat="1" x14ac:dyDescent="0.25">
      <c r="A3300" s="19" t="s">
        <v>33</v>
      </c>
      <c r="B3300" s="2">
        <v>44030</v>
      </c>
      <c r="C3300" s="1">
        <v>0</v>
      </c>
      <c r="D3300" s="39">
        <v>8</v>
      </c>
      <c r="E3300" s="1"/>
      <c r="F3300" s="39">
        <f t="shared" si="216"/>
        <v>0</v>
      </c>
      <c r="G3300" s="497"/>
      <c r="H3300" s="497"/>
      <c r="J3300" s="42"/>
    </row>
    <row r="3301" spans="1:10" s="360" customFormat="1" x14ac:dyDescent="0.25">
      <c r="A3301" s="19" t="s">
        <v>21</v>
      </c>
      <c r="B3301" s="2">
        <v>44030</v>
      </c>
      <c r="C3301" s="1">
        <v>17</v>
      </c>
      <c r="D3301" s="39">
        <v>180</v>
      </c>
      <c r="E3301" s="1"/>
      <c r="F3301" s="39">
        <f t="shared" si="216"/>
        <v>0</v>
      </c>
      <c r="G3301" s="497"/>
      <c r="H3301" s="497"/>
      <c r="J3301" s="42"/>
    </row>
    <row r="3302" spans="1:10" s="360" customFormat="1" x14ac:dyDescent="0.25">
      <c r="A3302" s="19" t="s">
        <v>17</v>
      </c>
      <c r="B3302" s="2">
        <v>44030</v>
      </c>
      <c r="C3302" s="1">
        <v>44</v>
      </c>
      <c r="D3302" s="39">
        <v>447</v>
      </c>
      <c r="E3302" s="1"/>
      <c r="F3302" s="39">
        <f t="shared" si="216"/>
        <v>2</v>
      </c>
      <c r="G3302" s="497"/>
      <c r="H3302" s="497"/>
      <c r="J3302" s="42"/>
    </row>
    <row r="3303" spans="1:10" s="360" customFormat="1" x14ac:dyDescent="0.25">
      <c r="A3303" s="19" t="s">
        <v>23</v>
      </c>
      <c r="B3303" s="2">
        <v>44030</v>
      </c>
      <c r="C3303" s="1">
        <v>0</v>
      </c>
      <c r="D3303" s="39">
        <v>49</v>
      </c>
      <c r="E3303" s="1"/>
      <c r="F3303" s="39">
        <f t="shared" si="216"/>
        <v>5</v>
      </c>
      <c r="G3303" s="497"/>
      <c r="H3303" s="497"/>
      <c r="J3303" s="42"/>
    </row>
    <row r="3304" spans="1:10" s="360" customFormat="1" x14ac:dyDescent="0.25">
      <c r="A3304" s="19" t="s">
        <v>19</v>
      </c>
      <c r="B3304" s="2">
        <v>44030</v>
      </c>
      <c r="C3304" s="1">
        <v>16</v>
      </c>
      <c r="D3304" s="39">
        <v>847</v>
      </c>
      <c r="E3304" s="1"/>
      <c r="F3304" s="39">
        <f t="shared" si="216"/>
        <v>1</v>
      </c>
      <c r="G3304" s="497"/>
      <c r="H3304" s="497"/>
      <c r="J3304" s="42"/>
    </row>
    <row r="3305" spans="1:10" s="360" customFormat="1" x14ac:dyDescent="0.25">
      <c r="A3305" s="19" t="s">
        <v>18</v>
      </c>
      <c r="B3305" s="2">
        <v>44030</v>
      </c>
      <c r="C3305" s="1">
        <v>25</v>
      </c>
      <c r="D3305" s="39">
        <v>1297</v>
      </c>
      <c r="E3305" s="1">
        <v>2</v>
      </c>
      <c r="F3305" s="39">
        <f t="shared" si="216"/>
        <v>4</v>
      </c>
      <c r="G3305" s="497"/>
      <c r="H3305" s="497"/>
      <c r="J3305" s="42"/>
    </row>
    <row r="3306" spans="1:10" s="360" customFormat="1" x14ac:dyDescent="0.25">
      <c r="A3306" s="19" t="s">
        <v>34</v>
      </c>
      <c r="B3306" s="2">
        <v>44030</v>
      </c>
      <c r="C3306" s="1">
        <v>7</v>
      </c>
      <c r="D3306" s="39">
        <v>152</v>
      </c>
      <c r="E3306" s="1"/>
      <c r="F3306" s="39">
        <f t="shared" si="216"/>
        <v>1</v>
      </c>
      <c r="G3306" s="497"/>
      <c r="H3306" s="497"/>
      <c r="J3306" s="42"/>
    </row>
    <row r="3307" spans="1:10" s="360" customFormat="1" x14ac:dyDescent="0.25">
      <c r="A3307" s="19" t="s">
        <v>35</v>
      </c>
      <c r="B3307" s="2">
        <v>44030</v>
      </c>
      <c r="C3307" s="1">
        <v>0</v>
      </c>
      <c r="D3307" s="39">
        <v>14</v>
      </c>
      <c r="E3307" s="1"/>
      <c r="F3307" s="39">
        <f>E3307+F3283</f>
        <v>0</v>
      </c>
      <c r="G3307" s="497"/>
      <c r="H3307" s="497"/>
      <c r="J3307" s="42"/>
    </row>
    <row r="3308" spans="1:10" s="360" customFormat="1" x14ac:dyDescent="0.25">
      <c r="A3308" s="19" t="s">
        <v>36</v>
      </c>
      <c r="B3308" s="2">
        <v>44030</v>
      </c>
      <c r="C3308" s="1">
        <v>0</v>
      </c>
      <c r="D3308" s="39">
        <v>14</v>
      </c>
      <c r="E3308" s="1"/>
      <c r="F3308" s="39">
        <f t="shared" si="216"/>
        <v>0</v>
      </c>
      <c r="G3308" s="497"/>
      <c r="H3308" s="497"/>
      <c r="J3308" s="42"/>
    </row>
    <row r="3309" spans="1:10" s="360" customFormat="1" x14ac:dyDescent="0.25">
      <c r="A3309" s="19" t="s">
        <v>37</v>
      </c>
      <c r="B3309" s="2">
        <v>44030</v>
      </c>
      <c r="C3309" s="1">
        <v>20</v>
      </c>
      <c r="D3309" s="39">
        <v>123</v>
      </c>
      <c r="E3309" s="1"/>
      <c r="F3309" s="39">
        <f t="shared" si="216"/>
        <v>0</v>
      </c>
      <c r="G3309" s="497"/>
      <c r="H3309" s="497"/>
      <c r="J3309" s="42"/>
    </row>
    <row r="3310" spans="1:10" s="360" customFormat="1" x14ac:dyDescent="0.25">
      <c r="A3310" s="19" t="s">
        <v>22</v>
      </c>
      <c r="B3310" s="2">
        <v>44030</v>
      </c>
      <c r="C3310" s="1">
        <v>36</v>
      </c>
      <c r="D3310" s="39">
        <v>668</v>
      </c>
      <c r="E3310" s="1"/>
      <c r="F3310" s="39">
        <f>E3310+F3286</f>
        <v>8</v>
      </c>
      <c r="G3310" s="497"/>
      <c r="H3310" s="497"/>
      <c r="J3310" s="42"/>
    </row>
    <row r="3311" spans="1:10" s="360" customFormat="1" x14ac:dyDescent="0.25">
      <c r="A3311" s="19" t="s">
        <v>38</v>
      </c>
      <c r="B3311" s="2">
        <v>44030</v>
      </c>
      <c r="C3311" s="1">
        <v>0</v>
      </c>
      <c r="D3311" s="39">
        <v>37</v>
      </c>
      <c r="E3311" s="1"/>
      <c r="F3311" s="39">
        <f>E3311+F3287</f>
        <v>0</v>
      </c>
      <c r="G3311" s="497"/>
      <c r="H3311" s="497"/>
      <c r="J3311" s="42"/>
    </row>
    <row r="3312" spans="1:10" s="360" customFormat="1" x14ac:dyDescent="0.25">
      <c r="A3312" s="19" t="s">
        <v>39</v>
      </c>
      <c r="B3312" s="2">
        <v>44030</v>
      </c>
      <c r="C3312" s="1">
        <v>22</v>
      </c>
      <c r="D3312" s="39">
        <v>235</v>
      </c>
      <c r="E3312" s="1"/>
      <c r="F3312" s="39">
        <f>E3312+F3288</f>
        <v>1</v>
      </c>
      <c r="G3312" s="497"/>
      <c r="H3312" s="497"/>
      <c r="J3312" s="42"/>
    </row>
    <row r="3313" spans="1:10" s="360" customFormat="1" x14ac:dyDescent="0.25">
      <c r="A3313" s="19" t="s">
        <v>40</v>
      </c>
      <c r="B3313" s="2">
        <v>44030</v>
      </c>
      <c r="C3313" s="1">
        <v>0</v>
      </c>
      <c r="D3313" s="39">
        <v>103</v>
      </c>
      <c r="E3313" s="1"/>
      <c r="F3313" s="39">
        <f>E3313+F3289</f>
        <v>4</v>
      </c>
      <c r="G3313" s="497"/>
      <c r="H3313" s="497"/>
      <c r="J3313" s="42"/>
    </row>
    <row r="3314" spans="1:10" s="360" customFormat="1" x14ac:dyDescent="0.25">
      <c r="A3314" s="361" t="s">
        <v>16</v>
      </c>
      <c r="B3314" s="2">
        <v>44031</v>
      </c>
      <c r="C3314" s="1">
        <v>2761</v>
      </c>
      <c r="D3314" s="39">
        <v>70782</v>
      </c>
      <c r="E3314" s="1">
        <v>21</v>
      </c>
      <c r="F3314" s="39">
        <f>E3314+F3290</f>
        <v>1119</v>
      </c>
      <c r="G3314" s="497"/>
      <c r="H3314" s="497"/>
      <c r="J3314" s="42"/>
    </row>
    <row r="3315" spans="1:10" s="360" customFormat="1" x14ac:dyDescent="0.25">
      <c r="A3315" s="19" t="s">
        <v>28</v>
      </c>
      <c r="B3315" s="2">
        <v>44031</v>
      </c>
      <c r="C3315" s="1">
        <v>3</v>
      </c>
      <c r="D3315" s="39">
        <v>58</v>
      </c>
      <c r="E3315" s="1"/>
      <c r="F3315" s="39">
        <f t="shared" ref="F3315:F3321" si="217">E3315+F3291</f>
        <v>0</v>
      </c>
      <c r="G3315" s="497"/>
      <c r="H3315" s="497"/>
      <c r="J3315" s="42"/>
    </row>
    <row r="3316" spans="1:10" s="360" customFormat="1" x14ac:dyDescent="0.25">
      <c r="A3316" s="19" t="s">
        <v>15</v>
      </c>
      <c r="B3316" s="2">
        <v>44031</v>
      </c>
      <c r="C3316" s="1">
        <v>48</v>
      </c>
      <c r="D3316" s="39">
        <v>2966</v>
      </c>
      <c r="E3316" s="1">
        <v>1</v>
      </c>
      <c r="F3316" s="39">
        <f t="shared" si="217"/>
        <v>121</v>
      </c>
      <c r="G3316" s="497"/>
      <c r="H3316" s="497"/>
      <c r="J3316" s="42"/>
    </row>
    <row r="3317" spans="1:10" s="360" customFormat="1" x14ac:dyDescent="0.25">
      <c r="A3317" s="19" t="s">
        <v>29</v>
      </c>
      <c r="B3317" s="2">
        <v>44031</v>
      </c>
      <c r="C3317" s="1">
        <v>3</v>
      </c>
      <c r="D3317" s="39">
        <v>238</v>
      </c>
      <c r="E3317" s="1"/>
      <c r="F3317" s="39">
        <f t="shared" si="217"/>
        <v>3</v>
      </c>
      <c r="G3317" s="497"/>
      <c r="H3317" s="497"/>
      <c r="J3317" s="42"/>
    </row>
    <row r="3318" spans="1:10" s="360" customFormat="1" x14ac:dyDescent="0.25">
      <c r="A3318" s="19" t="s">
        <v>43</v>
      </c>
      <c r="B3318" s="2">
        <v>44031</v>
      </c>
      <c r="C3318" s="1">
        <v>1116</v>
      </c>
      <c r="D3318" s="39">
        <v>45601</v>
      </c>
      <c r="E3318" s="1">
        <v>14</v>
      </c>
      <c r="F3318" s="39">
        <f t="shared" si="217"/>
        <v>840</v>
      </c>
      <c r="G3318" s="497"/>
      <c r="H3318" s="497"/>
      <c r="J3318" s="42"/>
    </row>
    <row r="3319" spans="1:10" s="360" customFormat="1" x14ac:dyDescent="0.25">
      <c r="A3319" s="19" t="s">
        <v>20</v>
      </c>
      <c r="B3319" s="2">
        <v>44031</v>
      </c>
      <c r="C3319" s="1">
        <v>67</v>
      </c>
      <c r="D3319" s="39">
        <v>1283</v>
      </c>
      <c r="E3319" s="1">
        <v>1</v>
      </c>
      <c r="F3319" s="39">
        <f t="shared" si="217"/>
        <v>36</v>
      </c>
      <c r="G3319" s="497"/>
      <c r="H3319" s="497"/>
      <c r="J3319" s="42"/>
    </row>
    <row r="3320" spans="1:10" s="360" customFormat="1" x14ac:dyDescent="0.25">
      <c r="A3320" s="19" t="s">
        <v>30</v>
      </c>
      <c r="B3320" s="2">
        <v>44031</v>
      </c>
      <c r="C3320" s="1">
        <v>0</v>
      </c>
      <c r="D3320" s="39">
        <v>130</v>
      </c>
      <c r="E3320" s="1">
        <v>1</v>
      </c>
      <c r="F3320" s="39">
        <f t="shared" si="217"/>
        <v>1</v>
      </c>
      <c r="G3320" s="497"/>
      <c r="H3320" s="497"/>
      <c r="J3320" s="42"/>
    </row>
    <row r="3321" spans="1:10" x14ac:dyDescent="0.25">
      <c r="A3321" s="19" t="s">
        <v>31</v>
      </c>
      <c r="B3321" s="2">
        <v>44031</v>
      </c>
      <c r="C3321" s="1">
        <v>16</v>
      </c>
      <c r="D3321" s="39">
        <v>630</v>
      </c>
      <c r="F3321" s="39">
        <f t="shared" si="217"/>
        <v>5</v>
      </c>
    </row>
    <row r="3322" spans="1:10" s="360" customFormat="1" x14ac:dyDescent="0.25">
      <c r="A3322" s="19" t="s">
        <v>41</v>
      </c>
      <c r="B3322" s="2">
        <v>44031</v>
      </c>
      <c r="C3322" s="1">
        <v>0</v>
      </c>
      <c r="D3322" s="39">
        <v>78</v>
      </c>
      <c r="E3322" s="1"/>
      <c r="F3322" s="39">
        <f>E3322+F3298</f>
        <v>0</v>
      </c>
      <c r="G3322" s="497"/>
      <c r="H3322" s="497"/>
      <c r="J3322" s="42"/>
    </row>
    <row r="3323" spans="1:10" s="360" customFormat="1" x14ac:dyDescent="0.25">
      <c r="A3323" s="19" t="s">
        <v>32</v>
      </c>
      <c r="B3323" s="2">
        <v>44031</v>
      </c>
      <c r="C3323" s="1">
        <v>6</v>
      </c>
      <c r="D3323" s="39">
        <v>674</v>
      </c>
      <c r="E3323" s="1"/>
      <c r="F3323" s="39">
        <f t="shared" ref="F3323:F3333" si="218">E3323+F3298</f>
        <v>0</v>
      </c>
      <c r="G3323" s="497"/>
      <c r="H3323" s="497"/>
      <c r="J3323" s="42"/>
    </row>
    <row r="3324" spans="1:10" s="360" customFormat="1" x14ac:dyDescent="0.25">
      <c r="A3324" s="19" t="s">
        <v>33</v>
      </c>
      <c r="B3324" s="2">
        <v>44031</v>
      </c>
      <c r="C3324" s="1">
        <v>0</v>
      </c>
      <c r="D3324" s="39">
        <v>8</v>
      </c>
      <c r="E3324" s="1"/>
      <c r="F3324" s="39">
        <f t="shared" si="218"/>
        <v>0</v>
      </c>
      <c r="G3324" s="497"/>
      <c r="H3324" s="497"/>
      <c r="J3324" s="42"/>
    </row>
    <row r="3325" spans="1:10" s="360" customFormat="1" x14ac:dyDescent="0.25">
      <c r="A3325" s="19" t="s">
        <v>21</v>
      </c>
      <c r="B3325" s="2">
        <v>44031</v>
      </c>
      <c r="C3325" s="1">
        <v>4</v>
      </c>
      <c r="D3325" s="39">
        <v>184</v>
      </c>
      <c r="E3325" s="1"/>
      <c r="F3325" s="39">
        <f t="shared" si="218"/>
        <v>0</v>
      </c>
      <c r="G3325" s="497"/>
      <c r="H3325" s="497"/>
      <c r="J3325" s="42"/>
    </row>
    <row r="3326" spans="1:10" s="360" customFormat="1" x14ac:dyDescent="0.25">
      <c r="A3326" s="19" t="s">
        <v>17</v>
      </c>
      <c r="B3326" s="2">
        <v>44031</v>
      </c>
      <c r="C3326" s="1">
        <v>41</v>
      </c>
      <c r="D3326" s="39">
        <v>488</v>
      </c>
      <c r="E3326" s="1">
        <v>1</v>
      </c>
      <c r="F3326" s="39">
        <f t="shared" si="218"/>
        <v>1</v>
      </c>
      <c r="G3326" s="497"/>
      <c r="H3326" s="497"/>
      <c r="J3326" s="42"/>
    </row>
    <row r="3327" spans="1:10" s="360" customFormat="1" x14ac:dyDescent="0.25">
      <c r="A3327" s="19" t="s">
        <v>23</v>
      </c>
      <c r="B3327" s="2">
        <v>44031</v>
      </c>
      <c r="C3327" s="1">
        <v>0</v>
      </c>
      <c r="D3327" s="39">
        <v>49</v>
      </c>
      <c r="E3327" s="1"/>
      <c r="F3327" s="39">
        <f t="shared" si="218"/>
        <v>2</v>
      </c>
      <c r="G3327" s="497"/>
      <c r="H3327" s="497"/>
      <c r="J3327" s="42"/>
    </row>
    <row r="3328" spans="1:10" s="360" customFormat="1" x14ac:dyDescent="0.25">
      <c r="A3328" s="19" t="s">
        <v>19</v>
      </c>
      <c r="B3328" s="2">
        <v>44031</v>
      </c>
      <c r="C3328" s="1">
        <v>33</v>
      </c>
      <c r="D3328" s="39">
        <v>880</v>
      </c>
      <c r="E3328" s="1"/>
      <c r="F3328" s="39">
        <f t="shared" si="218"/>
        <v>5</v>
      </c>
      <c r="G3328" s="497"/>
      <c r="H3328" s="497"/>
      <c r="J3328" s="42"/>
    </row>
    <row r="3329" spans="1:10" s="360" customFormat="1" x14ac:dyDescent="0.25">
      <c r="A3329" s="19" t="s">
        <v>18</v>
      </c>
      <c r="B3329" s="2">
        <v>44031</v>
      </c>
      <c r="C3329" s="1">
        <v>23</v>
      </c>
      <c r="D3329" s="39">
        <v>1320</v>
      </c>
      <c r="E3329" s="1"/>
      <c r="F3329" s="39">
        <f t="shared" si="218"/>
        <v>1</v>
      </c>
      <c r="G3329" s="497"/>
      <c r="H3329" s="497"/>
      <c r="J3329" s="42"/>
    </row>
    <row r="3330" spans="1:10" s="360" customFormat="1" x14ac:dyDescent="0.25">
      <c r="A3330" s="19" t="s">
        <v>34</v>
      </c>
      <c r="B3330" s="2">
        <v>44031</v>
      </c>
      <c r="C3330" s="1">
        <v>23</v>
      </c>
      <c r="D3330" s="39">
        <v>175</v>
      </c>
      <c r="E3330" s="1"/>
      <c r="F3330" s="39">
        <f t="shared" si="218"/>
        <v>4</v>
      </c>
      <c r="G3330" s="497"/>
      <c r="H3330" s="497"/>
      <c r="J3330" s="42"/>
    </row>
    <row r="3331" spans="1:10" s="360" customFormat="1" x14ac:dyDescent="0.25">
      <c r="A3331" s="19" t="s">
        <v>35</v>
      </c>
      <c r="B3331" s="2">
        <v>44031</v>
      </c>
      <c r="C3331" s="1">
        <v>0</v>
      </c>
      <c r="D3331" s="39">
        <v>14</v>
      </c>
      <c r="E3331" s="1"/>
      <c r="F3331" s="39">
        <f>E3331+F3307</f>
        <v>0</v>
      </c>
      <c r="G3331" s="497"/>
      <c r="H3331" s="497"/>
      <c r="J3331" s="42"/>
    </row>
    <row r="3332" spans="1:10" s="360" customFormat="1" x14ac:dyDescent="0.25">
      <c r="A3332" s="19" t="s">
        <v>36</v>
      </c>
      <c r="B3332" s="2">
        <v>44031</v>
      </c>
      <c r="C3332" s="1">
        <v>0</v>
      </c>
      <c r="D3332" s="39">
        <v>14</v>
      </c>
      <c r="E3332" s="1"/>
      <c r="F3332" s="39">
        <f t="shared" si="218"/>
        <v>0</v>
      </c>
      <c r="G3332" s="497"/>
      <c r="H3332" s="497"/>
      <c r="J3332" s="42"/>
    </row>
    <row r="3333" spans="1:10" s="360" customFormat="1" x14ac:dyDescent="0.25">
      <c r="A3333" s="19" t="s">
        <v>37</v>
      </c>
      <c r="B3333" s="2">
        <v>44031</v>
      </c>
      <c r="C3333" s="1">
        <v>59</v>
      </c>
      <c r="D3333" s="39">
        <v>182</v>
      </c>
      <c r="E3333" s="1"/>
      <c r="F3333" s="39">
        <f t="shared" si="218"/>
        <v>0</v>
      </c>
      <c r="G3333" s="497"/>
      <c r="H3333" s="497"/>
      <c r="J3333" s="42"/>
    </row>
    <row r="3334" spans="1:10" s="360" customFormat="1" x14ac:dyDescent="0.25">
      <c r="A3334" s="19" t="s">
        <v>22</v>
      </c>
      <c r="B3334" s="2">
        <v>44031</v>
      </c>
      <c r="C3334" s="1">
        <v>23</v>
      </c>
      <c r="D3334" s="39">
        <v>691</v>
      </c>
      <c r="E3334" s="1">
        <v>1</v>
      </c>
      <c r="F3334" s="39">
        <f>E3334+F3310</f>
        <v>9</v>
      </c>
      <c r="G3334" s="497"/>
      <c r="H3334" s="497"/>
      <c r="J3334" s="42"/>
    </row>
    <row r="3335" spans="1:10" s="360" customFormat="1" x14ac:dyDescent="0.25">
      <c r="A3335" s="19" t="s">
        <v>38</v>
      </c>
      <c r="B3335" s="2">
        <v>44031</v>
      </c>
      <c r="C3335" s="1">
        <v>1</v>
      </c>
      <c r="D3335" s="39">
        <v>38</v>
      </c>
      <c r="E3335" s="1"/>
      <c r="F3335" s="39">
        <f>E3335+F3311</f>
        <v>0</v>
      </c>
      <c r="G3335" s="497"/>
      <c r="H3335" s="497"/>
      <c r="J3335" s="42"/>
    </row>
    <row r="3336" spans="1:10" s="360" customFormat="1" x14ac:dyDescent="0.25">
      <c r="A3336" s="19" t="s">
        <v>39</v>
      </c>
      <c r="B3336" s="2">
        <v>44031</v>
      </c>
      <c r="C3336" s="1">
        <v>5</v>
      </c>
      <c r="D3336" s="39">
        <v>240</v>
      </c>
      <c r="E3336" s="1"/>
      <c r="F3336" s="39">
        <f>E3336+F3312</f>
        <v>1</v>
      </c>
      <c r="G3336" s="497"/>
      <c r="H3336" s="497"/>
      <c r="J3336" s="42"/>
    </row>
    <row r="3337" spans="1:10" s="360" customFormat="1" x14ac:dyDescent="0.25">
      <c r="A3337" s="19" t="s">
        <v>40</v>
      </c>
      <c r="B3337" s="2">
        <v>44031</v>
      </c>
      <c r="C3337" s="1">
        <v>0</v>
      </c>
      <c r="D3337" s="39">
        <v>103</v>
      </c>
      <c r="E3337" s="1"/>
      <c r="F3337" s="39">
        <f>E3337+F3313</f>
        <v>4</v>
      </c>
      <c r="G3337" s="497"/>
      <c r="H3337" s="497"/>
      <c r="J3337" s="42"/>
    </row>
    <row r="3338" spans="1:10" s="360" customFormat="1" x14ac:dyDescent="0.25">
      <c r="A3338" s="361" t="s">
        <v>16</v>
      </c>
      <c r="B3338" s="2">
        <v>44032</v>
      </c>
      <c r="C3338" s="1">
        <v>2556</v>
      </c>
      <c r="D3338" s="39">
        <v>73338</v>
      </c>
      <c r="E3338" s="1">
        <v>57</v>
      </c>
      <c r="F3338" s="39">
        <f>E3338+F3314</f>
        <v>1176</v>
      </c>
      <c r="G3338" s="497"/>
      <c r="H3338" s="497"/>
      <c r="J3338" s="42"/>
    </row>
    <row r="3339" spans="1:10" s="360" customFormat="1" x14ac:dyDescent="0.25">
      <c r="A3339" s="19" t="s">
        <v>28</v>
      </c>
      <c r="B3339" s="2">
        <v>44032</v>
      </c>
      <c r="C3339" s="1">
        <v>0</v>
      </c>
      <c r="D3339" s="39">
        <v>58</v>
      </c>
      <c r="E3339" s="1"/>
      <c r="F3339" s="39">
        <f t="shared" ref="F3339:F3345" si="219">E3339+F3315</f>
        <v>0</v>
      </c>
      <c r="G3339" s="497"/>
      <c r="H3339" s="497"/>
      <c r="J3339" s="42"/>
    </row>
    <row r="3340" spans="1:10" s="360" customFormat="1" x14ac:dyDescent="0.25">
      <c r="A3340" s="19" t="s">
        <v>15</v>
      </c>
      <c r="B3340" s="2">
        <v>44032</v>
      </c>
      <c r="C3340" s="1">
        <v>30</v>
      </c>
      <c r="D3340" s="39">
        <v>2996</v>
      </c>
      <c r="E3340" s="1">
        <v>1</v>
      </c>
      <c r="F3340" s="39">
        <f t="shared" si="219"/>
        <v>122</v>
      </c>
      <c r="G3340" s="497"/>
      <c r="H3340" s="497"/>
      <c r="J3340" s="42"/>
    </row>
    <row r="3341" spans="1:10" s="360" customFormat="1" x14ac:dyDescent="0.25">
      <c r="A3341" s="19" t="s">
        <v>29</v>
      </c>
      <c r="B3341" s="2">
        <v>44032</v>
      </c>
      <c r="C3341" s="1">
        <v>4</v>
      </c>
      <c r="D3341" s="39">
        <v>242</v>
      </c>
      <c r="E3341" s="1"/>
      <c r="F3341" s="39">
        <f t="shared" si="219"/>
        <v>3</v>
      </c>
      <c r="G3341" s="497"/>
      <c r="H3341" s="497"/>
      <c r="J3341" s="42"/>
    </row>
    <row r="3342" spans="1:10" s="360" customFormat="1" x14ac:dyDescent="0.25">
      <c r="A3342" s="19" t="s">
        <v>43</v>
      </c>
      <c r="B3342" s="2">
        <v>44032</v>
      </c>
      <c r="C3342" s="1">
        <v>1090</v>
      </c>
      <c r="D3342" s="39">
        <v>46691</v>
      </c>
      <c r="E3342" s="1">
        <v>50</v>
      </c>
      <c r="F3342" s="39">
        <f t="shared" si="219"/>
        <v>890</v>
      </c>
      <c r="G3342" s="497"/>
      <c r="H3342" s="497"/>
      <c r="J3342" s="42"/>
    </row>
    <row r="3343" spans="1:10" s="360" customFormat="1" x14ac:dyDescent="0.25">
      <c r="A3343" s="19" t="s">
        <v>20</v>
      </c>
      <c r="B3343" s="2">
        <v>44032</v>
      </c>
      <c r="C3343" s="1">
        <v>39</v>
      </c>
      <c r="D3343" s="39">
        <v>1322</v>
      </c>
      <c r="E3343" s="1"/>
      <c r="F3343" s="39">
        <f t="shared" si="219"/>
        <v>36</v>
      </c>
      <c r="G3343" s="497"/>
      <c r="H3343" s="497"/>
      <c r="J3343" s="42"/>
    </row>
    <row r="3344" spans="1:10" s="360" customFormat="1" x14ac:dyDescent="0.25">
      <c r="A3344" s="19" t="s">
        <v>30</v>
      </c>
      <c r="B3344" s="2">
        <v>44032</v>
      </c>
      <c r="C3344" s="1">
        <v>0</v>
      </c>
      <c r="D3344" s="39">
        <v>130</v>
      </c>
      <c r="E3344" s="1"/>
      <c r="F3344" s="39">
        <f t="shared" si="219"/>
        <v>1</v>
      </c>
      <c r="G3344" s="497"/>
      <c r="H3344" s="497"/>
      <c r="J3344" s="42"/>
    </row>
    <row r="3345" spans="1:10" x14ac:dyDescent="0.25">
      <c r="A3345" s="19" t="s">
        <v>31</v>
      </c>
      <c r="B3345" s="2">
        <v>44032</v>
      </c>
      <c r="C3345" s="1">
        <v>18</v>
      </c>
      <c r="D3345" s="39">
        <v>648</v>
      </c>
      <c r="F3345" s="39">
        <f t="shared" si="219"/>
        <v>5</v>
      </c>
    </row>
    <row r="3346" spans="1:10" s="360" customFormat="1" x14ac:dyDescent="0.25">
      <c r="A3346" s="19" t="s">
        <v>41</v>
      </c>
      <c r="B3346" s="2">
        <v>44032</v>
      </c>
      <c r="C3346" s="1">
        <v>0</v>
      </c>
      <c r="D3346" s="39">
        <v>78</v>
      </c>
      <c r="E3346" s="1"/>
      <c r="F3346" s="39">
        <f>E3346+F3322</f>
        <v>0</v>
      </c>
      <c r="G3346" s="497"/>
      <c r="H3346" s="497"/>
      <c r="J3346" s="42"/>
    </row>
    <row r="3347" spans="1:10" s="360" customFormat="1" x14ac:dyDescent="0.25">
      <c r="A3347" s="19" t="s">
        <v>32</v>
      </c>
      <c r="B3347" s="2">
        <v>44032</v>
      </c>
      <c r="C3347" s="1">
        <v>84</v>
      </c>
      <c r="D3347" s="39">
        <v>758</v>
      </c>
      <c r="E3347" s="1"/>
      <c r="F3347" s="39">
        <f t="shared" ref="F3347:F3357" si="220">E3347+F3322</f>
        <v>0</v>
      </c>
      <c r="G3347" s="497"/>
      <c r="H3347" s="497"/>
      <c r="J3347" s="42"/>
    </row>
    <row r="3348" spans="1:10" s="360" customFormat="1" x14ac:dyDescent="0.25">
      <c r="A3348" s="19" t="s">
        <v>33</v>
      </c>
      <c r="B3348" s="2">
        <v>44032</v>
      </c>
      <c r="C3348" s="1">
        <v>0</v>
      </c>
      <c r="D3348" s="39">
        <v>8</v>
      </c>
      <c r="E3348" s="1"/>
      <c r="F3348" s="39">
        <f t="shared" si="220"/>
        <v>0</v>
      </c>
      <c r="G3348" s="497"/>
      <c r="H3348" s="497"/>
      <c r="J3348" s="42"/>
    </row>
    <row r="3349" spans="1:10" s="360" customFormat="1" x14ac:dyDescent="0.25">
      <c r="A3349" s="19" t="s">
        <v>21</v>
      </c>
      <c r="B3349" s="2">
        <v>44032</v>
      </c>
      <c r="C3349" s="1">
        <v>0</v>
      </c>
      <c r="D3349" s="39">
        <v>184</v>
      </c>
      <c r="E3349" s="1"/>
      <c r="F3349" s="39">
        <f t="shared" si="220"/>
        <v>0</v>
      </c>
      <c r="G3349" s="497"/>
      <c r="H3349" s="497"/>
      <c r="J3349" s="42"/>
    </row>
    <row r="3350" spans="1:10" s="360" customFormat="1" x14ac:dyDescent="0.25">
      <c r="A3350" s="19" t="s">
        <v>17</v>
      </c>
      <c r="B3350" s="2">
        <v>44032</v>
      </c>
      <c r="C3350" s="1">
        <v>25</v>
      </c>
      <c r="D3350" s="39">
        <v>513</v>
      </c>
      <c r="E3350" s="1">
        <v>1</v>
      </c>
      <c r="F3350" s="39">
        <f t="shared" si="220"/>
        <v>1</v>
      </c>
      <c r="G3350" s="497"/>
      <c r="H3350" s="497"/>
      <c r="J3350" s="42"/>
    </row>
    <row r="3351" spans="1:10" s="360" customFormat="1" x14ac:dyDescent="0.25">
      <c r="A3351" s="19" t="s">
        <v>23</v>
      </c>
      <c r="B3351" s="2">
        <v>44032</v>
      </c>
      <c r="C3351" s="1">
        <v>0</v>
      </c>
      <c r="D3351" s="39">
        <v>49</v>
      </c>
      <c r="E3351" s="1"/>
      <c r="F3351" s="39">
        <f t="shared" si="220"/>
        <v>1</v>
      </c>
      <c r="G3351" s="497"/>
      <c r="H3351" s="497"/>
      <c r="J3351" s="42"/>
    </row>
    <row r="3352" spans="1:10" s="360" customFormat="1" x14ac:dyDescent="0.25">
      <c r="A3352" s="19" t="s">
        <v>19</v>
      </c>
      <c r="B3352" s="2">
        <v>44032</v>
      </c>
      <c r="C3352" s="1">
        <v>17</v>
      </c>
      <c r="D3352" s="39">
        <v>897</v>
      </c>
      <c r="E3352" s="1"/>
      <c r="F3352" s="39">
        <f t="shared" si="220"/>
        <v>2</v>
      </c>
      <c r="G3352" s="497"/>
      <c r="H3352" s="497"/>
      <c r="J3352" s="42"/>
    </row>
    <row r="3353" spans="1:10" s="360" customFormat="1" x14ac:dyDescent="0.25">
      <c r="A3353" s="19" t="s">
        <v>18</v>
      </c>
      <c r="B3353" s="2">
        <v>44032</v>
      </c>
      <c r="C3353" s="1">
        <v>21</v>
      </c>
      <c r="D3353" s="39">
        <v>1341</v>
      </c>
      <c r="E3353" s="1">
        <v>4</v>
      </c>
      <c r="F3353" s="39">
        <f t="shared" si="220"/>
        <v>9</v>
      </c>
      <c r="G3353" s="497"/>
      <c r="H3353" s="497"/>
      <c r="J3353" s="42"/>
    </row>
    <row r="3354" spans="1:10" s="360" customFormat="1" x14ac:dyDescent="0.25">
      <c r="A3354" s="19" t="s">
        <v>34</v>
      </c>
      <c r="B3354" s="2">
        <v>44032</v>
      </c>
      <c r="C3354" s="1">
        <v>1</v>
      </c>
      <c r="D3354" s="39">
        <v>176</v>
      </c>
      <c r="E3354" s="1"/>
      <c r="F3354" s="39">
        <f t="shared" si="220"/>
        <v>1</v>
      </c>
      <c r="G3354" s="497"/>
      <c r="H3354" s="497"/>
      <c r="J3354" s="42"/>
    </row>
    <row r="3355" spans="1:10" s="360" customFormat="1" x14ac:dyDescent="0.25">
      <c r="A3355" s="19" t="s">
        <v>35</v>
      </c>
      <c r="B3355" s="2">
        <v>44032</v>
      </c>
      <c r="C3355" s="1">
        <v>0</v>
      </c>
      <c r="D3355" s="39">
        <v>14</v>
      </c>
      <c r="E3355" s="1"/>
      <c r="F3355" s="39">
        <f>E3355+F3331</f>
        <v>0</v>
      </c>
      <c r="G3355" s="497"/>
      <c r="H3355" s="497"/>
      <c r="J3355" s="42"/>
    </row>
    <row r="3356" spans="1:10" s="360" customFormat="1" x14ac:dyDescent="0.25">
      <c r="A3356" s="19" t="s">
        <v>36</v>
      </c>
      <c r="B3356" s="2">
        <v>44032</v>
      </c>
      <c r="C3356" s="1">
        <v>1</v>
      </c>
      <c r="D3356" s="39">
        <v>15</v>
      </c>
      <c r="E3356" s="1"/>
      <c r="F3356" s="39">
        <f t="shared" si="220"/>
        <v>0</v>
      </c>
      <c r="G3356" s="497"/>
      <c r="H3356" s="497"/>
      <c r="J3356" s="42"/>
    </row>
    <row r="3357" spans="1:10" s="360" customFormat="1" x14ac:dyDescent="0.25">
      <c r="A3357" s="19" t="s">
        <v>37</v>
      </c>
      <c r="B3357" s="2">
        <v>44032</v>
      </c>
      <c r="C3357" s="1">
        <v>24</v>
      </c>
      <c r="D3357" s="39">
        <v>206</v>
      </c>
      <c r="E3357" s="1"/>
      <c r="F3357" s="39">
        <f t="shared" si="220"/>
        <v>0</v>
      </c>
      <c r="G3357" s="497"/>
      <c r="H3357" s="497"/>
      <c r="J3357" s="42"/>
    </row>
    <row r="3358" spans="1:10" s="360" customFormat="1" x14ac:dyDescent="0.25">
      <c r="A3358" s="19" t="s">
        <v>22</v>
      </c>
      <c r="B3358" s="2">
        <v>44032</v>
      </c>
      <c r="C3358" s="1">
        <v>27</v>
      </c>
      <c r="D3358" s="39">
        <v>718</v>
      </c>
      <c r="E3358" s="1"/>
      <c r="F3358" s="39">
        <f>E3358+F3334</f>
        <v>9</v>
      </c>
      <c r="G3358" s="497"/>
      <c r="H3358" s="497"/>
      <c r="J3358" s="42"/>
    </row>
    <row r="3359" spans="1:10" s="360" customFormat="1" x14ac:dyDescent="0.25">
      <c r="A3359" s="19" t="s">
        <v>38</v>
      </c>
      <c r="B3359" s="2">
        <v>44032</v>
      </c>
      <c r="C3359" s="1">
        <v>0</v>
      </c>
      <c r="D3359" s="39">
        <v>38</v>
      </c>
      <c r="E3359" s="1"/>
      <c r="F3359" s="39">
        <f>E3359+F3335</f>
        <v>0</v>
      </c>
      <c r="G3359" s="497"/>
      <c r="H3359" s="497"/>
      <c r="J3359" s="42"/>
    </row>
    <row r="3360" spans="1:10" s="360" customFormat="1" x14ac:dyDescent="0.25">
      <c r="A3360" s="19" t="s">
        <v>39</v>
      </c>
      <c r="B3360" s="2">
        <v>44032</v>
      </c>
      <c r="C3360" s="1">
        <v>0</v>
      </c>
      <c r="D3360" s="39">
        <v>240</v>
      </c>
      <c r="E3360" s="1"/>
      <c r="F3360" s="39">
        <f>E3360+F3336</f>
        <v>1</v>
      </c>
      <c r="G3360" s="497"/>
      <c r="H3360" s="497"/>
      <c r="J3360" s="42"/>
    </row>
    <row r="3361" spans="1:10" s="360" customFormat="1" x14ac:dyDescent="0.25">
      <c r="A3361" s="19" t="s">
        <v>40</v>
      </c>
      <c r="B3361" s="2">
        <v>44032</v>
      </c>
      <c r="C3361" s="1">
        <v>0</v>
      </c>
      <c r="D3361" s="39">
        <v>103</v>
      </c>
      <c r="E3361" s="1"/>
      <c r="F3361" s="39">
        <f>E3361+F3337</f>
        <v>4</v>
      </c>
      <c r="G3361" s="497"/>
      <c r="H3361" s="497"/>
      <c r="J3361" s="42"/>
    </row>
    <row r="3362" spans="1:10" s="360" customFormat="1" x14ac:dyDescent="0.25">
      <c r="A3362" s="361" t="s">
        <v>16</v>
      </c>
      <c r="B3362" s="2">
        <v>44033</v>
      </c>
      <c r="C3362" s="1">
        <v>3477</v>
      </c>
      <c r="D3362" s="39">
        <v>76815</v>
      </c>
      <c r="E3362" s="1">
        <f>15+16+18</f>
        <v>49</v>
      </c>
      <c r="F3362" s="39">
        <f>E3362+F3338</f>
        <v>1225</v>
      </c>
      <c r="G3362" s="497"/>
      <c r="H3362" s="497"/>
      <c r="J3362" s="42"/>
    </row>
    <row r="3363" spans="1:10" s="360" customFormat="1" x14ac:dyDescent="0.25">
      <c r="A3363" s="19" t="s">
        <v>28</v>
      </c>
      <c r="B3363" s="2">
        <v>44033</v>
      </c>
      <c r="C3363" s="1">
        <v>2</v>
      </c>
      <c r="D3363" s="39">
        <v>60</v>
      </c>
      <c r="E3363" s="1"/>
      <c r="F3363" s="39">
        <f t="shared" ref="F3363:F3369" si="221">E3363+F3339</f>
        <v>0</v>
      </c>
      <c r="G3363" s="497"/>
      <c r="H3363" s="497"/>
      <c r="J3363" s="42"/>
    </row>
    <row r="3364" spans="1:10" s="360" customFormat="1" x14ac:dyDescent="0.25">
      <c r="A3364" s="19" t="s">
        <v>15</v>
      </c>
      <c r="B3364" s="2">
        <v>44033</v>
      </c>
      <c r="C3364" s="1">
        <v>35</v>
      </c>
      <c r="D3364" s="39">
        <v>3031</v>
      </c>
      <c r="E3364" s="1"/>
      <c r="F3364" s="39">
        <f t="shared" si="221"/>
        <v>122</v>
      </c>
      <c r="G3364" s="497"/>
      <c r="H3364" s="497"/>
      <c r="J3364" s="42"/>
    </row>
    <row r="3365" spans="1:10" s="360" customFormat="1" x14ac:dyDescent="0.25">
      <c r="A3365" s="19" t="s">
        <v>29</v>
      </c>
      <c r="B3365" s="2">
        <v>44033</v>
      </c>
      <c r="C3365" s="1">
        <v>12</v>
      </c>
      <c r="D3365" s="39">
        <v>254</v>
      </c>
      <c r="E3365" s="1"/>
      <c r="F3365" s="39">
        <f t="shared" si="221"/>
        <v>3</v>
      </c>
      <c r="G3365" s="497"/>
      <c r="H3365" s="497"/>
      <c r="J3365" s="42"/>
    </row>
    <row r="3366" spans="1:10" s="360" customFormat="1" x14ac:dyDescent="0.25">
      <c r="A3366" s="19" t="s">
        <v>43</v>
      </c>
      <c r="B3366" s="2">
        <v>44033</v>
      </c>
      <c r="C3366" s="1">
        <v>1452</v>
      </c>
      <c r="D3366" s="39">
        <v>48143</v>
      </c>
      <c r="E3366" s="1">
        <f>14+8+10</f>
        <v>32</v>
      </c>
      <c r="F3366" s="39">
        <f t="shared" si="221"/>
        <v>922</v>
      </c>
      <c r="G3366" s="497"/>
      <c r="H3366" s="497"/>
      <c r="J3366" s="42"/>
    </row>
    <row r="3367" spans="1:10" s="360" customFormat="1" x14ac:dyDescent="0.25">
      <c r="A3367" s="19" t="s">
        <v>20</v>
      </c>
      <c r="B3367" s="2">
        <v>44033</v>
      </c>
      <c r="C3367" s="1">
        <v>58</v>
      </c>
      <c r="D3367" s="39">
        <v>1380</v>
      </c>
      <c r="E3367" s="1">
        <v>2</v>
      </c>
      <c r="F3367" s="39">
        <f t="shared" si="221"/>
        <v>38</v>
      </c>
      <c r="G3367" s="497"/>
      <c r="H3367" s="497"/>
      <c r="J3367" s="42"/>
    </row>
    <row r="3368" spans="1:10" s="360" customFormat="1" x14ac:dyDescent="0.25">
      <c r="A3368" s="19" t="s">
        <v>30</v>
      </c>
      <c r="B3368" s="2">
        <v>44033</v>
      </c>
      <c r="C3368" s="1">
        <v>1</v>
      </c>
      <c r="D3368" s="39">
        <v>131</v>
      </c>
      <c r="E3368" s="1"/>
      <c r="F3368" s="39">
        <f t="shared" si="221"/>
        <v>1</v>
      </c>
      <c r="G3368" s="497"/>
      <c r="H3368" s="497"/>
      <c r="J3368" s="42"/>
    </row>
    <row r="3369" spans="1:10" x14ac:dyDescent="0.25">
      <c r="A3369" s="19" t="s">
        <v>31</v>
      </c>
      <c r="B3369" s="2">
        <v>44033</v>
      </c>
      <c r="C3369" s="1">
        <v>7</v>
      </c>
      <c r="D3369" s="39">
        <v>655</v>
      </c>
      <c r="E3369" s="1">
        <v>1</v>
      </c>
      <c r="F3369" s="39">
        <f t="shared" si="221"/>
        <v>6</v>
      </c>
    </row>
    <row r="3370" spans="1:10" s="360" customFormat="1" x14ac:dyDescent="0.25">
      <c r="A3370" s="19" t="s">
        <v>41</v>
      </c>
      <c r="B3370" s="2">
        <v>44033</v>
      </c>
      <c r="C3370" s="1">
        <v>0</v>
      </c>
      <c r="D3370" s="39">
        <v>78</v>
      </c>
      <c r="E3370" s="1"/>
      <c r="F3370" s="39">
        <f>E3370+F3346</f>
        <v>0</v>
      </c>
      <c r="G3370" s="497"/>
      <c r="H3370" s="497"/>
      <c r="J3370" s="42"/>
    </row>
    <row r="3371" spans="1:10" s="360" customFormat="1" x14ac:dyDescent="0.25">
      <c r="A3371" s="19" t="s">
        <v>32</v>
      </c>
      <c r="B3371" s="2">
        <v>44033</v>
      </c>
      <c r="C3371" s="1">
        <v>120</v>
      </c>
      <c r="D3371" s="39">
        <v>878</v>
      </c>
      <c r="E3371" s="1">
        <v>30</v>
      </c>
      <c r="F3371" s="39">
        <f t="shared" ref="F3371:F3381" si="222">E3371+F3346</f>
        <v>30</v>
      </c>
      <c r="G3371" s="497"/>
      <c r="H3371" s="497"/>
      <c r="J3371" s="42"/>
    </row>
    <row r="3372" spans="1:10" s="360" customFormat="1" x14ac:dyDescent="0.25">
      <c r="A3372" s="19" t="s">
        <v>33</v>
      </c>
      <c r="B3372" s="2">
        <v>44033</v>
      </c>
      <c r="C3372" s="1">
        <v>0</v>
      </c>
      <c r="D3372" s="39">
        <v>8</v>
      </c>
      <c r="E3372" s="1"/>
      <c r="F3372" s="39">
        <f t="shared" si="222"/>
        <v>0</v>
      </c>
      <c r="G3372" s="497"/>
      <c r="H3372" s="497"/>
      <c r="J3372" s="42"/>
    </row>
    <row r="3373" spans="1:10" s="360" customFormat="1" x14ac:dyDescent="0.25">
      <c r="A3373" s="19" t="s">
        <v>21</v>
      </c>
      <c r="B3373" s="2">
        <v>44033</v>
      </c>
      <c r="C3373" s="1">
        <v>2</v>
      </c>
      <c r="D3373" s="39">
        <v>186</v>
      </c>
      <c r="E3373" s="1"/>
      <c r="F3373" s="39">
        <f t="shared" si="222"/>
        <v>0</v>
      </c>
      <c r="G3373" s="497"/>
      <c r="H3373" s="497"/>
      <c r="J3373" s="42"/>
    </row>
    <row r="3374" spans="1:10" s="360" customFormat="1" x14ac:dyDescent="0.25">
      <c r="A3374" s="19" t="s">
        <v>17</v>
      </c>
      <c r="B3374" s="2">
        <v>44033</v>
      </c>
      <c r="C3374" s="1">
        <v>49</v>
      </c>
      <c r="D3374" s="39">
        <v>562</v>
      </c>
      <c r="E3374" s="1"/>
      <c r="F3374" s="39">
        <f t="shared" si="222"/>
        <v>0</v>
      </c>
      <c r="G3374" s="497"/>
      <c r="H3374" s="497"/>
      <c r="J3374" s="42"/>
    </row>
    <row r="3375" spans="1:10" s="360" customFormat="1" x14ac:dyDescent="0.25">
      <c r="A3375" s="19" t="s">
        <v>23</v>
      </c>
      <c r="B3375" s="2">
        <v>44033</v>
      </c>
      <c r="C3375" s="1">
        <v>0</v>
      </c>
      <c r="D3375" s="39">
        <v>49</v>
      </c>
      <c r="E3375" s="1"/>
      <c r="F3375" s="39">
        <f t="shared" si="222"/>
        <v>1</v>
      </c>
      <c r="G3375" s="497"/>
      <c r="H3375" s="497"/>
      <c r="J3375" s="42"/>
    </row>
    <row r="3376" spans="1:10" s="360" customFormat="1" x14ac:dyDescent="0.25">
      <c r="A3376" s="19" t="s">
        <v>19</v>
      </c>
      <c r="B3376" s="2">
        <v>44033</v>
      </c>
      <c r="C3376" s="1">
        <v>26</v>
      </c>
      <c r="D3376" s="39">
        <v>923</v>
      </c>
      <c r="E3376" s="1"/>
      <c r="F3376" s="39">
        <f t="shared" si="222"/>
        <v>1</v>
      </c>
      <c r="G3376" s="497"/>
      <c r="H3376" s="497"/>
      <c r="J3376" s="42"/>
    </row>
    <row r="3377" spans="1:10" s="360" customFormat="1" x14ac:dyDescent="0.25">
      <c r="A3377" s="19" t="s">
        <v>18</v>
      </c>
      <c r="B3377" s="2">
        <v>44033</v>
      </c>
      <c r="C3377" s="1">
        <v>34</v>
      </c>
      <c r="D3377" s="39">
        <v>1375</v>
      </c>
      <c r="E3377" s="1">
        <v>2</v>
      </c>
      <c r="F3377" s="39">
        <f t="shared" si="222"/>
        <v>4</v>
      </c>
      <c r="G3377" s="497"/>
      <c r="H3377" s="497"/>
      <c r="J3377" s="42"/>
    </row>
    <row r="3378" spans="1:10" s="360" customFormat="1" x14ac:dyDescent="0.25">
      <c r="A3378" s="19" t="s">
        <v>34</v>
      </c>
      <c r="B3378" s="2">
        <v>44033</v>
      </c>
      <c r="C3378" s="1">
        <v>5</v>
      </c>
      <c r="D3378" s="39">
        <v>181</v>
      </c>
      <c r="E3378" s="1"/>
      <c r="F3378" s="39">
        <f t="shared" si="222"/>
        <v>9</v>
      </c>
      <c r="G3378" s="497"/>
      <c r="H3378" s="497"/>
      <c r="J3378" s="42"/>
    </row>
    <row r="3379" spans="1:10" s="360" customFormat="1" x14ac:dyDescent="0.25">
      <c r="A3379" s="19" t="s">
        <v>35</v>
      </c>
      <c r="B3379" s="2">
        <v>44033</v>
      </c>
      <c r="C3379" s="1">
        <v>2</v>
      </c>
      <c r="D3379" s="39">
        <v>16</v>
      </c>
      <c r="E3379" s="1"/>
      <c r="F3379" s="39">
        <f>E3379+F3355</f>
        <v>0</v>
      </c>
      <c r="G3379" s="497"/>
      <c r="H3379" s="497"/>
      <c r="J3379" s="42"/>
    </row>
    <row r="3380" spans="1:10" s="360" customFormat="1" x14ac:dyDescent="0.25">
      <c r="A3380" s="19" t="s">
        <v>36</v>
      </c>
      <c r="B3380" s="2">
        <v>44033</v>
      </c>
      <c r="C3380" s="1">
        <v>0</v>
      </c>
      <c r="D3380" s="39">
        <v>15</v>
      </c>
      <c r="E3380" s="1"/>
      <c r="F3380" s="39">
        <f t="shared" si="222"/>
        <v>0</v>
      </c>
      <c r="G3380" s="497"/>
      <c r="H3380" s="497"/>
      <c r="J3380" s="42"/>
    </row>
    <row r="3381" spans="1:10" s="360" customFormat="1" x14ac:dyDescent="0.25">
      <c r="A3381" s="19" t="s">
        <v>37</v>
      </c>
      <c r="B3381" s="2">
        <v>44033</v>
      </c>
      <c r="C3381" s="1">
        <v>16</v>
      </c>
      <c r="D3381" s="39">
        <v>222</v>
      </c>
      <c r="E3381" s="1"/>
      <c r="F3381" s="39">
        <f t="shared" si="222"/>
        <v>0</v>
      </c>
      <c r="G3381" s="497"/>
      <c r="H3381" s="497"/>
      <c r="J3381" s="42"/>
    </row>
    <row r="3382" spans="1:10" s="360" customFormat="1" x14ac:dyDescent="0.25">
      <c r="A3382" s="19" t="s">
        <v>22</v>
      </c>
      <c r="B3382" s="2">
        <v>44033</v>
      </c>
      <c r="C3382" s="1">
        <v>35</v>
      </c>
      <c r="D3382" s="39">
        <v>753</v>
      </c>
      <c r="E3382" s="1"/>
      <c r="F3382" s="39">
        <f>E3382+F3358</f>
        <v>9</v>
      </c>
      <c r="G3382" s="497"/>
      <c r="H3382" s="497"/>
      <c r="J3382" s="42"/>
    </row>
    <row r="3383" spans="1:10" s="360" customFormat="1" x14ac:dyDescent="0.25">
      <c r="A3383" s="19" t="s">
        <v>38</v>
      </c>
      <c r="B3383" s="2">
        <v>44033</v>
      </c>
      <c r="C3383" s="1">
        <v>1</v>
      </c>
      <c r="D3383" s="39">
        <v>39</v>
      </c>
      <c r="E3383" s="1">
        <v>1</v>
      </c>
      <c r="F3383" s="39">
        <f>E3383+F3359</f>
        <v>1</v>
      </c>
      <c r="G3383" s="497"/>
      <c r="H3383" s="497"/>
      <c r="J3383" s="42"/>
    </row>
    <row r="3384" spans="1:10" s="360" customFormat="1" x14ac:dyDescent="0.25">
      <c r="A3384" s="19" t="s">
        <v>39</v>
      </c>
      <c r="B3384" s="2">
        <v>44033</v>
      </c>
      <c r="C3384" s="1">
        <v>9</v>
      </c>
      <c r="D3384" s="39">
        <v>249</v>
      </c>
      <c r="E3384" s="1"/>
      <c r="F3384" s="39">
        <f>E3384+F3360</f>
        <v>1</v>
      </c>
      <c r="G3384" s="497"/>
      <c r="H3384" s="497"/>
      <c r="J3384" s="42"/>
    </row>
    <row r="3385" spans="1:10" s="360" customFormat="1" x14ac:dyDescent="0.25">
      <c r="A3385" s="19" t="s">
        <v>40</v>
      </c>
      <c r="B3385" s="2">
        <v>44033</v>
      </c>
      <c r="C3385" s="1">
        <v>1</v>
      </c>
      <c r="D3385" s="39">
        <v>104</v>
      </c>
      <c r="E3385" s="1"/>
      <c r="F3385" s="39">
        <f>E3385+F3361</f>
        <v>4</v>
      </c>
      <c r="G3385" s="497"/>
      <c r="H3385" s="497"/>
      <c r="J3385" s="42"/>
    </row>
    <row r="3386" spans="1:10" s="360" customFormat="1" x14ac:dyDescent="0.25">
      <c r="A3386" s="361" t="s">
        <v>16</v>
      </c>
      <c r="B3386" s="2">
        <v>44034</v>
      </c>
      <c r="C3386" s="1">
        <v>3801</v>
      </c>
      <c r="D3386" s="39">
        <v>80616</v>
      </c>
      <c r="E3386" s="1">
        <f>9+27+16</f>
        <v>52</v>
      </c>
      <c r="F3386" s="39">
        <f>E3386+F3362</f>
        <v>1277</v>
      </c>
      <c r="G3386" s="497"/>
      <c r="H3386" s="497"/>
      <c r="J3386" s="42"/>
    </row>
    <row r="3387" spans="1:10" s="360" customFormat="1" x14ac:dyDescent="0.25">
      <c r="A3387" s="19" t="s">
        <v>28</v>
      </c>
      <c r="B3387" s="2">
        <v>44034</v>
      </c>
      <c r="C3387" s="1">
        <v>0</v>
      </c>
      <c r="D3387" s="39">
        <v>60</v>
      </c>
      <c r="E3387" s="1"/>
      <c r="F3387" s="39">
        <f t="shared" ref="F3387:F3393" si="223">E3387+F3363</f>
        <v>0</v>
      </c>
      <c r="G3387" s="497"/>
      <c r="H3387" s="497"/>
      <c r="J3387" s="42"/>
    </row>
    <row r="3388" spans="1:10" s="360" customFormat="1" x14ac:dyDescent="0.25">
      <c r="A3388" s="19" t="s">
        <v>15</v>
      </c>
      <c r="B3388" s="2">
        <v>44034</v>
      </c>
      <c r="C3388" s="1">
        <v>73</v>
      </c>
      <c r="D3388" s="39">
        <v>3104</v>
      </c>
      <c r="E3388" s="1">
        <v>3</v>
      </c>
      <c r="F3388" s="39">
        <f t="shared" si="223"/>
        <v>125</v>
      </c>
      <c r="G3388" s="497"/>
      <c r="H3388" s="497"/>
      <c r="J3388" s="42"/>
    </row>
    <row r="3389" spans="1:10" s="360" customFormat="1" x14ac:dyDescent="0.25">
      <c r="A3389" s="19" t="s">
        <v>29</v>
      </c>
      <c r="B3389" s="2">
        <v>44034</v>
      </c>
      <c r="C3389" s="1">
        <v>0</v>
      </c>
      <c r="D3389" s="39">
        <v>254</v>
      </c>
      <c r="E3389" s="1"/>
      <c r="F3389" s="39">
        <f t="shared" si="223"/>
        <v>3</v>
      </c>
      <c r="G3389" s="497"/>
      <c r="H3389" s="497"/>
      <c r="J3389" s="42"/>
    </row>
    <row r="3390" spans="1:10" s="360" customFormat="1" x14ac:dyDescent="0.25">
      <c r="A3390" s="19" t="s">
        <v>43</v>
      </c>
      <c r="B3390" s="2">
        <v>44034</v>
      </c>
      <c r="C3390" s="1">
        <v>1390</v>
      </c>
      <c r="D3390" s="39">
        <v>49533</v>
      </c>
      <c r="E3390" s="1">
        <f>7+18+17</f>
        <v>42</v>
      </c>
      <c r="F3390" s="39">
        <f t="shared" si="223"/>
        <v>964</v>
      </c>
      <c r="G3390" s="497"/>
      <c r="H3390" s="497"/>
      <c r="J3390" s="42"/>
    </row>
    <row r="3391" spans="1:10" s="360" customFormat="1" x14ac:dyDescent="0.25">
      <c r="A3391" s="19" t="s">
        <v>20</v>
      </c>
      <c r="B3391" s="2">
        <v>44034</v>
      </c>
      <c r="C3391" s="1">
        <v>87</v>
      </c>
      <c r="D3391" s="39">
        <v>1467</v>
      </c>
      <c r="E3391" s="1"/>
      <c r="F3391" s="39">
        <f t="shared" si="223"/>
        <v>38</v>
      </c>
      <c r="G3391" s="497"/>
      <c r="H3391" s="497"/>
      <c r="J3391" s="42"/>
    </row>
    <row r="3392" spans="1:10" s="360" customFormat="1" x14ac:dyDescent="0.25">
      <c r="A3392" s="19" t="s">
        <v>30</v>
      </c>
      <c r="B3392" s="2">
        <v>44034</v>
      </c>
      <c r="C3392" s="1">
        <v>0</v>
      </c>
      <c r="D3392" s="39">
        <v>131</v>
      </c>
      <c r="E3392" s="1"/>
      <c r="F3392" s="39">
        <f t="shared" si="223"/>
        <v>1</v>
      </c>
      <c r="G3392" s="497"/>
      <c r="H3392" s="497"/>
      <c r="J3392" s="42"/>
    </row>
    <row r="3393" spans="1:10" x14ac:dyDescent="0.25">
      <c r="A3393" s="19" t="s">
        <v>31</v>
      </c>
      <c r="B3393" s="2">
        <v>44034</v>
      </c>
      <c r="C3393" s="1">
        <v>24</v>
      </c>
      <c r="D3393" s="39">
        <v>679</v>
      </c>
      <c r="F3393" s="39">
        <f t="shared" si="223"/>
        <v>6</v>
      </c>
    </row>
    <row r="3394" spans="1:10" s="360" customFormat="1" x14ac:dyDescent="0.25">
      <c r="A3394" s="19" t="s">
        <v>41</v>
      </c>
      <c r="B3394" s="2">
        <v>44034</v>
      </c>
      <c r="C3394" s="1">
        <v>1</v>
      </c>
      <c r="D3394" s="39">
        <v>79</v>
      </c>
      <c r="E3394" s="1"/>
      <c r="F3394" s="39">
        <f>E3394+F3370</f>
        <v>0</v>
      </c>
      <c r="G3394" s="497"/>
      <c r="H3394" s="497"/>
      <c r="J3394" s="42"/>
    </row>
    <row r="3395" spans="1:10" s="360" customFormat="1" x14ac:dyDescent="0.25">
      <c r="A3395" s="19" t="s">
        <v>32</v>
      </c>
      <c r="B3395" s="2">
        <v>44034</v>
      </c>
      <c r="C3395" s="1">
        <v>155</v>
      </c>
      <c r="D3395" s="39">
        <v>1033</v>
      </c>
      <c r="E3395" s="1"/>
      <c r="F3395" s="39">
        <f t="shared" ref="F3395:F3405" si="224">E3395+F3370</f>
        <v>0</v>
      </c>
      <c r="G3395" s="497"/>
      <c r="H3395" s="497"/>
      <c r="J3395" s="42"/>
    </row>
    <row r="3396" spans="1:10" s="360" customFormat="1" x14ac:dyDescent="0.25">
      <c r="A3396" s="19" t="s">
        <v>33</v>
      </c>
      <c r="B3396" s="2">
        <v>44034</v>
      </c>
      <c r="C3396" s="1">
        <v>0</v>
      </c>
      <c r="D3396" s="39">
        <v>8</v>
      </c>
      <c r="E3396" s="1"/>
      <c r="F3396" s="39">
        <f t="shared" si="224"/>
        <v>30</v>
      </c>
      <c r="G3396" s="497"/>
      <c r="H3396" s="497"/>
      <c r="J3396" s="42"/>
    </row>
    <row r="3397" spans="1:10" s="360" customFormat="1" x14ac:dyDescent="0.25">
      <c r="A3397" s="19" t="s">
        <v>21</v>
      </c>
      <c r="B3397" s="2">
        <v>44034</v>
      </c>
      <c r="C3397" s="1">
        <v>10</v>
      </c>
      <c r="D3397" s="39">
        <v>196</v>
      </c>
      <c r="E3397" s="1"/>
      <c r="F3397" s="39">
        <f t="shared" si="224"/>
        <v>0</v>
      </c>
      <c r="G3397" s="497"/>
      <c r="H3397" s="497"/>
      <c r="J3397" s="42"/>
    </row>
    <row r="3398" spans="1:10" s="360" customFormat="1" x14ac:dyDescent="0.25">
      <c r="A3398" s="19" t="s">
        <v>17</v>
      </c>
      <c r="B3398" s="2">
        <v>44034</v>
      </c>
      <c r="C3398" s="1">
        <v>56</v>
      </c>
      <c r="D3398" s="39">
        <v>618</v>
      </c>
      <c r="E3398" s="1">
        <v>1</v>
      </c>
      <c r="F3398" s="39">
        <f t="shared" si="224"/>
        <v>1</v>
      </c>
      <c r="G3398" s="497"/>
      <c r="H3398" s="497"/>
      <c r="J3398" s="42"/>
    </row>
    <row r="3399" spans="1:10" s="360" customFormat="1" x14ac:dyDescent="0.25">
      <c r="A3399" s="19" t="s">
        <v>23</v>
      </c>
      <c r="B3399" s="2">
        <v>44034</v>
      </c>
      <c r="C3399" s="1">
        <v>0</v>
      </c>
      <c r="D3399" s="39">
        <v>49</v>
      </c>
      <c r="E3399" s="1"/>
      <c r="F3399" s="39">
        <f t="shared" si="224"/>
        <v>0</v>
      </c>
      <c r="G3399" s="497"/>
      <c r="H3399" s="497"/>
      <c r="J3399" s="42"/>
    </row>
    <row r="3400" spans="1:10" s="360" customFormat="1" x14ac:dyDescent="0.25">
      <c r="A3400" s="19" t="s">
        <v>19</v>
      </c>
      <c r="B3400" s="2">
        <v>44034</v>
      </c>
      <c r="C3400" s="1">
        <v>26</v>
      </c>
      <c r="D3400" s="39">
        <v>949</v>
      </c>
      <c r="E3400" s="1"/>
      <c r="F3400" s="39">
        <f t="shared" si="224"/>
        <v>1</v>
      </c>
      <c r="G3400" s="497"/>
      <c r="H3400" s="497"/>
      <c r="J3400" s="42"/>
    </row>
    <row r="3401" spans="1:10" s="360" customFormat="1" x14ac:dyDescent="0.25">
      <c r="A3401" s="19" t="s">
        <v>18</v>
      </c>
      <c r="B3401" s="2">
        <v>44034</v>
      </c>
      <c r="C3401" s="1">
        <v>57</v>
      </c>
      <c r="D3401" s="39">
        <v>1432</v>
      </c>
      <c r="E3401" s="1"/>
      <c r="F3401" s="39">
        <f t="shared" si="224"/>
        <v>1</v>
      </c>
      <c r="G3401" s="497"/>
      <c r="H3401" s="497"/>
      <c r="J3401" s="42"/>
    </row>
    <row r="3402" spans="1:10" s="360" customFormat="1" x14ac:dyDescent="0.25">
      <c r="A3402" s="19" t="s">
        <v>34</v>
      </c>
      <c r="B3402" s="2">
        <v>44034</v>
      </c>
      <c r="C3402" s="1">
        <v>19</v>
      </c>
      <c r="D3402" s="39">
        <v>200</v>
      </c>
      <c r="E3402" s="1"/>
      <c r="F3402" s="39">
        <f t="shared" si="224"/>
        <v>4</v>
      </c>
      <c r="G3402" s="497"/>
      <c r="H3402" s="497"/>
      <c r="J3402" s="42"/>
    </row>
    <row r="3403" spans="1:10" s="360" customFormat="1" x14ac:dyDescent="0.25">
      <c r="A3403" s="19" t="s">
        <v>35</v>
      </c>
      <c r="B3403" s="2">
        <v>44034</v>
      </c>
      <c r="C3403" s="1">
        <v>1</v>
      </c>
      <c r="D3403" s="39">
        <v>17</v>
      </c>
      <c r="E3403" s="1"/>
      <c r="F3403" s="39">
        <f>E3403+F3379</f>
        <v>0</v>
      </c>
      <c r="G3403" s="497"/>
      <c r="H3403" s="497"/>
      <c r="J3403" s="42"/>
    </row>
    <row r="3404" spans="1:10" s="360" customFormat="1" x14ac:dyDescent="0.25">
      <c r="A3404" s="19" t="s">
        <v>36</v>
      </c>
      <c r="B3404" s="2">
        <v>44034</v>
      </c>
      <c r="C3404" s="1">
        <v>2</v>
      </c>
      <c r="D3404" s="39">
        <v>17</v>
      </c>
      <c r="E3404" s="1"/>
      <c r="F3404" s="39">
        <f t="shared" si="224"/>
        <v>0</v>
      </c>
      <c r="G3404" s="497"/>
      <c r="H3404" s="497"/>
      <c r="J3404" s="42"/>
    </row>
    <row r="3405" spans="1:10" s="360" customFormat="1" x14ac:dyDescent="0.25">
      <c r="A3405" s="19" t="s">
        <v>37</v>
      </c>
      <c r="B3405" s="2">
        <v>44034</v>
      </c>
      <c r="C3405" s="1">
        <v>17</v>
      </c>
      <c r="D3405" s="39">
        <v>239</v>
      </c>
      <c r="E3405" s="1"/>
      <c r="F3405" s="39">
        <f t="shared" si="224"/>
        <v>0</v>
      </c>
      <c r="G3405" s="497"/>
      <c r="H3405" s="497"/>
      <c r="J3405" s="42"/>
    </row>
    <row r="3406" spans="1:10" s="360" customFormat="1" x14ac:dyDescent="0.25">
      <c r="A3406" s="19" t="s">
        <v>22</v>
      </c>
      <c r="B3406" s="2">
        <v>44034</v>
      </c>
      <c r="C3406" s="1">
        <v>49</v>
      </c>
      <c r="D3406" s="39">
        <v>802</v>
      </c>
      <c r="E3406" s="1"/>
      <c r="F3406" s="39">
        <f>E3406+F3382</f>
        <v>9</v>
      </c>
      <c r="G3406" s="497"/>
      <c r="H3406" s="497"/>
      <c r="J3406" s="42"/>
    </row>
    <row r="3407" spans="1:10" s="360" customFormat="1" x14ac:dyDescent="0.25">
      <c r="A3407" s="19" t="s">
        <v>38</v>
      </c>
      <c r="B3407" s="2">
        <v>44034</v>
      </c>
      <c r="C3407" s="1">
        <v>1</v>
      </c>
      <c r="D3407" s="39">
        <v>40</v>
      </c>
      <c r="E3407" s="1"/>
      <c r="F3407" s="39">
        <f>E3407+F3383</f>
        <v>1</v>
      </c>
      <c r="G3407" s="497"/>
      <c r="H3407" s="497"/>
      <c r="J3407" s="42"/>
    </row>
    <row r="3408" spans="1:10" s="360" customFormat="1" x14ac:dyDescent="0.25">
      <c r="A3408" s="19" t="s">
        <v>39</v>
      </c>
      <c r="B3408" s="2">
        <v>44034</v>
      </c>
      <c r="C3408" s="1">
        <v>10</v>
      </c>
      <c r="D3408" s="39">
        <v>259</v>
      </c>
      <c r="E3408" s="1"/>
      <c r="F3408" s="39">
        <f>E3408+F3384</f>
        <v>1</v>
      </c>
      <c r="G3408" s="497"/>
      <c r="H3408" s="497"/>
      <c r="J3408" s="42"/>
    </row>
    <row r="3409" spans="1:10" s="360" customFormat="1" x14ac:dyDescent="0.25">
      <c r="A3409" s="19" t="s">
        <v>40</v>
      </c>
      <c r="B3409" s="2">
        <v>44034</v>
      </c>
      <c r="C3409" s="1">
        <v>2</v>
      </c>
      <c r="D3409" s="39">
        <v>106</v>
      </c>
      <c r="E3409" s="1"/>
      <c r="F3409" s="39">
        <f>E3409+F3385</f>
        <v>4</v>
      </c>
      <c r="G3409" s="497"/>
      <c r="H3409" s="497"/>
      <c r="J3409" s="42"/>
    </row>
    <row r="3410" spans="1:10" s="360" customFormat="1" x14ac:dyDescent="0.25">
      <c r="A3410" s="361" t="s">
        <v>16</v>
      </c>
      <c r="B3410" s="2">
        <v>44035</v>
      </c>
      <c r="C3410" s="1">
        <v>4300</v>
      </c>
      <c r="D3410" s="39">
        <v>84916</v>
      </c>
      <c r="E3410" s="1">
        <f>4+6+30+29</f>
        <v>69</v>
      </c>
      <c r="F3410" s="39">
        <f>E3410+F3386</f>
        <v>1346</v>
      </c>
      <c r="G3410" s="497"/>
      <c r="H3410" s="497"/>
      <c r="J3410" s="42"/>
    </row>
    <row r="3411" spans="1:10" s="360" customFormat="1" x14ac:dyDescent="0.25">
      <c r="A3411" s="19" t="s">
        <v>28</v>
      </c>
      <c r="B3411" s="2">
        <v>44035</v>
      </c>
      <c r="C3411" s="1">
        <v>0</v>
      </c>
      <c r="D3411" s="39">
        <v>60</v>
      </c>
      <c r="E3411" s="1"/>
      <c r="F3411" s="39">
        <f t="shared" ref="F3411:F3417" si="225">E3411+F3387</f>
        <v>0</v>
      </c>
      <c r="G3411" s="497"/>
      <c r="H3411" s="497"/>
      <c r="J3411" s="42"/>
    </row>
    <row r="3412" spans="1:10" s="360" customFormat="1" x14ac:dyDescent="0.25">
      <c r="A3412" s="19" t="s">
        <v>15</v>
      </c>
      <c r="B3412" s="2">
        <v>44035</v>
      </c>
      <c r="C3412" s="1">
        <v>51</v>
      </c>
      <c r="D3412" s="39">
        <v>3155</v>
      </c>
      <c r="E3412" s="1">
        <v>3</v>
      </c>
      <c r="F3412" s="39">
        <f t="shared" si="225"/>
        <v>128</v>
      </c>
      <c r="G3412" s="497"/>
      <c r="H3412" s="497"/>
      <c r="J3412" s="42"/>
    </row>
    <row r="3413" spans="1:10" s="360" customFormat="1" x14ac:dyDescent="0.25">
      <c r="A3413" s="19" t="s">
        <v>29</v>
      </c>
      <c r="B3413" s="2">
        <v>44035</v>
      </c>
      <c r="C3413" s="1">
        <v>1</v>
      </c>
      <c r="D3413" s="39">
        <v>255</v>
      </c>
      <c r="E3413" s="1"/>
      <c r="F3413" s="39">
        <f t="shared" si="225"/>
        <v>3</v>
      </c>
      <c r="G3413" s="497"/>
      <c r="H3413" s="497"/>
      <c r="J3413" s="42"/>
    </row>
    <row r="3414" spans="1:10" s="360" customFormat="1" x14ac:dyDescent="0.25">
      <c r="A3414" s="19" t="s">
        <v>43</v>
      </c>
      <c r="B3414" s="2">
        <v>44035</v>
      </c>
      <c r="C3414" s="1">
        <v>1267</v>
      </c>
      <c r="D3414" s="39">
        <v>50800</v>
      </c>
      <c r="E3414" s="1">
        <f>9+8+9+13</f>
        <v>39</v>
      </c>
      <c r="F3414" s="39">
        <f t="shared" si="225"/>
        <v>1003</v>
      </c>
      <c r="G3414" s="497"/>
      <c r="H3414" s="497"/>
      <c r="J3414" s="42"/>
    </row>
    <row r="3415" spans="1:10" s="360" customFormat="1" x14ac:dyDescent="0.25">
      <c r="A3415" s="19" t="s">
        <v>20</v>
      </c>
      <c r="B3415" s="2">
        <v>44035</v>
      </c>
      <c r="C3415" s="1">
        <v>102</v>
      </c>
      <c r="D3415" s="39">
        <v>1569</v>
      </c>
      <c r="E3415" s="1"/>
      <c r="F3415" s="39">
        <f t="shared" si="225"/>
        <v>38</v>
      </c>
      <c r="G3415" s="497"/>
      <c r="H3415" s="497"/>
      <c r="J3415" s="42"/>
    </row>
    <row r="3416" spans="1:10" s="360" customFormat="1" x14ac:dyDescent="0.25">
      <c r="A3416" s="19" t="s">
        <v>30</v>
      </c>
      <c r="B3416" s="2">
        <v>44035</v>
      </c>
      <c r="C3416" s="1">
        <v>1</v>
      </c>
      <c r="D3416" s="39">
        <v>132</v>
      </c>
      <c r="E3416" s="1"/>
      <c r="F3416" s="39">
        <f t="shared" si="225"/>
        <v>1</v>
      </c>
      <c r="G3416" s="497"/>
      <c r="H3416" s="497"/>
      <c r="J3416" s="42"/>
    </row>
    <row r="3417" spans="1:10" x14ac:dyDescent="0.25">
      <c r="A3417" s="19" t="s">
        <v>31</v>
      </c>
      <c r="B3417" s="2">
        <v>44035</v>
      </c>
      <c r="C3417" s="1">
        <v>31</v>
      </c>
      <c r="D3417" s="39">
        <v>710</v>
      </c>
      <c r="F3417" s="39">
        <f t="shared" si="225"/>
        <v>6</v>
      </c>
    </row>
    <row r="3418" spans="1:10" s="360" customFormat="1" x14ac:dyDescent="0.25">
      <c r="A3418" s="19" t="s">
        <v>41</v>
      </c>
      <c r="B3418" s="2">
        <v>44035</v>
      </c>
      <c r="C3418" s="1">
        <v>1</v>
      </c>
      <c r="D3418" s="39">
        <v>80</v>
      </c>
      <c r="E3418" s="1"/>
      <c r="F3418" s="39">
        <f>E3418+F3394</f>
        <v>0</v>
      </c>
      <c r="G3418" s="497"/>
      <c r="H3418" s="497"/>
      <c r="J3418" s="42"/>
    </row>
    <row r="3419" spans="1:10" s="360" customFormat="1" x14ac:dyDescent="0.25">
      <c r="A3419" s="19" t="s">
        <v>32</v>
      </c>
      <c r="B3419" s="2">
        <v>44035</v>
      </c>
      <c r="C3419" s="1">
        <v>158</v>
      </c>
      <c r="D3419" s="39">
        <v>1191</v>
      </c>
      <c r="E3419" s="1"/>
      <c r="F3419" s="39">
        <f t="shared" ref="F3419:F3429" si="226">E3419+F3394</f>
        <v>0</v>
      </c>
      <c r="G3419" s="497"/>
      <c r="H3419" s="497"/>
      <c r="J3419" s="42"/>
    </row>
    <row r="3420" spans="1:10" s="360" customFormat="1" x14ac:dyDescent="0.25">
      <c r="A3420" s="19" t="s">
        <v>33</v>
      </c>
      <c r="B3420" s="2">
        <v>44035</v>
      </c>
      <c r="C3420" s="1">
        <v>0</v>
      </c>
      <c r="D3420" s="39">
        <v>8</v>
      </c>
      <c r="E3420" s="1"/>
      <c r="F3420" s="39">
        <f t="shared" si="226"/>
        <v>0</v>
      </c>
      <c r="G3420" s="497"/>
      <c r="H3420" s="497"/>
      <c r="J3420" s="42"/>
    </row>
    <row r="3421" spans="1:10" s="360" customFormat="1" x14ac:dyDescent="0.25">
      <c r="A3421" s="19" t="s">
        <v>21</v>
      </c>
      <c r="B3421" s="2">
        <v>44035</v>
      </c>
      <c r="C3421" s="1">
        <v>9</v>
      </c>
      <c r="D3421" s="39">
        <v>205</v>
      </c>
      <c r="E3421" s="1"/>
      <c r="F3421" s="39">
        <f t="shared" si="226"/>
        <v>30</v>
      </c>
      <c r="G3421" s="497"/>
      <c r="H3421" s="497"/>
      <c r="J3421" s="42"/>
    </row>
    <row r="3422" spans="1:10" s="360" customFormat="1" x14ac:dyDescent="0.25">
      <c r="A3422" s="19" t="s">
        <v>17</v>
      </c>
      <c r="B3422" s="2">
        <v>44035</v>
      </c>
      <c r="C3422" s="1">
        <v>52</v>
      </c>
      <c r="D3422" s="39">
        <v>670</v>
      </c>
      <c r="E3422" s="1">
        <v>3</v>
      </c>
      <c r="F3422" s="39">
        <f t="shared" si="226"/>
        <v>3</v>
      </c>
      <c r="G3422" s="497"/>
      <c r="H3422" s="497"/>
      <c r="J3422" s="42"/>
    </row>
    <row r="3423" spans="1:10" s="360" customFormat="1" x14ac:dyDescent="0.25">
      <c r="A3423" s="19" t="s">
        <v>23</v>
      </c>
      <c r="B3423" s="2">
        <v>44035</v>
      </c>
      <c r="C3423" s="1">
        <v>2</v>
      </c>
      <c r="D3423" s="39">
        <v>51</v>
      </c>
      <c r="E3423" s="1"/>
      <c r="F3423" s="39">
        <f t="shared" si="226"/>
        <v>1</v>
      </c>
      <c r="G3423" s="497"/>
      <c r="H3423" s="497"/>
      <c r="J3423" s="42"/>
    </row>
    <row r="3424" spans="1:10" s="360" customFormat="1" x14ac:dyDescent="0.25">
      <c r="A3424" s="19" t="s">
        <v>19</v>
      </c>
      <c r="B3424" s="2">
        <v>44035</v>
      </c>
      <c r="C3424" s="1">
        <v>25</v>
      </c>
      <c r="D3424" s="39">
        <v>974</v>
      </c>
      <c r="E3424" s="1"/>
      <c r="F3424" s="39">
        <f t="shared" si="226"/>
        <v>0</v>
      </c>
      <c r="G3424" s="497"/>
      <c r="H3424" s="497"/>
      <c r="J3424" s="42"/>
    </row>
    <row r="3425" spans="1:10" s="360" customFormat="1" x14ac:dyDescent="0.25">
      <c r="A3425" s="19" t="s">
        <v>18</v>
      </c>
      <c r="B3425" s="2">
        <v>44035</v>
      </c>
      <c r="C3425" s="1">
        <v>54</v>
      </c>
      <c r="D3425" s="39">
        <v>1486</v>
      </c>
      <c r="E3425" s="1"/>
      <c r="F3425" s="39">
        <f t="shared" si="226"/>
        <v>1</v>
      </c>
      <c r="G3425" s="497"/>
      <c r="H3425" s="497"/>
      <c r="J3425" s="42"/>
    </row>
    <row r="3426" spans="1:10" s="360" customFormat="1" x14ac:dyDescent="0.25">
      <c r="A3426" s="19" t="s">
        <v>34</v>
      </c>
      <c r="B3426" s="2">
        <v>44035</v>
      </c>
      <c r="C3426" s="1">
        <v>1</v>
      </c>
      <c r="D3426" s="39">
        <v>201</v>
      </c>
      <c r="E3426" s="1"/>
      <c r="F3426" s="39">
        <f t="shared" si="226"/>
        <v>1</v>
      </c>
      <c r="G3426" s="497"/>
      <c r="H3426" s="497"/>
      <c r="J3426" s="42"/>
    </row>
    <row r="3427" spans="1:10" s="360" customFormat="1" x14ac:dyDescent="0.25">
      <c r="A3427" s="19" t="s">
        <v>35</v>
      </c>
      <c r="B3427" s="2">
        <v>44035</v>
      </c>
      <c r="C3427" s="1">
        <v>2</v>
      </c>
      <c r="D3427" s="39">
        <v>19</v>
      </c>
      <c r="E3427" s="1"/>
      <c r="F3427" s="39">
        <f>E3427+F3403</f>
        <v>0</v>
      </c>
      <c r="G3427" s="497"/>
      <c r="H3427" s="497"/>
      <c r="J3427" s="42"/>
    </row>
    <row r="3428" spans="1:10" s="360" customFormat="1" x14ac:dyDescent="0.25">
      <c r="A3428" s="19" t="s">
        <v>36</v>
      </c>
      <c r="B3428" s="2">
        <v>44035</v>
      </c>
      <c r="C3428" s="1">
        <v>1</v>
      </c>
      <c r="D3428" s="39">
        <v>18</v>
      </c>
      <c r="E3428" s="1"/>
      <c r="F3428" s="39">
        <f t="shared" si="226"/>
        <v>0</v>
      </c>
      <c r="G3428" s="497"/>
      <c r="H3428" s="497"/>
      <c r="J3428" s="42"/>
    </row>
    <row r="3429" spans="1:10" s="360" customFormat="1" x14ac:dyDescent="0.25">
      <c r="A3429" s="19" t="s">
        <v>37</v>
      </c>
      <c r="B3429" s="2">
        <v>44035</v>
      </c>
      <c r="C3429" s="1">
        <v>24</v>
      </c>
      <c r="D3429" s="39">
        <v>263</v>
      </c>
      <c r="E3429" s="1"/>
      <c r="F3429" s="39">
        <f t="shared" si="226"/>
        <v>0</v>
      </c>
      <c r="G3429" s="497"/>
      <c r="H3429" s="497"/>
      <c r="J3429" s="42"/>
    </row>
    <row r="3430" spans="1:10" s="360" customFormat="1" x14ac:dyDescent="0.25">
      <c r="A3430" s="19" t="s">
        <v>22</v>
      </c>
      <c r="B3430" s="2">
        <v>44035</v>
      </c>
      <c r="C3430" s="1">
        <v>34</v>
      </c>
      <c r="D3430" s="39">
        <v>836</v>
      </c>
      <c r="E3430" s="1"/>
      <c r="F3430" s="39">
        <f>E3430+F3406</f>
        <v>9</v>
      </c>
      <c r="G3430" s="497"/>
      <c r="H3430" s="497"/>
      <c r="J3430" s="42"/>
    </row>
    <row r="3431" spans="1:10" s="360" customFormat="1" x14ac:dyDescent="0.25">
      <c r="A3431" s="19" t="s">
        <v>38</v>
      </c>
      <c r="B3431" s="2">
        <v>44035</v>
      </c>
      <c r="C3431" s="1">
        <v>4</v>
      </c>
      <c r="D3431" s="39">
        <v>44</v>
      </c>
      <c r="E3431" s="1"/>
      <c r="F3431" s="39">
        <f>E3431+F3407</f>
        <v>1</v>
      </c>
      <c r="G3431" s="497"/>
      <c r="H3431" s="497"/>
      <c r="J3431" s="42"/>
    </row>
    <row r="3432" spans="1:10" s="360" customFormat="1" x14ac:dyDescent="0.25">
      <c r="A3432" s="19" t="s">
        <v>39</v>
      </c>
      <c r="B3432" s="2">
        <v>44035</v>
      </c>
      <c r="C3432" s="1">
        <v>4</v>
      </c>
      <c r="D3432" s="39">
        <v>263</v>
      </c>
      <c r="E3432" s="1"/>
      <c r="F3432" s="39">
        <f>E3432+F3408</f>
        <v>1</v>
      </c>
      <c r="G3432" s="497"/>
      <c r="H3432" s="497"/>
      <c r="J3432" s="42"/>
    </row>
    <row r="3433" spans="1:10" s="360" customFormat="1" x14ac:dyDescent="0.25">
      <c r="A3433" s="19" t="s">
        <v>40</v>
      </c>
      <c r="B3433" s="2">
        <v>44035</v>
      </c>
      <c r="C3433" s="1">
        <v>0</v>
      </c>
      <c r="D3433" s="39">
        <v>106</v>
      </c>
      <c r="E3433" s="1"/>
      <c r="F3433" s="39">
        <f>E3433+F3409</f>
        <v>4</v>
      </c>
      <c r="G3433" s="497"/>
      <c r="H3433" s="497"/>
      <c r="J3433" s="42"/>
    </row>
    <row r="3434" spans="1:10" s="360" customFormat="1" x14ac:dyDescent="0.25">
      <c r="A3434" s="361" t="s">
        <v>16</v>
      </c>
      <c r="B3434" s="2">
        <v>44036</v>
      </c>
      <c r="C3434" s="1">
        <v>3790</v>
      </c>
      <c r="D3434" s="39">
        <v>88706</v>
      </c>
      <c r="E3434" s="1">
        <f>12+32+36</f>
        <v>80</v>
      </c>
      <c r="F3434" s="39">
        <f>E3434+F3410</f>
        <v>1426</v>
      </c>
      <c r="G3434" s="497"/>
      <c r="H3434" s="497"/>
      <c r="J3434" s="42"/>
    </row>
    <row r="3435" spans="1:10" s="360" customFormat="1" x14ac:dyDescent="0.25">
      <c r="A3435" s="19" t="s">
        <v>28</v>
      </c>
      <c r="B3435" s="2">
        <v>44036</v>
      </c>
      <c r="C3435" s="1">
        <v>0</v>
      </c>
      <c r="D3435" s="39">
        <v>60</v>
      </c>
      <c r="E3435" s="1"/>
      <c r="F3435" s="39">
        <f t="shared" ref="F3435:F3441" si="227">E3435+F3411</f>
        <v>0</v>
      </c>
      <c r="G3435" s="497"/>
      <c r="H3435" s="497"/>
      <c r="J3435" s="42"/>
    </row>
    <row r="3436" spans="1:10" s="360" customFormat="1" x14ac:dyDescent="0.25">
      <c r="A3436" s="19" t="s">
        <v>15</v>
      </c>
      <c r="B3436" s="2">
        <v>44036</v>
      </c>
      <c r="C3436" s="1">
        <v>63</v>
      </c>
      <c r="D3436" s="39">
        <v>3218</v>
      </c>
      <c r="E3436" s="1">
        <v>3</v>
      </c>
      <c r="F3436" s="39">
        <f>E3436+F3412</f>
        <v>131</v>
      </c>
      <c r="G3436" s="497"/>
      <c r="H3436" s="497"/>
      <c r="J3436" s="42"/>
    </row>
    <row r="3437" spans="1:10" s="360" customFormat="1" x14ac:dyDescent="0.25">
      <c r="A3437" s="19" t="s">
        <v>29</v>
      </c>
      <c r="B3437" s="2">
        <v>44036</v>
      </c>
      <c r="C3437" s="1">
        <v>6</v>
      </c>
      <c r="D3437" s="39">
        <v>261</v>
      </c>
      <c r="E3437" s="1"/>
      <c r="F3437" s="39">
        <f t="shared" si="227"/>
        <v>3</v>
      </c>
      <c r="G3437" s="497"/>
      <c r="H3437" s="497"/>
      <c r="J3437" s="42"/>
    </row>
    <row r="3438" spans="1:10" s="360" customFormat="1" x14ac:dyDescent="0.25">
      <c r="A3438" s="19" t="s">
        <v>43</v>
      </c>
      <c r="B3438" s="2">
        <v>44036</v>
      </c>
      <c r="C3438" s="1">
        <v>1157</v>
      </c>
      <c r="D3438" s="39">
        <v>51957</v>
      </c>
      <c r="E3438" s="1">
        <f>4+8+7</f>
        <v>19</v>
      </c>
      <c r="F3438" s="39">
        <f t="shared" si="227"/>
        <v>1022</v>
      </c>
      <c r="G3438" s="497"/>
      <c r="H3438" s="497"/>
      <c r="J3438" s="42"/>
    </row>
    <row r="3439" spans="1:10" s="360" customFormat="1" x14ac:dyDescent="0.25">
      <c r="A3439" s="19" t="s">
        <v>20</v>
      </c>
      <c r="B3439" s="2">
        <v>44036</v>
      </c>
      <c r="C3439" s="1">
        <v>56</v>
      </c>
      <c r="D3439" s="39">
        <v>1625</v>
      </c>
      <c r="E3439" s="1">
        <v>1</v>
      </c>
      <c r="F3439" s="39">
        <f t="shared" si="227"/>
        <v>39</v>
      </c>
      <c r="G3439" s="497"/>
      <c r="H3439" s="497"/>
      <c r="J3439" s="42"/>
    </row>
    <row r="3440" spans="1:10" s="360" customFormat="1" x14ac:dyDescent="0.25">
      <c r="A3440" s="19" t="s">
        <v>30</v>
      </c>
      <c r="B3440" s="2">
        <v>44036</v>
      </c>
      <c r="C3440" s="1">
        <v>0</v>
      </c>
      <c r="D3440" s="39">
        <v>132</v>
      </c>
      <c r="E3440" s="1"/>
      <c r="F3440" s="39">
        <f t="shared" si="227"/>
        <v>1</v>
      </c>
      <c r="G3440" s="497"/>
      <c r="H3440" s="497"/>
      <c r="J3440" s="42"/>
    </row>
    <row r="3441" spans="1:10" x14ac:dyDescent="0.25">
      <c r="A3441" s="19" t="s">
        <v>31</v>
      </c>
      <c r="B3441" s="2">
        <v>44036</v>
      </c>
      <c r="C3441" s="1">
        <v>11</v>
      </c>
      <c r="D3441" s="39">
        <v>721</v>
      </c>
      <c r="F3441" s="39">
        <f t="shared" si="227"/>
        <v>6</v>
      </c>
    </row>
    <row r="3442" spans="1:10" s="360" customFormat="1" x14ac:dyDescent="0.25">
      <c r="A3442" s="19" t="s">
        <v>41</v>
      </c>
      <c r="B3442" s="2">
        <v>44036</v>
      </c>
      <c r="C3442" s="1">
        <v>1</v>
      </c>
      <c r="D3442" s="39">
        <v>81</v>
      </c>
      <c r="E3442" s="1"/>
      <c r="F3442" s="39">
        <f>E3442+F3418</f>
        <v>0</v>
      </c>
      <c r="G3442" s="497"/>
      <c r="H3442" s="497"/>
      <c r="J3442" s="42"/>
    </row>
    <row r="3443" spans="1:10" s="360" customFormat="1" x14ac:dyDescent="0.25">
      <c r="A3443" s="19" t="s">
        <v>32</v>
      </c>
      <c r="B3443" s="2">
        <v>44036</v>
      </c>
      <c r="C3443" s="1">
        <v>155</v>
      </c>
      <c r="D3443" s="39">
        <v>1346</v>
      </c>
      <c r="E3443" s="1"/>
      <c r="F3443" s="39">
        <f t="shared" ref="F3443:F3453" si="228">E3443+F3418</f>
        <v>0</v>
      </c>
      <c r="G3443" s="497"/>
      <c r="H3443" s="497"/>
      <c r="J3443" s="42"/>
    </row>
    <row r="3444" spans="1:10" s="360" customFormat="1" x14ac:dyDescent="0.25">
      <c r="A3444" s="19" t="s">
        <v>33</v>
      </c>
      <c r="B3444" s="2">
        <v>44036</v>
      </c>
      <c r="C3444" s="1">
        <v>0</v>
      </c>
      <c r="D3444" s="39">
        <v>8</v>
      </c>
      <c r="E3444" s="1"/>
      <c r="F3444" s="39">
        <f t="shared" si="228"/>
        <v>0</v>
      </c>
      <c r="G3444" s="497"/>
      <c r="H3444" s="497"/>
      <c r="J3444" s="42"/>
    </row>
    <row r="3445" spans="1:10" s="360" customFormat="1" x14ac:dyDescent="0.25">
      <c r="A3445" s="19" t="s">
        <v>21</v>
      </c>
      <c r="B3445" s="2">
        <v>44036</v>
      </c>
      <c r="C3445" s="1">
        <v>10</v>
      </c>
      <c r="D3445" s="39">
        <v>215</v>
      </c>
      <c r="E3445" s="1"/>
      <c r="F3445" s="39">
        <f t="shared" si="228"/>
        <v>0</v>
      </c>
      <c r="G3445" s="497"/>
      <c r="H3445" s="497"/>
      <c r="J3445" s="42"/>
    </row>
    <row r="3446" spans="1:10" s="360" customFormat="1" x14ac:dyDescent="0.25">
      <c r="A3446" s="19" t="s">
        <v>17</v>
      </c>
      <c r="B3446" s="2">
        <v>44036</v>
      </c>
      <c r="C3446" s="1">
        <v>56</v>
      </c>
      <c r="D3446" s="39">
        <v>726</v>
      </c>
      <c r="E3446" s="1">
        <v>1</v>
      </c>
      <c r="F3446" s="39">
        <f t="shared" si="228"/>
        <v>31</v>
      </c>
      <c r="G3446" s="497"/>
      <c r="H3446" s="497"/>
      <c r="J3446" s="42"/>
    </row>
    <row r="3447" spans="1:10" s="360" customFormat="1" x14ac:dyDescent="0.25">
      <c r="A3447" s="19" t="s">
        <v>23</v>
      </c>
      <c r="B3447" s="2">
        <v>44036</v>
      </c>
      <c r="C3447" s="1">
        <v>1</v>
      </c>
      <c r="D3447" s="39">
        <v>52</v>
      </c>
      <c r="E3447" s="1"/>
      <c r="F3447" s="39">
        <f t="shared" si="228"/>
        <v>3</v>
      </c>
      <c r="G3447" s="497"/>
      <c r="H3447" s="497"/>
      <c r="J3447" s="42"/>
    </row>
    <row r="3448" spans="1:10" s="360" customFormat="1" x14ac:dyDescent="0.25">
      <c r="A3448" s="19" t="s">
        <v>19</v>
      </c>
      <c r="B3448" s="2">
        <v>44036</v>
      </c>
      <c r="C3448" s="1">
        <v>18</v>
      </c>
      <c r="D3448" s="39">
        <v>992</v>
      </c>
      <c r="E3448" s="1"/>
      <c r="F3448" s="39">
        <f t="shared" si="228"/>
        <v>1</v>
      </c>
      <c r="G3448" s="497"/>
      <c r="H3448" s="497"/>
      <c r="J3448" s="42"/>
    </row>
    <row r="3449" spans="1:10" s="360" customFormat="1" x14ac:dyDescent="0.25">
      <c r="A3449" s="19" t="s">
        <v>18</v>
      </c>
      <c r="B3449" s="2">
        <v>44036</v>
      </c>
      <c r="C3449" s="1">
        <v>40</v>
      </c>
      <c r="D3449" s="39">
        <v>1526</v>
      </c>
      <c r="E3449" s="1">
        <v>1</v>
      </c>
      <c r="F3449" s="39">
        <f t="shared" si="228"/>
        <v>1</v>
      </c>
      <c r="G3449" s="497"/>
      <c r="H3449" s="497"/>
      <c r="J3449" s="42"/>
    </row>
    <row r="3450" spans="1:10" s="360" customFormat="1" x14ac:dyDescent="0.25">
      <c r="A3450" s="19" t="s">
        <v>34</v>
      </c>
      <c r="B3450" s="2">
        <v>44036</v>
      </c>
      <c r="C3450" s="1">
        <v>13</v>
      </c>
      <c r="D3450" s="39">
        <v>214</v>
      </c>
      <c r="E3450" s="1"/>
      <c r="F3450" s="39">
        <f t="shared" si="228"/>
        <v>1</v>
      </c>
      <c r="G3450" s="497"/>
      <c r="H3450" s="497"/>
      <c r="J3450" s="42"/>
    </row>
    <row r="3451" spans="1:10" s="360" customFormat="1" x14ac:dyDescent="0.25">
      <c r="A3451" s="19" t="s">
        <v>35</v>
      </c>
      <c r="B3451" s="2">
        <v>44036</v>
      </c>
      <c r="C3451" s="1">
        <v>0</v>
      </c>
      <c r="D3451" s="39">
        <v>19</v>
      </c>
      <c r="E3451" s="1"/>
      <c r="F3451" s="39">
        <f>E3451+F3427</f>
        <v>0</v>
      </c>
      <c r="G3451" s="497"/>
      <c r="H3451" s="497"/>
      <c r="J3451" s="42"/>
    </row>
    <row r="3452" spans="1:10" s="360" customFormat="1" x14ac:dyDescent="0.25">
      <c r="A3452" s="19" t="s">
        <v>36</v>
      </c>
      <c r="B3452" s="2">
        <v>44036</v>
      </c>
      <c r="C3452" s="1">
        <v>1</v>
      </c>
      <c r="D3452" s="39">
        <v>19</v>
      </c>
      <c r="E3452" s="1"/>
      <c r="F3452" s="39">
        <f t="shared" si="228"/>
        <v>0</v>
      </c>
      <c r="G3452" s="497"/>
      <c r="H3452" s="497"/>
      <c r="J3452" s="42"/>
    </row>
    <row r="3453" spans="1:10" s="360" customFormat="1" x14ac:dyDescent="0.25">
      <c r="A3453" s="19" t="s">
        <v>37</v>
      </c>
      <c r="B3453" s="2">
        <v>44036</v>
      </c>
      <c r="C3453" s="1">
        <v>38</v>
      </c>
      <c r="D3453" s="39">
        <v>301</v>
      </c>
      <c r="E3453" s="1"/>
      <c r="F3453" s="39">
        <f t="shared" si="228"/>
        <v>0</v>
      </c>
      <c r="G3453" s="497"/>
      <c r="H3453" s="497"/>
      <c r="J3453" s="42"/>
    </row>
    <row r="3454" spans="1:10" s="360" customFormat="1" x14ac:dyDescent="0.25">
      <c r="A3454" s="19" t="s">
        <v>22</v>
      </c>
      <c r="B3454" s="2">
        <v>44036</v>
      </c>
      <c r="C3454" s="1">
        <v>32</v>
      </c>
      <c r="D3454" s="39">
        <v>868</v>
      </c>
      <c r="E3454" s="1"/>
      <c r="F3454" s="39">
        <f>E3454+F3430</f>
        <v>9</v>
      </c>
      <c r="G3454" s="497"/>
      <c r="H3454" s="497"/>
      <c r="J3454" s="42"/>
    </row>
    <row r="3455" spans="1:10" s="360" customFormat="1" x14ac:dyDescent="0.25">
      <c r="A3455" s="19" t="s">
        <v>38</v>
      </c>
      <c r="B3455" s="2">
        <v>44036</v>
      </c>
      <c r="C3455" s="1">
        <v>2</v>
      </c>
      <c r="D3455" s="39">
        <v>46</v>
      </c>
      <c r="E3455" s="1"/>
      <c r="F3455" s="39">
        <f>E3455+F3431</f>
        <v>1</v>
      </c>
      <c r="G3455" s="497"/>
      <c r="H3455" s="497"/>
      <c r="J3455" s="42"/>
    </row>
    <row r="3456" spans="1:10" s="360" customFormat="1" x14ac:dyDescent="0.25">
      <c r="A3456" s="19" t="s">
        <v>39</v>
      </c>
      <c r="B3456" s="2">
        <v>44036</v>
      </c>
      <c r="C3456" s="1">
        <v>37</v>
      </c>
      <c r="D3456" s="39">
        <v>300</v>
      </c>
      <c r="E3456" s="1"/>
      <c r="F3456" s="39">
        <f>E3456+F3432</f>
        <v>1</v>
      </c>
      <c r="G3456" s="497"/>
      <c r="H3456" s="497"/>
      <c r="J3456" s="42"/>
    </row>
    <row r="3457" spans="1:10" s="360" customFormat="1" x14ac:dyDescent="0.25">
      <c r="A3457" s="19" t="s">
        <v>40</v>
      </c>
      <c r="B3457" s="2">
        <v>44036</v>
      </c>
      <c r="C3457" s="1">
        <v>4</v>
      </c>
      <c r="D3457" s="39">
        <v>110</v>
      </c>
      <c r="E3457" s="1"/>
      <c r="F3457" s="39">
        <f>E3457+F3433</f>
        <v>4</v>
      </c>
      <c r="G3457" s="497"/>
      <c r="H3457" s="497"/>
      <c r="J3457" s="42"/>
    </row>
    <row r="3458" spans="1:10" s="360" customFormat="1" x14ac:dyDescent="0.25">
      <c r="A3458" s="361" t="s">
        <v>16</v>
      </c>
      <c r="B3458" s="2">
        <v>44037</v>
      </c>
      <c r="C3458" s="1">
        <v>3250</v>
      </c>
      <c r="D3458" s="39">
        <v>91956</v>
      </c>
      <c r="E3458" s="1">
        <f>34+18+22</f>
        <v>74</v>
      </c>
      <c r="F3458" s="39">
        <f>E3458+F3434</f>
        <v>1500</v>
      </c>
      <c r="G3458" s="497"/>
      <c r="H3458" s="497"/>
      <c r="J3458" s="42"/>
    </row>
    <row r="3459" spans="1:10" s="360" customFormat="1" x14ac:dyDescent="0.25">
      <c r="A3459" s="19" t="s">
        <v>28</v>
      </c>
      <c r="B3459" s="2">
        <v>44037</v>
      </c>
      <c r="C3459" s="1">
        <v>0</v>
      </c>
      <c r="D3459" s="39">
        <v>60</v>
      </c>
      <c r="E3459" s="1"/>
      <c r="F3459" s="39">
        <f t="shared" ref="F3459:F3465" si="229">E3459+F3435</f>
        <v>0</v>
      </c>
      <c r="G3459" s="497"/>
      <c r="H3459" s="497"/>
      <c r="J3459" s="42"/>
    </row>
    <row r="3460" spans="1:10" s="360" customFormat="1" x14ac:dyDescent="0.25">
      <c r="A3460" s="19" t="s">
        <v>15</v>
      </c>
      <c r="B3460" s="2">
        <v>44037</v>
      </c>
      <c r="C3460" s="1">
        <v>42</v>
      </c>
      <c r="D3460" s="39">
        <v>3260</v>
      </c>
      <c r="E3460" s="1">
        <v>2</v>
      </c>
      <c r="F3460" s="39">
        <f t="shared" si="229"/>
        <v>133</v>
      </c>
      <c r="G3460" s="497"/>
      <c r="H3460" s="497"/>
      <c r="J3460" s="42"/>
    </row>
    <row r="3461" spans="1:10" s="360" customFormat="1" x14ac:dyDescent="0.25">
      <c r="A3461" s="19" t="s">
        <v>29</v>
      </c>
      <c r="B3461" s="2">
        <v>44037</v>
      </c>
      <c r="C3461" s="1">
        <v>2</v>
      </c>
      <c r="D3461" s="39">
        <v>263</v>
      </c>
      <c r="E3461" s="1"/>
      <c r="F3461" s="39">
        <f t="shared" si="229"/>
        <v>3</v>
      </c>
      <c r="G3461" s="497"/>
      <c r="H3461" s="497"/>
      <c r="J3461" s="42"/>
    </row>
    <row r="3462" spans="1:10" s="360" customFormat="1" x14ac:dyDescent="0.25">
      <c r="A3462" s="19" t="s">
        <v>43</v>
      </c>
      <c r="B3462" s="2">
        <v>44037</v>
      </c>
      <c r="C3462" s="1">
        <v>1121</v>
      </c>
      <c r="D3462" s="39">
        <v>53078</v>
      </c>
      <c r="E3462" s="1">
        <v>8</v>
      </c>
      <c r="F3462" s="39">
        <f t="shared" si="229"/>
        <v>1030</v>
      </c>
      <c r="G3462" s="497"/>
      <c r="H3462" s="497"/>
      <c r="J3462" s="42"/>
    </row>
    <row r="3463" spans="1:10" s="360" customFormat="1" x14ac:dyDescent="0.25">
      <c r="A3463" s="19" t="s">
        <v>20</v>
      </c>
      <c r="B3463" s="2">
        <v>44037</v>
      </c>
      <c r="C3463" s="1">
        <v>70</v>
      </c>
      <c r="D3463" s="39">
        <v>1695</v>
      </c>
      <c r="E3463" s="1"/>
      <c r="F3463" s="39">
        <f t="shared" si="229"/>
        <v>39</v>
      </c>
      <c r="G3463" s="497"/>
      <c r="H3463" s="497"/>
      <c r="J3463" s="42"/>
    </row>
    <row r="3464" spans="1:10" s="360" customFormat="1" x14ac:dyDescent="0.25">
      <c r="A3464" s="19" t="s">
        <v>30</v>
      </c>
      <c r="B3464" s="2">
        <v>44037</v>
      </c>
      <c r="C3464" s="1">
        <v>5</v>
      </c>
      <c r="D3464" s="39">
        <v>137</v>
      </c>
      <c r="E3464" s="1"/>
      <c r="F3464" s="39">
        <f t="shared" si="229"/>
        <v>1</v>
      </c>
      <c r="G3464" s="497"/>
      <c r="H3464" s="497"/>
      <c r="J3464" s="42"/>
    </row>
    <row r="3465" spans="1:10" x14ac:dyDescent="0.25">
      <c r="A3465" s="19" t="s">
        <v>31</v>
      </c>
      <c r="B3465" s="2">
        <v>44037</v>
      </c>
      <c r="C3465" s="1">
        <v>18</v>
      </c>
      <c r="D3465" s="39">
        <v>739</v>
      </c>
      <c r="F3465" s="39">
        <f t="shared" si="229"/>
        <v>6</v>
      </c>
    </row>
    <row r="3466" spans="1:10" s="360" customFormat="1" x14ac:dyDescent="0.25">
      <c r="A3466" s="19" t="s">
        <v>41</v>
      </c>
      <c r="B3466" s="2">
        <v>44037</v>
      </c>
      <c r="C3466" s="1">
        <v>0</v>
      </c>
      <c r="D3466" s="39">
        <v>81</v>
      </c>
      <c r="E3466" s="1"/>
      <c r="F3466" s="39">
        <f>E3466+F3442</f>
        <v>0</v>
      </c>
      <c r="G3466" s="497"/>
      <c r="H3466" s="497"/>
      <c r="J3466" s="42"/>
    </row>
    <row r="3467" spans="1:10" s="360" customFormat="1" x14ac:dyDescent="0.25">
      <c r="A3467" s="19" t="s">
        <v>32</v>
      </c>
      <c r="B3467" s="2">
        <v>44037</v>
      </c>
      <c r="C3467" s="1">
        <v>36</v>
      </c>
      <c r="D3467" s="39">
        <v>1382</v>
      </c>
      <c r="E3467" s="1"/>
      <c r="F3467" s="39">
        <f t="shared" ref="F3467:F3477" si="230">E3467+F3442</f>
        <v>0</v>
      </c>
      <c r="G3467" s="497"/>
      <c r="H3467" s="497"/>
      <c r="J3467" s="42"/>
    </row>
    <row r="3468" spans="1:10" s="360" customFormat="1" x14ac:dyDescent="0.25">
      <c r="A3468" s="19" t="s">
        <v>33</v>
      </c>
      <c r="B3468" s="2">
        <v>44037</v>
      </c>
      <c r="C3468" s="1">
        <v>25</v>
      </c>
      <c r="D3468" s="39">
        <v>33</v>
      </c>
      <c r="E3468" s="1"/>
      <c r="F3468" s="39">
        <f t="shared" si="230"/>
        <v>0</v>
      </c>
      <c r="G3468" s="497"/>
      <c r="H3468" s="497"/>
      <c r="J3468" s="42"/>
    </row>
    <row r="3469" spans="1:10" s="360" customFormat="1" x14ac:dyDescent="0.25">
      <c r="A3469" s="19" t="s">
        <v>21</v>
      </c>
      <c r="B3469" s="2">
        <v>44037</v>
      </c>
      <c r="C3469" s="1">
        <v>15</v>
      </c>
      <c r="D3469" s="39">
        <v>230</v>
      </c>
      <c r="E3469" s="1"/>
      <c r="F3469" s="39">
        <f t="shared" si="230"/>
        <v>0</v>
      </c>
      <c r="G3469" s="497"/>
      <c r="H3469" s="497"/>
      <c r="J3469" s="42"/>
    </row>
    <row r="3470" spans="1:10" s="360" customFormat="1" x14ac:dyDescent="0.25">
      <c r="A3470" s="19" t="s">
        <v>17</v>
      </c>
      <c r="B3470" s="2">
        <v>44037</v>
      </c>
      <c r="C3470" s="1">
        <v>60</v>
      </c>
      <c r="D3470" s="39">
        <v>786</v>
      </c>
      <c r="E3470" s="1"/>
      <c r="F3470" s="39">
        <f t="shared" si="230"/>
        <v>0</v>
      </c>
      <c r="G3470" s="497"/>
      <c r="H3470" s="497"/>
      <c r="J3470" s="42"/>
    </row>
    <row r="3471" spans="1:10" s="360" customFormat="1" x14ac:dyDescent="0.25">
      <c r="A3471" s="19" t="s">
        <v>23</v>
      </c>
      <c r="B3471" s="2">
        <v>44037</v>
      </c>
      <c r="C3471" s="1">
        <v>3</v>
      </c>
      <c r="D3471" s="39">
        <v>55</v>
      </c>
      <c r="E3471" s="1"/>
      <c r="F3471" s="39">
        <f t="shared" si="230"/>
        <v>31</v>
      </c>
      <c r="G3471" s="497"/>
      <c r="H3471" s="497"/>
      <c r="J3471" s="42"/>
    </row>
    <row r="3472" spans="1:10" s="360" customFormat="1" x14ac:dyDescent="0.25">
      <c r="A3472" s="19" t="s">
        <v>19</v>
      </c>
      <c r="B3472" s="2">
        <v>44037</v>
      </c>
      <c r="C3472" s="1">
        <v>25</v>
      </c>
      <c r="D3472" s="39">
        <v>1017</v>
      </c>
      <c r="E3472" s="1">
        <v>1</v>
      </c>
      <c r="F3472" s="39">
        <f t="shared" si="230"/>
        <v>4</v>
      </c>
      <c r="G3472" s="497"/>
      <c r="H3472" s="497"/>
      <c r="J3472" s="42"/>
    </row>
    <row r="3473" spans="1:10" s="360" customFormat="1" x14ac:dyDescent="0.25">
      <c r="A3473" s="19" t="s">
        <v>18</v>
      </c>
      <c r="B3473" s="2">
        <v>44037</v>
      </c>
      <c r="C3473" s="1">
        <v>28</v>
      </c>
      <c r="D3473" s="39">
        <v>1554</v>
      </c>
      <c r="E3473" s="1"/>
      <c r="F3473" s="39">
        <f t="shared" si="230"/>
        <v>1</v>
      </c>
      <c r="G3473" s="497"/>
      <c r="H3473" s="497"/>
      <c r="J3473" s="42"/>
    </row>
    <row r="3474" spans="1:10" s="360" customFormat="1" x14ac:dyDescent="0.25">
      <c r="A3474" s="19" t="s">
        <v>34</v>
      </c>
      <c r="B3474" s="2">
        <v>44037</v>
      </c>
      <c r="C3474" s="1">
        <v>29</v>
      </c>
      <c r="D3474" s="39">
        <v>243</v>
      </c>
      <c r="E3474" s="1"/>
      <c r="F3474" s="39">
        <f t="shared" si="230"/>
        <v>1</v>
      </c>
      <c r="G3474" s="497"/>
      <c r="H3474" s="497"/>
      <c r="J3474" s="42"/>
    </row>
    <row r="3475" spans="1:10" s="360" customFormat="1" x14ac:dyDescent="0.25">
      <c r="A3475" s="19" t="s">
        <v>35</v>
      </c>
      <c r="B3475" s="2">
        <v>44037</v>
      </c>
      <c r="C3475" s="1">
        <v>0</v>
      </c>
      <c r="D3475" s="39">
        <v>19</v>
      </c>
      <c r="E3475" s="1"/>
      <c r="F3475" s="39">
        <f>E3475+F3451</f>
        <v>0</v>
      </c>
      <c r="G3475" s="497"/>
      <c r="H3475" s="497"/>
      <c r="J3475" s="42"/>
    </row>
    <row r="3476" spans="1:10" s="360" customFormat="1" x14ac:dyDescent="0.25">
      <c r="A3476" s="19" t="s">
        <v>36</v>
      </c>
      <c r="B3476" s="2">
        <v>44037</v>
      </c>
      <c r="C3476" s="1">
        <v>0</v>
      </c>
      <c r="D3476" s="39">
        <v>19</v>
      </c>
      <c r="E3476" s="1"/>
      <c r="F3476" s="39">
        <f t="shared" si="230"/>
        <v>0</v>
      </c>
      <c r="G3476" s="497"/>
      <c r="H3476" s="497"/>
      <c r="J3476" s="42"/>
    </row>
    <row r="3477" spans="1:10" s="360" customFormat="1" x14ac:dyDescent="0.25">
      <c r="A3477" s="19" t="s">
        <v>37</v>
      </c>
      <c r="B3477" s="2">
        <v>44037</v>
      </c>
      <c r="C3477" s="1">
        <v>8</v>
      </c>
      <c r="D3477" s="39">
        <v>309</v>
      </c>
      <c r="E3477" s="1">
        <v>1</v>
      </c>
      <c r="F3477" s="39">
        <f t="shared" si="230"/>
        <v>1</v>
      </c>
      <c r="G3477" s="497"/>
      <c r="H3477" s="497"/>
      <c r="J3477" s="42"/>
    </row>
    <row r="3478" spans="1:10" s="360" customFormat="1" x14ac:dyDescent="0.25">
      <c r="A3478" s="19" t="s">
        <v>22</v>
      </c>
      <c r="B3478" s="2">
        <v>44037</v>
      </c>
      <c r="C3478" s="1">
        <v>30</v>
      </c>
      <c r="D3478" s="39">
        <v>898</v>
      </c>
      <c r="E3478" s="1"/>
      <c r="F3478" s="39">
        <f>E3478+F3454</f>
        <v>9</v>
      </c>
      <c r="G3478" s="497"/>
      <c r="H3478" s="497"/>
      <c r="J3478" s="42"/>
    </row>
    <row r="3479" spans="1:10" s="360" customFormat="1" x14ac:dyDescent="0.25">
      <c r="A3479" s="19" t="s">
        <v>38</v>
      </c>
      <c r="B3479" s="2">
        <v>44037</v>
      </c>
      <c r="C3479" s="1">
        <v>3</v>
      </c>
      <c r="D3479" s="39">
        <v>49</v>
      </c>
      <c r="E3479" s="1"/>
      <c r="F3479" s="39">
        <f>E3479+F3455</f>
        <v>1</v>
      </c>
      <c r="G3479" s="497"/>
      <c r="H3479" s="497"/>
      <c r="J3479" s="42"/>
    </row>
    <row r="3480" spans="1:10" s="360" customFormat="1" x14ac:dyDescent="0.25">
      <c r="A3480" s="19" t="s">
        <v>39</v>
      </c>
      <c r="B3480" s="2">
        <v>44037</v>
      </c>
      <c r="C3480" s="1">
        <v>36</v>
      </c>
      <c r="D3480" s="39">
        <v>336</v>
      </c>
      <c r="E3480" s="1"/>
      <c r="F3480" s="39">
        <f>E3480+F3456</f>
        <v>1</v>
      </c>
      <c r="G3480" s="497"/>
      <c r="H3480" s="497"/>
      <c r="J3480" s="42"/>
    </row>
    <row r="3481" spans="1:10" s="360" customFormat="1" x14ac:dyDescent="0.25">
      <c r="A3481" s="19" t="s">
        <v>40</v>
      </c>
      <c r="B3481" s="2">
        <v>44037</v>
      </c>
      <c r="C3481" s="1">
        <v>8</v>
      </c>
      <c r="D3481" s="39">
        <v>118</v>
      </c>
      <c r="E3481" s="1"/>
      <c r="F3481" s="39">
        <f>E3481+F3457</f>
        <v>4</v>
      </c>
      <c r="G3481" s="497"/>
      <c r="H3481" s="497"/>
      <c r="J3481" s="42"/>
    </row>
    <row r="3482" spans="1:10" s="360" customFormat="1" x14ac:dyDescent="0.25">
      <c r="A3482" s="361" t="s">
        <v>16</v>
      </c>
      <c r="B3482" s="2">
        <v>44038</v>
      </c>
      <c r="C3482" s="1">
        <v>2917</v>
      </c>
      <c r="D3482" s="39">
        <v>94873</v>
      </c>
      <c r="E3482" s="1">
        <v>29</v>
      </c>
      <c r="F3482" s="39">
        <f>E3482+F3458</f>
        <v>1529</v>
      </c>
      <c r="G3482" s="497"/>
      <c r="H3482" s="497"/>
      <c r="J3482" s="42"/>
    </row>
    <row r="3483" spans="1:10" s="360" customFormat="1" x14ac:dyDescent="0.25">
      <c r="A3483" s="19" t="s">
        <v>28</v>
      </c>
      <c r="B3483" s="2">
        <v>44038</v>
      </c>
      <c r="C3483" s="1">
        <v>0</v>
      </c>
      <c r="D3483" s="39">
        <v>60</v>
      </c>
      <c r="E3483" s="1"/>
      <c r="F3483" s="39">
        <f t="shared" ref="F3483:F3489" si="231">E3483+F3459</f>
        <v>0</v>
      </c>
      <c r="G3483" s="497"/>
      <c r="H3483" s="497"/>
      <c r="J3483" s="42"/>
    </row>
    <row r="3484" spans="1:10" s="360" customFormat="1" x14ac:dyDescent="0.25">
      <c r="A3484" s="19" t="s">
        <v>15</v>
      </c>
      <c r="B3484" s="2">
        <v>44038</v>
      </c>
      <c r="C3484" s="1">
        <v>66</v>
      </c>
      <c r="D3484" s="39">
        <v>3326</v>
      </c>
      <c r="E3484" s="1"/>
      <c r="F3484" s="39">
        <f t="shared" si="231"/>
        <v>133</v>
      </c>
      <c r="G3484" s="497"/>
      <c r="H3484" s="497"/>
      <c r="J3484" s="42"/>
    </row>
    <row r="3485" spans="1:10" s="360" customFormat="1" x14ac:dyDescent="0.25">
      <c r="A3485" s="19" t="s">
        <v>29</v>
      </c>
      <c r="B3485" s="2">
        <v>44038</v>
      </c>
      <c r="C3485" s="1">
        <v>2</v>
      </c>
      <c r="D3485" s="39">
        <v>265</v>
      </c>
      <c r="E3485" s="1"/>
      <c r="F3485" s="39">
        <f t="shared" si="231"/>
        <v>3</v>
      </c>
      <c r="G3485" s="497"/>
      <c r="H3485" s="497"/>
      <c r="J3485" s="42"/>
    </row>
    <row r="3486" spans="1:10" s="360" customFormat="1" x14ac:dyDescent="0.25">
      <c r="A3486" s="19" t="s">
        <v>43</v>
      </c>
      <c r="B3486" s="2">
        <v>44038</v>
      </c>
      <c r="C3486" s="1">
        <v>888</v>
      </c>
      <c r="D3486" s="39">
        <v>53966</v>
      </c>
      <c r="E3486" s="1">
        <v>12</v>
      </c>
      <c r="F3486" s="39">
        <f t="shared" si="231"/>
        <v>1042</v>
      </c>
      <c r="G3486" s="497"/>
      <c r="H3486" s="497"/>
      <c r="J3486" s="42"/>
    </row>
    <row r="3487" spans="1:10" s="360" customFormat="1" x14ac:dyDescent="0.25">
      <c r="A3487" s="19" t="s">
        <v>20</v>
      </c>
      <c r="B3487" s="2">
        <v>44038</v>
      </c>
      <c r="C3487" s="1">
        <v>80</v>
      </c>
      <c r="D3487" s="39">
        <v>1775</v>
      </c>
      <c r="E3487" s="1">
        <v>1</v>
      </c>
      <c r="F3487" s="39">
        <f t="shared" si="231"/>
        <v>40</v>
      </c>
      <c r="G3487" s="497"/>
      <c r="H3487" s="497"/>
      <c r="J3487" s="42"/>
    </row>
    <row r="3488" spans="1:10" s="360" customFormat="1" x14ac:dyDescent="0.25">
      <c r="A3488" s="19" t="s">
        <v>30</v>
      </c>
      <c r="B3488" s="2">
        <v>44038</v>
      </c>
      <c r="C3488" s="1">
        <v>2</v>
      </c>
      <c r="D3488" s="39">
        <v>139</v>
      </c>
      <c r="E3488" s="1"/>
      <c r="F3488" s="39">
        <f t="shared" si="231"/>
        <v>1</v>
      </c>
      <c r="G3488" s="497"/>
      <c r="H3488" s="497"/>
      <c r="J3488" s="42"/>
    </row>
    <row r="3489" spans="1:10" x14ac:dyDescent="0.25">
      <c r="A3489" s="19" t="s">
        <v>31</v>
      </c>
      <c r="B3489" s="2">
        <v>44038</v>
      </c>
      <c r="C3489" s="1">
        <v>21</v>
      </c>
      <c r="D3489" s="39">
        <v>760</v>
      </c>
      <c r="F3489" s="39">
        <f t="shared" si="231"/>
        <v>6</v>
      </c>
    </row>
    <row r="3490" spans="1:10" s="360" customFormat="1" x14ac:dyDescent="0.25">
      <c r="A3490" s="19" t="s">
        <v>41</v>
      </c>
      <c r="B3490" s="2">
        <v>44038</v>
      </c>
      <c r="C3490" s="1">
        <v>0</v>
      </c>
      <c r="D3490" s="39">
        <v>81</v>
      </c>
      <c r="E3490" s="1"/>
      <c r="F3490" s="39">
        <f>E3490+F3466</f>
        <v>0</v>
      </c>
      <c r="G3490" s="497"/>
      <c r="H3490" s="497"/>
      <c r="J3490" s="42"/>
    </row>
    <row r="3491" spans="1:10" s="360" customFormat="1" x14ac:dyDescent="0.25">
      <c r="A3491" s="19" t="s">
        <v>32</v>
      </c>
      <c r="B3491" s="2">
        <v>44038</v>
      </c>
      <c r="C3491" s="1">
        <v>46</v>
      </c>
      <c r="D3491" s="39">
        <v>1428</v>
      </c>
      <c r="E3491" s="1"/>
      <c r="F3491" s="39">
        <f t="shared" ref="F3491:F3501" si="232">E3491+F3466</f>
        <v>0</v>
      </c>
      <c r="G3491" s="497"/>
      <c r="H3491" s="497"/>
      <c r="J3491" s="42"/>
    </row>
    <row r="3492" spans="1:10" s="360" customFormat="1" x14ac:dyDescent="0.25">
      <c r="A3492" s="19" t="s">
        <v>33</v>
      </c>
      <c r="B3492" s="2">
        <v>44038</v>
      </c>
      <c r="C3492" s="1">
        <v>7</v>
      </c>
      <c r="D3492" s="39">
        <v>40</v>
      </c>
      <c r="E3492" s="1"/>
      <c r="F3492" s="39">
        <f t="shared" si="232"/>
        <v>0</v>
      </c>
      <c r="G3492" s="497"/>
      <c r="H3492" s="497"/>
      <c r="J3492" s="42"/>
    </row>
    <row r="3493" spans="1:10" s="360" customFormat="1" x14ac:dyDescent="0.25">
      <c r="A3493" s="19" t="s">
        <v>21</v>
      </c>
      <c r="B3493" s="2">
        <v>44038</v>
      </c>
      <c r="C3493" s="1">
        <v>9</v>
      </c>
      <c r="D3493" s="39">
        <v>239</v>
      </c>
      <c r="E3493" s="1"/>
      <c r="F3493" s="39">
        <f t="shared" si="232"/>
        <v>0</v>
      </c>
      <c r="G3493" s="497"/>
      <c r="H3493" s="497"/>
      <c r="J3493" s="42"/>
    </row>
    <row r="3494" spans="1:10" s="360" customFormat="1" x14ac:dyDescent="0.25">
      <c r="A3494" s="19" t="s">
        <v>17</v>
      </c>
      <c r="B3494" s="2">
        <v>44038</v>
      </c>
      <c r="C3494" s="1">
        <v>31</v>
      </c>
      <c r="D3494" s="39">
        <v>817</v>
      </c>
      <c r="E3494" s="1">
        <v>3</v>
      </c>
      <c r="F3494" s="39">
        <f t="shared" si="232"/>
        <v>3</v>
      </c>
      <c r="G3494" s="497"/>
      <c r="H3494" s="497"/>
      <c r="J3494" s="42"/>
    </row>
    <row r="3495" spans="1:10" s="360" customFormat="1" x14ac:dyDescent="0.25">
      <c r="A3495" s="19" t="s">
        <v>23</v>
      </c>
      <c r="B3495" s="2">
        <v>44038</v>
      </c>
      <c r="C3495" s="1">
        <v>2</v>
      </c>
      <c r="D3495" s="39">
        <v>57</v>
      </c>
      <c r="E3495" s="1"/>
      <c r="F3495" s="39">
        <f t="shared" si="232"/>
        <v>0</v>
      </c>
      <c r="G3495" s="497"/>
      <c r="H3495" s="497"/>
      <c r="J3495" s="42"/>
    </row>
    <row r="3496" spans="1:10" s="360" customFormat="1" x14ac:dyDescent="0.25">
      <c r="A3496" s="19" t="s">
        <v>19</v>
      </c>
      <c r="B3496" s="2">
        <v>44038</v>
      </c>
      <c r="C3496" s="1">
        <v>25</v>
      </c>
      <c r="D3496" s="39">
        <v>1042</v>
      </c>
      <c r="E3496" s="1"/>
      <c r="F3496" s="39">
        <f t="shared" si="232"/>
        <v>31</v>
      </c>
      <c r="G3496" s="497"/>
      <c r="H3496" s="497"/>
      <c r="J3496" s="42"/>
    </row>
    <row r="3497" spans="1:10" s="360" customFormat="1" x14ac:dyDescent="0.25">
      <c r="A3497" s="19" t="s">
        <v>18</v>
      </c>
      <c r="B3497" s="2">
        <v>44038</v>
      </c>
      <c r="C3497" s="1">
        <v>18</v>
      </c>
      <c r="D3497" s="39">
        <v>1572</v>
      </c>
      <c r="E3497" s="1"/>
      <c r="F3497" s="39">
        <f t="shared" si="232"/>
        <v>4</v>
      </c>
      <c r="G3497" s="497"/>
      <c r="H3497" s="497"/>
      <c r="J3497" s="42"/>
    </row>
    <row r="3498" spans="1:10" s="360" customFormat="1" x14ac:dyDescent="0.25">
      <c r="A3498" s="19" t="s">
        <v>34</v>
      </c>
      <c r="B3498" s="2">
        <v>44038</v>
      </c>
      <c r="C3498" s="1">
        <v>0</v>
      </c>
      <c r="D3498" s="39">
        <v>243</v>
      </c>
      <c r="E3498" s="1"/>
      <c r="F3498" s="39">
        <f t="shared" si="232"/>
        <v>1</v>
      </c>
      <c r="G3498" s="497"/>
      <c r="H3498" s="497"/>
      <c r="J3498" s="42"/>
    </row>
    <row r="3499" spans="1:10" s="360" customFormat="1" x14ac:dyDescent="0.25">
      <c r="A3499" s="19" t="s">
        <v>35</v>
      </c>
      <c r="B3499" s="2">
        <v>44038</v>
      </c>
      <c r="C3499" s="1">
        <v>2</v>
      </c>
      <c r="D3499" s="39">
        <v>21</v>
      </c>
      <c r="E3499" s="1"/>
      <c r="F3499" s="39">
        <f>E3499+F3475</f>
        <v>0</v>
      </c>
      <c r="G3499" s="497"/>
      <c r="H3499" s="497"/>
      <c r="J3499" s="42"/>
    </row>
    <row r="3500" spans="1:10" s="360" customFormat="1" x14ac:dyDescent="0.25">
      <c r="A3500" s="19" t="s">
        <v>36</v>
      </c>
      <c r="B3500" s="2">
        <v>44038</v>
      </c>
      <c r="C3500" s="1">
        <v>0</v>
      </c>
      <c r="D3500" s="39">
        <v>19</v>
      </c>
      <c r="E3500" s="1"/>
      <c r="F3500" s="39">
        <f t="shared" si="232"/>
        <v>0</v>
      </c>
      <c r="G3500" s="497"/>
      <c r="H3500" s="497"/>
      <c r="J3500" s="42"/>
    </row>
    <row r="3501" spans="1:10" s="360" customFormat="1" x14ac:dyDescent="0.25">
      <c r="A3501" s="19" t="s">
        <v>37</v>
      </c>
      <c r="B3501" s="2">
        <v>44038</v>
      </c>
      <c r="C3501" s="1">
        <v>20</v>
      </c>
      <c r="D3501" s="39">
        <v>329</v>
      </c>
      <c r="E3501" s="1"/>
      <c r="F3501" s="39">
        <f t="shared" si="232"/>
        <v>0</v>
      </c>
      <c r="G3501" s="497"/>
      <c r="H3501" s="497"/>
      <c r="J3501" s="42"/>
    </row>
    <row r="3502" spans="1:10" s="360" customFormat="1" x14ac:dyDescent="0.25">
      <c r="A3502" s="19" t="s">
        <v>22</v>
      </c>
      <c r="B3502" s="2">
        <v>44038</v>
      </c>
      <c r="C3502" s="1">
        <v>41</v>
      </c>
      <c r="D3502" s="39">
        <v>939</v>
      </c>
      <c r="E3502" s="1"/>
      <c r="F3502" s="39">
        <f>E3502+F3478</f>
        <v>9</v>
      </c>
      <c r="G3502" s="497"/>
      <c r="H3502" s="497"/>
      <c r="J3502" s="42"/>
    </row>
    <row r="3503" spans="1:10" s="360" customFormat="1" x14ac:dyDescent="0.25">
      <c r="A3503" s="19" t="s">
        <v>38</v>
      </c>
      <c r="B3503" s="2">
        <v>44038</v>
      </c>
      <c r="C3503" s="1">
        <v>1</v>
      </c>
      <c r="D3503" s="39">
        <v>50</v>
      </c>
      <c r="E3503" s="1"/>
      <c r="F3503" s="39">
        <f>E3503+F3479</f>
        <v>1</v>
      </c>
      <c r="G3503" s="497"/>
      <c r="H3503" s="497"/>
      <c r="J3503" s="42"/>
    </row>
    <row r="3504" spans="1:10" s="360" customFormat="1" x14ac:dyDescent="0.25">
      <c r="A3504" s="19" t="s">
        <v>39</v>
      </c>
      <c r="B3504" s="2">
        <v>44038</v>
      </c>
      <c r="C3504" s="1">
        <v>6</v>
      </c>
      <c r="D3504" s="39">
        <v>342</v>
      </c>
      <c r="E3504" s="1"/>
      <c r="F3504" s="39">
        <f>E3504+F3480</f>
        <v>1</v>
      </c>
      <c r="G3504" s="497"/>
      <c r="H3504" s="497"/>
      <c r="J3504" s="42"/>
    </row>
    <row r="3505" spans="1:10" s="360" customFormat="1" x14ac:dyDescent="0.25">
      <c r="A3505" s="19" t="s">
        <v>40</v>
      </c>
      <c r="B3505" s="2">
        <v>44038</v>
      </c>
      <c r="C3505" s="1">
        <v>8</v>
      </c>
      <c r="D3505" s="39">
        <v>126</v>
      </c>
      <c r="E3505" s="1"/>
      <c r="F3505" s="39">
        <f>E3505+F3481</f>
        <v>4</v>
      </c>
      <c r="G3505" s="497"/>
      <c r="H3505" s="497"/>
      <c r="J3505" s="42"/>
    </row>
    <row r="3506" spans="1:10" s="360" customFormat="1" x14ac:dyDescent="0.25">
      <c r="A3506" s="361" t="s">
        <v>16</v>
      </c>
      <c r="B3506" s="2">
        <v>44039</v>
      </c>
      <c r="C3506" s="1">
        <v>3351</v>
      </c>
      <c r="D3506" s="39">
        <v>98224</v>
      </c>
      <c r="E3506" s="1">
        <f>4+3+26+26</f>
        <v>59</v>
      </c>
      <c r="F3506" s="39">
        <f>E3506+F3482</f>
        <v>1588</v>
      </c>
      <c r="G3506" s="497"/>
      <c r="H3506" s="497"/>
      <c r="J3506" s="42"/>
    </row>
    <row r="3507" spans="1:10" s="360" customFormat="1" x14ac:dyDescent="0.25">
      <c r="A3507" s="19" t="s">
        <v>28</v>
      </c>
      <c r="B3507" s="2">
        <v>44039</v>
      </c>
      <c r="C3507" s="1">
        <v>0</v>
      </c>
      <c r="D3507" s="39">
        <v>60</v>
      </c>
      <c r="E3507" s="1"/>
      <c r="F3507" s="39">
        <f t="shared" ref="F3507:F3513" si="233">E3507+F3483</f>
        <v>0</v>
      </c>
      <c r="G3507" s="497"/>
      <c r="H3507" s="497"/>
      <c r="J3507" s="42"/>
    </row>
    <row r="3508" spans="1:10" s="360" customFormat="1" x14ac:dyDescent="0.25">
      <c r="A3508" s="19" t="s">
        <v>15</v>
      </c>
      <c r="B3508" s="2">
        <v>44039</v>
      </c>
      <c r="C3508" s="1">
        <v>32</v>
      </c>
      <c r="D3508" s="39">
        <v>3358</v>
      </c>
      <c r="E3508" s="1">
        <v>3</v>
      </c>
      <c r="F3508" s="39">
        <f t="shared" si="233"/>
        <v>136</v>
      </c>
      <c r="G3508" s="497"/>
      <c r="H3508" s="497"/>
      <c r="J3508" s="42"/>
    </row>
    <row r="3509" spans="1:10" s="360" customFormat="1" x14ac:dyDescent="0.25">
      <c r="A3509" s="19" t="s">
        <v>29</v>
      </c>
      <c r="B3509" s="2">
        <v>44039</v>
      </c>
      <c r="C3509" s="1">
        <v>-1</v>
      </c>
      <c r="D3509" s="39">
        <v>264</v>
      </c>
      <c r="E3509" s="1"/>
      <c r="F3509" s="39">
        <f t="shared" si="233"/>
        <v>3</v>
      </c>
      <c r="G3509" s="497"/>
      <c r="H3509" s="497"/>
      <c r="J3509" s="42"/>
    </row>
    <row r="3510" spans="1:10" s="360" customFormat="1" x14ac:dyDescent="0.25">
      <c r="A3510" s="19" t="s">
        <v>43</v>
      </c>
      <c r="B3510" s="2">
        <v>44039</v>
      </c>
      <c r="C3510" s="1">
        <v>1059</v>
      </c>
      <c r="D3510" s="39">
        <v>55025</v>
      </c>
      <c r="E3510" s="1">
        <v>54</v>
      </c>
      <c r="F3510" s="39">
        <f>E3510+F3486</f>
        <v>1096</v>
      </c>
      <c r="G3510" s="497"/>
      <c r="H3510" s="497"/>
      <c r="J3510" s="42"/>
    </row>
    <row r="3511" spans="1:10" s="360" customFormat="1" x14ac:dyDescent="0.25">
      <c r="A3511" s="19" t="s">
        <v>20</v>
      </c>
      <c r="B3511" s="2">
        <v>44039</v>
      </c>
      <c r="C3511" s="1">
        <v>99</v>
      </c>
      <c r="D3511" s="39">
        <v>1874</v>
      </c>
      <c r="E3511" s="1"/>
      <c r="F3511" s="39">
        <f t="shared" si="233"/>
        <v>40</v>
      </c>
      <c r="G3511" s="497"/>
      <c r="H3511" s="497"/>
      <c r="J3511" s="42"/>
    </row>
    <row r="3512" spans="1:10" s="360" customFormat="1" x14ac:dyDescent="0.25">
      <c r="A3512" s="19" t="s">
        <v>30</v>
      </c>
      <c r="B3512" s="2">
        <v>44039</v>
      </c>
      <c r="C3512" s="1">
        <v>14</v>
      </c>
      <c r="D3512" s="39">
        <v>153</v>
      </c>
      <c r="E3512" s="1"/>
      <c r="F3512" s="39">
        <f t="shared" si="233"/>
        <v>1</v>
      </c>
      <c r="G3512" s="497"/>
      <c r="H3512" s="497"/>
      <c r="J3512" s="42"/>
    </row>
    <row r="3513" spans="1:10" x14ac:dyDescent="0.25">
      <c r="A3513" s="19" t="s">
        <v>31</v>
      </c>
      <c r="B3513" s="2">
        <v>44039</v>
      </c>
      <c r="C3513" s="1">
        <v>4</v>
      </c>
      <c r="D3513" s="39">
        <v>764</v>
      </c>
      <c r="E3513" s="1">
        <v>1</v>
      </c>
      <c r="F3513" s="39">
        <f t="shared" si="233"/>
        <v>7</v>
      </c>
    </row>
    <row r="3514" spans="1:10" s="360" customFormat="1" x14ac:dyDescent="0.25">
      <c r="A3514" s="19" t="s">
        <v>41</v>
      </c>
      <c r="B3514" s="2">
        <v>44039</v>
      </c>
      <c r="C3514" s="1">
        <v>0</v>
      </c>
      <c r="D3514" s="39">
        <v>81</v>
      </c>
      <c r="E3514" s="1"/>
      <c r="F3514" s="39">
        <f>E3514+F3490</f>
        <v>0</v>
      </c>
      <c r="G3514" s="497"/>
      <c r="H3514" s="497"/>
      <c r="J3514" s="42"/>
    </row>
    <row r="3515" spans="1:10" s="360" customFormat="1" x14ac:dyDescent="0.25">
      <c r="A3515" s="19" t="s">
        <v>32</v>
      </c>
      <c r="B3515" s="2">
        <v>44039</v>
      </c>
      <c r="C3515" s="1">
        <v>92</v>
      </c>
      <c r="D3515" s="39">
        <v>1520</v>
      </c>
      <c r="E3515" s="1"/>
      <c r="F3515" s="39">
        <f t="shared" ref="F3515:F3525" si="234">E3515+F3490</f>
        <v>0</v>
      </c>
      <c r="G3515" s="497"/>
      <c r="H3515" s="497"/>
      <c r="J3515" s="42"/>
    </row>
    <row r="3516" spans="1:10" s="360" customFormat="1" x14ac:dyDescent="0.25">
      <c r="A3516" s="19" t="s">
        <v>33</v>
      </c>
      <c r="B3516" s="2">
        <v>44039</v>
      </c>
      <c r="C3516" s="1">
        <v>10</v>
      </c>
      <c r="D3516" s="39">
        <v>50</v>
      </c>
      <c r="E3516" s="1"/>
      <c r="F3516" s="39">
        <f t="shared" si="234"/>
        <v>0</v>
      </c>
      <c r="G3516" s="497"/>
      <c r="H3516" s="497"/>
      <c r="J3516" s="42"/>
    </row>
    <row r="3517" spans="1:10" s="360" customFormat="1" x14ac:dyDescent="0.25">
      <c r="A3517" s="19" t="s">
        <v>21</v>
      </c>
      <c r="B3517" s="2">
        <v>44039</v>
      </c>
      <c r="C3517" s="1">
        <v>10</v>
      </c>
      <c r="D3517" s="39">
        <v>249</v>
      </c>
      <c r="E3517" s="1">
        <v>1</v>
      </c>
      <c r="F3517" s="39">
        <f t="shared" si="234"/>
        <v>1</v>
      </c>
      <c r="G3517" s="497"/>
      <c r="H3517" s="497"/>
      <c r="J3517" s="42"/>
    </row>
    <row r="3518" spans="1:10" s="360" customFormat="1" x14ac:dyDescent="0.25">
      <c r="A3518" s="19" t="s">
        <v>17</v>
      </c>
      <c r="B3518" s="2">
        <v>44039</v>
      </c>
      <c r="C3518" s="1">
        <v>61</v>
      </c>
      <c r="D3518" s="39">
        <v>878</v>
      </c>
      <c r="E3518" s="1"/>
      <c r="F3518" s="39">
        <f t="shared" si="234"/>
        <v>0</v>
      </c>
      <c r="G3518" s="497"/>
      <c r="H3518" s="497"/>
      <c r="J3518" s="42"/>
    </row>
    <row r="3519" spans="1:10" s="360" customFormat="1" x14ac:dyDescent="0.25">
      <c r="A3519" s="19" t="s">
        <v>23</v>
      </c>
      <c r="B3519" s="2">
        <v>44039</v>
      </c>
      <c r="C3519" s="1">
        <v>-1</v>
      </c>
      <c r="D3519" s="39">
        <v>56</v>
      </c>
      <c r="E3519" s="1"/>
      <c r="F3519" s="39">
        <f t="shared" si="234"/>
        <v>3</v>
      </c>
      <c r="G3519" s="497"/>
      <c r="H3519" s="497"/>
      <c r="J3519" s="42"/>
    </row>
    <row r="3520" spans="1:10" s="360" customFormat="1" x14ac:dyDescent="0.25">
      <c r="A3520" s="19" t="s">
        <v>19</v>
      </c>
      <c r="B3520" s="2">
        <v>44039</v>
      </c>
      <c r="C3520" s="1">
        <v>23</v>
      </c>
      <c r="D3520" s="39">
        <v>1065</v>
      </c>
      <c r="E3520" s="1"/>
      <c r="F3520" s="39">
        <f t="shared" si="234"/>
        <v>0</v>
      </c>
      <c r="G3520" s="497"/>
      <c r="H3520" s="497"/>
      <c r="J3520" s="42"/>
    </row>
    <row r="3521" spans="1:10" s="360" customFormat="1" x14ac:dyDescent="0.25">
      <c r="A3521" s="19" t="s">
        <v>18</v>
      </c>
      <c r="B3521" s="2">
        <v>44039</v>
      </c>
      <c r="C3521" s="1">
        <v>62</v>
      </c>
      <c r="D3521" s="39">
        <v>1634</v>
      </c>
      <c r="E3521" s="1">
        <v>1</v>
      </c>
      <c r="F3521" s="39">
        <f t="shared" si="234"/>
        <v>32</v>
      </c>
      <c r="G3521" s="497"/>
      <c r="H3521" s="497"/>
      <c r="J3521" s="42"/>
    </row>
    <row r="3522" spans="1:10" s="360" customFormat="1" x14ac:dyDescent="0.25">
      <c r="A3522" s="19" t="s">
        <v>34</v>
      </c>
      <c r="B3522" s="2">
        <v>44039</v>
      </c>
      <c r="C3522" s="1">
        <v>-15</v>
      </c>
      <c r="D3522" s="39">
        <v>228</v>
      </c>
      <c r="E3522" s="1"/>
      <c r="F3522" s="39">
        <f t="shared" si="234"/>
        <v>4</v>
      </c>
      <c r="G3522" s="497"/>
      <c r="H3522" s="497"/>
      <c r="J3522" s="42"/>
    </row>
    <row r="3523" spans="1:10" s="360" customFormat="1" x14ac:dyDescent="0.25">
      <c r="A3523" s="19" t="s">
        <v>35</v>
      </c>
      <c r="B3523" s="2">
        <v>44039</v>
      </c>
      <c r="C3523" s="1">
        <v>1</v>
      </c>
      <c r="D3523" s="39">
        <v>22</v>
      </c>
      <c r="E3523" s="1"/>
      <c r="F3523" s="39">
        <f>E3523+F3499</f>
        <v>0</v>
      </c>
      <c r="G3523" s="497"/>
      <c r="H3523" s="497"/>
      <c r="J3523" s="42"/>
    </row>
    <row r="3524" spans="1:10" s="360" customFormat="1" x14ac:dyDescent="0.25">
      <c r="A3524" s="19" t="s">
        <v>36</v>
      </c>
      <c r="B3524" s="2">
        <v>44039</v>
      </c>
      <c r="C3524" s="1">
        <v>1</v>
      </c>
      <c r="D3524" s="39">
        <v>20</v>
      </c>
      <c r="E3524" s="1"/>
      <c r="F3524" s="39">
        <f t="shared" si="234"/>
        <v>0</v>
      </c>
      <c r="G3524" s="497"/>
      <c r="H3524" s="497"/>
      <c r="J3524" s="42"/>
    </row>
    <row r="3525" spans="1:10" s="360" customFormat="1" x14ac:dyDescent="0.25">
      <c r="A3525" s="19" t="s">
        <v>37</v>
      </c>
      <c r="B3525" s="2">
        <v>44039</v>
      </c>
      <c r="C3525" s="1">
        <v>15</v>
      </c>
      <c r="D3525" s="39">
        <v>344</v>
      </c>
      <c r="E3525" s="1"/>
      <c r="F3525" s="39">
        <f t="shared" si="234"/>
        <v>0</v>
      </c>
      <c r="G3525" s="497"/>
      <c r="H3525" s="497"/>
      <c r="J3525" s="42"/>
    </row>
    <row r="3526" spans="1:10" s="360" customFormat="1" x14ac:dyDescent="0.25">
      <c r="A3526" s="19" t="s">
        <v>22</v>
      </c>
      <c r="B3526" s="2">
        <v>44039</v>
      </c>
      <c r="C3526" s="1">
        <v>33</v>
      </c>
      <c r="D3526" s="39">
        <v>972</v>
      </c>
      <c r="E3526" s="1">
        <v>2</v>
      </c>
      <c r="F3526" s="39">
        <f>E3526+F3502</f>
        <v>11</v>
      </c>
      <c r="G3526" s="497"/>
      <c r="H3526" s="497"/>
      <c r="J3526" s="42"/>
    </row>
    <row r="3527" spans="1:10" s="360" customFormat="1" x14ac:dyDescent="0.25">
      <c r="A3527" s="19" t="s">
        <v>38</v>
      </c>
      <c r="B3527" s="2">
        <v>44039</v>
      </c>
      <c r="C3527" s="1">
        <v>-5</v>
      </c>
      <c r="D3527" s="39">
        <v>45</v>
      </c>
      <c r="E3527" s="1"/>
      <c r="F3527" s="39">
        <f>E3527+F3503</f>
        <v>1</v>
      </c>
      <c r="G3527" s="497"/>
      <c r="H3527" s="497"/>
      <c r="J3527" s="42"/>
    </row>
    <row r="3528" spans="1:10" s="360" customFormat="1" x14ac:dyDescent="0.25">
      <c r="A3528" s="19" t="s">
        <v>39</v>
      </c>
      <c r="B3528" s="2">
        <v>44039</v>
      </c>
      <c r="C3528" s="1">
        <v>32</v>
      </c>
      <c r="D3528" s="39">
        <v>374</v>
      </c>
      <c r="E3528" s="1"/>
      <c r="F3528" s="39">
        <f>E3528+F3504</f>
        <v>1</v>
      </c>
      <c r="G3528" s="497"/>
      <c r="H3528" s="497"/>
      <c r="J3528" s="42"/>
    </row>
    <row r="3529" spans="1:10" s="360" customFormat="1" x14ac:dyDescent="0.25">
      <c r="A3529" s="19" t="s">
        <v>40</v>
      </c>
      <c r="B3529" s="2">
        <v>44039</v>
      </c>
      <c r="C3529" s="1">
        <v>13</v>
      </c>
      <c r="D3529" s="39">
        <v>139</v>
      </c>
      <c r="E3529" s="1"/>
      <c r="F3529" s="39">
        <f>E3529+F3505</f>
        <v>4</v>
      </c>
      <c r="G3529" s="497"/>
      <c r="H3529" s="497"/>
      <c r="J3529" s="42"/>
    </row>
    <row r="3530" spans="1:10" s="360" customFormat="1" x14ac:dyDescent="0.25">
      <c r="A3530" s="361" t="s">
        <v>16</v>
      </c>
      <c r="B3530" s="2">
        <v>44040</v>
      </c>
      <c r="C3530" s="1">
        <v>4167</v>
      </c>
      <c r="D3530" s="39">
        <v>102391</v>
      </c>
      <c r="E3530" s="1">
        <f>8+7+34+20</f>
        <v>69</v>
      </c>
      <c r="F3530" s="39">
        <f>E3530+F3506</f>
        <v>1657</v>
      </c>
      <c r="G3530" s="497"/>
      <c r="H3530" s="497"/>
      <c r="J3530" s="42"/>
    </row>
    <row r="3531" spans="1:10" s="360" customFormat="1" x14ac:dyDescent="0.25">
      <c r="A3531" s="19" t="s">
        <v>28</v>
      </c>
      <c r="B3531" s="2">
        <v>44040</v>
      </c>
      <c r="C3531" s="1">
        <v>0</v>
      </c>
      <c r="D3531" s="39">
        <v>60</v>
      </c>
      <c r="E3531" s="1"/>
      <c r="F3531" s="39">
        <f t="shared" ref="F3531:F3537" si="235">E3531+F3507</f>
        <v>0</v>
      </c>
      <c r="G3531" s="497"/>
      <c r="H3531" s="497"/>
      <c r="J3531" s="42"/>
    </row>
    <row r="3532" spans="1:10" s="360" customFormat="1" x14ac:dyDescent="0.25">
      <c r="A3532" s="19" t="s">
        <v>15</v>
      </c>
      <c r="B3532" s="2">
        <v>44040</v>
      </c>
      <c r="C3532" s="1">
        <v>18</v>
      </c>
      <c r="D3532" s="39">
        <v>3376</v>
      </c>
      <c r="E3532" s="1"/>
      <c r="F3532" s="39">
        <f t="shared" si="235"/>
        <v>136</v>
      </c>
      <c r="G3532" s="497"/>
      <c r="H3532" s="497"/>
      <c r="J3532" s="42"/>
    </row>
    <row r="3533" spans="1:10" s="360" customFormat="1" x14ac:dyDescent="0.25">
      <c r="A3533" s="19" t="s">
        <v>29</v>
      </c>
      <c r="B3533" s="2">
        <v>44040</v>
      </c>
      <c r="C3533" s="1">
        <v>3</v>
      </c>
      <c r="D3533" s="39">
        <v>267</v>
      </c>
      <c r="E3533" s="1"/>
      <c r="F3533" s="39">
        <f t="shared" si="235"/>
        <v>3</v>
      </c>
      <c r="G3533" s="497"/>
      <c r="H3533" s="497"/>
      <c r="J3533" s="42"/>
    </row>
    <row r="3534" spans="1:10" s="360" customFormat="1" x14ac:dyDescent="0.25">
      <c r="A3534" s="19" t="s">
        <v>43</v>
      </c>
      <c r="B3534" s="2">
        <v>44040</v>
      </c>
      <c r="C3534" s="1">
        <v>1202</v>
      </c>
      <c r="D3534" s="39">
        <v>56227</v>
      </c>
      <c r="E3534" s="1">
        <f>3+4+17+21</f>
        <v>45</v>
      </c>
      <c r="F3534" s="39">
        <f t="shared" si="235"/>
        <v>1141</v>
      </c>
      <c r="G3534" s="497"/>
      <c r="H3534" s="497"/>
      <c r="J3534" s="42"/>
    </row>
    <row r="3535" spans="1:10" s="360" customFormat="1" x14ac:dyDescent="0.25">
      <c r="A3535" s="19" t="s">
        <v>20</v>
      </c>
      <c r="B3535" s="2">
        <v>44040</v>
      </c>
      <c r="C3535" s="1">
        <v>75</v>
      </c>
      <c r="D3535" s="39">
        <v>1949</v>
      </c>
      <c r="E3535" s="1">
        <v>2</v>
      </c>
      <c r="F3535" s="39">
        <f t="shared" si="235"/>
        <v>42</v>
      </c>
      <c r="G3535" s="497"/>
      <c r="H3535" s="497"/>
      <c r="J3535" s="42"/>
    </row>
    <row r="3536" spans="1:10" s="360" customFormat="1" x14ac:dyDescent="0.25">
      <c r="A3536" s="19" t="s">
        <v>30</v>
      </c>
      <c r="B3536" s="2">
        <v>44040</v>
      </c>
      <c r="C3536" s="1">
        <v>-6</v>
      </c>
      <c r="D3536" s="39">
        <v>147</v>
      </c>
      <c r="E3536" s="1"/>
      <c r="F3536" s="39">
        <f t="shared" si="235"/>
        <v>1</v>
      </c>
      <c r="G3536" s="497"/>
      <c r="H3536" s="497"/>
      <c r="J3536" s="42"/>
    </row>
    <row r="3537" spans="1:10" x14ac:dyDescent="0.25">
      <c r="A3537" s="19" t="s">
        <v>31</v>
      </c>
      <c r="B3537" s="2">
        <v>44040</v>
      </c>
      <c r="C3537" s="1">
        <v>4</v>
      </c>
      <c r="D3537" s="39">
        <v>768</v>
      </c>
      <c r="F3537" s="39">
        <f t="shared" si="235"/>
        <v>7</v>
      </c>
    </row>
    <row r="3538" spans="1:10" s="360" customFormat="1" x14ac:dyDescent="0.25">
      <c r="A3538" s="19" t="s">
        <v>41</v>
      </c>
      <c r="B3538" s="2">
        <v>44040</v>
      </c>
      <c r="C3538" s="1">
        <v>0</v>
      </c>
      <c r="D3538" s="39">
        <v>81</v>
      </c>
      <c r="E3538" s="1"/>
      <c r="F3538" s="39">
        <f>E3538+F3514</f>
        <v>0</v>
      </c>
      <c r="G3538" s="497"/>
      <c r="H3538" s="497"/>
      <c r="J3538" s="42"/>
    </row>
    <row r="3539" spans="1:10" s="360" customFormat="1" x14ac:dyDescent="0.25">
      <c r="A3539" s="19" t="s">
        <v>32</v>
      </c>
      <c r="B3539" s="2">
        <v>44040</v>
      </c>
      <c r="C3539" s="1">
        <v>158</v>
      </c>
      <c r="D3539" s="39">
        <v>1678</v>
      </c>
      <c r="E3539" s="1"/>
      <c r="F3539" s="39">
        <f t="shared" ref="F3539:F3549" si="236">E3539+F3514</f>
        <v>0</v>
      </c>
      <c r="G3539" s="497"/>
      <c r="H3539" s="497"/>
      <c r="J3539" s="42"/>
    </row>
    <row r="3540" spans="1:10" s="360" customFormat="1" x14ac:dyDescent="0.25">
      <c r="A3540" s="19" t="s">
        <v>33</v>
      </c>
      <c r="B3540" s="2">
        <v>44040</v>
      </c>
      <c r="C3540" s="1">
        <v>9</v>
      </c>
      <c r="D3540" s="39">
        <v>59</v>
      </c>
      <c r="E3540" s="1"/>
      <c r="F3540" s="39">
        <f t="shared" si="236"/>
        <v>0</v>
      </c>
      <c r="G3540" s="497"/>
      <c r="H3540" s="497"/>
      <c r="J3540" s="42"/>
    </row>
    <row r="3541" spans="1:10" s="360" customFormat="1" x14ac:dyDescent="0.25">
      <c r="A3541" s="19" t="s">
        <v>21</v>
      </c>
      <c r="B3541" s="2">
        <v>44040</v>
      </c>
      <c r="C3541" s="1">
        <v>10</v>
      </c>
      <c r="D3541" s="39">
        <v>259</v>
      </c>
      <c r="E3541" s="1"/>
      <c r="F3541" s="39">
        <f t="shared" si="236"/>
        <v>0</v>
      </c>
      <c r="G3541" s="497"/>
      <c r="H3541" s="497"/>
      <c r="J3541" s="42"/>
    </row>
    <row r="3542" spans="1:10" s="360" customFormat="1" x14ac:dyDescent="0.25">
      <c r="A3542" s="19" t="s">
        <v>17</v>
      </c>
      <c r="B3542" s="2">
        <v>44040</v>
      </c>
      <c r="C3542" s="1">
        <v>67</v>
      </c>
      <c r="D3542" s="39">
        <v>945</v>
      </c>
      <c r="E3542" s="1">
        <v>2</v>
      </c>
      <c r="F3542" s="39">
        <f t="shared" si="236"/>
        <v>3</v>
      </c>
      <c r="G3542" s="497"/>
      <c r="H3542" s="497"/>
      <c r="J3542" s="42"/>
    </row>
    <row r="3543" spans="1:10" s="360" customFormat="1" x14ac:dyDescent="0.25">
      <c r="A3543" s="19" t="s">
        <v>23</v>
      </c>
      <c r="B3543" s="2">
        <v>44040</v>
      </c>
      <c r="C3543" s="1">
        <v>-4</v>
      </c>
      <c r="D3543" s="39">
        <v>52</v>
      </c>
      <c r="E3543" s="1"/>
      <c r="F3543" s="39">
        <f t="shared" si="236"/>
        <v>0</v>
      </c>
      <c r="G3543" s="497"/>
      <c r="H3543" s="497"/>
      <c r="J3543" s="42"/>
    </row>
    <row r="3544" spans="1:10" s="360" customFormat="1" x14ac:dyDescent="0.25">
      <c r="A3544" s="19" t="s">
        <v>19</v>
      </c>
      <c r="B3544" s="2">
        <v>44040</v>
      </c>
      <c r="C3544" s="1">
        <v>21</v>
      </c>
      <c r="D3544" s="39">
        <v>1086</v>
      </c>
      <c r="E3544" s="1"/>
      <c r="F3544" s="39">
        <f t="shared" si="236"/>
        <v>3</v>
      </c>
      <c r="G3544" s="497"/>
      <c r="H3544" s="497"/>
      <c r="J3544" s="42"/>
    </row>
    <row r="3545" spans="1:10" s="360" customFormat="1" x14ac:dyDescent="0.25">
      <c r="A3545" s="19" t="s">
        <v>18</v>
      </c>
      <c r="B3545" s="2">
        <v>44040</v>
      </c>
      <c r="C3545" s="1">
        <v>73</v>
      </c>
      <c r="D3545" s="39">
        <v>1707</v>
      </c>
      <c r="E3545" s="1">
        <v>2</v>
      </c>
      <c r="F3545" s="39">
        <f t="shared" si="236"/>
        <v>2</v>
      </c>
      <c r="G3545" s="497"/>
      <c r="H3545" s="497"/>
      <c r="J3545" s="42"/>
    </row>
    <row r="3546" spans="1:10" s="360" customFormat="1" x14ac:dyDescent="0.25">
      <c r="A3546" s="19" t="s">
        <v>34</v>
      </c>
      <c r="B3546" s="2">
        <v>44040</v>
      </c>
      <c r="C3546" s="1">
        <v>8</v>
      </c>
      <c r="D3546" s="39">
        <v>236</v>
      </c>
      <c r="E3546" s="1"/>
      <c r="F3546" s="39">
        <f t="shared" si="236"/>
        <v>32</v>
      </c>
      <c r="G3546" s="497"/>
      <c r="H3546" s="497"/>
      <c r="J3546" s="42"/>
    </row>
    <row r="3547" spans="1:10" s="360" customFormat="1" x14ac:dyDescent="0.25">
      <c r="A3547" s="19" t="s">
        <v>35</v>
      </c>
      <c r="B3547" s="2">
        <v>44040</v>
      </c>
      <c r="C3547" s="1">
        <v>-2</v>
      </c>
      <c r="D3547" s="39">
        <v>20</v>
      </c>
      <c r="E3547" s="1"/>
      <c r="F3547" s="39">
        <f>E3547+F3523</f>
        <v>0</v>
      </c>
      <c r="G3547" s="497"/>
      <c r="H3547" s="497"/>
      <c r="J3547" s="42"/>
    </row>
    <row r="3548" spans="1:10" s="360" customFormat="1" x14ac:dyDescent="0.25">
      <c r="A3548" s="19" t="s">
        <v>36</v>
      </c>
      <c r="B3548" s="2">
        <v>44040</v>
      </c>
      <c r="C3548" s="1">
        <v>2</v>
      </c>
      <c r="D3548" s="39">
        <v>22</v>
      </c>
      <c r="E3548" s="1"/>
      <c r="F3548" s="39">
        <f t="shared" si="236"/>
        <v>0</v>
      </c>
      <c r="G3548" s="497"/>
      <c r="H3548" s="497"/>
      <c r="J3548" s="42"/>
    </row>
    <row r="3549" spans="1:10" s="360" customFormat="1" x14ac:dyDescent="0.25">
      <c r="A3549" s="19" t="s">
        <v>37</v>
      </c>
      <c r="B3549" s="2">
        <v>44040</v>
      </c>
      <c r="C3549" s="1">
        <v>32</v>
      </c>
      <c r="D3549" s="39">
        <v>376</v>
      </c>
      <c r="E3549" s="1"/>
      <c r="F3549" s="39">
        <f t="shared" si="236"/>
        <v>0</v>
      </c>
      <c r="G3549" s="497"/>
      <c r="H3549" s="497"/>
      <c r="J3549" s="42"/>
    </row>
    <row r="3550" spans="1:10" s="360" customFormat="1" x14ac:dyDescent="0.25">
      <c r="A3550" s="19" t="s">
        <v>22</v>
      </c>
      <c r="B3550" s="2">
        <v>44040</v>
      </c>
      <c r="C3550" s="1">
        <v>63</v>
      </c>
      <c r="D3550" s="39">
        <v>1035</v>
      </c>
      <c r="E3550" s="1"/>
      <c r="F3550" s="39">
        <f>E3550+F3526</f>
        <v>11</v>
      </c>
      <c r="G3550" s="497"/>
      <c r="H3550" s="497"/>
      <c r="J3550" s="42"/>
    </row>
    <row r="3551" spans="1:10" s="360" customFormat="1" x14ac:dyDescent="0.25">
      <c r="A3551" s="19" t="s">
        <v>38</v>
      </c>
      <c r="B3551" s="2">
        <v>44040</v>
      </c>
      <c r="C3551" s="1">
        <v>-3</v>
      </c>
      <c r="D3551" s="39">
        <v>42</v>
      </c>
      <c r="E3551" s="1"/>
      <c r="F3551" s="39">
        <f>E3551+F3527</f>
        <v>1</v>
      </c>
      <c r="G3551" s="497"/>
      <c r="H3551" s="497"/>
      <c r="J3551" s="42"/>
    </row>
    <row r="3552" spans="1:10" s="360" customFormat="1" x14ac:dyDescent="0.25">
      <c r="A3552" s="19" t="s">
        <v>39</v>
      </c>
      <c r="B3552" s="2">
        <v>44040</v>
      </c>
      <c r="C3552" s="1">
        <v>25</v>
      </c>
      <c r="D3552" s="39">
        <v>399</v>
      </c>
      <c r="E3552" s="1"/>
      <c r="F3552" s="39">
        <f>E3552+F3528</f>
        <v>1</v>
      </c>
      <c r="G3552" s="497"/>
      <c r="H3552" s="497"/>
      <c r="J3552" s="42"/>
    </row>
    <row r="3553" spans="1:10" s="360" customFormat="1" x14ac:dyDescent="0.25">
      <c r="A3553" s="19" t="s">
        <v>40</v>
      </c>
      <c r="B3553" s="2">
        <v>44040</v>
      </c>
      <c r="C3553" s="1">
        <v>17</v>
      </c>
      <c r="D3553" s="39">
        <v>156</v>
      </c>
      <c r="E3553" s="1"/>
      <c r="F3553" s="39">
        <f>E3553+F3529</f>
        <v>4</v>
      </c>
      <c r="G3553" s="497"/>
      <c r="H3553" s="497"/>
      <c r="J3553" s="42"/>
    </row>
    <row r="3554" spans="1:10" s="360" customFormat="1" x14ac:dyDescent="0.25">
      <c r="A3554" s="361" t="s">
        <v>16</v>
      </c>
      <c r="B3554" s="2">
        <v>44041</v>
      </c>
      <c r="C3554" s="1">
        <v>3852</v>
      </c>
      <c r="D3554" s="39">
        <v>106243</v>
      </c>
      <c r="E3554" s="1">
        <f>6+6+35+24</f>
        <v>71</v>
      </c>
      <c r="F3554" s="39">
        <f>E3554+F3530</f>
        <v>1728</v>
      </c>
      <c r="G3554" s="497"/>
      <c r="H3554" s="497"/>
      <c r="J3554" s="42"/>
    </row>
    <row r="3555" spans="1:10" s="360" customFormat="1" x14ac:dyDescent="0.25">
      <c r="A3555" s="19" t="s">
        <v>28</v>
      </c>
      <c r="B3555" s="2">
        <v>44041</v>
      </c>
      <c r="C3555" s="1">
        <v>0</v>
      </c>
      <c r="D3555" s="39">
        <v>60</v>
      </c>
      <c r="E3555" s="1"/>
      <c r="F3555" s="39">
        <f t="shared" ref="F3555:F3561" si="237">E3555+F3531</f>
        <v>0</v>
      </c>
      <c r="G3555" s="497"/>
      <c r="H3555" s="497"/>
      <c r="J3555" s="42"/>
    </row>
    <row r="3556" spans="1:10" s="360" customFormat="1" x14ac:dyDescent="0.25">
      <c r="A3556" s="19" t="s">
        <v>15</v>
      </c>
      <c r="B3556" s="2">
        <v>44041</v>
      </c>
      <c r="C3556" s="1">
        <v>52</v>
      </c>
      <c r="D3556" s="39">
        <v>3428</v>
      </c>
      <c r="E3556" s="1">
        <f>2+1</f>
        <v>3</v>
      </c>
      <c r="F3556" s="39">
        <f t="shared" si="237"/>
        <v>139</v>
      </c>
      <c r="G3556" s="497"/>
      <c r="H3556" s="497"/>
      <c r="J3556" s="42"/>
    </row>
    <row r="3557" spans="1:10" s="360" customFormat="1" x14ac:dyDescent="0.25">
      <c r="A3557" s="19" t="s">
        <v>29</v>
      </c>
      <c r="B3557" s="2">
        <v>44041</v>
      </c>
      <c r="C3557" s="1">
        <v>3</v>
      </c>
      <c r="D3557" s="39">
        <v>270</v>
      </c>
      <c r="E3557" s="1"/>
      <c r="F3557" s="39">
        <f t="shared" si="237"/>
        <v>3</v>
      </c>
      <c r="G3557" s="497"/>
      <c r="H3557" s="497"/>
      <c r="J3557" s="42"/>
    </row>
    <row r="3558" spans="1:10" s="360" customFormat="1" x14ac:dyDescent="0.25">
      <c r="A3558" s="19" t="s">
        <v>43</v>
      </c>
      <c r="B3558" s="2">
        <v>44041</v>
      </c>
      <c r="C3558" s="1">
        <v>1079</v>
      </c>
      <c r="D3558" s="39">
        <v>57306</v>
      </c>
      <c r="E3558" s="1">
        <v>29</v>
      </c>
      <c r="F3558" s="39">
        <f t="shared" si="237"/>
        <v>1170</v>
      </c>
      <c r="G3558" s="497"/>
      <c r="H3558" s="497"/>
      <c r="J3558" s="42"/>
    </row>
    <row r="3559" spans="1:10" s="360" customFormat="1" x14ac:dyDescent="0.25">
      <c r="A3559" s="19" t="s">
        <v>20</v>
      </c>
      <c r="B3559" s="2">
        <v>44041</v>
      </c>
      <c r="C3559" s="1">
        <v>111</v>
      </c>
      <c r="D3559" s="39">
        <v>2060</v>
      </c>
      <c r="E3559" s="1"/>
      <c r="F3559" s="39">
        <f t="shared" si="237"/>
        <v>42</v>
      </c>
      <c r="G3559" s="497"/>
      <c r="H3559" s="497"/>
      <c r="J3559" s="42"/>
    </row>
    <row r="3560" spans="1:10" s="360" customFormat="1" x14ac:dyDescent="0.25">
      <c r="A3560" s="19" t="s">
        <v>30</v>
      </c>
      <c r="B3560" s="2">
        <v>44041</v>
      </c>
      <c r="C3560" s="1">
        <v>16</v>
      </c>
      <c r="D3560" s="39">
        <v>163</v>
      </c>
      <c r="E3560" s="1"/>
      <c r="F3560" s="39">
        <f t="shared" si="237"/>
        <v>1</v>
      </c>
      <c r="G3560" s="497"/>
      <c r="H3560" s="497"/>
      <c r="J3560" s="42"/>
    </row>
    <row r="3561" spans="1:10" x14ac:dyDescent="0.25">
      <c r="A3561" s="19" t="s">
        <v>31</v>
      </c>
      <c r="B3561" s="2">
        <v>44041</v>
      </c>
      <c r="C3561" s="1">
        <v>15</v>
      </c>
      <c r="D3561" s="39">
        <v>783</v>
      </c>
      <c r="F3561" s="39">
        <f t="shared" si="237"/>
        <v>7</v>
      </c>
    </row>
    <row r="3562" spans="1:10" s="360" customFormat="1" x14ac:dyDescent="0.25">
      <c r="A3562" s="19" t="s">
        <v>41</v>
      </c>
      <c r="B3562" s="2">
        <v>44041</v>
      </c>
      <c r="C3562" s="1">
        <v>1</v>
      </c>
      <c r="D3562" s="39">
        <v>82</v>
      </c>
      <c r="E3562" s="1"/>
      <c r="F3562" s="39">
        <f>E3562+F3538</f>
        <v>0</v>
      </c>
      <c r="G3562" s="497"/>
      <c r="H3562" s="497"/>
      <c r="J3562" s="42"/>
    </row>
    <row r="3563" spans="1:10" s="360" customFormat="1" x14ac:dyDescent="0.25">
      <c r="A3563" s="19" t="s">
        <v>32</v>
      </c>
      <c r="B3563" s="2">
        <v>44041</v>
      </c>
      <c r="C3563" s="1">
        <v>172</v>
      </c>
      <c r="D3563" s="39">
        <v>1850</v>
      </c>
      <c r="E3563" s="1"/>
      <c r="F3563" s="39">
        <f t="shared" ref="F3563:F3573" si="238">E3563+F3538</f>
        <v>0</v>
      </c>
      <c r="G3563" s="497"/>
      <c r="H3563" s="497"/>
      <c r="J3563" s="42"/>
    </row>
    <row r="3564" spans="1:10" s="360" customFormat="1" x14ac:dyDescent="0.25">
      <c r="A3564" s="19" t="s">
        <v>33</v>
      </c>
      <c r="B3564" s="2">
        <v>44041</v>
      </c>
      <c r="C3564" s="1">
        <v>10</v>
      </c>
      <c r="D3564" s="39">
        <v>69</v>
      </c>
      <c r="E3564" s="1"/>
      <c r="F3564" s="39">
        <f t="shared" si="238"/>
        <v>0</v>
      </c>
      <c r="G3564" s="497"/>
      <c r="H3564" s="497"/>
      <c r="J3564" s="42"/>
    </row>
    <row r="3565" spans="1:10" s="360" customFormat="1" x14ac:dyDescent="0.25">
      <c r="A3565" s="19" t="s">
        <v>21</v>
      </c>
      <c r="B3565" s="2">
        <v>44041</v>
      </c>
      <c r="C3565" s="1">
        <v>31</v>
      </c>
      <c r="D3565" s="39">
        <v>290</v>
      </c>
      <c r="E3565" s="1"/>
      <c r="F3565" s="39">
        <f t="shared" si="238"/>
        <v>0</v>
      </c>
      <c r="G3565" s="497"/>
      <c r="H3565" s="497"/>
      <c r="J3565" s="42"/>
    </row>
    <row r="3566" spans="1:10" s="360" customFormat="1" x14ac:dyDescent="0.25">
      <c r="A3566" s="19" t="s">
        <v>17</v>
      </c>
      <c r="B3566" s="2">
        <v>44041</v>
      </c>
      <c r="C3566" s="1">
        <v>65</v>
      </c>
      <c r="D3566" s="39">
        <v>1010</v>
      </c>
      <c r="E3566" s="1">
        <v>4</v>
      </c>
      <c r="F3566" s="39">
        <f t="shared" si="238"/>
        <v>4</v>
      </c>
      <c r="G3566" s="497"/>
      <c r="H3566" s="497"/>
      <c r="J3566" s="42"/>
    </row>
    <row r="3567" spans="1:10" s="360" customFormat="1" x14ac:dyDescent="0.25">
      <c r="A3567" s="19" t="s">
        <v>23</v>
      </c>
      <c r="B3567" s="2">
        <v>44041</v>
      </c>
      <c r="C3567" s="1">
        <v>0</v>
      </c>
      <c r="D3567" s="39">
        <v>52</v>
      </c>
      <c r="E3567" s="1"/>
      <c r="F3567" s="39">
        <f t="shared" si="238"/>
        <v>3</v>
      </c>
      <c r="G3567" s="497"/>
      <c r="H3567" s="497"/>
      <c r="J3567" s="42"/>
    </row>
    <row r="3568" spans="1:10" s="360" customFormat="1" x14ac:dyDescent="0.25">
      <c r="A3568" s="19" t="s">
        <v>19</v>
      </c>
      <c r="B3568" s="2">
        <v>44041</v>
      </c>
      <c r="C3568" s="1">
        <v>30</v>
      </c>
      <c r="D3568" s="39">
        <v>1116</v>
      </c>
      <c r="E3568" s="1"/>
      <c r="F3568" s="39">
        <f t="shared" si="238"/>
        <v>0</v>
      </c>
      <c r="G3568" s="497"/>
      <c r="H3568" s="497"/>
      <c r="J3568" s="42"/>
    </row>
    <row r="3569" spans="1:10" s="360" customFormat="1" x14ac:dyDescent="0.25">
      <c r="A3569" s="19" t="s">
        <v>18</v>
      </c>
      <c r="B3569" s="2">
        <v>44041</v>
      </c>
      <c r="C3569" s="1">
        <v>55</v>
      </c>
      <c r="D3569" s="39">
        <v>1762</v>
      </c>
      <c r="E3569" s="1">
        <f>1</f>
        <v>1</v>
      </c>
      <c r="F3569" s="39">
        <f t="shared" si="238"/>
        <v>4</v>
      </c>
      <c r="G3569" s="497"/>
      <c r="H3569" s="497"/>
      <c r="J3569" s="42"/>
    </row>
    <row r="3570" spans="1:10" s="360" customFormat="1" x14ac:dyDescent="0.25">
      <c r="A3570" s="19" t="s">
        <v>34</v>
      </c>
      <c r="B3570" s="2">
        <v>44041</v>
      </c>
      <c r="C3570" s="1">
        <v>9</v>
      </c>
      <c r="D3570" s="39">
        <v>245</v>
      </c>
      <c r="E3570" s="1"/>
      <c r="F3570" s="39">
        <f t="shared" si="238"/>
        <v>2</v>
      </c>
      <c r="G3570" s="497"/>
      <c r="H3570" s="497"/>
      <c r="J3570" s="42"/>
    </row>
    <row r="3571" spans="1:10" s="360" customFormat="1" x14ac:dyDescent="0.25">
      <c r="A3571" s="19" t="s">
        <v>35</v>
      </c>
      <c r="B3571" s="2">
        <v>44041</v>
      </c>
      <c r="C3571" s="1">
        <v>0</v>
      </c>
      <c r="D3571" s="39">
        <v>20</v>
      </c>
      <c r="E3571" s="1"/>
      <c r="F3571" s="39">
        <f>E3571+F3547</f>
        <v>0</v>
      </c>
      <c r="G3571" s="497"/>
      <c r="H3571" s="497"/>
      <c r="J3571" s="42"/>
    </row>
    <row r="3572" spans="1:10" s="360" customFormat="1" x14ac:dyDescent="0.25">
      <c r="A3572" s="19" t="s">
        <v>36</v>
      </c>
      <c r="B3572" s="2">
        <v>44041</v>
      </c>
      <c r="C3572" s="1">
        <v>2</v>
      </c>
      <c r="D3572" s="39">
        <v>24</v>
      </c>
      <c r="E3572" s="1"/>
      <c r="F3572" s="39">
        <f t="shared" si="238"/>
        <v>0</v>
      </c>
      <c r="G3572" s="497"/>
      <c r="H3572" s="497"/>
      <c r="J3572" s="42"/>
    </row>
    <row r="3573" spans="1:10" s="360" customFormat="1" x14ac:dyDescent="0.25">
      <c r="A3573" s="19" t="s">
        <v>37</v>
      </c>
      <c r="B3573" s="2">
        <v>44041</v>
      </c>
      <c r="C3573" s="1">
        <v>44</v>
      </c>
      <c r="D3573" s="39">
        <v>420</v>
      </c>
      <c r="E3573" s="1"/>
      <c r="F3573" s="39">
        <f t="shared" si="238"/>
        <v>0</v>
      </c>
      <c r="G3573" s="497"/>
      <c r="H3573" s="497"/>
      <c r="J3573" s="42"/>
    </row>
    <row r="3574" spans="1:10" s="360" customFormat="1" x14ac:dyDescent="0.25">
      <c r="A3574" s="19" t="s">
        <v>22</v>
      </c>
      <c r="B3574" s="2">
        <v>44041</v>
      </c>
      <c r="C3574" s="1">
        <v>68</v>
      </c>
      <c r="D3574" s="39">
        <v>1103</v>
      </c>
      <c r="E3574" s="1">
        <v>1</v>
      </c>
      <c r="F3574" s="39">
        <f>E3574+F3550</f>
        <v>12</v>
      </c>
      <c r="G3574" s="497"/>
      <c r="H3574" s="497"/>
      <c r="J3574" s="42"/>
    </row>
    <row r="3575" spans="1:10" s="360" customFormat="1" x14ac:dyDescent="0.25">
      <c r="A3575" s="19" t="s">
        <v>38</v>
      </c>
      <c r="B3575" s="2">
        <v>44041</v>
      </c>
      <c r="C3575" s="1">
        <v>2</v>
      </c>
      <c r="D3575" s="39">
        <v>44</v>
      </c>
      <c r="E3575" s="1"/>
      <c r="F3575" s="39">
        <f>E3575+F3551</f>
        <v>1</v>
      </c>
      <c r="G3575" s="497"/>
      <c r="H3575" s="497"/>
      <c r="J3575" s="42"/>
    </row>
    <row r="3576" spans="1:10" s="360" customFormat="1" x14ac:dyDescent="0.25">
      <c r="A3576" s="19" t="s">
        <v>39</v>
      </c>
      <c r="B3576" s="2">
        <v>44041</v>
      </c>
      <c r="C3576" s="1">
        <v>14</v>
      </c>
      <c r="D3576" s="39">
        <v>413</v>
      </c>
      <c r="E3576" s="1"/>
      <c r="F3576" s="39">
        <f>E3576+F3552</f>
        <v>1</v>
      </c>
      <c r="G3576" s="497"/>
      <c r="H3576" s="497"/>
      <c r="J3576" s="42"/>
    </row>
    <row r="3577" spans="1:10" s="360" customFormat="1" x14ac:dyDescent="0.25">
      <c r="A3577" s="19" t="s">
        <v>40</v>
      </c>
      <c r="B3577" s="2">
        <v>44041</v>
      </c>
      <c r="C3577" s="1">
        <v>10</v>
      </c>
      <c r="D3577" s="39">
        <v>166</v>
      </c>
      <c r="E3577" s="1"/>
      <c r="F3577" s="39">
        <f>E3577+F3553</f>
        <v>4</v>
      </c>
      <c r="G3577" s="497"/>
      <c r="H3577" s="497"/>
      <c r="J3577" s="42"/>
    </row>
    <row r="3578" spans="1:10" s="360" customFormat="1" x14ac:dyDescent="0.25">
      <c r="A3578" s="361" t="s">
        <v>16</v>
      </c>
      <c r="B3578" s="2">
        <v>44042</v>
      </c>
      <c r="C3578" s="1">
        <v>4415</v>
      </c>
      <c r="D3578" s="39">
        <v>110658</v>
      </c>
      <c r="E3578" s="1">
        <f>5+8+49+54</f>
        <v>116</v>
      </c>
      <c r="F3578" s="39">
        <f>E3578+F3554</f>
        <v>1844</v>
      </c>
      <c r="G3578" s="497"/>
      <c r="H3578" s="497"/>
      <c r="J3578" s="42"/>
    </row>
    <row r="3579" spans="1:10" s="360" customFormat="1" x14ac:dyDescent="0.25">
      <c r="A3579" s="19" t="s">
        <v>28</v>
      </c>
      <c r="B3579" s="2">
        <v>44042</v>
      </c>
      <c r="C3579" s="1">
        <v>1</v>
      </c>
      <c r="D3579" s="39">
        <v>61</v>
      </c>
      <c r="E3579" s="1"/>
      <c r="F3579" s="39">
        <f t="shared" ref="F3579:F3585" si="239">E3579+F3555</f>
        <v>0</v>
      </c>
      <c r="G3579" s="497"/>
      <c r="H3579" s="497"/>
      <c r="J3579" s="42"/>
    </row>
    <row r="3580" spans="1:10" s="360" customFormat="1" x14ac:dyDescent="0.25">
      <c r="A3580" s="19" t="s">
        <v>15</v>
      </c>
      <c r="B3580" s="2">
        <v>44042</v>
      </c>
      <c r="C3580" s="1">
        <v>93</v>
      </c>
      <c r="D3580" s="39">
        <v>3521</v>
      </c>
      <c r="E3580" s="1"/>
      <c r="F3580" s="39">
        <f t="shared" si="239"/>
        <v>139</v>
      </c>
      <c r="G3580" s="497"/>
      <c r="H3580" s="497"/>
      <c r="J3580" s="42"/>
    </row>
    <row r="3581" spans="1:10" s="360" customFormat="1" x14ac:dyDescent="0.25">
      <c r="A3581" s="19" t="s">
        <v>29</v>
      </c>
      <c r="B3581" s="2">
        <v>44042</v>
      </c>
      <c r="C3581" s="1">
        <v>5</v>
      </c>
      <c r="D3581" s="39">
        <v>275</v>
      </c>
      <c r="E3581" s="1"/>
      <c r="F3581" s="39">
        <f t="shared" si="239"/>
        <v>3</v>
      </c>
      <c r="G3581" s="497"/>
      <c r="H3581" s="497"/>
      <c r="J3581" s="42"/>
    </row>
    <row r="3582" spans="1:10" s="360" customFormat="1" x14ac:dyDescent="0.25">
      <c r="A3582" s="19" t="s">
        <v>43</v>
      </c>
      <c r="B3582" s="2">
        <v>44042</v>
      </c>
      <c r="C3582" s="1">
        <v>1239</v>
      </c>
      <c r="D3582" s="39">
        <v>58545</v>
      </c>
      <c r="E3582" s="1">
        <f>4+2+18+8</f>
        <v>32</v>
      </c>
      <c r="F3582" s="39">
        <f t="shared" si="239"/>
        <v>1202</v>
      </c>
      <c r="G3582" s="497"/>
      <c r="H3582" s="497"/>
      <c r="J3582" s="42"/>
    </row>
    <row r="3583" spans="1:10" s="360" customFormat="1" x14ac:dyDescent="0.25">
      <c r="A3583" s="19" t="s">
        <v>20</v>
      </c>
      <c r="B3583" s="2">
        <v>44042</v>
      </c>
      <c r="C3583" s="1">
        <v>91</v>
      </c>
      <c r="D3583" s="39">
        <v>2151</v>
      </c>
      <c r="E3583" s="1">
        <v>1</v>
      </c>
      <c r="F3583" s="39">
        <f t="shared" si="239"/>
        <v>43</v>
      </c>
      <c r="G3583" s="497"/>
      <c r="H3583" s="497"/>
      <c r="J3583" s="42"/>
    </row>
    <row r="3584" spans="1:10" s="360" customFormat="1" x14ac:dyDescent="0.25">
      <c r="A3584" s="19" t="s">
        <v>30</v>
      </c>
      <c r="B3584" s="2">
        <v>44042</v>
      </c>
      <c r="C3584" s="1">
        <v>3</v>
      </c>
      <c r="D3584" s="39">
        <v>166</v>
      </c>
      <c r="E3584" s="1"/>
      <c r="F3584" s="39">
        <f t="shared" si="239"/>
        <v>1</v>
      </c>
      <c r="G3584" s="497"/>
      <c r="H3584" s="497"/>
      <c r="J3584" s="42"/>
    </row>
    <row r="3585" spans="1:10" x14ac:dyDescent="0.25">
      <c r="A3585" s="19" t="s">
        <v>31</v>
      </c>
      <c r="B3585" s="2">
        <v>44042</v>
      </c>
      <c r="C3585" s="1">
        <v>20</v>
      </c>
      <c r="D3585" s="39">
        <v>803</v>
      </c>
      <c r="F3585" s="39">
        <f t="shared" si="239"/>
        <v>7</v>
      </c>
    </row>
    <row r="3586" spans="1:10" s="360" customFormat="1" x14ac:dyDescent="0.25">
      <c r="A3586" s="19" t="s">
        <v>41</v>
      </c>
      <c r="B3586" s="2">
        <v>44042</v>
      </c>
      <c r="C3586" s="1">
        <v>0</v>
      </c>
      <c r="D3586" s="39">
        <v>82</v>
      </c>
      <c r="E3586" s="1"/>
      <c r="F3586" s="39">
        <f>E3586+F3562</f>
        <v>0</v>
      </c>
      <c r="G3586" s="497"/>
      <c r="H3586" s="497"/>
      <c r="J3586" s="42"/>
    </row>
    <row r="3587" spans="1:10" s="360" customFormat="1" x14ac:dyDescent="0.25">
      <c r="A3587" s="19" t="s">
        <v>32</v>
      </c>
      <c r="B3587" s="2">
        <v>44042</v>
      </c>
      <c r="C3587" s="1">
        <v>161</v>
      </c>
      <c r="D3587" s="39">
        <v>2011</v>
      </c>
      <c r="E3587" s="1"/>
      <c r="F3587" s="39">
        <f t="shared" ref="F3587:F3596" si="240">E3587+F3562</f>
        <v>0</v>
      </c>
      <c r="G3587" s="497"/>
      <c r="H3587" s="497"/>
      <c r="J3587" s="42"/>
    </row>
    <row r="3588" spans="1:10" s="360" customFormat="1" x14ac:dyDescent="0.25">
      <c r="A3588" s="19" t="s">
        <v>33</v>
      </c>
      <c r="B3588" s="2">
        <v>44042</v>
      </c>
      <c r="C3588" s="1">
        <v>6</v>
      </c>
      <c r="D3588" s="39">
        <v>75</v>
      </c>
      <c r="E3588" s="1"/>
      <c r="F3588" s="39">
        <f t="shared" si="240"/>
        <v>0</v>
      </c>
      <c r="G3588" s="497"/>
      <c r="H3588" s="497"/>
      <c r="J3588" s="42"/>
    </row>
    <row r="3589" spans="1:10" s="360" customFormat="1" x14ac:dyDescent="0.25">
      <c r="A3589" s="19" t="s">
        <v>21</v>
      </c>
      <c r="B3589" s="2">
        <v>44042</v>
      </c>
      <c r="C3589" s="1">
        <v>11</v>
      </c>
      <c r="D3589" s="39">
        <v>301</v>
      </c>
      <c r="E3589" s="1"/>
      <c r="F3589" s="39">
        <f t="shared" si="240"/>
        <v>0</v>
      </c>
      <c r="G3589" s="497"/>
      <c r="H3589" s="497"/>
      <c r="J3589" s="42"/>
    </row>
    <row r="3590" spans="1:10" s="360" customFormat="1" x14ac:dyDescent="0.25">
      <c r="A3590" s="19" t="s">
        <v>17</v>
      </c>
      <c r="B3590" s="2">
        <v>44042</v>
      </c>
      <c r="C3590" s="1">
        <v>77</v>
      </c>
      <c r="D3590" s="39">
        <v>1087</v>
      </c>
      <c r="E3590" s="1">
        <v>1</v>
      </c>
      <c r="F3590" s="39">
        <f t="shared" si="240"/>
        <v>1</v>
      </c>
      <c r="G3590" s="497"/>
      <c r="H3590" s="497"/>
      <c r="J3590" s="42"/>
    </row>
    <row r="3591" spans="1:10" s="360" customFormat="1" x14ac:dyDescent="0.25">
      <c r="A3591" s="19" t="s">
        <v>23</v>
      </c>
      <c r="B3591" s="2">
        <v>44042</v>
      </c>
      <c r="C3591" s="1">
        <v>1</v>
      </c>
      <c r="D3591" s="39">
        <v>53</v>
      </c>
      <c r="E3591" s="1"/>
      <c r="F3591" s="39">
        <f t="shared" si="240"/>
        <v>4</v>
      </c>
      <c r="G3591" s="497"/>
      <c r="H3591" s="497"/>
      <c r="J3591" s="42"/>
    </row>
    <row r="3592" spans="1:10" s="360" customFormat="1" x14ac:dyDescent="0.25">
      <c r="A3592" s="19" t="s">
        <v>19</v>
      </c>
      <c r="B3592" s="2">
        <v>44042</v>
      </c>
      <c r="C3592" s="1">
        <v>27</v>
      </c>
      <c r="D3592" s="39">
        <v>1143</v>
      </c>
      <c r="E3592" s="1"/>
      <c r="F3592" s="39">
        <f t="shared" si="240"/>
        <v>3</v>
      </c>
      <c r="G3592" s="497"/>
      <c r="H3592" s="497"/>
      <c r="J3592" s="42"/>
    </row>
    <row r="3593" spans="1:10" s="360" customFormat="1" x14ac:dyDescent="0.25">
      <c r="A3593" s="19" t="s">
        <v>18</v>
      </c>
      <c r="B3593" s="2">
        <v>44042</v>
      </c>
      <c r="C3593" s="1">
        <v>81</v>
      </c>
      <c r="D3593" s="39">
        <v>1843</v>
      </c>
      <c r="E3593" s="1">
        <v>2</v>
      </c>
      <c r="F3593" s="39">
        <f t="shared" si="240"/>
        <v>2</v>
      </c>
      <c r="G3593" s="497"/>
      <c r="H3593" s="497"/>
      <c r="J3593" s="42"/>
    </row>
    <row r="3594" spans="1:10" s="360" customFormat="1" x14ac:dyDescent="0.25">
      <c r="A3594" s="19" t="s">
        <v>34</v>
      </c>
      <c r="B3594" s="2">
        <v>44042</v>
      </c>
      <c r="C3594" s="1">
        <v>11</v>
      </c>
      <c r="D3594" s="39">
        <v>256</v>
      </c>
      <c r="E3594" s="1"/>
      <c r="F3594" s="39">
        <f t="shared" si="240"/>
        <v>4</v>
      </c>
      <c r="G3594" s="497"/>
      <c r="H3594" s="497"/>
      <c r="J3594" s="42"/>
    </row>
    <row r="3595" spans="1:10" s="360" customFormat="1" x14ac:dyDescent="0.25">
      <c r="A3595" s="19" t="s">
        <v>35</v>
      </c>
      <c r="B3595" s="2">
        <v>44042</v>
      </c>
      <c r="C3595" s="1">
        <v>1</v>
      </c>
      <c r="D3595" s="39">
        <v>21</v>
      </c>
      <c r="E3595" s="1"/>
      <c r="F3595" s="39">
        <f>E3595+F3571</f>
        <v>0</v>
      </c>
      <c r="G3595" s="497"/>
      <c r="H3595" s="497"/>
      <c r="J3595" s="42"/>
    </row>
    <row r="3596" spans="1:10" s="360" customFormat="1" x14ac:dyDescent="0.25">
      <c r="A3596" s="19" t="s">
        <v>36</v>
      </c>
      <c r="B3596" s="2">
        <v>44042</v>
      </c>
      <c r="C3596" s="1">
        <v>3</v>
      </c>
      <c r="D3596" s="39">
        <v>27</v>
      </c>
      <c r="E3596" s="1"/>
      <c r="F3596" s="39">
        <f t="shared" si="240"/>
        <v>0</v>
      </c>
      <c r="G3596" s="497"/>
      <c r="H3596" s="497"/>
      <c r="J3596" s="42"/>
    </row>
    <row r="3597" spans="1:10" s="360" customFormat="1" x14ac:dyDescent="0.25">
      <c r="A3597" s="19" t="s">
        <v>37</v>
      </c>
      <c r="B3597" s="2">
        <v>44042</v>
      </c>
      <c r="C3597" s="1">
        <v>9</v>
      </c>
      <c r="D3597" s="39">
        <v>429</v>
      </c>
      <c r="E3597" s="1">
        <v>1</v>
      </c>
      <c r="F3597" s="39">
        <f t="shared" ref="F3597:F3602" si="241">E3597+F3573</f>
        <v>1</v>
      </c>
      <c r="G3597" s="497"/>
      <c r="H3597" s="497"/>
      <c r="J3597" s="42"/>
    </row>
    <row r="3598" spans="1:10" s="360" customFormat="1" x14ac:dyDescent="0.25">
      <c r="A3598" s="19" t="s">
        <v>22</v>
      </c>
      <c r="B3598" s="2">
        <v>44042</v>
      </c>
      <c r="C3598" s="1">
        <v>50</v>
      </c>
      <c r="D3598" s="39">
        <v>1153</v>
      </c>
      <c r="E3598" s="1"/>
      <c r="F3598" s="39">
        <f t="shared" si="241"/>
        <v>12</v>
      </c>
      <c r="G3598" s="497"/>
      <c r="H3598" s="497"/>
      <c r="J3598" s="42"/>
    </row>
    <row r="3599" spans="1:10" s="360" customFormat="1" x14ac:dyDescent="0.25">
      <c r="A3599" s="19" t="s">
        <v>38</v>
      </c>
      <c r="B3599" s="2">
        <v>44042</v>
      </c>
      <c r="C3599" s="1">
        <v>2</v>
      </c>
      <c r="D3599" s="39">
        <v>46</v>
      </c>
      <c r="E3599" s="1"/>
      <c r="F3599" s="39">
        <f t="shared" si="241"/>
        <v>1</v>
      </c>
      <c r="G3599" s="497"/>
      <c r="H3599" s="497"/>
      <c r="J3599" s="42"/>
    </row>
    <row r="3600" spans="1:10" s="360" customFormat="1" x14ac:dyDescent="0.25">
      <c r="A3600" s="19" t="s">
        <v>39</v>
      </c>
      <c r="B3600" s="2">
        <v>44042</v>
      </c>
      <c r="C3600" s="1">
        <v>33</v>
      </c>
      <c r="D3600" s="39">
        <v>446</v>
      </c>
      <c r="E3600" s="1"/>
      <c r="F3600" s="39">
        <f t="shared" si="241"/>
        <v>1</v>
      </c>
      <c r="G3600" s="497"/>
      <c r="H3600" s="497"/>
      <c r="J3600" s="42"/>
    </row>
    <row r="3601" spans="1:10" s="360" customFormat="1" x14ac:dyDescent="0.25">
      <c r="A3601" s="19" t="s">
        <v>40</v>
      </c>
      <c r="B3601" s="2">
        <v>44042</v>
      </c>
      <c r="C3601" s="1">
        <v>37</v>
      </c>
      <c r="D3601" s="39">
        <v>203</v>
      </c>
      <c r="E3601" s="1"/>
      <c r="F3601" s="39">
        <f t="shared" si="241"/>
        <v>4</v>
      </c>
      <c r="G3601" s="497"/>
      <c r="H3601" s="497"/>
      <c r="J3601" s="42"/>
    </row>
    <row r="3602" spans="1:10" s="360" customFormat="1" x14ac:dyDescent="0.25">
      <c r="A3602" s="361" t="s">
        <v>16</v>
      </c>
      <c r="B3602" s="2">
        <v>44043</v>
      </c>
      <c r="C3602" s="1">
        <v>3911</v>
      </c>
      <c r="D3602" s="39">
        <v>114569</v>
      </c>
      <c r="E3602" s="1">
        <v>67</v>
      </c>
      <c r="F3602" s="39">
        <f t="shared" si="241"/>
        <v>1911</v>
      </c>
      <c r="G3602" s="497"/>
      <c r="H3602" s="497"/>
      <c r="J3602" s="42"/>
    </row>
    <row r="3603" spans="1:10" s="360" customFormat="1" x14ac:dyDescent="0.25">
      <c r="A3603" s="19" t="s">
        <v>28</v>
      </c>
      <c r="B3603" s="2">
        <v>44043</v>
      </c>
      <c r="C3603" s="1">
        <v>0</v>
      </c>
      <c r="D3603" s="39">
        <v>61</v>
      </c>
      <c r="E3603" s="1"/>
      <c r="F3603" s="39">
        <f t="shared" ref="F3603:F3609" si="242">E3603+F3579</f>
        <v>0</v>
      </c>
      <c r="G3603" s="497"/>
      <c r="H3603" s="497"/>
      <c r="J3603" s="42"/>
    </row>
    <row r="3604" spans="1:10" s="360" customFormat="1" x14ac:dyDescent="0.25">
      <c r="A3604" s="19" t="s">
        <v>15</v>
      </c>
      <c r="B3604" s="2">
        <v>44043</v>
      </c>
      <c r="C3604" s="1">
        <v>58</v>
      </c>
      <c r="D3604" s="39">
        <v>3579</v>
      </c>
      <c r="E3604" s="1">
        <v>2</v>
      </c>
      <c r="F3604" s="39">
        <f t="shared" si="242"/>
        <v>141</v>
      </c>
      <c r="G3604" s="497"/>
      <c r="H3604" s="497"/>
      <c r="J3604" s="42"/>
    </row>
    <row r="3605" spans="1:10" s="360" customFormat="1" x14ac:dyDescent="0.25">
      <c r="A3605" s="19" t="s">
        <v>29</v>
      </c>
      <c r="B3605" s="2">
        <v>44043</v>
      </c>
      <c r="C3605" s="1">
        <v>1</v>
      </c>
      <c r="D3605" s="39">
        <v>276</v>
      </c>
      <c r="E3605" s="1">
        <v>1</v>
      </c>
      <c r="F3605" s="39">
        <f t="shared" si="242"/>
        <v>4</v>
      </c>
      <c r="G3605" s="497"/>
      <c r="H3605" s="497"/>
      <c r="J3605" s="42"/>
    </row>
    <row r="3606" spans="1:10" s="360" customFormat="1" x14ac:dyDescent="0.25">
      <c r="A3606" s="19" t="s">
        <v>43</v>
      </c>
      <c r="B3606" s="2">
        <v>44043</v>
      </c>
      <c r="C3606" s="1">
        <v>1142</v>
      </c>
      <c r="D3606" s="39">
        <v>59687</v>
      </c>
      <c r="E3606" s="1">
        <f>7+6+9+4</f>
        <v>26</v>
      </c>
      <c r="F3606" s="39">
        <f t="shared" si="242"/>
        <v>1228</v>
      </c>
      <c r="G3606" s="497"/>
      <c r="H3606" s="497"/>
      <c r="J3606" s="42"/>
    </row>
    <row r="3607" spans="1:10" s="360" customFormat="1" x14ac:dyDescent="0.25">
      <c r="A3607" s="19" t="s">
        <v>20</v>
      </c>
      <c r="B3607" s="2">
        <v>44043</v>
      </c>
      <c r="C3607" s="1">
        <v>108</v>
      </c>
      <c r="D3607" s="39">
        <v>2259</v>
      </c>
      <c r="E3607" s="1"/>
      <c r="F3607" s="39">
        <f t="shared" si="242"/>
        <v>43</v>
      </c>
      <c r="G3607" s="497"/>
      <c r="H3607" s="497"/>
      <c r="J3607" s="42"/>
    </row>
    <row r="3608" spans="1:10" s="360" customFormat="1" x14ac:dyDescent="0.25">
      <c r="A3608" s="19" t="s">
        <v>30</v>
      </c>
      <c r="B3608" s="2">
        <v>44043</v>
      </c>
      <c r="C3608" s="1">
        <v>3</v>
      </c>
      <c r="D3608" s="39">
        <v>169</v>
      </c>
      <c r="E3608" s="1"/>
      <c r="F3608" s="39">
        <f t="shared" si="242"/>
        <v>1</v>
      </c>
      <c r="G3608" s="497"/>
      <c r="H3608" s="497"/>
      <c r="J3608" s="42"/>
    </row>
    <row r="3609" spans="1:10" x14ac:dyDescent="0.25">
      <c r="A3609" s="19" t="s">
        <v>31</v>
      </c>
      <c r="B3609" s="2">
        <v>44043</v>
      </c>
      <c r="C3609" s="1">
        <v>9</v>
      </c>
      <c r="D3609" s="39">
        <v>812</v>
      </c>
      <c r="E3609" s="1">
        <v>1</v>
      </c>
      <c r="F3609" s="39">
        <f t="shared" si="242"/>
        <v>8</v>
      </c>
    </row>
    <row r="3610" spans="1:10" s="360" customFormat="1" x14ac:dyDescent="0.25">
      <c r="A3610" s="19" t="s">
        <v>41</v>
      </c>
      <c r="B3610" s="2">
        <v>44043</v>
      </c>
      <c r="C3610" s="1">
        <v>0</v>
      </c>
      <c r="D3610" s="39">
        <v>82</v>
      </c>
      <c r="E3610" s="1"/>
      <c r="F3610" s="39">
        <f>E3610+F3586</f>
        <v>0</v>
      </c>
      <c r="G3610" s="497"/>
      <c r="H3610" s="497"/>
      <c r="J3610" s="42"/>
    </row>
    <row r="3611" spans="1:10" s="360" customFormat="1" x14ac:dyDescent="0.25">
      <c r="A3611" s="19" t="s">
        <v>32</v>
      </c>
      <c r="B3611" s="2">
        <v>44043</v>
      </c>
      <c r="C3611" s="1">
        <v>238</v>
      </c>
      <c r="D3611" s="39">
        <v>2249</v>
      </c>
      <c r="E3611" s="1"/>
      <c r="F3611" s="39">
        <f t="shared" ref="F3611:F3620" si="243">E3611+F3586</f>
        <v>0</v>
      </c>
      <c r="G3611" s="497"/>
      <c r="H3611" s="497"/>
      <c r="J3611" s="42"/>
    </row>
    <row r="3612" spans="1:10" s="360" customFormat="1" x14ac:dyDescent="0.25">
      <c r="A3612" s="19" t="s">
        <v>33</v>
      </c>
      <c r="B3612" s="2">
        <v>44043</v>
      </c>
      <c r="C3612" s="1">
        <v>42</v>
      </c>
      <c r="D3612" s="39">
        <v>117</v>
      </c>
      <c r="E3612" s="1"/>
      <c r="F3612" s="39">
        <f t="shared" si="243"/>
        <v>0</v>
      </c>
      <c r="G3612" s="497"/>
      <c r="H3612" s="497"/>
      <c r="J3612" s="42"/>
    </row>
    <row r="3613" spans="1:10" s="360" customFormat="1" x14ac:dyDescent="0.25">
      <c r="A3613" s="19" t="s">
        <v>21</v>
      </c>
      <c r="B3613" s="2">
        <v>44043</v>
      </c>
      <c r="C3613" s="1">
        <v>36</v>
      </c>
      <c r="D3613" s="39">
        <v>337</v>
      </c>
      <c r="E3613" s="1"/>
      <c r="F3613" s="39">
        <f t="shared" si="243"/>
        <v>0</v>
      </c>
      <c r="G3613" s="497"/>
      <c r="H3613" s="497"/>
      <c r="J3613" s="42"/>
    </row>
    <row r="3614" spans="1:10" s="360" customFormat="1" x14ac:dyDescent="0.25">
      <c r="A3614" s="19" t="s">
        <v>17</v>
      </c>
      <c r="B3614" s="2">
        <v>44043</v>
      </c>
      <c r="C3614" s="1">
        <v>124</v>
      </c>
      <c r="D3614" s="39">
        <v>1211</v>
      </c>
      <c r="E3614" s="1">
        <v>1</v>
      </c>
      <c r="F3614" s="39">
        <f t="shared" si="243"/>
        <v>1</v>
      </c>
      <c r="G3614" s="497"/>
      <c r="H3614" s="497"/>
      <c r="J3614" s="42"/>
    </row>
    <row r="3615" spans="1:10" s="360" customFormat="1" x14ac:dyDescent="0.25">
      <c r="A3615" s="19" t="s">
        <v>23</v>
      </c>
      <c r="B3615" s="2">
        <v>44043</v>
      </c>
      <c r="C3615" s="1">
        <v>6</v>
      </c>
      <c r="D3615" s="39">
        <v>59</v>
      </c>
      <c r="E3615" s="1"/>
      <c r="F3615" s="39">
        <f t="shared" si="243"/>
        <v>1</v>
      </c>
      <c r="G3615" s="497"/>
      <c r="H3615" s="497"/>
      <c r="J3615" s="42"/>
    </row>
    <row r="3616" spans="1:10" s="360" customFormat="1" x14ac:dyDescent="0.25">
      <c r="A3616" s="19" t="s">
        <v>19</v>
      </c>
      <c r="B3616" s="2">
        <v>44043</v>
      </c>
      <c r="C3616" s="1">
        <v>35</v>
      </c>
      <c r="D3616" s="39">
        <v>1178</v>
      </c>
      <c r="E3616" s="1"/>
      <c r="F3616" s="39">
        <f t="shared" si="243"/>
        <v>4</v>
      </c>
      <c r="G3616" s="497"/>
      <c r="H3616" s="497"/>
      <c r="J3616" s="42"/>
    </row>
    <row r="3617" spans="1:10" s="360" customFormat="1" x14ac:dyDescent="0.25">
      <c r="A3617" s="19" t="s">
        <v>18</v>
      </c>
      <c r="B3617" s="2">
        <v>44043</v>
      </c>
      <c r="C3617" s="1">
        <v>104</v>
      </c>
      <c r="D3617" s="39">
        <v>1947</v>
      </c>
      <c r="E3617" s="1">
        <v>2</v>
      </c>
      <c r="F3617" s="39">
        <f t="shared" si="243"/>
        <v>5</v>
      </c>
      <c r="G3617" s="497"/>
      <c r="H3617" s="497"/>
      <c r="J3617" s="42"/>
    </row>
    <row r="3618" spans="1:10" s="360" customFormat="1" x14ac:dyDescent="0.25">
      <c r="A3618" s="19" t="s">
        <v>34</v>
      </c>
      <c r="B3618" s="2">
        <v>44043</v>
      </c>
      <c r="C3618" s="1">
        <v>7</v>
      </c>
      <c r="D3618" s="39">
        <v>263</v>
      </c>
      <c r="E3618" s="1"/>
      <c r="F3618" s="39">
        <f t="shared" si="243"/>
        <v>2</v>
      </c>
      <c r="G3618" s="497"/>
      <c r="H3618" s="497"/>
      <c r="J3618" s="42"/>
    </row>
    <row r="3619" spans="1:10" s="360" customFormat="1" x14ac:dyDescent="0.25">
      <c r="A3619" s="19" t="s">
        <v>35</v>
      </c>
      <c r="B3619" s="2">
        <v>44043</v>
      </c>
      <c r="C3619" s="1">
        <v>-1</v>
      </c>
      <c r="D3619" s="39">
        <v>20</v>
      </c>
      <c r="E3619" s="1"/>
      <c r="F3619" s="39">
        <f>E3619+F3595</f>
        <v>0</v>
      </c>
      <c r="G3619" s="497"/>
      <c r="H3619" s="497"/>
      <c r="J3619" s="42"/>
    </row>
    <row r="3620" spans="1:10" s="360" customFormat="1" x14ac:dyDescent="0.25">
      <c r="A3620" s="19" t="s">
        <v>36</v>
      </c>
      <c r="B3620" s="2">
        <v>44043</v>
      </c>
      <c r="C3620" s="1">
        <v>-1</v>
      </c>
      <c r="D3620" s="39">
        <v>26</v>
      </c>
      <c r="E3620" s="1"/>
      <c r="F3620" s="39">
        <f t="shared" si="243"/>
        <v>0</v>
      </c>
      <c r="G3620" s="497"/>
      <c r="H3620" s="497"/>
      <c r="J3620" s="42"/>
    </row>
    <row r="3621" spans="1:10" s="360" customFormat="1" x14ac:dyDescent="0.25">
      <c r="A3621" s="19" t="s">
        <v>37</v>
      </c>
      <c r="B3621" s="2">
        <v>44043</v>
      </c>
      <c r="C3621" s="1">
        <v>25</v>
      </c>
      <c r="D3621" s="39">
        <v>454</v>
      </c>
      <c r="E3621" s="1">
        <v>1</v>
      </c>
      <c r="F3621" s="39">
        <f t="shared" ref="F3621:F3626" si="244">E3621+F3597</f>
        <v>2</v>
      </c>
      <c r="G3621" s="497"/>
      <c r="H3621" s="497"/>
      <c r="J3621" s="42"/>
    </row>
    <row r="3622" spans="1:10" s="360" customFormat="1" x14ac:dyDescent="0.25">
      <c r="A3622" s="19" t="s">
        <v>22</v>
      </c>
      <c r="B3622" s="2">
        <v>44043</v>
      </c>
      <c r="C3622" s="1">
        <v>63</v>
      </c>
      <c r="D3622" s="39">
        <v>1216</v>
      </c>
      <c r="E3622" s="1">
        <v>1</v>
      </c>
      <c r="F3622" s="39">
        <f t="shared" si="244"/>
        <v>13</v>
      </c>
      <c r="G3622" s="497"/>
      <c r="H3622" s="497"/>
      <c r="J3622" s="42"/>
    </row>
    <row r="3623" spans="1:10" s="360" customFormat="1" x14ac:dyDescent="0.25">
      <c r="A3623" s="19" t="s">
        <v>38</v>
      </c>
      <c r="B3623" s="2">
        <v>44043</v>
      </c>
      <c r="C3623" s="1">
        <v>-1</v>
      </c>
      <c r="D3623" s="39">
        <v>45</v>
      </c>
      <c r="E3623" s="1"/>
      <c r="F3623" s="39">
        <f t="shared" si="244"/>
        <v>1</v>
      </c>
      <c r="G3623" s="497"/>
      <c r="H3623" s="497"/>
      <c r="J3623" s="42"/>
    </row>
    <row r="3624" spans="1:10" s="360" customFormat="1" x14ac:dyDescent="0.25">
      <c r="A3624" s="19" t="s">
        <v>39</v>
      </c>
      <c r="B3624" s="2">
        <v>44043</v>
      </c>
      <c r="C3624" s="1">
        <v>12</v>
      </c>
      <c r="D3624" s="39">
        <v>458</v>
      </c>
      <c r="E3624" s="1"/>
      <c r="F3624" s="39">
        <f t="shared" si="244"/>
        <v>1</v>
      </c>
      <c r="G3624" s="497"/>
      <c r="H3624" s="497"/>
      <c r="J3624" s="42"/>
    </row>
    <row r="3625" spans="1:10" s="360" customFormat="1" x14ac:dyDescent="0.25">
      <c r="A3625" s="19" t="s">
        <v>40</v>
      </c>
      <c r="B3625" s="2">
        <v>44043</v>
      </c>
      <c r="C3625" s="1">
        <v>8</v>
      </c>
      <c r="D3625" s="39">
        <v>211</v>
      </c>
      <c r="E3625" s="1"/>
      <c r="F3625" s="39">
        <f t="shared" si="244"/>
        <v>4</v>
      </c>
      <c r="G3625" s="497"/>
      <c r="H3625" s="497"/>
      <c r="J3625" s="42"/>
    </row>
    <row r="3626" spans="1:10" s="360" customFormat="1" x14ac:dyDescent="0.25">
      <c r="A3626" s="361" t="s">
        <v>16</v>
      </c>
      <c r="B3626" s="2">
        <v>44044</v>
      </c>
      <c r="C3626" s="1">
        <v>3586</v>
      </c>
      <c r="D3626" s="39">
        <v>118155</v>
      </c>
      <c r="E3626" s="1">
        <v>35</v>
      </c>
      <c r="F3626" s="39">
        <f t="shared" si="244"/>
        <v>1946</v>
      </c>
      <c r="G3626" s="497"/>
      <c r="H3626" s="497"/>
      <c r="J3626" s="42"/>
    </row>
    <row r="3627" spans="1:10" s="360" customFormat="1" x14ac:dyDescent="0.25">
      <c r="A3627" s="19" t="s">
        <v>28</v>
      </c>
      <c r="B3627" s="2">
        <v>44044</v>
      </c>
      <c r="C3627" s="1">
        <v>0</v>
      </c>
      <c r="D3627" s="39">
        <v>61</v>
      </c>
      <c r="E3627" s="1"/>
      <c r="F3627" s="39">
        <f t="shared" ref="F3627:F3633" si="245">E3627+F3603</f>
        <v>0</v>
      </c>
      <c r="G3627" s="497"/>
      <c r="H3627" s="497"/>
      <c r="J3627" s="42"/>
    </row>
    <row r="3628" spans="1:10" s="360" customFormat="1" x14ac:dyDescent="0.25">
      <c r="A3628" s="19" t="s">
        <v>15</v>
      </c>
      <c r="B3628" s="2">
        <v>44044</v>
      </c>
      <c r="C3628" s="1">
        <v>59</v>
      </c>
      <c r="D3628" s="39">
        <v>3638</v>
      </c>
      <c r="E3628" s="1"/>
      <c r="F3628" s="39">
        <f t="shared" si="245"/>
        <v>141</v>
      </c>
      <c r="G3628" s="497"/>
      <c r="H3628" s="497"/>
      <c r="J3628" s="42"/>
    </row>
    <row r="3629" spans="1:10" s="360" customFormat="1" x14ac:dyDescent="0.25">
      <c r="A3629" s="19" t="s">
        <v>29</v>
      </c>
      <c r="B3629" s="2">
        <v>44044</v>
      </c>
      <c r="C3629" s="1">
        <v>10</v>
      </c>
      <c r="D3629" s="39">
        <v>286</v>
      </c>
      <c r="E3629" s="1"/>
      <c r="F3629" s="39">
        <f t="shared" si="245"/>
        <v>4</v>
      </c>
      <c r="G3629" s="497"/>
      <c r="H3629" s="497"/>
      <c r="J3629" s="42"/>
    </row>
    <row r="3630" spans="1:10" s="360" customFormat="1" x14ac:dyDescent="0.25">
      <c r="A3630" s="19" t="s">
        <v>43</v>
      </c>
      <c r="B3630" s="2">
        <v>44044</v>
      </c>
      <c r="C3630" s="1">
        <v>968</v>
      </c>
      <c r="D3630" s="39">
        <v>60655</v>
      </c>
      <c r="E3630" s="1">
        <v>13</v>
      </c>
      <c r="F3630" s="39">
        <f t="shared" si="245"/>
        <v>1241</v>
      </c>
      <c r="G3630" s="497"/>
      <c r="H3630" s="497"/>
      <c r="J3630" s="42"/>
    </row>
    <row r="3631" spans="1:10" s="360" customFormat="1" x14ac:dyDescent="0.25">
      <c r="A3631" s="19" t="s">
        <v>20</v>
      </c>
      <c r="B3631" s="2">
        <v>44044</v>
      </c>
      <c r="C3631" s="1">
        <v>91</v>
      </c>
      <c r="D3631" s="39">
        <v>2350</v>
      </c>
      <c r="E3631" s="1">
        <v>2</v>
      </c>
      <c r="F3631" s="39">
        <f t="shared" si="245"/>
        <v>45</v>
      </c>
      <c r="G3631" s="497"/>
      <c r="H3631" s="497"/>
      <c r="J3631" s="42"/>
    </row>
    <row r="3632" spans="1:10" s="360" customFormat="1" x14ac:dyDescent="0.25">
      <c r="A3632" s="19" t="s">
        <v>30</v>
      </c>
      <c r="B3632" s="2">
        <v>44044</v>
      </c>
      <c r="C3632" s="1">
        <v>25</v>
      </c>
      <c r="D3632" s="39">
        <v>194</v>
      </c>
      <c r="E3632" s="1"/>
      <c r="F3632" s="39">
        <f t="shared" si="245"/>
        <v>1</v>
      </c>
      <c r="G3632" s="497"/>
      <c r="H3632" s="497"/>
      <c r="J3632" s="42"/>
    </row>
    <row r="3633" spans="1:10" x14ac:dyDescent="0.25">
      <c r="A3633" s="19" t="s">
        <v>31</v>
      </c>
      <c r="B3633" s="2">
        <v>44044</v>
      </c>
      <c r="C3633" s="1">
        <v>14</v>
      </c>
      <c r="D3633" s="39">
        <v>826</v>
      </c>
      <c r="F3633" s="39">
        <f t="shared" si="245"/>
        <v>8</v>
      </c>
    </row>
    <row r="3634" spans="1:10" s="360" customFormat="1" x14ac:dyDescent="0.25">
      <c r="A3634" s="19" t="s">
        <v>41</v>
      </c>
      <c r="B3634" s="2">
        <v>44044</v>
      </c>
      <c r="C3634" s="1">
        <v>0</v>
      </c>
      <c r="D3634" s="39">
        <v>82</v>
      </c>
      <c r="E3634" s="1"/>
      <c r="F3634" s="39">
        <f>E3634+F3610</f>
        <v>0</v>
      </c>
      <c r="G3634" s="497"/>
      <c r="H3634" s="497"/>
      <c r="J3634" s="42"/>
    </row>
    <row r="3635" spans="1:10" s="360" customFormat="1" x14ac:dyDescent="0.25">
      <c r="A3635" s="19" t="s">
        <v>32</v>
      </c>
      <c r="B3635" s="2">
        <v>44044</v>
      </c>
      <c r="C3635" s="1">
        <v>85</v>
      </c>
      <c r="D3635" s="39">
        <v>2334</v>
      </c>
      <c r="E3635" s="1"/>
      <c r="F3635" s="39">
        <f t="shared" ref="F3635:F3644" si="246">E3635+F3610</f>
        <v>0</v>
      </c>
      <c r="G3635" s="497"/>
      <c r="H3635" s="497"/>
      <c r="J3635" s="42"/>
    </row>
    <row r="3636" spans="1:10" s="360" customFormat="1" x14ac:dyDescent="0.25">
      <c r="A3636" s="19" t="s">
        <v>33</v>
      </c>
      <c r="B3636" s="2">
        <v>44044</v>
      </c>
      <c r="C3636" s="1">
        <v>29</v>
      </c>
      <c r="D3636" s="39">
        <v>146</v>
      </c>
      <c r="E3636" s="1"/>
      <c r="F3636" s="39">
        <f t="shared" si="246"/>
        <v>0</v>
      </c>
      <c r="G3636" s="497"/>
      <c r="H3636" s="497"/>
      <c r="J3636" s="42"/>
    </row>
    <row r="3637" spans="1:10" s="360" customFormat="1" x14ac:dyDescent="0.25">
      <c r="A3637" s="19" t="s">
        <v>21</v>
      </c>
      <c r="B3637" s="2">
        <v>44044</v>
      </c>
      <c r="C3637" s="1">
        <v>3</v>
      </c>
      <c r="D3637" s="39">
        <v>340</v>
      </c>
      <c r="E3637" s="1">
        <v>2</v>
      </c>
      <c r="F3637" s="39">
        <f t="shared" si="246"/>
        <v>2</v>
      </c>
      <c r="G3637" s="497"/>
      <c r="H3637" s="497"/>
      <c r="J3637" s="42"/>
    </row>
    <row r="3638" spans="1:10" s="360" customFormat="1" x14ac:dyDescent="0.25">
      <c r="A3638" s="19" t="s">
        <v>17</v>
      </c>
      <c r="B3638" s="2">
        <v>44044</v>
      </c>
      <c r="C3638" s="1">
        <v>84</v>
      </c>
      <c r="D3638" s="39">
        <v>1295</v>
      </c>
      <c r="E3638" s="1">
        <v>1</v>
      </c>
      <c r="F3638" s="39">
        <f t="shared" si="246"/>
        <v>1</v>
      </c>
      <c r="G3638" s="497"/>
      <c r="H3638" s="497"/>
      <c r="J3638" s="42"/>
    </row>
    <row r="3639" spans="1:10" s="360" customFormat="1" x14ac:dyDescent="0.25">
      <c r="A3639" s="19" t="s">
        <v>23</v>
      </c>
      <c r="B3639" s="2">
        <v>44044</v>
      </c>
      <c r="C3639" s="1">
        <v>-1</v>
      </c>
      <c r="D3639" s="39">
        <v>58</v>
      </c>
      <c r="E3639" s="1"/>
      <c r="F3639" s="39">
        <f t="shared" si="246"/>
        <v>1</v>
      </c>
      <c r="G3639" s="497"/>
      <c r="H3639" s="497"/>
      <c r="J3639" s="42"/>
    </row>
    <row r="3640" spans="1:10" s="360" customFormat="1" x14ac:dyDescent="0.25">
      <c r="A3640" s="19" t="s">
        <v>19</v>
      </c>
      <c r="B3640" s="2">
        <v>44044</v>
      </c>
      <c r="C3640" s="1">
        <v>8</v>
      </c>
      <c r="D3640" s="39">
        <v>1186</v>
      </c>
      <c r="E3640" s="1"/>
      <c r="F3640" s="39">
        <f t="shared" si="246"/>
        <v>1</v>
      </c>
      <c r="G3640" s="497"/>
      <c r="H3640" s="497"/>
      <c r="J3640" s="42"/>
    </row>
    <row r="3641" spans="1:10" s="360" customFormat="1" x14ac:dyDescent="0.25">
      <c r="A3641" s="19" t="s">
        <v>18</v>
      </c>
      <c r="B3641" s="2">
        <v>44044</v>
      </c>
      <c r="C3641" s="1">
        <v>60</v>
      </c>
      <c r="D3641" s="39">
        <v>2007</v>
      </c>
      <c r="E3641" s="1"/>
      <c r="F3641" s="39">
        <f t="shared" si="246"/>
        <v>4</v>
      </c>
      <c r="G3641" s="497"/>
      <c r="H3641" s="497"/>
      <c r="J3641" s="42"/>
    </row>
    <row r="3642" spans="1:10" s="360" customFormat="1" x14ac:dyDescent="0.25">
      <c r="A3642" s="19" t="s">
        <v>34</v>
      </c>
      <c r="B3642" s="2">
        <v>44044</v>
      </c>
      <c r="C3642" s="1">
        <v>22</v>
      </c>
      <c r="D3642" s="39">
        <v>285</v>
      </c>
      <c r="E3642" s="1"/>
      <c r="F3642" s="39">
        <f t="shared" si="246"/>
        <v>5</v>
      </c>
      <c r="G3642" s="497"/>
      <c r="H3642" s="497"/>
      <c r="J3642" s="42"/>
    </row>
    <row r="3643" spans="1:10" s="360" customFormat="1" x14ac:dyDescent="0.25">
      <c r="A3643" s="19" t="s">
        <v>35</v>
      </c>
      <c r="B3643" s="2">
        <v>44044</v>
      </c>
      <c r="C3643" s="1">
        <v>0</v>
      </c>
      <c r="D3643" s="39">
        <v>20</v>
      </c>
      <c r="E3643" s="1"/>
      <c r="F3643" s="39">
        <f>E3643+F3619</f>
        <v>0</v>
      </c>
      <c r="G3643" s="497"/>
      <c r="H3643" s="497"/>
      <c r="J3643" s="42"/>
    </row>
    <row r="3644" spans="1:10" s="360" customFormat="1" x14ac:dyDescent="0.25">
      <c r="A3644" s="19" t="s">
        <v>36</v>
      </c>
      <c r="B3644" s="2">
        <v>44044</v>
      </c>
      <c r="C3644" s="1">
        <v>2</v>
      </c>
      <c r="D3644" s="39">
        <v>28</v>
      </c>
      <c r="E3644" s="1"/>
      <c r="F3644" s="39">
        <f t="shared" si="246"/>
        <v>0</v>
      </c>
      <c r="G3644" s="497"/>
      <c r="H3644" s="497"/>
      <c r="J3644" s="42"/>
    </row>
    <row r="3645" spans="1:10" s="360" customFormat="1" x14ac:dyDescent="0.25">
      <c r="A3645" s="19" t="s">
        <v>37</v>
      </c>
      <c r="B3645" s="2">
        <v>44044</v>
      </c>
      <c r="C3645" s="1">
        <v>49</v>
      </c>
      <c r="D3645" s="39">
        <v>503</v>
      </c>
      <c r="E3645" s="1"/>
      <c r="F3645" s="39">
        <f t="shared" ref="F3645:F3650" si="247">E3645+F3621</f>
        <v>2</v>
      </c>
      <c r="G3645" s="497"/>
      <c r="H3645" s="497"/>
      <c r="J3645" s="42"/>
    </row>
    <row r="3646" spans="1:10" s="360" customFormat="1" x14ac:dyDescent="0.25">
      <c r="A3646" s="19" t="s">
        <v>22</v>
      </c>
      <c r="B3646" s="2">
        <v>44044</v>
      </c>
      <c r="C3646" s="1">
        <v>78</v>
      </c>
      <c r="D3646" s="39">
        <v>1294</v>
      </c>
      <c r="E3646" s="1"/>
      <c r="F3646" s="39">
        <f t="shared" si="247"/>
        <v>13</v>
      </c>
      <c r="G3646" s="497"/>
      <c r="H3646" s="497"/>
      <c r="J3646" s="42"/>
    </row>
    <row r="3647" spans="1:10" s="360" customFormat="1" x14ac:dyDescent="0.25">
      <c r="A3647" s="19" t="s">
        <v>38</v>
      </c>
      <c r="B3647" s="2">
        <v>44044</v>
      </c>
      <c r="C3647" s="1">
        <v>2</v>
      </c>
      <c r="D3647" s="39">
        <v>47</v>
      </c>
      <c r="E3647" s="1"/>
      <c r="F3647" s="39">
        <f t="shared" si="247"/>
        <v>1</v>
      </c>
      <c r="G3647" s="497"/>
      <c r="H3647" s="497"/>
      <c r="J3647" s="42"/>
    </row>
    <row r="3648" spans="1:10" s="360" customFormat="1" x14ac:dyDescent="0.25">
      <c r="A3648" s="19" t="s">
        <v>39</v>
      </c>
      <c r="B3648" s="2">
        <v>44044</v>
      </c>
      <c r="C3648" s="1">
        <v>47</v>
      </c>
      <c r="D3648" s="39">
        <v>505</v>
      </c>
      <c r="E3648" s="1"/>
      <c r="F3648" s="39">
        <f t="shared" si="247"/>
        <v>1</v>
      </c>
      <c r="G3648" s="497"/>
      <c r="H3648" s="497"/>
      <c r="J3648" s="42"/>
    </row>
    <row r="3649" spans="1:10" s="360" customFormat="1" x14ac:dyDescent="0.25">
      <c r="A3649" s="19" t="s">
        <v>40</v>
      </c>
      <c r="B3649" s="2">
        <v>44044</v>
      </c>
      <c r="C3649" s="1">
        <v>20</v>
      </c>
      <c r="D3649" s="39">
        <v>231</v>
      </c>
      <c r="E3649" s="1"/>
      <c r="F3649" s="39">
        <f t="shared" si="247"/>
        <v>4</v>
      </c>
      <c r="G3649" s="497"/>
      <c r="H3649" s="497"/>
      <c r="J3649" s="42"/>
    </row>
    <row r="3650" spans="1:10" s="360" customFormat="1" x14ac:dyDescent="0.25">
      <c r="A3650" s="361" t="s">
        <v>16</v>
      </c>
      <c r="B3650" s="2">
        <v>44045</v>
      </c>
      <c r="C3650" s="1">
        <v>3797</v>
      </c>
      <c r="D3650" s="39">
        <v>121952</v>
      </c>
      <c r="E3650" s="1">
        <v>35</v>
      </c>
      <c r="F3650" s="39">
        <f t="shared" si="247"/>
        <v>1981</v>
      </c>
      <c r="G3650" s="497"/>
      <c r="H3650" s="497"/>
      <c r="J3650" s="42"/>
    </row>
    <row r="3651" spans="1:10" s="360" customFormat="1" x14ac:dyDescent="0.25">
      <c r="A3651" s="19" t="s">
        <v>28</v>
      </c>
      <c r="B3651" s="2">
        <v>44045</v>
      </c>
      <c r="C3651" s="1">
        <v>2</v>
      </c>
      <c r="D3651" s="39">
        <v>63</v>
      </c>
      <c r="E3651" s="1"/>
      <c r="F3651" s="39">
        <f t="shared" ref="F3651:F3657" si="248">E3651+F3627</f>
        <v>0</v>
      </c>
      <c r="G3651" s="497"/>
      <c r="H3651" s="497"/>
      <c r="J3651" s="42"/>
    </row>
    <row r="3652" spans="1:10" s="360" customFormat="1" x14ac:dyDescent="0.25">
      <c r="A3652" s="19" t="s">
        <v>15</v>
      </c>
      <c r="B3652" s="2">
        <v>44045</v>
      </c>
      <c r="C3652" s="1">
        <v>33</v>
      </c>
      <c r="D3652" s="39">
        <v>3671</v>
      </c>
      <c r="E3652" s="1">
        <v>1</v>
      </c>
      <c r="F3652" s="39">
        <f t="shared" si="248"/>
        <v>142</v>
      </c>
      <c r="G3652" s="497"/>
      <c r="H3652" s="497"/>
      <c r="J3652" s="42"/>
    </row>
    <row r="3653" spans="1:10" s="360" customFormat="1" x14ac:dyDescent="0.25">
      <c r="A3653" s="19" t="s">
        <v>29</v>
      </c>
      <c r="B3653" s="2">
        <v>44045</v>
      </c>
      <c r="C3653" s="1">
        <v>2</v>
      </c>
      <c r="D3653" s="39">
        <v>288</v>
      </c>
      <c r="E3653" s="1"/>
      <c r="F3653" s="39">
        <f t="shared" si="248"/>
        <v>4</v>
      </c>
      <c r="G3653" s="497"/>
      <c r="H3653" s="497"/>
      <c r="J3653" s="42"/>
    </row>
    <row r="3654" spans="1:10" s="360" customFormat="1" x14ac:dyDescent="0.25">
      <c r="A3654" s="19" t="s">
        <v>43</v>
      </c>
      <c r="B3654" s="2">
        <v>44045</v>
      </c>
      <c r="C3654" s="1">
        <v>971</v>
      </c>
      <c r="D3654" s="39">
        <v>61626</v>
      </c>
      <c r="E3654" s="1">
        <v>6</v>
      </c>
      <c r="F3654" s="39">
        <f t="shared" si="248"/>
        <v>1247</v>
      </c>
      <c r="G3654" s="497"/>
      <c r="H3654" s="497"/>
      <c r="J3654" s="42"/>
    </row>
    <row r="3655" spans="1:10" s="360" customFormat="1" x14ac:dyDescent="0.25">
      <c r="A3655" s="19" t="s">
        <v>20</v>
      </c>
      <c r="B3655" s="2">
        <v>44045</v>
      </c>
      <c r="C3655" s="1">
        <v>87</v>
      </c>
      <c r="D3655" s="39">
        <v>2437</v>
      </c>
      <c r="E3655" s="1">
        <v>1</v>
      </c>
      <c r="F3655" s="39">
        <f t="shared" si="248"/>
        <v>46</v>
      </c>
      <c r="G3655" s="497"/>
      <c r="H3655" s="497"/>
      <c r="J3655" s="42"/>
    </row>
    <row r="3656" spans="1:10" s="360" customFormat="1" x14ac:dyDescent="0.25">
      <c r="A3656" s="19" t="s">
        <v>30</v>
      </c>
      <c r="B3656" s="2">
        <v>44045</v>
      </c>
      <c r="C3656" s="1">
        <v>4</v>
      </c>
      <c r="D3656" s="39">
        <v>198</v>
      </c>
      <c r="E3656" s="1"/>
      <c r="F3656" s="39">
        <f t="shared" si="248"/>
        <v>1</v>
      </c>
      <c r="G3656" s="497"/>
      <c r="H3656" s="497"/>
      <c r="J3656" s="42"/>
    </row>
    <row r="3657" spans="1:10" x14ac:dyDescent="0.25">
      <c r="A3657" s="19" t="s">
        <v>31</v>
      </c>
      <c r="B3657" s="2">
        <v>44045</v>
      </c>
      <c r="C3657" s="1">
        <v>20</v>
      </c>
      <c r="D3657" s="39">
        <v>846</v>
      </c>
      <c r="F3657" s="39">
        <f t="shared" si="248"/>
        <v>8</v>
      </c>
    </row>
    <row r="3658" spans="1:10" s="360" customFormat="1" x14ac:dyDescent="0.25">
      <c r="A3658" s="19" t="s">
        <v>41</v>
      </c>
      <c r="B3658" s="2">
        <v>44045</v>
      </c>
      <c r="C3658" s="1">
        <v>0</v>
      </c>
      <c r="D3658" s="39">
        <v>82</v>
      </c>
      <c r="E3658" s="1"/>
      <c r="F3658" s="39">
        <f>E3658+F3634</f>
        <v>0</v>
      </c>
      <c r="G3658" s="497"/>
      <c r="H3658" s="497"/>
      <c r="J3658" s="42"/>
    </row>
    <row r="3659" spans="1:10" s="360" customFormat="1" x14ac:dyDescent="0.25">
      <c r="A3659" s="19" t="s">
        <v>32</v>
      </c>
      <c r="B3659" s="2">
        <v>44045</v>
      </c>
      <c r="C3659" s="1">
        <v>38</v>
      </c>
      <c r="D3659" s="39">
        <v>2372</v>
      </c>
      <c r="E3659" s="1"/>
      <c r="F3659" s="39">
        <f t="shared" ref="F3659:F3668" si="249">E3659+F3634</f>
        <v>0</v>
      </c>
      <c r="G3659" s="497"/>
      <c r="H3659" s="497"/>
      <c r="J3659" s="42"/>
    </row>
    <row r="3660" spans="1:10" s="360" customFormat="1" x14ac:dyDescent="0.25">
      <c r="A3660" s="19" t="s">
        <v>33</v>
      </c>
      <c r="B3660" s="2">
        <v>44045</v>
      </c>
      <c r="C3660" s="1">
        <v>7</v>
      </c>
      <c r="D3660" s="39">
        <v>153</v>
      </c>
      <c r="E3660" s="1"/>
      <c r="F3660" s="39">
        <f t="shared" si="249"/>
        <v>0</v>
      </c>
      <c r="G3660" s="497"/>
      <c r="H3660" s="497"/>
      <c r="J3660" s="42"/>
    </row>
    <row r="3661" spans="1:10" s="360" customFormat="1" x14ac:dyDescent="0.25">
      <c r="A3661" s="19" t="s">
        <v>21</v>
      </c>
      <c r="B3661" s="2">
        <v>44045</v>
      </c>
      <c r="C3661" s="1">
        <v>7</v>
      </c>
      <c r="D3661" s="39">
        <v>347</v>
      </c>
      <c r="E3661" s="1"/>
      <c r="F3661" s="39">
        <f t="shared" si="249"/>
        <v>0</v>
      </c>
      <c r="G3661" s="497"/>
      <c r="H3661" s="497"/>
      <c r="J3661" s="42"/>
    </row>
    <row r="3662" spans="1:10" s="360" customFormat="1" x14ac:dyDescent="0.25">
      <c r="A3662" s="19" t="s">
        <v>17</v>
      </c>
      <c r="B3662" s="2">
        <v>44045</v>
      </c>
      <c r="C3662" s="1">
        <v>95</v>
      </c>
      <c r="D3662" s="39">
        <v>1390</v>
      </c>
      <c r="E3662" s="1">
        <v>4</v>
      </c>
      <c r="F3662" s="39">
        <f t="shared" si="249"/>
        <v>6</v>
      </c>
      <c r="G3662" s="497"/>
      <c r="H3662" s="497"/>
      <c r="J3662" s="42"/>
    </row>
    <row r="3663" spans="1:10" s="360" customFormat="1" x14ac:dyDescent="0.25">
      <c r="A3663" s="19" t="s">
        <v>23</v>
      </c>
      <c r="B3663" s="2">
        <v>44045</v>
      </c>
      <c r="C3663" s="1">
        <v>6</v>
      </c>
      <c r="D3663" s="39">
        <v>64</v>
      </c>
      <c r="E3663" s="1"/>
      <c r="F3663" s="39">
        <f t="shared" si="249"/>
        <v>1</v>
      </c>
      <c r="G3663" s="497"/>
      <c r="H3663" s="497"/>
      <c r="J3663" s="42"/>
    </row>
    <row r="3664" spans="1:10" s="360" customFormat="1" x14ac:dyDescent="0.25">
      <c r="A3664" s="19" t="s">
        <v>19</v>
      </c>
      <c r="B3664" s="2">
        <v>44045</v>
      </c>
      <c r="C3664" s="1">
        <v>8</v>
      </c>
      <c r="D3664" s="39">
        <v>1194</v>
      </c>
      <c r="E3664" s="1"/>
      <c r="F3664" s="39">
        <f t="shared" si="249"/>
        <v>1</v>
      </c>
      <c r="G3664" s="497"/>
      <c r="H3664" s="497"/>
      <c r="J3664" s="42"/>
    </row>
    <row r="3665" spans="1:10" s="360" customFormat="1" x14ac:dyDescent="0.25">
      <c r="A3665" s="19" t="s">
        <v>18</v>
      </c>
      <c r="B3665" s="2">
        <v>44045</v>
      </c>
      <c r="C3665" s="1">
        <v>56</v>
      </c>
      <c r="D3665" s="39">
        <v>2063</v>
      </c>
      <c r="E3665" s="1"/>
      <c r="F3665" s="39">
        <f t="shared" si="249"/>
        <v>1</v>
      </c>
      <c r="G3665" s="497"/>
      <c r="H3665" s="497"/>
      <c r="J3665" s="42"/>
    </row>
    <row r="3666" spans="1:10" s="360" customFormat="1" x14ac:dyDescent="0.25">
      <c r="A3666" s="19" t="s">
        <v>34</v>
      </c>
      <c r="B3666" s="2">
        <v>44045</v>
      </c>
      <c r="C3666" s="1">
        <v>17</v>
      </c>
      <c r="D3666" s="39">
        <v>302</v>
      </c>
      <c r="E3666" s="1"/>
      <c r="F3666" s="39">
        <f t="shared" si="249"/>
        <v>4</v>
      </c>
      <c r="G3666" s="497"/>
      <c r="H3666" s="497"/>
      <c r="J3666" s="42"/>
    </row>
    <row r="3667" spans="1:10" s="360" customFormat="1" x14ac:dyDescent="0.25">
      <c r="A3667" s="19" t="s">
        <v>35</v>
      </c>
      <c r="B3667" s="2">
        <v>44045</v>
      </c>
      <c r="C3667" s="1">
        <v>0</v>
      </c>
      <c r="D3667" s="39">
        <v>20</v>
      </c>
      <c r="E3667" s="1"/>
      <c r="F3667" s="39">
        <f>E3667+F3643</f>
        <v>0</v>
      </c>
      <c r="G3667" s="497"/>
      <c r="H3667" s="497"/>
      <c r="J3667" s="42"/>
    </row>
    <row r="3668" spans="1:10" s="360" customFormat="1" x14ac:dyDescent="0.25">
      <c r="A3668" s="19" t="s">
        <v>36</v>
      </c>
      <c r="B3668" s="2">
        <v>44045</v>
      </c>
      <c r="C3668" s="1">
        <v>0</v>
      </c>
      <c r="D3668" s="39">
        <v>28</v>
      </c>
      <c r="E3668" s="1"/>
      <c r="F3668" s="39">
        <f t="shared" si="249"/>
        <v>0</v>
      </c>
      <c r="G3668" s="497"/>
      <c r="H3668" s="497"/>
      <c r="J3668" s="42"/>
    </row>
    <row r="3669" spans="1:10" s="360" customFormat="1" x14ac:dyDescent="0.25">
      <c r="A3669" s="19" t="s">
        <v>37</v>
      </c>
      <c r="B3669" s="2">
        <v>44045</v>
      </c>
      <c r="C3669" s="1">
        <v>18</v>
      </c>
      <c r="D3669" s="39">
        <v>521</v>
      </c>
      <c r="E3669" s="1"/>
      <c r="F3669" s="39">
        <f t="shared" ref="F3669:F3674" si="250">E3669+F3645</f>
        <v>2</v>
      </c>
      <c r="G3669" s="497"/>
      <c r="H3669" s="497"/>
      <c r="J3669" s="42"/>
    </row>
    <row r="3670" spans="1:10" s="360" customFormat="1" x14ac:dyDescent="0.25">
      <c r="A3670" s="19" t="s">
        <v>22</v>
      </c>
      <c r="B3670" s="2">
        <v>44045</v>
      </c>
      <c r="C3670" s="1">
        <v>78</v>
      </c>
      <c r="D3670" s="39">
        <v>1372</v>
      </c>
      <c r="E3670" s="1">
        <v>2</v>
      </c>
      <c r="F3670" s="39">
        <f t="shared" si="250"/>
        <v>15</v>
      </c>
      <c r="G3670" s="497"/>
      <c r="H3670" s="497"/>
      <c r="J3670" s="42"/>
    </row>
    <row r="3671" spans="1:10" s="360" customFormat="1" x14ac:dyDescent="0.25">
      <c r="A3671" s="19" t="s">
        <v>38</v>
      </c>
      <c r="B3671" s="2">
        <v>44045</v>
      </c>
      <c r="C3671" s="1">
        <v>0</v>
      </c>
      <c r="D3671" s="39">
        <v>47</v>
      </c>
      <c r="E3671" s="1"/>
      <c r="F3671" s="39">
        <f t="shared" si="250"/>
        <v>1</v>
      </c>
      <c r="G3671" s="497"/>
      <c r="H3671" s="497"/>
      <c r="J3671" s="42"/>
    </row>
    <row r="3672" spans="1:10" s="360" customFormat="1" x14ac:dyDescent="0.25">
      <c r="A3672" s="19" t="s">
        <v>39</v>
      </c>
      <c r="B3672" s="2">
        <v>44045</v>
      </c>
      <c r="C3672" s="1">
        <v>96</v>
      </c>
      <c r="D3672" s="39">
        <v>601</v>
      </c>
      <c r="E3672" s="1"/>
      <c r="F3672" s="39">
        <f t="shared" si="250"/>
        <v>1</v>
      </c>
      <c r="G3672" s="497"/>
      <c r="H3672" s="497"/>
      <c r="J3672" s="42"/>
    </row>
    <row r="3673" spans="1:10" s="360" customFormat="1" x14ac:dyDescent="0.25">
      <c r="A3673" s="19" t="s">
        <v>40</v>
      </c>
      <c r="B3673" s="2">
        <v>44045</v>
      </c>
      <c r="C3673" s="1">
        <v>34</v>
      </c>
      <c r="D3673" s="39">
        <v>265</v>
      </c>
      <c r="E3673" s="1"/>
      <c r="F3673" s="39">
        <f t="shared" si="250"/>
        <v>4</v>
      </c>
      <c r="G3673" s="497"/>
      <c r="H3673" s="497"/>
      <c r="J3673" s="42"/>
    </row>
    <row r="3674" spans="1:10" s="360" customFormat="1" x14ac:dyDescent="0.25">
      <c r="A3674" s="361" t="s">
        <v>16</v>
      </c>
      <c r="B3674" s="2">
        <v>44046</v>
      </c>
      <c r="C3674" s="1">
        <v>3158</v>
      </c>
      <c r="D3674" s="39">
        <v>125110</v>
      </c>
      <c r="E3674" s="1">
        <v>93</v>
      </c>
      <c r="F3674" s="39">
        <f t="shared" si="250"/>
        <v>2074</v>
      </c>
      <c r="G3674" s="497"/>
      <c r="H3674" s="497"/>
      <c r="J3674" s="42"/>
    </row>
    <row r="3675" spans="1:10" s="360" customFormat="1" x14ac:dyDescent="0.25">
      <c r="A3675" s="19" t="s">
        <v>28</v>
      </c>
      <c r="B3675" s="2">
        <v>44046</v>
      </c>
      <c r="C3675" s="1">
        <v>2</v>
      </c>
      <c r="D3675" s="39">
        <v>65</v>
      </c>
      <c r="E3675" s="1"/>
      <c r="F3675" s="39">
        <f t="shared" ref="F3675:F3681" si="251">E3675+F3651</f>
        <v>0</v>
      </c>
      <c r="G3675" s="497"/>
      <c r="H3675" s="497"/>
      <c r="J3675" s="42"/>
    </row>
    <row r="3676" spans="1:10" s="360" customFormat="1" x14ac:dyDescent="0.25">
      <c r="A3676" s="19" t="s">
        <v>15</v>
      </c>
      <c r="B3676" s="2">
        <v>44046</v>
      </c>
      <c r="C3676" s="1">
        <v>31</v>
      </c>
      <c r="D3676" s="39">
        <v>3702</v>
      </c>
      <c r="E3676" s="1">
        <f>1+2+3</f>
        <v>6</v>
      </c>
      <c r="F3676" s="39">
        <f t="shared" si="251"/>
        <v>148</v>
      </c>
      <c r="G3676" s="497"/>
      <c r="H3676" s="497"/>
      <c r="J3676" s="42"/>
    </row>
    <row r="3677" spans="1:10" s="360" customFormat="1" x14ac:dyDescent="0.25">
      <c r="A3677" s="19" t="s">
        <v>29</v>
      </c>
      <c r="B3677" s="2">
        <v>44046</v>
      </c>
      <c r="C3677" s="1">
        <v>5</v>
      </c>
      <c r="D3677" s="39">
        <v>293</v>
      </c>
      <c r="E3677" s="1"/>
      <c r="F3677" s="39">
        <f t="shared" si="251"/>
        <v>4</v>
      </c>
      <c r="G3677" s="497"/>
      <c r="H3677" s="497"/>
      <c r="J3677" s="42"/>
    </row>
    <row r="3678" spans="1:10" s="360" customFormat="1" x14ac:dyDescent="0.25">
      <c r="A3678" s="19" t="s">
        <v>43</v>
      </c>
      <c r="B3678" s="2">
        <v>44046</v>
      </c>
      <c r="C3678" s="1">
        <v>1051</v>
      </c>
      <c r="D3678" s="39">
        <v>62677</v>
      </c>
      <c r="E3678" s="1">
        <v>50</v>
      </c>
      <c r="F3678" s="39">
        <f t="shared" si="251"/>
        <v>1297</v>
      </c>
      <c r="G3678" s="497"/>
      <c r="H3678" s="497"/>
      <c r="J3678" s="42"/>
    </row>
    <row r="3679" spans="1:10" s="360" customFormat="1" x14ac:dyDescent="0.25">
      <c r="A3679" s="19" t="s">
        <v>20</v>
      </c>
      <c r="B3679" s="2">
        <v>44046</v>
      </c>
      <c r="C3679" s="1">
        <v>133</v>
      </c>
      <c r="D3679" s="39">
        <v>2570</v>
      </c>
      <c r="E3679" s="1"/>
      <c r="F3679" s="39">
        <f t="shared" si="251"/>
        <v>46</v>
      </c>
      <c r="G3679" s="497"/>
      <c r="H3679" s="497"/>
      <c r="J3679" s="42"/>
    </row>
    <row r="3680" spans="1:10" s="360" customFormat="1" x14ac:dyDescent="0.25">
      <c r="A3680" s="19" t="s">
        <v>30</v>
      </c>
      <c r="B3680" s="2">
        <v>44046</v>
      </c>
      <c r="C3680" s="1">
        <v>-2</v>
      </c>
      <c r="D3680" s="39">
        <v>196</v>
      </c>
      <c r="E3680" s="1"/>
      <c r="F3680" s="39">
        <f t="shared" si="251"/>
        <v>1</v>
      </c>
      <c r="G3680" s="497"/>
      <c r="H3680" s="497"/>
      <c r="J3680" s="42"/>
    </row>
    <row r="3681" spans="1:10" x14ac:dyDescent="0.25">
      <c r="A3681" s="19" t="s">
        <v>31</v>
      </c>
      <c r="B3681" s="2">
        <v>44046</v>
      </c>
      <c r="C3681" s="1">
        <v>29</v>
      </c>
      <c r="D3681" s="39">
        <v>875</v>
      </c>
      <c r="E3681" s="1">
        <v>2</v>
      </c>
      <c r="F3681" s="39">
        <f t="shared" si="251"/>
        <v>10</v>
      </c>
    </row>
    <row r="3682" spans="1:10" s="360" customFormat="1" x14ac:dyDescent="0.25">
      <c r="A3682" s="19" t="s">
        <v>41</v>
      </c>
      <c r="B3682" s="2">
        <v>44046</v>
      </c>
      <c r="C3682" s="1">
        <v>2</v>
      </c>
      <c r="D3682" s="39">
        <v>84</v>
      </c>
      <c r="E3682" s="1"/>
      <c r="F3682" s="39">
        <f>E3682+F3658</f>
        <v>0</v>
      </c>
      <c r="G3682" s="497"/>
      <c r="H3682" s="497"/>
      <c r="J3682" s="42"/>
    </row>
    <row r="3683" spans="1:10" s="360" customFormat="1" x14ac:dyDescent="0.25">
      <c r="A3683" s="19" t="s">
        <v>32</v>
      </c>
      <c r="B3683" s="2">
        <v>44046</v>
      </c>
      <c r="C3683" s="1">
        <v>102</v>
      </c>
      <c r="D3683" s="39">
        <v>2474</v>
      </c>
      <c r="E3683" s="1"/>
      <c r="F3683" s="39">
        <f t="shared" ref="F3683:F3692" si="252">E3683+F3658</f>
        <v>0</v>
      </c>
      <c r="G3683" s="497"/>
      <c r="H3683" s="497"/>
      <c r="J3683" s="42"/>
    </row>
    <row r="3684" spans="1:10" s="360" customFormat="1" x14ac:dyDescent="0.25">
      <c r="A3684" s="19" t="s">
        <v>33</v>
      </c>
      <c r="B3684" s="2">
        <v>44046</v>
      </c>
      <c r="C3684" s="1">
        <v>5</v>
      </c>
      <c r="D3684" s="39">
        <v>158</v>
      </c>
      <c r="E3684" s="1"/>
      <c r="F3684" s="39">
        <f t="shared" si="252"/>
        <v>0</v>
      </c>
      <c r="G3684" s="497"/>
      <c r="H3684" s="497"/>
      <c r="J3684" s="42"/>
    </row>
    <row r="3685" spans="1:10" s="360" customFormat="1" x14ac:dyDescent="0.25">
      <c r="A3685" s="19" t="s">
        <v>21</v>
      </c>
      <c r="B3685" s="2">
        <v>44046</v>
      </c>
      <c r="C3685" s="1">
        <v>5</v>
      </c>
      <c r="D3685" s="39">
        <v>352</v>
      </c>
      <c r="E3685" s="1"/>
      <c r="F3685" s="39">
        <f t="shared" si="252"/>
        <v>0</v>
      </c>
      <c r="G3685" s="497"/>
      <c r="H3685" s="497"/>
      <c r="J3685" s="42"/>
    </row>
    <row r="3686" spans="1:10" s="360" customFormat="1" x14ac:dyDescent="0.25">
      <c r="A3686" s="19" t="s">
        <v>17</v>
      </c>
      <c r="B3686" s="2">
        <v>44046</v>
      </c>
      <c r="C3686" s="1">
        <v>79</v>
      </c>
      <c r="D3686" s="39">
        <v>1469</v>
      </c>
      <c r="E3686" s="1">
        <f>3+3</f>
        <v>6</v>
      </c>
      <c r="F3686" s="39">
        <f t="shared" si="252"/>
        <v>6</v>
      </c>
      <c r="G3686" s="497"/>
      <c r="H3686" s="497"/>
      <c r="J3686" s="42"/>
    </row>
    <row r="3687" spans="1:10" s="360" customFormat="1" x14ac:dyDescent="0.25">
      <c r="A3687" s="19" t="s">
        <v>23</v>
      </c>
      <c r="B3687" s="2">
        <v>44046</v>
      </c>
      <c r="C3687" s="1">
        <v>-4</v>
      </c>
      <c r="D3687" s="39">
        <v>60</v>
      </c>
      <c r="E3687" s="1"/>
      <c r="F3687" s="39">
        <f t="shared" si="252"/>
        <v>6</v>
      </c>
      <c r="G3687" s="497"/>
      <c r="H3687" s="497"/>
      <c r="J3687" s="42"/>
    </row>
    <row r="3688" spans="1:10" s="360" customFormat="1" x14ac:dyDescent="0.25">
      <c r="A3688" s="19" t="s">
        <v>19</v>
      </c>
      <c r="B3688" s="2">
        <v>44046</v>
      </c>
      <c r="C3688" s="1">
        <v>21</v>
      </c>
      <c r="D3688" s="39">
        <v>1215</v>
      </c>
      <c r="E3688" s="1">
        <f>2</f>
        <v>2</v>
      </c>
      <c r="F3688" s="39">
        <f t="shared" si="252"/>
        <v>3</v>
      </c>
      <c r="G3688" s="497"/>
      <c r="H3688" s="497"/>
      <c r="J3688" s="42"/>
    </row>
    <row r="3689" spans="1:10" s="360" customFormat="1" x14ac:dyDescent="0.25">
      <c r="A3689" s="19" t="s">
        <v>18</v>
      </c>
      <c r="B3689" s="2">
        <v>44046</v>
      </c>
      <c r="C3689" s="1">
        <v>63</v>
      </c>
      <c r="D3689" s="39">
        <v>2126</v>
      </c>
      <c r="E3689" s="1">
        <v>3</v>
      </c>
      <c r="F3689" s="39">
        <f t="shared" si="252"/>
        <v>4</v>
      </c>
      <c r="G3689" s="497"/>
      <c r="H3689" s="497"/>
      <c r="J3689" s="42"/>
    </row>
    <row r="3690" spans="1:10" s="360" customFormat="1" x14ac:dyDescent="0.25">
      <c r="A3690" s="19" t="s">
        <v>34</v>
      </c>
      <c r="B3690" s="2">
        <v>44046</v>
      </c>
      <c r="C3690" s="1">
        <v>1</v>
      </c>
      <c r="D3690" s="39">
        <v>303</v>
      </c>
      <c r="E3690" s="1"/>
      <c r="F3690" s="39">
        <f t="shared" si="252"/>
        <v>1</v>
      </c>
      <c r="G3690" s="497"/>
      <c r="H3690" s="497"/>
      <c r="J3690" s="42"/>
    </row>
    <row r="3691" spans="1:10" s="360" customFormat="1" x14ac:dyDescent="0.25">
      <c r="A3691" s="19" t="s">
        <v>35</v>
      </c>
      <c r="B3691" s="2">
        <v>44046</v>
      </c>
      <c r="C3691" s="1">
        <v>2</v>
      </c>
      <c r="D3691" s="39">
        <v>22</v>
      </c>
      <c r="E3691" s="1"/>
      <c r="F3691" s="39">
        <f>E3691+F3667</f>
        <v>0</v>
      </c>
      <c r="G3691" s="497"/>
      <c r="H3691" s="497"/>
      <c r="J3691" s="42"/>
    </row>
    <row r="3692" spans="1:10" s="360" customFormat="1" x14ac:dyDescent="0.25">
      <c r="A3692" s="19" t="s">
        <v>36</v>
      </c>
      <c r="B3692" s="2">
        <v>44046</v>
      </c>
      <c r="C3692" s="1">
        <v>-2</v>
      </c>
      <c r="D3692" s="39">
        <v>26</v>
      </c>
      <c r="E3692" s="1"/>
      <c r="F3692" s="39">
        <f t="shared" si="252"/>
        <v>0</v>
      </c>
      <c r="G3692" s="497"/>
      <c r="H3692" s="497"/>
      <c r="J3692" s="42"/>
    </row>
    <row r="3693" spans="1:10" s="360" customFormat="1" x14ac:dyDescent="0.25">
      <c r="A3693" s="19" t="s">
        <v>37</v>
      </c>
      <c r="B3693" s="2">
        <v>44046</v>
      </c>
      <c r="C3693" s="1">
        <v>27</v>
      </c>
      <c r="D3693" s="39">
        <v>548</v>
      </c>
      <c r="E3693" s="1"/>
      <c r="F3693" s="39">
        <f t="shared" ref="F3693:F3698" si="253">E3693+F3669</f>
        <v>2</v>
      </c>
      <c r="G3693" s="497"/>
      <c r="H3693" s="497"/>
      <c r="J3693" s="42"/>
    </row>
    <row r="3694" spans="1:10" s="360" customFormat="1" x14ac:dyDescent="0.25">
      <c r="A3694" s="19" t="s">
        <v>22</v>
      </c>
      <c r="B3694" s="2">
        <v>44046</v>
      </c>
      <c r="C3694" s="1">
        <v>63</v>
      </c>
      <c r="D3694" s="39">
        <v>1435</v>
      </c>
      <c r="E3694" s="1">
        <v>1</v>
      </c>
      <c r="F3694" s="39">
        <f t="shared" si="253"/>
        <v>16</v>
      </c>
      <c r="G3694" s="497"/>
      <c r="H3694" s="497"/>
      <c r="J3694" s="42"/>
    </row>
    <row r="3695" spans="1:10" s="360" customFormat="1" x14ac:dyDescent="0.25">
      <c r="A3695" s="19" t="s">
        <v>38</v>
      </c>
      <c r="B3695" s="2">
        <v>44046</v>
      </c>
      <c r="C3695" s="1">
        <v>1</v>
      </c>
      <c r="D3695" s="39">
        <v>48</v>
      </c>
      <c r="E3695" s="1"/>
      <c r="F3695" s="39">
        <f t="shared" si="253"/>
        <v>1</v>
      </c>
      <c r="G3695" s="497"/>
      <c r="H3695" s="497"/>
      <c r="J3695" s="42"/>
    </row>
    <row r="3696" spans="1:10" s="360" customFormat="1" x14ac:dyDescent="0.25">
      <c r="A3696" s="19" t="s">
        <v>39</v>
      </c>
      <c r="B3696" s="2">
        <v>44046</v>
      </c>
      <c r="C3696" s="1">
        <v>44</v>
      </c>
      <c r="D3696" s="39">
        <v>645</v>
      </c>
      <c r="E3696" s="1"/>
      <c r="F3696" s="39">
        <f t="shared" si="253"/>
        <v>1</v>
      </c>
      <c r="G3696" s="497"/>
      <c r="H3696" s="497"/>
      <c r="J3696" s="42"/>
    </row>
    <row r="3697" spans="1:10" s="360" customFormat="1" x14ac:dyDescent="0.25">
      <c r="A3697" s="19" t="s">
        <v>40</v>
      </c>
      <c r="B3697" s="2">
        <v>44046</v>
      </c>
      <c r="C3697" s="1">
        <v>8</v>
      </c>
      <c r="D3697" s="39">
        <v>273</v>
      </c>
      <c r="E3697" s="1"/>
      <c r="F3697" s="39">
        <f t="shared" si="253"/>
        <v>4</v>
      </c>
      <c r="G3697" s="497"/>
      <c r="H3697" s="497"/>
      <c r="J3697" s="42"/>
    </row>
    <row r="3698" spans="1:10" s="360" customFormat="1" x14ac:dyDescent="0.25">
      <c r="A3698" s="361" t="s">
        <v>16</v>
      </c>
      <c r="B3698" s="2">
        <v>44047</v>
      </c>
      <c r="C3698" s="1">
        <v>4337</v>
      </c>
      <c r="D3698" s="39">
        <v>129447</v>
      </c>
      <c r="E3698" s="1">
        <v>114</v>
      </c>
      <c r="F3698" s="39">
        <f t="shared" si="253"/>
        <v>2188</v>
      </c>
      <c r="G3698" s="497"/>
      <c r="H3698" s="497"/>
      <c r="J3698" s="42"/>
    </row>
    <row r="3699" spans="1:10" s="360" customFormat="1" x14ac:dyDescent="0.25">
      <c r="A3699" s="19" t="s">
        <v>28</v>
      </c>
      <c r="B3699" s="2">
        <v>44047</v>
      </c>
      <c r="C3699" s="1">
        <v>-2</v>
      </c>
      <c r="D3699" s="39">
        <v>63</v>
      </c>
      <c r="E3699" s="1"/>
      <c r="F3699" s="39">
        <f t="shared" ref="F3699:F3705" si="254">E3699+F3675</f>
        <v>0</v>
      </c>
      <c r="G3699" s="497"/>
      <c r="H3699" s="497"/>
      <c r="J3699" s="42"/>
    </row>
    <row r="3700" spans="1:10" s="360" customFormat="1" x14ac:dyDescent="0.25">
      <c r="A3700" s="19" t="s">
        <v>15</v>
      </c>
      <c r="B3700" s="2">
        <v>44047</v>
      </c>
      <c r="C3700" s="1">
        <v>53</v>
      </c>
      <c r="D3700" s="39">
        <v>3755</v>
      </c>
      <c r="E3700" s="1">
        <v>3</v>
      </c>
      <c r="F3700" s="39">
        <f t="shared" si="254"/>
        <v>151</v>
      </c>
      <c r="G3700" s="497"/>
      <c r="H3700" s="497"/>
      <c r="J3700" s="42"/>
    </row>
    <row r="3701" spans="1:10" s="360" customFormat="1" x14ac:dyDescent="0.25">
      <c r="A3701" s="19" t="s">
        <v>29</v>
      </c>
      <c r="B3701" s="2">
        <v>44047</v>
      </c>
      <c r="C3701" s="1">
        <v>1</v>
      </c>
      <c r="D3701" s="39">
        <v>294</v>
      </c>
      <c r="E3701" s="1"/>
      <c r="F3701" s="39">
        <f t="shared" si="254"/>
        <v>4</v>
      </c>
      <c r="G3701" s="497"/>
      <c r="H3701" s="497"/>
      <c r="J3701" s="42"/>
    </row>
    <row r="3702" spans="1:10" s="360" customFormat="1" x14ac:dyDescent="0.25">
      <c r="A3702" s="19" t="s">
        <v>43</v>
      </c>
      <c r="B3702" s="2">
        <v>44047</v>
      </c>
      <c r="C3702" s="1">
        <v>1371</v>
      </c>
      <c r="D3702" s="39">
        <v>64048</v>
      </c>
      <c r="E3702" s="1">
        <f>18+13+7+7</f>
        <v>45</v>
      </c>
      <c r="F3702" s="39">
        <f t="shared" si="254"/>
        <v>1342</v>
      </c>
      <c r="G3702" s="497"/>
      <c r="H3702" s="497"/>
      <c r="J3702" s="42"/>
    </row>
    <row r="3703" spans="1:10" s="360" customFormat="1" x14ac:dyDescent="0.25">
      <c r="A3703" s="19" t="s">
        <v>20</v>
      </c>
      <c r="B3703" s="2">
        <v>44047</v>
      </c>
      <c r="C3703" s="1">
        <v>147</v>
      </c>
      <c r="D3703" s="39">
        <v>2717</v>
      </c>
      <c r="E3703" s="1">
        <v>1</v>
      </c>
      <c r="F3703" s="39">
        <f t="shared" si="254"/>
        <v>47</v>
      </c>
      <c r="G3703" s="497"/>
      <c r="H3703" s="497"/>
      <c r="J3703" s="42"/>
    </row>
    <row r="3704" spans="1:10" s="360" customFormat="1" x14ac:dyDescent="0.25">
      <c r="A3704" s="19" t="s">
        <v>30</v>
      </c>
      <c r="B3704" s="2">
        <v>44047</v>
      </c>
      <c r="C3704" s="1">
        <v>-4</v>
      </c>
      <c r="D3704" s="39">
        <v>192</v>
      </c>
      <c r="E3704" s="1">
        <v>1</v>
      </c>
      <c r="F3704" s="39">
        <f>E3704+F3680</f>
        <v>2</v>
      </c>
      <c r="G3704" s="497"/>
      <c r="H3704" s="497"/>
      <c r="J3704" s="42"/>
    </row>
    <row r="3705" spans="1:10" x14ac:dyDescent="0.25">
      <c r="A3705" s="19" t="s">
        <v>31</v>
      </c>
      <c r="B3705" s="2">
        <v>44047</v>
      </c>
      <c r="C3705" s="1">
        <v>22</v>
      </c>
      <c r="D3705" s="39">
        <v>897</v>
      </c>
      <c r="F3705" s="39">
        <f t="shared" si="254"/>
        <v>10</v>
      </c>
    </row>
    <row r="3706" spans="1:10" s="360" customFormat="1" x14ac:dyDescent="0.25">
      <c r="A3706" s="19" t="s">
        <v>41</v>
      </c>
      <c r="B3706" s="2">
        <v>44047</v>
      </c>
      <c r="C3706" s="1">
        <v>1</v>
      </c>
      <c r="D3706" s="39">
        <v>85</v>
      </c>
      <c r="E3706" s="1"/>
      <c r="F3706" s="39">
        <f>E3706+F3682</f>
        <v>0</v>
      </c>
      <c r="G3706" s="497"/>
      <c r="H3706" s="497"/>
      <c r="J3706" s="42"/>
    </row>
    <row r="3707" spans="1:10" s="360" customFormat="1" x14ac:dyDescent="0.25">
      <c r="A3707" s="19" t="s">
        <v>32</v>
      </c>
      <c r="B3707" s="2">
        <v>44047</v>
      </c>
      <c r="C3707" s="1">
        <v>269</v>
      </c>
      <c r="D3707" s="39">
        <v>2743</v>
      </c>
      <c r="E3707" s="1"/>
      <c r="F3707" s="39">
        <f t="shared" ref="F3707:F3716" si="255">E3707+F3682</f>
        <v>0</v>
      </c>
      <c r="G3707" s="497"/>
      <c r="H3707" s="497"/>
      <c r="J3707" s="42"/>
    </row>
    <row r="3708" spans="1:10" s="360" customFormat="1" x14ac:dyDescent="0.25">
      <c r="A3708" s="19" t="s">
        <v>33</v>
      </c>
      <c r="B3708" s="2">
        <v>44047</v>
      </c>
      <c r="C3708" s="1">
        <v>29</v>
      </c>
      <c r="D3708" s="39">
        <v>187</v>
      </c>
      <c r="E3708" s="1"/>
      <c r="F3708" s="39">
        <f t="shared" si="255"/>
        <v>0</v>
      </c>
      <c r="G3708" s="497"/>
      <c r="H3708" s="497"/>
      <c r="J3708" s="42"/>
    </row>
    <row r="3709" spans="1:10" s="360" customFormat="1" x14ac:dyDescent="0.25">
      <c r="A3709" s="19" t="s">
        <v>21</v>
      </c>
      <c r="B3709" s="2">
        <v>44047</v>
      </c>
      <c r="C3709" s="1">
        <v>29</v>
      </c>
      <c r="D3709" s="39">
        <v>381</v>
      </c>
      <c r="E3709" s="1"/>
      <c r="F3709" s="39">
        <f t="shared" si="255"/>
        <v>0</v>
      </c>
      <c r="G3709" s="497"/>
      <c r="H3709" s="497"/>
      <c r="J3709" s="42"/>
    </row>
    <row r="3710" spans="1:10" s="360" customFormat="1" x14ac:dyDescent="0.25">
      <c r="A3710" s="19" t="s">
        <v>17</v>
      </c>
      <c r="B3710" s="2">
        <v>44047</v>
      </c>
      <c r="C3710" s="1">
        <v>106</v>
      </c>
      <c r="D3710" s="39">
        <v>1575</v>
      </c>
      <c r="E3710" s="1">
        <v>2</v>
      </c>
      <c r="F3710" s="39">
        <f t="shared" si="255"/>
        <v>2</v>
      </c>
      <c r="G3710" s="497"/>
      <c r="H3710" s="497"/>
      <c r="J3710" s="42"/>
    </row>
    <row r="3711" spans="1:10" s="360" customFormat="1" x14ac:dyDescent="0.25">
      <c r="A3711" s="19" t="s">
        <v>23</v>
      </c>
      <c r="B3711" s="2">
        <v>44047</v>
      </c>
      <c r="C3711" s="1">
        <v>-1</v>
      </c>
      <c r="D3711" s="39">
        <v>59</v>
      </c>
      <c r="E3711" s="1"/>
      <c r="F3711" s="39">
        <f t="shared" si="255"/>
        <v>6</v>
      </c>
      <c r="G3711" s="497"/>
      <c r="H3711" s="497"/>
      <c r="J3711" s="42"/>
    </row>
    <row r="3712" spans="1:10" s="360" customFormat="1" x14ac:dyDescent="0.25">
      <c r="A3712" s="19" t="s">
        <v>19</v>
      </c>
      <c r="B3712" s="2">
        <v>44047</v>
      </c>
      <c r="C3712" s="1">
        <v>18</v>
      </c>
      <c r="D3712" s="39">
        <v>1233</v>
      </c>
      <c r="E3712" s="1"/>
      <c r="F3712" s="39">
        <f t="shared" si="255"/>
        <v>6</v>
      </c>
      <c r="G3712" s="497"/>
      <c r="H3712" s="497"/>
      <c r="J3712" s="42"/>
    </row>
    <row r="3713" spans="1:10" s="360" customFormat="1" x14ac:dyDescent="0.25">
      <c r="A3713" s="19" t="s">
        <v>18</v>
      </c>
      <c r="B3713" s="2">
        <v>44047</v>
      </c>
      <c r="C3713" s="1">
        <v>197</v>
      </c>
      <c r="D3713" s="39">
        <v>2323</v>
      </c>
      <c r="E3713" s="1">
        <v>2</v>
      </c>
      <c r="F3713" s="39">
        <f t="shared" si="255"/>
        <v>5</v>
      </c>
      <c r="G3713" s="497"/>
      <c r="H3713" s="497"/>
      <c r="J3713" s="42"/>
    </row>
    <row r="3714" spans="1:10" s="360" customFormat="1" x14ac:dyDescent="0.25">
      <c r="A3714" s="19" t="s">
        <v>34</v>
      </c>
      <c r="B3714" s="2">
        <v>44047</v>
      </c>
      <c r="C3714" s="1">
        <v>42</v>
      </c>
      <c r="D3714" s="39">
        <v>345</v>
      </c>
      <c r="E3714" s="1"/>
      <c r="F3714" s="39">
        <f t="shared" si="255"/>
        <v>4</v>
      </c>
      <c r="G3714" s="497"/>
      <c r="H3714" s="497"/>
      <c r="J3714" s="42"/>
    </row>
    <row r="3715" spans="1:10" s="360" customFormat="1" x14ac:dyDescent="0.25">
      <c r="A3715" s="19" t="s">
        <v>35</v>
      </c>
      <c r="B3715" s="2">
        <v>44047</v>
      </c>
      <c r="C3715" s="1">
        <v>0</v>
      </c>
      <c r="D3715" s="39">
        <v>22</v>
      </c>
      <c r="E3715" s="1"/>
      <c r="F3715" s="39">
        <f>E3715+F3691</f>
        <v>0</v>
      </c>
      <c r="G3715" s="497"/>
      <c r="H3715" s="497"/>
      <c r="J3715" s="42"/>
    </row>
    <row r="3716" spans="1:10" s="360" customFormat="1" x14ac:dyDescent="0.25">
      <c r="A3716" s="19" t="s">
        <v>36</v>
      </c>
      <c r="B3716" s="2">
        <v>44047</v>
      </c>
      <c r="C3716" s="1">
        <v>5</v>
      </c>
      <c r="D3716" s="39">
        <v>31</v>
      </c>
      <c r="E3716" s="1"/>
      <c r="F3716" s="39">
        <f t="shared" si="255"/>
        <v>0</v>
      </c>
      <c r="G3716" s="497"/>
      <c r="H3716" s="497"/>
      <c r="J3716" s="42"/>
    </row>
    <row r="3717" spans="1:10" s="360" customFormat="1" x14ac:dyDescent="0.25">
      <c r="A3717" s="19" t="s">
        <v>37</v>
      </c>
      <c r="B3717" s="2">
        <v>44047</v>
      </c>
      <c r="C3717" s="1">
        <v>16</v>
      </c>
      <c r="D3717" s="39">
        <v>564</v>
      </c>
      <c r="E3717" s="1"/>
      <c r="F3717" s="39">
        <f t="shared" ref="F3717:F3722" si="256">E3717+F3693</f>
        <v>2</v>
      </c>
      <c r="G3717" s="497"/>
      <c r="H3717" s="497"/>
      <c r="J3717" s="42"/>
    </row>
    <row r="3718" spans="1:10" s="360" customFormat="1" x14ac:dyDescent="0.25">
      <c r="A3718" s="19" t="s">
        <v>22</v>
      </c>
      <c r="B3718" s="2">
        <v>44047</v>
      </c>
      <c r="C3718" s="1">
        <v>101</v>
      </c>
      <c r="D3718" s="39">
        <v>1536</v>
      </c>
      <c r="E3718" s="1"/>
      <c r="F3718" s="39">
        <f t="shared" si="256"/>
        <v>16</v>
      </c>
      <c r="G3718" s="497"/>
      <c r="H3718" s="497"/>
      <c r="J3718" s="42"/>
    </row>
    <row r="3719" spans="1:10" s="360" customFormat="1" x14ac:dyDescent="0.25">
      <c r="A3719" s="19" t="s">
        <v>38</v>
      </c>
      <c r="B3719" s="2">
        <v>44047</v>
      </c>
      <c r="C3719" s="1">
        <v>1</v>
      </c>
      <c r="D3719" s="39">
        <v>49</v>
      </c>
      <c r="E3719" s="1"/>
      <c r="F3719" s="39">
        <f t="shared" si="256"/>
        <v>1</v>
      </c>
      <c r="G3719" s="497"/>
      <c r="H3719" s="497"/>
      <c r="J3719" s="42"/>
    </row>
    <row r="3720" spans="1:10" s="360" customFormat="1" x14ac:dyDescent="0.25">
      <c r="A3720" s="19" t="s">
        <v>39</v>
      </c>
      <c r="B3720" s="2">
        <v>44047</v>
      </c>
      <c r="C3720" s="1">
        <v>58</v>
      </c>
      <c r="D3720" s="39">
        <v>703</v>
      </c>
      <c r="E3720" s="1"/>
      <c r="F3720" s="39">
        <f t="shared" si="256"/>
        <v>1</v>
      </c>
      <c r="G3720" s="497"/>
      <c r="H3720" s="497"/>
      <c r="J3720" s="42"/>
    </row>
    <row r="3721" spans="1:10" s="360" customFormat="1" x14ac:dyDescent="0.25">
      <c r="A3721" s="19" t="s">
        <v>40</v>
      </c>
      <c r="B3721" s="2">
        <v>44047</v>
      </c>
      <c r="C3721" s="1">
        <v>24</v>
      </c>
      <c r="D3721" s="39">
        <v>297</v>
      </c>
      <c r="E3721" s="1"/>
      <c r="F3721" s="39">
        <f t="shared" si="256"/>
        <v>4</v>
      </c>
      <c r="G3721" s="497"/>
      <c r="H3721" s="497"/>
      <c r="J3721" s="42"/>
    </row>
    <row r="3722" spans="1:10" s="360" customFormat="1" x14ac:dyDescent="0.25">
      <c r="A3722" s="361" t="s">
        <v>16</v>
      </c>
      <c r="B3722" s="2">
        <v>44048</v>
      </c>
      <c r="C3722" s="1">
        <v>4676</v>
      </c>
      <c r="D3722" s="39">
        <v>134123</v>
      </c>
      <c r="E3722" s="1">
        <f>12+12+34+26</f>
        <v>84</v>
      </c>
      <c r="F3722" s="39">
        <f t="shared" si="256"/>
        <v>2272</v>
      </c>
      <c r="G3722" s="497"/>
      <c r="H3722" s="497"/>
      <c r="J3722" s="42"/>
    </row>
    <row r="3723" spans="1:10" s="360" customFormat="1" x14ac:dyDescent="0.25">
      <c r="A3723" s="19" t="s">
        <v>28</v>
      </c>
      <c r="B3723" s="2">
        <v>44048</v>
      </c>
      <c r="C3723" s="1">
        <v>-2</v>
      </c>
      <c r="D3723" s="39">
        <v>61</v>
      </c>
      <c r="E3723" s="1"/>
      <c r="F3723" s="39">
        <f t="shared" ref="F3723:F3729" si="257">E3723+F3699</f>
        <v>0</v>
      </c>
      <c r="G3723" s="497"/>
      <c r="H3723" s="497"/>
      <c r="J3723" s="42"/>
    </row>
    <row r="3724" spans="1:10" s="360" customFormat="1" x14ac:dyDescent="0.25">
      <c r="A3724" s="19" t="s">
        <v>15</v>
      </c>
      <c r="B3724" s="2">
        <v>44048</v>
      </c>
      <c r="C3724" s="1">
        <v>70</v>
      </c>
      <c r="D3724" s="39">
        <v>3825</v>
      </c>
      <c r="E3724" s="1">
        <v>2</v>
      </c>
      <c r="F3724" s="39">
        <f t="shared" si="257"/>
        <v>153</v>
      </c>
      <c r="G3724" s="497"/>
      <c r="H3724" s="497"/>
      <c r="J3724" s="42"/>
    </row>
    <row r="3725" spans="1:10" s="360" customFormat="1" x14ac:dyDescent="0.25">
      <c r="A3725" s="19" t="s">
        <v>29</v>
      </c>
      <c r="B3725" s="2">
        <v>44048</v>
      </c>
      <c r="C3725" s="1">
        <v>9</v>
      </c>
      <c r="D3725" s="39">
        <v>303</v>
      </c>
      <c r="E3725" s="1"/>
      <c r="F3725" s="39">
        <f t="shared" si="257"/>
        <v>4</v>
      </c>
      <c r="G3725" s="497"/>
      <c r="H3725" s="497"/>
      <c r="J3725" s="42"/>
    </row>
    <row r="3726" spans="1:10" s="360" customFormat="1" x14ac:dyDescent="0.25">
      <c r="A3726" s="19" t="s">
        <v>43</v>
      </c>
      <c r="B3726" s="2">
        <v>44048</v>
      </c>
      <c r="C3726" s="1">
        <v>1467</v>
      </c>
      <c r="D3726" s="39">
        <v>65515</v>
      </c>
      <c r="E3726" s="1">
        <f>1+1+16+14</f>
        <v>32</v>
      </c>
      <c r="F3726" s="39">
        <f t="shared" si="257"/>
        <v>1374</v>
      </c>
      <c r="G3726" s="497"/>
      <c r="H3726" s="497"/>
      <c r="J3726" s="42"/>
    </row>
    <row r="3727" spans="1:10" s="360" customFormat="1" x14ac:dyDescent="0.25">
      <c r="A3727" s="19" t="s">
        <v>20</v>
      </c>
      <c r="B3727" s="2">
        <v>44048</v>
      </c>
      <c r="C3727" s="1">
        <v>137</v>
      </c>
      <c r="D3727" s="39">
        <v>2854</v>
      </c>
      <c r="E3727" s="1">
        <v>2</v>
      </c>
      <c r="F3727" s="39">
        <f t="shared" si="257"/>
        <v>49</v>
      </c>
      <c r="G3727" s="497"/>
      <c r="H3727" s="497"/>
      <c r="J3727" s="42"/>
    </row>
    <row r="3728" spans="1:10" s="360" customFormat="1" x14ac:dyDescent="0.25">
      <c r="A3728" s="19" t="s">
        <v>30</v>
      </c>
      <c r="B3728" s="2">
        <v>44048</v>
      </c>
      <c r="C3728" s="1">
        <v>5</v>
      </c>
      <c r="D3728" s="39">
        <v>197</v>
      </c>
      <c r="E3728" s="1"/>
      <c r="F3728" s="39">
        <f t="shared" si="257"/>
        <v>2</v>
      </c>
      <c r="G3728" s="497"/>
      <c r="H3728" s="497"/>
      <c r="J3728" s="42"/>
    </row>
    <row r="3729" spans="1:10" x14ac:dyDescent="0.25">
      <c r="A3729" s="19" t="s">
        <v>31</v>
      </c>
      <c r="B3729" s="2">
        <v>44048</v>
      </c>
      <c r="C3729" s="1">
        <v>42</v>
      </c>
      <c r="D3729" s="39">
        <v>939</v>
      </c>
      <c r="E3729" s="1">
        <v>2</v>
      </c>
      <c r="F3729" s="39">
        <f t="shared" si="257"/>
        <v>12</v>
      </c>
    </row>
    <row r="3730" spans="1:10" s="360" customFormat="1" x14ac:dyDescent="0.25">
      <c r="A3730" s="19" t="s">
        <v>41</v>
      </c>
      <c r="B3730" s="2">
        <v>44048</v>
      </c>
      <c r="C3730" s="1">
        <v>-2</v>
      </c>
      <c r="D3730" s="39">
        <v>83</v>
      </c>
      <c r="E3730" s="1"/>
      <c r="F3730" s="39">
        <f>E3730+F3706</f>
        <v>0</v>
      </c>
      <c r="G3730" s="497"/>
      <c r="H3730" s="497"/>
      <c r="J3730" s="42"/>
    </row>
    <row r="3731" spans="1:10" s="360" customFormat="1" x14ac:dyDescent="0.25">
      <c r="A3731" s="19" t="s">
        <v>32</v>
      </c>
      <c r="B3731" s="2">
        <v>44048</v>
      </c>
      <c r="C3731" s="1">
        <v>135</v>
      </c>
      <c r="D3731" s="39">
        <v>2878</v>
      </c>
      <c r="E3731" s="1"/>
      <c r="F3731" s="39">
        <f t="shared" ref="F3731:F3740" si="258">E3731+F3706</f>
        <v>0</v>
      </c>
      <c r="G3731" s="497"/>
      <c r="H3731" s="497"/>
      <c r="J3731" s="42"/>
    </row>
    <row r="3732" spans="1:10" s="360" customFormat="1" x14ac:dyDescent="0.25">
      <c r="A3732" s="19" t="s">
        <v>33</v>
      </c>
      <c r="B3732" s="2">
        <v>44048</v>
      </c>
      <c r="C3732" s="1">
        <v>6</v>
      </c>
      <c r="D3732" s="39">
        <v>193</v>
      </c>
      <c r="E3732" s="1"/>
      <c r="F3732" s="39">
        <f t="shared" si="258"/>
        <v>0</v>
      </c>
      <c r="G3732" s="497"/>
      <c r="H3732" s="497"/>
      <c r="J3732" s="42"/>
    </row>
    <row r="3733" spans="1:10" s="360" customFormat="1" x14ac:dyDescent="0.25">
      <c r="A3733" s="19" t="s">
        <v>21</v>
      </c>
      <c r="B3733" s="2">
        <v>44048</v>
      </c>
      <c r="C3733" s="1">
        <v>27</v>
      </c>
      <c r="D3733" s="39">
        <v>408</v>
      </c>
      <c r="E3733" s="1"/>
      <c r="F3733" s="39">
        <f t="shared" si="258"/>
        <v>0</v>
      </c>
      <c r="G3733" s="497"/>
      <c r="H3733" s="497"/>
      <c r="J3733" s="42"/>
    </row>
    <row r="3734" spans="1:10" s="360" customFormat="1" x14ac:dyDescent="0.25">
      <c r="A3734" s="19" t="s">
        <v>17</v>
      </c>
      <c r="B3734" s="2">
        <v>44048</v>
      </c>
      <c r="C3734" s="1">
        <v>98</v>
      </c>
      <c r="D3734" s="39">
        <v>1673</v>
      </c>
      <c r="E3734" s="1">
        <v>1</v>
      </c>
      <c r="F3734" s="39">
        <f t="shared" si="258"/>
        <v>1</v>
      </c>
      <c r="G3734" s="497"/>
      <c r="H3734" s="497"/>
      <c r="J3734" s="42"/>
    </row>
    <row r="3735" spans="1:10" s="360" customFormat="1" x14ac:dyDescent="0.25">
      <c r="A3735" s="19" t="s">
        <v>23</v>
      </c>
      <c r="B3735" s="2">
        <v>44048</v>
      </c>
      <c r="C3735" s="1">
        <v>0</v>
      </c>
      <c r="D3735" s="39">
        <v>59</v>
      </c>
      <c r="E3735" s="1"/>
      <c r="F3735" s="39">
        <f t="shared" si="258"/>
        <v>2</v>
      </c>
      <c r="G3735" s="497"/>
      <c r="H3735" s="497"/>
      <c r="J3735" s="42"/>
    </row>
    <row r="3736" spans="1:10" s="360" customFormat="1" x14ac:dyDescent="0.25">
      <c r="A3736" s="19" t="s">
        <v>19</v>
      </c>
      <c r="B3736" s="2">
        <v>44048</v>
      </c>
      <c r="C3736" s="1">
        <v>81</v>
      </c>
      <c r="D3736" s="39">
        <v>1314</v>
      </c>
      <c r="E3736" s="1">
        <f>1+1</f>
        <v>2</v>
      </c>
      <c r="F3736" s="39">
        <f t="shared" si="258"/>
        <v>8</v>
      </c>
      <c r="G3736" s="497"/>
      <c r="H3736" s="497"/>
      <c r="J3736" s="42"/>
    </row>
    <row r="3737" spans="1:10" s="360" customFormat="1" x14ac:dyDescent="0.25">
      <c r="A3737" s="19" t="s">
        <v>18</v>
      </c>
      <c r="B3737" s="2">
        <v>44048</v>
      </c>
      <c r="C3737" s="1">
        <v>121</v>
      </c>
      <c r="D3737" s="39">
        <v>2444</v>
      </c>
      <c r="E3737" s="1"/>
      <c r="F3737" s="39">
        <f t="shared" si="258"/>
        <v>6</v>
      </c>
      <c r="G3737" s="497"/>
      <c r="H3737" s="497"/>
      <c r="J3737" s="42"/>
    </row>
    <row r="3738" spans="1:10" s="360" customFormat="1" x14ac:dyDescent="0.25">
      <c r="A3738" s="19" t="s">
        <v>34</v>
      </c>
      <c r="B3738" s="2">
        <v>44048</v>
      </c>
      <c r="C3738" s="1">
        <v>34</v>
      </c>
      <c r="D3738" s="39">
        <v>379</v>
      </c>
      <c r="E3738" s="1"/>
      <c r="F3738" s="39">
        <f t="shared" si="258"/>
        <v>5</v>
      </c>
      <c r="G3738" s="497"/>
      <c r="H3738" s="497"/>
      <c r="J3738" s="42"/>
    </row>
    <row r="3739" spans="1:10" s="360" customFormat="1" x14ac:dyDescent="0.25">
      <c r="A3739" s="19" t="s">
        <v>35</v>
      </c>
      <c r="B3739" s="2">
        <v>44048</v>
      </c>
      <c r="C3739" s="1">
        <v>1</v>
      </c>
      <c r="D3739" s="39">
        <v>23</v>
      </c>
      <c r="E3739" s="1"/>
      <c r="F3739" s="39">
        <f>E3739+F3715</f>
        <v>0</v>
      </c>
      <c r="G3739" s="497"/>
      <c r="H3739" s="497"/>
      <c r="J3739" s="42"/>
    </row>
    <row r="3740" spans="1:10" s="360" customFormat="1" x14ac:dyDescent="0.25">
      <c r="A3740" s="19" t="s">
        <v>36</v>
      </c>
      <c r="B3740" s="2">
        <v>44048</v>
      </c>
      <c r="C3740" s="1">
        <v>2</v>
      </c>
      <c r="D3740" s="39">
        <v>33</v>
      </c>
      <c r="E3740" s="1"/>
      <c r="F3740" s="39">
        <f t="shared" si="258"/>
        <v>0</v>
      </c>
      <c r="G3740" s="497"/>
      <c r="H3740" s="497"/>
      <c r="J3740" s="42"/>
    </row>
    <row r="3741" spans="1:10" s="360" customFormat="1" x14ac:dyDescent="0.25">
      <c r="A3741" s="19" t="s">
        <v>37</v>
      </c>
      <c r="B3741" s="2">
        <v>44048</v>
      </c>
      <c r="C3741" s="1">
        <v>50</v>
      </c>
      <c r="D3741" s="39">
        <v>614</v>
      </c>
      <c r="E3741" s="1"/>
      <c r="F3741" s="39">
        <f t="shared" ref="F3741:F3746" si="259">E3741+F3717</f>
        <v>2</v>
      </c>
      <c r="G3741" s="497"/>
      <c r="H3741" s="497"/>
      <c r="J3741" s="42"/>
    </row>
    <row r="3742" spans="1:10" s="360" customFormat="1" x14ac:dyDescent="0.25">
      <c r="A3742" s="19" t="s">
        <v>22</v>
      </c>
      <c r="B3742" s="2">
        <v>44048</v>
      </c>
      <c r="C3742" s="1">
        <v>101</v>
      </c>
      <c r="D3742" s="39">
        <v>1637</v>
      </c>
      <c r="E3742" s="1">
        <f>1+1</f>
        <v>2</v>
      </c>
      <c r="F3742" s="39">
        <f t="shared" si="259"/>
        <v>18</v>
      </c>
      <c r="G3742" s="497"/>
      <c r="H3742" s="497"/>
      <c r="J3742" s="42"/>
    </row>
    <row r="3743" spans="1:10" s="360" customFormat="1" x14ac:dyDescent="0.25">
      <c r="A3743" s="19" t="s">
        <v>38</v>
      </c>
      <c r="B3743" s="2">
        <v>44048</v>
      </c>
      <c r="C3743" s="1">
        <v>18</v>
      </c>
      <c r="D3743" s="39">
        <v>67</v>
      </c>
      <c r="E3743" s="1"/>
      <c r="F3743" s="39">
        <f t="shared" si="259"/>
        <v>1</v>
      </c>
      <c r="G3743" s="497"/>
      <c r="H3743" s="497"/>
      <c r="J3743" s="42"/>
    </row>
    <row r="3744" spans="1:10" s="360" customFormat="1" x14ac:dyDescent="0.25">
      <c r="A3744" s="19" t="s">
        <v>39</v>
      </c>
      <c r="B3744" s="2">
        <v>44048</v>
      </c>
      <c r="C3744" s="1">
        <v>43</v>
      </c>
      <c r="D3744" s="39">
        <v>746</v>
      </c>
      <c r="E3744" s="1"/>
      <c r="F3744" s="39">
        <f t="shared" si="259"/>
        <v>1</v>
      </c>
      <c r="G3744" s="497"/>
      <c r="H3744" s="497"/>
      <c r="J3744" s="42"/>
    </row>
    <row r="3745" spans="1:10" s="360" customFormat="1" x14ac:dyDescent="0.25">
      <c r="A3745" s="19" t="s">
        <v>40</v>
      </c>
      <c r="B3745" s="2">
        <v>44048</v>
      </c>
      <c r="C3745" s="1">
        <v>28</v>
      </c>
      <c r="D3745" s="39">
        <v>325</v>
      </c>
      <c r="E3745" s="1"/>
      <c r="F3745" s="39">
        <f t="shared" si="259"/>
        <v>4</v>
      </c>
      <c r="G3745" s="497"/>
      <c r="H3745" s="497"/>
      <c r="J3745" s="42"/>
    </row>
    <row r="3746" spans="1:10" s="360" customFormat="1" x14ac:dyDescent="0.25">
      <c r="A3746" s="361" t="s">
        <v>16</v>
      </c>
      <c r="B3746" s="2">
        <v>44049</v>
      </c>
      <c r="C3746" s="1">
        <v>4987</v>
      </c>
      <c r="D3746" s="39">
        <v>139110</v>
      </c>
      <c r="E3746" s="1">
        <f>15+6+45+30</f>
        <v>96</v>
      </c>
      <c r="F3746" s="39">
        <f t="shared" si="259"/>
        <v>2368</v>
      </c>
      <c r="G3746" s="497"/>
      <c r="H3746" s="497"/>
      <c r="J3746" s="42"/>
    </row>
    <row r="3747" spans="1:10" s="360" customFormat="1" x14ac:dyDescent="0.25">
      <c r="A3747" s="19" t="s">
        <v>28</v>
      </c>
      <c r="B3747" s="2">
        <v>44049</v>
      </c>
      <c r="C3747" s="1">
        <v>0</v>
      </c>
      <c r="D3747" s="39">
        <v>61</v>
      </c>
      <c r="E3747" s="1"/>
      <c r="F3747" s="39">
        <f t="shared" ref="F3747:F3753" si="260">E3747+F3723</f>
        <v>0</v>
      </c>
      <c r="G3747" s="497"/>
      <c r="H3747" s="497"/>
      <c r="J3747" s="42"/>
    </row>
    <row r="3748" spans="1:10" s="360" customFormat="1" x14ac:dyDescent="0.25">
      <c r="A3748" s="19" t="s">
        <v>15</v>
      </c>
      <c r="B3748" s="2">
        <v>44049</v>
      </c>
      <c r="C3748" s="1">
        <v>47</v>
      </c>
      <c r="D3748" s="39">
        <v>3872</v>
      </c>
      <c r="E3748" s="1">
        <f>1+4</f>
        <v>5</v>
      </c>
      <c r="F3748" s="39">
        <f t="shared" si="260"/>
        <v>158</v>
      </c>
      <c r="G3748" s="497"/>
      <c r="H3748" s="497"/>
      <c r="J3748" s="42"/>
    </row>
    <row r="3749" spans="1:10" s="360" customFormat="1" x14ac:dyDescent="0.25">
      <c r="A3749" s="19" t="s">
        <v>29</v>
      </c>
      <c r="B3749" s="2">
        <v>44049</v>
      </c>
      <c r="C3749" s="1">
        <v>7</v>
      </c>
      <c r="D3749" s="39">
        <v>310</v>
      </c>
      <c r="E3749" s="1"/>
      <c r="F3749" s="39">
        <f t="shared" si="260"/>
        <v>4</v>
      </c>
      <c r="G3749" s="497"/>
      <c r="H3749" s="497"/>
      <c r="J3749" s="42"/>
    </row>
    <row r="3750" spans="1:10" s="360" customFormat="1" x14ac:dyDescent="0.25">
      <c r="A3750" s="19" t="s">
        <v>43</v>
      </c>
      <c r="B3750" s="2">
        <v>44049</v>
      </c>
      <c r="C3750" s="1">
        <v>1448</v>
      </c>
      <c r="D3750" s="39">
        <v>66963</v>
      </c>
      <c r="E3750" s="1">
        <v>31</v>
      </c>
      <c r="F3750" s="39">
        <f>E3750+F3726</f>
        <v>1405</v>
      </c>
      <c r="G3750" s="497"/>
      <c r="H3750" s="497"/>
      <c r="J3750" s="42"/>
    </row>
    <row r="3751" spans="1:10" s="360" customFormat="1" x14ac:dyDescent="0.25">
      <c r="A3751" s="19" t="s">
        <v>20</v>
      </c>
      <c r="B3751" s="2">
        <v>44049</v>
      </c>
      <c r="C3751" s="1">
        <v>144</v>
      </c>
      <c r="D3751" s="39">
        <v>2998</v>
      </c>
      <c r="E3751" s="1"/>
      <c r="F3751" s="39">
        <f t="shared" si="260"/>
        <v>49</v>
      </c>
      <c r="G3751" s="497"/>
      <c r="H3751" s="497"/>
      <c r="J3751" s="42"/>
    </row>
    <row r="3752" spans="1:10" s="360" customFormat="1" x14ac:dyDescent="0.25">
      <c r="A3752" s="19" t="s">
        <v>30</v>
      </c>
      <c r="B3752" s="2">
        <v>44049</v>
      </c>
      <c r="C3752" s="1">
        <v>4</v>
      </c>
      <c r="D3752" s="39">
        <v>201</v>
      </c>
      <c r="E3752" s="1"/>
      <c r="F3752" s="39">
        <f t="shared" si="260"/>
        <v>2</v>
      </c>
      <c r="G3752" s="497"/>
      <c r="H3752" s="497"/>
      <c r="J3752" s="42"/>
    </row>
    <row r="3753" spans="1:10" x14ac:dyDescent="0.25">
      <c r="A3753" s="19" t="s">
        <v>31</v>
      </c>
      <c r="B3753" s="2">
        <v>44049</v>
      </c>
      <c r="C3753" s="1">
        <v>59</v>
      </c>
      <c r="D3753" s="39">
        <v>998</v>
      </c>
      <c r="F3753" s="39">
        <f t="shared" si="260"/>
        <v>12</v>
      </c>
    </row>
    <row r="3754" spans="1:10" s="360" customFormat="1" x14ac:dyDescent="0.25">
      <c r="A3754" s="19" t="s">
        <v>41</v>
      </c>
      <c r="B3754" s="2">
        <v>44049</v>
      </c>
      <c r="C3754" s="1">
        <v>1</v>
      </c>
      <c r="D3754" s="39">
        <v>84</v>
      </c>
      <c r="E3754" s="1"/>
      <c r="F3754" s="39">
        <f>E3754+F3730</f>
        <v>0</v>
      </c>
      <c r="G3754" s="497"/>
      <c r="H3754" s="497"/>
      <c r="J3754" s="42"/>
    </row>
    <row r="3755" spans="1:10" s="360" customFormat="1" x14ac:dyDescent="0.25">
      <c r="A3755" s="19" t="s">
        <v>32</v>
      </c>
      <c r="B3755" s="2">
        <v>44049</v>
      </c>
      <c r="C3755" s="1">
        <v>71</v>
      </c>
      <c r="D3755" s="39">
        <v>2949</v>
      </c>
      <c r="E3755" s="1"/>
      <c r="F3755" s="39">
        <f t="shared" ref="F3755:F3764" si="261">E3755+F3730</f>
        <v>0</v>
      </c>
      <c r="G3755" s="497"/>
      <c r="H3755" s="497"/>
      <c r="J3755" s="42"/>
    </row>
    <row r="3756" spans="1:10" s="360" customFormat="1" x14ac:dyDescent="0.25">
      <c r="A3756" s="19" t="s">
        <v>33</v>
      </c>
      <c r="B3756" s="2">
        <v>44049</v>
      </c>
      <c r="C3756" s="1">
        <v>5</v>
      </c>
      <c r="D3756" s="39">
        <v>198</v>
      </c>
      <c r="E3756" s="1"/>
      <c r="F3756" s="39">
        <f t="shared" si="261"/>
        <v>0</v>
      </c>
      <c r="G3756" s="497"/>
      <c r="H3756" s="497"/>
      <c r="J3756" s="42"/>
    </row>
    <row r="3757" spans="1:10" s="360" customFormat="1" x14ac:dyDescent="0.25">
      <c r="A3757" s="19" t="s">
        <v>21</v>
      </c>
      <c r="B3757" s="2">
        <v>44049</v>
      </c>
      <c r="C3757" s="1">
        <v>40</v>
      </c>
      <c r="D3757" s="39">
        <v>448</v>
      </c>
      <c r="E3757" s="1"/>
      <c r="F3757" s="39">
        <f t="shared" si="261"/>
        <v>0</v>
      </c>
      <c r="G3757" s="497"/>
      <c r="H3757" s="497"/>
      <c r="J3757" s="42"/>
    </row>
    <row r="3758" spans="1:10" s="360" customFormat="1" x14ac:dyDescent="0.25">
      <c r="A3758" s="19" t="s">
        <v>17</v>
      </c>
      <c r="B3758" s="2">
        <v>44049</v>
      </c>
      <c r="C3758" s="1">
        <v>117</v>
      </c>
      <c r="D3758" s="39">
        <v>1790</v>
      </c>
      <c r="E3758" s="1">
        <v>2</v>
      </c>
      <c r="F3758" s="39">
        <f t="shared" si="261"/>
        <v>2</v>
      </c>
      <c r="G3758" s="497"/>
      <c r="H3758" s="497"/>
      <c r="J3758" s="42"/>
    </row>
    <row r="3759" spans="1:10" s="360" customFormat="1" x14ac:dyDescent="0.25">
      <c r="A3759" s="19" t="s">
        <v>23</v>
      </c>
      <c r="B3759" s="2">
        <v>44049</v>
      </c>
      <c r="C3759" s="1">
        <v>1</v>
      </c>
      <c r="D3759" s="39">
        <v>60</v>
      </c>
      <c r="E3759" s="1"/>
      <c r="F3759" s="39">
        <f t="shared" si="261"/>
        <v>1</v>
      </c>
      <c r="G3759" s="497"/>
      <c r="H3759" s="497"/>
      <c r="J3759" s="42"/>
    </row>
    <row r="3760" spans="1:10" s="360" customFormat="1" x14ac:dyDescent="0.25">
      <c r="A3760" s="19" t="s">
        <v>19</v>
      </c>
      <c r="B3760" s="2">
        <v>44049</v>
      </c>
      <c r="C3760" s="1">
        <v>53</v>
      </c>
      <c r="D3760" s="39">
        <v>1367</v>
      </c>
      <c r="E3760" s="1">
        <v>4</v>
      </c>
      <c r="F3760" s="39">
        <f t="shared" si="261"/>
        <v>6</v>
      </c>
      <c r="G3760" s="497"/>
      <c r="H3760" s="497"/>
      <c r="J3760" s="42"/>
    </row>
    <row r="3761" spans="1:10" s="360" customFormat="1" x14ac:dyDescent="0.25">
      <c r="A3761" s="19" t="s">
        <v>18</v>
      </c>
      <c r="B3761" s="2">
        <v>44049</v>
      </c>
      <c r="C3761" s="1">
        <v>222</v>
      </c>
      <c r="D3761" s="39">
        <v>2666</v>
      </c>
      <c r="E3761" s="1"/>
      <c r="F3761" s="39">
        <f t="shared" si="261"/>
        <v>8</v>
      </c>
      <c r="G3761" s="497"/>
      <c r="H3761" s="497"/>
      <c r="J3761" s="42"/>
    </row>
    <row r="3762" spans="1:10" s="360" customFormat="1" x14ac:dyDescent="0.25">
      <c r="A3762" s="19" t="s">
        <v>34</v>
      </c>
      <c r="B3762" s="2">
        <v>44049</v>
      </c>
      <c r="C3762" s="1">
        <v>42</v>
      </c>
      <c r="D3762" s="39">
        <v>421</v>
      </c>
      <c r="E3762" s="1"/>
      <c r="F3762" s="39">
        <f t="shared" si="261"/>
        <v>6</v>
      </c>
      <c r="G3762" s="497"/>
      <c r="H3762" s="497"/>
      <c r="J3762" s="42"/>
    </row>
    <row r="3763" spans="1:10" s="360" customFormat="1" x14ac:dyDescent="0.25">
      <c r="A3763" s="19" t="s">
        <v>35</v>
      </c>
      <c r="B3763" s="2">
        <v>44049</v>
      </c>
      <c r="C3763" s="1">
        <v>-1</v>
      </c>
      <c r="D3763" s="39">
        <v>22</v>
      </c>
      <c r="E3763" s="1"/>
      <c r="F3763" s="39">
        <f>E3763+F3739</f>
        <v>0</v>
      </c>
      <c r="G3763" s="497"/>
      <c r="H3763" s="497"/>
      <c r="J3763" s="42"/>
    </row>
    <row r="3764" spans="1:10" s="360" customFormat="1" x14ac:dyDescent="0.25">
      <c r="A3764" s="19" t="s">
        <v>36</v>
      </c>
      <c r="B3764" s="2">
        <v>44049</v>
      </c>
      <c r="C3764" s="1">
        <v>-1</v>
      </c>
      <c r="D3764" s="39">
        <v>32</v>
      </c>
      <c r="E3764" s="1"/>
      <c r="F3764" s="39">
        <f t="shared" si="261"/>
        <v>0</v>
      </c>
      <c r="G3764" s="497"/>
      <c r="H3764" s="497"/>
      <c r="J3764" s="42"/>
    </row>
    <row r="3765" spans="1:10" s="360" customFormat="1" x14ac:dyDescent="0.25">
      <c r="A3765" s="19" t="s">
        <v>37</v>
      </c>
      <c r="B3765" s="2">
        <v>44049</v>
      </c>
      <c r="C3765" s="1">
        <v>21</v>
      </c>
      <c r="D3765" s="39">
        <v>635</v>
      </c>
      <c r="E3765" s="1">
        <v>1</v>
      </c>
      <c r="F3765" s="39">
        <f t="shared" ref="F3765:F3770" si="262">E3765+F3741</f>
        <v>3</v>
      </c>
      <c r="G3765" s="497"/>
      <c r="H3765" s="497"/>
      <c r="J3765" s="42"/>
    </row>
    <row r="3766" spans="1:10" s="360" customFormat="1" x14ac:dyDescent="0.25">
      <c r="A3766" s="19" t="s">
        <v>22</v>
      </c>
      <c r="B3766" s="2">
        <v>44049</v>
      </c>
      <c r="C3766" s="1">
        <v>141</v>
      </c>
      <c r="D3766" s="39">
        <v>1778</v>
      </c>
      <c r="E3766" s="1"/>
      <c r="F3766" s="39">
        <f t="shared" si="262"/>
        <v>18</v>
      </c>
      <c r="G3766" s="497"/>
      <c r="H3766" s="497"/>
      <c r="J3766" s="42"/>
    </row>
    <row r="3767" spans="1:10" s="360" customFormat="1" x14ac:dyDescent="0.25">
      <c r="A3767" s="19" t="s">
        <v>38</v>
      </c>
      <c r="B3767" s="2">
        <v>44049</v>
      </c>
      <c r="C3767" s="1">
        <v>10</v>
      </c>
      <c r="D3767" s="39">
        <v>77</v>
      </c>
      <c r="E3767" s="1"/>
      <c r="F3767" s="39">
        <f t="shared" si="262"/>
        <v>1</v>
      </c>
      <c r="G3767" s="497"/>
      <c r="H3767" s="497"/>
      <c r="J3767" s="42"/>
    </row>
    <row r="3768" spans="1:10" s="360" customFormat="1" x14ac:dyDescent="0.25">
      <c r="A3768" s="19" t="s">
        <v>39</v>
      </c>
      <c r="B3768" s="2">
        <v>44049</v>
      </c>
      <c r="C3768" s="1">
        <v>67</v>
      </c>
      <c r="D3768" s="39">
        <v>813</v>
      </c>
      <c r="E3768" s="1">
        <f>1+2</f>
        <v>3</v>
      </c>
      <c r="F3768" s="39">
        <f t="shared" si="262"/>
        <v>4</v>
      </c>
      <c r="G3768" s="497"/>
      <c r="H3768" s="497"/>
      <c r="J3768" s="42"/>
    </row>
    <row r="3769" spans="1:10" s="360" customFormat="1" x14ac:dyDescent="0.25">
      <c r="A3769" s="19" t="s">
        <v>40</v>
      </c>
      <c r="B3769" s="2">
        <v>44049</v>
      </c>
      <c r="C3769" s="1">
        <v>30</v>
      </c>
      <c r="D3769" s="39">
        <v>355</v>
      </c>
      <c r="E3769" s="1">
        <f>1</f>
        <v>1</v>
      </c>
      <c r="F3769" s="39">
        <f t="shared" si="262"/>
        <v>5</v>
      </c>
      <c r="G3769" s="497"/>
      <c r="H3769" s="497"/>
      <c r="J3769" s="42"/>
    </row>
    <row r="3770" spans="1:10" s="360" customFormat="1" x14ac:dyDescent="0.25">
      <c r="A3770" s="361" t="s">
        <v>16</v>
      </c>
      <c r="B3770" s="2">
        <v>44050</v>
      </c>
      <c r="C3770" s="1">
        <v>5200</v>
      </c>
      <c r="D3770" s="39">
        <v>144310</v>
      </c>
      <c r="E3770" s="1">
        <v>107</v>
      </c>
      <c r="F3770" s="39">
        <f t="shared" si="262"/>
        <v>2475</v>
      </c>
      <c r="G3770" s="497"/>
      <c r="H3770" s="497"/>
      <c r="J3770" s="42"/>
    </row>
    <row r="3771" spans="1:10" s="360" customFormat="1" x14ac:dyDescent="0.25">
      <c r="A3771" s="19" t="s">
        <v>28</v>
      </c>
      <c r="B3771" s="2">
        <v>44050</v>
      </c>
      <c r="C3771" s="1">
        <v>0</v>
      </c>
      <c r="D3771" s="39">
        <v>61</v>
      </c>
      <c r="E3771" s="1"/>
      <c r="F3771" s="39">
        <f t="shared" ref="F3771:F3777" si="263">E3771+F3747</f>
        <v>0</v>
      </c>
      <c r="G3771" s="497"/>
      <c r="H3771" s="497"/>
      <c r="J3771" s="42"/>
    </row>
    <row r="3772" spans="1:10" s="360" customFormat="1" x14ac:dyDescent="0.25">
      <c r="A3772" s="19" t="s">
        <v>15</v>
      </c>
      <c r="B3772" s="2">
        <v>44050</v>
      </c>
      <c r="C3772" s="1">
        <v>77</v>
      </c>
      <c r="D3772" s="39">
        <v>3949</v>
      </c>
      <c r="E3772" s="1">
        <v>5</v>
      </c>
      <c r="F3772" s="39">
        <f t="shared" si="263"/>
        <v>163</v>
      </c>
      <c r="G3772" s="497"/>
      <c r="H3772" s="497"/>
      <c r="J3772" s="42"/>
    </row>
    <row r="3773" spans="1:10" s="360" customFormat="1" x14ac:dyDescent="0.25">
      <c r="A3773" s="19" t="s">
        <v>29</v>
      </c>
      <c r="B3773" s="2">
        <v>44050</v>
      </c>
      <c r="C3773" s="1">
        <v>2</v>
      </c>
      <c r="D3773" s="39">
        <v>312</v>
      </c>
      <c r="E3773" s="1"/>
      <c r="F3773" s="39">
        <f t="shared" si="263"/>
        <v>4</v>
      </c>
      <c r="G3773" s="497"/>
      <c r="H3773" s="497"/>
      <c r="J3773" s="42"/>
    </row>
    <row r="3774" spans="1:10" s="360" customFormat="1" x14ac:dyDescent="0.25">
      <c r="A3774" s="19" t="s">
        <v>43</v>
      </c>
      <c r="B3774" s="2">
        <v>44050</v>
      </c>
      <c r="C3774" s="1">
        <v>1237</v>
      </c>
      <c r="D3774" s="39">
        <v>68200</v>
      </c>
      <c r="E3774" s="1">
        <v>26</v>
      </c>
      <c r="F3774" s="39">
        <f t="shared" si="263"/>
        <v>1431</v>
      </c>
      <c r="G3774" s="497"/>
      <c r="H3774" s="497"/>
      <c r="J3774" s="42"/>
    </row>
    <row r="3775" spans="1:10" s="360" customFormat="1" x14ac:dyDescent="0.25">
      <c r="A3775" s="19" t="s">
        <v>20</v>
      </c>
      <c r="B3775" s="2">
        <v>44050</v>
      </c>
      <c r="C3775" s="1">
        <v>162</v>
      </c>
      <c r="D3775" s="39">
        <v>3160</v>
      </c>
      <c r="E3775" s="1">
        <f>5+4</f>
        <v>9</v>
      </c>
      <c r="F3775" s="39">
        <f t="shared" si="263"/>
        <v>58</v>
      </c>
      <c r="G3775" s="497"/>
      <c r="H3775" s="497"/>
      <c r="J3775" s="42"/>
    </row>
    <row r="3776" spans="1:10" s="360" customFormat="1" x14ac:dyDescent="0.25">
      <c r="A3776" s="19" t="s">
        <v>30</v>
      </c>
      <c r="B3776" s="2">
        <v>44050</v>
      </c>
      <c r="C3776" s="1">
        <v>4</v>
      </c>
      <c r="D3776" s="39">
        <v>205</v>
      </c>
      <c r="E3776" s="1"/>
      <c r="F3776" s="39">
        <f t="shared" si="263"/>
        <v>2</v>
      </c>
      <c r="G3776" s="497"/>
      <c r="H3776" s="497"/>
      <c r="J3776" s="42"/>
    </row>
    <row r="3777" spans="1:10" x14ac:dyDescent="0.25">
      <c r="A3777" s="19" t="s">
        <v>31</v>
      </c>
      <c r="B3777" s="2">
        <v>44050</v>
      </c>
      <c r="C3777" s="1">
        <v>57</v>
      </c>
      <c r="D3777" s="39">
        <v>1055</v>
      </c>
      <c r="E3777" s="1">
        <v>1</v>
      </c>
      <c r="F3777" s="39">
        <f t="shared" si="263"/>
        <v>13</v>
      </c>
    </row>
    <row r="3778" spans="1:10" s="360" customFormat="1" x14ac:dyDescent="0.25">
      <c r="A3778" s="19" t="s">
        <v>41</v>
      </c>
      <c r="B3778" s="2">
        <v>44050</v>
      </c>
      <c r="C3778" s="1">
        <v>0</v>
      </c>
      <c r="D3778" s="39">
        <v>84</v>
      </c>
      <c r="E3778" s="1"/>
      <c r="F3778" s="39">
        <f>E3778+F3754</f>
        <v>0</v>
      </c>
      <c r="G3778" s="497"/>
      <c r="H3778" s="497"/>
      <c r="J3778" s="42"/>
    </row>
    <row r="3779" spans="1:10" s="360" customFormat="1" x14ac:dyDescent="0.25">
      <c r="A3779" s="19" t="s">
        <v>32</v>
      </c>
      <c r="B3779" s="2">
        <v>44050</v>
      </c>
      <c r="C3779" s="1">
        <v>70</v>
      </c>
      <c r="D3779" s="39">
        <v>3019</v>
      </c>
      <c r="E3779" s="1"/>
      <c r="F3779" s="39">
        <f t="shared" ref="F3779:F3788" si="264">E3779+F3754</f>
        <v>0</v>
      </c>
      <c r="G3779" s="497"/>
      <c r="H3779" s="497"/>
      <c r="J3779" s="42"/>
    </row>
    <row r="3780" spans="1:10" s="360" customFormat="1" x14ac:dyDescent="0.25">
      <c r="A3780" s="19" t="s">
        <v>33</v>
      </c>
      <c r="B3780" s="2">
        <v>44050</v>
      </c>
      <c r="C3780" s="1">
        <v>7</v>
      </c>
      <c r="D3780" s="39">
        <v>205</v>
      </c>
      <c r="E3780" s="1"/>
      <c r="F3780" s="39">
        <f t="shared" si="264"/>
        <v>0</v>
      </c>
      <c r="G3780" s="497"/>
      <c r="H3780" s="497"/>
      <c r="J3780" s="42"/>
    </row>
    <row r="3781" spans="1:10" s="360" customFormat="1" x14ac:dyDescent="0.25">
      <c r="A3781" s="19" t="s">
        <v>21</v>
      </c>
      <c r="B3781" s="2">
        <v>44050</v>
      </c>
      <c r="C3781" s="1">
        <v>29</v>
      </c>
      <c r="D3781" s="39">
        <v>477</v>
      </c>
      <c r="E3781" s="1">
        <f>1</f>
        <v>1</v>
      </c>
      <c r="F3781" s="39">
        <f t="shared" si="264"/>
        <v>1</v>
      </c>
      <c r="G3781" s="497"/>
      <c r="H3781" s="497"/>
      <c r="J3781" s="42"/>
    </row>
    <row r="3782" spans="1:10" s="360" customFormat="1" x14ac:dyDescent="0.25">
      <c r="A3782" s="19" t="s">
        <v>17</v>
      </c>
      <c r="B3782" s="2">
        <v>44050</v>
      </c>
      <c r="C3782" s="1">
        <v>124</v>
      </c>
      <c r="D3782" s="39">
        <v>1914</v>
      </c>
      <c r="E3782" s="1">
        <v>2</v>
      </c>
      <c r="F3782" s="39">
        <f t="shared" si="264"/>
        <v>2</v>
      </c>
      <c r="G3782" s="497"/>
      <c r="H3782" s="497"/>
      <c r="J3782" s="42"/>
    </row>
    <row r="3783" spans="1:10" s="360" customFormat="1" x14ac:dyDescent="0.25">
      <c r="A3783" s="19" t="s">
        <v>23</v>
      </c>
      <c r="B3783" s="2">
        <v>44050</v>
      </c>
      <c r="C3783" s="1">
        <v>-1</v>
      </c>
      <c r="D3783" s="39">
        <v>59</v>
      </c>
      <c r="E3783" s="1"/>
      <c r="F3783" s="39">
        <f t="shared" si="264"/>
        <v>2</v>
      </c>
      <c r="G3783" s="497"/>
      <c r="H3783" s="497"/>
      <c r="J3783" s="42"/>
    </row>
    <row r="3784" spans="1:10" s="360" customFormat="1" x14ac:dyDescent="0.25">
      <c r="A3784" s="19" t="s">
        <v>19</v>
      </c>
      <c r="B3784" s="2">
        <v>44050</v>
      </c>
      <c r="C3784" s="1">
        <v>42</v>
      </c>
      <c r="D3784" s="39">
        <v>1409</v>
      </c>
      <c r="E3784" s="1">
        <v>1</v>
      </c>
      <c r="F3784" s="39">
        <f t="shared" si="264"/>
        <v>2</v>
      </c>
      <c r="G3784" s="497"/>
      <c r="H3784" s="497"/>
      <c r="J3784" s="42"/>
    </row>
    <row r="3785" spans="1:10" s="360" customFormat="1" x14ac:dyDescent="0.25">
      <c r="A3785" s="19" t="s">
        <v>18</v>
      </c>
      <c r="B3785" s="2">
        <v>44050</v>
      </c>
      <c r="C3785" s="1">
        <v>105</v>
      </c>
      <c r="D3785" s="39">
        <v>2771</v>
      </c>
      <c r="E3785" s="1">
        <v>1</v>
      </c>
      <c r="F3785" s="39">
        <f t="shared" si="264"/>
        <v>7</v>
      </c>
      <c r="G3785" s="497"/>
      <c r="H3785" s="497"/>
      <c r="J3785" s="42"/>
    </row>
    <row r="3786" spans="1:10" s="360" customFormat="1" x14ac:dyDescent="0.25">
      <c r="A3786" s="19" t="s">
        <v>34</v>
      </c>
      <c r="B3786" s="2">
        <v>44050</v>
      </c>
      <c r="C3786" s="1">
        <v>54</v>
      </c>
      <c r="D3786" s="39">
        <v>475</v>
      </c>
      <c r="E3786" s="1">
        <f>2+2</f>
        <v>4</v>
      </c>
      <c r="F3786" s="39">
        <f t="shared" si="264"/>
        <v>12</v>
      </c>
      <c r="G3786" s="497"/>
      <c r="H3786" s="497"/>
      <c r="J3786" s="42"/>
    </row>
    <row r="3787" spans="1:10" s="360" customFormat="1" x14ac:dyDescent="0.25">
      <c r="A3787" s="19" t="s">
        <v>35</v>
      </c>
      <c r="B3787" s="2">
        <v>44050</v>
      </c>
      <c r="C3787" s="1">
        <v>0</v>
      </c>
      <c r="D3787" s="39">
        <v>22</v>
      </c>
      <c r="E3787" s="1"/>
      <c r="F3787" s="39">
        <f>E3787+F3763</f>
        <v>0</v>
      </c>
      <c r="G3787" s="497"/>
      <c r="H3787" s="497"/>
      <c r="J3787" s="42"/>
    </row>
    <row r="3788" spans="1:10" s="360" customFormat="1" x14ac:dyDescent="0.25">
      <c r="A3788" s="19" t="s">
        <v>36</v>
      </c>
      <c r="B3788" s="2">
        <v>44050</v>
      </c>
      <c r="C3788" s="1">
        <v>1</v>
      </c>
      <c r="D3788" s="39">
        <v>33</v>
      </c>
      <c r="E3788" s="1"/>
      <c r="F3788" s="39">
        <f t="shared" si="264"/>
        <v>0</v>
      </c>
      <c r="G3788" s="497"/>
      <c r="H3788" s="497"/>
      <c r="J3788" s="42"/>
    </row>
    <row r="3789" spans="1:10" s="360" customFormat="1" x14ac:dyDescent="0.25">
      <c r="A3789" s="19" t="s">
        <v>37</v>
      </c>
      <c r="B3789" s="2">
        <v>44050</v>
      </c>
      <c r="C3789" s="1">
        <v>64</v>
      </c>
      <c r="D3789" s="39">
        <v>699</v>
      </c>
      <c r="E3789" s="1"/>
      <c r="F3789" s="39">
        <f t="shared" ref="F3789:F3794" si="265">E3789+F3765</f>
        <v>3</v>
      </c>
      <c r="G3789" s="497"/>
      <c r="H3789" s="497"/>
      <c r="J3789" s="42"/>
    </row>
    <row r="3790" spans="1:10" s="360" customFormat="1" x14ac:dyDescent="0.25">
      <c r="A3790" s="19" t="s">
        <v>22</v>
      </c>
      <c r="B3790" s="2">
        <v>44050</v>
      </c>
      <c r="C3790" s="1">
        <v>134</v>
      </c>
      <c r="D3790" s="39">
        <v>1912</v>
      </c>
      <c r="E3790" s="1">
        <f>1+1</f>
        <v>2</v>
      </c>
      <c r="F3790" s="39">
        <f t="shared" si="265"/>
        <v>20</v>
      </c>
      <c r="G3790" s="497"/>
      <c r="H3790" s="497"/>
      <c r="J3790" s="42"/>
    </row>
    <row r="3791" spans="1:10" s="360" customFormat="1" x14ac:dyDescent="0.25">
      <c r="A3791" s="19" t="s">
        <v>38</v>
      </c>
      <c r="B3791" s="2">
        <v>44050</v>
      </c>
      <c r="C3791" s="1">
        <v>29</v>
      </c>
      <c r="D3791" s="39">
        <v>106</v>
      </c>
      <c r="E3791" s="1"/>
      <c r="F3791" s="39">
        <f t="shared" si="265"/>
        <v>1</v>
      </c>
      <c r="G3791" s="497"/>
      <c r="H3791" s="497"/>
      <c r="J3791" s="42"/>
    </row>
    <row r="3792" spans="1:10" s="360" customFormat="1" x14ac:dyDescent="0.25">
      <c r="A3792" s="19" t="s">
        <v>39</v>
      </c>
      <c r="B3792" s="2">
        <v>44050</v>
      </c>
      <c r="C3792" s="1">
        <v>85</v>
      </c>
      <c r="D3792" s="39">
        <v>898</v>
      </c>
      <c r="E3792" s="1"/>
      <c r="F3792" s="39">
        <f t="shared" si="265"/>
        <v>4</v>
      </c>
      <c r="G3792" s="497"/>
      <c r="H3792" s="497"/>
      <c r="J3792" s="42"/>
    </row>
    <row r="3793" spans="1:10" s="360" customFormat="1" x14ac:dyDescent="0.25">
      <c r="A3793" s="19" t="s">
        <v>40</v>
      </c>
      <c r="B3793" s="2">
        <v>44050</v>
      </c>
      <c r="C3793" s="1">
        <v>9</v>
      </c>
      <c r="D3793" s="39">
        <v>364</v>
      </c>
      <c r="E3793" s="1"/>
      <c r="F3793" s="39">
        <f t="shared" si="265"/>
        <v>5</v>
      </c>
      <c r="G3793" s="497"/>
      <c r="H3793" s="497"/>
      <c r="J3793" s="42"/>
    </row>
    <row r="3794" spans="1:10" s="360" customFormat="1" x14ac:dyDescent="0.25">
      <c r="A3794" s="361" t="s">
        <v>16</v>
      </c>
      <c r="B3794" s="2">
        <v>44051</v>
      </c>
      <c r="C3794" s="1">
        <v>4053</v>
      </c>
      <c r="D3794" s="39">
        <v>148363</v>
      </c>
      <c r="E3794" s="1">
        <v>84</v>
      </c>
      <c r="F3794" s="39">
        <f t="shared" si="265"/>
        <v>2559</v>
      </c>
      <c r="G3794" s="497"/>
      <c r="H3794" s="497"/>
      <c r="J3794" s="42"/>
    </row>
    <row r="3795" spans="1:10" s="360" customFormat="1" x14ac:dyDescent="0.25">
      <c r="A3795" s="19" t="s">
        <v>28</v>
      </c>
      <c r="B3795" s="2">
        <v>44051</v>
      </c>
      <c r="C3795" s="1">
        <v>1</v>
      </c>
      <c r="D3795" s="39">
        <v>62</v>
      </c>
      <c r="E3795" s="1"/>
      <c r="F3795" s="39">
        <f t="shared" ref="F3795:F3801" si="266">E3795+F3771</f>
        <v>0</v>
      </c>
      <c r="G3795" s="497"/>
      <c r="H3795" s="497"/>
      <c r="J3795" s="42"/>
    </row>
    <row r="3796" spans="1:10" s="360" customFormat="1" x14ac:dyDescent="0.25">
      <c r="A3796" s="19" t="s">
        <v>15</v>
      </c>
      <c r="B3796" s="2">
        <v>44051</v>
      </c>
      <c r="C3796" s="1">
        <v>54</v>
      </c>
      <c r="D3796" s="39">
        <v>4003</v>
      </c>
      <c r="E3796" s="1"/>
      <c r="F3796" s="39">
        <f t="shared" si="266"/>
        <v>163</v>
      </c>
      <c r="G3796" s="497"/>
      <c r="H3796" s="497"/>
      <c r="J3796" s="42"/>
    </row>
    <row r="3797" spans="1:10" s="360" customFormat="1" x14ac:dyDescent="0.25">
      <c r="A3797" s="19" t="s">
        <v>29</v>
      </c>
      <c r="B3797" s="2">
        <v>44051</v>
      </c>
      <c r="C3797" s="1">
        <v>16</v>
      </c>
      <c r="D3797" s="39">
        <v>328</v>
      </c>
      <c r="E3797" s="1"/>
      <c r="F3797" s="39">
        <f t="shared" si="266"/>
        <v>4</v>
      </c>
      <c r="G3797" s="497"/>
      <c r="H3797" s="497"/>
      <c r="J3797" s="42"/>
    </row>
    <row r="3798" spans="1:10" s="360" customFormat="1" x14ac:dyDescent="0.25">
      <c r="A3798" s="19" t="s">
        <v>43</v>
      </c>
      <c r="B3798" s="2">
        <v>44051</v>
      </c>
      <c r="C3798" s="1">
        <v>966</v>
      </c>
      <c r="D3798" s="39">
        <v>69166</v>
      </c>
      <c r="E3798" s="1">
        <v>17</v>
      </c>
      <c r="F3798" s="39">
        <f t="shared" si="266"/>
        <v>1448</v>
      </c>
      <c r="G3798" s="497"/>
      <c r="H3798" s="497"/>
      <c r="J3798" s="42"/>
    </row>
    <row r="3799" spans="1:10" s="360" customFormat="1" x14ac:dyDescent="0.25">
      <c r="A3799" s="19" t="s">
        <v>20</v>
      </c>
      <c r="B3799" s="2">
        <v>44051</v>
      </c>
      <c r="C3799" s="1">
        <v>150</v>
      </c>
      <c r="D3799" s="39">
        <v>3310</v>
      </c>
      <c r="E3799" s="1">
        <v>3</v>
      </c>
      <c r="F3799" s="39">
        <f t="shared" si="266"/>
        <v>61</v>
      </c>
      <c r="G3799" s="497"/>
      <c r="H3799" s="497"/>
      <c r="J3799" s="42"/>
    </row>
    <row r="3800" spans="1:10" s="360" customFormat="1" x14ac:dyDescent="0.25">
      <c r="A3800" s="19" t="s">
        <v>30</v>
      </c>
      <c r="B3800" s="2">
        <v>44051</v>
      </c>
      <c r="C3800" s="1">
        <v>3</v>
      </c>
      <c r="D3800" s="39">
        <v>208</v>
      </c>
      <c r="E3800" s="1"/>
      <c r="F3800" s="39">
        <f t="shared" si="266"/>
        <v>2</v>
      </c>
      <c r="G3800" s="497"/>
      <c r="H3800" s="497"/>
      <c r="J3800" s="42"/>
    </row>
    <row r="3801" spans="1:10" x14ac:dyDescent="0.25">
      <c r="A3801" s="19" t="s">
        <v>31</v>
      </c>
      <c r="B3801" s="2">
        <v>44051</v>
      </c>
      <c r="C3801" s="1">
        <v>31</v>
      </c>
      <c r="D3801" s="39">
        <v>1086</v>
      </c>
      <c r="F3801" s="39">
        <f t="shared" si="266"/>
        <v>13</v>
      </c>
    </row>
    <row r="3802" spans="1:10" s="360" customFormat="1" x14ac:dyDescent="0.25">
      <c r="A3802" s="19" t="s">
        <v>41</v>
      </c>
      <c r="B3802" s="2">
        <v>44051</v>
      </c>
      <c r="C3802" s="1">
        <v>1</v>
      </c>
      <c r="D3802" s="39">
        <v>85</v>
      </c>
      <c r="E3802" s="1"/>
      <c r="F3802" s="39">
        <f>E3802+F3778</f>
        <v>0</v>
      </c>
      <c r="G3802" s="497"/>
      <c r="H3802" s="497"/>
      <c r="J3802" s="42"/>
    </row>
    <row r="3803" spans="1:10" s="360" customFormat="1" x14ac:dyDescent="0.25">
      <c r="A3803" s="19" t="s">
        <v>32</v>
      </c>
      <c r="B3803" s="2">
        <v>44051</v>
      </c>
      <c r="C3803" s="1">
        <v>328</v>
      </c>
      <c r="D3803" s="39">
        <v>3347</v>
      </c>
      <c r="E3803" s="1">
        <v>1</v>
      </c>
      <c r="F3803" s="39">
        <f t="shared" ref="F3803:F3812" si="267">E3803+F3778</f>
        <v>1</v>
      </c>
      <c r="G3803" s="497"/>
      <c r="H3803" s="497"/>
      <c r="J3803" s="42"/>
    </row>
    <row r="3804" spans="1:10" s="360" customFormat="1" x14ac:dyDescent="0.25">
      <c r="A3804" s="19" t="s">
        <v>33</v>
      </c>
      <c r="B3804" s="2">
        <v>44051</v>
      </c>
      <c r="C3804" s="1">
        <v>1</v>
      </c>
      <c r="D3804" s="39">
        <v>206</v>
      </c>
      <c r="E3804" s="1"/>
      <c r="F3804" s="39">
        <f t="shared" si="267"/>
        <v>0</v>
      </c>
      <c r="G3804" s="497"/>
      <c r="H3804" s="497"/>
      <c r="J3804" s="42"/>
    </row>
    <row r="3805" spans="1:10" s="360" customFormat="1" x14ac:dyDescent="0.25">
      <c r="A3805" s="19" t="s">
        <v>21</v>
      </c>
      <c r="B3805" s="2">
        <v>44051</v>
      </c>
      <c r="C3805" s="1">
        <v>36</v>
      </c>
      <c r="D3805" s="39">
        <v>513</v>
      </c>
      <c r="E3805" s="1">
        <v>1</v>
      </c>
      <c r="F3805" s="39">
        <f t="shared" si="267"/>
        <v>1</v>
      </c>
      <c r="G3805" s="497"/>
      <c r="H3805" s="497"/>
      <c r="J3805" s="42"/>
    </row>
    <row r="3806" spans="1:10" s="360" customFormat="1" x14ac:dyDescent="0.25">
      <c r="A3806" s="19" t="s">
        <v>17</v>
      </c>
      <c r="B3806" s="2">
        <v>44051</v>
      </c>
      <c r="C3806" s="1">
        <v>124</v>
      </c>
      <c r="D3806" s="39">
        <v>2038</v>
      </c>
      <c r="E3806" s="1">
        <v>1</v>
      </c>
      <c r="F3806" s="39">
        <f t="shared" si="267"/>
        <v>2</v>
      </c>
      <c r="G3806" s="497"/>
      <c r="H3806" s="497"/>
      <c r="J3806" s="42"/>
    </row>
    <row r="3807" spans="1:10" s="360" customFormat="1" x14ac:dyDescent="0.25">
      <c r="A3807" s="19" t="s">
        <v>23</v>
      </c>
      <c r="B3807" s="2">
        <v>44051</v>
      </c>
      <c r="C3807" s="1">
        <v>-2</v>
      </c>
      <c r="D3807" s="39">
        <v>57</v>
      </c>
      <c r="E3807" s="1"/>
      <c r="F3807" s="39">
        <f t="shared" si="267"/>
        <v>2</v>
      </c>
      <c r="G3807" s="497"/>
      <c r="H3807" s="497"/>
      <c r="J3807" s="42"/>
    </row>
    <row r="3808" spans="1:10" s="360" customFormat="1" x14ac:dyDescent="0.25">
      <c r="A3808" s="19" t="s">
        <v>19</v>
      </c>
      <c r="B3808" s="2">
        <v>44051</v>
      </c>
      <c r="C3808" s="1">
        <v>18</v>
      </c>
      <c r="D3808" s="39">
        <v>1427</v>
      </c>
      <c r="E3808" s="1"/>
      <c r="F3808" s="39">
        <f t="shared" si="267"/>
        <v>2</v>
      </c>
      <c r="G3808" s="497"/>
      <c r="H3808" s="497"/>
      <c r="J3808" s="42"/>
    </row>
    <row r="3809" spans="1:10" s="360" customFormat="1" x14ac:dyDescent="0.25">
      <c r="A3809" s="19" t="s">
        <v>18</v>
      </c>
      <c r="B3809" s="2">
        <v>44051</v>
      </c>
      <c r="C3809" s="1">
        <v>70</v>
      </c>
      <c r="D3809" s="39">
        <v>2841</v>
      </c>
      <c r="E3809" s="1">
        <v>3</v>
      </c>
      <c r="F3809" s="39">
        <f t="shared" si="267"/>
        <v>5</v>
      </c>
      <c r="G3809" s="497"/>
      <c r="H3809" s="497"/>
      <c r="J3809" s="42"/>
    </row>
    <row r="3810" spans="1:10" s="360" customFormat="1" x14ac:dyDescent="0.25">
      <c r="A3810" s="19" t="s">
        <v>34</v>
      </c>
      <c r="B3810" s="2">
        <v>44051</v>
      </c>
      <c r="C3810" s="1">
        <v>68</v>
      </c>
      <c r="D3810" s="39">
        <v>543</v>
      </c>
      <c r="E3810" s="1"/>
      <c r="F3810" s="39">
        <f t="shared" si="267"/>
        <v>7</v>
      </c>
      <c r="G3810" s="497"/>
      <c r="H3810" s="497"/>
      <c r="J3810" s="42"/>
    </row>
    <row r="3811" spans="1:10" s="360" customFormat="1" x14ac:dyDescent="0.25">
      <c r="A3811" s="19" t="s">
        <v>35</v>
      </c>
      <c r="B3811" s="2">
        <v>44051</v>
      </c>
      <c r="C3811" s="1">
        <v>1</v>
      </c>
      <c r="D3811" s="39">
        <v>23</v>
      </c>
      <c r="E3811" s="1"/>
      <c r="F3811" s="39">
        <f>E3811+F3787</f>
        <v>0</v>
      </c>
      <c r="G3811" s="497"/>
      <c r="H3811" s="497"/>
      <c r="J3811" s="42"/>
    </row>
    <row r="3812" spans="1:10" s="360" customFormat="1" x14ac:dyDescent="0.25">
      <c r="A3812" s="19" t="s">
        <v>36</v>
      </c>
      <c r="B3812" s="2">
        <v>44051</v>
      </c>
      <c r="C3812" s="1">
        <v>0</v>
      </c>
      <c r="D3812" s="39">
        <v>33</v>
      </c>
      <c r="E3812" s="1"/>
      <c r="F3812" s="39">
        <f t="shared" si="267"/>
        <v>0</v>
      </c>
      <c r="G3812" s="497"/>
      <c r="H3812" s="497"/>
      <c r="J3812" s="42"/>
    </row>
    <row r="3813" spans="1:10" s="360" customFormat="1" x14ac:dyDescent="0.25">
      <c r="A3813" s="19" t="s">
        <v>37</v>
      </c>
      <c r="B3813" s="2">
        <v>44051</v>
      </c>
      <c r="C3813" s="1">
        <v>8</v>
      </c>
      <c r="D3813" s="39">
        <v>707</v>
      </c>
      <c r="E3813" s="1"/>
      <c r="F3813" s="39">
        <f t="shared" ref="F3813:F3818" si="268">E3813+F3789</f>
        <v>3</v>
      </c>
      <c r="G3813" s="497"/>
      <c r="H3813" s="497"/>
      <c r="J3813" s="42"/>
    </row>
    <row r="3814" spans="1:10" s="360" customFormat="1" x14ac:dyDescent="0.25">
      <c r="A3814" s="19" t="s">
        <v>22</v>
      </c>
      <c r="B3814" s="2">
        <v>44051</v>
      </c>
      <c r="C3814" s="1">
        <v>137</v>
      </c>
      <c r="D3814" s="39">
        <v>2049</v>
      </c>
      <c r="E3814" s="1">
        <v>1</v>
      </c>
      <c r="F3814" s="39">
        <f t="shared" si="268"/>
        <v>21</v>
      </c>
      <c r="G3814" s="497"/>
      <c r="H3814" s="497"/>
      <c r="J3814" s="42"/>
    </row>
    <row r="3815" spans="1:10" s="360" customFormat="1" x14ac:dyDescent="0.25">
      <c r="A3815" s="19" t="s">
        <v>38</v>
      </c>
      <c r="B3815" s="2">
        <v>44051</v>
      </c>
      <c r="C3815" s="1">
        <v>9</v>
      </c>
      <c r="D3815" s="39">
        <v>115</v>
      </c>
      <c r="E3815" s="1"/>
      <c r="F3815" s="39">
        <f t="shared" si="268"/>
        <v>1</v>
      </c>
      <c r="G3815" s="497"/>
      <c r="H3815" s="497"/>
      <c r="J3815" s="42"/>
    </row>
    <row r="3816" spans="1:10" s="360" customFormat="1" x14ac:dyDescent="0.25">
      <c r="A3816" s="19" t="s">
        <v>39</v>
      </c>
      <c r="B3816" s="2">
        <v>44051</v>
      </c>
      <c r="C3816" s="1">
        <v>52</v>
      </c>
      <c r="D3816" s="39">
        <v>950</v>
      </c>
      <c r="E3816" s="1">
        <v>1</v>
      </c>
      <c r="F3816" s="39">
        <f t="shared" si="268"/>
        <v>5</v>
      </c>
      <c r="G3816" s="497"/>
      <c r="H3816" s="497"/>
      <c r="J3816" s="42"/>
    </row>
    <row r="3817" spans="1:10" s="360" customFormat="1" x14ac:dyDescent="0.25">
      <c r="A3817" s="19" t="s">
        <v>40</v>
      </c>
      <c r="B3817" s="2">
        <v>44051</v>
      </c>
      <c r="C3817" s="1">
        <v>9</v>
      </c>
      <c r="D3817" s="39">
        <v>373</v>
      </c>
      <c r="E3817" s="1"/>
      <c r="F3817" s="39">
        <f t="shared" si="268"/>
        <v>5</v>
      </c>
      <c r="G3817" s="497"/>
      <c r="H3817" s="497"/>
      <c r="J3817" s="42"/>
    </row>
    <row r="3818" spans="1:10" s="360" customFormat="1" x14ac:dyDescent="0.25">
      <c r="A3818" s="361" t="s">
        <v>16</v>
      </c>
      <c r="B3818" s="2">
        <v>44052</v>
      </c>
      <c r="C3818" s="1">
        <v>2904</v>
      </c>
      <c r="D3818" s="39">
        <v>151267</v>
      </c>
      <c r="E3818" s="1">
        <v>55</v>
      </c>
      <c r="F3818" s="39">
        <f t="shared" si="268"/>
        <v>2614</v>
      </c>
      <c r="G3818" s="497"/>
      <c r="H3818" s="497"/>
      <c r="J3818" s="42"/>
    </row>
    <row r="3819" spans="1:10" s="360" customFormat="1" x14ac:dyDescent="0.25">
      <c r="A3819" s="19" t="s">
        <v>28</v>
      </c>
      <c r="B3819" s="2">
        <v>44052</v>
      </c>
      <c r="C3819" s="1">
        <v>0</v>
      </c>
      <c r="D3819" s="39">
        <v>62</v>
      </c>
      <c r="E3819" s="1"/>
      <c r="F3819" s="39">
        <f t="shared" ref="F3819:F3825" si="269">E3819+F3795</f>
        <v>0</v>
      </c>
      <c r="G3819" s="497"/>
      <c r="H3819" s="497"/>
      <c r="J3819" s="42"/>
    </row>
    <row r="3820" spans="1:10" s="360" customFormat="1" x14ac:dyDescent="0.25">
      <c r="A3820" s="19" t="s">
        <v>15</v>
      </c>
      <c r="B3820" s="2">
        <v>44052</v>
      </c>
      <c r="C3820" s="1">
        <v>66</v>
      </c>
      <c r="D3820" s="39">
        <v>4069</v>
      </c>
      <c r="E3820" s="1"/>
      <c r="F3820" s="39">
        <f t="shared" si="269"/>
        <v>163</v>
      </c>
      <c r="G3820" s="497"/>
      <c r="H3820" s="497"/>
      <c r="J3820" s="42"/>
    </row>
    <row r="3821" spans="1:10" s="360" customFormat="1" x14ac:dyDescent="0.25">
      <c r="A3821" s="19" t="s">
        <v>29</v>
      </c>
      <c r="B3821" s="2">
        <v>44052</v>
      </c>
      <c r="C3821" s="1">
        <v>21</v>
      </c>
      <c r="D3821" s="39">
        <v>349</v>
      </c>
      <c r="E3821" s="1"/>
      <c r="F3821" s="39">
        <f t="shared" si="269"/>
        <v>4</v>
      </c>
      <c r="G3821" s="497"/>
      <c r="H3821" s="497"/>
      <c r="J3821" s="42"/>
    </row>
    <row r="3822" spans="1:10" s="360" customFormat="1" x14ac:dyDescent="0.25">
      <c r="A3822" s="19" t="s">
        <v>43</v>
      </c>
      <c r="B3822" s="2">
        <v>44052</v>
      </c>
      <c r="C3822" s="1">
        <v>873</v>
      </c>
      <c r="D3822" s="39">
        <v>70039</v>
      </c>
      <c r="E3822" s="1">
        <v>22</v>
      </c>
      <c r="F3822" s="39">
        <f t="shared" si="269"/>
        <v>1470</v>
      </c>
      <c r="G3822" s="497"/>
      <c r="H3822" s="497"/>
      <c r="J3822" s="42"/>
    </row>
    <row r="3823" spans="1:10" s="360" customFormat="1" x14ac:dyDescent="0.25">
      <c r="A3823" s="19" t="s">
        <v>20</v>
      </c>
      <c r="B3823" s="2">
        <v>44052</v>
      </c>
      <c r="C3823" s="1">
        <v>205</v>
      </c>
      <c r="D3823" s="39">
        <v>3515</v>
      </c>
      <c r="E3823" s="1">
        <v>3</v>
      </c>
      <c r="F3823" s="39">
        <f>E3823+F3799</f>
        <v>64</v>
      </c>
      <c r="G3823" s="497"/>
      <c r="H3823" s="497"/>
      <c r="J3823" s="42"/>
    </row>
    <row r="3824" spans="1:10" s="360" customFormat="1" x14ac:dyDescent="0.25">
      <c r="A3824" s="19" t="s">
        <v>30</v>
      </c>
      <c r="B3824" s="2">
        <v>44052</v>
      </c>
      <c r="C3824" s="1">
        <v>6</v>
      </c>
      <c r="D3824" s="39">
        <v>214</v>
      </c>
      <c r="E3824" s="1"/>
      <c r="F3824" s="39">
        <f t="shared" si="269"/>
        <v>2</v>
      </c>
      <c r="G3824" s="497"/>
      <c r="H3824" s="497"/>
      <c r="J3824" s="42"/>
    </row>
    <row r="3825" spans="1:10" x14ac:dyDescent="0.25">
      <c r="A3825" s="19" t="s">
        <v>31</v>
      </c>
      <c r="B3825" s="2">
        <v>44052</v>
      </c>
      <c r="C3825" s="1">
        <v>77</v>
      </c>
      <c r="D3825" s="39">
        <v>1163</v>
      </c>
      <c r="F3825" s="39">
        <f t="shared" si="269"/>
        <v>13</v>
      </c>
    </row>
    <row r="3826" spans="1:10" s="360" customFormat="1" x14ac:dyDescent="0.25">
      <c r="A3826" s="19" t="s">
        <v>41</v>
      </c>
      <c r="B3826" s="2">
        <v>44052</v>
      </c>
      <c r="C3826" s="1">
        <v>1</v>
      </c>
      <c r="D3826" s="39">
        <v>86</v>
      </c>
      <c r="E3826" s="1"/>
      <c r="F3826" s="39">
        <f>E3826+F3802</f>
        <v>0</v>
      </c>
      <c r="G3826" s="497"/>
      <c r="H3826" s="497"/>
      <c r="J3826" s="42"/>
    </row>
    <row r="3827" spans="1:10" s="360" customFormat="1" x14ac:dyDescent="0.25">
      <c r="A3827" s="19" t="s">
        <v>32</v>
      </c>
      <c r="B3827" s="2">
        <v>44052</v>
      </c>
      <c r="C3827" s="1">
        <v>73</v>
      </c>
      <c r="D3827" s="39">
        <v>3420</v>
      </c>
      <c r="E3827" s="1"/>
      <c r="F3827" s="39">
        <f t="shared" ref="F3827:F3836" si="270">E3827+F3802</f>
        <v>0</v>
      </c>
      <c r="G3827" s="497"/>
      <c r="H3827" s="497"/>
      <c r="J3827" s="42"/>
    </row>
    <row r="3828" spans="1:10" s="360" customFormat="1" x14ac:dyDescent="0.25">
      <c r="A3828" s="19" t="s">
        <v>33</v>
      </c>
      <c r="B3828" s="2">
        <v>44052</v>
      </c>
      <c r="C3828" s="1">
        <v>0</v>
      </c>
      <c r="D3828" s="39">
        <v>206</v>
      </c>
      <c r="E3828" s="1"/>
      <c r="F3828" s="39">
        <f t="shared" si="270"/>
        <v>1</v>
      </c>
      <c r="G3828" s="497"/>
      <c r="H3828" s="497"/>
      <c r="J3828" s="42"/>
    </row>
    <row r="3829" spans="1:10" s="360" customFormat="1" x14ac:dyDescent="0.25">
      <c r="A3829" s="19" t="s">
        <v>21</v>
      </c>
      <c r="B3829" s="2">
        <v>44052</v>
      </c>
      <c r="C3829" s="1">
        <v>3</v>
      </c>
      <c r="D3829" s="39">
        <v>516</v>
      </c>
      <c r="E3829" s="1">
        <v>1</v>
      </c>
      <c r="F3829" s="39">
        <f t="shared" si="270"/>
        <v>1</v>
      </c>
      <c r="G3829" s="497"/>
      <c r="H3829" s="497"/>
      <c r="J3829" s="42"/>
    </row>
    <row r="3830" spans="1:10" s="360" customFormat="1" x14ac:dyDescent="0.25">
      <c r="A3830" s="19" t="s">
        <v>17</v>
      </c>
      <c r="B3830" s="2">
        <v>44052</v>
      </c>
      <c r="C3830" s="1">
        <v>108</v>
      </c>
      <c r="D3830" s="39">
        <v>2146</v>
      </c>
      <c r="E3830" s="1">
        <v>1</v>
      </c>
      <c r="F3830" s="39">
        <f t="shared" si="270"/>
        <v>2</v>
      </c>
      <c r="G3830" s="497"/>
      <c r="H3830" s="497"/>
      <c r="J3830" s="42"/>
    </row>
    <row r="3831" spans="1:10" s="360" customFormat="1" x14ac:dyDescent="0.25">
      <c r="A3831" s="19" t="s">
        <v>23</v>
      </c>
      <c r="B3831" s="2">
        <v>44052</v>
      </c>
      <c r="C3831" s="1">
        <v>3</v>
      </c>
      <c r="D3831" s="39">
        <v>60</v>
      </c>
      <c r="E3831" s="1"/>
      <c r="F3831" s="39">
        <f t="shared" si="270"/>
        <v>2</v>
      </c>
      <c r="G3831" s="497"/>
      <c r="H3831" s="497"/>
      <c r="J3831" s="42"/>
    </row>
    <row r="3832" spans="1:10" s="360" customFormat="1" x14ac:dyDescent="0.25">
      <c r="A3832" s="19" t="s">
        <v>19</v>
      </c>
      <c r="B3832" s="2">
        <v>44052</v>
      </c>
      <c r="C3832" s="1">
        <v>29</v>
      </c>
      <c r="D3832" s="39">
        <v>1456</v>
      </c>
      <c r="E3832" s="1"/>
      <c r="F3832" s="39">
        <f t="shared" si="270"/>
        <v>2</v>
      </c>
      <c r="G3832" s="497"/>
      <c r="H3832" s="497"/>
      <c r="J3832" s="42"/>
    </row>
    <row r="3833" spans="1:10" s="360" customFormat="1" x14ac:dyDescent="0.25">
      <c r="A3833" s="19" t="s">
        <v>18</v>
      </c>
      <c r="B3833" s="2">
        <v>44052</v>
      </c>
      <c r="C3833" s="1">
        <v>62</v>
      </c>
      <c r="D3833" s="39">
        <v>2903</v>
      </c>
      <c r="E3833" s="1"/>
      <c r="F3833" s="39">
        <f t="shared" si="270"/>
        <v>2</v>
      </c>
      <c r="G3833" s="497"/>
      <c r="H3833" s="497"/>
      <c r="J3833" s="42"/>
    </row>
    <row r="3834" spans="1:10" s="360" customFormat="1" x14ac:dyDescent="0.25">
      <c r="A3834" s="19" t="s">
        <v>34</v>
      </c>
      <c r="B3834" s="2">
        <v>44052</v>
      </c>
      <c r="C3834" s="1">
        <v>46</v>
      </c>
      <c r="D3834" s="39">
        <v>589</v>
      </c>
      <c r="E3834" s="1"/>
      <c r="F3834" s="39">
        <f t="shared" si="270"/>
        <v>5</v>
      </c>
      <c r="G3834" s="497"/>
      <c r="H3834" s="497"/>
      <c r="J3834" s="42"/>
    </row>
    <row r="3835" spans="1:10" s="360" customFormat="1" x14ac:dyDescent="0.25">
      <c r="A3835" s="19" t="s">
        <v>35</v>
      </c>
      <c r="B3835" s="2">
        <v>44052</v>
      </c>
      <c r="C3835" s="1">
        <v>-1</v>
      </c>
      <c r="D3835" s="39">
        <v>22</v>
      </c>
      <c r="E3835" s="1"/>
      <c r="F3835" s="39">
        <f>E3835+F3811</f>
        <v>0</v>
      </c>
      <c r="G3835" s="497"/>
      <c r="H3835" s="497"/>
      <c r="J3835" s="42"/>
    </row>
    <row r="3836" spans="1:10" s="360" customFormat="1" x14ac:dyDescent="0.25">
      <c r="A3836" s="19" t="s">
        <v>36</v>
      </c>
      <c r="B3836" s="2">
        <v>44052</v>
      </c>
      <c r="C3836" s="1">
        <v>1</v>
      </c>
      <c r="D3836" s="39">
        <v>34</v>
      </c>
      <c r="E3836" s="1"/>
      <c r="F3836" s="39">
        <f t="shared" si="270"/>
        <v>0</v>
      </c>
      <c r="G3836" s="497"/>
      <c r="H3836" s="497"/>
      <c r="J3836" s="42"/>
    </row>
    <row r="3837" spans="1:10" s="360" customFormat="1" x14ac:dyDescent="0.25">
      <c r="A3837" s="19" t="s">
        <v>37</v>
      </c>
      <c r="B3837" s="2">
        <v>44052</v>
      </c>
      <c r="C3837" s="1">
        <v>41</v>
      </c>
      <c r="D3837" s="39">
        <v>748</v>
      </c>
      <c r="E3837" s="1"/>
      <c r="F3837" s="39">
        <f t="shared" ref="F3837:F3842" si="271">E3837+F3813</f>
        <v>3</v>
      </c>
      <c r="G3837" s="497"/>
      <c r="H3837" s="497"/>
      <c r="J3837" s="42"/>
    </row>
    <row r="3838" spans="1:10" s="360" customFormat="1" x14ac:dyDescent="0.25">
      <c r="A3838" s="19" t="s">
        <v>22</v>
      </c>
      <c r="B3838" s="2">
        <v>44052</v>
      </c>
      <c r="C3838" s="1">
        <v>87</v>
      </c>
      <c r="D3838" s="39">
        <v>2136</v>
      </c>
      <c r="E3838" s="1">
        <v>1</v>
      </c>
      <c r="F3838" s="39">
        <f t="shared" si="271"/>
        <v>22</v>
      </c>
      <c r="G3838" s="497"/>
      <c r="H3838" s="497"/>
      <c r="J3838" s="42"/>
    </row>
    <row r="3839" spans="1:10" s="360" customFormat="1" x14ac:dyDescent="0.25">
      <c r="A3839" s="19" t="s">
        <v>38</v>
      </c>
      <c r="B3839" s="2">
        <v>44052</v>
      </c>
      <c r="C3839" s="1">
        <v>20</v>
      </c>
      <c r="D3839" s="39">
        <v>135</v>
      </c>
      <c r="E3839" s="1"/>
      <c r="F3839" s="39">
        <f t="shared" si="271"/>
        <v>1</v>
      </c>
      <c r="G3839" s="497"/>
      <c r="H3839" s="497"/>
      <c r="J3839" s="42"/>
    </row>
    <row r="3840" spans="1:10" s="360" customFormat="1" x14ac:dyDescent="0.25">
      <c r="A3840" s="19" t="s">
        <v>39</v>
      </c>
      <c r="B3840" s="2">
        <v>44052</v>
      </c>
      <c r="C3840" s="1">
        <v>37</v>
      </c>
      <c r="D3840" s="39">
        <v>987</v>
      </c>
      <c r="E3840" s="1"/>
      <c r="F3840" s="39">
        <f t="shared" si="271"/>
        <v>5</v>
      </c>
      <c r="G3840" s="497"/>
      <c r="H3840" s="497"/>
      <c r="J3840" s="42"/>
    </row>
    <row r="3841" spans="1:10" s="360" customFormat="1" x14ac:dyDescent="0.25">
      <c r="A3841" s="19" t="s">
        <v>40</v>
      </c>
      <c r="B3841" s="2">
        <v>44052</v>
      </c>
      <c r="C3841" s="1">
        <v>26</v>
      </c>
      <c r="D3841" s="39">
        <v>399</v>
      </c>
      <c r="E3841" s="1"/>
      <c r="F3841" s="39">
        <f t="shared" si="271"/>
        <v>5</v>
      </c>
      <c r="G3841" s="497"/>
      <c r="H3841" s="497"/>
      <c r="J3841" s="42"/>
    </row>
    <row r="3842" spans="1:10" s="360" customFormat="1" x14ac:dyDescent="0.25">
      <c r="A3842" s="361" t="s">
        <v>16</v>
      </c>
      <c r="B3842" s="2">
        <v>44053</v>
      </c>
      <c r="C3842" s="1">
        <v>5402</v>
      </c>
      <c r="D3842" s="39">
        <v>156669</v>
      </c>
      <c r="E3842" s="1">
        <v>108</v>
      </c>
      <c r="F3842" s="39">
        <f t="shared" si="271"/>
        <v>2722</v>
      </c>
      <c r="G3842" s="497"/>
      <c r="H3842" s="497"/>
      <c r="J3842" s="42"/>
    </row>
    <row r="3843" spans="1:10" s="360" customFormat="1" x14ac:dyDescent="0.25">
      <c r="A3843" s="19" t="s">
        <v>28</v>
      </c>
      <c r="B3843" s="2">
        <v>44053</v>
      </c>
      <c r="C3843" s="1">
        <v>0</v>
      </c>
      <c r="D3843" s="39">
        <v>62</v>
      </c>
      <c r="E3843" s="1"/>
      <c r="F3843" s="39">
        <f t="shared" ref="F3843:F3860" si="272">E3843+F3819</f>
        <v>0</v>
      </c>
      <c r="G3843" s="497"/>
      <c r="H3843" s="497"/>
      <c r="J3843" s="42"/>
    </row>
    <row r="3844" spans="1:10" s="360" customFormat="1" x14ac:dyDescent="0.25">
      <c r="A3844" s="19" t="s">
        <v>15</v>
      </c>
      <c r="B3844" s="2">
        <v>44053</v>
      </c>
      <c r="C3844" s="1">
        <v>16</v>
      </c>
      <c r="D3844" s="39">
        <v>4085</v>
      </c>
      <c r="E3844" s="1">
        <v>3</v>
      </c>
      <c r="F3844" s="39">
        <f t="shared" si="272"/>
        <v>166</v>
      </c>
      <c r="G3844" s="497"/>
      <c r="H3844" s="497"/>
      <c r="J3844" s="42"/>
    </row>
    <row r="3845" spans="1:10" s="360" customFormat="1" x14ac:dyDescent="0.25">
      <c r="A3845" s="19" t="s">
        <v>29</v>
      </c>
      <c r="B3845" s="2">
        <v>44053</v>
      </c>
      <c r="C3845" s="1">
        <v>2</v>
      </c>
      <c r="D3845" s="39">
        <v>351</v>
      </c>
      <c r="E3845" s="1"/>
      <c r="F3845" s="39">
        <f t="shared" si="272"/>
        <v>4</v>
      </c>
      <c r="G3845" s="497"/>
      <c r="H3845" s="497"/>
      <c r="J3845" s="42"/>
    </row>
    <row r="3846" spans="1:10" s="360" customFormat="1" x14ac:dyDescent="0.25">
      <c r="A3846" s="19" t="s">
        <v>43</v>
      </c>
      <c r="B3846" s="2">
        <v>44053</v>
      </c>
      <c r="C3846" s="1">
        <v>1047</v>
      </c>
      <c r="D3846" s="39">
        <v>71086</v>
      </c>
      <c r="E3846" s="1">
        <f>4+13+16</f>
        <v>33</v>
      </c>
      <c r="F3846" s="39">
        <f>E3846+F3822</f>
        <v>1503</v>
      </c>
      <c r="G3846" s="497"/>
      <c r="H3846" s="497"/>
      <c r="J3846" s="42"/>
    </row>
    <row r="3847" spans="1:10" s="360" customFormat="1" x14ac:dyDescent="0.25">
      <c r="A3847" s="19" t="s">
        <v>20</v>
      </c>
      <c r="B3847" s="2">
        <v>44053</v>
      </c>
      <c r="C3847" s="1">
        <v>170</v>
      </c>
      <c r="D3847" s="39">
        <v>3685</v>
      </c>
      <c r="E3847" s="1">
        <v>3</v>
      </c>
      <c r="F3847" s="39">
        <f>E3847+F3823</f>
        <v>67</v>
      </c>
      <c r="G3847" s="497"/>
      <c r="H3847" s="497"/>
      <c r="J3847" s="42"/>
    </row>
    <row r="3848" spans="1:10" s="360" customFormat="1" x14ac:dyDescent="0.25">
      <c r="A3848" s="19" t="s">
        <v>30</v>
      </c>
      <c r="B3848" s="2">
        <v>44053</v>
      </c>
      <c r="C3848" s="1">
        <v>2</v>
      </c>
      <c r="D3848" s="39">
        <v>216</v>
      </c>
      <c r="E3848" s="1"/>
      <c r="F3848" s="39">
        <f t="shared" si="272"/>
        <v>2</v>
      </c>
      <c r="G3848" s="497"/>
      <c r="H3848" s="497"/>
      <c r="J3848" s="42"/>
    </row>
    <row r="3849" spans="1:10" x14ac:dyDescent="0.25">
      <c r="A3849" s="19" t="s">
        <v>31</v>
      </c>
      <c r="B3849" s="2">
        <v>44053</v>
      </c>
      <c r="C3849" s="1">
        <v>45</v>
      </c>
      <c r="D3849" s="39">
        <v>1208</v>
      </c>
      <c r="F3849" s="39">
        <f t="shared" si="272"/>
        <v>13</v>
      </c>
    </row>
    <row r="3850" spans="1:10" s="360" customFormat="1" x14ac:dyDescent="0.25">
      <c r="A3850" s="19" t="s">
        <v>41</v>
      </c>
      <c r="B3850" s="2">
        <v>44053</v>
      </c>
      <c r="C3850" s="1">
        <v>1</v>
      </c>
      <c r="D3850" s="39">
        <v>87</v>
      </c>
      <c r="E3850" s="1"/>
      <c r="F3850" s="39">
        <f>E3850+F3826</f>
        <v>0</v>
      </c>
      <c r="G3850" s="497"/>
      <c r="H3850" s="497"/>
      <c r="J3850" s="42"/>
    </row>
    <row r="3851" spans="1:10" s="360" customFormat="1" x14ac:dyDescent="0.25">
      <c r="A3851" s="19" t="s">
        <v>32</v>
      </c>
      <c r="B3851" s="2">
        <v>44053</v>
      </c>
      <c r="C3851" s="1">
        <v>139</v>
      </c>
      <c r="D3851" s="39">
        <v>3559</v>
      </c>
      <c r="E3851" s="1">
        <v>1</v>
      </c>
      <c r="F3851" s="39">
        <f t="shared" si="272"/>
        <v>1</v>
      </c>
      <c r="G3851" s="497"/>
      <c r="H3851" s="497"/>
      <c r="J3851" s="42"/>
    </row>
    <row r="3852" spans="1:10" s="360" customFormat="1" x14ac:dyDescent="0.25">
      <c r="A3852" s="19" t="s">
        <v>33</v>
      </c>
      <c r="B3852" s="2">
        <v>44053</v>
      </c>
      <c r="C3852" s="1">
        <v>2</v>
      </c>
      <c r="D3852" s="39">
        <v>208</v>
      </c>
      <c r="E3852" s="1"/>
      <c r="F3852" s="39">
        <f t="shared" si="272"/>
        <v>1</v>
      </c>
      <c r="G3852" s="497"/>
      <c r="H3852" s="497"/>
      <c r="J3852" s="42"/>
    </row>
    <row r="3853" spans="1:10" s="360" customFormat="1" x14ac:dyDescent="0.25">
      <c r="A3853" s="19" t="s">
        <v>21</v>
      </c>
      <c r="B3853" s="2">
        <v>44053</v>
      </c>
      <c r="C3853" s="1">
        <v>2</v>
      </c>
      <c r="D3853" s="39">
        <v>518</v>
      </c>
      <c r="E3853" s="1"/>
      <c r="F3853" s="39">
        <f t="shared" si="272"/>
        <v>1</v>
      </c>
      <c r="G3853" s="497"/>
      <c r="H3853" s="497"/>
      <c r="J3853" s="42"/>
    </row>
    <row r="3854" spans="1:10" s="360" customFormat="1" x14ac:dyDescent="0.25">
      <c r="A3854" s="19" t="s">
        <v>17</v>
      </c>
      <c r="B3854" s="2">
        <v>44053</v>
      </c>
      <c r="C3854" s="1">
        <v>94</v>
      </c>
      <c r="D3854" s="39">
        <v>2240</v>
      </c>
      <c r="E3854" s="1">
        <v>3</v>
      </c>
      <c r="F3854" s="39">
        <f t="shared" si="272"/>
        <v>5</v>
      </c>
      <c r="G3854" s="497"/>
      <c r="H3854" s="497"/>
      <c r="J3854" s="42"/>
    </row>
    <row r="3855" spans="1:10" s="360" customFormat="1" x14ac:dyDescent="0.25">
      <c r="A3855" s="19" t="s">
        <v>23</v>
      </c>
      <c r="B3855" s="2">
        <v>44053</v>
      </c>
      <c r="C3855" s="1">
        <v>1</v>
      </c>
      <c r="D3855" s="39">
        <v>61</v>
      </c>
      <c r="E3855" s="1"/>
      <c r="F3855" s="39">
        <f t="shared" si="272"/>
        <v>2</v>
      </c>
      <c r="G3855" s="497"/>
      <c r="H3855" s="497"/>
      <c r="J3855" s="42"/>
    </row>
    <row r="3856" spans="1:10" s="360" customFormat="1" x14ac:dyDescent="0.25">
      <c r="A3856" s="19" t="s">
        <v>19</v>
      </c>
      <c r="B3856" s="2">
        <v>44053</v>
      </c>
      <c r="C3856" s="1">
        <v>27</v>
      </c>
      <c r="D3856" s="39">
        <v>1483</v>
      </c>
      <c r="E3856" s="1"/>
      <c r="F3856" s="39">
        <f t="shared" si="272"/>
        <v>2</v>
      </c>
      <c r="G3856" s="497"/>
      <c r="H3856" s="497"/>
      <c r="J3856" s="42"/>
    </row>
    <row r="3857" spans="1:10" s="360" customFormat="1" x14ac:dyDescent="0.25">
      <c r="A3857" s="19" t="s">
        <v>18</v>
      </c>
      <c r="B3857" s="2">
        <v>44053</v>
      </c>
      <c r="C3857" s="1">
        <v>105</v>
      </c>
      <c r="D3857" s="39">
        <v>3008</v>
      </c>
      <c r="E3857" s="1">
        <v>4</v>
      </c>
      <c r="F3857" s="39">
        <f t="shared" si="272"/>
        <v>6</v>
      </c>
      <c r="G3857" s="497"/>
      <c r="H3857" s="497"/>
      <c r="J3857" s="42"/>
    </row>
    <row r="3858" spans="1:10" s="360" customFormat="1" x14ac:dyDescent="0.25">
      <c r="A3858" s="19" t="s">
        <v>34</v>
      </c>
      <c r="B3858" s="2">
        <v>44053</v>
      </c>
      <c r="C3858" s="1">
        <v>22</v>
      </c>
      <c r="D3858" s="39">
        <v>611</v>
      </c>
      <c r="E3858" s="1"/>
      <c r="F3858" s="39">
        <f t="shared" si="272"/>
        <v>5</v>
      </c>
      <c r="G3858" s="497"/>
      <c r="H3858" s="497"/>
      <c r="J3858" s="42"/>
    </row>
    <row r="3859" spans="1:10" s="360" customFormat="1" x14ac:dyDescent="0.25">
      <c r="A3859" s="19" t="s">
        <v>35</v>
      </c>
      <c r="B3859" s="2">
        <v>44053</v>
      </c>
      <c r="C3859" s="1">
        <v>0</v>
      </c>
      <c r="D3859" s="39">
        <v>22</v>
      </c>
      <c r="E3859" s="1"/>
      <c r="F3859" s="39">
        <f>E3859+F3835</f>
        <v>0</v>
      </c>
      <c r="G3859" s="497"/>
      <c r="H3859" s="497"/>
      <c r="J3859" s="42"/>
    </row>
    <row r="3860" spans="1:10" s="360" customFormat="1" x14ac:dyDescent="0.25">
      <c r="A3860" s="19" t="s">
        <v>36</v>
      </c>
      <c r="B3860" s="2">
        <v>44053</v>
      </c>
      <c r="C3860" s="1">
        <v>-3</v>
      </c>
      <c r="D3860" s="39">
        <v>31</v>
      </c>
      <c r="E3860" s="1"/>
      <c r="F3860" s="39">
        <f t="shared" si="272"/>
        <v>0</v>
      </c>
      <c r="G3860" s="497"/>
      <c r="H3860" s="497"/>
      <c r="J3860" s="42"/>
    </row>
    <row r="3861" spans="1:10" s="360" customFormat="1" x14ac:dyDescent="0.25">
      <c r="A3861" s="19" t="s">
        <v>37</v>
      </c>
      <c r="B3861" s="2">
        <v>44053</v>
      </c>
      <c r="C3861" s="1">
        <v>57</v>
      </c>
      <c r="D3861" s="39">
        <v>805</v>
      </c>
      <c r="E3861" s="1"/>
      <c r="F3861" s="39">
        <f t="shared" ref="F3861:F3866" si="273">E3861+F3837</f>
        <v>3</v>
      </c>
      <c r="G3861" s="497"/>
      <c r="H3861" s="497"/>
      <c r="J3861" s="42"/>
    </row>
    <row r="3862" spans="1:10" s="360" customFormat="1" x14ac:dyDescent="0.25">
      <c r="A3862" s="19" t="s">
        <v>22</v>
      </c>
      <c r="B3862" s="2">
        <v>44053</v>
      </c>
      <c r="C3862" s="1">
        <v>140</v>
      </c>
      <c r="D3862" s="39">
        <v>2276</v>
      </c>
      <c r="E3862" s="1">
        <v>1</v>
      </c>
      <c r="F3862" s="39">
        <f t="shared" si="273"/>
        <v>23</v>
      </c>
      <c r="G3862" s="497"/>
      <c r="H3862" s="497"/>
      <c r="J3862" s="42"/>
    </row>
    <row r="3863" spans="1:10" s="360" customFormat="1" x14ac:dyDescent="0.25">
      <c r="A3863" s="19" t="s">
        <v>38</v>
      </c>
      <c r="B3863" s="2">
        <v>44053</v>
      </c>
      <c r="C3863" s="1">
        <v>3</v>
      </c>
      <c r="D3863" s="39">
        <v>138</v>
      </c>
      <c r="E3863" s="1"/>
      <c r="F3863" s="39">
        <f t="shared" si="273"/>
        <v>1</v>
      </c>
      <c r="G3863" s="497"/>
      <c r="H3863" s="497"/>
      <c r="J3863" s="42"/>
    </row>
    <row r="3864" spans="1:10" s="360" customFormat="1" x14ac:dyDescent="0.25">
      <c r="A3864" s="19" t="s">
        <v>39</v>
      </c>
      <c r="B3864" s="2">
        <v>44053</v>
      </c>
      <c r="C3864" s="1">
        <v>68</v>
      </c>
      <c r="D3864" s="39">
        <v>1055</v>
      </c>
      <c r="E3864" s="1">
        <v>2</v>
      </c>
      <c r="F3864" s="39">
        <f t="shared" si="273"/>
        <v>7</v>
      </c>
      <c r="G3864" s="497"/>
      <c r="H3864" s="497"/>
      <c r="J3864" s="42"/>
    </row>
    <row r="3865" spans="1:10" s="360" customFormat="1" x14ac:dyDescent="0.25">
      <c r="A3865" s="19" t="s">
        <v>40</v>
      </c>
      <c r="B3865" s="2">
        <v>44053</v>
      </c>
      <c r="C3865" s="1">
        <v>27</v>
      </c>
      <c r="D3865" s="39">
        <v>426</v>
      </c>
      <c r="E3865" s="1"/>
      <c r="F3865" s="39">
        <f t="shared" si="273"/>
        <v>5</v>
      </c>
      <c r="G3865" s="497"/>
      <c r="H3865" s="497"/>
      <c r="J3865" s="42"/>
    </row>
    <row r="3866" spans="1:10" s="360" customFormat="1" x14ac:dyDescent="0.25">
      <c r="A3866" s="361" t="s">
        <v>16</v>
      </c>
      <c r="B3866" s="2">
        <v>44054</v>
      </c>
      <c r="C3866" s="1">
        <v>4576</v>
      </c>
      <c r="D3866" s="39">
        <v>161245</v>
      </c>
      <c r="E3866" s="1">
        <f>4+6+90+93</f>
        <v>193</v>
      </c>
      <c r="F3866" s="39">
        <f t="shared" si="273"/>
        <v>2915</v>
      </c>
      <c r="G3866" s="497"/>
      <c r="H3866" s="497"/>
      <c r="J3866" s="42"/>
    </row>
    <row r="3867" spans="1:10" s="360" customFormat="1" x14ac:dyDescent="0.25">
      <c r="A3867" s="19" t="s">
        <v>43</v>
      </c>
      <c r="B3867" s="2">
        <v>44054</v>
      </c>
      <c r="C3867" s="1">
        <v>1200</v>
      </c>
      <c r="D3867" s="39">
        <v>72286</v>
      </c>
      <c r="E3867" s="1">
        <f>3+4+11+13</f>
        <v>31</v>
      </c>
      <c r="F3867" s="39">
        <f>E3867+F3846</f>
        <v>1534</v>
      </c>
      <c r="G3867" s="497"/>
      <c r="H3867" s="497"/>
      <c r="J3867" s="42"/>
    </row>
    <row r="3868" spans="1:10" s="360" customFormat="1" x14ac:dyDescent="0.25">
      <c r="A3868" s="19" t="s">
        <v>28</v>
      </c>
      <c r="B3868" s="2">
        <v>44054</v>
      </c>
      <c r="C3868" s="1">
        <v>0</v>
      </c>
      <c r="D3868" s="39">
        <v>62</v>
      </c>
      <c r="E3868" s="1"/>
      <c r="F3868" s="39">
        <f>E3868+F3843</f>
        <v>0</v>
      </c>
      <c r="G3868" s="497"/>
      <c r="H3868" s="497"/>
      <c r="J3868" s="42"/>
    </row>
    <row r="3869" spans="1:10" s="360" customFormat="1" x14ac:dyDescent="0.25">
      <c r="A3869" s="19" t="s">
        <v>15</v>
      </c>
      <c r="B3869" s="2">
        <v>44054</v>
      </c>
      <c r="C3869" s="1">
        <v>69</v>
      </c>
      <c r="D3869" s="39">
        <v>4154</v>
      </c>
      <c r="E3869" s="1">
        <v>1</v>
      </c>
      <c r="F3869" s="39">
        <f>E3869+F3844</f>
        <v>167</v>
      </c>
      <c r="G3869" s="497"/>
      <c r="H3869" s="497"/>
      <c r="J3869" s="42"/>
    </row>
    <row r="3870" spans="1:10" s="360" customFormat="1" x14ac:dyDescent="0.25">
      <c r="A3870" s="19" t="s">
        <v>29</v>
      </c>
      <c r="B3870" s="2">
        <v>44054</v>
      </c>
      <c r="C3870" s="1">
        <v>6</v>
      </c>
      <c r="D3870" s="39">
        <v>357</v>
      </c>
      <c r="E3870" s="1"/>
      <c r="F3870" s="39">
        <f>E3870+F3845</f>
        <v>4</v>
      </c>
      <c r="G3870" s="497"/>
      <c r="H3870" s="497"/>
      <c r="J3870" s="42"/>
    </row>
    <row r="3871" spans="1:10" s="360" customFormat="1" x14ac:dyDescent="0.25">
      <c r="A3871" s="19" t="s">
        <v>20</v>
      </c>
      <c r="B3871" s="2">
        <v>44054</v>
      </c>
      <c r="C3871" s="1">
        <v>148</v>
      </c>
      <c r="D3871" s="39">
        <v>3833</v>
      </c>
      <c r="E3871" s="1">
        <v>3</v>
      </c>
      <c r="F3871" s="39">
        <f>E3871+F3847</f>
        <v>70</v>
      </c>
      <c r="G3871" s="497"/>
      <c r="H3871" s="497"/>
      <c r="J3871" s="42"/>
    </row>
    <row r="3872" spans="1:10" s="360" customFormat="1" x14ac:dyDescent="0.25">
      <c r="A3872" s="19" t="s">
        <v>30</v>
      </c>
      <c r="B3872" s="2">
        <v>44054</v>
      </c>
      <c r="C3872" s="1">
        <v>2</v>
      </c>
      <c r="D3872" s="39">
        <v>218</v>
      </c>
      <c r="E3872" s="1"/>
      <c r="F3872" s="39">
        <f t="shared" ref="F3872:F3929" si="274">E3872+F3848</f>
        <v>2</v>
      </c>
      <c r="G3872" s="497"/>
      <c r="H3872" s="497"/>
      <c r="J3872" s="42"/>
    </row>
    <row r="3873" spans="1:10" x14ac:dyDescent="0.25">
      <c r="A3873" s="19" t="s">
        <v>31</v>
      </c>
      <c r="B3873" s="2">
        <v>44054</v>
      </c>
      <c r="C3873" s="1">
        <v>35</v>
      </c>
      <c r="D3873" s="39">
        <v>1243</v>
      </c>
      <c r="E3873" s="1">
        <v>2</v>
      </c>
      <c r="F3873" s="39">
        <f t="shared" si="274"/>
        <v>15</v>
      </c>
    </row>
    <row r="3874" spans="1:10" s="360" customFormat="1" x14ac:dyDescent="0.25">
      <c r="A3874" s="19" t="s">
        <v>41</v>
      </c>
      <c r="B3874" s="2">
        <v>44054</v>
      </c>
      <c r="C3874" s="1">
        <v>-4</v>
      </c>
      <c r="D3874" s="39">
        <v>83</v>
      </c>
      <c r="E3874" s="1"/>
      <c r="F3874" s="39">
        <f>E3874+F3850</f>
        <v>0</v>
      </c>
      <c r="G3874" s="497"/>
      <c r="H3874" s="497"/>
      <c r="J3874" s="42"/>
    </row>
    <row r="3875" spans="1:10" s="360" customFormat="1" x14ac:dyDescent="0.25">
      <c r="A3875" s="19" t="s">
        <v>32</v>
      </c>
      <c r="B3875" s="2">
        <v>44054</v>
      </c>
      <c r="C3875" s="1">
        <v>318</v>
      </c>
      <c r="D3875" s="39">
        <v>3877</v>
      </c>
      <c r="E3875" s="1"/>
      <c r="F3875" s="39">
        <f t="shared" si="274"/>
        <v>1</v>
      </c>
      <c r="G3875" s="497"/>
      <c r="H3875" s="497"/>
      <c r="J3875" s="42"/>
    </row>
    <row r="3876" spans="1:10" s="360" customFormat="1" x14ac:dyDescent="0.25">
      <c r="A3876" s="19" t="s">
        <v>33</v>
      </c>
      <c r="B3876" s="2">
        <v>44054</v>
      </c>
      <c r="C3876" s="1">
        <v>0</v>
      </c>
      <c r="D3876" s="39">
        <v>208</v>
      </c>
      <c r="E3876" s="1"/>
      <c r="F3876" s="39">
        <f t="shared" si="274"/>
        <v>1</v>
      </c>
      <c r="G3876" s="497"/>
      <c r="H3876" s="497"/>
      <c r="J3876" s="42"/>
    </row>
    <row r="3877" spans="1:10" s="360" customFormat="1" x14ac:dyDescent="0.25">
      <c r="A3877" s="19" t="s">
        <v>21</v>
      </c>
      <c r="B3877" s="2">
        <v>44054</v>
      </c>
      <c r="C3877" s="1">
        <v>1</v>
      </c>
      <c r="D3877" s="39">
        <v>519</v>
      </c>
      <c r="E3877" s="1"/>
      <c r="F3877" s="39">
        <f t="shared" si="274"/>
        <v>1</v>
      </c>
      <c r="G3877" s="497"/>
      <c r="H3877" s="497"/>
      <c r="J3877" s="42"/>
    </row>
    <row r="3878" spans="1:10" s="360" customFormat="1" x14ac:dyDescent="0.25">
      <c r="A3878" s="19" t="s">
        <v>17</v>
      </c>
      <c r="B3878" s="2">
        <v>44054</v>
      </c>
      <c r="C3878" s="1">
        <v>148</v>
      </c>
      <c r="D3878" s="39">
        <v>2388</v>
      </c>
      <c r="E3878" s="1">
        <v>2</v>
      </c>
      <c r="F3878" s="39">
        <f t="shared" si="274"/>
        <v>7</v>
      </c>
      <c r="G3878" s="497"/>
      <c r="H3878" s="497"/>
      <c r="J3878" s="42"/>
    </row>
    <row r="3879" spans="1:10" s="360" customFormat="1" x14ac:dyDescent="0.25">
      <c r="A3879" s="19" t="s">
        <v>23</v>
      </c>
      <c r="B3879" s="2">
        <v>44054</v>
      </c>
      <c r="C3879" s="1">
        <v>1</v>
      </c>
      <c r="D3879" s="39">
        <v>62</v>
      </c>
      <c r="E3879" s="1"/>
      <c r="F3879" s="39">
        <f t="shared" si="274"/>
        <v>2</v>
      </c>
      <c r="G3879" s="497"/>
      <c r="H3879" s="497"/>
      <c r="J3879" s="42"/>
    </row>
    <row r="3880" spans="1:10" s="360" customFormat="1" x14ac:dyDescent="0.25">
      <c r="A3880" s="19" t="s">
        <v>19</v>
      </c>
      <c r="B3880" s="2">
        <v>44054</v>
      </c>
      <c r="C3880" s="1">
        <v>7</v>
      </c>
      <c r="D3880" s="39">
        <v>1490</v>
      </c>
      <c r="E3880" s="1">
        <f>1</f>
        <v>1</v>
      </c>
      <c r="F3880" s="39">
        <f t="shared" si="274"/>
        <v>3</v>
      </c>
      <c r="G3880" s="497"/>
      <c r="H3880" s="497"/>
      <c r="J3880" s="42"/>
    </row>
    <row r="3881" spans="1:10" s="360" customFormat="1" x14ac:dyDescent="0.25">
      <c r="A3881" s="19" t="s">
        <v>18</v>
      </c>
      <c r="B3881" s="2">
        <v>44054</v>
      </c>
      <c r="C3881" s="1">
        <v>187</v>
      </c>
      <c r="D3881" s="39">
        <v>3195</v>
      </c>
      <c r="E3881" s="1">
        <v>4</v>
      </c>
      <c r="F3881" s="39">
        <f t="shared" si="274"/>
        <v>10</v>
      </c>
      <c r="G3881" s="497"/>
      <c r="H3881" s="497"/>
      <c r="J3881" s="42"/>
    </row>
    <row r="3882" spans="1:10" s="360" customFormat="1" x14ac:dyDescent="0.25">
      <c r="A3882" s="19" t="s">
        <v>34</v>
      </c>
      <c r="B3882" s="2">
        <v>44054</v>
      </c>
      <c r="C3882" s="1">
        <v>72</v>
      </c>
      <c r="D3882" s="39">
        <v>683</v>
      </c>
      <c r="E3882" s="1"/>
      <c r="F3882" s="39">
        <f>E3882+F3858</f>
        <v>5</v>
      </c>
      <c r="G3882" s="497"/>
      <c r="H3882" s="497"/>
      <c r="J3882" s="42"/>
    </row>
    <row r="3883" spans="1:10" s="360" customFormat="1" x14ac:dyDescent="0.25">
      <c r="A3883" s="19" t="s">
        <v>35</v>
      </c>
      <c r="B3883" s="2">
        <v>44054</v>
      </c>
      <c r="C3883" s="1">
        <v>1</v>
      </c>
      <c r="D3883" s="39">
        <v>23</v>
      </c>
      <c r="E3883" s="1"/>
      <c r="F3883" s="39">
        <f>E3883+F3859</f>
        <v>0</v>
      </c>
      <c r="G3883" s="497"/>
      <c r="H3883" s="497"/>
      <c r="J3883" s="42"/>
    </row>
    <row r="3884" spans="1:10" s="360" customFormat="1" x14ac:dyDescent="0.25">
      <c r="A3884" s="19" t="s">
        <v>36</v>
      </c>
      <c r="B3884" s="2">
        <v>44054</v>
      </c>
      <c r="C3884" s="1">
        <v>0</v>
      </c>
      <c r="D3884" s="39">
        <v>31</v>
      </c>
      <c r="E3884" s="1"/>
      <c r="F3884" s="39">
        <f t="shared" si="274"/>
        <v>0</v>
      </c>
      <c r="G3884" s="497"/>
      <c r="H3884" s="497"/>
      <c r="J3884" s="42"/>
    </row>
    <row r="3885" spans="1:10" s="360" customFormat="1" x14ac:dyDescent="0.25">
      <c r="A3885" s="19" t="s">
        <v>37</v>
      </c>
      <c r="B3885" s="2">
        <v>44054</v>
      </c>
      <c r="C3885" s="1">
        <v>29</v>
      </c>
      <c r="D3885" s="39">
        <v>834</v>
      </c>
      <c r="E3885" s="1"/>
      <c r="F3885" s="39">
        <f t="shared" ref="F3885:F3891" si="275">E3885+F3861</f>
        <v>3</v>
      </c>
      <c r="G3885" s="497"/>
      <c r="H3885" s="497"/>
      <c r="J3885" s="42"/>
    </row>
    <row r="3886" spans="1:10" s="360" customFormat="1" x14ac:dyDescent="0.25">
      <c r="A3886" s="19" t="s">
        <v>22</v>
      </c>
      <c r="B3886" s="2">
        <v>44054</v>
      </c>
      <c r="C3886" s="1">
        <v>155</v>
      </c>
      <c r="D3886" s="39">
        <v>2431</v>
      </c>
      <c r="E3886" s="1">
        <v>2</v>
      </c>
      <c r="F3886" s="39">
        <f t="shared" si="275"/>
        <v>25</v>
      </c>
      <c r="G3886" s="497"/>
      <c r="H3886" s="497"/>
      <c r="J3886" s="42"/>
    </row>
    <row r="3887" spans="1:10" s="360" customFormat="1" x14ac:dyDescent="0.25">
      <c r="A3887" s="19" t="s">
        <v>38</v>
      </c>
      <c r="B3887" s="2">
        <v>44054</v>
      </c>
      <c r="C3887" s="1">
        <v>20</v>
      </c>
      <c r="D3887" s="39">
        <v>158</v>
      </c>
      <c r="E3887" s="1"/>
      <c r="F3887" s="39">
        <f t="shared" si="275"/>
        <v>1</v>
      </c>
      <c r="G3887" s="497"/>
      <c r="H3887" s="497"/>
      <c r="J3887" s="42"/>
    </row>
    <row r="3888" spans="1:10" s="360" customFormat="1" x14ac:dyDescent="0.25">
      <c r="A3888" s="19" t="s">
        <v>39</v>
      </c>
      <c r="B3888" s="2">
        <v>44054</v>
      </c>
      <c r="C3888" s="1">
        <v>42</v>
      </c>
      <c r="D3888" s="39">
        <v>1097</v>
      </c>
      <c r="E3888" s="1">
        <v>2</v>
      </c>
      <c r="F3888" s="39">
        <f t="shared" si="275"/>
        <v>9</v>
      </c>
      <c r="G3888" s="497"/>
      <c r="H3888" s="497"/>
      <c r="J3888" s="42"/>
    </row>
    <row r="3889" spans="1:10" s="360" customFormat="1" x14ac:dyDescent="0.25">
      <c r="A3889" s="19" t="s">
        <v>40</v>
      </c>
      <c r="B3889" s="2">
        <v>44054</v>
      </c>
      <c r="C3889" s="1">
        <v>30</v>
      </c>
      <c r="D3889" s="39">
        <v>456</v>
      </c>
      <c r="E3889" s="1"/>
      <c r="F3889" s="39">
        <f t="shared" si="275"/>
        <v>5</v>
      </c>
      <c r="G3889" s="497"/>
      <c r="H3889" s="497"/>
      <c r="J3889" s="42"/>
    </row>
    <row r="3890" spans="1:10" s="360" customFormat="1" x14ac:dyDescent="0.25">
      <c r="A3890" s="361" t="s">
        <v>16</v>
      </c>
      <c r="B3890" s="2">
        <v>44055</v>
      </c>
      <c r="C3890" s="1">
        <v>5153</v>
      </c>
      <c r="D3890" s="39">
        <f>C3890+D3866</f>
        <v>166398</v>
      </c>
      <c r="E3890" s="1">
        <v>141</v>
      </c>
      <c r="F3890" s="39">
        <f t="shared" si="275"/>
        <v>3056</v>
      </c>
      <c r="G3890" s="497"/>
      <c r="H3890" s="497"/>
      <c r="J3890" s="42"/>
    </row>
    <row r="3891" spans="1:10" s="360" customFormat="1" x14ac:dyDescent="0.25">
      <c r="A3891" s="19" t="s">
        <v>43</v>
      </c>
      <c r="B3891" s="2">
        <v>44055</v>
      </c>
      <c r="C3891" s="1">
        <v>1163</v>
      </c>
      <c r="D3891" s="39">
        <f t="shared" ref="D3891:D3913" si="276">C3891+D3867</f>
        <v>73449</v>
      </c>
      <c r="E3891" s="1">
        <v>59</v>
      </c>
      <c r="F3891" s="39">
        <f t="shared" si="275"/>
        <v>1593</v>
      </c>
      <c r="G3891" s="497"/>
      <c r="H3891" s="497"/>
      <c r="J3891" s="42"/>
    </row>
    <row r="3892" spans="1:10" s="360" customFormat="1" x14ac:dyDescent="0.25">
      <c r="A3892" s="19" t="s">
        <v>28</v>
      </c>
      <c r="B3892" s="2">
        <v>44055</v>
      </c>
      <c r="C3892" s="1">
        <v>0</v>
      </c>
      <c r="D3892" s="39">
        <f t="shared" si="276"/>
        <v>62</v>
      </c>
      <c r="E3892" s="1"/>
      <c r="F3892" s="39">
        <f t="shared" si="274"/>
        <v>0</v>
      </c>
      <c r="G3892" s="497"/>
      <c r="H3892" s="497"/>
      <c r="J3892" s="42"/>
    </row>
    <row r="3893" spans="1:10" s="360" customFormat="1" x14ac:dyDescent="0.25">
      <c r="A3893" s="19" t="s">
        <v>15</v>
      </c>
      <c r="B3893" s="2">
        <v>44055</v>
      </c>
      <c r="C3893" s="1">
        <v>64</v>
      </c>
      <c r="D3893" s="39">
        <f t="shared" si="276"/>
        <v>4218</v>
      </c>
      <c r="E3893" s="1"/>
      <c r="F3893" s="39">
        <f t="shared" si="274"/>
        <v>167</v>
      </c>
      <c r="G3893" s="497"/>
      <c r="H3893" s="497"/>
      <c r="J3893" s="42"/>
    </row>
    <row r="3894" spans="1:10" s="360" customFormat="1" x14ac:dyDescent="0.25">
      <c r="A3894" s="19" t="s">
        <v>29</v>
      </c>
      <c r="B3894" s="2">
        <v>44055</v>
      </c>
      <c r="C3894" s="1">
        <v>10</v>
      </c>
      <c r="D3894" s="39">
        <f t="shared" si="276"/>
        <v>367</v>
      </c>
      <c r="E3894" s="1">
        <v>1</v>
      </c>
      <c r="F3894" s="39">
        <f t="shared" si="274"/>
        <v>5</v>
      </c>
      <c r="G3894" s="497"/>
      <c r="H3894" s="497"/>
      <c r="J3894" s="42"/>
    </row>
    <row r="3895" spans="1:10" s="360" customFormat="1" x14ac:dyDescent="0.25">
      <c r="A3895" s="19" t="s">
        <v>20</v>
      </c>
      <c r="B3895" s="2">
        <v>44055</v>
      </c>
      <c r="C3895" s="1">
        <v>141</v>
      </c>
      <c r="D3895" s="39">
        <f t="shared" si="276"/>
        <v>3974</v>
      </c>
      <c r="E3895" s="1"/>
      <c r="F3895" s="39">
        <f t="shared" si="274"/>
        <v>70</v>
      </c>
      <c r="G3895" s="497"/>
      <c r="H3895" s="497"/>
      <c r="J3895" s="42"/>
    </row>
    <row r="3896" spans="1:10" s="360" customFormat="1" x14ac:dyDescent="0.25">
      <c r="A3896" s="19" t="s">
        <v>30</v>
      </c>
      <c r="B3896" s="2">
        <v>44055</v>
      </c>
      <c r="C3896" s="1">
        <v>3</v>
      </c>
      <c r="D3896" s="39">
        <f t="shared" si="276"/>
        <v>221</v>
      </c>
      <c r="E3896" s="1"/>
      <c r="F3896" s="39">
        <f t="shared" si="274"/>
        <v>2</v>
      </c>
      <c r="G3896" s="497"/>
      <c r="H3896" s="497"/>
      <c r="J3896" s="42"/>
    </row>
    <row r="3897" spans="1:10" x14ac:dyDescent="0.25">
      <c r="A3897" s="19" t="s">
        <v>31</v>
      </c>
      <c r="B3897" s="2">
        <v>44055</v>
      </c>
      <c r="C3897" s="1">
        <v>66</v>
      </c>
      <c r="D3897" s="39">
        <f t="shared" si="276"/>
        <v>1309</v>
      </c>
      <c r="F3897" s="39">
        <f t="shared" si="274"/>
        <v>15</v>
      </c>
    </row>
    <row r="3898" spans="1:10" s="360" customFormat="1" x14ac:dyDescent="0.25">
      <c r="A3898" s="19" t="s">
        <v>41</v>
      </c>
      <c r="B3898" s="2">
        <v>44055</v>
      </c>
      <c r="C3898" s="1">
        <v>0</v>
      </c>
      <c r="D3898" s="39">
        <f t="shared" si="276"/>
        <v>83</v>
      </c>
      <c r="E3898" s="1"/>
      <c r="F3898" s="39">
        <f>E3898+F3874</f>
        <v>0</v>
      </c>
      <c r="G3898" s="497"/>
      <c r="H3898" s="497"/>
      <c r="J3898" s="42"/>
    </row>
    <row r="3899" spans="1:10" s="360" customFormat="1" x14ac:dyDescent="0.25">
      <c r="A3899" s="19" t="s">
        <v>32</v>
      </c>
      <c r="B3899" s="2">
        <v>44055</v>
      </c>
      <c r="C3899" s="1">
        <v>152</v>
      </c>
      <c r="D3899" s="39">
        <f t="shared" si="276"/>
        <v>4029</v>
      </c>
      <c r="E3899" s="1"/>
      <c r="F3899" s="39">
        <f>E3899+F3875</f>
        <v>1</v>
      </c>
      <c r="G3899" s="497"/>
      <c r="H3899" s="497"/>
      <c r="J3899" s="42"/>
    </row>
    <row r="3900" spans="1:10" s="360" customFormat="1" x14ac:dyDescent="0.25">
      <c r="A3900" s="19" t="s">
        <v>33</v>
      </c>
      <c r="B3900" s="2">
        <v>44055</v>
      </c>
      <c r="C3900" s="1">
        <v>0</v>
      </c>
      <c r="D3900" s="39">
        <f t="shared" si="276"/>
        <v>208</v>
      </c>
      <c r="E3900" s="1"/>
      <c r="F3900" s="39">
        <f t="shared" si="274"/>
        <v>1</v>
      </c>
      <c r="G3900" s="497"/>
      <c r="H3900" s="497"/>
      <c r="J3900" s="42"/>
    </row>
    <row r="3901" spans="1:10" s="360" customFormat="1" x14ac:dyDescent="0.25">
      <c r="A3901" s="19" t="s">
        <v>21</v>
      </c>
      <c r="B3901" s="2">
        <v>44055</v>
      </c>
      <c r="C3901" s="1">
        <v>22</v>
      </c>
      <c r="D3901" s="39">
        <f t="shared" si="276"/>
        <v>541</v>
      </c>
      <c r="E3901" s="1"/>
      <c r="F3901" s="39">
        <f t="shared" si="274"/>
        <v>1</v>
      </c>
      <c r="G3901" s="497"/>
      <c r="H3901" s="497"/>
      <c r="J3901" s="42"/>
    </row>
    <row r="3902" spans="1:10" s="360" customFormat="1" x14ac:dyDescent="0.25">
      <c r="A3902" s="19" t="s">
        <v>17</v>
      </c>
      <c r="B3902" s="2">
        <v>44055</v>
      </c>
      <c r="C3902" s="1">
        <v>189</v>
      </c>
      <c r="D3902" s="39">
        <f t="shared" si="276"/>
        <v>2577</v>
      </c>
      <c r="E3902" s="1">
        <v>3</v>
      </c>
      <c r="F3902" s="39">
        <f t="shared" si="274"/>
        <v>10</v>
      </c>
      <c r="G3902" s="497"/>
      <c r="H3902" s="497"/>
      <c r="J3902" s="42"/>
    </row>
    <row r="3903" spans="1:10" s="360" customFormat="1" x14ac:dyDescent="0.25">
      <c r="A3903" s="19" t="s">
        <v>23</v>
      </c>
      <c r="B3903" s="2">
        <v>44055</v>
      </c>
      <c r="C3903" s="1">
        <v>-1</v>
      </c>
      <c r="D3903" s="39">
        <f t="shared" si="276"/>
        <v>61</v>
      </c>
      <c r="E3903" s="1"/>
      <c r="F3903" s="39">
        <f t="shared" si="274"/>
        <v>2</v>
      </c>
      <c r="G3903" s="497"/>
      <c r="H3903" s="497"/>
      <c r="J3903" s="42"/>
    </row>
    <row r="3904" spans="1:10" s="360" customFormat="1" x14ac:dyDescent="0.25">
      <c r="A3904" s="19" t="s">
        <v>19</v>
      </c>
      <c r="B3904" s="2">
        <v>44055</v>
      </c>
      <c r="C3904" s="1">
        <v>155</v>
      </c>
      <c r="D3904" s="39">
        <f t="shared" si="276"/>
        <v>1645</v>
      </c>
      <c r="E3904" s="1"/>
      <c r="F3904" s="39">
        <f t="shared" si="274"/>
        <v>3</v>
      </c>
      <c r="G3904" s="497"/>
      <c r="H3904" s="497"/>
      <c r="J3904" s="42"/>
    </row>
    <row r="3905" spans="1:10" s="360" customFormat="1" x14ac:dyDescent="0.25">
      <c r="A3905" s="19" t="s">
        <v>18</v>
      </c>
      <c r="B3905" s="2">
        <v>44055</v>
      </c>
      <c r="C3905" s="1">
        <v>180</v>
      </c>
      <c r="D3905" s="39">
        <f t="shared" si="276"/>
        <v>3375</v>
      </c>
      <c r="E3905" s="1">
        <v>3</v>
      </c>
      <c r="F3905" s="39">
        <f t="shared" si="274"/>
        <v>13</v>
      </c>
      <c r="G3905" s="497"/>
      <c r="H3905" s="497"/>
      <c r="J3905" s="42"/>
    </row>
    <row r="3906" spans="1:10" s="360" customFormat="1" x14ac:dyDescent="0.25">
      <c r="A3906" s="19" t="s">
        <v>34</v>
      </c>
      <c r="B3906" s="2">
        <v>44055</v>
      </c>
      <c r="C3906" s="1">
        <v>67</v>
      </c>
      <c r="D3906" s="39">
        <f>C3906+D3882</f>
        <v>750</v>
      </c>
      <c r="E3906" s="1"/>
      <c r="F3906" s="39">
        <f>E3906+F3882</f>
        <v>5</v>
      </c>
      <c r="G3906" s="497"/>
      <c r="H3906" s="497"/>
      <c r="J3906" s="42"/>
    </row>
    <row r="3907" spans="1:10" s="360" customFormat="1" x14ac:dyDescent="0.25">
      <c r="A3907" s="19" t="s">
        <v>35</v>
      </c>
      <c r="B3907" s="2">
        <v>44055</v>
      </c>
      <c r="C3907" s="1">
        <v>0</v>
      </c>
      <c r="D3907" s="39">
        <f t="shared" si="276"/>
        <v>23</v>
      </c>
      <c r="E3907" s="1"/>
      <c r="F3907" s="39">
        <f>E3907+F3883</f>
        <v>0</v>
      </c>
      <c r="G3907" s="497"/>
      <c r="H3907" s="497"/>
      <c r="J3907" s="42"/>
    </row>
    <row r="3908" spans="1:10" s="360" customFormat="1" x14ac:dyDescent="0.25">
      <c r="A3908" s="19" t="s">
        <v>36</v>
      </c>
      <c r="B3908" s="2">
        <v>44055</v>
      </c>
      <c r="C3908" s="1">
        <v>1</v>
      </c>
      <c r="D3908" s="39">
        <f t="shared" si="276"/>
        <v>32</v>
      </c>
      <c r="E3908" s="1"/>
      <c r="F3908" s="39">
        <f t="shared" si="274"/>
        <v>0</v>
      </c>
      <c r="G3908" s="497"/>
      <c r="H3908" s="497"/>
      <c r="J3908" s="42"/>
    </row>
    <row r="3909" spans="1:10" s="360" customFormat="1" x14ac:dyDescent="0.25">
      <c r="A3909" s="19" t="s">
        <v>37</v>
      </c>
      <c r="B3909" s="2">
        <v>44055</v>
      </c>
      <c r="C3909" s="1">
        <v>34</v>
      </c>
      <c r="D3909" s="39">
        <f t="shared" si="276"/>
        <v>868</v>
      </c>
      <c r="E3909" s="1"/>
      <c r="F3909" s="39">
        <f t="shared" ref="F3909:F3914" si="277">E3909+F3885</f>
        <v>3</v>
      </c>
      <c r="G3909" s="497"/>
      <c r="H3909" s="497"/>
      <c r="J3909" s="42"/>
    </row>
    <row r="3910" spans="1:10" s="360" customFormat="1" x14ac:dyDescent="0.25">
      <c r="A3910" s="19" t="s">
        <v>22</v>
      </c>
      <c r="B3910" s="2">
        <v>44055</v>
      </c>
      <c r="C3910" s="1">
        <v>165</v>
      </c>
      <c r="D3910" s="39">
        <f t="shared" si="276"/>
        <v>2596</v>
      </c>
      <c r="E3910" s="1">
        <v>1</v>
      </c>
      <c r="F3910" s="39">
        <f t="shared" si="277"/>
        <v>26</v>
      </c>
      <c r="G3910" s="497"/>
      <c r="H3910" s="497"/>
      <c r="J3910" s="42"/>
    </row>
    <row r="3911" spans="1:10" s="360" customFormat="1" x14ac:dyDescent="0.25">
      <c r="A3911" s="19" t="s">
        <v>38</v>
      </c>
      <c r="B3911" s="2">
        <v>44055</v>
      </c>
      <c r="C3911" s="1">
        <v>21</v>
      </c>
      <c r="D3911" s="39">
        <f t="shared" si="276"/>
        <v>179</v>
      </c>
      <c r="E3911" s="1"/>
      <c r="F3911" s="39">
        <f t="shared" si="277"/>
        <v>1</v>
      </c>
      <c r="G3911" s="497"/>
      <c r="H3911" s="497"/>
      <c r="J3911" s="42"/>
    </row>
    <row r="3912" spans="1:10" s="360" customFormat="1" x14ac:dyDescent="0.25">
      <c r="A3912" s="19" t="s">
        <v>39</v>
      </c>
      <c r="B3912" s="2">
        <v>44055</v>
      </c>
      <c r="C3912" s="1">
        <v>46</v>
      </c>
      <c r="D3912" s="39">
        <f t="shared" si="276"/>
        <v>1143</v>
      </c>
      <c r="E3912" s="1">
        <v>1</v>
      </c>
      <c r="F3912" s="39">
        <f t="shared" si="277"/>
        <v>10</v>
      </c>
      <c r="G3912" s="497"/>
      <c r="H3912" s="497"/>
      <c r="J3912" s="42"/>
    </row>
    <row r="3913" spans="1:10" s="360" customFormat="1" x14ac:dyDescent="0.25">
      <c r="A3913" s="19" t="s">
        <v>40</v>
      </c>
      <c r="B3913" s="2">
        <v>44055</v>
      </c>
      <c r="C3913" s="1">
        <v>32</v>
      </c>
      <c r="D3913" s="39">
        <f t="shared" si="276"/>
        <v>488</v>
      </c>
      <c r="E3913" s="1"/>
      <c r="F3913" s="39">
        <f t="shared" si="277"/>
        <v>5</v>
      </c>
      <c r="G3913" s="497"/>
      <c r="H3913" s="497"/>
      <c r="J3913" s="42"/>
    </row>
    <row r="3914" spans="1:10" s="360" customFormat="1" x14ac:dyDescent="0.25">
      <c r="A3914" s="361" t="s">
        <v>16</v>
      </c>
      <c r="B3914" s="2">
        <v>44056</v>
      </c>
      <c r="C3914" s="1">
        <v>4986</v>
      </c>
      <c r="D3914" s="39">
        <f>C3914+D3890</f>
        <v>171384</v>
      </c>
      <c r="E3914" s="1">
        <v>73</v>
      </c>
      <c r="F3914" s="39">
        <f t="shared" si="277"/>
        <v>3129</v>
      </c>
      <c r="G3914" s="497"/>
      <c r="H3914" s="497"/>
      <c r="J3914" s="42"/>
    </row>
    <row r="3915" spans="1:10" s="360" customFormat="1" x14ac:dyDescent="0.25">
      <c r="A3915" s="19" t="s">
        <v>43</v>
      </c>
      <c r="B3915" s="2">
        <v>44056</v>
      </c>
      <c r="C3915" s="1">
        <v>1126</v>
      </c>
      <c r="D3915" s="39">
        <f t="shared" ref="D3915:D3929" si="278">C3915+D3891</f>
        <v>74575</v>
      </c>
      <c r="E3915" s="1">
        <f>2+2+10+15</f>
        <v>29</v>
      </c>
      <c r="F3915" s="39">
        <f t="shared" si="274"/>
        <v>1622</v>
      </c>
      <c r="G3915" s="497"/>
      <c r="H3915" s="497"/>
      <c r="J3915" s="42"/>
    </row>
    <row r="3916" spans="1:10" s="360" customFormat="1" x14ac:dyDescent="0.25">
      <c r="A3916" s="19" t="s">
        <v>28</v>
      </c>
      <c r="B3916" s="2">
        <v>44056</v>
      </c>
      <c r="C3916" s="1">
        <v>1</v>
      </c>
      <c r="D3916" s="39">
        <f t="shared" si="278"/>
        <v>63</v>
      </c>
      <c r="E3916" s="1"/>
      <c r="F3916" s="39">
        <f t="shared" si="274"/>
        <v>0</v>
      </c>
      <c r="G3916" s="497"/>
      <c r="H3916" s="497"/>
      <c r="J3916" s="42"/>
    </row>
    <row r="3917" spans="1:10" s="360" customFormat="1" x14ac:dyDescent="0.25">
      <c r="A3917" s="19" t="s">
        <v>15</v>
      </c>
      <c r="B3917" s="2">
        <v>44056</v>
      </c>
      <c r="C3917" s="1">
        <v>61</v>
      </c>
      <c r="D3917" s="39">
        <f t="shared" si="278"/>
        <v>4279</v>
      </c>
      <c r="E3917" s="1">
        <v>6</v>
      </c>
      <c r="F3917" s="39">
        <f t="shared" si="274"/>
        <v>173</v>
      </c>
      <c r="G3917" s="497"/>
      <c r="H3917" s="497"/>
      <c r="J3917" s="42"/>
    </row>
    <row r="3918" spans="1:10" s="360" customFormat="1" x14ac:dyDescent="0.25">
      <c r="A3918" s="19" t="s">
        <v>29</v>
      </c>
      <c r="B3918" s="2">
        <v>44056</v>
      </c>
      <c r="C3918" s="1">
        <v>18</v>
      </c>
      <c r="D3918" s="39">
        <f t="shared" si="278"/>
        <v>385</v>
      </c>
      <c r="E3918" s="1"/>
      <c r="F3918" s="39">
        <f t="shared" si="274"/>
        <v>5</v>
      </c>
      <c r="G3918" s="497"/>
      <c r="H3918" s="497"/>
      <c r="J3918" s="42"/>
    </row>
    <row r="3919" spans="1:10" s="360" customFormat="1" x14ac:dyDescent="0.25">
      <c r="A3919" s="19" t="s">
        <v>20</v>
      </c>
      <c r="B3919" s="2">
        <v>44056</v>
      </c>
      <c r="C3919" s="1">
        <v>175</v>
      </c>
      <c r="D3919" s="39">
        <f t="shared" si="278"/>
        <v>4149</v>
      </c>
      <c r="E3919" s="1">
        <v>3</v>
      </c>
      <c r="F3919" s="39">
        <f t="shared" si="274"/>
        <v>73</v>
      </c>
      <c r="G3919" s="497"/>
      <c r="H3919" s="497"/>
      <c r="J3919" s="42"/>
    </row>
    <row r="3920" spans="1:10" s="360" customFormat="1" x14ac:dyDescent="0.25">
      <c r="A3920" s="19" t="s">
        <v>30</v>
      </c>
      <c r="B3920" s="2">
        <v>44056</v>
      </c>
      <c r="C3920" s="1">
        <v>2</v>
      </c>
      <c r="D3920" s="39">
        <f t="shared" si="278"/>
        <v>223</v>
      </c>
      <c r="E3920" s="1"/>
      <c r="F3920" s="39">
        <f t="shared" si="274"/>
        <v>2</v>
      </c>
      <c r="G3920" s="497"/>
      <c r="H3920" s="497"/>
      <c r="J3920" s="42"/>
    </row>
    <row r="3921" spans="1:10" x14ac:dyDescent="0.25">
      <c r="A3921" s="19" t="s">
        <v>31</v>
      </c>
      <c r="B3921" s="2">
        <v>44056</v>
      </c>
      <c r="C3921" s="1">
        <v>55</v>
      </c>
      <c r="D3921" s="39">
        <f t="shared" si="278"/>
        <v>1364</v>
      </c>
      <c r="E3921" s="1">
        <v>3</v>
      </c>
      <c r="F3921" s="39">
        <f t="shared" si="274"/>
        <v>18</v>
      </c>
    </row>
    <row r="3922" spans="1:10" s="360" customFormat="1" x14ac:dyDescent="0.25">
      <c r="A3922" s="19" t="s">
        <v>41</v>
      </c>
      <c r="B3922" s="2">
        <v>44056</v>
      </c>
      <c r="C3922" s="1">
        <v>-2</v>
      </c>
      <c r="D3922" s="39">
        <f t="shared" si="278"/>
        <v>81</v>
      </c>
      <c r="E3922" s="1"/>
      <c r="F3922" s="39">
        <f>E3922+F3898</f>
        <v>0</v>
      </c>
      <c r="G3922" s="497"/>
      <c r="H3922" s="497"/>
      <c r="J3922" s="42"/>
    </row>
    <row r="3923" spans="1:10" s="360" customFormat="1" x14ac:dyDescent="0.25">
      <c r="A3923" s="19" t="s">
        <v>32</v>
      </c>
      <c r="B3923" s="2">
        <v>44056</v>
      </c>
      <c r="C3923" s="1">
        <v>167</v>
      </c>
      <c r="D3923" s="39">
        <f t="shared" si="278"/>
        <v>4196</v>
      </c>
      <c r="E3923" s="1">
        <f>2+9+8</f>
        <v>19</v>
      </c>
      <c r="F3923" s="39">
        <f>E3923+F3899</f>
        <v>20</v>
      </c>
      <c r="G3923" s="497"/>
      <c r="H3923" s="497"/>
      <c r="J3923" s="42"/>
    </row>
    <row r="3924" spans="1:10" s="360" customFormat="1" x14ac:dyDescent="0.25">
      <c r="A3924" s="19" t="s">
        <v>33</v>
      </c>
      <c r="B3924" s="2">
        <v>44056</v>
      </c>
      <c r="C3924" s="1">
        <v>1</v>
      </c>
      <c r="D3924" s="39">
        <f t="shared" si="278"/>
        <v>209</v>
      </c>
      <c r="E3924" s="1"/>
      <c r="F3924" s="39">
        <f t="shared" si="274"/>
        <v>1</v>
      </c>
      <c r="G3924" s="497"/>
      <c r="H3924" s="497"/>
      <c r="J3924" s="42"/>
    </row>
    <row r="3925" spans="1:10" s="360" customFormat="1" x14ac:dyDescent="0.25">
      <c r="A3925" s="19" t="s">
        <v>21</v>
      </c>
      <c r="B3925" s="2">
        <v>44056</v>
      </c>
      <c r="C3925" s="1">
        <v>98</v>
      </c>
      <c r="D3925" s="39">
        <f t="shared" si="278"/>
        <v>639</v>
      </c>
      <c r="E3925" s="1"/>
      <c r="F3925" s="39">
        <f t="shared" si="274"/>
        <v>1</v>
      </c>
      <c r="G3925" s="497"/>
      <c r="H3925" s="497"/>
      <c r="J3925" s="42"/>
    </row>
    <row r="3926" spans="1:10" s="360" customFormat="1" x14ac:dyDescent="0.25">
      <c r="A3926" s="19" t="s">
        <v>17</v>
      </c>
      <c r="B3926" s="2">
        <v>44056</v>
      </c>
      <c r="C3926" s="1">
        <v>164</v>
      </c>
      <c r="D3926" s="39">
        <f t="shared" si="278"/>
        <v>2741</v>
      </c>
      <c r="E3926" s="1">
        <f>1+2+4</f>
        <v>7</v>
      </c>
      <c r="F3926" s="39">
        <f t="shared" si="274"/>
        <v>17</v>
      </c>
      <c r="G3926" s="497"/>
      <c r="H3926" s="497"/>
      <c r="J3926" s="42"/>
    </row>
    <row r="3927" spans="1:10" s="360" customFormat="1" x14ac:dyDescent="0.25">
      <c r="A3927" s="19" t="s">
        <v>23</v>
      </c>
      <c r="B3927" s="2">
        <v>44056</v>
      </c>
      <c r="C3927" s="1">
        <v>2</v>
      </c>
      <c r="D3927" s="39">
        <f t="shared" si="278"/>
        <v>63</v>
      </c>
      <c r="E3927" s="1"/>
      <c r="F3927" s="39">
        <f t="shared" si="274"/>
        <v>2</v>
      </c>
      <c r="G3927" s="497"/>
      <c r="H3927" s="497"/>
      <c r="J3927" s="42"/>
    </row>
    <row r="3928" spans="1:10" s="360" customFormat="1" x14ac:dyDescent="0.25">
      <c r="A3928" s="19" t="s">
        <v>19</v>
      </c>
      <c r="B3928" s="2">
        <v>44056</v>
      </c>
      <c r="C3928" s="1">
        <v>65</v>
      </c>
      <c r="D3928" s="39">
        <f t="shared" si="278"/>
        <v>1710</v>
      </c>
      <c r="E3928" s="1"/>
      <c r="F3928" s="39">
        <f t="shared" si="274"/>
        <v>3</v>
      </c>
      <c r="G3928" s="497"/>
      <c r="H3928" s="497"/>
      <c r="J3928" s="42"/>
    </row>
    <row r="3929" spans="1:10" s="360" customFormat="1" x14ac:dyDescent="0.25">
      <c r="A3929" s="19" t="s">
        <v>18</v>
      </c>
      <c r="B3929" s="2">
        <v>44056</v>
      </c>
      <c r="C3929" s="1">
        <v>160</v>
      </c>
      <c r="D3929" s="39">
        <f t="shared" si="278"/>
        <v>3535</v>
      </c>
      <c r="E3929" s="1">
        <v>5</v>
      </c>
      <c r="F3929" s="39">
        <f t="shared" si="274"/>
        <v>18</v>
      </c>
      <c r="G3929" s="497"/>
      <c r="H3929" s="497"/>
      <c r="J3929" s="42"/>
    </row>
    <row r="3930" spans="1:10" s="360" customFormat="1" x14ac:dyDescent="0.25">
      <c r="A3930" s="19" t="s">
        <v>34</v>
      </c>
      <c r="B3930" s="2">
        <v>44056</v>
      </c>
      <c r="C3930" s="1">
        <v>78</v>
      </c>
      <c r="D3930" s="39">
        <f>C3930+D3906</f>
        <v>828</v>
      </c>
      <c r="E3930" s="1"/>
      <c r="F3930" s="39">
        <f>E3930+F3906</f>
        <v>5</v>
      </c>
      <c r="G3930" s="497"/>
      <c r="H3930" s="497"/>
      <c r="J3930" s="42"/>
    </row>
    <row r="3931" spans="1:10" s="360" customFormat="1" x14ac:dyDescent="0.25">
      <c r="A3931" s="19" t="s">
        <v>35</v>
      </c>
      <c r="B3931" s="2">
        <v>44056</v>
      </c>
      <c r="C3931" s="1">
        <v>0</v>
      </c>
      <c r="D3931" s="39">
        <f t="shared" ref="D3931:D3937" si="279">C3931+D3907</f>
        <v>23</v>
      </c>
      <c r="E3931" s="1"/>
      <c r="F3931" s="39">
        <f>E3931+F3907</f>
        <v>0</v>
      </c>
      <c r="G3931" s="497"/>
      <c r="H3931" s="497"/>
      <c r="J3931" s="42"/>
    </row>
    <row r="3932" spans="1:10" s="360" customFormat="1" x14ac:dyDescent="0.25">
      <c r="A3932" s="19" t="s">
        <v>36</v>
      </c>
      <c r="B3932" s="2">
        <v>44056</v>
      </c>
      <c r="C3932" s="1">
        <v>1</v>
      </c>
      <c r="D3932" s="39">
        <f t="shared" si="279"/>
        <v>33</v>
      </c>
      <c r="E3932" s="1"/>
      <c r="F3932" s="39">
        <f>E3932+F3908</f>
        <v>0</v>
      </c>
      <c r="G3932" s="497"/>
      <c r="H3932" s="497"/>
      <c r="J3932" s="42"/>
    </row>
    <row r="3933" spans="1:10" s="360" customFormat="1" x14ac:dyDescent="0.25">
      <c r="A3933" s="19" t="s">
        <v>37</v>
      </c>
      <c r="B3933" s="2">
        <v>44056</v>
      </c>
      <c r="C3933" s="1">
        <v>46</v>
      </c>
      <c r="D3933" s="39">
        <f t="shared" si="279"/>
        <v>914</v>
      </c>
      <c r="E3933" s="1"/>
      <c r="F3933" s="39">
        <f t="shared" ref="F3933:F3938" si="280">E3933+F3909</f>
        <v>3</v>
      </c>
      <c r="G3933" s="497"/>
      <c r="H3933" s="497"/>
      <c r="J3933" s="42"/>
    </row>
    <row r="3934" spans="1:10" s="360" customFormat="1" x14ac:dyDescent="0.25">
      <c r="A3934" s="19" t="s">
        <v>22</v>
      </c>
      <c r="B3934" s="2">
        <v>44056</v>
      </c>
      <c r="C3934" s="1">
        <v>168</v>
      </c>
      <c r="D3934" s="39">
        <f t="shared" si="279"/>
        <v>2764</v>
      </c>
      <c r="E3934" s="1">
        <v>3</v>
      </c>
      <c r="F3934" s="39">
        <f t="shared" si="280"/>
        <v>29</v>
      </c>
      <c r="G3934" s="497"/>
      <c r="H3934" s="497"/>
      <c r="J3934" s="42"/>
    </row>
    <row r="3935" spans="1:10" s="360" customFormat="1" x14ac:dyDescent="0.25">
      <c r="A3935" s="19" t="s">
        <v>38</v>
      </c>
      <c r="B3935" s="2">
        <v>44056</v>
      </c>
      <c r="C3935" s="1">
        <v>21</v>
      </c>
      <c r="D3935" s="39">
        <f t="shared" si="279"/>
        <v>200</v>
      </c>
      <c r="E3935" s="1"/>
      <c r="F3935" s="39">
        <f t="shared" si="280"/>
        <v>1</v>
      </c>
      <c r="G3935" s="497"/>
      <c r="H3935" s="497"/>
      <c r="J3935" s="42"/>
    </row>
    <row r="3936" spans="1:10" s="360" customFormat="1" x14ac:dyDescent="0.25">
      <c r="A3936" s="19" t="s">
        <v>39</v>
      </c>
      <c r="B3936" s="2">
        <v>44056</v>
      </c>
      <c r="C3936" s="1">
        <v>84</v>
      </c>
      <c r="D3936" s="39">
        <f t="shared" si="279"/>
        <v>1227</v>
      </c>
      <c r="E3936" s="1">
        <v>1</v>
      </c>
      <c r="F3936" s="39">
        <f t="shared" si="280"/>
        <v>11</v>
      </c>
      <c r="G3936" s="497"/>
      <c r="H3936" s="497"/>
      <c r="J3936" s="42"/>
    </row>
    <row r="3937" spans="1:10" s="360" customFormat="1" x14ac:dyDescent="0.25">
      <c r="A3937" s="19" t="s">
        <v>40</v>
      </c>
      <c r="B3937" s="2">
        <v>44056</v>
      </c>
      <c r="C3937" s="1">
        <v>21</v>
      </c>
      <c r="D3937" s="39">
        <f t="shared" si="279"/>
        <v>509</v>
      </c>
      <c r="E3937" s="1"/>
      <c r="F3937" s="39">
        <f t="shared" si="280"/>
        <v>5</v>
      </c>
      <c r="G3937" s="497"/>
      <c r="H3937" s="497"/>
      <c r="J3937" s="42"/>
    </row>
    <row r="3938" spans="1:10" s="360" customFormat="1" x14ac:dyDescent="0.25">
      <c r="A3938" s="361" t="s">
        <v>16</v>
      </c>
      <c r="B3938" s="2">
        <v>44057</v>
      </c>
      <c r="C3938" s="1">
        <f>4157+3</f>
        <v>4160</v>
      </c>
      <c r="D3938" s="39">
        <f>C3938+D3914</f>
        <v>175544</v>
      </c>
      <c r="E3938" s="1">
        <f>19+13+31+25</f>
        <v>88</v>
      </c>
      <c r="F3938" s="39">
        <f t="shared" si="280"/>
        <v>3217</v>
      </c>
      <c r="G3938" s="497"/>
      <c r="H3938" s="497"/>
      <c r="J3938" s="42"/>
    </row>
    <row r="3939" spans="1:10" s="360" customFormat="1" x14ac:dyDescent="0.25">
      <c r="A3939" s="19" t="s">
        <v>43</v>
      </c>
      <c r="B3939" s="2">
        <v>44057</v>
      </c>
      <c r="C3939" s="1">
        <f>1012+6</f>
        <v>1018</v>
      </c>
      <c r="D3939" s="39">
        <f t="shared" ref="D3939:D3953" si="281">C3939+D3915</f>
        <v>75593</v>
      </c>
      <c r="E3939" s="1">
        <f>3+7+17+11</f>
        <v>38</v>
      </c>
      <c r="F3939" s="39">
        <f t="shared" ref="F3939:F3977" si="282">E3939+F3915</f>
        <v>1660</v>
      </c>
      <c r="G3939" s="497"/>
      <c r="H3939" s="497"/>
      <c r="J3939" s="42"/>
    </row>
    <row r="3940" spans="1:10" s="360" customFormat="1" x14ac:dyDescent="0.25">
      <c r="A3940" s="19" t="s">
        <v>28</v>
      </c>
      <c r="B3940" s="2">
        <v>44057</v>
      </c>
      <c r="C3940" s="1">
        <v>0</v>
      </c>
      <c r="D3940" s="39">
        <f t="shared" si="281"/>
        <v>63</v>
      </c>
      <c r="E3940" s="1"/>
      <c r="F3940" s="39">
        <f t="shared" si="282"/>
        <v>0</v>
      </c>
      <c r="G3940" s="497"/>
      <c r="H3940" s="497"/>
      <c r="J3940" s="42"/>
    </row>
    <row r="3941" spans="1:10" s="360" customFormat="1" x14ac:dyDescent="0.25">
      <c r="A3941" s="19" t="s">
        <v>15</v>
      </c>
      <c r="B3941" s="2">
        <v>44057</v>
      </c>
      <c r="C3941" s="1">
        <v>49</v>
      </c>
      <c r="D3941" s="39">
        <f t="shared" si="281"/>
        <v>4328</v>
      </c>
      <c r="E3941" s="1"/>
      <c r="F3941" s="39">
        <f t="shared" si="282"/>
        <v>173</v>
      </c>
      <c r="G3941" s="497"/>
      <c r="H3941" s="497"/>
      <c r="J3941" s="42"/>
    </row>
    <row r="3942" spans="1:10" s="360" customFormat="1" x14ac:dyDescent="0.25">
      <c r="A3942" s="19" t="s">
        <v>29</v>
      </c>
      <c r="B3942" s="2">
        <v>44057</v>
      </c>
      <c r="C3942" s="1">
        <v>6</v>
      </c>
      <c r="D3942" s="39">
        <f t="shared" si="281"/>
        <v>391</v>
      </c>
      <c r="E3942" s="1"/>
      <c r="F3942" s="39">
        <f t="shared" si="282"/>
        <v>5</v>
      </c>
      <c r="G3942" s="497"/>
      <c r="H3942" s="497"/>
      <c r="J3942" s="42"/>
    </row>
    <row r="3943" spans="1:10" s="360" customFormat="1" x14ac:dyDescent="0.25">
      <c r="A3943" s="19" t="s">
        <v>20</v>
      </c>
      <c r="B3943" s="2">
        <v>44057</v>
      </c>
      <c r="C3943" s="1">
        <v>144</v>
      </c>
      <c r="D3943" s="39">
        <f t="shared" si="281"/>
        <v>4293</v>
      </c>
      <c r="E3943" s="1">
        <f>1</f>
        <v>1</v>
      </c>
      <c r="F3943" s="39">
        <f t="shared" si="282"/>
        <v>74</v>
      </c>
      <c r="G3943" s="497"/>
      <c r="H3943" s="497"/>
      <c r="J3943" s="42"/>
    </row>
    <row r="3944" spans="1:10" s="360" customFormat="1" x14ac:dyDescent="0.25">
      <c r="A3944" s="19" t="s">
        <v>30</v>
      </c>
      <c r="B3944" s="2">
        <v>44057</v>
      </c>
      <c r="C3944" s="1">
        <v>1</v>
      </c>
      <c r="D3944" s="39">
        <f t="shared" si="281"/>
        <v>224</v>
      </c>
      <c r="E3944" s="1"/>
      <c r="F3944" s="39">
        <f t="shared" si="282"/>
        <v>2</v>
      </c>
      <c r="G3944" s="497"/>
      <c r="H3944" s="497"/>
      <c r="J3944" s="42"/>
    </row>
    <row r="3945" spans="1:10" x14ac:dyDescent="0.25">
      <c r="A3945" s="19" t="s">
        <v>31</v>
      </c>
      <c r="B3945" s="2">
        <v>44057</v>
      </c>
      <c r="C3945" s="1">
        <v>100</v>
      </c>
      <c r="D3945" s="39">
        <f t="shared" si="281"/>
        <v>1464</v>
      </c>
      <c r="E3945" s="1">
        <v>2</v>
      </c>
      <c r="F3945" s="39">
        <f t="shared" si="282"/>
        <v>20</v>
      </c>
    </row>
    <row r="3946" spans="1:10" s="360" customFormat="1" x14ac:dyDescent="0.25">
      <c r="A3946" s="19" t="s">
        <v>41</v>
      </c>
      <c r="B3946" s="2">
        <v>44057</v>
      </c>
      <c r="C3946" s="1">
        <v>0</v>
      </c>
      <c r="D3946" s="39">
        <f t="shared" si="281"/>
        <v>81</v>
      </c>
      <c r="E3946" s="1"/>
      <c r="F3946" s="39">
        <f>E3946+F3922</f>
        <v>0</v>
      </c>
      <c r="G3946" s="497"/>
      <c r="H3946" s="497"/>
      <c r="J3946" s="42"/>
    </row>
    <row r="3947" spans="1:10" s="360" customFormat="1" x14ac:dyDescent="0.25">
      <c r="A3947" s="19" t="s">
        <v>32</v>
      </c>
      <c r="B3947" s="2">
        <v>44057</v>
      </c>
      <c r="C3947" s="1">
        <f>133-3</f>
        <v>130</v>
      </c>
      <c r="D3947" s="39">
        <f t="shared" si="281"/>
        <v>4326</v>
      </c>
      <c r="E3947" s="1">
        <f>14+7</f>
        <v>21</v>
      </c>
      <c r="F3947" s="39">
        <f>E3947+F3923</f>
        <v>41</v>
      </c>
      <c r="G3947" s="497"/>
      <c r="H3947" s="497"/>
      <c r="J3947" s="42"/>
    </row>
    <row r="3948" spans="1:10" s="360" customFormat="1" x14ac:dyDescent="0.25">
      <c r="A3948" s="19" t="s">
        <v>33</v>
      </c>
      <c r="B3948" s="2">
        <v>44057</v>
      </c>
      <c r="C3948" s="1">
        <v>1</v>
      </c>
      <c r="D3948" s="39">
        <f t="shared" si="281"/>
        <v>210</v>
      </c>
      <c r="E3948" s="1"/>
      <c r="F3948" s="39">
        <f t="shared" si="282"/>
        <v>1</v>
      </c>
      <c r="G3948" s="497"/>
      <c r="H3948" s="497"/>
      <c r="J3948" s="42"/>
    </row>
    <row r="3949" spans="1:10" s="360" customFormat="1" x14ac:dyDescent="0.25">
      <c r="A3949" s="19" t="s">
        <v>21</v>
      </c>
      <c r="B3949" s="2">
        <v>44057</v>
      </c>
      <c r="C3949" s="1">
        <f>22-1</f>
        <v>21</v>
      </c>
      <c r="D3949" s="39">
        <f t="shared" si="281"/>
        <v>660</v>
      </c>
      <c r="E3949" s="1"/>
      <c r="F3949" s="39">
        <f t="shared" si="282"/>
        <v>1</v>
      </c>
      <c r="G3949" s="497"/>
      <c r="H3949" s="497"/>
      <c r="J3949" s="42"/>
    </row>
    <row r="3950" spans="1:10" s="360" customFormat="1" x14ac:dyDescent="0.25">
      <c r="A3950" s="19" t="s">
        <v>17</v>
      </c>
      <c r="B3950" s="2">
        <v>44057</v>
      </c>
      <c r="C3950" s="1">
        <v>165</v>
      </c>
      <c r="D3950" s="39">
        <f t="shared" si="281"/>
        <v>2906</v>
      </c>
      <c r="E3950" s="1">
        <v>2</v>
      </c>
      <c r="F3950" s="39">
        <f t="shared" si="282"/>
        <v>19</v>
      </c>
      <c r="G3950" s="497"/>
      <c r="H3950" s="497"/>
      <c r="J3950" s="42"/>
    </row>
    <row r="3951" spans="1:10" s="360" customFormat="1" x14ac:dyDescent="0.25">
      <c r="A3951" s="19" t="s">
        <v>23</v>
      </c>
      <c r="B3951" s="2">
        <v>44057</v>
      </c>
      <c r="C3951" s="1">
        <v>1</v>
      </c>
      <c r="D3951" s="39">
        <f t="shared" si="281"/>
        <v>64</v>
      </c>
      <c r="E3951" s="1"/>
      <c r="F3951" s="39">
        <f t="shared" si="282"/>
        <v>2</v>
      </c>
      <c r="G3951" s="497"/>
      <c r="H3951" s="497"/>
      <c r="J3951" s="42"/>
    </row>
    <row r="3952" spans="1:10" s="360" customFormat="1" x14ac:dyDescent="0.25">
      <c r="A3952" s="19" t="s">
        <v>19</v>
      </c>
      <c r="B3952" s="2">
        <v>44057</v>
      </c>
      <c r="C3952" s="1">
        <v>16</v>
      </c>
      <c r="D3952" s="39">
        <f t="shared" si="281"/>
        <v>1726</v>
      </c>
      <c r="E3952" s="1">
        <v>1</v>
      </c>
      <c r="F3952" s="39">
        <f t="shared" si="282"/>
        <v>4</v>
      </c>
      <c r="G3952" s="497"/>
      <c r="H3952" s="497"/>
      <c r="J3952" s="42"/>
    </row>
    <row r="3953" spans="1:13" s="360" customFormat="1" x14ac:dyDescent="0.25">
      <c r="A3953" s="19" t="s">
        <v>18</v>
      </c>
      <c r="B3953" s="2">
        <v>44057</v>
      </c>
      <c r="C3953" s="1">
        <v>118</v>
      </c>
      <c r="D3953" s="39">
        <f t="shared" si="281"/>
        <v>3653</v>
      </c>
      <c r="E3953" s="1">
        <v>6</v>
      </c>
      <c r="F3953" s="39">
        <f t="shared" si="282"/>
        <v>24</v>
      </c>
      <c r="G3953" s="497"/>
      <c r="H3953" s="497"/>
      <c r="J3953" s="42"/>
    </row>
    <row r="3954" spans="1:13" s="360" customFormat="1" x14ac:dyDescent="0.25">
      <c r="A3954" s="19" t="s">
        <v>34</v>
      </c>
      <c r="B3954" s="2">
        <v>44057</v>
      </c>
      <c r="C3954" s="1">
        <f>106+3</f>
        <v>109</v>
      </c>
      <c r="D3954" s="39">
        <f>C3954+D3930</f>
        <v>937</v>
      </c>
      <c r="E3954" s="1">
        <v>2</v>
      </c>
      <c r="F3954" s="39">
        <f>E3954+F3930</f>
        <v>7</v>
      </c>
      <c r="G3954" s="497"/>
      <c r="H3954" s="497"/>
      <c r="J3954" s="42"/>
    </row>
    <row r="3955" spans="1:13" s="360" customFormat="1" x14ac:dyDescent="0.25">
      <c r="A3955" s="19" t="s">
        <v>35</v>
      </c>
      <c r="B3955" s="2">
        <v>44057</v>
      </c>
      <c r="C3955" s="1">
        <v>-1</v>
      </c>
      <c r="D3955" s="39">
        <f t="shared" ref="D3955:D3961" si="283">C3955+D3931</f>
        <v>22</v>
      </c>
      <c r="E3955" s="1"/>
      <c r="F3955" s="39">
        <f>E3955+F3931</f>
        <v>0</v>
      </c>
      <c r="G3955" s="497"/>
      <c r="H3955" s="497"/>
      <c r="J3955" s="42"/>
    </row>
    <row r="3956" spans="1:13" s="360" customFormat="1" x14ac:dyDescent="0.25">
      <c r="A3956" s="19" t="s">
        <v>36</v>
      </c>
      <c r="B3956" s="2">
        <v>44057</v>
      </c>
      <c r="C3956" s="1">
        <v>1</v>
      </c>
      <c r="D3956" s="39">
        <f t="shared" si="283"/>
        <v>34</v>
      </c>
      <c r="E3956" s="1"/>
      <c r="F3956" s="39">
        <f t="shared" si="282"/>
        <v>0</v>
      </c>
      <c r="G3956" s="497"/>
      <c r="H3956" s="497"/>
      <c r="J3956" s="42"/>
    </row>
    <row r="3957" spans="1:13" s="360" customFormat="1" x14ac:dyDescent="0.25">
      <c r="A3957" s="19" t="s">
        <v>37</v>
      </c>
      <c r="B3957" s="2">
        <v>44057</v>
      </c>
      <c r="C3957" s="1">
        <f>40-3</f>
        <v>37</v>
      </c>
      <c r="D3957" s="39">
        <f t="shared" si="283"/>
        <v>951</v>
      </c>
      <c r="E3957" s="1"/>
      <c r="F3957" s="39">
        <f t="shared" ref="F3957:F3962" si="284">E3957+F3933</f>
        <v>3</v>
      </c>
      <c r="G3957" s="497"/>
      <c r="H3957" s="497"/>
      <c r="J3957" s="42"/>
    </row>
    <row r="3958" spans="1:13" s="360" customFormat="1" x14ac:dyDescent="0.25">
      <c r="A3958" s="19" t="s">
        <v>22</v>
      </c>
      <c r="B3958" s="2">
        <v>44057</v>
      </c>
      <c r="C3958" s="1">
        <v>190</v>
      </c>
      <c r="D3958" s="39">
        <f t="shared" si="283"/>
        <v>2954</v>
      </c>
      <c r="E3958" s="1">
        <v>1</v>
      </c>
      <c r="F3958" s="39">
        <f t="shared" si="284"/>
        <v>30</v>
      </c>
      <c r="G3958" s="497"/>
      <c r="H3958" s="497"/>
      <c r="J3958" s="42"/>
    </row>
    <row r="3959" spans="1:13" s="360" customFormat="1" x14ac:dyDescent="0.25">
      <c r="A3959" s="19" t="s">
        <v>38</v>
      </c>
      <c r="B3959" s="2">
        <v>44057</v>
      </c>
      <c r="C3959" s="1">
        <f>24-2</f>
        <v>22</v>
      </c>
      <c r="D3959" s="39">
        <f t="shared" si="283"/>
        <v>222</v>
      </c>
      <c r="E3959" s="1"/>
      <c r="F3959" s="39">
        <f t="shared" si="284"/>
        <v>1</v>
      </c>
      <c r="G3959" s="497"/>
      <c r="H3959" s="497"/>
      <c r="J3959" s="42"/>
    </row>
    <row r="3960" spans="1:13" s="360" customFormat="1" x14ac:dyDescent="0.25">
      <c r="A3960" s="19" t="s">
        <v>39</v>
      </c>
      <c r="B3960" s="2">
        <v>44057</v>
      </c>
      <c r="C3960" s="1">
        <f>48-2</f>
        <v>46</v>
      </c>
      <c r="D3960" s="39">
        <f t="shared" si="283"/>
        <v>1273</v>
      </c>
      <c r="E3960" s="1">
        <v>3</v>
      </c>
      <c r="F3960" s="39">
        <f t="shared" si="284"/>
        <v>14</v>
      </c>
      <c r="G3960" s="497"/>
      <c r="H3960" s="497"/>
      <c r="J3960" s="42"/>
    </row>
    <row r="3961" spans="1:13" s="360" customFormat="1" ht="15.75" thickBot="1" x14ac:dyDescent="0.3">
      <c r="A3961" s="19" t="s">
        <v>40</v>
      </c>
      <c r="B3961" s="2">
        <v>44057</v>
      </c>
      <c r="C3961" s="1">
        <f>32-1</f>
        <v>31</v>
      </c>
      <c r="D3961" s="39">
        <f t="shared" si="283"/>
        <v>540</v>
      </c>
      <c r="E3961" s="1"/>
      <c r="F3961" s="39">
        <f t="shared" si="284"/>
        <v>5</v>
      </c>
      <c r="G3961" s="497"/>
      <c r="H3961" s="497"/>
      <c r="J3961" s="42"/>
    </row>
    <row r="3962" spans="1:13" s="360" customFormat="1" x14ac:dyDescent="0.25">
      <c r="A3962" s="361" t="s">
        <v>16</v>
      </c>
      <c r="B3962" s="2">
        <v>44058</v>
      </c>
      <c r="C3962" s="1">
        <v>4438</v>
      </c>
      <c r="D3962" s="39">
        <f>C3962+D3938</f>
        <v>179982</v>
      </c>
      <c r="E3962" s="1">
        <f>16+10+33+24</f>
        <v>83</v>
      </c>
      <c r="F3962" s="39">
        <f t="shared" si="284"/>
        <v>3300</v>
      </c>
      <c r="G3962" s="175">
        <f>SUM(C3962,C3938,C3914,C3890,C3866,C3842,C3818,C3794,C3770,C3746,C3722,C3698,C3674,C3650)/POBLA!$B$1*100000</f>
        <v>352.46851957919955</v>
      </c>
      <c r="H3962" s="300">
        <f>SUM(C3962,C3938,C3914,C3890,C3866,C3842,C3818,C3794,C3770,C3746,C3722,C3698,C3674,C3650)/SUM(C3626,C3602,C3578,C3554,C3530,C3506,C3482,C3458,C3434,C3410,C3386,C3362,C3338,C3314)</f>
        <v>1.233234930386564</v>
      </c>
      <c r="I3962" s="301">
        <f>G3962*H3962</f>
        <v>434.67649020670939</v>
      </c>
      <c r="J3962" s="301">
        <f>AVERAGE(C3962,C3938,C3914,C3890,C3866,C3842,C3818)</f>
        <v>4517</v>
      </c>
      <c r="K3962" s="301">
        <f>J3962/POBLA!$B$1*100000</f>
        <v>25.750890435234517</v>
      </c>
      <c r="L3962" s="548">
        <f t="shared" ref="L3962:L3985" si="285">1-SUM(C3962,C3938,C3914,C3890,C3866,C3842,C3818)/SUM(C3794,C3770,C3746,C3722,C3698,C3674,C3650)</f>
        <v>-4.6709480932203284E-2</v>
      </c>
      <c r="M3962" s="400">
        <f>SUM(C3962,C3938,C3914,C3890,C3866,C3842,C3818)/POBLA!$B$1*100000</f>
        <v>180.25623304664163</v>
      </c>
    </row>
    <row r="3963" spans="1:13" s="360" customFormat="1" x14ac:dyDescent="0.25">
      <c r="A3963" s="19" t="s">
        <v>43</v>
      </c>
      <c r="B3963" s="2">
        <v>44058</v>
      </c>
      <c r="C3963" s="1">
        <v>915</v>
      </c>
      <c r="D3963" s="39">
        <f t="shared" ref="D3963:D3977" si="286">C3963+D3939</f>
        <v>76508</v>
      </c>
      <c r="E3963" s="1">
        <f>4+2+3</f>
        <v>9</v>
      </c>
      <c r="F3963" s="39">
        <f t="shared" si="282"/>
        <v>1669</v>
      </c>
      <c r="G3963" s="168">
        <f>SUM(C3963,C3939,C3915,C3891,C3867,C3843,C3819,C3795,C3771,C3747,C3723,C3699,C3675,C3651)/POBLA!$B$2*100000</f>
        <v>176.32068189902219</v>
      </c>
      <c r="H3963" s="256">
        <f>SUM(C3963,C3939,C3915,C3891,C3867,C3846,C3822,C3798,C3774,C3750,C3726,C3702,C3678,C3654)/SUM(C3630,C3606,C3582,C3558,C3534,C3510,C3486,C3462,C3438,C3414,C3390,C3366,C3342,C3318)</f>
        <v>0.98039579468150895</v>
      </c>
      <c r="I3963" s="297">
        <f t="shared" ref="I3963:I3985" si="287">G3963*H3963</f>
        <v>172.86405504917741</v>
      </c>
      <c r="J3963" s="297">
        <f t="shared" ref="J3963:J3985" si="288">AVERAGE(C3963,C3939,C3915,C3891,C3867,C3843,C3819)</f>
        <v>774.57142857142856</v>
      </c>
      <c r="K3963" s="297">
        <f>J3963/POBLA!$B$2*100000</f>
        <v>25.184024057756599</v>
      </c>
      <c r="L3963" s="549">
        <f t="shared" si="285"/>
        <v>-5421</v>
      </c>
      <c r="M3963" s="401">
        <f>SUM(C3963,C3939,C3915,C3891,C3867,C3843,C3819)/POBLA!$B$2*100000</f>
        <v>176.28816840429621</v>
      </c>
    </row>
    <row r="3964" spans="1:13" s="360" customFormat="1" x14ac:dyDescent="0.25">
      <c r="A3964" s="19" t="s">
        <v>28</v>
      </c>
      <c r="B3964" s="2">
        <v>44058</v>
      </c>
      <c r="C3964" s="1">
        <v>0</v>
      </c>
      <c r="D3964" s="39">
        <f t="shared" si="286"/>
        <v>63</v>
      </c>
      <c r="E3964" s="1"/>
      <c r="F3964" s="39">
        <f t="shared" si="282"/>
        <v>0</v>
      </c>
      <c r="G3964" s="168">
        <f>SUM(C3964,C3940,C3916,C3892,C3868,C3844,C3820,C3796,C3772,C3748,C3724,C3700,C3676,C3652)/POBLA!$B$3*100000</f>
        <v>107.83799267279352</v>
      </c>
      <c r="H3964" s="256">
        <f t="shared" ref="H3964:H3970" si="289">SUM(C3964,C3940,C3916,C3892,C3868,C3844,C3820,C3796,C3772,C3748,C3724,C3700,C3676,C3652)/SUM(C3628,C3604,C3580,C3556,C3532,C3508,C3484,C3460,C3436,C3412,C3388,C3364,C3340,C3316)</f>
        <v>0.62222222222222223</v>
      </c>
      <c r="I3964" s="297">
        <f t="shared" si="287"/>
        <v>67.0991954408493</v>
      </c>
      <c r="J3964" s="297">
        <f t="shared" si="288"/>
        <v>11.857142857142858</v>
      </c>
      <c r="K3964" s="297">
        <f>J3964/POBLA!$B$3*100000</f>
        <v>2.8541305458679411</v>
      </c>
      <c r="L3964" s="549">
        <f t="shared" si="285"/>
        <v>0.77260273972602733</v>
      </c>
      <c r="M3964" s="401">
        <f>SUM(C3964,C3940,C3916,C3892,C3868,C3844,C3820)/POBLA!$B$3*100000</f>
        <v>19.978913821075587</v>
      </c>
    </row>
    <row r="3965" spans="1:13" s="360" customFormat="1" x14ac:dyDescent="0.25">
      <c r="A3965" s="19" t="s">
        <v>15</v>
      </c>
      <c r="B3965" s="2">
        <v>44058</v>
      </c>
      <c r="C3965" s="1">
        <v>40</v>
      </c>
      <c r="D3965" s="39">
        <f t="shared" si="286"/>
        <v>4368</v>
      </c>
      <c r="E3965" s="1">
        <v>4</v>
      </c>
      <c r="F3965" s="39">
        <f t="shared" si="282"/>
        <v>177</v>
      </c>
      <c r="G3965" s="168">
        <f>SUM(C3965,C3941,C3917,C3893,C3869,C3845,C3821,C3797,C3773,C3749,C3725,C3701,C3677,C3653)/POBLA!$B$4*100000</f>
        <v>28.890672878714796</v>
      </c>
      <c r="H3965" s="256">
        <f t="shared" si="289"/>
        <v>6.8235294117647056</v>
      </c>
      <c r="I3965" s="297">
        <f t="shared" si="287"/>
        <v>197.1363561135833</v>
      </c>
      <c r="J3965" s="297">
        <f t="shared" si="288"/>
        <v>43.714285714285715</v>
      </c>
      <c r="K3965" s="297">
        <f>J3965/POBLA!$B$4*100000</f>
        <v>3.6291239330405287</v>
      </c>
      <c r="L3965" s="549">
        <f t="shared" si="285"/>
        <v>-6.2857142857142856</v>
      </c>
      <c r="M3965" s="401">
        <f>SUM(C3965,C3941,C3917,C3893,C3869,C3845,C3821)/POBLA!$B$4*100000</f>
        <v>25.403867531283701</v>
      </c>
    </row>
    <row r="3966" spans="1:13" s="360" customFormat="1" x14ac:dyDescent="0.25">
      <c r="A3966" s="19" t="s">
        <v>29</v>
      </c>
      <c r="B3966" s="2">
        <v>44058</v>
      </c>
      <c r="C3966" s="1">
        <v>4</v>
      </c>
      <c r="D3966" s="39">
        <f t="shared" si="286"/>
        <v>395</v>
      </c>
      <c r="E3966" s="1"/>
      <c r="F3966" s="39">
        <f t="shared" si="282"/>
        <v>5</v>
      </c>
      <c r="G3966" s="168">
        <f>SUM(C3966,C3942,C3918,C3894,C3870,C3846,C3822,C3798,C3774,C3750,C3726,C3702,C3678,C3654)/POBLA!$B$5*100000</f>
        <v>1692.2619605359664</v>
      </c>
      <c r="H3966" s="256">
        <f t="shared" si="289"/>
        <v>0.64780457637600497</v>
      </c>
      <c r="I3966" s="297">
        <f t="shared" si="287"/>
        <v>1096.2550424622293</v>
      </c>
      <c r="J3966" s="297">
        <f t="shared" si="288"/>
        <v>280.57142857142856</v>
      </c>
      <c r="K3966" s="297">
        <f>J3966/POBLA!$B$5*100000</f>
        <v>45.327002938869931</v>
      </c>
      <c r="L3966" s="549">
        <f t="shared" si="285"/>
        <v>0.76923980730818942</v>
      </c>
      <c r="M3966" s="401">
        <f>SUM(C3966,C3942,C3918,C3894,C3870,C3846,C3822)/POBLA!$B$5*100000</f>
        <v>317.28902057208956</v>
      </c>
    </row>
    <row r="3967" spans="1:13" s="360" customFormat="1" x14ac:dyDescent="0.25">
      <c r="A3967" s="19" t="s">
        <v>20</v>
      </c>
      <c r="B3967" s="2">
        <v>44058</v>
      </c>
      <c r="C3967" s="1">
        <v>161</v>
      </c>
      <c r="D3967" s="39">
        <f t="shared" si="286"/>
        <v>4454</v>
      </c>
      <c r="E3967" s="1"/>
      <c r="F3967" s="39">
        <f t="shared" si="282"/>
        <v>74</v>
      </c>
      <c r="G3967" s="168">
        <f>SUM(C3967,C3943,C3919,C3895,C3871,C3847,C3823,C3799,C3775,C3751,C3727,C3703,C3679,C3655)/POBLA!$B$6*100000</f>
        <v>187.72288747065713</v>
      </c>
      <c r="H3967" s="256">
        <f t="shared" si="289"/>
        <v>1.8553791887125219</v>
      </c>
      <c r="I3967" s="297">
        <f t="shared" si="287"/>
        <v>348.29713865807986</v>
      </c>
      <c r="J3967" s="297">
        <f t="shared" si="288"/>
        <v>163.42857142857142</v>
      </c>
      <c r="K3967" s="297">
        <f>J3967/POBLA!$B$6*100000</f>
        <v>14.581408423847893</v>
      </c>
      <c r="L3967" s="549">
        <f t="shared" si="285"/>
        <v>-0.19166666666666665</v>
      </c>
      <c r="M3967" s="401">
        <f>SUM(C3967,C3943,C3919,C3895,C3871,C3847,C3823)/POBLA!$B$6*100000</f>
        <v>102.06985896693526</v>
      </c>
    </row>
    <row r="3968" spans="1:13" s="360" customFormat="1" x14ac:dyDescent="0.25">
      <c r="A3968" s="19" t="s">
        <v>30</v>
      </c>
      <c r="B3968" s="2">
        <v>44058</v>
      </c>
      <c r="C3968" s="1">
        <v>2</v>
      </c>
      <c r="D3968" s="39">
        <f t="shared" si="286"/>
        <v>226</v>
      </c>
      <c r="E3968" s="1"/>
      <c r="F3968" s="39">
        <f t="shared" si="282"/>
        <v>2</v>
      </c>
      <c r="G3968" s="168">
        <f>SUM(C3968,C3944,C3920,C3896,C3872,C3848,C3824,C3800,C3776,C3752,C3728,C3704,C3680,C3656)/POBLA!$B$7*100000</f>
        <v>0.85096198593253458</v>
      </c>
      <c r="H3968" s="256">
        <f t="shared" si="289"/>
        <v>0.5</v>
      </c>
      <c r="I3968" s="297">
        <f t="shared" si="287"/>
        <v>0.42548099296626729</v>
      </c>
      <c r="J3968" s="297">
        <f t="shared" si="288"/>
        <v>2.5714285714285716</v>
      </c>
      <c r="K3968" s="297">
        <f>J3968/POBLA!$B$7*100000</f>
        <v>6.8380873869578682E-2</v>
      </c>
      <c r="L3968" s="549">
        <f t="shared" si="285"/>
        <v>-0.28571428571428581</v>
      </c>
      <c r="M3968" s="401">
        <f>SUM(C3968,C3944,C3920,C3896,C3872,C3848,C3824)/POBLA!$B$7*100000</f>
        <v>0.47866611708705076</v>
      </c>
    </row>
    <row r="3969" spans="1:13" x14ac:dyDescent="0.25">
      <c r="A3969" s="19" t="s">
        <v>31</v>
      </c>
      <c r="B3969" s="2">
        <v>44058</v>
      </c>
      <c r="C3969" s="1">
        <v>64</v>
      </c>
      <c r="D3969" s="39">
        <f t="shared" si="286"/>
        <v>1528</v>
      </c>
      <c r="E3969" s="1">
        <v>2</v>
      </c>
      <c r="F3969" s="39">
        <f t="shared" si="282"/>
        <v>22</v>
      </c>
      <c r="G3969" s="168">
        <f>SUM(C3969,C3945,C3921,C3897,C3873,C3849,C3825,C3801,C3777,C3753,C3729,C3705,C3681,C3657)/POBLA!$B$8*100000</f>
        <v>50.650775887633202</v>
      </c>
      <c r="H3969" s="256">
        <f t="shared" si="289"/>
        <v>3.3113207547169812</v>
      </c>
      <c r="I3969" s="297">
        <f t="shared" si="287"/>
        <v>167.72096543923826</v>
      </c>
      <c r="J3969" s="297">
        <f t="shared" si="288"/>
        <v>63.142857142857146</v>
      </c>
      <c r="K3969" s="297">
        <f>J3969/POBLA!$B$8*100000</f>
        <v>4.5558898946548387</v>
      </c>
      <c r="L3969" s="549">
        <f t="shared" si="285"/>
        <v>-0.7</v>
      </c>
      <c r="M3969" s="401">
        <f>SUM(C3969,C3945,C3921,C3897,C3873,C3849,C3825)/POBLA!$B$8*100000</f>
        <v>31.891229262583867</v>
      </c>
    </row>
    <row r="3970" spans="1:13" s="360" customFormat="1" x14ac:dyDescent="0.25">
      <c r="A3970" s="19" t="s">
        <v>41</v>
      </c>
      <c r="B3970" s="2">
        <v>44058</v>
      </c>
      <c r="C3970" s="1">
        <v>1</v>
      </c>
      <c r="D3970" s="39">
        <f t="shared" si="286"/>
        <v>82</v>
      </c>
      <c r="E3970" s="1"/>
      <c r="F3970" s="39">
        <f>E3970+F3946</f>
        <v>0</v>
      </c>
      <c r="G3970" s="168">
        <f>SUM(C3970,C3946,C3922,C3898,C3874,C3850,C3826,C3802,C3778,C3754,C3730,C3706,C3682,C3658)/POBLA!$B$9*100000</f>
        <v>0</v>
      </c>
      <c r="H3970" s="256">
        <f t="shared" si="289"/>
        <v>0</v>
      </c>
      <c r="I3970" s="297">
        <f t="shared" si="287"/>
        <v>0</v>
      </c>
      <c r="J3970" s="297">
        <f t="shared" si="288"/>
        <v>-0.42857142857142855</v>
      </c>
      <c r="K3970" s="297">
        <f>J3970/POBLA!$B$9*100000</f>
        <v>-7.0815661875042929E-2</v>
      </c>
      <c r="L3970" s="549">
        <f t="shared" si="285"/>
        <v>2</v>
      </c>
      <c r="M3970" s="401">
        <f>SUM(C3970,C3946,C3922,C3898,C3874,C3850,C3826)/POBLA!$B$9*100000</f>
        <v>-0.49570963312530053</v>
      </c>
    </row>
    <row r="3971" spans="1:13" s="360" customFormat="1" x14ac:dyDescent="0.25">
      <c r="A3971" s="19" t="s">
        <v>32</v>
      </c>
      <c r="B3971" s="2">
        <v>44058</v>
      </c>
      <c r="C3971" s="1">
        <v>157</v>
      </c>
      <c r="D3971" s="39">
        <f t="shared" si="286"/>
        <v>4483</v>
      </c>
      <c r="E3971" s="1"/>
      <c r="F3971" s="39">
        <f t="shared" si="282"/>
        <v>41</v>
      </c>
      <c r="G3971" s="168">
        <f>SUM(C3971,C3947,C3923,C3899,C3875,C3851,C3827,C3803,C3779,C3755,C3731,C3707,C3683,C3659)/POBLA!$B$10*100000</f>
        <v>278.77195053451828</v>
      </c>
      <c r="H3971" s="256">
        <f t="shared" ref="H3971:H3985" si="290">SUM(C3971,C3947,C3923,C3899,C3875,C3851,C3827,C3803,C3779,C3755,C3731,C3707,C3683,C3659)/SUM(C3635,C3611,C3587,C3563,C3539,C3515,C3491,C3467,C3443,C3419,C3395,C3371,C3347,C3323)</f>
        <v>1.2899159663865547</v>
      </c>
      <c r="I3971" s="297">
        <f t="shared" si="287"/>
        <v>359.59238997519799</v>
      </c>
      <c r="J3971" s="297">
        <f t="shared" si="288"/>
        <v>162.28571428571428</v>
      </c>
      <c r="K3971" s="297">
        <f>J3971/POBLA!$B$10*100000</f>
        <v>21.051980044353705</v>
      </c>
      <c r="L3971" s="549">
        <f t="shared" si="285"/>
        <v>-0.12142152023691999</v>
      </c>
      <c r="M3971" s="401">
        <f>SUM(C3971,C3947,C3923,C3899,C3875,C3851,C3827)/POBLA!$B$10*100000</f>
        <v>147.36386031047593</v>
      </c>
    </row>
    <row r="3972" spans="1:13" s="360" customFormat="1" x14ac:dyDescent="0.25">
      <c r="A3972" s="19" t="s">
        <v>33</v>
      </c>
      <c r="B3972" s="2">
        <v>44058</v>
      </c>
      <c r="C3972" s="1">
        <v>1</v>
      </c>
      <c r="D3972" s="39">
        <f t="shared" si="286"/>
        <v>211</v>
      </c>
      <c r="E3972" s="1"/>
      <c r="F3972" s="39">
        <f t="shared" si="282"/>
        <v>1</v>
      </c>
      <c r="G3972" s="168">
        <f>SUM(C3972,C3948,C3924,C3900,C3876,C3852,C3828,C3804,C3780,C3756,C3732,C3708,C3684,C3660)/POBLA!$B$11*100000</f>
        <v>18.134743937415603</v>
      </c>
      <c r="H3972" s="256">
        <f t="shared" si="290"/>
        <v>0.47101449275362317</v>
      </c>
      <c r="I3972" s="297">
        <f t="shared" si="287"/>
        <v>8.5417272168986536</v>
      </c>
      <c r="J3972" s="297">
        <f t="shared" si="288"/>
        <v>0.7142857142857143</v>
      </c>
      <c r="K3972" s="297">
        <f>J3972/POBLA!$B$11*100000</f>
        <v>0.19928290041116051</v>
      </c>
      <c r="L3972" s="549">
        <f t="shared" si="285"/>
        <v>0.91666666666666663</v>
      </c>
      <c r="M3972" s="401">
        <f>SUM(C3972,C3948,C3924,C3900,C3876,C3852,C3828)/POBLA!$B$11*100000</f>
        <v>1.3949803028781234</v>
      </c>
    </row>
    <row r="3973" spans="1:13" s="360" customFormat="1" x14ac:dyDescent="0.25">
      <c r="A3973" s="19" t="s">
        <v>21</v>
      </c>
      <c r="B3973" s="2">
        <v>44058</v>
      </c>
      <c r="C3973" s="1">
        <v>55</v>
      </c>
      <c r="D3973" s="39">
        <f t="shared" si="286"/>
        <v>715</v>
      </c>
      <c r="E3973" s="1"/>
      <c r="F3973" s="39">
        <f t="shared" si="282"/>
        <v>1</v>
      </c>
      <c r="G3973" s="168">
        <f>SUM(C3973,C3949,C3925,C3901,C3877,C3853,C3829,C3805,C3781,C3757,C3733,C3709,C3685,C3661)/POBLA!$B$12*100000</f>
        <v>95.291095237732222</v>
      </c>
      <c r="H3973" s="256">
        <f t="shared" si="290"/>
        <v>2.34375</v>
      </c>
      <c r="I3973" s="297">
        <f t="shared" si="287"/>
        <v>223.3385044634349</v>
      </c>
      <c r="J3973" s="297">
        <f t="shared" si="288"/>
        <v>28.857142857142858</v>
      </c>
      <c r="K3973" s="297">
        <f>J3973/POBLA!$B$12*100000</f>
        <v>7.3328766621035841</v>
      </c>
      <c r="L3973" s="549">
        <f t="shared" si="285"/>
        <v>-0.16763005780346818</v>
      </c>
      <c r="M3973" s="401">
        <f>SUM(C3973,C3949,C3925,C3901,C3877,C3853,C3829)/POBLA!$B$12*100000</f>
        <v>51.330136634725093</v>
      </c>
    </row>
    <row r="3974" spans="1:13" s="360" customFormat="1" x14ac:dyDescent="0.25">
      <c r="A3974" s="19" t="s">
        <v>17</v>
      </c>
      <c r="B3974" s="2">
        <v>44058</v>
      </c>
      <c r="C3974" s="1">
        <v>210</v>
      </c>
      <c r="D3974" s="39">
        <f t="shared" si="286"/>
        <v>3116</v>
      </c>
      <c r="E3974" s="1">
        <f>1+1+3</f>
        <v>5</v>
      </c>
      <c r="F3974" s="39">
        <f t="shared" si="282"/>
        <v>24</v>
      </c>
      <c r="G3974" s="168">
        <f>SUM(C3974,C3950,C3926,C3902,C3878,C3854,C3830,C3806,C3782,C3758,C3734,C3710,C3686,C3662)/POBLA!$B$13*100000</f>
        <v>91.49199784157264</v>
      </c>
      <c r="H3974" s="256">
        <f t="shared" si="290"/>
        <v>2.1474056603773586</v>
      </c>
      <c r="I3974" s="297">
        <f t="shared" si="287"/>
        <v>196.47043404422615</v>
      </c>
      <c r="J3974" s="297">
        <f t="shared" si="288"/>
        <v>154</v>
      </c>
      <c r="K3974" s="297">
        <f>J3974/POBLA!$B$13*100000</f>
        <v>7.7373792792982909</v>
      </c>
      <c r="L3974" s="549">
        <f t="shared" si="285"/>
        <v>-0.45087483176312237</v>
      </c>
      <c r="M3974" s="401">
        <f>SUM(C3974,C3950,C3926,C3902,C3878,C3854,C3830)/POBLA!$B$13*100000</f>
        <v>54.161654955088025</v>
      </c>
    </row>
    <row r="3975" spans="1:13" s="360" customFormat="1" x14ac:dyDescent="0.25">
      <c r="A3975" s="19" t="s">
        <v>23</v>
      </c>
      <c r="B3975" s="2">
        <v>44058</v>
      </c>
      <c r="C3975" s="1">
        <v>3</v>
      </c>
      <c r="D3975" s="39">
        <f t="shared" si="286"/>
        <v>67</v>
      </c>
      <c r="E3975" s="1"/>
      <c r="F3975" s="39">
        <f t="shared" si="282"/>
        <v>2</v>
      </c>
      <c r="G3975" s="168">
        <f>SUM(C3975,C3951,C3927,C3903,C3879,C3855,C3831,C3807,C3783,C3759,C3735,C3711,C3687,C3663)/POBLA!$B$14*100000</f>
        <v>0.71355290677669125</v>
      </c>
      <c r="H3975" s="256">
        <f t="shared" si="290"/>
        <v>1</v>
      </c>
      <c r="I3975" s="297">
        <f t="shared" si="287"/>
        <v>0.71355290677669125</v>
      </c>
      <c r="J3975" s="297">
        <f t="shared" si="288"/>
        <v>1.4285714285714286</v>
      </c>
      <c r="K3975" s="297">
        <f>J3975/POBLA!$B$14*100000</f>
        <v>0.11326236615503037</v>
      </c>
      <c r="L3975" s="549">
        <f t="shared" si="285"/>
        <v>11</v>
      </c>
      <c r="M3975" s="401">
        <f>SUM(C3975,C3951,C3927,C3903,C3879,C3855,C3831)/POBLA!$B$14*100000</f>
        <v>0.79283656308521255</v>
      </c>
    </row>
    <row r="3976" spans="1:13" s="360" customFormat="1" x14ac:dyDescent="0.25">
      <c r="A3976" s="19" t="s">
        <v>19</v>
      </c>
      <c r="B3976" s="2">
        <v>44058</v>
      </c>
      <c r="C3976" s="1">
        <v>72</v>
      </c>
      <c r="D3976" s="39">
        <f t="shared" si="286"/>
        <v>1798</v>
      </c>
      <c r="E3976" s="1"/>
      <c r="F3976" s="39">
        <f t="shared" si="282"/>
        <v>4</v>
      </c>
      <c r="G3976" s="168">
        <f>SUM(C3976,C3952,C3928,C3904,C3880,C3856,C3832,C3808,C3784,C3760,C3736,C3712,C3688,C3664)/POBLA!$B$15*100000</f>
        <v>92.160763307969034</v>
      </c>
      <c r="H3976" s="256">
        <f t="shared" si="290"/>
        <v>1.8053097345132743</v>
      </c>
      <c r="I3976" s="297">
        <f t="shared" si="287"/>
        <v>166.37872314005028</v>
      </c>
      <c r="J3976" s="297">
        <f t="shared" si="288"/>
        <v>53</v>
      </c>
      <c r="K3976" s="297">
        <f>J3976/POBLA!$B$15*100000</f>
        <v>7.981242574056143</v>
      </c>
      <c r="L3976" s="549">
        <f t="shared" si="285"/>
        <v>-0.53941908713692954</v>
      </c>
      <c r="M3976" s="401">
        <f>SUM(C3976,C3952,C3928,C3904,C3880,C3856,C3832)/POBLA!$B$15*100000</f>
        <v>55.868698018392998</v>
      </c>
    </row>
    <row r="3977" spans="1:13" s="360" customFormat="1" x14ac:dyDescent="0.25">
      <c r="A3977" s="19" t="s">
        <v>18</v>
      </c>
      <c r="B3977" s="2">
        <v>44058</v>
      </c>
      <c r="C3977" s="1">
        <v>115</v>
      </c>
      <c r="D3977" s="39">
        <f t="shared" si="286"/>
        <v>3768</v>
      </c>
      <c r="E3977" s="1">
        <v>1</v>
      </c>
      <c r="F3977" s="39">
        <f t="shared" si="282"/>
        <v>25</v>
      </c>
      <c r="G3977" s="168">
        <f>SUM(C3977,C3953,C3929,C3905,C3881,C3857,C3833,C3809,C3785,C3761,C3737,C3713,C3689,C3665)/POBLA!$B$16*100000</f>
        <v>235.55062131325158</v>
      </c>
      <c r="H3977" s="256">
        <f t="shared" si="290"/>
        <v>2.4802816901408451</v>
      </c>
      <c r="I3977" s="297">
        <f t="shared" si="287"/>
        <v>584.23189314455783</v>
      </c>
      <c r="J3977" s="297">
        <f t="shared" si="288"/>
        <v>132.42857142857142</v>
      </c>
      <c r="K3977" s="297">
        <f>J3977/POBLA!$B$16*100000</f>
        <v>17.713590164466957</v>
      </c>
      <c r="L3977" s="549">
        <f t="shared" si="285"/>
        <v>-0.11151079136690645</v>
      </c>
      <c r="M3977" s="401">
        <f>SUM(C3977,C3953,C3929,C3905,C3881,C3857,C3833)/POBLA!$B$16*100000</f>
        <v>123.99513115126872</v>
      </c>
    </row>
    <row r="3978" spans="1:13" s="360" customFormat="1" x14ac:dyDescent="0.25">
      <c r="A3978" s="19" t="s">
        <v>34</v>
      </c>
      <c r="B3978" s="2">
        <v>44058</v>
      </c>
      <c r="C3978" s="1">
        <v>66</v>
      </c>
      <c r="D3978" s="39">
        <f>C3978+D3954</f>
        <v>1003</v>
      </c>
      <c r="E3978" s="1">
        <v>3</v>
      </c>
      <c r="F3978" s="39">
        <f>E3978+F3954</f>
        <v>10</v>
      </c>
      <c r="G3978" s="168">
        <f>SUM(C3978,C3954,C3930,C3906,C3882,C3858,C3834,C3810,C3786,C3762,C3738,C3714,C3690,C3666)/POBLA!$B$17*100000</f>
        <v>50.407295157178787</v>
      </c>
      <c r="H3978" s="256">
        <f t="shared" si="290"/>
        <v>5.3984962406015038</v>
      </c>
      <c r="I3978" s="297">
        <f t="shared" si="287"/>
        <v>272.12359340492009</v>
      </c>
      <c r="J3978" s="297">
        <f t="shared" si="288"/>
        <v>65.714285714285708</v>
      </c>
      <c r="K3978" s="297">
        <f>J3978/POBLA!$B$17*100000</f>
        <v>4.6134810529849268</v>
      </c>
      <c r="L3978" s="549">
        <f t="shared" si="285"/>
        <v>-0.78294573643410859</v>
      </c>
      <c r="M3978" s="401">
        <f>SUM(C3978,C3954,C3930,C3906,C3882,C3858,C3834)/POBLA!$B$17*100000</f>
        <v>32.294367370894491</v>
      </c>
    </row>
    <row r="3979" spans="1:13" s="360" customFormat="1" x14ac:dyDescent="0.25">
      <c r="A3979" s="19" t="s">
        <v>35</v>
      </c>
      <c r="B3979" s="2">
        <v>44058</v>
      </c>
      <c r="C3979" s="1">
        <v>0</v>
      </c>
      <c r="D3979" s="39">
        <f t="shared" ref="D3979:D3985" si="291">C3979+D3955</f>
        <v>22</v>
      </c>
      <c r="E3979" s="1"/>
      <c r="F3979" s="39">
        <f>E3979+F3955</f>
        <v>0</v>
      </c>
      <c r="G3979" s="168">
        <f>SUM(C3979,C3955,C3931,C3907,C3883,C3859,C3835,C3811,C3787,C3763,C3739,C3715,C3691,C3667)/POBLA!$B$18*100000</f>
        <v>0.25601081389677899</v>
      </c>
      <c r="H3979" s="256">
        <f t="shared" si="290"/>
        <v>0.33333333333333331</v>
      </c>
      <c r="I3979" s="297">
        <f t="shared" si="287"/>
        <v>8.5336937965592996E-2</v>
      </c>
      <c r="J3979" s="297">
        <f t="shared" si="288"/>
        <v>-0.14285714285714285</v>
      </c>
      <c r="K3979" s="297">
        <f>J3979/POBLA!$B$18*100000</f>
        <v>-1.8286486706912786E-2</v>
      </c>
      <c r="L3979" s="549">
        <f t="shared" si="285"/>
        <v>1.3333333333333333</v>
      </c>
      <c r="M3979" s="401">
        <f>SUM(C3979,C3955,C3931,C3907,C3883,C3859,C3835)/POBLA!$B$18*100000</f>
        <v>-0.12800540694838949</v>
      </c>
    </row>
    <row r="3980" spans="1:13" s="360" customFormat="1" x14ac:dyDescent="0.25">
      <c r="A3980" s="19" t="s">
        <v>36</v>
      </c>
      <c r="B3980" s="2">
        <v>44058</v>
      </c>
      <c r="C3980" s="1">
        <v>0</v>
      </c>
      <c r="D3980" s="39">
        <f t="shared" si="291"/>
        <v>34</v>
      </c>
      <c r="E3980" s="1"/>
      <c r="F3980" s="39">
        <f>E3980+F3956</f>
        <v>0</v>
      </c>
      <c r="G3980" s="168">
        <f>SUM(C3980,C3956,C3932,C3908,C3884,C3860,C3836,C3812,C3788,C3764,C3740,C3716,C3692,C3668)/POBLA!$B$19*100000</f>
        <v>1.1803402527501927</v>
      </c>
      <c r="H3980" s="256">
        <f t="shared" si="290"/>
        <v>0.42857142857142855</v>
      </c>
      <c r="I3980" s="297">
        <f t="shared" si="287"/>
        <v>0.50586010832151118</v>
      </c>
      <c r="J3980" s="297">
        <f t="shared" si="288"/>
        <v>0.14285714285714285</v>
      </c>
      <c r="K3980" s="297">
        <f>J3980/POBLA!$B$19*100000</f>
        <v>2.8103339351195064E-2</v>
      </c>
      <c r="L3980" s="549">
        <f t="shared" si="285"/>
        <v>0.8</v>
      </c>
      <c r="M3980" s="401">
        <f>SUM(C3980,C3956,C3932,C3908,C3884,C3860,C3836)/POBLA!$B$19*100000</f>
        <v>0.19672337545836546</v>
      </c>
    </row>
    <row r="3981" spans="1:13" s="360" customFormat="1" x14ac:dyDescent="0.25">
      <c r="A3981" s="19" t="s">
        <v>37</v>
      </c>
      <c r="B3981" s="2">
        <v>44058</v>
      </c>
      <c r="C3981" s="1">
        <v>38</v>
      </c>
      <c r="D3981" s="39">
        <f t="shared" si="291"/>
        <v>989</v>
      </c>
      <c r="E3981" s="1"/>
      <c r="F3981" s="39">
        <f t="shared" ref="F3981:F3986" si="292">E3981+F3957</f>
        <v>3</v>
      </c>
      <c r="G3981" s="168">
        <f>SUM(C3981,C3957,C3933,C3909,C3885,C3861,C3837,C3813,C3789,C3765,C3741,C3717,C3693,C3669)/POBLA!$B$20*100000</f>
        <v>132.89654304918264</v>
      </c>
      <c r="H3981" s="256">
        <f t="shared" si="290"/>
        <v>1.2789473684210526</v>
      </c>
      <c r="I3981" s="297">
        <f t="shared" si="287"/>
        <v>169.96768400500727</v>
      </c>
      <c r="J3981" s="297">
        <f t="shared" si="288"/>
        <v>40.285714285714285</v>
      </c>
      <c r="K3981" s="297">
        <f>J3981/POBLA!$B$20*100000</f>
        <v>11.016115561396093</v>
      </c>
      <c r="L3981" s="549">
        <f t="shared" si="285"/>
        <v>-0.38235294117647056</v>
      </c>
      <c r="M3981" s="401">
        <f>SUM(C3981,C3957,C3933,C3909,C3885,C3861,C3837)/POBLA!$B$20*100000</f>
        <v>77.112808929772655</v>
      </c>
    </row>
    <row r="3982" spans="1:13" s="360" customFormat="1" x14ac:dyDescent="0.25">
      <c r="A3982" s="19" t="s">
        <v>22</v>
      </c>
      <c r="B3982" s="2">
        <v>44058</v>
      </c>
      <c r="C3982" s="1">
        <v>179</v>
      </c>
      <c r="D3982" s="39">
        <f t="shared" si="291"/>
        <v>3133</v>
      </c>
      <c r="E3982" s="1">
        <v>1</v>
      </c>
      <c r="F3982" s="39">
        <f t="shared" si="292"/>
        <v>31</v>
      </c>
      <c r="G3982" s="168">
        <f>SUM(C3982,C3958,C3934,C3910,C3886,C3862,C3838,C3814,C3790,C3766,C3742,C3718,C3694,C3670)/POBLA!$B$21*100000</f>
        <v>52.001771283824482</v>
      </c>
      <c r="H3982" s="256">
        <f t="shared" si="290"/>
        <v>2.9376996805111819</v>
      </c>
      <c r="I3982" s="297">
        <f t="shared" si="287"/>
        <v>152.76558688650672</v>
      </c>
      <c r="J3982" s="297">
        <f t="shared" si="288"/>
        <v>154.85714285714286</v>
      </c>
      <c r="K3982" s="297">
        <f>J3982/POBLA!$B$21*100000</f>
        <v>4.378926440741532</v>
      </c>
      <c r="L3982" s="549">
        <f t="shared" si="285"/>
        <v>-0.43576158940397347</v>
      </c>
      <c r="M3982" s="401">
        <f>SUM(C3982,C3958,C3934,C3910,C3886,C3862,C3838)/POBLA!$B$21*100000</f>
        <v>30.652485085190722</v>
      </c>
    </row>
    <row r="3983" spans="1:13" s="360" customFormat="1" x14ac:dyDescent="0.25">
      <c r="A3983" s="19" t="s">
        <v>38</v>
      </c>
      <c r="B3983" s="2">
        <v>44058</v>
      </c>
      <c r="C3983" s="1">
        <v>26</v>
      </c>
      <c r="D3983" s="39">
        <f t="shared" si="291"/>
        <v>248</v>
      </c>
      <c r="E3983" s="1"/>
      <c r="F3983" s="39">
        <f t="shared" si="292"/>
        <v>1</v>
      </c>
      <c r="G3983" s="168">
        <f>SUM(C3983,C3959,C3935,C3911,C3887,C3863,C3839,C3815,C3791,C3767,C3743,C3719,C3695,C3671)/POBLA!$B$22*100000</f>
        <v>20.545571815973005</v>
      </c>
      <c r="H3983" s="256">
        <f t="shared" si="290"/>
        <v>20.100000000000001</v>
      </c>
      <c r="I3983" s="297">
        <f t="shared" si="287"/>
        <v>412.96599350105743</v>
      </c>
      <c r="J3983" s="297">
        <f t="shared" si="288"/>
        <v>19</v>
      </c>
      <c r="K3983" s="297">
        <f>J3983/POBLA!$B$22*100000</f>
        <v>1.9421187288730704</v>
      </c>
      <c r="L3983" s="549">
        <f t="shared" si="285"/>
        <v>-0.95588235294117641</v>
      </c>
      <c r="M3983" s="401">
        <f>SUM(C3983,C3959,C3935,C3911,C3887,C3863,C3839)/POBLA!$B$22*100000</f>
        <v>13.594831102111492</v>
      </c>
    </row>
    <row r="3984" spans="1:13" s="360" customFormat="1" x14ac:dyDescent="0.25">
      <c r="A3984" s="19" t="s">
        <v>39</v>
      </c>
      <c r="B3984" s="2">
        <v>44058</v>
      </c>
      <c r="C3984" s="1">
        <v>88</v>
      </c>
      <c r="D3984" s="39">
        <f t="shared" si="291"/>
        <v>1361</v>
      </c>
      <c r="E3984" s="1">
        <v>2</v>
      </c>
      <c r="F3984" s="39">
        <f t="shared" si="292"/>
        <v>16</v>
      </c>
      <c r="G3984" s="168">
        <f>SUM(C3984,C3960,C3936,C3912,C3888,C3864,C3840,C3816,C3792,C3768,C3744,C3720,C3696,C3672)/POBLA!$B$23*100000</f>
        <v>484.08075552790814</v>
      </c>
      <c r="H3984" s="256">
        <f t="shared" si="290"/>
        <v>3.1703703703703705</v>
      </c>
      <c r="I3984" s="297">
        <f t="shared" si="287"/>
        <v>1534.7152841921829</v>
      </c>
      <c r="J3984" s="297">
        <f t="shared" si="288"/>
        <v>58.714285714285715</v>
      </c>
      <c r="K3984" s="297">
        <f>J3984/POBLA!$B$23*100000</f>
        <v>33.203803491650575</v>
      </c>
      <c r="L3984" s="549">
        <f t="shared" si="285"/>
        <v>7.6404494382022459E-2</v>
      </c>
      <c r="M3984" s="401">
        <f>SUM(C3984,C3960,C3936,C3912,C3888,C3864,C3840)/POBLA!$B$23*100000</f>
        <v>232.42662444155405</v>
      </c>
    </row>
    <row r="3985" spans="1:13" s="360" customFormat="1" ht="15.75" thickBot="1" x14ac:dyDescent="0.3">
      <c r="A3985" s="19" t="s">
        <v>40</v>
      </c>
      <c r="B3985" s="2">
        <v>44058</v>
      </c>
      <c r="C3985" s="1">
        <v>28</v>
      </c>
      <c r="D3985" s="39">
        <f t="shared" si="291"/>
        <v>568</v>
      </c>
      <c r="E3985" s="1"/>
      <c r="F3985" s="39">
        <f t="shared" si="292"/>
        <v>5</v>
      </c>
      <c r="G3985" s="177">
        <f>SUM(C3985,C3961,C3937,C3913,C3889,C3865,C3841,C3817,C3793,C3769,C3745,C3721,C3697,C3673)/POBLA!$B$24*100000</f>
        <v>19.886041768948981</v>
      </c>
      <c r="H3985" s="402">
        <f t="shared" si="290"/>
        <v>2.6328125</v>
      </c>
      <c r="I3985" s="403">
        <f t="shared" si="287"/>
        <v>52.356219344810988</v>
      </c>
      <c r="J3985" s="403">
        <f t="shared" si="288"/>
        <v>27.857142857142858</v>
      </c>
      <c r="K3985" s="403">
        <f>J3985/POBLA!$B$24*100000</f>
        <v>1.6438228677172746</v>
      </c>
      <c r="L3985" s="550">
        <f t="shared" si="285"/>
        <v>-0.37323943661971826</v>
      </c>
      <c r="M3985" s="405">
        <f>SUM(C3985,C3961,C3937,C3913,C3889,C3865,C3841)/POBLA!$B$24*100000</f>
        <v>11.506760074020923</v>
      </c>
    </row>
    <row r="3986" spans="1:13" s="360" customFormat="1" x14ac:dyDescent="0.25">
      <c r="A3986" s="361" t="s">
        <v>16</v>
      </c>
      <c r="B3986" s="2">
        <v>44059</v>
      </c>
      <c r="C3986" s="1">
        <v>3117</v>
      </c>
      <c r="D3986" s="39">
        <f>C3986+D3962</f>
        <v>183099</v>
      </c>
      <c r="E3986" s="1">
        <f>8+5+1+8+7</f>
        <v>29</v>
      </c>
      <c r="F3986" s="39">
        <f t="shared" si="292"/>
        <v>3329</v>
      </c>
      <c r="G3986" s="175">
        <f>SUM(C3986,C3962,C3938,C3914,C3890,C3866,C3842,C3818,C3794,C3770,C3746,C3722,C3698,C3674)/POBLA!$B$1*100000</f>
        <v>348.59191884952071</v>
      </c>
      <c r="H3986" s="300">
        <f>SUM(C3986,C3962,C3938,C3914,C3890,C3866,C3842,C3818,C3794,C3770,C3746,C3722,C3698,C3674)/SUM(C3650,C3626,C3602,C3578,C3554,C3530,C3506,C3482,C3458,C3434,C3410,C3386,C3362,C3338)</f>
        <v>1.1949775258940785</v>
      </c>
      <c r="I3986" s="301">
        <f>G3986*H3986</f>
        <v>416.55950873346961</v>
      </c>
      <c r="J3986" s="301">
        <f>AVERAGE(C3986,C3962,C3938,C3914,C3890,C3866,C3842)</f>
        <v>4547.4285714285716</v>
      </c>
      <c r="K3986" s="301">
        <f>J3986/POBLA!$B$1*100000</f>
        <v>25.924360173768466</v>
      </c>
      <c r="L3986" s="548">
        <f t="shared" ref="L3986:L4009" si="293">1-SUM(C3986,C3962,C3938,C3914,C3890,C3866,C3842)/SUM(C3818,C3794,C3770,C3746,C3722,C3698,C3674)</f>
        <v>-8.5860480982432152E-2</v>
      </c>
      <c r="M3986" s="400">
        <f>SUM(C3986,C3962,C3938,C3914,C3890,C3866,C3842)/POBLA!$B$1*100000</f>
        <v>181.47052121637927</v>
      </c>
    </row>
    <row r="3987" spans="1:13" s="360" customFormat="1" x14ac:dyDescent="0.25">
      <c r="A3987" s="19" t="s">
        <v>43</v>
      </c>
      <c r="B3987" s="2">
        <v>44059</v>
      </c>
      <c r="C3987" s="1">
        <v>972</v>
      </c>
      <c r="D3987" s="39">
        <f t="shared" ref="D3987:D4001" si="294">C3987+D3963</f>
        <v>77480</v>
      </c>
      <c r="E3987" s="1">
        <f>2+5+1</f>
        <v>8</v>
      </c>
      <c r="F3987" s="39">
        <f t="shared" ref="F3987:F4025" si="295">E3987+F3963</f>
        <v>1677</v>
      </c>
      <c r="G3987" s="168">
        <f>SUM(C3987,C3963,C3939,C3915,C3891,C3867,C3843,C3819,C3795,C3771,C3747,C3723,C3699,C3675)/POBLA!$B$2*100000</f>
        <v>207.85877178322863</v>
      </c>
      <c r="H3987" s="256">
        <f>SUM(C3987,C3963,C3939,C3915,C3891,C3870,C3846,C3822,C3798,C3774,C3750,C3726,C3702,C3678)/SUM(C3654,C3630,C3606,C3582,C3558,C3534,C3510,C3486,C3462,C3438,C3414,C3390,C3366,C3342)</f>
        <v>0.91482059282371297</v>
      </c>
      <c r="I3987" s="297">
        <f t="shared" ref="I3987:I4009" si="296">G3987*H3987</f>
        <v>190.15348482634209</v>
      </c>
      <c r="J3987" s="297">
        <f t="shared" ref="J3987:J4009" si="297">AVERAGE(C3987,C3963,C3939,C3915,C3891,C3867,C3843)</f>
        <v>913.42857142857144</v>
      </c>
      <c r="K3987" s="297">
        <f>J3987/POBLA!$B$2*100000</f>
        <v>29.698755039707802</v>
      </c>
      <c r="L3987" s="549">
        <f t="shared" si="293"/>
        <v>6395</v>
      </c>
      <c r="M3987" s="401">
        <f>SUM(C3987,C3963,C3939,C3915,C3891,C3867,C3843)/POBLA!$B$2*100000</f>
        <v>207.89128527795464</v>
      </c>
    </row>
    <row r="3988" spans="1:13" s="360" customFormat="1" x14ac:dyDescent="0.25">
      <c r="A3988" s="19" t="s">
        <v>28</v>
      </c>
      <c r="B3988" s="2">
        <v>44059</v>
      </c>
      <c r="C3988" s="1">
        <v>0</v>
      </c>
      <c r="D3988" s="39">
        <f t="shared" si="294"/>
        <v>63</v>
      </c>
      <c r="E3988" s="1"/>
      <c r="F3988" s="39">
        <f t="shared" si="295"/>
        <v>0</v>
      </c>
      <c r="G3988" s="168">
        <f>SUM(C3988,C3964,C3940,C3916,C3892,C3868,C3844,C3820,C3796,C3772,C3748,C3724,C3700,C3676)/POBLA!$B$3*100000</f>
        <v>99.894569105377926</v>
      </c>
      <c r="H3988" s="256">
        <f t="shared" ref="H3988:H3994" si="298">SUM(C3988,C3964,C3940,C3916,C3892,C3868,C3844,C3820,C3796,C3772,C3748,C3724,C3700,C3676)/SUM(C3652,C3628,C3604,C3580,C3556,C3532,C3508,C3484,C3460,C3436,C3412,C3388,C3364,C3340)</f>
        <v>0.58865248226950351</v>
      </c>
      <c r="I3988" s="297">
        <f t="shared" si="296"/>
        <v>58.803186069123171</v>
      </c>
      <c r="J3988" s="297">
        <f t="shared" si="297"/>
        <v>2.4285714285714284</v>
      </c>
      <c r="K3988" s="297">
        <f>J3988/POBLA!$B$3*100000</f>
        <v>0.58458095517777109</v>
      </c>
      <c r="L3988" s="549">
        <f t="shared" si="293"/>
        <v>0.957286432160804</v>
      </c>
      <c r="M3988" s="401">
        <f>SUM(C3988,C3964,C3940,C3916,C3892,C3868,C3844)/POBLA!$B$3*100000</f>
        <v>4.0920666862443973</v>
      </c>
    </row>
    <row r="3989" spans="1:13" s="360" customFormat="1" x14ac:dyDescent="0.25">
      <c r="A3989" s="19" t="s">
        <v>15</v>
      </c>
      <c r="B3989" s="2">
        <v>44059</v>
      </c>
      <c r="C3989" s="1">
        <v>68</v>
      </c>
      <c r="D3989" s="39">
        <f t="shared" si="294"/>
        <v>4436</v>
      </c>
      <c r="E3989" s="1">
        <v>3</v>
      </c>
      <c r="F3989" s="39">
        <f>E3989+F3965</f>
        <v>180</v>
      </c>
      <c r="G3989" s="168">
        <f>SUM(C3989,C3965,C3941,C3917,C3893,C3869,C3845,C3821,C3797,C3773,C3749,C3725,C3701,C3677)/POBLA!$B$4*100000</f>
        <v>34.369938424677947</v>
      </c>
      <c r="H3989" s="256">
        <f t="shared" si="298"/>
        <v>8.2799999999999994</v>
      </c>
      <c r="I3989" s="297">
        <f t="shared" si="296"/>
        <v>284.58309015633336</v>
      </c>
      <c r="J3989" s="297">
        <f t="shared" si="297"/>
        <v>50.428571428571431</v>
      </c>
      <c r="K3989" s="297">
        <f>J3989/POBLA!$B$4*100000</f>
        <v>4.1865383933441391</v>
      </c>
      <c r="L3989" s="549">
        <f t="shared" si="293"/>
        <v>-4.7868852459016393</v>
      </c>
      <c r="M3989" s="401">
        <f>SUM(C3989,C3965,C3941,C3917,C3893,C3869,C3845)/POBLA!$B$4*100000</f>
        <v>29.305768753408977</v>
      </c>
    </row>
    <row r="3990" spans="1:13" s="360" customFormat="1" x14ac:dyDescent="0.25">
      <c r="A3990" s="19" t="s">
        <v>29</v>
      </c>
      <c r="B3990" s="2">
        <v>44059</v>
      </c>
      <c r="C3990" s="1">
        <v>9</v>
      </c>
      <c r="D3990" s="39">
        <f t="shared" si="294"/>
        <v>404</v>
      </c>
      <c r="E3990" s="1"/>
      <c r="F3990" s="39">
        <f t="shared" si="295"/>
        <v>5</v>
      </c>
      <c r="G3990" s="168">
        <f>SUM(C3990,C3966,C3942,C3918,C3894,C3870,C3846,C3822,C3798,C3774,C3750,C3726,C3702,C3678)/POBLA!$B$5*100000</f>
        <v>1536.8484993392506</v>
      </c>
      <c r="H3990" s="256">
        <f t="shared" si="298"/>
        <v>0.59363494539781592</v>
      </c>
      <c r="I3990" s="297">
        <f t="shared" si="296"/>
        <v>912.32697498997129</v>
      </c>
      <c r="J3990" s="297">
        <f t="shared" si="297"/>
        <v>157.14285714285714</v>
      </c>
      <c r="K3990" s="297">
        <f>J3990/POBLA!$B$5*100000</f>
        <v>25.386814273297823</v>
      </c>
      <c r="L3990" s="549">
        <f t="shared" si="293"/>
        <v>0.86924997028408413</v>
      </c>
      <c r="M3990" s="401">
        <f>SUM(C3990,C3966,C3942,C3918,C3894,C3870,C3846)/POBLA!$B$5*100000</f>
        <v>177.70769991308478</v>
      </c>
    </row>
    <row r="3991" spans="1:13" s="360" customFormat="1" x14ac:dyDescent="0.25">
      <c r="A3991" s="19" t="s">
        <v>20</v>
      </c>
      <c r="B3991" s="2">
        <v>44059</v>
      </c>
      <c r="C3991" s="1">
        <v>141</v>
      </c>
      <c r="D3991" s="39">
        <f t="shared" si="294"/>
        <v>4595</v>
      </c>
      <c r="E3991" s="1">
        <v>4</v>
      </c>
      <c r="F3991" s="39">
        <f t="shared" si="295"/>
        <v>78</v>
      </c>
      <c r="G3991" s="168">
        <f>SUM(C3991,C3967,C3943,C3919,C3895,C3871,C3847,C3823,C3799,C3775,C3751,C3727,C3703,C3679)/POBLA!$B$6*100000</f>
        <v>192.5408703239915</v>
      </c>
      <c r="H3991" s="256">
        <f t="shared" si="298"/>
        <v>1.8700173310225303</v>
      </c>
      <c r="I3991" s="297">
        <f t="shared" si="296"/>
        <v>360.05476443602572</v>
      </c>
      <c r="J3991" s="297">
        <f t="shared" si="297"/>
        <v>154.28571428571428</v>
      </c>
      <c r="K3991" s="297">
        <f>J3991/POBLA!$B$6*100000</f>
        <v>13.765665295241018</v>
      </c>
      <c r="L3991" s="549">
        <f t="shared" si="293"/>
        <v>-1.8552875695732052E-3</v>
      </c>
      <c r="M3991" s="401">
        <f>SUM(C3991,C3967,C3943,C3919,C3895,C3871,C3847)/POBLA!$B$6*100000</f>
        <v>96.35965706668712</v>
      </c>
    </row>
    <row r="3992" spans="1:13" s="360" customFormat="1" x14ac:dyDescent="0.25">
      <c r="A3992" s="19" t="s">
        <v>30</v>
      </c>
      <c r="B3992" s="2">
        <v>44059</v>
      </c>
      <c r="C3992" s="1">
        <v>3</v>
      </c>
      <c r="D3992" s="39">
        <f t="shared" si="294"/>
        <v>229</v>
      </c>
      <c r="E3992" s="1"/>
      <c r="F3992" s="39">
        <f t="shared" si="295"/>
        <v>2</v>
      </c>
      <c r="G3992" s="168">
        <f>SUM(C3992,C3968,C3944,C3920,C3896,C3872,C3848,C3824,C3800,C3776,C3752,C3728,C3704,C3680)/POBLA!$B$7*100000</f>
        <v>0.82436942387214285</v>
      </c>
      <c r="H3992" s="256">
        <f t="shared" si="298"/>
        <v>0.45588235294117646</v>
      </c>
      <c r="I3992" s="297">
        <f t="shared" si="296"/>
        <v>0.37581547264759452</v>
      </c>
      <c r="J3992" s="297">
        <f t="shared" si="297"/>
        <v>2.1428571428571428</v>
      </c>
      <c r="K3992" s="297">
        <f>J3992/POBLA!$B$7*100000</f>
        <v>5.6984061557982232E-2</v>
      </c>
      <c r="L3992" s="549">
        <f t="shared" si="293"/>
        <v>6.25E-2</v>
      </c>
      <c r="M3992" s="401">
        <f>SUM(C3992,C3968,C3944,C3920,C3896,C3872,C3848)/POBLA!$B$7*100000</f>
        <v>0.39888843090587561</v>
      </c>
    </row>
    <row r="3993" spans="1:13" x14ac:dyDescent="0.25">
      <c r="A3993" s="19" t="s">
        <v>31</v>
      </c>
      <c r="B3993" s="2">
        <v>44059</v>
      </c>
      <c r="C3993" s="1">
        <v>102</v>
      </c>
      <c r="D3993" s="39">
        <f t="shared" si="294"/>
        <v>1630</v>
      </c>
      <c r="E3993" s="1">
        <v>2</v>
      </c>
      <c r="F3993" s="39">
        <f t="shared" si="295"/>
        <v>24</v>
      </c>
      <c r="G3993" s="168">
        <f>SUM(C3993,C3969,C3945,C3921,C3897,C3873,C3849,C3825,C3801,C3777,C3753,C3729,C3705,C3681)/POBLA!$B$8*100000</f>
        <v>56.567248284764148</v>
      </c>
      <c r="H3993" s="256">
        <f t="shared" si="298"/>
        <v>3.6296296296296298</v>
      </c>
      <c r="I3993" s="297">
        <f t="shared" si="296"/>
        <v>205.3181604409958</v>
      </c>
      <c r="J3993" s="297">
        <f t="shared" si="297"/>
        <v>66.714285714285708</v>
      </c>
      <c r="K3993" s="297">
        <f>J3993/POBLA!$B$8*100000</f>
        <v>4.8135759746692521</v>
      </c>
      <c r="L3993" s="549">
        <f t="shared" si="293"/>
        <v>-0.47318611987381698</v>
      </c>
      <c r="M3993" s="401">
        <f>SUM(C3993,C3969,C3945,C3921,C3897,C3873,C3849)/POBLA!$B$8*100000</f>
        <v>33.695031822684761</v>
      </c>
    </row>
    <row r="3994" spans="1:13" s="360" customFormat="1" x14ac:dyDescent="0.25">
      <c r="A3994" s="19" t="s">
        <v>41</v>
      </c>
      <c r="B3994" s="2">
        <v>44059</v>
      </c>
      <c r="C3994" s="1">
        <v>1</v>
      </c>
      <c r="D3994" s="39">
        <f t="shared" si="294"/>
        <v>83</v>
      </c>
      <c r="E3994" s="1"/>
      <c r="F3994" s="39">
        <f>E3994+F3970</f>
        <v>0</v>
      </c>
      <c r="G3994" s="168">
        <f>SUM(C3994,C3970,C3946,C3922,C3898,C3874,C3850,C3826,C3802,C3778,C3754,C3730,C3706,C3682)/POBLA!$B$9*100000</f>
        <v>0.16523654437510019</v>
      </c>
      <c r="H3994" s="256">
        <f t="shared" si="298"/>
        <v>0.25</v>
      </c>
      <c r="I3994" s="297">
        <f t="shared" si="296"/>
        <v>4.1309136093775047E-2</v>
      </c>
      <c r="J3994" s="297">
        <f t="shared" si="297"/>
        <v>-0.42857142857142855</v>
      </c>
      <c r="K3994" s="297">
        <f>J3994/POBLA!$B$9*100000</f>
        <v>-7.0815661875042929E-2</v>
      </c>
      <c r="L3994" s="549">
        <f t="shared" si="293"/>
        <v>1.75</v>
      </c>
      <c r="M3994" s="401">
        <f>SUM(C3994,C3970,C3946,C3922,C3898,C3874,C3850)/POBLA!$B$9*100000</f>
        <v>-0.49570963312530053</v>
      </c>
    </row>
    <row r="3995" spans="1:13" s="360" customFormat="1" x14ac:dyDescent="0.25">
      <c r="A3995" s="19" t="s">
        <v>32</v>
      </c>
      <c r="B3995" s="2">
        <v>44059</v>
      </c>
      <c r="C3995" s="1">
        <v>272</v>
      </c>
      <c r="D3995" s="39">
        <f t="shared" si="294"/>
        <v>4755</v>
      </c>
      <c r="E3995" s="1">
        <v>16</v>
      </c>
      <c r="F3995" s="39">
        <f t="shared" si="295"/>
        <v>57</v>
      </c>
      <c r="G3995" s="168">
        <f>SUM(C3995,C3971,C3947,C3923,C3899,C3875,C3851,C3827,C3803,C3779,C3755,C3731,C3707,C3683)/POBLA!$B$10*100000</f>
        <v>309.12683021114805</v>
      </c>
      <c r="H3995" s="256">
        <f t="shared" ref="H3995:H4017" si="299">SUM(C3995,C3971,C3947,C3923,C3899,C3875,C3851,C3827,C3803,C3779,C3755,C3731,C3707,C3683)/SUM(C3659,C3635,C3611,C3587,C3563,C3539,C3515,C3491,C3467,C3443,C3419,C3395,C3371,C3347)</f>
        <v>1.4034157832744405</v>
      </c>
      <c r="I3995" s="297">
        <f t="shared" si="296"/>
        <v>433.83347255192331</v>
      </c>
      <c r="J3995" s="297">
        <f t="shared" si="297"/>
        <v>190.71428571428572</v>
      </c>
      <c r="K3995" s="297">
        <f>J3995/POBLA!$B$10*100000</f>
        <v>24.739782886630454</v>
      </c>
      <c r="L3995" s="549">
        <f t="shared" si="293"/>
        <v>-0.27385496183206115</v>
      </c>
      <c r="M3995" s="401">
        <f>SUM(C3995,C3971,C3947,C3923,C3899,C3875,C3851)/POBLA!$B$10*100000</f>
        <v>173.17848020641318</v>
      </c>
    </row>
    <row r="3996" spans="1:13" s="360" customFormat="1" x14ac:dyDescent="0.25">
      <c r="A3996" s="19" t="s">
        <v>33</v>
      </c>
      <c r="B3996" s="2">
        <v>44059</v>
      </c>
      <c r="C3996" s="1">
        <v>1</v>
      </c>
      <c r="D3996" s="39">
        <f t="shared" si="294"/>
        <v>212</v>
      </c>
      <c r="E3996" s="1"/>
      <c r="F3996" s="39">
        <f t="shared" si="295"/>
        <v>1</v>
      </c>
      <c r="G3996" s="168">
        <f>SUM(C3996,C3972,C3948,C3924,C3900,C3876,C3852,C3828,C3804,C3780,C3756,C3732,C3708,C3684)/POBLA!$B$11*100000</f>
        <v>16.460767573961856</v>
      </c>
      <c r="H3996" s="256">
        <f t="shared" si="299"/>
        <v>0.40689655172413791</v>
      </c>
      <c r="I3996" s="297">
        <f t="shared" si="296"/>
        <v>6.6978295645775825</v>
      </c>
      <c r="J3996" s="297">
        <f t="shared" si="297"/>
        <v>0.8571428571428571</v>
      </c>
      <c r="K3996" s="297">
        <f>J3996/POBLA!$B$11*100000</f>
        <v>0.23913948049339256</v>
      </c>
      <c r="L3996" s="549">
        <f t="shared" si="293"/>
        <v>0.8867924528301887</v>
      </c>
      <c r="M3996" s="401">
        <f>SUM(C3996,C3972,C3948,C3924,C3900,C3876,C3852)/POBLA!$B$11*100000</f>
        <v>1.6739763634537481</v>
      </c>
    </row>
    <row r="3997" spans="1:13" s="360" customFormat="1" x14ac:dyDescent="0.25">
      <c r="A3997" s="19" t="s">
        <v>21</v>
      </c>
      <c r="B3997" s="2">
        <v>44059</v>
      </c>
      <c r="C3997" s="1">
        <v>34</v>
      </c>
      <c r="D3997" s="39">
        <f t="shared" si="294"/>
        <v>749</v>
      </c>
      <c r="E3997" s="1"/>
      <c r="F3997" s="39">
        <f t="shared" si="295"/>
        <v>1</v>
      </c>
      <c r="G3997" s="168">
        <f>SUM(C3997,C3973,C3949,C3925,C3901,C3877,C3853,C3829,C3805,C3781,C3757,C3733,C3709,C3685)/POBLA!$B$12*100000</f>
        <v>102.15205409484895</v>
      </c>
      <c r="H3997" s="256">
        <f t="shared" si="299"/>
        <v>2.4662576687116564</v>
      </c>
      <c r="I3997" s="297">
        <f t="shared" si="296"/>
        <v>251.93328678606917</v>
      </c>
      <c r="J3997" s="297">
        <f t="shared" si="297"/>
        <v>33.285714285714285</v>
      </c>
      <c r="K3997" s="297">
        <f>J3997/POBLA!$B$12*100000</f>
        <v>8.4582191201491845</v>
      </c>
      <c r="L3997" s="549">
        <f t="shared" si="293"/>
        <v>-0.37869822485207094</v>
      </c>
      <c r="M3997" s="401">
        <f>SUM(C3997,C3973,C3949,C3925,C3901,C3877,C3853)/POBLA!$B$12*100000</f>
        <v>59.207533841044288</v>
      </c>
    </row>
    <row r="3998" spans="1:13" s="360" customFormat="1" x14ac:dyDescent="0.25">
      <c r="A3998" s="19" t="s">
        <v>17</v>
      </c>
      <c r="B3998" s="2">
        <v>44059</v>
      </c>
      <c r="C3998" s="1">
        <v>210</v>
      </c>
      <c r="D3998" s="39">
        <f t="shared" si="294"/>
        <v>3326</v>
      </c>
      <c r="E3998" s="1">
        <v>2</v>
      </c>
      <c r="F3998" s="39">
        <f t="shared" si="295"/>
        <v>26</v>
      </c>
      <c r="G3998" s="168">
        <f>SUM(C3998,C3974,C3950,C3926,C3902,C3878,C3854,C3830,C3806,C3782,C3758,C3734,C3710,C3686)/POBLA!$B$13*100000</f>
        <v>97.269910939749934</v>
      </c>
      <c r="H3998" s="256">
        <f t="shared" si="299"/>
        <v>2.1463414634146343</v>
      </c>
      <c r="I3998" s="297">
        <f t="shared" si="296"/>
        <v>208.77444299263402</v>
      </c>
      <c r="J3998" s="297">
        <f t="shared" si="297"/>
        <v>168.57142857142858</v>
      </c>
      <c r="K3998" s="297">
        <f>J3998/POBLA!$B$13*100000</f>
        <v>8.4694875227940472</v>
      </c>
      <c r="L3998" s="549">
        <f t="shared" si="293"/>
        <v>-0.56084656084656093</v>
      </c>
      <c r="M3998" s="401">
        <f>SUM(C3998,C3974,C3950,C3926,C3902,C3878,C3854)/POBLA!$B$13*100000</f>
        <v>59.286412659558323</v>
      </c>
    </row>
    <row r="3999" spans="1:13" s="360" customFormat="1" x14ac:dyDescent="0.25">
      <c r="A3999" s="19" t="s">
        <v>23</v>
      </c>
      <c r="B3999" s="2">
        <v>44059</v>
      </c>
      <c r="C3999" s="1">
        <v>0</v>
      </c>
      <c r="D3999" s="39">
        <f t="shared" si="294"/>
        <v>67</v>
      </c>
      <c r="E3999" s="1"/>
      <c r="F3999" s="39">
        <f t="shared" si="295"/>
        <v>2</v>
      </c>
      <c r="G3999" s="168">
        <f>SUM(C3999,C3975,C3951,C3927,C3903,C3879,C3855,C3831,C3807,C3783,C3759,C3735,C3711,C3687)/POBLA!$B$14*100000</f>
        <v>0.23785096892556376</v>
      </c>
      <c r="H3999" s="256">
        <f t="shared" si="299"/>
        <v>0.2</v>
      </c>
      <c r="I3999" s="297">
        <f t="shared" si="296"/>
        <v>4.7570193785112756E-2</v>
      </c>
      <c r="J3999" s="297">
        <f t="shared" si="297"/>
        <v>1</v>
      </c>
      <c r="K3999" s="297">
        <f>J3999/POBLA!$B$14*100000</f>
        <v>7.9283656308521244E-2</v>
      </c>
      <c r="L3999" s="549">
        <f t="shared" si="293"/>
        <v>2.75</v>
      </c>
      <c r="M3999" s="401">
        <f>SUM(C3999,C3975,C3951,C3927,C3903,C3879,C3855)/POBLA!$B$14*100000</f>
        <v>0.55498559415964877</v>
      </c>
    </row>
    <row r="4000" spans="1:13" s="360" customFormat="1" x14ac:dyDescent="0.25">
      <c r="A4000" s="19" t="s">
        <v>19</v>
      </c>
      <c r="B4000" s="2">
        <v>44059</v>
      </c>
      <c r="C4000" s="1">
        <v>27</v>
      </c>
      <c r="D4000" s="39">
        <f t="shared" si="294"/>
        <v>1825</v>
      </c>
      <c r="E4000" s="1"/>
      <c r="F4000" s="39">
        <f t="shared" si="295"/>
        <v>4</v>
      </c>
      <c r="G4000" s="168">
        <f>SUM(C4000,C3976,C3952,C3928,C3904,C3880,C3856,C3832,C3808,C3784,C3760,C3736,C3712,C3688)/POBLA!$B$15*100000</f>
        <v>95.021963476026912</v>
      </c>
      <c r="H4000" s="256">
        <f t="shared" si="299"/>
        <v>2.0095541401273884</v>
      </c>
      <c r="I4000" s="297">
        <f t="shared" si="296"/>
        <v>190.95178010628337</v>
      </c>
      <c r="J4000" s="297">
        <f t="shared" si="297"/>
        <v>52.714285714285715</v>
      </c>
      <c r="K4000" s="297">
        <f>J4000/POBLA!$B$15*100000</f>
        <v>7.9382170076191825</v>
      </c>
      <c r="L4000" s="549">
        <f t="shared" si="293"/>
        <v>-0.40839694656488557</v>
      </c>
      <c r="M4000" s="401">
        <f>SUM(C4000,C3976,C3952,C3928,C3904,C3880,C3856)/POBLA!$B$15*100000</f>
        <v>55.567519053334273</v>
      </c>
    </row>
    <row r="4001" spans="1:13" s="360" customFormat="1" x14ac:dyDescent="0.25">
      <c r="A4001" s="19" t="s">
        <v>18</v>
      </c>
      <c r="B4001" s="2">
        <v>44059</v>
      </c>
      <c r="C4001" s="1">
        <v>86</v>
      </c>
      <c r="D4001" s="39">
        <f t="shared" si="294"/>
        <v>3854</v>
      </c>
      <c r="E4001" s="1"/>
      <c r="F4001" s="39">
        <f t="shared" si="295"/>
        <v>25</v>
      </c>
      <c r="G4001" s="168">
        <f>SUM(C4001,C3977,C3953,C3929,C3905,C3881,C3857,C3833,C3809,C3785,C3761,C3737,C3713,C3689)/POBLA!$B$16*100000</f>
        <v>239.56340872915024</v>
      </c>
      <c r="H4001" s="256">
        <f t="shared" si="299"/>
        <v>2.4104979811574698</v>
      </c>
      <c r="I4001" s="297">
        <f t="shared" si="296"/>
        <v>577.46711310081844</v>
      </c>
      <c r="J4001" s="297">
        <f t="shared" si="297"/>
        <v>135.85714285714286</v>
      </c>
      <c r="K4001" s="297">
        <f>J4001/POBLA!$B$16*100000</f>
        <v>18.172194440569662</v>
      </c>
      <c r="L4001" s="549">
        <f t="shared" si="293"/>
        <v>-0.13214285714285712</v>
      </c>
      <c r="M4001" s="401">
        <f>SUM(C4001,C3977,C3953,C3929,C3905,C3881,C3857)/POBLA!$B$16*100000</f>
        <v>127.20536108398765</v>
      </c>
    </row>
    <row r="4002" spans="1:13" s="360" customFormat="1" x14ac:dyDescent="0.25">
      <c r="A4002" s="19" t="s">
        <v>34</v>
      </c>
      <c r="B4002" s="2">
        <v>44059</v>
      </c>
      <c r="C4002" s="1">
        <v>92</v>
      </c>
      <c r="D4002" s="39">
        <f>C4002+D3978</f>
        <v>1095</v>
      </c>
      <c r="E4002" s="1">
        <v>2</v>
      </c>
      <c r="F4002" s="39">
        <f>E4002+F3978</f>
        <v>12</v>
      </c>
      <c r="G4002" s="168">
        <f>SUM(C4002,C3978,C3954,C3930,C3906,C3882,C3858,C3834,C3810,C3786,C3762,C3738,C3714,C3690)/POBLA!$B$17*100000</f>
        <v>55.672681141563757</v>
      </c>
      <c r="H4002" s="256">
        <f t="shared" si="299"/>
        <v>6.2440944881889759</v>
      </c>
      <c r="I4002" s="297">
        <f t="shared" si="296"/>
        <v>347.62548145874058</v>
      </c>
      <c r="J4002" s="297">
        <f t="shared" si="297"/>
        <v>72.285714285714292</v>
      </c>
      <c r="K4002" s="297">
        <f>J4002/POBLA!$B$17*100000</f>
        <v>5.0748291582834204</v>
      </c>
      <c r="L4002" s="549">
        <f t="shared" si="293"/>
        <v>-0.76306620209059228</v>
      </c>
      <c r="M4002" s="401">
        <f>SUM(C4002,C3978,C3954,C3930,C3906,C3882,C3858)/POBLA!$B$17*100000</f>
        <v>35.523804107983942</v>
      </c>
    </row>
    <row r="4003" spans="1:13" s="360" customFormat="1" x14ac:dyDescent="0.25">
      <c r="A4003" s="19" t="s">
        <v>35</v>
      </c>
      <c r="B4003" s="2">
        <v>44059</v>
      </c>
      <c r="C4003" s="1">
        <v>0</v>
      </c>
      <c r="D4003" s="39">
        <f t="shared" ref="D4003:D4009" si="300">C4003+D3979</f>
        <v>22</v>
      </c>
      <c r="E4003" s="1"/>
      <c r="F4003" s="39">
        <f>E4003+F3979</f>
        <v>0</v>
      </c>
      <c r="G4003" s="168">
        <f>SUM(C4003,C3979,C3955,C3931,C3907,C3883,C3859,C3835,C3811,C3787,C3763,C3739,C3715,C3691)/POBLA!$B$18*100000</f>
        <v>0.25601081389677899</v>
      </c>
      <c r="H4003" s="256">
        <f t="shared" si="299"/>
        <v>0.33333333333333331</v>
      </c>
      <c r="I4003" s="297">
        <f t="shared" si="296"/>
        <v>8.5336937965592996E-2</v>
      </c>
      <c r="J4003" s="297">
        <f t="shared" si="297"/>
        <v>0</v>
      </c>
      <c r="K4003" s="297">
        <f>J4003/POBLA!$B$18*100000</f>
        <v>0</v>
      </c>
      <c r="L4003" s="549">
        <f t="shared" si="293"/>
        <v>1</v>
      </c>
      <c r="M4003" s="401">
        <f>SUM(C4003,C3979,C3955,C3931,C3907,C3883,C3859)/POBLA!$B$18*100000</f>
        <v>0</v>
      </c>
    </row>
    <row r="4004" spans="1:13" s="360" customFormat="1" x14ac:dyDescent="0.25">
      <c r="A4004" s="19" t="s">
        <v>36</v>
      </c>
      <c r="B4004" s="2">
        <v>44059</v>
      </c>
      <c r="C4004" s="1">
        <v>0</v>
      </c>
      <c r="D4004" s="39">
        <f t="shared" si="300"/>
        <v>34</v>
      </c>
      <c r="E4004" s="1"/>
      <c r="F4004" s="39">
        <f t="shared" si="295"/>
        <v>0</v>
      </c>
      <c r="G4004" s="168">
        <f>SUM(C4004,C3980,C3956,C3932,C3908,C3884,C3860,C3836,C3812,C3788,C3764,C3740,C3716,C3692)/POBLA!$B$19*100000</f>
        <v>1.1803402527501927</v>
      </c>
      <c r="H4004" s="256">
        <f t="shared" si="299"/>
        <v>0.42857142857142855</v>
      </c>
      <c r="I4004" s="297">
        <f t="shared" si="296"/>
        <v>0.50586010832151118</v>
      </c>
      <c r="J4004" s="297">
        <f t="shared" si="297"/>
        <v>0</v>
      </c>
      <c r="K4004" s="297">
        <f>J4004/POBLA!$B$19*100000</f>
        <v>0</v>
      </c>
      <c r="L4004" s="549">
        <f t="shared" si="293"/>
        <v>1</v>
      </c>
      <c r="M4004" s="401">
        <f>SUM(C4004,C3980,C3956,C3932,C3908,C3884,C3860)/POBLA!$B$19*100000</f>
        <v>0</v>
      </c>
    </row>
    <row r="4005" spans="1:13" s="360" customFormat="1" x14ac:dyDescent="0.25">
      <c r="A4005" s="19" t="s">
        <v>37</v>
      </c>
      <c r="B4005" s="2">
        <v>44059</v>
      </c>
      <c r="C4005" s="1">
        <v>42</v>
      </c>
      <c r="D4005" s="39">
        <f t="shared" si="300"/>
        <v>1031</v>
      </c>
      <c r="E4005" s="1"/>
      <c r="F4005" s="39">
        <f t="shared" ref="F4005:F4010" si="301">E4005+F3981</f>
        <v>3</v>
      </c>
      <c r="G4005" s="168">
        <f>SUM(C4005,C3981,C3957,C3933,C3909,C3885,C3861,C3837,C3813,C3789,C3765,C3741,C3717,C3693)/POBLA!$B$20*100000</f>
        <v>139.45933529852502</v>
      </c>
      <c r="H4005" s="256">
        <f t="shared" si="299"/>
        <v>1.5044247787610618</v>
      </c>
      <c r="I4005" s="297">
        <f t="shared" si="296"/>
        <v>209.80607965264824</v>
      </c>
      <c r="J4005" s="297">
        <f t="shared" si="297"/>
        <v>40.428571428571431</v>
      </c>
      <c r="K4005" s="297">
        <f>J4005/POBLA!$B$20*100000</f>
        <v>11.055179800975512</v>
      </c>
      <c r="L4005" s="549">
        <f t="shared" si="293"/>
        <v>-0.24669603524229067</v>
      </c>
      <c r="M4005" s="401">
        <f>SUM(C4005,C3981,C3957,C3933,C3909,C3885,C3861)/POBLA!$B$20*100000</f>
        <v>77.386258606828591</v>
      </c>
    </row>
    <row r="4006" spans="1:13" s="360" customFormat="1" x14ac:dyDescent="0.25">
      <c r="A4006" s="19" t="s">
        <v>22</v>
      </c>
      <c r="B4006" s="2">
        <v>44059</v>
      </c>
      <c r="C4006" s="1">
        <v>160</v>
      </c>
      <c r="D4006" s="39">
        <f t="shared" si="300"/>
        <v>3293</v>
      </c>
      <c r="E4006" s="1"/>
      <c r="F4006" s="39">
        <f t="shared" si="301"/>
        <v>31</v>
      </c>
      <c r="G4006" s="168">
        <f>SUM(C4006,C3982,C3958,C3934,C3910,C3886,C3862,C3838,C3814,C3790,C3766,C3742,C3718,C3694)/POBLA!$B$21*100000</f>
        <v>54.320501705397952</v>
      </c>
      <c r="H4006" s="256">
        <f t="shared" si="299"/>
        <v>2.8208516886930983</v>
      </c>
      <c r="I4006" s="297">
        <f t="shared" si="296"/>
        <v>153.23007896632814</v>
      </c>
      <c r="J4006" s="297">
        <f t="shared" si="297"/>
        <v>165.28571428571428</v>
      </c>
      <c r="K4006" s="297">
        <f>J4006/POBLA!$B$21*100000</f>
        <v>4.6738172434851952</v>
      </c>
      <c r="L4006" s="549">
        <f t="shared" si="293"/>
        <v>-0.51439790575916233</v>
      </c>
      <c r="M4006" s="401">
        <f>SUM(C4006,C3982,C3958,C3934,C3910,C3886,C3862)/POBLA!$B$21*100000</f>
        <v>32.716720704396366</v>
      </c>
    </row>
    <row r="4007" spans="1:13" s="360" customFormat="1" x14ac:dyDescent="0.25">
      <c r="A4007" s="19" t="s">
        <v>38</v>
      </c>
      <c r="B4007" s="2">
        <v>44059</v>
      </c>
      <c r="C4007" s="1">
        <v>33</v>
      </c>
      <c r="D4007" s="39">
        <f t="shared" si="300"/>
        <v>281</v>
      </c>
      <c r="E4007" s="1"/>
      <c r="F4007" s="39">
        <f t="shared" si="301"/>
        <v>1</v>
      </c>
      <c r="G4007" s="168">
        <f>SUM(C4007,C3983,C3959,C3935,C3911,C3887,C3863,C3839,C3815,C3791,C3767,C3743,C3719,C3695)/POBLA!$B$22*100000</f>
        <v>23.918725397699919</v>
      </c>
      <c r="H4007" s="256">
        <f t="shared" si="299"/>
        <v>26</v>
      </c>
      <c r="I4007" s="297">
        <f t="shared" si="296"/>
        <v>621.88686034019793</v>
      </c>
      <c r="J4007" s="297">
        <f t="shared" si="297"/>
        <v>20.857142857142858</v>
      </c>
      <c r="K4007" s="297">
        <f>J4007/POBLA!$B$22*100000</f>
        <v>2.1319498828230694</v>
      </c>
      <c r="L4007" s="549">
        <f t="shared" si="293"/>
        <v>-0.65909090909090917</v>
      </c>
      <c r="M4007" s="401">
        <f>SUM(C4007,C3983,C3959,C3935,C3911,C3887,C3863)/POBLA!$B$22*100000</f>
        <v>14.923649179761489</v>
      </c>
    </row>
    <row r="4008" spans="1:13" s="360" customFormat="1" x14ac:dyDescent="0.25">
      <c r="A4008" s="19" t="s">
        <v>39</v>
      </c>
      <c r="B4008" s="2">
        <v>44059</v>
      </c>
      <c r="C4008" s="1">
        <v>57</v>
      </c>
      <c r="D4008" s="39">
        <f t="shared" si="300"/>
        <v>1418</v>
      </c>
      <c r="E4008" s="1"/>
      <c r="F4008" s="39">
        <f t="shared" si="301"/>
        <v>16</v>
      </c>
      <c r="G4008" s="168">
        <f>SUM(C4008,C3984,C3960,C3936,C3912,C3888,C3864,C3840,C3816,C3792,C3768,C3744,C3720,C3696)/POBLA!$B$23*100000</f>
        <v>462.02567437651982</v>
      </c>
      <c r="H4008" s="256">
        <f t="shared" si="299"/>
        <v>2.263157894736842</v>
      </c>
      <c r="I4008" s="297">
        <f t="shared" si="296"/>
        <v>1045.6370525363343</v>
      </c>
      <c r="J4008" s="297">
        <f t="shared" si="297"/>
        <v>61.571428571428569</v>
      </c>
      <c r="K4008" s="297">
        <f>J4008/POBLA!$B$23*100000</f>
        <v>34.819560352558142</v>
      </c>
      <c r="L4008" s="549">
        <f t="shared" si="293"/>
        <v>-0.11658031088082899</v>
      </c>
      <c r="M4008" s="401">
        <f>SUM(C4008,C3984,C3960,C3936,C3912,C3888,C3864)/POBLA!$B$23*100000</f>
        <v>243.73692246790705</v>
      </c>
    </row>
    <row r="4009" spans="1:13" s="360" customFormat="1" ht="15.75" thickBot="1" x14ac:dyDescent="0.3">
      <c r="A4009" s="19" t="s">
        <v>40</v>
      </c>
      <c r="B4009" s="2">
        <v>44059</v>
      </c>
      <c r="C4009" s="1">
        <v>42</v>
      </c>
      <c r="D4009" s="39">
        <f t="shared" si="300"/>
        <v>610</v>
      </c>
      <c r="E4009" s="1"/>
      <c r="F4009" s="39">
        <f t="shared" si="301"/>
        <v>5</v>
      </c>
      <c r="G4009" s="177">
        <f>SUM(C4009,C3985,C3961,C3937,C3913,C3889,C3865,C3841,C3817,C3793,C3769,C3745,C3721,C3697)/POBLA!$B$24*100000</f>
        <v>20.358113977113938</v>
      </c>
      <c r="H4009" s="402">
        <f t="shared" si="299"/>
        <v>2.1296296296296298</v>
      </c>
      <c r="I4009" s="403">
        <f t="shared" si="296"/>
        <v>43.355242729038942</v>
      </c>
      <c r="J4009" s="403">
        <f t="shared" si="297"/>
        <v>30.142857142857142</v>
      </c>
      <c r="K4009" s="403">
        <f>J4009/POBLA!$B$24*100000</f>
        <v>1.7787006414786919</v>
      </c>
      <c r="L4009" s="550">
        <f t="shared" si="293"/>
        <v>-0.57462686567164178</v>
      </c>
      <c r="M4009" s="405">
        <f>SUM(C4009,C3985,C3961,C3937,C3913,C3889,C3865)/POBLA!$B$24*100000</f>
        <v>12.450904490350846</v>
      </c>
    </row>
    <row r="4010" spans="1:13" s="360" customFormat="1" x14ac:dyDescent="0.25">
      <c r="A4010" s="361" t="s">
        <v>16</v>
      </c>
      <c r="B4010" s="2">
        <v>44060</v>
      </c>
      <c r="C4010" s="1">
        <v>2521</v>
      </c>
      <c r="D4010" s="39">
        <f>C4010+D3986</f>
        <v>185620</v>
      </c>
      <c r="E4010" s="1">
        <f>11+15+20+13</f>
        <v>59</v>
      </c>
      <c r="F4010" s="39">
        <f t="shared" si="301"/>
        <v>3388</v>
      </c>
      <c r="G4010" s="175">
        <f>SUM(C4010,C3986,C3962,C3938,C3914,C3890,C3866,C3842,C3818,C3794,C3770,C3746,C3722,C3698)/POBLA!$B$1*100000</f>
        <v>344.96045610715976</v>
      </c>
      <c r="H4010" s="300">
        <f t="shared" si="299"/>
        <v>1.1687784903036391</v>
      </c>
      <c r="I4010" s="301">
        <f>G4010*H4010</f>
        <v>403.18236110338097</v>
      </c>
      <c r="J4010" s="301">
        <f>AVERAGE(C4010,C3986,C3962,C3938,C3914,C3890,C3866)</f>
        <v>4135.8571428571431</v>
      </c>
      <c r="K4010" s="301">
        <f>J4010/POBLA!$B$1*100000</f>
        <v>23.57803943801115</v>
      </c>
      <c r="L4010" s="548">
        <f t="shared" ref="L4010:L4033" si="302">1-SUM(C4010,C3986,C3962,C3938,C3914,C3890,C3866)/SUM(C3842,C3818,C3794,C3770,C3746,C3722,C3698)</f>
        <v>8.2638866884248596E-2</v>
      </c>
      <c r="M4010" s="400">
        <f>SUM(C4010,C3986,C3962,C3938,C3914,C3890,C3866)/POBLA!$B$1*100000</f>
        <v>165.04627606607804</v>
      </c>
    </row>
    <row r="4011" spans="1:13" s="360" customFormat="1" x14ac:dyDescent="0.25">
      <c r="A4011" s="19" t="s">
        <v>43</v>
      </c>
      <c r="B4011" s="2">
        <v>44060</v>
      </c>
      <c r="C4011" s="1">
        <v>710</v>
      </c>
      <c r="D4011" s="39">
        <f t="shared" ref="D4011:D4025" si="303">C4011+D3987</f>
        <v>78190</v>
      </c>
      <c r="E4011" s="1">
        <f>4+6+8+11</f>
        <v>29</v>
      </c>
      <c r="F4011" s="39">
        <f t="shared" si="295"/>
        <v>1706</v>
      </c>
      <c r="G4011" s="168">
        <f>SUM(C4011,C3987,C3963,C3939,C3915,C3891,C3867,C3843,C3819,C3795,C3771,C3747,C3723,C3699)/POBLA!$B$2*100000</f>
        <v>230.87832604922676</v>
      </c>
      <c r="H4011" s="256">
        <f>SUM(C4011,C3987,C3963,C3939,C3915,C3894,C3870,C3846,C3822,C3798,C3774,C3750,C3726,C3702)/SUM(C3678,C3654,C3630,C3606,C3582,C3558,C3534,C3510,C3486,C3462,C3438,C3414,C3390,C3366)</f>
        <v>0.82359564619041659</v>
      </c>
      <c r="I4011" s="297">
        <f t="shared" ref="I4011:I4033" si="304">G4011*H4011</f>
        <v>190.15038413387461</v>
      </c>
      <c r="J4011" s="297">
        <f t="shared" ref="J4011:J4033" si="305">AVERAGE(C4011,C3987,C3963,C3939,C3915,C3891,C3867)</f>
        <v>1014.8571428571429</v>
      </c>
      <c r="K4011" s="297">
        <f>J4011/POBLA!$B$2*100000</f>
        <v>32.996552361914958</v>
      </c>
      <c r="L4011" s="549">
        <f t="shared" si="302"/>
        <v>2369</v>
      </c>
      <c r="M4011" s="401">
        <f>SUM(C4011,C3987,C3963,C3939,C3915,C3891,C3867)/POBLA!$B$2*100000</f>
        <v>230.97586653340468</v>
      </c>
    </row>
    <row r="4012" spans="1:13" s="360" customFormat="1" x14ac:dyDescent="0.25">
      <c r="A4012" s="19" t="s">
        <v>28</v>
      </c>
      <c r="B4012" s="2">
        <v>44060</v>
      </c>
      <c r="C4012" s="1">
        <v>2</v>
      </c>
      <c r="D4012" s="39">
        <f t="shared" si="303"/>
        <v>65</v>
      </c>
      <c r="E4012" s="1"/>
      <c r="F4012" s="39">
        <f t="shared" si="295"/>
        <v>0</v>
      </c>
      <c r="G4012" s="168">
        <f>SUM(C4012,C3988,C3964,C3940,C3916,C3892,C3868,C3844,C3820,C3796,C3772,C3748,C3724,C3700)/POBLA!$B$3*100000</f>
        <v>92.91398475825514</v>
      </c>
      <c r="H4012" s="256">
        <f t="shared" si="299"/>
        <v>0.54674220963172804</v>
      </c>
      <c r="I4012" s="297">
        <f t="shared" si="304"/>
        <v>50.799997332417114</v>
      </c>
      <c r="J4012" s="297">
        <f t="shared" si="305"/>
        <v>0.42857142857142855</v>
      </c>
      <c r="K4012" s="297">
        <f>J4012/POBLA!$B$3*100000</f>
        <v>0.10316134503137135</v>
      </c>
      <c r="L4012" s="549">
        <f t="shared" si="302"/>
        <v>0.9921671018276762</v>
      </c>
      <c r="M4012" s="401">
        <f>SUM(C4012,C3988,C3964,C3940,C3916,C3892,C3868)/POBLA!$B$3*100000</f>
        <v>0.7221294152195995</v>
      </c>
    </row>
    <row r="4013" spans="1:13" s="360" customFormat="1" x14ac:dyDescent="0.25">
      <c r="A4013" s="19" t="s">
        <v>15</v>
      </c>
      <c r="B4013" s="2">
        <v>44060</v>
      </c>
      <c r="C4013" s="1">
        <v>68</v>
      </c>
      <c r="D4013" s="39">
        <f t="shared" si="303"/>
        <v>4504</v>
      </c>
      <c r="E4013" s="1">
        <f>3+1</f>
        <v>4</v>
      </c>
      <c r="F4013" s="39">
        <f t="shared" si="295"/>
        <v>184</v>
      </c>
      <c r="G4013" s="168">
        <f>SUM(C4013,C3989,C3965,C3941,C3917,C3893,C3869,C3845,C3821,C3797,C3773,C3749,C3725,C3701)/POBLA!$B$4*100000</f>
        <v>39.600146445824592</v>
      </c>
      <c r="H4013" s="256">
        <f t="shared" si="299"/>
        <v>9.3529411764705888</v>
      </c>
      <c r="I4013" s="297">
        <f t="shared" si="304"/>
        <v>370.37784028741828</v>
      </c>
      <c r="J4013" s="297">
        <f t="shared" si="305"/>
        <v>59.857142857142854</v>
      </c>
      <c r="K4013" s="297">
        <f>J4013/POBLA!$B$4*100000</f>
        <v>4.9692906141960176</v>
      </c>
      <c r="L4013" s="549">
        <f t="shared" si="302"/>
        <v>-6.2241379310344831</v>
      </c>
      <c r="M4013" s="401">
        <f>SUM(C4013,C3989,C3965,C3941,C3917,C3893,C3869)/POBLA!$B$4*100000</f>
        <v>34.785034299372121</v>
      </c>
    </row>
    <row r="4014" spans="1:13" s="360" customFormat="1" x14ac:dyDescent="0.25">
      <c r="A4014" s="19" t="s">
        <v>29</v>
      </c>
      <c r="B4014" s="2">
        <v>44060</v>
      </c>
      <c r="C4014" s="1">
        <v>14</v>
      </c>
      <c r="D4014" s="39">
        <f t="shared" si="303"/>
        <v>418</v>
      </c>
      <c r="E4014" s="1"/>
      <c r="F4014" s="39">
        <f t="shared" si="295"/>
        <v>5</v>
      </c>
      <c r="G4014" s="168">
        <f>SUM(C4014,C3990,C3966,C3942,C3918,C3894,C3870,C3846,C3822,C3798,C3774,C3750,C3726,C3702)/POBLA!$B$5*100000</f>
        <v>1369.3186040575515</v>
      </c>
      <c r="H4014" s="256">
        <f t="shared" si="299"/>
        <v>0.53021393719504561</v>
      </c>
      <c r="I4014" s="297">
        <f t="shared" si="304"/>
        <v>726.03180833177817</v>
      </c>
      <c r="J4014" s="297">
        <f t="shared" si="305"/>
        <v>9.5714285714285712</v>
      </c>
      <c r="K4014" s="297">
        <f>J4014/POBLA!$B$5*100000</f>
        <v>1.5462877784645037</v>
      </c>
      <c r="L4014" s="549">
        <f t="shared" si="302"/>
        <v>0.99203234629563564</v>
      </c>
      <c r="M4014" s="401">
        <f>SUM(C4014,C3990,C3966,C3942,C3918,C3894,C3870)/POBLA!$B$5*100000</f>
        <v>10.824014449251528</v>
      </c>
    </row>
    <row r="4015" spans="1:13" s="360" customFormat="1" x14ac:dyDescent="0.25">
      <c r="A4015" s="19" t="s">
        <v>20</v>
      </c>
      <c r="B4015" s="2">
        <v>44060</v>
      </c>
      <c r="C4015" s="1">
        <v>172</v>
      </c>
      <c r="D4015" s="39">
        <f t="shared" si="303"/>
        <v>4767</v>
      </c>
      <c r="E4015" s="1">
        <v>1</v>
      </c>
      <c r="F4015" s="39">
        <f t="shared" si="295"/>
        <v>79</v>
      </c>
      <c r="G4015" s="168">
        <f>SUM(C4015,C3991,C3967,C3943,C3919,C3895,C3871,C3847,C3823,C3799,C3775,C3751,C3727,C3703)/POBLA!$B$6*100000</f>
        <v>196.02052460695518</v>
      </c>
      <c r="H4015" s="256">
        <f t="shared" si="299"/>
        <v>1.7604166666666667</v>
      </c>
      <c r="I4015" s="297">
        <f t="shared" si="304"/>
        <v>345.07779852682734</v>
      </c>
      <c r="J4015" s="297">
        <f t="shared" si="305"/>
        <v>154.57142857142858</v>
      </c>
      <c r="K4015" s="297">
        <f>J4015/POBLA!$B$6*100000</f>
        <v>13.791157268009984</v>
      </c>
      <c r="L4015" s="549">
        <f t="shared" si="302"/>
        <v>2.959641255605383E-2</v>
      </c>
      <c r="M4015" s="401">
        <f>SUM(C4015,C3991,C3967,C3943,C3919,C3895,C3871)/POBLA!$B$6*100000</f>
        <v>96.53810087606989</v>
      </c>
    </row>
    <row r="4016" spans="1:13" s="360" customFormat="1" x14ac:dyDescent="0.25">
      <c r="A4016" s="19" t="s">
        <v>30</v>
      </c>
      <c r="B4016" s="2">
        <v>44060</v>
      </c>
      <c r="C4016" s="1">
        <v>2</v>
      </c>
      <c r="D4016" s="39">
        <f t="shared" si="303"/>
        <v>231</v>
      </c>
      <c r="E4016" s="1"/>
      <c r="F4016" s="39">
        <f t="shared" si="295"/>
        <v>2</v>
      </c>
      <c r="G4016" s="168">
        <f>SUM(C4016,C3992,C3968,C3944,C3920,C3896,C3872,C3848,C3824,C3800,C3776,C3752,C3728,C3704)/POBLA!$B$7*100000</f>
        <v>0.93073967211370978</v>
      </c>
      <c r="H4016" s="256">
        <f t="shared" si="299"/>
        <v>0.53030303030303028</v>
      </c>
      <c r="I4016" s="297">
        <f t="shared" si="304"/>
        <v>0.49357406854514912</v>
      </c>
      <c r="J4016" s="297">
        <f t="shared" si="305"/>
        <v>2.1428571428571428</v>
      </c>
      <c r="K4016" s="297">
        <f>J4016/POBLA!$B$7*100000</f>
        <v>5.6984061557982232E-2</v>
      </c>
      <c r="L4016" s="549">
        <f t="shared" si="302"/>
        <v>0.25</v>
      </c>
      <c r="M4016" s="401">
        <f>SUM(C4016,C3992,C3968,C3944,C3920,C3896,C3872)/POBLA!$B$7*100000</f>
        <v>0.39888843090587561</v>
      </c>
    </row>
    <row r="4017" spans="1:13" x14ac:dyDescent="0.25">
      <c r="A4017" s="19" t="s">
        <v>31</v>
      </c>
      <c r="B4017" s="2">
        <v>44060</v>
      </c>
      <c r="C4017" s="1">
        <v>73</v>
      </c>
      <c r="D4017" s="39">
        <f t="shared" si="303"/>
        <v>1703</v>
      </c>
      <c r="E4017" s="1">
        <v>2</v>
      </c>
      <c r="F4017" s="39">
        <f t="shared" si="295"/>
        <v>26</v>
      </c>
      <c r="G4017" s="168">
        <f>SUM(C4017,C3993,C3969,C3945,C3921,C3897,C3873,C3849,C3825,C3801,C3777,C3753,C3729,C3705)/POBLA!$B$8*100000</f>
        <v>59.741940790541719</v>
      </c>
      <c r="H4017" s="256">
        <f t="shared" si="299"/>
        <v>3.6475770925110131</v>
      </c>
      <c r="I4017" s="297">
        <f t="shared" si="304"/>
        <v>217.91333468972925</v>
      </c>
      <c r="J4017" s="297">
        <f t="shared" si="305"/>
        <v>70.714285714285708</v>
      </c>
      <c r="K4017" s="297">
        <f>J4017/POBLA!$B$8*100000</f>
        <v>5.1021843842853958</v>
      </c>
      <c r="L4017" s="549">
        <f t="shared" si="302"/>
        <v>-0.4864864864864864</v>
      </c>
      <c r="M4017" s="401">
        <f>SUM(C4017,C3993,C3969,C3945,C3921,C3897,C3873)/POBLA!$B$8*100000</f>
        <v>35.715290689997772</v>
      </c>
    </row>
    <row r="4018" spans="1:13" s="360" customFormat="1" x14ac:dyDescent="0.25">
      <c r="A4018" s="19" t="s">
        <v>41</v>
      </c>
      <c r="B4018" s="2">
        <v>44060</v>
      </c>
      <c r="C4018" s="1">
        <v>0</v>
      </c>
      <c r="D4018" s="39">
        <f t="shared" si="303"/>
        <v>83</v>
      </c>
      <c r="E4018" s="1"/>
      <c r="F4018" s="39">
        <f>E4018+F3994</f>
        <v>0</v>
      </c>
      <c r="G4018" s="168">
        <f>SUM(C4018,C3994,C3970,C3946,C3922,C3898,C3874,C3850,C3826,C3802,C3778,C3754,C3730,C3706)/POBLA!$B$9*100000</f>
        <v>-0.16523654437510019</v>
      </c>
      <c r="H4018" s="256">
        <f>SUM(C4018,C3994,C3970,C3946,C3922,C3898,C3874,C3850,C3826,C3802,C3778,C3754,C3730,C3706)/SUM(C3682,C3658,C3634,C3610,C3586,C3562,C3538,C3514,C3490,C3466,C3442,C3418,C3394,C3370)</f>
        <v>-0.16666666666666666</v>
      </c>
      <c r="I4018" s="297">
        <f t="shared" si="304"/>
        <v>2.7539424062516697E-2</v>
      </c>
      <c r="J4018" s="297">
        <f t="shared" si="305"/>
        <v>-0.5714285714285714</v>
      </c>
      <c r="K4018" s="297">
        <f>J4018/POBLA!$B$9*100000</f>
        <v>-9.4420882500057243E-2</v>
      </c>
      <c r="L4018" s="549">
        <f t="shared" si="302"/>
        <v>2.333333333333333</v>
      </c>
      <c r="M4018" s="401">
        <f>SUM(C4018,C3994,C3970,C3946,C3922,C3898,C3874)/POBLA!$B$9*100000</f>
        <v>-0.66094617750040074</v>
      </c>
    </row>
    <row r="4019" spans="1:13" s="360" customFormat="1" x14ac:dyDescent="0.25">
      <c r="A4019" s="19" t="s">
        <v>32</v>
      </c>
      <c r="B4019" s="2">
        <v>44060</v>
      </c>
      <c r="C4019" s="1">
        <v>244</v>
      </c>
      <c r="D4019" s="39">
        <f t="shared" si="303"/>
        <v>4999</v>
      </c>
      <c r="E4019" s="1"/>
      <c r="F4019" s="39">
        <f t="shared" si="295"/>
        <v>57</v>
      </c>
      <c r="G4019" s="168">
        <f>SUM(C4019,C3995,C3971,C3947,C3923,C3899,C3875,C3851,C3827,C3803,C3779,C3755,C3731,C3707)/POBLA!$B$10*100000</f>
        <v>327.54731274995754</v>
      </c>
      <c r="H4019" s="256">
        <f t="shared" ref="H4019:H4041" si="306">SUM(C4019,C3995,C3971,C3947,C3923,C3899,C3875,C3851,C3827,C3803,C3779,C3755,C3731,C3707)/SUM(C3683,C3659,C3635,C3611,C3587,C3563,C3539,C3515,C3491,C3467,C3443,C3419,C3395,C3371)</f>
        <v>1.4714452214452214</v>
      </c>
      <c r="I4019" s="297">
        <f t="shared" si="304"/>
        <v>481.96792814314847</v>
      </c>
      <c r="J4019" s="297">
        <f t="shared" si="305"/>
        <v>205.71428571428572</v>
      </c>
      <c r="K4019" s="297">
        <f>J4019/POBLA!$B$10*100000</f>
        <v>26.685608506927231</v>
      </c>
      <c r="L4019" s="549">
        <f t="shared" si="302"/>
        <v>-0.32718894009216593</v>
      </c>
      <c r="M4019" s="401">
        <f>SUM(C4019,C3995,C3971,C3947,C3923,C3899,C3875)/POBLA!$B$10*100000</f>
        <v>186.79925954849062</v>
      </c>
    </row>
    <row r="4020" spans="1:13" s="360" customFormat="1" x14ac:dyDescent="0.25">
      <c r="A4020" s="19" t="s">
        <v>33</v>
      </c>
      <c r="B4020" s="2">
        <v>44060</v>
      </c>
      <c r="C4020" s="1">
        <v>1</v>
      </c>
      <c r="D4020" s="39">
        <f t="shared" si="303"/>
        <v>213</v>
      </c>
      <c r="E4020" s="1"/>
      <c r="F4020" s="39">
        <f t="shared" si="295"/>
        <v>1</v>
      </c>
      <c r="G4020" s="168">
        <f>SUM(C4020,C3996,C3972,C3948,C3924,C3900,C3876,C3852,C3828,C3804,C3780,C3756,C3732,C3708)/POBLA!$B$11*100000</f>
        <v>15.344783331659357</v>
      </c>
      <c r="H4020" s="256">
        <f t="shared" si="306"/>
        <v>0.36666666666666664</v>
      </c>
      <c r="I4020" s="297">
        <f t="shared" si="304"/>
        <v>5.6264205549417641</v>
      </c>
      <c r="J4020" s="297">
        <f t="shared" si="305"/>
        <v>0.7142857142857143</v>
      </c>
      <c r="K4020" s="297">
        <f>J4020/POBLA!$B$11*100000</f>
        <v>0.19928290041116051</v>
      </c>
      <c r="L4020" s="549">
        <f t="shared" si="302"/>
        <v>0.9</v>
      </c>
      <c r="M4020" s="401">
        <f>SUM(C4020,C3996,C3972,C3948,C3924,C3900,C3876)/POBLA!$B$11*100000</f>
        <v>1.3949803028781234</v>
      </c>
    </row>
    <row r="4021" spans="1:13" s="360" customFormat="1" x14ac:dyDescent="0.25">
      <c r="A4021" s="19" t="s">
        <v>21</v>
      </c>
      <c r="B4021" s="2">
        <v>44060</v>
      </c>
      <c r="C4021" s="1">
        <v>45</v>
      </c>
      <c r="D4021" s="39">
        <f t="shared" si="303"/>
        <v>794</v>
      </c>
      <c r="E4021" s="1"/>
      <c r="F4021" s="39">
        <f t="shared" si="295"/>
        <v>1</v>
      </c>
      <c r="G4021" s="168">
        <f>SUM(C4021,C3997,C3973,C3949,C3925,C3901,C3877,C3853,C3829,C3805,C3781,C3757,C3733,C3709)/POBLA!$B$12*100000</f>
        <v>112.31643758687372</v>
      </c>
      <c r="H4021" s="256">
        <f t="shared" si="306"/>
        <v>2.6309523809523809</v>
      </c>
      <c r="I4021" s="297">
        <f t="shared" si="304"/>
        <v>295.49919888927491</v>
      </c>
      <c r="J4021" s="297">
        <f t="shared" si="305"/>
        <v>39.428571428571431</v>
      </c>
      <c r="K4021" s="297">
        <f>J4021/POBLA!$B$12*100000</f>
        <v>10.019178013567274</v>
      </c>
      <c r="L4021" s="549">
        <f t="shared" si="302"/>
        <v>-0.66265060240963858</v>
      </c>
      <c r="M4021" s="401">
        <f>SUM(C4021,C3997,C3973,C3949,C3925,C3901,C3877)/POBLA!$B$12*100000</f>
        <v>70.134246094970919</v>
      </c>
    </row>
    <row r="4022" spans="1:13" s="360" customFormat="1" x14ac:dyDescent="0.25">
      <c r="A4022" s="19" t="s">
        <v>17</v>
      </c>
      <c r="B4022" s="2">
        <v>44060</v>
      </c>
      <c r="C4022" s="1">
        <v>169</v>
      </c>
      <c r="D4022" s="39">
        <f t="shared" si="303"/>
        <v>3495</v>
      </c>
      <c r="E4022" s="1">
        <v>1</v>
      </c>
      <c r="F4022" s="39">
        <f t="shared" si="295"/>
        <v>27</v>
      </c>
      <c r="G4022" s="168">
        <f>SUM(C4022,C3998,C3974,C3950,C3926,C3902,C3878,C3854,C3830,C3806,C3782,C3758,C3734,C3710)/POBLA!$B$13*100000</f>
        <v>101.79175597310606</v>
      </c>
      <c r="H4022" s="256">
        <f t="shared" si="306"/>
        <v>2.1192468619246863</v>
      </c>
      <c r="I4022" s="297">
        <f t="shared" si="304"/>
        <v>215.72185941580847</v>
      </c>
      <c r="J4022" s="297">
        <f t="shared" si="305"/>
        <v>179.28571428571428</v>
      </c>
      <c r="K4022" s="297">
        <f>J4022/POBLA!$B$13*100000</f>
        <v>9.0078024077173975</v>
      </c>
      <c r="L4022" s="549">
        <f t="shared" si="302"/>
        <v>-0.62775616083009078</v>
      </c>
      <c r="M4022" s="401">
        <f>SUM(C4022,C3998,C3974,C3950,C3926,C3902,C3878)/POBLA!$B$13*100000</f>
        <v>63.054616854021774</v>
      </c>
    </row>
    <row r="4023" spans="1:13" s="360" customFormat="1" x14ac:dyDescent="0.25">
      <c r="A4023" s="19" t="s">
        <v>23</v>
      </c>
      <c r="B4023" s="2">
        <v>44060</v>
      </c>
      <c r="C4023" s="1">
        <v>-4</v>
      </c>
      <c r="D4023" s="39">
        <f t="shared" si="303"/>
        <v>63</v>
      </c>
      <c r="E4023" s="1"/>
      <c r="F4023" s="39">
        <f t="shared" si="295"/>
        <v>2</v>
      </c>
      <c r="G4023" s="168">
        <f>SUM(C4023,C3999,C3975,C3951,C3927,C3903,C3879,C3855,C3831,C3807,C3783,C3759,C3735,C3711)/POBLA!$B$14*100000</f>
        <v>0.23785096892556376</v>
      </c>
      <c r="H4023" s="256">
        <f t="shared" si="306"/>
        <v>0.27272727272727271</v>
      </c>
      <c r="I4023" s="297">
        <f t="shared" si="304"/>
        <v>6.4868446070608293E-2</v>
      </c>
      <c r="J4023" s="297">
        <f t="shared" si="305"/>
        <v>0.2857142857142857</v>
      </c>
      <c r="K4023" s="297">
        <f>J4023/POBLA!$B$14*100000</f>
        <v>2.2652473231006071E-2</v>
      </c>
      <c r="L4023" s="549">
        <f t="shared" si="302"/>
        <v>-1</v>
      </c>
      <c r="M4023" s="401">
        <f>SUM(C4023,C3999,C3975,C3951,C3927,C3903,C3879)/POBLA!$B$14*100000</f>
        <v>0.15856731261704249</v>
      </c>
    </row>
    <row r="4024" spans="1:13" s="360" customFormat="1" x14ac:dyDescent="0.25">
      <c r="A4024" s="19" t="s">
        <v>19</v>
      </c>
      <c r="B4024" s="2">
        <v>44060</v>
      </c>
      <c r="C4024" s="1">
        <v>64</v>
      </c>
      <c r="D4024" s="39">
        <f t="shared" si="303"/>
        <v>1889</v>
      </c>
      <c r="E4024" s="1">
        <f>1</f>
        <v>1</v>
      </c>
      <c r="F4024" s="39">
        <f t="shared" si="295"/>
        <v>5</v>
      </c>
      <c r="G4024" s="168">
        <f>SUM(C4024,C4000,C3976,C3952,C3928,C3904,C3880,C3856,C3832,C3808,C3784,C3760,C3736,C3712)/POBLA!$B$15*100000</f>
        <v>101.49731122478943</v>
      </c>
      <c r="H4024" s="256">
        <f t="shared" si="306"/>
        <v>2.1194968553459121</v>
      </c>
      <c r="I4024" s="297">
        <f t="shared" si="304"/>
        <v>215.12323196700655</v>
      </c>
      <c r="J4024" s="297">
        <f t="shared" si="305"/>
        <v>58</v>
      </c>
      <c r="K4024" s="297">
        <f>J4024/POBLA!$B$15*100000</f>
        <v>8.7341899867029493</v>
      </c>
      <c r="L4024" s="549">
        <f t="shared" si="302"/>
        <v>-0.5149253731343284</v>
      </c>
      <c r="M4024" s="401">
        <f>SUM(C4024,C4000,C3976,C3952,C3928,C3904,C3880)/POBLA!$B$15*100000</f>
        <v>61.139329906920636</v>
      </c>
    </row>
    <row r="4025" spans="1:13" s="360" customFormat="1" x14ac:dyDescent="0.25">
      <c r="A4025" s="19" t="s">
        <v>18</v>
      </c>
      <c r="B4025" s="2">
        <v>44060</v>
      </c>
      <c r="C4025" s="1">
        <v>82</v>
      </c>
      <c r="D4025" s="39">
        <f t="shared" si="303"/>
        <v>3936</v>
      </c>
      <c r="E4025" s="1">
        <f>1+3+1+1</f>
        <v>6</v>
      </c>
      <c r="F4025" s="39">
        <f t="shared" si="295"/>
        <v>31</v>
      </c>
      <c r="G4025" s="168">
        <f>SUM(C4025,C4001,C3977,C3953,C3929,C3905,C3881,C3857,C3833,C3809,C3785,C3761,C3737,C3713)/POBLA!$B$16*100000</f>
        <v>242.10484075921937</v>
      </c>
      <c r="H4025" s="256">
        <f t="shared" si="306"/>
        <v>2.3057324840764331</v>
      </c>
      <c r="I4025" s="297">
        <f t="shared" si="304"/>
        <v>558.22899589068413</v>
      </c>
      <c r="J4025" s="297">
        <f t="shared" si="305"/>
        <v>132.57142857142858</v>
      </c>
      <c r="K4025" s="297">
        <f>J4025/POBLA!$B$16*100000</f>
        <v>17.732698675971239</v>
      </c>
      <c r="L4025" s="549">
        <f t="shared" si="302"/>
        <v>-5.2154195011337778E-2</v>
      </c>
      <c r="M4025" s="401">
        <f>SUM(C4025,C4001,C3977,C3953,C3929,C3905,C3881)/POBLA!$B$16*100000</f>
        <v>124.12889073179866</v>
      </c>
    </row>
    <row r="4026" spans="1:13" s="360" customFormat="1" x14ac:dyDescent="0.25">
      <c r="A4026" s="19" t="s">
        <v>34</v>
      </c>
      <c r="B4026" s="2">
        <v>44060</v>
      </c>
      <c r="C4026" s="1">
        <v>88</v>
      </c>
      <c r="D4026" s="39">
        <f>C4026+D4002</f>
        <v>1183</v>
      </c>
      <c r="E4026" s="1">
        <f>1+2+2</f>
        <v>5</v>
      </c>
      <c r="F4026" s="39">
        <f>E4026+F4002</f>
        <v>17</v>
      </c>
      <c r="G4026" s="168">
        <f>SUM(C4026,C4002,C3978,C3954,C3930,C3906,C3882,C3858,C3834,C3810,C3786,C3762,C3738,C3714)/POBLA!$B$17*100000</f>
        <v>61.78052888345033</v>
      </c>
      <c r="H4026" s="256">
        <f t="shared" si="306"/>
        <v>6.9291338582677167</v>
      </c>
      <c r="I4026" s="297">
        <f t="shared" si="304"/>
        <v>428.08555446800227</v>
      </c>
      <c r="J4026" s="297">
        <f t="shared" si="305"/>
        <v>81.714285714285708</v>
      </c>
      <c r="K4026" s="297">
        <f>J4026/POBLA!$B$17*100000</f>
        <v>5.7367633963203879</v>
      </c>
      <c r="L4026" s="549">
        <f t="shared" si="302"/>
        <v>-0.85714285714285721</v>
      </c>
      <c r="M4026" s="401">
        <f>SUM(C4026,C4002,C3978,C3954,C3930,C3906,C3882)/POBLA!$B$17*100000</f>
        <v>40.157343774242719</v>
      </c>
    </row>
    <row r="4027" spans="1:13" s="360" customFormat="1" x14ac:dyDescent="0.25">
      <c r="A4027" s="19" t="s">
        <v>35</v>
      </c>
      <c r="B4027" s="2">
        <v>44060</v>
      </c>
      <c r="C4027" s="1">
        <v>0</v>
      </c>
      <c r="D4027" s="39">
        <f t="shared" ref="D4027:D4033" si="307">C4027+D4003</f>
        <v>22</v>
      </c>
      <c r="E4027" s="1"/>
      <c r="F4027" s="39">
        <f>E4027+F4003</f>
        <v>0</v>
      </c>
      <c r="G4027" s="168">
        <f>SUM(C4027,C4003,C3979,C3955,C3931,C3907,C3883,C3859,C3835,C3811,C3787,C3763,C3739,C3715)/POBLA!$B$18*100000</f>
        <v>0</v>
      </c>
      <c r="H4027" s="256">
        <f t="shared" si="306"/>
        <v>0</v>
      </c>
      <c r="I4027" s="297">
        <f t="shared" si="304"/>
        <v>0</v>
      </c>
      <c r="J4027" s="297">
        <f t="shared" si="305"/>
        <v>0</v>
      </c>
      <c r="K4027" s="297">
        <f>J4027/POBLA!$B$18*100000</f>
        <v>0</v>
      </c>
      <c r="L4027" s="549" t="e">
        <f t="shared" si="302"/>
        <v>#DIV/0!</v>
      </c>
      <c r="M4027" s="401">
        <f>SUM(C4027,C4003,C3979,C3955,C3931,C3907,C3883)/POBLA!$B$18*100000</f>
        <v>0</v>
      </c>
    </row>
    <row r="4028" spans="1:13" s="360" customFormat="1" x14ac:dyDescent="0.25">
      <c r="A4028" s="19" t="s">
        <v>36</v>
      </c>
      <c r="B4028" s="2">
        <v>44060</v>
      </c>
      <c r="C4028" s="1">
        <v>0</v>
      </c>
      <c r="D4028" s="39">
        <f t="shared" si="307"/>
        <v>34</v>
      </c>
      <c r="E4028" s="1"/>
      <c r="F4028" s="39">
        <f>E4028+F4004</f>
        <v>0</v>
      </c>
      <c r="G4028" s="168">
        <f>SUM(C4028,C4004,C3980,C3956,C3932,C3908,C3884,C3860,C3836,C3812,C3788,C3764,C3740,C3716)/POBLA!$B$19*100000</f>
        <v>1.5737870036669237</v>
      </c>
      <c r="H4028" s="256">
        <f t="shared" si="306"/>
        <v>0.72727272727272729</v>
      </c>
      <c r="I4028" s="297">
        <f t="shared" si="304"/>
        <v>1.1445723663032172</v>
      </c>
      <c r="J4028" s="297">
        <f t="shared" si="305"/>
        <v>0.42857142857142855</v>
      </c>
      <c r="K4028" s="297">
        <f>J4028/POBLA!$B$19*100000</f>
        <v>8.4310018053585192E-2</v>
      </c>
      <c r="L4028" s="549">
        <f t="shared" si="302"/>
        <v>0.4</v>
      </c>
      <c r="M4028" s="401">
        <f>SUM(C4028,C4004,C3980,C3956,C3932,C3908,C3884)/POBLA!$B$19*100000</f>
        <v>0.59017012637509636</v>
      </c>
    </row>
    <row r="4029" spans="1:13" s="360" customFormat="1" x14ac:dyDescent="0.25">
      <c r="A4029" s="19" t="s">
        <v>37</v>
      </c>
      <c r="B4029" s="2">
        <v>44060</v>
      </c>
      <c r="C4029" s="1">
        <v>33</v>
      </c>
      <c r="D4029" s="39">
        <f t="shared" si="307"/>
        <v>1064</v>
      </c>
      <c r="E4029" s="1"/>
      <c r="F4029" s="39">
        <f t="shared" ref="F4029:F4034" si="308">E4029+F4005</f>
        <v>3</v>
      </c>
      <c r="G4029" s="168">
        <f>SUM(C4029,C4005,C3981,C3957,C3933,C3909,C3885,C3861,C3837,C3813,C3789,C3765,C3741,C3717)/POBLA!$B$20*100000</f>
        <v>141.10003336086061</v>
      </c>
      <c r="H4029" s="256">
        <f t="shared" si="306"/>
        <v>1.5087719298245614</v>
      </c>
      <c r="I4029" s="297">
        <f t="shared" si="304"/>
        <v>212.88776963217566</v>
      </c>
      <c r="J4029" s="297">
        <f t="shared" si="305"/>
        <v>37</v>
      </c>
      <c r="K4029" s="297">
        <f>J4029/POBLA!$B$20*100000</f>
        <v>10.117638051069461</v>
      </c>
      <c r="L4029" s="549">
        <f t="shared" si="302"/>
        <v>-7.7821011673151474E-3</v>
      </c>
      <c r="M4029" s="401">
        <f>SUM(C4029,C4005,C3981,C3957,C3933,C3909,C3885)/POBLA!$B$20*100000</f>
        <v>70.82346635748624</v>
      </c>
    </row>
    <row r="4030" spans="1:13" s="360" customFormat="1" x14ac:dyDescent="0.25">
      <c r="A4030" s="19" t="s">
        <v>22</v>
      </c>
      <c r="B4030" s="2">
        <v>44060</v>
      </c>
      <c r="C4030" s="1">
        <v>139</v>
      </c>
      <c r="D4030" s="39">
        <f t="shared" si="307"/>
        <v>3432</v>
      </c>
      <c r="E4030" s="1">
        <f>1</f>
        <v>1</v>
      </c>
      <c r="F4030" s="39">
        <f t="shared" si="308"/>
        <v>32</v>
      </c>
      <c r="G4030" s="168">
        <f>SUM(C4030,C4006,C3982,C3958,C3934,C3910,C3886,C3862,C3838,C3814,C3790,C3766,C3742,C3718)/POBLA!$B$21*100000</f>
        <v>56.469568925392871</v>
      </c>
      <c r="H4030" s="256">
        <f t="shared" si="306"/>
        <v>2.7852161785216181</v>
      </c>
      <c r="I4030" s="297">
        <f t="shared" si="304"/>
        <v>157.27995696514586</v>
      </c>
      <c r="J4030" s="297">
        <f t="shared" si="305"/>
        <v>165.14285714285714</v>
      </c>
      <c r="K4030" s="297">
        <f>J4030/POBLA!$B$21*100000</f>
        <v>4.6697776434476115</v>
      </c>
      <c r="L4030" s="549">
        <f t="shared" si="302"/>
        <v>-0.37455410225921515</v>
      </c>
      <c r="M4030" s="401">
        <f>SUM(C4030,C4006,C3982,C3958,C3934,C3910,C3886)/POBLA!$B$21*100000</f>
        <v>32.688443504133275</v>
      </c>
    </row>
    <row r="4031" spans="1:13" s="360" customFormat="1" x14ac:dyDescent="0.25">
      <c r="A4031" s="19" t="s">
        <v>38</v>
      </c>
      <c r="B4031" s="2">
        <v>44060</v>
      </c>
      <c r="C4031" s="1">
        <v>44</v>
      </c>
      <c r="D4031" s="39">
        <f t="shared" si="307"/>
        <v>325</v>
      </c>
      <c r="E4031" s="1"/>
      <c r="F4031" s="39">
        <f t="shared" si="308"/>
        <v>1</v>
      </c>
      <c r="G4031" s="168">
        <f>SUM(C4031,C4007,C3983,C3959,C3935,C3911,C3887,C3863,C3839,C3815,C3791,C3767,C3743,C3719)/POBLA!$B$22*100000</f>
        <v>28.314046731465289</v>
      </c>
      <c r="H4031" s="256">
        <f t="shared" si="306"/>
        <v>27.7</v>
      </c>
      <c r="I4031" s="297">
        <f t="shared" si="304"/>
        <v>784.29909446158854</v>
      </c>
      <c r="J4031" s="297">
        <f t="shared" si="305"/>
        <v>26.714285714285715</v>
      </c>
      <c r="K4031" s="297">
        <f>J4031/POBLA!$B$22*100000</f>
        <v>2.7306481375884522</v>
      </c>
      <c r="L4031" s="549">
        <f t="shared" si="302"/>
        <v>-1.0777777777777779</v>
      </c>
      <c r="M4031" s="401">
        <f>SUM(C4031,C4007,C3983,C3959,C3935,C3911,C3887)/POBLA!$B$22*100000</f>
        <v>19.114536963119168</v>
      </c>
    </row>
    <row r="4032" spans="1:13" s="360" customFormat="1" x14ac:dyDescent="0.25">
      <c r="A4032" s="19" t="s">
        <v>39</v>
      </c>
      <c r="B4032" s="2">
        <v>44060</v>
      </c>
      <c r="C4032" s="1">
        <v>60</v>
      </c>
      <c r="D4032" s="39">
        <f t="shared" si="307"/>
        <v>1478</v>
      </c>
      <c r="E4032" s="1">
        <f>1</f>
        <v>1</v>
      </c>
      <c r="F4032" s="39">
        <f t="shared" si="308"/>
        <v>17</v>
      </c>
      <c r="G4032" s="168">
        <f>SUM(C4032,C4008,C3984,C3960,C3936,C3912,C3888,C3864,C3840,C3816,C3792,C3768,C3744,C3720)/POBLA!$B$23*100000</f>
        <v>471.07391279760225</v>
      </c>
      <c r="H4032" s="256">
        <f t="shared" si="306"/>
        <v>2.05679012345679</v>
      </c>
      <c r="I4032" s="297">
        <f t="shared" si="304"/>
        <v>968.9001712602535</v>
      </c>
      <c r="J4032" s="297">
        <f t="shared" si="305"/>
        <v>60.428571428571431</v>
      </c>
      <c r="K4032" s="297">
        <f>J4032/POBLA!$B$23*100000</f>
        <v>34.173257608195122</v>
      </c>
      <c r="L4032" s="549">
        <f t="shared" si="302"/>
        <v>-3.170731707317076E-2</v>
      </c>
      <c r="M4032" s="401">
        <f>SUM(C4032,C4008,C3984,C3960,C3936,C3912,C3888)/POBLA!$B$23*100000</f>
        <v>239.21280325736586</v>
      </c>
    </row>
    <row r="4033" spans="1:13" s="360" customFormat="1" ht="15.75" thickBot="1" x14ac:dyDescent="0.3">
      <c r="A4033" s="19" t="s">
        <v>40</v>
      </c>
      <c r="B4033" s="2">
        <v>44060</v>
      </c>
      <c r="C4033" s="1">
        <v>30</v>
      </c>
      <c r="D4033" s="39">
        <f t="shared" si="307"/>
        <v>640</v>
      </c>
      <c r="E4033" s="1"/>
      <c r="F4033" s="39">
        <f t="shared" si="308"/>
        <v>5</v>
      </c>
      <c r="G4033" s="177">
        <f>SUM(C4033,C4009,C3985,C3961,C3937,C3913,C3889,C3865,C3841,C3817,C3793,C3769,C3745,C3721)/POBLA!$B$24*100000</f>
        <v>21.656312549567584</v>
      </c>
      <c r="H4033" s="402">
        <f t="shared" si="306"/>
        <v>2.1588235294117646</v>
      </c>
      <c r="I4033" s="403">
        <f t="shared" si="304"/>
        <v>46.752157092301779</v>
      </c>
      <c r="J4033" s="403">
        <f t="shared" si="305"/>
        <v>30.571428571428573</v>
      </c>
      <c r="K4033" s="403">
        <f>J4033/POBLA!$B$24*100000</f>
        <v>1.803990224058958</v>
      </c>
      <c r="L4033" s="550">
        <f t="shared" si="302"/>
        <v>-0.39869281045751626</v>
      </c>
      <c r="M4033" s="405">
        <f>SUM(C4033,C4009,C3985,C3961,C3937,C3913,C3889)/POBLA!$B$24*100000</f>
        <v>12.627931568412704</v>
      </c>
    </row>
    <row r="4034" spans="1:13" s="360" customFormat="1" x14ac:dyDescent="0.25">
      <c r="A4034" s="361" t="s">
        <v>16</v>
      </c>
      <c r="B4034" s="2">
        <v>44061</v>
      </c>
      <c r="C4034" s="1">
        <v>4585</v>
      </c>
      <c r="D4034" s="39">
        <v>190199</v>
      </c>
      <c r="E4034" s="1">
        <v>132</v>
      </c>
      <c r="F4034" s="39">
        <f t="shared" si="308"/>
        <v>3520</v>
      </c>
      <c r="G4034" s="175">
        <f>SUM(C4034,C4010,C3986,C3962,C3938,C3914,C3890,C3866,C3842,C3818,C3794,C3770,C3746,C3722)/POBLA!$B$1*100000</f>
        <v>346.37427519680733</v>
      </c>
      <c r="H4034" s="300">
        <f t="shared" si="306"/>
        <v>1.1543927648578811</v>
      </c>
      <c r="I4034" s="301">
        <f>G4034*H4034</f>
        <v>399.851957220087</v>
      </c>
      <c r="J4034" s="301">
        <f>AVERAGE(C4034,C4010,C3986,C3962,C3938,C3914,C3890)</f>
        <v>4137.1428571428569</v>
      </c>
      <c r="K4034" s="301">
        <f>J4034/POBLA!$B$1*100000</f>
        <v>23.585369145273141</v>
      </c>
      <c r="L4034" s="548">
        <f t="shared" ref="L4034:L4057" si="309">1-SUM(C4034,C4010,C3986,C3962,C3938,C3914,C3890)/SUM(C3866,C3842,C3818,C3794,C3770,C3746,C3722)</f>
        <v>8.9250896282785042E-2</v>
      </c>
      <c r="M4034" s="400">
        <f>SUM(C4034,C4010,C3986,C3962,C3938,C3914,C3890)/POBLA!$B$1*100000</f>
        <v>165.09758401691201</v>
      </c>
    </row>
    <row r="4035" spans="1:13" s="360" customFormat="1" x14ac:dyDescent="0.25">
      <c r="A4035" s="19" t="s">
        <v>43</v>
      </c>
      <c r="B4035" s="2">
        <v>44061</v>
      </c>
      <c r="C4035" s="1">
        <v>1051</v>
      </c>
      <c r="D4035" s="39">
        <v>79252</v>
      </c>
      <c r="E4035" s="1">
        <v>60</v>
      </c>
      <c r="F4035" s="39">
        <f t="shared" ref="F4035:F4073" si="310">E4035+F4011</f>
        <v>1766</v>
      </c>
      <c r="G4035" s="168">
        <f>SUM(C4035,C4011,C3987,C3963,C3939,C3915,C3891,C3867,C3843,C3819,C3795,C3771,C3747,C3723)/POBLA!$B$2*100000</f>
        <v>265.11503599568999</v>
      </c>
      <c r="H4035" s="256">
        <f>SUM(C4035,C4011,C3987,C3963,C3939,C3918,C3894,C3870,C3846,C3822,C3798,C3774,C3750,C3726)/SUM(C3702,C3678,C3654,C3630,C3606,C3582,C3558,C3534,C3510,C3486,C3462,C3438,C3414,C3390)</f>
        <v>0.73800691606413082</v>
      </c>
      <c r="I4035" s="297">
        <f t="shared" ref="I4035:I4057" si="311">G4035*H4035</f>
        <v>195.65673011741021</v>
      </c>
      <c r="J4035" s="297">
        <f t="shared" ref="J4035:J4057" si="312">AVERAGE(C4035,C4011,C3987,C3963,C3939,C3915,C3891)</f>
        <v>993.57142857142856</v>
      </c>
      <c r="K4035" s="297">
        <f>J4035/POBLA!$B$2*100000</f>
        <v>32.304479402747539</v>
      </c>
      <c r="L4035" s="549">
        <f t="shared" si="309"/>
        <v>-4.8006672226855711</v>
      </c>
      <c r="M4035" s="401">
        <f>SUM(C4035,C4011,C3987,C3963,C3939,C3915,C3891)/POBLA!$B$2*100000</f>
        <v>226.13135581923279</v>
      </c>
    </row>
    <row r="4036" spans="1:13" s="360" customFormat="1" x14ac:dyDescent="0.25">
      <c r="A4036" s="19" t="s">
        <v>28</v>
      </c>
      <c r="B4036" s="2">
        <v>44061</v>
      </c>
      <c r="C4036" s="1">
        <v>-1</v>
      </c>
      <c r="D4036" s="39">
        <f>C4036+D4012</f>
        <v>64</v>
      </c>
      <c r="E4036" s="1"/>
      <c r="F4036" s="39">
        <f t="shared" si="310"/>
        <v>0</v>
      </c>
      <c r="G4036" s="168">
        <f>SUM(C4036,C4012,C3988,C3964,C3940,C3916,C3892,C3868,C3844,C3820,C3796,C3772,C3748,C3724)/POBLA!$B$3*100000</f>
        <v>79.915655284302346</v>
      </c>
      <c r="H4036" s="256">
        <f t="shared" si="306"/>
        <v>0.4585635359116022</v>
      </c>
      <c r="I4036" s="297">
        <f t="shared" si="311"/>
        <v>36.6464054618624</v>
      </c>
      <c r="J4036" s="297">
        <f t="shared" si="312"/>
        <v>0.2857142857142857</v>
      </c>
      <c r="K4036" s="297">
        <f>J4036/POBLA!$B$3*100000</f>
        <v>6.8774230020914234E-2</v>
      </c>
      <c r="L4036" s="549">
        <f t="shared" si="309"/>
        <v>0.9939393939393939</v>
      </c>
      <c r="M4036" s="401">
        <f>SUM(C4036,C4012,C3988,C3964,C3940,C3916,C3892)/POBLA!$B$3*100000</f>
        <v>0.48141961014639967</v>
      </c>
    </row>
    <row r="4037" spans="1:13" s="360" customFormat="1" x14ac:dyDescent="0.25">
      <c r="A4037" s="19" t="s">
        <v>15</v>
      </c>
      <c r="B4037" s="2">
        <v>44061</v>
      </c>
      <c r="C4037" s="1">
        <v>45</v>
      </c>
      <c r="D4037" s="39">
        <f>C4037+D4013</f>
        <v>4549</v>
      </c>
      <c r="E4037" s="1">
        <f>1+2</f>
        <v>3</v>
      </c>
      <c r="F4037" s="39">
        <f t="shared" si="310"/>
        <v>187</v>
      </c>
      <c r="G4037" s="168">
        <f>SUM(C4037,C4013,C3989,C3965,C3941,C3917,C3893,C3869,C3845,C3821,C3797,C3773,C3749,C3725)/POBLA!$B$4*100000</f>
        <v>43.25299014313336</v>
      </c>
      <c r="H4037" s="256">
        <f t="shared" si="306"/>
        <v>13.025</v>
      </c>
      <c r="I4037" s="297">
        <f t="shared" si="311"/>
        <v>563.37019661431202</v>
      </c>
      <c r="J4037" s="297">
        <f t="shared" si="312"/>
        <v>56.428571428571431</v>
      </c>
      <c r="K4037" s="297">
        <f>J4037/POBLA!$B$4*100000</f>
        <v>4.6846534429771536</v>
      </c>
      <c r="L4037" s="549">
        <f t="shared" si="309"/>
        <v>-2.1349206349206349</v>
      </c>
      <c r="M4037" s="401">
        <f>SUM(C4037,C4013,C3989,C3965,C3941,C3917,C3893)/POBLA!$B$4*100000</f>
        <v>32.792574100840071</v>
      </c>
    </row>
    <row r="4038" spans="1:13" s="360" customFormat="1" x14ac:dyDescent="0.25">
      <c r="A4038" s="19" t="s">
        <v>29</v>
      </c>
      <c r="B4038" s="2">
        <v>44061</v>
      </c>
      <c r="C4038" s="1">
        <v>7</v>
      </c>
      <c r="D4038" s="39">
        <v>424</v>
      </c>
      <c r="E4038" s="1"/>
      <c r="F4038" s="39">
        <f t="shared" si="310"/>
        <v>5</v>
      </c>
      <c r="G4038" s="168">
        <f>SUM(C4038,C4014,C3990,C3966,C3942,C3918,C3894,C3870,C3846,C3822,C3798,C3774,C3750,C3726)/POBLA!$B$5*100000</f>
        <v>1148.9610561653262</v>
      </c>
      <c r="H4038" s="256">
        <f t="shared" si="306"/>
        <v>0.44715498270983967</v>
      </c>
      <c r="I4038" s="297">
        <f t="shared" si="311"/>
        <v>513.76366120388559</v>
      </c>
      <c r="J4038" s="297">
        <f t="shared" si="312"/>
        <v>9.7142857142857135</v>
      </c>
      <c r="K4038" s="297">
        <f>J4038/POBLA!$B$5*100000</f>
        <v>1.5693667005311382</v>
      </c>
      <c r="L4038" s="549">
        <f t="shared" si="309"/>
        <v>0.99034639409426461</v>
      </c>
      <c r="M4038" s="401">
        <f>SUM(C4038,C4014,C3990,C3966,C3942,C3918,C3894)/POBLA!$B$5*100000</f>
        <v>10.985566903717968</v>
      </c>
    </row>
    <row r="4039" spans="1:13" s="360" customFormat="1" x14ac:dyDescent="0.25">
      <c r="A4039" s="19" t="s">
        <v>20</v>
      </c>
      <c r="B4039" s="2">
        <v>44061</v>
      </c>
      <c r="C4039" s="1">
        <v>227</v>
      </c>
      <c r="D4039" s="39">
        <v>4991</v>
      </c>
      <c r="E4039" s="1">
        <f>1+4</f>
        <v>5</v>
      </c>
      <c r="F4039" s="39">
        <f t="shared" si="310"/>
        <v>84</v>
      </c>
      <c r="G4039" s="168">
        <f>SUM(C4039,C4015,C3991,C3967,C3943,C3919,C3895,C3871,C3847,C3823,C3799,C3775,C3751,C3727)/POBLA!$B$6*100000</f>
        <v>203.15827698226536</v>
      </c>
      <c r="H4039" s="256">
        <f t="shared" si="306"/>
        <v>1.7030665669409124</v>
      </c>
      <c r="I4039" s="297">
        <f t="shared" si="311"/>
        <v>345.99206932581768</v>
      </c>
      <c r="J4039" s="297">
        <f t="shared" si="312"/>
        <v>165.85714285714286</v>
      </c>
      <c r="K4039" s="297">
        <f>J4039/POBLA!$B$6*100000</f>
        <v>14.798090192384095</v>
      </c>
      <c r="L4039" s="549">
        <f t="shared" si="309"/>
        <v>-4.0322580645161255E-2</v>
      </c>
      <c r="M4039" s="401">
        <f>SUM(C4039,C4015,C3991,C3967,C3943,C3919,C3895)/POBLA!$B$6*100000</f>
        <v>103.58663134668866</v>
      </c>
    </row>
    <row r="4040" spans="1:13" s="360" customFormat="1" x14ac:dyDescent="0.25">
      <c r="A4040" s="19" t="s">
        <v>30</v>
      </c>
      <c r="B4040" s="2">
        <v>44061</v>
      </c>
      <c r="C4040" s="1">
        <v>3</v>
      </c>
      <c r="D4040" s="39">
        <v>233</v>
      </c>
      <c r="E4040" s="1"/>
      <c r="F4040" s="39">
        <f t="shared" si="310"/>
        <v>2</v>
      </c>
      <c r="G4040" s="168">
        <f>SUM(C4040,C4016,C3992,C3968,C3944,C3920,C3896,C3872,C3848,C3824,C3800,C3776,C3752,C3728)/POBLA!$B$7*100000</f>
        <v>1.1168876065364517</v>
      </c>
      <c r="H4040" s="256">
        <f t="shared" si="306"/>
        <v>0.68852459016393441</v>
      </c>
      <c r="I4040" s="297">
        <f t="shared" si="311"/>
        <v>0.76900458154968798</v>
      </c>
      <c r="J4040" s="297">
        <f t="shared" si="312"/>
        <v>2.2857142857142856</v>
      </c>
      <c r="K4040" s="297">
        <f>J4040/POBLA!$B$7*100000</f>
        <v>6.0782998995181046E-2</v>
      </c>
      <c r="L4040" s="549">
        <f t="shared" si="309"/>
        <v>0.38461538461538458</v>
      </c>
      <c r="M4040" s="401">
        <f>SUM(C4040,C4016,C3992,C3968,C3944,C3920,C3896)/POBLA!$B$7*100000</f>
        <v>0.42548099296626729</v>
      </c>
    </row>
    <row r="4041" spans="1:13" x14ac:dyDescent="0.25">
      <c r="A4041" s="19" t="s">
        <v>31</v>
      </c>
      <c r="B4041" s="2">
        <v>44061</v>
      </c>
      <c r="C4041" s="1">
        <v>46</v>
      </c>
      <c r="D4041" s="39">
        <v>1750</v>
      </c>
      <c r="F4041" s="39">
        <f t="shared" si="310"/>
        <v>26</v>
      </c>
      <c r="G4041" s="168">
        <f>SUM(C4041,C4017,C3993,C3969,C3945,C3921,C3897,C3873,C3849,C3825,C3801,C3777,C3753,C3729)/POBLA!$B$8*100000</f>
        <v>61.473591248238591</v>
      </c>
      <c r="H4041" s="256">
        <f t="shared" si="306"/>
        <v>3.5206611570247932</v>
      </c>
      <c r="I4041" s="297">
        <f t="shared" si="311"/>
        <v>216.42768489049288</v>
      </c>
      <c r="J4041" s="297">
        <f t="shared" si="312"/>
        <v>72.285714285714292</v>
      </c>
      <c r="K4041" s="297">
        <f>J4041/POBLA!$B$8*100000</f>
        <v>5.2155662594917382</v>
      </c>
      <c r="L4041" s="549">
        <f t="shared" si="309"/>
        <v>-0.46242774566473988</v>
      </c>
      <c r="M4041" s="401">
        <f>SUM(C4041,C4017,C3993,C3969,C3945,C3921,C3897)/POBLA!$B$8*100000</f>
        <v>36.508963816442169</v>
      </c>
    </row>
    <row r="4042" spans="1:13" s="360" customFormat="1" x14ac:dyDescent="0.25">
      <c r="A4042" s="19" t="s">
        <v>41</v>
      </c>
      <c r="B4042" s="2">
        <v>44061</v>
      </c>
      <c r="C4042" s="1">
        <v>-1</v>
      </c>
      <c r="D4042" s="39">
        <v>79</v>
      </c>
      <c r="E4042" s="1">
        <v>1</v>
      </c>
      <c r="F4042" s="39">
        <f>E4042+F4018</f>
        <v>1</v>
      </c>
      <c r="G4042" s="168">
        <f>SUM(C4042,C4018,C3994,C3970,C3946,C3922,C3898,C3874,C3850,C3826,C3802,C3778,C3754,C3730)/POBLA!$B$9*100000</f>
        <v>-0.49570963312530053</v>
      </c>
      <c r="H4042" s="256">
        <f>SUM(C4042,C4018,C3994,C3970,C3946,C3922,C3898,C3874,C3850,C3826,C3802,C3778,C3754,C3730)/SUM(C3706,C3682,C3658,C3634,C3610,C3586,C3562,C3538,C3514,C3490,C3466,C3442,C3418,C3394)</f>
        <v>-0.42857142857142855</v>
      </c>
      <c r="I4042" s="297">
        <f t="shared" si="311"/>
        <v>0.21244698562512879</v>
      </c>
      <c r="J4042" s="297">
        <f t="shared" si="312"/>
        <v>-0.14285714285714285</v>
      </c>
      <c r="K4042" s="297">
        <f>J4042/POBLA!$B$9*100000</f>
        <v>-2.3605220625014311E-2</v>
      </c>
      <c r="L4042" s="549">
        <f t="shared" si="309"/>
        <v>0.5</v>
      </c>
      <c r="M4042" s="401">
        <f>SUM(C4042,C4018,C3994,C3970,C3946,C3922,C3898)/POBLA!$B$9*100000</f>
        <v>-0.16523654437510019</v>
      </c>
    </row>
    <row r="4043" spans="1:13" s="360" customFormat="1" x14ac:dyDescent="0.25">
      <c r="A4043" s="19" t="s">
        <v>32</v>
      </c>
      <c r="B4043" s="2">
        <v>44061</v>
      </c>
      <c r="C4043" s="1">
        <v>218</v>
      </c>
      <c r="D4043" s="39">
        <v>5227</v>
      </c>
      <c r="E4043" s="1">
        <f>3+7+5+1</f>
        <v>16</v>
      </c>
      <c r="F4043" s="39">
        <f t="shared" si="310"/>
        <v>73</v>
      </c>
      <c r="G4043" s="168">
        <f>SUM(C4043,C4019,C3995,C3971,C3947,C3923,C3899,C3875,C3851,C3827,C3803,C3779,C3755,C3731)/POBLA!$B$10*100000</f>
        <v>320.93150564094844</v>
      </c>
      <c r="H4043" s="256">
        <f t="shared" ref="H4043:H4065" si="313">SUM(C4043,C4019,C3995,C3971,C3947,C3923,C3899,C3875,C3851,C3827,C3803,C3779,C3755,C3731)/SUM(C3707,C3683,C3659,C3635,C3611,C3587,C3563,C3539,C3515,C3491,C3467,C3443,C3419,C3395)</f>
        <v>1.3265415549597854</v>
      </c>
      <c r="I4043" s="297">
        <f t="shared" si="311"/>
        <v>425.7289785285289</v>
      </c>
      <c r="J4043" s="297">
        <f t="shared" si="312"/>
        <v>191.42857142857142</v>
      </c>
      <c r="K4043" s="297">
        <f>J4043/POBLA!$B$10*100000</f>
        <v>24.832441249501727</v>
      </c>
      <c r="L4043" s="549">
        <f t="shared" si="309"/>
        <v>-0.18165784832451504</v>
      </c>
      <c r="M4043" s="401">
        <f>SUM(C4043,C4019,C3995,C3971,C3947,C3923,C3899)/POBLA!$B$10*100000</f>
        <v>173.82708874651209</v>
      </c>
    </row>
    <row r="4044" spans="1:13" s="360" customFormat="1" x14ac:dyDescent="0.25">
      <c r="A4044" s="19" t="s">
        <v>33</v>
      </c>
      <c r="B4044" s="2">
        <v>44061</v>
      </c>
      <c r="C4044" s="1">
        <v>-1</v>
      </c>
      <c r="D4044" s="39">
        <v>184</v>
      </c>
      <c r="E4044" s="1"/>
      <c r="F4044" s="39">
        <f t="shared" si="310"/>
        <v>1</v>
      </c>
      <c r="G4044" s="168">
        <f>SUM(C4044,C4020,C3996,C3972,C3948,C3924,C3900,C3876,C3852,C3828,C3804,C3780,C3756,C3732)/POBLA!$B$11*100000</f>
        <v>6.9749015143906163</v>
      </c>
      <c r="H4044" s="256">
        <f t="shared" si="313"/>
        <v>0.13966480446927373</v>
      </c>
      <c r="I4044" s="297">
        <f t="shared" si="311"/>
        <v>0.97414825619980672</v>
      </c>
      <c r="J4044" s="297">
        <f t="shared" si="312"/>
        <v>0.5714285714285714</v>
      </c>
      <c r="K4044" s="297">
        <f>J4044/POBLA!$B$11*100000</f>
        <v>0.15942632032892837</v>
      </c>
      <c r="L4044" s="549">
        <f t="shared" si="309"/>
        <v>0.80952380952380953</v>
      </c>
      <c r="M4044" s="401">
        <f>SUM(C4044,C4020,C3996,C3972,C3948,C3924,C3900)/POBLA!$B$11*100000</f>
        <v>1.1159842423024988</v>
      </c>
    </row>
    <row r="4045" spans="1:13" s="360" customFormat="1" x14ac:dyDescent="0.25">
      <c r="A4045" s="19" t="s">
        <v>21</v>
      </c>
      <c r="B4045" s="2">
        <v>44061</v>
      </c>
      <c r="C4045" s="1">
        <v>56</v>
      </c>
      <c r="D4045" s="39">
        <v>851</v>
      </c>
      <c r="E4045" s="1"/>
      <c r="F4045" s="39">
        <f t="shared" si="310"/>
        <v>1</v>
      </c>
      <c r="G4045" s="168">
        <f>SUM(C4045,C4021,C3997,C3973,C3949,C3925,C3901,C3877,C3853,C3829,C3805,C3781,C3757,C3733)/POBLA!$B$12*100000</f>
        <v>119.17739644399043</v>
      </c>
      <c r="H4045" s="256">
        <f t="shared" si="313"/>
        <v>2.405128205128205</v>
      </c>
      <c r="I4045" s="297">
        <f t="shared" si="311"/>
        <v>286.63691760118724</v>
      </c>
      <c r="J4045" s="297">
        <f t="shared" si="312"/>
        <v>47.285714285714285</v>
      </c>
      <c r="K4045" s="297">
        <f>J4045/POBLA!$B$12*100000</f>
        <v>12.015753342357854</v>
      </c>
      <c r="L4045" s="549">
        <f t="shared" si="309"/>
        <v>-1.3985507246376812</v>
      </c>
      <c r="M4045" s="401">
        <f>SUM(C4045,C4021,C3997,C3973,C3949,C3925,C3901)/POBLA!$B$12*100000</f>
        <v>84.110273396504979</v>
      </c>
    </row>
    <row r="4046" spans="1:13" s="360" customFormat="1" x14ac:dyDescent="0.25">
      <c r="A4046" s="19" t="s">
        <v>17</v>
      </c>
      <c r="B4046" s="2">
        <v>44061</v>
      </c>
      <c r="C4046" s="1">
        <v>124</v>
      </c>
      <c r="D4046" s="39">
        <v>3623</v>
      </c>
      <c r="E4046" s="1">
        <f>7+1</f>
        <v>8</v>
      </c>
      <c r="F4046" s="39">
        <f t="shared" si="310"/>
        <v>35</v>
      </c>
      <c r="G4046" s="168">
        <f>SUM(C4046,C4022,C3998,C3974,C3950,C3926,C3902,C3878,C3854,C3830,C3806,C3782,C3758,C3734)/POBLA!$B$13*100000</f>
        <v>102.69612497977731</v>
      </c>
      <c r="H4046" s="256">
        <f t="shared" si="313"/>
        <v>2.0177690029615003</v>
      </c>
      <c r="I4046" s="297">
        <f t="shared" si="311"/>
        <v>207.21705770845489</v>
      </c>
      <c r="J4046" s="297">
        <f t="shared" si="312"/>
        <v>175.85714285714286</v>
      </c>
      <c r="K4046" s="297">
        <f>J4046/POBLA!$B$13*100000</f>
        <v>8.8355416445419248</v>
      </c>
      <c r="L4046" s="549">
        <f t="shared" si="309"/>
        <v>-0.51414514145141443</v>
      </c>
      <c r="M4046" s="401">
        <f>SUM(C4046,C4022,C3998,C3974,C3950,C3926,C3902)/POBLA!$B$13*100000</f>
        <v>61.848791511793472</v>
      </c>
    </row>
    <row r="4047" spans="1:13" s="360" customFormat="1" x14ac:dyDescent="0.25">
      <c r="A4047" s="19" t="s">
        <v>23</v>
      </c>
      <c r="B4047" s="2">
        <v>44061</v>
      </c>
      <c r="C4047" s="1">
        <v>0</v>
      </c>
      <c r="D4047" s="39">
        <v>55</v>
      </c>
      <c r="E4047" s="1"/>
      <c r="F4047" s="39">
        <f t="shared" si="310"/>
        <v>2</v>
      </c>
      <c r="G4047" s="168">
        <f>SUM(C4047,C4023,C3999,C3975,C3951,C3927,C3903,C3879,C3855,C3831,C3807,C3783,C3759,C3735)/POBLA!$B$14*100000</f>
        <v>0.31713462523408498</v>
      </c>
      <c r="H4047" s="256">
        <f t="shared" si="313"/>
        <v>0.4</v>
      </c>
      <c r="I4047" s="297">
        <f t="shared" si="311"/>
        <v>0.12685385009363401</v>
      </c>
      <c r="J4047" s="297">
        <f t="shared" si="312"/>
        <v>0.14285714285714285</v>
      </c>
      <c r="K4047" s="297">
        <f>J4047/POBLA!$B$14*100000</f>
        <v>1.1326236615503036E-2</v>
      </c>
      <c r="L4047" s="549">
        <f t="shared" si="309"/>
        <v>0.66666666666666674</v>
      </c>
      <c r="M4047" s="401">
        <f>SUM(C4047,C4023,C3999,C3975,C3951,C3927,C3903)/POBLA!$B$14*100000</f>
        <v>7.9283656308521244E-2</v>
      </c>
    </row>
    <row r="4048" spans="1:13" s="360" customFormat="1" x14ac:dyDescent="0.25">
      <c r="A4048" s="19" t="s">
        <v>19</v>
      </c>
      <c r="B4048" s="2">
        <v>44061</v>
      </c>
      <c r="C4048" s="1">
        <v>13</v>
      </c>
      <c r="D4048" s="39">
        <v>1911</v>
      </c>
      <c r="E4048" s="1">
        <v>2</v>
      </c>
      <c r="F4048" s="39">
        <f t="shared" si="310"/>
        <v>7</v>
      </c>
      <c r="G4048" s="168">
        <f>SUM(C4048,C4024,C4000,C3976,C3952,C3928,C3904,C3880,C3856,C3832,C3808,C3784,C3760,C3736)/POBLA!$B$15*100000</f>
        <v>100.74436381214264</v>
      </c>
      <c r="H4048" s="256">
        <f t="shared" si="313"/>
        <v>2.1580645161290324</v>
      </c>
      <c r="I4048" s="297">
        <f t="shared" si="311"/>
        <v>217.41283674297881</v>
      </c>
      <c r="J4048" s="297">
        <f t="shared" si="312"/>
        <v>58.857142857142854</v>
      </c>
      <c r="K4048" s="297">
        <f>J4048/POBLA!$B$15*100000</f>
        <v>8.8632666860138283</v>
      </c>
      <c r="L4048" s="549">
        <f t="shared" si="309"/>
        <v>-0.60311284046692615</v>
      </c>
      <c r="M4048" s="401">
        <f>SUM(C4048,C4024,C4000,C3976,C3952,C3928,C3904)/POBLA!$B$15*100000</f>
        <v>62.04286680209681</v>
      </c>
    </row>
    <row r="4049" spans="1:13" s="360" customFormat="1" x14ac:dyDescent="0.25">
      <c r="A4049" s="19" t="s">
        <v>18</v>
      </c>
      <c r="B4049" s="2">
        <v>44061</v>
      </c>
      <c r="C4049" s="1">
        <v>138</v>
      </c>
      <c r="D4049" s="39">
        <f>C4049+D4025</f>
        <v>4074</v>
      </c>
      <c r="E4049" s="1">
        <v>2</v>
      </c>
      <c r="F4049" s="39">
        <f t="shared" si="310"/>
        <v>33</v>
      </c>
      <c r="G4049" s="168">
        <f>SUM(C4049,C4025,C4001,C3977,C3953,C3929,C3905,C3881,C3857,C3833,C3809,C3785,C3761,C3737)/POBLA!$B$16*100000</f>
        <v>234.21302550795201</v>
      </c>
      <c r="H4049" s="256">
        <f t="shared" si="313"/>
        <v>1.8470464135021096</v>
      </c>
      <c r="I4049" s="297">
        <f t="shared" si="311"/>
        <v>432.60232875994086</v>
      </c>
      <c r="J4049" s="297">
        <f t="shared" si="312"/>
        <v>125.57142857142857</v>
      </c>
      <c r="K4049" s="297">
        <f>J4049/POBLA!$B$16*100000</f>
        <v>16.796381612261548</v>
      </c>
      <c r="L4049" s="549">
        <f t="shared" si="309"/>
        <v>-8.0275229357797961E-3</v>
      </c>
      <c r="M4049" s="401">
        <f>SUM(C4049,C4025,C4001,C3977,C3953,C3929,C3905)/POBLA!$B$16*100000</f>
        <v>117.57467128583085</v>
      </c>
    </row>
    <row r="4050" spans="1:13" s="360" customFormat="1" x14ac:dyDescent="0.25">
      <c r="A4050" s="19" t="s">
        <v>34</v>
      </c>
      <c r="B4050" s="2">
        <v>44061</v>
      </c>
      <c r="C4050" s="1">
        <v>111</v>
      </c>
      <c r="D4050" s="39">
        <v>1287</v>
      </c>
      <c r="E4050" s="1">
        <v>1</v>
      </c>
      <c r="F4050" s="39">
        <f>E4050+F4026</f>
        <v>18</v>
      </c>
      <c r="G4050" s="168">
        <f>SUM(C4050,C4026,C4002,C3978,C3954,C3930,C3906,C3882,C3858,C3834,C3810,C3786,C3762,C3738)/POBLA!$B$17*100000</f>
        <v>66.624683989084502</v>
      </c>
      <c r="H4050" s="256">
        <f t="shared" si="313"/>
        <v>5.7865853658536581</v>
      </c>
      <c r="I4050" s="297">
        <f t="shared" si="311"/>
        <v>385.52942137586092</v>
      </c>
      <c r="J4050" s="297">
        <f t="shared" si="312"/>
        <v>87.285714285714292</v>
      </c>
      <c r="K4050" s="297">
        <f>J4050/POBLA!$B$17*100000</f>
        <v>6.1279063551604143</v>
      </c>
      <c r="L4050" s="549">
        <f t="shared" si="309"/>
        <v>-0.80769230769230771</v>
      </c>
      <c r="M4050" s="401">
        <f>SUM(C4050,C4026,C4002,C3978,C3954,C3930,C3906)/POBLA!$B$17*100000</f>
        <v>42.895344486122902</v>
      </c>
    </row>
    <row r="4051" spans="1:13" s="360" customFormat="1" x14ac:dyDescent="0.25">
      <c r="A4051" s="19" t="s">
        <v>35</v>
      </c>
      <c r="B4051" s="2">
        <v>44061</v>
      </c>
      <c r="C4051" s="1">
        <v>0</v>
      </c>
      <c r="D4051" s="39">
        <f>C4051+D4027</f>
        <v>22</v>
      </c>
      <c r="E4051" s="1"/>
      <c r="F4051" s="39">
        <f>E4051+F4027</f>
        <v>0</v>
      </c>
      <c r="G4051" s="168">
        <f>SUM(C4051,C4027,C4003,C3979,C3955,C3931,C3907,C3883,C3859,C3835,C3811,C3787,C3763,C3739)/POBLA!$B$18*100000</f>
        <v>0</v>
      </c>
      <c r="H4051" s="256">
        <f t="shared" si="313"/>
        <v>0</v>
      </c>
      <c r="I4051" s="297">
        <f t="shared" si="311"/>
        <v>0</v>
      </c>
      <c r="J4051" s="297">
        <f t="shared" si="312"/>
        <v>-0.14285714285714285</v>
      </c>
      <c r="K4051" s="297">
        <f>J4051/POBLA!$B$18*100000</f>
        <v>-1.8286486706912786E-2</v>
      </c>
      <c r="L4051" s="549">
        <f t="shared" si="309"/>
        <v>2</v>
      </c>
      <c r="M4051" s="401">
        <f>SUM(C4051,C4027,C4003,C3979,C3955,C3931,C3907)/POBLA!$B$18*100000</f>
        <v>-0.12800540694838949</v>
      </c>
    </row>
    <row r="4052" spans="1:13" s="360" customFormat="1" x14ac:dyDescent="0.25">
      <c r="A4052" s="19" t="s">
        <v>36</v>
      </c>
      <c r="B4052" s="2">
        <v>44061</v>
      </c>
      <c r="C4052" s="1">
        <v>2</v>
      </c>
      <c r="D4052" s="39">
        <f>C4052+D4028</f>
        <v>36</v>
      </c>
      <c r="E4052" s="1"/>
      <c r="F4052" s="39">
        <f t="shared" si="310"/>
        <v>0</v>
      </c>
      <c r="G4052" s="168">
        <f>SUM(C4052,C4028,C4004,C3980,C3956,C3932,C3908,C3884,C3860,C3836,C3812,C3788,C3764,C3740)/POBLA!$B$19*100000</f>
        <v>0.98361687729182723</v>
      </c>
      <c r="H4052" s="256">
        <f t="shared" si="313"/>
        <v>0.3125</v>
      </c>
      <c r="I4052" s="297">
        <f t="shared" si="311"/>
        <v>0.30738027415369601</v>
      </c>
      <c r="J4052" s="297">
        <f t="shared" si="312"/>
        <v>0.7142857142857143</v>
      </c>
      <c r="K4052" s="297">
        <f>J4052/POBLA!$B$19*100000</f>
        <v>0.14051669675597533</v>
      </c>
      <c r="L4052" s="549" t="e">
        <f t="shared" si="309"/>
        <v>#DIV/0!</v>
      </c>
      <c r="M4052" s="401">
        <f>SUM(C4052,C4028,C4004,C3980,C3956,C3932,C3908)/POBLA!$B$19*100000</f>
        <v>0.98361687729182723</v>
      </c>
    </row>
    <row r="4053" spans="1:13" s="360" customFormat="1" x14ac:dyDescent="0.25">
      <c r="A4053" s="19" t="s">
        <v>37</v>
      </c>
      <c r="B4053" s="2">
        <v>44061</v>
      </c>
      <c r="C4053" s="1">
        <v>22</v>
      </c>
      <c r="D4053" s="39">
        <v>1089</v>
      </c>
      <c r="E4053" s="1"/>
      <c r="F4053" s="39">
        <f t="shared" ref="F4053:F4058" si="314">E4053+F4029</f>
        <v>3</v>
      </c>
      <c r="G4053" s="168">
        <f>SUM(C4053,C4029,C4005,C3981,C3957,C3933,C3909,C3885,C3861,C3837,C3813,C3789,C3765,C3741)/POBLA!$B$20*100000</f>
        <v>142.74073142319619</v>
      </c>
      <c r="H4053" s="256">
        <f t="shared" si="313"/>
        <v>1.5263157894736843</v>
      </c>
      <c r="I4053" s="297">
        <f t="shared" si="311"/>
        <v>217.86743217224682</v>
      </c>
      <c r="J4053" s="297">
        <f t="shared" si="312"/>
        <v>36</v>
      </c>
      <c r="K4053" s="297">
        <f>J4053/POBLA!$B$20*100000</f>
        <v>9.8441883740135303</v>
      </c>
      <c r="L4053" s="549">
        <f t="shared" si="309"/>
        <v>6.6666666666666652E-2</v>
      </c>
      <c r="M4053" s="401">
        <f>SUM(C4053,C4029,C4005,C3981,C3957,C3933,C3909)/POBLA!$B$20*100000</f>
        <v>68.909318618094701</v>
      </c>
    </row>
    <row r="4054" spans="1:13" s="360" customFormat="1" x14ac:dyDescent="0.25">
      <c r="A4054" s="19" t="s">
        <v>22</v>
      </c>
      <c r="B4054" s="2">
        <v>44061</v>
      </c>
      <c r="C4054" s="1">
        <v>129</v>
      </c>
      <c r="D4054" s="39">
        <f>C4054+D4030</f>
        <v>3561</v>
      </c>
      <c r="E4054" s="1">
        <v>2</v>
      </c>
      <c r="F4054" s="39">
        <f t="shared" si="314"/>
        <v>34</v>
      </c>
      <c r="G4054" s="168">
        <f>SUM(C4054,C4030,C4006,C3982,C3958,C3934,C3910,C3886,C3862,C3838,C3814,C3790,C3766,C3742)/POBLA!$B$21*100000</f>
        <v>57.261330532759416</v>
      </c>
      <c r="H4054" s="256">
        <f t="shared" si="313"/>
        <v>2.5862068965517242</v>
      </c>
      <c r="I4054" s="297">
        <f t="shared" si="311"/>
        <v>148.08964792955021</v>
      </c>
      <c r="J4054" s="297">
        <f t="shared" si="312"/>
        <v>161.42857142857142</v>
      </c>
      <c r="K4054" s="297">
        <f>J4054/POBLA!$B$21*100000</f>
        <v>4.5647480424704154</v>
      </c>
      <c r="L4054" s="549">
        <f t="shared" si="309"/>
        <v>-0.26256983240223453</v>
      </c>
      <c r="M4054" s="401">
        <f>SUM(C4054,C4030,C4006,C3982,C3958,C3934,C3910)/POBLA!$B$21*100000</f>
        <v>31.953236297292907</v>
      </c>
    </row>
    <row r="4055" spans="1:13" s="360" customFormat="1" x14ac:dyDescent="0.25">
      <c r="A4055" s="19" t="s">
        <v>38</v>
      </c>
      <c r="B4055" s="2">
        <v>44061</v>
      </c>
      <c r="C4055" s="1">
        <v>12</v>
      </c>
      <c r="D4055" s="39">
        <v>338</v>
      </c>
      <c r="E4055" s="1"/>
      <c r="F4055" s="39">
        <f t="shared" si="314"/>
        <v>1</v>
      </c>
      <c r="G4055" s="168">
        <f>SUM(C4055,C4031,C4007,C3983,C3959,C3935,C3911,C3887,C3863,C3839,C3815,C3791,C3767,C3743)/POBLA!$B$22*100000</f>
        <v>29.438431258707592</v>
      </c>
      <c r="H4055" s="256">
        <f t="shared" si="313"/>
        <v>28.8</v>
      </c>
      <c r="I4055" s="297">
        <f t="shared" si="311"/>
        <v>847.82682025077861</v>
      </c>
      <c r="J4055" s="297">
        <f t="shared" si="312"/>
        <v>25.571428571428573</v>
      </c>
      <c r="K4055" s="297">
        <f>J4055/POBLA!$B$22*100000</f>
        <v>2.6138289659269143</v>
      </c>
      <c r="L4055" s="549">
        <f t="shared" si="309"/>
        <v>-0.64220183486238525</v>
      </c>
      <c r="M4055" s="401">
        <f>SUM(C4055,C4031,C4007,C3983,C3959,C3935,C3911)/POBLA!$B$22*100000</f>
        <v>18.296802761488401</v>
      </c>
    </row>
    <row r="4056" spans="1:13" s="360" customFormat="1" x14ac:dyDescent="0.25">
      <c r="A4056" s="19" t="s">
        <v>39</v>
      </c>
      <c r="B4056" s="2">
        <v>44061</v>
      </c>
      <c r="C4056" s="1">
        <v>10</v>
      </c>
      <c r="D4056" s="39">
        <v>1489</v>
      </c>
      <c r="E4056" s="1">
        <v>1</v>
      </c>
      <c r="F4056" s="39">
        <f t="shared" si="314"/>
        <v>18</v>
      </c>
      <c r="G4056" s="168">
        <f>SUM(C4056,C4032,C4008,C3984,C3960,C3936,C3912,C3888,C3864,C3840,C3816,C3792,C3768,C3744)/POBLA!$B$23*100000</f>
        <v>443.92919753435507</v>
      </c>
      <c r="H4056" s="256">
        <f t="shared" si="313"/>
        <v>1.7290748898678414</v>
      </c>
      <c r="I4056" s="297">
        <f t="shared" si="311"/>
        <v>767.58682833583418</v>
      </c>
      <c r="J4056" s="297">
        <f t="shared" si="312"/>
        <v>55.857142857142854</v>
      </c>
      <c r="K4056" s="297">
        <f>J4056/POBLA!$B$23*100000</f>
        <v>31.588046630743005</v>
      </c>
      <c r="L4056" s="549">
        <f t="shared" si="309"/>
        <v>7.6142131979695105E-3</v>
      </c>
      <c r="M4056" s="401">
        <f>SUM(C4056,C4032,C4008,C3984,C3960,C3936,C3912)/POBLA!$B$23*100000</f>
        <v>221.11632641520106</v>
      </c>
    </row>
    <row r="4057" spans="1:13" s="360" customFormat="1" ht="15.75" thickBot="1" x14ac:dyDescent="0.3">
      <c r="A4057" s="19" t="s">
        <v>40</v>
      </c>
      <c r="B4057" s="2">
        <v>44061</v>
      </c>
      <c r="C4057" s="1">
        <v>44</v>
      </c>
      <c r="D4057" s="39">
        <v>678</v>
      </c>
      <c r="E4057" s="1"/>
      <c r="F4057" s="39">
        <f t="shared" si="314"/>
        <v>5</v>
      </c>
      <c r="G4057" s="177">
        <f>SUM(C4057,C4033,C4009,C3985,C3961,C3937,C3913,C3889,C3865,C3841,C3817,C3793,C3769,C3745)/POBLA!$B$24*100000</f>
        <v>22.836493069979984</v>
      </c>
      <c r="H4057" s="402">
        <f t="shared" si="313"/>
        <v>2.0051813471502591</v>
      </c>
      <c r="I4057" s="403">
        <f t="shared" si="311"/>
        <v>45.791309938250016</v>
      </c>
      <c r="J4057" s="403">
        <f t="shared" si="312"/>
        <v>32.571428571428569</v>
      </c>
      <c r="K4057" s="403">
        <f>J4057/POBLA!$B$24*100000</f>
        <v>1.922008276100198</v>
      </c>
      <c r="L4057" s="550">
        <f t="shared" si="309"/>
        <v>-0.4339622641509433</v>
      </c>
      <c r="M4057" s="405">
        <f>SUM(C4057,C4033,C4009,C3985,C3961,C3937,C3913)/POBLA!$B$24*100000</f>
        <v>13.454057932701385</v>
      </c>
    </row>
    <row r="4058" spans="1:13" s="360" customFormat="1" x14ac:dyDescent="0.25">
      <c r="A4058" s="361" t="s">
        <v>16</v>
      </c>
      <c r="B4058" s="2">
        <v>44062</v>
      </c>
      <c r="C4058" s="1">
        <v>4303</v>
      </c>
      <c r="D4058" s="39">
        <f>C4058+D4034</f>
        <v>194502</v>
      </c>
      <c r="E4058" s="1">
        <v>209</v>
      </c>
      <c r="F4058" s="39">
        <f t="shared" si="314"/>
        <v>3729</v>
      </c>
      <c r="G4058" s="175">
        <f>SUM(C4058,C4034,C4010,C3986,C3962,C3938,C3914,C3890,C3866,C3842,C3818,C3794,C3770,C3746)/POBLA!$B$1*100000</f>
        <v>344.24784567890993</v>
      </c>
      <c r="H4058" s="300">
        <f t="shared" si="313"/>
        <v>1.1285439288317416</v>
      </c>
      <c r="I4058" s="301">
        <f>G4058*H4058</f>
        <v>388.49881625434011</v>
      </c>
      <c r="J4058" s="301">
        <f>AVERAGE(C4058,C4034,C4010,C3986,C3962,C3938,C3914)</f>
        <v>4015.7142857142858</v>
      </c>
      <c r="K4058" s="301">
        <f>J4058/POBLA!$B$1*100000</f>
        <v>22.893119014973344</v>
      </c>
      <c r="L4058" s="548">
        <f t="shared" ref="L4058:L4081" si="315">1-SUM(C4058,C4034,C4010,C3986,C3962,C3938,C3914)/SUM(C3890,C3866,C3842,C3818,C3794,C3770,C3746)</f>
        <v>0.12904725019364838</v>
      </c>
      <c r="M4058" s="400">
        <f>SUM(C4058,C4034,C4010,C3986,C3962,C3938,C3914)/POBLA!$B$1*100000</f>
        <v>160.25183310481341</v>
      </c>
    </row>
    <row r="4059" spans="1:13" s="360" customFormat="1" x14ac:dyDescent="0.25">
      <c r="A4059" s="19" t="s">
        <v>43</v>
      </c>
      <c r="B4059" s="2">
        <v>44062</v>
      </c>
      <c r="C4059" s="1">
        <v>1094</v>
      </c>
      <c r="D4059" s="39">
        <f t="shared" ref="D4059:D4073" si="316">C4059+D4035</f>
        <v>80346</v>
      </c>
      <c r="E4059" s="1">
        <f>6+5+14+22</f>
        <v>47</v>
      </c>
      <c r="F4059" s="39">
        <f t="shared" si="310"/>
        <v>1813</v>
      </c>
      <c r="G4059" s="168">
        <f>SUM(C4059,C4035,C4011,C3987,C3963,C3939,C3915,C3891,C3867,C3843,C3819,C3795,C3771,C3747)/POBLA!$B$2*100000</f>
        <v>300.74982621537072</v>
      </c>
      <c r="H4059" s="256">
        <f>SUM(C4059,C4035,C4011,C3987,C3963,C3942,C3918,C3894,C3870,C3846,C3822,C3798,C3774,C3750)/SUM(C3726,C3702,C3678,C3654,C3630,C3606,C3582,C3558,C3534,C3510,C3486,C3462,C3438,C3414)</f>
        <v>0.64779126517331997</v>
      </c>
      <c r="I4059" s="297">
        <f t="shared" ref="I4059:I4081" si="317">G4059*H4059</f>
        <v>194.8231104247111</v>
      </c>
      <c r="J4059" s="297">
        <f t="shared" ref="J4059:J4081" si="318">AVERAGE(C4059,C4035,C4011,C3987,C3963,C3939,C3915)</f>
        <v>983.71428571428567</v>
      </c>
      <c r="K4059" s="297">
        <f>J4059/POBLA!$B$2*100000</f>
        <v>31.98398924044853</v>
      </c>
      <c r="L4059" s="549">
        <f t="shared" si="315"/>
        <v>-1.9128595600676821</v>
      </c>
      <c r="M4059" s="401">
        <f>SUM(C4059,C4035,C4011,C3987,C3963,C3939,C3915)/POBLA!$B$2*100000</f>
        <v>223.88792468313974</v>
      </c>
    </row>
    <row r="4060" spans="1:13" s="360" customFormat="1" x14ac:dyDescent="0.25">
      <c r="A4060" s="19" t="s">
        <v>28</v>
      </c>
      <c r="B4060" s="2">
        <v>44062</v>
      </c>
      <c r="C4060" s="1">
        <v>-1</v>
      </c>
      <c r="D4060" s="39">
        <f t="shared" si="316"/>
        <v>63</v>
      </c>
      <c r="E4060" s="1"/>
      <c r="F4060" s="39">
        <f t="shared" si="310"/>
        <v>0</v>
      </c>
      <c r="G4060" s="168">
        <f>SUM(C4060,C4036,C4012,C3988,C3964,C3940,C3916,C3892,C3868,C3844,C3820,C3796,C3772,C3748)/POBLA!$B$3*100000</f>
        <v>62.825259124105159</v>
      </c>
      <c r="H4060" s="256">
        <f t="shared" si="313"/>
        <v>0.36199722607489598</v>
      </c>
      <c r="I4060" s="297">
        <f t="shared" si="317"/>
        <v>22.742569530362616</v>
      </c>
      <c r="J4060" s="297">
        <f t="shared" si="318"/>
        <v>0.14285714285714285</v>
      </c>
      <c r="K4060" s="297">
        <f>J4060/POBLA!$B$3*100000</f>
        <v>3.4387115010457117E-2</v>
      </c>
      <c r="L4060" s="549">
        <f t="shared" si="315"/>
        <v>0.99615384615384617</v>
      </c>
      <c r="M4060" s="401">
        <f>SUM(C4060,C4036,C4012,C3988,C3964,C3940,C3916)/POBLA!$B$3*100000</f>
        <v>0.24070980507319983</v>
      </c>
    </row>
    <row r="4061" spans="1:13" s="360" customFormat="1" x14ac:dyDescent="0.25">
      <c r="A4061" s="19" t="s">
        <v>15</v>
      </c>
      <c r="B4061" s="2">
        <v>44062</v>
      </c>
      <c r="C4061" s="1">
        <v>57</v>
      </c>
      <c r="D4061" s="39">
        <f t="shared" si="316"/>
        <v>4606</v>
      </c>
      <c r="E4061" s="1">
        <v>1</v>
      </c>
      <c r="F4061" s="39">
        <f t="shared" si="310"/>
        <v>188</v>
      </c>
      <c r="G4061" s="168">
        <f>SUM(C4061,C4037,C4013,C3989,C3965,C3941,C3917,C3893,C3869,C3845,C3821,C3797,C3773,C3749)/POBLA!$B$4*100000</f>
        <v>47.237910540197468</v>
      </c>
      <c r="H4061" s="256">
        <f t="shared" si="313"/>
        <v>11.612244897959183</v>
      </c>
      <c r="I4061" s="297">
        <f t="shared" si="317"/>
        <v>548.53818566066036</v>
      </c>
      <c r="J4061" s="297">
        <f t="shared" si="318"/>
        <v>55.428571428571431</v>
      </c>
      <c r="K4061" s="297">
        <f>J4061/POBLA!$B$4*100000</f>
        <v>4.6016342680383175</v>
      </c>
      <c r="L4061" s="549">
        <f t="shared" si="315"/>
        <v>-1.1436464088397789</v>
      </c>
      <c r="M4061" s="401">
        <f>SUM(C4061,C4037,C4013,C3989,C3965,C3941,C3917)/POBLA!$B$4*100000</f>
        <v>32.211439876268223</v>
      </c>
    </row>
    <row r="4062" spans="1:13" s="360" customFormat="1" x14ac:dyDescent="0.25">
      <c r="A4062" s="19" t="s">
        <v>29</v>
      </c>
      <c r="B4062" s="2">
        <v>44062</v>
      </c>
      <c r="C4062" s="1">
        <v>13</v>
      </c>
      <c r="D4062" s="39">
        <f t="shared" si="316"/>
        <v>437</v>
      </c>
      <c r="E4062" s="1"/>
      <c r="F4062" s="39">
        <f t="shared" si="310"/>
        <v>5</v>
      </c>
      <c r="G4062" s="168">
        <f>SUM(C4062,C4038,C4014,C3990,C3966,C3942,C3918,C3894,C3870,C3846,C3822,C3798,C3774,C3750)/POBLA!$B$5*100000</f>
        <v>914.06378737112141</v>
      </c>
      <c r="H4062" s="256">
        <f t="shared" si="313"/>
        <v>0.35402327618570895</v>
      </c>
      <c r="I4062" s="297">
        <f t="shared" si="317"/>
        <v>323.59985664784165</v>
      </c>
      <c r="J4062" s="297">
        <f t="shared" si="318"/>
        <v>10.142857142857142</v>
      </c>
      <c r="K4062" s="297">
        <f>J4062/POBLA!$B$5*100000</f>
        <v>1.6386034667310414</v>
      </c>
      <c r="L4062" s="549">
        <f t="shared" si="315"/>
        <v>0.98729192768927865</v>
      </c>
      <c r="M4062" s="401">
        <f>SUM(C4062,C4038,C4014,C3990,C3966,C3942,C3918)/POBLA!$B$5*100000</f>
        <v>11.47022426711729</v>
      </c>
    </row>
    <row r="4063" spans="1:13" s="360" customFormat="1" x14ac:dyDescent="0.25">
      <c r="A4063" s="19" t="s">
        <v>20</v>
      </c>
      <c r="B4063" s="2">
        <v>44062</v>
      </c>
      <c r="C4063" s="1">
        <v>100</v>
      </c>
      <c r="D4063" s="39">
        <f t="shared" si="316"/>
        <v>5091</v>
      </c>
      <c r="E4063" s="1"/>
      <c r="F4063" s="39">
        <f t="shared" si="310"/>
        <v>84</v>
      </c>
      <c r="G4063" s="168">
        <f>SUM(C4063,C4039,C4015,C3991,C3967,C3943,C3919,C3895,C3871,C3847,C3823,C3799,C3775,C3751)/POBLA!$B$6*100000</f>
        <v>199.8570665086844</v>
      </c>
      <c r="H4063" s="256">
        <f t="shared" si="313"/>
        <v>1.6149963950973323</v>
      </c>
      <c r="I4063" s="297">
        <f t="shared" si="317"/>
        <v>322.76844194625306</v>
      </c>
      <c r="J4063" s="297">
        <f t="shared" si="318"/>
        <v>160</v>
      </c>
      <c r="K4063" s="297">
        <f>J4063/POBLA!$B$6*100000</f>
        <v>14.275504750620316</v>
      </c>
      <c r="L4063" s="549">
        <f t="shared" si="315"/>
        <v>0</v>
      </c>
      <c r="M4063" s="401">
        <f>SUM(C4063,C4039,C4015,C3991,C3967,C3943,C3919)/POBLA!$B$6*100000</f>
        <v>99.928533254342199</v>
      </c>
    </row>
    <row r="4064" spans="1:13" s="360" customFormat="1" x14ac:dyDescent="0.25">
      <c r="A4064" s="19" t="s">
        <v>30</v>
      </c>
      <c r="B4064" s="2">
        <v>44062</v>
      </c>
      <c r="C4064" s="1">
        <v>3</v>
      </c>
      <c r="D4064" s="39">
        <f t="shared" si="316"/>
        <v>236</v>
      </c>
      <c r="E4064" s="1"/>
      <c r="F4064" s="39">
        <f t="shared" si="310"/>
        <v>2</v>
      </c>
      <c r="G4064" s="168">
        <f>SUM(C4064,C4040,C4016,C3992,C3968,C3944,C3920,C3896,C3872,C3848,C3824,C3800,C3776,C3752)/POBLA!$B$7*100000</f>
        <v>1.0637024824156684</v>
      </c>
      <c r="H4064" s="256">
        <f t="shared" si="313"/>
        <v>0.60606060606060608</v>
      </c>
      <c r="I4064" s="297">
        <f t="shared" si="317"/>
        <v>0.64466817116101116</v>
      </c>
      <c r="J4064" s="297">
        <f t="shared" si="318"/>
        <v>2.2857142857142856</v>
      </c>
      <c r="K4064" s="297">
        <f>J4064/POBLA!$B$7*100000</f>
        <v>6.0782998995181046E-2</v>
      </c>
      <c r="L4064" s="549">
        <f t="shared" si="315"/>
        <v>0.33333333333333337</v>
      </c>
      <c r="M4064" s="401">
        <f>SUM(C4064,C4040,C4016,C3992,C3968,C3944,C3920)/POBLA!$B$7*100000</f>
        <v>0.42548099296626729</v>
      </c>
    </row>
    <row r="4065" spans="1:13" x14ac:dyDescent="0.25">
      <c r="A4065" s="19" t="s">
        <v>31</v>
      </c>
      <c r="B4065" s="2">
        <v>44062</v>
      </c>
      <c r="C4065" s="1">
        <v>60</v>
      </c>
      <c r="D4065" s="39">
        <f t="shared" si="316"/>
        <v>1810</v>
      </c>
      <c r="E4065" s="1">
        <v>1</v>
      </c>
      <c r="F4065" s="39">
        <f t="shared" si="310"/>
        <v>27</v>
      </c>
      <c r="G4065" s="168">
        <f>SUM(C4065,C4041,C4017,C3993,C3969,C3945,C3921,C3897,C3873,C3849,C3825,C3801,C3777,C3753)/POBLA!$B$8*100000</f>
        <v>62.772329091511239</v>
      </c>
      <c r="H4065" s="256">
        <f t="shared" si="313"/>
        <v>3.3461538461538463</v>
      </c>
      <c r="I4065" s="297">
        <f t="shared" si="317"/>
        <v>210.04587042159531</v>
      </c>
      <c r="J4065" s="297">
        <f t="shared" si="318"/>
        <v>71.428571428571431</v>
      </c>
      <c r="K4065" s="297">
        <f>J4065/POBLA!$B$8*100000</f>
        <v>5.1537216002882786</v>
      </c>
      <c r="L4065" s="549">
        <f t="shared" si="315"/>
        <v>-0.35135135135135132</v>
      </c>
      <c r="M4065" s="401">
        <f>SUM(C4065,C4041,C4017,C3993,C3969,C3945,C3921)/POBLA!$B$8*100000</f>
        <v>36.07605120201795</v>
      </c>
    </row>
    <row r="4066" spans="1:13" s="360" customFormat="1" x14ac:dyDescent="0.25">
      <c r="A4066" s="19" t="s">
        <v>41</v>
      </c>
      <c r="B4066" s="2">
        <v>44062</v>
      </c>
      <c r="C4066" s="1">
        <v>0</v>
      </c>
      <c r="D4066" s="39">
        <f t="shared" si="316"/>
        <v>79</v>
      </c>
      <c r="E4066" s="1"/>
      <c r="F4066" s="39">
        <f>E4066+F4042</f>
        <v>1</v>
      </c>
      <c r="G4066" s="168">
        <f>SUM(C4066,C4042,C4018,C3994,C3970,C3946,C3922,C3898,C3874,C3850,C3826,C3802,C3778,C3754)/POBLA!$B$9*100000</f>
        <v>-0.16523654437510019</v>
      </c>
      <c r="H4066" s="256">
        <f>SUM(C4066,C4042,C4018,C3994,C3970,C3946,C3922,C3898,C3874,C3850,C3826,C3802,C3778,C3754)/SUM(C3730,C3706,C3682,C3658,C3634,C3610,C3586,C3562,C3538,C3514,C3490,C3466,C3442,C3418)</f>
        <v>-0.25</v>
      </c>
      <c r="I4066" s="297">
        <f t="shared" si="317"/>
        <v>4.1309136093775047E-2</v>
      </c>
      <c r="J4066" s="297">
        <f t="shared" si="318"/>
        <v>-0.14285714285714285</v>
      </c>
      <c r="K4066" s="297">
        <f>J4066/POBLA!$B$9*100000</f>
        <v>-2.3605220625014311E-2</v>
      </c>
      <c r="L4066" s="549" t="e">
        <f t="shared" si="315"/>
        <v>#DIV/0!</v>
      </c>
      <c r="M4066" s="401">
        <f>SUM(C4066,C4042,C4018,C3994,C3970,C3946,C3922)/POBLA!$B$9*100000</f>
        <v>-0.16523654437510019</v>
      </c>
    </row>
    <row r="4067" spans="1:13" s="360" customFormat="1" x14ac:dyDescent="0.25">
      <c r="A4067" s="19" t="s">
        <v>32</v>
      </c>
      <c r="B4067" s="2">
        <v>44062</v>
      </c>
      <c r="C4067" s="1">
        <v>133</v>
      </c>
      <c r="D4067" s="39">
        <f t="shared" si="316"/>
        <v>5360</v>
      </c>
      <c r="E4067" s="1">
        <v>12</v>
      </c>
      <c r="F4067" s="39">
        <f t="shared" si="310"/>
        <v>85</v>
      </c>
      <c r="G4067" s="168">
        <f>SUM(C4067,C4043,C4019,C3995,C3971,C3947,C3923,C3899,C3875,C3851,C3827,C3803,C3779,C3755)/POBLA!$B$10*100000</f>
        <v>320.67206222490893</v>
      </c>
      <c r="H4067" s="256">
        <f t="shared" ref="H4067:H4089" si="319">SUM(C4067,C4043,C4019,C3995,C3971,C3947,C3923,C3899,C3875,C3851,C3827,C3803,C3779,C3755)/SUM(C3731,C3707,C3683,C3659,C3635,C3611,C3587,C3563,C3539,C3515,C3491,C3467,C3443,C3419)</f>
        <v>1.3398373983739837</v>
      </c>
      <c r="I4067" s="297">
        <f t="shared" si="317"/>
        <v>429.64842158264219</v>
      </c>
      <c r="J4067" s="297">
        <f t="shared" si="318"/>
        <v>188.71428571428572</v>
      </c>
      <c r="K4067" s="297">
        <f>J4067/POBLA!$B$10*100000</f>
        <v>24.480339470590884</v>
      </c>
      <c r="L4067" s="549">
        <f t="shared" si="315"/>
        <v>-0.14769765421372716</v>
      </c>
      <c r="M4067" s="401">
        <f>SUM(C4067,C4043,C4019,C3995,C3971,C3947,C3923)/POBLA!$B$10*100000</f>
        <v>171.3623762941362</v>
      </c>
    </row>
    <row r="4068" spans="1:13" s="360" customFormat="1" x14ac:dyDescent="0.25">
      <c r="A4068" s="19" t="s">
        <v>33</v>
      </c>
      <c r="B4068" s="2">
        <v>44062</v>
      </c>
      <c r="C4068" s="1">
        <v>2</v>
      </c>
      <c r="D4068" s="39">
        <f t="shared" si="316"/>
        <v>186</v>
      </c>
      <c r="E4068" s="1"/>
      <c r="F4068" s="39">
        <f t="shared" si="310"/>
        <v>1</v>
      </c>
      <c r="G4068" s="168">
        <f>SUM(C4068,C4044,C4020,C3996,C3972,C3948,C3924,C3900,C3876,C3852,C3828,C3804,C3780,C3756)/POBLA!$B$11*100000</f>
        <v>5.8589172720881182</v>
      </c>
      <c r="H4068" s="256">
        <f t="shared" si="319"/>
        <v>0.11351351351351352</v>
      </c>
      <c r="I4068" s="297">
        <f t="shared" si="317"/>
        <v>0.66506628493973241</v>
      </c>
      <c r="J4068" s="297">
        <f t="shared" si="318"/>
        <v>0.8571428571428571</v>
      </c>
      <c r="K4068" s="297">
        <f>J4068/POBLA!$B$11*100000</f>
        <v>0.23913948049339256</v>
      </c>
      <c r="L4068" s="549">
        <f t="shared" si="315"/>
        <v>0.6</v>
      </c>
      <c r="M4068" s="401">
        <f>SUM(C4068,C4044,C4020,C3996,C3972,C3948,C3924)/POBLA!$B$11*100000</f>
        <v>1.6739763634537481</v>
      </c>
    </row>
    <row r="4069" spans="1:13" s="360" customFormat="1" x14ac:dyDescent="0.25">
      <c r="A4069" s="19" t="s">
        <v>21</v>
      </c>
      <c r="B4069" s="2">
        <v>44062</v>
      </c>
      <c r="C4069" s="1">
        <v>54</v>
      </c>
      <c r="D4069" s="39">
        <f t="shared" si="316"/>
        <v>905</v>
      </c>
      <c r="E4069" s="1"/>
      <c r="F4069" s="39">
        <f t="shared" si="310"/>
        <v>1</v>
      </c>
      <c r="G4069" s="168">
        <f>SUM(C4069,C4045,C4021,C3997,C3973,C3949,C3925,C3901,C3877,C3853,C3829,C3805,C3781,C3757)/POBLA!$B$12*100000</f>
        <v>126.03835530110715</v>
      </c>
      <c r="H4069" s="256">
        <f t="shared" si="319"/>
        <v>2.3396226415094339</v>
      </c>
      <c r="I4069" s="297">
        <f t="shared" si="317"/>
        <v>294.88218976108084</v>
      </c>
      <c r="J4069" s="297">
        <f t="shared" si="318"/>
        <v>51.857142857142854</v>
      </c>
      <c r="K4069" s="297">
        <f>J4069/POBLA!$B$12*100000</f>
        <v>13.177397170017827</v>
      </c>
      <c r="L4069" s="549">
        <f t="shared" si="315"/>
        <v>-1.7293233082706765</v>
      </c>
      <c r="M4069" s="401">
        <f>SUM(C4069,C4045,C4021,C3997,C3973,C3949,C3925)/POBLA!$B$12*100000</f>
        <v>92.241780190124786</v>
      </c>
    </row>
    <row r="4070" spans="1:13" s="360" customFormat="1" x14ac:dyDescent="0.25">
      <c r="A4070" s="19" t="s">
        <v>17</v>
      </c>
      <c r="B4070" s="2">
        <v>44062</v>
      </c>
      <c r="C4070" s="1">
        <v>150</v>
      </c>
      <c r="D4070" s="39">
        <f t="shared" si="316"/>
        <v>3773</v>
      </c>
      <c r="E4070" s="1">
        <v>5</v>
      </c>
      <c r="F4070" s="39">
        <f t="shared" si="310"/>
        <v>40</v>
      </c>
      <c r="G4070" s="168">
        <f>SUM(C4070,C4046,C4022,C3998,C3974,C3950,C3926,C3902,C3878,C3854,C3830,C3806,C3782,C3758)/POBLA!$B$13*100000</f>
        <v>105.30874655460529</v>
      </c>
      <c r="H4070" s="256">
        <f t="shared" si="319"/>
        <v>1.9867298578199053</v>
      </c>
      <c r="I4070" s="297">
        <f t="shared" si="317"/>
        <v>209.22003106962342</v>
      </c>
      <c r="J4070" s="297">
        <f t="shared" si="318"/>
        <v>170.28571428571428</v>
      </c>
      <c r="K4070" s="297">
        <f>J4070/POBLA!$B$13*100000</f>
        <v>8.5556179043817817</v>
      </c>
      <c r="L4070" s="549">
        <f t="shared" si="315"/>
        <v>-0.31858407079646023</v>
      </c>
      <c r="M4070" s="401">
        <f>SUM(C4070,C4046,C4022,C3998,C3974,C3950,C3926)/POBLA!$B$13*100000</f>
        <v>59.889325330672477</v>
      </c>
    </row>
    <row r="4071" spans="1:13" s="360" customFormat="1" x14ac:dyDescent="0.25">
      <c r="A4071" s="19" t="s">
        <v>23</v>
      </c>
      <c r="B4071" s="2">
        <v>44062</v>
      </c>
      <c r="C4071" s="1">
        <v>0</v>
      </c>
      <c r="D4071" s="39">
        <f t="shared" si="316"/>
        <v>55</v>
      </c>
      <c r="E4071" s="1"/>
      <c r="F4071" s="39">
        <f t="shared" si="310"/>
        <v>2</v>
      </c>
      <c r="G4071" s="168">
        <f>SUM(C4071,C4047,C4023,C3999,C3975,C3951,C3927,C3903,C3879,C3855,C3831,C3807,C3783,C3759)/POBLA!$B$14*100000</f>
        <v>0.31713462523408498</v>
      </c>
      <c r="H4071" s="256">
        <f t="shared" si="319"/>
        <v>0.4</v>
      </c>
      <c r="I4071" s="297">
        <f t="shared" si="317"/>
        <v>0.12685385009363401</v>
      </c>
      <c r="J4071" s="297">
        <f t="shared" si="318"/>
        <v>0.2857142857142857</v>
      </c>
      <c r="K4071" s="297">
        <f>J4071/POBLA!$B$14*100000</f>
        <v>2.2652473231006071E-2</v>
      </c>
      <c r="L4071" s="549">
        <f t="shared" si="315"/>
        <v>0</v>
      </c>
      <c r="M4071" s="401">
        <f>SUM(C4071,C4047,C4023,C3999,C3975,C3951,C3927)/POBLA!$B$14*100000</f>
        <v>0.15856731261704249</v>
      </c>
    </row>
    <row r="4072" spans="1:13" s="360" customFormat="1" x14ac:dyDescent="0.25">
      <c r="A4072" s="19" t="s">
        <v>19</v>
      </c>
      <c r="B4072" s="2">
        <v>44062</v>
      </c>
      <c r="C4072" s="1">
        <v>50</v>
      </c>
      <c r="D4072" s="39">
        <f t="shared" si="316"/>
        <v>1961</v>
      </c>
      <c r="E4072" s="1">
        <v>1</v>
      </c>
      <c r="F4072" s="39">
        <f t="shared" si="310"/>
        <v>8</v>
      </c>
      <c r="G4072" s="168">
        <f>SUM(C4072,C4048,C4024,C4000,C3976,C3952,C3928,C3904,C3880,C3856,C3832,C3808,C3784,C3760)/POBLA!$B$15*100000</f>
        <v>96.076089853732441</v>
      </c>
      <c r="H4072" s="256">
        <f t="shared" si="319"/>
        <v>1.747945205479452</v>
      </c>
      <c r="I4072" s="297">
        <f t="shared" si="317"/>
        <v>167.93574062104463</v>
      </c>
      <c r="J4072" s="297">
        <f t="shared" si="318"/>
        <v>43.857142857142854</v>
      </c>
      <c r="K4072" s="297">
        <f>J4072/POBLA!$B$15*100000</f>
        <v>6.6044244480734111</v>
      </c>
      <c r="L4072" s="549">
        <f t="shared" si="315"/>
        <v>7.2507552870090586E-2</v>
      </c>
      <c r="M4072" s="401">
        <f>SUM(C4072,C4048,C4024,C4000,C3976,C3952,C3928)/POBLA!$B$15*100000</f>
        <v>46.23097113651388</v>
      </c>
    </row>
    <row r="4073" spans="1:13" s="360" customFormat="1" x14ac:dyDescent="0.25">
      <c r="A4073" s="19" t="s">
        <v>18</v>
      </c>
      <c r="B4073" s="2">
        <v>44062</v>
      </c>
      <c r="C4073" s="1">
        <v>94</v>
      </c>
      <c r="D4073" s="39">
        <f t="shared" si="316"/>
        <v>4168</v>
      </c>
      <c r="E4073" s="1">
        <v>3</v>
      </c>
      <c r="F4073" s="39">
        <f t="shared" si="310"/>
        <v>36</v>
      </c>
      <c r="G4073" s="168">
        <f>SUM(C4073,C4049,C4025,C4001,C3977,C3953,C3929,C3905,C3881,C3857,C3833,C3809,C3785,C3761)/POBLA!$B$16*100000</f>
        <v>230.60151683364322</v>
      </c>
      <c r="H4073" s="256">
        <f t="shared" si="319"/>
        <v>1.7035573122529644</v>
      </c>
      <c r="I4073" s="297">
        <f t="shared" si="317"/>
        <v>392.84290021857794</v>
      </c>
      <c r="J4073" s="297">
        <f t="shared" si="318"/>
        <v>113.28571428571429</v>
      </c>
      <c r="K4073" s="297">
        <f>J4073/POBLA!$B$16*100000</f>
        <v>15.153049622893526</v>
      </c>
      <c r="L4073" s="549">
        <f t="shared" si="315"/>
        <v>0.14822771213748653</v>
      </c>
      <c r="M4073" s="401">
        <f>SUM(C4073,C4049,C4025,C4001,C3977,C3953,C3929)/POBLA!$B$16*100000</f>
        <v>106.07134736025468</v>
      </c>
    </row>
    <row r="4074" spans="1:13" s="360" customFormat="1" x14ac:dyDescent="0.25">
      <c r="A4074" s="19" t="s">
        <v>34</v>
      </c>
      <c r="B4074" s="2">
        <v>44062</v>
      </c>
      <c r="C4074" s="1">
        <v>114</v>
      </c>
      <c r="D4074" s="39">
        <f>C4074+D4050</f>
        <v>1401</v>
      </c>
      <c r="E4074" s="1">
        <v>2</v>
      </c>
      <c r="F4074" s="39">
        <f>E4074+F4050</f>
        <v>20</v>
      </c>
      <c r="G4074" s="168">
        <f>SUM(C4074,C4050,C4026,C4002,C3978,C3954,C3930,C3906,C3882,C3858,C3834,C3810,C3786,C3762)/POBLA!$B$17*100000</f>
        <v>72.241095705761808</v>
      </c>
      <c r="H4074" s="256">
        <f t="shared" si="319"/>
        <v>5.7486033519553077</v>
      </c>
      <c r="I4074" s="297">
        <f t="shared" si="317"/>
        <v>415.28540492306649</v>
      </c>
      <c r="J4074" s="297">
        <f t="shared" si="318"/>
        <v>94</v>
      </c>
      <c r="K4074" s="297">
        <f>J4074/POBLA!$B$17*100000</f>
        <v>6.5992837670958302</v>
      </c>
      <c r="L4074" s="549">
        <f t="shared" si="315"/>
        <v>-0.77358490566037741</v>
      </c>
      <c r="M4074" s="401">
        <f>SUM(C4074,C4050,C4026,C4002,C3978,C3954,C3930)/POBLA!$B$17*100000</f>
        <v>46.194986369670815</v>
      </c>
    </row>
    <row r="4075" spans="1:13" s="360" customFormat="1" x14ac:dyDescent="0.25">
      <c r="A4075" s="19" t="s">
        <v>35</v>
      </c>
      <c r="B4075" s="2">
        <v>44062</v>
      </c>
      <c r="C4075" s="1">
        <v>0</v>
      </c>
      <c r="D4075" s="39">
        <f t="shared" ref="D4075:D4081" si="320">C4075+D4051</f>
        <v>22</v>
      </c>
      <c r="E4075" s="1"/>
      <c r="F4075" s="39">
        <f>E4075+F4051</f>
        <v>0</v>
      </c>
      <c r="G4075" s="168">
        <f>SUM(C4075,C4051,C4027,C4003,C3979,C3955,C3931,C3907,C3883,C3859,C3835,C3811,C3787,C3763)/POBLA!$B$18*100000</f>
        <v>-0.12800540694838949</v>
      </c>
      <c r="H4075" s="256">
        <f t="shared" si="319"/>
        <v>-0.16666666666666666</v>
      </c>
      <c r="I4075" s="297">
        <f t="shared" si="317"/>
        <v>2.1334234491398249E-2</v>
      </c>
      <c r="J4075" s="297">
        <f t="shared" si="318"/>
        <v>-0.14285714285714285</v>
      </c>
      <c r="K4075" s="297">
        <f>J4075/POBLA!$B$18*100000</f>
        <v>-1.8286486706912786E-2</v>
      </c>
      <c r="L4075" s="549" t="e">
        <f t="shared" si="315"/>
        <v>#DIV/0!</v>
      </c>
      <c r="M4075" s="401">
        <f>SUM(C4075,C4051,C4027,C4003,C3979,C3955,C3931)/POBLA!$B$18*100000</f>
        <v>-0.12800540694838949</v>
      </c>
    </row>
    <row r="4076" spans="1:13" s="360" customFormat="1" x14ac:dyDescent="0.25">
      <c r="A4076" s="19" t="s">
        <v>36</v>
      </c>
      <c r="B4076" s="2">
        <v>44062</v>
      </c>
      <c r="C4076" s="1">
        <v>0</v>
      </c>
      <c r="D4076" s="39">
        <f t="shared" si="320"/>
        <v>36</v>
      </c>
      <c r="E4076" s="1"/>
      <c r="F4076" s="39">
        <f>E4076+F4052</f>
        <v>0</v>
      </c>
      <c r="G4076" s="168">
        <f>SUM(C4076,C4052,C4028,C4004,C3980,C3956,C3932,C3908,C3884,C3860,C3836,C3812,C3788,C3764)/POBLA!$B$19*100000</f>
        <v>0.59017012637509636</v>
      </c>
      <c r="H4076" s="256">
        <f t="shared" si="319"/>
        <v>0.1875</v>
      </c>
      <c r="I4076" s="297">
        <f t="shared" si="317"/>
        <v>0.11065689869533057</v>
      </c>
      <c r="J4076" s="297">
        <f t="shared" si="318"/>
        <v>0.5714285714285714</v>
      </c>
      <c r="K4076" s="297">
        <f>J4076/POBLA!$B$19*100000</f>
        <v>0.11241335740478026</v>
      </c>
      <c r="L4076" s="549">
        <f t="shared" si="315"/>
        <v>5</v>
      </c>
      <c r="M4076" s="401">
        <f>SUM(C4076,C4052,C4028,C4004,C3980,C3956,C3932)/POBLA!$B$19*100000</f>
        <v>0.78689350183346185</v>
      </c>
    </row>
    <row r="4077" spans="1:13" s="360" customFormat="1" x14ac:dyDescent="0.25">
      <c r="A4077" s="19" t="s">
        <v>37</v>
      </c>
      <c r="B4077" s="2">
        <v>44062</v>
      </c>
      <c r="C4077" s="1">
        <v>56</v>
      </c>
      <c r="D4077" s="39">
        <f t="shared" si="320"/>
        <v>1145</v>
      </c>
      <c r="E4077" s="1"/>
      <c r="F4077" s="39">
        <f t="shared" ref="F4077:F4082" si="321">E4077+F4053</f>
        <v>3</v>
      </c>
      <c r="G4077" s="168">
        <f>SUM(C4077,C4053,C4029,C4005,C3981,C3957,C3933,C3909,C3885,C3861,C3837,C3813,C3789,C3765)/POBLA!$B$20*100000</f>
        <v>144.38142948553178</v>
      </c>
      <c r="H4077" s="256">
        <f t="shared" si="319"/>
        <v>1.4079999999999999</v>
      </c>
      <c r="I4077" s="297">
        <f t="shared" si="317"/>
        <v>203.28905271562874</v>
      </c>
      <c r="J4077" s="297">
        <f t="shared" si="318"/>
        <v>39.142857142857146</v>
      </c>
      <c r="K4077" s="297">
        <f>J4077/POBLA!$B$20*100000</f>
        <v>10.703601644760745</v>
      </c>
      <c r="L4077" s="549">
        <f t="shared" si="315"/>
        <v>-7.8740157480315043E-2</v>
      </c>
      <c r="M4077" s="401">
        <f>SUM(C4077,C4053,C4029,C4005,C3981,C3957,C3933)/POBLA!$B$20*100000</f>
        <v>74.925211513325209</v>
      </c>
    </row>
    <row r="4078" spans="1:13" s="360" customFormat="1" x14ac:dyDescent="0.25">
      <c r="A4078" s="19" t="s">
        <v>22</v>
      </c>
      <c r="B4078" s="2">
        <v>44062</v>
      </c>
      <c r="C4078" s="1">
        <v>202</v>
      </c>
      <c r="D4078" s="39">
        <f t="shared" si="320"/>
        <v>3763</v>
      </c>
      <c r="E4078" s="1">
        <v>2</v>
      </c>
      <c r="F4078" s="39">
        <f t="shared" si="321"/>
        <v>36</v>
      </c>
      <c r="G4078" s="168">
        <f>SUM(C4078,C4054,C4030,C4006,C3982,C3958,C3934,C3910,C3886,C3862,C3838,C3814,C3790,C3766)/POBLA!$B$21*100000</f>
        <v>60.117327759331616</v>
      </c>
      <c r="H4078" s="256">
        <f t="shared" si="319"/>
        <v>2.5461077844311379</v>
      </c>
      <c r="I4078" s="297">
        <f t="shared" si="317"/>
        <v>153.06519618723237</v>
      </c>
      <c r="J4078" s="297">
        <f t="shared" si="318"/>
        <v>166.71428571428572</v>
      </c>
      <c r="K4078" s="297">
        <f>J4078/POBLA!$B$21*100000</f>
        <v>4.7142132438610398</v>
      </c>
      <c r="L4078" s="549">
        <f t="shared" si="315"/>
        <v>-0.21689259645464021</v>
      </c>
      <c r="M4078" s="401">
        <f>SUM(C4078,C4054,C4030,C4006,C3982,C3958,C3934)/POBLA!$B$21*100000</f>
        <v>32.999492707027279</v>
      </c>
    </row>
    <row r="4079" spans="1:13" s="360" customFormat="1" x14ac:dyDescent="0.25">
      <c r="A4079" s="19" t="s">
        <v>38</v>
      </c>
      <c r="B4079" s="2">
        <v>44062</v>
      </c>
      <c r="C4079" s="1">
        <v>41</v>
      </c>
      <c r="D4079" s="39">
        <f t="shared" si="320"/>
        <v>379</v>
      </c>
      <c r="E4079" s="1"/>
      <c r="F4079" s="39">
        <f t="shared" si="321"/>
        <v>1</v>
      </c>
      <c r="G4079" s="168">
        <f>SUM(C4079,C4055,C4031,C4007,C3983,C3959,C3935,C3911,C3887,C3863,C3839,C3815,C3791,C3767)/POBLA!$B$22*100000</f>
        <v>31.789417088396046</v>
      </c>
      <c r="H4079" s="256">
        <f t="shared" si="319"/>
        <v>11.518518518518519</v>
      </c>
      <c r="I4079" s="297">
        <f t="shared" si="317"/>
        <v>366.1669894255989</v>
      </c>
      <c r="J4079" s="297">
        <f t="shared" si="318"/>
        <v>28.428571428571427</v>
      </c>
      <c r="K4079" s="297">
        <f>J4079/POBLA!$B$22*100000</f>
        <v>2.905876895080759</v>
      </c>
      <c r="L4079" s="549">
        <f t="shared" si="315"/>
        <v>-0.77678571428571419</v>
      </c>
      <c r="M4079" s="401">
        <f>SUM(C4079,C4055,C4031,C4007,C3983,C3959,C3935)/POBLA!$B$22*100000</f>
        <v>20.341138265565313</v>
      </c>
    </row>
    <row r="4080" spans="1:13" s="360" customFormat="1" x14ac:dyDescent="0.25">
      <c r="A4080" s="19" t="s">
        <v>39</v>
      </c>
      <c r="B4080" s="2">
        <v>44062</v>
      </c>
      <c r="C4080" s="1">
        <v>64</v>
      </c>
      <c r="D4080" s="39">
        <f t="shared" si="320"/>
        <v>1553</v>
      </c>
      <c r="E4080" s="1"/>
      <c r="F4080" s="39">
        <f t="shared" si="321"/>
        <v>18</v>
      </c>
      <c r="G4080" s="168">
        <f>SUM(C4080,C4056,C4032,C4008,C3984,C3960,C3936,C3912,C3888,C3864,C3840,C3816,C3792,C3768)/POBLA!$B$23*100000</f>
        <v>455.80501046202568</v>
      </c>
      <c r="H4080" s="256">
        <f t="shared" si="319"/>
        <v>1.6550308008213552</v>
      </c>
      <c r="I4080" s="297">
        <f t="shared" si="317"/>
        <v>754.37133148335261</v>
      </c>
      <c r="J4080" s="297">
        <f t="shared" si="318"/>
        <v>58.428571428571431</v>
      </c>
      <c r="K4080" s="297">
        <f>J4080/POBLA!$B$23*100000</f>
        <v>33.042227805559818</v>
      </c>
      <c r="L4080" s="549">
        <f t="shared" si="315"/>
        <v>-3.0226700251889227E-2</v>
      </c>
      <c r="M4080" s="401">
        <f>SUM(C4080,C4056,C4032,C4008,C3984,C3960,C3936)/POBLA!$B$23*100000</f>
        <v>231.29559463891871</v>
      </c>
    </row>
    <row r="4081" spans="1:13" s="360" customFormat="1" ht="15.75" thickBot="1" x14ac:dyDescent="0.3">
      <c r="A4081" s="19" t="s">
        <v>40</v>
      </c>
      <c r="B4081" s="2">
        <v>44062</v>
      </c>
      <c r="C4081" s="1">
        <v>104</v>
      </c>
      <c r="D4081" s="39">
        <f t="shared" si="320"/>
        <v>782</v>
      </c>
      <c r="E4081" s="1"/>
      <c r="F4081" s="39">
        <f t="shared" si="321"/>
        <v>5</v>
      </c>
      <c r="G4081" s="177">
        <f>SUM(C4081,C4057,C4033,C4009,C3985,C3961,C3937,C3913,C3889,C3865,C3841,C3817,C3793,C3769)/POBLA!$B$24*100000</f>
        <v>27.321179047547115</v>
      </c>
      <c r="H4081" s="402">
        <f t="shared" si="319"/>
        <v>2.1141552511415527</v>
      </c>
      <c r="I4081" s="403">
        <f t="shared" si="317"/>
        <v>57.761214150750298</v>
      </c>
      <c r="J4081" s="403">
        <f t="shared" si="318"/>
        <v>42.857142857142854</v>
      </c>
      <c r="K4081" s="403">
        <f>J4081/POBLA!$B$24*100000</f>
        <v>2.5289582580265764</v>
      </c>
      <c r="L4081" s="550">
        <f t="shared" si="315"/>
        <v>-0.8404907975460123</v>
      </c>
      <c r="M4081" s="405">
        <f>SUM(C4081,C4057,C4033,C4009,C3985,C3961,C3937)/POBLA!$B$24*100000</f>
        <v>17.702707806186034</v>
      </c>
    </row>
    <row r="4082" spans="1:13" s="360" customFormat="1" x14ac:dyDescent="0.25">
      <c r="A4082" s="361" t="s">
        <v>16</v>
      </c>
      <c r="B4082" s="2">
        <v>44063</v>
      </c>
      <c r="C4082" s="1">
        <v>5245</v>
      </c>
      <c r="D4082" s="39">
        <f>C4082+D4058</f>
        <v>199747</v>
      </c>
      <c r="E4082" s="1">
        <v>55</v>
      </c>
      <c r="F4082" s="39">
        <f t="shared" si="321"/>
        <v>3784</v>
      </c>
      <c r="G4082" s="175">
        <f>SUM(C4082,C4058,C4034,C4010,C3986,C3962,C3938,C3914,C3890,C3866,C3842,C3818,C3794,C3770)/POBLA!$B$1*100000</f>
        <v>345.71867360281749</v>
      </c>
      <c r="H4082" s="300">
        <f t="shared" si="319"/>
        <v>1.1189984131084623</v>
      </c>
      <c r="I4082" s="301">
        <f>G4082*H4082</f>
        <v>386.85864714351521</v>
      </c>
      <c r="J4082" s="301">
        <f>AVERAGE(C4082,C4058,C4034,C4010,C3986,C3962,C3938)</f>
        <v>4052.7142857142858</v>
      </c>
      <c r="K4082" s="301">
        <f>J4082/POBLA!$B$1*100000</f>
        <v>23.104051701735283</v>
      </c>
      <c r="L4082" s="548">
        <f t="shared" ref="L4082:L4105" si="322">1-SUM(C4082,C4058,C4034,C4010,C3986,C3962,C3938)/SUM(C3914,C3890,C3866,C3842,C3818,C3794,C3770)</f>
        <v>0.12099522835719156</v>
      </c>
      <c r="M4082" s="400">
        <f>SUM(C4082,C4058,C4034,C4010,C3986,C3962,C3938)/POBLA!$B$1*100000</f>
        <v>161.72836191214699</v>
      </c>
    </row>
    <row r="4083" spans="1:13" s="360" customFormat="1" x14ac:dyDescent="0.25">
      <c r="A4083" s="19" t="s">
        <v>43</v>
      </c>
      <c r="B4083" s="2">
        <v>44063</v>
      </c>
      <c r="C4083" s="1">
        <v>1280</v>
      </c>
      <c r="D4083" s="39">
        <f t="shared" ref="D4083:D4097" si="323">C4083+D4059</f>
        <v>81626</v>
      </c>
      <c r="E4083" s="1">
        <v>85</v>
      </c>
      <c r="F4083" s="39">
        <f t="shared" ref="F4083:F4121" si="324">E4083+F4059</f>
        <v>1898</v>
      </c>
      <c r="G4083" s="168">
        <f>SUM(C4083,C4059,C4035,C4011,C3987,C3963,C3939,C3915,C3891,C3867,C3843,C3819,C3795,C3771)/POBLA!$B$2*100000</f>
        <v>342.36709946463282</v>
      </c>
      <c r="H4083" s="256">
        <f>SUM(C4083,C4059,C4035,C4011,C3987,C3966,C3942,C3918,C3894,C3870,C3846,C3822,C3798,C3774)/SUM(C3750,C3726,C3702,C3678,C3654,C3630,C3606,C3582,C3558,C3534,C3510,C3486,C3462,C3438)</f>
        <v>0.57377962012002726</v>
      </c>
      <c r="I4083" s="297">
        <f t="shared" ref="I4083:I4105" si="325">G4083*H4083</f>
        <v>196.44326427241259</v>
      </c>
      <c r="J4083" s="297">
        <f t="shared" ref="J4083:J4105" si="326">AVERAGE(C4083,C4059,C4035,C4011,C3987,C3963,C3939)</f>
        <v>1005.7142857142857</v>
      </c>
      <c r="K4083" s="297">
        <f>J4083/POBLA!$B$2*100000</f>
        <v>32.699286124420226</v>
      </c>
      <c r="L4083" s="549">
        <f t="shared" si="322"/>
        <v>-1.0171919770773639</v>
      </c>
      <c r="M4083" s="401">
        <f>SUM(C4083,C4059,C4035,C4011,C3987,C3963,C3939)/POBLA!$B$2*100000</f>
        <v>228.8950028709416</v>
      </c>
    </row>
    <row r="4084" spans="1:13" s="360" customFormat="1" x14ac:dyDescent="0.25">
      <c r="A4084" s="19" t="s">
        <v>28</v>
      </c>
      <c r="B4084" s="2">
        <v>44063</v>
      </c>
      <c r="C4084" s="1">
        <v>1</v>
      </c>
      <c r="D4084" s="39">
        <f t="shared" si="323"/>
        <v>64</v>
      </c>
      <c r="E4084" s="1"/>
      <c r="F4084" s="39">
        <f t="shared" si="324"/>
        <v>0</v>
      </c>
      <c r="G4084" s="168">
        <f>SUM(C4084,C4060,C4036,C4012,C3988,C3964,C3940,C3916,C3892,C3868,C3844,C3820,C3796,C3772)/POBLA!$B$3*100000</f>
        <v>51.752608090737965</v>
      </c>
      <c r="H4084" s="256">
        <f t="shared" si="319"/>
        <v>0.299860529986053</v>
      </c>
      <c r="I4084" s="297">
        <f t="shared" si="325"/>
        <v>15.518564490249181</v>
      </c>
      <c r="J4084" s="297">
        <f t="shared" si="326"/>
        <v>0.14285714285714285</v>
      </c>
      <c r="K4084" s="297">
        <f>J4084/POBLA!$B$3*100000</f>
        <v>3.4387115010457117E-2</v>
      </c>
      <c r="L4084" s="549">
        <f t="shared" si="322"/>
        <v>0.99532710280373837</v>
      </c>
      <c r="M4084" s="401">
        <f>SUM(C4084,C4060,C4036,C4012,C3988,C3964,C3940)/POBLA!$B$3*100000</f>
        <v>0.24070980507319983</v>
      </c>
    </row>
    <row r="4085" spans="1:13" s="360" customFormat="1" x14ac:dyDescent="0.25">
      <c r="A4085" s="19" t="s">
        <v>15</v>
      </c>
      <c r="B4085" s="2">
        <v>44063</v>
      </c>
      <c r="C4085" s="1">
        <v>95</v>
      </c>
      <c r="D4085" s="39">
        <f t="shared" si="323"/>
        <v>4701</v>
      </c>
      <c r="E4085" s="1">
        <v>2</v>
      </c>
      <c r="F4085" s="39">
        <f t="shared" si="324"/>
        <v>190</v>
      </c>
      <c r="G4085" s="168">
        <f>SUM(C4085,C4061,C4037,C4013,C3989,C3965,C3941,C3917,C3893,C3869,C3845,C3821,C3797,C3773)/POBLA!$B$4*100000</f>
        <v>54.543597934815004</v>
      </c>
      <c r="H4085" s="256">
        <f t="shared" si="319"/>
        <v>11.945454545454545</v>
      </c>
      <c r="I4085" s="297">
        <f t="shared" si="325"/>
        <v>651.54806987588108</v>
      </c>
      <c r="J4085" s="297">
        <f t="shared" si="326"/>
        <v>60.285714285714285</v>
      </c>
      <c r="K4085" s="297">
        <f>J4085/POBLA!$B$4*100000</f>
        <v>5.0048702605983761</v>
      </c>
      <c r="L4085" s="549">
        <f t="shared" si="322"/>
        <v>-0.79574468085106376</v>
      </c>
      <c r="M4085" s="401">
        <f>SUM(C4085,C4061,C4037,C4013,C3989,C3965,C3941)/POBLA!$B$4*100000</f>
        <v>35.034091824188629</v>
      </c>
    </row>
    <row r="4086" spans="1:13" s="360" customFormat="1" x14ac:dyDescent="0.25">
      <c r="A4086" s="19" t="s">
        <v>29</v>
      </c>
      <c r="B4086" s="2">
        <v>44063</v>
      </c>
      <c r="C4086" s="1">
        <v>18</v>
      </c>
      <c r="D4086" s="39">
        <f t="shared" si="323"/>
        <v>455</v>
      </c>
      <c r="E4086" s="1">
        <v>1</v>
      </c>
      <c r="F4086" s="39">
        <f t="shared" si="324"/>
        <v>6</v>
      </c>
      <c r="G4086" s="168">
        <f>SUM(C4086,C4062,C4038,C4014,C3990,C3966,C3942,C3918,C3894,C3870,C3846,C3822,C3798,C3774)/POBLA!$B$5*100000</f>
        <v>683.04377748411127</v>
      </c>
      <c r="H4086" s="256">
        <f t="shared" si="319"/>
        <v>0.26158510177566047</v>
      </c>
      <c r="I4086" s="297">
        <f t="shared" si="325"/>
        <v>178.67407605041282</v>
      </c>
      <c r="J4086" s="297">
        <f t="shared" si="326"/>
        <v>10.142857142857142</v>
      </c>
      <c r="K4086" s="297">
        <f>J4086/POBLA!$B$5*100000</f>
        <v>1.6386034667310414</v>
      </c>
      <c r="L4086" s="549">
        <f t="shared" si="322"/>
        <v>0.98292037527062781</v>
      </c>
      <c r="M4086" s="401">
        <f>SUM(C4086,C4062,C4038,C4014,C3990,C3966,C3942)/POBLA!$B$5*100000</f>
        <v>11.47022426711729</v>
      </c>
    </row>
    <row r="4087" spans="1:13" s="360" customFormat="1" x14ac:dyDescent="0.25">
      <c r="A4087" s="19" t="s">
        <v>20</v>
      </c>
      <c r="B4087" s="2">
        <v>44063</v>
      </c>
      <c r="C4087" s="1">
        <v>181</v>
      </c>
      <c r="D4087" s="39">
        <f t="shared" si="323"/>
        <v>5272</v>
      </c>
      <c r="E4087" s="1">
        <f>4+1</f>
        <v>5</v>
      </c>
      <c r="F4087" s="39">
        <f t="shared" si="324"/>
        <v>89</v>
      </c>
      <c r="G4087" s="168">
        <f>SUM(C4087,C4063,C4039,C4015,C3991,C3967,C3943,C3919,C3895,C3871,C3847,C3823,C3799,C3775)/POBLA!$B$6*100000</f>
        <v>203.15827698226536</v>
      </c>
      <c r="H4087" s="256">
        <f t="shared" si="319"/>
        <v>1.5934219734079775</v>
      </c>
      <c r="I4087" s="297">
        <f t="shared" si="325"/>
        <v>323.71686262324579</v>
      </c>
      <c r="J4087" s="297">
        <f t="shared" si="326"/>
        <v>160.85714285714286</v>
      </c>
      <c r="K4087" s="297">
        <f>J4087/POBLA!$B$6*100000</f>
        <v>14.35198066892721</v>
      </c>
      <c r="L4087" s="549">
        <f t="shared" si="322"/>
        <v>2.1720243266724615E-2</v>
      </c>
      <c r="M4087" s="401">
        <f>SUM(C4087,C4063,C4039,C4015,C3991,C3967,C3943)/POBLA!$B$6*100000</f>
        <v>100.46386468249045</v>
      </c>
    </row>
    <row r="4088" spans="1:13" s="360" customFormat="1" x14ac:dyDescent="0.25">
      <c r="A4088" s="19" t="s">
        <v>30</v>
      </c>
      <c r="B4088" s="2">
        <v>44063</v>
      </c>
      <c r="C4088" s="1">
        <v>3</v>
      </c>
      <c r="D4088" s="39">
        <f t="shared" si="323"/>
        <v>239</v>
      </c>
      <c r="E4088" s="1"/>
      <c r="F4088" s="39">
        <f t="shared" si="324"/>
        <v>2</v>
      </c>
      <c r="G4088" s="168">
        <f>SUM(C4088,C4064,C4040,C4016,C3992,C3968,C3944,C3920,C3896,C3872,C3848,C3824,C3800,C3776)/POBLA!$B$7*100000</f>
        <v>1.0371099203552767</v>
      </c>
      <c r="H4088" s="256">
        <f t="shared" si="319"/>
        <v>0.56521739130434778</v>
      </c>
      <c r="I4088" s="297">
        <f t="shared" si="325"/>
        <v>0.58619256367906936</v>
      </c>
      <c r="J4088" s="297">
        <f t="shared" si="326"/>
        <v>2.4285714285714284</v>
      </c>
      <c r="K4088" s="297">
        <f>J4088/POBLA!$B$7*100000</f>
        <v>6.4581936432379847E-2</v>
      </c>
      <c r="L4088" s="549">
        <f t="shared" si="322"/>
        <v>0.22727272727272729</v>
      </c>
      <c r="M4088" s="401">
        <f>SUM(C4088,C4064,C4040,C4016,C3992,C3968,C3944)/POBLA!$B$7*100000</f>
        <v>0.45207355502665902</v>
      </c>
    </row>
    <row r="4089" spans="1:13" x14ac:dyDescent="0.25">
      <c r="A4089" s="19" t="s">
        <v>31</v>
      </c>
      <c r="B4089" s="2">
        <v>44063</v>
      </c>
      <c r="C4089" s="1">
        <v>51</v>
      </c>
      <c r="D4089" s="39">
        <f t="shared" si="323"/>
        <v>1861</v>
      </c>
      <c r="F4089" s="39">
        <f t="shared" si="324"/>
        <v>27</v>
      </c>
      <c r="G4089" s="168">
        <f>SUM(C4089,C4065,C4041,C4017,C3993,C3969,C3945,C3921,C3897,C3873,C3849,C3825,C3801,C3777)/POBLA!$B$8*100000</f>
        <v>62.195112272278941</v>
      </c>
      <c r="H4089" s="256">
        <f t="shared" si="319"/>
        <v>2.9930555555555554</v>
      </c>
      <c r="I4089" s="297">
        <f t="shared" si="325"/>
        <v>186.15342631494599</v>
      </c>
      <c r="J4089" s="297">
        <f t="shared" si="326"/>
        <v>70.857142857142861</v>
      </c>
      <c r="K4089" s="297">
        <f>J4089/POBLA!$B$8*100000</f>
        <v>5.1124918274859725</v>
      </c>
      <c r="L4089" s="549">
        <f t="shared" si="322"/>
        <v>-0.35519125683060104</v>
      </c>
      <c r="M4089" s="401">
        <f>SUM(C4089,C4065,C4041,C4017,C3993,C3969,C3945)/POBLA!$B$8*100000</f>
        <v>35.787442792401805</v>
      </c>
    </row>
    <row r="4090" spans="1:13" s="360" customFormat="1" x14ac:dyDescent="0.25">
      <c r="A4090" s="19" t="s">
        <v>41</v>
      </c>
      <c r="B4090" s="2">
        <v>44063</v>
      </c>
      <c r="C4090" s="1">
        <v>1</v>
      </c>
      <c r="D4090" s="39">
        <f t="shared" si="323"/>
        <v>80</v>
      </c>
      <c r="E4090" s="1"/>
      <c r="F4090" s="39">
        <f>E4090+F4066</f>
        <v>1</v>
      </c>
      <c r="G4090" s="168">
        <f>SUM(C4090,C4066,C4042,C4018,C3994,C3970,C3946,C3922,C3898,C3874,C3850,C3826,C3802,C3778)/POBLA!$B$9*100000</f>
        <v>-0.16523654437510019</v>
      </c>
      <c r="H4090" s="256">
        <f>SUM(C4090,C4066,C4042,C4018,C3994,C3970,C3946,C3922,C3898,C3874,C3850,C3826,C3802,C3778)/SUM(C3754,C3730,C3706,C3682,C3658,C3634,C3610,C3586,C3562,C3538,C3514,C3490,C3466,C3442)</f>
        <v>-0.25</v>
      </c>
      <c r="I4090" s="297">
        <f t="shared" si="325"/>
        <v>4.1309136093775047E-2</v>
      </c>
      <c r="J4090" s="297">
        <f t="shared" si="326"/>
        <v>0.2857142857142857</v>
      </c>
      <c r="K4090" s="297">
        <f>J4090/POBLA!$B$9*100000</f>
        <v>4.7210441250028622E-2</v>
      </c>
      <c r="L4090" s="549">
        <f t="shared" si="322"/>
        <v>1.6666666666666665</v>
      </c>
      <c r="M4090" s="401">
        <f>SUM(C4090,C4066,C4042,C4018,C3994,C3970,C3946)/POBLA!$B$9*100000</f>
        <v>0.33047308875020037</v>
      </c>
    </row>
    <row r="4091" spans="1:13" s="360" customFormat="1" x14ac:dyDescent="0.25">
      <c r="A4091" s="19" t="s">
        <v>32</v>
      </c>
      <c r="B4091" s="2">
        <v>44063</v>
      </c>
      <c r="C4091" s="1">
        <v>264</v>
      </c>
      <c r="D4091" s="39">
        <f t="shared" si="323"/>
        <v>5624</v>
      </c>
      <c r="E4091" s="1">
        <f>1+8+6</f>
        <v>15</v>
      </c>
      <c r="F4091" s="39">
        <f t="shared" si="324"/>
        <v>100</v>
      </c>
      <c r="G4091" s="168">
        <f>SUM(C4091,C4067,C4043,C4019,C3995,C3971,C3947,C3923,C3899,C3875,C3851,C3827,C3803,C3779)/POBLA!$B$10*100000</f>
        <v>345.70835187272746</v>
      </c>
      <c r="H4091" s="256">
        <f t="shared" ref="H4091:H4113" si="327">SUM(C4091,C4067,C4043,C4019,C3995,C3971,C3947,C3923,C3899,C3875,C3851,C3827,C3803,C3779)/SUM(C3755,C3731,C3707,C3683,C3659,C3635,C3611,C3587,C3563,C3539,C3515,C3491,C3467,C3443)</f>
        <v>1.5159271899886235</v>
      </c>
      <c r="I4091" s="297">
        <f t="shared" si="325"/>
        <v>524.06869041002199</v>
      </c>
      <c r="J4091" s="297">
        <f t="shared" si="326"/>
        <v>202.57142857142858</v>
      </c>
      <c r="K4091" s="297">
        <f>J4091/POBLA!$B$10*100000</f>
        <v>26.277911710293623</v>
      </c>
      <c r="L4091" s="549">
        <f t="shared" si="322"/>
        <v>-0.13712910986367288</v>
      </c>
      <c r="M4091" s="401">
        <f>SUM(C4091,C4067,C4043,C4019,C3995,C3971,C3947)/POBLA!$B$10*100000</f>
        <v>183.94538197205537</v>
      </c>
    </row>
    <row r="4092" spans="1:13" s="360" customFormat="1" x14ac:dyDescent="0.25">
      <c r="A4092" s="19" t="s">
        <v>33</v>
      </c>
      <c r="B4092" s="2">
        <v>44063</v>
      </c>
      <c r="C4092" s="1">
        <v>1</v>
      </c>
      <c r="D4092" s="39">
        <f t="shared" si="323"/>
        <v>187</v>
      </c>
      <c r="E4092" s="1"/>
      <c r="F4092" s="39">
        <f t="shared" si="324"/>
        <v>1</v>
      </c>
      <c r="G4092" s="168">
        <f>SUM(C4092,C4068,C4044,C4020,C3996,C3972,C3948,C3924,C3900,C3876,C3852,C3828,C3804,C3780)/POBLA!$B$11*100000</f>
        <v>4.7429330297856191</v>
      </c>
      <c r="H4092" s="256">
        <f t="shared" si="327"/>
        <v>8.9473684210526316E-2</v>
      </c>
      <c r="I4092" s="297">
        <f t="shared" si="325"/>
        <v>0.42436769213871328</v>
      </c>
      <c r="J4092" s="297">
        <f t="shared" si="326"/>
        <v>0.8571428571428571</v>
      </c>
      <c r="K4092" s="297">
        <f>J4092/POBLA!$B$11*100000</f>
        <v>0.23913948049339256</v>
      </c>
      <c r="L4092" s="549">
        <f t="shared" si="322"/>
        <v>0.45454545454545459</v>
      </c>
      <c r="M4092" s="401">
        <f>SUM(C4092,C4068,C4044,C4020,C3996,C3972,C3948)/POBLA!$B$11*100000</f>
        <v>1.6739763634537481</v>
      </c>
    </row>
    <row r="4093" spans="1:13" s="360" customFormat="1" x14ac:dyDescent="0.25">
      <c r="A4093" s="19" t="s">
        <v>21</v>
      </c>
      <c r="B4093" s="2">
        <v>44063</v>
      </c>
      <c r="C4093" s="1">
        <v>22</v>
      </c>
      <c r="D4093" s="39">
        <f t="shared" si="323"/>
        <v>927</v>
      </c>
      <c r="E4093" s="1"/>
      <c r="F4093" s="39">
        <f t="shared" si="324"/>
        <v>1</v>
      </c>
      <c r="G4093" s="168">
        <f>SUM(C4093,C4069,C4045,C4021,C3997,C3973,C3949,C3925,C3901,C3877,C3853,C3829,C3805,C3781)/POBLA!$B$12*100000</f>
        <v>121.46438272969601</v>
      </c>
      <c r="H4093" s="256">
        <f t="shared" si="327"/>
        <v>1.9670781893004115</v>
      </c>
      <c r="I4093" s="297">
        <f t="shared" si="325"/>
        <v>238.92993804442261</v>
      </c>
      <c r="J4093" s="297">
        <f t="shared" si="326"/>
        <v>41</v>
      </c>
      <c r="K4093" s="297">
        <f>J4093/POBLA!$B$12*100000</f>
        <v>10.41849307932539</v>
      </c>
      <c r="L4093" s="549">
        <f t="shared" si="322"/>
        <v>-0.5026178010471205</v>
      </c>
      <c r="M4093" s="401">
        <f>SUM(C4093,C4069,C4045,C4021,C3997,C3973,C3949)/POBLA!$B$12*100000</f>
        <v>72.929451555277723</v>
      </c>
    </row>
    <row r="4094" spans="1:13" s="360" customFormat="1" x14ac:dyDescent="0.25">
      <c r="A4094" s="19" t="s">
        <v>17</v>
      </c>
      <c r="B4094" s="2">
        <v>44063</v>
      </c>
      <c r="C4094" s="1">
        <v>267</v>
      </c>
      <c r="D4094" s="39">
        <f t="shared" si="323"/>
        <v>4040</v>
      </c>
      <c r="E4094" s="1">
        <f>2+2</f>
        <v>4</v>
      </c>
      <c r="F4094" s="39">
        <f t="shared" si="324"/>
        <v>44</v>
      </c>
      <c r="G4094" s="168">
        <f>SUM(C4094,C4070,C4046,C4022,C3998,C3974,C3950,C3926,C3902,C3878,C3854,C3830,C3806,C3782)/POBLA!$B$13*100000</f>
        <v>112.84515494353221</v>
      </c>
      <c r="H4094" s="256">
        <f t="shared" si="327"/>
        <v>2.0053571428571431</v>
      </c>
      <c r="I4094" s="297">
        <f t="shared" si="325"/>
        <v>226.29483750283336</v>
      </c>
      <c r="J4094" s="297">
        <f t="shared" si="326"/>
        <v>185</v>
      </c>
      <c r="K4094" s="297">
        <f>J4094/POBLA!$B$13*100000</f>
        <v>9.2949036796765174</v>
      </c>
      <c r="L4094" s="549">
        <f t="shared" si="322"/>
        <v>-0.36172450052576233</v>
      </c>
      <c r="M4094" s="401">
        <f>SUM(C4094,C4070,C4046,C4022,C3998,C3974,C3950)/POBLA!$B$13*100000</f>
        <v>65.064325757735617</v>
      </c>
    </row>
    <row r="4095" spans="1:13" s="360" customFormat="1" x14ac:dyDescent="0.25">
      <c r="A4095" s="19" t="s">
        <v>23</v>
      </c>
      <c r="B4095" s="2">
        <v>44063</v>
      </c>
      <c r="C4095" s="1">
        <v>-2</v>
      </c>
      <c r="D4095" s="39">
        <f t="shared" si="323"/>
        <v>53</v>
      </c>
      <c r="E4095" s="1"/>
      <c r="F4095" s="39">
        <f t="shared" si="324"/>
        <v>2</v>
      </c>
      <c r="G4095" s="168">
        <f>SUM(C4095,C4071,C4047,C4023,C3999,C3975,C3951,C3927,C3903,C3879,C3855,C3831,C3807,C3783)/POBLA!$B$14*100000</f>
        <v>7.9283656308521244E-2</v>
      </c>
      <c r="H4095" s="256">
        <f t="shared" si="327"/>
        <v>0.1111111111111111</v>
      </c>
      <c r="I4095" s="297">
        <f t="shared" si="325"/>
        <v>8.8092951453912494E-3</v>
      </c>
      <c r="J4095" s="297">
        <f t="shared" si="326"/>
        <v>-0.2857142857142857</v>
      </c>
      <c r="K4095" s="297">
        <f>J4095/POBLA!$B$14*100000</f>
        <v>-2.2652473231006071E-2</v>
      </c>
      <c r="L4095" s="549">
        <f t="shared" si="322"/>
        <v>1.6666666666666665</v>
      </c>
      <c r="M4095" s="401">
        <f>SUM(C4095,C4071,C4047,C4023,C3999,C3975,C3951)/POBLA!$B$14*100000</f>
        <v>-0.15856731261704249</v>
      </c>
    </row>
    <row r="4096" spans="1:13" s="360" customFormat="1" x14ac:dyDescent="0.25">
      <c r="A4096" s="19" t="s">
        <v>19</v>
      </c>
      <c r="B4096" s="2">
        <v>44063</v>
      </c>
      <c r="C4096" s="1">
        <v>59</v>
      </c>
      <c r="D4096" s="39">
        <f t="shared" si="323"/>
        <v>2020</v>
      </c>
      <c r="E4096" s="1">
        <v>1</v>
      </c>
      <c r="F4096" s="39">
        <f t="shared" si="324"/>
        <v>9</v>
      </c>
      <c r="G4096" s="168">
        <f>SUM(C4096,C4072,C4048,C4024,C4000,C3976,C3952,C3928,C3904,C3880,C3856,C3832,C3808,C3784)/POBLA!$B$15*100000</f>
        <v>96.979626748908601</v>
      </c>
      <c r="H4096" s="256">
        <f t="shared" si="327"/>
        <v>1.638676844783715</v>
      </c>
      <c r="I4096" s="297">
        <f t="shared" si="325"/>
        <v>158.91826876920391</v>
      </c>
      <c r="J4096" s="297">
        <f t="shared" si="326"/>
        <v>43</v>
      </c>
      <c r="K4096" s="297">
        <f>J4096/POBLA!$B$15*100000</f>
        <v>6.4753477487625304</v>
      </c>
      <c r="L4096" s="549">
        <f t="shared" si="322"/>
        <v>0.12244897959183676</v>
      </c>
      <c r="M4096" s="401">
        <f>SUM(C4096,C4072,C4048,C4024,C4000,C3976,C3952)/POBLA!$B$15*100000</f>
        <v>45.327434241337713</v>
      </c>
    </row>
    <row r="4097" spans="1:13" s="360" customFormat="1" x14ac:dyDescent="0.25">
      <c r="A4097" s="19" t="s">
        <v>18</v>
      </c>
      <c r="B4097" s="2">
        <v>44063</v>
      </c>
      <c r="C4097" s="1">
        <v>161</v>
      </c>
      <c r="D4097" s="39">
        <f t="shared" si="323"/>
        <v>4329</v>
      </c>
      <c r="E4097" s="1">
        <f>3+1+2</f>
        <v>6</v>
      </c>
      <c r="F4097" s="39">
        <f t="shared" si="324"/>
        <v>42</v>
      </c>
      <c r="G4097" s="168">
        <f>SUM(C4097,C4073,C4049,C4025,C4001,C3977,C3953,C3929,C3905,C3881,C3857,C3833,C3809,C3785)/POBLA!$B$16*100000</f>
        <v>222.44218242131595</v>
      </c>
      <c r="H4097" s="256">
        <f t="shared" si="327"/>
        <v>1.409322033898305</v>
      </c>
      <c r="I4097" s="297">
        <f t="shared" si="325"/>
        <v>313.49266895478678</v>
      </c>
      <c r="J4097" s="297">
        <f t="shared" si="326"/>
        <v>113.42857142857143</v>
      </c>
      <c r="K4097" s="297">
        <f>J4097/POBLA!$B$16*100000</f>
        <v>15.172158134397806</v>
      </c>
      <c r="L4097" s="549">
        <f t="shared" si="322"/>
        <v>8.6306098964326838E-2</v>
      </c>
      <c r="M4097" s="401">
        <f>SUM(C4097,C4073,C4049,C4025,C4001,C3977,C3953)/POBLA!$B$16*100000</f>
        <v>106.20510694078463</v>
      </c>
    </row>
    <row r="4098" spans="1:13" s="360" customFormat="1" x14ac:dyDescent="0.25">
      <c r="A4098" s="19" t="s">
        <v>34</v>
      </c>
      <c r="B4098" s="2">
        <v>44063</v>
      </c>
      <c r="C4098" s="1">
        <v>99</v>
      </c>
      <c r="D4098" s="39">
        <f>C4098+D4074</f>
        <v>1500</v>
      </c>
      <c r="E4098" s="1">
        <v>2</v>
      </c>
      <c r="F4098" s="39">
        <f>E4098+F4074</f>
        <v>22</v>
      </c>
      <c r="G4098" s="168">
        <f>SUM(C4098,C4074,C4050,C4026,C4002,C3978,C3954,C3930,C3906,C3882,C3858,C3834,C3810,C3786)/POBLA!$B$17*100000</f>
        <v>76.242789053894384</v>
      </c>
      <c r="H4098" s="256">
        <f t="shared" si="327"/>
        <v>4.9363636363636365</v>
      </c>
      <c r="I4098" s="297">
        <f t="shared" si="325"/>
        <v>376.36213142058773</v>
      </c>
      <c r="J4098" s="297">
        <f t="shared" si="326"/>
        <v>97</v>
      </c>
      <c r="K4098" s="297">
        <f>J4098/POBLA!$B$17*100000</f>
        <v>6.8098992064712291</v>
      </c>
      <c r="L4098" s="549">
        <f t="shared" si="322"/>
        <v>-0.66830466830466828</v>
      </c>
      <c r="M4098" s="401">
        <f>SUM(C4098,C4074,C4050,C4026,C4002,C3978,C3954)/POBLA!$B$17*100000</f>
        <v>47.669294445298604</v>
      </c>
    </row>
    <row r="4099" spans="1:13" s="360" customFormat="1" x14ac:dyDescent="0.25">
      <c r="A4099" s="19" t="s">
        <v>35</v>
      </c>
      <c r="B4099" s="2">
        <v>44063</v>
      </c>
      <c r="C4099" s="1">
        <v>13</v>
      </c>
      <c r="D4099" s="39">
        <f t="shared" ref="D4099:D4105" si="328">C4099+D4075</f>
        <v>35</v>
      </c>
      <c r="E4099" s="1"/>
      <c r="F4099" s="39">
        <f>E4099+F4075</f>
        <v>0</v>
      </c>
      <c r="G4099" s="168">
        <f>SUM(C4099,C4075,C4051,C4027,C4003,C3979,C3955,C3931,C3907,C3883,C3859,C3835,C3811,C3787)/POBLA!$B$18*100000</f>
        <v>1.6640702903290636</v>
      </c>
      <c r="H4099" s="256">
        <f t="shared" si="327"/>
        <v>4.333333333333333</v>
      </c>
      <c r="I4099" s="297">
        <f t="shared" si="325"/>
        <v>7.2109712580926084</v>
      </c>
      <c r="J4099" s="297">
        <f t="shared" si="326"/>
        <v>1.7142857142857142</v>
      </c>
      <c r="K4099" s="297">
        <f>J4099/POBLA!$B$18*100000</f>
        <v>0.21943784048295342</v>
      </c>
      <c r="L4099" s="549">
        <f t="shared" si="322"/>
        <v>-11</v>
      </c>
      <c r="M4099" s="401">
        <f>SUM(C4099,C4075,C4051,C4027,C4003,C3979,C3955)/POBLA!$B$18*100000</f>
        <v>1.5360648833806738</v>
      </c>
    </row>
    <row r="4100" spans="1:13" s="360" customFormat="1" x14ac:dyDescent="0.25">
      <c r="A4100" s="19" t="s">
        <v>36</v>
      </c>
      <c r="B4100" s="2">
        <v>44063</v>
      </c>
      <c r="C4100" s="1">
        <v>3</v>
      </c>
      <c r="D4100" s="39">
        <f t="shared" si="328"/>
        <v>39</v>
      </c>
      <c r="E4100" s="1"/>
      <c r="F4100" s="39">
        <f t="shared" si="324"/>
        <v>0</v>
      </c>
      <c r="G4100" s="168">
        <f>SUM(C4100,C4076,C4052,C4028,C4004,C3980,C3956,C3932,C3908,C3884,C3860,C3836,C3812,C3788)/POBLA!$B$19*100000</f>
        <v>1.3770636282085582</v>
      </c>
      <c r="H4100" s="256">
        <f t="shared" si="327"/>
        <v>0.5</v>
      </c>
      <c r="I4100" s="297">
        <f t="shared" si="325"/>
        <v>0.68853181410427911</v>
      </c>
      <c r="J4100" s="297">
        <f t="shared" si="326"/>
        <v>0.8571428571428571</v>
      </c>
      <c r="K4100" s="297">
        <f>J4100/POBLA!$B$19*100000</f>
        <v>0.16862003610717038</v>
      </c>
      <c r="L4100" s="549">
        <f t="shared" si="322"/>
        <v>-5</v>
      </c>
      <c r="M4100" s="401">
        <f>SUM(C4100,C4076,C4052,C4028,C4004,C3980,C3956)/POBLA!$B$19*100000</f>
        <v>1.1803402527501927</v>
      </c>
    </row>
    <row r="4101" spans="1:13" s="360" customFormat="1" x14ac:dyDescent="0.25">
      <c r="A4101" s="19" t="s">
        <v>37</v>
      </c>
      <c r="B4101" s="2">
        <v>44063</v>
      </c>
      <c r="C4101" s="1">
        <v>33</v>
      </c>
      <c r="D4101" s="39">
        <f t="shared" si="328"/>
        <v>1178</v>
      </c>
      <c r="E4101" s="1">
        <f>3+3</f>
        <v>6</v>
      </c>
      <c r="F4101" s="39">
        <f t="shared" ref="F4101:F4106" si="329">E4101+F4077</f>
        <v>9</v>
      </c>
      <c r="G4101" s="168">
        <f>SUM(C4101,C4077,C4053,C4029,C4005,C3981,C3957,C3933,C3909,C3885,C3861,C3837,C3813,C3789)/POBLA!$B$20*100000</f>
        <v>147.66282561020296</v>
      </c>
      <c r="H4101" s="256">
        <f t="shared" si="327"/>
        <v>1.4516129032258065</v>
      </c>
      <c r="I4101" s="297">
        <f t="shared" si="325"/>
        <v>214.34926298255269</v>
      </c>
      <c r="J4101" s="297">
        <f t="shared" si="326"/>
        <v>37.285714285714285</v>
      </c>
      <c r="K4101" s="297">
        <f>J4101/POBLA!$B$20*100000</f>
        <v>10.195766530228299</v>
      </c>
      <c r="L4101" s="549">
        <f t="shared" si="322"/>
        <v>6.4516129032258118E-2</v>
      </c>
      <c r="M4101" s="401">
        <f>SUM(C4101,C4077,C4053,C4029,C4005,C3981,C3957)/POBLA!$B$20*100000</f>
        <v>71.370365711598097</v>
      </c>
    </row>
    <row r="4102" spans="1:13" s="360" customFormat="1" x14ac:dyDescent="0.25">
      <c r="A4102" s="19" t="s">
        <v>22</v>
      </c>
      <c r="B4102" s="2">
        <v>44063</v>
      </c>
      <c r="C4102" s="1">
        <v>290</v>
      </c>
      <c r="D4102" s="39">
        <f t="shared" si="328"/>
        <v>4053</v>
      </c>
      <c r="E4102" s="1">
        <v>3</v>
      </c>
      <c r="F4102" s="39">
        <f t="shared" si="329"/>
        <v>39</v>
      </c>
      <c r="G4102" s="168">
        <f>SUM(C4102,C4078,C4054,C4030,C4006,C3982,C3958,C3934,C3910,C3886,C3862,C3838,C3814,C3790)/POBLA!$B$21*100000</f>
        <v>64.330630598532196</v>
      </c>
      <c r="H4102" s="256">
        <f t="shared" si="327"/>
        <v>2.4150743099787686</v>
      </c>
      <c r="I4102" s="297">
        <f t="shared" si="325"/>
        <v>155.36325330324919</v>
      </c>
      <c r="J4102" s="297">
        <f t="shared" si="326"/>
        <v>184.14285714285714</v>
      </c>
      <c r="K4102" s="297">
        <f>J4102/POBLA!$B$21*100000</f>
        <v>5.2070444484463421</v>
      </c>
      <c r="L4102" s="549">
        <f t="shared" si="322"/>
        <v>-0.30730223123732259</v>
      </c>
      <c r="M4102" s="401">
        <f>SUM(C4102,C4078,C4054,C4030,C4006,C3982,C3958)/POBLA!$B$21*100000</f>
        <v>36.44931113912439</v>
      </c>
    </row>
    <row r="4103" spans="1:13" s="360" customFormat="1" x14ac:dyDescent="0.25">
      <c r="A4103" s="19" t="s">
        <v>38</v>
      </c>
      <c r="B4103" s="2">
        <v>44063</v>
      </c>
      <c r="C4103" s="1">
        <v>38</v>
      </c>
      <c r="D4103" s="39">
        <f t="shared" si="328"/>
        <v>417</v>
      </c>
      <c r="E4103" s="1"/>
      <c r="F4103" s="39">
        <f t="shared" si="329"/>
        <v>1</v>
      </c>
      <c r="G4103" s="168">
        <f>SUM(C4103,C4079,C4055,C4031,C4007,C3983,C3959,C3935,C3911,C3887,C3863,C3839,C3815,C3791)/POBLA!$B$22*100000</f>
        <v>34.651486794103725</v>
      </c>
      <c r="H4103" s="256">
        <f t="shared" si="327"/>
        <v>10.272727272727273</v>
      </c>
      <c r="I4103" s="297">
        <f t="shared" si="325"/>
        <v>355.9652734303383</v>
      </c>
      <c r="J4103" s="297">
        <f t="shared" si="326"/>
        <v>30.857142857142858</v>
      </c>
      <c r="K4103" s="297">
        <f>J4103/POBLA!$B$22*100000</f>
        <v>3.1541176348615276</v>
      </c>
      <c r="L4103" s="549">
        <f t="shared" si="322"/>
        <v>-0.75609756097560976</v>
      </c>
      <c r="M4103" s="401">
        <f>SUM(C4103,C4079,C4055,C4031,C4007,C3983,C3959)/POBLA!$B$22*100000</f>
        <v>22.078823444030693</v>
      </c>
    </row>
    <row r="4104" spans="1:13" s="360" customFormat="1" x14ac:dyDescent="0.25">
      <c r="A4104" s="19" t="s">
        <v>39</v>
      </c>
      <c r="B4104" s="2">
        <v>44063</v>
      </c>
      <c r="C4104" s="1">
        <v>47</v>
      </c>
      <c r="D4104" s="39">
        <f t="shared" si="328"/>
        <v>1600</v>
      </c>
      <c r="E4104" s="1">
        <v>1</v>
      </c>
      <c r="F4104" s="39">
        <f t="shared" si="329"/>
        <v>19</v>
      </c>
      <c r="G4104" s="168">
        <f>SUM(C4104,C4080,C4056,C4032,C4008,C3984,C3960,C3936,C3912,C3888,C3864,C3840,C3816,C3792)/POBLA!$B$23*100000</f>
        <v>444.49471243567268</v>
      </c>
      <c r="H4104" s="256">
        <f t="shared" si="327"/>
        <v>1.4290909090909092</v>
      </c>
      <c r="I4104" s="297">
        <f t="shared" si="325"/>
        <v>635.22335268079769</v>
      </c>
      <c r="J4104" s="297">
        <f t="shared" si="326"/>
        <v>53.142857142857146</v>
      </c>
      <c r="K4104" s="297">
        <f>J4104/POBLA!$B$23*100000</f>
        <v>30.053077612880816</v>
      </c>
      <c r="L4104" s="549">
        <f t="shared" si="322"/>
        <v>0.10144927536231885</v>
      </c>
      <c r="M4104" s="401">
        <f>SUM(C4104,C4080,C4056,C4032,C4008,C3984,C3960)/POBLA!$B$23*100000</f>
        <v>210.3715432901657</v>
      </c>
    </row>
    <row r="4105" spans="1:13" s="360" customFormat="1" ht="15.75" thickBot="1" x14ac:dyDescent="0.3">
      <c r="A4105" s="19" t="s">
        <v>40</v>
      </c>
      <c r="B4105" s="2">
        <v>44063</v>
      </c>
      <c r="C4105" s="1">
        <v>55</v>
      </c>
      <c r="D4105" s="39">
        <f t="shared" si="328"/>
        <v>837</v>
      </c>
      <c r="E4105" s="1">
        <v>1</v>
      </c>
      <c r="F4105" s="39">
        <f t="shared" si="329"/>
        <v>6</v>
      </c>
      <c r="G4105" s="177">
        <f>SUM(C4105,C4081,C4057,C4033,C4009,C3985,C3961,C3937,C3913,C3889,C3865,C3841,C3817,C3793)/POBLA!$B$24*100000</f>
        <v>28.796404698062613</v>
      </c>
      <c r="H4105" s="402">
        <f t="shared" si="327"/>
        <v>1.9598393574297188</v>
      </c>
      <c r="I4105" s="403">
        <f t="shared" si="325"/>
        <v>56.436327279737171</v>
      </c>
      <c r="J4105" s="403">
        <f t="shared" si="326"/>
        <v>47.714285714285715</v>
      </c>
      <c r="K4105" s="403">
        <f>J4105/POBLA!$B$24*100000</f>
        <v>2.8155735272695881</v>
      </c>
      <c r="L4105" s="550">
        <f t="shared" si="322"/>
        <v>-1.168831168831169</v>
      </c>
      <c r="M4105" s="405">
        <f>SUM(C4105,C4081,C4057,C4033,C4009,C3985,C3961)/POBLA!$B$24*100000</f>
        <v>19.70901469088712</v>
      </c>
    </row>
    <row r="4106" spans="1:13" s="360" customFormat="1" x14ac:dyDescent="0.25">
      <c r="A4106" s="361" t="s">
        <v>16</v>
      </c>
      <c r="B4106" s="2">
        <v>44064</v>
      </c>
      <c r="C4106" s="1">
        <v>5322</v>
      </c>
      <c r="D4106" s="39">
        <f>C4106+D4082</f>
        <v>205069</v>
      </c>
      <c r="E4106" s="1">
        <v>131</v>
      </c>
      <c r="F4106" s="39">
        <f t="shared" si="329"/>
        <v>3915</v>
      </c>
      <c r="G4106" s="175">
        <f>SUM(C4106,C4082,C4058,C4034,C4010,C3986,C3962,C3938,C3914,C3890,C3866,C3842,C3818,C3794)/POBLA!$B$1*100000</f>
        <v>346.41418138078933</v>
      </c>
      <c r="H4106" s="300">
        <f t="shared" si="327"/>
        <v>1.09281706352061</v>
      </c>
      <c r="I4106" s="301">
        <f>G4106*H4106</f>
        <v>378.56732845845016</v>
      </c>
      <c r="J4106" s="301">
        <f>AVERAGE(C4106,C4082,C4058,C4034,C4010,C3986,C3962)</f>
        <v>4218.7142857142853</v>
      </c>
      <c r="K4106" s="301">
        <f>J4106/POBLA!$B$1*100000</f>
        <v>24.050398350451008</v>
      </c>
      <c r="L4106" s="548">
        <f t="shared" ref="L4106:L4129" si="330">1-SUM(C4106,C4082,C4058,C4034,C4010,C3986,C3962)/SUM(C3938,C3914,C3890,C3866,C3842,C3818,C3794)</f>
        <v>5.4523916245117543E-2</v>
      </c>
      <c r="M4106" s="400">
        <f>SUM(C4106,C4082,C4058,C4034,C4010,C3986,C3962)/POBLA!$B$1*100000</f>
        <v>168.35278845315705</v>
      </c>
    </row>
    <row r="4107" spans="1:13" s="360" customFormat="1" x14ac:dyDescent="0.25">
      <c r="A4107" s="19" t="s">
        <v>43</v>
      </c>
      <c r="B4107" s="2">
        <v>44064</v>
      </c>
      <c r="C4107" s="1">
        <v>1179</v>
      </c>
      <c r="D4107" s="39">
        <f t="shared" ref="D4107:D4121" si="331">C4107+D4083</f>
        <v>82805</v>
      </c>
      <c r="E4107" s="1">
        <f>5+14+12</f>
        <v>31</v>
      </c>
      <c r="F4107" s="39">
        <f t="shared" si="324"/>
        <v>1929</v>
      </c>
      <c r="G4107" s="168">
        <f>SUM(C4107,C4083,C4059,C4035,C4011,C3987,C3963,C3939,C3915,C3891,C3867,C3843,C3819,C3795)/POBLA!$B$2*100000</f>
        <v>380.70050974657033</v>
      </c>
      <c r="H4107" s="256">
        <f>SUM(C4107,C4083,C4059,C4035,C4011,C3990,C3966,C3942,C3918,C3894,C3870,C3846,C3822,C3798)/SUM(C3774,C3750,C3726,C3702,C3678,C3654,C3630,C3606,C3582,C3558,C3534,C3510,C3486,C3462)</f>
        <v>0.50809579511174041</v>
      </c>
      <c r="I4107" s="297">
        <f t="shared" ref="I4107:I4129" si="332">G4107*H4107</f>
        <v>193.43232819912853</v>
      </c>
      <c r="J4107" s="297">
        <f t="shared" ref="J4107:J4129" si="333">AVERAGE(C4107,C4083,C4059,C4035,C4011,C3987,C3963)</f>
        <v>1028.7142857142858</v>
      </c>
      <c r="K4107" s="297">
        <f>J4107/POBLA!$B$2*100000</f>
        <v>33.447096503117905</v>
      </c>
      <c r="L4107" s="549">
        <f t="shared" si="330"/>
        <v>-0.59738243123336288</v>
      </c>
      <c r="M4107" s="401">
        <f>SUM(C4107,C4083,C4059,C4035,C4011,C3987,C3963)/POBLA!$B$2*100000</f>
        <v>234.12967552182533</v>
      </c>
    </row>
    <row r="4108" spans="1:13" s="360" customFormat="1" x14ac:dyDescent="0.25">
      <c r="A4108" s="19" t="s">
        <v>28</v>
      </c>
      <c r="B4108" s="2">
        <v>44064</v>
      </c>
      <c r="C4108" s="1">
        <v>-1</v>
      </c>
      <c r="D4108" s="39">
        <f t="shared" si="331"/>
        <v>63</v>
      </c>
      <c r="E4108" s="1"/>
      <c r="F4108" s="39">
        <f t="shared" si="324"/>
        <v>0</v>
      </c>
      <c r="G4108" s="168">
        <f>SUM(C4108,C4084,C4060,C4036,C4012,C3988,C3964,C3940,C3916,C3892,C3868,C3844,C3820,C3796)/POBLA!$B$3*100000</f>
        <v>32.97724329502838</v>
      </c>
      <c r="H4108" s="256">
        <f t="shared" si="327"/>
        <v>0.18741450068399454</v>
      </c>
      <c r="I4108" s="297">
        <f t="shared" si="332"/>
        <v>6.1804135860723504</v>
      </c>
      <c r="J4108" s="297">
        <f t="shared" si="333"/>
        <v>0</v>
      </c>
      <c r="K4108" s="297">
        <f>J4108/POBLA!$B$3*100000</f>
        <v>0</v>
      </c>
      <c r="L4108" s="549">
        <f t="shared" si="330"/>
        <v>1</v>
      </c>
      <c r="M4108" s="401">
        <f>SUM(C4108,C4084,C4060,C4036,C4012,C3988,C3964)/POBLA!$B$3*100000</f>
        <v>0</v>
      </c>
    </row>
    <row r="4109" spans="1:13" s="360" customFormat="1" x14ac:dyDescent="0.25">
      <c r="A4109" s="19" t="s">
        <v>15</v>
      </c>
      <c r="B4109" s="2">
        <v>44064</v>
      </c>
      <c r="C4109" s="1">
        <v>55</v>
      </c>
      <c r="D4109" s="39">
        <f t="shared" si="331"/>
        <v>4756</v>
      </c>
      <c r="E4109" s="1">
        <f>2</f>
        <v>2</v>
      </c>
      <c r="F4109" s="39">
        <f t="shared" si="324"/>
        <v>192</v>
      </c>
      <c r="G4109" s="168">
        <f>SUM(C4109,C4085,C4061,C4037,C4013,C3989,C3965,C3941,C3917,C3893,C3869,C3845,C3821,C3797)/POBLA!$B$4*100000</f>
        <v>58.943614206573294</v>
      </c>
      <c r="H4109" s="256">
        <f t="shared" si="327"/>
        <v>13.921568627450981</v>
      </c>
      <c r="I4109" s="297">
        <f t="shared" si="332"/>
        <v>820.58757032680467</v>
      </c>
      <c r="J4109" s="297">
        <f t="shared" si="333"/>
        <v>61.142857142857146</v>
      </c>
      <c r="K4109" s="297">
        <f>J4109/POBLA!$B$4*100000</f>
        <v>5.0760295534030924</v>
      </c>
      <c r="L4109" s="549">
        <f t="shared" si="330"/>
        <v>-0.51773049645390068</v>
      </c>
      <c r="M4109" s="401">
        <f>SUM(C4109,C4085,C4061,C4037,C4013,C3989,C3965)/POBLA!$B$4*100000</f>
        <v>35.53220687382165</v>
      </c>
    </row>
    <row r="4110" spans="1:13" s="360" customFormat="1" x14ac:dyDescent="0.25">
      <c r="A4110" s="19" t="s">
        <v>29</v>
      </c>
      <c r="B4110" s="2">
        <v>44064</v>
      </c>
      <c r="C4110" s="1">
        <v>19</v>
      </c>
      <c r="D4110" s="39">
        <f t="shared" si="331"/>
        <v>474</v>
      </c>
      <c r="E4110" s="1">
        <f>1</f>
        <v>1</v>
      </c>
      <c r="F4110" s="39">
        <f t="shared" si="324"/>
        <v>7</v>
      </c>
      <c r="G4110" s="168">
        <f>SUM(C4110,C4086,C4062,C4038,C4014,C3990,C3966,C3942,C3918,C3894,C3870,C3846,C3822,C3798)/POBLA!$B$5*100000</f>
        <v>486.27288794398658</v>
      </c>
      <c r="H4110" s="256">
        <f t="shared" si="327"/>
        <v>0.18531059533337438</v>
      </c>
      <c r="I4110" s="297">
        <f t="shared" si="332"/>
        <v>90.111518359379403</v>
      </c>
      <c r="J4110" s="297">
        <f t="shared" si="333"/>
        <v>12</v>
      </c>
      <c r="K4110" s="297">
        <f>J4110/POBLA!$B$5*100000</f>
        <v>1.9386294535972886</v>
      </c>
      <c r="L4110" s="549">
        <f t="shared" si="330"/>
        <v>0.9712918660287081</v>
      </c>
      <c r="M4110" s="401">
        <f>SUM(C4110,C4086,C4062,C4038,C4014,C3990,C3966)/POBLA!$B$5*100000</f>
        <v>13.57040617518102</v>
      </c>
    </row>
    <row r="4111" spans="1:13" s="360" customFormat="1" x14ac:dyDescent="0.25">
      <c r="A4111" s="19" t="s">
        <v>20</v>
      </c>
      <c r="B4111" s="2">
        <v>44064</v>
      </c>
      <c r="C4111" s="1">
        <v>182</v>
      </c>
      <c r="D4111" s="39">
        <f t="shared" si="331"/>
        <v>5454</v>
      </c>
      <c r="E4111" s="1">
        <v>2</v>
      </c>
      <c r="F4111" s="39">
        <f t="shared" si="324"/>
        <v>91</v>
      </c>
      <c r="G4111" s="168">
        <f>SUM(C4111,C4087,C4063,C4039,C4015,C3991,C3967,C3943,C3919,C3895,C3871,C3847,C3823,C3799)/POBLA!$B$6*100000</f>
        <v>204.9427150760929</v>
      </c>
      <c r="H4111" s="256">
        <f t="shared" si="327"/>
        <v>1.4964169381107493</v>
      </c>
      <c r="I4111" s="297">
        <f t="shared" si="332"/>
        <v>306.67975018227065</v>
      </c>
      <c r="J4111" s="297">
        <f t="shared" si="333"/>
        <v>166.28571428571428</v>
      </c>
      <c r="K4111" s="297">
        <f>J4111/POBLA!$B$6*100000</f>
        <v>14.836328151537543</v>
      </c>
      <c r="L4111" s="549">
        <f t="shared" si="330"/>
        <v>-2.7360988526037078E-2</v>
      </c>
      <c r="M4111" s="401">
        <f>SUM(C4111,C4087,C4063,C4039,C4015,C3991,C3967)/POBLA!$B$6*100000</f>
        <v>103.85429706076279</v>
      </c>
    </row>
    <row r="4112" spans="1:13" s="360" customFormat="1" x14ac:dyDescent="0.25">
      <c r="A4112" s="19" t="s">
        <v>30</v>
      </c>
      <c r="B4112" s="2">
        <v>44064</v>
      </c>
      <c r="C4112" s="1">
        <v>4</v>
      </c>
      <c r="D4112" s="39">
        <f t="shared" si="331"/>
        <v>243</v>
      </c>
      <c r="E4112" s="1">
        <v>1</v>
      </c>
      <c r="F4112" s="39">
        <f t="shared" si="324"/>
        <v>3</v>
      </c>
      <c r="G4112" s="168">
        <f>SUM(C4112,C4088,C4064,C4040,C4016,C3992,C3968,C3944,C3920,C3896,C3872,C3848,C3824,C3800)/POBLA!$B$7*100000</f>
        <v>1.0371099203552767</v>
      </c>
      <c r="H4112" s="256">
        <f t="shared" si="327"/>
        <v>0.53424657534246578</v>
      </c>
      <c r="I4112" s="297">
        <f t="shared" si="332"/>
        <v>0.55407242320350403</v>
      </c>
      <c r="J4112" s="297">
        <f t="shared" si="333"/>
        <v>2.8571428571428572</v>
      </c>
      <c r="K4112" s="297">
        <f>J4112/POBLA!$B$7*100000</f>
        <v>7.597874874397631E-2</v>
      </c>
      <c r="L4112" s="549">
        <f t="shared" si="330"/>
        <v>-5.2631578947368363E-2</v>
      </c>
      <c r="M4112" s="401">
        <f>SUM(C4112,C4088,C4064,C4040,C4016,C3992,C3968)/POBLA!$B$7*100000</f>
        <v>0.53185124120783422</v>
      </c>
    </row>
    <row r="4113" spans="1:13" x14ac:dyDescent="0.25">
      <c r="A4113" s="19" t="s">
        <v>31</v>
      </c>
      <c r="B4113" s="2">
        <v>44064</v>
      </c>
      <c r="C4113" s="1">
        <v>136</v>
      </c>
      <c r="D4113" s="39">
        <f t="shared" si="331"/>
        <v>1997</v>
      </c>
      <c r="E4113" s="1">
        <v>2</v>
      </c>
      <c r="F4113" s="39">
        <f t="shared" si="324"/>
        <v>29</v>
      </c>
      <c r="G4113" s="168">
        <f>SUM(C4113,C4089,C4065,C4041,C4017,C3993,C3969,C3945,C3921,C3897,C3873,C3849,C3825,C3801)/POBLA!$B$8*100000</f>
        <v>67.895128362197781</v>
      </c>
      <c r="H4113" s="256">
        <f t="shared" si="327"/>
        <v>2.817365269461078</v>
      </c>
      <c r="I4113" s="297">
        <f t="shared" si="332"/>
        <v>191.28537661325782</v>
      </c>
      <c r="J4113" s="297">
        <f t="shared" si="333"/>
        <v>76</v>
      </c>
      <c r="K4113" s="297">
        <f>J4113/POBLA!$B$8*100000</f>
        <v>5.4835597827067284</v>
      </c>
      <c r="L4113" s="549">
        <f t="shared" si="330"/>
        <v>-0.30073349633251834</v>
      </c>
      <c r="M4113" s="401">
        <f>SUM(C4113,C4089,C4065,C4041,C4017,C3993,C3969)/POBLA!$B$8*100000</f>
        <v>38.3849184789471</v>
      </c>
    </row>
    <row r="4114" spans="1:13" s="360" customFormat="1" x14ac:dyDescent="0.25">
      <c r="A4114" s="19" t="s">
        <v>41</v>
      </c>
      <c r="B4114" s="2">
        <v>44064</v>
      </c>
      <c r="C4114" s="1">
        <v>-1</v>
      </c>
      <c r="D4114" s="39">
        <f t="shared" si="331"/>
        <v>79</v>
      </c>
      <c r="E4114" s="1"/>
      <c r="F4114" s="39">
        <f>E4114+F4090</f>
        <v>1</v>
      </c>
      <c r="G4114" s="168">
        <f>SUM(C4114,C4090,C4066,C4042,C4018,C3994,C3970,C3946,C3922,C3898,C3874,C3850,C3826,C3802)/POBLA!$B$9*100000</f>
        <v>-0.33047308875020037</v>
      </c>
      <c r="H4114" s="256">
        <f>SUM(C4114,C4090,C4066,C4042,C4018,C3994,C3970,C3946,C3922,C3898,C3874,C3850,C3826,C3802)/SUM(C3778,C3754,C3730,C3706,C3682,C3658,C3634,C3610,C3586,C3562,C3538,C3514,C3490,C3466)</f>
        <v>-0.66666666666666663</v>
      </c>
      <c r="I4114" s="297">
        <f t="shared" si="332"/>
        <v>0.22031539250013357</v>
      </c>
      <c r="J4114" s="297">
        <f t="shared" si="333"/>
        <v>0.14285714285714285</v>
      </c>
      <c r="K4114" s="297">
        <f>J4114/POBLA!$B$9*100000</f>
        <v>2.3605220625014311E-2</v>
      </c>
      <c r="L4114" s="549">
        <f t="shared" si="330"/>
        <v>1.3333333333333333</v>
      </c>
      <c r="M4114" s="401">
        <f>SUM(C4114,C4090,C4066,C4042,C4018,C3994,C3970)/POBLA!$B$9*100000</f>
        <v>0.16523654437510019</v>
      </c>
    </row>
    <row r="4115" spans="1:13" s="360" customFormat="1" x14ac:dyDescent="0.25">
      <c r="A4115" s="19" t="s">
        <v>32</v>
      </c>
      <c r="B4115" s="2">
        <v>44064</v>
      </c>
      <c r="C4115" s="1">
        <v>250</v>
      </c>
      <c r="D4115" s="39">
        <f t="shared" si="331"/>
        <v>5874</v>
      </c>
      <c r="E4115" s="1">
        <f>8+4+10+5</f>
        <v>27</v>
      </c>
      <c r="F4115" s="39">
        <f t="shared" si="324"/>
        <v>127</v>
      </c>
      <c r="G4115" s="168">
        <f>SUM(C4115,C4091,C4067,C4043,C4019,C3995,C3971,C3947,C3923,C3899,C3875,C3851,C3827,C3803)/POBLA!$B$10*100000</f>
        <v>369.0582593162888</v>
      </c>
      <c r="H4115" s="256">
        <f t="shared" ref="H4115:H4137" si="334">SUM(C4115,C4091,C4067,C4043,C4019,C3995,C3971,C3947,C3923,C3899,C3875,C3851,C3827,C3803)/SUM(C3779,C3755,C3731,C3707,C3683,C3659,C3635,C3611,C3587,C3563,C3539,C3515,C3491,C3467)</f>
        <v>1.7005379557680813</v>
      </c>
      <c r="I4115" s="297">
        <f t="shared" si="332"/>
        <v>627.59757785704824</v>
      </c>
      <c r="J4115" s="297">
        <f t="shared" si="333"/>
        <v>219.71428571428572</v>
      </c>
      <c r="K4115" s="297">
        <f>J4115/POBLA!$B$10*100000</f>
        <v>28.501712419204228</v>
      </c>
      <c r="L4115" s="549">
        <f t="shared" si="330"/>
        <v>-0.17674062739097174</v>
      </c>
      <c r="M4115" s="401">
        <f>SUM(C4115,C4091,C4067,C4043,C4019,C3995,C3971)/POBLA!$B$10*100000</f>
        <v>199.51198693442959</v>
      </c>
    </row>
    <row r="4116" spans="1:13" s="360" customFormat="1" x14ac:dyDescent="0.25">
      <c r="A4116" s="19" t="s">
        <v>33</v>
      </c>
      <c r="B4116" s="2">
        <v>44064</v>
      </c>
      <c r="C4116" s="1">
        <v>0</v>
      </c>
      <c r="D4116" s="39">
        <f t="shared" si="331"/>
        <v>187</v>
      </c>
      <c r="E4116" s="1"/>
      <c r="F4116" s="39">
        <f t="shared" si="324"/>
        <v>1</v>
      </c>
      <c r="G4116" s="168">
        <f>SUM(C4116,C4092,C4068,C4044,C4020,C3996,C3972,C3948,C3924,C3900,C3876,C3852,C3828,C3804)/POBLA!$B$11*100000</f>
        <v>2.7899606057562467</v>
      </c>
      <c r="H4116" s="256">
        <f t="shared" si="334"/>
        <v>5.0761421319796954E-2</v>
      </c>
      <c r="I4116" s="297">
        <f t="shared" si="332"/>
        <v>0.14162236577442877</v>
      </c>
      <c r="J4116" s="297">
        <f t="shared" si="333"/>
        <v>0.7142857142857143</v>
      </c>
      <c r="K4116" s="297">
        <f>J4116/POBLA!$B$11*100000</f>
        <v>0.19928290041116051</v>
      </c>
      <c r="L4116" s="549">
        <f t="shared" si="330"/>
        <v>0</v>
      </c>
      <c r="M4116" s="401">
        <f>SUM(C4116,C4092,C4068,C4044,C4020,C3996,C3972)/POBLA!$B$11*100000</f>
        <v>1.3949803028781234</v>
      </c>
    </row>
    <row r="4117" spans="1:13" s="360" customFormat="1" x14ac:dyDescent="0.25">
      <c r="A4117" s="19" t="s">
        <v>21</v>
      </c>
      <c r="B4117" s="2">
        <v>44064</v>
      </c>
      <c r="C4117" s="1">
        <v>51</v>
      </c>
      <c r="D4117" s="39">
        <f t="shared" si="331"/>
        <v>978</v>
      </c>
      <c r="E4117" s="1"/>
      <c r="F4117" s="39">
        <f t="shared" si="324"/>
        <v>1</v>
      </c>
      <c r="G4117" s="168">
        <f>SUM(C4117,C4093,C4069,C4045,C4021,C3997,C3973,C3949,C3925,C3901,C3877,C3853,C3829,C3805)/POBLA!$B$12*100000</f>
        <v>127.05479365030963</v>
      </c>
      <c r="H4117" s="256">
        <f t="shared" si="334"/>
        <v>1.9083969465648856</v>
      </c>
      <c r="I4117" s="297">
        <f t="shared" si="332"/>
        <v>242.47098024868251</v>
      </c>
      <c r="J4117" s="297">
        <f t="shared" si="333"/>
        <v>45.285714285714285</v>
      </c>
      <c r="K4117" s="297">
        <f>J4117/POBLA!$B$12*100000</f>
        <v>11.507534167756615</v>
      </c>
      <c r="L4117" s="549">
        <f t="shared" si="330"/>
        <v>-0.73224043715846987</v>
      </c>
      <c r="M4117" s="401">
        <f>SUM(C4117,C4093,C4069,C4045,C4021,C3997,C3973)/POBLA!$B$12*100000</f>
        <v>80.552739174296306</v>
      </c>
    </row>
    <row r="4118" spans="1:13" s="360" customFormat="1" x14ac:dyDescent="0.25">
      <c r="A4118" s="19" t="s">
        <v>17</v>
      </c>
      <c r="B4118" s="2">
        <v>44064</v>
      </c>
      <c r="C4118" s="1">
        <v>212</v>
      </c>
      <c r="D4118" s="39">
        <f t="shared" si="331"/>
        <v>4252</v>
      </c>
      <c r="E4118" s="1">
        <f>1+2+1+1</f>
        <v>5</v>
      </c>
      <c r="F4118" s="39">
        <f t="shared" si="324"/>
        <v>49</v>
      </c>
      <c r="G4118" s="168">
        <f>SUM(C4118,C4094,C4070,C4046,C4022,C3998,C3974,C3950,C3926,C3902,C3878,C3854,C3830,C3806)/POBLA!$B$13*100000</f>
        <v>117.26651453170264</v>
      </c>
      <c r="H4118" s="256">
        <f t="shared" si="334"/>
        <v>1.9646464646464648</v>
      </c>
      <c r="I4118" s="297">
        <f t="shared" si="332"/>
        <v>230.38724319612288</v>
      </c>
      <c r="J4118" s="297">
        <f t="shared" si="333"/>
        <v>191.71428571428572</v>
      </c>
      <c r="K4118" s="297">
        <f>J4118/POBLA!$B$13*100000</f>
        <v>9.6322476742284842</v>
      </c>
      <c r="L4118" s="549">
        <f t="shared" si="330"/>
        <v>-0.35282258064516125</v>
      </c>
      <c r="M4118" s="401">
        <f>SUM(C4118,C4094,C4070,C4046,C4022,C3998,C3974)/POBLA!$B$13*100000</f>
        <v>67.425733719599378</v>
      </c>
    </row>
    <row r="4119" spans="1:13" s="360" customFormat="1" x14ac:dyDescent="0.25">
      <c r="A4119" s="19" t="s">
        <v>23</v>
      </c>
      <c r="B4119" s="2">
        <v>44064</v>
      </c>
      <c r="C4119" s="1">
        <v>5</v>
      </c>
      <c r="D4119" s="39">
        <f t="shared" si="331"/>
        <v>58</v>
      </c>
      <c r="E4119" s="1"/>
      <c r="F4119" s="39">
        <f t="shared" si="324"/>
        <v>2</v>
      </c>
      <c r="G4119" s="168">
        <f>SUM(C4119,C4095,C4071,C4047,C4023,C3999,C3975,C3951,C3927,C3903,C3879,C3855,C3831,C3807)/POBLA!$B$14*100000</f>
        <v>0.55498559415964877</v>
      </c>
      <c r="H4119" s="256">
        <f t="shared" si="334"/>
        <v>1</v>
      </c>
      <c r="I4119" s="297">
        <f t="shared" si="332"/>
        <v>0.55498559415964877</v>
      </c>
      <c r="J4119" s="297">
        <f t="shared" si="333"/>
        <v>0.2857142857142857</v>
      </c>
      <c r="K4119" s="297">
        <f>J4119/POBLA!$B$14*100000</f>
        <v>2.2652473231006071E-2</v>
      </c>
      <c r="L4119" s="549">
        <f t="shared" si="330"/>
        <v>0.6</v>
      </c>
      <c r="M4119" s="401">
        <f>SUM(C4119,C4095,C4071,C4047,C4023,C3999,C3975)/POBLA!$B$14*100000</f>
        <v>0.15856731261704249</v>
      </c>
    </row>
    <row r="4120" spans="1:13" s="360" customFormat="1" x14ac:dyDescent="0.25">
      <c r="A4120" s="19" t="s">
        <v>19</v>
      </c>
      <c r="B4120" s="2">
        <v>44064</v>
      </c>
      <c r="C4120" s="1">
        <v>47</v>
      </c>
      <c r="D4120" s="39">
        <f t="shared" si="331"/>
        <v>2067</v>
      </c>
      <c r="E4120" s="1">
        <f>2</f>
        <v>2</v>
      </c>
      <c r="F4120" s="39">
        <f t="shared" si="324"/>
        <v>11</v>
      </c>
      <c r="G4120" s="168">
        <f>SUM(C4120,C4096,C4072,C4048,C4024,C4000,C3976,C3952,C3928,C3904,C3880,C3856,C3832,C3808)/POBLA!$B$15*100000</f>
        <v>97.732574161555419</v>
      </c>
      <c r="H4120" s="256">
        <f t="shared" si="334"/>
        <v>1.5563549160671464</v>
      </c>
      <c r="I4120" s="297">
        <f t="shared" si="332"/>
        <v>152.10657225623373</v>
      </c>
      <c r="J4120" s="297">
        <f t="shared" si="333"/>
        <v>47.428571428571431</v>
      </c>
      <c r="K4120" s="297">
        <f>J4120/POBLA!$B$15*100000</f>
        <v>7.1422440285354165</v>
      </c>
      <c r="L4120" s="549">
        <f t="shared" si="330"/>
        <v>-4.7318611987381631E-2</v>
      </c>
      <c r="M4120" s="401">
        <f>SUM(C4120,C4096,C4072,C4048,C4024,C4000,C3976)/POBLA!$B$15*100000</f>
        <v>49.995708199747909</v>
      </c>
    </row>
    <row r="4121" spans="1:13" s="360" customFormat="1" x14ac:dyDescent="0.25">
      <c r="A4121" s="19" t="s">
        <v>18</v>
      </c>
      <c r="B4121" s="2">
        <v>44064</v>
      </c>
      <c r="C4121" s="1">
        <v>137</v>
      </c>
      <c r="D4121" s="39">
        <f t="shared" si="331"/>
        <v>4466</v>
      </c>
      <c r="E4121" s="1"/>
      <c r="F4121" s="39">
        <f t="shared" si="324"/>
        <v>42</v>
      </c>
      <c r="G4121" s="168">
        <f>SUM(C4121,C4097,C4073,C4049,C4025,C4001,C3977,C3953,C3929,C3905,C3881,C3857,C3833,C3809)/POBLA!$B$16*100000</f>
        <v>226.72248899827451</v>
      </c>
      <c r="H4121" s="256">
        <f t="shared" si="334"/>
        <v>1.3614457831325302</v>
      </c>
      <c r="I4121" s="297">
        <f t="shared" si="332"/>
        <v>308.67037658801229</v>
      </c>
      <c r="J4121" s="297">
        <f t="shared" si="333"/>
        <v>116.14285714285714</v>
      </c>
      <c r="K4121" s="297">
        <f>J4121/POBLA!$B$16*100000</f>
        <v>15.535219852979111</v>
      </c>
      <c r="L4121" s="549">
        <f t="shared" si="330"/>
        <v>7.8231292517006779E-2</v>
      </c>
      <c r="M4121" s="401">
        <f>SUM(C4121,C4097,C4073,C4049,C4025,C4001,C3977)/POBLA!$B$16*100000</f>
        <v>108.74653897085379</v>
      </c>
    </row>
    <row r="4122" spans="1:13" s="360" customFormat="1" x14ac:dyDescent="0.25">
      <c r="A4122" s="19" t="s">
        <v>34</v>
      </c>
      <c r="B4122" s="2">
        <v>44064</v>
      </c>
      <c r="C4122" s="1">
        <v>90</v>
      </c>
      <c r="D4122" s="39">
        <f>C4122+D4098</f>
        <v>1590</v>
      </c>
      <c r="E4122" s="1">
        <f>1+1+1</f>
        <v>3</v>
      </c>
      <c r="F4122" s="39">
        <f>E4122+F4098</f>
        <v>25</v>
      </c>
      <c r="G4122" s="168">
        <f>SUM(C4122,C4098,C4074,C4050,C4026,C4002,C3978,C3954,C3930,C3906,C3882,C3858,C3834,C3810)/POBLA!$B$17*100000</f>
        <v>78.770174326399172</v>
      </c>
      <c r="H4122" s="256">
        <f t="shared" si="334"/>
        <v>4.2988505747126435</v>
      </c>
      <c r="I4122" s="297">
        <f t="shared" si="332"/>
        <v>338.6212091732562</v>
      </c>
      <c r="J4122" s="297">
        <f t="shared" si="333"/>
        <v>94.285714285714292</v>
      </c>
      <c r="K4122" s="297">
        <f>J4122/POBLA!$B$17*100000</f>
        <v>6.6193423803696785</v>
      </c>
      <c r="L4122" s="549">
        <f t="shared" si="330"/>
        <v>-0.4285714285714286</v>
      </c>
      <c r="M4122" s="401">
        <f>SUM(C4122,C4098,C4074,C4050,C4026,C4002,C3978)/POBLA!$B$17*100000</f>
        <v>46.335396662587748</v>
      </c>
    </row>
    <row r="4123" spans="1:13" s="360" customFormat="1" x14ac:dyDescent="0.25">
      <c r="A4123" s="19" t="s">
        <v>35</v>
      </c>
      <c r="B4123" s="2">
        <v>44064</v>
      </c>
      <c r="C4123" s="1">
        <v>1</v>
      </c>
      <c r="D4123" s="39">
        <f t="shared" ref="D4123:D4129" si="335">C4123+D4099</f>
        <v>36</v>
      </c>
      <c r="E4123" s="1"/>
      <c r="F4123" s="39">
        <f>E4123+F4099</f>
        <v>0</v>
      </c>
      <c r="G4123" s="168">
        <f>SUM(C4123,C4099,C4075,C4051,C4027,C4003,C3979,C3955,C3931,C3907,C3883,C3859,C3835,C3811)/POBLA!$B$18*100000</f>
        <v>1.792075697277453</v>
      </c>
      <c r="H4123" s="256">
        <f t="shared" si="334"/>
        <v>4.666666666666667</v>
      </c>
      <c r="I4123" s="297">
        <f t="shared" si="332"/>
        <v>8.3630199206281137</v>
      </c>
      <c r="J4123" s="297">
        <f t="shared" si="333"/>
        <v>2</v>
      </c>
      <c r="K4123" s="297">
        <f>J4123/POBLA!$B$18*100000</f>
        <v>0.25601081389677899</v>
      </c>
      <c r="L4123" s="549" t="e">
        <f t="shared" si="330"/>
        <v>#DIV/0!</v>
      </c>
      <c r="M4123" s="401">
        <f>SUM(C4123,C4099,C4075,C4051,C4027,C4003,C3979)/POBLA!$B$18*100000</f>
        <v>1.792075697277453</v>
      </c>
    </row>
    <row r="4124" spans="1:13" s="360" customFormat="1" x14ac:dyDescent="0.25">
      <c r="A4124" s="19" t="s">
        <v>36</v>
      </c>
      <c r="B4124" s="2">
        <v>44064</v>
      </c>
      <c r="C4124" s="1">
        <v>0</v>
      </c>
      <c r="D4124" s="39">
        <f t="shared" si="335"/>
        <v>39</v>
      </c>
      <c r="E4124" s="1"/>
      <c r="F4124" s="39">
        <f>E4124+F4100</f>
        <v>0</v>
      </c>
      <c r="G4124" s="168">
        <f>SUM(C4124,C4100,C4076,C4052,C4028,C4004,C3980,C3956,C3932,C3908,C3884,C3860,C3836,C3812)/POBLA!$B$19*100000</f>
        <v>1.1803402527501927</v>
      </c>
      <c r="H4124" s="256">
        <f t="shared" si="334"/>
        <v>0.42857142857142855</v>
      </c>
      <c r="I4124" s="297">
        <f t="shared" si="332"/>
        <v>0.50586010832151118</v>
      </c>
      <c r="J4124" s="297">
        <f t="shared" si="333"/>
        <v>0.7142857142857143</v>
      </c>
      <c r="K4124" s="297">
        <f>J4124/POBLA!$B$19*100000</f>
        <v>0.14051669675597533</v>
      </c>
      <c r="L4124" s="549">
        <f t="shared" si="330"/>
        <v>-4</v>
      </c>
      <c r="M4124" s="401">
        <f>SUM(C4124,C4100,C4076,C4052,C4028,C4004,C3980)/POBLA!$B$19*100000</f>
        <v>0.98361687729182723</v>
      </c>
    </row>
    <row r="4125" spans="1:13" s="360" customFormat="1" x14ac:dyDescent="0.25">
      <c r="A4125" s="19" t="s">
        <v>37</v>
      </c>
      <c r="B4125" s="2">
        <v>44064</v>
      </c>
      <c r="C4125" s="1">
        <v>68</v>
      </c>
      <c r="D4125" s="39">
        <f t="shared" si="335"/>
        <v>1246</v>
      </c>
      <c r="E4125" s="1"/>
      <c r="F4125" s="39">
        <f t="shared" ref="F4125:F4130" si="336">E4125+F4101</f>
        <v>9</v>
      </c>
      <c r="G4125" s="168">
        <f>SUM(C4125,C4101,C4077,C4053,C4029,C4005,C3981,C3957,C3933,C3909,C3885,C3861,C3837,C3813)/POBLA!$B$20*100000</f>
        <v>148.75662431842667</v>
      </c>
      <c r="H4125" s="256">
        <f t="shared" si="334"/>
        <v>1.3668341708542713</v>
      </c>
      <c r="I4125" s="297">
        <f t="shared" si="332"/>
        <v>203.32563725935705</v>
      </c>
      <c r="J4125" s="297">
        <f t="shared" si="333"/>
        <v>41.714285714285715</v>
      </c>
      <c r="K4125" s="297">
        <f>J4125/POBLA!$B$20*100000</f>
        <v>11.406757957190282</v>
      </c>
      <c r="L4125" s="549">
        <f t="shared" si="330"/>
        <v>-0.15873015873015883</v>
      </c>
      <c r="M4125" s="401">
        <f>SUM(C4125,C4101,C4077,C4053,C4029,C4005,C3981)/POBLA!$B$20*100000</f>
        <v>79.847305700331972</v>
      </c>
    </row>
    <row r="4126" spans="1:13" s="360" customFormat="1" x14ac:dyDescent="0.25">
      <c r="A4126" s="19" t="s">
        <v>22</v>
      </c>
      <c r="B4126" s="2">
        <v>44064</v>
      </c>
      <c r="C4126" s="1">
        <v>262</v>
      </c>
      <c r="D4126" s="39">
        <f t="shared" si="335"/>
        <v>4315</v>
      </c>
      <c r="E4126" s="1">
        <v>6</v>
      </c>
      <c r="F4126" s="39">
        <f t="shared" si="336"/>
        <v>45</v>
      </c>
      <c r="G4126" s="168">
        <f>SUM(C4126,C4102,C4078,C4054,C4030,C4006,C3982,C3958,C3934,C3910,C3886,C3862,C3838,C3814)/POBLA!$B$21*100000</f>
        <v>67.950112232207843</v>
      </c>
      <c r="H4126" s="256">
        <f t="shared" si="334"/>
        <v>2.3017241379310347</v>
      </c>
      <c r="I4126" s="297">
        <f t="shared" si="332"/>
        <v>156.40241349999565</v>
      </c>
      <c r="J4126" s="297">
        <f t="shared" si="333"/>
        <v>194.42857142857142</v>
      </c>
      <c r="K4126" s="297">
        <f>J4126/POBLA!$B$21*100000</f>
        <v>5.4978956511524206</v>
      </c>
      <c r="L4126" s="549">
        <f t="shared" si="330"/>
        <v>-0.30614203454894429</v>
      </c>
      <c r="M4126" s="401">
        <f>SUM(C4126,C4102,C4078,C4054,C4030,C4006,C3982)/POBLA!$B$21*100000</f>
        <v>38.485269558066946</v>
      </c>
    </row>
    <row r="4127" spans="1:13" s="360" customFormat="1" x14ac:dyDescent="0.25">
      <c r="A4127" s="19" t="s">
        <v>38</v>
      </c>
      <c r="B4127" s="2">
        <v>44064</v>
      </c>
      <c r="C4127" s="1">
        <v>38</v>
      </c>
      <c r="D4127" s="39">
        <f t="shared" si="335"/>
        <v>455</v>
      </c>
      <c r="E4127" s="1">
        <v>1</v>
      </c>
      <c r="F4127" s="39">
        <f t="shared" si="336"/>
        <v>2</v>
      </c>
      <c r="G4127" s="168">
        <f>SUM(C4127,C4103,C4079,C4055,C4031,C4007,C3983,C3959,C3935,C3911,C3887,C3863,C3839,C3815)/POBLA!$B$22*100000</f>
        <v>35.571437770938338</v>
      </c>
      <c r="H4127" s="256">
        <f t="shared" si="334"/>
        <v>5.8</v>
      </c>
      <c r="I4127" s="297">
        <f t="shared" si="332"/>
        <v>206.31433907144236</v>
      </c>
      <c r="J4127" s="297">
        <f t="shared" si="333"/>
        <v>33.142857142857146</v>
      </c>
      <c r="K4127" s="297">
        <f>J4127/POBLA!$B$22*100000</f>
        <v>3.3877559781846043</v>
      </c>
      <c r="L4127" s="549">
        <f t="shared" si="330"/>
        <v>-1</v>
      </c>
      <c r="M4127" s="401">
        <f>SUM(C4127,C4103,C4079,C4055,C4031,C4007,C3983)/POBLA!$B$22*100000</f>
        <v>23.714291847292227</v>
      </c>
    </row>
    <row r="4128" spans="1:13" s="360" customFormat="1" x14ac:dyDescent="0.25">
      <c r="A4128" s="19" t="s">
        <v>39</v>
      </c>
      <c r="B4128" s="2">
        <v>44064</v>
      </c>
      <c r="C4128" s="1">
        <v>36</v>
      </c>
      <c r="D4128" s="39">
        <f t="shared" si="335"/>
        <v>1636</v>
      </c>
      <c r="E4128" s="1"/>
      <c r="F4128" s="39">
        <f t="shared" si="336"/>
        <v>19</v>
      </c>
      <c r="G4128" s="168">
        <f>SUM(C4128,C4104,C4080,C4056,C4032,C4008,C3984,C3960,C3936,C3912,C3888,C3864,C3840,C3816)/POBLA!$B$23*100000</f>
        <v>416.78448227110783</v>
      </c>
      <c r="H4128" s="256">
        <f t="shared" si="334"/>
        <v>1.2324414715719063</v>
      </c>
      <c r="I4128" s="297">
        <f t="shared" si="332"/>
        <v>513.66248065853927</v>
      </c>
      <c r="J4128" s="297">
        <f t="shared" si="333"/>
        <v>51.714285714285715</v>
      </c>
      <c r="K4128" s="297">
        <f>J4128/POBLA!$B$23*100000</f>
        <v>29.245199182427029</v>
      </c>
      <c r="L4128" s="549">
        <f t="shared" si="330"/>
        <v>3.4666666666666623E-2</v>
      </c>
      <c r="M4128" s="401">
        <f>SUM(C4128,C4104,C4080,C4056,C4032,C4008,C3984)/POBLA!$B$23*100000</f>
        <v>204.71639427698921</v>
      </c>
    </row>
    <row r="4129" spans="1:13" s="360" customFormat="1" ht="15.75" thickBot="1" x14ac:dyDescent="0.3">
      <c r="A4129" s="19" t="s">
        <v>40</v>
      </c>
      <c r="B4129" s="2">
        <v>44064</v>
      </c>
      <c r="C4129" s="1">
        <v>67</v>
      </c>
      <c r="D4129" s="39">
        <f t="shared" si="335"/>
        <v>904</v>
      </c>
      <c r="E4129" s="1"/>
      <c r="F4129" s="39">
        <f t="shared" si="336"/>
        <v>6</v>
      </c>
      <c r="G4129" s="177">
        <f>SUM(C4129,C4105,C4081,C4057,C4033,C4009,C3985,C3961,C3937,C3913,C3889,C3865,C3841,C3817)/POBLA!$B$24*100000</f>
        <v>32.218928207258585</v>
      </c>
      <c r="H4129" s="402">
        <f t="shared" si="334"/>
        <v>2.1496062992125986</v>
      </c>
      <c r="I4129" s="403">
        <f t="shared" si="332"/>
        <v>69.258011028201537</v>
      </c>
      <c r="J4129" s="403">
        <f t="shared" si="333"/>
        <v>52.857142857142854</v>
      </c>
      <c r="K4129" s="403">
        <f>J4129/POBLA!$B$24*100000</f>
        <v>3.119048518232777</v>
      </c>
      <c r="L4129" s="550">
        <f t="shared" si="330"/>
        <v>-1.1022727272727271</v>
      </c>
      <c r="M4129" s="405">
        <f>SUM(C4129,C4105,C4081,C4057,C4033,C4009,C3985)/POBLA!$B$24*100000</f>
        <v>21.833339627629442</v>
      </c>
    </row>
    <row r="4130" spans="1:13" s="360" customFormat="1" x14ac:dyDescent="0.25">
      <c r="A4130" s="361" t="s">
        <v>16</v>
      </c>
      <c r="B4130" s="2">
        <v>44065</v>
      </c>
      <c r="C4130" s="1">
        <v>4838</v>
      </c>
      <c r="D4130" s="39">
        <f>C4130+D4106</f>
        <v>209907</v>
      </c>
      <c r="E4130" s="1">
        <f>28+13+25+11</f>
        <v>77</v>
      </c>
      <c r="F4130" s="39">
        <f t="shared" si="336"/>
        <v>3992</v>
      </c>
      <c r="G4130" s="175">
        <f>SUM(C4130,C4106,C4082,C4058,C4034,C4010,C3986,C3962,C3938,C3914,C3890,C3866,C3842,C3818)/POBLA!$B$1*100000</f>
        <v>350.88937487019803</v>
      </c>
      <c r="H4130" s="300">
        <f t="shared" si="334"/>
        <v>1.0911766270143777</v>
      </c>
      <c r="I4130" s="301">
        <f>G4130*H4130</f>
        <v>382.88228452604619</v>
      </c>
      <c r="J4130" s="301">
        <f>AVERAGE(C4130,C4106,C4082,C4058,C4034,C4010,C3986)</f>
        <v>4275.8571428571431</v>
      </c>
      <c r="K4130" s="301">
        <f>J4130/POBLA!$B$1*100000</f>
        <v>24.376163117650918</v>
      </c>
      <c r="L4130" s="548">
        <f t="shared" ref="L4130:L4153" si="337">1-SUM(C4130,C4106,C4082,C4058,C4034,C4010,C3986)/SUM(C3962,C3938,C3914,C3890,C3866,C3842,C3818)</f>
        <v>5.3385622568708713E-2</v>
      </c>
      <c r="M4130" s="400">
        <f>SUM(C4130,C4106,C4082,C4058,C4034,C4010,C3986)/POBLA!$B$1*100000</f>
        <v>170.6331418235564</v>
      </c>
    </row>
    <row r="4131" spans="1:13" s="360" customFormat="1" x14ac:dyDescent="0.25">
      <c r="A4131" s="19" t="s">
        <v>43</v>
      </c>
      <c r="B4131" s="2">
        <v>44065</v>
      </c>
      <c r="C4131" s="1">
        <v>1100</v>
      </c>
      <c r="D4131" s="39">
        <f t="shared" ref="D4131:D4145" si="338">C4131+D4107</f>
        <v>83905</v>
      </c>
      <c r="E4131" s="1">
        <f>1+1+3+5</f>
        <v>10</v>
      </c>
      <c r="F4131" s="39">
        <f t="shared" ref="F4131:F4169" si="339">E4131+F4107</f>
        <v>1939</v>
      </c>
      <c r="G4131" s="168">
        <f>SUM(C4131,C4107,C4083,C4059,C4035,C4011,C3987,C3963,C3939,C3915,C3891,C3867,C3843,C3819)/POBLA!$B$2*100000</f>
        <v>416.43284045042896</v>
      </c>
      <c r="H4131" s="256">
        <f>SUM(C4131,C4107,C4083,C4059,C4035,C4014,C3990,C3966,C3942,C3918,C3894,C3870,C3846,C3822)/SUM(C3798,C3774,C3750,C3726,C3702,C3678,C3654,C3630,C3606,C3582,C3558,C3534,C3510,C3486)</f>
        <v>0.47805818000994532</v>
      </c>
      <c r="I4131" s="297">
        <f t="shared" ref="I4131:I4153" si="340">G4131*H4131</f>
        <v>199.07912580210402</v>
      </c>
      <c r="J4131" s="297">
        <f t="shared" ref="J4131:J4153" si="341">AVERAGE(C4131,C4107,C4083,C4059,C4035,C4011,C3987)</f>
        <v>1055.1428571428571</v>
      </c>
      <c r="K4131" s="297">
        <f>J4131/POBLA!$B$2*100000</f>
        <v>34.306381720876104</v>
      </c>
      <c r="L4131" s="549">
        <f t="shared" si="337"/>
        <v>-0.36222796016230174</v>
      </c>
      <c r="M4131" s="401">
        <f>SUM(C4131,C4107,C4083,C4059,C4035,C4011,C3987)/POBLA!$B$2*100000</f>
        <v>240.14467204613274</v>
      </c>
    </row>
    <row r="4132" spans="1:13" s="360" customFormat="1" x14ac:dyDescent="0.25">
      <c r="A4132" s="19" t="s">
        <v>28</v>
      </c>
      <c r="B4132" s="2">
        <v>44065</v>
      </c>
      <c r="C4132" s="1">
        <v>1</v>
      </c>
      <c r="D4132" s="39">
        <f t="shared" si="338"/>
        <v>64</v>
      </c>
      <c r="E4132" s="1"/>
      <c r="F4132" s="39">
        <f t="shared" si="339"/>
        <v>0</v>
      </c>
      <c r="G4132" s="168">
        <f>SUM(C4132,C4108,C4084,C4060,C4036,C4012,C3988,C3964,C3940,C3916,C3892,C3868,C3844,C3820)/POBLA!$B$3*100000</f>
        <v>20.219623626148788</v>
      </c>
      <c r="H4132" s="256">
        <f t="shared" si="334"/>
        <v>0.11305518169582772</v>
      </c>
      <c r="I4132" s="297">
        <f t="shared" si="340"/>
        <v>2.285933222875502</v>
      </c>
      <c r="J4132" s="297">
        <f t="shared" si="341"/>
        <v>0.14285714285714285</v>
      </c>
      <c r="K4132" s="297">
        <f>J4132/POBLA!$B$3*100000</f>
        <v>3.4387115010457117E-2</v>
      </c>
      <c r="L4132" s="549">
        <f t="shared" si="337"/>
        <v>0.98795180722891562</v>
      </c>
      <c r="M4132" s="401">
        <f>SUM(C4132,C4108,C4084,C4060,C4036,C4012,C3988)/POBLA!$B$3*100000</f>
        <v>0.24070980507319983</v>
      </c>
    </row>
    <row r="4133" spans="1:13" s="360" customFormat="1" x14ac:dyDescent="0.25">
      <c r="A4133" s="19" t="s">
        <v>15</v>
      </c>
      <c r="B4133" s="2">
        <v>44065</v>
      </c>
      <c r="C4133" s="1">
        <v>78</v>
      </c>
      <c r="D4133" s="39">
        <f t="shared" si="338"/>
        <v>4834</v>
      </c>
      <c r="E4133" s="1"/>
      <c r="F4133" s="39">
        <f t="shared" si="339"/>
        <v>192</v>
      </c>
      <c r="G4133" s="168">
        <f>SUM(C4133,C4109,C4085,C4061,C4037,C4013,C3989,C3965,C3941,C3917,C3893,C3869,C3845,C3821)/POBLA!$B$4*100000</f>
        <v>64.090803052781098</v>
      </c>
      <c r="H4133" s="256">
        <f t="shared" si="334"/>
        <v>11.876923076923077</v>
      </c>
      <c r="I4133" s="297">
        <f t="shared" si="340"/>
        <v>761.2015377961078</v>
      </c>
      <c r="J4133" s="297">
        <f t="shared" si="341"/>
        <v>66.571428571428569</v>
      </c>
      <c r="K4133" s="297">
        <f>J4133/POBLA!$B$4*100000</f>
        <v>5.5267050744996284</v>
      </c>
      <c r="L4133" s="549">
        <f t="shared" si="337"/>
        <v>-0.52287581699346397</v>
      </c>
      <c r="M4133" s="401">
        <f>SUM(C4133,C4109,C4085,C4061,C4037,C4013,C3989)/POBLA!$B$4*100000</f>
        <v>38.686935521497396</v>
      </c>
    </row>
    <row r="4134" spans="1:13" s="360" customFormat="1" x14ac:dyDescent="0.25">
      <c r="A4134" s="19" t="s">
        <v>29</v>
      </c>
      <c r="B4134" s="2">
        <v>44065</v>
      </c>
      <c r="C4134" s="1">
        <v>36</v>
      </c>
      <c r="D4134" s="39">
        <f t="shared" si="338"/>
        <v>510</v>
      </c>
      <c r="E4134" s="1"/>
      <c r="F4134" s="39">
        <f t="shared" si="339"/>
        <v>7</v>
      </c>
      <c r="G4134" s="168">
        <f>SUM(C4134,C4110,C4086,C4062,C4038,C4014,C3990,C3966,C3942,C3918,C3894,C3870,C3846,C3822)/POBLA!$B$5*100000</f>
        <v>336.0291052901967</v>
      </c>
      <c r="H4134" s="256">
        <f t="shared" si="334"/>
        <v>0.12928891098955744</v>
      </c>
      <c r="I4134" s="297">
        <f t="shared" si="340"/>
        <v>43.444837083764867</v>
      </c>
      <c r="J4134" s="297">
        <f t="shared" si="341"/>
        <v>16.571428571428573</v>
      </c>
      <c r="K4134" s="297">
        <f>J4134/POBLA!$B$5*100000</f>
        <v>2.6771549597295889</v>
      </c>
      <c r="L4134" s="549">
        <f t="shared" si="337"/>
        <v>0.94093686354378814</v>
      </c>
      <c r="M4134" s="401">
        <f>SUM(C4134,C4110,C4086,C4062,C4038,C4014,C3990)/POBLA!$B$5*100000</f>
        <v>18.740084718107124</v>
      </c>
    </row>
    <row r="4135" spans="1:13" s="360" customFormat="1" x14ac:dyDescent="0.25">
      <c r="A4135" s="19" t="s">
        <v>20</v>
      </c>
      <c r="B4135" s="2">
        <v>44065</v>
      </c>
      <c r="C4135" s="1">
        <v>219</v>
      </c>
      <c r="D4135" s="39">
        <f t="shared" si="338"/>
        <v>5673</v>
      </c>
      <c r="E4135" s="1">
        <v>4</v>
      </c>
      <c r="F4135" s="39">
        <f t="shared" si="339"/>
        <v>95</v>
      </c>
      <c r="G4135" s="168">
        <f>SUM(C4135,C4111,C4087,C4063,C4039,C4015,C3991,C3967,C3943,C3919,C3895,C3871,C3847,C3823)/POBLA!$B$6*100000</f>
        <v>211.0990264997979</v>
      </c>
      <c r="H4135" s="256">
        <f t="shared" si="334"/>
        <v>1.465015479876161</v>
      </c>
      <c r="I4135" s="297">
        <f t="shared" si="340"/>
        <v>309.26334160899182</v>
      </c>
      <c r="J4135" s="297">
        <f t="shared" si="341"/>
        <v>174.57142857142858</v>
      </c>
      <c r="K4135" s="297">
        <f>J4135/POBLA!$B$6*100000</f>
        <v>15.575595361837523</v>
      </c>
      <c r="L4135" s="549">
        <f t="shared" si="337"/>
        <v>-6.8181818181818121E-2</v>
      </c>
      <c r="M4135" s="401">
        <f>SUM(C4135,C4111,C4087,C4063,C4039,C4015,C3991)/POBLA!$B$6*100000</f>
        <v>109.02916753286266</v>
      </c>
    </row>
    <row r="4136" spans="1:13" s="360" customFormat="1" x14ac:dyDescent="0.25">
      <c r="A4136" s="19" t="s">
        <v>30</v>
      </c>
      <c r="B4136" s="2">
        <v>44065</v>
      </c>
      <c r="C4136" s="1">
        <v>4</v>
      </c>
      <c r="D4136" s="39">
        <f t="shared" si="338"/>
        <v>247</v>
      </c>
      <c r="E4136" s="1"/>
      <c r="F4136" s="39">
        <f t="shared" si="339"/>
        <v>3</v>
      </c>
      <c r="G4136" s="168">
        <f>SUM(C4136,C4112,C4088,C4064,C4040,C4016,C3992,C3968,C3944,C3920,C3896,C3872,C3848,C3824)/POBLA!$B$7*100000</f>
        <v>1.0637024824156684</v>
      </c>
      <c r="H4136" s="256">
        <f t="shared" si="334"/>
        <v>0.56338028169014087</v>
      </c>
      <c r="I4136" s="297">
        <f t="shared" si="340"/>
        <v>0.59926900417784146</v>
      </c>
      <c r="J4136" s="297">
        <f t="shared" si="341"/>
        <v>3.1428571428571428</v>
      </c>
      <c r="K4136" s="297">
        <f>J4136/POBLA!$B$7*100000</f>
        <v>8.3576623618373938E-2</v>
      </c>
      <c r="L4136" s="549">
        <f t="shared" si="337"/>
        <v>-0.22222222222222232</v>
      </c>
      <c r="M4136" s="401">
        <f>SUM(C4136,C4112,C4088,C4064,C4040,C4016,C3992)/POBLA!$B$7*100000</f>
        <v>0.58503636532861758</v>
      </c>
    </row>
    <row r="4137" spans="1:13" x14ac:dyDescent="0.25">
      <c r="A4137" s="19" t="s">
        <v>31</v>
      </c>
      <c r="B4137" s="2">
        <v>44065</v>
      </c>
      <c r="C4137" s="1">
        <v>135</v>
      </c>
      <c r="D4137" s="39">
        <f t="shared" si="338"/>
        <v>2132</v>
      </c>
      <c r="F4137" s="39">
        <f t="shared" si="339"/>
        <v>29</v>
      </c>
      <c r="G4137" s="168">
        <f>SUM(C4137,C4113,C4089,C4065,C4041,C4017,C3993,C3969,C3945,C3921,C3897,C3873,C3849,C3825)/POBLA!$B$8*100000</f>
        <v>75.398947012217519</v>
      </c>
      <c r="H4137" s="256">
        <f t="shared" si="334"/>
        <v>3.011527377521614</v>
      </c>
      <c r="I4137" s="297">
        <f t="shared" si="340"/>
        <v>227.06599316359456</v>
      </c>
      <c r="J4137" s="297">
        <f t="shared" si="341"/>
        <v>86.142857142857139</v>
      </c>
      <c r="K4137" s="297">
        <f>J4137/POBLA!$B$8*100000</f>
        <v>6.2153882499476643</v>
      </c>
      <c r="L4137" s="549">
        <f t="shared" si="337"/>
        <v>-0.36425339366515841</v>
      </c>
      <c r="M4137" s="401">
        <f>SUM(C4137,C4113,C4089,C4065,C4041,C4017,C3993)/POBLA!$B$8*100000</f>
        <v>43.507717749633649</v>
      </c>
    </row>
    <row r="4138" spans="1:13" s="360" customFormat="1" x14ac:dyDescent="0.25">
      <c r="A4138" s="19" t="s">
        <v>41</v>
      </c>
      <c r="B4138" s="2">
        <v>44065</v>
      </c>
      <c r="C4138" s="1">
        <v>1</v>
      </c>
      <c r="D4138" s="39">
        <f t="shared" si="338"/>
        <v>80</v>
      </c>
      <c r="E4138" s="1"/>
      <c r="F4138" s="39">
        <f>E4138+F4114</f>
        <v>1</v>
      </c>
      <c r="G4138" s="168">
        <f>SUM(C4138,C4114,C4090,C4066,C4042,C4018,C3994,C3970,C3946,C3922,C3898,C3874,C3850,C3826)/POBLA!$B$9*100000</f>
        <v>-0.33047308875020037</v>
      </c>
      <c r="H4138" s="256">
        <f>SUM(C4138,C4114,C4090,C4066,C4042,C4018,C3994,C3970,C3946,C3922,C3898,C3874,C3850,C3826)/SUM(C3802,C3778,C3754,C3730,C3706,C3682,C3658,C3634,C3610,C3586,C3562,C3538,C3514,C3490)</f>
        <v>-0.5</v>
      </c>
      <c r="I4138" s="297">
        <f t="shared" si="340"/>
        <v>0.16523654437510019</v>
      </c>
      <c r="J4138" s="297">
        <f t="shared" si="341"/>
        <v>0.14285714285714285</v>
      </c>
      <c r="K4138" s="297">
        <f>J4138/POBLA!$B$9*100000</f>
        <v>2.3605220625014311E-2</v>
      </c>
      <c r="L4138" s="549">
        <f t="shared" si="337"/>
        <v>1.3333333333333333</v>
      </c>
      <c r="M4138" s="401">
        <f>SUM(C4138,C4114,C4090,C4066,C4042,C4018,C3994)/POBLA!$B$9*100000</f>
        <v>0.16523654437510019</v>
      </c>
    </row>
    <row r="4139" spans="1:13" s="360" customFormat="1" x14ac:dyDescent="0.25">
      <c r="A4139" s="19" t="s">
        <v>32</v>
      </c>
      <c r="B4139" s="2">
        <v>44065</v>
      </c>
      <c r="C4139" s="1">
        <v>212</v>
      </c>
      <c r="D4139" s="39">
        <f t="shared" si="338"/>
        <v>6086</v>
      </c>
      <c r="E4139" s="1">
        <f>10+4</f>
        <v>14</v>
      </c>
      <c r="F4139" s="39">
        <f t="shared" si="339"/>
        <v>141</v>
      </c>
      <c r="G4139" s="168">
        <f>SUM(C4139,C4115,C4091,C4067,C4043,C4019,C3995,C3971,C3947,C3923,C3899,C3875,C3851,C3827)/POBLA!$B$10*100000</f>
        <v>354.0105411859937</v>
      </c>
      <c r="H4139" s="256">
        <f t="shared" ref="H4139:H4161" si="342">SUM(C4139,C4115,C4091,C4067,C4043,C4019,C3995,C3971,C3947,C3923,C3899,C3875,C3851,C3827)/SUM(C3803,C3779,C3755,C3731,C3707,C3683,C3659,C3635,C3611,C3587,C3563,C3539,C3515,C3491)</f>
        <v>1.3888040712468193</v>
      </c>
      <c r="I4139" s="297">
        <f t="shared" si="340"/>
        <v>491.65128086339786</v>
      </c>
      <c r="J4139" s="297">
        <f t="shared" si="341"/>
        <v>227.57142857142858</v>
      </c>
      <c r="K4139" s="297">
        <f>J4139/POBLA!$B$10*100000</f>
        <v>29.520954410788249</v>
      </c>
      <c r="L4139" s="549">
        <f t="shared" si="337"/>
        <v>-0.40228873239436624</v>
      </c>
      <c r="M4139" s="401">
        <f>SUM(C4139,C4115,C4091,C4067,C4043,C4019,C3995)/POBLA!$B$10*100000</f>
        <v>206.64668087551777</v>
      </c>
    </row>
    <row r="4140" spans="1:13" s="360" customFormat="1" x14ac:dyDescent="0.25">
      <c r="A4140" s="19" t="s">
        <v>33</v>
      </c>
      <c r="B4140" s="2">
        <v>44065</v>
      </c>
      <c r="C4140" s="1">
        <v>4</v>
      </c>
      <c r="D4140" s="39">
        <f t="shared" si="338"/>
        <v>191</v>
      </c>
      <c r="E4140" s="1"/>
      <c r="F4140" s="39">
        <f t="shared" si="339"/>
        <v>1</v>
      </c>
      <c r="G4140" s="168">
        <f>SUM(C4140,C4116,C4092,C4068,C4044,C4020,C3996,C3972,C3948,C3924,C3900,C3876,C3852,C3828)/POBLA!$B$11*100000</f>
        <v>3.6269487874831206</v>
      </c>
      <c r="H4140" s="256">
        <f t="shared" si="342"/>
        <v>7.5144508670520235E-2</v>
      </c>
      <c r="I4140" s="297">
        <f t="shared" si="340"/>
        <v>0.2725452846085582</v>
      </c>
      <c r="J4140" s="297">
        <f t="shared" si="341"/>
        <v>1.1428571428571428</v>
      </c>
      <c r="K4140" s="297">
        <f>J4140/POBLA!$B$11*100000</f>
        <v>0.31885264065785673</v>
      </c>
      <c r="L4140" s="549">
        <f t="shared" si="337"/>
        <v>-0.60000000000000009</v>
      </c>
      <c r="M4140" s="401">
        <f>SUM(C4140,C4116,C4092,C4068,C4044,C4020,C3996)/POBLA!$B$11*100000</f>
        <v>2.2319684846049976</v>
      </c>
    </row>
    <row r="4141" spans="1:13" s="360" customFormat="1" x14ac:dyDescent="0.25">
      <c r="A4141" s="19" t="s">
        <v>21</v>
      </c>
      <c r="B4141" s="2">
        <v>44065</v>
      </c>
      <c r="C4141" s="1">
        <v>28</v>
      </c>
      <c r="D4141" s="39">
        <f t="shared" si="338"/>
        <v>1006</v>
      </c>
      <c r="E4141" s="1"/>
      <c r="F4141" s="39">
        <f t="shared" si="339"/>
        <v>1</v>
      </c>
      <c r="G4141" s="168">
        <f>SUM(C4141,C4117,C4093,C4069,C4045,C4021,C3997,C3973,C3949,C3925,C3901,C3877,C3853,C3829)/POBLA!$B$12*100000</f>
        <v>125.02191695190467</v>
      </c>
      <c r="H4141" s="256">
        <f t="shared" si="342"/>
        <v>1.7385159010600706</v>
      </c>
      <c r="I4141" s="297">
        <f t="shared" si="340"/>
        <v>217.35259060189787</v>
      </c>
      <c r="J4141" s="297">
        <f t="shared" si="341"/>
        <v>41.428571428571431</v>
      </c>
      <c r="K4141" s="297">
        <f>J4141/POBLA!$B$12*100000</f>
        <v>10.527397188168514</v>
      </c>
      <c r="L4141" s="549">
        <f t="shared" si="337"/>
        <v>-0.43564356435643559</v>
      </c>
      <c r="M4141" s="401">
        <f>SUM(C4141,C4117,C4093,C4069,C4045,C4021,C3997)/POBLA!$B$12*100000</f>
        <v>73.691780317179592</v>
      </c>
    </row>
    <row r="4142" spans="1:13" s="360" customFormat="1" x14ac:dyDescent="0.25">
      <c r="A4142" s="19" t="s">
        <v>17</v>
      </c>
      <c r="B4142" s="2">
        <v>44065</v>
      </c>
      <c r="C4142" s="1">
        <v>245</v>
      </c>
      <c r="D4142" s="39">
        <f t="shared" si="338"/>
        <v>4497</v>
      </c>
      <c r="E4142" s="1">
        <f>1+2</f>
        <v>3</v>
      </c>
      <c r="F4142" s="39">
        <f t="shared" si="339"/>
        <v>52</v>
      </c>
      <c r="G4142" s="168">
        <f>SUM(C4142,C4118,C4094,C4070,C4046,C4022,C3998,C3974,C3950,C3926,C3902,C3878,C3854,C3830)/POBLA!$B$13*100000</f>
        <v>123.34588396543704</v>
      </c>
      <c r="H4142" s="256">
        <f t="shared" si="342"/>
        <v>1.9608626198083068</v>
      </c>
      <c r="I4142" s="297">
        <f t="shared" si="340"/>
        <v>241.8643331750383</v>
      </c>
      <c r="J4142" s="297">
        <f t="shared" si="341"/>
        <v>196.71428571428572</v>
      </c>
      <c r="K4142" s="297">
        <f>J4142/POBLA!$B$13*100000</f>
        <v>9.8834612871927146</v>
      </c>
      <c r="L4142" s="549">
        <f t="shared" si="337"/>
        <v>-0.27736549165120583</v>
      </c>
      <c r="M4142" s="401">
        <f>SUM(C4142,C4118,C4094,C4070,C4046,C4022,C3998)/POBLA!$B$13*100000</f>
        <v>69.184229010349</v>
      </c>
    </row>
    <row r="4143" spans="1:13" s="360" customFormat="1" x14ac:dyDescent="0.25">
      <c r="A4143" s="19" t="s">
        <v>23</v>
      </c>
      <c r="B4143" s="2">
        <v>44065</v>
      </c>
      <c r="C4143" s="1">
        <v>1</v>
      </c>
      <c r="D4143" s="39">
        <f t="shared" si="338"/>
        <v>59</v>
      </c>
      <c r="E4143" s="1"/>
      <c r="F4143" s="39">
        <f t="shared" si="339"/>
        <v>2</v>
      </c>
      <c r="G4143" s="168">
        <f>SUM(C4143,C4119,C4095,C4071,C4047,C4023,C3999,C3975,C3951,C3927,C3903,C3879,C3855,C3831)/POBLA!$B$14*100000</f>
        <v>0.79283656308521255</v>
      </c>
      <c r="H4143" s="256">
        <f t="shared" si="342"/>
        <v>5</v>
      </c>
      <c r="I4143" s="297">
        <f t="shared" si="340"/>
        <v>3.9641828154260628</v>
      </c>
      <c r="J4143" s="297">
        <f t="shared" si="341"/>
        <v>0</v>
      </c>
      <c r="K4143" s="297">
        <f>J4143/POBLA!$B$14*100000</f>
        <v>0</v>
      </c>
      <c r="L4143" s="549">
        <f t="shared" si="337"/>
        <v>1</v>
      </c>
      <c r="M4143" s="401">
        <f>SUM(C4143,C4119,C4095,C4071,C4047,C4023,C3999)/POBLA!$B$14*100000</f>
        <v>0</v>
      </c>
    </row>
    <row r="4144" spans="1:13" s="360" customFormat="1" x14ac:dyDescent="0.25">
      <c r="A4144" s="19" t="s">
        <v>19</v>
      </c>
      <c r="B4144" s="2">
        <v>44065</v>
      </c>
      <c r="C4144" s="1">
        <v>103</v>
      </c>
      <c r="D4144" s="39">
        <f t="shared" si="338"/>
        <v>2170</v>
      </c>
      <c r="E4144" s="1"/>
      <c r="F4144" s="39">
        <f t="shared" si="339"/>
        <v>11</v>
      </c>
      <c r="G4144" s="168">
        <f>SUM(C4144,C4120,C4096,C4072,C4048,C4024,C4000,C3976,C3952,C3928,C3904,C3880,C3856,C3832)/POBLA!$B$15*100000</f>
        <v>110.53268017655112</v>
      </c>
      <c r="H4144" s="256">
        <f t="shared" si="342"/>
        <v>1.7902439024390244</v>
      </c>
      <c r="I4144" s="297">
        <f t="shared" si="340"/>
        <v>197.88045670631348</v>
      </c>
      <c r="J4144" s="297">
        <f t="shared" si="341"/>
        <v>51.857142857142854</v>
      </c>
      <c r="K4144" s="297">
        <f>J4144/POBLA!$B$15*100000</f>
        <v>7.8091403083083009</v>
      </c>
      <c r="L4144" s="549">
        <f t="shared" si="337"/>
        <v>2.1563342318059342E-2</v>
      </c>
      <c r="M4144" s="401">
        <f>SUM(C4144,C4120,C4096,C4072,C4048,C4024,C4000)/POBLA!$B$15*100000</f>
        <v>54.663982158158113</v>
      </c>
    </row>
    <row r="4145" spans="1:13" s="360" customFormat="1" x14ac:dyDescent="0.25">
      <c r="A4145" s="19" t="s">
        <v>18</v>
      </c>
      <c r="B4145" s="2">
        <v>44065</v>
      </c>
      <c r="C4145" s="1">
        <v>118</v>
      </c>
      <c r="D4145" s="39">
        <f t="shared" si="338"/>
        <v>4584</v>
      </c>
      <c r="E4145" s="1">
        <f>1+1</f>
        <v>2</v>
      </c>
      <c r="F4145" s="39">
        <f t="shared" si="339"/>
        <v>44</v>
      </c>
      <c r="G4145" s="168">
        <f>SUM(C4145,C4121,C4097,C4073,C4049,C4025,C4001,C3977,C3953,C3929,C3905,C3881,C3857,C3833)/POBLA!$B$16*100000</f>
        <v>233.14294886371238</v>
      </c>
      <c r="H4145" s="256">
        <f t="shared" si="342"/>
        <v>1.3543123543123543</v>
      </c>
      <c r="I4145" s="297">
        <f t="shared" si="340"/>
        <v>315.74837596693914</v>
      </c>
      <c r="J4145" s="297">
        <f t="shared" si="341"/>
        <v>116.57142857142857</v>
      </c>
      <c r="K4145" s="297">
        <f>J4145/POBLA!$B$16*100000</f>
        <v>15.592545387491951</v>
      </c>
      <c r="L4145" s="549">
        <f t="shared" si="337"/>
        <v>0.11974110032362462</v>
      </c>
      <c r="M4145" s="401">
        <f>SUM(C4145,C4121,C4097,C4073,C4049,C4025,C4001)/POBLA!$B$16*100000</f>
        <v>109.14781771244365</v>
      </c>
    </row>
    <row r="4146" spans="1:13" s="360" customFormat="1" x14ac:dyDescent="0.25">
      <c r="A4146" s="19" t="s">
        <v>34</v>
      </c>
      <c r="B4146" s="2">
        <v>44065</v>
      </c>
      <c r="C4146" s="1">
        <v>150</v>
      </c>
      <c r="D4146" s="39">
        <f>C4146+D4122</f>
        <v>1740</v>
      </c>
      <c r="E4146" s="1">
        <f>2+1</f>
        <v>3</v>
      </c>
      <c r="F4146" s="39">
        <f>E4146+F4122</f>
        <v>28</v>
      </c>
      <c r="G4146" s="168">
        <f>SUM(C4146,C4122,C4098,C4074,C4050,C4026,C4002,C3978,C3954,C3930,C3906,C3882,C3858,C3834)/POBLA!$B$17*100000</f>
        <v>84.526996335993402</v>
      </c>
      <c r="H4146" s="256">
        <f t="shared" si="342"/>
        <v>4.0133333333333336</v>
      </c>
      <c r="I4146" s="297">
        <f t="shared" si="340"/>
        <v>339.23501196178688</v>
      </c>
      <c r="J4146" s="297">
        <f t="shared" si="341"/>
        <v>106.28571428571429</v>
      </c>
      <c r="K4146" s="297">
        <f>J4146/POBLA!$B$17*100000</f>
        <v>7.4618041378712734</v>
      </c>
      <c r="L4146" s="549">
        <f t="shared" si="337"/>
        <v>-0.61739130434782608</v>
      </c>
      <c r="M4146" s="401">
        <f>SUM(C4146,C4122,C4098,C4074,C4050,C4026,C4002)/POBLA!$B$17*100000</f>
        <v>52.232628965098911</v>
      </c>
    </row>
    <row r="4147" spans="1:13" s="360" customFormat="1" x14ac:dyDescent="0.25">
      <c r="A4147" s="19" t="s">
        <v>35</v>
      </c>
      <c r="B4147" s="2">
        <v>44065</v>
      </c>
      <c r="C4147" s="1">
        <v>3</v>
      </c>
      <c r="D4147" s="39">
        <f t="shared" ref="D4147:D4153" si="343">C4147+D4123</f>
        <v>39</v>
      </c>
      <c r="E4147" s="1"/>
      <c r="F4147" s="39">
        <f>E4147+F4123</f>
        <v>0</v>
      </c>
      <c r="G4147" s="168">
        <f>SUM(C4147,C4123,C4099,C4075,C4051,C4027,C4003,C3979,C3955,C3931,C3907,C3883,C3859,C3835)/POBLA!$B$18*100000</f>
        <v>2.0480865111742319</v>
      </c>
      <c r="H4147" s="256">
        <f t="shared" si="342"/>
        <v>4</v>
      </c>
      <c r="I4147" s="297">
        <f t="shared" si="340"/>
        <v>8.1923460446969276</v>
      </c>
      <c r="J4147" s="297">
        <f t="shared" si="341"/>
        <v>2.4285714285714284</v>
      </c>
      <c r="K4147" s="297">
        <f>J4147/POBLA!$B$18*100000</f>
        <v>0.31087027401751732</v>
      </c>
      <c r="L4147" s="549">
        <f t="shared" si="337"/>
        <v>18</v>
      </c>
      <c r="M4147" s="401">
        <f>SUM(C4147,C4123,C4099,C4075,C4051,C4027,C4003)/POBLA!$B$18*100000</f>
        <v>2.1760919181226215</v>
      </c>
    </row>
    <row r="4148" spans="1:13" s="360" customFormat="1" x14ac:dyDescent="0.25">
      <c r="A4148" s="19" t="s">
        <v>36</v>
      </c>
      <c r="B4148" s="2">
        <v>44065</v>
      </c>
      <c r="C4148" s="1">
        <v>2</v>
      </c>
      <c r="D4148" s="39">
        <f t="shared" si="343"/>
        <v>41</v>
      </c>
      <c r="E4148" s="1"/>
      <c r="F4148" s="39">
        <f t="shared" si="339"/>
        <v>0</v>
      </c>
      <c r="G4148" s="168">
        <f>SUM(C4148,C4124,C4100,C4076,C4052,C4028,C4004,C3980,C3956,C3932,C3908,C3884,C3860,C3836)/POBLA!$B$19*100000</f>
        <v>1.5737870036669237</v>
      </c>
      <c r="H4148" s="256">
        <f t="shared" si="342"/>
        <v>0.5714285714285714</v>
      </c>
      <c r="I4148" s="297">
        <f t="shared" si="340"/>
        <v>0.89930685923824205</v>
      </c>
      <c r="J4148" s="297">
        <f t="shared" si="341"/>
        <v>1</v>
      </c>
      <c r="K4148" s="297">
        <f>J4148/POBLA!$B$19*100000</f>
        <v>0.19672337545836546</v>
      </c>
      <c r="L4148" s="549">
        <f t="shared" si="337"/>
        <v>-6</v>
      </c>
      <c r="M4148" s="401">
        <f>SUM(C4148,C4124,C4100,C4076,C4052,C4028,C4004)/POBLA!$B$19*100000</f>
        <v>1.3770636282085582</v>
      </c>
    </row>
    <row r="4149" spans="1:13" s="360" customFormat="1" x14ac:dyDescent="0.25">
      <c r="A4149" s="19" t="s">
        <v>37</v>
      </c>
      <c r="B4149" s="2">
        <v>44065</v>
      </c>
      <c r="C4149" s="1">
        <v>47</v>
      </c>
      <c r="D4149" s="39">
        <f t="shared" si="343"/>
        <v>1293</v>
      </c>
      <c r="E4149" s="1"/>
      <c r="F4149" s="39">
        <f t="shared" ref="F4149:F4154" si="344">E4149+F4125</f>
        <v>9</v>
      </c>
      <c r="G4149" s="168">
        <f>SUM(C4149,C4125,C4101,C4077,C4053,C4029,C4005,C3981,C3957,C3933,C3909,C3885,C3861,C3837)/POBLA!$B$20*100000</f>
        <v>159.42116172360801</v>
      </c>
      <c r="H4149" s="256">
        <f t="shared" si="342"/>
        <v>1.464824120603015</v>
      </c>
      <c r="I4149" s="297">
        <f t="shared" si="340"/>
        <v>233.52396302729514</v>
      </c>
      <c r="J4149" s="297">
        <f t="shared" si="341"/>
        <v>43</v>
      </c>
      <c r="K4149" s="297">
        <f>J4149/POBLA!$B$20*100000</f>
        <v>11.758336113405049</v>
      </c>
      <c r="L4149" s="549">
        <f t="shared" si="337"/>
        <v>-6.7375886524822626E-2</v>
      </c>
      <c r="M4149" s="401">
        <f>SUM(C4149,C4125,C4101,C4077,C4053,C4029,C4005)/POBLA!$B$20*100000</f>
        <v>82.30835279383534</v>
      </c>
    </row>
    <row r="4150" spans="1:13" s="360" customFormat="1" x14ac:dyDescent="0.25">
      <c r="A4150" s="19" t="s">
        <v>22</v>
      </c>
      <c r="B4150" s="2">
        <v>44065</v>
      </c>
      <c r="C4150" s="1">
        <v>294</v>
      </c>
      <c r="D4150" s="39">
        <f t="shared" si="343"/>
        <v>4609</v>
      </c>
      <c r="E4150" s="1">
        <f>2+2</f>
        <v>4</v>
      </c>
      <c r="F4150" s="39">
        <f t="shared" si="344"/>
        <v>49</v>
      </c>
      <c r="G4150" s="168">
        <f>SUM(C4150,C4126,C4102,C4078,C4054,C4030,C4006,C3982,C3958,C3934,C3910,C3886,C3862,C3838)/POBLA!$B$21*100000</f>
        <v>72.389632673513134</v>
      </c>
      <c r="H4150" s="256">
        <f t="shared" si="342"/>
        <v>2.2241529105125979</v>
      </c>
      <c r="I4150" s="297">
        <f t="shared" si="340"/>
        <v>161.00561220173208</v>
      </c>
      <c r="J4150" s="297">
        <f t="shared" si="341"/>
        <v>210.85714285714286</v>
      </c>
      <c r="K4150" s="297">
        <f>J4150/POBLA!$B$21*100000</f>
        <v>5.9624496554746322</v>
      </c>
      <c r="L4150" s="549">
        <f t="shared" si="337"/>
        <v>-0.36162361623616235</v>
      </c>
      <c r="M4150" s="401">
        <f>SUM(C4150,C4126,C4102,C4078,C4054,C4030,C4006)/POBLA!$B$21*100000</f>
        <v>41.737147588322422</v>
      </c>
    </row>
    <row r="4151" spans="1:13" s="360" customFormat="1" x14ac:dyDescent="0.25">
      <c r="A4151" s="19" t="s">
        <v>38</v>
      </c>
      <c r="B4151" s="2">
        <v>44065</v>
      </c>
      <c r="C4151" s="1">
        <v>34</v>
      </c>
      <c r="D4151" s="39">
        <f t="shared" si="343"/>
        <v>489</v>
      </c>
      <c r="E4151" s="1"/>
      <c r="F4151" s="39">
        <f t="shared" si="344"/>
        <v>2</v>
      </c>
      <c r="G4151" s="168">
        <f>SUM(C4151,C4127,C4103,C4079,C4055,C4031,C4007,C3983,C3959,C3935,C3911,C3887,C3863,C3839)/POBLA!$B$22*100000</f>
        <v>38.126857151034486</v>
      </c>
      <c r="H4151" s="256">
        <f t="shared" si="342"/>
        <v>5.6515151515151514</v>
      </c>
      <c r="I4151" s="297">
        <f t="shared" si="340"/>
        <v>215.47451086872519</v>
      </c>
      <c r="J4151" s="297">
        <f t="shared" si="341"/>
        <v>34.285714285714285</v>
      </c>
      <c r="K4151" s="297">
        <f>J4151/POBLA!$B$22*100000</f>
        <v>3.5045751498461417</v>
      </c>
      <c r="L4151" s="549">
        <f t="shared" si="337"/>
        <v>-0.80451127819548862</v>
      </c>
      <c r="M4151" s="401">
        <f>SUM(C4151,C4127,C4103,C4079,C4055,C4031,C4007)/POBLA!$B$22*100000</f>
        <v>24.532026048922994</v>
      </c>
    </row>
    <row r="4152" spans="1:13" s="360" customFormat="1" x14ac:dyDescent="0.25">
      <c r="A4152" s="19" t="s">
        <v>39</v>
      </c>
      <c r="B4152" s="2">
        <v>44065</v>
      </c>
      <c r="C4152" s="1">
        <v>34</v>
      </c>
      <c r="D4152" s="39">
        <f t="shared" si="343"/>
        <v>1670</v>
      </c>
      <c r="E4152" s="1"/>
      <c r="F4152" s="39">
        <f t="shared" si="344"/>
        <v>19</v>
      </c>
      <c r="G4152" s="168">
        <f>SUM(C4152,C4128,C4104,C4080,C4056,C4032,C4008,C3984,C3960,C3936,C3912,C3888,C3864,C3840)/POBLA!$B$23*100000</f>
        <v>406.60521404739012</v>
      </c>
      <c r="H4152" s="256">
        <f t="shared" si="342"/>
        <v>1.1710097719869708</v>
      </c>
      <c r="I4152" s="297">
        <f t="shared" si="340"/>
        <v>476.13867899034773</v>
      </c>
      <c r="J4152" s="297">
        <f t="shared" si="341"/>
        <v>44</v>
      </c>
      <c r="K4152" s="297">
        <f>J4152/POBLA!$B$23*100000</f>
        <v>24.882655657976589</v>
      </c>
      <c r="L4152" s="549">
        <f t="shared" si="337"/>
        <v>0.25060827250608275</v>
      </c>
      <c r="M4152" s="401">
        <f>SUM(C4152,C4128,C4104,C4080,C4056,C4032,C4008)/POBLA!$B$23*100000</f>
        <v>174.17858960583612</v>
      </c>
    </row>
    <row r="4153" spans="1:13" s="360" customFormat="1" ht="15.75" thickBot="1" x14ac:dyDescent="0.3">
      <c r="A4153" s="19" t="s">
        <v>40</v>
      </c>
      <c r="B4153" s="2">
        <v>44065</v>
      </c>
      <c r="C4153" s="1">
        <v>72</v>
      </c>
      <c r="D4153" s="39">
        <f t="shared" si="343"/>
        <v>976</v>
      </c>
      <c r="E4153" s="1"/>
      <c r="F4153" s="39">
        <f t="shared" si="344"/>
        <v>6</v>
      </c>
      <c r="G4153" s="177">
        <f>SUM(C4153,C4129,C4105,C4081,C4057,C4033,C4009,C3985,C3961,C3937,C3913,C3889,C3865,C3841)/POBLA!$B$24*100000</f>
        <v>35.936496846557652</v>
      </c>
      <c r="H4153" s="402">
        <f t="shared" si="342"/>
        <v>2.388235294117647</v>
      </c>
      <c r="I4153" s="403">
        <f t="shared" si="340"/>
        <v>85.824810115896511</v>
      </c>
      <c r="J4153" s="403">
        <f t="shared" si="341"/>
        <v>59.142857142857146</v>
      </c>
      <c r="K4153" s="403">
        <f>J4153/POBLA!$B$24*100000</f>
        <v>3.4899623960766752</v>
      </c>
      <c r="L4153" s="550">
        <f t="shared" si="337"/>
        <v>-1.1230769230769231</v>
      </c>
      <c r="M4153" s="405">
        <f>SUM(C4153,C4129,C4105,C4081,C4057,C4033,C4009)/POBLA!$B$24*100000</f>
        <v>24.429736772536728</v>
      </c>
    </row>
    <row r="4154" spans="1:13" s="360" customFormat="1" x14ac:dyDescent="0.25">
      <c r="A4154" s="361" t="s">
        <v>16</v>
      </c>
      <c r="B4154" s="2">
        <v>44066</v>
      </c>
      <c r="C4154" s="1">
        <v>2829</v>
      </c>
      <c r="D4154" s="39">
        <f>C4154+D4130</f>
        <v>212736</v>
      </c>
      <c r="E4154" s="1">
        <v>100</v>
      </c>
      <c r="F4154" s="39">
        <f t="shared" si="344"/>
        <v>4092</v>
      </c>
      <c r="G4154" s="175">
        <f>SUM(C4154,C4130,C4106,C4082,C4058,C4034,C4010,C3986,C3962,C3938,C3914,C3890,C3866,C3842)/POBLA!$B$1*100000</f>
        <v>350.46180861324814</v>
      </c>
      <c r="H4154" s="300">
        <f t="shared" si="342"/>
        <v>1.0900982374011419</v>
      </c>
      <c r="I4154" s="301">
        <f>G4154*H4154</f>
        <v>382.0377998457181</v>
      </c>
      <c r="J4154" s="301">
        <f>AVERAGE(C4154,C4130,C4106,C4082,C4058,C4034,C4010)</f>
        <v>4234.7142857142853</v>
      </c>
      <c r="K4154" s="301">
        <f>J4154/POBLA!$B$1*100000</f>
        <v>24.141612485266982</v>
      </c>
      <c r="L4154" s="548">
        <f t="shared" ref="L4154:L4177" si="345">1-SUM(C4154,C4130,C4106,C4082,C4058,C4034,C4010)/SUM(C3986,C3962,C3938,C3914,C3890,C3866,C3842)</f>
        <v>6.8767278210605687E-2</v>
      </c>
      <c r="M4154" s="400">
        <f>SUM(C4154,C4130,C4106,C4082,C4058,C4034,C4010)/POBLA!$B$1*100000</f>
        <v>168.9912873968689</v>
      </c>
    </row>
    <row r="4155" spans="1:13" s="360" customFormat="1" x14ac:dyDescent="0.25">
      <c r="A4155" s="19" t="s">
        <v>43</v>
      </c>
      <c r="B4155" s="2">
        <v>44066</v>
      </c>
      <c r="C4155" s="1">
        <v>1020</v>
      </c>
      <c r="D4155" s="39">
        <f t="shared" ref="D4155:D4167" si="346">C4155+D4131</f>
        <v>84925</v>
      </c>
      <c r="E4155" s="1">
        <f>5+3</f>
        <v>8</v>
      </c>
      <c r="F4155" s="39">
        <f t="shared" si="339"/>
        <v>1947</v>
      </c>
      <c r="G4155" s="168">
        <f>SUM(C4155,C4131,C4107,C4083,C4059,C4035,C4011,C3987,C3963,C3939,C3915,C3891,C3867,C3843)/POBLA!$B$2*100000</f>
        <v>449.59660507093469</v>
      </c>
      <c r="H4155" s="256">
        <f>SUM(C4155,C4131,C4107,C4083,C4059,C4038,C4014,C3990,C3966,C3942,C3918,C3894,C3870,C3846)/SUM(C3822,C3798,C3774,C3750,C3726,C3702,C3678,C3654,C3630,C3606,C3582,C3558,C3534,C3510)</f>
        <v>0.42269644745847074</v>
      </c>
      <c r="I4155" s="297">
        <f t="shared" ref="I4155:I4177" si="347">G4155*H4155</f>
        <v>190.04288775287316</v>
      </c>
      <c r="J4155" s="297">
        <f t="shared" ref="J4155:J4177" si="348">AVERAGE(C4155,C4131,C4107,C4083,C4059,C4035,C4011)</f>
        <v>1062</v>
      </c>
      <c r="K4155" s="297">
        <f>J4155/POBLA!$B$2*100000</f>
        <v>34.529331398997158</v>
      </c>
      <c r="L4155" s="549">
        <f t="shared" si="345"/>
        <v>-0.16265248670628707</v>
      </c>
      <c r="M4155" s="401">
        <f>SUM(C4155,C4131,C4107,C4083,C4059,C4035,C4011)/POBLA!$B$2*100000</f>
        <v>241.70531979298008</v>
      </c>
    </row>
    <row r="4156" spans="1:13" s="360" customFormat="1" x14ac:dyDescent="0.25">
      <c r="A4156" s="19" t="s">
        <v>28</v>
      </c>
      <c r="B4156" s="2">
        <v>44066</v>
      </c>
      <c r="C4156" s="1">
        <v>-1</v>
      </c>
      <c r="D4156" s="39">
        <f t="shared" si="346"/>
        <v>63</v>
      </c>
      <c r="E4156" s="1"/>
      <c r="F4156" s="39">
        <f t="shared" si="339"/>
        <v>0</v>
      </c>
      <c r="G4156" s="168">
        <f>SUM(C4156,C4132,C4108,C4084,C4060,C4036,C4012,C3988,C3964,C3940,C3916,C3892,C3868,C3844)/POBLA!$B$3*100000</f>
        <v>4.0920666862443973</v>
      </c>
      <c r="H4156" s="256">
        <f t="shared" si="342"/>
        <v>2.2880215343203229E-2</v>
      </c>
      <c r="I4156" s="297">
        <f t="shared" si="347"/>
        <v>9.3627366980019847E-2</v>
      </c>
      <c r="J4156" s="297">
        <f t="shared" si="348"/>
        <v>0</v>
      </c>
      <c r="K4156" s="297">
        <f>J4156/POBLA!$B$3*100000</f>
        <v>0</v>
      </c>
      <c r="L4156" s="549">
        <f t="shared" si="345"/>
        <v>1</v>
      </c>
      <c r="M4156" s="401">
        <f>SUM(C4156,C4132,C4108,C4084,C4060,C4036,C4012)/POBLA!$B$3*100000</f>
        <v>0</v>
      </c>
    </row>
    <row r="4157" spans="1:13" s="360" customFormat="1" x14ac:dyDescent="0.25">
      <c r="A4157" s="19" t="s">
        <v>15</v>
      </c>
      <c r="B4157" s="2">
        <v>44066</v>
      </c>
      <c r="C4157" s="1">
        <v>27</v>
      </c>
      <c r="D4157" s="39">
        <f t="shared" si="346"/>
        <v>4861</v>
      </c>
      <c r="E4157" s="1"/>
      <c r="F4157" s="39">
        <f t="shared" si="339"/>
        <v>192</v>
      </c>
      <c r="G4157" s="168">
        <f>SUM(C4157,C4133,C4109,C4085,C4061,C4037,C4013,C3989,C3965,C3941,C3917,C3893,C3869,C3845)/POBLA!$B$4*100000</f>
        <v>64.588918102414112</v>
      </c>
      <c r="H4157" s="256">
        <f t="shared" si="342"/>
        <v>9.2619047619047628</v>
      </c>
      <c r="I4157" s="297">
        <f t="shared" si="347"/>
        <v>598.21640813902604</v>
      </c>
      <c r="J4157" s="297">
        <f t="shared" si="348"/>
        <v>60.714285714285715</v>
      </c>
      <c r="K4157" s="297">
        <f>J4157/POBLA!$B$4*100000</f>
        <v>5.0404499070007347</v>
      </c>
      <c r="L4157" s="549">
        <f t="shared" si="345"/>
        <v>-0.20396600566572243</v>
      </c>
      <c r="M4157" s="401">
        <f>SUM(C4157,C4133,C4109,C4085,C4061,C4037,C4013)/POBLA!$B$4*100000</f>
        <v>35.283149349005143</v>
      </c>
    </row>
    <row r="4158" spans="1:13" s="360" customFormat="1" x14ac:dyDescent="0.25">
      <c r="A4158" s="19" t="s">
        <v>29</v>
      </c>
      <c r="B4158" s="2">
        <v>44066</v>
      </c>
      <c r="C4158" s="1">
        <v>24</v>
      </c>
      <c r="D4158" s="39">
        <f t="shared" si="346"/>
        <v>534</v>
      </c>
      <c r="E4158" s="1"/>
      <c r="F4158" s="39">
        <f t="shared" si="339"/>
        <v>7</v>
      </c>
      <c r="G4158" s="168">
        <f>SUM(C4158,C4134,C4110,C4086,C4062,C4038,C4014,C3990,C3966,C3942,C3918,C3894,C3870,C3846)/POBLA!$B$5*100000</f>
        <v>198.8710714481885</v>
      </c>
      <c r="H4158" s="256">
        <f t="shared" si="342"/>
        <v>7.6588066944565422E-2</v>
      </c>
      <c r="I4158" s="297">
        <f t="shared" si="347"/>
        <v>15.231150933411314</v>
      </c>
      <c r="J4158" s="297">
        <f t="shared" si="348"/>
        <v>18.714285714285715</v>
      </c>
      <c r="K4158" s="297">
        <f>J4158/POBLA!$B$5*100000</f>
        <v>3.0233387907291047</v>
      </c>
      <c r="L4158" s="549">
        <f t="shared" si="345"/>
        <v>0.88090909090909086</v>
      </c>
      <c r="M4158" s="401">
        <f>SUM(C4158,C4134,C4110,C4086,C4062,C4038,C4014)/POBLA!$B$5*100000</f>
        <v>21.163371535103732</v>
      </c>
    </row>
    <row r="4159" spans="1:13" s="360" customFormat="1" x14ac:dyDescent="0.25">
      <c r="A4159" s="19" t="s">
        <v>20</v>
      </c>
      <c r="B4159" s="2">
        <v>44066</v>
      </c>
      <c r="C4159" s="1">
        <v>233</v>
      </c>
      <c r="D4159" s="39">
        <f t="shared" si="346"/>
        <v>5906</v>
      </c>
      <c r="E4159" s="1">
        <f>2</f>
        <v>2</v>
      </c>
      <c r="F4159" s="39">
        <f t="shared" si="339"/>
        <v>97</v>
      </c>
      <c r="G4159" s="168">
        <f>SUM(C4159,C4135,C4111,C4087,C4063,C4039,C4015,C3991,C3967,C3943,C3919,C3895,C3871,C3847)/POBLA!$B$6*100000</f>
        <v>213.59723983115646</v>
      </c>
      <c r="H4159" s="256">
        <f t="shared" si="342"/>
        <v>1.3758620689655172</v>
      </c>
      <c r="I4159" s="297">
        <f t="shared" si="347"/>
        <v>293.88034031941868</v>
      </c>
      <c r="J4159" s="297">
        <f t="shared" si="348"/>
        <v>187.71428571428572</v>
      </c>
      <c r="K4159" s="297">
        <f>J4159/POBLA!$B$6*100000</f>
        <v>16.748226109209906</v>
      </c>
      <c r="L4159" s="549">
        <f t="shared" si="345"/>
        <v>-0.21666666666666656</v>
      </c>
      <c r="M4159" s="401">
        <f>SUM(C4159,C4135,C4111,C4087,C4063,C4039,C4015)/POBLA!$B$6*100000</f>
        <v>117.23758276446935</v>
      </c>
    </row>
    <row r="4160" spans="1:13" s="360" customFormat="1" x14ac:dyDescent="0.25">
      <c r="A4160" s="19" t="s">
        <v>30</v>
      </c>
      <c r="B4160" s="2">
        <v>44066</v>
      </c>
      <c r="C4160" s="1">
        <v>5</v>
      </c>
      <c r="D4160" s="39">
        <f t="shared" si="346"/>
        <v>252</v>
      </c>
      <c r="E4160" s="1">
        <f>1</f>
        <v>1</v>
      </c>
      <c r="F4160" s="39">
        <f>E4160+F4136</f>
        <v>4</v>
      </c>
      <c r="G4160" s="168">
        <f>SUM(C4160,C4136,C4112,C4088,C4064,C4040,C4016,C3992,C3968,C3944,C3920,C3896,C3872,C3848)/POBLA!$B$7*100000</f>
        <v>1.0371099203552767</v>
      </c>
      <c r="H4160" s="256">
        <f t="shared" si="342"/>
        <v>0.52</v>
      </c>
      <c r="I4160" s="297">
        <f t="shared" si="347"/>
        <v>0.53929715858474392</v>
      </c>
      <c r="J4160" s="297">
        <f t="shared" si="348"/>
        <v>3.4285714285714284</v>
      </c>
      <c r="K4160" s="297">
        <f>J4160/POBLA!$B$7*100000</f>
        <v>9.1174498492771566E-2</v>
      </c>
      <c r="L4160" s="549">
        <f t="shared" si="345"/>
        <v>-0.60000000000000009</v>
      </c>
      <c r="M4160" s="401">
        <f>SUM(C4160,C4136,C4112,C4088,C4064,C4040,C4016)/POBLA!$B$7*100000</f>
        <v>0.63822148944940094</v>
      </c>
    </row>
    <row r="4161" spans="1:13" x14ac:dyDescent="0.25">
      <c r="A4161" s="19" t="s">
        <v>31</v>
      </c>
      <c r="B4161" s="2">
        <v>44066</v>
      </c>
      <c r="C4161" s="1">
        <v>126</v>
      </c>
      <c r="D4161" s="39">
        <f t="shared" si="346"/>
        <v>2258</v>
      </c>
      <c r="F4161" s="39">
        <f t="shared" si="339"/>
        <v>29</v>
      </c>
      <c r="G4161" s="168">
        <f>SUM(C4161,C4137,C4113,C4089,C4065,C4041,C4017,C3993,C3969,C3945,C3921,C3897,C3873,C3849)/POBLA!$B$8*100000</f>
        <v>78.934400030015283</v>
      </c>
      <c r="H4161" s="256">
        <f t="shared" si="342"/>
        <v>2.7146401985111663</v>
      </c>
      <c r="I4161" s="297">
        <f t="shared" si="347"/>
        <v>214.2784953668405</v>
      </c>
      <c r="J4161" s="297">
        <f t="shared" si="348"/>
        <v>89.571428571428569</v>
      </c>
      <c r="K4161" s="297">
        <f>J4161/POBLA!$B$8*100000</f>
        <v>6.4627668867615009</v>
      </c>
      <c r="L4161" s="549">
        <f t="shared" si="345"/>
        <v>-0.34261241970021405</v>
      </c>
      <c r="M4161" s="401">
        <f>SUM(C4161,C4137,C4113,C4089,C4065,C4041,C4017)/POBLA!$B$8*100000</f>
        <v>45.239368207330507</v>
      </c>
    </row>
    <row r="4162" spans="1:13" s="360" customFormat="1" x14ac:dyDescent="0.25">
      <c r="A4162" s="19" t="s">
        <v>41</v>
      </c>
      <c r="B4162" s="2">
        <v>44066</v>
      </c>
      <c r="C4162" s="1">
        <v>2</v>
      </c>
      <c r="D4162" s="39">
        <f t="shared" si="346"/>
        <v>82</v>
      </c>
      <c r="E4162" s="1"/>
      <c r="F4162" s="39">
        <f>E4162+F4138</f>
        <v>1</v>
      </c>
      <c r="G4162" s="168">
        <f>SUM(C4162,C4138,C4114,C4090,C4066,C4042,C4018,C3994,C3970,C3946,C3922,C3898,C3874,C3850)/POBLA!$B$9*100000</f>
        <v>-0.16523654437510019</v>
      </c>
      <c r="H4162" s="256">
        <f>SUM(C4162,C4138,C4114,C4090,C4066,C4042,C4018,C3994,C3970,C3946,C3922,C3898,C3874,C3850)/SUM(C3826,C3802,C3778,C3754,C3730,C3706,C3682,C3658,C3634,C3610,C3586,C3562,C3538,C3514)</f>
        <v>-0.2</v>
      </c>
      <c r="I4162" s="297">
        <f t="shared" si="347"/>
        <v>3.304730887502004E-2</v>
      </c>
      <c r="J4162" s="297">
        <f t="shared" si="348"/>
        <v>0.2857142857142857</v>
      </c>
      <c r="K4162" s="297">
        <f>J4162/POBLA!$B$9*100000</f>
        <v>4.7210441250028622E-2</v>
      </c>
      <c r="L4162" s="549">
        <f t="shared" si="345"/>
        <v>1.6666666666666665</v>
      </c>
      <c r="M4162" s="401">
        <f>SUM(C4162,C4138,C4114,C4090,C4066,C4042,C4018)/POBLA!$B$9*100000</f>
        <v>0.33047308875020037</v>
      </c>
    </row>
    <row r="4163" spans="1:13" s="360" customFormat="1" x14ac:dyDescent="0.25">
      <c r="A4163" s="19" t="s">
        <v>32</v>
      </c>
      <c r="B4163" s="2">
        <v>44066</v>
      </c>
      <c r="C4163" s="1">
        <v>185</v>
      </c>
      <c r="D4163" s="39">
        <f t="shared" si="346"/>
        <v>6271</v>
      </c>
      <c r="E4163" s="1"/>
      <c r="F4163" s="39">
        <f t="shared" si="339"/>
        <v>141</v>
      </c>
      <c r="G4163" s="168">
        <f>SUM(C4163,C4139,C4115,C4091,C4067,C4043,C4019,C3995,C3971,C3947,C3923,C3899,C3875,C3851)/POBLA!$B$10*100000</f>
        <v>368.53937248420965</v>
      </c>
      <c r="H4163" s="256">
        <f t="shared" ref="H4163:H4185" si="349">SUM(C4163,C4139,C4115,C4091,C4067,C4043,C4019,C3995,C3971,C3947,C3923,C3899,C3875,C3851)/SUM(C3827,C3803,C3779,C3755,C3731,C3707,C3683,C3659,C3635,C3611,C3587,C3563,C3539,C3515)</f>
        <v>1.4262048192771084</v>
      </c>
      <c r="I4163" s="297">
        <f t="shared" si="347"/>
        <v>525.61262913034113</v>
      </c>
      <c r="J4163" s="297">
        <f t="shared" si="348"/>
        <v>215.14285714285714</v>
      </c>
      <c r="K4163" s="297">
        <f>J4163/POBLA!$B$10*100000</f>
        <v>27.908698896828064</v>
      </c>
      <c r="L4163" s="549">
        <f t="shared" si="345"/>
        <v>-0.12808988764044948</v>
      </c>
      <c r="M4163" s="401">
        <f>SUM(C4163,C4139,C4115,C4091,C4067,C4043,C4019)/POBLA!$B$10*100000</f>
        <v>195.36089227779647</v>
      </c>
    </row>
    <row r="4164" spans="1:13" s="360" customFormat="1" x14ac:dyDescent="0.25">
      <c r="A4164" s="19" t="s">
        <v>33</v>
      </c>
      <c r="B4164" s="2">
        <v>44066</v>
      </c>
      <c r="C4164" s="1">
        <v>4</v>
      </c>
      <c r="D4164" s="39">
        <f t="shared" si="346"/>
        <v>195</v>
      </c>
      <c r="E4164" s="1"/>
      <c r="F4164" s="39">
        <f t="shared" si="339"/>
        <v>1</v>
      </c>
      <c r="G4164" s="168">
        <f>SUM(C4164,C4140,C4116,C4092,C4068,C4044,C4020,C3996,C3972,C3948,C3924,C3900,C3876,C3852)/POBLA!$B$11*100000</f>
        <v>4.7429330297856191</v>
      </c>
      <c r="H4164" s="256">
        <f t="shared" si="349"/>
        <v>0.10240963855421686</v>
      </c>
      <c r="I4164" s="297">
        <f t="shared" si="347"/>
        <v>0.48572205726720197</v>
      </c>
      <c r="J4164" s="297">
        <f t="shared" si="348"/>
        <v>1.5714285714285714</v>
      </c>
      <c r="K4164" s="297">
        <f>J4164/POBLA!$B$11*100000</f>
        <v>0.43842238090455304</v>
      </c>
      <c r="L4164" s="549">
        <f t="shared" si="345"/>
        <v>-0.83333333333333326</v>
      </c>
      <c r="M4164" s="401">
        <f>SUM(C4164,C4140,C4116,C4092,C4068,C4044,C4020)/POBLA!$B$11*100000</f>
        <v>3.0689566663318715</v>
      </c>
    </row>
    <row r="4165" spans="1:13" s="360" customFormat="1" x14ac:dyDescent="0.25">
      <c r="A4165" s="19" t="s">
        <v>21</v>
      </c>
      <c r="B4165" s="2">
        <v>44066</v>
      </c>
      <c r="C4165" s="1">
        <v>34</v>
      </c>
      <c r="D4165" s="39">
        <f t="shared" si="346"/>
        <v>1040</v>
      </c>
      <c r="E4165" s="1">
        <f>9+1</f>
        <v>10</v>
      </c>
      <c r="F4165" s="39">
        <f t="shared" si="339"/>
        <v>11</v>
      </c>
      <c r="G4165" s="168">
        <f>SUM(C4165,C4141,C4117,C4093,C4069,C4045,C4021,C3997,C3973,C3949,C3925,C3901,C3877,C3853)/POBLA!$B$12*100000</f>
        <v>132.89931415822386</v>
      </c>
      <c r="H4165" s="256">
        <f t="shared" si="349"/>
        <v>1.8880866425992779</v>
      </c>
      <c r="I4165" s="297">
        <f t="shared" si="347"/>
        <v>250.92541987274757</v>
      </c>
      <c r="J4165" s="297">
        <f t="shared" si="348"/>
        <v>41.428571428571431</v>
      </c>
      <c r="K4165" s="297">
        <f>J4165/POBLA!$B$12*100000</f>
        <v>10.527397188168514</v>
      </c>
      <c r="L4165" s="549">
        <f t="shared" si="345"/>
        <v>-0.24463519313304727</v>
      </c>
      <c r="M4165" s="401">
        <f>SUM(C4165,C4141,C4117,C4093,C4069,C4045,C4021)/POBLA!$B$12*100000</f>
        <v>73.691780317179592</v>
      </c>
    </row>
    <row r="4166" spans="1:13" s="360" customFormat="1" x14ac:dyDescent="0.25">
      <c r="A4166" s="19" t="s">
        <v>17</v>
      </c>
      <c r="B4166" s="2">
        <v>44066</v>
      </c>
      <c r="C4166" s="1">
        <v>140</v>
      </c>
      <c r="D4166" s="39">
        <f t="shared" si="346"/>
        <v>4637</v>
      </c>
      <c r="E4166" s="1">
        <f>1+2</f>
        <v>3</v>
      </c>
      <c r="F4166" s="39">
        <f t="shared" si="339"/>
        <v>55</v>
      </c>
      <c r="G4166" s="168">
        <f>SUM(C4166,C4142,C4118,C4094,C4070,C4046,C4022,C3998,C3974,C3950,C3926,C3902,C3878,C3854)/POBLA!$B$13*100000</f>
        <v>124.95365108840809</v>
      </c>
      <c r="H4166" s="256">
        <f t="shared" si="349"/>
        <v>1.8713318284424378</v>
      </c>
      <c r="I4166" s="297">
        <f t="shared" si="347"/>
        <v>233.82974436182914</v>
      </c>
      <c r="J4166" s="297">
        <f t="shared" si="348"/>
        <v>186.71428571428572</v>
      </c>
      <c r="K4166" s="297">
        <f>J4166/POBLA!$B$13*100000</f>
        <v>9.3810340612642538</v>
      </c>
      <c r="L4166" s="549">
        <f t="shared" si="345"/>
        <v>-0.10762711864406782</v>
      </c>
      <c r="M4166" s="401">
        <f>SUM(C4166,C4142,C4118,C4094,C4070,C4046,C4022)/POBLA!$B$13*100000</f>
        <v>65.667238428849771</v>
      </c>
    </row>
    <row r="4167" spans="1:13" s="360" customFormat="1" x14ac:dyDescent="0.25">
      <c r="A4167" s="19" t="s">
        <v>23</v>
      </c>
      <c r="B4167" s="2">
        <v>44066</v>
      </c>
      <c r="C4167" s="1">
        <v>-3</v>
      </c>
      <c r="D4167" s="39">
        <f t="shared" si="346"/>
        <v>56</v>
      </c>
      <c r="E4167" s="1"/>
      <c r="F4167" s="39">
        <f t="shared" si="339"/>
        <v>2</v>
      </c>
      <c r="G4167" s="168">
        <f>SUM(C4167,C4143,C4119,C4095,C4071,C4047,C4023,C3999,C3975,C3951,C3927,C3903,C3879,C3855)/POBLA!$B$14*100000</f>
        <v>0.31713462523408498</v>
      </c>
      <c r="H4167" s="256">
        <f t="shared" si="349"/>
        <v>1.3333333333333333</v>
      </c>
      <c r="I4167" s="297">
        <f t="shared" si="347"/>
        <v>0.42284616697877997</v>
      </c>
      <c r="J4167" s="297">
        <f t="shared" si="348"/>
        <v>-0.42857142857142855</v>
      </c>
      <c r="K4167" s="297">
        <f>J4167/POBLA!$B$14*100000</f>
        <v>-3.3978709846509102E-2</v>
      </c>
      <c r="L4167" s="549">
        <f t="shared" si="345"/>
        <v>1.4285714285714286</v>
      </c>
      <c r="M4167" s="401">
        <f>SUM(C4167,C4143,C4119,C4095,C4071,C4047,C4023)/POBLA!$B$14*100000</f>
        <v>-0.23785096892556376</v>
      </c>
    </row>
    <row r="4168" spans="1:13" s="360" customFormat="1" x14ac:dyDescent="0.25">
      <c r="A4168" s="19" t="s">
        <v>19</v>
      </c>
      <c r="B4168" s="2">
        <v>44066</v>
      </c>
      <c r="C4168" s="10">
        <v>108</v>
      </c>
      <c r="D4168" s="39">
        <f>C4168+D4144</f>
        <v>2278</v>
      </c>
      <c r="E4168" s="1"/>
      <c r="F4168" s="39">
        <f t="shared" si="339"/>
        <v>11</v>
      </c>
      <c r="G4168" s="168">
        <f>SUM(C4168,C4144,C4120,C4096,C4072,C4048,C4024,C4000,C3976,C3952,C3928,C3904,C3880,C3856)/POBLA!$B$15*100000</f>
        <v>122.42924929637064</v>
      </c>
      <c r="H4168" s="256">
        <f t="shared" si="349"/>
        <v>1.963768115942029</v>
      </c>
      <c r="I4168" s="297">
        <f t="shared" si="347"/>
        <v>240.42265622693077</v>
      </c>
      <c r="J4168" s="297">
        <f t="shared" si="348"/>
        <v>63.428571428571431</v>
      </c>
      <c r="K4168" s="297">
        <f>J4168/POBLA!$B$15*100000</f>
        <v>9.5516757490051951</v>
      </c>
      <c r="L4168" s="549">
        <f t="shared" si="345"/>
        <v>-0.20325203252032531</v>
      </c>
      <c r="M4168" s="401">
        <f>SUM(C4168,C4144,C4120,C4096,C4072,C4048,C4024)/POBLA!$B$15*100000</f>
        <v>66.861730243036362</v>
      </c>
    </row>
    <row r="4169" spans="1:13" s="360" customFormat="1" x14ac:dyDescent="0.25">
      <c r="A4169" s="19" t="s">
        <v>18</v>
      </c>
      <c r="B4169" s="2">
        <v>44066</v>
      </c>
      <c r="C4169" s="1">
        <v>119</v>
      </c>
      <c r="D4169" s="39">
        <f>C4169+D4145</f>
        <v>4703</v>
      </c>
      <c r="E4169" s="1">
        <f>4</f>
        <v>4</v>
      </c>
      <c r="F4169" s="39">
        <f t="shared" si="339"/>
        <v>48</v>
      </c>
      <c r="G4169" s="168">
        <f>SUM(C4169,C4145,C4121,C4097,C4073,C4049,C4025,C4001,C3977,C3953,C3929,C3905,C3881,C3857)/POBLA!$B$16*100000</f>
        <v>240.76724495391983</v>
      </c>
      <c r="H4169" s="256">
        <f t="shared" si="349"/>
        <v>1.3523666416228399</v>
      </c>
      <c r="I4169" s="297">
        <f t="shared" si="347"/>
        <v>325.60559047111622</v>
      </c>
      <c r="J4169" s="297">
        <f t="shared" si="348"/>
        <v>121.28571428571429</v>
      </c>
      <c r="K4169" s="297">
        <f>J4169/POBLA!$B$16*100000</f>
        <v>16.223126267133168</v>
      </c>
      <c r="L4169" s="549">
        <f t="shared" si="345"/>
        <v>0.10725552050473186</v>
      </c>
      <c r="M4169" s="401">
        <f>SUM(C4169,C4145,C4121,C4097,C4073,C4049,C4025)/POBLA!$B$16*100000</f>
        <v>113.56188386993219</v>
      </c>
    </row>
    <row r="4170" spans="1:13" s="360" customFormat="1" x14ac:dyDescent="0.25">
      <c r="A4170" s="19" t="s">
        <v>34</v>
      </c>
      <c r="B4170" s="2">
        <v>44066</v>
      </c>
      <c r="C4170" s="1">
        <v>97</v>
      </c>
      <c r="D4170" s="39">
        <f>C4170+D4146</f>
        <v>1837</v>
      </c>
      <c r="E4170" s="1">
        <f>1</f>
        <v>1</v>
      </c>
      <c r="F4170" s="39">
        <f>E4170+F4146</f>
        <v>29</v>
      </c>
      <c r="G4170" s="168">
        <f>SUM(C4170,C4146,C4122,C4098,C4074,C4050,C4026,C4002,C3978,C3954,C3930,C3906,C3882,C3858)/POBLA!$B$17*100000</f>
        <v>88.107458805375188</v>
      </c>
      <c r="H4170" s="256">
        <f t="shared" si="349"/>
        <v>3.6271676300578033</v>
      </c>
      <c r="I4170" s="297">
        <f t="shared" si="347"/>
        <v>319.58052254550825</v>
      </c>
      <c r="J4170" s="297">
        <f t="shared" si="348"/>
        <v>107</v>
      </c>
      <c r="K4170" s="297">
        <f>J4170/POBLA!$B$17*100000</f>
        <v>7.5119506710558923</v>
      </c>
      <c r="L4170" s="549">
        <f t="shared" si="345"/>
        <v>-0.48023715415019752</v>
      </c>
      <c r="M4170" s="401">
        <f>SUM(C4170,C4146,C4122,C4098,C4074,C4050,C4026)/POBLA!$B$17*100000</f>
        <v>52.583654697391246</v>
      </c>
    </row>
    <row r="4171" spans="1:13" s="360" customFormat="1" x14ac:dyDescent="0.25">
      <c r="A4171" s="19" t="s">
        <v>35</v>
      </c>
      <c r="B4171" s="2">
        <v>44066</v>
      </c>
      <c r="C4171" s="1">
        <v>19</v>
      </c>
      <c r="D4171" s="39">
        <f t="shared" ref="D4171:D4177" si="350">C4171+D4147</f>
        <v>58</v>
      </c>
      <c r="E4171" s="1"/>
      <c r="F4171" s="39">
        <f>E4171+F4147</f>
        <v>0</v>
      </c>
      <c r="G4171" s="168">
        <f>SUM(C4171,C4147,C4123,C4099,C4075,C4051,C4027,C4003,C3979,C3955,C3931,C3907,C3883,C3859)/POBLA!$B$18*100000</f>
        <v>4.6081946501420221</v>
      </c>
      <c r="H4171" s="256">
        <f t="shared" si="349"/>
        <v>36</v>
      </c>
      <c r="I4171" s="297">
        <f t="shared" si="347"/>
        <v>165.89500740511281</v>
      </c>
      <c r="J4171" s="297">
        <f t="shared" si="348"/>
        <v>5.1428571428571432</v>
      </c>
      <c r="K4171" s="297">
        <f>J4171/POBLA!$B$18*100000</f>
        <v>0.65831352144886035</v>
      </c>
      <c r="L4171" s="549" t="e">
        <f t="shared" si="345"/>
        <v>#DIV/0!</v>
      </c>
      <c r="M4171" s="401">
        <f>SUM(C4171,C4147,C4123,C4099,C4075,C4051,C4027)/POBLA!$B$18*100000</f>
        <v>4.6081946501420221</v>
      </c>
    </row>
    <row r="4172" spans="1:13" s="360" customFormat="1" x14ac:dyDescent="0.25">
      <c r="A4172" s="19" t="s">
        <v>36</v>
      </c>
      <c r="B4172" s="2">
        <v>44066</v>
      </c>
      <c r="C4172" s="1">
        <v>2</v>
      </c>
      <c r="D4172" s="39">
        <f t="shared" si="350"/>
        <v>43</v>
      </c>
      <c r="E4172" s="1"/>
      <c r="F4172" s="39">
        <f>E4172+F4148</f>
        <v>0</v>
      </c>
      <c r="G4172" s="168">
        <f>SUM(C4172,C4148,C4124,C4100,C4076,C4052,C4028,C4004,C3980,C3956,C3932,C3908,C3884,C3860)/POBLA!$B$19*100000</f>
        <v>1.7705103791252892</v>
      </c>
      <c r="H4172" s="256">
        <f t="shared" si="349"/>
        <v>0.6</v>
      </c>
      <c r="I4172" s="297">
        <f t="shared" si="347"/>
        <v>1.0623062274751736</v>
      </c>
      <c r="J4172" s="297">
        <f t="shared" si="348"/>
        <v>1.2857142857142858</v>
      </c>
      <c r="K4172" s="297">
        <f>J4172/POBLA!$B$19*100000</f>
        <v>0.25293005416075565</v>
      </c>
      <c r="L4172" s="549" t="e">
        <f t="shared" si="345"/>
        <v>#DIV/0!</v>
      </c>
      <c r="M4172" s="401">
        <f>SUM(C4172,C4148,C4124,C4100,C4076,C4052,C4028)/POBLA!$B$19*100000</f>
        <v>1.7705103791252892</v>
      </c>
    </row>
    <row r="4173" spans="1:13" s="360" customFormat="1" x14ac:dyDescent="0.25">
      <c r="A4173" s="19" t="s">
        <v>37</v>
      </c>
      <c r="B4173" s="2">
        <v>44066</v>
      </c>
      <c r="C4173" s="1">
        <v>41</v>
      </c>
      <c r="D4173" s="39">
        <f t="shared" si="350"/>
        <v>1334</v>
      </c>
      <c r="E4173" s="1"/>
      <c r="F4173" s="39">
        <f t="shared" ref="F4173:F4178" si="351">E4173+F4149</f>
        <v>9</v>
      </c>
      <c r="G4173" s="168">
        <f>SUM(C4173,C4149,C4125,C4101,C4077,C4053,C4029,C4005,C3981,C3957,C3933,C3909,C3885,C3861)/POBLA!$B$20*100000</f>
        <v>159.42116172360801</v>
      </c>
      <c r="H4173" s="256">
        <f t="shared" si="349"/>
        <v>1.3914081145584725</v>
      </c>
      <c r="I4173" s="297">
        <f t="shared" si="347"/>
        <v>221.81989805456675</v>
      </c>
      <c r="J4173" s="297">
        <f t="shared" si="348"/>
        <v>42.857142857142854</v>
      </c>
      <c r="K4173" s="297">
        <f>J4173/POBLA!$B$20*100000</f>
        <v>11.71927187382563</v>
      </c>
      <c r="L4173" s="549">
        <f t="shared" si="345"/>
        <v>-6.0070671378091856E-2</v>
      </c>
      <c r="M4173" s="401">
        <f>SUM(C4173,C4149,C4125,C4101,C4077,C4053,C4029)/POBLA!$B$20*100000</f>
        <v>82.034903116779418</v>
      </c>
    </row>
    <row r="4174" spans="1:13" s="360" customFormat="1" x14ac:dyDescent="0.25">
      <c r="A4174" s="19" t="s">
        <v>22</v>
      </c>
      <c r="B4174" s="2">
        <v>44066</v>
      </c>
      <c r="C4174" s="1">
        <v>208</v>
      </c>
      <c r="D4174" s="39">
        <f t="shared" si="350"/>
        <v>4817</v>
      </c>
      <c r="E4174" s="1">
        <f>2+1</f>
        <v>3</v>
      </c>
      <c r="F4174" s="39">
        <f t="shared" si="351"/>
        <v>52</v>
      </c>
      <c r="G4174" s="168">
        <f>SUM(C4174,C4150,C4126,C4102,C4078,C4054,C4030,C4006,C3982,C3958,C3934,C3910,C3886,C3862)/POBLA!$B$21*100000</f>
        <v>75.811173905347161</v>
      </c>
      <c r="H4174" s="256">
        <f t="shared" si="349"/>
        <v>2.2397660818713452</v>
      </c>
      <c r="I4174" s="297">
        <f t="shared" si="347"/>
        <v>169.79929594004659</v>
      </c>
      <c r="J4174" s="297">
        <f t="shared" si="348"/>
        <v>217.71428571428572</v>
      </c>
      <c r="K4174" s="297">
        <f>J4174/POBLA!$B$21*100000</f>
        <v>6.1563504572786849</v>
      </c>
      <c r="L4174" s="549">
        <f t="shared" si="345"/>
        <v>-0.31719965427830599</v>
      </c>
      <c r="M4174" s="401">
        <f>SUM(C4174,C4150,C4126,C4102,C4078,C4054,C4030)/POBLA!$B$21*100000</f>
        <v>43.094453200950788</v>
      </c>
    </row>
    <row r="4175" spans="1:13" s="360" customFormat="1" x14ac:dyDescent="0.25">
      <c r="A4175" s="19" t="s">
        <v>38</v>
      </c>
      <c r="B4175" s="2">
        <v>44066</v>
      </c>
      <c r="C4175" s="1">
        <v>28</v>
      </c>
      <c r="D4175" s="39">
        <f t="shared" si="350"/>
        <v>517</v>
      </c>
      <c r="E4175" s="1"/>
      <c r="F4175" s="39">
        <f t="shared" si="351"/>
        <v>2</v>
      </c>
      <c r="G4175" s="168">
        <f>SUM(C4175,C4151,C4127,C4103,C4079,C4055,C4031,C4007,C3983,C3959,C3935,C3911,C3887,C3863)/POBLA!$B$22*100000</f>
        <v>38.944591352665256</v>
      </c>
      <c r="H4175" s="256">
        <f t="shared" si="349"/>
        <v>4.4823529411764707</v>
      </c>
      <c r="I4175" s="297">
        <f t="shared" si="347"/>
        <v>174.56340359253485</v>
      </c>
      <c r="J4175" s="297">
        <f t="shared" si="348"/>
        <v>33.571428571428569</v>
      </c>
      <c r="K4175" s="297">
        <f>J4175/POBLA!$B$22*100000</f>
        <v>3.4315631675576803</v>
      </c>
      <c r="L4175" s="549">
        <f t="shared" si="345"/>
        <v>-0.6095890410958904</v>
      </c>
      <c r="M4175" s="401">
        <f>SUM(C4175,C4151,C4127,C4103,C4079,C4055,C4031)/POBLA!$B$22*100000</f>
        <v>24.020942172903766</v>
      </c>
    </row>
    <row r="4176" spans="1:13" s="360" customFormat="1" x14ac:dyDescent="0.25">
      <c r="A4176" s="19" t="s">
        <v>39</v>
      </c>
      <c r="B4176" s="2">
        <v>44066</v>
      </c>
      <c r="C4176" s="1">
        <v>28</v>
      </c>
      <c r="D4176" s="39">
        <f t="shared" si="350"/>
        <v>1698</v>
      </c>
      <c r="E4176" s="1">
        <f>1</f>
        <v>1</v>
      </c>
      <c r="F4176" s="39">
        <f t="shared" si="351"/>
        <v>20</v>
      </c>
      <c r="G4176" s="168">
        <f>SUM(C4176,C4152,C4128,C4104,C4080,C4056,C4032,C4008,C3984,C3960,C3936,C3912,C3888,C3864)/POBLA!$B$23*100000</f>
        <v>401.51557993553132</v>
      </c>
      <c r="H4176" s="256">
        <f t="shared" si="349"/>
        <v>1.1007751937984496</v>
      </c>
      <c r="I4176" s="297">
        <f t="shared" si="347"/>
        <v>441.97839031663136</v>
      </c>
      <c r="J4176" s="297">
        <f t="shared" si="348"/>
        <v>39.857142857142854</v>
      </c>
      <c r="K4176" s="297">
        <f>J4176/POBLA!$B$23*100000</f>
        <v>22.53980820966061</v>
      </c>
      <c r="L4176" s="549">
        <f t="shared" si="345"/>
        <v>0.35266821345707655</v>
      </c>
      <c r="M4176" s="401">
        <f>SUM(C4176,C4152,C4128,C4104,C4080,C4056,C4032)/POBLA!$B$23*100000</f>
        <v>157.77865746762427</v>
      </c>
    </row>
    <row r="4177" spans="1:13" s="360" customFormat="1" ht="15.75" thickBot="1" x14ac:dyDescent="0.3">
      <c r="A4177" s="19" t="s">
        <v>40</v>
      </c>
      <c r="B4177" s="2">
        <v>44066</v>
      </c>
      <c r="C4177" s="1">
        <v>77</v>
      </c>
      <c r="D4177" s="39">
        <f t="shared" si="350"/>
        <v>1053</v>
      </c>
      <c r="E4177" s="1"/>
      <c r="F4177" s="39">
        <f t="shared" si="351"/>
        <v>6</v>
      </c>
      <c r="G4177" s="177">
        <f>SUM(C4177,C4153,C4129,C4105,C4081,C4057,C4033,C4009,C3985,C3961,C3937,C3913,C3889,C3865)/POBLA!$B$24*100000</f>
        <v>38.945957173609273</v>
      </c>
      <c r="H4177" s="402">
        <f t="shared" si="349"/>
        <v>2.4175824175824174</v>
      </c>
      <c r="I4177" s="403">
        <f t="shared" si="347"/>
        <v>94.155061298835605</v>
      </c>
      <c r="J4177" s="403">
        <f t="shared" si="348"/>
        <v>64.142857142857139</v>
      </c>
      <c r="K4177" s="403">
        <f>J4177/POBLA!$B$24*100000</f>
        <v>3.7850075261797755</v>
      </c>
      <c r="L4177" s="550">
        <f t="shared" si="345"/>
        <v>-1.1279620853080567</v>
      </c>
      <c r="M4177" s="405">
        <f>SUM(C4177,C4153,C4129,C4105,C4081,C4057,C4033)/POBLA!$B$24*100000</f>
        <v>26.495052683258429</v>
      </c>
    </row>
    <row r="4178" spans="1:13" s="360" customFormat="1" x14ac:dyDescent="0.25">
      <c r="A4178" s="361" t="s">
        <v>16</v>
      </c>
      <c r="B4178" s="2">
        <v>44067</v>
      </c>
      <c r="C4178" s="1">
        <v>5656</v>
      </c>
      <c r="D4178" s="39">
        <f>C4178+D4154</f>
        <v>218392</v>
      </c>
      <c r="E4178" s="1">
        <v>270</v>
      </c>
      <c r="F4178" s="39">
        <f t="shared" si="351"/>
        <v>4362</v>
      </c>
      <c r="G4178" s="175">
        <f>SUM(C4178,C4154,C4130,C4106,C4082,C4058,C4034,C4010,C3986,C3962,C3938,C3914,C3890,C3866)/POBLA!$B$1*100000</f>
        <v>351.90983300345169</v>
      </c>
      <c r="H4178" s="300">
        <f t="shared" si="349"/>
        <v>1.0561895799469587</v>
      </c>
      <c r="I4178" s="301">
        <f>G4178*H4178</f>
        <v>371.68349869912004</v>
      </c>
      <c r="J4178" s="301">
        <f>AVERAGE(C4178,C4154,C4130,C4106,C4082,C4058,C4034)</f>
        <v>4682.5714285714284</v>
      </c>
      <c r="K4178" s="301">
        <f>J4178/POBLA!$B$1*100000</f>
        <v>26.694793848196241</v>
      </c>
      <c r="L4178" s="548">
        <f t="shared" ref="L4178:L4201" si="352">1-SUM(C4178,C4154,C4130,C4106,C4082,C4058,C4034)/SUM(C4010,C3986,C3962,C3938,C3914,C3890,C3866)</f>
        <v>-0.13218887085074771</v>
      </c>
      <c r="M4178" s="400">
        <f>SUM(C4178,C4154,C4130,C4106,C4082,C4058,C4034)/POBLA!$B$1*100000</f>
        <v>186.86355693737369</v>
      </c>
    </row>
    <row r="4179" spans="1:13" s="360" customFormat="1" x14ac:dyDescent="0.25">
      <c r="A4179" s="19" t="s">
        <v>43</v>
      </c>
      <c r="B4179" s="2">
        <v>44067</v>
      </c>
      <c r="C4179" s="1">
        <v>1333</v>
      </c>
      <c r="D4179" s="39">
        <f t="shared" ref="D4179:D4191" si="353">C4179+D4155</f>
        <v>86258</v>
      </c>
      <c r="E4179" s="1">
        <f>3+5+22+22</f>
        <v>52</v>
      </c>
      <c r="F4179" s="39">
        <f t="shared" ref="F4179:F4217" si="354">E4179+F4155</f>
        <v>1999</v>
      </c>
      <c r="G4179" s="168">
        <f>SUM(C4179,C4155,C4131,C4107,C4083,C4059,C4035,C4011,C3987,C3963,C3939,C3915,C3891,C3867)/POBLA!$B$2*100000</f>
        <v>492.93709354067403</v>
      </c>
      <c r="H4179" s="256">
        <f>SUM(C4179,C4155,C4131,C4107,C4083,C4062,C4038,C4014,C3990,C3966,C3942,C3918,C3894,C3870)/SUM(C3846,C3822,C3798,C3774,C3750,C3726,C3702,C3678,C3654,C3630,C3606,C3582,C3558,C3534)</f>
        <v>0.37351347985804123</v>
      </c>
      <c r="I4179" s="297">
        <f t="shared" ref="I4179:I4201" si="355">G4179*H4179</f>
        <v>184.11864915948593</v>
      </c>
      <c r="J4179" s="297">
        <f t="shared" ref="J4179:J4201" si="356">AVERAGE(C4179,C4155,C4131,C4107,C4083,C4059,C4035)</f>
        <v>1151</v>
      </c>
      <c r="K4179" s="297">
        <f>J4179/POBLA!$B$2*100000</f>
        <v>37.423032429609911</v>
      </c>
      <c r="L4179" s="549">
        <f t="shared" si="352"/>
        <v>-0.13414977477477485</v>
      </c>
      <c r="M4179" s="401">
        <f>SUM(C4179,C4155,C4131,C4107,C4083,C4059,C4035)/POBLA!$B$2*100000</f>
        <v>261.96122700726937</v>
      </c>
    </row>
    <row r="4180" spans="1:13" s="360" customFormat="1" x14ac:dyDescent="0.25">
      <c r="A4180" s="19" t="s">
        <v>28</v>
      </c>
      <c r="B4180" s="2">
        <v>44067</v>
      </c>
      <c r="C4180" s="1">
        <v>1</v>
      </c>
      <c r="D4180" s="39">
        <f t="shared" si="353"/>
        <v>64</v>
      </c>
      <c r="E4180" s="1"/>
      <c r="F4180" s="39">
        <f t="shared" si="354"/>
        <v>0</v>
      </c>
      <c r="G4180" s="168">
        <f>SUM(C4180,C4156,C4132,C4108,C4084,C4060,C4036,C4012,C3988,C3964,C3940,C3916,C3892,C3868)/POBLA!$B$3*100000</f>
        <v>0.48141961014639967</v>
      </c>
      <c r="H4180" s="256">
        <f t="shared" si="349"/>
        <v>2.751031636863824E-3</v>
      </c>
      <c r="I4180" s="297">
        <f t="shared" si="355"/>
        <v>1.3244005781193938E-3</v>
      </c>
      <c r="J4180" s="297">
        <f t="shared" si="356"/>
        <v>-0.14285714285714285</v>
      </c>
      <c r="K4180" s="297">
        <f>J4180/POBLA!$B$3*100000</f>
        <v>-3.4387115010457117E-2</v>
      </c>
      <c r="L4180" s="549">
        <f t="shared" si="352"/>
        <v>1.3333333333333333</v>
      </c>
      <c r="M4180" s="401">
        <f>SUM(C4180,C4156,C4132,C4108,C4084,C4060,C4036)/POBLA!$B$3*100000</f>
        <v>-0.24070980507319983</v>
      </c>
    </row>
    <row r="4181" spans="1:13" s="360" customFormat="1" x14ac:dyDescent="0.25">
      <c r="A4181" s="19" t="s">
        <v>15</v>
      </c>
      <c r="B4181" s="2">
        <v>44067</v>
      </c>
      <c r="C4181" s="1">
        <v>53</v>
      </c>
      <c r="D4181" s="39">
        <f t="shared" si="353"/>
        <v>4914</v>
      </c>
      <c r="E4181" s="1">
        <f>1+2+1</f>
        <v>4</v>
      </c>
      <c r="F4181" s="39">
        <f t="shared" si="354"/>
        <v>196</v>
      </c>
      <c r="G4181" s="168">
        <f>SUM(C4181,C4157,C4133,C4109,C4085,C4061,C4037,C4013,C3989,C3965,C3941,C3917,C3893,C3869)/POBLA!$B$4*100000</f>
        <v>68.822896024294721</v>
      </c>
      <c r="H4181" s="256">
        <f t="shared" si="349"/>
        <v>9.5287356321839081</v>
      </c>
      <c r="I4181" s="297">
        <f t="shared" si="355"/>
        <v>655.7951816567853</v>
      </c>
      <c r="J4181" s="297">
        <f t="shared" si="356"/>
        <v>58.571428571428569</v>
      </c>
      <c r="K4181" s="297">
        <f>J4181/POBLA!$B$4*100000</f>
        <v>4.8625516749889437</v>
      </c>
      <c r="L4181" s="549">
        <f t="shared" si="352"/>
        <v>2.1479713603818618E-2</v>
      </c>
      <c r="M4181" s="401">
        <f>SUM(C4181,C4157,C4133,C4109,C4085,C4061,C4037)/POBLA!$B$4*100000</f>
        <v>34.0378617249226</v>
      </c>
    </row>
    <row r="4182" spans="1:13" s="360" customFormat="1" x14ac:dyDescent="0.25">
      <c r="A4182" s="19" t="s">
        <v>29</v>
      </c>
      <c r="B4182" s="2">
        <v>44067</v>
      </c>
      <c r="C4182" s="1">
        <v>12</v>
      </c>
      <c r="D4182" s="39">
        <f t="shared" si="353"/>
        <v>546</v>
      </c>
      <c r="E4182" s="1"/>
      <c r="F4182" s="39">
        <f t="shared" si="354"/>
        <v>7</v>
      </c>
      <c r="G4182" s="168">
        <f>SUM(C4182,C4158,C4134,C4110,C4086,C4062,C4038,C4014,C3990,C3966,C3942,C3918,C3894,C3870)/POBLA!$B$5*100000</f>
        <v>31.66428107542238</v>
      </c>
      <c r="H4182" s="256">
        <f t="shared" si="349"/>
        <v>1.2203474254405081E-2</v>
      </c>
      <c r="I4182" s="297">
        <f t="shared" si="355"/>
        <v>0.38641423888816306</v>
      </c>
      <c r="J4182" s="297">
        <f t="shared" si="356"/>
        <v>18.428571428571427</v>
      </c>
      <c r="K4182" s="297">
        <f>J4182/POBLA!$B$5*100000</f>
        <v>2.9771809465958357</v>
      </c>
      <c r="L4182" s="549">
        <f t="shared" si="352"/>
        <v>-0.92537313432835822</v>
      </c>
      <c r="M4182" s="401">
        <f>SUM(C4182,C4158,C4134,C4110,C4086,C4062,C4038)/POBLA!$B$5*100000</f>
        <v>20.840266626170852</v>
      </c>
    </row>
    <row r="4183" spans="1:13" s="360" customFormat="1" x14ac:dyDescent="0.25">
      <c r="A4183" s="19" t="s">
        <v>20</v>
      </c>
      <c r="B4183" s="2">
        <v>44067</v>
      </c>
      <c r="C4183" s="1">
        <v>208</v>
      </c>
      <c r="D4183" s="39">
        <f t="shared" si="353"/>
        <v>6114</v>
      </c>
      <c r="E4183" s="1">
        <f>3+1</f>
        <v>4</v>
      </c>
      <c r="F4183" s="39">
        <f t="shared" si="354"/>
        <v>101</v>
      </c>
      <c r="G4183" s="168">
        <f>SUM(C4183,C4159,C4135,C4111,C4087,C4063,C4039,C4015,C3991,C3967,C3943,C3919,C3895,C3871)/POBLA!$B$6*100000</f>
        <v>216.98767220942878</v>
      </c>
      <c r="H4183" s="256">
        <f t="shared" si="349"/>
        <v>1.3429044726670347</v>
      </c>
      <c r="I4183" s="297">
        <f t="shared" si="355"/>
        <v>291.39371552365031</v>
      </c>
      <c r="J4183" s="297">
        <f t="shared" si="356"/>
        <v>192.85714285714286</v>
      </c>
      <c r="K4183" s="297">
        <f>J4183/POBLA!$B$6*100000</f>
        <v>17.207081619051273</v>
      </c>
      <c r="L4183" s="549">
        <f t="shared" si="352"/>
        <v>-0.24768946395563773</v>
      </c>
      <c r="M4183" s="401">
        <f>SUM(C4183,C4159,C4135,C4111,C4087,C4063,C4039)/POBLA!$B$6*100000</f>
        <v>120.44957133335892</v>
      </c>
    </row>
    <row r="4184" spans="1:13" s="360" customFormat="1" x14ac:dyDescent="0.25">
      <c r="A4184" s="19" t="s">
        <v>30</v>
      </c>
      <c r="B4184" s="2">
        <v>44067</v>
      </c>
      <c r="C4184" s="1">
        <v>7</v>
      </c>
      <c r="D4184" s="39">
        <f t="shared" si="353"/>
        <v>259</v>
      </c>
      <c r="E4184" s="1">
        <f>1</f>
        <v>1</v>
      </c>
      <c r="F4184" s="39">
        <f t="shared" si="354"/>
        <v>5</v>
      </c>
      <c r="G4184" s="168">
        <f>SUM(C4184,C4160,C4136,C4112,C4088,C4064,C4040,C4016,C3992,C3968,C3944,C3920,C3896,C3872)/POBLA!$B$7*100000</f>
        <v>1.1700727306572352</v>
      </c>
      <c r="H4184" s="256">
        <f t="shared" si="349"/>
        <v>0.69841269841269837</v>
      </c>
      <c r="I4184" s="297">
        <f t="shared" si="355"/>
        <v>0.81719365315743409</v>
      </c>
      <c r="J4184" s="297">
        <f t="shared" si="356"/>
        <v>4.1428571428571432</v>
      </c>
      <c r="K4184" s="297">
        <f>J4184/POBLA!$B$7*100000</f>
        <v>0.11016918567876567</v>
      </c>
      <c r="L4184" s="549">
        <f t="shared" si="352"/>
        <v>-0.93333333333333335</v>
      </c>
      <c r="M4184" s="401">
        <f>SUM(C4184,C4160,C4136,C4112,C4088,C4064,C4040)/POBLA!$B$7*100000</f>
        <v>0.77118429975135949</v>
      </c>
    </row>
    <row r="4185" spans="1:13" x14ac:dyDescent="0.25">
      <c r="A4185" s="19" t="s">
        <v>31</v>
      </c>
      <c r="B4185" s="2">
        <v>44067</v>
      </c>
      <c r="C4185" s="1">
        <v>124</v>
      </c>
      <c r="D4185" s="39">
        <f t="shared" si="353"/>
        <v>2382</v>
      </c>
      <c r="F4185" s="39">
        <f t="shared" si="354"/>
        <v>29</v>
      </c>
      <c r="G4185" s="168">
        <f>SUM(C4185,C4161,C4137,C4113,C4089,C4065,C4041,C4017,C3993,C3969,C3945,C3921,C3897,C3873)/POBLA!$B$8*100000</f>
        <v>84.634416119934116</v>
      </c>
      <c r="H4185" s="256">
        <f t="shared" si="349"/>
        <v>2.6418918918918921</v>
      </c>
      <c r="I4185" s="297">
        <f t="shared" si="355"/>
        <v>223.59497772225839</v>
      </c>
      <c r="J4185" s="297">
        <f t="shared" si="356"/>
        <v>96.857142857142861</v>
      </c>
      <c r="K4185" s="297">
        <f>J4185/POBLA!$B$8*100000</f>
        <v>6.9884464899909062</v>
      </c>
      <c r="L4185" s="549">
        <f t="shared" si="352"/>
        <v>-0.36969696969696964</v>
      </c>
      <c r="M4185" s="401">
        <f>SUM(C4185,C4161,C4137,C4113,C4089,C4065,C4041)/POBLA!$B$8*100000</f>
        <v>48.919125429936337</v>
      </c>
    </row>
    <row r="4186" spans="1:13" s="360" customFormat="1" x14ac:dyDescent="0.25">
      <c r="A4186" s="19" t="s">
        <v>41</v>
      </c>
      <c r="B4186" s="2">
        <v>44067</v>
      </c>
      <c r="C4186" s="1">
        <v>2</v>
      </c>
      <c r="D4186" s="39">
        <f t="shared" si="353"/>
        <v>84</v>
      </c>
      <c r="E4186" s="1"/>
      <c r="F4186" s="39">
        <f>E4186+F4162</f>
        <v>1</v>
      </c>
      <c r="G4186" s="168">
        <f>SUM(C4186,C4162,C4138,C4114,C4090,C4066,C4042,C4018,C3994,C3970,C3946,C3922,C3898,C3874)/POBLA!$B$9*100000</f>
        <v>0</v>
      </c>
      <c r="H4186" s="256">
        <f>SUM(C4186,C4162,C4138,C4114,C4090,C4066,C4042,C4018,C3994,C3970,C3946,C3922,C3898,C3874)/SUM(C3850,C3826,C3802,C3778,C3754,C3730,C3706,C3682,C3658,C3634,C3610,C3586,C3562,C3538)</f>
        <v>0</v>
      </c>
      <c r="I4186" s="297">
        <f t="shared" si="355"/>
        <v>0</v>
      </c>
      <c r="J4186" s="297">
        <f t="shared" si="356"/>
        <v>0.5714285714285714</v>
      </c>
      <c r="K4186" s="297">
        <f>J4186/POBLA!$B$9*100000</f>
        <v>9.4420882500057243E-2</v>
      </c>
      <c r="L4186" s="549">
        <f t="shared" si="352"/>
        <v>2</v>
      </c>
      <c r="M4186" s="401">
        <f>SUM(C4186,C4162,C4138,C4114,C4090,C4066,C4042)/POBLA!$B$9*100000</f>
        <v>0.66094617750040074</v>
      </c>
    </row>
    <row r="4187" spans="1:13" s="360" customFormat="1" x14ac:dyDescent="0.25">
      <c r="A4187" s="19" t="s">
        <v>32</v>
      </c>
      <c r="B4187" s="2">
        <v>44067</v>
      </c>
      <c r="C4187" s="1">
        <v>352</v>
      </c>
      <c r="D4187" s="39">
        <f t="shared" si="353"/>
        <v>6623</v>
      </c>
      <c r="E4187" s="1">
        <f>1+2+4+5</f>
        <v>12</v>
      </c>
      <c r="F4187" s="39">
        <f t="shared" si="354"/>
        <v>153</v>
      </c>
      <c r="G4187" s="168">
        <f>SUM(C4187,C4163,C4139,C4115,C4091,C4067,C4043,C4019,C3995,C3971,C3947,C3923,C3899,C3875)/POBLA!$B$10*100000</f>
        <v>396.17009629242386</v>
      </c>
      <c r="H4187" s="256">
        <f t="shared" ref="H4187:H4209" si="357">SUM(C4187,C4163,C4139,C4115,C4091,C4067,C4043,C4019,C3995,C3971,C3947,C3923,C3899,C3875)/SUM(C3851,C3827,C3803,C3779,C3755,C3731,C3707,C3683,C3659,C3635,C3611,C3587,C3563,C3539)</f>
        <v>1.4977930358018636</v>
      </c>
      <c r="I4187" s="297">
        <f t="shared" si="355"/>
        <v>593.38081121974619</v>
      </c>
      <c r="J4187" s="297">
        <f t="shared" si="356"/>
        <v>230.57142857142858</v>
      </c>
      <c r="K4187" s="297">
        <f>J4187/POBLA!$B$10*100000</f>
        <v>29.910119534847606</v>
      </c>
      <c r="L4187" s="549">
        <f t="shared" si="352"/>
        <v>-0.12083333333333335</v>
      </c>
      <c r="M4187" s="401">
        <f>SUM(C4187,C4163,C4139,C4115,C4091,C4067,C4043)/POBLA!$B$10*100000</f>
        <v>209.37083674393327</v>
      </c>
    </row>
    <row r="4188" spans="1:13" s="360" customFormat="1" x14ac:dyDescent="0.25">
      <c r="A4188" s="19" t="s">
        <v>33</v>
      </c>
      <c r="B4188" s="2">
        <v>44067</v>
      </c>
      <c r="C4188" s="1">
        <v>-2</v>
      </c>
      <c r="D4188" s="39">
        <f t="shared" si="353"/>
        <v>193</v>
      </c>
      <c r="E4188" s="1"/>
      <c r="F4188" s="39">
        <f t="shared" si="354"/>
        <v>1</v>
      </c>
      <c r="G4188" s="168">
        <f>SUM(C4188,C4164,C4140,C4116,C4092,C4068,C4044,C4020,C3996,C3972,C3948,C3924,C3900,C3876)/POBLA!$B$11*100000</f>
        <v>3.6269487874831206</v>
      </c>
      <c r="H4188" s="256">
        <f t="shared" si="357"/>
        <v>8.2278481012658222E-2</v>
      </c>
      <c r="I4188" s="297">
        <f t="shared" si="355"/>
        <v>0.29841983694481372</v>
      </c>
      <c r="J4188" s="297">
        <f t="shared" si="356"/>
        <v>1.1428571428571428</v>
      </c>
      <c r="K4188" s="297">
        <f>J4188/POBLA!$B$11*100000</f>
        <v>0.31885264065785673</v>
      </c>
      <c r="L4188" s="549">
        <f t="shared" si="352"/>
        <v>-0.60000000000000009</v>
      </c>
      <c r="M4188" s="401">
        <f>SUM(C4188,C4164,C4140,C4116,C4092,C4068,C4044)/POBLA!$B$11*100000</f>
        <v>2.2319684846049976</v>
      </c>
    </row>
    <row r="4189" spans="1:13" s="360" customFormat="1" x14ac:dyDescent="0.25">
      <c r="A4189" s="19" t="s">
        <v>21</v>
      </c>
      <c r="B4189" s="2">
        <v>44067</v>
      </c>
      <c r="C4189" s="1">
        <v>98</v>
      </c>
      <c r="D4189" s="39">
        <f t="shared" si="353"/>
        <v>1138</v>
      </c>
      <c r="E4189" s="1">
        <f>6+4</f>
        <v>10</v>
      </c>
      <c r="F4189" s="39">
        <f t="shared" si="354"/>
        <v>21</v>
      </c>
      <c r="G4189" s="168">
        <f>SUM(C4189,C4165,C4141,C4117,C4093,C4069,C4045,C4021,C3997,C3973,C3949,C3925,C3901,C3877)/POBLA!$B$12*100000</f>
        <v>157.29383453908332</v>
      </c>
      <c r="H4189" s="256">
        <f t="shared" si="357"/>
        <v>2.3011152416356877</v>
      </c>
      <c r="I4189" s="297">
        <f t="shared" si="355"/>
        <v>361.95124007320658</v>
      </c>
      <c r="J4189" s="297">
        <f t="shared" si="356"/>
        <v>49</v>
      </c>
      <c r="K4189" s="297">
        <f>J4189/POBLA!$B$12*100000</f>
        <v>12.451369777730344</v>
      </c>
      <c r="L4189" s="549">
        <f t="shared" si="352"/>
        <v>-0.24275362318840576</v>
      </c>
      <c r="M4189" s="401">
        <f>SUM(C4189,C4165,C4141,C4117,C4093,C4069,C4045)/POBLA!$B$12*100000</f>
        <v>87.159588444112401</v>
      </c>
    </row>
    <row r="4190" spans="1:13" s="360" customFormat="1" x14ac:dyDescent="0.25">
      <c r="A4190" s="19" t="s">
        <v>17</v>
      </c>
      <c r="B4190" s="2">
        <v>44067</v>
      </c>
      <c r="C4190" s="1">
        <v>172</v>
      </c>
      <c r="D4190" s="39">
        <f t="shared" si="353"/>
        <v>4809</v>
      </c>
      <c r="E4190" s="1">
        <f>1+1+1</f>
        <v>3</v>
      </c>
      <c r="F4190" s="39">
        <f t="shared" si="354"/>
        <v>58</v>
      </c>
      <c r="G4190" s="168">
        <f>SUM(C4190,C4166,C4142,C4118,C4094,C4070,C4046,C4022,C3998,C3974,C3950,C3926,C3902,C3878)/POBLA!$B$13*100000</f>
        <v>128.8725834506501</v>
      </c>
      <c r="H4190" s="256">
        <f t="shared" si="357"/>
        <v>1.8832599118942732</v>
      </c>
      <c r="I4190" s="297">
        <f t="shared" si="355"/>
        <v>242.70057015485867</v>
      </c>
      <c r="J4190" s="297">
        <f t="shared" si="356"/>
        <v>187.14285714285714</v>
      </c>
      <c r="K4190" s="297">
        <f>J4190/POBLA!$B$13*100000</f>
        <v>9.4025666566611861</v>
      </c>
      <c r="L4190" s="549">
        <f t="shared" si="352"/>
        <v>-4.3824701195219085E-2</v>
      </c>
      <c r="M4190" s="401">
        <f>SUM(C4190,C4166,C4142,C4118,C4094,C4070,C4046)/POBLA!$B$13*100000</f>
        <v>65.81796659662831</v>
      </c>
    </row>
    <row r="4191" spans="1:13" s="360" customFormat="1" x14ac:dyDescent="0.25">
      <c r="A4191" s="19" t="s">
        <v>23</v>
      </c>
      <c r="B4191" s="2">
        <v>44067</v>
      </c>
      <c r="C4191" s="1">
        <v>2</v>
      </c>
      <c r="D4191" s="39">
        <f t="shared" si="353"/>
        <v>58</v>
      </c>
      <c r="E4191" s="1"/>
      <c r="F4191" s="39">
        <f t="shared" si="354"/>
        <v>2</v>
      </c>
      <c r="G4191" s="168">
        <f>SUM(C4191,C4167,C4143,C4119,C4095,C4071,C4047,C4023,C3999,C3975,C3951,C3927,C3903,C3879)/POBLA!$B$14*100000</f>
        <v>0.39641828154260628</v>
      </c>
      <c r="H4191" s="256">
        <f t="shared" si="357"/>
        <v>1</v>
      </c>
      <c r="I4191" s="297">
        <f t="shared" si="355"/>
        <v>0.39641828154260628</v>
      </c>
      <c r="J4191" s="297">
        <f t="shared" si="356"/>
        <v>0.42857142857142855</v>
      </c>
      <c r="K4191" s="297">
        <f>J4191/POBLA!$B$14*100000</f>
        <v>3.3978709846509102E-2</v>
      </c>
      <c r="L4191" s="549">
        <f t="shared" si="352"/>
        <v>-0.5</v>
      </c>
      <c r="M4191" s="401">
        <f>SUM(C4191,C4167,C4143,C4119,C4095,C4071,C4047)/POBLA!$B$14*100000</f>
        <v>0.23785096892556376</v>
      </c>
    </row>
    <row r="4192" spans="1:13" s="360" customFormat="1" x14ac:dyDescent="0.25">
      <c r="A4192" s="19" t="s">
        <v>19</v>
      </c>
      <c r="B4192" s="2">
        <v>44067</v>
      </c>
      <c r="C4192" s="1">
        <v>15</v>
      </c>
      <c r="D4192" s="39">
        <f>C4192+D4168</f>
        <v>2293</v>
      </c>
      <c r="E4192" s="1">
        <f>2</f>
        <v>2</v>
      </c>
      <c r="F4192" s="39">
        <f t="shared" si="354"/>
        <v>13</v>
      </c>
      <c r="G4192" s="168">
        <f>SUM(C4192,C4168,C4144,C4120,C4096,C4072,C4048,C4024,C4000,C3976,C3952,C3928,C3904,C3880)/POBLA!$B$15*100000</f>
        <v>120.62217550601832</v>
      </c>
      <c r="H4192" s="256">
        <f t="shared" si="357"/>
        <v>1.9162679425837321</v>
      </c>
      <c r="I4192" s="297">
        <f t="shared" si="355"/>
        <v>231.14440808689159</v>
      </c>
      <c r="J4192" s="297">
        <f t="shared" si="356"/>
        <v>56.428571428571431</v>
      </c>
      <c r="K4192" s="297">
        <f>J4192/POBLA!$B$15*100000</f>
        <v>8.4975493712996659</v>
      </c>
      <c r="L4192" s="549">
        <f t="shared" si="352"/>
        <v>2.7093596059113323E-2</v>
      </c>
      <c r="M4192" s="401">
        <f>SUM(C4192,C4168,C4144,C4120,C4096,C4072,C4048)/POBLA!$B$15*100000</f>
        <v>59.482845599097665</v>
      </c>
    </row>
    <row r="4193" spans="1:13" s="360" customFormat="1" x14ac:dyDescent="0.25">
      <c r="A4193" s="19" t="s">
        <v>18</v>
      </c>
      <c r="B4193" s="2">
        <v>44067</v>
      </c>
      <c r="C4193" s="1">
        <v>61</v>
      </c>
      <c r="D4193" s="39">
        <f>C4193+D4169</f>
        <v>4764</v>
      </c>
      <c r="E4193" s="1">
        <f>3+1</f>
        <v>4</v>
      </c>
      <c r="F4193" s="39">
        <f t="shared" si="354"/>
        <v>52</v>
      </c>
      <c r="G4193" s="168">
        <f>SUM(C4193,C4169,C4145,C4121,C4097,C4073,C4049,C4025,C4001,C3977,C3953,C3929,C3905,C3881)/POBLA!$B$16*100000</f>
        <v>234.88182341060178</v>
      </c>
      <c r="H4193" s="256">
        <f t="shared" si="357"/>
        <v>1.2780203784570596</v>
      </c>
      <c r="I4193" s="297">
        <f t="shared" si="355"/>
        <v>300.18375684790152</v>
      </c>
      <c r="J4193" s="297">
        <f t="shared" si="356"/>
        <v>118.28571428571429</v>
      </c>
      <c r="K4193" s="297">
        <f>J4193/POBLA!$B$16*100000</f>
        <v>15.821847525543303</v>
      </c>
      <c r="L4193" s="549">
        <f t="shared" si="352"/>
        <v>0.10775862068965514</v>
      </c>
      <c r="M4193" s="401">
        <f>SUM(C4193,C4169,C4145,C4121,C4097,C4073,C4049)/POBLA!$B$16*100000</f>
        <v>110.75293267880312</v>
      </c>
    </row>
    <row r="4194" spans="1:13" s="360" customFormat="1" x14ac:dyDescent="0.25">
      <c r="A4194" s="19" t="s">
        <v>34</v>
      </c>
      <c r="B4194" s="2">
        <v>44067</v>
      </c>
      <c r="C4194" s="1">
        <v>95</v>
      </c>
      <c r="D4194" s="39">
        <f>C4194+D4170</f>
        <v>1932</v>
      </c>
      <c r="E4194" s="1">
        <f>1</f>
        <v>1</v>
      </c>
      <c r="F4194" s="39">
        <f>E4194+F4170</f>
        <v>30</v>
      </c>
      <c r="G4194" s="168">
        <f>SUM(C4194,C4170,C4146,C4122,C4098,C4074,C4050,C4026,C4002,C3978,C3954,C3930,C3906,C3882)/POBLA!$B$17*100000</f>
        <v>93.232434496843226</v>
      </c>
      <c r="H4194" s="256">
        <f t="shared" si="357"/>
        <v>3.4673629242819843</v>
      </c>
      <c r="I4194" s="297">
        <f t="shared" si="355"/>
        <v>323.27068671490287</v>
      </c>
      <c r="J4194" s="297">
        <f t="shared" si="356"/>
        <v>108</v>
      </c>
      <c r="K4194" s="297">
        <f>J4194/POBLA!$B$17*100000</f>
        <v>7.5821558175143586</v>
      </c>
      <c r="L4194" s="549">
        <f t="shared" si="352"/>
        <v>-0.32167832167832167</v>
      </c>
      <c r="M4194" s="401">
        <f>SUM(C4194,C4170,C4146,C4122,C4098,C4074,C4050)/POBLA!$B$17*100000</f>
        <v>53.075090722600514</v>
      </c>
    </row>
    <row r="4195" spans="1:13" s="360" customFormat="1" x14ac:dyDescent="0.25">
      <c r="A4195" s="19" t="s">
        <v>35</v>
      </c>
      <c r="B4195" s="2">
        <v>44067</v>
      </c>
      <c r="C4195" s="1">
        <v>38</v>
      </c>
      <c r="D4195" s="39">
        <f t="shared" ref="D4195:D4201" si="358">C4195+D4171</f>
        <v>96</v>
      </c>
      <c r="E4195" s="1"/>
      <c r="F4195" s="39">
        <f>E4195+F4171</f>
        <v>0</v>
      </c>
      <c r="G4195" s="168">
        <f>SUM(C4195,C4171,C4147,C4123,C4099,C4075,C4051,C4027,C4003,C3979,C3955,C3931,C3907,C3883)/POBLA!$B$18*100000</f>
        <v>9.4724001141808234</v>
      </c>
      <c r="H4195" s="256" t="e">
        <f>SUM(C4195,C4171,C4147,C4123,C4099,C4075,C4051,C4027,C4003,C3979,C3955,C3931,C3907,C3883)/SUM(C3859,C3835,C3811,C3787,C3763,C3739,C3715,C3691,C3667,C3643,C3619,C3595,C3571,C3547)</f>
        <v>#DIV/0!</v>
      </c>
      <c r="I4195" s="297" t="e">
        <f t="shared" si="355"/>
        <v>#DIV/0!</v>
      </c>
      <c r="J4195" s="297">
        <f t="shared" si="356"/>
        <v>10.571428571428571</v>
      </c>
      <c r="K4195" s="297">
        <f>J4195/POBLA!$B$18*100000</f>
        <v>1.3532000163115461</v>
      </c>
      <c r="L4195" s="549" t="e">
        <f t="shared" si="352"/>
        <v>#DIV/0!</v>
      </c>
      <c r="M4195" s="401">
        <f>SUM(C4195,C4171,C4147,C4123,C4099,C4075,C4051)/POBLA!$B$18*100000</f>
        <v>9.4724001141808234</v>
      </c>
    </row>
    <row r="4196" spans="1:13" s="360" customFormat="1" x14ac:dyDescent="0.25">
      <c r="A4196" s="19" t="s">
        <v>36</v>
      </c>
      <c r="B4196" s="2">
        <v>44067</v>
      </c>
      <c r="C4196" s="1">
        <v>-2</v>
      </c>
      <c r="D4196" s="39">
        <f t="shared" si="358"/>
        <v>41</v>
      </c>
      <c r="E4196" s="1"/>
      <c r="F4196" s="39">
        <f t="shared" si="354"/>
        <v>0</v>
      </c>
      <c r="G4196" s="168">
        <f>SUM(C4196,C4172,C4148,C4124,C4100,C4076,C4052,C4028,C4004,C3980,C3956,C3932,C3908,C3884)/POBLA!$B$19*100000</f>
        <v>1.9672337545836545</v>
      </c>
      <c r="H4196" s="256">
        <f t="shared" si="357"/>
        <v>0.90909090909090906</v>
      </c>
      <c r="I4196" s="297">
        <f t="shared" si="355"/>
        <v>1.7883943223487768</v>
      </c>
      <c r="J4196" s="297">
        <f t="shared" si="356"/>
        <v>1</v>
      </c>
      <c r="K4196" s="297">
        <f>J4196/POBLA!$B$19*100000</f>
        <v>0.19672337545836546</v>
      </c>
      <c r="L4196" s="549">
        <f t="shared" si="352"/>
        <v>-1.3333333333333335</v>
      </c>
      <c r="M4196" s="401">
        <f>SUM(C4196,C4172,C4148,C4124,C4100,C4076,C4052)/POBLA!$B$19*100000</f>
        <v>1.3770636282085582</v>
      </c>
    </row>
    <row r="4197" spans="1:13" s="360" customFormat="1" x14ac:dyDescent="0.25">
      <c r="A4197" s="19" t="s">
        <v>37</v>
      </c>
      <c r="B4197" s="2">
        <v>44067</v>
      </c>
      <c r="C4197" s="1">
        <v>44</v>
      </c>
      <c r="D4197" s="39">
        <f t="shared" si="358"/>
        <v>1378</v>
      </c>
      <c r="E4197" s="1">
        <f>2</f>
        <v>2</v>
      </c>
      <c r="F4197" s="39">
        <f t="shared" ref="F4197:F4203" si="359">E4197+F4173</f>
        <v>11</v>
      </c>
      <c r="G4197" s="168">
        <f>SUM(C4197,C4173,C4149,C4125,C4101,C4077,C4053,C4029,C4005,C3981,C3957,C3933,C3909,C3885)/POBLA!$B$20*100000</f>
        <v>155.8663159218809</v>
      </c>
      <c r="H4197" s="256">
        <f t="shared" si="357"/>
        <v>1.2364425162689805</v>
      </c>
      <c r="I4197" s="297">
        <f t="shared" si="355"/>
        <v>192.71973986002627</v>
      </c>
      <c r="J4197" s="297">
        <f t="shared" si="356"/>
        <v>44.428571428571431</v>
      </c>
      <c r="K4197" s="297">
        <f>J4197/POBLA!$B$20*100000</f>
        <v>12.148978509199239</v>
      </c>
      <c r="L4197" s="549">
        <f t="shared" si="352"/>
        <v>-0.20077220077220082</v>
      </c>
      <c r="M4197" s="401">
        <f>SUM(C4197,C4173,C4149,C4125,C4101,C4077,C4053)/POBLA!$B$20*100000</f>
        <v>85.042849564394658</v>
      </c>
    </row>
    <row r="4198" spans="1:13" s="360" customFormat="1" x14ac:dyDescent="0.25">
      <c r="A4198" s="19" t="s">
        <v>22</v>
      </c>
      <c r="B4198" s="2">
        <v>44067</v>
      </c>
      <c r="C4198" s="1">
        <v>209</v>
      </c>
      <c r="D4198" s="39">
        <f t="shared" si="358"/>
        <v>5026</v>
      </c>
      <c r="E4198" s="1">
        <f>5+2</f>
        <v>7</v>
      </c>
      <c r="F4198" s="39">
        <f t="shared" si="359"/>
        <v>59</v>
      </c>
      <c r="G4198" s="168">
        <f>SUM(C4198,C4174,C4150,C4126,C4102,C4078,C4054,C4030,C4006,C3982,C3958,C3934,C3910,C3886)/POBLA!$B$21*100000</f>
        <v>77.762300723500445</v>
      </c>
      <c r="H4198" s="256">
        <f t="shared" si="357"/>
        <v>2.1088957055214723</v>
      </c>
      <c r="I4198" s="297">
        <f t="shared" si="355"/>
        <v>163.99258204725936</v>
      </c>
      <c r="J4198" s="297">
        <f t="shared" si="356"/>
        <v>227.71428571428572</v>
      </c>
      <c r="K4198" s="297">
        <f>J4198/POBLA!$B$21*100000</f>
        <v>6.4391224599095951</v>
      </c>
      <c r="L4198" s="549">
        <f t="shared" si="352"/>
        <v>-0.37889273356401376</v>
      </c>
      <c r="M4198" s="401">
        <f>SUM(C4198,C4174,C4150,C4126,C4102,C4078,C4054)/POBLA!$B$21*100000</f>
        <v>45.07385721936717</v>
      </c>
    </row>
    <row r="4199" spans="1:13" s="360" customFormat="1" x14ac:dyDescent="0.25">
      <c r="A4199" s="19" t="s">
        <v>38</v>
      </c>
      <c r="B4199" s="2">
        <v>44067</v>
      </c>
      <c r="C4199" s="1">
        <v>66</v>
      </c>
      <c r="D4199" s="39">
        <f t="shared" si="358"/>
        <v>583</v>
      </c>
      <c r="E4199" s="1">
        <f>2</f>
        <v>2</v>
      </c>
      <c r="F4199" s="39">
        <f t="shared" si="359"/>
        <v>4</v>
      </c>
      <c r="G4199" s="168">
        <f>SUM(C4199,C4175,C4151,C4127,C4103,C4079,C4055,C4031,C4007,C3983,C3959,C3935,C3911,C3887)/POBLA!$B$22*100000</f>
        <v>45.384248190507535</v>
      </c>
      <c r="H4199" s="256">
        <f t="shared" si="357"/>
        <v>4.774193548387097</v>
      </c>
      <c r="I4199" s="297">
        <f t="shared" si="355"/>
        <v>216.67318490951985</v>
      </c>
      <c r="J4199" s="297">
        <f t="shared" si="356"/>
        <v>36.714285714285715</v>
      </c>
      <c r="K4199" s="297">
        <f>J4199/POBLA!$B$22*100000</f>
        <v>3.7528158896269104</v>
      </c>
      <c r="L4199" s="549">
        <f t="shared" si="352"/>
        <v>-0.37433155080213898</v>
      </c>
      <c r="M4199" s="401">
        <f>SUM(C4199,C4175,C4151,C4127,C4103,C4079,C4055)/POBLA!$B$22*100000</f>
        <v>26.26971122738837</v>
      </c>
    </row>
    <row r="4200" spans="1:13" s="360" customFormat="1" x14ac:dyDescent="0.25">
      <c r="A4200" s="19" t="s">
        <v>39</v>
      </c>
      <c r="B4200" s="2">
        <v>44067</v>
      </c>
      <c r="C4200" s="1">
        <v>54</v>
      </c>
      <c r="D4200" s="39">
        <f t="shared" si="358"/>
        <v>1752</v>
      </c>
      <c r="E4200" s="1">
        <f>1</f>
        <v>1</v>
      </c>
      <c r="F4200" s="39">
        <f t="shared" si="359"/>
        <v>21</v>
      </c>
      <c r="G4200" s="168">
        <f>SUM(C4200,C4176,C4152,C4128,C4104,C4080,C4056,C4032,C4008,C3984,C3960,C3936,C3912,C3888)/POBLA!$B$23*100000</f>
        <v>393.59837131708423</v>
      </c>
      <c r="H4200" s="256">
        <f t="shared" si="357"/>
        <v>1.0220264317180616</v>
      </c>
      <c r="I4200" s="297">
        <f t="shared" si="355"/>
        <v>402.26793896724024</v>
      </c>
      <c r="J4200" s="297">
        <f t="shared" si="356"/>
        <v>39</v>
      </c>
      <c r="K4200" s="297">
        <f>J4200/POBLA!$B$23*100000</f>
        <v>22.05508115138834</v>
      </c>
      <c r="L4200" s="549">
        <f t="shared" si="352"/>
        <v>0.35460992907801414</v>
      </c>
      <c r="M4200" s="401">
        <f>SUM(C4200,C4176,C4152,C4128,C4104,C4080,C4056)/POBLA!$B$23*100000</f>
        <v>154.38556805971837</v>
      </c>
    </row>
    <row r="4201" spans="1:13" s="360" customFormat="1" ht="15.75" thickBot="1" x14ac:dyDescent="0.3">
      <c r="A4201" s="19" t="s">
        <v>40</v>
      </c>
      <c r="B4201" s="2">
        <v>44067</v>
      </c>
      <c r="C4201" s="1">
        <v>115</v>
      </c>
      <c r="D4201" s="39">
        <f t="shared" si="358"/>
        <v>1168</v>
      </c>
      <c r="E4201" s="1"/>
      <c r="F4201" s="39">
        <f t="shared" si="359"/>
        <v>6</v>
      </c>
      <c r="G4201" s="177">
        <f>SUM(C4201,C4177,C4153,C4129,C4105,C4081,C4057,C4033,C4009,C3985,C3961,C3937,C3913,C3889)/POBLA!$B$24*100000</f>
        <v>44.138751463423844</v>
      </c>
      <c r="H4201" s="402">
        <f t="shared" si="357"/>
        <v>2.6062717770034842</v>
      </c>
      <c r="I4201" s="403">
        <f t="shared" si="355"/>
        <v>115.0375822112928</v>
      </c>
      <c r="J4201" s="403">
        <f t="shared" si="356"/>
        <v>76.285714285714292</v>
      </c>
      <c r="K4201" s="403">
        <f>J4201/POBLA!$B$24*100000</f>
        <v>4.5015456992873064</v>
      </c>
      <c r="L4201" s="550">
        <f t="shared" si="352"/>
        <v>-1.4953271028037385</v>
      </c>
      <c r="M4201" s="405">
        <f>SUM(C4201,C4177,C4153,C4129,C4105,C4081,C4057)/POBLA!$B$24*100000</f>
        <v>31.510819895011142</v>
      </c>
    </row>
    <row r="4202" spans="1:13" s="360" customFormat="1" x14ac:dyDescent="0.25">
      <c r="A4202" s="361" t="s">
        <v>16</v>
      </c>
      <c r="B4202" s="2">
        <v>44068</v>
      </c>
      <c r="C4202" s="1">
        <v>5312</v>
      </c>
      <c r="D4202" s="39">
        <f>C4202+D4178</f>
        <v>223704</v>
      </c>
      <c r="E4202" s="1">
        <f>14+11+55+41</f>
        <v>121</v>
      </c>
      <c r="F4202" s="39">
        <f t="shared" si="359"/>
        <v>4483</v>
      </c>
      <c r="G4202" s="175">
        <f>SUM(C4202,C4178,C4154,C4130,C4106,C4082,C4058,C4034,C4010,C3986,C3962,C3938,C3914,C3890)/POBLA!$B$1*100000</f>
        <v>356.10568320498652</v>
      </c>
      <c r="H4202" s="300">
        <f t="shared" si="357"/>
        <v>1.0613552179970775</v>
      </c>
      <c r="I4202" s="301">
        <f>G4202*H4202</f>
        <v>377.95462502802673</v>
      </c>
      <c r="J4202" s="301">
        <f>AVERAGE(C4202,C4178,C4154,C4130,C4106,C4082,C4058)</f>
        <v>4786.4285714285716</v>
      </c>
      <c r="K4202" s="301">
        <f>J4202/POBLA!$B$1*100000</f>
        <v>27.286871312582072</v>
      </c>
      <c r="L4202" s="548">
        <f t="shared" ref="L4202:L4225" si="360">1-SUM(C4202,C4178,C4154,C4130,C4106,C4082,C4058)/SUM(C4034,C4010,C3986,C3962,C3938,C3914,C3890)</f>
        <v>-0.15694060773480656</v>
      </c>
      <c r="M4202" s="400">
        <f>SUM(C4202,C4178,C4154,C4130,C4106,C4082,C4058)/POBLA!$B$1*100000</f>
        <v>191.00809918807448</v>
      </c>
    </row>
    <row r="4203" spans="1:13" s="360" customFormat="1" x14ac:dyDescent="0.25">
      <c r="A4203" s="19" t="s">
        <v>43</v>
      </c>
      <c r="B4203" s="2">
        <v>44068</v>
      </c>
      <c r="C4203" s="1">
        <v>1311</v>
      </c>
      <c r="D4203" s="39">
        <f t="shared" ref="D4203:D4215" si="361">C4203+D4179</f>
        <v>87569</v>
      </c>
      <c r="E4203" s="1">
        <f>3+14+16</f>
        <v>33</v>
      </c>
      <c r="F4203" s="39">
        <f t="shared" si="359"/>
        <v>2032</v>
      </c>
      <c r="G4203" s="168">
        <f>SUM(C4203,C4179,C4155,C4131,C4107,C4083,C4059,C4035,C4011,C3987,C3963,C3939,C3915,C3891)/POBLA!$B$2*100000</f>
        <v>496.54609145525853</v>
      </c>
      <c r="H4203" s="256">
        <f>SUM(C4203,C4179,C4155,C4131,C4107,C4083,C4059,C4038,C4014,C3990,C3966,C3942,C3918,C3894)/SUM(C3870,C3846,C3822,C3798,C3774,C3750,C3726,C3702,C3678,C3654,C3630,C3606,C3582,C3558)</f>
        <v>0.56407669021190721</v>
      </c>
      <c r="I4203" s="297">
        <f t="shared" ref="I4203:I4225" si="362">G4203*H4203</f>
        <v>280.09007580574121</v>
      </c>
      <c r="J4203" s="297">
        <f t="shared" ref="J4203:J4225" si="363">AVERAGE(C4203,C4179,C4155,C4131,C4107,C4083,C4059)</f>
        <v>1188.1428571428571</v>
      </c>
      <c r="K4203" s="297">
        <f>J4203/POBLA!$B$2*100000</f>
        <v>38.630676519432242</v>
      </c>
      <c r="L4203" s="549">
        <f t="shared" si="360"/>
        <v>-0.19583033788641258</v>
      </c>
      <c r="M4203" s="401">
        <f>SUM(C4203,C4179,C4155,C4131,C4107,C4083,C4059)/POBLA!$B$2*100000</f>
        <v>270.41473563602574</v>
      </c>
    </row>
    <row r="4204" spans="1:13" s="360" customFormat="1" x14ac:dyDescent="0.25">
      <c r="A4204" s="19" t="s">
        <v>28</v>
      </c>
      <c r="B4204" s="2">
        <v>44068</v>
      </c>
      <c r="C4204" s="1">
        <v>0</v>
      </c>
      <c r="D4204" s="39">
        <f t="shared" si="361"/>
        <v>64</v>
      </c>
      <c r="E4204" s="1"/>
      <c r="F4204" s="39">
        <f t="shared" si="354"/>
        <v>0</v>
      </c>
      <c r="G4204" s="168">
        <f>SUM(C4204,C4180,C4156,C4132,C4108,C4084,C4060,C4036,C4012,C3988,C3964,C3940,C3916,C3892)/POBLA!$B$3*100000</f>
        <v>0.48141961014639967</v>
      </c>
      <c r="H4204" s="256">
        <f t="shared" si="357"/>
        <v>2.8208744710860366E-3</v>
      </c>
      <c r="I4204" s="297">
        <f t="shared" si="362"/>
        <v>1.3580242881421711E-3</v>
      </c>
      <c r="J4204" s="297">
        <f t="shared" si="363"/>
        <v>0</v>
      </c>
      <c r="K4204" s="297">
        <f>J4204/POBLA!$B$3*100000</f>
        <v>0</v>
      </c>
      <c r="L4204" s="549">
        <f t="shared" si="360"/>
        <v>1</v>
      </c>
      <c r="M4204" s="401">
        <f>SUM(C4204,C4180,C4156,C4132,C4108,C4084,C4060)/POBLA!$B$3*100000</f>
        <v>0</v>
      </c>
    </row>
    <row r="4205" spans="1:13" s="360" customFormat="1" x14ac:dyDescent="0.25">
      <c r="A4205" s="19" t="s">
        <v>15</v>
      </c>
      <c r="B4205" s="2">
        <v>44068</v>
      </c>
      <c r="C4205" s="1">
        <v>53</v>
      </c>
      <c r="D4205" s="39">
        <f t="shared" si="361"/>
        <v>4967</v>
      </c>
      <c r="E4205" s="1">
        <v>2</v>
      </c>
      <c r="F4205" s="39">
        <f t="shared" si="354"/>
        <v>198</v>
      </c>
      <c r="G4205" s="168">
        <f>SUM(C4205,C4181,C4157,C4133,C4109,C4085,C4061,C4037,C4013,C3989,C3965,C3941,C3917,C3893)/POBLA!$B$4*100000</f>
        <v>67.494589225273359</v>
      </c>
      <c r="H4205" s="256">
        <f t="shared" si="357"/>
        <v>5.3137254901960782</v>
      </c>
      <c r="I4205" s="297">
        <f t="shared" si="362"/>
        <v>358.64771921664862</v>
      </c>
      <c r="J4205" s="297">
        <f t="shared" si="363"/>
        <v>59.714285714285715</v>
      </c>
      <c r="K4205" s="297">
        <f>J4205/POBLA!$B$4*100000</f>
        <v>4.9574307320618987</v>
      </c>
      <c r="L4205" s="549">
        <f t="shared" si="360"/>
        <v>-5.8227848101265911E-2</v>
      </c>
      <c r="M4205" s="401">
        <f>SUM(C4205,C4181,C4157,C4133,C4109,C4085,C4061)/POBLA!$B$4*100000</f>
        <v>34.702015124433288</v>
      </c>
    </row>
    <row r="4206" spans="1:13" s="360" customFormat="1" x14ac:dyDescent="0.25">
      <c r="A4206" s="19" t="s">
        <v>29</v>
      </c>
      <c r="B4206" s="2">
        <v>44068</v>
      </c>
      <c r="C4206" s="1">
        <v>35</v>
      </c>
      <c r="D4206" s="39">
        <f t="shared" si="361"/>
        <v>581</v>
      </c>
      <c r="E4206" s="1"/>
      <c r="F4206" s="39">
        <f t="shared" si="354"/>
        <v>7</v>
      </c>
      <c r="G4206" s="168">
        <f>SUM(C4206,C4182,C4158,C4134,C4110,C4086,C4062,C4038,C4014,C3990,C3966,C3942,C3918,C3894)/POBLA!$B$5*100000</f>
        <v>36.349302254949158</v>
      </c>
      <c r="H4206" s="256">
        <f t="shared" si="357"/>
        <v>1.5136226034308779E-2</v>
      </c>
      <c r="I4206" s="297">
        <f t="shared" si="362"/>
        <v>0.5501912551203203</v>
      </c>
      <c r="J4206" s="297">
        <f t="shared" si="363"/>
        <v>22.428571428571427</v>
      </c>
      <c r="K4206" s="297">
        <f>J4206/POBLA!$B$5*100000</f>
        <v>3.6233907644615986</v>
      </c>
      <c r="L4206" s="549">
        <f t="shared" si="360"/>
        <v>-1.3088235294117645</v>
      </c>
      <c r="M4206" s="401">
        <f>SUM(C4206,C4182,C4158,C4134,C4110,C4086,C4062)/POBLA!$B$5*100000</f>
        <v>25.363735351231188</v>
      </c>
    </row>
    <row r="4207" spans="1:13" s="360" customFormat="1" x14ac:dyDescent="0.25">
      <c r="A4207" s="19" t="s">
        <v>20</v>
      </c>
      <c r="B4207" s="2">
        <v>44068</v>
      </c>
      <c r="C4207" s="1">
        <v>298</v>
      </c>
      <c r="D4207" s="39">
        <f t="shared" si="361"/>
        <v>6412</v>
      </c>
      <c r="E4207" s="1">
        <v>3</v>
      </c>
      <c r="F4207" s="39">
        <f t="shared" si="354"/>
        <v>104</v>
      </c>
      <c r="G4207" s="168">
        <f>SUM(C4207,C4183,C4159,C4135,C4111,C4087,C4063,C4039,C4015,C3991,C3967,C3943,C3919,C3895)/POBLA!$B$6*100000</f>
        <v>230.37095791313533</v>
      </c>
      <c r="H4207" s="256">
        <f t="shared" si="357"/>
        <v>1.3704883227176221</v>
      </c>
      <c r="I4207" s="297">
        <f t="shared" si="362"/>
        <v>315.72070771322473</v>
      </c>
      <c r="J4207" s="297">
        <f t="shared" si="363"/>
        <v>203</v>
      </c>
      <c r="K4207" s="297">
        <f>J4207/POBLA!$B$6*100000</f>
        <v>18.112046652349523</v>
      </c>
      <c r="L4207" s="549">
        <f t="shared" si="360"/>
        <v>-0.22394487510766581</v>
      </c>
      <c r="M4207" s="401">
        <f>SUM(C4207,C4183,C4159,C4135,C4111,C4087,C4063)/POBLA!$B$6*100000</f>
        <v>126.78432656644668</v>
      </c>
    </row>
    <row r="4208" spans="1:13" s="360" customFormat="1" x14ac:dyDescent="0.25">
      <c r="A4208" s="19" t="s">
        <v>30</v>
      </c>
      <c r="B4208" s="2">
        <v>44068</v>
      </c>
      <c r="C4208" s="1">
        <v>1</v>
      </c>
      <c r="D4208" s="39">
        <f t="shared" si="361"/>
        <v>260</v>
      </c>
      <c r="E4208" s="1"/>
      <c r="F4208" s="39">
        <f t="shared" si="354"/>
        <v>5</v>
      </c>
      <c r="G4208" s="168">
        <f>SUM(C4208,C4184,C4160,C4136,C4112,C4088,C4064,C4040,C4016,C3992,C3968,C3944,C3920,C3896)/POBLA!$B$7*100000</f>
        <v>1.1434801685968434</v>
      </c>
      <c r="H4208" s="256">
        <f t="shared" si="357"/>
        <v>0.60563380281690138</v>
      </c>
      <c r="I4208" s="297">
        <f t="shared" si="362"/>
        <v>0.69253024295301779</v>
      </c>
      <c r="J4208" s="297">
        <f t="shared" si="363"/>
        <v>3.8571428571428572</v>
      </c>
      <c r="K4208" s="297">
        <f>J4208/POBLA!$B$7*100000</f>
        <v>0.10257131080436802</v>
      </c>
      <c r="L4208" s="549">
        <f t="shared" si="360"/>
        <v>-0.6875</v>
      </c>
      <c r="M4208" s="401">
        <f>SUM(C4208,C4184,C4160,C4136,C4112,C4088,C4064)/POBLA!$B$7*100000</f>
        <v>0.71799917563057614</v>
      </c>
    </row>
    <row r="4209" spans="1:13" x14ac:dyDescent="0.25">
      <c r="A4209" s="19" t="s">
        <v>31</v>
      </c>
      <c r="B4209" s="2">
        <v>44068</v>
      </c>
      <c r="C4209" s="1">
        <v>127</v>
      </c>
      <c r="D4209" s="39">
        <f t="shared" si="361"/>
        <v>2509</v>
      </c>
      <c r="E4209" s="1">
        <v>3</v>
      </c>
      <c r="F4209" s="39">
        <f t="shared" si="354"/>
        <v>32</v>
      </c>
      <c r="G4209" s="168">
        <f>SUM(C4209,C4185,C4161,C4137,C4113,C4089,C4065,C4041,C4017,C3993,C3969,C3945,C3921,C3897)/POBLA!$B$8*100000</f>
        <v>91.272409541105418</v>
      </c>
      <c r="H4209" s="256">
        <f t="shared" si="357"/>
        <v>2.6631578947368419</v>
      </c>
      <c r="I4209" s="297">
        <f t="shared" si="362"/>
        <v>243.07283804104915</v>
      </c>
      <c r="J4209" s="297">
        <f t="shared" si="363"/>
        <v>108.42857142857143</v>
      </c>
      <c r="K4209" s="297">
        <f>J4209/POBLA!$B$8*100000</f>
        <v>7.8233493892376078</v>
      </c>
      <c r="L4209" s="549">
        <f t="shared" si="360"/>
        <v>-0.5</v>
      </c>
      <c r="M4209" s="401">
        <f>SUM(C4209,C4185,C4161,C4137,C4113,C4089,C4065)/POBLA!$B$8*100000</f>
        <v>54.763445724663242</v>
      </c>
    </row>
    <row r="4210" spans="1:13" s="360" customFormat="1" x14ac:dyDescent="0.25">
      <c r="A4210" s="19" t="s">
        <v>41</v>
      </c>
      <c r="B4210" s="2">
        <v>44068</v>
      </c>
      <c r="C4210" s="1">
        <v>-1</v>
      </c>
      <c r="D4210" s="39">
        <f t="shared" si="361"/>
        <v>83</v>
      </c>
      <c r="E4210" s="1"/>
      <c r="F4210" s="39">
        <f>E4210+F4186</f>
        <v>1</v>
      </c>
      <c r="G4210" s="168">
        <f>SUM(C4210,C4186,C4162,C4138,C4114,C4090,C4066,C4042,C4018,C3994,C3970,C3946,C3922,C3898)/POBLA!$B$9*100000</f>
        <v>0.49570963312530053</v>
      </c>
      <c r="H4210" s="256">
        <f>SUM(C4210,C4186,C4162,C4138,C4114,C4090,C4066,C4042,C4018,C3994,C3970,C3946,C3922,C3898)/SUM(C3874,C3850,C3826,C3802,C3778,C3754,C3730,C3706,C3682,C3658,C3634,C3610,C3586,C3562)</f>
        <v>1.5</v>
      </c>
      <c r="I4210" s="297">
        <f t="shared" si="362"/>
        <v>0.74356444968795077</v>
      </c>
      <c r="J4210" s="297">
        <f t="shared" si="363"/>
        <v>0.5714285714285714</v>
      </c>
      <c r="K4210" s="297">
        <f>J4210/POBLA!$B$9*100000</f>
        <v>9.4420882500057243E-2</v>
      </c>
      <c r="L4210" s="549">
        <f t="shared" si="360"/>
        <v>5</v>
      </c>
      <c r="M4210" s="401">
        <f>SUM(C4210,C4186,C4162,C4138,C4114,C4090,C4066)/POBLA!$B$9*100000</f>
        <v>0.66094617750040074</v>
      </c>
    </row>
    <row r="4211" spans="1:13" s="360" customFormat="1" x14ac:dyDescent="0.25">
      <c r="A4211" s="19" t="s">
        <v>32</v>
      </c>
      <c r="B4211" s="2">
        <v>44068</v>
      </c>
      <c r="C4211" s="1">
        <v>215</v>
      </c>
      <c r="D4211" s="39">
        <f t="shared" si="361"/>
        <v>6838</v>
      </c>
      <c r="E4211" s="1">
        <v>10</v>
      </c>
      <c r="F4211" s="39">
        <f t="shared" si="354"/>
        <v>163</v>
      </c>
      <c r="G4211" s="168">
        <f>SUM(C4211,C4187,C4163,C4139,C4115,C4091,C4067,C4043,C4019,C3995,C3971,C3947,C3923,C3899)/POBLA!$B$10*100000</f>
        <v>382.80876036638597</v>
      </c>
      <c r="H4211" s="256">
        <f t="shared" ref="H4211:H4225" si="364">SUM(C4211,C4187,C4163,C4139,C4115,C4091,C4067,C4043,C4019,C3995,C3971,C3947,C3923,C3899)/SUM(C3875,C3851,C3827,C3803,C3779,C3755,C3731,C3707,C3683,C3659,C3635,C3611,C3587,C3563)</f>
        <v>1.3419736243747158</v>
      </c>
      <c r="I4211" s="297">
        <f t="shared" si="362"/>
        <v>513.719259591271</v>
      </c>
      <c r="J4211" s="297">
        <f t="shared" si="363"/>
        <v>230.14285714285714</v>
      </c>
      <c r="K4211" s="297">
        <f>J4211/POBLA!$B$10*100000</f>
        <v>29.854524517124844</v>
      </c>
      <c r="L4211" s="549">
        <f t="shared" si="360"/>
        <v>-0.2022388059701492</v>
      </c>
      <c r="M4211" s="401">
        <f>SUM(C4211,C4187,C4163,C4139,C4115,C4091,C4067)/POBLA!$B$10*100000</f>
        <v>208.98167161987388</v>
      </c>
    </row>
    <row r="4212" spans="1:13" s="360" customFormat="1" x14ac:dyDescent="0.25">
      <c r="A4212" s="19" t="s">
        <v>33</v>
      </c>
      <c r="B4212" s="2">
        <v>44068</v>
      </c>
      <c r="C4212" s="1">
        <v>1</v>
      </c>
      <c r="D4212" s="39">
        <f t="shared" si="361"/>
        <v>194</v>
      </c>
      <c r="E4212" s="1">
        <v>1</v>
      </c>
      <c r="F4212" s="39">
        <f t="shared" si="354"/>
        <v>2</v>
      </c>
      <c r="G4212" s="168">
        <f>SUM(C4212,C4188,C4164,C4140,C4116,C4092,C4068,C4044,C4020,C3996,C3972,C3948,C3924,C3900)/POBLA!$B$11*100000</f>
        <v>3.9059448480587453</v>
      </c>
      <c r="H4212" s="256">
        <f t="shared" si="364"/>
        <v>9.3959731543624164E-2</v>
      </c>
      <c r="I4212" s="297">
        <f t="shared" si="362"/>
        <v>0.36700152934780156</v>
      </c>
      <c r="J4212" s="297">
        <f t="shared" si="363"/>
        <v>1.4285714285714286</v>
      </c>
      <c r="K4212" s="297">
        <f>J4212/POBLA!$B$11*100000</f>
        <v>0.39856580082232101</v>
      </c>
      <c r="L4212" s="549">
        <f t="shared" si="360"/>
        <v>-1.5</v>
      </c>
      <c r="M4212" s="401">
        <f>SUM(C4212,C4188,C4164,C4140,C4116,C4092,C4068)/POBLA!$B$11*100000</f>
        <v>2.7899606057562467</v>
      </c>
    </row>
    <row r="4213" spans="1:13" s="360" customFormat="1" x14ac:dyDescent="0.25">
      <c r="A4213" s="19" t="s">
        <v>21</v>
      </c>
      <c r="B4213" s="2">
        <v>44068</v>
      </c>
      <c r="C4213" s="1">
        <v>39</v>
      </c>
      <c r="D4213" s="39">
        <f t="shared" si="361"/>
        <v>1177</v>
      </c>
      <c r="E4213" s="1">
        <v>6</v>
      </c>
      <c r="F4213" s="39">
        <f t="shared" si="354"/>
        <v>27</v>
      </c>
      <c r="G4213" s="168">
        <f>SUM(C4213,C4189,C4165,C4141,C4117,C4093,C4069,C4045,C4021,C3997,C3973,C3949,C3925,C3901)/POBLA!$B$12*100000</f>
        <v>166.94999885650685</v>
      </c>
      <c r="H4213" s="256">
        <f t="shared" si="364"/>
        <v>2.5269230769230768</v>
      </c>
      <c r="I4213" s="297">
        <f t="shared" si="362"/>
        <v>421.86980480278845</v>
      </c>
      <c r="J4213" s="297">
        <f t="shared" si="363"/>
        <v>46.571428571428569</v>
      </c>
      <c r="K4213" s="297">
        <f>J4213/POBLA!$B$12*100000</f>
        <v>11.834246494285981</v>
      </c>
      <c r="L4213" s="549">
        <f t="shared" si="360"/>
        <v>1.5105740181268867E-2</v>
      </c>
      <c r="M4213" s="401">
        <f>SUM(C4213,C4189,C4165,C4141,C4117,C4093,C4069)/POBLA!$B$12*100000</f>
        <v>82.839725460001887</v>
      </c>
    </row>
    <row r="4214" spans="1:13" s="360" customFormat="1" x14ac:dyDescent="0.25">
      <c r="A4214" s="19" t="s">
        <v>17</v>
      </c>
      <c r="B4214" s="2">
        <v>44068</v>
      </c>
      <c r="C4214" s="1">
        <v>264</v>
      </c>
      <c r="D4214" s="39">
        <f t="shared" si="361"/>
        <v>5073</v>
      </c>
      <c r="E4214" s="1">
        <f>3+1</f>
        <v>4</v>
      </c>
      <c r="F4214" s="39">
        <f t="shared" si="354"/>
        <v>62</v>
      </c>
      <c r="G4214" s="168">
        <f>SUM(C4214,C4190,C4166,C4142,C4118,C4094,C4070,C4046,C4022,C3998,C3974,C3950,C3926,C3902)/POBLA!$B$13*100000</f>
        <v>134.70073927142025</v>
      </c>
      <c r="H4214" s="256">
        <f t="shared" si="364"/>
        <v>1.857934857934858</v>
      </c>
      <c r="I4214" s="297">
        <f t="shared" si="362"/>
        <v>250.26519888196654</v>
      </c>
      <c r="J4214" s="297">
        <f t="shared" si="363"/>
        <v>207.14285714285714</v>
      </c>
      <c r="K4214" s="297">
        <f>J4214/POBLA!$B$13*100000</f>
        <v>10.407421108518108</v>
      </c>
      <c r="L4214" s="549">
        <f t="shared" si="360"/>
        <v>-0.17790414297319246</v>
      </c>
      <c r="M4214" s="401">
        <f>SUM(C4214,C4190,C4166,C4142,C4118,C4094,C4070)/POBLA!$B$13*100000</f>
        <v>72.851947759626768</v>
      </c>
    </row>
    <row r="4215" spans="1:13" s="360" customFormat="1" x14ac:dyDescent="0.25">
      <c r="A4215" s="19" t="s">
        <v>23</v>
      </c>
      <c r="B4215" s="2">
        <v>44068</v>
      </c>
      <c r="C4215" s="1">
        <v>1</v>
      </c>
      <c r="D4215" s="39">
        <f t="shared" si="361"/>
        <v>59</v>
      </c>
      <c r="E4215" s="1"/>
      <c r="F4215" s="39">
        <f t="shared" si="354"/>
        <v>2</v>
      </c>
      <c r="G4215" s="168">
        <f>SUM(C4215,C4191,C4167,C4143,C4119,C4095,C4071,C4047,C4023,C3999,C3975,C3951,C3927,C3903)/POBLA!$B$14*100000</f>
        <v>0.39641828154260628</v>
      </c>
      <c r="H4215" s="256">
        <f t="shared" si="364"/>
        <v>0.5</v>
      </c>
      <c r="I4215" s="297">
        <f t="shared" si="362"/>
        <v>0.19820914077130314</v>
      </c>
      <c r="J4215" s="297">
        <f t="shared" si="363"/>
        <v>0.5714285714285714</v>
      </c>
      <c r="K4215" s="297">
        <f>J4215/POBLA!$B$14*100000</f>
        <v>4.5304946462012143E-2</v>
      </c>
      <c r="L4215" s="549">
        <f t="shared" si="360"/>
        <v>-3</v>
      </c>
      <c r="M4215" s="401">
        <f>SUM(C4215,C4191,C4167,C4143,C4119,C4095,C4071)/POBLA!$B$14*100000</f>
        <v>0.31713462523408498</v>
      </c>
    </row>
    <row r="4216" spans="1:13" s="360" customFormat="1" x14ac:dyDescent="0.25">
      <c r="A4216" s="19" t="s">
        <v>19</v>
      </c>
      <c r="B4216" s="2">
        <v>44068</v>
      </c>
      <c r="C4216" s="1">
        <v>122</v>
      </c>
      <c r="D4216" s="39">
        <f>C4216+D4192</f>
        <v>2415</v>
      </c>
      <c r="E4216" s="1">
        <f>1</f>
        <v>1</v>
      </c>
      <c r="F4216" s="39">
        <f t="shared" si="354"/>
        <v>14</v>
      </c>
      <c r="G4216" s="168">
        <f>SUM(C4216,C4192,C4168,C4144,C4120,C4096,C4072,C4048,C4024,C4000,C3976,C3952,C3928,C3904)/POBLA!$B$15*100000</f>
        <v>137.93996599689484</v>
      </c>
      <c r="H4216" s="256">
        <f t="shared" si="364"/>
        <v>2.2673267326732671</v>
      </c>
      <c r="I4216" s="297">
        <f t="shared" si="362"/>
        <v>312.75497240880117</v>
      </c>
      <c r="J4216" s="297">
        <f t="shared" si="363"/>
        <v>72</v>
      </c>
      <c r="K4216" s="297">
        <f>J4216/POBLA!$B$15*100000</f>
        <v>10.842442742114006</v>
      </c>
      <c r="L4216" s="549">
        <f t="shared" si="360"/>
        <v>-0.22330097087378631</v>
      </c>
      <c r="M4216" s="401">
        <f>SUM(C4216,C4192,C4168,C4144,C4120,C4096,C4072)/POBLA!$B$15*100000</f>
        <v>75.897099194798031</v>
      </c>
    </row>
    <row r="4217" spans="1:13" s="360" customFormat="1" x14ac:dyDescent="0.25">
      <c r="A4217" s="19" t="s">
        <v>18</v>
      </c>
      <c r="B4217" s="2">
        <v>44068</v>
      </c>
      <c r="C4217" s="1">
        <v>174</v>
      </c>
      <c r="D4217" s="39">
        <f>C4217+D4193</f>
        <v>4938</v>
      </c>
      <c r="E4217" s="1">
        <f>1+2+1</f>
        <v>4</v>
      </c>
      <c r="F4217" s="39">
        <f t="shared" si="354"/>
        <v>56</v>
      </c>
      <c r="G4217" s="168">
        <f>SUM(C4217,C4193,C4169,C4145,C4121,C4097,C4073,C4049,C4025,C4001,C3977,C3953,C3929,C3905)/POBLA!$B$16*100000</f>
        <v>233.14294886371238</v>
      </c>
      <c r="H4217" s="256">
        <f t="shared" si="364"/>
        <v>1.1713709677419355</v>
      </c>
      <c r="I4217" s="297">
        <f t="shared" si="362"/>
        <v>273.09688163269533</v>
      </c>
      <c r="J4217" s="297">
        <f t="shared" si="363"/>
        <v>123.42857142857143</v>
      </c>
      <c r="K4217" s="297">
        <f>J4217/POBLA!$B$16*100000</f>
        <v>16.509753939697362</v>
      </c>
      <c r="L4217" s="549">
        <f t="shared" si="360"/>
        <v>1.7064846416382284E-2</v>
      </c>
      <c r="M4217" s="401">
        <f>SUM(C4217,C4193,C4169,C4145,C4121,C4097,C4073)/POBLA!$B$16*100000</f>
        <v>115.56827757788152</v>
      </c>
    </row>
    <row r="4218" spans="1:13" s="360" customFormat="1" x14ac:dyDescent="0.25">
      <c r="A4218" s="19" t="s">
        <v>34</v>
      </c>
      <c r="B4218" s="2">
        <v>44068</v>
      </c>
      <c r="C4218" s="1">
        <v>177</v>
      </c>
      <c r="D4218" s="39">
        <f>C4218+D4194</f>
        <v>2109</v>
      </c>
      <c r="E4218" s="1">
        <f>2</f>
        <v>2</v>
      </c>
      <c r="F4218" s="39">
        <f>E4218+F4194</f>
        <v>32</v>
      </c>
      <c r="G4218" s="168">
        <f>SUM(C4218,C4194,C4170,C4146,C4122,C4098,C4074,C4050,C4026,C4002,C3978,C3954,C3930,C3906)/POBLA!$B$17*100000</f>
        <v>100.6039748749822</v>
      </c>
      <c r="H4218" s="256">
        <f t="shared" si="364"/>
        <v>3.2058165548098434</v>
      </c>
      <c r="I4218" s="297">
        <f t="shared" si="362"/>
        <v>322.51788813389146</v>
      </c>
      <c r="J4218" s="297">
        <f t="shared" si="363"/>
        <v>117.42857142857143</v>
      </c>
      <c r="K4218" s="297">
        <f>J4218/POBLA!$B$17*100000</f>
        <v>8.244090055551327</v>
      </c>
      <c r="L4218" s="549">
        <f t="shared" si="360"/>
        <v>-0.34533551554828157</v>
      </c>
      <c r="M4218" s="401">
        <f>SUM(C4218,C4194,C4170,C4146,C4122,C4098,C4074)/POBLA!$B$17*100000</f>
        <v>57.708630388859291</v>
      </c>
    </row>
    <row r="4219" spans="1:13" s="360" customFormat="1" x14ac:dyDescent="0.25">
      <c r="A4219" s="19" t="s">
        <v>35</v>
      </c>
      <c r="B4219" s="2">
        <v>44068</v>
      </c>
      <c r="C4219" s="1">
        <v>14</v>
      </c>
      <c r="D4219" s="39">
        <f t="shared" ref="D4219:D4225" si="365">C4219+D4195</f>
        <v>110</v>
      </c>
      <c r="E4219" s="1"/>
      <c r="F4219" s="39">
        <f>E4219+F4195</f>
        <v>0</v>
      </c>
      <c r="G4219" s="168">
        <f>SUM(C4219,C4195,C4171,C4147,C4123,C4099,C4075,C4051,C4027,C4003,C3979,C3955,C3931,C3907)/POBLA!$B$18*100000</f>
        <v>11.136470404509886</v>
      </c>
      <c r="H4219" s="256">
        <f t="shared" si="364"/>
        <v>29</v>
      </c>
      <c r="I4219" s="297">
        <f t="shared" si="362"/>
        <v>322.95764173078669</v>
      </c>
      <c r="J4219" s="297">
        <f t="shared" si="363"/>
        <v>12.571428571428571</v>
      </c>
      <c r="K4219" s="297">
        <f>J4219/POBLA!$B$18*100000</f>
        <v>1.6092108302083252</v>
      </c>
      <c r="L4219" s="549">
        <f t="shared" si="360"/>
        <v>89</v>
      </c>
      <c r="M4219" s="401">
        <f>SUM(C4219,C4195,C4171,C4147,C4123,C4099,C4075)/POBLA!$B$18*100000</f>
        <v>11.264475811458276</v>
      </c>
    </row>
    <row r="4220" spans="1:13" s="360" customFormat="1" x14ac:dyDescent="0.25">
      <c r="A4220" s="19" t="s">
        <v>36</v>
      </c>
      <c r="B4220" s="2">
        <v>44068</v>
      </c>
      <c r="C4220" s="1">
        <v>-1</v>
      </c>
      <c r="D4220" s="39">
        <f t="shared" si="365"/>
        <v>40</v>
      </c>
      <c r="E4220" s="1"/>
      <c r="F4220" s="39">
        <f>E4220+F4196</f>
        <v>0</v>
      </c>
      <c r="G4220" s="168">
        <f>SUM(C4220,C4196,C4172,C4148,C4124,C4100,C4076,C4052,C4028,C4004,C3980,C3956,C3932,C3908)/POBLA!$B$19*100000</f>
        <v>1.7705103791252892</v>
      </c>
      <c r="H4220" s="256">
        <f t="shared" si="364"/>
        <v>1</v>
      </c>
      <c r="I4220" s="297">
        <f t="shared" si="362"/>
        <v>1.7705103791252892</v>
      </c>
      <c r="J4220" s="297">
        <f t="shared" si="363"/>
        <v>0.5714285714285714</v>
      </c>
      <c r="K4220" s="297">
        <f>J4220/POBLA!$B$19*100000</f>
        <v>0.11241335740478026</v>
      </c>
      <c r="L4220" s="549">
        <f t="shared" si="360"/>
        <v>0.19999999999999996</v>
      </c>
      <c r="M4220" s="401">
        <f>SUM(C4220,C4196,C4172,C4148,C4124,C4100,C4076)/POBLA!$B$19*100000</f>
        <v>0.78689350183346185</v>
      </c>
    </row>
    <row r="4221" spans="1:13" s="360" customFormat="1" x14ac:dyDescent="0.25">
      <c r="A4221" s="19" t="s">
        <v>37</v>
      </c>
      <c r="B4221" s="2">
        <v>44068</v>
      </c>
      <c r="C4221" s="1">
        <v>38</v>
      </c>
      <c r="D4221" s="39">
        <f t="shared" si="365"/>
        <v>1416</v>
      </c>
      <c r="E4221" s="1"/>
      <c r="F4221" s="39">
        <f t="shared" ref="F4221:F4226" si="366">E4221+F4197</f>
        <v>11</v>
      </c>
      <c r="G4221" s="168">
        <f>SUM(C4221,C4197,C4173,C4149,C4125,C4101,C4077,C4053,C4029,C4005,C3981,C3957,C3933,C3909)/POBLA!$B$20*100000</f>
        <v>158.32736301538429</v>
      </c>
      <c r="H4221" s="256">
        <f t="shared" si="364"/>
        <v>1.2641921397379912</v>
      </c>
      <c r="I4221" s="297">
        <f t="shared" si="362"/>
        <v>200.15620782949236</v>
      </c>
      <c r="J4221" s="297">
        <f t="shared" si="363"/>
        <v>46.714285714285715</v>
      </c>
      <c r="K4221" s="297">
        <f>J4221/POBLA!$B$20*100000</f>
        <v>12.774006342469939</v>
      </c>
      <c r="L4221" s="549">
        <f t="shared" si="360"/>
        <v>-0.29761904761904767</v>
      </c>
      <c r="M4221" s="401">
        <f>SUM(C4221,C4197,C4173,C4149,C4125,C4101,C4077)/POBLA!$B$20*100000</f>
        <v>89.418044397289563</v>
      </c>
    </row>
    <row r="4222" spans="1:13" s="360" customFormat="1" x14ac:dyDescent="0.25">
      <c r="A4222" s="19" t="s">
        <v>22</v>
      </c>
      <c r="B4222" s="2">
        <v>44068</v>
      </c>
      <c r="C4222" s="1">
        <v>356</v>
      </c>
      <c r="D4222" s="39">
        <f t="shared" si="365"/>
        <v>5382</v>
      </c>
      <c r="E4222" s="1">
        <f>2+3</f>
        <v>5</v>
      </c>
      <c r="F4222" s="39">
        <f t="shared" si="366"/>
        <v>64</v>
      </c>
      <c r="G4222" s="168">
        <f>SUM(C4222,C4198,C4174,C4150,C4126,C4102,C4078,C4054,C4030,C4006,C3982,C3958,C3934,C3910)/POBLA!$B$21*100000</f>
        <v>83.446017976381754</v>
      </c>
      <c r="H4222" s="256">
        <f t="shared" si="364"/>
        <v>2.1138968481375358</v>
      </c>
      <c r="I4222" s="297">
        <f t="shared" si="362"/>
        <v>176.39627438990155</v>
      </c>
      <c r="J4222" s="297">
        <f t="shared" si="363"/>
        <v>260.14285714285717</v>
      </c>
      <c r="K4222" s="297">
        <f>J4222/POBLA!$B$21*100000</f>
        <v>7.3561116684412626</v>
      </c>
      <c r="L4222" s="549">
        <f t="shared" si="360"/>
        <v>-0.6115044247787611</v>
      </c>
      <c r="M4222" s="401">
        <f>SUM(C4222,C4198,C4174,C4150,C4126,C4102,C4078)/POBLA!$B$21*100000</f>
        <v>51.492781679088836</v>
      </c>
    </row>
    <row r="4223" spans="1:13" s="360" customFormat="1" x14ac:dyDescent="0.25">
      <c r="A4223" s="19" t="s">
        <v>38</v>
      </c>
      <c r="B4223" s="2">
        <v>44068</v>
      </c>
      <c r="C4223" s="1">
        <v>71</v>
      </c>
      <c r="D4223" s="39">
        <f t="shared" si="365"/>
        <v>654</v>
      </c>
      <c r="E4223" s="1">
        <f>1+1</f>
        <v>2</v>
      </c>
      <c r="F4223" s="39">
        <f t="shared" si="366"/>
        <v>6</v>
      </c>
      <c r="G4223" s="168">
        <f>SUM(C4223,C4199,C4175,C4151,C4127,C4103,C4079,C4055,C4031,C4007,C3983,C3959,C3935,C3911)/POBLA!$B$22*100000</f>
        <v>50.597303725903672</v>
      </c>
      <c r="H4223" s="256">
        <f t="shared" si="364"/>
        <v>4.2672413793103452</v>
      </c>
      <c r="I4223" s="297">
        <f t="shared" si="362"/>
        <v>215.91090814070967</v>
      </c>
      <c r="J4223" s="297">
        <f t="shared" si="363"/>
        <v>45.142857142857146</v>
      </c>
      <c r="K4223" s="297">
        <f>J4223/POBLA!$B$22*100000</f>
        <v>4.6143572806307533</v>
      </c>
      <c r="L4223" s="549">
        <f t="shared" si="360"/>
        <v>-0.76536312849162003</v>
      </c>
      <c r="M4223" s="401">
        <f>SUM(C4223,C4199,C4175,C4151,C4127,C4103,C4079)/POBLA!$B$22*100000</f>
        <v>32.300500964415271</v>
      </c>
    </row>
    <row r="4224" spans="1:13" s="360" customFormat="1" x14ac:dyDescent="0.25">
      <c r="A4224" s="19" t="s">
        <v>39</v>
      </c>
      <c r="B4224" s="2">
        <v>44068</v>
      </c>
      <c r="C4224" s="1">
        <v>51</v>
      </c>
      <c r="D4224" s="39">
        <f t="shared" si="365"/>
        <v>1803</v>
      </c>
      <c r="E4224" s="1">
        <f>1</f>
        <v>1</v>
      </c>
      <c r="F4224" s="39">
        <f t="shared" si="366"/>
        <v>22</v>
      </c>
      <c r="G4224" s="168">
        <f>SUM(C4224,C4200,C4176,C4152,C4128,C4104,C4080,C4056,C4032,C4008,C3984,C3960,C3936,C3912)/POBLA!$B$23*100000</f>
        <v>398.68800542894303</v>
      </c>
      <c r="H4224" s="256">
        <f t="shared" si="364"/>
        <v>1.010028653295129</v>
      </c>
      <c r="I4224" s="297">
        <f t="shared" si="362"/>
        <v>402.6863092083164</v>
      </c>
      <c r="J4224" s="297">
        <f t="shared" si="363"/>
        <v>44.857142857142854</v>
      </c>
      <c r="K4224" s="297">
        <f>J4224/POBLA!$B$23*100000</f>
        <v>25.367382716248855</v>
      </c>
      <c r="L4224" s="549">
        <f t="shared" si="360"/>
        <v>0.19693094629156005</v>
      </c>
      <c r="M4224" s="401">
        <f>SUM(C4224,C4200,C4176,C4152,C4128,C4104,C4080)/POBLA!$B$23*100000</f>
        <v>177.57167901374203</v>
      </c>
    </row>
    <row r="4225" spans="1:13" s="360" customFormat="1" ht="15.75" thickBot="1" x14ac:dyDescent="0.3">
      <c r="A4225" s="19" t="s">
        <v>40</v>
      </c>
      <c r="B4225" s="2">
        <v>44068</v>
      </c>
      <c r="C4225" s="1">
        <v>113</v>
      </c>
      <c r="D4225" s="39">
        <f t="shared" si="365"/>
        <v>1281</v>
      </c>
      <c r="E4225" s="1">
        <f>1</f>
        <v>1</v>
      </c>
      <c r="F4225" s="39">
        <f t="shared" si="366"/>
        <v>7</v>
      </c>
      <c r="G4225" s="177">
        <f>SUM(C4225,C4201,C4177,C4153,C4129,C4105,C4081,C4057,C4033,C4009,C3985,C3961,C3937,C3913)/POBLA!$B$24*100000</f>
        <v>49.036500623135318</v>
      </c>
      <c r="H4225" s="402">
        <f t="shared" si="364"/>
        <v>2.77</v>
      </c>
      <c r="I4225" s="403">
        <f t="shared" si="362"/>
        <v>135.83110672608484</v>
      </c>
      <c r="J4225" s="403">
        <f t="shared" si="363"/>
        <v>86.142857142857139</v>
      </c>
      <c r="K4225" s="403">
        <f>J4225/POBLA!$B$24*100000</f>
        <v>5.0832060986334184</v>
      </c>
      <c r="L4225" s="550">
        <f t="shared" si="360"/>
        <v>-1.6447368421052633</v>
      </c>
      <c r="M4225" s="405">
        <f>SUM(C4225,C4201,C4177,C4153,C4129,C4105,C4081)/POBLA!$B$24*100000</f>
        <v>35.582442690433929</v>
      </c>
    </row>
    <row r="4226" spans="1:13" s="360" customFormat="1" x14ac:dyDescent="0.25">
      <c r="A4226" s="361" t="s">
        <v>16</v>
      </c>
      <c r="B4226" s="2">
        <v>44069</v>
      </c>
      <c r="C4226" s="1">
        <v>6628</v>
      </c>
      <c r="D4226" s="39">
        <f>C4226+D4202</f>
        <v>230332</v>
      </c>
      <c r="E4226" s="1">
        <f>41+27+77+42</f>
        <v>187</v>
      </c>
      <c r="F4226" s="39">
        <f t="shared" si="366"/>
        <v>4670</v>
      </c>
      <c r="G4226" s="175">
        <f>SUM(C4226,C4202,C4178,C4154,C4130,C4106,C4082,C4058,C4034,C4010,C3986,C3962,C3938,C3914)/POBLA!$B$1*100000</f>
        <v>364.51448625833405</v>
      </c>
      <c r="H4226" s="300">
        <f t="shared" ref="H4226:H4233" si="367">SUM(C4226,C4202,C4178,C4154,C4130,C4106,C4082,C4058,C4034,C4010,C3986,C3962,C3938,C3914)/SUM(C3890,C3866,C3842,C3818,C3794,C3770,C3746,C3722,C3698,C3674,C3650,C3626,C3602,C3578)</f>
        <v>1.0629207879644251</v>
      </c>
      <c r="I4226" s="301">
        <f>G4226*H4226</f>
        <v>387.45002495815606</v>
      </c>
      <c r="J4226" s="301">
        <f>AVERAGE(C4226,C4202,C4178,C4154,C4130,C4106,C4082)</f>
        <v>5118.5714285714284</v>
      </c>
      <c r="K4226" s="301">
        <f>J4226/POBLA!$B$1*100000</f>
        <v>29.180379021931515</v>
      </c>
      <c r="L4226" s="548">
        <f t="shared" ref="L4226:L4249" si="368">1-SUM(C4226,C4202,C4178,C4154,C4130,C4106,C4082)/SUM(C4058,C4034,C4010,C3986,C3962,C3938,C3914)</f>
        <v>-0.27463536108146558</v>
      </c>
      <c r="M4226" s="400">
        <f>SUM(C4226,C4202,C4178,C4154,C4130,C4106,C4082)/POBLA!$B$1*100000</f>
        <v>204.2626531535206</v>
      </c>
    </row>
    <row r="4227" spans="1:13" s="360" customFormat="1" x14ac:dyDescent="0.25">
      <c r="A4227" s="19" t="s">
        <v>43</v>
      </c>
      <c r="B4227" s="2">
        <v>44069</v>
      </c>
      <c r="C4227" s="1">
        <v>1568</v>
      </c>
      <c r="D4227" s="39">
        <f t="shared" ref="D4227:D4239" si="369">C4227+D4203</f>
        <v>89137</v>
      </c>
      <c r="E4227" s="1">
        <f>1+6+15+18</f>
        <v>40</v>
      </c>
      <c r="F4227" s="39">
        <f t="shared" ref="F4227:F4265" si="370">E4227+F4203</f>
        <v>2072</v>
      </c>
      <c r="G4227" s="168">
        <f>SUM(C4227,C4203,C4179,C4155,C4131,C4107,C4083,C4059,C4035,C4011,C3987,C3963,C3939,C3915)/POBLA!$B$2*100000</f>
        <v>509.71405681928286</v>
      </c>
      <c r="H4227" s="256">
        <f t="shared" si="367"/>
        <v>6.6287526427061314</v>
      </c>
      <c r="I4227" s="297">
        <f t="shared" ref="I4227:I4249" si="371">G4227*H4227</f>
        <v>3378.7684011652846</v>
      </c>
      <c r="J4227" s="297">
        <f t="shared" ref="J4227:J4249" si="372">AVERAGE(C4227,C4203,C4179,C4155,C4131,C4107,C4083)</f>
        <v>1255.8571428571429</v>
      </c>
      <c r="K4227" s="297">
        <f>J4227/POBLA!$B$2*100000</f>
        <v>40.832304590877591</v>
      </c>
      <c r="L4227" s="549">
        <f t="shared" si="368"/>
        <v>-0.27664827185593954</v>
      </c>
      <c r="M4227" s="401">
        <f>SUM(C4227,C4203,C4179,C4155,C4131,C4107,C4083)/POBLA!$B$2*100000</f>
        <v>285.82613213614309</v>
      </c>
    </row>
    <row r="4228" spans="1:13" s="360" customFormat="1" x14ac:dyDescent="0.25">
      <c r="A4228" s="19" t="s">
        <v>28</v>
      </c>
      <c r="B4228" s="2">
        <v>44069</v>
      </c>
      <c r="C4228" s="1">
        <v>-1</v>
      </c>
      <c r="D4228" s="39">
        <f t="shared" si="369"/>
        <v>63</v>
      </c>
      <c r="E4228" s="1"/>
      <c r="F4228" s="39">
        <f t="shared" si="370"/>
        <v>0</v>
      </c>
      <c r="G4228" s="168">
        <f>SUM(C4228,C4204,C4180,C4156,C4132,C4108,C4084,C4060,C4036,C4012,C3988,C3964,C3940,C3916)/POBLA!$B$3*100000</f>
        <v>0.24070980507319983</v>
      </c>
      <c r="H4228" s="256">
        <f t="shared" si="367"/>
        <v>1.5220700152207001E-3</v>
      </c>
      <c r="I4228" s="297">
        <f t="shared" si="371"/>
        <v>3.6637717667153702E-4</v>
      </c>
      <c r="J4228" s="297">
        <f t="shared" si="372"/>
        <v>0</v>
      </c>
      <c r="K4228" s="297">
        <f>J4228/POBLA!$B$3*100000</f>
        <v>0</v>
      </c>
      <c r="L4228" s="549">
        <f t="shared" si="368"/>
        <v>1</v>
      </c>
      <c r="M4228" s="401">
        <f>SUM(C4228,C4204,C4180,C4156,C4132,C4108,C4084)/POBLA!$B$3*100000</f>
        <v>0</v>
      </c>
    </row>
    <row r="4229" spans="1:13" s="360" customFormat="1" x14ac:dyDescent="0.25">
      <c r="A4229" s="19" t="s">
        <v>15</v>
      </c>
      <c r="B4229" s="2">
        <v>44069</v>
      </c>
      <c r="C4229" s="1">
        <v>74</v>
      </c>
      <c r="D4229" s="39">
        <f t="shared" si="369"/>
        <v>5041</v>
      </c>
      <c r="E4229" s="1">
        <f>1+2+1</f>
        <v>4</v>
      </c>
      <c r="F4229" s="39">
        <f t="shared" si="370"/>
        <v>202</v>
      </c>
      <c r="G4229" s="168">
        <f>SUM(C4229,C4205,C4181,C4157,C4133,C4109,C4085,C4061,C4037,C4013,C3989,C3965,C3941,C3917)/POBLA!$B$4*100000</f>
        <v>68.324780974661721</v>
      </c>
      <c r="H4229" s="256">
        <f t="shared" si="367"/>
        <v>3.8457943925233646</v>
      </c>
      <c r="I4229" s="297">
        <f t="shared" si="371"/>
        <v>262.76305954274113</v>
      </c>
      <c r="J4229" s="297">
        <f t="shared" si="372"/>
        <v>62.142857142857146</v>
      </c>
      <c r="K4229" s="297">
        <f>J4229/POBLA!$B$4*100000</f>
        <v>5.1590487283419284</v>
      </c>
      <c r="L4229" s="549">
        <f t="shared" si="368"/>
        <v>-0.12113402061855671</v>
      </c>
      <c r="M4229" s="401">
        <f>SUM(C4229,C4205,C4181,C4157,C4133,C4109,C4085)/POBLA!$B$4*100000</f>
        <v>36.113341098393498</v>
      </c>
    </row>
    <row r="4230" spans="1:13" s="360" customFormat="1" x14ac:dyDescent="0.25">
      <c r="A4230" s="19" t="s">
        <v>29</v>
      </c>
      <c r="B4230" s="2">
        <v>44069</v>
      </c>
      <c r="C4230" s="1">
        <v>69</v>
      </c>
      <c r="D4230" s="39">
        <f t="shared" si="369"/>
        <v>650</v>
      </c>
      <c r="E4230" s="1"/>
      <c r="F4230" s="39">
        <f t="shared" si="370"/>
        <v>7</v>
      </c>
      <c r="G4230" s="168">
        <f>SUM(C4230,C4206,C4182,C4158,C4134,C4110,C4086,C4062,C4038,C4014,C3990,C3966,C3942,C3918)/POBLA!$B$5*100000</f>
        <v>45.88089706846916</v>
      </c>
      <c r="H4230" s="256">
        <f t="shared" si="367"/>
        <v>2.0585677007828356E-2</v>
      </c>
      <c r="I4230" s="297">
        <f t="shared" si="371"/>
        <v>0.94448932788092499</v>
      </c>
      <c r="J4230" s="297">
        <f t="shared" si="372"/>
        <v>30.428571428571427</v>
      </c>
      <c r="K4230" s="297">
        <f>J4230/POBLA!$B$5*100000</f>
        <v>4.9158104001931235</v>
      </c>
      <c r="L4230" s="549">
        <f t="shared" si="368"/>
        <v>-2</v>
      </c>
      <c r="M4230" s="401">
        <f>SUM(C4230,C4206,C4182,C4158,C4134,C4110,C4086)/POBLA!$B$5*100000</f>
        <v>34.410672801351872</v>
      </c>
    </row>
    <row r="4231" spans="1:13" s="360" customFormat="1" x14ac:dyDescent="0.25">
      <c r="A4231" s="19" t="s">
        <v>20</v>
      </c>
      <c r="B4231" s="2">
        <v>44069</v>
      </c>
      <c r="C4231" s="1">
        <v>355</v>
      </c>
      <c r="D4231" s="39">
        <f t="shared" si="369"/>
        <v>6767</v>
      </c>
      <c r="E4231" s="1">
        <f>4</f>
        <v>4</v>
      </c>
      <c r="F4231" s="39">
        <f t="shared" si="370"/>
        <v>108</v>
      </c>
      <c r="G4231" s="168">
        <f>SUM(C4231,C4207,C4183,C4159,C4135,C4111,C4087,C4063,C4039,C4015,C3991,C3967,C3943,C3919)/POBLA!$B$6*100000</f>
        <v>249.46444551708998</v>
      </c>
      <c r="H4231" s="256">
        <f t="shared" si="367"/>
        <v>1.4608150470219436</v>
      </c>
      <c r="I4231" s="297">
        <f t="shared" si="371"/>
        <v>364.42141570835088</v>
      </c>
      <c r="J4231" s="297">
        <f t="shared" si="372"/>
        <v>239.42857142857142</v>
      </c>
      <c r="K4231" s="297">
        <f>J4231/POBLA!$B$6*100000</f>
        <v>21.362273180392542</v>
      </c>
      <c r="L4231" s="549">
        <f t="shared" si="368"/>
        <v>-0.49642857142857144</v>
      </c>
      <c r="M4231" s="401">
        <f>SUM(C4231,C4207,C4183,C4159,C4135,C4111,C4087)/POBLA!$B$6*100000</f>
        <v>149.53591226274779</v>
      </c>
    </row>
    <row r="4232" spans="1:13" s="360" customFormat="1" x14ac:dyDescent="0.25">
      <c r="A4232" s="19" t="s">
        <v>30</v>
      </c>
      <c r="B4232" s="2">
        <v>44069</v>
      </c>
      <c r="C4232" s="1">
        <v>12</v>
      </c>
      <c r="D4232" s="39">
        <f t="shared" si="369"/>
        <v>272</v>
      </c>
      <c r="E4232" s="1"/>
      <c r="F4232" s="39">
        <f t="shared" si="370"/>
        <v>5</v>
      </c>
      <c r="G4232" s="168">
        <f>SUM(C4232,C4208,C4184,C4160,C4136,C4112,C4088,C4064,C4040,C4016,C3992,C3968,C3944,C3920)/POBLA!$B$7*100000</f>
        <v>1.3828132271403688</v>
      </c>
      <c r="H4232" s="256">
        <f t="shared" si="367"/>
        <v>0.89655172413793105</v>
      </c>
      <c r="I4232" s="297">
        <f t="shared" si="371"/>
        <v>1.2397635829534341</v>
      </c>
      <c r="J4232" s="297">
        <f t="shared" si="372"/>
        <v>5.1428571428571432</v>
      </c>
      <c r="K4232" s="297">
        <f>J4232/POBLA!$B$7*100000</f>
        <v>0.13676174773915736</v>
      </c>
      <c r="L4232" s="549">
        <f t="shared" si="368"/>
        <v>-1.25</v>
      </c>
      <c r="M4232" s="401">
        <f>SUM(C4232,C4208,C4184,C4160,C4136,C4112,C4088)/POBLA!$B$7*100000</f>
        <v>0.95733223417410152</v>
      </c>
    </row>
    <row r="4233" spans="1:13" x14ac:dyDescent="0.25">
      <c r="A4233" s="19" t="s">
        <v>31</v>
      </c>
      <c r="B4233" s="2">
        <v>44069</v>
      </c>
      <c r="C4233" s="1">
        <v>112</v>
      </c>
      <c r="D4233" s="39">
        <f t="shared" si="369"/>
        <v>2621</v>
      </c>
      <c r="E4233" s="1">
        <f>1</f>
        <v>1</v>
      </c>
      <c r="F4233" s="39">
        <f t="shared" si="370"/>
        <v>33</v>
      </c>
      <c r="G4233" s="168">
        <f>SUM(C4233,C4209,C4185,C4161,C4137,C4113,C4089,C4065,C4041,C4017,C3993,C3969,C3945,C3921)/POBLA!$B$8*100000</f>
        <v>94.591406251691069</v>
      </c>
      <c r="H4233" s="256">
        <f t="shared" si="367"/>
        <v>2.4923954372623576</v>
      </c>
      <c r="I4233" s="297">
        <f t="shared" si="371"/>
        <v>235.75918934594486</v>
      </c>
      <c r="J4233" s="297">
        <f t="shared" si="372"/>
        <v>115.85714285714286</v>
      </c>
      <c r="K4233" s="297">
        <f>J4233/POBLA!$B$8*100000</f>
        <v>8.3593364356675881</v>
      </c>
      <c r="L4233" s="549">
        <f t="shared" si="368"/>
        <v>-0.62200000000000011</v>
      </c>
      <c r="M4233" s="401">
        <f>SUM(C4233,C4209,C4185,C4161,C4137,C4113,C4089)/POBLA!$B$8*100000</f>
        <v>58.515355049673111</v>
      </c>
    </row>
    <row r="4234" spans="1:13" s="360" customFormat="1" x14ac:dyDescent="0.25">
      <c r="A4234" s="19" t="s">
        <v>41</v>
      </c>
      <c r="B4234" s="2">
        <v>44069</v>
      </c>
      <c r="C4234" s="1">
        <v>-1</v>
      </c>
      <c r="D4234" s="39">
        <f t="shared" si="369"/>
        <v>82</v>
      </c>
      <c r="E4234" s="1"/>
      <c r="F4234" s="39">
        <f>E4234+F4210</f>
        <v>1</v>
      </c>
      <c r="G4234" s="168">
        <f>SUM(C4234,C4210,C4186,C4162,C4138,C4114,C4090,C4066,C4042,C4018,C3994,C3970,C3946,C3922)/POBLA!$B$9*100000</f>
        <v>0.33047308875020037</v>
      </c>
      <c r="H4234" s="256">
        <f>SUM(C4234,C4210,C4186,C4162,C4138,C4114,C4090,C4066,C4042,C4018,C3994,C3970,C3946,C3922)/SUM(C3898,C3874,C3850,C3826,C3802,C3778,C3754,C3730,C3706,C3682,C3658,C3634,C3610,C3586)</f>
        <v>2</v>
      </c>
      <c r="I4234" s="297">
        <f t="shared" si="371"/>
        <v>0.66094617750040074</v>
      </c>
      <c r="J4234" s="297">
        <f t="shared" si="372"/>
        <v>0.42857142857142855</v>
      </c>
      <c r="K4234" s="297">
        <f>J4234/POBLA!$B$9*100000</f>
        <v>7.0815661875042929E-2</v>
      </c>
      <c r="L4234" s="549">
        <f t="shared" si="368"/>
        <v>4</v>
      </c>
      <c r="M4234" s="401">
        <f>SUM(C4234,C4210,C4186,C4162,C4138,C4114,C4090)/POBLA!$B$9*100000</f>
        <v>0.49570963312530053</v>
      </c>
    </row>
    <row r="4235" spans="1:13" s="360" customFormat="1" x14ac:dyDescent="0.25">
      <c r="A4235" s="19" t="s">
        <v>32</v>
      </c>
      <c r="B4235" s="2">
        <v>44069</v>
      </c>
      <c r="C4235" s="1">
        <v>236</v>
      </c>
      <c r="D4235" s="39">
        <f t="shared" si="369"/>
        <v>7074</v>
      </c>
      <c r="E4235" s="1">
        <f>9+4</f>
        <v>13</v>
      </c>
      <c r="F4235" s="39">
        <f t="shared" si="370"/>
        <v>176</v>
      </c>
      <c r="G4235" s="168">
        <f>SUM(C4235,C4211,C4187,C4163,C4139,C4115,C4091,C4067,C4043,C4019,C3995,C3971,C3947,C3923)/POBLA!$B$10*100000</f>
        <v>393.70538384004794</v>
      </c>
      <c r="H4235" s="256">
        <f t="shared" ref="H4235:H4249" si="373">SUM(C4235,C4211,C4187,C4163,C4139,C4115,C4091,C4067,C4043,C4019,C3995,C3971,C3947,C3923)/SUM(C3899,C3875,C3851,C3827,C3803,C3779,C3755,C3731,C3707,C3683,C3659,C3635,C3611,C3587)</f>
        <v>1.3928407526388251</v>
      </c>
      <c r="I4235" s="297">
        <f t="shared" si="371"/>
        <v>548.36890314572986</v>
      </c>
      <c r="J4235" s="297">
        <f t="shared" si="372"/>
        <v>244.85714285714286</v>
      </c>
      <c r="K4235" s="297">
        <f>J4235/POBLA!$B$10*100000</f>
        <v>31.763286792273107</v>
      </c>
      <c r="L4235" s="549">
        <f t="shared" si="368"/>
        <v>-0.2975018925056776</v>
      </c>
      <c r="M4235" s="401">
        <f>SUM(C4235,C4211,C4187,C4163,C4139,C4115,C4091)/POBLA!$B$10*100000</f>
        <v>222.34300754591175</v>
      </c>
    </row>
    <row r="4236" spans="1:13" s="360" customFormat="1" x14ac:dyDescent="0.25">
      <c r="A4236" s="19" t="s">
        <v>33</v>
      </c>
      <c r="B4236" s="2">
        <v>44069</v>
      </c>
      <c r="C4236" s="1">
        <v>1</v>
      </c>
      <c r="D4236" s="39">
        <f t="shared" si="369"/>
        <v>195</v>
      </c>
      <c r="E4236" s="1"/>
      <c r="F4236" s="39">
        <f t="shared" si="370"/>
        <v>2</v>
      </c>
      <c r="G4236" s="168">
        <f>SUM(C4236,C4212,C4188,C4164,C4140,C4116,C4092,C4068,C4044,C4020,C3996,C3972,C3948,C3924)/POBLA!$B$11*100000</f>
        <v>4.1849409086343705</v>
      </c>
      <c r="H4236" s="256">
        <f t="shared" si="373"/>
        <v>0.1079136690647482</v>
      </c>
      <c r="I4236" s="297">
        <f t="shared" si="371"/>
        <v>0.45161232826989606</v>
      </c>
      <c r="J4236" s="297">
        <f t="shared" si="372"/>
        <v>1.2857142857142858</v>
      </c>
      <c r="K4236" s="297">
        <f>J4236/POBLA!$B$11*100000</f>
        <v>0.35870922074008887</v>
      </c>
      <c r="L4236" s="549">
        <f t="shared" si="368"/>
        <v>-0.5</v>
      </c>
      <c r="M4236" s="401">
        <f>SUM(C4236,C4212,C4188,C4164,C4140,C4116,C4092)/POBLA!$B$11*100000</f>
        <v>2.510964545180622</v>
      </c>
    </row>
    <row r="4237" spans="1:13" s="360" customFormat="1" x14ac:dyDescent="0.25">
      <c r="A4237" s="19" t="s">
        <v>21</v>
      </c>
      <c r="B4237" s="2">
        <v>44069</v>
      </c>
      <c r="C4237" s="1">
        <v>37</v>
      </c>
      <c r="D4237" s="39">
        <f t="shared" si="369"/>
        <v>1214</v>
      </c>
      <c r="E4237" s="1">
        <f>1</f>
        <v>1</v>
      </c>
      <c r="F4237" s="39">
        <f t="shared" si="370"/>
        <v>28</v>
      </c>
      <c r="G4237" s="168">
        <f>SUM(C4237,C4213,C4189,C4165,C4141,C4117,C4093,C4069,C4045,C4021,C3997,C3973,C3949,C3925)/POBLA!$B$12*100000</f>
        <v>170.76164266601614</v>
      </c>
      <c r="H4237" s="256">
        <f t="shared" si="373"/>
        <v>2.6772908366533863</v>
      </c>
      <c r="I4237" s="297">
        <f t="shared" si="371"/>
        <v>457.17858116160494</v>
      </c>
      <c r="J4237" s="297">
        <f t="shared" si="372"/>
        <v>44.142857142857146</v>
      </c>
      <c r="K4237" s="297">
        <f>J4237/POBLA!$B$12*100000</f>
        <v>11.217123210841622</v>
      </c>
      <c r="L4237" s="549">
        <f t="shared" si="368"/>
        <v>0.14876033057851235</v>
      </c>
      <c r="M4237" s="401">
        <f>SUM(C4237,C4213,C4189,C4165,C4141,C4117,C4093)/POBLA!$B$12*100000</f>
        <v>78.519862475891358</v>
      </c>
    </row>
    <row r="4238" spans="1:13" s="360" customFormat="1" x14ac:dyDescent="0.25">
      <c r="A4238" s="19" t="s">
        <v>17</v>
      </c>
      <c r="B4238" s="2">
        <v>44069</v>
      </c>
      <c r="C4238" s="1">
        <v>276</v>
      </c>
      <c r="D4238" s="39">
        <f t="shared" si="369"/>
        <v>5349</v>
      </c>
      <c r="E4238" s="1">
        <f>3+1</f>
        <v>4</v>
      </c>
      <c r="F4238" s="39">
        <f t="shared" si="370"/>
        <v>66</v>
      </c>
      <c r="G4238" s="168">
        <f>SUM(C4238,C4214,C4190,C4166,C4142,C4118,C4094,C4070,C4046,C4022,C3998,C3974,C3950,C3926)/POBLA!$B$13*100000</f>
        <v>139.07185613699784</v>
      </c>
      <c r="H4238" s="256">
        <f t="shared" si="373"/>
        <v>1.7664326738991705</v>
      </c>
      <c r="I4238" s="297">
        <f t="shared" si="371"/>
        <v>245.66107070019785</v>
      </c>
      <c r="J4238" s="297">
        <f t="shared" si="372"/>
        <v>225.14285714285714</v>
      </c>
      <c r="K4238" s="297">
        <f>J4238/POBLA!$B$13*100000</f>
        <v>11.311790115189336</v>
      </c>
      <c r="L4238" s="549">
        <f t="shared" si="368"/>
        <v>-0.32214765100671139</v>
      </c>
      <c r="M4238" s="401">
        <f>SUM(C4238,C4214,C4190,C4166,C4142,C4118,C4094)/POBLA!$B$13*100000</f>
        <v>79.182530806325346</v>
      </c>
    </row>
    <row r="4239" spans="1:13" s="360" customFormat="1" x14ac:dyDescent="0.25">
      <c r="A4239" s="19" t="s">
        <v>23</v>
      </c>
      <c r="B4239" s="2">
        <v>44069</v>
      </c>
      <c r="C4239" s="1">
        <v>0</v>
      </c>
      <c r="D4239" s="39">
        <f t="shared" si="369"/>
        <v>59</v>
      </c>
      <c r="E4239" s="1"/>
      <c r="F4239" s="39">
        <f t="shared" si="370"/>
        <v>2</v>
      </c>
      <c r="G4239" s="168">
        <f>SUM(C4239,C4215,C4191,C4167,C4143,C4119,C4095,C4071,C4047,C4023,C3999,C3975,C3951,C3927)/POBLA!$B$14*100000</f>
        <v>0.47570193785112752</v>
      </c>
      <c r="H4239" s="256">
        <f t="shared" si="373"/>
        <v>0.66666666666666663</v>
      </c>
      <c r="I4239" s="297">
        <f t="shared" si="371"/>
        <v>0.31713462523408498</v>
      </c>
      <c r="J4239" s="297">
        <f t="shared" si="372"/>
        <v>0.5714285714285714</v>
      </c>
      <c r="K4239" s="297">
        <f>J4239/POBLA!$B$14*100000</f>
        <v>4.5304946462012143E-2</v>
      </c>
      <c r="L4239" s="549">
        <f t="shared" si="368"/>
        <v>-1</v>
      </c>
      <c r="M4239" s="401">
        <f>SUM(C4239,C4215,C4191,C4167,C4143,C4119,C4095)/POBLA!$B$14*100000</f>
        <v>0.31713462523408498</v>
      </c>
    </row>
    <row r="4240" spans="1:13" s="360" customFormat="1" x14ac:dyDescent="0.25">
      <c r="A4240" s="19" t="s">
        <v>19</v>
      </c>
      <c r="B4240" s="2">
        <v>44069</v>
      </c>
      <c r="C4240" s="1">
        <v>132</v>
      </c>
      <c r="D4240" s="39">
        <f>C4240+D4216</f>
        <v>2547</v>
      </c>
      <c r="E4240" s="1"/>
      <c r="F4240" s="39">
        <f t="shared" si="370"/>
        <v>14</v>
      </c>
      <c r="G4240" s="168">
        <f>SUM(C4240,C4216,C4192,C4168,C4144,C4120,C4096,C4072,C4048,C4024,C4000,C3976,C3952,C3928)/POBLA!$B$15*100000</f>
        <v>134.47640789871951</v>
      </c>
      <c r="H4240" s="256">
        <f t="shared" si="373"/>
        <v>1.6880907372400755</v>
      </c>
      <c r="I4240" s="297">
        <f t="shared" si="371"/>
        <v>227.00837855114654</v>
      </c>
      <c r="J4240" s="297">
        <f t="shared" si="372"/>
        <v>83.714285714285708</v>
      </c>
      <c r="K4240" s="297">
        <f>J4240/POBLA!$B$15*100000</f>
        <v>12.60649096602938</v>
      </c>
      <c r="L4240" s="549">
        <f t="shared" si="368"/>
        <v>-0.90879478827361559</v>
      </c>
      <c r="M4240" s="401">
        <f>SUM(C4240,C4216,C4192,C4168,C4144,C4120,C4096)/POBLA!$B$15*100000</f>
        <v>88.245436762205657</v>
      </c>
    </row>
    <row r="4241" spans="1:13" s="360" customFormat="1" x14ac:dyDescent="0.25">
      <c r="A4241" s="19" t="s">
        <v>18</v>
      </c>
      <c r="B4241" s="2">
        <v>44069</v>
      </c>
      <c r="C4241" s="1">
        <v>235</v>
      </c>
      <c r="D4241" s="39">
        <f>C4241+D4217</f>
        <v>5173</v>
      </c>
      <c r="E4241" s="1">
        <f>3+1+2+5</f>
        <v>11</v>
      </c>
      <c r="F4241" s="39">
        <f t="shared" si="370"/>
        <v>67</v>
      </c>
      <c r="G4241" s="168">
        <f>SUM(C4241,C4217,C4193,C4169,C4145,C4121,C4097,C4073,C4049,C4025,C4001,C3977,C3953,C3929)/POBLA!$B$16*100000</f>
        <v>240.49972579285995</v>
      </c>
      <c r="H4241" s="256">
        <f t="shared" si="373"/>
        <v>1.1146931184128952</v>
      </c>
      <c r="I4241" s="297">
        <f t="shared" si="371"/>
        <v>268.08338932148928</v>
      </c>
      <c r="J4241" s="297">
        <f t="shared" si="372"/>
        <v>143.57142857142858</v>
      </c>
      <c r="K4241" s="297">
        <f>J4241/POBLA!$B$16*100000</f>
        <v>19.204054061800747</v>
      </c>
      <c r="L4241" s="549">
        <f t="shared" si="368"/>
        <v>-0.26733921815889028</v>
      </c>
      <c r="M4241" s="401">
        <f>SUM(C4241,C4217,C4193,C4169,C4145,C4121,C4097)/POBLA!$B$16*100000</f>
        <v>134.42837843260523</v>
      </c>
    </row>
    <row r="4242" spans="1:13" s="360" customFormat="1" x14ac:dyDescent="0.25">
      <c r="A4242" s="19" t="s">
        <v>34</v>
      </c>
      <c r="B4242" s="2">
        <v>44069</v>
      </c>
      <c r="C4242" s="1">
        <v>176</v>
      </c>
      <c r="D4242" s="39">
        <f>C4242+D4218</f>
        <v>2285</v>
      </c>
      <c r="E4242" s="1">
        <f>4+1</f>
        <v>5</v>
      </c>
      <c r="F4242" s="39">
        <f>E4242+F4218</f>
        <v>37</v>
      </c>
      <c r="G4242" s="168">
        <f>SUM(C4242,C4218,C4194,C4170,C4146,C4122,C4098,C4074,C4050,C4026,C4002,C3978,C3954,C3930)/POBLA!$B$17*100000</f>
        <v>108.25633583895501</v>
      </c>
      <c r="H4242" s="256">
        <f t="shared" si="373"/>
        <v>3.0534653465346535</v>
      </c>
      <c r="I4242" s="297">
        <f t="shared" si="371"/>
        <v>330.5569700270666</v>
      </c>
      <c r="J4242" s="297">
        <f t="shared" si="372"/>
        <v>126.28571428571429</v>
      </c>
      <c r="K4242" s="297">
        <f>J4242/POBLA!$B$17*100000</f>
        <v>8.8659070670406006</v>
      </c>
      <c r="L4242" s="549">
        <f t="shared" si="368"/>
        <v>-0.34346504559270508</v>
      </c>
      <c r="M4242" s="401">
        <f>SUM(C4242,C4218,C4194,C4170,C4146,C4122,C4098)/POBLA!$B$17*100000</f>
        <v>62.061349469284195</v>
      </c>
    </row>
    <row r="4243" spans="1:13" s="360" customFormat="1" x14ac:dyDescent="0.25">
      <c r="A4243" s="19" t="s">
        <v>35</v>
      </c>
      <c r="B4243" s="2">
        <v>44069</v>
      </c>
      <c r="C4243" s="1">
        <v>36</v>
      </c>
      <c r="D4243" s="39">
        <f t="shared" ref="D4243:D4249" si="374">C4243+D4219</f>
        <v>146</v>
      </c>
      <c r="E4243" s="1"/>
      <c r="F4243" s="39">
        <f>E4243+F4219</f>
        <v>0</v>
      </c>
      <c r="G4243" s="168">
        <f>SUM(C4243,C4219,C4195,C4171,C4147,C4123,C4099,C4075,C4051,C4027,C4003,C3979,C3955,C3931)/POBLA!$B$18*100000</f>
        <v>15.744665054651907</v>
      </c>
      <c r="H4243" s="256">
        <f t="shared" si="373"/>
        <v>41</v>
      </c>
      <c r="I4243" s="297">
        <f t="shared" si="371"/>
        <v>645.5312672407282</v>
      </c>
      <c r="J4243" s="297">
        <f t="shared" si="372"/>
        <v>17.714285714285715</v>
      </c>
      <c r="K4243" s="297">
        <f>J4243/POBLA!$B$18*100000</f>
        <v>2.2675243516571855</v>
      </c>
      <c r="L4243" s="549">
        <f t="shared" si="368"/>
        <v>125</v>
      </c>
      <c r="M4243" s="401">
        <f>SUM(C4243,C4219,C4195,C4171,C4147,C4123,C4099)/POBLA!$B$18*100000</f>
        <v>15.872670461600299</v>
      </c>
    </row>
    <row r="4244" spans="1:13" s="360" customFormat="1" x14ac:dyDescent="0.25">
      <c r="A4244" s="19" t="s">
        <v>36</v>
      </c>
      <c r="B4244" s="2">
        <v>44069</v>
      </c>
      <c r="C4244" s="1">
        <v>4</v>
      </c>
      <c r="D4244" s="39">
        <f t="shared" si="374"/>
        <v>44</v>
      </c>
      <c r="E4244" s="1"/>
      <c r="F4244" s="39">
        <f t="shared" si="370"/>
        <v>0</v>
      </c>
      <c r="G4244" s="168">
        <f>SUM(C4244,C4220,C4196,C4172,C4148,C4124,C4100,C4076,C4052,C4028,C4004,C3980,C3956,C3932)/POBLA!$B$19*100000</f>
        <v>2.3606805055003854</v>
      </c>
      <c r="H4244" s="256">
        <f t="shared" si="373"/>
        <v>1.5</v>
      </c>
      <c r="I4244" s="297">
        <f t="shared" si="371"/>
        <v>3.5410207582505784</v>
      </c>
      <c r="J4244" s="297">
        <f t="shared" si="372"/>
        <v>1.1428571428571428</v>
      </c>
      <c r="K4244" s="297">
        <f>J4244/POBLA!$B$19*100000</f>
        <v>0.22482671480956051</v>
      </c>
      <c r="L4244" s="549">
        <f t="shared" si="368"/>
        <v>-1</v>
      </c>
      <c r="M4244" s="401">
        <f>SUM(C4244,C4220,C4196,C4172,C4148,C4124,C4100)/POBLA!$B$19*100000</f>
        <v>1.5737870036669237</v>
      </c>
    </row>
    <row r="4245" spans="1:13" s="360" customFormat="1" x14ac:dyDescent="0.25">
      <c r="A4245" s="19" t="s">
        <v>37</v>
      </c>
      <c r="B4245" s="2">
        <v>44069</v>
      </c>
      <c r="C4245" s="1">
        <v>63</v>
      </c>
      <c r="D4245" s="39">
        <f t="shared" si="374"/>
        <v>1479</v>
      </c>
      <c r="E4245" s="1"/>
      <c r="F4245" s="39">
        <f t="shared" ref="F4245:F4250" si="375">E4245+F4221</f>
        <v>11</v>
      </c>
      <c r="G4245" s="168">
        <f>SUM(C4245,C4221,C4197,C4173,C4149,C4125,C4101,C4077,C4053,C4029,C4005,C3981,C3957,C3933)/POBLA!$B$20*100000</f>
        <v>166.2574036500063</v>
      </c>
      <c r="H4245" s="256">
        <f t="shared" si="373"/>
        <v>1.3571428571428572</v>
      </c>
      <c r="I4245" s="297">
        <f t="shared" si="371"/>
        <v>225.63504781072285</v>
      </c>
      <c r="J4245" s="297">
        <f t="shared" si="372"/>
        <v>47.714285714285715</v>
      </c>
      <c r="K4245" s="297">
        <f>J4245/POBLA!$B$20*100000</f>
        <v>13.047456019525869</v>
      </c>
      <c r="L4245" s="549">
        <f t="shared" si="368"/>
        <v>-0.21897810218978098</v>
      </c>
      <c r="M4245" s="401">
        <f>SUM(C4245,C4221,C4197,C4173,C4149,C4125,C4101)/POBLA!$B$20*100000</f>
        <v>91.332192136681087</v>
      </c>
    </row>
    <row r="4246" spans="1:13" s="360" customFormat="1" x14ac:dyDescent="0.25">
      <c r="A4246" s="19" t="s">
        <v>22</v>
      </c>
      <c r="B4246" s="2">
        <v>44069</v>
      </c>
      <c r="C4246" s="1">
        <v>381</v>
      </c>
      <c r="D4246" s="39">
        <f t="shared" si="374"/>
        <v>5763</v>
      </c>
      <c r="E4246" s="1">
        <f>2+2</f>
        <v>4</v>
      </c>
      <c r="F4246" s="39">
        <f t="shared" si="375"/>
        <v>68</v>
      </c>
      <c r="G4246" s="168">
        <f>SUM(C4246,C4222,C4198,C4174,C4150,C4126,C4102,C4078,C4054,C4030,C4006,C3982,C3958,C3934)/POBLA!$B$21*100000</f>
        <v>89.553893233209422</v>
      </c>
      <c r="H4246" s="256">
        <f t="shared" si="373"/>
        <v>2.1212324179504352</v>
      </c>
      <c r="I4246" s="297">
        <f t="shared" si="371"/>
        <v>189.96462147995592</v>
      </c>
      <c r="J4246" s="297">
        <f t="shared" si="372"/>
        <v>285.71428571428572</v>
      </c>
      <c r="K4246" s="297">
        <f>J4246/POBLA!$B$21*100000</f>
        <v>8.0792000751688775</v>
      </c>
      <c r="L4246" s="549">
        <f t="shared" si="368"/>
        <v>-0.71379605826906589</v>
      </c>
      <c r="M4246" s="401">
        <f>SUM(C4246,C4222,C4198,C4174,C4150,C4126,C4102)/POBLA!$B$21*100000</f>
        <v>56.554400526182143</v>
      </c>
    </row>
    <row r="4247" spans="1:13" s="360" customFormat="1" x14ac:dyDescent="0.25">
      <c r="A4247" s="19" t="s">
        <v>38</v>
      </c>
      <c r="B4247" s="2">
        <v>44069</v>
      </c>
      <c r="C4247" s="1">
        <v>38</v>
      </c>
      <c r="D4247" s="39">
        <f t="shared" si="374"/>
        <v>692</v>
      </c>
      <c r="E4247" s="1"/>
      <c r="F4247" s="39">
        <f t="shared" si="375"/>
        <v>6</v>
      </c>
      <c r="G4247" s="168">
        <f>SUM(C4247,C4223,C4199,C4175,C4151,C4127,C4103,C4079,C4055,C4031,C4007,C3983,C3959,C3935)/POBLA!$B$22*100000</f>
        <v>52.334988904369055</v>
      </c>
      <c r="H4247" s="256">
        <f t="shared" si="373"/>
        <v>3.7925925925925927</v>
      </c>
      <c r="I4247" s="297">
        <f t="shared" si="371"/>
        <v>198.48529125212562</v>
      </c>
      <c r="J4247" s="297">
        <f t="shared" si="372"/>
        <v>44.714285714285715</v>
      </c>
      <c r="K4247" s="297">
        <f>J4247/POBLA!$B$22*100000</f>
        <v>4.5705500912576769</v>
      </c>
      <c r="L4247" s="549">
        <f t="shared" si="368"/>
        <v>-0.57286432160804024</v>
      </c>
      <c r="M4247" s="401">
        <f>SUM(C4247,C4223,C4199,C4175,C4151,C4127,C4103)/POBLA!$B$22*100000</f>
        <v>31.993850638803739</v>
      </c>
    </row>
    <row r="4248" spans="1:13" s="360" customFormat="1" x14ac:dyDescent="0.25">
      <c r="A4248" s="19" t="s">
        <v>39</v>
      </c>
      <c r="B4248" s="2">
        <v>44069</v>
      </c>
      <c r="C4248" s="1">
        <v>51</v>
      </c>
      <c r="D4248" s="39">
        <f t="shared" si="374"/>
        <v>1854</v>
      </c>
      <c r="E4248" s="1">
        <f>1+1</f>
        <v>2</v>
      </c>
      <c r="F4248" s="39">
        <f t="shared" si="375"/>
        <v>24</v>
      </c>
      <c r="G4248" s="168">
        <f>SUM(C4248,C4224,C4200,C4176,C4152,C4128,C4104,C4080,C4056,C4032,C4008,C3984,C3960,C3936)/POBLA!$B$23*100000</f>
        <v>401.51557993553132</v>
      </c>
      <c r="H4248" s="256">
        <f t="shared" si="373"/>
        <v>0.9726027397260274</v>
      </c>
      <c r="I4248" s="297">
        <f t="shared" si="371"/>
        <v>390.51515308798253</v>
      </c>
      <c r="J4248" s="297">
        <f t="shared" si="372"/>
        <v>43</v>
      </c>
      <c r="K4248" s="297">
        <f>J4248/POBLA!$B$23*100000</f>
        <v>24.317140756658937</v>
      </c>
      <c r="L4248" s="549">
        <f t="shared" si="368"/>
        <v>0.26405867970660146</v>
      </c>
      <c r="M4248" s="401">
        <f>SUM(C4248,C4224,C4200,C4176,C4152,C4128,C4104)/POBLA!$B$23*100000</f>
        <v>170.21998529661255</v>
      </c>
    </row>
    <row r="4249" spans="1:13" s="360" customFormat="1" ht="15.75" thickBot="1" x14ac:dyDescent="0.3">
      <c r="A4249" s="19" t="s">
        <v>40</v>
      </c>
      <c r="B4249" s="2">
        <v>44069</v>
      </c>
      <c r="C4249" s="1">
        <v>68</v>
      </c>
      <c r="D4249" s="39">
        <f t="shared" si="374"/>
        <v>1349</v>
      </c>
      <c r="E4249" s="1"/>
      <c r="F4249" s="39">
        <f t="shared" si="375"/>
        <v>7</v>
      </c>
      <c r="G4249" s="177">
        <f>SUM(C4249,C4225,C4201,C4177,C4153,C4129,C4105,C4081,C4057,C4033,C4009,C3985,C3961,C3937)/POBLA!$B$24*100000</f>
        <v>51.160825559877637</v>
      </c>
      <c r="H4249" s="402">
        <f t="shared" si="373"/>
        <v>2.6925465838509317</v>
      </c>
      <c r="I4249" s="403">
        <f t="shared" si="371"/>
        <v>137.75290608824196</v>
      </c>
      <c r="J4249" s="403">
        <f t="shared" si="372"/>
        <v>81</v>
      </c>
      <c r="K4249" s="403">
        <f>J4249/POBLA!$B$24*100000</f>
        <v>4.7797311076702291</v>
      </c>
      <c r="L4249" s="550">
        <f t="shared" si="368"/>
        <v>-0.8899999999999999</v>
      </c>
      <c r="M4249" s="405">
        <f>SUM(C4249,C4225,C4201,C4177,C4153,C4129,C4105)/POBLA!$B$24*100000</f>
        <v>33.458117753691603</v>
      </c>
    </row>
    <row r="4250" spans="1:13" s="360" customFormat="1" x14ac:dyDescent="0.25">
      <c r="A4250" s="361" t="s">
        <v>16</v>
      </c>
      <c r="B4250" s="2">
        <v>44070</v>
      </c>
      <c r="C4250" s="1">
        <v>6402</v>
      </c>
      <c r="D4250" s="39">
        <f>C4250+D4226</f>
        <v>236734</v>
      </c>
      <c r="E4250" s="1">
        <v>141</v>
      </c>
      <c r="F4250" s="39">
        <f t="shared" si="375"/>
        <v>4811</v>
      </c>
      <c r="G4250" s="175">
        <f>SUM(C4250,C4226,C4202,C4178,C4154,C4130,C4106,C4082,C4058,C4034,C4010,C3986,C3962,C3938)/POBLA!$B$1*100000</f>
        <v>372.58693718954771</v>
      </c>
      <c r="H4250" s="300">
        <f t="shared" ref="H4250:H4257" si="376">SUM(C4250,C4226,C4202,C4178,C4154,C4130,C4106,C4082,C4058,C4034,C4010,C3986,C3962,C3938)/SUM(C3914,C3890,C3866,C3842,C3818,C3794,C3770,C3746,C3722,C3698,C3674,C3650,C3626,C3602)</f>
        <v>1.0762441129005698</v>
      </c>
      <c r="I4250" s="301">
        <f>G4250*H4250</f>
        <v>400.99449769390509</v>
      </c>
      <c r="J4250" s="301">
        <f>AVERAGE(C4250,C4226,C4202,C4178,C4154,C4130,C4106)</f>
        <v>5283.8571428571431</v>
      </c>
      <c r="K4250" s="301">
        <f>J4250/POBLA!$B$1*100000</f>
        <v>30.122653611057249</v>
      </c>
      <c r="L4250" s="548">
        <f t="shared" ref="L4250:L4273" si="377">1-SUM(C4250,C4226,C4202,C4178,C4154,C4130,C4106)/SUM(C4082,C4058,C4034,C4010,C3986,C3962,C3938)</f>
        <v>-0.30378229757834263</v>
      </c>
      <c r="M4250" s="400">
        <f>SUM(C4250,C4226,C4202,C4178,C4154,C4130,C4106)/POBLA!$B$1*100000</f>
        <v>210.85857527740072</v>
      </c>
    </row>
    <row r="4251" spans="1:13" s="360" customFormat="1" x14ac:dyDescent="0.25">
      <c r="A4251" s="19" t="s">
        <v>43</v>
      </c>
      <c r="B4251" s="2">
        <v>44070</v>
      </c>
      <c r="C4251" s="1">
        <v>1220</v>
      </c>
      <c r="D4251" s="39">
        <f t="shared" ref="D4251:D4263" si="378">C4251+D4227</f>
        <v>90357</v>
      </c>
      <c r="E4251" s="1">
        <v>35</v>
      </c>
      <c r="F4251" s="39">
        <f t="shared" si="370"/>
        <v>2107</v>
      </c>
      <c r="G4251" s="168">
        <f>SUM(C4251,C4227,C4203,C4179,C4155,C4131,C4107,C4083,C4059,C4035,C4011,C3987,C3963,C3939)/POBLA!$B$2*100000</f>
        <v>512.77032532352553</v>
      </c>
      <c r="H4251" s="256">
        <f t="shared" si="376"/>
        <v>4.5189111747851003</v>
      </c>
      <c r="I4251" s="297">
        <f t="shared" ref="I4251:I4273" si="379">G4251*H4251</f>
        <v>2317.1635532026708</v>
      </c>
      <c r="J4251" s="297">
        <f t="shared" ref="J4251:J4273" si="380">AVERAGE(C4251,C4227,C4203,C4179,C4155,C4131,C4107)</f>
        <v>1247.2857142857142</v>
      </c>
      <c r="K4251" s="297">
        <f>J4251/POBLA!$B$2*100000</f>
        <v>40.553617493226277</v>
      </c>
      <c r="L4251" s="549">
        <f t="shared" si="377"/>
        <v>-0.24019886363636367</v>
      </c>
      <c r="M4251" s="401">
        <f>SUM(C4251,C4227,C4203,C4179,C4155,C4131,C4107)/POBLA!$B$2*100000</f>
        <v>283.87532245258399</v>
      </c>
    </row>
    <row r="4252" spans="1:13" s="360" customFormat="1" x14ac:dyDescent="0.25">
      <c r="A4252" s="19" t="s">
        <v>28</v>
      </c>
      <c r="B4252" s="2">
        <v>44070</v>
      </c>
      <c r="C4252" s="1">
        <v>1</v>
      </c>
      <c r="D4252" s="39">
        <f t="shared" si="378"/>
        <v>64</v>
      </c>
      <c r="E4252" s="1"/>
      <c r="F4252" s="39">
        <f t="shared" si="370"/>
        <v>0</v>
      </c>
      <c r="G4252" s="168">
        <f>SUM(C4252,C4228,C4204,C4180,C4156,C4132,C4108,C4084,C4060,C4036,C4012,C3988,C3964,C3940)/POBLA!$B$3*100000</f>
        <v>0.24070980507319983</v>
      </c>
      <c r="H4252" s="256">
        <f t="shared" si="376"/>
        <v>1.7699115044247787E-3</v>
      </c>
      <c r="I4252" s="297">
        <f t="shared" si="379"/>
        <v>4.2603505322690233E-4</v>
      </c>
      <c r="J4252" s="297">
        <f t="shared" si="380"/>
        <v>0</v>
      </c>
      <c r="K4252" s="297">
        <f>J4252/POBLA!$B$3*100000</f>
        <v>0</v>
      </c>
      <c r="L4252" s="549">
        <f t="shared" si="377"/>
        <v>1</v>
      </c>
      <c r="M4252" s="401">
        <f>SUM(C4252,C4228,C4204,C4180,C4156,C4132,C4108)/POBLA!$B$3*100000</f>
        <v>0</v>
      </c>
    </row>
    <row r="4253" spans="1:13" s="360" customFormat="1" x14ac:dyDescent="0.25">
      <c r="A4253" s="19" t="s">
        <v>15</v>
      </c>
      <c r="B4253" s="2">
        <v>44070</v>
      </c>
      <c r="C4253" s="1">
        <v>63</v>
      </c>
      <c r="D4253" s="39">
        <f t="shared" si="378"/>
        <v>5104</v>
      </c>
      <c r="E4253" s="1">
        <f>1</f>
        <v>1</v>
      </c>
      <c r="F4253" s="39">
        <f t="shared" si="370"/>
        <v>203</v>
      </c>
      <c r="G4253" s="168">
        <f>SUM(C4253,C4229,C4205,C4181,C4157,C4133,C4109,C4085,C4061,C4037,C4013,C3989,C3965,C3941)/POBLA!$B$4*100000</f>
        <v>68.490819324539387</v>
      </c>
      <c r="H4253" s="256">
        <f t="shared" si="376"/>
        <v>3.0555555555555554</v>
      </c>
      <c r="I4253" s="297">
        <f t="shared" si="379"/>
        <v>209.2775034916481</v>
      </c>
      <c r="J4253" s="297">
        <f t="shared" si="380"/>
        <v>57.571428571428569</v>
      </c>
      <c r="K4253" s="297">
        <f>J4253/POBLA!$B$4*100000</f>
        <v>4.7795325000501077</v>
      </c>
      <c r="L4253" s="549">
        <f t="shared" si="377"/>
        <v>4.502369668246442E-2</v>
      </c>
      <c r="M4253" s="401">
        <f>SUM(C4253,C4229,C4205,C4181,C4157,C4133,C4109)/POBLA!$B$4*100000</f>
        <v>33.456727500350759</v>
      </c>
    </row>
    <row r="4254" spans="1:13" s="360" customFormat="1" x14ac:dyDescent="0.25">
      <c r="A4254" s="19" t="s">
        <v>29</v>
      </c>
      <c r="B4254" s="2">
        <v>44070</v>
      </c>
      <c r="C4254" s="1">
        <v>49</v>
      </c>
      <c r="D4254" s="39">
        <f t="shared" si="378"/>
        <v>699</v>
      </c>
      <c r="E4254" s="1"/>
      <c r="F4254" s="39">
        <f t="shared" si="370"/>
        <v>7</v>
      </c>
      <c r="G4254" s="168">
        <f>SUM(C4254,C4230,C4206,C4182,C4158,C4134,C4110,C4086,C4062,C4038,C4014,C3990,C3966,C3942)/POBLA!$B$5*100000</f>
        <v>50.889023156928829</v>
      </c>
      <c r="H4254" s="256">
        <f t="shared" si="376"/>
        <v>2.5049701789264415E-2</v>
      </c>
      <c r="I4254" s="297">
        <f t="shared" si="379"/>
        <v>1.2747548544280383</v>
      </c>
      <c r="J4254" s="297">
        <f t="shared" si="380"/>
        <v>34.857142857142854</v>
      </c>
      <c r="K4254" s="297">
        <f>J4254/POBLA!$B$5*100000</f>
        <v>5.6312569842587896</v>
      </c>
      <c r="L4254" s="549">
        <f t="shared" si="377"/>
        <v>-2.436619718309859</v>
      </c>
      <c r="M4254" s="401">
        <f>SUM(C4254,C4230,C4206,C4182,C4158,C4134,C4110)/POBLA!$B$5*100000</f>
        <v>39.418798889811534</v>
      </c>
    </row>
    <row r="4255" spans="1:13" s="360" customFormat="1" x14ac:dyDescent="0.25">
      <c r="A4255" s="19" t="s">
        <v>20</v>
      </c>
      <c r="B4255" s="2">
        <v>44070</v>
      </c>
      <c r="C4255" s="1">
        <v>363</v>
      </c>
      <c r="D4255" s="39">
        <f t="shared" si="378"/>
        <v>7130</v>
      </c>
      <c r="E4255" s="1">
        <v>1</v>
      </c>
      <c r="F4255" s="39">
        <f t="shared" si="370"/>
        <v>109</v>
      </c>
      <c r="G4255" s="168">
        <f>SUM(C4255,C4231,C4207,C4183,C4159,C4135,C4111,C4087,C4063,C4039,C4015,C3991,C3967,C3943)/POBLA!$B$6*100000</f>
        <v>266.23816359906886</v>
      </c>
      <c r="H4255" s="256">
        <f t="shared" si="376"/>
        <v>1.4934934934934936</v>
      </c>
      <c r="I4255" s="297">
        <f t="shared" si="379"/>
        <v>397.62496505486564</v>
      </c>
      <c r="J4255" s="297">
        <f t="shared" si="380"/>
        <v>265.42857142857144</v>
      </c>
      <c r="K4255" s="297">
        <f>J4255/POBLA!$B$6*100000</f>
        <v>23.682042702368346</v>
      </c>
      <c r="L4255" s="549">
        <f t="shared" si="377"/>
        <v>-0.65008880994671414</v>
      </c>
      <c r="M4255" s="401">
        <f>SUM(C4255,C4231,C4207,C4183,C4159,C4135,C4111)/POBLA!$B$6*100000</f>
        <v>165.7742989165784</v>
      </c>
    </row>
    <row r="4256" spans="1:13" s="360" customFormat="1" x14ac:dyDescent="0.25">
      <c r="A4256" s="19" t="s">
        <v>30</v>
      </c>
      <c r="B4256" s="2">
        <v>44070</v>
      </c>
      <c r="C4256" s="1">
        <v>6</v>
      </c>
      <c r="D4256" s="39">
        <f t="shared" si="378"/>
        <v>278</v>
      </c>
      <c r="E4256" s="1"/>
      <c r="F4256" s="39">
        <f t="shared" si="370"/>
        <v>5</v>
      </c>
      <c r="G4256" s="168">
        <f>SUM(C4256,C4232,C4208,C4184,C4160,C4136,C4112,C4088,C4064,C4040,C4016,C3992,C3968,C3944)/POBLA!$B$7*100000</f>
        <v>1.4891834753819357</v>
      </c>
      <c r="H4256" s="256">
        <f t="shared" si="376"/>
        <v>0.98245614035087714</v>
      </c>
      <c r="I4256" s="297">
        <f t="shared" si="379"/>
        <v>1.463057449498042</v>
      </c>
      <c r="J4256" s="297">
        <f t="shared" si="380"/>
        <v>5.5714285714285712</v>
      </c>
      <c r="K4256" s="297">
        <f>J4256/POBLA!$B$7*100000</f>
        <v>0.14815856005075378</v>
      </c>
      <c r="L4256" s="549">
        <f t="shared" si="377"/>
        <v>-1.2941176470588234</v>
      </c>
      <c r="M4256" s="401">
        <f>SUM(C4256,C4232,C4208,C4184,C4160,C4136,C4112)/POBLA!$B$7*100000</f>
        <v>1.0371099203552767</v>
      </c>
    </row>
    <row r="4257" spans="1:13" x14ac:dyDescent="0.25">
      <c r="A4257" s="19" t="s">
        <v>31</v>
      </c>
      <c r="B4257" s="2">
        <v>44070</v>
      </c>
      <c r="C4257" s="1">
        <v>160</v>
      </c>
      <c r="D4257" s="39">
        <f t="shared" si="378"/>
        <v>2781</v>
      </c>
      <c r="E4257" s="1">
        <f>1</f>
        <v>1</v>
      </c>
      <c r="F4257" s="39">
        <f t="shared" si="370"/>
        <v>34</v>
      </c>
      <c r="G4257" s="168">
        <f>SUM(C4257,C4233,C4209,C4185,C4161,C4137,C4113,C4089,C4065,C4041,C4017,C3993,C3969,C3945)/POBLA!$B$8*100000</f>
        <v>102.16737700411483</v>
      </c>
      <c r="H4257" s="256">
        <f t="shared" si="376"/>
        <v>2.5240641711229945</v>
      </c>
      <c r="I4257" s="297">
        <f t="shared" si="379"/>
        <v>257.87701575370158</v>
      </c>
      <c r="J4257" s="297">
        <f t="shared" si="380"/>
        <v>131.42857142857142</v>
      </c>
      <c r="K4257" s="297">
        <f>J4257/POBLA!$B$8*100000</f>
        <v>9.4828477445304316</v>
      </c>
      <c r="L4257" s="549">
        <f t="shared" si="377"/>
        <v>-0.85483870967741926</v>
      </c>
      <c r="M4257" s="401">
        <f>SUM(C4257,C4233,C4209,C4185,C4161,C4137,C4113)/POBLA!$B$8*100000</f>
        <v>66.379934211713021</v>
      </c>
    </row>
    <row r="4258" spans="1:13" s="360" customFormat="1" x14ac:dyDescent="0.25">
      <c r="A4258" s="19" t="s">
        <v>41</v>
      </c>
      <c r="B4258" s="2">
        <v>44070</v>
      </c>
      <c r="C4258" s="1">
        <v>0</v>
      </c>
      <c r="D4258" s="39">
        <f t="shared" si="378"/>
        <v>82</v>
      </c>
      <c r="E4258" s="1"/>
      <c r="F4258" s="39">
        <f>E4258+F4234</f>
        <v>1</v>
      </c>
      <c r="G4258" s="168">
        <f>SUM(C4258,C4234,C4210,C4186,C4162,C4138,C4114,C4090,C4066,C4042,C4018,C3994,C3970,C3946)/POBLA!$B$9*100000</f>
        <v>0.66094617750040074</v>
      </c>
      <c r="H4258" s="256">
        <f>SUM(C4258,C4234,C4210,C4186,C4162,C4138,C4114,C4090,C4066,C4042,C4018,C3994,C3970,C3946)/SUM(C3922,C3898,C3874,C3850,C3826,C3802,C3778,C3754,C3730,C3706,C3682,C3658,C3634,C3610)</f>
        <v>-4</v>
      </c>
      <c r="I4258" s="297">
        <f t="shared" si="379"/>
        <v>-2.643784710001603</v>
      </c>
      <c r="J4258" s="297">
        <f t="shared" si="380"/>
        <v>0.2857142857142857</v>
      </c>
      <c r="K4258" s="297">
        <f>J4258/POBLA!$B$9*100000</f>
        <v>4.7210441250028622E-2</v>
      </c>
      <c r="L4258" s="549">
        <f t="shared" si="377"/>
        <v>0</v>
      </c>
      <c r="M4258" s="401">
        <f>SUM(C4258,C4234,C4210,C4186,C4162,C4138,C4114)/POBLA!$B$9*100000</f>
        <v>0.33047308875020037</v>
      </c>
    </row>
    <row r="4259" spans="1:13" s="360" customFormat="1" x14ac:dyDescent="0.25">
      <c r="A4259" s="19" t="s">
        <v>32</v>
      </c>
      <c r="B4259" s="2">
        <v>44070</v>
      </c>
      <c r="C4259" s="1">
        <v>200</v>
      </c>
      <c r="D4259" s="39">
        <f t="shared" si="378"/>
        <v>7274</v>
      </c>
      <c r="E4259" s="1">
        <f>4+2+3</f>
        <v>9</v>
      </c>
      <c r="F4259" s="39">
        <f t="shared" si="370"/>
        <v>185</v>
      </c>
      <c r="G4259" s="168">
        <f>SUM(C4259,C4235,C4211,C4187,C4163,C4139,C4115,C4091,C4067,C4043,C4019,C3995,C3971,C3947)/POBLA!$B$10*100000</f>
        <v>397.98620020470082</v>
      </c>
      <c r="H4259" s="256">
        <f t="shared" ref="H4259:H4273" si="381">SUM(C4259,C4235,C4211,C4187,C4163,C4139,C4115,C4091,C4067,C4043,C4019,C3995,C3971,C3947)/SUM(C3923,C3899,C3875,C3851,C3827,C3803,C3779,C3755,C3731,C3707,C3683,C3659,C3635,C3611)</f>
        <v>1.4041189931350115</v>
      </c>
      <c r="I4259" s="297">
        <f t="shared" si="379"/>
        <v>558.81998271305361</v>
      </c>
      <c r="J4259" s="297">
        <f t="shared" si="380"/>
        <v>235.71428571428572</v>
      </c>
      <c r="K4259" s="297">
        <f>J4259/POBLA!$B$10*100000</f>
        <v>30.577259747520788</v>
      </c>
      <c r="L4259" s="549">
        <f t="shared" si="377"/>
        <v>-0.16361071932299009</v>
      </c>
      <c r="M4259" s="401">
        <f>SUM(C4259,C4235,C4211,C4187,C4163,C4139,C4115)/POBLA!$B$10*100000</f>
        <v>214.04081823264551</v>
      </c>
    </row>
    <row r="4260" spans="1:13" s="360" customFormat="1" x14ac:dyDescent="0.25">
      <c r="A4260" s="19" t="s">
        <v>33</v>
      </c>
      <c r="B4260" s="2">
        <v>44070</v>
      </c>
      <c r="C4260" s="1">
        <v>-1</v>
      </c>
      <c r="D4260" s="39">
        <f t="shared" si="378"/>
        <v>194</v>
      </c>
      <c r="E4260" s="1"/>
      <c r="F4260" s="39">
        <f t="shared" si="370"/>
        <v>2</v>
      </c>
      <c r="G4260" s="168">
        <f>SUM(C4260,C4236,C4212,C4188,C4164,C4140,C4116,C4092,C4068,C4044,C4020,C3996,C3972,C3948)/POBLA!$B$11*100000</f>
        <v>3.6269487874831206</v>
      </c>
      <c r="H4260" s="256">
        <f t="shared" si="381"/>
        <v>9.7014925373134331E-2</v>
      </c>
      <c r="I4260" s="297">
        <f t="shared" si="379"/>
        <v>0.35186816594985498</v>
      </c>
      <c r="J4260" s="297">
        <f t="shared" si="380"/>
        <v>1</v>
      </c>
      <c r="K4260" s="297">
        <f>J4260/POBLA!$B$11*100000</f>
        <v>0.2789960605756247</v>
      </c>
      <c r="L4260" s="549">
        <f t="shared" si="377"/>
        <v>-0.16666666666666674</v>
      </c>
      <c r="M4260" s="401">
        <f>SUM(C4260,C4236,C4212,C4188,C4164,C4140,C4116)/POBLA!$B$11*100000</f>
        <v>1.9529724240293727</v>
      </c>
    </row>
    <row r="4261" spans="1:13" s="360" customFormat="1" x14ac:dyDescent="0.25">
      <c r="A4261" s="19" t="s">
        <v>21</v>
      </c>
      <c r="B4261" s="2">
        <v>44070</v>
      </c>
      <c r="C4261" s="1">
        <v>58</v>
      </c>
      <c r="D4261" s="39">
        <f t="shared" si="378"/>
        <v>1272</v>
      </c>
      <c r="E4261" s="1">
        <v>3</v>
      </c>
      <c r="F4261" s="39">
        <f t="shared" si="370"/>
        <v>31</v>
      </c>
      <c r="G4261" s="168">
        <f>SUM(C4261,C4237,C4213,C4189,C4165,C4141,C4117,C4093,C4069,C4045,C4021,C3997,C3973,C3949)/POBLA!$B$12*100000</f>
        <v>160.59725917399138</v>
      </c>
      <c r="H4261" s="256">
        <f t="shared" si="381"/>
        <v>1.8698224852071006</v>
      </c>
      <c r="I4261" s="297">
        <f t="shared" si="379"/>
        <v>300.2883662661614</v>
      </c>
      <c r="J4261" s="297">
        <f t="shared" si="380"/>
        <v>49.285714285714285</v>
      </c>
      <c r="K4261" s="297">
        <f>J4261/POBLA!$B$12*100000</f>
        <v>12.523972516959093</v>
      </c>
      <c r="L4261" s="549">
        <f t="shared" si="377"/>
        <v>-0.20209059233449467</v>
      </c>
      <c r="M4261" s="401">
        <f>SUM(C4261,C4237,C4213,C4189,C4165,C4141,C4117)/POBLA!$B$12*100000</f>
        <v>87.667807618713638</v>
      </c>
    </row>
    <row r="4262" spans="1:13" s="360" customFormat="1" x14ac:dyDescent="0.25">
      <c r="A4262" s="19" t="s">
        <v>17</v>
      </c>
      <c r="B4262" s="2">
        <v>44070</v>
      </c>
      <c r="C4262" s="1">
        <v>252</v>
      </c>
      <c r="D4262" s="39">
        <f t="shared" si="378"/>
        <v>5601</v>
      </c>
      <c r="E4262" s="1">
        <f>2</f>
        <v>2</v>
      </c>
      <c r="F4262" s="39">
        <f t="shared" si="370"/>
        <v>68</v>
      </c>
      <c r="G4262" s="168">
        <f>SUM(C4262,C4238,C4214,C4190,C4166,C4142,C4118,C4094,C4070,C4046,C4022,C3998,C3974,C3950)/POBLA!$B$13*100000</f>
        <v>143.49321572516828</v>
      </c>
      <c r="H4262" s="256">
        <f t="shared" si="381"/>
        <v>1.7267230955259976</v>
      </c>
      <c r="I4262" s="297">
        <f t="shared" si="379"/>
        <v>247.77304964394233</v>
      </c>
      <c r="J4262" s="297">
        <f t="shared" si="380"/>
        <v>223</v>
      </c>
      <c r="K4262" s="297">
        <f>J4262/POBLA!$B$13*100000</f>
        <v>11.204127138204667</v>
      </c>
      <c r="L4262" s="549">
        <f t="shared" si="377"/>
        <v>-0.20540540540540531</v>
      </c>
      <c r="M4262" s="401">
        <f>SUM(C4262,C4238,C4214,C4190,C4166,C4142,C4118)/POBLA!$B$13*100000</f>
        <v>78.428889967432667</v>
      </c>
    </row>
    <row r="4263" spans="1:13" s="360" customFormat="1" x14ac:dyDescent="0.25">
      <c r="A4263" s="19" t="s">
        <v>23</v>
      </c>
      <c r="B4263" s="2">
        <v>44070</v>
      </c>
      <c r="C4263" s="1">
        <v>-1</v>
      </c>
      <c r="D4263" s="39">
        <f t="shared" si="378"/>
        <v>58</v>
      </c>
      <c r="E4263" s="1"/>
      <c r="F4263" s="39">
        <f t="shared" si="370"/>
        <v>2</v>
      </c>
      <c r="G4263" s="168">
        <f>SUM(C4263,C4239,C4215,C4191,C4167,C4143,C4119,C4095,C4071,C4047,C4023,C3999,C3975,C3951)/POBLA!$B$14*100000</f>
        <v>0.23785096892556376</v>
      </c>
      <c r="H4263" s="256">
        <f t="shared" si="381"/>
        <v>0.3</v>
      </c>
      <c r="I4263" s="297">
        <f t="shared" si="379"/>
        <v>7.1355290677669131E-2</v>
      </c>
      <c r="J4263" s="297">
        <f t="shared" si="380"/>
        <v>0.7142857142857143</v>
      </c>
      <c r="K4263" s="297">
        <f>J4263/POBLA!$B$14*100000</f>
        <v>5.6631183077515183E-2</v>
      </c>
      <c r="L4263" s="549">
        <f t="shared" si="377"/>
        <v>3.5</v>
      </c>
      <c r="M4263" s="401">
        <f>SUM(C4263,C4239,C4215,C4191,C4167,C4143,C4119)/POBLA!$B$14*100000</f>
        <v>0.39641828154260628</v>
      </c>
    </row>
    <row r="4264" spans="1:13" s="360" customFormat="1" x14ac:dyDescent="0.25">
      <c r="A4264" s="19" t="s">
        <v>19</v>
      </c>
      <c r="B4264" s="2">
        <v>44070</v>
      </c>
      <c r="C4264" s="1">
        <v>122</v>
      </c>
      <c r="D4264" s="39">
        <f>C4264+D4240</f>
        <v>2669</v>
      </c>
      <c r="E4264" s="1">
        <f>1+2</f>
        <v>3</v>
      </c>
      <c r="F4264" s="39">
        <f t="shared" si="370"/>
        <v>17</v>
      </c>
      <c r="G4264" s="168">
        <f>SUM(C4264,C4240,C4216,C4192,C4168,C4144,C4120,C4096,C4072,C4048,C4024,C4000,C3976,C3952)/POBLA!$B$15*100000</f>
        <v>143.06000840289315</v>
      </c>
      <c r="H4264" s="256">
        <f t="shared" si="381"/>
        <v>1.6754850088183422</v>
      </c>
      <c r="I4264" s="297">
        <f t="shared" si="379"/>
        <v>239.69489944047353</v>
      </c>
      <c r="J4264" s="297">
        <f t="shared" si="380"/>
        <v>92.714285714285708</v>
      </c>
      <c r="K4264" s="297">
        <f>J4264/POBLA!$B$15*100000</f>
        <v>13.961796308793629</v>
      </c>
      <c r="L4264" s="549">
        <f t="shared" si="377"/>
        <v>-1.1561461794019934</v>
      </c>
      <c r="M4264" s="401">
        <f>SUM(C4264,C4240,C4216,C4192,C4168,C4144,C4120)/POBLA!$B$15*100000</f>
        <v>97.732574161555419</v>
      </c>
    </row>
    <row r="4265" spans="1:13" s="360" customFormat="1" x14ac:dyDescent="0.25">
      <c r="A4265" s="19" t="s">
        <v>18</v>
      </c>
      <c r="B4265" s="2">
        <v>44070</v>
      </c>
      <c r="C4265" s="1">
        <v>268</v>
      </c>
      <c r="D4265" s="39">
        <f>C4265+D4241</f>
        <v>5441</v>
      </c>
      <c r="E4265" s="1">
        <f>1+1+2+4</f>
        <v>8</v>
      </c>
      <c r="F4265" s="39">
        <f t="shared" si="370"/>
        <v>75</v>
      </c>
      <c r="G4265" s="168">
        <f>SUM(C4265,C4241,C4217,C4193,C4169,C4145,C4121,C4097,C4073,C4049,C4025,C4001,C3977,C3953)/POBLA!$B$16*100000</f>
        <v>254.94576049009513</v>
      </c>
      <c r="H4265" s="256">
        <f t="shared" si="381"/>
        <v>1.1264775413711583</v>
      </c>
      <c r="I4265" s="297">
        <f t="shared" si="379"/>
        <v>287.19067345988253</v>
      </c>
      <c r="J4265" s="297">
        <f t="shared" si="380"/>
        <v>158.85714285714286</v>
      </c>
      <c r="K4265" s="297">
        <f>J4265/POBLA!$B$16*100000</f>
        <v>21.248664792758639</v>
      </c>
      <c r="L4265" s="549">
        <f t="shared" si="377"/>
        <v>-0.40050377833753159</v>
      </c>
      <c r="M4265" s="401">
        <f>SUM(C4265,C4241,C4217,C4193,C4169,C4145,C4121)/POBLA!$B$16*100000</f>
        <v>148.74065354931045</v>
      </c>
    </row>
    <row r="4266" spans="1:13" s="360" customFormat="1" x14ac:dyDescent="0.25">
      <c r="A4266" s="19" t="s">
        <v>34</v>
      </c>
      <c r="B4266" s="2">
        <v>44070</v>
      </c>
      <c r="C4266" s="1">
        <v>179</v>
      </c>
      <c r="D4266" s="39">
        <f>C4266+D4242</f>
        <v>2464</v>
      </c>
      <c r="E4266" s="1">
        <f>1</f>
        <v>1</v>
      </c>
      <c r="F4266" s="39">
        <f>E4266+F4242</f>
        <v>38</v>
      </c>
      <c r="G4266" s="168">
        <f>SUM(C4266,C4242,C4218,C4194,C4170,C4146,C4122,C4098,C4074,C4050,C4026,C4002,C3978,C3954)/POBLA!$B$17*100000</f>
        <v>115.3470556312601</v>
      </c>
      <c r="H4266" s="256">
        <f t="shared" si="381"/>
        <v>2.8723776223776225</v>
      </c>
      <c r="I4266" s="297">
        <f t="shared" si="379"/>
        <v>331.32030140237828</v>
      </c>
      <c r="J4266" s="297">
        <f t="shared" si="380"/>
        <v>137.71428571428572</v>
      </c>
      <c r="K4266" s="297">
        <f>J4266/POBLA!$B$17*100000</f>
        <v>9.6682515979944998</v>
      </c>
      <c r="L4266" s="549">
        <f t="shared" si="377"/>
        <v>-0.41973490427098681</v>
      </c>
      <c r="M4266" s="401">
        <f>SUM(C4266,C4242,C4218,C4194,C4170,C4146,C4122)/POBLA!$B$17*100000</f>
        <v>67.677761185961501</v>
      </c>
    </row>
    <row r="4267" spans="1:13" s="360" customFormat="1" x14ac:dyDescent="0.25">
      <c r="A4267" s="19" t="s">
        <v>35</v>
      </c>
      <c r="B4267" s="2">
        <v>44070</v>
      </c>
      <c r="C4267" s="1">
        <v>36</v>
      </c>
      <c r="D4267" s="39">
        <f t="shared" ref="D4267:D4273" si="382">C4267+D4243</f>
        <v>182</v>
      </c>
      <c r="E4267" s="1"/>
      <c r="F4267" s="39">
        <f>E4267+F4243</f>
        <v>0</v>
      </c>
      <c r="G4267" s="168">
        <f>SUM(C4267,C4243,C4219,C4195,C4171,C4147,C4123,C4099,C4075,C4051,C4027,C4003,C3979,C3955)/POBLA!$B$18*100000</f>
        <v>20.352859704793929</v>
      </c>
      <c r="H4267" s="256">
        <f t="shared" si="381"/>
        <v>79.5</v>
      </c>
      <c r="I4267" s="297">
        <f t="shared" si="379"/>
        <v>1618.0523465311173</v>
      </c>
      <c r="J4267" s="297">
        <f t="shared" si="380"/>
        <v>21</v>
      </c>
      <c r="K4267" s="297">
        <f>J4267/POBLA!$B$18*100000</f>
        <v>2.6881135459161793</v>
      </c>
      <c r="L4267" s="549">
        <f t="shared" si="377"/>
        <v>-11.25</v>
      </c>
      <c r="M4267" s="401">
        <f>SUM(C4267,C4243,C4219,C4195,C4171,C4147,C4123)/POBLA!$B$18*100000</f>
        <v>18.816794821413254</v>
      </c>
    </row>
    <row r="4268" spans="1:13" s="360" customFormat="1" x14ac:dyDescent="0.25">
      <c r="A4268" s="19" t="s">
        <v>36</v>
      </c>
      <c r="B4268" s="2">
        <v>44070</v>
      </c>
      <c r="C4268" s="1">
        <v>7</v>
      </c>
      <c r="D4268" s="39">
        <f t="shared" si="382"/>
        <v>51</v>
      </c>
      <c r="E4268" s="1"/>
      <c r="F4268" s="39">
        <f>E4268+F4244</f>
        <v>0</v>
      </c>
      <c r="G4268" s="168">
        <f>SUM(C4268,C4244,C4220,C4196,C4172,C4148,C4124,C4100,C4076,C4052,C4028,C4004,C3980,C3956)/POBLA!$B$19*100000</f>
        <v>3.5410207582505784</v>
      </c>
      <c r="H4268" s="256">
        <f t="shared" si="381"/>
        <v>3</v>
      </c>
      <c r="I4268" s="297">
        <f t="shared" si="379"/>
        <v>10.623062274751735</v>
      </c>
      <c r="J4268" s="297">
        <f t="shared" si="380"/>
        <v>1.7142857142857142</v>
      </c>
      <c r="K4268" s="297">
        <f>J4268/POBLA!$B$19*100000</f>
        <v>0.33724007221434077</v>
      </c>
      <c r="L4268" s="549">
        <f t="shared" si="377"/>
        <v>-1</v>
      </c>
      <c r="M4268" s="401">
        <f>SUM(C4268,C4244,C4220,C4196,C4172,C4148,C4124)/POBLA!$B$19*100000</f>
        <v>2.3606805055003854</v>
      </c>
    </row>
    <row r="4269" spans="1:13" s="360" customFormat="1" x14ac:dyDescent="0.25">
      <c r="A4269" s="19" t="s">
        <v>37</v>
      </c>
      <c r="B4269" s="2">
        <v>44070</v>
      </c>
      <c r="C4269" s="1">
        <v>51</v>
      </c>
      <c r="D4269" s="39">
        <f t="shared" si="382"/>
        <v>1530</v>
      </c>
      <c r="E4269" s="1"/>
      <c r="F4269" s="39">
        <f t="shared" ref="F4269:F4274" si="383">E4269+F4245</f>
        <v>11</v>
      </c>
      <c r="G4269" s="168">
        <f>SUM(C4269,C4245,C4221,C4197,C4173,C4149,C4125,C4101,C4077,C4053,C4029,C4005,C3981,C3957)/POBLA!$B$20*100000</f>
        <v>167.62465203528595</v>
      </c>
      <c r="H4269" s="256">
        <f t="shared" si="381"/>
        <v>1.2639175257731958</v>
      </c>
      <c r="I4269" s="297">
        <f t="shared" si="379"/>
        <v>211.86373545903152</v>
      </c>
      <c r="J4269" s="297">
        <f t="shared" si="380"/>
        <v>50.285714285714285</v>
      </c>
      <c r="K4269" s="297">
        <f>J4269/POBLA!$B$20*100000</f>
        <v>13.750612331955407</v>
      </c>
      <c r="L4269" s="549">
        <f t="shared" si="377"/>
        <v>-0.34865900383141768</v>
      </c>
      <c r="M4269" s="401">
        <f>SUM(C4269,C4245,C4221,C4197,C4173,C4149,C4125)/POBLA!$B$20*100000</f>
        <v>96.25428632368785</v>
      </c>
    </row>
    <row r="4270" spans="1:13" s="360" customFormat="1" x14ac:dyDescent="0.25">
      <c r="A4270" s="19" t="s">
        <v>22</v>
      </c>
      <c r="B4270" s="2">
        <v>44070</v>
      </c>
      <c r="C4270" s="1">
        <v>471</v>
      </c>
      <c r="D4270" s="39">
        <f t="shared" si="382"/>
        <v>6234</v>
      </c>
      <c r="E4270" s="1">
        <f>3+1</f>
        <v>4</v>
      </c>
      <c r="F4270" s="39">
        <f t="shared" si="383"/>
        <v>72</v>
      </c>
      <c r="G4270" s="168">
        <f>SUM(C4270,C4246,C4222,C4198,C4174,C4150,C4126,C4102,C4078,C4054,C4030,C4006,C3982,C3958)/POBLA!$B$21*100000</f>
        <v>98.121884912926021</v>
      </c>
      <c r="H4270" s="256">
        <f t="shared" si="381"/>
        <v>2.1539416511483549</v>
      </c>
      <c r="I4270" s="297">
        <f t="shared" si="379"/>
        <v>211.34881480313672</v>
      </c>
      <c r="J4270" s="297">
        <f t="shared" si="380"/>
        <v>311.57142857142856</v>
      </c>
      <c r="K4270" s="297">
        <f>J4270/POBLA!$B$21*100000</f>
        <v>8.810367681971659</v>
      </c>
      <c r="L4270" s="549">
        <f t="shared" si="377"/>
        <v>-0.69200930954228079</v>
      </c>
      <c r="M4270" s="401">
        <f>SUM(C4270,C4246,C4222,C4198,C4174,C4150,C4126)/POBLA!$B$21*100000</f>
        <v>61.672573773801624</v>
      </c>
    </row>
    <row r="4271" spans="1:13" s="360" customFormat="1" x14ac:dyDescent="0.25">
      <c r="A4271" s="19" t="s">
        <v>38</v>
      </c>
      <c r="B4271" s="2">
        <v>44070</v>
      </c>
      <c r="C4271" s="1">
        <v>53</v>
      </c>
      <c r="D4271" s="39">
        <f t="shared" si="382"/>
        <v>745</v>
      </c>
      <c r="E4271" s="1"/>
      <c r="F4271" s="39">
        <f t="shared" si="383"/>
        <v>6</v>
      </c>
      <c r="G4271" s="168">
        <f>SUM(C4271,C4247,C4223,C4199,C4175,C4151,C4127,C4103,C4079,C4055,C4031,C4007,C3983,C3959)/POBLA!$B$22*100000</f>
        <v>55.605925710892123</v>
      </c>
      <c r="H4271" s="256">
        <f t="shared" si="381"/>
        <v>3.5324675324675323</v>
      </c>
      <c r="I4271" s="297">
        <f t="shared" si="379"/>
        <v>196.42612718652802</v>
      </c>
      <c r="J4271" s="297">
        <f t="shared" si="380"/>
        <v>46.857142857142854</v>
      </c>
      <c r="K4271" s="297">
        <f>J4271/POBLA!$B$22*100000</f>
        <v>4.7895860381230602</v>
      </c>
      <c r="L4271" s="549">
        <f t="shared" si="377"/>
        <v>-0.5185185185185186</v>
      </c>
      <c r="M4271" s="401">
        <f>SUM(C4271,C4247,C4223,C4199,C4175,C4151,C4127)/POBLA!$B$22*100000</f>
        <v>33.527102266861419</v>
      </c>
    </row>
    <row r="4272" spans="1:13" s="360" customFormat="1" x14ac:dyDescent="0.25">
      <c r="A4272" s="19" t="s">
        <v>39</v>
      </c>
      <c r="B4272" s="2">
        <v>44070</v>
      </c>
      <c r="C4272" s="1">
        <v>25</v>
      </c>
      <c r="D4272" s="39">
        <f t="shared" si="382"/>
        <v>1879</v>
      </c>
      <c r="E4272" s="1"/>
      <c r="F4272" s="39">
        <f t="shared" si="383"/>
        <v>24</v>
      </c>
      <c r="G4272" s="168">
        <f>SUM(C4272,C4248,C4224,C4200,C4176,C4152,C4128,C4104,C4080,C4056,C4032,C4008,C3984,C3960)/POBLA!$B$23*100000</f>
        <v>368.15020075779</v>
      </c>
      <c r="H4272" s="256">
        <f t="shared" si="381"/>
        <v>0.83354673495518561</v>
      </c>
      <c r="I4272" s="297">
        <f t="shared" si="379"/>
        <v>306.87039781475198</v>
      </c>
      <c r="J4272" s="297">
        <f t="shared" si="380"/>
        <v>39.857142857142854</v>
      </c>
      <c r="K4272" s="297">
        <f>J4272/POBLA!$B$23*100000</f>
        <v>22.53980820966061</v>
      </c>
      <c r="L4272" s="549">
        <f t="shared" si="377"/>
        <v>0.25</v>
      </c>
      <c r="M4272" s="401">
        <f>SUM(C4272,C4248,C4224,C4200,C4176,C4152,C4128)/POBLA!$B$23*100000</f>
        <v>157.77865746762427</v>
      </c>
    </row>
    <row r="4273" spans="1:13" s="360" customFormat="1" ht="15.75" thickBot="1" x14ac:dyDescent="0.3">
      <c r="A4273" s="19" t="s">
        <v>40</v>
      </c>
      <c r="B4273" s="2">
        <v>44070</v>
      </c>
      <c r="C4273" s="1">
        <v>120</v>
      </c>
      <c r="D4273" s="39">
        <f t="shared" si="382"/>
        <v>1469</v>
      </c>
      <c r="E4273" s="1">
        <f>1</f>
        <v>1</v>
      </c>
      <c r="F4273" s="39">
        <f t="shared" si="383"/>
        <v>8</v>
      </c>
      <c r="G4273" s="177">
        <f>SUM(C4273,C4249,C4225,C4201,C4177,C4153,C4129,C4105,C4081,C4057,C4033,C4009,C3985,C3961)/POBLA!$B$24*100000</f>
        <v>57.00271913591903</v>
      </c>
      <c r="H4273" s="402">
        <f t="shared" si="381"/>
        <v>3.1568627450980391</v>
      </c>
      <c r="I4273" s="403">
        <f t="shared" si="379"/>
        <v>179.94976040946986</v>
      </c>
      <c r="J4273" s="403">
        <f t="shared" si="380"/>
        <v>90.285714285714292</v>
      </c>
      <c r="K4273" s="403">
        <f>J4273/POBLA!$B$24*100000</f>
        <v>5.3276720635759878</v>
      </c>
      <c r="L4273" s="550">
        <f t="shared" si="377"/>
        <v>-0.89221556886227549</v>
      </c>
      <c r="M4273" s="405">
        <f>SUM(C4273,C4249,C4225,C4201,C4177,C4153,C4129)/POBLA!$B$24*100000</f>
        <v>37.293704445031914</v>
      </c>
    </row>
    <row r="4274" spans="1:13" s="360" customFormat="1" x14ac:dyDescent="0.25">
      <c r="A4274" s="361" t="s">
        <v>16</v>
      </c>
      <c r="B4274" s="2">
        <v>44071</v>
      </c>
      <c r="C4274" s="1">
        <v>7486</v>
      </c>
      <c r="D4274" s="39">
        <f>C4274+D4250</f>
        <v>244220</v>
      </c>
      <c r="E4274" s="1">
        <f>26+24+54+39+1</f>
        <v>144</v>
      </c>
      <c r="F4274" s="39">
        <f t="shared" si="383"/>
        <v>4955</v>
      </c>
      <c r="G4274" s="175">
        <f>SUM(C4274,C4250,C4226,C4202,C4178,C4154,C4130,C4106,C4082,C4058,C4034,C4010,C3986,C3962)/POBLA!$B$1*100000</f>
        <v>391.54807546441822</v>
      </c>
      <c r="H4274" s="300">
        <f t="shared" ref="H4274:H4281" si="384">SUM(C4274,C4250,C4226,C4202,C4178,C4154,C4130,C4106,C4082,C4058,C4034,C4010,C3986,C3962)/SUM(C3938,C3914,C3890,C3866,C3842,C3818,C3794,C3770,C3746,C3722,C3698,C3674,C3650,C3626)</f>
        <v>1.1263960639606396</v>
      </c>
      <c r="I4274" s="301">
        <f>G4274*H4274</f>
        <v>441.03821105448418</v>
      </c>
      <c r="J4274" s="301">
        <f>AVERAGE(C4274,C4250,C4226,C4202,C4178,C4154,C4130)</f>
        <v>5593</v>
      </c>
      <c r="K4274" s="301">
        <f>J4274/POBLA!$B$1*100000</f>
        <v>31.88504100160873</v>
      </c>
      <c r="L4274" s="548">
        <f t="shared" ref="L4274:L4297" si="385">1-SUM(C4274,C4250,C4226,C4202,C4178,C4154,C4130)/SUM(C4106,C4082,C4058,C4034,C4010,C3986,C3962)</f>
        <v>-0.32575937150790701</v>
      </c>
      <c r="M4274" s="400">
        <f>SUM(C4274,C4250,C4226,C4202,C4178,C4154,C4130)/POBLA!$B$1*100000</f>
        <v>223.19528701126114</v>
      </c>
    </row>
    <row r="4275" spans="1:13" s="360" customFormat="1" x14ac:dyDescent="0.25">
      <c r="A4275" s="19" t="s">
        <v>43</v>
      </c>
      <c r="B4275" s="2">
        <v>44071</v>
      </c>
      <c r="C4275" s="1">
        <v>1430</v>
      </c>
      <c r="D4275" s="39">
        <f t="shared" ref="D4275:D4287" si="386">C4275+D4251</f>
        <v>91787</v>
      </c>
      <c r="E4275" s="1">
        <f>8+5+14+7+1</f>
        <v>35</v>
      </c>
      <c r="F4275" s="39">
        <f t="shared" ref="F4275:F4313" si="387">E4275+F4251</f>
        <v>2142</v>
      </c>
      <c r="G4275" s="168">
        <f>SUM(C4275,C4251,C4227,C4203,C4179,C4155,C4131,C4107,C4083,C4059,C4035,C4011,C3987,C3963)/POBLA!$B$2*100000</f>
        <v>526.16588515063177</v>
      </c>
      <c r="H4275" s="256">
        <f t="shared" si="384"/>
        <v>3.589840283939663</v>
      </c>
      <c r="I4275" s="297">
        <f t="shared" ref="I4275:I4297" si="388">G4275*H4275</f>
        <v>1888.8514905485081</v>
      </c>
      <c r="J4275" s="297">
        <f t="shared" ref="J4275:J4297" si="389">AVERAGE(C4275,C4251,C4227,C4203,C4179,C4155,C4131)</f>
        <v>1283.1428571428571</v>
      </c>
      <c r="K4275" s="297">
        <f>J4275/POBLA!$B$2*100000</f>
        <v>41.71945851840092</v>
      </c>
      <c r="L4275" s="549">
        <f t="shared" si="385"/>
        <v>-0.24732676017219823</v>
      </c>
      <c r="M4275" s="401">
        <f>SUM(C4275,C4251,C4227,C4203,C4179,C4155,C4131)/POBLA!$B$2*100000</f>
        <v>292.03620962880643</v>
      </c>
    </row>
    <row r="4276" spans="1:13" s="360" customFormat="1" x14ac:dyDescent="0.25">
      <c r="A4276" s="19" t="s">
        <v>28</v>
      </c>
      <c r="B4276" s="2">
        <v>44071</v>
      </c>
      <c r="C4276" s="1">
        <v>1</v>
      </c>
      <c r="D4276" s="39">
        <f t="shared" si="386"/>
        <v>65</v>
      </c>
      <c r="E4276" s="1"/>
      <c r="F4276" s="39">
        <f t="shared" si="387"/>
        <v>0</v>
      </c>
      <c r="G4276" s="168">
        <f>SUM(C4276,C4252,C4228,C4204,C4180,C4156,C4132,C4108,C4084,C4060,C4036,C4012,C3988,C3964)/POBLA!$B$3*100000</f>
        <v>0.48141961014639967</v>
      </c>
      <c r="H4276" s="256">
        <f t="shared" si="384"/>
        <v>3.9447731755424065E-3</v>
      </c>
      <c r="I4276" s="297">
        <f t="shared" si="388"/>
        <v>1.8990911642856004E-3</v>
      </c>
      <c r="J4276" s="297">
        <f t="shared" si="389"/>
        <v>0.2857142857142857</v>
      </c>
      <c r="K4276" s="297">
        <f>J4276/POBLA!$B$3*100000</f>
        <v>6.8774230020914234E-2</v>
      </c>
      <c r="L4276" s="549" t="e">
        <f t="shared" si="385"/>
        <v>#DIV/0!</v>
      </c>
      <c r="M4276" s="401">
        <f>SUM(C4276,C4252,C4228,C4204,C4180,C4156,C4132)/POBLA!$B$3*100000</f>
        <v>0.48141961014639967</v>
      </c>
    </row>
    <row r="4277" spans="1:13" s="360" customFormat="1" x14ac:dyDescent="0.25">
      <c r="A4277" s="19" t="s">
        <v>15</v>
      </c>
      <c r="B4277" s="2">
        <v>44071</v>
      </c>
      <c r="C4277" s="1">
        <v>79</v>
      </c>
      <c r="D4277" s="39">
        <f t="shared" si="386"/>
        <v>5183</v>
      </c>
      <c r="E4277" s="1">
        <f>2</f>
        <v>2</v>
      </c>
      <c r="F4277" s="39">
        <f t="shared" si="387"/>
        <v>205</v>
      </c>
      <c r="G4277" s="168">
        <f>SUM(C4277,C4253,C4229,C4205,C4181,C4157,C4133,C4109,C4085,C4061,C4037,C4013,C3989,C3965)/POBLA!$B$4*100000</f>
        <v>70.98139457270446</v>
      </c>
      <c r="H4277" s="256">
        <f t="shared" si="384"/>
        <v>2.6886792452830188</v>
      </c>
      <c r="I4277" s="297">
        <f t="shared" si="388"/>
        <v>190.84620238887518</v>
      </c>
      <c r="J4277" s="297">
        <f t="shared" si="389"/>
        <v>61</v>
      </c>
      <c r="K4277" s="297">
        <f>J4277/POBLA!$B$4*100000</f>
        <v>5.0641696712689726</v>
      </c>
      <c r="L4277" s="549">
        <f t="shared" si="385"/>
        <v>2.3364485981308691E-3</v>
      </c>
      <c r="M4277" s="401">
        <f>SUM(C4277,C4253,C4229,C4205,C4181,C4157,C4133)/POBLA!$B$4*100000</f>
        <v>35.44918769888281</v>
      </c>
    </row>
    <row r="4278" spans="1:13" s="360" customFormat="1" x14ac:dyDescent="0.25">
      <c r="A4278" s="19" t="s">
        <v>29</v>
      </c>
      <c r="B4278" s="2">
        <v>44071</v>
      </c>
      <c r="C4278" s="1">
        <v>66</v>
      </c>
      <c r="D4278" s="39">
        <f t="shared" si="386"/>
        <v>765</v>
      </c>
      <c r="E4278" s="1"/>
      <c r="F4278" s="39">
        <f t="shared" si="387"/>
        <v>7</v>
      </c>
      <c r="G4278" s="168">
        <f>SUM(C4278,C4254,C4230,C4206,C4182,C4158,C4134,C4110,C4086,C4062,C4038,C4014,C3990,C3966)/POBLA!$B$5*100000</f>
        <v>60.582170424915269</v>
      </c>
      <c r="H4278" s="256">
        <f t="shared" si="384"/>
        <v>3.2782585890375034E-2</v>
      </c>
      <c r="I4278" s="297">
        <f t="shared" si="388"/>
        <v>1.9860402053801229</v>
      </c>
      <c r="J4278" s="297">
        <f t="shared" si="389"/>
        <v>41.571428571428569</v>
      </c>
      <c r="K4278" s="297">
        <f>J4278/POBLA!$B$5*100000</f>
        <v>6.7159663213906065</v>
      </c>
      <c r="L4278" s="549">
        <f t="shared" si="385"/>
        <v>-2.4642857142857144</v>
      </c>
      <c r="M4278" s="401">
        <f>SUM(C4278,C4254,C4230,C4206,C4182,C4158,C4134)/POBLA!$B$5*100000</f>
        <v>47.011764249734249</v>
      </c>
    </row>
    <row r="4279" spans="1:13" s="360" customFormat="1" x14ac:dyDescent="0.25">
      <c r="A4279" s="19" t="s">
        <v>20</v>
      </c>
      <c r="B4279" s="2">
        <v>44071</v>
      </c>
      <c r="C4279" s="1">
        <v>375</v>
      </c>
      <c r="D4279" s="39">
        <f t="shared" si="386"/>
        <v>7505</v>
      </c>
      <c r="E4279" s="1">
        <f>2</f>
        <v>2</v>
      </c>
      <c r="F4279" s="39">
        <f t="shared" si="387"/>
        <v>111</v>
      </c>
      <c r="G4279" s="168">
        <f>SUM(C4279,C4255,C4231,C4207,C4183,C4159,C4135,C4111,C4087,C4063,C4039,C4015,C3991,C3967)/POBLA!$B$6*100000</f>
        <v>286.848423582777</v>
      </c>
      <c r="H4279" s="256">
        <f t="shared" si="384"/>
        <v>1.58062930186824</v>
      </c>
      <c r="I4279" s="297">
        <f t="shared" si="388"/>
        <v>453.40102350965003</v>
      </c>
      <c r="J4279" s="297">
        <f t="shared" si="389"/>
        <v>293</v>
      </c>
      <c r="K4279" s="297">
        <f>J4279/POBLA!$B$6*100000</f>
        <v>26.14201807457345</v>
      </c>
      <c r="L4279" s="549">
        <f t="shared" si="385"/>
        <v>-0.76202749140893467</v>
      </c>
      <c r="M4279" s="401">
        <f>SUM(C4279,C4255,C4231,C4207,C4183,C4159,C4135)/POBLA!$B$6*100000</f>
        <v>182.99412652201417</v>
      </c>
    </row>
    <row r="4280" spans="1:13" s="360" customFormat="1" x14ac:dyDescent="0.25">
      <c r="A4280" s="19" t="s">
        <v>30</v>
      </c>
      <c r="B4280" s="2">
        <v>44071</v>
      </c>
      <c r="C4280" s="1">
        <v>35</v>
      </c>
      <c r="D4280" s="39">
        <f t="shared" si="386"/>
        <v>313</v>
      </c>
      <c r="E4280" s="1"/>
      <c r="F4280" s="39">
        <f t="shared" si="387"/>
        <v>5</v>
      </c>
      <c r="G4280" s="168">
        <f>SUM(C4280,C4256,C4232,C4208,C4184,C4160,C4136,C4112,C4088,C4064,C4040,C4016,C3992,C3968)/POBLA!$B$7*100000</f>
        <v>2.3933305854352538</v>
      </c>
      <c r="H4280" s="256">
        <f t="shared" si="384"/>
        <v>1.6363636363636365</v>
      </c>
      <c r="I4280" s="297">
        <f t="shared" si="388"/>
        <v>3.9163591398031428</v>
      </c>
      <c r="J4280" s="297">
        <f t="shared" si="389"/>
        <v>10</v>
      </c>
      <c r="K4280" s="297">
        <f>J4280/POBLA!$B$7*100000</f>
        <v>0.26592562060391711</v>
      </c>
      <c r="L4280" s="549">
        <f t="shared" si="385"/>
        <v>-2.5</v>
      </c>
      <c r="M4280" s="401">
        <f>SUM(C4280,C4256,C4232,C4208,C4184,C4160,C4136)/POBLA!$B$7*100000</f>
        <v>1.8614793442274196</v>
      </c>
    </row>
    <row r="4281" spans="1:13" x14ac:dyDescent="0.25">
      <c r="A4281" s="19" t="s">
        <v>31</v>
      </c>
      <c r="B4281" s="2">
        <v>44071</v>
      </c>
      <c r="C4281" s="1">
        <v>155</v>
      </c>
      <c r="D4281" s="39">
        <f t="shared" si="386"/>
        <v>2936</v>
      </c>
      <c r="E4281" s="1">
        <f>1+3</f>
        <v>4</v>
      </c>
      <c r="F4281" s="39">
        <f t="shared" si="387"/>
        <v>38</v>
      </c>
      <c r="G4281" s="168">
        <f>SUM(C4281,C4257,C4233,C4209,C4185,C4161,C4137,C4113,C4089,C4065,C4041,C4017,C3993,C3969)/POBLA!$B$8*100000</f>
        <v>106.13574263633681</v>
      </c>
      <c r="H4281" s="256">
        <f t="shared" si="384"/>
        <v>2.2561349693251533</v>
      </c>
      <c r="I4281" s="297">
        <f t="shared" si="388"/>
        <v>239.45656045713412</v>
      </c>
      <c r="J4281" s="297">
        <f t="shared" si="389"/>
        <v>134.14285714285714</v>
      </c>
      <c r="K4281" s="297">
        <f>J4281/POBLA!$B$8*100000</f>
        <v>9.6786891653413871</v>
      </c>
      <c r="L4281" s="549">
        <f t="shared" si="385"/>
        <v>-0.76503759398496252</v>
      </c>
      <c r="M4281" s="401">
        <f>SUM(C4281,C4257,C4233,C4209,C4185,C4161,C4137)/POBLA!$B$8*100000</f>
        <v>67.750824157389715</v>
      </c>
    </row>
    <row r="4282" spans="1:13" s="360" customFormat="1" x14ac:dyDescent="0.25">
      <c r="A4282" s="19" t="s">
        <v>41</v>
      </c>
      <c r="B4282" s="2">
        <v>44071</v>
      </c>
      <c r="C4282" s="1">
        <v>2</v>
      </c>
      <c r="D4282" s="39">
        <f t="shared" si="386"/>
        <v>84</v>
      </c>
      <c r="E4282" s="1"/>
      <c r="F4282" s="39">
        <f>E4282+F4258</f>
        <v>1</v>
      </c>
      <c r="G4282" s="168">
        <f>SUM(C4282,C4258,C4234,C4210,C4186,C4162,C4138,C4114,C4090,C4066,C4042,C4018,C3994,C3970)/POBLA!$B$9*100000</f>
        <v>0.99141926625060106</v>
      </c>
      <c r="H4282" s="256">
        <f>SUM(C4282,C4258,C4234,C4210,C4186,C4162,C4138,C4114,C4090,C4066,C4042,C4018,C3994,C3970)/SUM(C3946,C3922,C3898,C3874,C3850,C3826,C3802,C3778,C3754,C3730,C3706,C3682,C3658,C3634)</f>
        <v>-6</v>
      </c>
      <c r="I4282" s="297">
        <f t="shared" si="388"/>
        <v>-5.9485155975036061</v>
      </c>
      <c r="J4282" s="297">
        <f t="shared" si="389"/>
        <v>0.7142857142857143</v>
      </c>
      <c r="K4282" s="297">
        <f>J4282/POBLA!$B$9*100000</f>
        <v>0.11802610312507156</v>
      </c>
      <c r="L4282" s="549">
        <f t="shared" si="385"/>
        <v>-4</v>
      </c>
      <c r="M4282" s="401">
        <f>SUM(C4282,C4258,C4234,C4210,C4186,C4162,C4138)/POBLA!$B$9*100000</f>
        <v>0.82618272187550079</v>
      </c>
    </row>
    <row r="4283" spans="1:13" s="360" customFormat="1" x14ac:dyDescent="0.25">
      <c r="A4283" s="19" t="s">
        <v>32</v>
      </c>
      <c r="B4283" s="2">
        <v>44071</v>
      </c>
      <c r="C4283" s="1">
        <v>347</v>
      </c>
      <c r="D4283" s="39">
        <f t="shared" si="386"/>
        <v>7621</v>
      </c>
      <c r="E4283" s="1">
        <f>3+3+2+3</f>
        <v>11</v>
      </c>
      <c r="F4283" s="39">
        <f t="shared" si="387"/>
        <v>196</v>
      </c>
      <c r="G4283" s="168">
        <f>SUM(C4283,C4259,C4235,C4211,C4187,C4163,C4139,C4115,C4091,C4067,C4043,C4019,C3995,C3971)/POBLA!$B$10*100000</f>
        <v>426.13581084499424</v>
      </c>
      <c r="H4283" s="256">
        <f t="shared" ref="H4283:H4297" si="390">SUM(C4283,C4259,C4235,C4211,C4187,C4163,C4139,C4115,C4091,C4067,C4043,C4019,C3995,C3971)/SUM(C3947,C3923,C3899,C3875,C3851,C3827,C3803,C3779,C3755,C3731,C3707,C3683,C3659,C3635)</f>
        <v>1.5816080885893116</v>
      </c>
      <c r="I4283" s="297">
        <f t="shared" si="388"/>
        <v>673.97984527000779</v>
      </c>
      <c r="J4283" s="297">
        <f t="shared" si="389"/>
        <v>249.57142857142858</v>
      </c>
      <c r="K4283" s="297">
        <f>J4283/POBLA!$B$10*100000</f>
        <v>32.374831987223523</v>
      </c>
      <c r="L4283" s="549">
        <f t="shared" si="385"/>
        <v>-0.13589076723016902</v>
      </c>
      <c r="M4283" s="401">
        <f>SUM(C4283,C4259,C4235,C4211,C4187,C4163,C4139)/POBLA!$B$10*100000</f>
        <v>226.62382391056465</v>
      </c>
    </row>
    <row r="4284" spans="1:13" s="360" customFormat="1" x14ac:dyDescent="0.25">
      <c r="A4284" s="19" t="s">
        <v>33</v>
      </c>
      <c r="B4284" s="2">
        <v>44071</v>
      </c>
      <c r="C4284" s="1">
        <v>0</v>
      </c>
      <c r="D4284" s="39">
        <f t="shared" si="386"/>
        <v>194</v>
      </c>
      <c r="E4284" s="1"/>
      <c r="F4284" s="39">
        <f t="shared" si="387"/>
        <v>2</v>
      </c>
      <c r="G4284" s="168">
        <f>SUM(C4284,C4260,C4236,C4212,C4188,C4164,C4140,C4116,C4092,C4068,C4044,C4020,C3996,C3972)/POBLA!$B$11*100000</f>
        <v>3.3479527269074962</v>
      </c>
      <c r="H4284" s="256">
        <f t="shared" si="390"/>
        <v>0.12903225806451613</v>
      </c>
      <c r="I4284" s="297">
        <f t="shared" si="388"/>
        <v>0.43199390024612855</v>
      </c>
      <c r="J4284" s="297">
        <f t="shared" si="389"/>
        <v>1</v>
      </c>
      <c r="K4284" s="297">
        <f>J4284/POBLA!$B$11*100000</f>
        <v>0.2789960605756247</v>
      </c>
      <c r="L4284" s="549">
        <f t="shared" si="385"/>
        <v>-0.39999999999999991</v>
      </c>
      <c r="M4284" s="401">
        <f>SUM(C4284,C4260,C4236,C4212,C4188,C4164,C4140)/POBLA!$B$11*100000</f>
        <v>1.9529724240293727</v>
      </c>
    </row>
    <row r="4285" spans="1:13" s="360" customFormat="1" x14ac:dyDescent="0.25">
      <c r="A4285" s="19" t="s">
        <v>21</v>
      </c>
      <c r="B4285" s="2">
        <v>44071</v>
      </c>
      <c r="C4285" s="1">
        <v>60</v>
      </c>
      <c r="D4285" s="39">
        <f t="shared" si="386"/>
        <v>1332</v>
      </c>
      <c r="E4285" s="1"/>
      <c r="F4285" s="39">
        <f t="shared" si="387"/>
        <v>31</v>
      </c>
      <c r="G4285" s="168">
        <f>SUM(C4285,C4261,C4237,C4213,C4189,C4165,C4141,C4117,C4093,C4069,C4045,C4021,C3997,C3973)/POBLA!$B$12*100000</f>
        <v>170.50753307871551</v>
      </c>
      <c r="H4285" s="256">
        <f t="shared" si="390"/>
        <v>2.0773993808049536</v>
      </c>
      <c r="I4285" s="297">
        <f t="shared" si="388"/>
        <v>354.21224364030377</v>
      </c>
      <c r="J4285" s="297">
        <f t="shared" si="389"/>
        <v>50.571428571428569</v>
      </c>
      <c r="K4285" s="297">
        <f>J4285/POBLA!$B$12*100000</f>
        <v>12.850684843488459</v>
      </c>
      <c r="L4285" s="549">
        <f t="shared" si="385"/>
        <v>-0.11671924290220814</v>
      </c>
      <c r="M4285" s="401">
        <f>SUM(C4285,C4261,C4237,C4213,C4189,C4165,C4141)/POBLA!$B$12*100000</f>
        <v>89.954793904419219</v>
      </c>
    </row>
    <row r="4286" spans="1:13" s="360" customFormat="1" x14ac:dyDescent="0.25">
      <c r="A4286" s="19" t="s">
        <v>17</v>
      </c>
      <c r="B4286" s="2">
        <v>44071</v>
      </c>
      <c r="C4286" s="1">
        <v>342</v>
      </c>
      <c r="D4286" s="39">
        <f t="shared" si="386"/>
        <v>5943</v>
      </c>
      <c r="E4286" s="1">
        <f>2+1</f>
        <v>3</v>
      </c>
      <c r="F4286" s="39">
        <f t="shared" si="387"/>
        <v>71</v>
      </c>
      <c r="G4286" s="168">
        <f>SUM(C4286,C4262,C4238,C4214,C4190,C4166,C4142,C4118,C4094,C4070,C4046,C4022,C3998,C3974)/POBLA!$B$13*100000</f>
        <v>152.38617762410203</v>
      </c>
      <c r="H4286" s="256">
        <f t="shared" si="390"/>
        <v>1.7893805309734514</v>
      </c>
      <c r="I4286" s="297">
        <f t="shared" si="388"/>
        <v>272.67685943003039</v>
      </c>
      <c r="J4286" s="297">
        <f t="shared" si="389"/>
        <v>241.57142857142858</v>
      </c>
      <c r="K4286" s="297">
        <f>J4286/POBLA!$B$13*100000</f>
        <v>12.137206272071808</v>
      </c>
      <c r="L4286" s="549">
        <f t="shared" si="385"/>
        <v>-0.26005961251862897</v>
      </c>
      <c r="M4286" s="401">
        <f>SUM(C4286,C4262,C4238,C4214,C4190,C4166,C4142)/POBLA!$B$13*100000</f>
        <v>84.960443904502654</v>
      </c>
    </row>
    <row r="4287" spans="1:13" s="360" customFormat="1" x14ac:dyDescent="0.25">
      <c r="A4287" s="19" t="s">
        <v>23</v>
      </c>
      <c r="B4287" s="2">
        <v>44071</v>
      </c>
      <c r="C4287" s="1">
        <v>1</v>
      </c>
      <c r="D4287" s="39">
        <f t="shared" si="386"/>
        <v>59</v>
      </c>
      <c r="E4287" s="1"/>
      <c r="F4287" s="39">
        <f t="shared" si="387"/>
        <v>2</v>
      </c>
      <c r="G4287" s="168">
        <f>SUM(C4287,C4263,C4239,C4215,C4191,C4167,C4143,C4119,C4095,C4071,C4047,C4023,C3999,C3975)/POBLA!$B$14*100000</f>
        <v>0.23785096892556376</v>
      </c>
      <c r="H4287" s="256">
        <f t="shared" si="390"/>
        <v>0.6</v>
      </c>
      <c r="I4287" s="297">
        <f t="shared" si="388"/>
        <v>0.14271058135533826</v>
      </c>
      <c r="J4287" s="297">
        <f t="shared" si="389"/>
        <v>0.14285714285714285</v>
      </c>
      <c r="K4287" s="297">
        <f>J4287/POBLA!$B$14*100000</f>
        <v>1.1326236615503036E-2</v>
      </c>
      <c r="L4287" s="549">
        <f t="shared" si="385"/>
        <v>0.5</v>
      </c>
      <c r="M4287" s="401">
        <f>SUM(C4287,C4263,C4239,C4215,C4191,C4167,C4143)/POBLA!$B$14*100000</f>
        <v>7.9283656308521244E-2</v>
      </c>
    </row>
    <row r="4288" spans="1:13" s="360" customFormat="1" x14ac:dyDescent="0.25">
      <c r="A4288" s="19" t="s">
        <v>19</v>
      </c>
      <c r="B4288" s="2">
        <v>44071</v>
      </c>
      <c r="C4288" s="1">
        <v>99</v>
      </c>
      <c r="D4288" s="39">
        <f>C4288+D4264</f>
        <v>2768</v>
      </c>
      <c r="E4288" s="1">
        <f>3</f>
        <v>3</v>
      </c>
      <c r="F4288" s="39">
        <f t="shared" si="387"/>
        <v>20</v>
      </c>
      <c r="G4288" s="168">
        <f>SUM(C4288,C4264,C4240,C4216,C4192,C4168,C4144,C4120,C4096,C4072,C4048,C4024,C4000,C3976)/POBLA!$B$15*100000</f>
        <v>155.5589354528301</v>
      </c>
      <c r="H4288" s="256">
        <f t="shared" si="390"/>
        <v>1.885036496350365</v>
      </c>
      <c r="I4288" s="297">
        <f t="shared" si="388"/>
        <v>293.23427066199542</v>
      </c>
      <c r="J4288" s="297">
        <f t="shared" si="389"/>
        <v>100.14285714285714</v>
      </c>
      <c r="K4288" s="297">
        <f>J4288/POBLA!$B$15*100000</f>
        <v>15.080461036154599</v>
      </c>
      <c r="L4288" s="549">
        <f t="shared" si="385"/>
        <v>-1.1114457831325302</v>
      </c>
      <c r="M4288" s="401">
        <f>SUM(C4288,C4264,C4240,C4216,C4192,C4168,C4144)/POBLA!$B$15*100000</f>
        <v>105.56322725308219</v>
      </c>
    </row>
    <row r="4289" spans="1:13" s="360" customFormat="1" x14ac:dyDescent="0.25">
      <c r="A4289" s="19" t="s">
        <v>18</v>
      </c>
      <c r="B4289" s="2">
        <v>44071</v>
      </c>
      <c r="C4289" s="1">
        <v>150</v>
      </c>
      <c r="D4289" s="39">
        <f>C4289+D4265</f>
        <v>5591</v>
      </c>
      <c r="E4289" s="1">
        <f>1+2+1</f>
        <v>4</v>
      </c>
      <c r="F4289" s="39">
        <f t="shared" si="387"/>
        <v>79</v>
      </c>
      <c r="G4289" s="168">
        <f>SUM(C4289,C4265,C4241,C4217,C4193,C4169,C4145,C4121,C4097,C4073,C4049,C4025,C4001,C3977)/POBLA!$B$16*100000</f>
        <v>259.22606706705369</v>
      </c>
      <c r="H4289" s="256">
        <f t="shared" si="390"/>
        <v>1.1359906213364594</v>
      </c>
      <c r="I4289" s="297">
        <f t="shared" si="388"/>
        <v>294.47838099410905</v>
      </c>
      <c r="J4289" s="297">
        <f t="shared" si="389"/>
        <v>160.71428571428572</v>
      </c>
      <c r="K4289" s="297">
        <f>J4289/POBLA!$B$16*100000</f>
        <v>21.497075442314269</v>
      </c>
      <c r="L4289" s="549">
        <f t="shared" si="385"/>
        <v>-0.38376383763837629</v>
      </c>
      <c r="M4289" s="401">
        <f>SUM(C4289,C4265,C4241,C4217,C4193,C4169,C4145)/POBLA!$B$16*100000</f>
        <v>150.47952809619989</v>
      </c>
    </row>
    <row r="4290" spans="1:13" s="360" customFormat="1" x14ac:dyDescent="0.25">
      <c r="A4290" s="19" t="s">
        <v>34</v>
      </c>
      <c r="B4290" s="2">
        <v>44071</v>
      </c>
      <c r="C4290" s="1">
        <v>265</v>
      </c>
      <c r="D4290" s="39">
        <f>C4290+D4266</f>
        <v>2729</v>
      </c>
      <c r="E4290" s="1">
        <f>1</f>
        <v>1</v>
      </c>
      <c r="F4290" s="39">
        <f>E4290+F4266</f>
        <v>39</v>
      </c>
      <c r="G4290" s="168">
        <f>SUM(C4290,C4266,C4242,C4218,C4194,C4170,C4146,C4122,C4098,C4074,C4050,C4026,C4002,C3978)/POBLA!$B$17*100000</f>
        <v>126.29905847878085</v>
      </c>
      <c r="H4290" s="256">
        <f t="shared" si="390"/>
        <v>2.6691394658753711</v>
      </c>
      <c r="I4290" s="297">
        <f t="shared" si="388"/>
        <v>337.1098014886154</v>
      </c>
      <c r="J4290" s="297">
        <f t="shared" si="389"/>
        <v>162.71428571428572</v>
      </c>
      <c r="K4290" s="297">
        <f>J4290/POBLA!$B$17*100000</f>
        <v>11.423380259456158</v>
      </c>
      <c r="L4290" s="549">
        <f t="shared" si="385"/>
        <v>-0.72575757575757582</v>
      </c>
      <c r="M4290" s="401">
        <f>SUM(C4290,C4266,C4242,C4218,C4194,C4170,C4146)/POBLA!$B$17*100000</f>
        <v>79.963661816193095</v>
      </c>
    </row>
    <row r="4291" spans="1:13" s="360" customFormat="1" x14ac:dyDescent="0.25">
      <c r="A4291" s="19" t="s">
        <v>35</v>
      </c>
      <c r="B4291" s="2">
        <v>44071</v>
      </c>
      <c r="C4291" s="1">
        <v>11</v>
      </c>
      <c r="D4291" s="39">
        <f t="shared" ref="D4291:D4297" si="391">C4291+D4267</f>
        <v>193</v>
      </c>
      <c r="E4291" s="1"/>
      <c r="F4291" s="39">
        <f>E4291+F4267</f>
        <v>0</v>
      </c>
      <c r="G4291" s="168">
        <f>SUM(C4291,C4267,C4243,C4219,C4195,C4171,C4147,C4123,C4099,C4075,C4051,C4027,C4003,C3979)/POBLA!$B$18*100000</f>
        <v>21.888924588174604</v>
      </c>
      <c r="H4291" s="256">
        <f t="shared" si="390"/>
        <v>85.5</v>
      </c>
      <c r="I4291" s="297">
        <f t="shared" si="388"/>
        <v>1871.5030522889285</v>
      </c>
      <c r="J4291" s="297">
        <f t="shared" si="389"/>
        <v>22.428571428571427</v>
      </c>
      <c r="K4291" s="297">
        <f>J4291/POBLA!$B$18*100000</f>
        <v>2.8709784129853073</v>
      </c>
      <c r="L4291" s="549">
        <f t="shared" si="385"/>
        <v>-10.214285714285714</v>
      </c>
      <c r="M4291" s="401">
        <f>SUM(C4291,C4267,C4243,C4219,C4195,C4171,C4147)/POBLA!$B$18*100000</f>
        <v>20.096848890897153</v>
      </c>
    </row>
    <row r="4292" spans="1:13" s="360" customFormat="1" x14ac:dyDescent="0.25">
      <c r="A4292" s="19" t="s">
        <v>36</v>
      </c>
      <c r="B4292" s="2">
        <v>44071</v>
      </c>
      <c r="C4292" s="1">
        <v>10</v>
      </c>
      <c r="D4292" s="39">
        <f t="shared" si="391"/>
        <v>61</v>
      </c>
      <c r="E4292" s="1"/>
      <c r="F4292" s="39">
        <f t="shared" si="387"/>
        <v>0</v>
      </c>
      <c r="G4292" s="168">
        <f>SUM(C4292,C4268,C4244,C4220,C4196,C4172,C4148,C4124,C4100,C4076,C4052,C4028,C4004,C3980)/POBLA!$B$19*100000</f>
        <v>5.3115311373758676</v>
      </c>
      <c r="H4292" s="256">
        <f t="shared" si="390"/>
        <v>3.375</v>
      </c>
      <c r="I4292" s="297">
        <f t="shared" si="388"/>
        <v>17.926417588643552</v>
      </c>
      <c r="J4292" s="297">
        <f t="shared" si="389"/>
        <v>3.1428571428571428</v>
      </c>
      <c r="K4292" s="297">
        <f>J4292/POBLA!$B$19*100000</f>
        <v>0.61827346572629149</v>
      </c>
      <c r="L4292" s="549">
        <f t="shared" si="385"/>
        <v>-3.4000000000000004</v>
      </c>
      <c r="M4292" s="401">
        <f>SUM(C4292,C4268,C4244,C4220,C4196,C4172,C4148)/POBLA!$B$19*100000</f>
        <v>4.3279142600840403</v>
      </c>
    </row>
    <row r="4293" spans="1:13" s="360" customFormat="1" x14ac:dyDescent="0.25">
      <c r="A4293" s="19" t="s">
        <v>37</v>
      </c>
      <c r="B4293" s="2">
        <v>44071</v>
      </c>
      <c r="C4293" s="1">
        <v>88</v>
      </c>
      <c r="D4293" s="39">
        <f t="shared" si="391"/>
        <v>1618</v>
      </c>
      <c r="E4293" s="1">
        <f>2</f>
        <v>2</v>
      </c>
      <c r="F4293" s="39">
        <f t="shared" ref="F4293:F4298" si="392">E4293+F4269</f>
        <v>13</v>
      </c>
      <c r="G4293" s="168">
        <f>SUM(C4293,C4269,C4245,C4221,C4197,C4173,C4149,C4125,C4101,C4077,C4053,C4029,C4005,C3981)/POBLA!$B$20*100000</f>
        <v>181.57058556513846</v>
      </c>
      <c r="H4293" s="256">
        <f t="shared" si="390"/>
        <v>1.336016096579477</v>
      </c>
      <c r="I4293" s="297">
        <f t="shared" si="388"/>
        <v>242.5812249803862</v>
      </c>
      <c r="J4293" s="297">
        <f t="shared" si="389"/>
        <v>53.142857142857146</v>
      </c>
      <c r="K4293" s="297">
        <f>J4293/POBLA!$B$20*100000</f>
        <v>14.531897123543782</v>
      </c>
      <c r="L4293" s="549">
        <f t="shared" si="385"/>
        <v>-0.27397260273972601</v>
      </c>
      <c r="M4293" s="401">
        <f>SUM(C4293,C4269,C4245,C4221,C4197,C4173,C4149)/POBLA!$B$20*100000</f>
        <v>101.72327986480649</v>
      </c>
    </row>
    <row r="4294" spans="1:13" s="360" customFormat="1" x14ac:dyDescent="0.25">
      <c r="A4294" s="19" t="s">
        <v>22</v>
      </c>
      <c r="B4294" s="2">
        <v>44071</v>
      </c>
      <c r="C4294" s="1">
        <v>507</v>
      </c>
      <c r="D4294" s="39">
        <f t="shared" si="391"/>
        <v>6741</v>
      </c>
      <c r="E4294" s="1">
        <f>2+2</f>
        <v>4</v>
      </c>
      <c r="F4294" s="39">
        <f t="shared" si="392"/>
        <v>76</v>
      </c>
      <c r="G4294" s="168">
        <f>SUM(C4294,C4270,C4246,C4222,C4198,C4174,C4150,C4126,C4102,C4078,C4054,C4030,C4006,C3982)/POBLA!$B$21*100000</f>
        <v>107.08575739632587</v>
      </c>
      <c r="H4294" s="256">
        <f t="shared" si="390"/>
        <v>2.1789413118527041</v>
      </c>
      <c r="I4294" s="297">
        <f t="shared" si="388"/>
        <v>233.33358070189072</v>
      </c>
      <c r="J4294" s="297">
        <f t="shared" si="389"/>
        <v>346.57142857142856</v>
      </c>
      <c r="K4294" s="297">
        <f>J4294/POBLA!$B$21*100000</f>
        <v>9.8000696911798482</v>
      </c>
      <c r="L4294" s="549">
        <f t="shared" si="385"/>
        <v>-0.7825128581925056</v>
      </c>
      <c r="M4294" s="401">
        <f>SUM(C4294,C4270,C4246,C4222,C4198,C4174,C4150)/POBLA!$B$21*100000</f>
        <v>68.600487838258942</v>
      </c>
    </row>
    <row r="4295" spans="1:13" s="360" customFormat="1" x14ac:dyDescent="0.25">
      <c r="A4295" s="19" t="s">
        <v>38</v>
      </c>
      <c r="B4295" s="2">
        <v>44071</v>
      </c>
      <c r="C4295" s="1">
        <v>44</v>
      </c>
      <c r="D4295" s="39">
        <f t="shared" si="391"/>
        <v>789</v>
      </c>
      <c r="E4295" s="1"/>
      <c r="F4295" s="39">
        <f t="shared" si="392"/>
        <v>6</v>
      </c>
      <c r="G4295" s="168">
        <f>SUM(C4295,C4271,C4247,C4223,C4199,C4175,C4151,C4127,C4103,C4079,C4055,C4031,C4007,C3983)/POBLA!$B$22*100000</f>
        <v>57.854694765376728</v>
      </c>
      <c r="H4295" s="256">
        <f t="shared" si="390"/>
        <v>3.1977401129943503</v>
      </c>
      <c r="I4295" s="297">
        <f t="shared" si="388"/>
        <v>185.00427817628943</v>
      </c>
      <c r="J4295" s="297">
        <f t="shared" si="389"/>
        <v>47.714285714285715</v>
      </c>
      <c r="K4295" s="297">
        <f>J4295/POBLA!$B$22*100000</f>
        <v>4.8772004168692149</v>
      </c>
      <c r="L4295" s="549">
        <f t="shared" si="385"/>
        <v>-0.43965517241379315</v>
      </c>
      <c r="M4295" s="401">
        <f>SUM(C4295,C4271,C4247,C4223,C4199,C4175,C4151)/POBLA!$B$22*100000</f>
        <v>34.140402918084497</v>
      </c>
    </row>
    <row r="4296" spans="1:13" s="360" customFormat="1" x14ac:dyDescent="0.25">
      <c r="A4296" s="19" t="s">
        <v>39</v>
      </c>
      <c r="B4296" s="2">
        <v>44071</v>
      </c>
      <c r="C4296" s="1">
        <v>29</v>
      </c>
      <c r="D4296" s="39">
        <f t="shared" si="391"/>
        <v>1908</v>
      </c>
      <c r="E4296" s="1">
        <f>1+1</f>
        <v>2</v>
      </c>
      <c r="F4296" s="39">
        <f t="shared" si="392"/>
        <v>26</v>
      </c>
      <c r="G4296" s="168">
        <f>SUM(C4296,C4272,C4248,C4224,C4200,C4176,C4152,C4128,C4104,C4080,C4056,C4032,C4008,C3984)/POBLA!$B$23*100000</f>
        <v>358.5364474353899</v>
      </c>
      <c r="H4296" s="256">
        <f t="shared" si="390"/>
        <v>0.7779141104294478</v>
      </c>
      <c r="I4296" s="297">
        <f t="shared" si="388"/>
        <v>278.91056156323583</v>
      </c>
      <c r="J4296" s="297">
        <f t="shared" si="389"/>
        <v>38.857142857142854</v>
      </c>
      <c r="K4296" s="297">
        <f>J4296/POBLA!$B$23*100000</f>
        <v>21.974293308342961</v>
      </c>
      <c r="L4296" s="549">
        <f t="shared" si="385"/>
        <v>0.24861878453038677</v>
      </c>
      <c r="M4296" s="401">
        <f>SUM(C4296,C4272,C4248,C4224,C4200,C4176,C4152)/POBLA!$B$23*100000</f>
        <v>153.82005315840073</v>
      </c>
    </row>
    <row r="4297" spans="1:13" s="360" customFormat="1" ht="15.75" thickBot="1" x14ac:dyDescent="0.3">
      <c r="A4297" s="19" t="s">
        <v>40</v>
      </c>
      <c r="B4297" s="2">
        <v>44071</v>
      </c>
      <c r="C4297" s="1">
        <v>135</v>
      </c>
      <c r="D4297" s="39">
        <f t="shared" si="391"/>
        <v>1604</v>
      </c>
      <c r="E4297" s="1">
        <f>4+1</f>
        <v>5</v>
      </c>
      <c r="F4297" s="39">
        <f t="shared" si="392"/>
        <v>13</v>
      </c>
      <c r="G4297" s="177">
        <f>SUM(C4297,C4273,C4249,C4225,C4201,C4177,C4153,C4129,C4105,C4081,C4057,C4033,C4009,C3985)/POBLA!$B$24*100000</f>
        <v>63.139657842063514</v>
      </c>
      <c r="H4297" s="402">
        <f t="shared" si="390"/>
        <v>3.2522796352583585</v>
      </c>
      <c r="I4297" s="403">
        <f t="shared" si="388"/>
        <v>205.34782337692388</v>
      </c>
      <c r="J4297" s="403">
        <f t="shared" si="389"/>
        <v>100</v>
      </c>
      <c r="K4297" s="403">
        <f>J4297/POBLA!$B$24*100000</f>
        <v>5.9009026020620121</v>
      </c>
      <c r="L4297" s="550">
        <f t="shared" si="385"/>
        <v>-0.89189189189189189</v>
      </c>
      <c r="M4297" s="405">
        <f>SUM(C4297,C4273,C4249,C4225,C4201,C4177,C4153)/POBLA!$B$24*100000</f>
        <v>41.306318214434079</v>
      </c>
    </row>
    <row r="4298" spans="1:13" s="360" customFormat="1" x14ac:dyDescent="0.25">
      <c r="A4298" s="361" t="s">
        <v>16</v>
      </c>
      <c r="B4298" s="2">
        <v>44072</v>
      </c>
      <c r="C4298" s="1">
        <v>5545</v>
      </c>
      <c r="D4298" s="39">
        <f>C4298+D4274</f>
        <v>249765</v>
      </c>
      <c r="E4298" s="1">
        <v>41</v>
      </c>
      <c r="F4298" s="39">
        <f t="shared" si="392"/>
        <v>4996</v>
      </c>
      <c r="G4298" s="175">
        <f>SUM(C4298,C4274,C4250,C4226,C4202,C4178,C4154,C4130,C4106,C4082,C4058,C4034,C4010,C3986)/POBLA!$B$1*100000</f>
        <v>397.85895341699836</v>
      </c>
      <c r="H4298" s="300">
        <f t="shared" ref="H4298:H4321" si="393">SUM(C4298,C4274,C4250,C4226,C4202,C4178,C4154,C4130,C4106,C4082,C4058,C4034,C4010,C3986)/SUM(C3962,C3938,C3914,C3890,C3866,C3842,C3818,C3794,C3770,C3746,C3722,C3698,C3674,C3650)</f>
        <v>1.1287786889223155</v>
      </c>
      <c r="I4298" s="301">
        <f>G4298*H4298</f>
        <v>449.094707814044</v>
      </c>
      <c r="J4298" s="301">
        <f>AVERAGE(C4298,C4274,C4250,C4226,C4202,C4178,C4154)</f>
        <v>5694</v>
      </c>
      <c r="K4298" s="301">
        <f>J4298/POBLA!$B$1*100000</f>
        <v>32.460830227634567</v>
      </c>
      <c r="L4298" s="548">
        <f t="shared" ref="L4298:L4321" si="394">1-SUM(C4298,C4274,C4250,C4226,C4202,C4178,C4154)/SUM(C4130,C4106,C4082,C4058,C4034,C4010,C3986)</f>
        <v>-0.33166282449634155</v>
      </c>
      <c r="M4298" s="400">
        <f>SUM(C4298,C4274,C4250,C4226,C4202,C4178,C4154)/POBLA!$B$1*100000</f>
        <v>227.22581159344196</v>
      </c>
    </row>
    <row r="4299" spans="1:13" s="360" customFormat="1" x14ac:dyDescent="0.25">
      <c r="A4299" s="19" t="s">
        <v>43</v>
      </c>
      <c r="B4299" s="2">
        <v>44072</v>
      </c>
      <c r="C4299" s="1">
        <v>1195</v>
      </c>
      <c r="D4299" s="39">
        <f t="shared" ref="D4299:D4311" si="395">C4299+D4275</f>
        <v>92982</v>
      </c>
      <c r="E4299" s="1">
        <f>7+5+10+3</f>
        <v>25</v>
      </c>
      <c r="F4299" s="39">
        <f t="shared" si="387"/>
        <v>2167</v>
      </c>
      <c r="G4299" s="168">
        <f>SUM(C4299,C4275,C4251,C4227,C4203,C4179,C4155,C4131,C4107,C4083,C4059,C4035,C4011,C3987)/POBLA!$B$2*100000</f>
        <v>535.26966367390787</v>
      </c>
      <c r="H4299" s="256">
        <f t="shared" si="393"/>
        <v>3.0357735570717317</v>
      </c>
      <c r="I4299" s="297">
        <f t="shared" ref="I4299:I4321" si="396">G4299*H4299</f>
        <v>1624.9574908839288</v>
      </c>
      <c r="J4299" s="297">
        <f t="shared" ref="J4299:J4321" si="397">AVERAGE(C4299,C4275,C4251,C4227,C4203,C4179,C4155)</f>
        <v>1296.7142857142858</v>
      </c>
      <c r="K4299" s="297">
        <f>J4299/POBLA!$B$2*100000</f>
        <v>42.160713089682162</v>
      </c>
      <c r="L4299" s="549">
        <f t="shared" si="394"/>
        <v>-0.22894665583536411</v>
      </c>
      <c r="M4299" s="401">
        <f>SUM(C4299,C4275,C4251,C4227,C4203,C4179,C4155)/POBLA!$B$2*100000</f>
        <v>295.1249916277751</v>
      </c>
    </row>
    <row r="4300" spans="1:13" s="360" customFormat="1" x14ac:dyDescent="0.25">
      <c r="A4300" s="19" t="s">
        <v>28</v>
      </c>
      <c r="B4300" s="2">
        <v>44072</v>
      </c>
      <c r="C4300" s="1">
        <v>0</v>
      </c>
      <c r="D4300" s="39">
        <f t="shared" si="395"/>
        <v>65</v>
      </c>
      <c r="E4300" s="1"/>
      <c r="F4300" s="39">
        <f t="shared" si="387"/>
        <v>0</v>
      </c>
      <c r="G4300" s="168">
        <f>SUM(C4300,C4276,C4252,C4228,C4204,C4180,C4156,C4132,C4108,C4084,C4060,C4036,C4012,C3988)/POBLA!$B$3*100000</f>
        <v>0.48141961014639967</v>
      </c>
      <c r="H4300" s="256">
        <f t="shared" si="393"/>
        <v>4.464285714285714E-3</v>
      </c>
      <c r="I4300" s="297">
        <f t="shared" si="396"/>
        <v>2.1491946881535698E-3</v>
      </c>
      <c r="J4300" s="297">
        <f t="shared" si="397"/>
        <v>0.14285714285714285</v>
      </c>
      <c r="K4300" s="297">
        <f>J4300/POBLA!$B$3*100000</f>
        <v>3.4387115010457117E-2</v>
      </c>
      <c r="L4300" s="549">
        <f t="shared" si="394"/>
        <v>0</v>
      </c>
      <c r="M4300" s="401">
        <f>SUM(C4300,C4276,C4252,C4228,C4204,C4180,C4156)/POBLA!$B$3*100000</f>
        <v>0.24070980507319983</v>
      </c>
    </row>
    <row r="4301" spans="1:13" s="360" customFormat="1" x14ac:dyDescent="0.25">
      <c r="A4301" s="19" t="s">
        <v>15</v>
      </c>
      <c r="B4301" s="2">
        <v>44072</v>
      </c>
      <c r="C4301" s="1">
        <v>98</v>
      </c>
      <c r="D4301" s="39">
        <f t="shared" si="395"/>
        <v>5281</v>
      </c>
      <c r="E4301" s="1">
        <f>1+1</f>
        <v>2</v>
      </c>
      <c r="F4301" s="39">
        <f t="shared" si="387"/>
        <v>207</v>
      </c>
      <c r="G4301" s="168">
        <f>SUM(C4301,C4277,C4253,C4229,C4205,C4181,C4157,C4133,C4109,C4085,C4061,C4037,C4013,C3989)/POBLA!$B$4*100000</f>
        <v>75.796506719156923</v>
      </c>
      <c r="H4301" s="256">
        <f t="shared" si="393"/>
        <v>2.6235632183908044</v>
      </c>
      <c r="I4301" s="297">
        <f t="shared" si="396"/>
        <v>198.85692711089158</v>
      </c>
      <c r="J4301" s="297">
        <f t="shared" si="397"/>
        <v>63.857142857142854</v>
      </c>
      <c r="K4301" s="297">
        <f>J4301/POBLA!$B$4*100000</f>
        <v>5.30136731395136</v>
      </c>
      <c r="L4301" s="549">
        <f t="shared" si="394"/>
        <v>4.0772532188841248E-2</v>
      </c>
      <c r="M4301" s="401">
        <f>SUM(C4301,C4277,C4253,C4229,C4205,C4181,C4157)/POBLA!$B$4*100000</f>
        <v>37.109571197659527</v>
      </c>
    </row>
    <row r="4302" spans="1:13" s="360" customFormat="1" x14ac:dyDescent="0.25">
      <c r="A4302" s="19" t="s">
        <v>29</v>
      </c>
      <c r="B4302" s="2">
        <v>44072</v>
      </c>
      <c r="C4302" s="1">
        <v>43</v>
      </c>
      <c r="D4302" s="39">
        <f t="shared" si="395"/>
        <v>808</v>
      </c>
      <c r="E4302" s="1"/>
      <c r="F4302" s="39">
        <f t="shared" si="387"/>
        <v>7</v>
      </c>
      <c r="G4302" s="168">
        <f>SUM(C4302,C4278,C4254,C4230,C4206,C4182,C4158,C4134,C4110,C4086,C4062,C4038,C4014,C3990)/POBLA!$B$5*100000</f>
        <v>66.882716149106457</v>
      </c>
      <c r="H4302" s="256">
        <f t="shared" si="393"/>
        <v>3.9522673031026252E-2</v>
      </c>
      <c r="I4302" s="297">
        <f t="shared" si="396"/>
        <v>2.6433837217880738</v>
      </c>
      <c r="J4302" s="297">
        <f t="shared" si="397"/>
        <v>42.571428571428569</v>
      </c>
      <c r="K4302" s="297">
        <f>J4302/POBLA!$B$5*100000</f>
        <v>6.8775187758570473</v>
      </c>
      <c r="L4302" s="549">
        <f t="shared" si="394"/>
        <v>-1.5689655172413794</v>
      </c>
      <c r="M4302" s="401">
        <f>SUM(C4302,C4278,C4254,C4230,C4206,C4182,C4158)/POBLA!$B$5*100000</f>
        <v>48.14263143099933</v>
      </c>
    </row>
    <row r="4303" spans="1:13" s="360" customFormat="1" x14ac:dyDescent="0.25">
      <c r="A4303" s="19" t="s">
        <v>20</v>
      </c>
      <c r="B4303" s="2">
        <v>44072</v>
      </c>
      <c r="C4303" s="1">
        <v>337</v>
      </c>
      <c r="D4303" s="39">
        <f t="shared" si="395"/>
        <v>7842</v>
      </c>
      <c r="E4303" s="1">
        <f>4+2</f>
        <v>6</v>
      </c>
      <c r="F4303" s="39">
        <f t="shared" si="387"/>
        <v>117</v>
      </c>
      <c r="G4303" s="168">
        <f>SUM(C4303,C4279,C4255,C4231,C4207,C4183,C4159,C4135,C4111,C4087,C4063,C4039,C4015,C3991)/POBLA!$B$6*100000</f>
        <v>302.55147880845931</v>
      </c>
      <c r="H4303" s="256">
        <f t="shared" si="393"/>
        <v>1.6116920152091254</v>
      </c>
      <c r="I4303" s="297">
        <f t="shared" si="396"/>
        <v>487.61980258530679</v>
      </c>
      <c r="J4303" s="297">
        <f t="shared" si="397"/>
        <v>309.85714285714283</v>
      </c>
      <c r="K4303" s="297">
        <f>J4303/POBLA!$B$6*100000</f>
        <v>27.646044467942378</v>
      </c>
      <c r="L4303" s="549">
        <f t="shared" si="394"/>
        <v>-0.77495908346972175</v>
      </c>
      <c r="M4303" s="401">
        <f>SUM(C4303,C4279,C4255,C4231,C4207,C4183,C4159)/POBLA!$B$6*100000</f>
        <v>193.52231127559665</v>
      </c>
    </row>
    <row r="4304" spans="1:13" s="360" customFormat="1" x14ac:dyDescent="0.25">
      <c r="A4304" s="19" t="s">
        <v>30</v>
      </c>
      <c r="B4304" s="2">
        <v>44072</v>
      </c>
      <c r="C4304" s="1">
        <v>8</v>
      </c>
      <c r="D4304" s="39">
        <f t="shared" si="395"/>
        <v>321</v>
      </c>
      <c r="E4304" s="1"/>
      <c r="F4304" s="39">
        <f t="shared" si="387"/>
        <v>5</v>
      </c>
      <c r="G4304" s="168">
        <f>SUM(C4304,C4280,C4256,C4232,C4208,C4184,C4160,C4136,C4112,C4088,C4064,C4040,C4016,C3992)/POBLA!$B$7*100000</f>
        <v>2.5528859577976037</v>
      </c>
      <c r="H4304" s="256">
        <f t="shared" si="393"/>
        <v>3</v>
      </c>
      <c r="I4304" s="297">
        <f t="shared" si="396"/>
        <v>7.6586578733928112</v>
      </c>
      <c r="J4304" s="297">
        <f t="shared" si="397"/>
        <v>10.571428571428571</v>
      </c>
      <c r="K4304" s="297">
        <f>J4304/POBLA!$B$7*100000</f>
        <v>0.28112137035271234</v>
      </c>
      <c r="L4304" s="549">
        <f t="shared" si="394"/>
        <v>-2.3636363636363638</v>
      </c>
      <c r="M4304" s="401">
        <f>SUM(C4304,C4280,C4256,C4232,C4208,C4184,C4160)/POBLA!$B$7*100000</f>
        <v>1.9678495924689865</v>
      </c>
    </row>
    <row r="4305" spans="1:13" x14ac:dyDescent="0.25">
      <c r="A4305" s="19" t="s">
        <v>31</v>
      </c>
      <c r="B4305" s="2">
        <v>44072</v>
      </c>
      <c r="C4305" s="1">
        <v>125</v>
      </c>
      <c r="D4305" s="39">
        <f t="shared" si="395"/>
        <v>3061</v>
      </c>
      <c r="F4305" s="39">
        <f t="shared" si="387"/>
        <v>38</v>
      </c>
      <c r="G4305" s="168">
        <f>SUM(C4305,C4281,C4257,C4233,C4209,C4185,C4161,C4137,C4113,C4089,C4065,C4041,C4017,C3993)/POBLA!$B$8*100000</f>
        <v>110.537020882983</v>
      </c>
      <c r="H4305" s="256">
        <f t="shared" si="393"/>
        <v>2.1823361823361824</v>
      </c>
      <c r="I4305" s="297">
        <f t="shared" si="396"/>
        <v>241.22894016058399</v>
      </c>
      <c r="J4305" s="297">
        <f t="shared" si="397"/>
        <v>132.71428571428572</v>
      </c>
      <c r="K4305" s="297">
        <f>J4305/POBLA!$B$8*100000</f>
        <v>9.5756147333356214</v>
      </c>
      <c r="L4305" s="549">
        <f t="shared" si="394"/>
        <v>-0.54063018242122718</v>
      </c>
      <c r="M4305" s="401">
        <f>SUM(C4305,C4281,C4257,C4233,C4209,C4185,C4161)/POBLA!$B$8*100000</f>
        <v>67.029303133349345</v>
      </c>
    </row>
    <row r="4306" spans="1:13" s="360" customFormat="1" x14ac:dyDescent="0.25">
      <c r="A4306" s="19" t="s">
        <v>41</v>
      </c>
      <c r="B4306" s="2">
        <v>44072</v>
      </c>
      <c r="C4306" s="1">
        <v>0</v>
      </c>
      <c r="D4306" s="39">
        <f t="shared" si="395"/>
        <v>84</v>
      </c>
      <c r="E4306" s="1"/>
      <c r="F4306" s="39">
        <f>E4306+F4282</f>
        <v>1</v>
      </c>
      <c r="G4306" s="168">
        <f>SUM(C4306,C4282,C4258,C4234,C4210,C4186,C4162,C4138,C4114,C4090,C4066,C4042,C4018,C3994)/POBLA!$B$9*100000</f>
        <v>0.82618272187550079</v>
      </c>
      <c r="H4306" s="256" t="e">
        <f>SUM(C4306,C4282,C4258,C4234,C4210,C4186,C4162,C4138,C4114,C4090,C4066,C4042,C4018,C3994)/SUM(C3970,C3946,C3922,C3898,C3874,C3850,C3826,C3802,C3778,C3754,C3730,C3706,C3682,C3658)</f>
        <v>#DIV/0!</v>
      </c>
      <c r="I4306" s="297" t="e">
        <f t="shared" si="396"/>
        <v>#DIV/0!</v>
      </c>
      <c r="J4306" s="297">
        <f t="shared" si="397"/>
        <v>0.5714285714285714</v>
      </c>
      <c r="K4306" s="297">
        <f>J4306/POBLA!$B$9*100000</f>
        <v>9.4420882500057243E-2</v>
      </c>
      <c r="L4306" s="549">
        <f t="shared" si="394"/>
        <v>-3</v>
      </c>
      <c r="M4306" s="401">
        <f>SUM(C4306,C4282,C4258,C4234,C4210,C4186,C4162)/POBLA!$B$9*100000</f>
        <v>0.66094617750040074</v>
      </c>
    </row>
    <row r="4307" spans="1:13" s="360" customFormat="1" x14ac:dyDescent="0.25">
      <c r="A4307" s="19" t="s">
        <v>32</v>
      </c>
      <c r="B4307" s="2">
        <v>44072</v>
      </c>
      <c r="C4307" s="1">
        <v>321</v>
      </c>
      <c r="D4307" s="39">
        <f t="shared" si="395"/>
        <v>7942</v>
      </c>
      <c r="E4307" s="1"/>
      <c r="F4307" s="39">
        <f t="shared" si="387"/>
        <v>196</v>
      </c>
      <c r="G4307" s="168">
        <f>SUM(C4307,C4283,C4259,C4235,C4211,C4187,C4163,C4139,C4115,C4091,C4067,C4043,C4019,C3995)/POBLA!$B$10*100000</f>
        <v>447.41017096023904</v>
      </c>
      <c r="H4307" s="256">
        <f t="shared" si="393"/>
        <v>1.604932526756631</v>
      </c>
      <c r="I4307" s="297">
        <f t="shared" si="396"/>
        <v>718.06313617583271</v>
      </c>
      <c r="J4307" s="297">
        <f t="shared" si="397"/>
        <v>265.14285714285717</v>
      </c>
      <c r="K4307" s="297">
        <f>J4307/POBLA!$B$10*100000</f>
        <v>34.394784297817324</v>
      </c>
      <c r="L4307" s="549">
        <f t="shared" si="394"/>
        <v>-0.16509730069052098</v>
      </c>
      <c r="M4307" s="401">
        <f>SUM(C4307,C4283,C4259,C4235,C4211,C4187,C4163)/POBLA!$B$10*100000</f>
        <v>240.76349008472124</v>
      </c>
    </row>
    <row r="4308" spans="1:13" s="360" customFormat="1" x14ac:dyDescent="0.25">
      <c r="A4308" s="19" t="s">
        <v>33</v>
      </c>
      <c r="B4308" s="2">
        <v>44072</v>
      </c>
      <c r="C4308" s="1">
        <v>6</v>
      </c>
      <c r="D4308" s="39">
        <f t="shared" si="395"/>
        <v>200</v>
      </c>
      <c r="E4308" s="1"/>
      <c r="F4308" s="39">
        <f t="shared" si="387"/>
        <v>2</v>
      </c>
      <c r="G4308" s="168">
        <f>SUM(C4308,C4284,C4260,C4236,C4212,C4188,C4164,C4140,C4116,C4092,C4068,C4044,C4020,C3996)/POBLA!$B$11*100000</f>
        <v>4.7429330297856191</v>
      </c>
      <c r="H4308" s="256">
        <f t="shared" si="393"/>
        <v>0.26153846153846155</v>
      </c>
      <c r="I4308" s="297">
        <f t="shared" si="396"/>
        <v>1.240459407790085</v>
      </c>
      <c r="J4308" s="297">
        <f t="shared" si="397"/>
        <v>1.2857142857142858</v>
      </c>
      <c r="K4308" s="297">
        <f>J4308/POBLA!$B$11*100000</f>
        <v>0.35870922074008887</v>
      </c>
      <c r="L4308" s="549">
        <f t="shared" si="394"/>
        <v>-0.125</v>
      </c>
      <c r="M4308" s="401">
        <f>SUM(C4308,C4284,C4260,C4236,C4212,C4188,C4164)/POBLA!$B$11*100000</f>
        <v>2.510964545180622</v>
      </c>
    </row>
    <row r="4309" spans="1:13" s="360" customFormat="1" x14ac:dyDescent="0.25">
      <c r="A4309" s="19" t="s">
        <v>21</v>
      </c>
      <c r="B4309" s="2">
        <v>44072</v>
      </c>
      <c r="C4309" s="1">
        <v>28</v>
      </c>
      <c r="D4309" s="39">
        <f t="shared" si="395"/>
        <v>1360</v>
      </c>
      <c r="E4309" s="1"/>
      <c r="F4309" s="39">
        <f t="shared" si="387"/>
        <v>31</v>
      </c>
      <c r="G4309" s="168">
        <f>SUM(C4309,C4285,C4261,C4237,C4213,C4189,C4165,C4141,C4117,C4093,C4069,C4045,C4021,C3997)/POBLA!$B$12*100000</f>
        <v>163.6465742215988</v>
      </c>
      <c r="H4309" s="256">
        <f t="shared" si="393"/>
        <v>1.7173333333333334</v>
      </c>
      <c r="I4309" s="297">
        <f t="shared" si="396"/>
        <v>281.03571679655903</v>
      </c>
      <c r="J4309" s="297">
        <f t="shared" si="397"/>
        <v>50.571428571428569</v>
      </c>
      <c r="K4309" s="297">
        <f>J4309/POBLA!$B$12*100000</f>
        <v>12.850684843488459</v>
      </c>
      <c r="L4309" s="549">
        <f t="shared" si="394"/>
        <v>-0.22068965517241379</v>
      </c>
      <c r="M4309" s="401">
        <f>SUM(C4309,C4285,C4261,C4237,C4213,C4189,C4165)/POBLA!$B$12*100000</f>
        <v>89.954793904419219</v>
      </c>
    </row>
    <row r="4310" spans="1:13" s="360" customFormat="1" x14ac:dyDescent="0.25">
      <c r="A4310" s="19" t="s">
        <v>17</v>
      </c>
      <c r="B4310" s="2">
        <v>44072</v>
      </c>
      <c r="C4310" s="1">
        <v>290</v>
      </c>
      <c r="D4310" s="39">
        <f t="shared" si="395"/>
        <v>6233</v>
      </c>
      <c r="E4310" s="1"/>
      <c r="F4310" s="39">
        <f t="shared" si="387"/>
        <v>71</v>
      </c>
      <c r="G4310" s="168">
        <f>SUM(C4310,C4286,C4262,C4238,C4214,C4190,C4166,C4142,C4118,C4094,C4070,C4046,C4022,C3998)/POBLA!$B$13*100000</f>
        <v>156.40559543152972</v>
      </c>
      <c r="H4310" s="256">
        <f t="shared" si="393"/>
        <v>1.7095002745744097</v>
      </c>
      <c r="I4310" s="297">
        <f t="shared" si="396"/>
        <v>267.37540833517409</v>
      </c>
      <c r="J4310" s="297">
        <f t="shared" si="397"/>
        <v>248</v>
      </c>
      <c r="K4310" s="297">
        <f>J4310/POBLA!$B$13*100000</f>
        <v>12.460195203025819</v>
      </c>
      <c r="L4310" s="549">
        <f t="shared" si="394"/>
        <v>-0.26071169208424116</v>
      </c>
      <c r="M4310" s="401">
        <f>SUM(C4310,C4286,C4262,C4238,C4214,C4190,C4166)/POBLA!$B$13*100000</f>
        <v>87.221366421180718</v>
      </c>
    </row>
    <row r="4311" spans="1:13" s="360" customFormat="1" x14ac:dyDescent="0.25">
      <c r="A4311" s="19" t="s">
        <v>23</v>
      </c>
      <c r="B4311" s="2">
        <v>44072</v>
      </c>
      <c r="C4311" s="1">
        <v>1</v>
      </c>
      <c r="D4311" s="39">
        <f t="shared" si="395"/>
        <v>60</v>
      </c>
      <c r="E4311" s="1"/>
      <c r="F4311" s="39">
        <f t="shared" si="387"/>
        <v>2</v>
      </c>
      <c r="G4311" s="168">
        <f>SUM(C4311,C4287,C4263,C4239,C4215,C4191,C4167,C4143,C4119,C4095,C4071,C4047,C4023,C3999)/POBLA!$B$14*100000</f>
        <v>7.9283656308521244E-2</v>
      </c>
      <c r="H4311" s="256">
        <f t="shared" si="393"/>
        <v>0.1111111111111111</v>
      </c>
      <c r="I4311" s="297">
        <f t="shared" si="396"/>
        <v>8.8092951453912494E-3</v>
      </c>
      <c r="J4311" s="297">
        <f t="shared" si="397"/>
        <v>0.14285714285714285</v>
      </c>
      <c r="K4311" s="297">
        <f>J4311/POBLA!$B$14*100000</f>
        <v>1.1326236615503036E-2</v>
      </c>
      <c r="L4311" s="549" t="e">
        <f t="shared" si="394"/>
        <v>#DIV/0!</v>
      </c>
      <c r="M4311" s="401">
        <f>SUM(C4311,C4287,C4263,C4239,C4215,C4191,C4167)/POBLA!$B$14*100000</f>
        <v>7.9283656308521244E-2</v>
      </c>
    </row>
    <row r="4312" spans="1:13" s="360" customFormat="1" x14ac:dyDescent="0.25">
      <c r="A4312" s="19" t="s">
        <v>19</v>
      </c>
      <c r="B4312" s="2">
        <v>44072</v>
      </c>
      <c r="C4312" s="1">
        <v>77</v>
      </c>
      <c r="D4312" s="39">
        <f>C4312+D4288</f>
        <v>2845</v>
      </c>
      <c r="E4312" s="1"/>
      <c r="F4312" s="39">
        <f t="shared" si="387"/>
        <v>20</v>
      </c>
      <c r="G4312" s="168">
        <f>SUM(C4312,C4288,C4264,C4240,C4216,C4192,C4168,C4144,C4120,C4096,C4072,C4048,C4024,C4000)/POBLA!$B$15*100000</f>
        <v>156.31188286547689</v>
      </c>
      <c r="H4312" s="256">
        <f t="shared" si="393"/>
        <v>1.696078431372549</v>
      </c>
      <c r="I4312" s="297">
        <f t="shared" si="396"/>
        <v>265.11721309536767</v>
      </c>
      <c r="J4312" s="297">
        <f t="shared" si="397"/>
        <v>96.428571428571431</v>
      </c>
      <c r="K4312" s="297">
        <f>J4312/POBLA!$B$15*100000</f>
        <v>14.521128672474113</v>
      </c>
      <c r="L4312" s="549">
        <f t="shared" si="394"/>
        <v>-0.85950413223140498</v>
      </c>
      <c r="M4312" s="401">
        <f>SUM(C4312,C4288,C4264,C4240,C4216,C4192,C4168)/POBLA!$B$15*100000</f>
        <v>101.6479007073188</v>
      </c>
    </row>
    <row r="4313" spans="1:13" s="360" customFormat="1" x14ac:dyDescent="0.25">
      <c r="A4313" s="19" t="s">
        <v>18</v>
      </c>
      <c r="B4313" s="2">
        <v>44072</v>
      </c>
      <c r="C4313" s="1">
        <v>188</v>
      </c>
      <c r="D4313" s="39">
        <f>C4313+D4289</f>
        <v>5779</v>
      </c>
      <c r="E4313" s="1">
        <f>2</f>
        <v>2</v>
      </c>
      <c r="F4313" s="39">
        <f t="shared" si="387"/>
        <v>81</v>
      </c>
      <c r="G4313" s="168">
        <f>SUM(C4313,C4289,C4265,C4241,C4217,C4193,C4169,C4145,C4121,C4097,C4073,C4049,C4025,C4001)/POBLA!$B$16*100000</f>
        <v>268.99051644574041</v>
      </c>
      <c r="H4313" s="256">
        <f t="shared" si="393"/>
        <v>1.1419647927314027</v>
      </c>
      <c r="I4313" s="297">
        <f t="shared" si="396"/>
        <v>307.17769935967294</v>
      </c>
      <c r="J4313" s="297">
        <f t="shared" si="397"/>
        <v>170.71428571428572</v>
      </c>
      <c r="K4313" s="297">
        <f>J4313/POBLA!$B$16*100000</f>
        <v>22.834671247613826</v>
      </c>
      <c r="L4313" s="549">
        <f t="shared" si="394"/>
        <v>-0.46446078431372539</v>
      </c>
      <c r="M4313" s="401">
        <f>SUM(C4313,C4289,C4265,C4241,C4217,C4193,C4169)/POBLA!$B$16*100000</f>
        <v>159.84269873329677</v>
      </c>
    </row>
    <row r="4314" spans="1:13" s="360" customFormat="1" x14ac:dyDescent="0.25">
      <c r="A4314" s="19" t="s">
        <v>34</v>
      </c>
      <c r="B4314" s="2">
        <v>44072</v>
      </c>
      <c r="C4314" s="1">
        <v>182</v>
      </c>
      <c r="D4314" s="39">
        <f>C4314+D4290</f>
        <v>2911</v>
      </c>
      <c r="E4314" s="1"/>
      <c r="F4314" s="39">
        <f>E4314+F4290</f>
        <v>39</v>
      </c>
      <c r="G4314" s="168">
        <f>SUM(C4314,C4290,C4266,C4242,C4218,C4194,C4170,C4146,C4122,C4098,C4074,C4050,C4026,C4002)/POBLA!$B$17*100000</f>
        <v>134.44285546796294</v>
      </c>
      <c r="H4314" s="256">
        <f t="shared" si="393"/>
        <v>2.6671309192200559</v>
      </c>
      <c r="I4314" s="297">
        <f t="shared" si="396"/>
        <v>358.57669668683712</v>
      </c>
      <c r="J4314" s="297">
        <f t="shared" si="397"/>
        <v>167.28571428571428</v>
      </c>
      <c r="K4314" s="297">
        <f>J4314/POBLA!$B$17*100000</f>
        <v>11.744318071837716</v>
      </c>
      <c r="L4314" s="549">
        <f t="shared" si="394"/>
        <v>-0.57392473118279574</v>
      </c>
      <c r="M4314" s="401">
        <f>SUM(C4314,C4290,C4266,C4242,C4218,C4194,C4170)/POBLA!$B$17*100000</f>
        <v>82.210226502864018</v>
      </c>
    </row>
    <row r="4315" spans="1:13" s="360" customFormat="1" x14ac:dyDescent="0.25">
      <c r="A4315" s="19" t="s">
        <v>35</v>
      </c>
      <c r="B4315" s="2">
        <v>44072</v>
      </c>
      <c r="C4315" s="1">
        <v>13</v>
      </c>
      <c r="D4315" s="39">
        <f t="shared" ref="D4315:D4321" si="398">C4315+D4291</f>
        <v>206</v>
      </c>
      <c r="E4315" s="1"/>
      <c r="F4315" s="39">
        <f>E4315+F4291</f>
        <v>0</v>
      </c>
      <c r="G4315" s="168">
        <f>SUM(C4315,C4291,C4267,C4243,C4219,C4195,C4171,C4147,C4123,C4099,C4075,C4051,C4027,C4003)/POBLA!$B$18*100000</f>
        <v>23.552994878503668</v>
      </c>
      <c r="H4315" s="256">
        <f t="shared" si="393"/>
        <v>92</v>
      </c>
      <c r="I4315" s="297">
        <f t="shared" si="396"/>
        <v>2166.8755288223374</v>
      </c>
      <c r="J4315" s="297">
        <f t="shared" si="397"/>
        <v>23.857142857142858</v>
      </c>
      <c r="K4315" s="297">
        <f>J4315/POBLA!$B$18*100000</f>
        <v>3.0538432800544348</v>
      </c>
      <c r="L4315" s="549">
        <f t="shared" si="394"/>
        <v>-8.8235294117647065</v>
      </c>
      <c r="M4315" s="401">
        <f>SUM(C4315,C4291,C4267,C4243,C4219,C4195,C4171)/POBLA!$B$18*100000</f>
        <v>21.376902960381049</v>
      </c>
    </row>
    <row r="4316" spans="1:13" s="360" customFormat="1" x14ac:dyDescent="0.25">
      <c r="A4316" s="19" t="s">
        <v>36</v>
      </c>
      <c r="B4316" s="2">
        <v>44072</v>
      </c>
      <c r="C4316" s="1">
        <v>25</v>
      </c>
      <c r="D4316" s="39">
        <f t="shared" si="398"/>
        <v>86</v>
      </c>
      <c r="E4316" s="1"/>
      <c r="F4316" s="39">
        <f>E4316+F4292</f>
        <v>0</v>
      </c>
      <c r="G4316" s="168">
        <f>SUM(C4316,C4292,C4268,C4244,C4220,C4196,C4172,C4148,C4124,C4100,C4076,C4052,C4028,C4004)/POBLA!$B$19*100000</f>
        <v>10.229615523835005</v>
      </c>
      <c r="H4316" s="256">
        <f t="shared" si="393"/>
        <v>8.6666666666666661</v>
      </c>
      <c r="I4316" s="297">
        <f t="shared" si="396"/>
        <v>88.6566678732367</v>
      </c>
      <c r="J4316" s="297">
        <f t="shared" si="397"/>
        <v>6.4285714285714288</v>
      </c>
      <c r="K4316" s="297">
        <f>J4316/POBLA!$B$19*100000</f>
        <v>1.2646502708037781</v>
      </c>
      <c r="L4316" s="549">
        <f t="shared" si="394"/>
        <v>-5.4285714285714288</v>
      </c>
      <c r="M4316" s="401">
        <f>SUM(C4316,C4292,C4268,C4244,C4220,C4196,C4172)/POBLA!$B$19*100000</f>
        <v>8.852551895626446</v>
      </c>
    </row>
    <row r="4317" spans="1:13" s="360" customFormat="1" x14ac:dyDescent="0.25">
      <c r="A4317" s="19" t="s">
        <v>37</v>
      </c>
      <c r="B4317" s="2">
        <v>44072</v>
      </c>
      <c r="C4317" s="1">
        <v>32</v>
      </c>
      <c r="D4317" s="39">
        <f t="shared" si="398"/>
        <v>1650</v>
      </c>
      <c r="E4317" s="1"/>
      <c r="F4317" s="39">
        <f t="shared" ref="F4317:F4322" si="399">E4317+F4293</f>
        <v>13</v>
      </c>
      <c r="G4317" s="168">
        <f>SUM(C4317,C4293,C4269,C4245,C4221,C4197,C4173,C4149,C4125,C4101,C4077,C4053,C4029,C4005)/POBLA!$B$20*100000</f>
        <v>179.92988750280284</v>
      </c>
      <c r="H4317" s="256">
        <f t="shared" si="393"/>
        <v>1.3539094650205761</v>
      </c>
      <c r="I4317" s="297">
        <f t="shared" si="396"/>
        <v>243.60877773013223</v>
      </c>
      <c r="J4317" s="297">
        <f t="shared" si="397"/>
        <v>51</v>
      </c>
      <c r="K4317" s="297">
        <f>J4317/POBLA!$B$20*100000</f>
        <v>13.945933529852502</v>
      </c>
      <c r="L4317" s="549">
        <f t="shared" si="394"/>
        <v>-0.18604651162790709</v>
      </c>
      <c r="M4317" s="401">
        <f>SUM(C4317,C4293,C4269,C4245,C4221,C4197,C4173)/POBLA!$B$20*100000</f>
        <v>97.621534708967502</v>
      </c>
    </row>
    <row r="4318" spans="1:13" s="360" customFormat="1" x14ac:dyDescent="0.25">
      <c r="A4318" s="19" t="s">
        <v>22</v>
      </c>
      <c r="B4318" s="2">
        <v>44072</v>
      </c>
      <c r="C4318" s="1">
        <v>406</v>
      </c>
      <c r="D4318" s="39">
        <f t="shared" si="398"/>
        <v>7147</v>
      </c>
      <c r="E4318" s="1">
        <f>1</f>
        <v>1</v>
      </c>
      <c r="F4318" s="39">
        <f t="shared" si="399"/>
        <v>77</v>
      </c>
      <c r="G4318" s="168">
        <f>SUM(C4318,C4294,C4270,C4246,C4222,C4198,C4174,C4150,C4126,C4102,C4078,C4054,C4030,C4006)/POBLA!$B$21*100000</f>
        <v>113.50468185604755</v>
      </c>
      <c r="H4318" s="256">
        <f t="shared" si="393"/>
        <v>2.1827079934747147</v>
      </c>
      <c r="I4318" s="297">
        <f t="shared" si="396"/>
        <v>247.74757638399942</v>
      </c>
      <c r="J4318" s="297">
        <f t="shared" si="397"/>
        <v>362.57142857142856</v>
      </c>
      <c r="K4318" s="297">
        <f>J4318/POBLA!$B$21*100000</f>
        <v>10.252504895389304</v>
      </c>
      <c r="L4318" s="549">
        <f t="shared" si="394"/>
        <v>-0.71951219512195119</v>
      </c>
      <c r="M4318" s="401">
        <f>SUM(C4318,C4294,C4270,C4246,C4222,C4198,C4174)/POBLA!$B$21*100000</f>
        <v>71.767534267725139</v>
      </c>
    </row>
    <row r="4319" spans="1:13" s="360" customFormat="1" x14ac:dyDescent="0.25">
      <c r="A4319" s="19" t="s">
        <v>38</v>
      </c>
      <c r="B4319" s="2">
        <v>44072</v>
      </c>
      <c r="C4319" s="1">
        <v>52</v>
      </c>
      <c r="D4319" s="39">
        <f t="shared" si="398"/>
        <v>841</v>
      </c>
      <c r="E4319" s="1">
        <f>1+2</f>
        <v>3</v>
      </c>
      <c r="F4319" s="39">
        <f t="shared" si="399"/>
        <v>9</v>
      </c>
      <c r="G4319" s="168">
        <f>SUM(C4319,C4295,C4271,C4247,C4223,C4199,C4175,C4151,C4127,C4103,C4079,C4055,C4031,C4007)/POBLA!$B$22*100000</f>
        <v>60.51233092067671</v>
      </c>
      <c r="H4319" s="256">
        <f t="shared" si="393"/>
        <v>2.9452736318407959</v>
      </c>
      <c r="I4319" s="297">
        <f t="shared" si="396"/>
        <v>178.2253726618936</v>
      </c>
      <c r="J4319" s="297">
        <f t="shared" si="397"/>
        <v>50.285714285714285</v>
      </c>
      <c r="K4319" s="297">
        <f>J4319/POBLA!$B$22*100000</f>
        <v>5.1400435531076747</v>
      </c>
      <c r="L4319" s="549">
        <f t="shared" si="394"/>
        <v>-0.46666666666666656</v>
      </c>
      <c r="M4319" s="401">
        <f>SUM(C4319,C4295,C4271,C4247,C4223,C4199,C4175)/POBLA!$B$22*100000</f>
        <v>35.980304871753724</v>
      </c>
    </row>
    <row r="4320" spans="1:13" s="360" customFormat="1" x14ac:dyDescent="0.25">
      <c r="A4320" s="19" t="s">
        <v>39</v>
      </c>
      <c r="B4320" s="2">
        <v>44072</v>
      </c>
      <c r="C4320" s="1">
        <v>35</v>
      </c>
      <c r="D4320" s="39">
        <f t="shared" si="398"/>
        <v>1943</v>
      </c>
      <c r="E4320" s="1">
        <f>2</f>
        <v>2</v>
      </c>
      <c r="F4320" s="39">
        <f t="shared" si="399"/>
        <v>28</v>
      </c>
      <c r="G4320" s="168">
        <f>SUM(C4320,C4296,C4272,C4248,C4224,C4200,C4176,C4152,C4128,C4104,C4080,C4056,C4032,C4008)/POBLA!$B$23*100000</f>
        <v>328.56415766555449</v>
      </c>
      <c r="H4320" s="256">
        <f t="shared" si="393"/>
        <v>0.67873831775700932</v>
      </c>
      <c r="I4320" s="297">
        <f t="shared" si="396"/>
        <v>223.00908364916722</v>
      </c>
      <c r="J4320" s="297">
        <f t="shared" si="397"/>
        <v>39</v>
      </c>
      <c r="K4320" s="297">
        <f>J4320/POBLA!$B$23*100000</f>
        <v>22.05508115138834</v>
      </c>
      <c r="L4320" s="549">
        <f t="shared" si="394"/>
        <v>0.11363636363636365</v>
      </c>
      <c r="M4320" s="401">
        <f>SUM(C4320,C4296,C4272,C4248,C4224,C4200,C4176)/POBLA!$B$23*100000</f>
        <v>154.38556805971837</v>
      </c>
    </row>
    <row r="4321" spans="1:13" s="360" customFormat="1" ht="15.75" thickBot="1" x14ac:dyDescent="0.3">
      <c r="A4321" s="19" t="s">
        <v>40</v>
      </c>
      <c r="B4321" s="2">
        <v>44072</v>
      </c>
      <c r="C4321" s="1">
        <v>223</v>
      </c>
      <c r="D4321" s="39">
        <f t="shared" si="398"/>
        <v>1827</v>
      </c>
      <c r="E4321" s="1"/>
      <c r="F4321" s="39">
        <f t="shared" si="399"/>
        <v>13</v>
      </c>
      <c r="G4321" s="177">
        <f>SUM(C4321,C4297,C4273,C4249,C4225,C4201,C4177,C4153,C4129,C4105,C4081,C4057,C4033,C4009)/POBLA!$B$24*100000</f>
        <v>74.646417916084445</v>
      </c>
      <c r="H4321" s="402">
        <f t="shared" si="393"/>
        <v>3.7537091988130564</v>
      </c>
      <c r="I4321" s="403">
        <f t="shared" si="396"/>
        <v>280.20094559004991</v>
      </c>
      <c r="J4321" s="403">
        <f t="shared" si="397"/>
        <v>121.57142857142857</v>
      </c>
      <c r="K4321" s="403">
        <f>J4321/POBLA!$B$24*100000</f>
        <v>7.1738115919353875</v>
      </c>
      <c r="L4321" s="550">
        <f t="shared" si="394"/>
        <v>-1.0555555555555554</v>
      </c>
      <c r="M4321" s="405">
        <f>SUM(C4321,C4297,C4273,C4249,C4225,C4201,C4177)/POBLA!$B$24*100000</f>
        <v>50.216681143547717</v>
      </c>
    </row>
    <row r="4322" spans="1:13" s="360" customFormat="1" x14ac:dyDescent="0.25">
      <c r="A4322" s="361" t="s">
        <v>16</v>
      </c>
      <c r="B4322" s="2">
        <v>44073</v>
      </c>
      <c r="C4322" s="1">
        <v>3887</v>
      </c>
      <c r="D4322" s="39">
        <f>C4322+D4298</f>
        <v>253652</v>
      </c>
      <c r="E4322" s="1">
        <v>37</v>
      </c>
      <c r="F4322" s="39">
        <f t="shared" si="399"/>
        <v>5033</v>
      </c>
      <c r="G4322" s="175">
        <f>SUM(C4322,C4298,C4274,C4250,C4226,C4202,C4178,C4154,C4130,C4106,C4082,C4058,C4034,C4010)/POBLA!$B$1*100000</f>
        <v>402.2486336550171</v>
      </c>
      <c r="H4322" s="300">
        <f t="shared" ref="H4322:H4345" si="400">SUM(C4322,C4298,C4274,C4250,C4226,C4202,C4178,C4154,C4130,C4106,C4082,C4058,C4034,C4010)/SUM(C3986,C3962,C3938,C3914,C3890,C3866,C3842,C3818,C3794,C3770,C3746,C3722,C3698,C3674)</f>
        <v>1.1539241499991824</v>
      </c>
      <c r="I4322" s="301">
        <f>G4322*H4322</f>
        <v>464.16441267869811</v>
      </c>
      <c r="J4322" s="301">
        <f>AVERAGE(C4322,C4298,C4274,C4250,C4226,C4202,C4178)</f>
        <v>5845.1428571428569</v>
      </c>
      <c r="K4322" s="301">
        <f>J4322/POBLA!$B$1*100000</f>
        <v>33.322478036878316</v>
      </c>
      <c r="L4322" s="548">
        <f t="shared" ref="L4322:L4345" si="401">1-SUM(C4322,C4298,C4274,C4250,C4226,C4202,C4178)/SUM(C4154,C4130,C4106,C4082,C4058,C4034,C4010)</f>
        <v>-0.38029214317039428</v>
      </c>
      <c r="M4322" s="400">
        <f>SUM(C4322,C4298,C4274,C4250,C4226,C4202,C4178)/POBLA!$B$1*100000</f>
        <v>233.2573462581482</v>
      </c>
    </row>
    <row r="4323" spans="1:13" s="360" customFormat="1" x14ac:dyDescent="0.25">
      <c r="A4323" s="19" t="s">
        <v>43</v>
      </c>
      <c r="B4323" s="2">
        <v>44073</v>
      </c>
      <c r="C4323" s="1">
        <v>1235</v>
      </c>
      <c r="D4323" s="39">
        <f t="shared" ref="D4323:D4335" si="402">C4323+D4299</f>
        <v>94217</v>
      </c>
      <c r="E4323" s="1">
        <v>27</v>
      </c>
      <c r="F4323" s="39">
        <f t="shared" ref="F4323:F4361" si="403">E4323+F4299</f>
        <v>2194</v>
      </c>
      <c r="G4323" s="168">
        <f>SUM(C4323,C4299,C4275,C4251,C4227,C4203,C4179,C4155,C4131,C4107,C4083,C4059,C4035,C4011)/POBLA!$B$2*100000</f>
        <v>543.82071278684225</v>
      </c>
      <c r="H4323" s="256">
        <f t="shared" si="400"/>
        <v>2.6162990771155954</v>
      </c>
      <c r="I4323" s="297">
        <f t="shared" ref="I4323:I4345" si="404">G4323*H4323</f>
        <v>1422.7976289805606</v>
      </c>
      <c r="J4323" s="297">
        <f t="shared" ref="J4323:J4345" si="405">AVERAGE(C4323,C4299,C4275,C4251,C4227,C4203,C4179)</f>
        <v>1327.4285714285713</v>
      </c>
      <c r="K4323" s="297">
        <f>J4323/POBLA!$B$2*100000</f>
        <v>43.15934185626601</v>
      </c>
      <c r="L4323" s="549">
        <f t="shared" si="401"/>
        <v>-0.24993274145816513</v>
      </c>
      <c r="M4323" s="401">
        <f>SUM(C4323,C4299,C4275,C4251,C4227,C4203,C4179)/POBLA!$B$2*100000</f>
        <v>302.11539299386209</v>
      </c>
    </row>
    <row r="4324" spans="1:13" s="360" customFormat="1" x14ac:dyDescent="0.25">
      <c r="A4324" s="19" t="s">
        <v>28</v>
      </c>
      <c r="B4324" s="2">
        <v>44073</v>
      </c>
      <c r="C4324" s="1">
        <v>0</v>
      </c>
      <c r="D4324" s="39">
        <f t="shared" si="402"/>
        <v>65</v>
      </c>
      <c r="E4324" s="1"/>
      <c r="F4324" s="39">
        <f t="shared" si="403"/>
        <v>0</v>
      </c>
      <c r="G4324" s="168">
        <f>SUM(C4324,C4300,C4276,C4252,C4228,C4204,C4180,C4156,C4132,C4108,C4084,C4060,C4036,C4012)/POBLA!$B$3*100000</f>
        <v>0.48141961014639967</v>
      </c>
      <c r="H4324" s="256">
        <f t="shared" si="400"/>
        <v>4.8192771084337354E-3</v>
      </c>
      <c r="I4324" s="297">
        <f t="shared" si="404"/>
        <v>2.320094506729637E-3</v>
      </c>
      <c r="J4324" s="297">
        <f t="shared" si="405"/>
        <v>0.2857142857142857</v>
      </c>
      <c r="K4324" s="297">
        <f>J4324/POBLA!$B$3*100000</f>
        <v>6.8774230020914234E-2</v>
      </c>
      <c r="L4324" s="549" t="e">
        <f t="shared" si="401"/>
        <v>#DIV/0!</v>
      </c>
      <c r="M4324" s="401">
        <f>SUM(C4324,C4300,C4276,C4252,C4228,C4204,C4180)/POBLA!$B$3*100000</f>
        <v>0.48141961014639967</v>
      </c>
    </row>
    <row r="4325" spans="1:13" s="360" customFormat="1" x14ac:dyDescent="0.25">
      <c r="A4325" s="19" t="s">
        <v>15</v>
      </c>
      <c r="B4325" s="2">
        <v>44073</v>
      </c>
      <c r="C4325" s="1">
        <v>61</v>
      </c>
      <c r="D4325" s="39">
        <f t="shared" si="402"/>
        <v>5342</v>
      </c>
      <c r="E4325" s="1">
        <f>1+2</f>
        <v>3</v>
      </c>
      <c r="F4325" s="39">
        <f t="shared" si="403"/>
        <v>210</v>
      </c>
      <c r="G4325" s="168">
        <f>SUM(C4325,C4301,C4277,C4253,C4229,C4205,C4181,C4157,C4133,C4109,C4085,C4061,C4037,C4013)/POBLA!$B$4*100000</f>
        <v>75.215372494585068</v>
      </c>
      <c r="H4325" s="256">
        <f t="shared" si="400"/>
        <v>2.1884057971014492</v>
      </c>
      <c r="I4325" s="297">
        <f t="shared" si="404"/>
        <v>164.60175719829485</v>
      </c>
      <c r="J4325" s="297">
        <f t="shared" si="405"/>
        <v>68.714285714285708</v>
      </c>
      <c r="K4325" s="297">
        <f>J4325/POBLA!$B$4*100000</f>
        <v>5.7046033065114186</v>
      </c>
      <c r="L4325" s="549">
        <f t="shared" si="401"/>
        <v>-0.13176470588235301</v>
      </c>
      <c r="M4325" s="401">
        <f>SUM(C4325,C4301,C4277,C4253,C4229,C4205,C4181)/POBLA!$B$4*100000</f>
        <v>39.932223145579933</v>
      </c>
    </row>
    <row r="4326" spans="1:13" s="360" customFormat="1" x14ac:dyDescent="0.25">
      <c r="A4326" s="19" t="s">
        <v>29</v>
      </c>
      <c r="B4326" s="2">
        <v>44073</v>
      </c>
      <c r="C4326" s="1">
        <v>12</v>
      </c>
      <c r="D4326" s="39">
        <f t="shared" si="402"/>
        <v>820</v>
      </c>
      <c r="E4326" s="1"/>
      <c r="F4326" s="39">
        <f t="shared" si="403"/>
        <v>7</v>
      </c>
      <c r="G4326" s="168">
        <f>SUM(C4326,C4302,C4278,C4254,C4230,C4206,C4182,C4158,C4134,C4110,C4086,C4062,C4038,C4014)/POBLA!$B$5*100000</f>
        <v>67.367373512505779</v>
      </c>
      <c r="H4326" s="256">
        <f t="shared" si="400"/>
        <v>4.3834752444023968E-2</v>
      </c>
      <c r="I4326" s="297">
        <f t="shared" si="404"/>
        <v>2.9530321407247881</v>
      </c>
      <c r="J4326" s="297">
        <f t="shared" si="405"/>
        <v>40.857142857142854</v>
      </c>
      <c r="K4326" s="297">
        <f>J4326/POBLA!$B$5*100000</f>
        <v>6.6005717110574347</v>
      </c>
      <c r="L4326" s="549">
        <f t="shared" si="401"/>
        <v>-1.1832061068702289</v>
      </c>
      <c r="M4326" s="401">
        <f>SUM(C4326,C4302,C4278,C4254,C4230,C4206,C4182)/POBLA!$B$5*100000</f>
        <v>46.204001977402044</v>
      </c>
    </row>
    <row r="4327" spans="1:13" s="360" customFormat="1" x14ac:dyDescent="0.25">
      <c r="A4327" s="19" t="s">
        <v>20</v>
      </c>
      <c r="B4327" s="2">
        <v>44073</v>
      </c>
      <c r="C4327" s="1">
        <v>292</v>
      </c>
      <c r="D4327" s="39">
        <f t="shared" si="402"/>
        <v>8134</v>
      </c>
      <c r="E4327" s="1">
        <f>1+3+2</f>
        <v>6</v>
      </c>
      <c r="F4327" s="39">
        <f t="shared" si="403"/>
        <v>123</v>
      </c>
      <c r="G4327" s="168">
        <f>SUM(C4327,C4303,C4279,C4255,C4231,C4207,C4183,C4159,C4135,C4111,C4087,C4063,C4039,C4015)/POBLA!$B$6*100000</f>
        <v>316.02398641685721</v>
      </c>
      <c r="H4327" s="256">
        <f t="shared" si="400"/>
        <v>1.6413345690454124</v>
      </c>
      <c r="I4327" s="297">
        <f t="shared" si="404"/>
        <v>518.70109355352565</v>
      </c>
      <c r="J4327" s="297">
        <f t="shared" si="405"/>
        <v>318.28571428571428</v>
      </c>
      <c r="K4327" s="297">
        <f>J4327/POBLA!$B$6*100000</f>
        <v>28.39805766462684</v>
      </c>
      <c r="L4327" s="549">
        <f t="shared" si="401"/>
        <v>-0.69558599695585999</v>
      </c>
      <c r="M4327" s="401">
        <f>SUM(C4327,C4303,C4279,C4255,C4231,C4207,C4183)/POBLA!$B$6*100000</f>
        <v>198.78640365238786</v>
      </c>
    </row>
    <row r="4328" spans="1:13" s="360" customFormat="1" x14ac:dyDescent="0.25">
      <c r="A4328" s="19" t="s">
        <v>30</v>
      </c>
      <c r="B4328" s="2">
        <v>44073</v>
      </c>
      <c r="C4328" s="1">
        <v>-4</v>
      </c>
      <c r="D4328" s="39">
        <f t="shared" si="402"/>
        <v>317</v>
      </c>
      <c r="E4328" s="1"/>
      <c r="F4328" s="39">
        <f t="shared" si="403"/>
        <v>5</v>
      </c>
      <c r="G4328" s="168">
        <f>SUM(C4328,C4304,C4280,C4256,C4232,C4208,C4184,C4160,C4136,C4112,C4088,C4064,C4040,C4016)/POBLA!$B$7*100000</f>
        <v>2.3667380233748618</v>
      </c>
      <c r="H4328" s="256">
        <f t="shared" si="400"/>
        <v>2.870967741935484</v>
      </c>
      <c r="I4328" s="297">
        <f t="shared" si="404"/>
        <v>6.7948285187213777</v>
      </c>
      <c r="J4328" s="297">
        <f t="shared" si="405"/>
        <v>9.2857142857142865</v>
      </c>
      <c r="K4328" s="297">
        <f>J4328/POBLA!$B$7*100000</f>
        <v>0.24693093341792305</v>
      </c>
      <c r="L4328" s="549">
        <f t="shared" si="401"/>
        <v>-1.7083333333333335</v>
      </c>
      <c r="M4328" s="401">
        <f>SUM(C4328,C4304,C4280,C4256,C4232,C4208,C4184)/POBLA!$B$7*100000</f>
        <v>1.7285165339254611</v>
      </c>
    </row>
    <row r="4329" spans="1:13" x14ac:dyDescent="0.25">
      <c r="A4329" s="19" t="s">
        <v>31</v>
      </c>
      <c r="B4329" s="2">
        <v>44073</v>
      </c>
      <c r="C4329" s="1">
        <v>110</v>
      </c>
      <c r="D4329" s="39">
        <f t="shared" si="402"/>
        <v>3171</v>
      </c>
      <c r="E4329" s="1">
        <f>1+5+1</f>
        <v>7</v>
      </c>
      <c r="F4329" s="39">
        <f t="shared" si="403"/>
        <v>45</v>
      </c>
      <c r="G4329" s="168">
        <f>SUM(C4329,C4305,C4281,C4257,C4233,C4209,C4185,C4161,C4137,C4113,C4089,C4065,C4041,C4017)/POBLA!$B$8*100000</f>
        <v>111.11423770221529</v>
      </c>
      <c r="H4329" s="256">
        <f t="shared" si="400"/>
        <v>1.9642857142857142</v>
      </c>
      <c r="I4329" s="297">
        <f t="shared" si="404"/>
        <v>218.26010977220861</v>
      </c>
      <c r="J4329" s="297">
        <f t="shared" si="405"/>
        <v>130.42857142857142</v>
      </c>
      <c r="K4329" s="297">
        <f>J4329/POBLA!$B$8*100000</f>
        <v>9.4106956421263952</v>
      </c>
      <c r="L4329" s="549">
        <f t="shared" si="401"/>
        <v>-0.45614035087719307</v>
      </c>
      <c r="M4329" s="401">
        <f>SUM(C4329,C4305,C4281,C4257,C4233,C4209,C4185)/POBLA!$B$8*100000</f>
        <v>65.874869494884777</v>
      </c>
    </row>
    <row r="4330" spans="1:13" s="360" customFormat="1" x14ac:dyDescent="0.25">
      <c r="A4330" s="19" t="s">
        <v>41</v>
      </c>
      <c r="B4330" s="2">
        <v>44073</v>
      </c>
      <c r="C4330" s="1">
        <v>-1</v>
      </c>
      <c r="D4330" s="39">
        <f t="shared" si="402"/>
        <v>83</v>
      </c>
      <c r="E4330" s="1"/>
      <c r="F4330" s="39">
        <f>E4330+F4306</f>
        <v>1</v>
      </c>
      <c r="G4330" s="168">
        <f>SUM(C4330,C4306,C4282,C4258,C4234,C4210,C4186,C4162,C4138,C4114,C4090,C4066,C4042,C4018)/POBLA!$B$9*100000</f>
        <v>0.49570963312530053</v>
      </c>
      <c r="H4330" s="256">
        <f t="shared" si="400"/>
        <v>3</v>
      </c>
      <c r="I4330" s="297">
        <f t="shared" si="404"/>
        <v>1.4871288993759015</v>
      </c>
      <c r="J4330" s="297">
        <f t="shared" si="405"/>
        <v>0.14285714285714285</v>
      </c>
      <c r="K4330" s="297">
        <f>J4330/POBLA!$B$9*100000</f>
        <v>2.3605220625014311E-2</v>
      </c>
      <c r="L4330" s="549">
        <f t="shared" si="401"/>
        <v>0.5</v>
      </c>
      <c r="M4330" s="401">
        <f>SUM(C4330,C4306,C4282,C4258,C4234,C4210,C4186)/POBLA!$B$9*100000</f>
        <v>0.16523654437510019</v>
      </c>
    </row>
    <row r="4331" spans="1:13" s="360" customFormat="1" x14ac:dyDescent="0.25">
      <c r="A4331" s="19" t="s">
        <v>32</v>
      </c>
      <c r="B4331" s="2">
        <v>44073</v>
      </c>
      <c r="C4331" s="1">
        <v>149</v>
      </c>
      <c r="D4331" s="39">
        <f t="shared" si="402"/>
        <v>8091</v>
      </c>
      <c r="E4331" s="1"/>
      <c r="F4331" s="39">
        <f t="shared" si="403"/>
        <v>196</v>
      </c>
      <c r="G4331" s="168">
        <f>SUM(C4331,C4307,C4283,C4259,C4235,C4211,C4187,C4163,C4139,C4115,C4091,C4067,C4043,C4019)/POBLA!$B$10*100000</f>
        <v>431.45440087380547</v>
      </c>
      <c r="H4331" s="256">
        <f t="shared" si="400"/>
        <v>1.395719681074276</v>
      </c>
      <c r="I4331" s="297">
        <f t="shared" si="404"/>
        <v>602.18939878568062</v>
      </c>
      <c r="J4331" s="297">
        <f t="shared" si="405"/>
        <v>260</v>
      </c>
      <c r="K4331" s="297">
        <f>J4331/POBLA!$B$10*100000</f>
        <v>33.727644085144142</v>
      </c>
      <c r="L4331" s="549">
        <f t="shared" si="401"/>
        <v>-0.20849933598937587</v>
      </c>
      <c r="M4331" s="401">
        <f>SUM(C4331,C4307,C4283,C4259,C4235,C4211,C4187)/POBLA!$B$10*100000</f>
        <v>236.093508596009</v>
      </c>
    </row>
    <row r="4332" spans="1:13" s="360" customFormat="1" x14ac:dyDescent="0.25">
      <c r="A4332" s="19" t="s">
        <v>33</v>
      </c>
      <c r="B4332" s="2">
        <v>44073</v>
      </c>
      <c r="C4332" s="1">
        <v>0</v>
      </c>
      <c r="D4332" s="39">
        <f t="shared" si="402"/>
        <v>200</v>
      </c>
      <c r="E4332" s="1"/>
      <c r="F4332" s="39">
        <f t="shared" si="403"/>
        <v>2</v>
      </c>
      <c r="G4332" s="168">
        <f>SUM(C4332,C4308,C4284,C4260,C4236,C4212,C4188,C4164,C4140,C4116,C4092,C4068,C4044,C4020)/POBLA!$B$11*100000</f>
        <v>4.4639369692099953</v>
      </c>
      <c r="H4332" s="256">
        <f t="shared" si="400"/>
        <v>0.2711864406779661</v>
      </c>
      <c r="I4332" s="297">
        <f t="shared" si="404"/>
        <v>1.2105591780908462</v>
      </c>
      <c r="J4332" s="297">
        <f t="shared" si="405"/>
        <v>0.7142857142857143</v>
      </c>
      <c r="K4332" s="297">
        <f>J4332/POBLA!$B$11*100000</f>
        <v>0.19928290041116051</v>
      </c>
      <c r="L4332" s="549">
        <f t="shared" si="401"/>
        <v>0.54545454545454541</v>
      </c>
      <c r="M4332" s="401">
        <f>SUM(C4332,C4308,C4284,C4260,C4236,C4212,C4188)/POBLA!$B$11*100000</f>
        <v>1.3949803028781234</v>
      </c>
    </row>
    <row r="4333" spans="1:13" s="360" customFormat="1" x14ac:dyDescent="0.25">
      <c r="A4333" s="19" t="s">
        <v>21</v>
      </c>
      <c r="B4333" s="2">
        <v>44073</v>
      </c>
      <c r="C4333" s="1">
        <v>57</v>
      </c>
      <c r="D4333" s="39">
        <f t="shared" si="402"/>
        <v>1417</v>
      </c>
      <c r="E4333" s="1"/>
      <c r="F4333" s="39">
        <f t="shared" si="403"/>
        <v>31</v>
      </c>
      <c r="G4333" s="168">
        <f>SUM(C4333,C4309,C4285,C4261,C4237,C4213,C4189,C4165,C4141,C4117,C4093,C4069,C4045,C4021)/POBLA!$B$12*100000</f>
        <v>169.49109472951307</v>
      </c>
      <c r="H4333" s="256">
        <f t="shared" si="400"/>
        <v>1.6592039800995024</v>
      </c>
      <c r="I4333" s="297">
        <f t="shared" si="404"/>
        <v>281.22029896662985</v>
      </c>
      <c r="J4333" s="297">
        <f t="shared" si="405"/>
        <v>53.857142857142854</v>
      </c>
      <c r="K4333" s="297">
        <f>J4333/POBLA!$B$12*100000</f>
        <v>13.685616344619064</v>
      </c>
      <c r="L4333" s="549">
        <f t="shared" si="401"/>
        <v>-0.30000000000000004</v>
      </c>
      <c r="M4333" s="401">
        <f>SUM(C4333,C4309,C4285,C4261,C4237,C4213,C4189)/POBLA!$B$12*100000</f>
        <v>95.799314412333473</v>
      </c>
    </row>
    <row r="4334" spans="1:13" s="360" customFormat="1" x14ac:dyDescent="0.25">
      <c r="A4334" s="19" t="s">
        <v>17</v>
      </c>
      <c r="B4334" s="2">
        <v>44073</v>
      </c>
      <c r="C4334" s="1">
        <v>316</v>
      </c>
      <c r="D4334" s="39">
        <f t="shared" si="402"/>
        <v>6549</v>
      </c>
      <c r="E4334" s="1">
        <f>1+3</f>
        <v>4</v>
      </c>
      <c r="F4334" s="39">
        <f t="shared" si="403"/>
        <v>75</v>
      </c>
      <c r="G4334" s="168">
        <f>SUM(C4334,C4310,C4286,C4262,C4238,C4214,C4190,C4166,C4142,C4118,C4094,C4070,C4046,C4022)/POBLA!$B$13*100000</f>
        <v>161.7313240263714</v>
      </c>
      <c r="H4334" s="256">
        <f t="shared" si="400"/>
        <v>1.662706611570248</v>
      </c>
      <c r="I4334" s="297">
        <f t="shared" si="404"/>
        <v>268.91174175665782</v>
      </c>
      <c r="J4334" s="297">
        <f t="shared" si="405"/>
        <v>273.14285714285717</v>
      </c>
      <c r="K4334" s="297">
        <f>J4334/POBLA!$B$13*100000</f>
        <v>13.723440799645948</v>
      </c>
      <c r="L4334" s="549">
        <f t="shared" si="401"/>
        <v>-0.46289211935730679</v>
      </c>
      <c r="M4334" s="401">
        <f>SUM(C4334,C4310,C4286,C4262,C4238,C4214,C4190)/POBLA!$B$13*100000</f>
        <v>96.064085597521625</v>
      </c>
    </row>
    <row r="4335" spans="1:13" s="360" customFormat="1" x14ac:dyDescent="0.25">
      <c r="A4335" s="19" t="s">
        <v>23</v>
      </c>
      <c r="B4335" s="2">
        <v>44073</v>
      </c>
      <c r="C4335" s="1">
        <v>2</v>
      </c>
      <c r="D4335" s="39">
        <f t="shared" si="402"/>
        <v>62</v>
      </c>
      <c r="E4335" s="1"/>
      <c r="F4335" s="39">
        <f t="shared" si="403"/>
        <v>2</v>
      </c>
      <c r="G4335" s="168">
        <f>SUM(C4335,C4311,C4287,C4263,C4239,C4215,C4191,C4167,C4143,C4119,C4095,C4071,C4047,C4023)/POBLA!$B$14*100000</f>
        <v>0.23785096892556376</v>
      </c>
      <c r="H4335" s="256">
        <f t="shared" si="400"/>
        <v>1</v>
      </c>
      <c r="I4335" s="297">
        <f t="shared" si="404"/>
        <v>0.23785096892556376</v>
      </c>
      <c r="J4335" s="297">
        <f t="shared" si="405"/>
        <v>0.8571428571428571</v>
      </c>
      <c r="K4335" s="297">
        <f>J4335/POBLA!$B$14*100000</f>
        <v>6.7957419693018203E-2</v>
      </c>
      <c r="L4335" s="549">
        <f t="shared" si="401"/>
        <v>3</v>
      </c>
      <c r="M4335" s="401">
        <f>SUM(C4335,C4311,C4287,C4263,C4239,C4215,C4191)/POBLA!$B$14*100000</f>
        <v>0.47570193785112752</v>
      </c>
    </row>
    <row r="4336" spans="1:13" s="360" customFormat="1" x14ac:dyDescent="0.25">
      <c r="A4336" s="19" t="s">
        <v>19</v>
      </c>
      <c r="B4336" s="2">
        <v>44073</v>
      </c>
      <c r="C4336" s="1">
        <v>87</v>
      </c>
      <c r="D4336" s="39">
        <f>C4336+D4312</f>
        <v>2932</v>
      </c>
      <c r="E4336" s="1">
        <f>1</f>
        <v>1</v>
      </c>
      <c r="F4336" s="39">
        <f t="shared" si="403"/>
        <v>21</v>
      </c>
      <c r="G4336" s="168">
        <f>SUM(C4336,C4312,C4288,C4264,C4240,C4216,C4192,C4168,C4144,C4120,C4096,C4072,C4048,C4024)/POBLA!$B$15*100000</f>
        <v>165.3472518172386</v>
      </c>
      <c r="H4336" s="256">
        <f t="shared" si="400"/>
        <v>1.740095087163233</v>
      </c>
      <c r="I4336" s="297">
        <f t="shared" si="404"/>
        <v>287.71994056311883</v>
      </c>
      <c r="J4336" s="297">
        <f t="shared" si="405"/>
        <v>93.428571428571431</v>
      </c>
      <c r="K4336" s="297">
        <f>J4336/POBLA!$B$15*100000</f>
        <v>14.069360224886033</v>
      </c>
      <c r="L4336" s="549">
        <f t="shared" si="401"/>
        <v>-0.47297297297297303</v>
      </c>
      <c r="M4336" s="401">
        <f>SUM(C4336,C4312,C4288,C4264,C4240,C4216,C4192)/POBLA!$B$15*100000</f>
        <v>98.48552157420221</v>
      </c>
    </row>
    <row r="4337" spans="1:13" s="360" customFormat="1" x14ac:dyDescent="0.25">
      <c r="A4337" s="19" t="s">
        <v>18</v>
      </c>
      <c r="B4337" s="2">
        <v>44073</v>
      </c>
      <c r="C4337" s="1">
        <v>91</v>
      </c>
      <c r="D4337" s="39">
        <f>C4337+D4313</f>
        <v>5870</v>
      </c>
      <c r="E4337" s="1">
        <f>2+4+4+2</f>
        <v>12</v>
      </c>
      <c r="F4337" s="39">
        <f t="shared" si="403"/>
        <v>93</v>
      </c>
      <c r="G4337" s="168">
        <f>SUM(C4337,C4313,C4289,C4265,C4241,C4217,C4193,C4169,C4145,C4121,C4097,C4073,C4049,C4025)/POBLA!$B$16*100000</f>
        <v>269.65931434839018</v>
      </c>
      <c r="H4337" s="256">
        <f t="shared" si="400"/>
        <v>1.1256281407035176</v>
      </c>
      <c r="I4337" s="297">
        <f t="shared" si="404"/>
        <v>303.53611263336381</v>
      </c>
      <c r="J4337" s="297">
        <f t="shared" si="405"/>
        <v>166.71428571428572</v>
      </c>
      <c r="K4337" s="297">
        <f>J4337/POBLA!$B$16*100000</f>
        <v>22.299632925494002</v>
      </c>
      <c r="L4337" s="549">
        <f t="shared" si="401"/>
        <v>-0.37455830388692579</v>
      </c>
      <c r="M4337" s="401">
        <f>SUM(C4337,C4313,C4289,C4265,C4241,C4217,C4193)/POBLA!$B$16*100000</f>
        <v>156.09743047845802</v>
      </c>
    </row>
    <row r="4338" spans="1:13" s="360" customFormat="1" x14ac:dyDescent="0.25">
      <c r="A4338" s="19" t="s">
        <v>34</v>
      </c>
      <c r="B4338" s="2">
        <v>44073</v>
      </c>
      <c r="C4338" s="1">
        <v>250</v>
      </c>
      <c r="D4338" s="39">
        <f>C4338+D4314</f>
        <v>3161</v>
      </c>
      <c r="E4338" s="1">
        <f>2</f>
        <v>2</v>
      </c>
      <c r="F4338" s="39">
        <f>E4338+F4314</f>
        <v>41</v>
      </c>
      <c r="G4338" s="168">
        <f>SUM(C4338,C4314,C4290,C4266,C4242,C4218,C4194,C4170,C4146,C4122,C4098,C4074,C4050,C4026)/POBLA!$B$17*100000</f>
        <v>145.5352686084006</v>
      </c>
      <c r="H4338" s="256">
        <f t="shared" si="400"/>
        <v>2.6141235813366963</v>
      </c>
      <c r="I4338" s="297">
        <f t="shared" si="404"/>
        <v>380.44717758539025</v>
      </c>
      <c r="J4338" s="297">
        <f t="shared" si="405"/>
        <v>189.14285714285714</v>
      </c>
      <c r="K4338" s="297">
        <f>J4338/POBLA!$B$17*100000</f>
        <v>13.278801987287052</v>
      </c>
      <c r="L4338" s="549">
        <f t="shared" si="401"/>
        <v>-0.76769025367156218</v>
      </c>
      <c r="M4338" s="401">
        <f>SUM(C4338,C4314,C4290,C4266,C4242,C4218,C4194)/POBLA!$B$17*100000</f>
        <v>92.95161391100936</v>
      </c>
    </row>
    <row r="4339" spans="1:13" s="360" customFormat="1" x14ac:dyDescent="0.25">
      <c r="A4339" s="19" t="s">
        <v>35</v>
      </c>
      <c r="B4339" s="2">
        <v>44073</v>
      </c>
      <c r="C4339" s="1">
        <v>15</v>
      </c>
      <c r="D4339" s="39">
        <f t="shared" ref="D4339:D4345" si="406">C4339+D4315</f>
        <v>221</v>
      </c>
      <c r="E4339" s="1"/>
      <c r="F4339" s="39">
        <f>E4339+F4315</f>
        <v>0</v>
      </c>
      <c r="G4339" s="168">
        <f>SUM(C4339,C4315,C4291,C4267,C4243,C4219,C4195,C4171,C4147,C4123,C4099,C4075,C4051,C4027)/POBLA!$B$18*100000</f>
        <v>25.473075982729512</v>
      </c>
      <c r="H4339" s="256">
        <f t="shared" si="400"/>
        <v>99.5</v>
      </c>
      <c r="I4339" s="297">
        <f t="shared" si="404"/>
        <v>2534.5710602815866</v>
      </c>
      <c r="J4339" s="297">
        <f t="shared" si="405"/>
        <v>23.285714285714285</v>
      </c>
      <c r="K4339" s="297">
        <f>J4339/POBLA!$B$18*100000</f>
        <v>2.9806973332267841</v>
      </c>
      <c r="L4339" s="549">
        <f t="shared" si="401"/>
        <v>-3.5277777777777777</v>
      </c>
      <c r="M4339" s="401">
        <f>SUM(C4339,C4315,C4291,C4267,C4243,C4219,C4195)/POBLA!$B$18*100000</f>
        <v>20.864881332587487</v>
      </c>
    </row>
    <row r="4340" spans="1:13" s="360" customFormat="1" x14ac:dyDescent="0.25">
      <c r="A4340" s="19" t="s">
        <v>36</v>
      </c>
      <c r="B4340" s="2">
        <v>44073</v>
      </c>
      <c r="C4340" s="1">
        <v>-1</v>
      </c>
      <c r="D4340" s="39">
        <f t="shared" si="406"/>
        <v>85</v>
      </c>
      <c r="E4340" s="1"/>
      <c r="F4340" s="39">
        <f t="shared" si="403"/>
        <v>0</v>
      </c>
      <c r="G4340" s="168">
        <f>SUM(C4340,C4316,C4292,C4268,C4244,C4220,C4196,C4172,C4148,C4124,C4100,C4076,C4052,C4028)/POBLA!$B$19*100000</f>
        <v>10.032892148376639</v>
      </c>
      <c r="H4340" s="256">
        <f t="shared" si="400"/>
        <v>8.5</v>
      </c>
      <c r="I4340" s="297">
        <f t="shared" si="404"/>
        <v>85.279583261201438</v>
      </c>
      <c r="J4340" s="297">
        <f t="shared" si="405"/>
        <v>6</v>
      </c>
      <c r="K4340" s="297">
        <f>J4340/POBLA!$B$19*100000</f>
        <v>1.1803402527501927</v>
      </c>
      <c r="L4340" s="549">
        <f t="shared" si="401"/>
        <v>-3.666666666666667</v>
      </c>
      <c r="M4340" s="401">
        <f>SUM(C4340,C4316,C4292,C4268,C4244,C4220,C4196)/POBLA!$B$19*100000</f>
        <v>8.2623817692513501</v>
      </c>
    </row>
    <row r="4341" spans="1:13" s="360" customFormat="1" x14ac:dyDescent="0.25">
      <c r="A4341" s="19" t="s">
        <v>37</v>
      </c>
      <c r="B4341" s="2">
        <v>44073</v>
      </c>
      <c r="C4341" s="1">
        <v>84</v>
      </c>
      <c r="D4341" s="39">
        <f t="shared" si="406"/>
        <v>1734</v>
      </c>
      <c r="E4341" s="1"/>
      <c r="F4341" s="39">
        <f t="shared" ref="F4341:F4346" si="407">E4341+F4317</f>
        <v>13</v>
      </c>
      <c r="G4341" s="168">
        <f>SUM(C4341,C4317,C4293,C4269,C4245,C4221,C4197,C4173,C4149,C4125,C4101,C4077,C4053,C4029)/POBLA!$B$20*100000</f>
        <v>191.41477393915198</v>
      </c>
      <c r="H4341" s="256">
        <f t="shared" si="400"/>
        <v>1.3725490196078431</v>
      </c>
      <c r="I4341" s="297">
        <f t="shared" si="404"/>
        <v>262.72616030863998</v>
      </c>
      <c r="J4341" s="297">
        <f t="shared" si="405"/>
        <v>57.142857142857146</v>
      </c>
      <c r="K4341" s="297">
        <f>J4341/POBLA!$B$20*100000</f>
        <v>15.62569583176751</v>
      </c>
      <c r="L4341" s="549">
        <f t="shared" si="401"/>
        <v>-0.33333333333333326</v>
      </c>
      <c r="M4341" s="401">
        <f>SUM(C4341,C4317,C4293,C4269,C4245,C4221,C4197)/POBLA!$B$20*100000</f>
        <v>109.37987082237255</v>
      </c>
    </row>
    <row r="4342" spans="1:13" s="360" customFormat="1" x14ac:dyDescent="0.25">
      <c r="A4342" s="19" t="s">
        <v>22</v>
      </c>
      <c r="B4342" s="2">
        <v>44073</v>
      </c>
      <c r="C4342" s="1">
        <v>283</v>
      </c>
      <c r="D4342" s="39">
        <f t="shared" si="406"/>
        <v>7430</v>
      </c>
      <c r="E4342" s="1">
        <f>1+2</f>
        <v>3</v>
      </c>
      <c r="F4342" s="39">
        <f t="shared" si="407"/>
        <v>80</v>
      </c>
      <c r="G4342" s="168">
        <f>SUM(C4342,C4318,C4294,C4270,C4246,C4222,C4198,C4174,C4150,C4126,C4102,C4078,C4054,C4030)/POBLA!$B$21*100000</f>
        <v>116.98277748840778</v>
      </c>
      <c r="H4342" s="256">
        <f t="shared" si="400"/>
        <v>2.1535658511192088</v>
      </c>
      <c r="I4342" s="297">
        <f t="shared" si="404"/>
        <v>251.93011476811191</v>
      </c>
      <c r="J4342" s="297">
        <f t="shared" si="405"/>
        <v>373.28571428571428</v>
      </c>
      <c r="K4342" s="297">
        <f>J4342/POBLA!$B$21*100000</f>
        <v>10.555474898208137</v>
      </c>
      <c r="L4342" s="549">
        <f t="shared" si="401"/>
        <v>-0.71456692913385833</v>
      </c>
      <c r="M4342" s="401">
        <f>SUM(C4342,C4318,C4294,C4270,C4246,C4222,C4198)/POBLA!$B$21*100000</f>
        <v>73.888324287456967</v>
      </c>
    </row>
    <row r="4343" spans="1:13" s="360" customFormat="1" x14ac:dyDescent="0.25">
      <c r="A4343" s="19" t="s">
        <v>38</v>
      </c>
      <c r="B4343" s="2">
        <v>44073</v>
      </c>
      <c r="C4343" s="1">
        <v>57</v>
      </c>
      <c r="D4343" s="39">
        <f t="shared" si="406"/>
        <v>898</v>
      </c>
      <c r="E4343" s="1">
        <f>1</f>
        <v>1</v>
      </c>
      <c r="F4343" s="39">
        <f t="shared" si="407"/>
        <v>10</v>
      </c>
      <c r="G4343" s="168">
        <f>SUM(C4343,C4319,C4295,C4271,C4247,C4223,C4199,C4175,C4151,C4127,C4103,C4079,C4055,C4031)/POBLA!$B$22*100000</f>
        <v>62.965533525569022</v>
      </c>
      <c r="H4343" s="256">
        <f t="shared" si="400"/>
        <v>2.6324786324786325</v>
      </c>
      <c r="I4343" s="297">
        <f t="shared" si="404"/>
        <v>165.75542158867742</v>
      </c>
      <c r="J4343" s="297">
        <f t="shared" si="405"/>
        <v>54.428571428571431</v>
      </c>
      <c r="K4343" s="297">
        <f>J4343/POBLA!$B$22*100000</f>
        <v>5.5635130503807506</v>
      </c>
      <c r="L4343" s="549">
        <f t="shared" si="401"/>
        <v>-0.62127659574468086</v>
      </c>
      <c r="M4343" s="401">
        <f>SUM(C4343,C4319,C4295,C4271,C4247,C4223,C4199)/POBLA!$B$22*100000</f>
        <v>38.944591352665256</v>
      </c>
    </row>
    <row r="4344" spans="1:13" s="360" customFormat="1" x14ac:dyDescent="0.25">
      <c r="A4344" s="19" t="s">
        <v>39</v>
      </c>
      <c r="B4344" s="2">
        <v>44073</v>
      </c>
      <c r="C4344" s="1">
        <v>39</v>
      </c>
      <c r="D4344" s="39">
        <f t="shared" si="406"/>
        <v>1982</v>
      </c>
      <c r="E4344" s="1"/>
      <c r="F4344" s="39">
        <f t="shared" si="407"/>
        <v>28</v>
      </c>
      <c r="G4344" s="168">
        <f>SUM(C4344,C4320,C4296,C4272,C4248,C4224,C4200,C4176,C4152,C4128,C4104,C4080,C4056,C4032)/POBLA!$B$23*100000</f>
        <v>318.38488944183678</v>
      </c>
      <c r="H4344" s="256">
        <f t="shared" si="400"/>
        <v>0.68910648714810285</v>
      </c>
      <c r="I4344" s="297">
        <f t="shared" si="404"/>
        <v>219.40109272430124</v>
      </c>
      <c r="J4344" s="297">
        <f t="shared" si="405"/>
        <v>40.571428571428569</v>
      </c>
      <c r="K4344" s="297">
        <f>J4344/POBLA!$B$23*100000</f>
        <v>22.943747424887501</v>
      </c>
      <c r="L4344" s="549">
        <f t="shared" si="401"/>
        <v>-1.7921146953405076E-2</v>
      </c>
      <c r="M4344" s="401">
        <f>SUM(C4344,C4320,C4296,C4272,C4248,C4224,C4200)/POBLA!$B$23*100000</f>
        <v>160.60623197421253</v>
      </c>
    </row>
    <row r="4345" spans="1:13" s="360" customFormat="1" ht="15.75" thickBot="1" x14ac:dyDescent="0.3">
      <c r="A4345" s="19" t="s">
        <v>40</v>
      </c>
      <c r="B4345" s="2">
        <v>44073</v>
      </c>
      <c r="C4345" s="1">
        <v>166</v>
      </c>
      <c r="D4345" s="39">
        <f t="shared" si="406"/>
        <v>1993</v>
      </c>
      <c r="E4345" s="1"/>
      <c r="F4345" s="39">
        <f t="shared" si="407"/>
        <v>13</v>
      </c>
      <c r="G4345" s="177">
        <f>SUM(C4345,C4321,C4297,C4273,C4249,C4225,C4201,C4177,C4153,C4129,C4105,C4081,C4057,C4033)/POBLA!$B$24*100000</f>
        <v>81.963537142641343</v>
      </c>
      <c r="H4345" s="402">
        <f t="shared" si="400"/>
        <v>4.0260869565217394</v>
      </c>
      <c r="I4345" s="403">
        <f t="shared" si="404"/>
        <v>329.9923278003734</v>
      </c>
      <c r="J4345" s="403">
        <f t="shared" si="405"/>
        <v>134.28571428571428</v>
      </c>
      <c r="K4345" s="403">
        <f>J4345/POBLA!$B$24*100000</f>
        <v>7.9240692084832718</v>
      </c>
      <c r="L4345" s="550">
        <f t="shared" si="401"/>
        <v>-1.0935412026726059</v>
      </c>
      <c r="M4345" s="405">
        <f>SUM(C4345,C4321,C4297,C4273,C4249,C4225,C4201)/POBLA!$B$24*100000</f>
        <v>55.468484459382907</v>
      </c>
    </row>
    <row r="4346" spans="1:13" s="360" customFormat="1" x14ac:dyDescent="0.25">
      <c r="A4346" s="361" t="s">
        <v>16</v>
      </c>
      <c r="B4346" s="2">
        <v>44074</v>
      </c>
      <c r="C4346" s="1">
        <v>5141</v>
      </c>
      <c r="D4346" s="39">
        <f>C4346+D4322</f>
        <v>258793</v>
      </c>
      <c r="E4346" s="1">
        <f>14+12+1+55+40+2</f>
        <v>124</v>
      </c>
      <c r="F4346" s="39">
        <f t="shared" si="407"/>
        <v>5157</v>
      </c>
      <c r="G4346" s="175">
        <f>SUM(C4346,C4322,C4298,C4274,C4250,C4226,C4202,C4178,C4154,C4130,C4106,C4082,C4058,C4034)/POBLA!$B$1*100000</f>
        <v>417.18494823113269</v>
      </c>
      <c r="H4346" s="300">
        <f t="shared" ref="H4346:H4369" si="408">SUM(C4346,C4322,C4298,C4274,C4250,C4226,C4202,C4178,C4154,C4130,C4106,C4082,C4058,C4034)/SUM(C4010,C3986,C3962,C3938,C3914,C3890,C3866,C3842,C3818,C3794,C3770,C3746,C3722,C3698)</f>
        <v>1.2093703520079326</v>
      </c>
      <c r="I4346" s="301">
        <f>G4346*H4346</f>
        <v>504.53110769469612</v>
      </c>
      <c r="J4346" s="301">
        <f>AVERAGE(C4346,C4322,C4298,C4274,C4250,C4226,C4202)</f>
        <v>5771.5714285714284</v>
      </c>
      <c r="K4346" s="301">
        <f>J4346/POBLA!$B$1*100000</f>
        <v>32.903055899108431</v>
      </c>
      <c r="L4346" s="548">
        <f t="shared" ref="L4346:L4369" si="409">1-SUM(C4346,C4322,C4298,C4274,C4250,C4226,C4202)/SUM(C4178,C4154,C4130,C4106,C4082,C4058,C4034)</f>
        <v>-0.23256452498627134</v>
      </c>
      <c r="M4346" s="400">
        <f>SUM(C4346,C4322,C4298,C4274,C4250,C4226,C4202)/POBLA!$B$1*100000</f>
        <v>230.32139129375906</v>
      </c>
    </row>
    <row r="4347" spans="1:13" s="360" customFormat="1" x14ac:dyDescent="0.25">
      <c r="A4347" s="19" t="s">
        <v>43</v>
      </c>
      <c r="B4347" s="2">
        <v>44074</v>
      </c>
      <c r="C4347" s="1">
        <v>1387</v>
      </c>
      <c r="D4347" s="39">
        <f t="shared" ref="D4347:D4359" si="410">C4347+D4323</f>
        <v>95604</v>
      </c>
      <c r="E4347" s="1">
        <f>2+2+1+18+21+1</f>
        <v>45</v>
      </c>
      <c r="F4347" s="39">
        <f t="shared" si="403"/>
        <v>2239</v>
      </c>
      <c r="G4347" s="168">
        <f>SUM(C4347,C4323,C4299,C4275,C4251,C4227,C4203,C4179,C4155,C4131,C4107,C4083,C4059,C4035)/POBLA!$B$2*100000</f>
        <v>565.83234871633465</v>
      </c>
      <c r="H4347" s="256">
        <f t="shared" si="408"/>
        <v>2.4507815800591466</v>
      </c>
      <c r="I4347" s="297">
        <f t="shared" ref="I4347:I4369" si="411">G4347*H4347</f>
        <v>1386.7314976355967</v>
      </c>
      <c r="J4347" s="297">
        <f t="shared" ref="J4347:J4369" si="412">AVERAGE(C4347,C4323,C4299,C4275,C4251,C4227,C4203)</f>
        <v>1335.1428571428571</v>
      </c>
      <c r="K4347" s="297">
        <f>J4347/POBLA!$B$2*100000</f>
        <v>43.410160244152188</v>
      </c>
      <c r="L4347" s="549">
        <f t="shared" si="409"/>
        <v>-0.15998510611890282</v>
      </c>
      <c r="M4347" s="401">
        <f>SUM(C4347,C4323,C4299,C4275,C4251,C4227,C4203)/POBLA!$B$2*100000</f>
        <v>303.87112170906533</v>
      </c>
    </row>
    <row r="4348" spans="1:13" s="360" customFormat="1" x14ac:dyDescent="0.25">
      <c r="A4348" s="19" t="s">
        <v>28</v>
      </c>
      <c r="B4348" s="2">
        <v>44074</v>
      </c>
      <c r="C4348" s="1">
        <v>1</v>
      </c>
      <c r="D4348" s="39">
        <f t="shared" si="410"/>
        <v>66</v>
      </c>
      <c r="E4348" s="1"/>
      <c r="F4348" s="39">
        <f t="shared" si="403"/>
        <v>0</v>
      </c>
      <c r="G4348" s="168">
        <f>SUM(C4348,C4324,C4300,C4276,C4252,C4228,C4204,C4180,C4156,C4132,C4108,C4084,C4060,C4036)/POBLA!$B$3*100000</f>
        <v>0.24070980507319983</v>
      </c>
      <c r="H4348" s="256">
        <f t="shared" si="408"/>
        <v>2.5906735751295338E-3</v>
      </c>
      <c r="I4348" s="297">
        <f t="shared" si="411"/>
        <v>6.2360053127771982E-4</v>
      </c>
      <c r="J4348" s="297">
        <f t="shared" si="412"/>
        <v>0.2857142857142857</v>
      </c>
      <c r="K4348" s="297">
        <f>J4348/POBLA!$B$3*100000</f>
        <v>6.8774230020914234E-2</v>
      </c>
      <c r="L4348" s="549">
        <f t="shared" si="409"/>
        <v>3</v>
      </c>
      <c r="M4348" s="401">
        <f>SUM(C4348,C4324,C4300,C4276,C4252,C4228,C4204)/POBLA!$B$3*100000</f>
        <v>0.48141961014639967</v>
      </c>
    </row>
    <row r="4349" spans="1:13" s="360" customFormat="1" x14ac:dyDescent="0.25">
      <c r="A4349" s="19" t="s">
        <v>15</v>
      </c>
      <c r="B4349" s="2">
        <v>44074</v>
      </c>
      <c r="C4349" s="1">
        <v>75</v>
      </c>
      <c r="D4349" s="39">
        <f t="shared" si="410"/>
        <v>5417</v>
      </c>
      <c r="E4349" s="1">
        <f>2+1+2+1</f>
        <v>6</v>
      </c>
      <c r="F4349" s="39">
        <f t="shared" si="403"/>
        <v>216</v>
      </c>
      <c r="G4349" s="168">
        <f>SUM(C4349,C4325,C4301,C4277,C4253,C4229,C4205,C4181,C4157,C4133,C4109,C4085,C4061,C4037)/POBLA!$B$4*100000</f>
        <v>75.796506719156923</v>
      </c>
      <c r="H4349" s="256">
        <f t="shared" si="408"/>
        <v>1.9140461215932913</v>
      </c>
      <c r="I4349" s="297">
        <f t="shared" si="411"/>
        <v>145.07800971612215</v>
      </c>
      <c r="J4349" s="297">
        <f t="shared" si="412"/>
        <v>71.857142857142861</v>
      </c>
      <c r="K4349" s="297">
        <f>J4349/POBLA!$B$4*100000</f>
        <v>5.9655207134620465</v>
      </c>
      <c r="L4349" s="549">
        <f t="shared" si="409"/>
        <v>-0.22682926829268291</v>
      </c>
      <c r="M4349" s="401">
        <f>SUM(C4349,C4325,C4301,C4277,C4253,C4229,C4205)/POBLA!$B$4*100000</f>
        <v>41.758644994234317</v>
      </c>
    </row>
    <row r="4350" spans="1:13" s="360" customFormat="1" x14ac:dyDescent="0.25">
      <c r="A4350" s="19" t="s">
        <v>29</v>
      </c>
      <c r="B4350" s="2">
        <v>44074</v>
      </c>
      <c r="C4350" s="1">
        <v>79</v>
      </c>
      <c r="D4350" s="39">
        <f t="shared" si="410"/>
        <v>899</v>
      </c>
      <c r="E4350" s="1"/>
      <c r="F4350" s="39">
        <f t="shared" si="403"/>
        <v>7</v>
      </c>
      <c r="G4350" s="168">
        <f>SUM(C4350,C4326,C4302,C4278,C4254,C4230,C4206,C4182,C4158,C4134,C4110,C4086,C4062,C4038)/POBLA!$B$5*100000</f>
        <v>77.868283052824424</v>
      </c>
      <c r="H4350" s="256">
        <f t="shared" si="408"/>
        <v>5.6866446436998584E-2</v>
      </c>
      <c r="I4350" s="297">
        <f t="shared" si="411"/>
        <v>4.4280925473644848</v>
      </c>
      <c r="J4350" s="297">
        <f t="shared" si="412"/>
        <v>50.428571428571431</v>
      </c>
      <c r="K4350" s="297">
        <f>J4350/POBLA!$B$5*100000</f>
        <v>8.1468594895219386</v>
      </c>
      <c r="L4350" s="549">
        <f t="shared" si="409"/>
        <v>-1.7364341085271318</v>
      </c>
      <c r="M4350" s="401">
        <f>SUM(C4350,C4326,C4302,C4278,C4254,C4230,C4206)/POBLA!$B$5*100000</f>
        <v>57.028016426653572</v>
      </c>
    </row>
    <row r="4351" spans="1:13" s="360" customFormat="1" x14ac:dyDescent="0.25">
      <c r="A4351" s="19" t="s">
        <v>20</v>
      </c>
      <c r="B4351" s="2">
        <v>44074</v>
      </c>
      <c r="C4351" s="1">
        <v>388</v>
      </c>
      <c r="D4351" s="39">
        <f t="shared" si="410"/>
        <v>8522</v>
      </c>
      <c r="E4351" s="1">
        <f>1+1</f>
        <v>2</v>
      </c>
      <c r="F4351" s="39">
        <f>E4351+F4327</f>
        <v>125</v>
      </c>
      <c r="G4351" s="168">
        <f>SUM(C4351,C4327,C4303,C4279,C4255,C4231,C4207,C4183,C4159,C4135,C4111,C4087,C4063,C4039)/POBLA!$B$6*100000</f>
        <v>335.29591783019464</v>
      </c>
      <c r="H4351" s="256">
        <f t="shared" si="408"/>
        <v>1.7105143377332725</v>
      </c>
      <c r="I4351" s="297">
        <f t="shared" si="411"/>
        <v>573.52847483198514</v>
      </c>
      <c r="J4351" s="297">
        <f t="shared" si="412"/>
        <v>344</v>
      </c>
      <c r="K4351" s="297">
        <f>J4351/POBLA!$B$6*100000</f>
        <v>30.69233521383368</v>
      </c>
      <c r="L4351" s="549">
        <f t="shared" si="409"/>
        <v>-0.78370370370370379</v>
      </c>
      <c r="M4351" s="401">
        <f>SUM(C4351,C4327,C4303,C4279,C4255,C4231,C4207)/POBLA!$B$6*100000</f>
        <v>214.84634649683574</v>
      </c>
    </row>
    <row r="4352" spans="1:13" s="360" customFormat="1" x14ac:dyDescent="0.25">
      <c r="A4352" s="19" t="s">
        <v>30</v>
      </c>
      <c r="B4352" s="2">
        <v>44074</v>
      </c>
      <c r="C4352" s="1">
        <v>-6</v>
      </c>
      <c r="D4352" s="39">
        <f t="shared" si="410"/>
        <v>311</v>
      </c>
      <c r="E4352" s="1"/>
      <c r="F4352" s="39">
        <f t="shared" si="403"/>
        <v>5</v>
      </c>
      <c r="G4352" s="168">
        <f>SUM(C4352,C4328,C4304,C4280,C4256,C4232,C4208,C4184,C4160,C4136,C4112,C4088,C4064,C4040)/POBLA!$B$7*100000</f>
        <v>2.1539975268917284</v>
      </c>
      <c r="H4352" s="256">
        <f t="shared" si="408"/>
        <v>2.3142857142857145</v>
      </c>
      <c r="I4352" s="297">
        <f t="shared" si="411"/>
        <v>4.9849657050922866</v>
      </c>
      <c r="J4352" s="297">
        <f t="shared" si="412"/>
        <v>7.4285714285714288</v>
      </c>
      <c r="K4352" s="297">
        <f>J4352/POBLA!$B$7*100000</f>
        <v>0.19754474673433842</v>
      </c>
      <c r="L4352" s="549">
        <f t="shared" si="409"/>
        <v>-0.7931034482758621</v>
      </c>
      <c r="M4352" s="401">
        <f>SUM(C4352,C4328,C4304,C4280,C4256,C4232,C4208)/POBLA!$B$7*100000</f>
        <v>1.3828132271403688</v>
      </c>
    </row>
    <row r="4353" spans="1:13" x14ac:dyDescent="0.25">
      <c r="A4353" s="19" t="s">
        <v>31</v>
      </c>
      <c r="B4353" s="2">
        <v>44074</v>
      </c>
      <c r="C4353" s="1">
        <v>167</v>
      </c>
      <c r="D4353" s="39">
        <f t="shared" si="410"/>
        <v>3338</v>
      </c>
      <c r="E4353" s="1">
        <f>1+1</f>
        <v>2</v>
      </c>
      <c r="F4353" s="39">
        <f t="shared" si="403"/>
        <v>47</v>
      </c>
      <c r="G4353" s="168">
        <f>SUM(C4353,C4329,C4305,C4281,C4257,C4233,C4209,C4185,C4161,C4137,C4113,C4089,C4065,C4041)/POBLA!$B$8*100000</f>
        <v>117.89653532819466</v>
      </c>
      <c r="H4353" s="256">
        <f t="shared" si="408"/>
        <v>1.9734299516908214</v>
      </c>
      <c r="I4353" s="297">
        <f t="shared" si="411"/>
        <v>232.6605540172344</v>
      </c>
      <c r="J4353" s="297">
        <f t="shared" si="412"/>
        <v>136.57142857142858</v>
      </c>
      <c r="K4353" s="297">
        <f>J4353/POBLA!$B$8*100000</f>
        <v>9.8539156997511892</v>
      </c>
      <c r="L4353" s="549">
        <f t="shared" si="409"/>
        <v>-0.41002949852507364</v>
      </c>
      <c r="M4353" s="401">
        <f>SUM(C4353,C4329,C4305,C4281,C4257,C4233,C4209)/POBLA!$B$8*100000</f>
        <v>68.977409898258315</v>
      </c>
    </row>
    <row r="4354" spans="1:13" s="360" customFormat="1" x14ac:dyDescent="0.25">
      <c r="A4354" s="19" t="s">
        <v>41</v>
      </c>
      <c r="B4354" s="2">
        <v>44074</v>
      </c>
      <c r="C4354" s="1">
        <v>1</v>
      </c>
      <c r="D4354" s="39">
        <f t="shared" si="410"/>
        <v>84</v>
      </c>
      <c r="E4354" s="1"/>
      <c r="F4354" s="39">
        <f>E4354+F4330</f>
        <v>1</v>
      </c>
      <c r="G4354" s="168">
        <f>SUM(C4354,C4330,C4306,C4282,C4258,C4234,C4210,C4186,C4162,C4138,C4114,C4090,C4066,C4042)/POBLA!$B$9*100000</f>
        <v>0.66094617750040074</v>
      </c>
      <c r="H4354" s="256">
        <f t="shared" si="408"/>
        <v>-4</v>
      </c>
      <c r="I4354" s="297">
        <f t="shared" si="411"/>
        <v>-2.643784710001603</v>
      </c>
      <c r="J4354" s="297">
        <f t="shared" si="412"/>
        <v>0</v>
      </c>
      <c r="K4354" s="297">
        <f>J4354/POBLA!$B$9*100000</f>
        <v>0</v>
      </c>
      <c r="L4354" s="549">
        <f t="shared" si="409"/>
        <v>1</v>
      </c>
      <c r="M4354" s="401">
        <f>SUM(C4354,C4330,C4306,C4282,C4258,C4234,C4210)/POBLA!$B$9*100000</f>
        <v>0</v>
      </c>
    </row>
    <row r="4355" spans="1:13" s="360" customFormat="1" x14ac:dyDescent="0.25">
      <c r="A4355" s="19" t="s">
        <v>32</v>
      </c>
      <c r="B4355" s="2">
        <v>44074</v>
      </c>
      <c r="C4355" s="1">
        <v>327</v>
      </c>
      <c r="D4355" s="39">
        <f t="shared" si="410"/>
        <v>8418</v>
      </c>
      <c r="E4355" s="1"/>
      <c r="F4355" s="39">
        <f t="shared" si="403"/>
        <v>196</v>
      </c>
      <c r="G4355" s="168">
        <f>SUM(C4355,C4331,C4307,C4283,C4259,C4235,C4211,C4187,C4163,C4139,C4115,C4091,C4067,C4043)/POBLA!$B$10*100000</f>
        <v>442.22130263944757</v>
      </c>
      <c r="H4355" s="256">
        <f t="shared" si="408"/>
        <v>1.3500990099009902</v>
      </c>
      <c r="I4355" s="297">
        <f t="shared" si="411"/>
        <v>597.04254285064428</v>
      </c>
      <c r="J4355" s="297">
        <f t="shared" si="412"/>
        <v>256.42857142857144</v>
      </c>
      <c r="K4355" s="297">
        <f>J4355/POBLA!$B$10*100000</f>
        <v>33.264352270787768</v>
      </c>
      <c r="L4355" s="549">
        <f t="shared" si="409"/>
        <v>-0.11214374225526647</v>
      </c>
      <c r="M4355" s="401">
        <f>SUM(C4355,C4331,C4307,C4283,C4259,C4235,C4211)/POBLA!$B$10*100000</f>
        <v>232.85046589551433</v>
      </c>
    </row>
    <row r="4356" spans="1:13" s="360" customFormat="1" x14ac:dyDescent="0.25">
      <c r="A4356" s="19" t="s">
        <v>33</v>
      </c>
      <c r="B4356" s="2">
        <v>44074</v>
      </c>
      <c r="C4356" s="1">
        <v>4</v>
      </c>
      <c r="D4356" s="39">
        <f t="shared" si="410"/>
        <v>204</v>
      </c>
      <c r="E4356" s="1"/>
      <c r="F4356" s="39">
        <f t="shared" si="403"/>
        <v>2</v>
      </c>
      <c r="G4356" s="168">
        <f>SUM(C4356,C4332,C4308,C4284,C4260,C4236,C4212,C4188,C4164,C4140,C4116,C4092,C4068,C4044)/POBLA!$B$11*100000</f>
        <v>5.3009251509368687</v>
      </c>
      <c r="H4356" s="256">
        <f t="shared" si="408"/>
        <v>0.34545454545454546</v>
      </c>
      <c r="I4356" s="297">
        <f t="shared" si="411"/>
        <v>1.8312286885054638</v>
      </c>
      <c r="J4356" s="297">
        <f t="shared" si="412"/>
        <v>1.5714285714285714</v>
      </c>
      <c r="K4356" s="297">
        <f>J4356/POBLA!$B$11*100000</f>
        <v>0.43842238090455304</v>
      </c>
      <c r="L4356" s="549">
        <f t="shared" si="409"/>
        <v>-0.375</v>
      </c>
      <c r="M4356" s="401">
        <f>SUM(C4356,C4332,C4308,C4284,C4260,C4236,C4212)/POBLA!$B$11*100000</f>
        <v>3.0689566663318715</v>
      </c>
    </row>
    <row r="4357" spans="1:13" s="360" customFormat="1" x14ac:dyDescent="0.25">
      <c r="A4357" s="19" t="s">
        <v>21</v>
      </c>
      <c r="B4357" s="2">
        <v>44074</v>
      </c>
      <c r="C4357" s="1">
        <v>171</v>
      </c>
      <c r="D4357" s="39">
        <f t="shared" si="410"/>
        <v>1588</v>
      </c>
      <c r="E4357" s="1"/>
      <c r="F4357" s="39">
        <f t="shared" si="403"/>
        <v>31</v>
      </c>
      <c r="G4357" s="168">
        <f>SUM(C4357,C4333,C4309,C4285,C4261,C4237,C4213,C4189,C4165,C4141,C4117,C4093,C4069,C4045)/POBLA!$B$12*100000</f>
        <v>201.50890272939108</v>
      </c>
      <c r="H4357" s="256">
        <f t="shared" si="408"/>
        <v>1.7941176470588236</v>
      </c>
      <c r="I4357" s="297">
        <f t="shared" si="411"/>
        <v>361.53067842626047</v>
      </c>
      <c r="J4357" s="297">
        <f t="shared" si="412"/>
        <v>64.285714285714292</v>
      </c>
      <c r="K4357" s="297">
        <f>J4357/POBLA!$B$12*100000</f>
        <v>16.335616326468383</v>
      </c>
      <c r="L4357" s="549">
        <f t="shared" si="409"/>
        <v>-0.31195335276967939</v>
      </c>
      <c r="M4357" s="401">
        <f>SUM(C4357,C4333,C4309,C4285,C4261,C4237,C4213)/POBLA!$B$12*100000</f>
        <v>114.34931428527867</v>
      </c>
    </row>
    <row r="4358" spans="1:13" s="360" customFormat="1" x14ac:dyDescent="0.25">
      <c r="A4358" s="19" t="s">
        <v>17</v>
      </c>
      <c r="B4358" s="2">
        <v>44074</v>
      </c>
      <c r="C4358" s="1">
        <v>281</v>
      </c>
      <c r="D4358" s="39">
        <f t="shared" si="410"/>
        <v>6830</v>
      </c>
      <c r="E4358" s="1">
        <f>1+1+1</f>
        <v>3</v>
      </c>
      <c r="F4358" s="39">
        <f t="shared" si="403"/>
        <v>78</v>
      </c>
      <c r="G4358" s="168">
        <f>SUM(C4358,C4334,C4310,C4286,C4262,C4238,C4214,C4190,C4166,C4142,C4118,C4094,C4070,C4046)/POBLA!$B$13*100000</f>
        <v>167.35850895677015</v>
      </c>
      <c r="H4358" s="256">
        <f t="shared" si="408"/>
        <v>1.6441263573543929</v>
      </c>
      <c r="I4358" s="297">
        <f t="shared" si="411"/>
        <v>275.15853570335707</v>
      </c>
      <c r="J4358" s="297">
        <f t="shared" si="412"/>
        <v>288.71428571428572</v>
      </c>
      <c r="K4358" s="297">
        <f>J4358/POBLA!$B$13*100000</f>
        <v>14.505791765734548</v>
      </c>
      <c r="L4358" s="549">
        <f t="shared" si="409"/>
        <v>-0.54274809160305337</v>
      </c>
      <c r="M4358" s="401">
        <f>SUM(C4358,C4334,C4310,C4286,C4262,C4238,C4214)/POBLA!$B$13*100000</f>
        <v>101.54054236014186</v>
      </c>
    </row>
    <row r="4359" spans="1:13" s="360" customFormat="1" x14ac:dyDescent="0.25">
      <c r="A4359" s="19" t="s">
        <v>23</v>
      </c>
      <c r="B4359" s="2">
        <v>44074</v>
      </c>
      <c r="C4359" s="1">
        <v>0</v>
      </c>
      <c r="D4359" s="39">
        <f t="shared" si="410"/>
        <v>62</v>
      </c>
      <c r="E4359" s="1"/>
      <c r="F4359" s="39">
        <f t="shared" si="403"/>
        <v>2</v>
      </c>
      <c r="G4359" s="168">
        <f>SUM(C4359,C4335,C4311,C4287,C4263,C4239,C4215,C4191,C4167,C4143,C4119,C4095,C4071,C4047)/POBLA!$B$14*100000</f>
        <v>0.55498559415964877</v>
      </c>
      <c r="H4359" s="256">
        <f t="shared" si="408"/>
        <v>2.3333333333333335</v>
      </c>
      <c r="I4359" s="297">
        <f t="shared" si="411"/>
        <v>1.2949663863725138</v>
      </c>
      <c r="J4359" s="297">
        <f t="shared" si="412"/>
        <v>0.5714285714285714</v>
      </c>
      <c r="K4359" s="297">
        <f>J4359/POBLA!$B$14*100000</f>
        <v>4.5304946462012143E-2</v>
      </c>
      <c r="L4359" s="549">
        <f t="shared" si="409"/>
        <v>-0.33333333333333326</v>
      </c>
      <c r="M4359" s="401">
        <f>SUM(C4359,C4335,C4311,C4287,C4263,C4239,C4215)/POBLA!$B$14*100000</f>
        <v>0.31713462523408498</v>
      </c>
    </row>
    <row r="4360" spans="1:13" s="360" customFormat="1" x14ac:dyDescent="0.25">
      <c r="A4360" s="19" t="s">
        <v>19</v>
      </c>
      <c r="B4360" s="2">
        <v>44074</v>
      </c>
      <c r="C4360" s="1">
        <v>104</v>
      </c>
      <c r="D4360" s="39">
        <f>C4360+D4336</f>
        <v>3036</v>
      </c>
      <c r="E4360" s="1">
        <f>2</f>
        <v>2</v>
      </c>
      <c r="F4360" s="39">
        <f t="shared" si="403"/>
        <v>23</v>
      </c>
      <c r="G4360" s="168">
        <f>SUM(C4360,C4336,C4312,C4288,C4264,C4240,C4216,C4192,C4168,C4144,C4120,C4096,C4072,C4048)/POBLA!$B$15*100000</f>
        <v>171.37083111841304</v>
      </c>
      <c r="H4360" s="256">
        <f t="shared" si="408"/>
        <v>1.6884272997032641</v>
      </c>
      <c r="I4360" s="297">
        <f t="shared" si="411"/>
        <v>289.34718963316624</v>
      </c>
      <c r="J4360" s="297">
        <f t="shared" si="412"/>
        <v>106.14285714285714</v>
      </c>
      <c r="K4360" s="297">
        <f>J4360/POBLA!$B$15*100000</f>
        <v>15.983997931330764</v>
      </c>
      <c r="L4360" s="549">
        <f t="shared" si="409"/>
        <v>-0.88101265822784813</v>
      </c>
      <c r="M4360" s="401">
        <f>SUM(C4360,C4336,C4312,C4288,C4264,C4240,C4216)/POBLA!$B$15*100000</f>
        <v>111.88798551931536</v>
      </c>
    </row>
    <row r="4361" spans="1:13" s="360" customFormat="1" x14ac:dyDescent="0.25">
      <c r="A4361" s="19" t="s">
        <v>18</v>
      </c>
      <c r="B4361" s="2">
        <v>44074</v>
      </c>
      <c r="C4361" s="1">
        <v>126</v>
      </c>
      <c r="D4361" s="39">
        <f>C4361+D4337</f>
        <v>5996</v>
      </c>
      <c r="E4361" s="1">
        <f>2</f>
        <v>2</v>
      </c>
      <c r="F4361" s="39">
        <f t="shared" si="403"/>
        <v>95</v>
      </c>
      <c r="G4361" s="168">
        <f>SUM(C4361,C4337,C4313,C4289,C4265,C4241,C4217,C4193,C4169,C4145,C4121,C4097,C4073,C4049)/POBLA!$B$16*100000</f>
        <v>275.54473589170823</v>
      </c>
      <c r="H4361" s="256">
        <f t="shared" si="408"/>
        <v>1.1381215469613259</v>
      </c>
      <c r="I4361" s="297">
        <f t="shared" si="411"/>
        <v>313.60340107012098</v>
      </c>
      <c r="J4361" s="297">
        <f t="shared" si="412"/>
        <v>176</v>
      </c>
      <c r="K4361" s="297">
        <f>J4361/POBLA!$B$16*100000</f>
        <v>23.541686173272158</v>
      </c>
      <c r="L4361" s="549">
        <f t="shared" si="409"/>
        <v>-0.48792270531400961</v>
      </c>
      <c r="M4361" s="401">
        <f>SUM(C4361,C4337,C4313,C4289,C4265,C4241,C4217)/POBLA!$B$16*100000</f>
        <v>164.79180321290514</v>
      </c>
    </row>
    <row r="4362" spans="1:13" s="360" customFormat="1" x14ac:dyDescent="0.25">
      <c r="A4362" s="19" t="s">
        <v>34</v>
      </c>
      <c r="B4362" s="2">
        <v>44074</v>
      </c>
      <c r="C4362" s="1">
        <v>159</v>
      </c>
      <c r="D4362" s="39">
        <f>C4362+D4338</f>
        <v>3320</v>
      </c>
      <c r="E4362" s="1">
        <f>1+2+1</f>
        <v>4</v>
      </c>
      <c r="F4362" s="39">
        <f>E4362+F4338</f>
        <v>45</v>
      </c>
      <c r="G4362" s="168">
        <f>SUM(C4362,C4338,C4314,C4290,C4266,C4242,C4218,C4194,C4170,C4146,C4122,C4098,C4074,C4050)/POBLA!$B$17*100000</f>
        <v>150.51983400695173</v>
      </c>
      <c r="H4362" s="256">
        <f t="shared" si="408"/>
        <v>2.4363636363636365</v>
      </c>
      <c r="I4362" s="297">
        <f t="shared" si="411"/>
        <v>366.72105012602788</v>
      </c>
      <c r="J4362" s="297">
        <f t="shared" si="412"/>
        <v>198.28571428571428</v>
      </c>
      <c r="K4362" s="297">
        <f>J4362/POBLA!$B$17*100000</f>
        <v>13.920677612050172</v>
      </c>
      <c r="L4362" s="549">
        <f t="shared" si="409"/>
        <v>-0.83597883597883604</v>
      </c>
      <c r="M4362" s="401">
        <f>SUM(C4362,C4338,C4314,C4290,C4266,C4242,C4218)/POBLA!$B$17*100000</f>
        <v>97.444743284351205</v>
      </c>
    </row>
    <row r="4363" spans="1:13" s="360" customFormat="1" x14ac:dyDescent="0.25">
      <c r="A4363" s="19" t="s">
        <v>35</v>
      </c>
      <c r="B4363" s="2">
        <v>44074</v>
      </c>
      <c r="C4363" s="1">
        <v>2</v>
      </c>
      <c r="D4363" s="39">
        <f t="shared" ref="D4363:D4369" si="413">C4363+D4339</f>
        <v>223</v>
      </c>
      <c r="E4363" s="1"/>
      <c r="F4363" s="39">
        <f>E4363+F4339</f>
        <v>0</v>
      </c>
      <c r="G4363" s="168">
        <f>SUM(C4363,C4339,C4315,C4291,C4267,C4243,C4219,C4195,C4171,C4147,C4123,C4099,C4075,C4051)/POBLA!$B$18*100000</f>
        <v>25.729086796626291</v>
      </c>
      <c r="H4363" s="256" t="e">
        <f t="shared" si="408"/>
        <v>#DIV/0!</v>
      </c>
      <c r="I4363" s="297" t="e">
        <f t="shared" si="411"/>
        <v>#DIV/0!</v>
      </c>
      <c r="J4363" s="297">
        <f t="shared" si="412"/>
        <v>18.142857142857142</v>
      </c>
      <c r="K4363" s="297">
        <f>J4363/POBLA!$B$18*100000</f>
        <v>2.3223838117779239</v>
      </c>
      <c r="L4363" s="549">
        <f t="shared" si="409"/>
        <v>-0.71621621621621623</v>
      </c>
      <c r="M4363" s="401">
        <f>SUM(C4363,C4339,C4315,C4291,C4267,C4243,C4219)/POBLA!$B$18*100000</f>
        <v>16.256686682445466</v>
      </c>
    </row>
    <row r="4364" spans="1:13" s="360" customFormat="1" x14ac:dyDescent="0.25">
      <c r="A4364" s="19" t="s">
        <v>36</v>
      </c>
      <c r="B4364" s="2">
        <v>44074</v>
      </c>
      <c r="C4364" s="1">
        <v>62</v>
      </c>
      <c r="D4364" s="39">
        <f t="shared" si="413"/>
        <v>147</v>
      </c>
      <c r="E4364" s="1"/>
      <c r="F4364" s="39">
        <f>E4364+F4340</f>
        <v>0</v>
      </c>
      <c r="G4364" s="168">
        <f>SUM(C4364,C4340,C4316,C4292,C4268,C4244,C4220,C4196,C4172,C4148,C4124,C4100,C4076,C4052)/POBLA!$B$19*100000</f>
        <v>22.229741426795297</v>
      </c>
      <c r="H4364" s="256">
        <f t="shared" si="408"/>
        <v>14.125</v>
      </c>
      <c r="I4364" s="297">
        <f t="shared" si="411"/>
        <v>313.99509765348358</v>
      </c>
      <c r="J4364" s="297">
        <f t="shared" si="412"/>
        <v>15.142857142857142</v>
      </c>
      <c r="K4364" s="297">
        <f>J4364/POBLA!$B$19*100000</f>
        <v>2.978953971226677</v>
      </c>
      <c r="L4364" s="549">
        <f t="shared" si="409"/>
        <v>-14.142857142857142</v>
      </c>
      <c r="M4364" s="401">
        <f>SUM(C4364,C4340,C4316,C4292,C4268,C4244,C4220)/POBLA!$B$19*100000</f>
        <v>20.85267779858674</v>
      </c>
    </row>
    <row r="4365" spans="1:13" s="360" customFormat="1" x14ac:dyDescent="0.25">
      <c r="A4365" s="19" t="s">
        <v>37</v>
      </c>
      <c r="B4365" s="2">
        <v>44074</v>
      </c>
      <c r="C4365" s="1">
        <v>37</v>
      </c>
      <c r="D4365" s="39">
        <f t="shared" si="413"/>
        <v>1771</v>
      </c>
      <c r="E4365" s="1"/>
      <c r="F4365" s="39">
        <f t="shared" ref="F4365:F4370" si="414">E4365+F4341</f>
        <v>13</v>
      </c>
      <c r="G4365" s="168">
        <f>SUM(C4365,C4341,C4317,C4293,C4269,C4245,C4221,C4197,C4173,C4149,C4125,C4101,C4077,C4053)/POBLA!$B$20*100000</f>
        <v>192.5085726473757</v>
      </c>
      <c r="H4365" s="256">
        <f t="shared" si="408"/>
        <v>1.3643410852713178</v>
      </c>
      <c r="I4365" s="297">
        <f t="shared" si="411"/>
        <v>262.64735492975291</v>
      </c>
      <c r="J4365" s="297">
        <f t="shared" si="412"/>
        <v>56.142857142857146</v>
      </c>
      <c r="K4365" s="297">
        <f>J4365/POBLA!$B$20*100000</f>
        <v>15.352246154711578</v>
      </c>
      <c r="L4365" s="549">
        <f t="shared" si="409"/>
        <v>-0.2636655948553055</v>
      </c>
      <c r="M4365" s="401">
        <f>SUM(C4365,C4341,C4317,C4293,C4269,C4245,C4221)/POBLA!$B$20*100000</f>
        <v>107.46572308298104</v>
      </c>
    </row>
    <row r="4366" spans="1:13" s="360" customFormat="1" x14ac:dyDescent="0.25">
      <c r="A4366" s="19" t="s">
        <v>22</v>
      </c>
      <c r="B4366" s="2">
        <v>44074</v>
      </c>
      <c r="C4366" s="1">
        <v>475</v>
      </c>
      <c r="D4366" s="39">
        <f t="shared" si="413"/>
        <v>7905</v>
      </c>
      <c r="E4366" s="1">
        <f>1+6+3</f>
        <v>10</v>
      </c>
      <c r="F4366" s="39">
        <f t="shared" si="414"/>
        <v>90</v>
      </c>
      <c r="G4366" s="168">
        <f>SUM(C4366,C4342,C4318,C4294,C4270,C4246,C4222,C4198,C4174,C4150,C4126,C4102,C4078,C4054)/POBLA!$B$21*100000</f>
        <v>126.48391677680635</v>
      </c>
      <c r="H4366" s="256">
        <f t="shared" si="408"/>
        <v>2.2398597896845267</v>
      </c>
      <c r="I4366" s="297">
        <f t="shared" si="411"/>
        <v>283.30623923017265</v>
      </c>
      <c r="J4366" s="297">
        <f t="shared" si="412"/>
        <v>411.28571428571428</v>
      </c>
      <c r="K4366" s="297">
        <f>J4366/POBLA!$B$21*100000</f>
        <v>11.630008508205599</v>
      </c>
      <c r="L4366" s="549">
        <f t="shared" si="409"/>
        <v>-0.80614805520702637</v>
      </c>
      <c r="M4366" s="401">
        <f>SUM(C4366,C4342,C4318,C4294,C4270,C4246,C4222)/POBLA!$B$21*100000</f>
        <v>81.410059557439183</v>
      </c>
    </row>
    <row r="4367" spans="1:13" s="360" customFormat="1" x14ac:dyDescent="0.25">
      <c r="A4367" s="19" t="s">
        <v>38</v>
      </c>
      <c r="B4367" s="2">
        <v>44074</v>
      </c>
      <c r="C4367" s="1">
        <v>40</v>
      </c>
      <c r="D4367" s="39">
        <f t="shared" si="413"/>
        <v>938</v>
      </c>
      <c r="E4367" s="1">
        <f>1</f>
        <v>1</v>
      </c>
      <c r="F4367" s="39">
        <f t="shared" si="414"/>
        <v>11</v>
      </c>
      <c r="G4367" s="168">
        <f>SUM(C4367,C4343,C4319,C4295,C4271,C4247,C4223,C4199,C4175,C4151,C4127,C4103,C4079,C4055)/POBLA!$B$22*100000</f>
        <v>62.556666424753637</v>
      </c>
      <c r="H4367" s="256">
        <f t="shared" si="408"/>
        <v>2.2093862815884475</v>
      </c>
      <c r="I4367" s="297">
        <f t="shared" si="411"/>
        <v>138.21184062075531</v>
      </c>
      <c r="J4367" s="297">
        <f t="shared" si="412"/>
        <v>50.714285714285715</v>
      </c>
      <c r="K4367" s="297">
        <f>J4367/POBLA!$B$22*100000</f>
        <v>5.1838507424807512</v>
      </c>
      <c r="L4367" s="549">
        <f t="shared" si="409"/>
        <v>-0.38132295719844356</v>
      </c>
      <c r="M4367" s="401">
        <f>SUM(C4367,C4343,C4319,C4295,C4271,C4247,C4223)/POBLA!$B$22*100000</f>
        <v>36.286955197365259</v>
      </c>
    </row>
    <row r="4368" spans="1:13" s="360" customFormat="1" x14ac:dyDescent="0.25">
      <c r="A4368" s="19" t="s">
        <v>39</v>
      </c>
      <c r="B4368" s="2">
        <v>44074</v>
      </c>
      <c r="C4368" s="1">
        <v>38</v>
      </c>
      <c r="D4368" s="39">
        <f t="shared" si="413"/>
        <v>2020</v>
      </c>
      <c r="E4368" s="1">
        <f>1</f>
        <v>1</v>
      </c>
      <c r="F4368" s="39">
        <f t="shared" si="414"/>
        <v>29</v>
      </c>
      <c r="G4368" s="168">
        <f>SUM(C4368,C4344,C4320,C4296,C4272,C4248,C4224,C4200,C4176,C4152,C4128,C4104,C4080,C4056)/POBLA!$B$23*100000</f>
        <v>305.9435616128485</v>
      </c>
      <c r="H4368" s="256">
        <f t="shared" si="408"/>
        <v>0.6494597839135654</v>
      </c>
      <c r="I4368" s="297">
        <f t="shared" si="411"/>
        <v>198.69803941482718</v>
      </c>
      <c r="J4368" s="297">
        <f t="shared" si="412"/>
        <v>38.285714285714285</v>
      </c>
      <c r="K4368" s="297">
        <f>J4368/POBLA!$B$23*100000</f>
        <v>21.651141936161444</v>
      </c>
      <c r="L4368" s="549">
        <f t="shared" si="409"/>
        <v>1.8315018315018361E-2</v>
      </c>
      <c r="M4368" s="401">
        <f>SUM(C4368,C4344,C4320,C4296,C4272,C4248,C4224)/POBLA!$B$23*100000</f>
        <v>151.55799355313013</v>
      </c>
    </row>
    <row r="4369" spans="1:13" s="360" customFormat="1" ht="15.75" thickBot="1" x14ac:dyDescent="0.3">
      <c r="A4369" s="19" t="s">
        <v>40</v>
      </c>
      <c r="B4369" s="2">
        <v>44074</v>
      </c>
      <c r="C4369" s="1">
        <v>250</v>
      </c>
      <c r="D4369" s="39">
        <f t="shared" si="413"/>
        <v>2243</v>
      </c>
      <c r="E4369" s="1">
        <f>1</f>
        <v>1</v>
      </c>
      <c r="F4369" s="39">
        <f t="shared" si="414"/>
        <v>14</v>
      </c>
      <c r="G4369" s="177">
        <f>SUM(C4369,C4345,C4321,C4297,C4273,C4249,C4225,C4201,C4177,C4153,C4129,C4105,C4081,C4057)/POBLA!$B$24*100000</f>
        <v>94.945522867177772</v>
      </c>
      <c r="H4369" s="402">
        <f t="shared" si="408"/>
        <v>4.3841961852861031</v>
      </c>
      <c r="I4369" s="403">
        <f t="shared" si="411"/>
        <v>416.25979916427525</v>
      </c>
      <c r="J4369" s="403">
        <f t="shared" si="412"/>
        <v>153.57142857142858</v>
      </c>
      <c r="K4369" s="403">
        <f>J4369/POBLA!$B$24*100000</f>
        <v>9.0621004245952328</v>
      </c>
      <c r="L4369" s="550">
        <f t="shared" si="409"/>
        <v>-1.0131086142322099</v>
      </c>
      <c r="M4369" s="405">
        <f>SUM(C4369,C4345,C4321,C4297,C4273,C4249,C4225)/POBLA!$B$24*100000</f>
        <v>63.434702972166626</v>
      </c>
    </row>
    <row r="4370" spans="1:13" s="360" customFormat="1" x14ac:dyDescent="0.25">
      <c r="A4370" s="361" t="s">
        <v>16</v>
      </c>
      <c r="B4370" s="2">
        <v>44075</v>
      </c>
      <c r="C4370" s="1">
        <v>6157</v>
      </c>
      <c r="D4370" s="39">
        <f>C4370+D4346</f>
        <v>264950</v>
      </c>
      <c r="E4370" s="1">
        <v>176</v>
      </c>
      <c r="F4370" s="39">
        <f t="shared" si="414"/>
        <v>5333</v>
      </c>
      <c r="G4370" s="175">
        <f>SUM(C4370,C4346,C4322,C4298,C4274,C4250,C4226,C4202,C4178,C4154,C4130,C4106,C4082,C4058)/POBLA!$B$1*100000</f>
        <v>426.14673697680212</v>
      </c>
      <c r="H4370" s="300">
        <f t="shared" ref="H4370:H4393" si="415">SUM(C4370,C4346,C4322,C4298,C4274,C4250,C4226,C4202,C4178,C4154,C4130,C4106,C4082,C4058)/SUM(C4034,C4010,C3986,C3962,C3938,C3914,C3890,C3866,C3842,C3818,C3794,C3770,C3746,C3722)</f>
        <v>1.2303071200500346</v>
      </c>
      <c r="I4370" s="301">
        <f>G4370*H4370</f>
        <v>524.29136468864897</v>
      </c>
      <c r="J4370" s="301">
        <f>AVERAGE(C4370,C4346,C4322,C4298,C4274,C4250,C4226)</f>
        <v>5892.2857142857147</v>
      </c>
      <c r="K4370" s="301">
        <f>J4370/POBLA!$B$1*100000</f>
        <v>33.591233969818241</v>
      </c>
      <c r="L4370" s="548">
        <f t="shared" ref="L4370:L4393" si="416">1-SUM(C4370,C4346,C4322,C4298,C4274,C4250,C4226)/SUM(C4202,C4178,C4154,C4130,C4106,C4082,C4058)</f>
        <v>-0.23104014326219957</v>
      </c>
      <c r="M4370" s="400">
        <f>SUM(C4370,C4346,C4322,C4298,C4274,C4250,C4226)/POBLA!$B$1*100000</f>
        <v>235.13863778872766</v>
      </c>
    </row>
    <row r="4371" spans="1:13" s="360" customFormat="1" x14ac:dyDescent="0.25">
      <c r="A4371" s="19" t="s">
        <v>43</v>
      </c>
      <c r="B4371" s="2">
        <v>44075</v>
      </c>
      <c r="C4371" s="1">
        <v>1395</v>
      </c>
      <c r="D4371" s="39">
        <f t="shared" ref="D4371:D4383" si="417">C4371+D4347</f>
        <v>96999</v>
      </c>
      <c r="E4371" s="1">
        <v>53</v>
      </c>
      <c r="F4371" s="39">
        <f t="shared" ref="F4371:F4409" si="418">E4371+F4347</f>
        <v>2292</v>
      </c>
      <c r="G4371" s="168">
        <f>SUM(C4371,C4347,C4323,C4299,C4275,C4251,C4227,C4203,C4179,C4155,C4131,C4107,C4083,C4059)/POBLA!$B$2*100000</f>
        <v>577.01699090207387</v>
      </c>
      <c r="H4371" s="256">
        <f t="shared" si="415"/>
        <v>2.1764778023056168</v>
      </c>
      <c r="I4371" s="297">
        <f t="shared" ref="I4371:I4393" si="419">G4371*H4371</f>
        <v>1255.8646722515459</v>
      </c>
      <c r="J4371" s="297">
        <f t="shared" ref="J4371:J4393" si="420">AVERAGE(C4371,C4347,C4323,C4299,C4275,C4251,C4227)</f>
        <v>1347.1428571428571</v>
      </c>
      <c r="K4371" s="297">
        <f>J4371/POBLA!$B$2*100000</f>
        <v>43.800322180864029</v>
      </c>
      <c r="L4371" s="549">
        <f t="shared" si="416"/>
        <v>-0.13382229169171578</v>
      </c>
      <c r="M4371" s="401">
        <f>SUM(C4371,C4347,C4323,C4299,C4275,C4251,C4227)/POBLA!$B$2*100000</f>
        <v>306.60225526604819</v>
      </c>
    </row>
    <row r="4372" spans="1:13" s="360" customFormat="1" x14ac:dyDescent="0.25">
      <c r="A4372" s="19" t="s">
        <v>28</v>
      </c>
      <c r="B4372" s="2">
        <v>44075</v>
      </c>
      <c r="C4372" s="1">
        <v>1</v>
      </c>
      <c r="D4372" s="39">
        <f t="shared" si="417"/>
        <v>67</v>
      </c>
      <c r="E4372" s="1"/>
      <c r="F4372" s="39">
        <f t="shared" si="418"/>
        <v>0</v>
      </c>
      <c r="G4372" s="168">
        <f>SUM(C4372,C4348,C4324,C4300,C4276,C4252,C4228,C4204,C4180,C4156,C4132,C4108,C4084,C4060)/POBLA!$B$3*100000</f>
        <v>0.7221294152195995</v>
      </c>
      <c r="H4372" s="256">
        <f t="shared" si="415"/>
        <v>9.0361445783132526E-3</v>
      </c>
      <c r="I4372" s="297">
        <f t="shared" si="419"/>
        <v>6.525265800177104E-3</v>
      </c>
      <c r="J4372" s="297">
        <f t="shared" si="420"/>
        <v>0.42857142857142855</v>
      </c>
      <c r="K4372" s="297">
        <f>J4372/POBLA!$B$3*100000</f>
        <v>0.10316134503137135</v>
      </c>
      <c r="L4372" s="549" t="e">
        <f t="shared" si="416"/>
        <v>#DIV/0!</v>
      </c>
      <c r="M4372" s="401">
        <f>SUM(C4372,C4348,C4324,C4300,C4276,C4252,C4228)/POBLA!$B$3*100000</f>
        <v>0.7221294152195995</v>
      </c>
    </row>
    <row r="4373" spans="1:13" s="360" customFormat="1" x14ac:dyDescent="0.25">
      <c r="A4373" s="19" t="s">
        <v>15</v>
      </c>
      <c r="B4373" s="2">
        <v>44075</v>
      </c>
      <c r="C4373" s="1">
        <v>75</v>
      </c>
      <c r="D4373" s="39">
        <f t="shared" si="417"/>
        <v>5492</v>
      </c>
      <c r="E4373" s="1"/>
      <c r="F4373" s="39">
        <f t="shared" si="418"/>
        <v>216</v>
      </c>
      <c r="G4373" s="168">
        <f>SUM(C4373,C4349,C4325,C4301,C4277,C4253,C4229,C4205,C4181,C4157,C4133,C4109,C4085,C4061)/POBLA!$B$4*100000</f>
        <v>78.287081967321996</v>
      </c>
      <c r="H4373" s="256">
        <f t="shared" si="415"/>
        <v>1.8099808061420346</v>
      </c>
      <c r="I4373" s="297">
        <f t="shared" si="419"/>
        <v>141.698115729721</v>
      </c>
      <c r="J4373" s="297">
        <f t="shared" si="420"/>
        <v>75</v>
      </c>
      <c r="K4373" s="297">
        <f>J4373/POBLA!$B$4*100000</f>
        <v>6.2264381204126718</v>
      </c>
      <c r="L4373" s="549">
        <f t="shared" si="416"/>
        <v>-0.25598086124401909</v>
      </c>
      <c r="M4373" s="401">
        <f>SUM(C4373,C4349,C4325,C4301,C4277,C4253,C4229)/POBLA!$B$4*100000</f>
        <v>43.5850668428887</v>
      </c>
    </row>
    <row r="4374" spans="1:13" s="360" customFormat="1" x14ac:dyDescent="0.25">
      <c r="A4374" s="19" t="s">
        <v>29</v>
      </c>
      <c r="B4374" s="2">
        <v>44075</v>
      </c>
      <c r="C4374" s="1">
        <v>56</v>
      </c>
      <c r="D4374" s="39">
        <f t="shared" si="417"/>
        <v>955</v>
      </c>
      <c r="E4374" s="1"/>
      <c r="F4374" s="39">
        <f t="shared" si="418"/>
        <v>7</v>
      </c>
      <c r="G4374" s="168">
        <f>SUM(C4374,C4350,C4326,C4302,C4278,C4254,C4230,C4206,C4182,C4158,C4134,C4110,C4086,C4062)/POBLA!$B$5*100000</f>
        <v>85.784353321680015</v>
      </c>
      <c r="H4374" s="256">
        <f t="shared" si="415"/>
        <v>7.4662542182227218E-2</v>
      </c>
      <c r="I4374" s="297">
        <f t="shared" si="419"/>
        <v>6.4048778984550179</v>
      </c>
      <c r="J4374" s="297">
        <f t="shared" si="420"/>
        <v>53.428571428571431</v>
      </c>
      <c r="K4374" s="297">
        <f>J4374/POBLA!$B$5*100000</f>
        <v>8.631516852921262</v>
      </c>
      <c r="L4374" s="549">
        <f t="shared" si="416"/>
        <v>-1.3821656050955413</v>
      </c>
      <c r="M4374" s="401">
        <f>SUM(C4374,C4350,C4326,C4302,C4278,C4254,C4230)/POBLA!$B$5*100000</f>
        <v>60.420617970448816</v>
      </c>
    </row>
    <row r="4375" spans="1:13" s="360" customFormat="1" x14ac:dyDescent="0.25">
      <c r="A4375" s="19" t="s">
        <v>20</v>
      </c>
      <c r="B4375" s="2">
        <v>44075</v>
      </c>
      <c r="C4375" s="1">
        <v>392</v>
      </c>
      <c r="D4375" s="39">
        <f t="shared" si="417"/>
        <v>8914</v>
      </c>
      <c r="E4375" s="1">
        <f>1+1</f>
        <v>2</v>
      </c>
      <c r="F4375" s="39">
        <f t="shared" si="418"/>
        <v>127</v>
      </c>
      <c r="G4375" s="168">
        <f>SUM(C4375,C4351,C4327,C4303,C4279,C4255,C4231,C4207,C4183,C4159,C4135,C4111,C4087,C4063)/POBLA!$B$6*100000</f>
        <v>350.01753210427182</v>
      </c>
      <c r="H4375" s="256">
        <f t="shared" si="415"/>
        <v>1.722880983750549</v>
      </c>
      <c r="I4375" s="297">
        <f t="shared" si="419"/>
        <v>603.03855004174716</v>
      </c>
      <c r="J4375" s="297">
        <f t="shared" si="420"/>
        <v>357.42857142857144</v>
      </c>
      <c r="K4375" s="297">
        <f>J4375/POBLA!$B$6*100000</f>
        <v>31.890457933975028</v>
      </c>
      <c r="L4375" s="549">
        <f t="shared" si="416"/>
        <v>-0.76073187895848005</v>
      </c>
      <c r="M4375" s="401">
        <f>SUM(C4375,C4351,C4327,C4303,C4279,C4255,C4231)/POBLA!$B$6*100000</f>
        <v>223.2332055378252</v>
      </c>
    </row>
    <row r="4376" spans="1:13" s="360" customFormat="1" x14ac:dyDescent="0.25">
      <c r="A4376" s="19" t="s">
        <v>30</v>
      </c>
      <c r="B4376" s="2">
        <v>44075</v>
      </c>
      <c r="C4376" s="1">
        <v>3</v>
      </c>
      <c r="D4376" s="39">
        <f t="shared" si="417"/>
        <v>314</v>
      </c>
      <c r="E4376" s="1"/>
      <c r="F4376" s="39">
        <f t="shared" si="418"/>
        <v>5</v>
      </c>
      <c r="G4376" s="168">
        <f>SUM(C4376,C4352,C4328,C4304,C4280,C4256,C4232,C4208,C4184,C4160,C4136,C4112,C4088,C4064)/POBLA!$B$7*100000</f>
        <v>2.1539975268917284</v>
      </c>
      <c r="H4376" s="256">
        <f t="shared" si="415"/>
        <v>1.9285714285714286</v>
      </c>
      <c r="I4376" s="297">
        <f t="shared" si="419"/>
        <v>4.1541380875769045</v>
      </c>
      <c r="J4376" s="297">
        <f t="shared" si="420"/>
        <v>7.7142857142857144</v>
      </c>
      <c r="K4376" s="297">
        <f>J4376/POBLA!$B$7*100000</f>
        <v>0.20514262160873603</v>
      </c>
      <c r="L4376" s="549">
        <f t="shared" si="416"/>
        <v>-1</v>
      </c>
      <c r="M4376" s="401">
        <f>SUM(C4376,C4352,C4328,C4304,C4280,C4256,C4232)/POBLA!$B$7*100000</f>
        <v>1.4359983512611523</v>
      </c>
    </row>
    <row r="4377" spans="1:13" x14ac:dyDescent="0.25">
      <c r="A4377" s="19" t="s">
        <v>31</v>
      </c>
      <c r="B4377" s="2">
        <v>44075</v>
      </c>
      <c r="C4377" s="1">
        <v>312</v>
      </c>
      <c r="D4377" s="39">
        <f t="shared" si="417"/>
        <v>3650</v>
      </c>
      <c r="E4377" s="1">
        <f>1+1</f>
        <v>2</v>
      </c>
      <c r="F4377" s="39">
        <f t="shared" si="418"/>
        <v>49</v>
      </c>
      <c r="G4377" s="168">
        <f>SUM(C4377,C4353,C4329,C4305,C4281,C4257,C4233,C4209,C4185,C4161,C4137,C4113,C4089,C4065)/POBLA!$B$8*100000</f>
        <v>137.08899456766821</v>
      </c>
      <c r="H4377" s="256">
        <f t="shared" si="415"/>
        <v>2.2300469483568075</v>
      </c>
      <c r="I4377" s="297">
        <f t="shared" si="419"/>
        <v>305.71489398893146</v>
      </c>
      <c r="J4377" s="297">
        <f t="shared" si="420"/>
        <v>163</v>
      </c>
      <c r="K4377" s="297">
        <f>J4377/POBLA!$B$8*100000</f>
        <v>11.760792691857851</v>
      </c>
      <c r="L4377" s="549">
        <f t="shared" si="416"/>
        <v>-0.50329380764163378</v>
      </c>
      <c r="M4377" s="401">
        <f>SUM(C4377,C4353,C4329,C4305,C4281,C4257,C4233)/POBLA!$B$8*100000</f>
        <v>82.325548843004967</v>
      </c>
    </row>
    <row r="4378" spans="1:13" s="360" customFormat="1" x14ac:dyDescent="0.25">
      <c r="A4378" s="19" t="s">
        <v>41</v>
      </c>
      <c r="B4378" s="2">
        <v>44075</v>
      </c>
      <c r="C4378" s="1">
        <v>-1</v>
      </c>
      <c r="D4378" s="39">
        <f t="shared" si="417"/>
        <v>83</v>
      </c>
      <c r="E4378" s="1"/>
      <c r="F4378" s="39">
        <f>E4378+F4354</f>
        <v>1</v>
      </c>
      <c r="G4378" s="168">
        <f>SUM(C4378,C4354,C4330,C4306,C4282,C4258,C4234,C4210,C4186,C4162,C4138,C4114,C4090,C4066)/POBLA!$B$9*100000</f>
        <v>0.66094617750040074</v>
      </c>
      <c r="H4378" s="256">
        <f t="shared" si="415"/>
        <v>-1.3333333333333333</v>
      </c>
      <c r="I4378" s="297">
        <f t="shared" si="419"/>
        <v>-0.88126157000053429</v>
      </c>
      <c r="J4378" s="297">
        <f t="shared" si="420"/>
        <v>0</v>
      </c>
      <c r="K4378" s="297">
        <f>J4378/POBLA!$B$9*100000</f>
        <v>0</v>
      </c>
      <c r="L4378" s="549">
        <f t="shared" si="416"/>
        <v>1</v>
      </c>
      <c r="M4378" s="401">
        <f>SUM(C4378,C4354,C4330,C4306,C4282,C4258,C4234)/POBLA!$B$9*100000</f>
        <v>0</v>
      </c>
    </row>
    <row r="4379" spans="1:13" s="360" customFormat="1" x14ac:dyDescent="0.25">
      <c r="A4379" s="19" t="s">
        <v>32</v>
      </c>
      <c r="B4379" s="2">
        <v>44075</v>
      </c>
      <c r="C4379" s="1">
        <v>124</v>
      </c>
      <c r="D4379" s="39">
        <f t="shared" si="417"/>
        <v>8542</v>
      </c>
      <c r="E4379" s="1"/>
      <c r="F4379" s="39">
        <f t="shared" si="418"/>
        <v>196</v>
      </c>
      <c r="G4379" s="168">
        <f>SUM(C4379,C4355,C4331,C4307,C4283,C4259,C4235,C4211,C4187,C4163,C4139,C4115,C4091,C4067)/POBLA!$B$10*100000</f>
        <v>430.02746208558779</v>
      </c>
      <c r="H4379" s="256">
        <f t="shared" si="415"/>
        <v>1.3399353274050121</v>
      </c>
      <c r="I4379" s="297">
        <f t="shared" si="419"/>
        <v>576.20898820279854</v>
      </c>
      <c r="J4379" s="297">
        <f t="shared" si="420"/>
        <v>243.42857142857142</v>
      </c>
      <c r="K4379" s="297">
        <f>J4379/POBLA!$B$10*100000</f>
        <v>31.577970066530558</v>
      </c>
      <c r="L4379" s="549">
        <f t="shared" si="416"/>
        <v>-5.7728119180633142E-2</v>
      </c>
      <c r="M4379" s="401">
        <f>SUM(C4379,C4355,C4331,C4307,C4283,C4259,C4235)/POBLA!$B$10*100000</f>
        <v>221.04579046571391</v>
      </c>
    </row>
    <row r="4380" spans="1:13" s="360" customFormat="1" x14ac:dyDescent="0.25">
      <c r="A4380" s="19" t="s">
        <v>33</v>
      </c>
      <c r="B4380" s="2">
        <v>44075</v>
      </c>
      <c r="C4380" s="1">
        <v>8</v>
      </c>
      <c r="D4380" s="39">
        <f t="shared" si="417"/>
        <v>212</v>
      </c>
      <c r="E4380" s="1">
        <f>1</f>
        <v>1</v>
      </c>
      <c r="F4380" s="39">
        <f t="shared" si="418"/>
        <v>3</v>
      </c>
      <c r="G4380" s="168">
        <f>SUM(C4380,C4356,C4332,C4308,C4284,C4260,C4236,C4212,C4188,C4164,C4140,C4116,C4092,C4068)/POBLA!$B$11*100000</f>
        <v>7.8118896961174906</v>
      </c>
      <c r="H4380" s="256">
        <f t="shared" si="415"/>
        <v>1.1200000000000001</v>
      </c>
      <c r="I4380" s="297">
        <f t="shared" si="419"/>
        <v>8.74931645965159</v>
      </c>
      <c r="J4380" s="297">
        <f t="shared" si="420"/>
        <v>2.5714285714285716</v>
      </c>
      <c r="K4380" s="297">
        <f>J4380/POBLA!$B$11*100000</f>
        <v>0.71741844148017775</v>
      </c>
      <c r="L4380" s="549">
        <f t="shared" si="416"/>
        <v>-0.8</v>
      </c>
      <c r="M4380" s="401">
        <f>SUM(C4380,C4356,C4332,C4308,C4284,C4260,C4236)/POBLA!$B$11*100000</f>
        <v>5.0219290903612439</v>
      </c>
    </row>
    <row r="4381" spans="1:13" s="360" customFormat="1" x14ac:dyDescent="0.25">
      <c r="A4381" s="19" t="s">
        <v>21</v>
      </c>
      <c r="B4381" s="2">
        <v>44075</v>
      </c>
      <c r="C4381" s="1">
        <v>40</v>
      </c>
      <c r="D4381" s="39">
        <f t="shared" si="417"/>
        <v>1628</v>
      </c>
      <c r="E4381" s="1">
        <f>2+6</f>
        <v>8</v>
      </c>
      <c r="F4381" s="39">
        <f t="shared" si="418"/>
        <v>39</v>
      </c>
      <c r="G4381" s="168">
        <f>SUM(C4381,C4357,C4333,C4309,C4285,C4261,C4237,C4213,C4189,C4165,C4141,C4117,C4093,C4069)/POBLA!$B$12*100000</f>
        <v>197.44314933258116</v>
      </c>
      <c r="H4381" s="256">
        <f t="shared" si="415"/>
        <v>1.6567164179104477</v>
      </c>
      <c r="I4381" s="297">
        <f t="shared" si="419"/>
        <v>327.10730710323145</v>
      </c>
      <c r="J4381" s="297">
        <f t="shared" si="420"/>
        <v>64.428571428571431</v>
      </c>
      <c r="K4381" s="297">
        <f>J4381/POBLA!$B$12*100000</f>
        <v>16.371917696082754</v>
      </c>
      <c r="L4381" s="549">
        <f t="shared" si="416"/>
        <v>-0.3834355828220859</v>
      </c>
      <c r="M4381" s="401">
        <f>SUM(C4381,C4357,C4333,C4309,C4285,C4261,C4237)/POBLA!$B$12*100000</f>
        <v>114.60342387257928</v>
      </c>
    </row>
    <row r="4382" spans="1:13" s="360" customFormat="1" x14ac:dyDescent="0.25">
      <c r="A4382" s="19" t="s">
        <v>17</v>
      </c>
      <c r="B4382" s="2">
        <v>44075</v>
      </c>
      <c r="C4382" s="1">
        <v>361</v>
      </c>
      <c r="D4382" s="39">
        <f t="shared" si="417"/>
        <v>7191</v>
      </c>
      <c r="E4382" s="1">
        <f>2+1</f>
        <v>3</v>
      </c>
      <c r="F4382" s="39">
        <f t="shared" si="418"/>
        <v>81</v>
      </c>
      <c r="G4382" s="168">
        <f>SUM(C4382,C4358,C4334,C4310,C4286,C4262,C4238,C4214,C4190,C4166,C4142,C4118,C4094,C4070)/POBLA!$B$13*100000</f>
        <v>179.26603421127467</v>
      </c>
      <c r="H4382" s="256">
        <f t="shared" si="415"/>
        <v>1.74559686888454</v>
      </c>
      <c r="I4382" s="297">
        <f t="shared" si="419"/>
        <v>312.92622801654989</v>
      </c>
      <c r="J4382" s="297">
        <f t="shared" si="420"/>
        <v>302.57142857142856</v>
      </c>
      <c r="K4382" s="297">
        <f>J4382/POBLA!$B$13*100000</f>
        <v>15.202012350235416</v>
      </c>
      <c r="L4382" s="549">
        <f t="shared" si="416"/>
        <v>-0.46068965517241378</v>
      </c>
      <c r="M4382" s="401">
        <f>SUM(C4382,C4358,C4334,C4310,C4286,C4262,C4238)/POBLA!$B$13*100000</f>
        <v>106.41408645164792</v>
      </c>
    </row>
    <row r="4383" spans="1:13" s="360" customFormat="1" x14ac:dyDescent="0.25">
      <c r="A4383" s="19" t="s">
        <v>23</v>
      </c>
      <c r="B4383" s="2">
        <v>44075</v>
      </c>
      <c r="C4383" s="1">
        <v>4</v>
      </c>
      <c r="D4383" s="39">
        <f t="shared" si="417"/>
        <v>66</v>
      </c>
      <c r="E4383" s="1"/>
      <c r="F4383" s="39">
        <f t="shared" si="418"/>
        <v>2</v>
      </c>
      <c r="G4383" s="168">
        <f>SUM(C4383,C4359,C4335,C4311,C4287,C4263,C4239,C4215,C4191,C4167,C4143,C4119,C4095,C4071)/POBLA!$B$14*100000</f>
        <v>0.87212021939373374</v>
      </c>
      <c r="H4383" s="256">
        <f t="shared" si="415"/>
        <v>2.75</v>
      </c>
      <c r="I4383" s="297">
        <f t="shared" si="419"/>
        <v>2.3983306033327678</v>
      </c>
      <c r="J4383" s="297">
        <f t="shared" si="420"/>
        <v>1</v>
      </c>
      <c r="K4383" s="297">
        <f>J4383/POBLA!$B$14*100000</f>
        <v>7.9283656308521244E-2</v>
      </c>
      <c r="L4383" s="549">
        <f t="shared" si="416"/>
        <v>-0.75</v>
      </c>
      <c r="M4383" s="401">
        <f>SUM(C4383,C4359,C4335,C4311,C4287,C4263,C4239)/POBLA!$B$14*100000</f>
        <v>0.55498559415964877</v>
      </c>
    </row>
    <row r="4384" spans="1:13" s="360" customFormat="1" x14ac:dyDescent="0.25">
      <c r="A4384" s="19" t="s">
        <v>19</v>
      </c>
      <c r="B4384" s="2">
        <v>44075</v>
      </c>
      <c r="C4384" s="1">
        <v>136</v>
      </c>
      <c r="D4384" s="39">
        <f>C4384+D4360</f>
        <v>3172</v>
      </c>
      <c r="E4384" s="1">
        <f>1+1+1</f>
        <v>3</v>
      </c>
      <c r="F4384" s="39">
        <f t="shared" si="418"/>
        <v>26</v>
      </c>
      <c r="G4384" s="168">
        <f>SUM(C4384,C4360,C4336,C4312,C4288,C4264,C4240,C4216,C4192,C4168,C4144,C4120,C4096,C4072)/POBLA!$B$15*100000</f>
        <v>189.89333746952445</v>
      </c>
      <c r="H4384" s="256">
        <f t="shared" si="415"/>
        <v>1.8849028400597907</v>
      </c>
      <c r="I4384" s="297">
        <f t="shared" si="419"/>
        <v>357.93049110473891</v>
      </c>
      <c r="J4384" s="297">
        <f t="shared" si="420"/>
        <v>108.14285714285714</v>
      </c>
      <c r="K4384" s="297">
        <f>J4384/POBLA!$B$15*100000</f>
        <v>16.285176896389487</v>
      </c>
      <c r="L4384" s="549">
        <f t="shared" si="416"/>
        <v>-0.50198412698412698</v>
      </c>
      <c r="M4384" s="401">
        <f>SUM(C4384,C4360,C4336,C4312,C4288,C4264,C4240)/POBLA!$B$15*100000</f>
        <v>113.99623827472642</v>
      </c>
    </row>
    <row r="4385" spans="1:13" s="360" customFormat="1" x14ac:dyDescent="0.25">
      <c r="A4385" s="19" t="s">
        <v>18</v>
      </c>
      <c r="B4385" s="2">
        <v>44075</v>
      </c>
      <c r="C4385" s="1">
        <v>179</v>
      </c>
      <c r="D4385" s="39">
        <f>C4385+D4361</f>
        <v>6175</v>
      </c>
      <c r="E4385" s="1">
        <f>2+1</f>
        <v>3</v>
      </c>
      <c r="F4385" s="39">
        <f t="shared" si="418"/>
        <v>98</v>
      </c>
      <c r="G4385" s="168">
        <f>SUM(C4385,C4361,C4337,C4313,C4289,C4265,C4241,C4217,C4193,C4169,C4145,C4121,C4097,C4073)/POBLA!$B$16*100000</f>
        <v>281.02887869343641</v>
      </c>
      <c r="H4385" s="256">
        <f t="shared" si="415"/>
        <v>1.1998857795545403</v>
      </c>
      <c r="I4385" s="297">
        <f t="shared" si="419"/>
        <v>337.2025551884123</v>
      </c>
      <c r="J4385" s="297">
        <f t="shared" si="420"/>
        <v>176.71428571428572</v>
      </c>
      <c r="K4385" s="297">
        <f>J4385/POBLA!$B$16*100000</f>
        <v>23.637228730793556</v>
      </c>
      <c r="L4385" s="549">
        <f t="shared" si="416"/>
        <v>-0.43171296296296302</v>
      </c>
      <c r="M4385" s="401">
        <f>SUM(C4385,C4361,C4337,C4313,C4289,C4265,C4241)/POBLA!$B$16*100000</f>
        <v>165.46060111555491</v>
      </c>
    </row>
    <row r="4386" spans="1:13" s="360" customFormat="1" x14ac:dyDescent="0.25">
      <c r="A4386" s="19" t="s">
        <v>34</v>
      </c>
      <c r="B4386" s="2">
        <v>44075</v>
      </c>
      <c r="C4386" s="1">
        <v>183</v>
      </c>
      <c r="D4386" s="39">
        <f>C4386+D4362</f>
        <v>3503</v>
      </c>
      <c r="E4386" s="1"/>
      <c r="F4386" s="39">
        <f>E4386+F4362</f>
        <v>45</v>
      </c>
      <c r="G4386" s="168">
        <f>SUM(C4386,C4362,C4338,C4314,C4290,C4266,C4242,C4218,C4194,C4170,C4146,C4122,C4098,C4074)/POBLA!$B$17*100000</f>
        <v>155.57460455196127</v>
      </c>
      <c r="H4386" s="256">
        <f t="shared" si="415"/>
        <v>2.3350895679662802</v>
      </c>
      <c r="I4386" s="297">
        <f t="shared" si="419"/>
        <v>363.28063612976416</v>
      </c>
      <c r="J4386" s="297">
        <f t="shared" si="420"/>
        <v>199.14285714285714</v>
      </c>
      <c r="K4386" s="297">
        <f>J4386/POBLA!$B$17*100000</f>
        <v>13.980853451871713</v>
      </c>
      <c r="L4386" s="549">
        <f t="shared" si="416"/>
        <v>-0.69586374695863751</v>
      </c>
      <c r="M4386" s="401">
        <f>SUM(C4386,C4362,C4338,C4314,C4290,C4266,C4242)/POBLA!$B$17*100000</f>
        <v>97.86597416310201</v>
      </c>
    </row>
    <row r="4387" spans="1:13" s="360" customFormat="1" x14ac:dyDescent="0.25">
      <c r="A4387" s="19" t="s">
        <v>35</v>
      </c>
      <c r="B4387" s="2">
        <v>44075</v>
      </c>
      <c r="C4387" s="1">
        <v>0</v>
      </c>
      <c r="D4387" s="39">
        <f t="shared" ref="D4387:D4393" si="421">C4387+D4363</f>
        <v>223</v>
      </c>
      <c r="E4387" s="1"/>
      <c r="F4387" s="39">
        <f>E4387+F4363</f>
        <v>0</v>
      </c>
      <c r="G4387" s="168">
        <f>SUM(C4387,C4363,C4339,C4315,C4291,C4267,C4243,C4219,C4195,C4171,C4147,C4123,C4099,C4075)/POBLA!$B$18*100000</f>
        <v>25.729086796626291</v>
      </c>
      <c r="H4387" s="256" t="e">
        <f t="shared" si="415"/>
        <v>#DIV/0!</v>
      </c>
      <c r="I4387" s="297" t="e">
        <f t="shared" si="419"/>
        <v>#DIV/0!</v>
      </c>
      <c r="J4387" s="297">
        <f t="shared" si="420"/>
        <v>16.142857142857142</v>
      </c>
      <c r="K4387" s="297">
        <f>J4387/POBLA!$B$18*100000</f>
        <v>2.0663729978811447</v>
      </c>
      <c r="L4387" s="549">
        <f t="shared" si="416"/>
        <v>-0.28409090909090917</v>
      </c>
      <c r="M4387" s="401">
        <f>SUM(C4387,C4363,C4339,C4315,C4291,C4267,C4243)/POBLA!$B$18*100000</f>
        <v>14.464610985168015</v>
      </c>
    </row>
    <row r="4388" spans="1:13" s="360" customFormat="1" x14ac:dyDescent="0.25">
      <c r="A4388" s="19" t="s">
        <v>36</v>
      </c>
      <c r="B4388" s="2">
        <v>44075</v>
      </c>
      <c r="C4388" s="1">
        <v>9</v>
      </c>
      <c r="D4388" s="39">
        <f t="shared" si="421"/>
        <v>156</v>
      </c>
      <c r="E4388" s="1"/>
      <c r="F4388" s="39">
        <f t="shared" si="418"/>
        <v>0</v>
      </c>
      <c r="G4388" s="168">
        <f>SUM(C4388,C4364,C4340,C4316,C4292,C4268,C4244,C4220,C4196,C4172,C4148,C4124,C4100,C4076)/POBLA!$B$19*100000</f>
        <v>23.606805055003854</v>
      </c>
      <c r="H4388" s="256">
        <f t="shared" si="415"/>
        <v>24</v>
      </c>
      <c r="I4388" s="297">
        <f t="shared" si="419"/>
        <v>566.56332132009243</v>
      </c>
      <c r="J4388" s="297">
        <f t="shared" si="420"/>
        <v>16.571428571428573</v>
      </c>
      <c r="K4388" s="297">
        <f>J4388/POBLA!$B$19*100000</f>
        <v>3.2599873647386279</v>
      </c>
      <c r="L4388" s="549">
        <f t="shared" si="416"/>
        <v>-28</v>
      </c>
      <c r="M4388" s="401">
        <f>SUM(C4388,C4364,C4340,C4316,C4292,C4268,C4244)/POBLA!$B$19*100000</f>
        <v>22.819911553170396</v>
      </c>
    </row>
    <row r="4389" spans="1:13" s="360" customFormat="1" x14ac:dyDescent="0.25">
      <c r="A4389" s="19" t="s">
        <v>37</v>
      </c>
      <c r="B4389" s="2">
        <v>44075</v>
      </c>
      <c r="C4389" s="1">
        <v>37</v>
      </c>
      <c r="D4389" s="39">
        <f t="shared" si="421"/>
        <v>1808</v>
      </c>
      <c r="E4389" s="1">
        <f>1</f>
        <v>1</v>
      </c>
      <c r="F4389" s="39">
        <f t="shared" ref="F4389:F4395" si="422">E4389+F4365</f>
        <v>14</v>
      </c>
      <c r="G4389" s="168">
        <f>SUM(C4389,C4365,C4341,C4317,C4293,C4269,C4245,C4221,C4197,C4173,C4149,C4125,C4101,C4077)/POBLA!$B$20*100000</f>
        <v>196.61031780321466</v>
      </c>
      <c r="H4389" s="256">
        <f t="shared" si="415"/>
        <v>1.3773946360153257</v>
      </c>
      <c r="I4389" s="297">
        <f t="shared" si="419"/>
        <v>270.80999712741635</v>
      </c>
      <c r="J4389" s="297">
        <f t="shared" si="420"/>
        <v>56</v>
      </c>
      <c r="K4389" s="297">
        <f>J4389/POBLA!$B$20*100000</f>
        <v>15.313181915132157</v>
      </c>
      <c r="L4389" s="549">
        <f t="shared" si="416"/>
        <v>-0.19877675840978593</v>
      </c>
      <c r="M4389" s="401">
        <f>SUM(C4389,C4365,C4341,C4317,C4293,C4269,C4245)/POBLA!$B$20*100000</f>
        <v>107.19227340592509</v>
      </c>
    </row>
    <row r="4390" spans="1:13" s="360" customFormat="1" x14ac:dyDescent="0.25">
      <c r="A4390" s="19" t="s">
        <v>22</v>
      </c>
      <c r="B4390" s="2">
        <v>44075</v>
      </c>
      <c r="C4390" s="1">
        <v>677</v>
      </c>
      <c r="D4390" s="39">
        <f t="shared" si="421"/>
        <v>8582</v>
      </c>
      <c r="E4390" s="1">
        <f>1+1+1+2</f>
        <v>5</v>
      </c>
      <c r="F4390" s="39">
        <f t="shared" si="422"/>
        <v>95</v>
      </c>
      <c r="G4390" s="168">
        <f>SUM(C4390,C4366,C4342,C4318,C4294,C4270,C4246,C4222,C4198,C4174,C4150,C4126,C4102,C4078)/POBLA!$B$21*100000</f>
        <v>141.97982252098026</v>
      </c>
      <c r="H4390" s="256">
        <f t="shared" si="415"/>
        <v>2.479506172839506</v>
      </c>
      <c r="I4390" s="297">
        <f t="shared" si="419"/>
        <v>352.03984635942805</v>
      </c>
      <c r="J4390" s="297">
        <f t="shared" si="420"/>
        <v>457.14285714285717</v>
      </c>
      <c r="K4390" s="297">
        <f>J4390/POBLA!$B$21*100000</f>
        <v>12.926720120270204</v>
      </c>
      <c r="L4390" s="549">
        <f t="shared" si="416"/>
        <v>-0.75727622185612309</v>
      </c>
      <c r="M4390" s="401">
        <f>SUM(C4390,C4366,C4342,C4318,C4294,C4270,C4246)/POBLA!$B$21*100000</f>
        <v>90.487040841891428</v>
      </c>
    </row>
    <row r="4391" spans="1:13" s="360" customFormat="1" x14ac:dyDescent="0.25">
      <c r="A4391" s="19" t="s">
        <v>38</v>
      </c>
      <c r="B4391" s="2">
        <v>44075</v>
      </c>
      <c r="C4391" s="1">
        <v>38</v>
      </c>
      <c r="D4391" s="39">
        <f t="shared" si="421"/>
        <v>976</v>
      </c>
      <c r="E4391" s="1">
        <f>1+1</f>
        <v>2</v>
      </c>
      <c r="F4391" s="39">
        <f t="shared" si="422"/>
        <v>13</v>
      </c>
      <c r="G4391" s="168">
        <f>SUM(C4391,C4367,C4343,C4319,C4295,C4271,C4247,C4223,C4199,C4175,C4151,C4127,C4103,C4079)/POBLA!$B$22*100000</f>
        <v>65.214302580053612</v>
      </c>
      <c r="H4391" s="256">
        <f t="shared" si="415"/>
        <v>2.2152777777777777</v>
      </c>
      <c r="I4391" s="297">
        <f t="shared" si="419"/>
        <v>144.46779529886877</v>
      </c>
      <c r="J4391" s="297">
        <f t="shared" si="420"/>
        <v>46</v>
      </c>
      <c r="K4391" s="297">
        <f>J4391/POBLA!$B$22*100000</f>
        <v>4.7019716593769072</v>
      </c>
      <c r="L4391" s="549">
        <f t="shared" si="416"/>
        <v>-1.8987341772152E-2</v>
      </c>
      <c r="M4391" s="401">
        <f>SUM(C4391,C4367,C4343,C4319,C4295,C4271,C4247)/POBLA!$B$22*100000</f>
        <v>32.913801615638349</v>
      </c>
    </row>
    <row r="4392" spans="1:13" s="360" customFormat="1" x14ac:dyDescent="0.25">
      <c r="A4392" s="19" t="s">
        <v>39</v>
      </c>
      <c r="B4392" s="2">
        <v>44075</v>
      </c>
      <c r="C4392" s="1">
        <v>82</v>
      </c>
      <c r="D4392" s="39">
        <f t="shared" si="421"/>
        <v>2102</v>
      </c>
      <c r="E4392" s="1"/>
      <c r="F4392" s="39">
        <f t="shared" si="422"/>
        <v>29</v>
      </c>
      <c r="G4392" s="168">
        <f>SUM(C4392,C4368,C4344,C4320,C4296,C4272,C4248,C4224,C4200,C4176,C4152,C4128,C4104,C4080)/POBLA!$B$23*100000</f>
        <v>346.66063450771924</v>
      </c>
      <c r="H4392" s="256">
        <f t="shared" si="415"/>
        <v>0.78089171974522298</v>
      </c>
      <c r="I4392" s="297">
        <f t="shared" si="419"/>
        <v>270.70441904870307</v>
      </c>
      <c r="J4392" s="297">
        <f t="shared" si="420"/>
        <v>42.714285714285715</v>
      </c>
      <c r="K4392" s="297">
        <f>J4392/POBLA!$B$23*100000</f>
        <v>24.15556507056818</v>
      </c>
      <c r="L4392" s="549">
        <f t="shared" si="416"/>
        <v>4.7770700636942665E-2</v>
      </c>
      <c r="M4392" s="401">
        <f>SUM(C4392,C4368,C4344,C4320,C4296,C4272,C4248)/POBLA!$B$23*100000</f>
        <v>169.08895549397727</v>
      </c>
    </row>
    <row r="4393" spans="1:13" s="360" customFormat="1" ht="15.75" thickBot="1" x14ac:dyDescent="0.3">
      <c r="A4393" s="19" t="s">
        <v>40</v>
      </c>
      <c r="B4393" s="2">
        <v>44075</v>
      </c>
      <c r="C4393" s="1">
        <v>236</v>
      </c>
      <c r="D4393" s="39">
        <f t="shared" si="421"/>
        <v>2479</v>
      </c>
      <c r="E4393" s="1"/>
      <c r="F4393" s="39">
        <f t="shared" si="422"/>
        <v>14</v>
      </c>
      <c r="G4393" s="177">
        <f>SUM(C4393,C4369,C4345,C4321,C4297,C4273,C4249,C4225,C4201,C4177,C4153,C4129,C4105,C4081)/POBLA!$B$24*100000</f>
        <v>106.27525586313683</v>
      </c>
      <c r="H4393" s="402">
        <f t="shared" si="415"/>
        <v>4.6537467700258395</v>
      </c>
      <c r="I4393" s="403">
        <f t="shared" si="419"/>
        <v>494.57812870674269</v>
      </c>
      <c r="J4393" s="403">
        <f t="shared" si="420"/>
        <v>171.14285714285714</v>
      </c>
      <c r="K4393" s="403">
        <f>J4393/POBLA!$B$24*100000</f>
        <v>10.098973310386127</v>
      </c>
      <c r="L4393" s="550">
        <f t="shared" si="416"/>
        <v>-0.98673300165837485</v>
      </c>
      <c r="M4393" s="405">
        <f>SUM(C4393,C4369,C4345,C4321,C4297,C4273,C4249)/POBLA!$B$24*100000</f>
        <v>70.692813172702898</v>
      </c>
    </row>
    <row r="4394" spans="1:13" s="360" customFormat="1" x14ac:dyDescent="0.25">
      <c r="A4394" s="361" t="s">
        <v>16</v>
      </c>
      <c r="B4394" s="2">
        <v>44076</v>
      </c>
      <c r="C4394" s="1">
        <v>6235</v>
      </c>
      <c r="D4394" s="39">
        <f>C4394+D4370</f>
        <v>271185</v>
      </c>
      <c r="E4394" s="1">
        <f>22+12+45+30</f>
        <v>109</v>
      </c>
      <c r="F4394" s="39">
        <f t="shared" si="422"/>
        <v>5442</v>
      </c>
      <c r="G4394" s="175">
        <f>SUM(C4394,C4370,C4346,C4322,C4298,C4274,C4250,C4226,C4202,C4178,C4154,C4130,C4106,C4082)/POBLA!$B$1*100000</f>
        <v>437.16084375583091</v>
      </c>
      <c r="H4394" s="300">
        <f t="shared" ref="H4394:H4417" si="423">SUM(C4394,C4370,C4346,C4322,C4298,C4274,C4250,C4226,C4202,C4178,C4154,C4130,C4106,C4082)/SUM(C4058,C4034,C4010,C3986,C3962,C3938,C3914,C3890,C3866,C3842,C3818,C3794,C3770,C3746)</f>
        <v>1.2699014655957606</v>
      </c>
      <c r="I4394" s="301">
        <f>G4394*H4394</f>
        <v>555.15119618660901</v>
      </c>
      <c r="J4394" s="301">
        <f>AVERAGE(C4394,C4370,C4346,C4322,C4298,C4274,C4250)</f>
        <v>5836.1428571428569</v>
      </c>
      <c r="K4394" s="301">
        <f>J4394/POBLA!$B$1*100000</f>
        <v>33.271170086044329</v>
      </c>
      <c r="L4394" s="548">
        <f t="shared" ref="L4394:L4417" si="424">1-SUM(C4394,C4370,C4346,C4322,C4298,C4274,C4250)/SUM(C4226,C4202,C4178,C4154,C4130,C4106,C4082)</f>
        <v>-0.1401897850962881</v>
      </c>
      <c r="M4394" s="400">
        <f>SUM(C4394,C4370,C4346,C4322,C4298,C4274,C4250)/POBLA!$B$1*100000</f>
        <v>232.89819060231034</v>
      </c>
    </row>
    <row r="4395" spans="1:13" s="360" customFormat="1" x14ac:dyDescent="0.25">
      <c r="A4395" s="19" t="s">
        <v>43</v>
      </c>
      <c r="B4395" s="2">
        <v>44076</v>
      </c>
      <c r="C4395" s="1">
        <v>1346</v>
      </c>
      <c r="D4395" s="39">
        <f t="shared" ref="D4395:D4407" si="425">C4395+D4371</f>
        <v>98345</v>
      </c>
      <c r="E4395" s="1">
        <v>47</v>
      </c>
      <c r="F4395" s="39">
        <f t="shared" si="422"/>
        <v>2339</v>
      </c>
      <c r="G4395" s="168">
        <f>SUM(C4395,C4371,C4347,C4323,C4299,C4275,C4251,C4227,C4203,C4179,C4155,C4131,C4107,C4083)/POBLA!$B$2*100000</f>
        <v>585.21039157302232</v>
      </c>
      <c r="H4395" s="256">
        <f t="shared" si="423"/>
        <v>1.9458378378378378</v>
      </c>
      <c r="I4395" s="297">
        <f t="shared" ref="I4395:I4417" si="426">G4395*H4395</f>
        <v>1138.7245230186841</v>
      </c>
      <c r="J4395" s="297">
        <f t="shared" ref="J4395:J4417" si="427">AVERAGE(C4395,C4371,C4347,C4323,C4299,C4275,C4251)</f>
        <v>1315.4285714285713</v>
      </c>
      <c r="K4395" s="297">
        <f>J4395/POBLA!$B$2*100000</f>
        <v>42.769179919554176</v>
      </c>
      <c r="L4395" s="549">
        <f t="shared" si="424"/>
        <v>-4.7434876578318796E-2</v>
      </c>
      <c r="M4395" s="401">
        <f>SUM(C4395,C4371,C4347,C4323,C4299,C4275,C4251)/POBLA!$B$2*100000</f>
        <v>299.38425943687929</v>
      </c>
    </row>
    <row r="4396" spans="1:13" s="360" customFormat="1" x14ac:dyDescent="0.25">
      <c r="A4396" s="19" t="s">
        <v>28</v>
      </c>
      <c r="B4396" s="2">
        <v>44076</v>
      </c>
      <c r="C4396" s="1">
        <v>0</v>
      </c>
      <c r="D4396" s="39">
        <f t="shared" si="425"/>
        <v>67</v>
      </c>
      <c r="E4396" s="1"/>
      <c r="F4396" s="39">
        <f t="shared" si="418"/>
        <v>0</v>
      </c>
      <c r="G4396" s="168">
        <f>SUM(C4396,C4372,C4348,C4324,C4300,C4276,C4252,C4228,C4204,C4180,C4156,C4132,C4108,C4084)/POBLA!$B$3*100000</f>
        <v>0.96283922029279934</v>
      </c>
      <c r="H4396" s="256">
        <f t="shared" si="423"/>
        <v>1.532567049808429E-2</v>
      </c>
      <c r="I4396" s="297">
        <f t="shared" si="426"/>
        <v>1.4756156632839836E-2</v>
      </c>
      <c r="J4396" s="297">
        <f t="shared" si="427"/>
        <v>0.5714285714285714</v>
      </c>
      <c r="K4396" s="297">
        <f>J4396/POBLA!$B$3*100000</f>
        <v>0.13754846004182847</v>
      </c>
      <c r="L4396" s="549" t="e">
        <f t="shared" si="424"/>
        <v>#DIV/0!</v>
      </c>
      <c r="M4396" s="401">
        <f>SUM(C4396,C4372,C4348,C4324,C4300,C4276,C4252)/POBLA!$B$3*100000</f>
        <v>0.96283922029279934</v>
      </c>
    </row>
    <row r="4397" spans="1:13" s="360" customFormat="1" x14ac:dyDescent="0.25">
      <c r="A4397" s="19" t="s">
        <v>15</v>
      </c>
      <c r="B4397" s="2">
        <v>44076</v>
      </c>
      <c r="C4397" s="1">
        <v>84</v>
      </c>
      <c r="D4397" s="39">
        <f t="shared" si="425"/>
        <v>5576</v>
      </c>
      <c r="E4397" s="1"/>
      <c r="F4397" s="39">
        <f t="shared" si="418"/>
        <v>216</v>
      </c>
      <c r="G4397" s="168">
        <f>SUM(C4397,C4373,C4349,C4325,C4301,C4277,C4253,C4229,C4205,C4181,C4157,C4133,C4109,C4085)/POBLA!$B$4*100000</f>
        <v>80.528599690670546</v>
      </c>
      <c r="H4397" s="256">
        <f t="shared" si="423"/>
        <v>1.7047451669595781</v>
      </c>
      <c r="I4397" s="297">
        <f t="shared" si="426"/>
        <v>137.28074112469318</v>
      </c>
      <c r="J4397" s="297">
        <f t="shared" si="427"/>
        <v>76.428571428571431</v>
      </c>
      <c r="K4397" s="297">
        <f>J4397/POBLA!$B$4*100000</f>
        <v>6.3450369417538655</v>
      </c>
      <c r="L4397" s="549">
        <f t="shared" si="424"/>
        <v>-0.22988505747126431</v>
      </c>
      <c r="M4397" s="401">
        <f>SUM(C4397,C4373,C4349,C4325,C4301,C4277,C4253)/POBLA!$B$4*100000</f>
        <v>44.415258592277063</v>
      </c>
    </row>
    <row r="4398" spans="1:13" s="360" customFormat="1" x14ac:dyDescent="0.25">
      <c r="A4398" s="19" t="s">
        <v>29</v>
      </c>
      <c r="B4398" s="2">
        <v>44076</v>
      </c>
      <c r="C4398" s="1">
        <v>28</v>
      </c>
      <c r="D4398" s="39">
        <f t="shared" si="425"/>
        <v>983</v>
      </c>
      <c r="E4398" s="1"/>
      <c r="F4398" s="39">
        <f t="shared" si="418"/>
        <v>7</v>
      </c>
      <c r="G4398" s="168">
        <f>SUM(C4398,C4374,C4350,C4326,C4302,C4278,C4254,C4230,C4206,C4182,C4158,C4134,C4110,C4086)/POBLA!$B$5*100000</f>
        <v>88.207640138676624</v>
      </c>
      <c r="H4398" s="256">
        <f t="shared" si="423"/>
        <v>9.6500530222693531E-2</v>
      </c>
      <c r="I4398" s="297">
        <f t="shared" si="426"/>
        <v>8.5120840430748377</v>
      </c>
      <c r="J4398" s="297">
        <f t="shared" si="427"/>
        <v>47.571428571428569</v>
      </c>
      <c r="K4398" s="297">
        <f>J4398/POBLA!$B$5*100000</f>
        <v>7.6852810481892515</v>
      </c>
      <c r="L4398" s="549">
        <f t="shared" si="424"/>
        <v>-0.56338028169014076</v>
      </c>
      <c r="M4398" s="401">
        <f>SUM(C4398,C4374,C4350,C4326,C4302,C4278,C4254)/POBLA!$B$5*100000</f>
        <v>53.796967337324759</v>
      </c>
    </row>
    <row r="4399" spans="1:13" s="360" customFormat="1" x14ac:dyDescent="0.25">
      <c r="A4399" s="19" t="s">
        <v>20</v>
      </c>
      <c r="B4399" s="2">
        <v>44076</v>
      </c>
      <c r="C4399" s="1">
        <v>480</v>
      </c>
      <c r="D4399" s="39">
        <f t="shared" si="425"/>
        <v>9394</v>
      </c>
      <c r="E4399" s="1">
        <f>1+1+3</f>
        <v>5</v>
      </c>
      <c r="F4399" s="39">
        <f t="shared" si="418"/>
        <v>132</v>
      </c>
      <c r="G4399" s="168">
        <f>SUM(C4399,C4375,C4351,C4327,C4303,C4279,C4255,C4231,C4207,C4183,C4159,C4135,C4111,C4087)/POBLA!$B$6*100000</f>
        <v>383.9218558869951</v>
      </c>
      <c r="H4399" s="256">
        <f t="shared" si="423"/>
        <v>1.9209821428571427</v>
      </c>
      <c r="I4399" s="297">
        <f t="shared" si="426"/>
        <v>737.50702941149098</v>
      </c>
      <c r="J4399" s="297">
        <f t="shared" si="427"/>
        <v>375.28571428571428</v>
      </c>
      <c r="K4399" s="297">
        <f>J4399/POBLA!$B$6*100000</f>
        <v>33.483706232035331</v>
      </c>
      <c r="L4399" s="549">
        <f t="shared" si="424"/>
        <v>-0.56742243436754181</v>
      </c>
      <c r="M4399" s="401">
        <f>SUM(C4399,C4375,C4351,C4327,C4303,C4279,C4255)/POBLA!$B$6*100000</f>
        <v>234.38594362424729</v>
      </c>
    </row>
    <row r="4400" spans="1:13" s="360" customFormat="1" x14ac:dyDescent="0.25">
      <c r="A4400" s="19" t="s">
        <v>30</v>
      </c>
      <c r="B4400" s="2">
        <v>44076</v>
      </c>
      <c r="C4400" s="1">
        <v>7</v>
      </c>
      <c r="D4400" s="39">
        <f t="shared" si="425"/>
        <v>321</v>
      </c>
      <c r="E4400" s="1"/>
      <c r="F4400" s="39">
        <f t="shared" si="418"/>
        <v>5</v>
      </c>
      <c r="G4400" s="168">
        <f>SUM(C4400,C4376,C4352,C4328,C4304,C4280,C4256,C4232,C4208,C4184,C4160,C4136,C4112,C4088)/POBLA!$B$7*100000</f>
        <v>2.2603677751332953</v>
      </c>
      <c r="H4400" s="256">
        <f t="shared" si="423"/>
        <v>2.125</v>
      </c>
      <c r="I4400" s="297">
        <f t="shared" si="426"/>
        <v>4.8032815221582528</v>
      </c>
      <c r="J4400" s="297">
        <f t="shared" si="427"/>
        <v>7</v>
      </c>
      <c r="K4400" s="297">
        <f>J4400/POBLA!$B$7*100000</f>
        <v>0.18614793442274197</v>
      </c>
      <c r="L4400" s="549">
        <f t="shared" si="424"/>
        <v>-0.36111111111111116</v>
      </c>
      <c r="M4400" s="401">
        <f>SUM(C4400,C4376,C4352,C4328,C4304,C4280,C4256)/POBLA!$B$7*100000</f>
        <v>1.3030355409591936</v>
      </c>
    </row>
    <row r="4401" spans="1:13" x14ac:dyDescent="0.25">
      <c r="A4401" s="19" t="s">
        <v>31</v>
      </c>
      <c r="B4401" s="2">
        <v>44076</v>
      </c>
      <c r="C4401" s="1">
        <v>188</v>
      </c>
      <c r="D4401" s="39">
        <f t="shared" si="425"/>
        <v>3838</v>
      </c>
      <c r="E4401" s="1">
        <f>4+1</f>
        <v>5</v>
      </c>
      <c r="F4401" s="39">
        <f t="shared" si="418"/>
        <v>54</v>
      </c>
      <c r="G4401" s="168">
        <f>SUM(C4401,C4377,C4353,C4329,C4305,C4281,C4257,C4233,C4209,C4185,C4161,C4137,C4113,C4089)/POBLA!$B$8*100000</f>
        <v>146.32446367538481</v>
      </c>
      <c r="H4401" s="256">
        <f t="shared" si="423"/>
        <v>2.3310344827586209</v>
      </c>
      <c r="I4401" s="297">
        <f t="shared" si="426"/>
        <v>341.08737049848321</v>
      </c>
      <c r="J4401" s="297">
        <f t="shared" si="427"/>
        <v>173.85714285714286</v>
      </c>
      <c r="K4401" s="297">
        <f>J4401/POBLA!$B$8*100000</f>
        <v>12.544158375101672</v>
      </c>
      <c r="L4401" s="549">
        <f t="shared" si="424"/>
        <v>-0.50061652281134394</v>
      </c>
      <c r="M4401" s="401">
        <f>SUM(C4401,C4377,C4353,C4329,C4305,C4281,C4257)/POBLA!$B$8*100000</f>
        <v>87.809108625711687</v>
      </c>
    </row>
    <row r="4402" spans="1:13" s="360" customFormat="1" x14ac:dyDescent="0.25">
      <c r="A4402" s="19" t="s">
        <v>41</v>
      </c>
      <c r="B4402" s="2">
        <v>44076</v>
      </c>
      <c r="C4402" s="1">
        <v>1</v>
      </c>
      <c r="D4402" s="39">
        <f t="shared" si="425"/>
        <v>84</v>
      </c>
      <c r="E4402" s="1"/>
      <c r="F4402" s="39">
        <f>E4402+F4378</f>
        <v>1</v>
      </c>
      <c r="G4402" s="168">
        <f>SUM(C4402,C4378,C4354,C4330,C4306,C4282,C4258,C4234,C4210,C4186,C4162,C4138,C4114,C4090)/POBLA!$B$9*100000</f>
        <v>0.82618272187550079</v>
      </c>
      <c r="H4402" s="256">
        <f t="shared" si="423"/>
        <v>-5</v>
      </c>
      <c r="I4402" s="297">
        <f t="shared" si="426"/>
        <v>-4.1309136093775036</v>
      </c>
      <c r="J4402" s="297">
        <f t="shared" si="427"/>
        <v>0.2857142857142857</v>
      </c>
      <c r="K4402" s="297">
        <f>J4402/POBLA!$B$9*100000</f>
        <v>4.7210441250028622E-2</v>
      </c>
      <c r="L4402" s="549">
        <f t="shared" si="424"/>
        <v>0.33333333333333337</v>
      </c>
      <c r="M4402" s="401">
        <f>SUM(C4402,C4378,C4354,C4330,C4306,C4282,C4258)/POBLA!$B$9*100000</f>
        <v>0.33047308875020037</v>
      </c>
    </row>
    <row r="4403" spans="1:13" s="360" customFormat="1" x14ac:dyDescent="0.25">
      <c r="A4403" s="19" t="s">
        <v>32</v>
      </c>
      <c r="B4403" s="2">
        <v>44076</v>
      </c>
      <c r="C4403" s="1">
        <v>318</v>
      </c>
      <c r="D4403" s="39">
        <f t="shared" si="425"/>
        <v>8860</v>
      </c>
      <c r="E4403" s="1">
        <f>2+3+6</f>
        <v>11</v>
      </c>
      <c r="F4403" s="39">
        <f t="shared" si="418"/>
        <v>207</v>
      </c>
      <c r="G4403" s="168">
        <f>SUM(C4403,C4379,C4355,C4331,C4307,C4283,C4259,C4235,C4211,C4187,C4163,C4139,C4115,C4091)/POBLA!$B$10*100000</f>
        <v>454.02597806924808</v>
      </c>
      <c r="H4403" s="256">
        <f t="shared" si="423"/>
        <v>1.4158576051779934</v>
      </c>
      <c r="I4403" s="297">
        <f t="shared" si="426"/>
        <v>642.83613399772173</v>
      </c>
      <c r="J4403" s="297">
        <f t="shared" si="427"/>
        <v>255.14285714285714</v>
      </c>
      <c r="K4403" s="297">
        <f>J4403/POBLA!$B$10*100000</f>
        <v>33.097567217619471</v>
      </c>
      <c r="L4403" s="549">
        <f t="shared" si="424"/>
        <v>-4.200700116686118E-2</v>
      </c>
      <c r="M4403" s="401">
        <f>SUM(C4403,C4379,C4355,C4331,C4307,C4283,C4259)/POBLA!$B$10*100000</f>
        <v>231.68297052333628</v>
      </c>
    </row>
    <row r="4404" spans="1:13" s="360" customFormat="1" x14ac:dyDescent="0.25">
      <c r="A4404" s="19" t="s">
        <v>33</v>
      </c>
      <c r="B4404" s="2">
        <v>44076</v>
      </c>
      <c r="C4404" s="1">
        <v>1</v>
      </c>
      <c r="D4404" s="39">
        <f t="shared" si="425"/>
        <v>213</v>
      </c>
      <c r="E4404" s="1"/>
      <c r="F4404" s="39">
        <f t="shared" si="418"/>
        <v>3</v>
      </c>
      <c r="G4404" s="168">
        <f>SUM(C4404,C4380,C4356,C4332,C4308,C4284,C4260,C4236,C4212,C4188,C4164,C4140,C4116,C4092)/POBLA!$B$11*100000</f>
        <v>7.5328936355418668</v>
      </c>
      <c r="H4404" s="256">
        <f t="shared" si="423"/>
        <v>1.2857142857142858</v>
      </c>
      <c r="I4404" s="297">
        <f t="shared" si="426"/>
        <v>9.685148959982401</v>
      </c>
      <c r="J4404" s="297">
        <f t="shared" si="427"/>
        <v>2.5714285714285716</v>
      </c>
      <c r="K4404" s="297">
        <f>J4404/POBLA!$B$11*100000</f>
        <v>0.71741844148017775</v>
      </c>
      <c r="L4404" s="549">
        <f t="shared" si="424"/>
        <v>-1</v>
      </c>
      <c r="M4404" s="401">
        <f>SUM(C4404,C4380,C4356,C4332,C4308,C4284,C4260)/POBLA!$B$11*100000</f>
        <v>5.0219290903612439</v>
      </c>
    </row>
    <row r="4405" spans="1:13" s="360" customFormat="1" x14ac:dyDescent="0.25">
      <c r="A4405" s="19" t="s">
        <v>21</v>
      </c>
      <c r="B4405" s="2">
        <v>44076</v>
      </c>
      <c r="C4405" s="1">
        <v>67</v>
      </c>
      <c r="D4405" s="39">
        <f t="shared" si="425"/>
        <v>1695</v>
      </c>
      <c r="E4405" s="1"/>
      <c r="F4405" s="39">
        <f t="shared" si="418"/>
        <v>39</v>
      </c>
      <c r="G4405" s="168">
        <f>SUM(C4405,C4381,C4357,C4333,C4309,C4285,C4261,C4237,C4213,C4189,C4165,C4141,C4117,C4093)/POBLA!$B$12*100000</f>
        <v>200.74657396748921</v>
      </c>
      <c r="H4405" s="256">
        <f t="shared" si="423"/>
        <v>1.592741935483871</v>
      </c>
      <c r="I4405" s="297">
        <f t="shared" si="426"/>
        <v>319.73748676273482</v>
      </c>
      <c r="J4405" s="297">
        <f t="shared" si="427"/>
        <v>68.714285714285708</v>
      </c>
      <c r="K4405" s="297">
        <f>J4405/POBLA!$B$12*100000</f>
        <v>17.460958784513981</v>
      </c>
      <c r="L4405" s="549">
        <f t="shared" si="424"/>
        <v>-0.55663430420711979</v>
      </c>
      <c r="M4405" s="401">
        <f>SUM(C4405,C4381,C4357,C4333,C4309,C4285,C4261)/POBLA!$B$12*100000</f>
        <v>122.22671149159787</v>
      </c>
    </row>
    <row r="4406" spans="1:13" s="360" customFormat="1" x14ac:dyDescent="0.25">
      <c r="A4406" s="19" t="s">
        <v>17</v>
      </c>
      <c r="B4406" s="2">
        <v>44076</v>
      </c>
      <c r="C4406" s="1">
        <v>413</v>
      </c>
      <c r="D4406" s="39">
        <f t="shared" si="425"/>
        <v>7604</v>
      </c>
      <c r="E4406" s="1">
        <f>1+2+1</f>
        <v>4</v>
      </c>
      <c r="F4406" s="39">
        <f t="shared" si="418"/>
        <v>85</v>
      </c>
      <c r="G4406" s="168">
        <f>SUM(C4406,C4382,C4358,C4334,C4310,C4286,C4262,C4238,C4214,C4190,C4166,C4142,C4118,C4094)/POBLA!$B$13*100000</f>
        <v>192.47987025319318</v>
      </c>
      <c r="H4406" s="256">
        <f t="shared" si="423"/>
        <v>1.8277671755725191</v>
      </c>
      <c r="I4406" s="297">
        <f t="shared" si="426"/>
        <v>351.80838880724383</v>
      </c>
      <c r="J4406" s="297">
        <f t="shared" si="427"/>
        <v>322.14285714285717</v>
      </c>
      <c r="K4406" s="297">
        <f>J4406/POBLA!$B$13*100000</f>
        <v>16.185334206695405</v>
      </c>
      <c r="L4406" s="549">
        <f t="shared" si="424"/>
        <v>-0.43083756345177671</v>
      </c>
      <c r="M4406" s="401">
        <f>SUM(C4406,C4382,C4358,C4334,C4310,C4286,C4262)/POBLA!$B$13*100000</f>
        <v>113.29733944686782</v>
      </c>
    </row>
    <row r="4407" spans="1:13" s="360" customFormat="1" x14ac:dyDescent="0.25">
      <c r="A4407" s="19" t="s">
        <v>23</v>
      </c>
      <c r="B4407" s="2">
        <v>44076</v>
      </c>
      <c r="C4407" s="1">
        <v>-2</v>
      </c>
      <c r="D4407" s="39">
        <f t="shared" si="425"/>
        <v>64</v>
      </c>
      <c r="E4407" s="1"/>
      <c r="F4407" s="39">
        <f t="shared" si="418"/>
        <v>2</v>
      </c>
      <c r="G4407" s="168">
        <f>SUM(C4407,C4383,C4359,C4335,C4311,C4287,C4263,C4239,C4215,C4191,C4167,C4143,C4119,C4095)/POBLA!$B$14*100000</f>
        <v>0.71355290677669125</v>
      </c>
      <c r="H4407" s="256">
        <f t="shared" si="423"/>
        <v>2.25</v>
      </c>
      <c r="I4407" s="297">
        <f t="shared" si="426"/>
        <v>1.6054940402475553</v>
      </c>
      <c r="J4407" s="297">
        <f t="shared" si="427"/>
        <v>0.7142857142857143</v>
      </c>
      <c r="K4407" s="297">
        <f>J4407/POBLA!$B$14*100000</f>
        <v>5.6631183077515183E-2</v>
      </c>
      <c r="L4407" s="549">
        <f t="shared" si="424"/>
        <v>-0.25</v>
      </c>
      <c r="M4407" s="401">
        <f>SUM(C4407,C4383,C4359,C4335,C4311,C4287,C4263)/POBLA!$B$14*100000</f>
        <v>0.39641828154260628</v>
      </c>
    </row>
    <row r="4408" spans="1:13" s="360" customFormat="1" x14ac:dyDescent="0.25">
      <c r="A4408" s="19" t="s">
        <v>19</v>
      </c>
      <c r="B4408" s="2">
        <v>44076</v>
      </c>
      <c r="C4408" s="1">
        <v>91</v>
      </c>
      <c r="D4408" s="39">
        <f>C4408+D4384</f>
        <v>3263</v>
      </c>
      <c r="E4408" s="1"/>
      <c r="F4408" s="39">
        <f t="shared" si="418"/>
        <v>26</v>
      </c>
      <c r="G4408" s="168">
        <f>SUM(C4408,C4384,C4360,C4336,C4312,C4288,C4264,C4240,C4216,C4192,C4168,C4144,C4120,C4096)/POBLA!$B$15*100000</f>
        <v>196.06750625322826</v>
      </c>
      <c r="H4408" s="256">
        <f t="shared" si="423"/>
        <v>2.0407523510971788</v>
      </c>
      <c r="I4408" s="297">
        <f t="shared" si="426"/>
        <v>400.12522436003638</v>
      </c>
      <c r="J4408" s="297">
        <f t="shared" si="427"/>
        <v>102.28571428571429</v>
      </c>
      <c r="K4408" s="297">
        <f>J4408/POBLA!$B$15*100000</f>
        <v>15.4031527844318</v>
      </c>
      <c r="L4408" s="549">
        <f t="shared" si="424"/>
        <v>-0.22184300341296925</v>
      </c>
      <c r="M4408" s="401">
        <f>SUM(C4408,C4384,C4360,C4336,C4312,C4288,C4264)/POBLA!$B$15*100000</f>
        <v>107.82206949102262</v>
      </c>
    </row>
    <row r="4409" spans="1:13" s="360" customFormat="1" x14ac:dyDescent="0.25">
      <c r="A4409" s="19" t="s">
        <v>18</v>
      </c>
      <c r="B4409" s="2">
        <v>44076</v>
      </c>
      <c r="C4409" s="1">
        <v>173</v>
      </c>
      <c r="D4409" s="39">
        <f>C4409+D4385</f>
        <v>6348</v>
      </c>
      <c r="E4409" s="1">
        <f>1+6</f>
        <v>7</v>
      </c>
      <c r="F4409" s="39">
        <f t="shared" si="418"/>
        <v>105</v>
      </c>
      <c r="G4409" s="168">
        <f>SUM(C4409,C4385,C4361,C4337,C4313,C4289,C4265,C4241,C4217,C4193,C4169,C4145,C4121,C4097)/POBLA!$B$16*100000</f>
        <v>291.59588555530286</v>
      </c>
      <c r="H4409" s="256">
        <f t="shared" si="423"/>
        <v>1.2645011600928073</v>
      </c>
      <c r="I4409" s="297">
        <f t="shared" si="426"/>
        <v>368.72333556296996</v>
      </c>
      <c r="J4409" s="297">
        <f t="shared" si="427"/>
        <v>167.85714285714286</v>
      </c>
      <c r="K4409" s="297">
        <f>J4409/POBLA!$B$16*100000</f>
        <v>22.452501017528238</v>
      </c>
      <c r="L4409" s="549">
        <f t="shared" si="424"/>
        <v>-0.16915422885572129</v>
      </c>
      <c r="M4409" s="401">
        <f>SUM(C4409,C4385,C4361,C4337,C4313,C4289,C4265)/POBLA!$B$16*100000</f>
        <v>157.16750712269766</v>
      </c>
    </row>
    <row r="4410" spans="1:13" s="360" customFormat="1" x14ac:dyDescent="0.25">
      <c r="A4410" s="19" t="s">
        <v>34</v>
      </c>
      <c r="B4410" s="2">
        <v>44076</v>
      </c>
      <c r="C4410" s="1">
        <v>184</v>
      </c>
      <c r="D4410" s="39">
        <f>C4410+D4386</f>
        <v>3687</v>
      </c>
      <c r="E4410" s="1">
        <f>1</f>
        <v>1</v>
      </c>
      <c r="F4410" s="39">
        <f>E4410+F4386</f>
        <v>46</v>
      </c>
      <c r="G4410" s="168">
        <f>SUM(C4410,C4386,C4362,C4338,C4314,C4290,C4266,C4242,C4218,C4194,C4170,C4146,C4122,C4098)/POBLA!$B$17*100000</f>
        <v>160.48896480405392</v>
      </c>
      <c r="H4410" s="256">
        <f t="shared" si="423"/>
        <v>2.2215743440233235</v>
      </c>
      <c r="I4410" s="297">
        <f t="shared" si="426"/>
        <v>356.53816670754833</v>
      </c>
      <c r="J4410" s="297">
        <f t="shared" si="427"/>
        <v>200.28571428571428</v>
      </c>
      <c r="K4410" s="297">
        <f>J4410/POBLA!$B$17*100000</f>
        <v>14.061087904967104</v>
      </c>
      <c r="L4410" s="549">
        <f t="shared" si="424"/>
        <v>-0.58597285067873295</v>
      </c>
      <c r="M4410" s="401">
        <f>SUM(C4410,C4386,C4362,C4338,C4314,C4290,C4266)/POBLA!$B$17*100000</f>
        <v>98.427615334769726</v>
      </c>
    </row>
    <row r="4411" spans="1:13" s="360" customFormat="1" x14ac:dyDescent="0.25">
      <c r="A4411" s="19" t="s">
        <v>35</v>
      </c>
      <c r="B4411" s="2">
        <v>44076</v>
      </c>
      <c r="C4411" s="1">
        <v>32</v>
      </c>
      <c r="D4411" s="39">
        <f t="shared" ref="D4411:D4417" si="428">C4411+D4387</f>
        <v>255</v>
      </c>
      <c r="E4411" s="1"/>
      <c r="F4411" s="39">
        <f>E4411+F4387</f>
        <v>0</v>
      </c>
      <c r="G4411" s="168">
        <f>SUM(C4411,C4387,C4363,C4339,C4315,C4291,C4267,C4243,C4219,C4195,C4171,C4147,C4123,C4099)/POBLA!$B$18*100000</f>
        <v>29.82525981897475</v>
      </c>
      <c r="H4411" s="256">
        <f t="shared" si="423"/>
        <v>-233</v>
      </c>
      <c r="I4411" s="297">
        <f t="shared" si="426"/>
        <v>-6949.285537821117</v>
      </c>
      <c r="J4411" s="297">
        <f t="shared" si="427"/>
        <v>15.571428571428571</v>
      </c>
      <c r="K4411" s="297">
        <f>J4411/POBLA!$B$18*100000</f>
        <v>1.9932270510534937</v>
      </c>
      <c r="L4411" s="549">
        <f t="shared" si="424"/>
        <v>0.12096774193548387</v>
      </c>
      <c r="M4411" s="401">
        <f>SUM(C4411,C4387,C4363,C4339,C4315,C4291,C4267)/POBLA!$B$18*100000</f>
        <v>13.952589357374455</v>
      </c>
    </row>
    <row r="4412" spans="1:13" s="360" customFormat="1" x14ac:dyDescent="0.25">
      <c r="A4412" s="19" t="s">
        <v>36</v>
      </c>
      <c r="B4412" s="2">
        <v>44076</v>
      </c>
      <c r="C4412" s="1">
        <v>21</v>
      </c>
      <c r="D4412" s="39">
        <f t="shared" si="428"/>
        <v>177</v>
      </c>
      <c r="E4412" s="1"/>
      <c r="F4412" s="39">
        <f>E4412+F4388</f>
        <v>0</v>
      </c>
      <c r="G4412" s="168">
        <f>SUM(C4412,C4388,C4364,C4340,C4316,C4292,C4268,C4244,C4220,C4196,C4172,C4148,C4124,C4100)/POBLA!$B$19*100000</f>
        <v>27.737995939629528</v>
      </c>
      <c r="H4412" s="256">
        <f t="shared" si="423"/>
        <v>47</v>
      </c>
      <c r="I4412" s="297">
        <f t="shared" si="426"/>
        <v>1303.6858091625877</v>
      </c>
      <c r="J4412" s="297">
        <f t="shared" si="427"/>
        <v>19</v>
      </c>
      <c r="K4412" s="297">
        <f>J4412/POBLA!$B$19*100000</f>
        <v>3.7377441337089437</v>
      </c>
      <c r="L4412" s="549">
        <f t="shared" si="424"/>
        <v>-15.625</v>
      </c>
      <c r="M4412" s="401">
        <f>SUM(C4412,C4388,C4364,C4340,C4316,C4292,C4268)/POBLA!$B$19*100000</f>
        <v>26.164208935962606</v>
      </c>
    </row>
    <row r="4413" spans="1:13" s="360" customFormat="1" x14ac:dyDescent="0.25">
      <c r="A4413" s="19" t="s">
        <v>37</v>
      </c>
      <c r="B4413" s="2">
        <v>44076</v>
      </c>
      <c r="C4413" s="1">
        <v>107</v>
      </c>
      <c r="D4413" s="39">
        <f t="shared" si="428"/>
        <v>1915</v>
      </c>
      <c r="E4413" s="1">
        <f>1</f>
        <v>1</v>
      </c>
      <c r="F4413" s="39">
        <f t="shared" ref="F4413:F4418" si="429">E4413+F4389</f>
        <v>15</v>
      </c>
      <c r="G4413" s="168">
        <f>SUM(C4413,C4389,C4365,C4341,C4317,C4293,C4269,C4245,C4221,C4197,C4173,C4149,C4125,C4101)/POBLA!$B$20*100000</f>
        <v>210.55625133306719</v>
      </c>
      <c r="H4413" s="256">
        <f t="shared" si="423"/>
        <v>1.4583333333333333</v>
      </c>
      <c r="I4413" s="297">
        <f t="shared" si="426"/>
        <v>307.06119986072298</v>
      </c>
      <c r="J4413" s="297">
        <f t="shared" si="427"/>
        <v>62.285714285714285</v>
      </c>
      <c r="K4413" s="297">
        <f>J4413/POBLA!$B$20*100000</f>
        <v>17.032008456626585</v>
      </c>
      <c r="L4413" s="549">
        <f t="shared" si="424"/>
        <v>-0.3053892215568863</v>
      </c>
      <c r="M4413" s="401">
        <f>SUM(C4413,C4389,C4365,C4341,C4317,C4293,C4269)/POBLA!$B$20*100000</f>
        <v>119.22405919638609</v>
      </c>
    </row>
    <row r="4414" spans="1:13" s="360" customFormat="1" x14ac:dyDescent="0.25">
      <c r="A4414" s="19" t="s">
        <v>22</v>
      </c>
      <c r="B4414" s="2">
        <v>44076</v>
      </c>
      <c r="C4414" s="1">
        <v>747</v>
      </c>
      <c r="D4414" s="39">
        <f t="shared" si="428"/>
        <v>9329</v>
      </c>
      <c r="E4414" s="1">
        <f>1+3+2</f>
        <v>6</v>
      </c>
      <c r="F4414" s="39">
        <f t="shared" si="429"/>
        <v>101</v>
      </c>
      <c r="G4414" s="168">
        <f>SUM(C4414,C4390,C4366,C4342,C4318,C4294,C4270,C4246,C4222,C4198,C4174,C4150,C4126,C4102)/POBLA!$B$21*100000</f>
        <v>157.3908966643649</v>
      </c>
      <c r="H4414" s="256">
        <f t="shared" si="423"/>
        <v>2.6180620884289745</v>
      </c>
      <c r="I4414" s="297">
        <f t="shared" si="426"/>
        <v>412.0591396208161</v>
      </c>
      <c r="J4414" s="297">
        <f t="shared" si="427"/>
        <v>509.42857142857144</v>
      </c>
      <c r="K4414" s="297">
        <f>J4414/POBLA!$B$21*100000</f>
        <v>14.405213734026107</v>
      </c>
      <c r="L4414" s="549">
        <f t="shared" si="424"/>
        <v>-0.78299999999999992</v>
      </c>
      <c r="M4414" s="401">
        <f>SUM(C4414,C4390,C4366,C4342,C4318,C4294,C4270)/POBLA!$B$21*100000</f>
        <v>100.83649613818275</v>
      </c>
    </row>
    <row r="4415" spans="1:13" s="360" customFormat="1" x14ac:dyDescent="0.25">
      <c r="A4415" s="19" t="s">
        <v>38</v>
      </c>
      <c r="B4415" s="2">
        <v>44076</v>
      </c>
      <c r="C4415" s="1">
        <v>55</v>
      </c>
      <c r="D4415" s="39">
        <f t="shared" si="428"/>
        <v>1031</v>
      </c>
      <c r="E4415" s="1"/>
      <c r="F4415" s="39">
        <f t="shared" si="429"/>
        <v>13</v>
      </c>
      <c r="G4415" s="168">
        <f>SUM(C4415,C4391,C4367,C4343,C4319,C4295,C4271,C4247,C4223,C4199,C4175,C4151,C4127,C4103)/POBLA!$B$22*100000</f>
        <v>66.645337432907468</v>
      </c>
      <c r="H4415" s="256">
        <f t="shared" si="423"/>
        <v>2.0964630225080385</v>
      </c>
      <c r="I4415" s="297">
        <f t="shared" si="426"/>
        <v>139.71948555066132</v>
      </c>
      <c r="J4415" s="297">
        <f t="shared" si="427"/>
        <v>48.428571428571431</v>
      </c>
      <c r="K4415" s="297">
        <f>J4415/POBLA!$B$22*100000</f>
        <v>4.9502123991576754</v>
      </c>
      <c r="L4415" s="549">
        <f t="shared" si="424"/>
        <v>-8.3067092651757157E-2</v>
      </c>
      <c r="M4415" s="401">
        <f>SUM(C4415,C4391,C4367,C4343,C4319,C4295,C4271)/POBLA!$B$22*100000</f>
        <v>34.651486794103725</v>
      </c>
    </row>
    <row r="4416" spans="1:13" s="360" customFormat="1" x14ac:dyDescent="0.25">
      <c r="A4416" s="19" t="s">
        <v>39</v>
      </c>
      <c r="B4416" s="2">
        <v>44076</v>
      </c>
      <c r="C4416" s="1">
        <v>33</v>
      </c>
      <c r="D4416" s="39">
        <f t="shared" si="428"/>
        <v>2135</v>
      </c>
      <c r="E4416" s="1">
        <f>2</f>
        <v>2</v>
      </c>
      <c r="F4416" s="39">
        <f t="shared" si="429"/>
        <v>31</v>
      </c>
      <c r="G4416" s="168">
        <f>SUM(C4416,C4392,C4368,C4344,C4320,C4296,C4272,C4248,C4224,C4200,C4176,C4152,C4128,C4104)/POBLA!$B$23*100000</f>
        <v>329.1296725668721</v>
      </c>
      <c r="H4416" s="256">
        <f t="shared" si="423"/>
        <v>0.72208436724565761</v>
      </c>
      <c r="I4416" s="297">
        <f t="shared" si="426"/>
        <v>237.65939135722033</v>
      </c>
      <c r="J4416" s="297">
        <f t="shared" si="427"/>
        <v>40.142857142857146</v>
      </c>
      <c r="K4416" s="297">
        <f>J4416/POBLA!$B$23*100000</f>
        <v>22.701383895751366</v>
      </c>
      <c r="L4416" s="549">
        <f t="shared" si="424"/>
        <v>6.6445182724252483E-2</v>
      </c>
      <c r="M4416" s="401">
        <f>SUM(C4416,C4392,C4368,C4344,C4320,C4296,C4272)/POBLA!$B$23*100000</f>
        <v>158.90968727025955</v>
      </c>
    </row>
    <row r="4417" spans="1:13" s="360" customFormat="1" ht="15.75" thickBot="1" x14ac:dyDescent="0.3">
      <c r="A4417" s="19" t="s">
        <v>40</v>
      </c>
      <c r="B4417" s="2">
        <v>44076</v>
      </c>
      <c r="C4417" s="1">
        <v>324</v>
      </c>
      <c r="D4417" s="39">
        <f t="shared" si="428"/>
        <v>2803</v>
      </c>
      <c r="E4417" s="1"/>
      <c r="F4417" s="39">
        <f t="shared" si="429"/>
        <v>14</v>
      </c>
      <c r="G4417" s="177">
        <f>SUM(C4417,C4393,C4369,C4345,C4321,C4297,C4273,C4249,C4225,C4201,C4177,C4153,C4129,C4105)/POBLA!$B$24*100000</f>
        <v>119.25724158767326</v>
      </c>
      <c r="H4417" s="402">
        <f t="shared" si="423"/>
        <v>4.3650107991360692</v>
      </c>
      <c r="I4417" s="403">
        <f t="shared" si="426"/>
        <v>520.55914740537298</v>
      </c>
      <c r="J4417" s="403">
        <f t="shared" si="427"/>
        <v>207.71428571428572</v>
      </c>
      <c r="K4417" s="403">
        <f>J4417/POBLA!$B$24*100000</f>
        <v>12.257017690568809</v>
      </c>
      <c r="L4417" s="550">
        <f t="shared" si="424"/>
        <v>-1.564373897707231</v>
      </c>
      <c r="M4417" s="405">
        <f>SUM(C4417,C4393,C4369,C4345,C4321,C4297,C4273)/POBLA!$B$24*100000</f>
        <v>85.799123833981639</v>
      </c>
    </row>
    <row r="4418" spans="1:13" s="360" customFormat="1" x14ac:dyDescent="0.25">
      <c r="A4418" s="361" t="s">
        <v>16</v>
      </c>
      <c r="B4418" s="2">
        <v>44077</v>
      </c>
      <c r="C4418" s="1">
        <v>6990</v>
      </c>
      <c r="D4418" s="39">
        <f>C4418+D4394</f>
        <v>278175</v>
      </c>
      <c r="E4418" s="1">
        <v>182</v>
      </c>
      <c r="F4418" s="39">
        <f t="shared" si="429"/>
        <v>5624</v>
      </c>
      <c r="G4418" s="175">
        <f>SUM(C4418,C4394,C4370,C4346,C4322,C4298,C4274,C4250,C4226,C4202,C4178,C4154,C4130,C4106)/POBLA!$B$1*100000</f>
        <v>447.10888533419802</v>
      </c>
      <c r="H4418" s="300">
        <f t="shared" ref="H4418:H4441" si="430">SUM(C4418,C4394,C4370,C4346,C4322,C4298,C4274,C4250,C4226,C4202,C4178,C4154,C4130,C4106)/SUM(C4082,C4058,C4034,C4010,C3986,C3962,C3938,C3914,C3890,C3866,C3842,C3818,C3794,C3770)</f>
        <v>1.2932737496495885</v>
      </c>
      <c r="I4418" s="301">
        <f>G4418*H4418</f>
        <v>578.23418463780615</v>
      </c>
      <c r="J4418" s="301">
        <f>AVERAGE(C4418,C4394,C4370,C4346,C4322,C4298,C4274)</f>
        <v>5920.1428571428569</v>
      </c>
      <c r="K4418" s="301">
        <f>J4418/POBLA!$B$1*100000</f>
        <v>33.750044293828189</v>
      </c>
      <c r="L4418" s="548">
        <f t="shared" ref="L4418:L4441" si="431">1-SUM(C4418,C4394,C4370,C4346,C4322,C4298,C4274)/SUM(C4250,C4226,C4202,C4178,C4154,C4130,C4106)</f>
        <v>-0.12042068834996078</v>
      </c>
      <c r="M4418" s="400">
        <f>SUM(C4418,C4394,C4370,C4346,C4322,C4298,C4274)/POBLA!$B$1*100000</f>
        <v>236.25031005679733</v>
      </c>
    </row>
    <row r="4419" spans="1:13" s="360" customFormat="1" x14ac:dyDescent="0.25">
      <c r="A4419" s="19" t="s">
        <v>43</v>
      </c>
      <c r="B4419" s="2">
        <v>44077</v>
      </c>
      <c r="C4419" s="1">
        <v>1411</v>
      </c>
      <c r="D4419" s="39">
        <f t="shared" ref="D4419:D4431" si="432">C4419+D4395</f>
        <v>99756</v>
      </c>
      <c r="E4419" s="1">
        <f>4+10+17</f>
        <v>31</v>
      </c>
      <c r="F4419" s="39">
        <f t="shared" ref="F4419:F4457" si="433">E4419+F4395</f>
        <v>2370</v>
      </c>
      <c r="G4419" s="168">
        <f>SUM(C4419,C4395,C4371,C4347,C4323,C4299,C4275,C4251,C4227,C4203,C4179,C4155,C4131,C4107)/POBLA!$B$2*100000</f>
        <v>589.46965938212657</v>
      </c>
      <c r="H4419" s="256">
        <f t="shared" si="430"/>
        <v>1.7217473884140551</v>
      </c>
      <c r="I4419" s="297">
        <f t="shared" ref="I4419:I4441" si="434">G4419*H4419</f>
        <v>1014.917846590499</v>
      </c>
      <c r="J4419" s="297">
        <f t="shared" ref="J4419:J4441" si="435">AVERAGE(C4419,C4395,C4371,C4347,C4323,C4299,C4275)</f>
        <v>1342.7142857142858</v>
      </c>
      <c r="K4419" s="297">
        <f>J4419/POBLA!$B$2*100000</f>
        <v>43.656333847077519</v>
      </c>
      <c r="L4419" s="549">
        <f t="shared" si="431"/>
        <v>-7.6508990951781097E-2</v>
      </c>
      <c r="M4419" s="401">
        <f>SUM(C4419,C4395,C4371,C4347,C4323,C4299,C4275)/POBLA!$B$2*100000</f>
        <v>305.59433692954258</v>
      </c>
    </row>
    <row r="4420" spans="1:13" s="360" customFormat="1" x14ac:dyDescent="0.25">
      <c r="A4420" s="19" t="s">
        <v>28</v>
      </c>
      <c r="B4420" s="2">
        <v>44077</v>
      </c>
      <c r="C4420" s="1">
        <v>3</v>
      </c>
      <c r="D4420" s="39">
        <f t="shared" si="432"/>
        <v>70</v>
      </c>
      <c r="E4420" s="1"/>
      <c r="F4420" s="39">
        <f t="shared" si="433"/>
        <v>0</v>
      </c>
      <c r="G4420" s="168">
        <f>SUM(C4420,C4396,C4372,C4348,C4324,C4300,C4276,C4252,C4228,C4204,C4180,C4156,C4132,C4108)/POBLA!$B$3*100000</f>
        <v>1.444258830439199</v>
      </c>
      <c r="H4420" s="256">
        <f t="shared" si="430"/>
        <v>2.7906976744186046E-2</v>
      </c>
      <c r="I4420" s="297">
        <f t="shared" si="434"/>
        <v>4.0304897593652064E-2</v>
      </c>
      <c r="J4420" s="297">
        <f t="shared" si="435"/>
        <v>0.8571428571428571</v>
      </c>
      <c r="K4420" s="297">
        <f>J4420/POBLA!$B$3*100000</f>
        <v>0.2063226900627427</v>
      </c>
      <c r="L4420" s="549" t="e">
        <f t="shared" si="431"/>
        <v>#DIV/0!</v>
      </c>
      <c r="M4420" s="401">
        <f>SUM(C4420,C4396,C4372,C4348,C4324,C4300,C4276)/POBLA!$B$3*100000</f>
        <v>1.444258830439199</v>
      </c>
    </row>
    <row r="4421" spans="1:13" s="360" customFormat="1" x14ac:dyDescent="0.25">
      <c r="A4421" s="19" t="s">
        <v>15</v>
      </c>
      <c r="B4421" s="2">
        <v>44077</v>
      </c>
      <c r="C4421" s="1">
        <v>106</v>
      </c>
      <c r="D4421" s="39">
        <f t="shared" si="432"/>
        <v>5682</v>
      </c>
      <c r="E4421" s="1">
        <v>3</v>
      </c>
      <c r="F4421" s="39">
        <f t="shared" si="433"/>
        <v>219</v>
      </c>
      <c r="G4421" s="168">
        <f>SUM(C4421,C4397,C4373,C4349,C4325,C4301,C4277,C4253,C4229,C4205,C4181,C4157,C4133,C4109)/POBLA!$B$4*100000</f>
        <v>81.441810614997749</v>
      </c>
      <c r="H4421" s="256">
        <f t="shared" si="430"/>
        <v>1.4931506849315068</v>
      </c>
      <c r="I4421" s="297">
        <f t="shared" si="434"/>
        <v>121.60489530184596</v>
      </c>
      <c r="J4421" s="297">
        <f t="shared" si="435"/>
        <v>82.571428571428569</v>
      </c>
      <c r="K4421" s="297">
        <f>J4421/POBLA!$B$4*100000</f>
        <v>6.8550118735209988</v>
      </c>
      <c r="L4421" s="549">
        <f t="shared" si="431"/>
        <v>-0.43424317617866004</v>
      </c>
      <c r="M4421" s="401">
        <f>SUM(C4421,C4397,C4373,C4349,C4325,C4301,C4277)/POBLA!$B$4*100000</f>
        <v>47.98508311464699</v>
      </c>
    </row>
    <row r="4422" spans="1:13" s="360" customFormat="1" x14ac:dyDescent="0.25">
      <c r="A4422" s="19" t="s">
        <v>29</v>
      </c>
      <c r="B4422" s="2">
        <v>44077</v>
      </c>
      <c r="C4422" s="1">
        <v>79</v>
      </c>
      <c r="D4422" s="39">
        <f t="shared" si="432"/>
        <v>1062</v>
      </c>
      <c r="E4422" s="1"/>
      <c r="F4422" s="39">
        <f t="shared" si="433"/>
        <v>7</v>
      </c>
      <c r="G4422" s="168">
        <f>SUM(C4422,C4398,C4374,C4350,C4326,C4302,C4278,C4254,C4230,C4206,C4182,C4158,C4134,C4110)/POBLA!$B$5*100000</f>
        <v>98.062339861129516</v>
      </c>
      <c r="H4422" s="256">
        <f t="shared" si="430"/>
        <v>0.14356669820245979</v>
      </c>
      <c r="I4422" s="297">
        <f t="shared" si="434"/>
        <v>14.078486351869824</v>
      </c>
      <c r="J4422" s="297">
        <f t="shared" si="435"/>
        <v>51.857142857142854</v>
      </c>
      <c r="K4422" s="297">
        <f>J4422/POBLA!$B$5*100000</f>
        <v>8.3776487101882822</v>
      </c>
      <c r="L4422" s="549">
        <f t="shared" si="431"/>
        <v>-0.48770491803278682</v>
      </c>
      <c r="M4422" s="401">
        <f>SUM(C4422,C4398,C4374,C4350,C4326,C4302,C4278)/POBLA!$B$5*100000</f>
        <v>58.643540971317975</v>
      </c>
    </row>
    <row r="4423" spans="1:13" s="360" customFormat="1" x14ac:dyDescent="0.25">
      <c r="A4423" s="19" t="s">
        <v>20</v>
      </c>
      <c r="B4423" s="2">
        <v>44077</v>
      </c>
      <c r="C4423" s="1">
        <v>449</v>
      </c>
      <c r="D4423" s="39">
        <f t="shared" si="432"/>
        <v>9843</v>
      </c>
      <c r="E4423" s="1">
        <f>1+5+1</f>
        <v>7</v>
      </c>
      <c r="F4423" s="39">
        <f t="shared" si="433"/>
        <v>139</v>
      </c>
      <c r="G4423" s="168">
        <f>SUM(C4423,C4399,C4375,C4351,C4327,C4303,C4279,C4255,C4231,C4207,C4183,C4159,C4135,C4111)/POBLA!$B$6*100000</f>
        <v>407.8333263442841</v>
      </c>
      <c r="H4423" s="256">
        <f t="shared" si="430"/>
        <v>2.0074659639877033</v>
      </c>
      <c r="I4423" s="297">
        <f t="shared" si="434"/>
        <v>818.71152161603982</v>
      </c>
      <c r="J4423" s="297">
        <f t="shared" si="435"/>
        <v>387.57142857142856</v>
      </c>
      <c r="K4423" s="297">
        <f>J4423/POBLA!$B$6*100000</f>
        <v>34.579861061100814</v>
      </c>
      <c r="L4423" s="549">
        <f t="shared" si="431"/>
        <v>-0.46017222820236814</v>
      </c>
      <c r="M4423" s="401">
        <f>SUM(C4423,C4399,C4375,C4351,C4327,C4303,C4279)/POBLA!$B$6*100000</f>
        <v>242.0590274277057</v>
      </c>
    </row>
    <row r="4424" spans="1:13" s="360" customFormat="1" x14ac:dyDescent="0.25">
      <c r="A4424" s="19" t="s">
        <v>30</v>
      </c>
      <c r="B4424" s="2">
        <v>44077</v>
      </c>
      <c r="C4424" s="1">
        <v>9</v>
      </c>
      <c r="D4424" s="39">
        <f t="shared" si="432"/>
        <v>330</v>
      </c>
      <c r="E4424" s="1"/>
      <c r="F4424" s="39">
        <f t="shared" si="433"/>
        <v>5</v>
      </c>
      <c r="G4424" s="168">
        <f>SUM(C4424,C4400,C4376,C4352,C4328,C4304,C4280,C4256,C4232,C4208,C4184,C4160,C4136,C4112)/POBLA!$B$7*100000</f>
        <v>2.4199231474956453</v>
      </c>
      <c r="H4424" s="256">
        <f t="shared" si="430"/>
        <v>2.3333333333333335</v>
      </c>
      <c r="I4424" s="297">
        <f t="shared" si="434"/>
        <v>5.6464873441565064</v>
      </c>
      <c r="J4424" s="297">
        <f t="shared" si="435"/>
        <v>7.4285714285714288</v>
      </c>
      <c r="K4424" s="297">
        <f>J4424/POBLA!$B$7*100000</f>
        <v>0.19754474673433842</v>
      </c>
      <c r="L4424" s="549">
        <f t="shared" si="431"/>
        <v>-0.33333333333333326</v>
      </c>
      <c r="M4424" s="401">
        <f>SUM(C4424,C4400,C4376,C4352,C4328,C4304,C4280)/POBLA!$B$7*100000</f>
        <v>1.3828132271403688</v>
      </c>
    </row>
    <row r="4425" spans="1:13" x14ac:dyDescent="0.25">
      <c r="A4425" s="19" t="s">
        <v>31</v>
      </c>
      <c r="B4425" s="2">
        <v>44077</v>
      </c>
      <c r="C4425" s="1">
        <v>109</v>
      </c>
      <c r="D4425" s="39">
        <f t="shared" si="432"/>
        <v>3947</v>
      </c>
      <c r="F4425" s="39">
        <f t="shared" si="433"/>
        <v>54</v>
      </c>
      <c r="G4425" s="168">
        <f>SUM(C4425,C4401,C4377,C4353,C4329,C4305,C4281,C4257,C4233,C4209,C4185,C4161,C4137,C4113)/POBLA!$B$8*100000</f>
        <v>150.50928561481888</v>
      </c>
      <c r="H4425" s="256">
        <f t="shared" si="430"/>
        <v>2.4199535962877032</v>
      </c>
      <c r="I4425" s="297">
        <f t="shared" si="434"/>
        <v>364.22548699827405</v>
      </c>
      <c r="J4425" s="297">
        <f t="shared" si="435"/>
        <v>166.57142857142858</v>
      </c>
      <c r="K4425" s="297">
        <f>J4425/POBLA!$B$8*100000</f>
        <v>12.018478771872266</v>
      </c>
      <c r="L4425" s="549">
        <f t="shared" si="431"/>
        <v>-0.26739130434782599</v>
      </c>
      <c r="M4425" s="401">
        <f>SUM(C4425,C4401,C4377,C4353,C4329,C4305,C4281)/POBLA!$B$8*100000</f>
        <v>84.129351403105858</v>
      </c>
    </row>
    <row r="4426" spans="1:13" s="360" customFormat="1" x14ac:dyDescent="0.25">
      <c r="A4426" s="19" t="s">
        <v>41</v>
      </c>
      <c r="B4426" s="2">
        <v>44077</v>
      </c>
      <c r="C4426" s="1">
        <v>4</v>
      </c>
      <c r="D4426" s="39">
        <f t="shared" si="432"/>
        <v>88</v>
      </c>
      <c r="E4426" s="1"/>
      <c r="F4426" s="39">
        <f>E4426+F4402</f>
        <v>1</v>
      </c>
      <c r="G4426" s="168">
        <f>SUM(C4426,C4402,C4378,C4354,C4330,C4306,C4282,C4258,C4234,C4210,C4186,C4162,C4138,C4114)/POBLA!$B$9*100000</f>
        <v>1.3218923550008015</v>
      </c>
      <c r="H4426" s="256">
        <f t="shared" si="430"/>
        <v>-8</v>
      </c>
      <c r="I4426" s="297">
        <f t="shared" si="434"/>
        <v>-10.575138840006412</v>
      </c>
      <c r="J4426" s="297">
        <f t="shared" si="435"/>
        <v>0.8571428571428571</v>
      </c>
      <c r="K4426" s="297">
        <f>J4426/POBLA!$B$9*100000</f>
        <v>0.14163132375008586</v>
      </c>
      <c r="L4426" s="549">
        <f t="shared" si="431"/>
        <v>-2</v>
      </c>
      <c r="M4426" s="401">
        <f>SUM(C4426,C4402,C4378,C4354,C4330,C4306,C4282)/POBLA!$B$9*100000</f>
        <v>0.99141926625060106</v>
      </c>
    </row>
    <row r="4427" spans="1:13" s="360" customFormat="1" x14ac:dyDescent="0.25">
      <c r="A4427" s="19" t="s">
        <v>32</v>
      </c>
      <c r="B4427" s="2">
        <v>44077</v>
      </c>
      <c r="C4427" s="1">
        <v>357</v>
      </c>
      <c r="D4427" s="39">
        <f t="shared" si="432"/>
        <v>9217</v>
      </c>
      <c r="E4427" s="1">
        <f>2+1</f>
        <v>3</v>
      </c>
      <c r="F4427" s="39">
        <f t="shared" si="433"/>
        <v>210</v>
      </c>
      <c r="G4427" s="168">
        <f>SUM(C4427,C4403,C4379,C4355,C4331,C4307,C4283,C4259,C4235,C4211,C4187,C4163,C4139,C4115)/POBLA!$B$10*100000</f>
        <v>466.09009691508811</v>
      </c>
      <c r="H4427" s="256">
        <f t="shared" si="430"/>
        <v>1.348217636022514</v>
      </c>
      <c r="I4427" s="297">
        <f t="shared" si="434"/>
        <v>628.39088863636448</v>
      </c>
      <c r="J4427" s="297">
        <f t="shared" si="435"/>
        <v>277.57142857142856</v>
      </c>
      <c r="K4427" s="297">
        <f>J4427/POBLA!$B$10*100000</f>
        <v>36.007039811777503</v>
      </c>
      <c r="L4427" s="549">
        <f t="shared" si="431"/>
        <v>-0.1775757575757575</v>
      </c>
      <c r="M4427" s="401">
        <f>SUM(C4427,C4403,C4379,C4355,C4331,C4307,C4283)/POBLA!$B$10*100000</f>
        <v>252.04927868244255</v>
      </c>
    </row>
    <row r="4428" spans="1:13" s="360" customFormat="1" x14ac:dyDescent="0.25">
      <c r="A4428" s="19" t="s">
        <v>33</v>
      </c>
      <c r="B4428" s="2">
        <v>44077</v>
      </c>
      <c r="C4428" s="1">
        <v>1</v>
      </c>
      <c r="D4428" s="39">
        <f t="shared" si="432"/>
        <v>214</v>
      </c>
      <c r="E4428" s="1">
        <f>1</f>
        <v>1</v>
      </c>
      <c r="F4428" s="39">
        <f t="shared" si="433"/>
        <v>4</v>
      </c>
      <c r="G4428" s="168">
        <f>SUM(C4428,C4404,C4380,C4356,C4332,C4308,C4284,C4260,C4236,C4212,C4188,C4164,C4140,C4116)/POBLA!$B$11*100000</f>
        <v>7.5328936355418668</v>
      </c>
      <c r="H4428" s="256">
        <f t="shared" si="430"/>
        <v>1.588235294117647</v>
      </c>
      <c r="I4428" s="297">
        <f t="shared" si="434"/>
        <v>11.964007538801788</v>
      </c>
      <c r="J4428" s="297">
        <f t="shared" si="435"/>
        <v>2.8571428571428572</v>
      </c>
      <c r="K4428" s="297">
        <f>J4428/POBLA!$B$11*100000</f>
        <v>0.79713160164464203</v>
      </c>
      <c r="L4428" s="549">
        <f t="shared" si="431"/>
        <v>-1.8571428571428572</v>
      </c>
      <c r="M4428" s="401">
        <f>SUM(C4428,C4404,C4380,C4356,C4332,C4308,C4284)/POBLA!$B$11*100000</f>
        <v>5.5799212115124934</v>
      </c>
    </row>
    <row r="4429" spans="1:13" s="360" customFormat="1" x14ac:dyDescent="0.25">
      <c r="A4429" s="19" t="s">
        <v>21</v>
      </c>
      <c r="B4429" s="2">
        <v>44077</v>
      </c>
      <c r="C4429" s="1">
        <v>93</v>
      </c>
      <c r="D4429" s="39">
        <f t="shared" si="432"/>
        <v>1788</v>
      </c>
      <c r="E4429" s="1"/>
      <c r="F4429" s="39">
        <f t="shared" si="433"/>
        <v>39</v>
      </c>
      <c r="G4429" s="168">
        <f>SUM(C4429,C4405,C4381,C4357,C4333,C4309,C4285,C4261,C4237,C4213,C4189,C4165,C4141,C4117)/POBLA!$B$12*100000</f>
        <v>218.78835466583317</v>
      </c>
      <c r="H4429" s="256">
        <f t="shared" si="430"/>
        <v>1.8012552301255229</v>
      </c>
      <c r="I4429" s="297">
        <f t="shared" si="434"/>
        <v>394.09366813238984</v>
      </c>
      <c r="J4429" s="297">
        <f t="shared" si="435"/>
        <v>73.714285714285708</v>
      </c>
      <c r="K4429" s="297">
        <f>J4429/POBLA!$B$12*100000</f>
        <v>18.731506721017077</v>
      </c>
      <c r="L4429" s="549">
        <f t="shared" si="431"/>
        <v>-0.4956521739130435</v>
      </c>
      <c r="M4429" s="401">
        <f>SUM(C4429,C4405,C4381,C4357,C4333,C4309,C4285)/POBLA!$B$12*100000</f>
        <v>131.12054704711954</v>
      </c>
    </row>
    <row r="4430" spans="1:13" s="360" customFormat="1" x14ac:dyDescent="0.25">
      <c r="A4430" s="19" t="s">
        <v>17</v>
      </c>
      <c r="B4430" s="2">
        <v>44077</v>
      </c>
      <c r="C4430" s="1">
        <v>544</v>
      </c>
      <c r="D4430" s="39">
        <f t="shared" si="432"/>
        <v>8148</v>
      </c>
      <c r="E4430" s="1">
        <f>1</f>
        <v>1</v>
      </c>
      <c r="F4430" s="39">
        <f t="shared" si="433"/>
        <v>86</v>
      </c>
      <c r="G4430" s="168">
        <f>SUM(C4430,C4406,C4382,C4358,C4334,C4310,C4286,C4262,C4238,C4214,C4190,C4166,C4142,C4118)/POBLA!$B$13*100000</f>
        <v>206.3971044114115</v>
      </c>
      <c r="H4430" s="256">
        <f t="shared" si="430"/>
        <v>1.8290293855743545</v>
      </c>
      <c r="I4430" s="297">
        <f t="shared" si="434"/>
        <v>377.50636906592985</v>
      </c>
      <c r="J4430" s="297">
        <f t="shared" si="435"/>
        <v>363.85714285714283</v>
      </c>
      <c r="K4430" s="297">
        <f>J4430/POBLA!$B$13*100000</f>
        <v>18.281173491996977</v>
      </c>
      <c r="L4430" s="549">
        <f t="shared" si="431"/>
        <v>-0.63164638052530431</v>
      </c>
      <c r="M4430" s="401">
        <f>SUM(C4430,C4406,C4382,C4358,C4334,C4310,C4286)/POBLA!$B$13*100000</f>
        <v>127.96821444397885</v>
      </c>
    </row>
    <row r="4431" spans="1:13" s="360" customFormat="1" x14ac:dyDescent="0.25">
      <c r="A4431" s="19" t="s">
        <v>23</v>
      </c>
      <c r="B4431" s="2">
        <v>44077</v>
      </c>
      <c r="C4431" s="1">
        <v>0</v>
      </c>
      <c r="D4431" s="39">
        <f t="shared" si="432"/>
        <v>64</v>
      </c>
      <c r="E4431" s="1"/>
      <c r="F4431" s="39">
        <f t="shared" si="433"/>
        <v>2</v>
      </c>
      <c r="G4431" s="168">
        <f>SUM(C4431,C4407,C4383,C4359,C4335,C4311,C4287,C4263,C4239,C4215,C4191,C4167,C4143,C4119)/POBLA!$B$14*100000</f>
        <v>0.87212021939373374</v>
      </c>
      <c r="H4431" s="256">
        <f t="shared" si="430"/>
        <v>11</v>
      </c>
      <c r="I4431" s="297">
        <f t="shared" si="434"/>
        <v>9.5933224133310713</v>
      </c>
      <c r="J4431" s="297">
        <f t="shared" si="435"/>
        <v>0.8571428571428571</v>
      </c>
      <c r="K4431" s="297">
        <f>J4431/POBLA!$B$14*100000</f>
        <v>6.7957419693018203E-2</v>
      </c>
      <c r="L4431" s="549">
        <f t="shared" si="431"/>
        <v>-0.19999999999999996</v>
      </c>
      <c r="M4431" s="401">
        <f>SUM(C4431,C4407,C4383,C4359,C4335,C4311,C4287)/POBLA!$B$14*100000</f>
        <v>0.47570193785112752</v>
      </c>
    </row>
    <row r="4432" spans="1:13" s="360" customFormat="1" x14ac:dyDescent="0.25">
      <c r="A4432" s="19" t="s">
        <v>19</v>
      </c>
      <c r="B4432" s="2">
        <v>44077</v>
      </c>
      <c r="C4432" s="1">
        <v>135</v>
      </c>
      <c r="D4432" s="39">
        <f>C4432+D4408</f>
        <v>3398</v>
      </c>
      <c r="E4432" s="1">
        <f>1+1+1</f>
        <v>3</v>
      </c>
      <c r="F4432" s="39">
        <f t="shared" si="433"/>
        <v>29</v>
      </c>
      <c r="G4432" s="168">
        <f>SUM(C4432,C4408,C4384,C4360,C4336,C4312,C4288,C4264,C4240,C4216,C4192,C4168,C4144,C4120)/POBLA!$B$15*100000</f>
        <v>207.51230692545971</v>
      </c>
      <c r="H4432" s="256">
        <f t="shared" si="430"/>
        <v>2.139751552795031</v>
      </c>
      <c r="I4432" s="297">
        <f t="shared" si="434"/>
        <v>444.02478096783148</v>
      </c>
      <c r="J4432" s="297">
        <f t="shared" si="435"/>
        <v>104.14285714285714</v>
      </c>
      <c r="K4432" s="297">
        <f>J4432/POBLA!$B$15*100000</f>
        <v>15.682818966272043</v>
      </c>
      <c r="L4432" s="549">
        <f t="shared" si="431"/>
        <v>-0.12326656394453006</v>
      </c>
      <c r="M4432" s="401">
        <f>SUM(C4432,C4408,C4384,C4360,C4336,C4312,C4288)/POBLA!$B$15*100000</f>
        <v>109.77973276390431</v>
      </c>
    </row>
    <row r="4433" spans="1:13" s="360" customFormat="1" x14ac:dyDescent="0.25">
      <c r="A4433" s="19" t="s">
        <v>18</v>
      </c>
      <c r="B4433" s="2">
        <v>44077</v>
      </c>
      <c r="C4433" s="1">
        <v>158</v>
      </c>
      <c r="D4433" s="39">
        <f>C4433+D4409</f>
        <v>6506</v>
      </c>
      <c r="E4433" s="1">
        <f>2+4</f>
        <v>6</v>
      </c>
      <c r="F4433" s="39">
        <f t="shared" si="433"/>
        <v>111</v>
      </c>
      <c r="G4433" s="168">
        <f>SUM(C4433,C4409,C4385,C4361,C4337,C4313,C4289,C4265,C4241,C4217,C4193,C4169,C4145,C4121)/POBLA!$B$16*100000</f>
        <v>291.19460681371305</v>
      </c>
      <c r="H4433" s="256">
        <f t="shared" si="430"/>
        <v>1.3090799759470835</v>
      </c>
      <c r="I4433" s="297">
        <f t="shared" si="434"/>
        <v>381.19702888361593</v>
      </c>
      <c r="J4433" s="297">
        <f t="shared" si="435"/>
        <v>152.14285714285714</v>
      </c>
      <c r="K4433" s="297">
        <f>J4433/POBLA!$B$16*100000</f>
        <v>20.350564752057508</v>
      </c>
      <c r="L4433" s="549">
        <f t="shared" si="431"/>
        <v>4.2266187050359671E-2</v>
      </c>
      <c r="M4433" s="401">
        <f>SUM(C4433,C4409,C4385,C4361,C4337,C4313,C4289)/POBLA!$B$16*100000</f>
        <v>142.45395326440257</v>
      </c>
    </row>
    <row r="4434" spans="1:13" s="360" customFormat="1" x14ac:dyDescent="0.25">
      <c r="A4434" s="19" t="s">
        <v>34</v>
      </c>
      <c r="B4434" s="2">
        <v>44077</v>
      </c>
      <c r="C4434" s="1">
        <v>241</v>
      </c>
      <c r="D4434" s="39">
        <f>C4434+D4410</f>
        <v>3928</v>
      </c>
      <c r="E4434" s="1">
        <f>1</f>
        <v>1</v>
      </c>
      <c r="F4434" s="39">
        <f>E4434+F4410</f>
        <v>47</v>
      </c>
      <c r="G4434" s="168">
        <f>SUM(C4434,C4410,C4386,C4362,C4338,C4314,C4290,C4266,C4242,C4218,C4194,C4170,C4146,C4122)/POBLA!$B$17*100000</f>
        <v>170.45809560115615</v>
      </c>
      <c r="H4434" s="256">
        <f t="shared" si="430"/>
        <v>2.2357274401473295</v>
      </c>
      <c r="I4434" s="297">
        <f t="shared" si="434"/>
        <v>381.09784173076162</v>
      </c>
      <c r="J4434" s="297">
        <f t="shared" si="435"/>
        <v>209.14285714285714</v>
      </c>
      <c r="K4434" s="297">
        <f>J4434/POBLA!$B$17*100000</f>
        <v>14.682904916456376</v>
      </c>
      <c r="L4434" s="549">
        <f t="shared" si="431"/>
        <v>-0.51867219917012441</v>
      </c>
      <c r="M4434" s="401">
        <f>SUM(C4434,C4410,C4386,C4362,C4338,C4314,C4290)/POBLA!$B$17*100000</f>
        <v>102.78033441519464</v>
      </c>
    </row>
    <row r="4435" spans="1:13" s="360" customFormat="1" x14ac:dyDescent="0.25">
      <c r="A4435" s="19" t="s">
        <v>35</v>
      </c>
      <c r="B4435" s="2">
        <v>44077</v>
      </c>
      <c r="C4435" s="1">
        <v>74</v>
      </c>
      <c r="D4435" s="39">
        <f t="shared" ref="D4435:D4441" si="436">C4435+D4411</f>
        <v>329</v>
      </c>
      <c r="E4435" s="1"/>
      <c r="F4435" s="39">
        <f>E4435+F4411</f>
        <v>0</v>
      </c>
      <c r="G4435" s="168">
        <f>SUM(C4435,C4411,C4387,C4363,C4339,C4315,C4291,C4267,C4243,C4219,C4195,C4171,C4147,C4123)/POBLA!$B$18*100000</f>
        <v>37.633589642826507</v>
      </c>
      <c r="H4435" s="256">
        <f t="shared" si="430"/>
        <v>22.615384615384617</v>
      </c>
      <c r="I4435" s="297">
        <f t="shared" si="434"/>
        <v>851.0981042300765</v>
      </c>
      <c r="J4435" s="297">
        <f t="shared" si="435"/>
        <v>21</v>
      </c>
      <c r="K4435" s="297">
        <f>J4435/POBLA!$B$18*100000</f>
        <v>2.6881135459161793</v>
      </c>
      <c r="L4435" s="549">
        <f t="shared" si="431"/>
        <v>0</v>
      </c>
      <c r="M4435" s="401">
        <f>SUM(C4435,C4411,C4387,C4363,C4339,C4315,C4291)/POBLA!$B$18*100000</f>
        <v>18.816794821413254</v>
      </c>
    </row>
    <row r="4436" spans="1:13" s="360" customFormat="1" x14ac:dyDescent="0.25">
      <c r="A4436" s="19" t="s">
        <v>36</v>
      </c>
      <c r="B4436" s="2">
        <v>44077</v>
      </c>
      <c r="C4436" s="1">
        <v>18</v>
      </c>
      <c r="D4436" s="39">
        <f t="shared" si="436"/>
        <v>195</v>
      </c>
      <c r="E4436" s="1"/>
      <c r="F4436" s="39">
        <f t="shared" si="433"/>
        <v>0</v>
      </c>
      <c r="G4436" s="168">
        <f>SUM(C4436,C4412,C4388,C4364,C4340,C4316,C4292,C4268,C4244,C4220,C4196,C4172,C4148,C4124)/POBLA!$B$19*100000</f>
        <v>30.688846571505014</v>
      </c>
      <c r="H4436" s="256">
        <f t="shared" si="430"/>
        <v>22.285714285714285</v>
      </c>
      <c r="I4436" s="297">
        <f t="shared" si="434"/>
        <v>683.92286645068316</v>
      </c>
      <c r="J4436" s="297">
        <f t="shared" si="435"/>
        <v>20.571428571428573</v>
      </c>
      <c r="K4436" s="297">
        <f>J4436/POBLA!$B$19*100000</f>
        <v>4.0468808665720903</v>
      </c>
      <c r="L4436" s="549">
        <f t="shared" si="431"/>
        <v>-11</v>
      </c>
      <c r="M4436" s="401">
        <f>SUM(C4436,C4412,C4388,C4364,C4340,C4316,C4292)/POBLA!$B$19*100000</f>
        <v>28.328166066004627</v>
      </c>
    </row>
    <row r="4437" spans="1:13" s="360" customFormat="1" x14ac:dyDescent="0.25">
      <c r="A4437" s="19" t="s">
        <v>37</v>
      </c>
      <c r="B4437" s="2">
        <v>44077</v>
      </c>
      <c r="C4437" s="1">
        <v>47</v>
      </c>
      <c r="D4437" s="39">
        <f t="shared" si="436"/>
        <v>1962</v>
      </c>
      <c r="E4437" s="1"/>
      <c r="F4437" s="39">
        <f t="shared" ref="F4437:F4442" si="437">E4437+F4413</f>
        <v>15</v>
      </c>
      <c r="G4437" s="168">
        <f>SUM(C4437,C4413,C4389,C4365,C4341,C4317,C4293,C4269,C4245,C4221,C4197,C4173,C4149,C4125)/POBLA!$B$20*100000</f>
        <v>214.38454681185019</v>
      </c>
      <c r="H4437" s="256">
        <f t="shared" si="430"/>
        <v>1.4518518518518519</v>
      </c>
      <c r="I4437" s="297">
        <f t="shared" si="434"/>
        <v>311.25460129720472</v>
      </c>
      <c r="J4437" s="297">
        <f t="shared" si="435"/>
        <v>61.714285714285715</v>
      </c>
      <c r="K4437" s="297">
        <f>J4437/POBLA!$B$20*100000</f>
        <v>16.875751498308908</v>
      </c>
      <c r="L4437" s="549">
        <f t="shared" si="431"/>
        <v>-0.22727272727272729</v>
      </c>
      <c r="M4437" s="401">
        <f>SUM(C4437,C4413,C4389,C4365,C4341,C4317,C4293)/POBLA!$B$20*100000</f>
        <v>118.13026048816236</v>
      </c>
    </row>
    <row r="4438" spans="1:13" s="360" customFormat="1" x14ac:dyDescent="0.25">
      <c r="A4438" s="19" t="s">
        <v>22</v>
      </c>
      <c r="B4438" s="2">
        <v>44077</v>
      </c>
      <c r="C4438" s="1">
        <v>764</v>
      </c>
      <c r="D4438" s="39">
        <f t="shared" si="436"/>
        <v>10093</v>
      </c>
      <c r="E4438" s="1">
        <f>3+2</f>
        <v>5</v>
      </c>
      <c r="F4438" s="39">
        <f t="shared" si="437"/>
        <v>106</v>
      </c>
      <c r="G4438" s="168">
        <f>SUM(C4438,C4414,C4390,C4366,C4342,C4318,C4294,C4270,C4246,C4222,C4198,C4174,C4150,C4126)/POBLA!$B$21*100000</f>
        <v>170.79428958907008</v>
      </c>
      <c r="H4438" s="256">
        <f t="shared" si="430"/>
        <v>2.6549450549450548</v>
      </c>
      <c r="I4438" s="297">
        <f t="shared" si="434"/>
        <v>453.44945455735524</v>
      </c>
      <c r="J4438" s="297">
        <f t="shared" si="435"/>
        <v>551.28571428571433</v>
      </c>
      <c r="K4438" s="297">
        <f>J4438/POBLA!$B$21*100000</f>
        <v>15.58881654503835</v>
      </c>
      <c r="L4438" s="549">
        <f t="shared" si="431"/>
        <v>-0.76937184777624945</v>
      </c>
      <c r="M4438" s="401">
        <f>SUM(C4438,C4414,C4390,C4366,C4342,C4318,C4294)/POBLA!$B$21*100000</f>
        <v>109.12171581526846</v>
      </c>
    </row>
    <row r="4439" spans="1:13" s="360" customFormat="1" x14ac:dyDescent="0.25">
      <c r="A4439" s="19" t="s">
        <v>38</v>
      </c>
      <c r="B4439" s="2">
        <v>44077</v>
      </c>
      <c r="C4439" s="1">
        <v>64</v>
      </c>
      <c r="D4439" s="39">
        <f t="shared" si="436"/>
        <v>1095</v>
      </c>
      <c r="E4439" s="1"/>
      <c r="F4439" s="39">
        <f t="shared" si="437"/>
        <v>13</v>
      </c>
      <c r="G4439" s="168">
        <f>SUM(C4439,C4415,C4391,C4367,C4343,C4319,C4295,C4271,C4247,C4223,C4199,C4175,C4151,C4127)/POBLA!$B$22*100000</f>
        <v>69.30297358820745</v>
      </c>
      <c r="H4439" s="256">
        <f t="shared" si="430"/>
        <v>2</v>
      </c>
      <c r="I4439" s="297">
        <f t="shared" si="434"/>
        <v>138.6059471764149</v>
      </c>
      <c r="J4439" s="297">
        <f t="shared" si="435"/>
        <v>50</v>
      </c>
      <c r="K4439" s="297">
        <f>J4439/POBLA!$B$22*100000</f>
        <v>5.1108387601922898</v>
      </c>
      <c r="L4439" s="549">
        <f t="shared" si="431"/>
        <v>-6.7073170731707377E-2</v>
      </c>
      <c r="M4439" s="401">
        <f>SUM(C4439,C4415,C4391,C4367,C4343,C4319,C4295)/POBLA!$B$22*100000</f>
        <v>35.775871321346031</v>
      </c>
    </row>
    <row r="4440" spans="1:13" s="360" customFormat="1" x14ac:dyDescent="0.25">
      <c r="A4440" s="19" t="s">
        <v>39</v>
      </c>
      <c r="B4440" s="2">
        <v>44077</v>
      </c>
      <c r="C4440" s="1">
        <v>98</v>
      </c>
      <c r="D4440" s="39">
        <f t="shared" si="436"/>
        <v>2233</v>
      </c>
      <c r="E4440" s="1">
        <f>1</f>
        <v>1</v>
      </c>
      <c r="F4440" s="39">
        <f t="shared" si="437"/>
        <v>32</v>
      </c>
      <c r="G4440" s="168">
        <f>SUM(C4440,C4416,C4392,C4368,C4344,C4320,C4296,C4272,C4248,C4224,C4200,C4176,C4152,C4128)/POBLA!$B$23*100000</f>
        <v>357.97093253407223</v>
      </c>
      <c r="H4440" s="256">
        <f t="shared" si="430"/>
        <v>0.80534351145038163</v>
      </c>
      <c r="I4440" s="297">
        <f t="shared" si="434"/>
        <v>288.2895678041574</v>
      </c>
      <c r="J4440" s="297">
        <f t="shared" si="435"/>
        <v>50.571428571428569</v>
      </c>
      <c r="K4440" s="297">
        <f>J4440/POBLA!$B$23*100000</f>
        <v>28.598896438063999</v>
      </c>
      <c r="L4440" s="549">
        <f t="shared" si="431"/>
        <v>-0.26881720430107525</v>
      </c>
      <c r="M4440" s="401">
        <f>SUM(C4440,C4416,C4392,C4368,C4344,C4320,C4296)/POBLA!$B$23*100000</f>
        <v>200.19227506644799</v>
      </c>
    </row>
    <row r="4441" spans="1:13" s="360" customFormat="1" ht="15.75" thickBot="1" x14ac:dyDescent="0.3">
      <c r="A4441" s="19" t="s">
        <v>40</v>
      </c>
      <c r="B4441" s="2">
        <v>44077</v>
      </c>
      <c r="C4441" s="1">
        <v>272</v>
      </c>
      <c r="D4441" s="39">
        <f t="shared" si="436"/>
        <v>3075</v>
      </c>
      <c r="E4441" s="1"/>
      <c r="F4441" s="39">
        <f t="shared" si="437"/>
        <v>14</v>
      </c>
      <c r="G4441" s="177">
        <f>SUM(C4441,C4417,C4393,C4369,C4345,C4321,C4297,C4273,C4249,C4225,C4201,C4177,C4153,C4129)/POBLA!$B$24*100000</f>
        <v>132.06220023414781</v>
      </c>
      <c r="H4441" s="402">
        <f t="shared" si="430"/>
        <v>4.5860655737704921</v>
      </c>
      <c r="I4441" s="403">
        <f t="shared" si="434"/>
        <v>605.64591009021069</v>
      </c>
      <c r="J4441" s="403">
        <f t="shared" si="435"/>
        <v>229.42857142857142</v>
      </c>
      <c r="K4441" s="403">
        <f>J4441/POBLA!$B$24*100000</f>
        <v>13.538356541302271</v>
      </c>
      <c r="L4441" s="550">
        <f t="shared" si="431"/>
        <v>-1.5411392405063293</v>
      </c>
      <c r="M4441" s="405">
        <f>SUM(C4441,C4417,C4393,C4369,C4345,C4321,C4297)/POBLA!$B$24*100000</f>
        <v>94.768495789115903</v>
      </c>
    </row>
    <row r="4442" spans="1:13" s="360" customFormat="1" x14ac:dyDescent="0.25">
      <c r="A4442" s="361" t="s">
        <v>16</v>
      </c>
      <c r="B4442" s="2">
        <v>44078</v>
      </c>
      <c r="C4442" s="1">
        <v>5682</v>
      </c>
      <c r="D4442" s="39">
        <f>C4442+D4418</f>
        <v>283857</v>
      </c>
      <c r="E4442" s="1">
        <v>175</v>
      </c>
      <c r="F4442" s="39">
        <f t="shared" si="437"/>
        <v>5799</v>
      </c>
      <c r="G4442" s="175">
        <f>SUM(C4442,C4418,C4394,C4370,C4346,C4322,C4298,C4274,C4250,C4226,C4202,C4178,C4154,C4130)/POBLA!$B$1*100000</f>
        <v>449.16120336755745</v>
      </c>
      <c r="H4442" s="300">
        <f t="shared" ref="H4442:H4465" si="438">SUM(C4442,C4418,C4394,C4370,C4346,C4322,C4298,C4274,C4250,C4226,C4202,C4178,C4154,C4130)/SUM(C4106,C4082,C4058,C4034,C4010,C3986,C3962,C3938,C3914,C3890,C3866,C3842,C3818,C3794)</f>
        <v>1.2966016621410352</v>
      </c>
      <c r="I4442" s="301">
        <f>G4442*H4442</f>
        <v>582.38316285564258</v>
      </c>
      <c r="J4442" s="301">
        <f>AVERAGE(C4442,C4418,C4394,C4370,C4346,C4322,C4298)</f>
        <v>5662.4285714285716</v>
      </c>
      <c r="K4442" s="301">
        <f>J4442/POBLA!$B$1*100000</f>
        <v>32.280845193756619</v>
      </c>
      <c r="L4442" s="548">
        <f t="shared" ref="L4442:L4465" si="439">1-SUM(C4442,C4418,C4394,C4370,C4346,C4322,C4298)/SUM(C4274,C4250,C4226,C4202,C4178,C4154,C4130)</f>
        <v>-1.2413476028709347E-2</v>
      </c>
      <c r="M4442" s="400">
        <f>SUM(C4442,C4418,C4394,C4370,C4346,C4322,C4298)/POBLA!$B$1*100000</f>
        <v>225.96591635629633</v>
      </c>
    </row>
    <row r="4443" spans="1:13" s="360" customFormat="1" x14ac:dyDescent="0.25">
      <c r="A4443" s="19" t="s">
        <v>43</v>
      </c>
      <c r="B4443" s="2">
        <v>44078</v>
      </c>
      <c r="C4443" s="1">
        <v>1278</v>
      </c>
      <c r="D4443" s="39">
        <f t="shared" ref="D4443:D4455" si="440">C4443+D4419</f>
        <v>101034</v>
      </c>
      <c r="E4443" s="1">
        <v>43</v>
      </c>
      <c r="F4443" s="39">
        <f t="shared" si="433"/>
        <v>2413</v>
      </c>
      <c r="G4443" s="168">
        <f>SUM(C4443,C4419,C4395,C4371,C4347,C4323,C4299,C4275,C4251,C4227,C4203,C4179,C4155,C4131)/POBLA!$B$2*100000</f>
        <v>592.68849535999914</v>
      </c>
      <c r="H4443" s="256">
        <f t="shared" si="438"/>
        <v>1.5568366214023401</v>
      </c>
      <c r="I4443" s="297">
        <f t="shared" ref="I4443:I4465" si="441">G4443*H4443</f>
        <v>922.71915466029759</v>
      </c>
      <c r="J4443" s="297">
        <f t="shared" ref="J4443:J4465" si="442">AVERAGE(C4443,C4419,C4395,C4371,C4347,C4323,C4299)</f>
        <v>1321</v>
      </c>
      <c r="K4443" s="297">
        <f>J4443/POBLA!$B$2*100000</f>
        <v>42.950326533027535</v>
      </c>
      <c r="L4443" s="549">
        <f t="shared" si="439"/>
        <v>-2.9503451347138832E-2</v>
      </c>
      <c r="M4443" s="401">
        <f>SUM(C4443,C4419,C4395,C4371,C4347,C4323,C4299)/POBLA!$B$2*100000</f>
        <v>300.65228573119276</v>
      </c>
    </row>
    <row r="4444" spans="1:13" s="360" customFormat="1" x14ac:dyDescent="0.25">
      <c r="A4444" s="19" t="s">
        <v>28</v>
      </c>
      <c r="B4444" s="2">
        <v>44078</v>
      </c>
      <c r="C4444" s="1">
        <v>1</v>
      </c>
      <c r="D4444" s="39">
        <f t="shared" si="440"/>
        <v>71</v>
      </c>
      <c r="E4444" s="1"/>
      <c r="F4444" s="39">
        <f t="shared" si="433"/>
        <v>0</v>
      </c>
      <c r="G4444" s="168">
        <f>SUM(C4444,C4420,C4396,C4372,C4348,C4324,C4300,C4276,C4252,C4228,C4204,C4180,C4156,C4132)/POBLA!$B$3*100000</f>
        <v>1.9256784405855987</v>
      </c>
      <c r="H4444" s="256">
        <f t="shared" si="438"/>
        <v>5.8394160583941604E-2</v>
      </c>
      <c r="I4444" s="297">
        <f t="shared" si="441"/>
        <v>0.1124483760925897</v>
      </c>
      <c r="J4444" s="297">
        <f t="shared" si="442"/>
        <v>0.8571428571428571</v>
      </c>
      <c r="K4444" s="297">
        <f>J4444/POBLA!$B$3*100000</f>
        <v>0.2063226900627427</v>
      </c>
      <c r="L4444" s="549">
        <f t="shared" si="439"/>
        <v>-2</v>
      </c>
      <c r="M4444" s="401">
        <f>SUM(C4444,C4420,C4396,C4372,C4348,C4324,C4300)/POBLA!$B$3*100000</f>
        <v>1.444258830439199</v>
      </c>
    </row>
    <row r="4445" spans="1:13" s="360" customFormat="1" x14ac:dyDescent="0.25">
      <c r="A4445" s="19" t="s">
        <v>15</v>
      </c>
      <c r="B4445" s="2">
        <v>44078</v>
      </c>
      <c r="C4445" s="1">
        <v>89</v>
      </c>
      <c r="D4445" s="39">
        <f t="shared" si="440"/>
        <v>5771</v>
      </c>
      <c r="E4445" s="1">
        <f>1+1</f>
        <v>2</v>
      </c>
      <c r="F4445" s="39">
        <f t="shared" si="433"/>
        <v>221</v>
      </c>
      <c r="G4445" s="168">
        <f>SUM(C4445,C4421,C4397,C4373,C4349,C4325,C4301,C4277,C4253,C4229,C4205,C4181,C4157,C4133)/POBLA!$B$4*100000</f>
        <v>84.264462562918155</v>
      </c>
      <c r="H4445" s="256">
        <f t="shared" si="438"/>
        <v>1.4295774647887325</v>
      </c>
      <c r="I4445" s="297">
        <f t="shared" si="441"/>
        <v>120.46257676248159</v>
      </c>
      <c r="J4445" s="297">
        <f t="shared" si="442"/>
        <v>84</v>
      </c>
      <c r="K4445" s="297">
        <f>J4445/POBLA!$B$4*100000</f>
        <v>6.9736106948621925</v>
      </c>
      <c r="L4445" s="549">
        <f t="shared" si="439"/>
        <v>-0.37704918032786883</v>
      </c>
      <c r="M4445" s="401">
        <f>SUM(C4445,C4421,C4397,C4373,C4349,C4325,C4301)/POBLA!$B$4*100000</f>
        <v>48.815274864035345</v>
      </c>
    </row>
    <row r="4446" spans="1:13" s="360" customFormat="1" x14ac:dyDescent="0.25">
      <c r="A4446" s="19" t="s">
        <v>29</v>
      </c>
      <c r="B4446" s="2">
        <v>44078</v>
      </c>
      <c r="C4446" s="1">
        <v>39</v>
      </c>
      <c r="D4446" s="39">
        <f t="shared" si="440"/>
        <v>1101</v>
      </c>
      <c r="E4446" s="1"/>
      <c r="F4446" s="39">
        <f t="shared" si="433"/>
        <v>7</v>
      </c>
      <c r="G4446" s="168">
        <f>SUM(C4446,C4422,C4398,C4374,C4350,C4326,C4302,C4278,C4254,C4230,C4206,C4182,C4158,C4134)/POBLA!$B$5*100000</f>
        <v>101.29338895045832</v>
      </c>
      <c r="H4446" s="256">
        <f t="shared" si="438"/>
        <v>0.20830564784053157</v>
      </c>
      <c r="I4446" s="297">
        <f t="shared" si="441"/>
        <v>21.099985007288161</v>
      </c>
      <c r="J4446" s="297">
        <f t="shared" si="442"/>
        <v>48</v>
      </c>
      <c r="K4446" s="297">
        <f>J4446/POBLA!$B$5*100000</f>
        <v>7.7545178143891542</v>
      </c>
      <c r="L4446" s="549">
        <f t="shared" si="439"/>
        <v>-0.15463917525773185</v>
      </c>
      <c r="M4446" s="401">
        <f>SUM(C4446,C4422,C4398,C4374,C4350,C4326,C4302)/POBLA!$B$5*100000</f>
        <v>54.28162470072408</v>
      </c>
    </row>
    <row r="4447" spans="1:13" s="360" customFormat="1" x14ac:dyDescent="0.25">
      <c r="A4447" s="19" t="s">
        <v>20</v>
      </c>
      <c r="B4447" s="2">
        <v>44078</v>
      </c>
      <c r="C4447" s="1">
        <v>498</v>
      </c>
      <c r="D4447" s="39">
        <f t="shared" si="440"/>
        <v>10341</v>
      </c>
      <c r="E4447" s="1">
        <f>1+4+2</f>
        <v>7</v>
      </c>
      <c r="F4447" s="39">
        <f t="shared" si="433"/>
        <v>146</v>
      </c>
      <c r="G4447" s="168">
        <f>SUM(C4447,C4423,C4399,C4375,C4351,C4327,C4303,C4279,C4255,C4231,C4207,C4183,C4159,C4135)/POBLA!$B$6*100000</f>
        <v>436.0274482267593</v>
      </c>
      <c r="H4447" s="256">
        <f t="shared" si="438"/>
        <v>2.1275576839355681</v>
      </c>
      <c r="I4447" s="297">
        <f t="shared" si="441"/>
        <v>927.67354788165983</v>
      </c>
      <c r="J4447" s="297">
        <f t="shared" si="442"/>
        <v>405.14285714285717</v>
      </c>
      <c r="K4447" s="297">
        <f>J4447/POBLA!$B$6*100000</f>
        <v>36.147617386392156</v>
      </c>
      <c r="L4447" s="549">
        <f t="shared" si="439"/>
        <v>-0.38274012676743041</v>
      </c>
      <c r="M4447" s="401">
        <f>SUM(C4447,C4423,C4399,C4375,C4351,C4327,C4303)/POBLA!$B$6*100000</f>
        <v>253.03332170474508</v>
      </c>
    </row>
    <row r="4448" spans="1:13" s="360" customFormat="1" x14ac:dyDescent="0.25">
      <c r="A4448" s="19" t="s">
        <v>30</v>
      </c>
      <c r="B4448" s="2">
        <v>44078</v>
      </c>
      <c r="C4448" s="1">
        <v>3</v>
      </c>
      <c r="D4448" s="39">
        <f t="shared" si="440"/>
        <v>333</v>
      </c>
      <c r="E4448" s="1"/>
      <c r="F4448" s="39">
        <f t="shared" si="433"/>
        <v>5</v>
      </c>
      <c r="G4448" s="168">
        <f>SUM(C4448,C4424,C4400,C4376,C4352,C4328,C4304,C4280,C4256,C4232,C4208,C4184,C4160,C4136)/POBLA!$B$7*100000</f>
        <v>2.3933305854352538</v>
      </c>
      <c r="H4448" s="256">
        <f t="shared" si="438"/>
        <v>2.3076923076923075</v>
      </c>
      <c r="I4448" s="297">
        <f t="shared" si="441"/>
        <v>5.5230705817736618</v>
      </c>
      <c r="J4448" s="297">
        <f t="shared" si="442"/>
        <v>2.8571428571428572</v>
      </c>
      <c r="K4448" s="297">
        <f>J4448/POBLA!$B$7*100000</f>
        <v>7.597874874397631E-2</v>
      </c>
      <c r="L4448" s="549">
        <f t="shared" si="439"/>
        <v>0.7142857142857143</v>
      </c>
      <c r="M4448" s="401">
        <f>SUM(C4448,C4424,C4400,C4376,C4352,C4328,C4304)/POBLA!$B$7*100000</f>
        <v>0.53185124120783422</v>
      </c>
    </row>
    <row r="4449" spans="1:13" x14ac:dyDescent="0.25">
      <c r="A4449" s="19" t="s">
        <v>31</v>
      </c>
      <c r="B4449" s="2">
        <v>44078</v>
      </c>
      <c r="C4449" s="1">
        <v>166</v>
      </c>
      <c r="D4449" s="39">
        <f t="shared" si="440"/>
        <v>4113</v>
      </c>
      <c r="E4449" s="1">
        <v>1</v>
      </c>
      <c r="F4449" s="39">
        <f t="shared" si="433"/>
        <v>55</v>
      </c>
      <c r="G4449" s="168">
        <f>SUM(C4449,C4425,C4401,C4377,C4353,C4329,C4305,C4281,C4257,C4233,C4209,C4185,C4161,C4137)/POBLA!$B$8*100000</f>
        <v>152.67384868693995</v>
      </c>
      <c r="H4449" s="256">
        <f t="shared" si="438"/>
        <v>2.248671625929862</v>
      </c>
      <c r="I4449" s="297">
        <f t="shared" si="441"/>
        <v>343.31335156383096</v>
      </c>
      <c r="J4449" s="297">
        <f t="shared" si="442"/>
        <v>168.14285714285714</v>
      </c>
      <c r="K4449" s="297">
        <f>J4449/POBLA!$B$8*100000</f>
        <v>12.131860647078607</v>
      </c>
      <c r="L4449" s="549">
        <f t="shared" si="439"/>
        <v>-0.25346112886048999</v>
      </c>
      <c r="M4449" s="401">
        <f>SUM(C4449,C4425,C4401,C4377,C4353,C4329,C4305)/POBLA!$B$8*100000</f>
        <v>84.923024529550247</v>
      </c>
    </row>
    <row r="4450" spans="1:13" s="360" customFormat="1" x14ac:dyDescent="0.25">
      <c r="A4450" s="19" t="s">
        <v>41</v>
      </c>
      <c r="B4450" s="2">
        <v>44078</v>
      </c>
      <c r="C4450" s="1">
        <v>2</v>
      </c>
      <c r="D4450" s="39">
        <f t="shared" si="440"/>
        <v>90</v>
      </c>
      <c r="E4450" s="1"/>
      <c r="F4450" s="39">
        <f>E4450+F4426</f>
        <v>1</v>
      </c>
      <c r="G4450" s="168">
        <f>SUM(C4450,C4426,C4402,C4378,C4354,C4330,C4306,C4282,C4258,C4234,C4210,C4186,C4162,C4138)/POBLA!$B$9*100000</f>
        <v>1.8176019881261019</v>
      </c>
      <c r="H4450" s="256">
        <f t="shared" si="438"/>
        <v>-5.5</v>
      </c>
      <c r="I4450" s="297">
        <f t="shared" si="441"/>
        <v>-9.9968109346935599</v>
      </c>
      <c r="J4450" s="297">
        <f t="shared" si="442"/>
        <v>0.8571428571428571</v>
      </c>
      <c r="K4450" s="297">
        <f>J4450/POBLA!$B$9*100000</f>
        <v>0.14163132375008586</v>
      </c>
      <c r="L4450" s="549">
        <f t="shared" si="439"/>
        <v>-0.19999999999999996</v>
      </c>
      <c r="M4450" s="401">
        <f>SUM(C4450,C4426,C4402,C4378,C4354,C4330,C4306)/POBLA!$B$9*100000</f>
        <v>0.99141926625060106</v>
      </c>
    </row>
    <row r="4451" spans="1:13" s="360" customFormat="1" x14ac:dyDescent="0.25">
      <c r="A4451" s="19" t="s">
        <v>32</v>
      </c>
      <c r="B4451" s="2">
        <v>44078</v>
      </c>
      <c r="C4451" s="1">
        <v>332</v>
      </c>
      <c r="D4451" s="39">
        <f t="shared" si="440"/>
        <v>9549</v>
      </c>
      <c r="E4451" s="1">
        <f>4+1</f>
        <v>5</v>
      </c>
      <c r="F4451" s="39">
        <f t="shared" si="433"/>
        <v>215</v>
      </c>
      <c r="G4451" s="168">
        <f>SUM(C4451,C4427,C4403,C4379,C4355,C4331,C4307,C4283,C4259,C4235,C4211,C4187,C4163,C4139)/POBLA!$B$10*100000</f>
        <v>476.72727697271046</v>
      </c>
      <c r="H4451" s="256">
        <f t="shared" si="438"/>
        <v>1.2917398945518452</v>
      </c>
      <c r="I4451" s="297">
        <f t="shared" si="441"/>
        <v>615.80764248671733</v>
      </c>
      <c r="J4451" s="297">
        <f t="shared" si="442"/>
        <v>275.42857142857144</v>
      </c>
      <c r="K4451" s="297">
        <f>J4451/POBLA!$B$10*100000</f>
        <v>35.729064723163681</v>
      </c>
      <c r="L4451" s="549">
        <f t="shared" si="439"/>
        <v>-0.10360618202633076</v>
      </c>
      <c r="M4451" s="401">
        <f>SUM(C4451,C4427,C4403,C4379,C4355,C4331,C4307)/POBLA!$B$10*100000</f>
        <v>250.10345306214577</v>
      </c>
    </row>
    <row r="4452" spans="1:13" s="360" customFormat="1" x14ac:dyDescent="0.25">
      <c r="A4452" s="19" t="s">
        <v>33</v>
      </c>
      <c r="B4452" s="2">
        <v>44078</v>
      </c>
      <c r="C4452" s="1">
        <v>7</v>
      </c>
      <c r="D4452" s="39">
        <f t="shared" si="440"/>
        <v>221</v>
      </c>
      <c r="E4452" s="1"/>
      <c r="F4452" s="39">
        <f t="shared" si="433"/>
        <v>4</v>
      </c>
      <c r="G4452" s="168">
        <f>SUM(C4452,C4428,C4404,C4380,C4356,C4332,C4308,C4284,C4260,C4236,C4212,C4188,C4164,C4140)/POBLA!$B$11*100000</f>
        <v>9.4858660595712383</v>
      </c>
      <c r="H4452" s="256">
        <f t="shared" si="438"/>
        <v>3.4</v>
      </c>
      <c r="I4452" s="297">
        <f t="shared" si="441"/>
        <v>32.25194460254221</v>
      </c>
      <c r="J4452" s="297">
        <f t="shared" si="442"/>
        <v>3.8571428571428572</v>
      </c>
      <c r="K4452" s="297">
        <f>J4452/POBLA!$B$11*100000</f>
        <v>1.0761276622202667</v>
      </c>
      <c r="L4452" s="549">
        <f t="shared" si="439"/>
        <v>-2.8571428571428572</v>
      </c>
      <c r="M4452" s="401">
        <f>SUM(C4452,C4428,C4404,C4380,C4356,C4332,C4308)/POBLA!$B$11*100000</f>
        <v>7.5328936355418668</v>
      </c>
    </row>
    <row r="4453" spans="1:13" s="360" customFormat="1" x14ac:dyDescent="0.25">
      <c r="A4453" s="19" t="s">
        <v>21</v>
      </c>
      <c r="B4453" s="2">
        <v>44078</v>
      </c>
      <c r="C4453" s="1">
        <v>99</v>
      </c>
      <c r="D4453" s="39">
        <f t="shared" si="440"/>
        <v>1887</v>
      </c>
      <c r="E4453" s="1"/>
      <c r="F4453" s="39">
        <f t="shared" si="433"/>
        <v>39</v>
      </c>
      <c r="G4453" s="168">
        <f>SUM(C4453,C4429,C4405,C4381,C4357,C4333,C4309,C4285,C4261,C4237,C4213,C4189,C4165,C4141)/POBLA!$B$12*100000</f>
        <v>230.98561485626291</v>
      </c>
      <c r="H4453" s="256">
        <f t="shared" si="438"/>
        <v>1.8180000000000001</v>
      </c>
      <c r="I4453" s="297">
        <f t="shared" si="441"/>
        <v>419.93184780868597</v>
      </c>
      <c r="J4453" s="297">
        <f t="shared" si="442"/>
        <v>79.285714285714292</v>
      </c>
      <c r="K4453" s="297">
        <f>J4453/POBLA!$B$12*100000</f>
        <v>20.147260135977671</v>
      </c>
      <c r="L4453" s="549">
        <f t="shared" si="439"/>
        <v>-0.56779661016949157</v>
      </c>
      <c r="M4453" s="401">
        <f>SUM(C4453,C4429,C4405,C4381,C4357,C4333,C4309)/POBLA!$B$12*100000</f>
        <v>141.03082095184371</v>
      </c>
    </row>
    <row r="4454" spans="1:13" s="360" customFormat="1" x14ac:dyDescent="0.25">
      <c r="A4454" s="19" t="s">
        <v>17</v>
      </c>
      <c r="B4454" s="2">
        <v>44078</v>
      </c>
      <c r="C4454" s="1">
        <v>653</v>
      </c>
      <c r="D4454" s="39">
        <f t="shared" si="440"/>
        <v>8801</v>
      </c>
      <c r="E4454" s="1">
        <f>1+1</f>
        <v>2</v>
      </c>
      <c r="F4454" s="39">
        <f t="shared" si="433"/>
        <v>88</v>
      </c>
      <c r="G4454" s="168">
        <f>SUM(C4454,C4430,C4406,C4382,C4358,C4334,C4310,C4286,C4262,C4238,C4214,C4190,C4166,C4142)/POBLA!$B$13*100000</f>
        <v>228.55414507485665</v>
      </c>
      <c r="H4454" s="256">
        <f t="shared" si="438"/>
        <v>1.9490145672664954</v>
      </c>
      <c r="I4454" s="297">
        <f t="shared" si="441"/>
        <v>445.45535816003553</v>
      </c>
      <c r="J4454" s="297">
        <f t="shared" si="442"/>
        <v>408.28571428571428</v>
      </c>
      <c r="K4454" s="297">
        <f>J4454/POBLA!$B$13*100000</f>
        <v>20.513385881479138</v>
      </c>
      <c r="L4454" s="549">
        <f t="shared" si="439"/>
        <v>-0.69012418687167365</v>
      </c>
      <c r="M4454" s="401">
        <f>SUM(C4454,C4430,C4406,C4382,C4358,C4334,C4310)/POBLA!$B$13*100000</f>
        <v>143.59370117035397</v>
      </c>
    </row>
    <row r="4455" spans="1:13" s="360" customFormat="1" x14ac:dyDescent="0.25">
      <c r="A4455" s="19" t="s">
        <v>23</v>
      </c>
      <c r="B4455" s="2">
        <v>44078</v>
      </c>
      <c r="C4455" s="1">
        <v>1</v>
      </c>
      <c r="D4455" s="39">
        <f t="shared" si="440"/>
        <v>65</v>
      </c>
      <c r="E4455" s="1"/>
      <c r="F4455" s="39">
        <f t="shared" si="433"/>
        <v>2</v>
      </c>
      <c r="G4455" s="168">
        <f>SUM(C4455,C4431,C4407,C4383,C4359,C4335,C4311,C4287,C4263,C4239,C4215,C4191,C4167,C4143)/POBLA!$B$14*100000</f>
        <v>0.55498559415964877</v>
      </c>
      <c r="H4455" s="256">
        <f t="shared" si="438"/>
        <v>1</v>
      </c>
      <c r="I4455" s="297">
        <f t="shared" si="441"/>
        <v>0.55498559415964877</v>
      </c>
      <c r="J4455" s="297">
        <f t="shared" si="442"/>
        <v>0.8571428571428571</v>
      </c>
      <c r="K4455" s="297">
        <f>J4455/POBLA!$B$14*100000</f>
        <v>6.7957419693018203E-2</v>
      </c>
      <c r="L4455" s="549">
        <f t="shared" si="439"/>
        <v>-5</v>
      </c>
      <c r="M4455" s="401">
        <f>SUM(C4455,C4431,C4407,C4383,C4359,C4335,C4311)/POBLA!$B$14*100000</f>
        <v>0.47570193785112752</v>
      </c>
    </row>
    <row r="4456" spans="1:13" s="360" customFormat="1" x14ac:dyDescent="0.25">
      <c r="A4456" s="19" t="s">
        <v>19</v>
      </c>
      <c r="B4456" s="2">
        <v>44078</v>
      </c>
      <c r="C4456" s="1">
        <v>73</v>
      </c>
      <c r="D4456" s="39">
        <f>C4456+D4432</f>
        <v>3471</v>
      </c>
      <c r="E4456" s="1"/>
      <c r="F4456" s="39">
        <f t="shared" si="433"/>
        <v>29</v>
      </c>
      <c r="G4456" s="168">
        <f>SUM(C4456,C4432,C4408,C4384,C4360,C4336,C4312,C4288,C4264,C4240,C4216,C4192,C4168,C4144)/POBLA!$B$15*100000</f>
        <v>211.42763347122309</v>
      </c>
      <c r="H4456" s="256">
        <f t="shared" si="438"/>
        <v>2.1633281972265022</v>
      </c>
      <c r="I4456" s="297">
        <f t="shared" si="441"/>
        <v>457.38736116116672</v>
      </c>
      <c r="J4456" s="297">
        <f t="shared" si="442"/>
        <v>100.42857142857143</v>
      </c>
      <c r="K4456" s="297">
        <f>J4456/POBLA!$B$15*100000</f>
        <v>15.123486602591559</v>
      </c>
      <c r="L4456" s="549">
        <f t="shared" si="439"/>
        <v>-2.8530670470756636E-3</v>
      </c>
      <c r="M4456" s="401">
        <f>SUM(C4456,C4432,C4408,C4384,C4360,C4336,C4312)/POBLA!$B$15*100000</f>
        <v>105.86440621814091</v>
      </c>
    </row>
    <row r="4457" spans="1:13" s="360" customFormat="1" x14ac:dyDescent="0.25">
      <c r="A4457" s="19" t="s">
        <v>18</v>
      </c>
      <c r="B4457" s="2">
        <v>44078</v>
      </c>
      <c r="C4457" s="1">
        <v>262</v>
      </c>
      <c r="D4457" s="39">
        <f>C4457+D4433</f>
        <v>6768</v>
      </c>
      <c r="E4457" s="1">
        <f>1+1+3+2</f>
        <v>7</v>
      </c>
      <c r="F4457" s="39">
        <f t="shared" si="433"/>
        <v>118</v>
      </c>
      <c r="G4457" s="168">
        <f>SUM(C4457,C4433,C4409,C4385,C4361,C4337,C4313,C4289,C4265,C4241,C4217,C4193,C4169,C4145)/POBLA!$B$16*100000</f>
        <v>307.91455437995745</v>
      </c>
      <c r="H4457" s="256">
        <f t="shared" si="438"/>
        <v>1.3581120943952802</v>
      </c>
      <c r="I4457" s="297">
        <f t="shared" si="441"/>
        <v>418.18248034375341</v>
      </c>
      <c r="J4457" s="297">
        <f t="shared" si="442"/>
        <v>168.14285714285714</v>
      </c>
      <c r="K4457" s="297">
        <f>J4457/POBLA!$B$16*100000</f>
        <v>22.490718040536798</v>
      </c>
      <c r="L4457" s="549">
        <f t="shared" si="439"/>
        <v>-4.6222222222222165E-2</v>
      </c>
      <c r="M4457" s="401">
        <f>SUM(C4457,C4433,C4409,C4385,C4361,C4337,C4313)/POBLA!$B$16*100000</f>
        <v>157.43502628375757</v>
      </c>
    </row>
    <row r="4458" spans="1:13" s="360" customFormat="1" x14ac:dyDescent="0.25">
      <c r="A4458" s="19" t="s">
        <v>34</v>
      </c>
      <c r="B4458" s="2">
        <v>44078</v>
      </c>
      <c r="C4458" s="1">
        <v>269</v>
      </c>
      <c r="D4458" s="39">
        <f>C4458+D4434</f>
        <v>4197</v>
      </c>
      <c r="E4458" s="1">
        <f>5+3</f>
        <v>8</v>
      </c>
      <c r="F4458" s="39">
        <f>E4458+F4434</f>
        <v>55</v>
      </c>
      <c r="G4458" s="168">
        <f>SUM(C4458,C4434,C4410,C4386,C4362,C4338,C4314,C4290,C4266,C4242,C4218,C4194,C4170,C4146)/POBLA!$B$17*100000</f>
        <v>183.02481681722159</v>
      </c>
      <c r="H4458" s="256">
        <f t="shared" si="438"/>
        <v>2.3235294117647061</v>
      </c>
      <c r="I4458" s="297">
        <f t="shared" si="441"/>
        <v>425.26354495766196</v>
      </c>
      <c r="J4458" s="297">
        <f t="shared" si="442"/>
        <v>209.71428571428572</v>
      </c>
      <c r="K4458" s="297">
        <f>J4458/POBLA!$B$17*100000</f>
        <v>14.723022143004075</v>
      </c>
      <c r="L4458" s="549">
        <f t="shared" si="439"/>
        <v>-0.28884986830553117</v>
      </c>
      <c r="M4458" s="401">
        <f>SUM(C4458,C4434,C4410,C4386,C4362,C4338,C4314)/POBLA!$B$17*100000</f>
        <v>103.0611550010285</v>
      </c>
    </row>
    <row r="4459" spans="1:13" s="360" customFormat="1" x14ac:dyDescent="0.25">
      <c r="A4459" s="19" t="s">
        <v>35</v>
      </c>
      <c r="B4459" s="2">
        <v>44078</v>
      </c>
      <c r="C4459" s="1">
        <v>29</v>
      </c>
      <c r="D4459" s="39">
        <f t="shared" ref="D4459:D4465" si="443">C4459+D4435</f>
        <v>358</v>
      </c>
      <c r="E4459" s="1"/>
      <c r="F4459" s="39">
        <f>E4459+F4435</f>
        <v>0</v>
      </c>
      <c r="G4459" s="168">
        <f>SUM(C4459,C4435,C4411,C4387,C4363,C4339,C4315,C4291,C4267,C4243,C4219,C4195,C4171,C4147)/POBLA!$B$18*100000</f>
        <v>41.217741037381423</v>
      </c>
      <c r="H4459" s="256">
        <f t="shared" si="438"/>
        <v>23</v>
      </c>
      <c r="I4459" s="297">
        <f t="shared" si="441"/>
        <v>948.00804385977267</v>
      </c>
      <c r="J4459" s="297">
        <f t="shared" si="442"/>
        <v>23.571428571428573</v>
      </c>
      <c r="K4459" s="297">
        <f>J4459/POBLA!$B$18*100000</f>
        <v>3.0172703066406097</v>
      </c>
      <c r="L4459" s="549">
        <f t="shared" si="439"/>
        <v>-5.0955414012738842E-2</v>
      </c>
      <c r="M4459" s="401">
        <f>SUM(C4459,C4435,C4411,C4387,C4363,C4339,C4315)/POBLA!$B$18*100000</f>
        <v>21.120892146484266</v>
      </c>
    </row>
    <row r="4460" spans="1:13" s="360" customFormat="1" x14ac:dyDescent="0.25">
      <c r="A4460" s="19" t="s">
        <v>36</v>
      </c>
      <c r="B4460" s="2">
        <v>44078</v>
      </c>
      <c r="C4460" s="1">
        <v>15</v>
      </c>
      <c r="D4460" s="39">
        <f t="shared" si="443"/>
        <v>210</v>
      </c>
      <c r="E4460" s="1"/>
      <c r="F4460" s="39">
        <f>E4460+F4436</f>
        <v>0</v>
      </c>
      <c r="G4460" s="168">
        <f>SUM(C4460,C4436,C4412,C4388,C4364,C4340,C4316,C4292,C4268,C4244,C4220,C4196,C4172,C4148)/POBLA!$B$19*100000</f>
        <v>33.639697203380493</v>
      </c>
      <c r="H4460" s="256">
        <f t="shared" si="438"/>
        <v>28.5</v>
      </c>
      <c r="I4460" s="297">
        <f t="shared" si="441"/>
        <v>958.73137029634404</v>
      </c>
      <c r="J4460" s="297">
        <f t="shared" si="442"/>
        <v>21.285714285714285</v>
      </c>
      <c r="K4460" s="297">
        <f>J4460/POBLA!$B$19*100000</f>
        <v>4.1873975633280649</v>
      </c>
      <c r="L4460" s="549">
        <f t="shared" si="439"/>
        <v>-5.7727272727272725</v>
      </c>
      <c r="M4460" s="401">
        <f>SUM(C4460,C4436,C4412,C4388,C4364,C4340,C4316)/POBLA!$B$19*100000</f>
        <v>29.311782943296453</v>
      </c>
    </row>
    <row r="4461" spans="1:13" s="360" customFormat="1" x14ac:dyDescent="0.25">
      <c r="A4461" s="19" t="s">
        <v>37</v>
      </c>
      <c r="B4461" s="2">
        <v>44078</v>
      </c>
      <c r="C4461" s="1">
        <v>67</v>
      </c>
      <c r="D4461" s="39">
        <f t="shared" si="443"/>
        <v>2029</v>
      </c>
      <c r="E4461" s="1">
        <v>1</v>
      </c>
      <c r="F4461" s="39">
        <f t="shared" ref="F4461:F4466" si="444">E4461+F4437</f>
        <v>16</v>
      </c>
      <c r="G4461" s="168">
        <f>SUM(C4461,C4437,C4413,C4389,C4365,C4341,C4317,C4293,C4269,C4245,C4221,C4197,C4173,C4149)/POBLA!$B$20*100000</f>
        <v>214.11109713479431</v>
      </c>
      <c r="H4461" s="256">
        <f t="shared" si="438"/>
        <v>1.4393382352941178</v>
      </c>
      <c r="I4461" s="297">
        <f t="shared" si="441"/>
        <v>308.17828870688226</v>
      </c>
      <c r="J4461" s="297">
        <f t="shared" si="442"/>
        <v>58.714285714285715</v>
      </c>
      <c r="K4461" s="297">
        <f>J4461/POBLA!$B$20*100000</f>
        <v>16.055402467141118</v>
      </c>
      <c r="L4461" s="549">
        <f t="shared" si="439"/>
        <v>-0.10483870967741926</v>
      </c>
      <c r="M4461" s="401">
        <f>SUM(C4461,C4437,C4413,C4389,C4365,C4341,C4317)/POBLA!$B$20*100000</f>
        <v>112.38781726998781</v>
      </c>
    </row>
    <row r="4462" spans="1:13" s="360" customFormat="1" x14ac:dyDescent="0.25">
      <c r="A4462" s="19" t="s">
        <v>22</v>
      </c>
      <c r="B4462" s="2">
        <v>44078</v>
      </c>
      <c r="C4462" s="1">
        <v>713</v>
      </c>
      <c r="D4462" s="39">
        <f t="shared" si="443"/>
        <v>10806</v>
      </c>
      <c r="E4462" s="1">
        <f>2+2+2+1</f>
        <v>7</v>
      </c>
      <c r="F4462" s="39">
        <f t="shared" si="444"/>
        <v>113</v>
      </c>
      <c r="G4462" s="168">
        <f>SUM(C4462,C4438,C4414,C4390,C4366,C4342,C4318,C4294,C4270,C4246,C4222,C4198,C4174,C4150)/POBLA!$B$21*100000</f>
        <v>183.54730690772413</v>
      </c>
      <c r="H4462" s="256">
        <f t="shared" si="438"/>
        <v>2.7012068248023304</v>
      </c>
      <c r="I4462" s="297">
        <f t="shared" si="441"/>
        <v>495.79923809323236</v>
      </c>
      <c r="J4462" s="297">
        <f t="shared" si="442"/>
        <v>580.71428571428567</v>
      </c>
      <c r="K4462" s="297">
        <f>J4462/POBLA!$B$21*100000</f>
        <v>16.420974152780744</v>
      </c>
      <c r="L4462" s="549">
        <f t="shared" si="439"/>
        <v>-0.67559769167353667</v>
      </c>
      <c r="M4462" s="401">
        <f>SUM(C4462,C4438,C4414,C4390,C4366,C4342,C4318)/POBLA!$B$21*100000</f>
        <v>114.94681906946519</v>
      </c>
    </row>
    <row r="4463" spans="1:13" s="360" customFormat="1" x14ac:dyDescent="0.25">
      <c r="A4463" s="19" t="s">
        <v>38</v>
      </c>
      <c r="B4463" s="2">
        <v>44078</v>
      </c>
      <c r="C4463" s="1">
        <v>57</v>
      </c>
      <c r="D4463" s="39">
        <f t="shared" si="443"/>
        <v>1152</v>
      </c>
      <c r="E4463" s="1"/>
      <c r="F4463" s="39">
        <f t="shared" si="444"/>
        <v>13</v>
      </c>
      <c r="G4463" s="168">
        <f>SUM(C4463,C4439,C4415,C4391,C4367,C4343,C4319,C4295,C4271,C4247,C4223,C4199,C4175,C4151)/POBLA!$B$22*100000</f>
        <v>71.24509231708052</v>
      </c>
      <c r="H4463" s="256">
        <f t="shared" si="438"/>
        <v>2.0028735632183907</v>
      </c>
      <c r="I4463" s="297">
        <f t="shared" si="441"/>
        <v>142.69491191093425</v>
      </c>
      <c r="J4463" s="297">
        <f t="shared" si="442"/>
        <v>51.857142857142854</v>
      </c>
      <c r="K4463" s="297">
        <f>J4463/POBLA!$B$22*100000</f>
        <v>5.3006699141422891</v>
      </c>
      <c r="L4463" s="549">
        <f t="shared" si="439"/>
        <v>-8.6826347305389184E-2</v>
      </c>
      <c r="M4463" s="401">
        <f>SUM(C4463,C4439,C4415,C4391,C4367,C4343,C4319)/POBLA!$B$22*100000</f>
        <v>37.10468939899603</v>
      </c>
    </row>
    <row r="4464" spans="1:13" s="360" customFormat="1" x14ac:dyDescent="0.25">
      <c r="A4464" s="19" t="s">
        <v>39</v>
      </c>
      <c r="B4464" s="2">
        <v>44078</v>
      </c>
      <c r="C4464" s="1">
        <v>39</v>
      </c>
      <c r="D4464" s="39">
        <f t="shared" si="443"/>
        <v>2272</v>
      </c>
      <c r="E4464" s="1">
        <f>1+1+1</f>
        <v>3</v>
      </c>
      <c r="F4464" s="39">
        <f t="shared" si="444"/>
        <v>35</v>
      </c>
      <c r="G4464" s="168">
        <f>SUM(C4464,C4440,C4416,C4392,C4368,C4344,C4320,C4296,C4272,C4248,C4224,C4200,C4176,C4152)/POBLA!$B$23*100000</f>
        <v>359.66747723802524</v>
      </c>
      <c r="H4464" s="256">
        <f t="shared" si="438"/>
        <v>0.86295793758480321</v>
      </c>
      <c r="I4464" s="297">
        <f t="shared" si="441"/>
        <v>310.37790437365544</v>
      </c>
      <c r="J4464" s="297">
        <f t="shared" si="442"/>
        <v>52</v>
      </c>
      <c r="K4464" s="297">
        <f>J4464/POBLA!$B$23*100000</f>
        <v>29.406774868517783</v>
      </c>
      <c r="L4464" s="549">
        <f t="shared" si="439"/>
        <v>-0.33823529411764697</v>
      </c>
      <c r="M4464" s="401">
        <f>SUM(C4464,C4440,C4416,C4392,C4368,C4344,C4320)/POBLA!$B$23*100000</f>
        <v>205.84742407962452</v>
      </c>
    </row>
    <row r="4465" spans="1:13" s="360" customFormat="1" ht="15.75" thickBot="1" x14ac:dyDescent="0.3">
      <c r="A4465" s="19" t="s">
        <v>40</v>
      </c>
      <c r="B4465" s="2">
        <v>44078</v>
      </c>
      <c r="C4465" s="1">
        <v>310</v>
      </c>
      <c r="D4465" s="39">
        <f t="shared" si="443"/>
        <v>3385</v>
      </c>
      <c r="E4465" s="1"/>
      <c r="F4465" s="39">
        <f t="shared" si="444"/>
        <v>14</v>
      </c>
      <c r="G4465" s="177">
        <f>SUM(C4465,C4441,C4417,C4393,C4369,C4345,C4321,C4297,C4273,C4249,C4225,C4201,C4177,C4153)/POBLA!$B$24*100000</f>
        <v>146.40139355715849</v>
      </c>
      <c r="H4465" s="402">
        <f t="shared" si="438"/>
        <v>4.5439560439560438</v>
      </c>
      <c r="I4465" s="403">
        <f t="shared" si="441"/>
        <v>665.24149709763776</v>
      </c>
      <c r="J4465" s="403">
        <f t="shared" si="442"/>
        <v>254.42857142857142</v>
      </c>
      <c r="K4465" s="403">
        <f>J4465/POBLA!$B$24*100000</f>
        <v>15.013582191817775</v>
      </c>
      <c r="L4465" s="550">
        <f t="shared" si="439"/>
        <v>-1.5442857142857145</v>
      </c>
      <c r="M4465" s="405">
        <f>SUM(C4465,C4441,C4417,C4393,C4369,C4345,C4321)/POBLA!$B$24*100000</f>
        <v>105.09507534272441</v>
      </c>
    </row>
    <row r="4466" spans="1:13" s="360" customFormat="1" x14ac:dyDescent="0.25">
      <c r="A4466" s="361" t="s">
        <v>16</v>
      </c>
      <c r="B4466" s="2">
        <v>44079</v>
      </c>
      <c r="C4466" s="1">
        <v>5320</v>
      </c>
      <c r="D4466" s="39">
        <f>C4466+D4442</f>
        <v>289177</v>
      </c>
      <c r="E4466" s="1">
        <f>24+17+1+14+15</f>
        <v>71</v>
      </c>
      <c r="F4466" s="39">
        <f t="shared" si="444"/>
        <v>5870</v>
      </c>
      <c r="G4466" s="175">
        <f>SUM(C4466,C4442,C4418,C4394,C4370,C4346,C4322,C4298,C4274,C4250,C4226,C4202,C4178,C4154)/POBLA!$B$1*100000</f>
        <v>451.90902917888866</v>
      </c>
      <c r="H4466" s="300">
        <f t="shared" ref="H4466:H4489" si="445">SUM(C4466,C4442,C4418,C4394,C4370,C4346,C4322,C4298,C4274,C4250,C4226,C4202,C4178,C4154)/SUM(C4130,C4106,C4082,C4058,C4034,C4010,C3986,C3962,C3938,C3914,C3890,C3866,C3842,C3818)</f>
        <v>1.2878960194963445</v>
      </c>
      <c r="I4466" s="301">
        <f>G4466*H4466</f>
        <v>582.01183985394812</v>
      </c>
      <c r="J4466" s="301">
        <f>AVERAGE(C4466,C4442,C4418,C4394,C4370,C4346,C4322)</f>
        <v>5630.2857142857147</v>
      </c>
      <c r="K4466" s="301">
        <f>J4466/POBLA!$B$1*100000</f>
        <v>32.097602512206677</v>
      </c>
      <c r="L4466" s="548">
        <f t="shared" ref="L4466:L4489" si="446">1-SUM(C4466,C4442,C4418,C4394,C4370,C4346,C4322)/SUM(C4298,C4274,C4250,C4226,C4202,C4178,C4154)</f>
        <v>1.118972351849068E-2</v>
      </c>
      <c r="M4466" s="400">
        <f>SUM(C4466,C4442,C4418,C4394,C4370,C4346,C4322)/POBLA!$B$1*100000</f>
        <v>224.6832175854467</v>
      </c>
    </row>
    <row r="4467" spans="1:13" s="360" customFormat="1" x14ac:dyDescent="0.25">
      <c r="A4467" s="19" t="s">
        <v>43</v>
      </c>
      <c r="B4467" s="2">
        <v>44079</v>
      </c>
      <c r="C4467" s="1">
        <v>1084</v>
      </c>
      <c r="D4467" s="39">
        <f t="shared" ref="D4467:D4479" si="447">C4467+D4443</f>
        <v>102118</v>
      </c>
      <c r="E4467" s="1">
        <f>6+4+3</f>
        <v>13</v>
      </c>
      <c r="F4467" s="39">
        <f t="shared" ref="F4467:F4505" si="448">E4467+F4443</f>
        <v>2426</v>
      </c>
      <c r="G4467" s="168">
        <f>SUM(C4467,C4443,C4419,C4395,C4371,C4347,C4323,C4299,C4275,C4251,C4227,C4203,C4179,C4155)/POBLA!$B$2*100000</f>
        <v>592.16827944438342</v>
      </c>
      <c r="H4467" s="256">
        <f t="shared" si="445"/>
        <v>1.4220018738288569</v>
      </c>
      <c r="I4467" s="297">
        <f t="shared" ref="I4467:I4489" si="449">G4467*H4467</f>
        <v>842.06440299192343</v>
      </c>
      <c r="J4467" s="297">
        <f t="shared" ref="J4467:J4489" si="450">AVERAGE(C4467,C4443,C4419,C4395,C4371,C4347,C4323)</f>
        <v>1305.1428571428571</v>
      </c>
      <c r="K4467" s="297">
        <f>J4467/POBLA!$B$2*100000</f>
        <v>42.434755402372609</v>
      </c>
      <c r="L4467" s="549">
        <f t="shared" si="446"/>
        <v>-6.4999449157210343E-3</v>
      </c>
      <c r="M4467" s="401">
        <f>SUM(C4467,C4443,C4419,C4395,C4371,C4347,C4323)/POBLA!$B$2*100000</f>
        <v>297.04328781660826</v>
      </c>
    </row>
    <row r="4468" spans="1:13" s="360" customFormat="1" x14ac:dyDescent="0.25">
      <c r="A4468" s="19" t="s">
        <v>28</v>
      </c>
      <c r="B4468" s="2">
        <v>44079</v>
      </c>
      <c r="C4468" s="1">
        <v>10</v>
      </c>
      <c r="D4468" s="39">
        <f t="shared" si="447"/>
        <v>81</v>
      </c>
      <c r="E4468" s="1"/>
      <c r="F4468" s="39">
        <f t="shared" si="448"/>
        <v>0</v>
      </c>
      <c r="G4468" s="168">
        <f>SUM(C4468,C4444,C4420,C4396,C4372,C4348,C4324,C4300,C4276,C4252,C4228,C4204,C4180,C4156)/POBLA!$B$3*100000</f>
        <v>4.0920666862443973</v>
      </c>
      <c r="H4468" s="256">
        <f t="shared" si="445"/>
        <v>0.20238095238095238</v>
      </c>
      <c r="I4468" s="297">
        <f t="shared" si="449"/>
        <v>0.828156353168509</v>
      </c>
      <c r="J4468" s="297">
        <f t="shared" si="450"/>
        <v>2.2857142857142856</v>
      </c>
      <c r="K4468" s="297">
        <f>J4468/POBLA!$B$3*100000</f>
        <v>0.55019384016731387</v>
      </c>
      <c r="L4468" s="549">
        <f t="shared" si="446"/>
        <v>-15</v>
      </c>
      <c r="M4468" s="401">
        <f>SUM(C4468,C4444,C4420,C4396,C4372,C4348,C4324)/POBLA!$B$3*100000</f>
        <v>3.8513568811711973</v>
      </c>
    </row>
    <row r="4469" spans="1:13" s="360" customFormat="1" x14ac:dyDescent="0.25">
      <c r="A4469" s="19" t="s">
        <v>15</v>
      </c>
      <c r="B4469" s="2">
        <v>44079</v>
      </c>
      <c r="C4469" s="1">
        <v>141</v>
      </c>
      <c r="D4469" s="39">
        <f t="shared" si="447"/>
        <v>5912</v>
      </c>
      <c r="E4469" s="1">
        <f>1</f>
        <v>1</v>
      </c>
      <c r="F4469" s="39">
        <f t="shared" si="448"/>
        <v>222</v>
      </c>
      <c r="G4469" s="168">
        <f>SUM(C4469,C4445,C4421,C4397,C4373,C4349,C4325,C4301,C4277,C4253,C4229,C4205,C4181,C4157)/POBLA!$B$4*100000</f>
        <v>89.494670584064806</v>
      </c>
      <c r="H4469" s="256">
        <f t="shared" si="445"/>
        <v>1.3963730569948187</v>
      </c>
      <c r="I4469" s="297">
        <f t="shared" si="449"/>
        <v>124.96794674821486</v>
      </c>
      <c r="J4469" s="297">
        <f t="shared" si="450"/>
        <v>90.142857142857139</v>
      </c>
      <c r="K4469" s="297">
        <f>J4469/POBLA!$B$4*100000</f>
        <v>7.483585626629325</v>
      </c>
      <c r="L4469" s="549">
        <f t="shared" si="446"/>
        <v>-0.4116331096196868</v>
      </c>
      <c r="M4469" s="401">
        <f>SUM(C4469,C4445,C4421,C4397,C4373,C4349,C4325)/POBLA!$B$4*100000</f>
        <v>52.38509938640528</v>
      </c>
    </row>
    <row r="4470" spans="1:13" s="360" customFormat="1" x14ac:dyDescent="0.25">
      <c r="A4470" s="19" t="s">
        <v>29</v>
      </c>
      <c r="B4470" s="2">
        <v>44079</v>
      </c>
      <c r="C4470" s="1">
        <v>77</v>
      </c>
      <c r="D4470" s="39">
        <f t="shared" si="447"/>
        <v>1178</v>
      </c>
      <c r="E4470" s="1"/>
      <c r="F4470" s="39">
        <f t="shared" si="448"/>
        <v>7</v>
      </c>
      <c r="G4470" s="168">
        <f>SUM(C4470,C4446,C4422,C4398,C4374,C4350,C4326,C4302,C4278,C4254,C4230,C4206,C4182,C4158)/POBLA!$B$5*100000</f>
        <v>107.91703958358239</v>
      </c>
      <c r="H4470" s="256">
        <f t="shared" si="445"/>
        <v>0.32115384615384618</v>
      </c>
      <c r="I4470" s="297">
        <f t="shared" si="449"/>
        <v>34.657972327804352</v>
      </c>
      <c r="J4470" s="297">
        <f t="shared" si="450"/>
        <v>52.857142857142854</v>
      </c>
      <c r="K4470" s="297">
        <f>J4470/POBLA!$B$5*100000</f>
        <v>8.5392011646547221</v>
      </c>
      <c r="L4470" s="549">
        <f t="shared" si="446"/>
        <v>-0.24161073825503365</v>
      </c>
      <c r="M4470" s="401">
        <f>SUM(C4470,C4446,C4422,C4398,C4374,C4350,C4326)/POBLA!$B$5*100000</f>
        <v>59.774408152583064</v>
      </c>
    </row>
    <row r="4471" spans="1:13" s="360" customFormat="1" x14ac:dyDescent="0.25">
      <c r="A4471" s="19" t="s">
        <v>20</v>
      </c>
      <c r="B4471" s="2">
        <v>44079</v>
      </c>
      <c r="C4471" s="1">
        <v>424</v>
      </c>
      <c r="D4471" s="39">
        <f t="shared" si="447"/>
        <v>10765</v>
      </c>
      <c r="E4471" s="1">
        <f>1+4+3</f>
        <v>8</v>
      </c>
      <c r="F4471" s="39">
        <f t="shared" si="448"/>
        <v>154</v>
      </c>
      <c r="G4471" s="168">
        <f>SUM(C4471,C4447,C4423,C4399,C4375,C4351,C4327,C4303,C4279,C4255,C4231,C4207,C4183,C4159)/POBLA!$B$6*100000</f>
        <v>454.31793868849149</v>
      </c>
      <c r="H4471" s="256">
        <f t="shared" si="445"/>
        <v>2.1521555367709215</v>
      </c>
      <c r="I4471" s="297">
        <f t="shared" si="449"/>
        <v>977.76286720278904</v>
      </c>
      <c r="J4471" s="297">
        <f t="shared" si="450"/>
        <v>417.57142857142856</v>
      </c>
      <c r="K4471" s="297">
        <f>J4471/POBLA!$B$6*100000</f>
        <v>37.256518201842127</v>
      </c>
      <c r="L4471" s="549">
        <f t="shared" si="446"/>
        <v>-0.34762563393268797</v>
      </c>
      <c r="M4471" s="401">
        <f>SUM(C4471,C4447,C4423,C4399,C4375,C4351,C4327)/POBLA!$B$6*100000</f>
        <v>260.79562741289487</v>
      </c>
    </row>
    <row r="4472" spans="1:13" s="360" customFormat="1" x14ac:dyDescent="0.25">
      <c r="A4472" s="19" t="s">
        <v>30</v>
      </c>
      <c r="B4472" s="2">
        <v>44079</v>
      </c>
      <c r="C4472" s="1">
        <v>2</v>
      </c>
      <c r="D4472" s="39">
        <f t="shared" si="447"/>
        <v>335</v>
      </c>
      <c r="E4472" s="1"/>
      <c r="F4472" s="39">
        <f t="shared" si="448"/>
        <v>5</v>
      </c>
      <c r="G4472" s="168">
        <f>SUM(C4472,C4448,C4424,C4400,C4376,C4352,C4328,C4304,C4280,C4256,C4232,C4208,C4184,C4160)/POBLA!$B$7*100000</f>
        <v>2.3401454613144703</v>
      </c>
      <c r="H4472" s="256">
        <f t="shared" si="445"/>
        <v>2.2000000000000002</v>
      </c>
      <c r="I4472" s="297">
        <f t="shared" si="449"/>
        <v>5.1483200148918353</v>
      </c>
      <c r="J4472" s="297">
        <f t="shared" si="450"/>
        <v>2</v>
      </c>
      <c r="K4472" s="297">
        <f>J4472/POBLA!$B$7*100000</f>
        <v>5.3185124120783411E-2</v>
      </c>
      <c r="L4472" s="549">
        <f t="shared" si="446"/>
        <v>0.81081081081081074</v>
      </c>
      <c r="M4472" s="401">
        <f>SUM(C4472,C4448,C4424,C4400,C4376,C4352,C4328)/POBLA!$B$7*100000</f>
        <v>0.37229586884548393</v>
      </c>
    </row>
    <row r="4473" spans="1:13" x14ac:dyDescent="0.25">
      <c r="A4473" s="19" t="s">
        <v>31</v>
      </c>
      <c r="B4473" s="2">
        <v>44079</v>
      </c>
      <c r="C4473" s="1">
        <v>88</v>
      </c>
      <c r="D4473" s="39">
        <f t="shared" si="447"/>
        <v>4201</v>
      </c>
      <c r="E4473" s="1">
        <f>2+1+1</f>
        <v>4</v>
      </c>
      <c r="F4473" s="39">
        <f t="shared" si="448"/>
        <v>59</v>
      </c>
      <c r="G4473" s="168">
        <f>SUM(C4473,C4449,C4425,C4401,C4377,C4353,C4329,C4305,C4281,C4257,C4233,C4209,C4185,C4161)/POBLA!$B$8*100000</f>
        <v>149.28269987395029</v>
      </c>
      <c r="H4473" s="256">
        <f t="shared" si="445"/>
        <v>1.9799043062200956</v>
      </c>
      <c r="I4473" s="297">
        <f t="shared" si="449"/>
        <v>295.5654603245963</v>
      </c>
      <c r="J4473" s="297">
        <f t="shared" si="450"/>
        <v>162.85714285714286</v>
      </c>
      <c r="K4473" s="297">
        <f>J4473/POBLA!$B$8*100000</f>
        <v>11.750485248657276</v>
      </c>
      <c r="L4473" s="549">
        <f t="shared" si="446"/>
        <v>-0.22712594187298163</v>
      </c>
      <c r="M4473" s="401">
        <f>SUM(C4473,C4449,C4425,C4401,C4377,C4353,C4329)/POBLA!$B$8*100000</f>
        <v>82.25339674060092</v>
      </c>
    </row>
    <row r="4474" spans="1:13" s="360" customFormat="1" x14ac:dyDescent="0.25">
      <c r="A4474" s="19" t="s">
        <v>41</v>
      </c>
      <c r="B4474" s="2">
        <v>44079</v>
      </c>
      <c r="C4474" s="1">
        <v>-1</v>
      </c>
      <c r="D4474" s="39">
        <f t="shared" si="447"/>
        <v>89</v>
      </c>
      <c r="E4474" s="1"/>
      <c r="F4474" s="39">
        <f>E4474+F4450</f>
        <v>1</v>
      </c>
      <c r="G4474" s="168">
        <f>SUM(C4474,C4450,C4426,C4402,C4378,C4354,C4330,C4306,C4282,C4258,C4234,C4210,C4186,C4162)/POBLA!$B$9*100000</f>
        <v>1.4871288993759018</v>
      </c>
      <c r="H4474" s="256">
        <f t="shared" si="445"/>
        <v>-4.5</v>
      </c>
      <c r="I4474" s="297">
        <f t="shared" si="449"/>
        <v>-6.692080047191558</v>
      </c>
      <c r="J4474" s="297">
        <f t="shared" si="450"/>
        <v>0.7142857142857143</v>
      </c>
      <c r="K4474" s="297">
        <f>J4474/POBLA!$B$9*100000</f>
        <v>0.11802610312507156</v>
      </c>
      <c r="L4474" s="549">
        <f t="shared" si="446"/>
        <v>-0.25</v>
      </c>
      <c r="M4474" s="401">
        <f>SUM(C4474,C4450,C4426,C4402,C4378,C4354,C4330)/POBLA!$B$9*100000</f>
        <v>0.82618272187550079</v>
      </c>
    </row>
    <row r="4475" spans="1:13" s="360" customFormat="1" x14ac:dyDescent="0.25">
      <c r="A4475" s="19" t="s">
        <v>32</v>
      </c>
      <c r="B4475" s="2">
        <v>44079</v>
      </c>
      <c r="C4475" s="1">
        <v>326</v>
      </c>
      <c r="D4475" s="39">
        <f t="shared" si="447"/>
        <v>9875</v>
      </c>
      <c r="E4475" s="1"/>
      <c r="F4475" s="39">
        <f t="shared" si="448"/>
        <v>215</v>
      </c>
      <c r="G4475" s="168">
        <f>SUM(C4475,C4451,C4427,C4403,C4379,C4355,C4331,C4307,C4283,C4259,C4235,C4211,C4187,C4163)/POBLA!$B$10*100000</f>
        <v>491.51555168696592</v>
      </c>
      <c r="H4475" s="256">
        <f t="shared" si="445"/>
        <v>1.3884206669109564</v>
      </c>
      <c r="I4475" s="297">
        <f t="shared" si="449"/>
        <v>682.43035007032393</v>
      </c>
      <c r="J4475" s="297">
        <f t="shared" si="450"/>
        <v>276.14285714285717</v>
      </c>
      <c r="K4475" s="297">
        <f>J4475/POBLA!$B$10*100000</f>
        <v>35.821723086034957</v>
      </c>
      <c r="L4475" s="549">
        <f t="shared" si="446"/>
        <v>-4.1487068965517349E-2</v>
      </c>
      <c r="M4475" s="401">
        <f>SUM(C4475,C4451,C4427,C4403,C4379,C4355,C4331)/POBLA!$B$10*100000</f>
        <v>250.75206160224471</v>
      </c>
    </row>
    <row r="4476" spans="1:13" s="360" customFormat="1" x14ac:dyDescent="0.25">
      <c r="A4476" s="19" t="s">
        <v>33</v>
      </c>
      <c r="B4476" s="2">
        <v>44079</v>
      </c>
      <c r="C4476" s="1">
        <v>9</v>
      </c>
      <c r="D4476" s="39">
        <f t="shared" si="447"/>
        <v>230</v>
      </c>
      <c r="E4476" s="1"/>
      <c r="F4476" s="39">
        <f t="shared" si="448"/>
        <v>4</v>
      </c>
      <c r="G4476" s="168">
        <f>SUM(C4476,C4452,C4428,C4404,C4380,C4356,C4332,C4308,C4284,C4260,C4236,C4212,C4188,C4164)/POBLA!$B$11*100000</f>
        <v>10.880846362449361</v>
      </c>
      <c r="H4476" s="256">
        <f t="shared" si="445"/>
        <v>3</v>
      </c>
      <c r="I4476" s="297">
        <f t="shared" si="449"/>
        <v>32.642539087348084</v>
      </c>
      <c r="J4476" s="297">
        <f t="shared" si="450"/>
        <v>4.2857142857142856</v>
      </c>
      <c r="K4476" s="297">
        <f>J4476/POBLA!$B$11*100000</f>
        <v>1.1956974024669627</v>
      </c>
      <c r="L4476" s="549">
        <f t="shared" si="446"/>
        <v>-2.3333333333333335</v>
      </c>
      <c r="M4476" s="401">
        <f>SUM(C4476,C4452,C4428,C4404,C4380,C4356,C4332)/POBLA!$B$11*100000</f>
        <v>8.369881817268741</v>
      </c>
    </row>
    <row r="4477" spans="1:13" s="360" customFormat="1" x14ac:dyDescent="0.25">
      <c r="A4477" s="19" t="s">
        <v>21</v>
      </c>
      <c r="B4477" s="2">
        <v>44079</v>
      </c>
      <c r="C4477" s="1">
        <v>58</v>
      </c>
      <c r="D4477" s="39">
        <f t="shared" si="447"/>
        <v>1945</v>
      </c>
      <c r="E4477" s="1"/>
      <c r="F4477" s="39">
        <f t="shared" si="448"/>
        <v>39</v>
      </c>
      <c r="G4477" s="168">
        <f>SUM(C4477,C4453,C4429,C4405,C4381,C4357,C4333,C4309,C4285,C4261,C4237,C4213,C4189,C4165)/POBLA!$B$12*100000</f>
        <v>238.6089024752815</v>
      </c>
      <c r="H4477" s="256">
        <f t="shared" si="445"/>
        <v>1.9085365853658536</v>
      </c>
      <c r="I4477" s="297">
        <f t="shared" si="449"/>
        <v>455.3938199680677</v>
      </c>
      <c r="J4477" s="297">
        <f t="shared" si="450"/>
        <v>83.571428571428569</v>
      </c>
      <c r="K4477" s="297">
        <f>J4477/POBLA!$B$12*100000</f>
        <v>21.236301224408898</v>
      </c>
      <c r="L4477" s="549">
        <f t="shared" si="446"/>
        <v>-0.65254237288135597</v>
      </c>
      <c r="M4477" s="401">
        <f>SUM(C4477,C4453,C4429,C4405,C4381,C4357,C4333)/POBLA!$B$12*100000</f>
        <v>148.65410857086229</v>
      </c>
    </row>
    <row r="4478" spans="1:13" s="360" customFormat="1" x14ac:dyDescent="0.25">
      <c r="A4478" s="19" t="s">
        <v>17</v>
      </c>
      <c r="B4478" s="2">
        <v>44079</v>
      </c>
      <c r="C4478" s="1">
        <v>483</v>
      </c>
      <c r="D4478" s="39">
        <f t="shared" si="447"/>
        <v>9284</v>
      </c>
      <c r="E4478" s="1">
        <f>1</f>
        <v>1</v>
      </c>
      <c r="F4478" s="39">
        <f t="shared" si="448"/>
        <v>89</v>
      </c>
      <c r="G4478" s="168">
        <f>SUM(C4478,C4454,C4430,C4406,C4382,C4358,C4334,C4310,C4286,C4262,C4238,C4214,C4190,C4166)/POBLA!$B$13*100000</f>
        <v>240.511913051954</v>
      </c>
      <c r="H4478" s="256">
        <f t="shared" si="445"/>
        <v>1.94989816700611</v>
      </c>
      <c r="I4478" s="297">
        <f t="shared" si="449"/>
        <v>468.97373840313799</v>
      </c>
      <c r="J4478" s="297">
        <f t="shared" si="450"/>
        <v>435.85714285714283</v>
      </c>
      <c r="K4478" s="297">
        <f>J4478/POBLA!$B$13*100000</f>
        <v>21.898649518681893</v>
      </c>
      <c r="L4478" s="549">
        <f t="shared" si="446"/>
        <v>-0.75748847926267282</v>
      </c>
      <c r="M4478" s="401">
        <f>SUM(C4478,C4454,C4430,C4406,C4382,C4358,C4334)/POBLA!$B$13*100000</f>
        <v>153.29054663077326</v>
      </c>
    </row>
    <row r="4479" spans="1:13" s="360" customFormat="1" x14ac:dyDescent="0.25">
      <c r="A4479" s="19" t="s">
        <v>23</v>
      </c>
      <c r="B4479" s="2">
        <v>44079</v>
      </c>
      <c r="C4479" s="1">
        <v>0</v>
      </c>
      <c r="D4479" s="39">
        <f t="shared" si="447"/>
        <v>65</v>
      </c>
      <c r="E4479" s="1"/>
      <c r="F4479" s="39">
        <f t="shared" si="448"/>
        <v>2</v>
      </c>
      <c r="G4479" s="168">
        <f>SUM(C4479,C4455,C4431,C4407,C4383,C4359,C4335,C4311,C4287,C4263,C4239,C4215,C4191,C4167)/POBLA!$B$14*100000</f>
        <v>0.47570193785112752</v>
      </c>
      <c r="H4479" s="256">
        <f t="shared" si="445"/>
        <v>0.6</v>
      </c>
      <c r="I4479" s="297">
        <f t="shared" si="449"/>
        <v>0.28542116271067652</v>
      </c>
      <c r="J4479" s="297">
        <f t="shared" si="450"/>
        <v>0.7142857142857143</v>
      </c>
      <c r="K4479" s="297">
        <f>J4479/POBLA!$B$14*100000</f>
        <v>5.6631183077515183E-2</v>
      </c>
      <c r="L4479" s="549">
        <f t="shared" si="446"/>
        <v>-4</v>
      </c>
      <c r="M4479" s="401">
        <f>SUM(C4479,C4455,C4431,C4407,C4383,C4359,C4335)/POBLA!$B$14*100000</f>
        <v>0.39641828154260628</v>
      </c>
    </row>
    <row r="4480" spans="1:13" s="360" customFormat="1" x14ac:dyDescent="0.25">
      <c r="A4480" s="19" t="s">
        <v>19</v>
      </c>
      <c r="B4480" s="2">
        <v>44079</v>
      </c>
      <c r="C4480" s="1">
        <v>171</v>
      </c>
      <c r="D4480" s="39">
        <f>C4480+D4456</f>
        <v>3642</v>
      </c>
      <c r="E4480" s="1">
        <f>1</f>
        <v>1</v>
      </c>
      <c r="F4480" s="39">
        <f t="shared" si="448"/>
        <v>30</v>
      </c>
      <c r="G4480" s="168">
        <f>SUM(C4480,C4456,C4432,C4408,C4384,C4360,C4336,C4312,C4288,C4264,C4240,C4216,C4192,C4168)/POBLA!$B$15*100000</f>
        <v>221.66771828321967</v>
      </c>
      <c r="H4480" s="256">
        <f t="shared" si="445"/>
        <v>2.0054495912806538</v>
      </c>
      <c r="I4480" s="297">
        <f t="shared" si="449"/>
        <v>444.54343503119799</v>
      </c>
      <c r="J4480" s="297">
        <f t="shared" si="450"/>
        <v>113.85714285714286</v>
      </c>
      <c r="K4480" s="297">
        <f>J4480/POBLA!$B$15*100000</f>
        <v>17.145688225128694</v>
      </c>
      <c r="L4480" s="549">
        <f t="shared" si="446"/>
        <v>-0.18074074074074065</v>
      </c>
      <c r="M4480" s="401">
        <f>SUM(C4480,C4456,C4432,C4408,C4384,C4360,C4336)/POBLA!$B$15*100000</f>
        <v>120.01981757590087</v>
      </c>
    </row>
    <row r="4481" spans="1:13" s="360" customFormat="1" x14ac:dyDescent="0.25">
      <c r="A4481" s="19" t="s">
        <v>18</v>
      </c>
      <c r="B4481" s="2">
        <v>44079</v>
      </c>
      <c r="C4481" s="1">
        <v>169</v>
      </c>
      <c r="D4481" s="39">
        <f>C4481+D4457</f>
        <v>6937</v>
      </c>
      <c r="E4481" s="1">
        <f>2+2+1</f>
        <v>5</v>
      </c>
      <c r="F4481" s="39">
        <f t="shared" si="448"/>
        <v>123</v>
      </c>
      <c r="G4481" s="168">
        <f>SUM(C4481,C4457,C4433,C4409,C4385,C4361,C4337,C4313,C4289,C4265,C4241,C4217,C4193,C4169)/POBLA!$B$16*100000</f>
        <v>314.73629298698518</v>
      </c>
      <c r="H4481" s="256">
        <f t="shared" si="445"/>
        <v>1.3499713138267355</v>
      </c>
      <c r="I4481" s="297">
        <f t="shared" si="449"/>
        <v>424.88496695259676</v>
      </c>
      <c r="J4481" s="297">
        <f t="shared" si="450"/>
        <v>165.42857142857142</v>
      </c>
      <c r="K4481" s="297">
        <f>J4481/POBLA!$B$16*100000</f>
        <v>22.127656321955484</v>
      </c>
      <c r="L4481" s="549">
        <f t="shared" si="446"/>
        <v>3.0962343096234357E-2</v>
      </c>
      <c r="M4481" s="401">
        <f>SUM(C4481,C4457,C4433,C4409,C4385,C4361,C4337)/POBLA!$B$16*100000</f>
        <v>154.89359425368843</v>
      </c>
    </row>
    <row r="4482" spans="1:13" s="360" customFormat="1" x14ac:dyDescent="0.25">
      <c r="A4482" s="19" t="s">
        <v>34</v>
      </c>
      <c r="B4482" s="2">
        <v>44079</v>
      </c>
      <c r="C4482" s="1">
        <v>279</v>
      </c>
      <c r="D4482" s="39">
        <f>C4482+D4458</f>
        <v>4476</v>
      </c>
      <c r="E4482" s="1">
        <f>1</f>
        <v>1</v>
      </c>
      <c r="F4482" s="39">
        <f>E4482+F4458</f>
        <v>56</v>
      </c>
      <c r="G4482" s="168">
        <f>SUM(C4482,C4458,C4434,C4410,C4386,C4362,C4338,C4314,C4290,C4266,C4242,C4218,C4194,C4170)/POBLA!$B$17*100000</f>
        <v>192.08128071036376</v>
      </c>
      <c r="H4482" s="256">
        <f t="shared" si="445"/>
        <v>2.272425249169435</v>
      </c>
      <c r="I4482" s="297">
        <f t="shared" si="449"/>
        <v>436.49035217903253</v>
      </c>
      <c r="J4482" s="297">
        <f t="shared" si="450"/>
        <v>223.57142857142858</v>
      </c>
      <c r="K4482" s="297">
        <f>J4482/POBLA!$B$17*100000</f>
        <v>15.695864886785678</v>
      </c>
      <c r="L4482" s="549">
        <f t="shared" si="446"/>
        <v>-0.33646456020495297</v>
      </c>
      <c r="M4482" s="401">
        <f>SUM(C4482,C4458,C4434,C4410,C4386,C4362,C4338)/POBLA!$B$17*100000</f>
        <v>109.87105420749974</v>
      </c>
    </row>
    <row r="4483" spans="1:13" s="360" customFormat="1" x14ac:dyDescent="0.25">
      <c r="A4483" s="19" t="s">
        <v>35</v>
      </c>
      <c r="B4483" s="2">
        <v>44079</v>
      </c>
      <c r="C4483" s="1">
        <v>15</v>
      </c>
      <c r="D4483" s="39">
        <f t="shared" ref="D4483:D4489" si="451">C4483+D4459</f>
        <v>373</v>
      </c>
      <c r="E4483" s="1"/>
      <c r="F4483" s="39">
        <f>E4483+F4459</f>
        <v>0</v>
      </c>
      <c r="G4483" s="168">
        <f>SUM(C4483,C4459,C4435,C4411,C4387,C4363,C4339,C4315,C4291,C4267,C4243,C4219,C4195,C4171)/POBLA!$B$18*100000</f>
        <v>42.753805920762098</v>
      </c>
      <c r="H4483" s="256">
        <f t="shared" si="445"/>
        <v>20.875</v>
      </c>
      <c r="I4483" s="297">
        <f t="shared" si="449"/>
        <v>892.48569859590873</v>
      </c>
      <c r="J4483" s="297">
        <f t="shared" si="450"/>
        <v>23.857142857142858</v>
      </c>
      <c r="K4483" s="297">
        <f>J4483/POBLA!$B$18*100000</f>
        <v>3.0538432800544348</v>
      </c>
      <c r="L4483" s="549">
        <f t="shared" si="446"/>
        <v>0</v>
      </c>
      <c r="M4483" s="401">
        <f>SUM(C4483,C4459,C4435,C4411,C4387,C4363,C4339)/POBLA!$B$18*100000</f>
        <v>21.376902960381049</v>
      </c>
    </row>
    <row r="4484" spans="1:13" s="360" customFormat="1" x14ac:dyDescent="0.25">
      <c r="A4484" s="19" t="s">
        <v>36</v>
      </c>
      <c r="B4484" s="2">
        <v>44079</v>
      </c>
      <c r="C4484" s="1">
        <v>35</v>
      </c>
      <c r="D4484" s="39">
        <f t="shared" si="451"/>
        <v>245</v>
      </c>
      <c r="E4484" s="1"/>
      <c r="F4484" s="39">
        <f t="shared" si="448"/>
        <v>0</v>
      </c>
      <c r="G4484" s="168">
        <f>SUM(C4484,C4460,C4436,C4412,C4388,C4364,C4340,C4316,C4292,C4268,C4244,C4220,C4196,C4172)/POBLA!$B$19*100000</f>
        <v>40.131568593506557</v>
      </c>
      <c r="H4484" s="256">
        <f t="shared" si="445"/>
        <v>25.5</v>
      </c>
      <c r="I4484" s="297">
        <f t="shared" si="449"/>
        <v>1023.3549991344172</v>
      </c>
      <c r="J4484" s="297">
        <f t="shared" si="450"/>
        <v>22.714285714285715</v>
      </c>
      <c r="K4484" s="297">
        <f>J4484/POBLA!$B$19*100000</f>
        <v>4.4684309568400158</v>
      </c>
      <c r="L4484" s="549">
        <f t="shared" si="446"/>
        <v>-2.5333333333333332</v>
      </c>
      <c r="M4484" s="401">
        <f>SUM(C4484,C4460,C4436,C4412,C4388,C4364,C4340)/POBLA!$B$19*100000</f>
        <v>31.27901669788011</v>
      </c>
    </row>
    <row r="4485" spans="1:13" s="360" customFormat="1" x14ac:dyDescent="0.25">
      <c r="A4485" s="19" t="s">
        <v>37</v>
      </c>
      <c r="B4485" s="2">
        <v>44079</v>
      </c>
      <c r="C4485" s="1">
        <v>138</v>
      </c>
      <c r="D4485" s="39">
        <f t="shared" si="451"/>
        <v>2167</v>
      </c>
      <c r="E4485" s="1"/>
      <c r="F4485" s="39">
        <f t="shared" ref="F4485:F4490" si="452">E4485+F4461</f>
        <v>16</v>
      </c>
      <c r="G4485" s="168">
        <f>SUM(C4485,C4461,C4437,C4413,C4389,C4365,C4341,C4317,C4293,C4269,C4245,C4221,C4197,C4173)/POBLA!$B$20*100000</f>
        <v>238.99501774688406</v>
      </c>
      <c r="H4485" s="256">
        <f t="shared" si="445"/>
        <v>1.4991423670668953</v>
      </c>
      <c r="I4485" s="297">
        <f t="shared" si="449"/>
        <v>358.28755662225842</v>
      </c>
      <c r="J4485" s="297">
        <f t="shared" si="450"/>
        <v>73.857142857142861</v>
      </c>
      <c r="K4485" s="297">
        <f>J4485/POBLA!$B$20*100000</f>
        <v>20.196211862559505</v>
      </c>
      <c r="L4485" s="549">
        <f t="shared" si="446"/>
        <v>-0.44817927170868344</v>
      </c>
      <c r="M4485" s="401">
        <f>SUM(C4485,C4461,C4437,C4413,C4389,C4365,C4341)/POBLA!$B$20*100000</f>
        <v>141.37348303791654</v>
      </c>
    </row>
    <row r="4486" spans="1:13" s="360" customFormat="1" x14ac:dyDescent="0.25">
      <c r="A4486" s="19" t="s">
        <v>22</v>
      </c>
      <c r="B4486" s="2">
        <v>44079</v>
      </c>
      <c r="C4486" s="1">
        <v>698</v>
      </c>
      <c r="D4486" s="39">
        <f t="shared" si="451"/>
        <v>11504</v>
      </c>
      <c r="E4486" s="1">
        <v>6</v>
      </c>
      <c r="F4486" s="39">
        <f t="shared" si="452"/>
        <v>119</v>
      </c>
      <c r="G4486" s="168">
        <f>SUM(C4486,C4462,C4438,C4414,C4390,C4366,C4342,C4318,C4294,C4270,C4246,C4222,C4198,C4174)/POBLA!$B$21*100000</f>
        <v>194.97129581401293</v>
      </c>
      <c r="H4486" s="256">
        <f t="shared" si="445"/>
        <v>2.693359375</v>
      </c>
      <c r="I4486" s="297">
        <f t="shared" si="449"/>
        <v>525.12776743657002</v>
      </c>
      <c r="J4486" s="297">
        <f t="shared" si="450"/>
        <v>622.42857142857144</v>
      </c>
      <c r="K4486" s="297">
        <f>J4486/POBLA!$B$21*100000</f>
        <v>17.6005373637554</v>
      </c>
      <c r="L4486" s="549">
        <f t="shared" si="446"/>
        <v>-0.71670606776989754</v>
      </c>
      <c r="M4486" s="401">
        <f>SUM(C4486,C4462,C4438,C4414,C4390,C4366,C4342)/POBLA!$B$21*100000</f>
        <v>123.20376154628779</v>
      </c>
    </row>
    <row r="4487" spans="1:13" s="360" customFormat="1" x14ac:dyDescent="0.25">
      <c r="A4487" s="19" t="s">
        <v>38</v>
      </c>
      <c r="B4487" s="2">
        <v>44079</v>
      </c>
      <c r="C4487" s="1">
        <v>67</v>
      </c>
      <c r="D4487" s="39">
        <f t="shared" si="451"/>
        <v>1219</v>
      </c>
      <c r="E4487" s="1">
        <f>3</f>
        <v>3</v>
      </c>
      <c r="F4487" s="39">
        <f t="shared" si="452"/>
        <v>16</v>
      </c>
      <c r="G4487" s="168">
        <f>SUM(C4487,C4463,C4439,C4415,C4391,C4367,C4343,C4319,C4295,C4271,C4247,C4223,C4199,C4175)/POBLA!$B$22*100000</f>
        <v>74.618245898807444</v>
      </c>
      <c r="H4487" s="256">
        <f t="shared" si="445"/>
        <v>1.9571045576407506</v>
      </c>
      <c r="I4487" s="297">
        <f t="shared" si="449"/>
        <v>146.0357091317143</v>
      </c>
      <c r="J4487" s="297">
        <f t="shared" si="450"/>
        <v>54</v>
      </c>
      <c r="K4487" s="297">
        <f>J4487/POBLA!$B$22*100000</f>
        <v>5.5197058610076732</v>
      </c>
      <c r="L4487" s="549">
        <f t="shared" si="446"/>
        <v>-7.3863636363636465E-2</v>
      </c>
      <c r="M4487" s="401">
        <f>SUM(C4487,C4463,C4439,C4415,C4391,C4367,C4343)/POBLA!$B$22*100000</f>
        <v>38.637941027053714</v>
      </c>
    </row>
    <row r="4488" spans="1:13" s="360" customFormat="1" x14ac:dyDescent="0.25">
      <c r="A4488" s="19" t="s">
        <v>39</v>
      </c>
      <c r="B4488" s="2">
        <v>44079</v>
      </c>
      <c r="C4488" s="1">
        <v>24</v>
      </c>
      <c r="D4488" s="39">
        <f t="shared" si="451"/>
        <v>2296</v>
      </c>
      <c r="E4488" s="1">
        <f>1+1</f>
        <v>2</v>
      </c>
      <c r="F4488" s="39">
        <f t="shared" si="452"/>
        <v>37</v>
      </c>
      <c r="G4488" s="168">
        <f>SUM(C4488,C4464,C4440,C4416,C4392,C4368,C4344,C4320,C4296,C4272,C4248,C4224,C4200,C4176)/POBLA!$B$23*100000</f>
        <v>354.01232822484872</v>
      </c>
      <c r="H4488" s="256">
        <f t="shared" si="445"/>
        <v>0.87065368567454793</v>
      </c>
      <c r="I4488" s="297">
        <f t="shared" si="449"/>
        <v>308.22213834319234</v>
      </c>
      <c r="J4488" s="297">
        <f t="shared" si="450"/>
        <v>50.428571428571431</v>
      </c>
      <c r="K4488" s="297">
        <f>J4488/POBLA!$B$23*100000</f>
        <v>28.518108595018621</v>
      </c>
      <c r="L4488" s="549">
        <f t="shared" si="446"/>
        <v>-0.29304029304029311</v>
      </c>
      <c r="M4488" s="401">
        <f>SUM(C4488,C4464,C4440,C4416,C4392,C4368,C4344)/POBLA!$B$23*100000</f>
        <v>199.62676016513032</v>
      </c>
    </row>
    <row r="4489" spans="1:13" s="360" customFormat="1" ht="15.75" thickBot="1" x14ac:dyDescent="0.3">
      <c r="A4489" s="19" t="s">
        <v>40</v>
      </c>
      <c r="B4489" s="2">
        <v>44079</v>
      </c>
      <c r="C4489" s="1">
        <v>307</v>
      </c>
      <c r="D4489" s="39">
        <f t="shared" si="451"/>
        <v>3692</v>
      </c>
      <c r="E4489" s="1">
        <f>1</f>
        <v>1</v>
      </c>
      <c r="F4489" s="39">
        <f t="shared" si="452"/>
        <v>15</v>
      </c>
      <c r="G4489" s="177">
        <f>SUM(C4489,C4465,C4441,C4417,C4393,C4369,C4345,C4321,C4297,C4273,C4249,C4225,C4201,C4177)/POBLA!$B$24*100000</f>
        <v>160.26851467200424</v>
      </c>
      <c r="H4489" s="402">
        <f t="shared" si="445"/>
        <v>4.4597701149425291</v>
      </c>
      <c r="I4489" s="403">
        <f t="shared" si="449"/>
        <v>714.76073210043273</v>
      </c>
      <c r="J4489" s="403">
        <f t="shared" si="450"/>
        <v>266.42857142857144</v>
      </c>
      <c r="K4489" s="403">
        <f>J4489/POBLA!$B$24*100000</f>
        <v>15.721690504065219</v>
      </c>
      <c r="L4489" s="550">
        <f t="shared" si="446"/>
        <v>-1.1915393654524089</v>
      </c>
      <c r="M4489" s="405">
        <f>SUM(C4489,C4465,C4441,C4417,C4393,C4369,C4345)/POBLA!$B$24*100000</f>
        <v>110.05183352845651</v>
      </c>
    </row>
    <row r="4490" spans="1:13" s="360" customFormat="1" x14ac:dyDescent="0.25">
      <c r="A4490" s="361" t="s">
        <v>16</v>
      </c>
      <c r="B4490" s="2">
        <v>44080</v>
      </c>
      <c r="C4490" s="1">
        <v>3269</v>
      </c>
      <c r="D4490" s="39">
        <f>C4490+D4466</f>
        <v>292446</v>
      </c>
      <c r="E4490" s="1">
        <v>68</v>
      </c>
      <c r="F4490" s="39">
        <f t="shared" si="452"/>
        <v>5938</v>
      </c>
      <c r="G4490" s="175">
        <f>SUM(C4490,C4466,C4442,C4418,C4394,C4370,C4346,C4322,C4298,C4274,C4250,C4226,C4202,C4178)/POBLA!$B$1*100000</f>
        <v>454.41741788632788</v>
      </c>
      <c r="H4490" s="300">
        <f t="shared" ref="H4490:H4513" si="453">SUM(C4490,C4466,C4442,C4418,C4394,C4370,C4346,C4322,C4298,C4274,C4250,C4226,C4202,C4178)/SUM(C4154,C4130,C4106,C4082,C4058,C4034,C4010,C3986,C3962,C3938,C3914,C3890,C3866,C3842)</f>
        <v>1.2966246441642943</v>
      </c>
      <c r="I4490" s="301">
        <f>G4490*H4490</f>
        <v>589.20882276891734</v>
      </c>
      <c r="J4490" s="301">
        <f>AVERAGE(C4490,C4466,C4442,C4418,C4394,C4370,C4346)</f>
        <v>5542</v>
      </c>
      <c r="K4490" s="301">
        <f>J4490/POBLA!$B$1*100000</f>
        <v>31.594295946882816</v>
      </c>
      <c r="L4490" s="548">
        <f t="shared" ref="L4490:L4513" si="454">1-SUM(C4490,C4466,C4442,C4418,C4394,C4370,C4346)/SUM(C4322,C4298,C4274,C4250,C4226,C4202,C4178)</f>
        <v>5.18623521360837E-2</v>
      </c>
      <c r="M4490" s="400">
        <f>SUM(C4490,C4466,C4442,C4418,C4394,C4370,C4346)/POBLA!$B$1*100000</f>
        <v>221.16007162817971</v>
      </c>
    </row>
    <row r="4491" spans="1:13" s="360" customFormat="1" x14ac:dyDescent="0.25">
      <c r="A4491" s="19" t="s">
        <v>43</v>
      </c>
      <c r="B4491" s="2">
        <v>44080</v>
      </c>
      <c r="C4491" s="1">
        <v>802</v>
      </c>
      <c r="D4491" s="39">
        <f t="shared" ref="D4491:D4503" si="455">C4491+D4467</f>
        <v>102920</v>
      </c>
      <c r="E4491" s="1">
        <f>7+3+1</f>
        <v>11</v>
      </c>
      <c r="F4491" s="39">
        <f t="shared" si="448"/>
        <v>2437</v>
      </c>
      <c r="G4491" s="168">
        <f>SUM(C4491,C4467,C4443,C4419,C4395,C4371,C4347,C4323,C4299,C4275,C4251,C4227,C4203,C4179)/POBLA!$B$2*100000</f>
        <v>585.08033759411842</v>
      </c>
      <c r="H4491" s="256">
        <f t="shared" si="453"/>
        <v>1.3013450969048308</v>
      </c>
      <c r="I4491" s="297">
        <f t="shared" ref="I4491:I4513" si="456">G4491*H4491</f>
        <v>761.39142862352912</v>
      </c>
      <c r="J4491" s="297">
        <f t="shared" ref="J4491:J4513" si="457">AVERAGE(C4491,C4467,C4443,C4419,C4395,C4371,C4347)</f>
        <v>1243.2857142857142</v>
      </c>
      <c r="K4491" s="297">
        <f>J4491/POBLA!$B$2*100000</f>
        <v>40.423563514322332</v>
      </c>
      <c r="L4491" s="549">
        <f t="shared" si="454"/>
        <v>6.3387860525182971E-2</v>
      </c>
      <c r="M4491" s="401">
        <f>SUM(C4491,C4467,C4443,C4419,C4395,C4371,C4347)/POBLA!$B$2*100000</f>
        <v>282.96494460025633</v>
      </c>
    </row>
    <row r="4492" spans="1:13" s="360" customFormat="1" x14ac:dyDescent="0.25">
      <c r="A4492" s="19" t="s">
        <v>28</v>
      </c>
      <c r="B4492" s="2">
        <v>44080</v>
      </c>
      <c r="C4492" s="1">
        <v>5</v>
      </c>
      <c r="D4492" s="39">
        <f t="shared" si="455"/>
        <v>86</v>
      </c>
      <c r="E4492" s="1"/>
      <c r="F4492" s="39">
        <f t="shared" si="448"/>
        <v>0</v>
      </c>
      <c r="G4492" s="168">
        <f>SUM(C4492,C4468,C4444,C4420,C4396,C4372,C4348,C4324,C4300,C4276,C4252,C4228,C4204,C4180)/POBLA!$B$3*100000</f>
        <v>5.536325516683597</v>
      </c>
      <c r="H4492" s="256">
        <f t="shared" si="453"/>
        <v>1.3529411764705883</v>
      </c>
      <c r="I4492" s="297">
        <f t="shared" si="456"/>
        <v>7.4903227578660436</v>
      </c>
      <c r="J4492" s="297">
        <f t="shared" si="457"/>
        <v>3</v>
      </c>
      <c r="K4492" s="297">
        <f>J4492/POBLA!$B$3*100000</f>
        <v>0.7221294152195995</v>
      </c>
      <c r="L4492" s="549">
        <f t="shared" si="454"/>
        <v>-9.5</v>
      </c>
      <c r="M4492" s="401">
        <f>SUM(C4492,C4468,C4444,C4420,C4396,C4372,C4348)/POBLA!$B$3*100000</f>
        <v>5.0549059065371971</v>
      </c>
    </row>
    <row r="4493" spans="1:13" s="360" customFormat="1" x14ac:dyDescent="0.25">
      <c r="A4493" s="19" t="s">
        <v>15</v>
      </c>
      <c r="B4493" s="2">
        <v>44080</v>
      </c>
      <c r="C4493" s="1">
        <v>102</v>
      </c>
      <c r="D4493" s="39">
        <f t="shared" si="455"/>
        <v>6014</v>
      </c>
      <c r="E4493" s="1">
        <f>2+1</f>
        <v>3</v>
      </c>
      <c r="F4493" s="39">
        <f t="shared" si="448"/>
        <v>225</v>
      </c>
      <c r="G4493" s="168">
        <f>SUM(C4493,C4469,C4445,C4421,C4397,C4373,C4349,C4325,C4301,C4277,C4253,C4229,C4205,C4181)/POBLA!$B$4*100000</f>
        <v>95.721108704477473</v>
      </c>
      <c r="H4493" s="256">
        <f t="shared" si="453"/>
        <v>1.4820051413881747</v>
      </c>
      <c r="I4493" s="297">
        <f t="shared" si="456"/>
        <v>141.85917523941197</v>
      </c>
      <c r="J4493" s="297">
        <f t="shared" si="457"/>
        <v>96</v>
      </c>
      <c r="K4493" s="297">
        <f>J4493/POBLA!$B$4*100000</f>
        <v>7.9698407941282206</v>
      </c>
      <c r="L4493" s="549">
        <f t="shared" si="454"/>
        <v>-0.39708939708939717</v>
      </c>
      <c r="M4493" s="401">
        <f>SUM(C4493,C4469,C4445,C4421,C4397,C4373,C4349)/POBLA!$B$4*100000</f>
        <v>55.78888555889754</v>
      </c>
    </row>
    <row r="4494" spans="1:13" s="360" customFormat="1" x14ac:dyDescent="0.25">
      <c r="A4494" s="19" t="s">
        <v>29</v>
      </c>
      <c r="B4494" s="2">
        <v>44080</v>
      </c>
      <c r="C4494" s="1">
        <v>39</v>
      </c>
      <c r="D4494" s="39">
        <f t="shared" si="455"/>
        <v>1217</v>
      </c>
      <c r="E4494" s="1"/>
      <c r="F4494" s="39">
        <f t="shared" si="448"/>
        <v>7</v>
      </c>
      <c r="G4494" s="168">
        <f>SUM(C4494,C4470,C4446,C4422,C4398,C4374,C4350,C4326,C4302,C4278,C4254,C4230,C4206,C4182)/POBLA!$B$5*100000</f>
        <v>110.340326400579</v>
      </c>
      <c r="H4494" s="256">
        <f t="shared" si="453"/>
        <v>0.55483346872461414</v>
      </c>
      <c r="I4494" s="297">
        <f t="shared" si="456"/>
        <v>61.220506037039364</v>
      </c>
      <c r="J4494" s="297">
        <f t="shared" si="457"/>
        <v>56.714285714285715</v>
      </c>
      <c r="K4494" s="297">
        <f>J4494/POBLA!$B$5*100000</f>
        <v>9.1623320604538527</v>
      </c>
      <c r="L4494" s="549">
        <f t="shared" si="454"/>
        <v>-0.38811188811188813</v>
      </c>
      <c r="M4494" s="401">
        <f>SUM(C4494,C4470,C4446,C4422,C4398,C4374,C4350)/POBLA!$B$5*100000</f>
        <v>64.136324423176958</v>
      </c>
    </row>
    <row r="4495" spans="1:13" s="360" customFormat="1" x14ac:dyDescent="0.25">
      <c r="A4495" s="19" t="s">
        <v>20</v>
      </c>
      <c r="B4495" s="2">
        <v>44080</v>
      </c>
      <c r="C4495" s="1">
        <v>387</v>
      </c>
      <c r="D4495" s="39">
        <f t="shared" si="455"/>
        <v>11152</v>
      </c>
      <c r="E4495" s="1">
        <f>1+4</f>
        <v>5</v>
      </c>
      <c r="F4495" s="39">
        <f t="shared" si="448"/>
        <v>159</v>
      </c>
      <c r="G4495" s="168">
        <f>SUM(C4495,C4471,C4447,C4423,C4399,C4375,C4351,C4327,C4303,C4279,C4255,C4231,C4207,C4183)/POBLA!$B$6*100000</f>
        <v>468.05811201096361</v>
      </c>
      <c r="H4495" s="256">
        <f t="shared" si="453"/>
        <v>2.191311612364244</v>
      </c>
      <c r="I4495" s="297">
        <f t="shared" si="456"/>
        <v>1025.6611761109086</v>
      </c>
      <c r="J4495" s="297">
        <f t="shared" si="457"/>
        <v>431.14285714285717</v>
      </c>
      <c r="K4495" s="297">
        <f>J4495/POBLA!$B$6*100000</f>
        <v>38.467386908367956</v>
      </c>
      <c r="L4495" s="549">
        <f t="shared" si="454"/>
        <v>-0.3545780969479353</v>
      </c>
      <c r="M4495" s="401">
        <f>SUM(C4495,C4471,C4447,C4423,C4399,C4375,C4351)/POBLA!$B$6*100000</f>
        <v>269.27170835857572</v>
      </c>
    </row>
    <row r="4496" spans="1:13" s="360" customFormat="1" x14ac:dyDescent="0.25">
      <c r="A4496" s="19" t="s">
        <v>30</v>
      </c>
      <c r="B4496" s="2">
        <v>44080</v>
      </c>
      <c r="C4496" s="1">
        <v>10</v>
      </c>
      <c r="D4496" s="39">
        <f t="shared" si="455"/>
        <v>345</v>
      </c>
      <c r="E4496" s="1"/>
      <c r="F4496" s="39">
        <f t="shared" si="448"/>
        <v>5</v>
      </c>
      <c r="G4496" s="168">
        <f>SUM(C4496,C4472,C4448,C4424,C4400,C4376,C4352,C4328,C4304,C4280,C4256,C4232,C4208,C4184)/POBLA!$B$7*100000</f>
        <v>2.4731082716164288</v>
      </c>
      <c r="H4496" s="256">
        <f t="shared" si="453"/>
        <v>2.3846153846153846</v>
      </c>
      <c r="I4496" s="297">
        <f t="shared" si="456"/>
        <v>5.8974120323160992</v>
      </c>
      <c r="J4496" s="297">
        <f t="shared" si="457"/>
        <v>4</v>
      </c>
      <c r="K4496" s="297">
        <f>J4496/POBLA!$B$7*100000</f>
        <v>0.10637024824156682</v>
      </c>
      <c r="L4496" s="549">
        <f t="shared" si="454"/>
        <v>0.56923076923076921</v>
      </c>
      <c r="M4496" s="401">
        <f>SUM(C4496,C4472,C4448,C4424,C4400,C4376,C4352)/POBLA!$B$7*100000</f>
        <v>0.74459173769096787</v>
      </c>
    </row>
    <row r="4497" spans="1:13" x14ac:dyDescent="0.25">
      <c r="A4497" s="19" t="s">
        <v>31</v>
      </c>
      <c r="B4497" s="2">
        <v>44080</v>
      </c>
      <c r="C4497" s="1">
        <v>92</v>
      </c>
      <c r="D4497" s="39">
        <f t="shared" si="455"/>
        <v>4293</v>
      </c>
      <c r="E4497" s="1">
        <f>1</f>
        <v>1</v>
      </c>
      <c r="F4497" s="39">
        <f t="shared" si="448"/>
        <v>60</v>
      </c>
      <c r="G4497" s="168">
        <f>SUM(C4497,C4473,C4449,C4425,C4401,C4377,C4353,C4329,C4305,C4281,C4257,C4233,C4209,C4185)/POBLA!$B$8*100000</f>
        <v>146.82952839221304</v>
      </c>
      <c r="H4497" s="256">
        <f t="shared" si="453"/>
        <v>1.8601462522851919</v>
      </c>
      <c r="I4497" s="297">
        <f t="shared" si="456"/>
        <v>273.12439696357728</v>
      </c>
      <c r="J4497" s="297">
        <f t="shared" si="457"/>
        <v>160.28571428571428</v>
      </c>
      <c r="K4497" s="297">
        <f>J4497/POBLA!$B$8*100000</f>
        <v>11.564951271046896</v>
      </c>
      <c r="L4497" s="549">
        <f t="shared" si="454"/>
        <v>-0.22891566265060237</v>
      </c>
      <c r="M4497" s="401">
        <f>SUM(C4497,C4473,C4449,C4425,C4401,C4377,C4353)/POBLA!$B$8*100000</f>
        <v>80.954658897328272</v>
      </c>
    </row>
    <row r="4498" spans="1:13" s="360" customFormat="1" x14ac:dyDescent="0.25">
      <c r="A4498" s="19" t="s">
        <v>41</v>
      </c>
      <c r="B4498" s="2">
        <v>44080</v>
      </c>
      <c r="C4498" s="1">
        <v>1</v>
      </c>
      <c r="D4498" s="39">
        <f t="shared" si="455"/>
        <v>90</v>
      </c>
      <c r="E4498" s="1"/>
      <c r="F4498" s="39">
        <f>E4498+F4474</f>
        <v>1</v>
      </c>
      <c r="G4498" s="168">
        <f>SUM(C4498,C4474,C4450,C4426,C4402,C4378,C4354,C4330,C4306,C4282,C4258,C4234,C4210,C4186)/POBLA!$B$9*100000</f>
        <v>1.3218923550008015</v>
      </c>
      <c r="H4498" s="256">
        <f t="shared" si="453"/>
        <v>-8</v>
      </c>
      <c r="I4498" s="297">
        <f t="shared" si="456"/>
        <v>-10.575138840006412</v>
      </c>
      <c r="J4498" s="297">
        <f t="shared" si="457"/>
        <v>1</v>
      </c>
      <c r="K4498" s="297">
        <f>J4498/POBLA!$B$9*100000</f>
        <v>0.16523654437510019</v>
      </c>
      <c r="L4498" s="549">
        <f t="shared" si="454"/>
        <v>-6</v>
      </c>
      <c r="M4498" s="401">
        <f>SUM(C4498,C4474,C4450,C4426,C4402,C4378,C4354)/POBLA!$B$9*100000</f>
        <v>1.1566558106257012</v>
      </c>
    </row>
    <row r="4499" spans="1:13" s="360" customFormat="1" x14ac:dyDescent="0.25">
      <c r="A4499" s="19" t="s">
        <v>32</v>
      </c>
      <c r="B4499" s="2">
        <v>44080</v>
      </c>
      <c r="C4499" s="1">
        <v>250</v>
      </c>
      <c r="D4499" s="39">
        <f t="shared" si="455"/>
        <v>10125</v>
      </c>
      <c r="E4499" s="1">
        <f>3+1</f>
        <v>4</v>
      </c>
      <c r="F4499" s="39">
        <f t="shared" si="448"/>
        <v>219</v>
      </c>
      <c r="G4499" s="168">
        <f>SUM(C4499,C4475,C4451,C4427,C4403,C4379,C4355,C4331,C4307,C4283,C4259,C4235,C4211,C4187)/POBLA!$B$10*100000</f>
        <v>499.94746270825198</v>
      </c>
      <c r="H4499" s="256">
        <f t="shared" si="453"/>
        <v>1.3565645899331222</v>
      </c>
      <c r="I4499" s="297">
        <f t="shared" si="456"/>
        <v>678.21102473692474</v>
      </c>
      <c r="J4499" s="297">
        <f t="shared" si="457"/>
        <v>290.57142857142856</v>
      </c>
      <c r="K4499" s="297">
        <f>J4499/POBLA!$B$10*100000</f>
        <v>37.693422016034717</v>
      </c>
      <c r="L4499" s="549">
        <f t="shared" si="454"/>
        <v>-0.11758241758241761</v>
      </c>
      <c r="M4499" s="401">
        <f>SUM(C4499,C4475,C4451,C4427,C4403,C4379,C4355)/POBLA!$B$10*100000</f>
        <v>263.853954112243</v>
      </c>
    </row>
    <row r="4500" spans="1:13" s="360" customFormat="1" x14ac:dyDescent="0.25">
      <c r="A4500" s="19" t="s">
        <v>33</v>
      </c>
      <c r="B4500" s="2">
        <v>44080</v>
      </c>
      <c r="C4500" s="1">
        <v>4</v>
      </c>
      <c r="D4500" s="39">
        <f t="shared" si="455"/>
        <v>234</v>
      </c>
      <c r="E4500" s="1"/>
      <c r="F4500" s="39">
        <f t="shared" si="448"/>
        <v>4</v>
      </c>
      <c r="G4500" s="168">
        <f>SUM(C4500,C4476,C4452,C4428,C4404,C4380,C4356,C4332,C4308,C4284,C4260,C4236,C4212,C4188)/POBLA!$B$11*100000</f>
        <v>10.880846362449361</v>
      </c>
      <c r="H4500" s="256">
        <f t="shared" si="453"/>
        <v>2.2941176470588234</v>
      </c>
      <c r="I4500" s="297">
        <f t="shared" si="456"/>
        <v>24.961941655030884</v>
      </c>
      <c r="J4500" s="297">
        <f t="shared" si="457"/>
        <v>4.8571428571428568</v>
      </c>
      <c r="K4500" s="297">
        <f>J4500/POBLA!$B$11*100000</f>
        <v>1.3551237227958912</v>
      </c>
      <c r="L4500" s="549">
        <f t="shared" si="454"/>
        <v>-5.8</v>
      </c>
      <c r="M4500" s="401">
        <f>SUM(C4500,C4476,C4452,C4428,C4404,C4380,C4356)/POBLA!$B$11*100000</f>
        <v>9.4858660595712383</v>
      </c>
    </row>
    <row r="4501" spans="1:13" s="360" customFormat="1" x14ac:dyDescent="0.25">
      <c r="A4501" s="19" t="s">
        <v>21</v>
      </c>
      <c r="B4501" s="2">
        <v>44080</v>
      </c>
      <c r="C4501" s="1">
        <v>94</v>
      </c>
      <c r="D4501" s="39">
        <f t="shared" si="455"/>
        <v>2039</v>
      </c>
      <c r="E4501" s="1">
        <f>2+1</f>
        <v>3</v>
      </c>
      <c r="F4501" s="39">
        <f t="shared" si="448"/>
        <v>42</v>
      </c>
      <c r="G4501" s="168">
        <f>SUM(C4501,C4477,C4453,C4429,C4405,C4381,C4357,C4333,C4309,C4285,C4261,C4237,C4213,C4189)/POBLA!$B$12*100000</f>
        <v>253.85547771331866</v>
      </c>
      <c r="H4501" s="256">
        <f t="shared" si="453"/>
        <v>1.910133843212237</v>
      </c>
      <c r="I4501" s="297">
        <f t="shared" si="456"/>
        <v>484.89793926501977</v>
      </c>
      <c r="J4501" s="297">
        <f t="shared" si="457"/>
        <v>88.857142857142861</v>
      </c>
      <c r="K4501" s="297">
        <f>J4501/POBLA!$B$12*100000</f>
        <v>22.579451900140743</v>
      </c>
      <c r="L4501" s="549">
        <f t="shared" si="454"/>
        <v>-0.64986737400530514</v>
      </c>
      <c r="M4501" s="401">
        <f>SUM(C4501,C4477,C4453,C4429,C4405,C4381,C4357)/POBLA!$B$12*100000</f>
        <v>158.05616330098519</v>
      </c>
    </row>
    <row r="4502" spans="1:13" s="360" customFormat="1" x14ac:dyDescent="0.25">
      <c r="A4502" s="19" t="s">
        <v>17</v>
      </c>
      <c r="B4502" s="2">
        <v>44080</v>
      </c>
      <c r="C4502" s="1">
        <v>413</v>
      </c>
      <c r="D4502" s="39">
        <f t="shared" si="455"/>
        <v>9697</v>
      </c>
      <c r="E4502" s="1">
        <f>1</f>
        <v>1</v>
      </c>
      <c r="F4502" s="39">
        <f t="shared" si="448"/>
        <v>90</v>
      </c>
      <c r="G4502" s="168">
        <f>SUM(C4502,C4478,C4454,C4430,C4406,C4382,C4358,C4334,C4310,C4286,C4262,C4238,C4214,C4190)/POBLA!$B$13*100000</f>
        <v>254.22817631980095</v>
      </c>
      <c r="H4502" s="256">
        <f t="shared" si="453"/>
        <v>2.0345798150381986</v>
      </c>
      <c r="I4502" s="297">
        <f t="shared" si="456"/>
        <v>517.24751595423913</v>
      </c>
      <c r="J4502" s="297">
        <f t="shared" si="457"/>
        <v>449.71428571428572</v>
      </c>
      <c r="K4502" s="297">
        <f>J4502/POBLA!$B$13*100000</f>
        <v>22.594870103182764</v>
      </c>
      <c r="L4502" s="549">
        <f t="shared" si="454"/>
        <v>-0.64644351464435146</v>
      </c>
      <c r="M4502" s="401">
        <f>SUM(C4502,C4478,C4454,C4430,C4406,C4382,C4358)/POBLA!$B$13*100000</f>
        <v>158.16409072227933</v>
      </c>
    </row>
    <row r="4503" spans="1:13" s="360" customFormat="1" x14ac:dyDescent="0.25">
      <c r="A4503" s="19" t="s">
        <v>23</v>
      </c>
      <c r="B4503" s="2">
        <v>44080</v>
      </c>
      <c r="C4503" s="1">
        <v>2</v>
      </c>
      <c r="D4503" s="39">
        <f t="shared" si="455"/>
        <v>67</v>
      </c>
      <c r="E4503" s="1"/>
      <c r="F4503" s="39">
        <f t="shared" si="448"/>
        <v>2</v>
      </c>
      <c r="G4503" s="168">
        <f>SUM(C4503,C4479,C4455,C4431,C4407,C4383,C4359,C4335,C4311,C4287,C4263,C4239,C4215,C4191)/POBLA!$B$14*100000</f>
        <v>0.87212021939373374</v>
      </c>
      <c r="H4503" s="256">
        <f t="shared" si="453"/>
        <v>2.75</v>
      </c>
      <c r="I4503" s="297">
        <f t="shared" si="456"/>
        <v>2.3983306033327678</v>
      </c>
      <c r="J4503" s="297">
        <f t="shared" si="457"/>
        <v>0.7142857142857143</v>
      </c>
      <c r="K4503" s="297">
        <f>J4503/POBLA!$B$14*100000</f>
        <v>5.6631183077515183E-2</v>
      </c>
      <c r="L4503" s="549">
        <f t="shared" si="454"/>
        <v>0.16666666666666663</v>
      </c>
      <c r="M4503" s="401">
        <f>SUM(C4503,C4479,C4455,C4431,C4407,C4383,C4359)/POBLA!$B$14*100000</f>
        <v>0.39641828154260628</v>
      </c>
    </row>
    <row r="4504" spans="1:13" s="360" customFormat="1" x14ac:dyDescent="0.25">
      <c r="A4504" s="19" t="s">
        <v>19</v>
      </c>
      <c r="B4504" s="2">
        <v>44080</v>
      </c>
      <c r="C4504" s="1">
        <v>177</v>
      </c>
      <c r="D4504" s="39">
        <f>C4504+D4480</f>
        <v>3819</v>
      </c>
      <c r="E4504" s="1">
        <f>2+2</f>
        <v>4</v>
      </c>
      <c r="F4504" s="39">
        <f t="shared" si="448"/>
        <v>34</v>
      </c>
      <c r="G4504" s="168">
        <f>SUM(C4504,C4480,C4456,C4432,C4408,C4384,C4360,C4336,C4312,C4288,C4264,C4240,C4216,C4192)/POBLA!$B$15*100000</f>
        <v>232.05839257774556</v>
      </c>
      <c r="H4504" s="256">
        <f t="shared" si="453"/>
        <v>1.895448954489545</v>
      </c>
      <c r="I4504" s="297">
        <f t="shared" si="456"/>
        <v>439.85483759201219</v>
      </c>
      <c r="J4504" s="297">
        <f t="shared" si="457"/>
        <v>126.71428571428571</v>
      </c>
      <c r="K4504" s="297">
        <f>J4504/POBLA!$B$15*100000</f>
        <v>19.08183871479191</v>
      </c>
      <c r="L4504" s="549">
        <f t="shared" si="454"/>
        <v>-0.35626911314984699</v>
      </c>
      <c r="M4504" s="401">
        <f>SUM(C4504,C4480,C4456,C4432,C4408,C4384,C4360)/POBLA!$B$15*100000</f>
        <v>133.57287100354336</v>
      </c>
    </row>
    <row r="4505" spans="1:13" s="360" customFormat="1" x14ac:dyDescent="0.25">
      <c r="A4505" s="19" t="s">
        <v>18</v>
      </c>
      <c r="B4505" s="2">
        <v>44080</v>
      </c>
      <c r="C4505" s="1">
        <v>54</v>
      </c>
      <c r="D4505" s="39">
        <f>C4505+D4481</f>
        <v>6991</v>
      </c>
      <c r="E4505" s="1">
        <f>1+1</f>
        <v>2</v>
      </c>
      <c r="F4505" s="39">
        <f t="shared" si="448"/>
        <v>125</v>
      </c>
      <c r="G4505" s="168">
        <f>SUM(C4505,C4481,C4457,C4433,C4409,C4385,C4361,C4337,C4313,C4289,C4265,C4241,C4217,C4193)/POBLA!$B$16*100000</f>
        <v>306.04192025253809</v>
      </c>
      <c r="H4505" s="256">
        <f t="shared" si="453"/>
        <v>1.2711111111111111</v>
      </c>
      <c r="I4505" s="297">
        <f t="shared" si="456"/>
        <v>389.01328529878174</v>
      </c>
      <c r="J4505" s="297">
        <f t="shared" si="457"/>
        <v>160.14285714285714</v>
      </c>
      <c r="K4505" s="297">
        <f>J4505/POBLA!$B$16*100000</f>
        <v>21.420641396297153</v>
      </c>
      <c r="L4505" s="549">
        <f t="shared" si="454"/>
        <v>3.94173093401885E-2</v>
      </c>
      <c r="M4505" s="401">
        <f>SUM(C4505,C4481,C4457,C4433,C4409,C4385,C4361)/POBLA!$B$16*100000</f>
        <v>149.94448977408007</v>
      </c>
    </row>
    <row r="4506" spans="1:13" s="360" customFormat="1" x14ac:dyDescent="0.25">
      <c r="A4506" s="19" t="s">
        <v>34</v>
      </c>
      <c r="B4506" s="2">
        <v>44080</v>
      </c>
      <c r="C4506" s="1">
        <v>156</v>
      </c>
      <c r="D4506" s="39">
        <f>C4506+D4482</f>
        <v>4632</v>
      </c>
      <c r="E4506" s="1">
        <f>1+2</f>
        <v>3</v>
      </c>
      <c r="F4506" s="39">
        <f>E4506+F4482</f>
        <v>59</v>
      </c>
      <c r="G4506" s="168">
        <f>SUM(C4506,C4482,C4458,C4434,C4410,C4386,C4362,C4338,C4314,C4290,C4266,C4242,C4218,C4194)/POBLA!$B$17*100000</f>
        <v>196.22338435141324</v>
      </c>
      <c r="H4506" s="256">
        <f t="shared" si="453"/>
        <v>2.2270916334661353</v>
      </c>
      <c r="I4506" s="297">
        <f t="shared" si="456"/>
        <v>437.00745757944219</v>
      </c>
      <c r="J4506" s="297">
        <f t="shared" si="457"/>
        <v>210.14285714285714</v>
      </c>
      <c r="K4506" s="297">
        <f>J4506/POBLA!$B$17*100000</f>
        <v>14.753110062914844</v>
      </c>
      <c r="L4506" s="549">
        <f t="shared" si="454"/>
        <v>-0.11102719033232633</v>
      </c>
      <c r="M4506" s="401">
        <f>SUM(C4506,C4482,C4458,C4434,C4410,C4386,C4362)/POBLA!$B$17*100000</f>
        <v>103.27177044040391</v>
      </c>
    </row>
    <row r="4507" spans="1:13" s="360" customFormat="1" x14ac:dyDescent="0.25">
      <c r="A4507" s="19" t="s">
        <v>35</v>
      </c>
      <c r="B4507" s="2">
        <v>44080</v>
      </c>
      <c r="C4507" s="1">
        <v>4</v>
      </c>
      <c r="D4507" s="39">
        <f t="shared" ref="D4507:D4513" si="458">C4507+D4483</f>
        <v>377</v>
      </c>
      <c r="E4507" s="1"/>
      <c r="F4507" s="39">
        <f>E4507+F4483</f>
        <v>0</v>
      </c>
      <c r="G4507" s="168">
        <f>SUM(C4507,C4483,C4459,C4435,C4411,C4387,C4363,C4339,C4315,C4291,C4267,C4243,C4219,C4195)/POBLA!$B$18*100000</f>
        <v>40.833724816536247</v>
      </c>
      <c r="H4507" s="256">
        <f t="shared" si="453"/>
        <v>8.8611111111111107</v>
      </c>
      <c r="I4507" s="297">
        <f t="shared" si="456"/>
        <v>361.83217267986282</v>
      </c>
      <c r="J4507" s="297">
        <f t="shared" si="457"/>
        <v>22.285714285714285</v>
      </c>
      <c r="K4507" s="297">
        <f>J4507/POBLA!$B$18*100000</f>
        <v>2.8526919262783945</v>
      </c>
      <c r="L4507" s="549">
        <f t="shared" si="454"/>
        <v>4.2944785276073594E-2</v>
      </c>
      <c r="M4507" s="401">
        <f>SUM(C4507,C4483,C4459,C4435,C4411,C4387,C4363)/POBLA!$B$18*100000</f>
        <v>19.96884348394876</v>
      </c>
    </row>
    <row r="4508" spans="1:13" s="360" customFormat="1" x14ac:dyDescent="0.25">
      <c r="A4508" s="19" t="s">
        <v>36</v>
      </c>
      <c r="B4508" s="2">
        <v>44080</v>
      </c>
      <c r="C4508" s="1">
        <v>2</v>
      </c>
      <c r="D4508" s="39">
        <f t="shared" si="458"/>
        <v>247</v>
      </c>
      <c r="E4508" s="1"/>
      <c r="F4508" s="39">
        <f>E4508+F4484</f>
        <v>0</v>
      </c>
      <c r="G4508" s="168">
        <f>SUM(C4508,C4484,C4460,C4436,C4412,C4388,C4364,C4340,C4316,C4292,C4268,C4244,C4220,C4196)/POBLA!$B$19*100000</f>
        <v>40.131568593506557</v>
      </c>
      <c r="H4508" s="256">
        <f t="shared" si="453"/>
        <v>22.666666666666668</v>
      </c>
      <c r="I4508" s="297">
        <f t="shared" si="456"/>
        <v>909.64888811948197</v>
      </c>
      <c r="J4508" s="297">
        <f t="shared" si="457"/>
        <v>23.142857142857142</v>
      </c>
      <c r="K4508" s="297">
        <f>J4508/POBLA!$B$19*100000</f>
        <v>4.5527409748936005</v>
      </c>
      <c r="L4508" s="549">
        <f t="shared" si="454"/>
        <v>-2.8571428571428572</v>
      </c>
      <c r="M4508" s="401">
        <f>SUM(C4508,C4484,C4460,C4436,C4412,C4388,C4364)/POBLA!$B$19*100000</f>
        <v>31.869186824255202</v>
      </c>
    </row>
    <row r="4509" spans="1:13" s="360" customFormat="1" x14ac:dyDescent="0.25">
      <c r="A4509" s="19" t="s">
        <v>37</v>
      </c>
      <c r="B4509" s="2">
        <v>44080</v>
      </c>
      <c r="C4509" s="1">
        <v>121</v>
      </c>
      <c r="D4509" s="39">
        <f t="shared" si="458"/>
        <v>2288</v>
      </c>
      <c r="E4509" s="1"/>
      <c r="F4509" s="39">
        <f t="shared" ref="F4509:F4515" si="459">E4509+F4485</f>
        <v>16</v>
      </c>
      <c r="G4509" s="168">
        <f>SUM(C4509,C4485,C4461,C4437,C4413,C4389,C4365,C4341,C4317,C4293,C4269,C4245,C4221,C4197)/POBLA!$B$20*100000</f>
        <v>260.87099191135854</v>
      </c>
      <c r="H4509" s="256">
        <f t="shared" si="453"/>
        <v>1.6363636363636365</v>
      </c>
      <c r="I4509" s="297">
        <f t="shared" si="456"/>
        <v>426.87980494585946</v>
      </c>
      <c r="J4509" s="297">
        <f t="shared" si="457"/>
        <v>79.142857142857139</v>
      </c>
      <c r="K4509" s="297">
        <f>J4509/POBLA!$B$20*100000</f>
        <v>21.641588726997998</v>
      </c>
      <c r="L4509" s="549">
        <f t="shared" si="454"/>
        <v>-0.38500000000000001</v>
      </c>
      <c r="M4509" s="401">
        <f>SUM(C4509,C4485,C4461,C4437,C4413,C4389,C4365)/POBLA!$B$20*100000</f>
        <v>151.49112108898598</v>
      </c>
    </row>
    <row r="4510" spans="1:13" s="360" customFormat="1" x14ac:dyDescent="0.25">
      <c r="A4510" s="19" t="s">
        <v>22</v>
      </c>
      <c r="B4510" s="2">
        <v>44080</v>
      </c>
      <c r="C4510" s="1">
        <v>615</v>
      </c>
      <c r="D4510" s="39">
        <f t="shared" si="458"/>
        <v>12119</v>
      </c>
      <c r="E4510" s="1">
        <f>1+4+6</f>
        <v>11</v>
      </c>
      <c r="F4510" s="39">
        <f t="shared" si="459"/>
        <v>130</v>
      </c>
      <c r="G4510" s="168">
        <f>SUM(C4510,C4486,C4462,C4438,C4414,C4390,C4366,C4342,C4318,C4294,C4270,C4246,C4222,C4198)/POBLA!$B$21*100000</f>
        <v>206.48011632109097</v>
      </c>
      <c r="H4510" s="256">
        <f t="shared" si="453"/>
        <v>2.7236105930622903</v>
      </c>
      <c r="I4510" s="297">
        <f t="shared" si="456"/>
        <v>562.3714320688573</v>
      </c>
      <c r="J4510" s="297">
        <f t="shared" si="457"/>
        <v>669.85714285714289</v>
      </c>
      <c r="K4510" s="297">
        <f>J4510/POBLA!$B$21*100000</f>
        <v>18.941684576233435</v>
      </c>
      <c r="L4510" s="549">
        <f t="shared" si="454"/>
        <v>-0.79448909299655579</v>
      </c>
      <c r="M4510" s="401">
        <f>SUM(C4510,C4486,C4462,C4438,C4414,C4390,C4366)/POBLA!$B$21*100000</f>
        <v>132.59179203363405</v>
      </c>
    </row>
    <row r="4511" spans="1:13" s="360" customFormat="1" x14ac:dyDescent="0.25">
      <c r="A4511" s="19" t="s">
        <v>38</v>
      </c>
      <c r="B4511" s="2">
        <v>44080</v>
      </c>
      <c r="C4511" s="1">
        <v>76</v>
      </c>
      <c r="D4511" s="39">
        <f t="shared" si="458"/>
        <v>1295</v>
      </c>
      <c r="E4511" s="1">
        <f>1</f>
        <v>1</v>
      </c>
      <c r="F4511" s="39">
        <f t="shared" si="459"/>
        <v>17</v>
      </c>
      <c r="G4511" s="168">
        <f>SUM(C4511,C4487,C4463,C4439,C4415,C4391,C4367,C4343,C4319,C4295,C4271,C4247,C4223,C4199)/POBLA!$B$22*100000</f>
        <v>79.524651108592039</v>
      </c>
      <c r="H4511" s="256">
        <f t="shared" si="453"/>
        <v>2.0419947506561682</v>
      </c>
      <c r="I4511" s="297">
        <f t="shared" si="456"/>
        <v>162.38892011150818</v>
      </c>
      <c r="J4511" s="297">
        <f t="shared" si="457"/>
        <v>56.714285714285715</v>
      </c>
      <c r="K4511" s="297">
        <f>J4511/POBLA!$B$22*100000</f>
        <v>5.7971513937038264</v>
      </c>
      <c r="L4511" s="549">
        <f t="shared" si="454"/>
        <v>-4.1994750656167978E-2</v>
      </c>
      <c r="M4511" s="401">
        <f>SUM(C4511,C4487,C4463,C4439,C4415,C4391,C4367)/POBLA!$B$22*100000</f>
        <v>40.580059755926783</v>
      </c>
    </row>
    <row r="4512" spans="1:13" s="360" customFormat="1" x14ac:dyDescent="0.25">
      <c r="A4512" s="19" t="s">
        <v>39</v>
      </c>
      <c r="B4512" s="2">
        <v>44080</v>
      </c>
      <c r="C4512" s="1">
        <v>49</v>
      </c>
      <c r="D4512" s="39">
        <f t="shared" si="458"/>
        <v>2345</v>
      </c>
      <c r="E4512" s="1">
        <f>1</f>
        <v>1</v>
      </c>
      <c r="F4512" s="39">
        <f t="shared" si="459"/>
        <v>38</v>
      </c>
      <c r="G4512" s="168">
        <f>SUM(C4512,C4488,C4464,C4440,C4416,C4392,C4368,C4344,C4320,C4296,C4272,C4248,C4224,C4200)/POBLA!$B$23*100000</f>
        <v>365.88814115251938</v>
      </c>
      <c r="H4512" s="256">
        <f t="shared" si="453"/>
        <v>0.91126760563380282</v>
      </c>
      <c r="I4512" s="297">
        <f t="shared" si="456"/>
        <v>333.42201031785919</v>
      </c>
      <c r="J4512" s="297">
        <f t="shared" si="457"/>
        <v>51.857142857142854</v>
      </c>
      <c r="K4512" s="297">
        <f>J4512/POBLA!$B$23*100000</f>
        <v>29.325987025472404</v>
      </c>
      <c r="L4512" s="549">
        <f t="shared" si="454"/>
        <v>-0.278169014084507</v>
      </c>
      <c r="M4512" s="401">
        <f>SUM(C4512,C4488,C4464,C4440,C4416,C4392,C4368)/POBLA!$B$23*100000</f>
        <v>205.28190917830685</v>
      </c>
    </row>
    <row r="4513" spans="1:13" s="360" customFormat="1" ht="15.75" thickBot="1" x14ac:dyDescent="0.3">
      <c r="A4513" s="19" t="s">
        <v>40</v>
      </c>
      <c r="B4513" s="2">
        <v>44080</v>
      </c>
      <c r="C4513" s="1">
        <v>262</v>
      </c>
      <c r="D4513" s="39">
        <f t="shared" si="458"/>
        <v>3954</v>
      </c>
      <c r="E4513" s="1"/>
      <c r="F4513" s="39">
        <f t="shared" si="459"/>
        <v>15</v>
      </c>
      <c r="G4513" s="177">
        <f>SUM(C4513,C4489,C4465,C4441,C4417,C4393,C4369,C4345,C4321,C4297,C4273,C4249,C4225,C4201)/POBLA!$B$24*100000</f>
        <v>171.18518448581895</v>
      </c>
      <c r="H4513" s="402">
        <f t="shared" si="453"/>
        <v>4.3954545454545455</v>
      </c>
      <c r="I4513" s="403">
        <f t="shared" si="456"/>
        <v>752.43669726266785</v>
      </c>
      <c r="J4513" s="403">
        <f t="shared" si="457"/>
        <v>280.14285714285717</v>
      </c>
      <c r="K4513" s="403">
        <f>J4513/POBLA!$B$24*100000</f>
        <v>16.530957146633721</v>
      </c>
      <c r="L4513" s="550">
        <f t="shared" si="454"/>
        <v>-1.0861702127659574</v>
      </c>
      <c r="M4513" s="405">
        <f>SUM(C4513,C4489,C4465,C4441,C4417,C4393,C4369)/POBLA!$B$24*100000</f>
        <v>115.71670002643606</v>
      </c>
    </row>
    <row r="4514" spans="1:13" s="360" customFormat="1" x14ac:dyDescent="0.25">
      <c r="A4514" s="361" t="s">
        <v>16</v>
      </c>
      <c r="B4514" s="2">
        <v>44081</v>
      </c>
      <c r="C4514" s="1">
        <v>4633</v>
      </c>
      <c r="D4514" s="39">
        <f>C4514+D4490</f>
        <v>297079</v>
      </c>
      <c r="E4514" s="1">
        <f>7+9+64+60</f>
        <v>140</v>
      </c>
      <c r="F4514" s="39">
        <f t="shared" si="459"/>
        <v>6078</v>
      </c>
      <c r="G4514" s="175">
        <f>SUM(C4514,C4490,C4466,C4442,C4418,C4394,C4370,C4346,C4322,C4298,C4274,C4250,C4226,C4202)/POBLA!$B$1*100000</f>
        <v>448.5854141415316</v>
      </c>
      <c r="H4514" s="300">
        <f t="shared" ref="H4514:H4537" si="460">SUM(C4514,C4490,C4466,C4442,C4418,C4394,C4370,C4346,C4322,C4298,C4274,C4250,C4226,C4202)/SUM(C4178,C4154,C4130,C4106,C4082,C4058,C4034,C4010,C3986,C3962,C3938,C3914,C3890,C3866)</f>
        <v>1.2747169077743039</v>
      </c>
      <c r="I4514" s="301">
        <f>G4514*H4514</f>
        <v>571.81941198714867</v>
      </c>
      <c r="J4514" s="301">
        <f>AVERAGE(C4514,C4490,C4466,C4442,C4418,C4394,C4370)</f>
        <v>5469.4285714285716</v>
      </c>
      <c r="K4514" s="301">
        <f>J4514/POBLA!$B$1*100000</f>
        <v>31.18057469253894</v>
      </c>
      <c r="L4514" s="548">
        <f t="shared" ref="L4514:L4537" si="461">1-SUM(C4514,C4490,C4466,C4442,C4418,C4394,C4370)/SUM(C4346,C4322,C4298,C4274,C4250,C4226,C4202)</f>
        <v>5.2350189351748733E-2</v>
      </c>
      <c r="M4514" s="400">
        <f>SUM(C4514,C4490,C4466,C4442,C4418,C4394,C4370)/POBLA!$B$1*100000</f>
        <v>218.26402284777254</v>
      </c>
    </row>
    <row r="4515" spans="1:13" s="360" customFormat="1" x14ac:dyDescent="0.25">
      <c r="A4515" s="19" t="s">
        <v>43</v>
      </c>
      <c r="B4515" s="2">
        <v>44081</v>
      </c>
      <c r="C4515" s="1">
        <v>1089</v>
      </c>
      <c r="D4515" s="39">
        <f t="shared" ref="D4515:D4527" si="462">C4515+D4491</f>
        <v>104009</v>
      </c>
      <c r="E4515" s="1">
        <v>64</v>
      </c>
      <c r="F4515" s="39">
        <f t="shared" si="459"/>
        <v>2501</v>
      </c>
      <c r="G4515" s="168">
        <f>SUM(C4515,C4491,C4467,C4443,C4419,C4395,C4371,C4347,C4323,C4299,C4275,C4251,C4227,C4203)/POBLA!$B$2*100000</f>
        <v>577.14704488097777</v>
      </c>
      <c r="H4515" s="256">
        <f t="shared" si="460"/>
        <v>1.1708330585053757</v>
      </c>
      <c r="I4515" s="297">
        <f t="shared" ref="I4515:I4537" si="463">G4515*H4515</f>
        <v>675.74283976533457</v>
      </c>
      <c r="J4515" s="297">
        <f t="shared" ref="J4515:J4537" si="464">AVERAGE(C4515,C4491,C4467,C4443,C4419,C4395,C4371)</f>
        <v>1200.7142857142858</v>
      </c>
      <c r="K4515" s="297">
        <f>J4515/POBLA!$B$2*100000</f>
        <v>39.039417595987508</v>
      </c>
      <c r="L4515" s="549">
        <f t="shared" si="461"/>
        <v>0.10068478493473143</v>
      </c>
      <c r="M4515" s="401">
        <f>SUM(C4515,C4491,C4467,C4443,C4419,C4395,C4371)/POBLA!$B$2*100000</f>
        <v>273.2759231719125</v>
      </c>
    </row>
    <row r="4516" spans="1:13" s="360" customFormat="1" x14ac:dyDescent="0.25">
      <c r="A4516" s="19" t="s">
        <v>28</v>
      </c>
      <c r="B4516" s="2">
        <v>44081</v>
      </c>
      <c r="C4516" s="1">
        <v>2</v>
      </c>
      <c r="D4516" s="39">
        <f t="shared" si="462"/>
        <v>88</v>
      </c>
      <c r="E4516" s="1"/>
      <c r="F4516" s="39">
        <f t="shared" ref="F4516:F4553" si="465">E4516+F4492</f>
        <v>0</v>
      </c>
      <c r="G4516" s="168">
        <f>SUM(C4516,C4492,C4468,C4444,C4420,C4396,C4372,C4348,C4324,C4300,C4276,C4252,C4228,C4204)/POBLA!$B$3*100000</f>
        <v>5.777035321756796</v>
      </c>
      <c r="H4516" s="256">
        <f t="shared" si="460"/>
        <v>12</v>
      </c>
      <c r="I4516" s="297">
        <f t="shared" si="463"/>
        <v>69.324423861081556</v>
      </c>
      <c r="J4516" s="297">
        <f t="shared" si="464"/>
        <v>3.1428571428571428</v>
      </c>
      <c r="K4516" s="297">
        <f>J4516/POBLA!$B$3*100000</f>
        <v>0.75651653023005672</v>
      </c>
      <c r="L4516" s="549">
        <f t="shared" si="461"/>
        <v>-10</v>
      </c>
      <c r="M4516" s="401">
        <f>SUM(C4516,C4492,C4468,C4444,C4420,C4396,C4372)/POBLA!$B$3*100000</f>
        <v>5.295615711610397</v>
      </c>
    </row>
    <row r="4517" spans="1:13" s="360" customFormat="1" x14ac:dyDescent="0.25">
      <c r="A4517" s="19" t="s">
        <v>15</v>
      </c>
      <c r="B4517" s="2">
        <v>44081</v>
      </c>
      <c r="C4517" s="1">
        <v>42</v>
      </c>
      <c r="D4517" s="39">
        <f t="shared" si="462"/>
        <v>6056</v>
      </c>
      <c r="E4517" s="1">
        <v>1</v>
      </c>
      <c r="F4517" s="39">
        <f t="shared" si="465"/>
        <v>226</v>
      </c>
      <c r="G4517" s="168">
        <f>SUM(C4517,C4493,C4469,C4445,C4421,C4397,C4373,C4349,C4325,C4301,C4277,C4253,C4229,C4205)/POBLA!$B$4*100000</f>
        <v>94.807897780150284</v>
      </c>
      <c r="H4517" s="256">
        <f t="shared" si="460"/>
        <v>1.3775633293124245</v>
      </c>
      <c r="I4517" s="297">
        <f t="shared" si="463"/>
        <v>130.60388331113586</v>
      </c>
      <c r="J4517" s="297">
        <f t="shared" si="464"/>
        <v>91.285714285714292</v>
      </c>
      <c r="K4517" s="297">
        <f>J4517/POBLA!$B$4*100000</f>
        <v>7.5784646837022809</v>
      </c>
      <c r="L4517" s="549">
        <f t="shared" si="461"/>
        <v>-0.27037773359840944</v>
      </c>
      <c r="M4517" s="401">
        <f>SUM(C4517,C4493,C4469,C4445,C4421,C4397,C4373)/POBLA!$B$4*100000</f>
        <v>53.049252785915961</v>
      </c>
    </row>
    <row r="4518" spans="1:13" s="360" customFormat="1" x14ac:dyDescent="0.25">
      <c r="A4518" s="19" t="s">
        <v>29</v>
      </c>
      <c r="B4518" s="2">
        <v>44081</v>
      </c>
      <c r="C4518" s="1">
        <v>57</v>
      </c>
      <c r="D4518" s="39">
        <f t="shared" si="462"/>
        <v>1274</v>
      </c>
      <c r="E4518" s="1">
        <v>1</v>
      </c>
      <c r="F4518" s="39">
        <f t="shared" si="465"/>
        <v>8</v>
      </c>
      <c r="G4518" s="168">
        <f>SUM(C4518,C4494,C4470,C4446,C4422,C4398,C4374,C4350,C4326,C4302,C4278,C4254,C4230,C4206)/POBLA!$B$5*100000</f>
        <v>117.61018685156883</v>
      </c>
      <c r="H4518" s="256">
        <f t="shared" si="460"/>
        <v>3.7142857142857144</v>
      </c>
      <c r="I4518" s="297">
        <f t="shared" si="463"/>
        <v>436.83783687725565</v>
      </c>
      <c r="J4518" s="297">
        <f t="shared" si="464"/>
        <v>53.571428571428569</v>
      </c>
      <c r="K4518" s="297">
        <f>J4518/POBLA!$B$5*100000</f>
        <v>8.6545957749878948</v>
      </c>
      <c r="L4518" s="549">
        <f t="shared" si="461"/>
        <v>-6.2322946175637384E-2</v>
      </c>
      <c r="M4518" s="401">
        <f>SUM(C4518,C4494,C4470,C4446,C4422,C4398,C4374)/POBLA!$B$5*100000</f>
        <v>60.582170424915269</v>
      </c>
    </row>
    <row r="4519" spans="1:13" s="360" customFormat="1" x14ac:dyDescent="0.25">
      <c r="A4519" s="19" t="s">
        <v>20</v>
      </c>
      <c r="B4519" s="2">
        <v>44081</v>
      </c>
      <c r="C4519" s="1">
        <v>456</v>
      </c>
      <c r="D4519" s="39">
        <f t="shared" si="462"/>
        <v>11608</v>
      </c>
      <c r="E4519" s="1">
        <f>4+1</f>
        <v>5</v>
      </c>
      <c r="F4519" s="39">
        <f t="shared" si="465"/>
        <v>164</v>
      </c>
      <c r="G4519" s="168">
        <f>SUM(C4519,C4495,C4471,C4447,C4423,C4399,C4375,C4351,C4327,C4303,C4279,C4255,C4231,C4207)/POBLA!$B$6*100000</f>
        <v>490.18514437442508</v>
      </c>
      <c r="H4519" s="256">
        <f t="shared" si="460"/>
        <v>2.2590460526315788</v>
      </c>
      <c r="I4519" s="297">
        <f t="shared" si="463"/>
        <v>1107.3508154576855</v>
      </c>
      <c r="J4519" s="297">
        <f t="shared" si="464"/>
        <v>440.85714285714283</v>
      </c>
      <c r="K4519" s="297">
        <f>J4519/POBLA!$B$6*100000</f>
        <v>39.334113982512761</v>
      </c>
      <c r="L4519" s="549">
        <f t="shared" si="461"/>
        <v>-0.28156146179401986</v>
      </c>
      <c r="M4519" s="401">
        <f>SUM(C4519,C4495,C4471,C4447,C4423,C4399,C4375)/POBLA!$B$6*100000</f>
        <v>275.33879787758934</v>
      </c>
    </row>
    <row r="4520" spans="1:13" s="360" customFormat="1" x14ac:dyDescent="0.25">
      <c r="A4520" s="19" t="s">
        <v>30</v>
      </c>
      <c r="B4520" s="2">
        <v>44081</v>
      </c>
      <c r="C4520" s="1">
        <v>41</v>
      </c>
      <c r="D4520" s="39">
        <f t="shared" si="462"/>
        <v>386</v>
      </c>
      <c r="E4520" s="1"/>
      <c r="F4520" s="39">
        <f t="shared" si="465"/>
        <v>5</v>
      </c>
      <c r="G4520" s="168">
        <f>SUM(C4520,C4496,C4472,C4448,C4424,C4400,C4376,C4352,C4328,C4304,C4280,C4256,C4232,C4208)/POBLA!$B$7*100000</f>
        <v>3.3772553816697473</v>
      </c>
      <c r="H4520" s="256">
        <f t="shared" si="460"/>
        <v>2.8863636363636362</v>
      </c>
      <c r="I4520" s="297">
        <f t="shared" si="463"/>
        <v>9.7479871243649523</v>
      </c>
      <c r="J4520" s="297">
        <f t="shared" si="464"/>
        <v>10.714285714285714</v>
      </c>
      <c r="K4520" s="297">
        <f>J4520/POBLA!$B$7*100000</f>
        <v>0.28492030778991112</v>
      </c>
      <c r="L4520" s="549">
        <f t="shared" si="461"/>
        <v>-0.44230769230769229</v>
      </c>
      <c r="M4520" s="401">
        <f>SUM(C4520,C4496,C4472,C4448,C4424,C4400,C4376)/POBLA!$B$7*100000</f>
        <v>1.9944421545293782</v>
      </c>
    </row>
    <row r="4521" spans="1:13" x14ac:dyDescent="0.25">
      <c r="A4521" s="19" t="s">
        <v>31</v>
      </c>
      <c r="B4521" s="2">
        <v>44081</v>
      </c>
      <c r="C4521" s="1">
        <v>60</v>
      </c>
      <c r="D4521" s="39">
        <f t="shared" si="462"/>
        <v>4353</v>
      </c>
      <c r="E4521" s="1">
        <f>1+2</f>
        <v>3</v>
      </c>
      <c r="F4521" s="39">
        <f t="shared" si="465"/>
        <v>63</v>
      </c>
      <c r="G4521" s="168">
        <f>SUM(C4521,C4497,C4473,C4449,C4425,C4401,C4377,C4353,C4329,C4305,C4281,C4257,C4233,C4209)/POBLA!$B$8*100000</f>
        <v>142.21179383835477</v>
      </c>
      <c r="H4521" s="256">
        <f t="shared" si="460"/>
        <v>1.6803069053708439</v>
      </c>
      <c r="I4521" s="297">
        <f t="shared" si="463"/>
        <v>238.95945921176235</v>
      </c>
      <c r="J4521" s="297">
        <f t="shared" si="464"/>
        <v>145</v>
      </c>
      <c r="K4521" s="297">
        <f>J4521/POBLA!$B$8*100000</f>
        <v>10.462054848585206</v>
      </c>
      <c r="L4521" s="549">
        <f t="shared" si="461"/>
        <v>-6.1715481171548126E-2</v>
      </c>
      <c r="M4521" s="401">
        <f>SUM(C4521,C4497,C4473,C4449,C4425,C4401,C4377)/POBLA!$B$8*100000</f>
        <v>73.234383940096436</v>
      </c>
    </row>
    <row r="4522" spans="1:13" s="360" customFormat="1" x14ac:dyDescent="0.25">
      <c r="A4522" s="19" t="s">
        <v>41</v>
      </c>
      <c r="B4522" s="2">
        <v>44081</v>
      </c>
      <c r="C4522" s="1">
        <v>0</v>
      </c>
      <c r="D4522" s="39">
        <f t="shared" si="462"/>
        <v>90</v>
      </c>
      <c r="E4522" s="1"/>
      <c r="F4522" s="39">
        <f>E4522+F4498</f>
        <v>1</v>
      </c>
      <c r="G4522" s="168">
        <f>SUM(C4522,C4498,C4474,C4450,C4426,C4402,C4378,C4354,C4330,C4306,C4282,C4258,C4234,C4210)/POBLA!$B$9*100000</f>
        <v>0.99141926625060106</v>
      </c>
      <c r="H4522" s="256" t="e">
        <f t="shared" si="460"/>
        <v>#DIV/0!</v>
      </c>
      <c r="I4522" s="297" t="e">
        <f t="shared" si="463"/>
        <v>#DIV/0!</v>
      </c>
      <c r="J4522" s="297">
        <f t="shared" si="464"/>
        <v>0.8571428571428571</v>
      </c>
      <c r="K4522" s="297">
        <f>J4522/POBLA!$B$9*100000</f>
        <v>0.14163132375008586</v>
      </c>
      <c r="L4522" s="549" t="e">
        <f t="shared" si="461"/>
        <v>#DIV/0!</v>
      </c>
      <c r="M4522" s="401">
        <f>SUM(C4522,C4498,C4474,C4450,C4426,C4402,C4378)/POBLA!$B$9*100000</f>
        <v>0.99141926625060106</v>
      </c>
    </row>
    <row r="4523" spans="1:13" s="360" customFormat="1" x14ac:dyDescent="0.25">
      <c r="A4523" s="19" t="s">
        <v>32</v>
      </c>
      <c r="B4523" s="2">
        <v>44081</v>
      </c>
      <c r="C4523" s="1">
        <v>355</v>
      </c>
      <c r="D4523" s="39">
        <f t="shared" si="462"/>
        <v>10480</v>
      </c>
      <c r="E4523" s="1">
        <f>3+3</f>
        <v>6</v>
      </c>
      <c r="F4523" s="39">
        <f t="shared" si="465"/>
        <v>225</v>
      </c>
      <c r="G4523" s="168">
        <f>SUM(C4523,C4499,C4475,C4451,C4427,C4403,C4379,C4355,C4331,C4307,C4283,C4259,C4235,C4211)/POBLA!$B$10*100000</f>
        <v>500.33662783231131</v>
      </c>
      <c r="H4523" s="256">
        <f t="shared" si="460"/>
        <v>1.2629338572364113</v>
      </c>
      <c r="I4523" s="297">
        <f t="shared" si="463"/>
        <v>631.89206730491969</v>
      </c>
      <c r="J4523" s="297">
        <f t="shared" si="464"/>
        <v>294.57142857142856</v>
      </c>
      <c r="K4523" s="297">
        <f>J4523/POBLA!$B$10*100000</f>
        <v>38.212308848113857</v>
      </c>
      <c r="L4523" s="549">
        <f t="shared" si="461"/>
        <v>-0.1487465181058496</v>
      </c>
      <c r="M4523" s="401">
        <f>SUM(C4523,C4499,C4475,C4451,C4427,C4403,C4379)/POBLA!$B$10*100000</f>
        <v>267.48616193679698</v>
      </c>
    </row>
    <row r="4524" spans="1:13" s="360" customFormat="1" x14ac:dyDescent="0.25">
      <c r="A4524" s="19" t="s">
        <v>33</v>
      </c>
      <c r="B4524" s="2">
        <v>44081</v>
      </c>
      <c r="C4524" s="1">
        <v>9</v>
      </c>
      <c r="D4524" s="39">
        <f t="shared" si="462"/>
        <v>243</v>
      </c>
      <c r="E4524" s="1"/>
      <c r="F4524" s="39">
        <f t="shared" si="465"/>
        <v>4</v>
      </c>
      <c r="G4524" s="168">
        <f>SUM(C4524,C4500,C4476,C4452,C4428,C4404,C4380,C4356,C4332,C4308,C4284,C4260,C4236,C4212)/POBLA!$B$11*100000</f>
        <v>13.949803028781233</v>
      </c>
      <c r="H4524" s="256">
        <f t="shared" si="460"/>
        <v>3.8461538461538463</v>
      </c>
      <c r="I4524" s="297">
        <f t="shared" si="463"/>
        <v>53.653088572235511</v>
      </c>
      <c r="J4524" s="297">
        <f t="shared" si="464"/>
        <v>5.5714285714285712</v>
      </c>
      <c r="K4524" s="297">
        <f>J4524/POBLA!$B$11*100000</f>
        <v>1.5544066232070517</v>
      </c>
      <c r="L4524" s="549">
        <f t="shared" si="461"/>
        <v>-2.5454545454545454</v>
      </c>
      <c r="M4524" s="401">
        <f>SUM(C4524,C4500,C4476,C4452,C4428,C4404,C4380)/POBLA!$B$11*100000</f>
        <v>10.880846362449361</v>
      </c>
    </row>
    <row r="4525" spans="1:13" s="360" customFormat="1" x14ac:dyDescent="0.25">
      <c r="A4525" s="19" t="s">
        <v>21</v>
      </c>
      <c r="B4525" s="2">
        <v>44081</v>
      </c>
      <c r="C4525" s="1">
        <v>92</v>
      </c>
      <c r="D4525" s="39">
        <f t="shared" si="462"/>
        <v>2131</v>
      </c>
      <c r="E4525" s="1">
        <f>6+3</f>
        <v>9</v>
      </c>
      <c r="F4525" s="39">
        <f t="shared" si="465"/>
        <v>51</v>
      </c>
      <c r="G4525" s="168">
        <f>SUM(C4525,C4501,C4477,C4453,C4429,C4405,C4381,C4357,C4333,C4309,C4285,C4261,C4237,C4213)/POBLA!$B$12*100000</f>
        <v>252.33082018951492</v>
      </c>
      <c r="H4525" s="256">
        <f t="shared" si="460"/>
        <v>1.604200323101777</v>
      </c>
      <c r="I4525" s="297">
        <f t="shared" si="463"/>
        <v>404.78918327655623</v>
      </c>
      <c r="J4525" s="297">
        <f t="shared" si="464"/>
        <v>77.571428571428569</v>
      </c>
      <c r="K4525" s="297">
        <f>J4525/POBLA!$B$12*100000</f>
        <v>19.71164370060518</v>
      </c>
      <c r="L4525" s="549">
        <f t="shared" si="461"/>
        <v>-0.20666666666666678</v>
      </c>
      <c r="M4525" s="401">
        <f>SUM(C4525,C4501,C4477,C4453,C4429,C4405,C4381)/POBLA!$B$12*100000</f>
        <v>137.98150590423626</v>
      </c>
    </row>
    <row r="4526" spans="1:13" s="360" customFormat="1" x14ac:dyDescent="0.25">
      <c r="A4526" s="19" t="s">
        <v>17</v>
      </c>
      <c r="B4526" s="2">
        <v>44081</v>
      </c>
      <c r="C4526" s="1">
        <v>623</v>
      </c>
      <c r="D4526" s="39">
        <f t="shared" si="462"/>
        <v>10320</v>
      </c>
      <c r="E4526" s="1">
        <f>1+1+3+2</f>
        <v>7</v>
      </c>
      <c r="F4526" s="39">
        <f t="shared" si="465"/>
        <v>97</v>
      </c>
      <c r="G4526" s="168">
        <f>SUM(C4526,C4502,C4478,C4454,C4430,C4406,C4382,C4358,C4334,C4310,C4286,C4262,C4238,C4214)/POBLA!$B$13*100000</f>
        <v>276.88764420917454</v>
      </c>
      <c r="H4526" s="256">
        <f t="shared" si="460"/>
        <v>2.1485380116959063</v>
      </c>
      <c r="I4526" s="297">
        <f t="shared" si="463"/>
        <v>594.90362855234343</v>
      </c>
      <c r="J4526" s="297">
        <f t="shared" si="464"/>
        <v>498.57142857142856</v>
      </c>
      <c r="K4526" s="297">
        <f>J4526/POBLA!$B$13*100000</f>
        <v>25.049585978433239</v>
      </c>
      <c r="L4526" s="549">
        <f t="shared" si="461"/>
        <v>-0.72686788718456219</v>
      </c>
      <c r="M4526" s="401">
        <f>SUM(C4526,C4502,C4478,C4454,C4430,C4406,C4382)/POBLA!$B$13*100000</f>
        <v>175.3471018490327</v>
      </c>
    </row>
    <row r="4527" spans="1:13" s="360" customFormat="1" x14ac:dyDescent="0.25">
      <c r="A4527" s="19" t="s">
        <v>23</v>
      </c>
      <c r="B4527" s="2">
        <v>44081</v>
      </c>
      <c r="C4527" s="1">
        <v>4</v>
      </c>
      <c r="D4527" s="39">
        <f t="shared" si="462"/>
        <v>71</v>
      </c>
      <c r="E4527" s="1"/>
      <c r="F4527" s="39">
        <f t="shared" si="465"/>
        <v>2</v>
      </c>
      <c r="G4527" s="168">
        <f>SUM(C4527,C4503,C4479,C4455,C4431,C4407,C4383,C4359,C4335,C4311,C4287,C4263,C4239,C4215)/POBLA!$B$14*100000</f>
        <v>1.0306875320107762</v>
      </c>
      <c r="H4527" s="256">
        <f t="shared" si="460"/>
        <v>2.6</v>
      </c>
      <c r="I4527" s="297">
        <f t="shared" si="463"/>
        <v>2.6797875832280185</v>
      </c>
      <c r="J4527" s="297">
        <f t="shared" si="464"/>
        <v>1.2857142857142858</v>
      </c>
      <c r="K4527" s="297">
        <f>J4527/POBLA!$B$14*100000</f>
        <v>0.10193612953952733</v>
      </c>
      <c r="L4527" s="549">
        <f t="shared" si="461"/>
        <v>-1.25</v>
      </c>
      <c r="M4527" s="401">
        <f>SUM(C4527,C4503,C4479,C4455,C4431,C4407,C4383)/POBLA!$B$14*100000</f>
        <v>0.71355290677669125</v>
      </c>
    </row>
    <row r="4528" spans="1:13" s="360" customFormat="1" x14ac:dyDescent="0.25">
      <c r="A4528" s="19" t="s">
        <v>19</v>
      </c>
      <c r="B4528" s="2">
        <v>44081</v>
      </c>
      <c r="C4528" s="1">
        <v>140</v>
      </c>
      <c r="D4528" s="39">
        <f>C4528+D4504</f>
        <v>3959</v>
      </c>
      <c r="E4528" s="1">
        <f>2+2</f>
        <v>4</v>
      </c>
      <c r="F4528" s="39">
        <f t="shared" si="465"/>
        <v>38</v>
      </c>
      <c r="G4528" s="168">
        <f>SUM(C4528,C4504,C4480,C4456,C4432,C4408,C4384,C4360,C4336,C4312,C4288,C4264,C4240,C4216)/POBLA!$B$15*100000</f>
        <v>250.88207789391572</v>
      </c>
      <c r="H4528" s="256">
        <f t="shared" si="460"/>
        <v>2.0799001248439453</v>
      </c>
      <c r="I4528" s="297">
        <f t="shared" si="463"/>
        <v>521.80966513266367</v>
      </c>
      <c r="J4528" s="297">
        <f t="shared" si="464"/>
        <v>131.85714285714286</v>
      </c>
      <c r="K4528" s="297">
        <f>J4528/POBLA!$B$15*100000</f>
        <v>19.856298910657195</v>
      </c>
      <c r="L4528" s="549">
        <f t="shared" si="461"/>
        <v>-0.24226110363391662</v>
      </c>
      <c r="M4528" s="401">
        <f>SUM(C4528,C4504,C4480,C4456,C4432,C4408,C4384)/POBLA!$B$15*100000</f>
        <v>138.99409237460037</v>
      </c>
    </row>
    <row r="4529" spans="1:13" s="360" customFormat="1" x14ac:dyDescent="0.25">
      <c r="A4529" s="19" t="s">
        <v>18</v>
      </c>
      <c r="B4529" s="2">
        <v>44081</v>
      </c>
      <c r="C4529" s="1">
        <v>207</v>
      </c>
      <c r="D4529" s="39">
        <f>C4529+D4505</f>
        <v>7198</v>
      </c>
      <c r="E4529" s="1">
        <f>3+2</f>
        <v>5</v>
      </c>
      <c r="F4529" s="39">
        <f t="shared" si="465"/>
        <v>130</v>
      </c>
      <c r="G4529" s="168">
        <f>SUM(C4529,C4505,C4481,C4457,C4433,C4409,C4385,C4361,C4337,C4313,C4289,C4265,C4241,C4217)/POBLA!$B$16*100000</f>
        <v>325.57081900991159</v>
      </c>
      <c r="H4529" s="256">
        <f t="shared" si="460"/>
        <v>1.3861047835990887</v>
      </c>
      <c r="I4529" s="297">
        <f t="shared" si="463"/>
        <v>451.27526962991158</v>
      </c>
      <c r="J4529" s="297">
        <f t="shared" si="464"/>
        <v>171.71428571428572</v>
      </c>
      <c r="K4529" s="297">
        <f>J4529/POBLA!$B$16*100000</f>
        <v>22.968430828143781</v>
      </c>
      <c r="L4529" s="549">
        <f t="shared" si="461"/>
        <v>2.4350649350649345E-2</v>
      </c>
      <c r="M4529" s="401">
        <f>SUM(C4529,C4505,C4481,C4457,C4433,C4409,C4385)/POBLA!$B$16*100000</f>
        <v>160.77901579700645</v>
      </c>
    </row>
    <row r="4530" spans="1:13" s="360" customFormat="1" x14ac:dyDescent="0.25">
      <c r="A4530" s="19" t="s">
        <v>34</v>
      </c>
      <c r="B4530" s="2">
        <v>44081</v>
      </c>
      <c r="C4530" s="1">
        <v>195</v>
      </c>
      <c r="D4530" s="39">
        <f>C4530+D4506</f>
        <v>4827</v>
      </c>
      <c r="E4530" s="1">
        <f>2+2</f>
        <v>4</v>
      </c>
      <c r="F4530" s="39">
        <f>E4530+F4506</f>
        <v>63</v>
      </c>
      <c r="G4530" s="168">
        <f>SUM(C4530,C4506,C4482,C4458,C4434,C4410,C4386,C4362,C4338,C4314,C4290,C4266,C4242,C4218)/POBLA!$B$17*100000</f>
        <v>203.24389899725989</v>
      </c>
      <c r="H4530" s="256">
        <f t="shared" si="460"/>
        <v>2.1799698795180724</v>
      </c>
      <c r="I4530" s="297">
        <f t="shared" si="463"/>
        <v>443.0655780098399</v>
      </c>
      <c r="J4530" s="297">
        <f t="shared" si="464"/>
        <v>215.28571428571428</v>
      </c>
      <c r="K4530" s="297">
        <f>J4530/POBLA!$B$17*100000</f>
        <v>15.114165101844099</v>
      </c>
      <c r="L4530" s="549">
        <f t="shared" si="461"/>
        <v>-8.5734870317002887E-2</v>
      </c>
      <c r="M4530" s="401">
        <f>SUM(C4530,C4506,C4482,C4458,C4434,C4410,C4386)/POBLA!$B$17*100000</f>
        <v>105.79915571290869</v>
      </c>
    </row>
    <row r="4531" spans="1:13" s="360" customFormat="1" x14ac:dyDescent="0.25">
      <c r="A4531" s="19" t="s">
        <v>35</v>
      </c>
      <c r="B4531" s="2">
        <v>44081</v>
      </c>
      <c r="C4531" s="1">
        <v>-13</v>
      </c>
      <c r="D4531" s="39">
        <f t="shared" ref="D4531:D4537" si="466">C4531+D4507</f>
        <v>364</v>
      </c>
      <c r="E4531" s="1"/>
      <c r="F4531" s="39">
        <f>E4531+F4507</f>
        <v>0</v>
      </c>
      <c r="G4531" s="168">
        <f>SUM(C4531,C4507,C4483,C4459,C4435,C4411,C4387,C4363,C4339,C4315,C4291,C4267,C4243,C4219)/POBLA!$B$18*100000</f>
        <v>34.305449062168385</v>
      </c>
      <c r="H4531" s="256">
        <f t="shared" si="460"/>
        <v>3.6216216216216215</v>
      </c>
      <c r="I4531" s="297">
        <f t="shared" si="463"/>
        <v>124.2413560629882</v>
      </c>
      <c r="J4531" s="297">
        <f t="shared" si="464"/>
        <v>20.142857142857142</v>
      </c>
      <c r="K4531" s="297">
        <f>J4531/POBLA!$B$18*100000</f>
        <v>2.5783946256747026</v>
      </c>
      <c r="L4531" s="549">
        <f t="shared" si="461"/>
        <v>-0.11023622047244097</v>
      </c>
      <c r="M4531" s="401">
        <f>SUM(C4531,C4507,C4483,C4459,C4435,C4411,C4387)/POBLA!$B$18*100000</f>
        <v>18.04876237972292</v>
      </c>
    </row>
    <row r="4532" spans="1:13" s="360" customFormat="1" x14ac:dyDescent="0.25">
      <c r="A4532" s="19" t="s">
        <v>36</v>
      </c>
      <c r="B4532" s="2">
        <v>44081</v>
      </c>
      <c r="C4532" s="1">
        <v>60</v>
      </c>
      <c r="D4532" s="39">
        <f t="shared" si="466"/>
        <v>307</v>
      </c>
      <c r="E4532" s="1"/>
      <c r="F4532" s="39">
        <f t="shared" si="465"/>
        <v>0</v>
      </c>
      <c r="G4532" s="168">
        <f>SUM(C4532,C4508,C4484,C4460,C4436,C4412,C4388,C4364,C4340,C4316,C4292,C4268,C4244,C4220)/POBLA!$B$19*100000</f>
        <v>52.328417871925211</v>
      </c>
      <c r="H4532" s="256">
        <f t="shared" si="460"/>
        <v>26.6</v>
      </c>
      <c r="I4532" s="297">
        <f t="shared" si="463"/>
        <v>1391.9359153932107</v>
      </c>
      <c r="J4532" s="297">
        <f t="shared" si="464"/>
        <v>22.857142857142858</v>
      </c>
      <c r="K4532" s="297">
        <f>J4532/POBLA!$B$19*100000</f>
        <v>4.4965342961912107</v>
      </c>
      <c r="L4532" s="549">
        <f t="shared" si="461"/>
        <v>-0.50943396226415105</v>
      </c>
      <c r="M4532" s="401">
        <f>SUM(C4532,C4508,C4484,C4460,C4436,C4412,C4388)/POBLA!$B$19*100000</f>
        <v>31.475740073338471</v>
      </c>
    </row>
    <row r="4533" spans="1:13" s="360" customFormat="1" x14ac:dyDescent="0.25">
      <c r="A4533" s="19" t="s">
        <v>37</v>
      </c>
      <c r="B4533" s="2">
        <v>44081</v>
      </c>
      <c r="C4533" s="1">
        <v>34</v>
      </c>
      <c r="D4533" s="39">
        <f t="shared" si="466"/>
        <v>2322</v>
      </c>
      <c r="E4533" s="1">
        <f>1+1+2</f>
        <v>4</v>
      </c>
      <c r="F4533" s="39">
        <f t="shared" ref="F4533:F4538" si="467">E4533+F4509</f>
        <v>20</v>
      </c>
      <c r="G4533" s="168">
        <f>SUM(C4533,C4509,C4485,C4461,C4437,C4413,C4389,C4365,C4341,C4317,C4293,C4269,C4245,C4221)/POBLA!$B$20*100000</f>
        <v>258.13649514079924</v>
      </c>
      <c r="H4533" s="256">
        <f t="shared" si="460"/>
        <v>1.656140350877193</v>
      </c>
      <c r="I4533" s="297">
        <f t="shared" si="463"/>
        <v>427.51026563669211</v>
      </c>
      <c r="J4533" s="297">
        <f t="shared" si="464"/>
        <v>78.714285714285708</v>
      </c>
      <c r="K4533" s="297">
        <f>J4533/POBLA!$B$20*100000</f>
        <v>21.524396008259739</v>
      </c>
      <c r="L4533" s="549">
        <f t="shared" si="461"/>
        <v>-0.40203562340966914</v>
      </c>
      <c r="M4533" s="401">
        <f>SUM(C4533,C4509,C4485,C4461,C4437,C4413,C4389)/POBLA!$B$20*100000</f>
        <v>150.6707720578182</v>
      </c>
    </row>
    <row r="4534" spans="1:13" s="360" customFormat="1" x14ac:dyDescent="0.25">
      <c r="A4534" s="19" t="s">
        <v>22</v>
      </c>
      <c r="B4534" s="2">
        <v>44081</v>
      </c>
      <c r="C4534" s="1">
        <v>517</v>
      </c>
      <c r="D4534" s="39">
        <f t="shared" si="466"/>
        <v>12636</v>
      </c>
      <c r="E4534" s="1">
        <f>2+1+5+4</f>
        <v>12</v>
      </c>
      <c r="F4534" s="39">
        <f t="shared" si="467"/>
        <v>142</v>
      </c>
      <c r="G4534" s="168">
        <f>SUM(C4534,C4510,C4486,C4462,C4438,C4414,C4390,C4366,C4342,C4318,C4294,C4270,C4246,C4222)/POBLA!$B$21*100000</f>
        <v>215.18949400212307</v>
      </c>
      <c r="H4534" s="256">
        <f t="shared" si="460"/>
        <v>2.7672727272727271</v>
      </c>
      <c r="I4534" s="297">
        <f t="shared" si="463"/>
        <v>595.48801794769327</v>
      </c>
      <c r="J4534" s="297">
        <f t="shared" si="464"/>
        <v>675.85714285714289</v>
      </c>
      <c r="K4534" s="297">
        <f>J4534/POBLA!$B$21*100000</f>
        <v>19.111347777811979</v>
      </c>
      <c r="L4534" s="549">
        <f t="shared" si="461"/>
        <v>-0.6432789162903787</v>
      </c>
      <c r="M4534" s="401">
        <f>SUM(C4534,C4510,C4486,C4462,C4438,C4414,C4390)/POBLA!$B$21*100000</f>
        <v>133.77943444468386</v>
      </c>
    </row>
    <row r="4535" spans="1:13" s="360" customFormat="1" x14ac:dyDescent="0.25">
      <c r="A4535" s="19" t="s">
        <v>38</v>
      </c>
      <c r="B4535" s="2">
        <v>44081</v>
      </c>
      <c r="C4535" s="1">
        <v>48</v>
      </c>
      <c r="D4535" s="39">
        <f t="shared" si="466"/>
        <v>1343</v>
      </c>
      <c r="E4535" s="1">
        <f>1+1+1</f>
        <v>3</v>
      </c>
      <c r="F4535" s="39">
        <f t="shared" si="467"/>
        <v>20</v>
      </c>
      <c r="G4535" s="168">
        <f>SUM(C4535,C4511,C4487,C4463,C4439,C4415,C4391,C4367,C4343,C4319,C4295,C4271,C4247,C4223)/POBLA!$B$22*100000</f>
        <v>77.684749154922812</v>
      </c>
      <c r="H4535" s="256">
        <f t="shared" si="460"/>
        <v>1.7117117117117118</v>
      </c>
      <c r="I4535" s="297">
        <f t="shared" si="463"/>
        <v>132.97389494986788</v>
      </c>
      <c r="J4535" s="297">
        <f t="shared" si="464"/>
        <v>57.857142857142854</v>
      </c>
      <c r="K4535" s="297">
        <f>J4535/POBLA!$B$22*100000</f>
        <v>5.9139705653653634</v>
      </c>
      <c r="L4535" s="549">
        <f t="shared" si="461"/>
        <v>-0.14084507042253525</v>
      </c>
      <c r="M4535" s="401">
        <f>SUM(C4535,C4511,C4487,C4463,C4439,C4415,C4391)/POBLA!$B$22*100000</f>
        <v>41.397793957557546</v>
      </c>
    </row>
    <row r="4536" spans="1:13" s="360" customFormat="1" x14ac:dyDescent="0.25">
      <c r="A4536" s="19" t="s">
        <v>39</v>
      </c>
      <c r="B4536" s="2">
        <v>44081</v>
      </c>
      <c r="C4536" s="1">
        <v>55</v>
      </c>
      <c r="D4536" s="39">
        <f t="shared" si="466"/>
        <v>2400</v>
      </c>
      <c r="E4536" s="1"/>
      <c r="F4536" s="39">
        <f t="shared" si="467"/>
        <v>38</v>
      </c>
      <c r="G4536" s="168">
        <f>SUM(C4536,C4512,C4488,C4464,C4440,C4416,C4392,C4368,C4344,C4320,C4296,C4272,C4248,C4224)/POBLA!$B$23*100000</f>
        <v>366.45365605383699</v>
      </c>
      <c r="H4536" s="256">
        <f t="shared" si="460"/>
        <v>0.93103448275862066</v>
      </c>
      <c r="I4536" s="297">
        <f t="shared" si="463"/>
        <v>341.18099011908959</v>
      </c>
      <c r="J4536" s="297">
        <f t="shared" si="464"/>
        <v>54.285714285714285</v>
      </c>
      <c r="K4536" s="297">
        <f>J4536/POBLA!$B$23*100000</f>
        <v>30.69938035724384</v>
      </c>
      <c r="L4536" s="549">
        <f t="shared" si="461"/>
        <v>-0.41791044776119413</v>
      </c>
      <c r="M4536" s="401">
        <f>SUM(C4536,C4512,C4488,C4464,C4440,C4416,C4392)/POBLA!$B$23*100000</f>
        <v>214.89566250070692</v>
      </c>
    </row>
    <row r="4537" spans="1:13" s="360" customFormat="1" ht="15.75" thickBot="1" x14ac:dyDescent="0.3">
      <c r="A4537" s="19" t="s">
        <v>40</v>
      </c>
      <c r="B4537" s="2">
        <v>44081</v>
      </c>
      <c r="C4537" s="1">
        <v>509</v>
      </c>
      <c r="D4537" s="39">
        <f t="shared" si="466"/>
        <v>4463</v>
      </c>
      <c r="E4537" s="1">
        <f>1</f>
        <v>1</v>
      </c>
      <c r="F4537" s="39">
        <f t="shared" si="467"/>
        <v>16</v>
      </c>
      <c r="G4537" s="177">
        <f>SUM(C4537,C4513,C4489,C4465,C4441,C4417,C4393,C4369,C4345,C4321,C4297,C4273,C4249,C4225)/POBLA!$B$24*100000</f>
        <v>194.43474073794329</v>
      </c>
      <c r="H4537" s="402">
        <f t="shared" si="460"/>
        <v>4.4050802139037435</v>
      </c>
      <c r="I4537" s="403">
        <f t="shared" si="463"/>
        <v>856.50062932021808</v>
      </c>
      <c r="J4537" s="403">
        <f t="shared" si="464"/>
        <v>317.14285714285717</v>
      </c>
      <c r="K4537" s="403">
        <f>J4537/POBLA!$B$24*100000</f>
        <v>18.714291109396665</v>
      </c>
      <c r="L4537" s="550">
        <f t="shared" si="461"/>
        <v>-1.0651162790697675</v>
      </c>
      <c r="M4537" s="405">
        <f>SUM(C4537,C4513,C4489,C4465,C4441,C4417,C4393)/POBLA!$B$24*100000</f>
        <v>131.00003776577665</v>
      </c>
    </row>
    <row r="4538" spans="1:13" s="360" customFormat="1" x14ac:dyDescent="0.25">
      <c r="A4538" s="361" t="s">
        <v>16</v>
      </c>
      <c r="B4538" s="2">
        <v>44082</v>
      </c>
      <c r="C4538" s="1">
        <v>6909</v>
      </c>
      <c r="D4538" s="39">
        <f>C4538+D4514</f>
        <v>303988</v>
      </c>
      <c r="E4538" s="1">
        <v>185</v>
      </c>
      <c r="F4538" s="39">
        <f t="shared" si="467"/>
        <v>6263</v>
      </c>
      <c r="G4538" s="175">
        <f>SUM(C4538,C4514,C4490,C4466,C4442,C4418,C4394,C4370,C4346,C4322,C4298,C4274,C4250,C4226)/POBLA!$B$1*100000</f>
        <v>457.68972497285097</v>
      </c>
      <c r="H4538" s="300">
        <f t="shared" ref="H4538:H4561" si="468">SUM(C4538,C4514,C4490,C4466,C4442,C4418,C4394,C4370,C4346,C4322,C4298,C4274,C4250,C4226)/SUM(C4202,C4178,C4154,C4130,C4106,C4082,C4058,C4034,C4010,C3986,C3962,C3938,C3914,C3890)</f>
        <v>1.2852637476987112</v>
      </c>
      <c r="I4538" s="301">
        <f>G4538*H4538</f>
        <v>588.25201120179884</v>
      </c>
      <c r="J4538" s="301">
        <f>AVERAGE(C4538,C4514,C4490,C4466,C4442,C4418,C4394)</f>
        <v>5576.8571428571431</v>
      </c>
      <c r="K4538" s="301">
        <f>J4538/POBLA!$B$1*100000</f>
        <v>31.793012454874763</v>
      </c>
      <c r="L4538" s="548">
        <f t="shared" ref="L4538:L4561" si="469">1-SUM(C4538,C4514,C4490,C4466,C4442,C4418,C4394)/SUM(C4370,C4346,C4322,C4298,C4274,C4250,C4226)</f>
        <v>5.3532463754060955E-2</v>
      </c>
      <c r="M4538" s="400">
        <f>SUM(C4538,C4514,C4490,C4466,C4442,C4418,C4394)/POBLA!$B$1*100000</f>
        <v>222.55108718412333</v>
      </c>
    </row>
    <row r="4539" spans="1:13" s="360" customFormat="1" x14ac:dyDescent="0.25">
      <c r="A4539" s="19" t="s">
        <v>43</v>
      </c>
      <c r="B4539" s="2">
        <v>44082</v>
      </c>
      <c r="C4539" s="1">
        <v>1300</v>
      </c>
      <c r="D4539" s="39">
        <f t="shared" ref="D4539:D4551" si="470">C4539+D4515</f>
        <v>105309</v>
      </c>
      <c r="E4539" s="1">
        <v>29</v>
      </c>
      <c r="F4539" s="39">
        <f t="shared" si="465"/>
        <v>2530</v>
      </c>
      <c r="G4539" s="168">
        <f>SUM(C4539,C4515,C4491,C4467,C4443,C4419,C4395,C4371,C4347,C4323,C4299,C4275,C4251,C4227)/POBLA!$B$2*100000</f>
        <v>576.78939643899196</v>
      </c>
      <c r="H4539" s="256">
        <f t="shared" si="468"/>
        <v>1.1616029334730225</v>
      </c>
      <c r="I4539" s="297">
        <f t="shared" ref="I4539:I4561" si="471">G4539*H4539</f>
        <v>670.0002548996672</v>
      </c>
      <c r="J4539" s="297">
        <f t="shared" ref="J4539:J4561" si="472">AVERAGE(C4539,C4515,C4491,C4467,C4443,C4419,C4395)</f>
        <v>1187.1428571428571</v>
      </c>
      <c r="K4539" s="297">
        <f>J4539/POBLA!$B$2*100000</f>
        <v>38.59816302470626</v>
      </c>
      <c r="L4539" s="549">
        <f t="shared" si="469"/>
        <v>0.11876988335100747</v>
      </c>
      <c r="M4539" s="401">
        <f>SUM(C4539,C4515,C4491,C4467,C4443,C4419,C4395)/POBLA!$B$2*100000</f>
        <v>270.18714117294383</v>
      </c>
    </row>
    <row r="4540" spans="1:13" s="360" customFormat="1" x14ac:dyDescent="0.25">
      <c r="A4540" s="19" t="s">
        <v>28</v>
      </c>
      <c r="B4540" s="2">
        <v>44082</v>
      </c>
      <c r="C4540" s="1">
        <v>8</v>
      </c>
      <c r="D4540" s="39">
        <f t="shared" si="470"/>
        <v>96</v>
      </c>
      <c r="E4540" s="1"/>
      <c r="F4540" s="39">
        <f t="shared" si="465"/>
        <v>0</v>
      </c>
      <c r="G4540" s="168">
        <f>SUM(C4540,C4516,C4492,C4468,C4444,C4420,C4396,C4372,C4348,C4324,C4300,C4276,C4252,C4228)/POBLA!$B$3*100000</f>
        <v>7.7027137623423947</v>
      </c>
      <c r="H4540" s="256">
        <f t="shared" si="468"/>
        <v>16</v>
      </c>
      <c r="I4540" s="297">
        <f t="shared" si="471"/>
        <v>123.24342019747832</v>
      </c>
      <c r="J4540" s="297">
        <f t="shared" si="472"/>
        <v>4.1428571428571432</v>
      </c>
      <c r="K4540" s="297">
        <f>J4540/POBLA!$B$3*100000</f>
        <v>0.99722633530325666</v>
      </c>
      <c r="L4540" s="549">
        <f t="shared" si="469"/>
        <v>-8.6666666666666661</v>
      </c>
      <c r="M4540" s="401">
        <f>SUM(C4540,C4516,C4492,C4468,C4444,C4420,C4396)/POBLA!$B$3*100000</f>
        <v>6.9805843471227957</v>
      </c>
    </row>
    <row r="4541" spans="1:13" s="360" customFormat="1" x14ac:dyDescent="0.25">
      <c r="A4541" s="19" t="s">
        <v>15</v>
      </c>
      <c r="B4541" s="2">
        <v>44082</v>
      </c>
      <c r="C4541" s="1">
        <v>94</v>
      </c>
      <c r="D4541" s="39">
        <f t="shared" si="470"/>
        <v>6150</v>
      </c>
      <c r="E4541" s="1">
        <f>1+1+1</f>
        <v>3</v>
      </c>
      <c r="F4541" s="39">
        <f>E4541+F4517</f>
        <v>229</v>
      </c>
      <c r="G4541" s="168">
        <f>SUM(C4541,C4517,C4493,C4469,C4445,C4421,C4397,C4373,C4349,C4325,C4301,C4277,C4253,C4229)/POBLA!$B$4*100000</f>
        <v>98.211683952642545</v>
      </c>
      <c r="H4541" s="256">
        <f t="shared" si="468"/>
        <v>1.4551045510455105</v>
      </c>
      <c r="I4541" s="297">
        <f t="shared" si="471"/>
        <v>142.90826828533349</v>
      </c>
      <c r="J4541" s="297">
        <f t="shared" si="472"/>
        <v>94</v>
      </c>
      <c r="K4541" s="297">
        <f>J4541/POBLA!$B$4*100000</f>
        <v>7.8038024442505485</v>
      </c>
      <c r="L4541" s="549">
        <f t="shared" si="469"/>
        <v>-0.25333333333333341</v>
      </c>
      <c r="M4541" s="401">
        <f>SUM(C4541,C4517,C4493,C4469,C4445,C4421,C4397)/POBLA!$B$4*100000</f>
        <v>54.626617109753838</v>
      </c>
    </row>
    <row r="4542" spans="1:13" s="360" customFormat="1" x14ac:dyDescent="0.25">
      <c r="A4542" s="19" t="s">
        <v>29</v>
      </c>
      <c r="B4542" s="2">
        <v>44082</v>
      </c>
      <c r="C4542" s="1">
        <v>48</v>
      </c>
      <c r="D4542" s="39">
        <f t="shared" si="470"/>
        <v>1322</v>
      </c>
      <c r="E4542" s="1"/>
      <c r="F4542" s="39">
        <f t="shared" si="465"/>
        <v>8</v>
      </c>
      <c r="G4542" s="168">
        <f>SUM(C4542,C4518,C4494,C4470,C4446,C4422,C4398,C4374,C4350,C4326,C4302,C4278,C4254,C4230)/POBLA!$B$5*100000</f>
        <v>119.71036875963257</v>
      </c>
      <c r="H4542" s="256">
        <f t="shared" si="468"/>
        <v>3.2933333333333334</v>
      </c>
      <c r="I4542" s="297">
        <f t="shared" si="471"/>
        <v>394.24614778172327</v>
      </c>
      <c r="J4542" s="297">
        <f t="shared" si="472"/>
        <v>52.428571428571431</v>
      </c>
      <c r="K4542" s="297">
        <f>J4542/POBLA!$B$5*100000</f>
        <v>8.4699643984548203</v>
      </c>
      <c r="L4542" s="549">
        <f t="shared" si="469"/>
        <v>1.8716577540106916E-2</v>
      </c>
      <c r="M4542" s="401">
        <f>SUM(C4542,C4518,C4494,C4470,C4446,C4422,C4398)/POBLA!$B$5*100000</f>
        <v>59.289750789183742</v>
      </c>
    </row>
    <row r="4543" spans="1:13" s="360" customFormat="1" x14ac:dyDescent="0.25">
      <c r="A4543" s="19" t="s">
        <v>20</v>
      </c>
      <c r="B4543" s="2">
        <v>44082</v>
      </c>
      <c r="C4543" s="1">
        <v>381</v>
      </c>
      <c r="D4543" s="39">
        <f t="shared" si="470"/>
        <v>11989</v>
      </c>
      <c r="E4543" s="1">
        <f>3+3</f>
        <v>6</v>
      </c>
      <c r="F4543" s="39">
        <f t="shared" si="465"/>
        <v>170</v>
      </c>
      <c r="G4543" s="168">
        <f>SUM(C4543,C4519,C4495,C4471,C4447,C4423,C4399,C4375,C4351,C4327,C4303,C4279,C4255,C4231)/POBLA!$B$6*100000</f>
        <v>497.59056246380942</v>
      </c>
      <c r="H4543" s="256">
        <f t="shared" si="468"/>
        <v>2.1599535243996901</v>
      </c>
      <c r="I4543" s="297">
        <f t="shared" si="471"/>
        <v>1074.7724891017292</v>
      </c>
      <c r="J4543" s="297">
        <f t="shared" si="472"/>
        <v>439.28571428571428</v>
      </c>
      <c r="K4543" s="297">
        <f>J4543/POBLA!$B$6*100000</f>
        <v>39.193908132283454</v>
      </c>
      <c r="L4543" s="549">
        <f t="shared" si="469"/>
        <v>-0.22901678657074331</v>
      </c>
      <c r="M4543" s="401">
        <f>SUM(C4543,C4519,C4495,C4471,C4447,C4423,C4399)/POBLA!$B$6*100000</f>
        <v>274.35735692598422</v>
      </c>
    </row>
    <row r="4544" spans="1:13" s="360" customFormat="1" x14ac:dyDescent="0.25">
      <c r="A4544" s="19" t="s">
        <v>30</v>
      </c>
      <c r="B4544" s="2">
        <v>44082</v>
      </c>
      <c r="C4544" s="1">
        <v>20</v>
      </c>
      <c r="D4544" s="39">
        <f t="shared" si="470"/>
        <v>406</v>
      </c>
      <c r="E4544" s="1"/>
      <c r="F4544" s="39">
        <f t="shared" si="465"/>
        <v>5</v>
      </c>
      <c r="G4544" s="168">
        <f>SUM(C4544,C4520,C4496,C4472,C4448,C4424,C4400,C4376,C4352,C4328,C4304,C4280,C4256,C4232)/POBLA!$B$7*100000</f>
        <v>3.8825140608171895</v>
      </c>
      <c r="H4544" s="256">
        <f t="shared" si="468"/>
        <v>3.3953488372093021</v>
      </c>
      <c r="I4544" s="297">
        <f t="shared" si="471"/>
        <v>13.182489601844411</v>
      </c>
      <c r="J4544" s="297">
        <f t="shared" si="472"/>
        <v>13.142857142857142</v>
      </c>
      <c r="K4544" s="297">
        <f>J4544/POBLA!$B$7*100000</f>
        <v>0.34950224422229104</v>
      </c>
      <c r="L4544" s="549">
        <f t="shared" si="469"/>
        <v>-0.70370370370370372</v>
      </c>
      <c r="M4544" s="401">
        <f>SUM(C4544,C4520,C4496,C4472,C4448,C4424,C4400)/POBLA!$B$7*100000</f>
        <v>2.4465157095560373</v>
      </c>
    </row>
    <row r="4545" spans="1:13" x14ac:dyDescent="0.25">
      <c r="A4545" s="19" t="s">
        <v>31</v>
      </c>
      <c r="B4545" s="2">
        <v>44082</v>
      </c>
      <c r="C4545" s="1">
        <v>224</v>
      </c>
      <c r="D4545" s="39">
        <f t="shared" si="470"/>
        <v>4577</v>
      </c>
      <c r="E4545" s="1">
        <f>1+1+3</f>
        <v>5</v>
      </c>
      <c r="F4545" s="39">
        <f t="shared" si="465"/>
        <v>68</v>
      </c>
      <c r="G4545" s="168">
        <f>SUM(C4545,C4521,C4497,C4473,C4449,C4425,C4401,C4377,C4353,C4329,C4305,C4281,C4257,C4233)/POBLA!$B$8*100000</f>
        <v>149.21054777154623</v>
      </c>
      <c r="H4545" s="256">
        <f t="shared" si="468"/>
        <v>1.6347826086956523</v>
      </c>
      <c r="I4545" s="297">
        <f t="shared" si="471"/>
        <v>243.9268085308756</v>
      </c>
      <c r="J4545" s="297">
        <f t="shared" si="472"/>
        <v>132.42857142857142</v>
      </c>
      <c r="K4545" s="297">
        <f>J4545/POBLA!$B$8*100000</f>
        <v>9.5549998469344679</v>
      </c>
      <c r="L4545" s="549">
        <f t="shared" si="469"/>
        <v>0.18755477651183172</v>
      </c>
      <c r="M4545" s="401">
        <f>SUM(C4545,C4521,C4497,C4473,C4449,C4425,C4401)/POBLA!$B$8*100000</f>
        <v>66.884998928541279</v>
      </c>
    </row>
    <row r="4546" spans="1:13" s="360" customFormat="1" x14ac:dyDescent="0.25">
      <c r="A4546" s="19" t="s">
        <v>41</v>
      </c>
      <c r="B4546" s="2">
        <v>44082</v>
      </c>
      <c r="C4546" s="1">
        <v>0</v>
      </c>
      <c r="D4546" s="39">
        <f t="shared" si="470"/>
        <v>90</v>
      </c>
      <c r="E4546" s="1"/>
      <c r="F4546" s="39">
        <f>E4546+F4522</f>
        <v>1</v>
      </c>
      <c r="G4546" s="168">
        <f>SUM(C4546,C4522,C4498,C4474,C4450,C4426,C4402,C4378,C4354,C4330,C4306,C4282,C4258,C4234)/POBLA!$B$9*100000</f>
        <v>1.1566558106257012</v>
      </c>
      <c r="H4546" s="256">
        <f t="shared" si="468"/>
        <v>2.3333333333333335</v>
      </c>
      <c r="I4546" s="297">
        <f t="shared" si="471"/>
        <v>2.6988635581266363</v>
      </c>
      <c r="J4546" s="297">
        <f t="shared" si="472"/>
        <v>1</v>
      </c>
      <c r="K4546" s="297">
        <f>J4546/POBLA!$B$9*100000</f>
        <v>0.16523654437510019</v>
      </c>
      <c r="L4546" s="549" t="e">
        <f t="shared" si="469"/>
        <v>#DIV/0!</v>
      </c>
      <c r="M4546" s="401">
        <f>SUM(C4546,C4522,C4498,C4474,C4450,C4426,C4402)/POBLA!$B$9*100000</f>
        <v>1.1566558106257012</v>
      </c>
    </row>
    <row r="4547" spans="1:13" s="360" customFormat="1" x14ac:dyDescent="0.25">
      <c r="A4547" s="19" t="s">
        <v>32</v>
      </c>
      <c r="B4547" s="2">
        <v>44082</v>
      </c>
      <c r="C4547" s="1">
        <v>294</v>
      </c>
      <c r="D4547" s="39">
        <f t="shared" si="470"/>
        <v>10774</v>
      </c>
      <c r="E4547" s="1">
        <f>4+2</f>
        <v>6</v>
      </c>
      <c r="F4547" s="39">
        <f t="shared" si="465"/>
        <v>231</v>
      </c>
      <c r="G4547" s="168">
        <f>SUM(C4547,C4523,C4499,C4475,C4451,C4427,C4403,C4379,C4355,C4331,C4307,C4283,C4259,C4235)/POBLA!$B$10*100000</f>
        <v>510.58464276587432</v>
      </c>
      <c r="H4547" s="256">
        <f t="shared" si="468"/>
        <v>1.3337851575737039</v>
      </c>
      <c r="I4547" s="297">
        <f t="shared" si="471"/>
        <v>681.01021820619496</v>
      </c>
      <c r="J4547" s="297">
        <f t="shared" si="472"/>
        <v>318.85714285714283</v>
      </c>
      <c r="K4547" s="297">
        <f>J4547/POBLA!$B$10*100000</f>
        <v>41.362693185737207</v>
      </c>
      <c r="L4547" s="549">
        <f t="shared" si="469"/>
        <v>-0.3098591549295775</v>
      </c>
      <c r="M4547" s="401">
        <f>SUM(C4547,C4523,C4499,C4475,C4451,C4427,C4403)/POBLA!$B$10*100000</f>
        <v>289.5388523001605</v>
      </c>
    </row>
    <row r="4548" spans="1:13" s="360" customFormat="1" x14ac:dyDescent="0.25">
      <c r="A4548" s="19" t="s">
        <v>33</v>
      </c>
      <c r="B4548" s="2">
        <v>44082</v>
      </c>
      <c r="C4548" s="1">
        <v>4</v>
      </c>
      <c r="D4548" s="39">
        <f t="shared" si="470"/>
        <v>247</v>
      </c>
      <c r="E4548" s="1"/>
      <c r="F4548" s="39">
        <f t="shared" si="465"/>
        <v>4</v>
      </c>
      <c r="G4548" s="168">
        <f>SUM(C4548,C4524,C4500,C4476,C4452,C4428,C4404,C4380,C4356,C4332,C4308,C4284,C4260,C4236)/POBLA!$B$11*100000</f>
        <v>14.786791210508106</v>
      </c>
      <c r="H4548" s="256">
        <f t="shared" si="468"/>
        <v>3.7857142857142856</v>
      </c>
      <c r="I4548" s="297">
        <f t="shared" si="471"/>
        <v>55.978566725494971</v>
      </c>
      <c r="J4548" s="297">
        <f t="shared" si="472"/>
        <v>5</v>
      </c>
      <c r="K4548" s="297">
        <f>J4548/POBLA!$B$11*100000</f>
        <v>1.3949803028781234</v>
      </c>
      <c r="L4548" s="549">
        <f t="shared" si="469"/>
        <v>-0.94444444444444442</v>
      </c>
      <c r="M4548" s="401">
        <f>SUM(C4548,C4524,C4500,C4476,C4452,C4428,C4404)/POBLA!$B$11*100000</f>
        <v>9.7648621201468639</v>
      </c>
    </row>
    <row r="4549" spans="1:13" s="360" customFormat="1" x14ac:dyDescent="0.25">
      <c r="A4549" s="19" t="s">
        <v>21</v>
      </c>
      <c r="B4549" s="2">
        <v>44082</v>
      </c>
      <c r="C4549" s="1">
        <v>84</v>
      </c>
      <c r="D4549" s="39">
        <f t="shared" si="470"/>
        <v>2215</v>
      </c>
      <c r="E4549" s="1"/>
      <c r="F4549" s="39">
        <f t="shared" si="465"/>
        <v>51</v>
      </c>
      <c r="G4549" s="168">
        <f>SUM(C4549,C4525,C4501,C4477,C4453,C4429,C4405,C4381,C4357,C4333,C4309,C4285,C4261,C4237)/POBLA!$B$12*100000</f>
        <v>263.76575161804283</v>
      </c>
      <c r="H4549" s="256">
        <f t="shared" si="468"/>
        <v>1.5799086757990868</v>
      </c>
      <c r="I4549" s="297">
        <f t="shared" si="471"/>
        <v>416.7257993600129</v>
      </c>
      <c r="J4549" s="297">
        <f t="shared" si="472"/>
        <v>83.857142857142861</v>
      </c>
      <c r="K4549" s="297">
        <f>J4549/POBLA!$B$12*100000</f>
        <v>21.308903963637643</v>
      </c>
      <c r="L4549" s="549">
        <f t="shared" si="469"/>
        <v>-0.30155210643015518</v>
      </c>
      <c r="M4549" s="401">
        <f>SUM(C4549,C4525,C4501,C4477,C4453,C4429,C4405)/POBLA!$B$12*100000</f>
        <v>149.1623277454635</v>
      </c>
    </row>
    <row r="4550" spans="1:13" s="360" customFormat="1" x14ac:dyDescent="0.25">
      <c r="A4550" s="19" t="s">
        <v>17</v>
      </c>
      <c r="B4550" s="2">
        <v>44082</v>
      </c>
      <c r="C4550" s="1">
        <v>516</v>
      </c>
      <c r="D4550" s="39">
        <f t="shared" si="470"/>
        <v>10836</v>
      </c>
      <c r="E4550" s="1">
        <f>6+5+1+5</f>
        <v>17</v>
      </c>
      <c r="F4550" s="39">
        <f t="shared" si="465"/>
        <v>114</v>
      </c>
      <c r="G4550" s="168">
        <f>SUM(C4550,C4526,C4502,C4478,C4454,C4430,C4406,C4382,C4358,C4334,C4310,C4286,C4262,C4238)/POBLA!$B$13*100000</f>
        <v>289.54881030257172</v>
      </c>
      <c r="H4550" s="256">
        <f t="shared" si="468"/>
        <v>2.1495710555762777</v>
      </c>
      <c r="I4550" s="297">
        <f t="shared" si="471"/>
        <v>622.40574180295448</v>
      </c>
      <c r="J4550" s="297">
        <f t="shared" si="472"/>
        <v>520.71428571428567</v>
      </c>
      <c r="K4550" s="297">
        <f>J4550/POBLA!$B$13*100000</f>
        <v>26.162103407274827</v>
      </c>
      <c r="L4550" s="549">
        <f t="shared" si="469"/>
        <v>-0.72096317280453248</v>
      </c>
      <c r="M4550" s="401">
        <f>SUM(C4550,C4526,C4502,C4478,C4454,C4430,C4406)/POBLA!$B$13*100000</f>
        <v>183.13472385092382</v>
      </c>
    </row>
    <row r="4551" spans="1:13" s="360" customFormat="1" x14ac:dyDescent="0.25">
      <c r="A4551" s="19" t="s">
        <v>23</v>
      </c>
      <c r="B4551" s="2">
        <v>44082</v>
      </c>
      <c r="C4551" s="1">
        <v>-2</v>
      </c>
      <c r="D4551" s="39">
        <f t="shared" si="470"/>
        <v>69</v>
      </c>
      <c r="E4551" s="1"/>
      <c r="F4551" s="39">
        <f t="shared" si="465"/>
        <v>2</v>
      </c>
      <c r="G4551" s="168">
        <f>SUM(C4551,C4527,C4503,C4479,C4455,C4431,C4407,C4383,C4359,C4335,C4311,C4287,C4263,C4239)/POBLA!$B$14*100000</f>
        <v>0.79283656308521255</v>
      </c>
      <c r="H4551" s="256">
        <f t="shared" si="468"/>
        <v>2</v>
      </c>
      <c r="I4551" s="297">
        <f t="shared" si="471"/>
        <v>1.5856731261704251</v>
      </c>
      <c r="J4551" s="297">
        <f t="shared" si="472"/>
        <v>0.42857142857142855</v>
      </c>
      <c r="K4551" s="297">
        <f>J4551/POBLA!$B$14*100000</f>
        <v>3.3978709846509102E-2</v>
      </c>
      <c r="L4551" s="549">
        <f t="shared" si="469"/>
        <v>0.5714285714285714</v>
      </c>
      <c r="M4551" s="401">
        <f>SUM(C4551,C4527,C4503,C4479,C4455,C4431,C4407)/POBLA!$B$14*100000</f>
        <v>0.23785096892556376</v>
      </c>
    </row>
    <row r="4552" spans="1:13" s="360" customFormat="1" x14ac:dyDescent="0.25">
      <c r="A4552" s="19" t="s">
        <v>19</v>
      </c>
      <c r="B4552" s="2">
        <v>44082</v>
      </c>
      <c r="C4552" s="1">
        <v>90</v>
      </c>
      <c r="D4552" s="39">
        <f>C4552+D4528</f>
        <v>4049</v>
      </c>
      <c r="E4552" s="1">
        <f>1+2</f>
        <v>3</v>
      </c>
      <c r="F4552" s="39">
        <f t="shared" si="465"/>
        <v>41</v>
      </c>
      <c r="G4552" s="168">
        <f>SUM(C4552,C4528,C4504,C4480,C4456,C4432,C4408,C4384,C4360,C4336,C4312,C4288,C4264,C4240)/POBLA!$B$15*100000</f>
        <v>246.06321445297618</v>
      </c>
      <c r="H4552" s="256">
        <f t="shared" si="468"/>
        <v>1.7838427947598254</v>
      </c>
      <c r="I4552" s="297">
        <f t="shared" si="471"/>
        <v>438.93809215738332</v>
      </c>
      <c r="J4552" s="297">
        <f t="shared" si="472"/>
        <v>125.28571428571429</v>
      </c>
      <c r="K4552" s="297">
        <f>J4552/POBLA!$B$15*100000</f>
        <v>18.866710882607109</v>
      </c>
      <c r="L4552" s="549">
        <f t="shared" si="469"/>
        <v>-0.15852047556142668</v>
      </c>
      <c r="M4552" s="401">
        <f>SUM(C4552,C4528,C4504,C4480,C4456,C4432,C4408)/POBLA!$B$15*100000</f>
        <v>132.06697617824975</v>
      </c>
    </row>
    <row r="4553" spans="1:13" s="360" customFormat="1" x14ac:dyDescent="0.25">
      <c r="A4553" s="19" t="s">
        <v>18</v>
      </c>
      <c r="B4553" s="2">
        <v>44082</v>
      </c>
      <c r="C4553" s="1">
        <v>299</v>
      </c>
      <c r="D4553" s="39">
        <f>C4553+D4529</f>
        <v>7497</v>
      </c>
      <c r="E4553" s="1">
        <f>4+4</f>
        <v>8</v>
      </c>
      <c r="F4553" s="39">
        <f t="shared" si="465"/>
        <v>138</v>
      </c>
      <c r="G4553" s="168">
        <f>SUM(C4553,C4529,C4505,C4481,C4457,C4433,C4409,C4385,C4361,C4337,C4313,C4289,C4265,C4241)/POBLA!$B$16*100000</f>
        <v>342.29076657615605</v>
      </c>
      <c r="H4553" s="256">
        <f t="shared" si="468"/>
        <v>1.46815834767642</v>
      </c>
      <c r="I4553" s="297">
        <f t="shared" si="471"/>
        <v>502.53704628134443</v>
      </c>
      <c r="J4553" s="297">
        <f t="shared" si="472"/>
        <v>188.85714285714286</v>
      </c>
      <c r="K4553" s="297">
        <f>J4553/POBLA!$B$16*100000</f>
        <v>25.261452208657303</v>
      </c>
      <c r="L4553" s="549">
        <f t="shared" si="469"/>
        <v>-6.8714632174615931E-2</v>
      </c>
      <c r="M4553" s="401">
        <f>SUM(C4553,C4529,C4505,C4481,C4457,C4433,C4409)/POBLA!$B$16*100000</f>
        <v>176.83016546060111</v>
      </c>
    </row>
    <row r="4554" spans="1:13" s="360" customFormat="1" x14ac:dyDescent="0.25">
      <c r="A4554" s="19" t="s">
        <v>34</v>
      </c>
      <c r="B4554" s="2">
        <v>44082</v>
      </c>
      <c r="C4554" s="1">
        <v>282</v>
      </c>
      <c r="D4554" s="39">
        <f>C4554+D4530</f>
        <v>5109</v>
      </c>
      <c r="E4554" s="1"/>
      <c r="F4554" s="39">
        <f>E4554+F4530</f>
        <v>63</v>
      </c>
      <c r="G4554" s="168">
        <f>SUM(C4554,C4530,C4506,C4482,C4458,C4434,C4410,C4386,C4362,C4338,C4314,C4290,C4266,C4242)/POBLA!$B$17*100000</f>
        <v>210.61543937539884</v>
      </c>
      <c r="H4554" s="256">
        <f t="shared" si="468"/>
        <v>2.0935101186322402</v>
      </c>
      <c r="I4554" s="297">
        <f t="shared" si="471"/>
        <v>440.92555347257263</v>
      </c>
      <c r="J4554" s="297">
        <f t="shared" si="472"/>
        <v>229.42857142857142</v>
      </c>
      <c r="K4554" s="297">
        <f>J4554/POBLA!$B$17*100000</f>
        <v>16.107066458899549</v>
      </c>
      <c r="L4554" s="549">
        <f t="shared" si="469"/>
        <v>-0.15208034433285511</v>
      </c>
      <c r="M4554" s="401">
        <f>SUM(C4554,C4530,C4506,C4482,C4458,C4434,C4410)/POBLA!$B$17*100000</f>
        <v>112.74946521229687</v>
      </c>
    </row>
    <row r="4555" spans="1:13" s="360" customFormat="1" x14ac:dyDescent="0.25">
      <c r="A4555" s="19" t="s">
        <v>35</v>
      </c>
      <c r="B4555" s="2">
        <v>44082</v>
      </c>
      <c r="C4555" s="1">
        <v>16</v>
      </c>
      <c r="D4555" s="39">
        <f t="shared" ref="D4555:D4561" si="473">C4555+D4531</f>
        <v>380</v>
      </c>
      <c r="E4555" s="1">
        <f>5+2</f>
        <v>7</v>
      </c>
      <c r="F4555" s="39">
        <f>E4555+F4531</f>
        <v>7</v>
      </c>
      <c r="G4555" s="168">
        <f>SUM(C4555,C4531,C4507,C4483,C4459,C4435,C4411,C4387,C4363,C4339,C4315,C4291,C4267,C4243)/POBLA!$B$18*100000</f>
        <v>34.561459876065165</v>
      </c>
      <c r="H4555" s="256">
        <f t="shared" si="468"/>
        <v>3.103448275862069</v>
      </c>
      <c r="I4555" s="297">
        <f t="shared" si="471"/>
        <v>107.25970306365051</v>
      </c>
      <c r="J4555" s="297">
        <f t="shared" si="472"/>
        <v>22.428571428571427</v>
      </c>
      <c r="K4555" s="297">
        <f>J4555/POBLA!$B$18*100000</f>
        <v>2.8709784129853073</v>
      </c>
      <c r="L4555" s="549">
        <f t="shared" si="469"/>
        <v>-0.38938053097345127</v>
      </c>
      <c r="M4555" s="401">
        <f>SUM(C4555,C4531,C4507,C4483,C4459,C4435,C4411)/POBLA!$B$18*100000</f>
        <v>20.096848890897153</v>
      </c>
    </row>
    <row r="4556" spans="1:13" s="360" customFormat="1" x14ac:dyDescent="0.25">
      <c r="A4556" s="19" t="s">
        <v>36</v>
      </c>
      <c r="B4556" s="2">
        <v>44082</v>
      </c>
      <c r="C4556" s="1">
        <v>18</v>
      </c>
      <c r="D4556" s="39">
        <f t="shared" si="473"/>
        <v>325</v>
      </c>
      <c r="E4556" s="1"/>
      <c r="F4556" s="39">
        <f>E4556+F4532</f>
        <v>0</v>
      </c>
      <c r="G4556" s="168">
        <f>SUM(C4556,C4532,C4508,C4484,C4460,C4436,C4412,C4388,C4364,C4340,C4316,C4292,C4268,C4244)/POBLA!$B$19*100000</f>
        <v>56.066162005634162</v>
      </c>
      <c r="H4556" s="256">
        <f t="shared" si="468"/>
        <v>31.666666666666668</v>
      </c>
      <c r="I4556" s="297">
        <f t="shared" si="471"/>
        <v>1775.4284635117485</v>
      </c>
      <c r="J4556" s="297">
        <f t="shared" si="472"/>
        <v>24.142857142857142</v>
      </c>
      <c r="K4556" s="297">
        <f>J4556/POBLA!$B$19*100000</f>
        <v>4.7494643503519658</v>
      </c>
      <c r="L4556" s="549">
        <f t="shared" si="469"/>
        <v>-0.4568965517241379</v>
      </c>
      <c r="M4556" s="401">
        <f>SUM(C4556,C4532,C4508,C4484,C4460,C4436,C4412)/POBLA!$B$19*100000</f>
        <v>33.246250452463762</v>
      </c>
    </row>
    <row r="4557" spans="1:13" s="360" customFormat="1" x14ac:dyDescent="0.25">
      <c r="A4557" s="19" t="s">
        <v>37</v>
      </c>
      <c r="B4557" s="2">
        <v>44082</v>
      </c>
      <c r="C4557" s="1">
        <v>76</v>
      </c>
      <c r="D4557" s="39">
        <f t="shared" si="473"/>
        <v>2398</v>
      </c>
      <c r="E4557" s="1"/>
      <c r="F4557" s="39">
        <f t="shared" ref="F4557:F4562" si="474">E4557+F4533</f>
        <v>20</v>
      </c>
      <c r="G4557" s="168">
        <f>SUM(C4557,C4533,C4509,C4485,C4461,C4437,C4413,C4389,C4365,C4341,C4317,C4293,C4269,C4245)/POBLA!$B$20*100000</f>
        <v>268.52758286892464</v>
      </c>
      <c r="H4557" s="256">
        <f t="shared" si="468"/>
        <v>1.6960276338514682</v>
      </c>
      <c r="I4557" s="297">
        <f t="shared" si="471"/>
        <v>455.43020099703631</v>
      </c>
      <c r="J4557" s="297">
        <f t="shared" si="472"/>
        <v>84.285714285714292</v>
      </c>
      <c r="K4557" s="297">
        <f>J4557/POBLA!$B$20*100000</f>
        <v>23.047901351857078</v>
      </c>
      <c r="L4557" s="549">
        <f t="shared" si="469"/>
        <v>-0.50510204081632648</v>
      </c>
      <c r="M4557" s="401">
        <f>SUM(C4557,C4533,C4509,C4485,C4461,C4437,C4413)/POBLA!$B$20*100000</f>
        <v>161.33530946299953</v>
      </c>
    </row>
    <row r="4558" spans="1:13" s="360" customFormat="1" x14ac:dyDescent="0.25">
      <c r="A4558" s="19" t="s">
        <v>22</v>
      </c>
      <c r="B4558" s="2">
        <v>44082</v>
      </c>
      <c r="C4558" s="1">
        <v>976</v>
      </c>
      <c r="D4558" s="39">
        <f t="shared" si="473"/>
        <v>13612</v>
      </c>
      <c r="E4558" s="1">
        <f>1+2+4</f>
        <v>7</v>
      </c>
      <c r="F4558" s="39">
        <f t="shared" si="474"/>
        <v>149</v>
      </c>
      <c r="G4558" s="168">
        <f>SUM(C4558,C4534,C4510,C4486,C4462,C4438,C4414,C4390,C4366,C4342,C4318,C4294,C4270,C4246)/POBLA!$B$21*100000</f>
        <v>232.72135816523954</v>
      </c>
      <c r="H4558" s="256">
        <f t="shared" si="468"/>
        <v>2.7888851236868857</v>
      </c>
      <c r="I4558" s="297">
        <f t="shared" si="471"/>
        <v>649.03313375124412</v>
      </c>
      <c r="J4558" s="297">
        <f t="shared" si="472"/>
        <v>718.57142857142856</v>
      </c>
      <c r="K4558" s="297">
        <f>J4558/POBLA!$B$21*100000</f>
        <v>20.319188189049726</v>
      </c>
      <c r="L4558" s="549">
        <f t="shared" si="469"/>
        <v>-0.57187499999999991</v>
      </c>
      <c r="M4558" s="401">
        <f>SUM(C4558,C4534,C4510,C4486,C4462,C4438,C4414)/POBLA!$B$21*100000</f>
        <v>142.23431732334808</v>
      </c>
    </row>
    <row r="4559" spans="1:13" s="360" customFormat="1" x14ac:dyDescent="0.25">
      <c r="A4559" s="19" t="s">
        <v>38</v>
      </c>
      <c r="B4559" s="2">
        <v>44082</v>
      </c>
      <c r="C4559" s="1">
        <v>46</v>
      </c>
      <c r="D4559" s="39">
        <f t="shared" si="473"/>
        <v>1389</v>
      </c>
      <c r="E4559" s="1">
        <f>1</f>
        <v>1</v>
      </c>
      <c r="F4559" s="39">
        <f t="shared" si="474"/>
        <v>21</v>
      </c>
      <c r="G4559" s="168">
        <f>SUM(C4559,C4535,C4511,C4487,C4463,C4439,C4415,C4391,C4367,C4343,C4319,C4295,C4271,C4247)/POBLA!$B$22*100000</f>
        <v>75.129329774826672</v>
      </c>
      <c r="H4559" s="256">
        <f t="shared" si="468"/>
        <v>1.4848484848484849</v>
      </c>
      <c r="I4559" s="297">
        <f t="shared" si="471"/>
        <v>111.55567148383355</v>
      </c>
      <c r="J4559" s="297">
        <f t="shared" si="472"/>
        <v>59</v>
      </c>
      <c r="K4559" s="297">
        <f>J4559/POBLA!$B$22*100000</f>
        <v>6.0307897370269021</v>
      </c>
      <c r="L4559" s="549">
        <f t="shared" si="469"/>
        <v>-0.28260869565217384</v>
      </c>
      <c r="M4559" s="401">
        <f>SUM(C4559,C4535,C4511,C4487,C4463,C4439,C4415)/POBLA!$B$22*100000</f>
        <v>42.215528159188317</v>
      </c>
    </row>
    <row r="4560" spans="1:13" s="360" customFormat="1" x14ac:dyDescent="0.25">
      <c r="A4560" s="19" t="s">
        <v>39</v>
      </c>
      <c r="B4560" s="2">
        <v>44082</v>
      </c>
      <c r="C4560" s="1">
        <v>61</v>
      </c>
      <c r="D4560" s="39">
        <f t="shared" si="473"/>
        <v>2461</v>
      </c>
      <c r="E4560" s="1"/>
      <c r="F4560" s="39">
        <f t="shared" si="474"/>
        <v>38</v>
      </c>
      <c r="G4560" s="168">
        <f>SUM(C4560,C4536,C4512,C4488,C4464,C4440,C4416,C4392,C4368,C4344,C4320,C4296,C4272,C4248)/POBLA!$B$23*100000</f>
        <v>372.10880506701352</v>
      </c>
      <c r="H4560" s="256">
        <f t="shared" si="468"/>
        <v>0.93333333333333335</v>
      </c>
      <c r="I4560" s="297">
        <f t="shared" si="471"/>
        <v>347.3015513958793</v>
      </c>
      <c r="J4560" s="297">
        <f t="shared" si="472"/>
        <v>51.285714285714285</v>
      </c>
      <c r="K4560" s="297">
        <f>J4560/POBLA!$B$23*100000</f>
        <v>29.002835653290894</v>
      </c>
      <c r="L4560" s="549">
        <f t="shared" si="469"/>
        <v>-0.20066889632107032</v>
      </c>
      <c r="M4560" s="401">
        <f>SUM(C4560,C4536,C4512,C4488,C4464,C4440,C4416)/POBLA!$B$23*100000</f>
        <v>203.01984957303625</v>
      </c>
    </row>
    <row r="4561" spans="1:13" s="360" customFormat="1" ht="15.75" thickBot="1" x14ac:dyDescent="0.3">
      <c r="A4561" s="362" t="s">
        <v>40</v>
      </c>
      <c r="B4561" s="34">
        <v>44082</v>
      </c>
      <c r="C4561" s="232">
        <v>283</v>
      </c>
      <c r="D4561" s="67">
        <f t="shared" si="473"/>
        <v>4746</v>
      </c>
      <c r="E4561" s="232">
        <f>1</f>
        <v>1</v>
      </c>
      <c r="F4561" s="39">
        <f t="shared" si="474"/>
        <v>17</v>
      </c>
      <c r="G4561" s="177">
        <f>SUM(C4561,C4537,C4513,C4489,C4465,C4441,C4417,C4393,C4369,C4345,C4321,C4297,C4273,C4249)/POBLA!$B$24*100000</f>
        <v>204.46627516144869</v>
      </c>
      <c r="H4561" s="402">
        <f t="shared" si="468"/>
        <v>4.1696750902527073</v>
      </c>
      <c r="I4561" s="403">
        <f t="shared" si="471"/>
        <v>852.5579343374485</v>
      </c>
      <c r="J4561" s="403">
        <f t="shared" si="472"/>
        <v>323.85714285714283</v>
      </c>
      <c r="K4561" s="403">
        <f>J4561/POBLA!$B$24*100000</f>
        <v>19.110494569820826</v>
      </c>
      <c r="L4561" s="550">
        <f t="shared" si="469"/>
        <v>-0.89232053422370616</v>
      </c>
      <c r="M4561" s="405">
        <f>SUM(C4561,C4537,C4513,C4489,C4465,C4441,C4417)/POBLA!$B$24*100000</f>
        <v>133.77346198874579</v>
      </c>
    </row>
    <row r="4562" spans="1:13" s="360" customFormat="1" x14ac:dyDescent="0.25">
      <c r="A4562" s="363" t="s">
        <v>16</v>
      </c>
      <c r="B4562" s="265">
        <v>44083</v>
      </c>
      <c r="C4562" s="43">
        <v>6266</v>
      </c>
      <c r="D4562" s="174">
        <f>C4562+D4538</f>
        <v>310254</v>
      </c>
      <c r="E4562" s="43">
        <v>152</v>
      </c>
      <c r="F4562" s="39">
        <f t="shared" si="474"/>
        <v>6415</v>
      </c>
      <c r="G4562" s="175">
        <f>SUM(C4562,C4538,C4514,C4490,C4466,C4442,C4418,C4394,C4370,C4346,C4322,C4298,C4274,C4250)/POBLA!$B$1*100000</f>
        <v>455.62600517263962</v>
      </c>
      <c r="H4562" s="300">
        <f t="shared" ref="H4562:H4585" si="475">SUM(C4562,C4538,C4514,C4490,C4466,C4442,C4418,C4394,C4370,C4346,C4322,C4298,C4274,C4250)/SUM(C4226,C4202,C4178,C4154,C4130,C4106,C4082,C4058,C4034,C4010,C3986,C3962,C3938,C3914)</f>
        <v>1.24995308101345</v>
      </c>
      <c r="I4562" s="301">
        <f>G4562*H4562</f>
        <v>569.51112895539097</v>
      </c>
      <c r="J4562" s="301">
        <f>AVERAGE(C4562,C4538,C4514,C4490,C4466,C4442,C4418)</f>
        <v>5581.2857142857147</v>
      </c>
      <c r="K4562" s="301">
        <f>J4562/POBLA!$B$1*100000</f>
        <v>31.818259224332753</v>
      </c>
      <c r="L4562" s="548">
        <f t="shared" ref="L4562:L4585" si="476">1-SUM(C4562,C4538,C4514,C4490,C4466,C4442,C4418)/SUM(C4394,C4370,C4346,C4322,C4298,C4274,C4250)</f>
        <v>4.3668763615891115E-2</v>
      </c>
      <c r="M4562" s="400">
        <f>SUM(C4562,C4538,C4514,C4490,C4466,C4442,C4418)/POBLA!$B$1*100000</f>
        <v>222.72781457032929</v>
      </c>
    </row>
    <row r="4563" spans="1:13" s="360" customFormat="1" x14ac:dyDescent="0.25">
      <c r="A4563" s="364" t="s">
        <v>43</v>
      </c>
      <c r="B4563" s="2">
        <v>44083</v>
      </c>
      <c r="C4563" s="1">
        <v>1264</v>
      </c>
      <c r="D4563" s="39">
        <f t="shared" ref="D4563:D4575" si="477">C4563+D4539</f>
        <v>106573</v>
      </c>
      <c r="E4563" s="1">
        <v>47</v>
      </c>
      <c r="F4563" s="409">
        <f t="shared" ref="F4563:F4604" si="478">E4563+F4539</f>
        <v>2577</v>
      </c>
      <c r="G4563" s="168">
        <f>SUM(C4563,C4539,C4515,C4491,C4467,C4443,C4419,C4395,C4371,C4347,C4323,C4299,C4275,C4251)/POBLA!$B$2*100000</f>
        <v>566.90529404229221</v>
      </c>
      <c r="H4563" s="256">
        <f t="shared" si="475"/>
        <v>1.1122025897812082</v>
      </c>
      <c r="I4563" s="297">
        <f t="shared" ref="I4563:I4585" si="479">G4563*H4563</f>
        <v>630.5135361945147</v>
      </c>
      <c r="J4563" s="297">
        <f t="shared" ref="J4563:J4585" si="480">AVERAGE(C4563,C4539,C4515,C4491,C4467,C4443,C4419)</f>
        <v>1175.4285714285713</v>
      </c>
      <c r="K4563" s="297">
        <f>J4563/POBLA!$B$2*100000</f>
        <v>38.217290657916138</v>
      </c>
      <c r="L4563" s="549">
        <f t="shared" si="476"/>
        <v>0.10642919200695045</v>
      </c>
      <c r="M4563" s="401">
        <f>SUM(C4563,C4539,C4515,C4491,C4467,C4443,C4419)/POBLA!$B$2*100000</f>
        <v>267.52103460541298</v>
      </c>
    </row>
    <row r="4564" spans="1:13" s="360" customFormat="1" x14ac:dyDescent="0.25">
      <c r="A4564" s="364" t="s">
        <v>28</v>
      </c>
      <c r="B4564" s="2">
        <v>44083</v>
      </c>
      <c r="C4564" s="1">
        <v>3</v>
      </c>
      <c r="D4564" s="39">
        <f t="shared" si="477"/>
        <v>99</v>
      </c>
      <c r="E4564" s="1"/>
      <c r="F4564" s="409">
        <f t="shared" si="478"/>
        <v>0</v>
      </c>
      <c r="G4564" s="168">
        <f>SUM(C4564,C4540,C4516,C4492,C4468,C4444,C4420,C4396,C4372,C4348,C4324,C4300,C4276,C4252)/POBLA!$B$3*100000</f>
        <v>8.6655529826351945</v>
      </c>
      <c r="H4564" s="256">
        <f t="shared" si="475"/>
        <v>36</v>
      </c>
      <c r="I4564" s="297">
        <f t="shared" si="479"/>
        <v>311.95990737486699</v>
      </c>
      <c r="J4564" s="297">
        <f t="shared" si="480"/>
        <v>4.5714285714285712</v>
      </c>
      <c r="K4564" s="297">
        <f>J4564/POBLA!$B$3*100000</f>
        <v>1.1003876803346277</v>
      </c>
      <c r="L4564" s="549">
        <f t="shared" si="476"/>
        <v>-7</v>
      </c>
      <c r="M4564" s="401">
        <f>SUM(C4564,C4540,C4516,C4492,C4468,C4444,C4420)/POBLA!$B$3*100000</f>
        <v>7.7027137623423947</v>
      </c>
    </row>
    <row r="4565" spans="1:13" s="360" customFormat="1" x14ac:dyDescent="0.25">
      <c r="A4565" s="364" t="s">
        <v>15</v>
      </c>
      <c r="B4565" s="2">
        <v>44083</v>
      </c>
      <c r="C4565" s="1">
        <v>140</v>
      </c>
      <c r="D4565" s="39">
        <f t="shared" si="477"/>
        <v>6290</v>
      </c>
      <c r="E4565" s="1">
        <v>2</v>
      </c>
      <c r="F4565" s="409">
        <f>E4565+F4541</f>
        <v>231</v>
      </c>
      <c r="G4565" s="168">
        <f>SUM(C4565,C4541,C4517,C4493,C4469,C4445,C4421,C4397,C4373,C4349,C4325,C4301,C4277,C4253)/POBLA!$B$4*100000</f>
        <v>103.69094949860569</v>
      </c>
      <c r="H4565" s="256">
        <f t="shared" si="475"/>
        <v>1.5176184690157959</v>
      </c>
      <c r="I4565" s="297">
        <f t="shared" si="479"/>
        <v>157.36330002886817</v>
      </c>
      <c r="J4565" s="297">
        <f t="shared" si="480"/>
        <v>102</v>
      </c>
      <c r="K4565" s="297">
        <f>J4565/POBLA!$B$4*100000</f>
        <v>8.4679558437612332</v>
      </c>
      <c r="L4565" s="549">
        <f t="shared" si="476"/>
        <v>-0.33457943925233646</v>
      </c>
      <c r="M4565" s="401">
        <f>SUM(C4565,C4541,C4517,C4493,C4469,C4445,C4421)/POBLA!$B$4*100000</f>
        <v>59.275690906328641</v>
      </c>
    </row>
    <row r="4566" spans="1:13" s="360" customFormat="1" x14ac:dyDescent="0.25">
      <c r="A4566" s="364" t="s">
        <v>29</v>
      </c>
      <c r="B4566" s="2">
        <v>44083</v>
      </c>
      <c r="C4566" s="1">
        <v>39</v>
      </c>
      <c r="D4566" s="39">
        <f t="shared" si="477"/>
        <v>1361</v>
      </c>
      <c r="E4566" s="1"/>
      <c r="F4566" s="409">
        <f t="shared" si="478"/>
        <v>8</v>
      </c>
      <c r="G4566" s="168">
        <f>SUM(C4566,C4542,C4518,C4494,C4470,C4446,C4422,C4398,C4374,C4350,C4326,C4302,C4278,C4254)/POBLA!$B$5*100000</f>
        <v>114.86379512563934</v>
      </c>
      <c r="H4566" s="256">
        <f t="shared" si="475"/>
        <v>2.5035211267605635</v>
      </c>
      <c r="I4566" s="297">
        <f t="shared" si="479"/>
        <v>287.56393779693514</v>
      </c>
      <c r="J4566" s="297">
        <f t="shared" si="480"/>
        <v>54</v>
      </c>
      <c r="K4566" s="297">
        <f>J4566/POBLA!$B$5*100000</f>
        <v>8.7238325411877984</v>
      </c>
      <c r="L4566" s="549">
        <f t="shared" si="476"/>
        <v>-0.13513513513513509</v>
      </c>
      <c r="M4566" s="401">
        <f>SUM(C4566,C4542,C4518,C4494,C4470,C4446,C4422)/POBLA!$B$5*100000</f>
        <v>61.066827788314583</v>
      </c>
    </row>
    <row r="4567" spans="1:13" s="360" customFormat="1" x14ac:dyDescent="0.25">
      <c r="A4567" s="364" t="s">
        <v>20</v>
      </c>
      <c r="B4567" s="2">
        <v>44083</v>
      </c>
      <c r="C4567" s="1">
        <v>577</v>
      </c>
      <c r="D4567" s="39">
        <f t="shared" si="477"/>
        <v>12566</v>
      </c>
      <c r="E4567" s="1">
        <f>5+3</f>
        <v>8</v>
      </c>
      <c r="F4567" s="409">
        <f t="shared" si="478"/>
        <v>178</v>
      </c>
      <c r="G4567" s="168">
        <f>SUM(C4567,C4543,C4519,C4495,C4471,C4447,C4423,C4399,C4375,C4351,C4327,C4303,C4279,C4255)/POBLA!$B$6*100000</f>
        <v>517.39782530529499</v>
      </c>
      <c r="H4567" s="256">
        <f t="shared" si="475"/>
        <v>2.0740343347639487</v>
      </c>
      <c r="I4567" s="297">
        <f t="shared" si="479"/>
        <v>1073.1008544153813</v>
      </c>
      <c r="J4567" s="297">
        <f t="shared" si="480"/>
        <v>453.14285714285717</v>
      </c>
      <c r="K4567" s="297">
        <f>J4567/POBLA!$B$6*100000</f>
        <v>40.430268811578252</v>
      </c>
      <c r="L4567" s="549">
        <f t="shared" si="476"/>
        <v>-0.20746098210886954</v>
      </c>
      <c r="M4567" s="401">
        <f>SUM(C4567,C4543,C4519,C4495,C4471,C4447,C4423)/POBLA!$B$6*100000</f>
        <v>283.01188168104778</v>
      </c>
    </row>
    <row r="4568" spans="1:13" s="360" customFormat="1" x14ac:dyDescent="0.25">
      <c r="A4568" s="364" t="s">
        <v>30</v>
      </c>
      <c r="B4568" s="2">
        <v>44083</v>
      </c>
      <c r="C4568" s="1">
        <v>25</v>
      </c>
      <c r="D4568" s="39">
        <f t="shared" si="477"/>
        <v>431</v>
      </c>
      <c r="E4568" s="1"/>
      <c r="F4568" s="409">
        <f t="shared" si="478"/>
        <v>5</v>
      </c>
      <c r="G4568" s="168">
        <f>SUM(C4568,C4544,C4520,C4496,C4472,C4448,C4424,C4400,C4376,C4352,C4328,C4304,C4280,C4256)/POBLA!$B$7*100000</f>
        <v>4.2282173676022818</v>
      </c>
      <c r="H4568" s="256">
        <f t="shared" si="475"/>
        <v>3.0576923076923075</v>
      </c>
      <c r="I4568" s="297">
        <f t="shared" si="479"/>
        <v>12.928587720168515</v>
      </c>
      <c r="J4568" s="297">
        <f t="shared" si="480"/>
        <v>15.714285714285714</v>
      </c>
      <c r="K4568" s="297">
        <f>J4568/POBLA!$B$7*100000</f>
        <v>0.41788311809186968</v>
      </c>
      <c r="L4568" s="549">
        <f t="shared" si="476"/>
        <v>-1.2448979591836733</v>
      </c>
      <c r="M4568" s="401">
        <f>SUM(C4568,C4544,C4520,C4496,C4472,C4448,C4424)/POBLA!$B$7*100000</f>
        <v>2.925181826643088</v>
      </c>
    </row>
    <row r="4569" spans="1:13" x14ac:dyDescent="0.25">
      <c r="A4569" s="364" t="s">
        <v>31</v>
      </c>
      <c r="B4569" s="2">
        <v>44083</v>
      </c>
      <c r="C4569" s="1">
        <v>130</v>
      </c>
      <c r="D4569" s="39">
        <f t="shared" si="477"/>
        <v>4707</v>
      </c>
      <c r="E4569" s="1">
        <v>1</v>
      </c>
      <c r="F4569" s="409">
        <f t="shared" si="478"/>
        <v>69</v>
      </c>
      <c r="G4569" s="168">
        <f>SUM(C4569,C4545,C4521,C4497,C4473,C4449,C4425,C4401,C4377,C4353,C4329,C4305,C4281,C4257)/POBLA!$B$8*100000</f>
        <v>150.50928561481888</v>
      </c>
      <c r="H4569" s="256">
        <f t="shared" si="475"/>
        <v>1.5911517925247902</v>
      </c>
      <c r="I4569" s="297">
        <f t="shared" si="479"/>
        <v>239.48311959764467</v>
      </c>
      <c r="J4569" s="297">
        <f t="shared" si="480"/>
        <v>124.14285714285714</v>
      </c>
      <c r="K4569" s="297">
        <f>J4569/POBLA!$B$8*100000</f>
        <v>8.9571681413010271</v>
      </c>
      <c r="L4569" s="549">
        <f t="shared" si="476"/>
        <v>0.28594905505341006</v>
      </c>
      <c r="M4569" s="401">
        <f>SUM(C4569,C4545,C4521,C4497,C4473,C4449,C4425)/POBLA!$B$8*100000</f>
        <v>62.700176989107199</v>
      </c>
    </row>
    <row r="4570" spans="1:13" s="360" customFormat="1" x14ac:dyDescent="0.25">
      <c r="A4570" s="364" t="s">
        <v>41</v>
      </c>
      <c r="B4570" s="2">
        <v>44083</v>
      </c>
      <c r="C4570" s="1">
        <v>1</v>
      </c>
      <c r="D4570" s="39">
        <f t="shared" si="477"/>
        <v>91</v>
      </c>
      <c r="E4570" s="1"/>
      <c r="F4570" s="39">
        <f>E4570+F4546</f>
        <v>1</v>
      </c>
      <c r="G4570" s="168">
        <f>SUM(C4570,C4546,C4522,C4498,C4474,C4450,C4426,C4402,C4378,C4354,C4330,C4306,C4282,C4258)/POBLA!$B$9*100000</f>
        <v>1.4871288993759018</v>
      </c>
      <c r="H4570" s="256">
        <f t="shared" si="475"/>
        <v>4.5</v>
      </c>
      <c r="I4570" s="297">
        <f t="shared" si="479"/>
        <v>6.692080047191558</v>
      </c>
      <c r="J4570" s="297">
        <f t="shared" si="480"/>
        <v>1</v>
      </c>
      <c r="K4570" s="297">
        <f>J4570/POBLA!$B$9*100000</f>
        <v>0.16523654437510019</v>
      </c>
      <c r="L4570" s="549">
        <f t="shared" si="476"/>
        <v>-2.5</v>
      </c>
      <c r="M4570" s="401">
        <f>SUM(C4570,C4546,C4522,C4498,C4474,C4450,C4426)/POBLA!$B$9*100000</f>
        <v>1.1566558106257012</v>
      </c>
    </row>
    <row r="4571" spans="1:13" s="360" customFormat="1" x14ac:dyDescent="0.25">
      <c r="A4571" s="364" t="s">
        <v>32</v>
      </c>
      <c r="B4571" s="2">
        <v>44083</v>
      </c>
      <c r="C4571" s="1">
        <v>343</v>
      </c>
      <c r="D4571" s="39">
        <f t="shared" si="477"/>
        <v>11117</v>
      </c>
      <c r="E4571" s="1">
        <f>3+3</f>
        <v>6</v>
      </c>
      <c r="F4571" s="409">
        <f t="shared" si="478"/>
        <v>237</v>
      </c>
      <c r="G4571" s="168">
        <f>SUM(C4571,C4547,C4523,C4499,C4475,C4451,C4427,C4403,C4379,C4355,C4331,C4307,C4283,C4259)/POBLA!$B$10*100000</f>
        <v>524.46486552399142</v>
      </c>
      <c r="H4571" s="256">
        <f t="shared" si="475"/>
        <v>1.3321252059308073</v>
      </c>
      <c r="I4571" s="297">
        <f t="shared" si="479"/>
        <v>698.65286698962018</v>
      </c>
      <c r="J4571" s="297">
        <f t="shared" si="480"/>
        <v>322.42857142857144</v>
      </c>
      <c r="K4571" s="297">
        <f>J4571/POBLA!$B$10*100000</f>
        <v>41.825985000093588</v>
      </c>
      <c r="L4571" s="549">
        <f t="shared" si="476"/>
        <v>-0.26371780515117571</v>
      </c>
      <c r="M4571" s="401">
        <f>SUM(C4571,C4547,C4523,C4499,C4475,C4451,C4427)/POBLA!$B$10*100000</f>
        <v>292.78189500065508</v>
      </c>
    </row>
    <row r="4572" spans="1:13" s="360" customFormat="1" x14ac:dyDescent="0.25">
      <c r="A4572" s="364" t="s">
        <v>33</v>
      </c>
      <c r="B4572" s="2">
        <v>44083</v>
      </c>
      <c r="C4572" s="1">
        <v>20</v>
      </c>
      <c r="D4572" s="39">
        <f t="shared" si="477"/>
        <v>267</v>
      </c>
      <c r="E4572" s="1"/>
      <c r="F4572" s="409">
        <f t="shared" si="478"/>
        <v>4</v>
      </c>
      <c r="G4572" s="168">
        <f>SUM(C4572,C4548,C4524,C4500,C4476,C4452,C4428,C4404,C4380,C4356,C4332,C4308,C4284,C4260)/POBLA!$B$11*100000</f>
        <v>20.087716361444976</v>
      </c>
      <c r="H4572" s="256">
        <f t="shared" si="475"/>
        <v>4.8</v>
      </c>
      <c r="I4572" s="297">
        <f t="shared" si="479"/>
        <v>96.421038534935875</v>
      </c>
      <c r="J4572" s="297">
        <f t="shared" si="480"/>
        <v>7.7142857142857144</v>
      </c>
      <c r="K4572" s="297">
        <f>J4572/POBLA!$B$11*100000</f>
        <v>2.1522553244405334</v>
      </c>
      <c r="L4572" s="549">
        <f t="shared" si="476"/>
        <v>-2</v>
      </c>
      <c r="M4572" s="401">
        <f>SUM(C4572,C4548,C4524,C4500,C4476,C4452,C4428)/POBLA!$B$11*100000</f>
        <v>15.065787271083734</v>
      </c>
    </row>
    <row r="4573" spans="1:13" s="360" customFormat="1" x14ac:dyDescent="0.25">
      <c r="A4573" s="364" t="s">
        <v>21</v>
      </c>
      <c r="B4573" s="2">
        <v>44083</v>
      </c>
      <c r="C4573" s="1">
        <v>145</v>
      </c>
      <c r="D4573" s="39">
        <f t="shared" si="477"/>
        <v>2360</v>
      </c>
      <c r="E4573" s="1">
        <v>1</v>
      </c>
      <c r="F4573" s="409">
        <f t="shared" si="478"/>
        <v>52</v>
      </c>
      <c r="G4573" s="168">
        <f>SUM(C4573,C4549,C4525,C4501,C4477,C4453,C4429,C4405,C4381,C4357,C4333,C4309,C4285,C4261)/POBLA!$B$12*100000</f>
        <v>291.20958704650968</v>
      </c>
      <c r="H4573" s="256">
        <f t="shared" si="475"/>
        <v>1.7053571428571428</v>
      </c>
      <c r="I4573" s="297">
        <f t="shared" si="479"/>
        <v>496.61634933824416</v>
      </c>
      <c r="J4573" s="297">
        <f t="shared" si="480"/>
        <v>95</v>
      </c>
      <c r="K4573" s="297">
        <f>J4573/POBLA!$B$12*100000</f>
        <v>24.140410793558832</v>
      </c>
      <c r="L4573" s="549">
        <f t="shared" si="476"/>
        <v>-0.38253638253638256</v>
      </c>
      <c r="M4573" s="401">
        <f>SUM(C4573,C4549,C4525,C4501,C4477,C4453,C4429)/POBLA!$B$12*100000</f>
        <v>168.9828755549118</v>
      </c>
    </row>
    <row r="4574" spans="1:13" s="360" customFormat="1" x14ac:dyDescent="0.25">
      <c r="A4574" s="364" t="s">
        <v>17</v>
      </c>
      <c r="B4574" s="2">
        <v>44083</v>
      </c>
      <c r="C4574" s="1">
        <v>798</v>
      </c>
      <c r="D4574" s="39">
        <f t="shared" si="477"/>
        <v>11634</v>
      </c>
      <c r="E4574" s="1">
        <f>5+4+2</f>
        <v>11</v>
      </c>
      <c r="F4574" s="409">
        <f t="shared" si="478"/>
        <v>125</v>
      </c>
      <c r="G4574" s="168">
        <f>SUM(C4574,C4550,C4526,C4502,C4478,C4454,C4430,C4406,C4382,C4358,C4334,C4310,C4286,C4262)/POBLA!$B$13*100000</f>
        <v>315.77551149603738</v>
      </c>
      <c r="H4574" s="256">
        <f t="shared" si="475"/>
        <v>2.2705924855491331</v>
      </c>
      <c r="I4574" s="297">
        <f t="shared" si="479"/>
        <v>716.99750352333638</v>
      </c>
      <c r="J4574" s="297">
        <f t="shared" si="480"/>
        <v>575.71428571428567</v>
      </c>
      <c r="K4574" s="297">
        <f>J4574/POBLA!$B$13*100000</f>
        <v>28.925453149881363</v>
      </c>
      <c r="L4574" s="549">
        <f t="shared" si="476"/>
        <v>-0.78713968957871394</v>
      </c>
      <c r="M4574" s="401">
        <f>SUM(C4574,C4550,C4526,C4502,C4478,C4454,C4430)/POBLA!$B$13*100000</f>
        <v>202.47817204916953</v>
      </c>
    </row>
    <row r="4575" spans="1:13" s="360" customFormat="1" x14ac:dyDescent="0.25">
      <c r="A4575" s="364" t="s">
        <v>23</v>
      </c>
      <c r="B4575" s="2">
        <v>44083</v>
      </c>
      <c r="C4575" s="1">
        <v>2</v>
      </c>
      <c r="D4575" s="39">
        <f t="shared" si="477"/>
        <v>71</v>
      </c>
      <c r="E4575" s="1"/>
      <c r="F4575" s="409">
        <f t="shared" si="478"/>
        <v>2</v>
      </c>
      <c r="G4575" s="168">
        <f>SUM(C4575,C4551,C4527,C4503,C4479,C4455,C4431,C4407,C4383,C4359,C4335,C4311,C4287,C4263)/POBLA!$B$14*100000</f>
        <v>0.95140387570225504</v>
      </c>
      <c r="H4575" s="256">
        <f t="shared" si="475"/>
        <v>2</v>
      </c>
      <c r="I4575" s="297">
        <f t="shared" si="479"/>
        <v>1.9028077514045101</v>
      </c>
      <c r="J4575" s="297">
        <f t="shared" si="480"/>
        <v>1</v>
      </c>
      <c r="K4575" s="297">
        <f>J4575/POBLA!$B$14*100000</f>
        <v>7.9283656308521244E-2</v>
      </c>
      <c r="L4575" s="549">
        <f t="shared" si="476"/>
        <v>-0.39999999999999991</v>
      </c>
      <c r="M4575" s="401">
        <f>SUM(C4575,C4551,C4527,C4503,C4479,C4455,C4431)/POBLA!$B$14*100000</f>
        <v>0.55498559415964877</v>
      </c>
    </row>
    <row r="4576" spans="1:13" s="360" customFormat="1" x14ac:dyDescent="0.25">
      <c r="A4576" s="364" t="s">
        <v>19</v>
      </c>
      <c r="B4576" s="2">
        <v>44083</v>
      </c>
      <c r="C4576" s="1">
        <v>69</v>
      </c>
      <c r="D4576" s="39">
        <f>C4576+D4552</f>
        <v>4118</v>
      </c>
      <c r="E4576" s="1">
        <f>1+1</f>
        <v>2</v>
      </c>
      <c r="F4576" s="409">
        <f t="shared" si="478"/>
        <v>43</v>
      </c>
      <c r="G4576" s="168">
        <f>SUM(C4576,C4552,C4528,C4504,C4480,C4456,C4432,C4408,C4384,C4360,C4336,C4312,C4288,C4264)/POBLA!$B$15*100000</f>
        <v>236.57607705362642</v>
      </c>
      <c r="H4576" s="256">
        <f t="shared" si="475"/>
        <v>1.7592385218365061</v>
      </c>
      <c r="I4576" s="297">
        <f t="shared" si="479"/>
        <v>416.19374809770113</v>
      </c>
      <c r="J4576" s="297">
        <f t="shared" si="480"/>
        <v>122.14285714285714</v>
      </c>
      <c r="K4576" s="297">
        <f>J4576/POBLA!$B$15*100000</f>
        <v>18.393429651800545</v>
      </c>
      <c r="L4576" s="549">
        <f t="shared" si="476"/>
        <v>-0.19413407821229045</v>
      </c>
      <c r="M4576" s="401">
        <f>SUM(C4576,C4552,C4528,C4504,C4480,C4456,C4432)/POBLA!$B$15*100000</f>
        <v>128.75400756260382</v>
      </c>
    </row>
    <row r="4577" spans="1:13" s="360" customFormat="1" x14ac:dyDescent="0.25">
      <c r="A4577" s="364" t="s">
        <v>18</v>
      </c>
      <c r="B4577" s="2">
        <v>44083</v>
      </c>
      <c r="C4577" s="1">
        <v>280</v>
      </c>
      <c r="D4577" s="39">
        <f>C4577+D4553</f>
        <v>7777</v>
      </c>
      <c r="E4577" s="1">
        <f>2</f>
        <v>2</v>
      </c>
      <c r="F4577" s="409">
        <f t="shared" si="478"/>
        <v>140</v>
      </c>
      <c r="G4577" s="168">
        <f>SUM(C4577,C4553,C4529,C4505,C4481,C4457,C4433,C4409,C4385,C4361,C4337,C4313,C4289,C4265)/POBLA!$B$16*100000</f>
        <v>348.30994770000399</v>
      </c>
      <c r="H4577" s="256">
        <f t="shared" si="475"/>
        <v>1.4482758620689655</v>
      </c>
      <c r="I4577" s="297">
        <f t="shared" si="479"/>
        <v>504.44888977241959</v>
      </c>
      <c r="J4577" s="297">
        <f t="shared" si="480"/>
        <v>204.14285714285714</v>
      </c>
      <c r="K4577" s="297">
        <f>J4577/POBLA!$B$16*100000</f>
        <v>27.306062939615195</v>
      </c>
      <c r="L4577" s="549">
        <f t="shared" si="476"/>
        <v>-0.21617021276595749</v>
      </c>
      <c r="M4577" s="401">
        <f>SUM(C4577,C4553,C4529,C4505,C4481,C4457,C4433)/POBLA!$B$16*100000</f>
        <v>191.14244057730636</v>
      </c>
    </row>
    <row r="4578" spans="1:13" s="360" customFormat="1" x14ac:dyDescent="0.25">
      <c r="A4578" s="364" t="s">
        <v>34</v>
      </c>
      <c r="B4578" s="2">
        <v>44083</v>
      </c>
      <c r="C4578" s="1">
        <v>361</v>
      </c>
      <c r="D4578" s="39">
        <f>C4578+D4554</f>
        <v>5470</v>
      </c>
      <c r="E4578" s="1">
        <f>7+1</f>
        <v>8</v>
      </c>
      <c r="F4578" s="409">
        <f>E4578+F4554</f>
        <v>71</v>
      </c>
      <c r="G4578" s="168">
        <f>SUM(C4578,C4554,C4530,C4506,C4482,C4458,C4434,C4410,C4386,C4362,C4338,C4314,C4290,C4266)/POBLA!$B$17*100000</f>
        <v>223.60339147021509</v>
      </c>
      <c r="H4578" s="256">
        <f t="shared" si="475"/>
        <v>2.0654993514915696</v>
      </c>
      <c r="I4578" s="297">
        <f t="shared" si="479"/>
        <v>461.85266007304483</v>
      </c>
      <c r="J4578" s="297">
        <f t="shared" si="480"/>
        <v>254.71428571428572</v>
      </c>
      <c r="K4578" s="297">
        <f>J4578/POBLA!$B$17*100000</f>
        <v>17.882253733635054</v>
      </c>
      <c r="L4578" s="549">
        <f t="shared" si="476"/>
        <v>-0.27175463623395157</v>
      </c>
      <c r="M4578" s="401">
        <f>SUM(C4578,C4554,C4530,C4506,C4482,C4458,C4434)/POBLA!$B$17*100000</f>
        <v>125.17577613544539</v>
      </c>
    </row>
    <row r="4579" spans="1:13" s="360" customFormat="1" x14ac:dyDescent="0.25">
      <c r="A4579" s="364" t="s">
        <v>35</v>
      </c>
      <c r="B4579" s="2">
        <v>44083</v>
      </c>
      <c r="C4579" s="1">
        <v>4</v>
      </c>
      <c r="D4579" s="39">
        <f t="shared" ref="D4579:D4585" si="481">C4579+D4555</f>
        <v>384</v>
      </c>
      <c r="E4579" s="1"/>
      <c r="F4579" s="39">
        <f>E4579+F4555</f>
        <v>7</v>
      </c>
      <c r="G4579" s="168">
        <f>SUM(C4579,C4555,C4531,C4507,C4483,C4459,C4435,C4411,C4387,C4363,C4339,C4315,C4291,C4267)/POBLA!$B$18*100000</f>
        <v>30.465286853716702</v>
      </c>
      <c r="H4579" s="256">
        <f t="shared" si="475"/>
        <v>1.934959349593496</v>
      </c>
      <c r="I4579" s="297">
        <f t="shared" si="479"/>
        <v>58.949091635646951</v>
      </c>
      <c r="J4579" s="297">
        <f t="shared" si="480"/>
        <v>18.428571428571427</v>
      </c>
      <c r="K4579" s="297">
        <f>J4579/POBLA!$B$18*100000</f>
        <v>2.3589567851917495</v>
      </c>
      <c r="L4579" s="549">
        <f t="shared" si="476"/>
        <v>-0.1834862385321101</v>
      </c>
      <c r="M4579" s="401">
        <f>SUM(C4579,C4555,C4531,C4507,C4483,C4459,C4435)/POBLA!$B$18*100000</f>
        <v>16.512697496342245</v>
      </c>
    </row>
    <row r="4580" spans="1:13" s="360" customFormat="1" x14ac:dyDescent="0.25">
      <c r="A4580" s="364" t="s">
        <v>36</v>
      </c>
      <c r="B4580" s="2">
        <v>44083</v>
      </c>
      <c r="C4580" s="1">
        <v>21</v>
      </c>
      <c r="D4580" s="39">
        <f t="shared" si="481"/>
        <v>346</v>
      </c>
      <c r="E4580" s="1"/>
      <c r="F4580" s="409">
        <f t="shared" si="478"/>
        <v>0</v>
      </c>
      <c r="G4580" s="168">
        <f>SUM(C4580,C4556,C4532,C4508,C4484,C4460,C4436,C4412,C4388,C4364,C4340,C4316,C4292,C4268)/POBLA!$B$19*100000</f>
        <v>59.410459388426375</v>
      </c>
      <c r="H4580" s="256">
        <f t="shared" si="475"/>
        <v>25.166666666666668</v>
      </c>
      <c r="I4580" s="297">
        <f t="shared" si="479"/>
        <v>1495.1632279420639</v>
      </c>
      <c r="J4580" s="297">
        <f t="shared" si="480"/>
        <v>24.142857142857142</v>
      </c>
      <c r="K4580" s="297">
        <f>J4580/POBLA!$B$19*100000</f>
        <v>4.7494643503519658</v>
      </c>
      <c r="L4580" s="549">
        <f t="shared" si="476"/>
        <v>-0.27067669172932329</v>
      </c>
      <c r="M4580" s="401">
        <f>SUM(C4580,C4556,C4532,C4508,C4484,C4460,C4436)/POBLA!$B$19*100000</f>
        <v>33.246250452463762</v>
      </c>
    </row>
    <row r="4581" spans="1:13" s="360" customFormat="1" x14ac:dyDescent="0.25">
      <c r="A4581" s="364" t="s">
        <v>37</v>
      </c>
      <c r="B4581" s="2">
        <v>44083</v>
      </c>
      <c r="C4581" s="1">
        <v>142</v>
      </c>
      <c r="D4581" s="39">
        <f t="shared" si="481"/>
        <v>2540</v>
      </c>
      <c r="E4581" s="1">
        <f>1</f>
        <v>1</v>
      </c>
      <c r="F4581" s="39">
        <f t="shared" ref="F4581:F4588" si="482">E4581+F4557</f>
        <v>21</v>
      </c>
      <c r="G4581" s="168">
        <f>SUM(C4581,C4557,C4533,C4509,C4485,C4461,C4437,C4413,C4389,C4365,C4341,C4317,C4293,C4269)/POBLA!$B$20*100000</f>
        <v>290.13010735634322</v>
      </c>
      <c r="H4581" s="256">
        <f t="shared" si="475"/>
        <v>1.7450657894736843</v>
      </c>
      <c r="I4581" s="297">
        <f t="shared" si="479"/>
        <v>506.29612484388184</v>
      </c>
      <c r="J4581" s="297">
        <f t="shared" si="480"/>
        <v>89.285714285714292</v>
      </c>
      <c r="K4581" s="297">
        <f>J4581/POBLA!$B$20*100000</f>
        <v>24.415149737136737</v>
      </c>
      <c r="L4581" s="549">
        <f t="shared" si="476"/>
        <v>-0.4334862385321101</v>
      </c>
      <c r="M4581" s="401">
        <f>SUM(C4581,C4557,C4533,C4509,C4485,C4461,C4437)/POBLA!$B$20*100000</f>
        <v>170.90604815995712</v>
      </c>
    </row>
    <row r="4582" spans="1:13" s="360" customFormat="1" x14ac:dyDescent="0.25">
      <c r="A4582" s="364" t="s">
        <v>22</v>
      </c>
      <c r="B4582" s="2">
        <v>44083</v>
      </c>
      <c r="C4582" s="1">
        <v>1089</v>
      </c>
      <c r="D4582" s="39">
        <f t="shared" si="481"/>
        <v>14701</v>
      </c>
      <c r="E4582" s="1">
        <f>1+2+4</f>
        <v>7</v>
      </c>
      <c r="F4582" s="39">
        <f t="shared" si="482"/>
        <v>156</v>
      </c>
      <c r="G4582" s="168">
        <f>SUM(C4582,C4558,C4534,C4510,C4486,C4462,C4438,C4414,C4390,C4366,C4342,C4318,C4294,C4270)/POBLA!$B$21*100000</f>
        <v>252.74161595150798</v>
      </c>
      <c r="H4582" s="256">
        <f t="shared" si="475"/>
        <v>2.8222292390274708</v>
      </c>
      <c r="I4582" s="297">
        <f t="shared" si="479"/>
        <v>713.29477845739768</v>
      </c>
      <c r="J4582" s="297">
        <f t="shared" si="480"/>
        <v>767.42857142857144</v>
      </c>
      <c r="K4582" s="297">
        <f>J4582/POBLA!$B$21*100000</f>
        <v>21.700731401903607</v>
      </c>
      <c r="L4582" s="549">
        <f t="shared" si="476"/>
        <v>-0.50644980370162651</v>
      </c>
      <c r="M4582" s="401">
        <f>SUM(C4582,C4558,C4534,C4510,C4486,C4462,C4438)/POBLA!$B$21*100000</f>
        <v>151.90511981332523</v>
      </c>
    </row>
    <row r="4583" spans="1:13" s="360" customFormat="1" x14ac:dyDescent="0.25">
      <c r="A4583" s="364" t="s">
        <v>38</v>
      </c>
      <c r="B4583" s="2">
        <v>44083</v>
      </c>
      <c r="C4583" s="1">
        <v>81</v>
      </c>
      <c r="D4583" s="39">
        <f t="shared" si="481"/>
        <v>1470</v>
      </c>
      <c r="E4583" s="1">
        <f>1</f>
        <v>1</v>
      </c>
      <c r="F4583" s="39">
        <f t="shared" si="482"/>
        <v>22</v>
      </c>
      <c r="G4583" s="168">
        <f>SUM(C4583,C4559,C4535,C4511,C4487,C4463,C4439,C4415,C4391,C4367,C4343,C4319,C4295,C4271)/POBLA!$B$22*100000</f>
        <v>79.524651108592039</v>
      </c>
      <c r="H4583" s="256">
        <f t="shared" si="475"/>
        <v>1.51953125</v>
      </c>
      <c r="I4583" s="297">
        <f t="shared" si="479"/>
        <v>120.84019250485275</v>
      </c>
      <c r="J4583" s="297">
        <f t="shared" si="480"/>
        <v>62.714285714285715</v>
      </c>
      <c r="K4583" s="297">
        <f>J4583/POBLA!$B$22*100000</f>
        <v>6.4104520449269016</v>
      </c>
      <c r="L4583" s="549">
        <f t="shared" si="476"/>
        <v>-0.29498525073746307</v>
      </c>
      <c r="M4583" s="401">
        <f>SUM(C4583,C4559,C4535,C4511,C4487,C4463,C4439)/POBLA!$B$22*100000</f>
        <v>44.873164314488307</v>
      </c>
    </row>
    <row r="4584" spans="1:13" s="360" customFormat="1" x14ac:dyDescent="0.25">
      <c r="A4584" s="364" t="s">
        <v>39</v>
      </c>
      <c r="B4584" s="2">
        <v>44083</v>
      </c>
      <c r="C4584" s="1">
        <v>69</v>
      </c>
      <c r="D4584" s="39">
        <f t="shared" si="481"/>
        <v>2530</v>
      </c>
      <c r="E4584" s="1">
        <f>1</f>
        <v>1</v>
      </c>
      <c r="F4584" s="39">
        <f t="shared" si="482"/>
        <v>39</v>
      </c>
      <c r="G4584" s="168">
        <f>SUM(C4584,C4560,C4536,C4512,C4488,C4464,C4440,C4416,C4392,C4368,C4344,C4320,C4296,C4272)/POBLA!$B$23*100000</f>
        <v>382.28807329073118</v>
      </c>
      <c r="H4584" s="256">
        <f t="shared" si="475"/>
        <v>0.95211267605633798</v>
      </c>
      <c r="I4584" s="297">
        <f t="shared" si="479"/>
        <v>363.98132048525952</v>
      </c>
      <c r="J4584" s="297">
        <f t="shared" si="480"/>
        <v>56.428571428571431</v>
      </c>
      <c r="K4584" s="297">
        <f>J4584/POBLA!$B$23*100000</f>
        <v>31.911198002924522</v>
      </c>
      <c r="L4584" s="549">
        <f t="shared" si="476"/>
        <v>-0.40569395017793597</v>
      </c>
      <c r="M4584" s="401">
        <f>SUM(C4584,C4560,C4536,C4512,C4488,C4464,C4440)/POBLA!$B$23*100000</f>
        <v>223.37838602047165</v>
      </c>
    </row>
    <row r="4585" spans="1:13" s="360" customFormat="1" ht="15.75" thickBot="1" x14ac:dyDescent="0.3">
      <c r="A4585" s="365" t="s">
        <v>40</v>
      </c>
      <c r="B4585" s="34">
        <v>44083</v>
      </c>
      <c r="C4585" s="232">
        <v>390</v>
      </c>
      <c r="D4585" s="67">
        <f t="shared" si="481"/>
        <v>5136</v>
      </c>
      <c r="E4585" s="232"/>
      <c r="F4585" s="39">
        <f t="shared" si="482"/>
        <v>17</v>
      </c>
      <c r="G4585" s="177">
        <f>SUM(C4585,C4561,C4537,C4513,C4489,C4465,C4441,C4417,C4393,C4369,C4345,C4321,C4297,C4273)/POBLA!$B$24*100000</f>
        <v>223.46718154008838</v>
      </c>
      <c r="H4585" s="402">
        <f t="shared" si="475"/>
        <v>4.3679354094579006</v>
      </c>
      <c r="I4585" s="403">
        <f t="shared" si="479"/>
        <v>976.09021510070897</v>
      </c>
      <c r="J4585" s="403">
        <f t="shared" si="480"/>
        <v>333.28571428571428</v>
      </c>
      <c r="K4585" s="403">
        <f>J4585/POBLA!$B$24*100000</f>
        <v>19.666865386586675</v>
      </c>
      <c r="L4585" s="550">
        <f t="shared" si="476"/>
        <v>-0.60453920220082535</v>
      </c>
      <c r="M4585" s="405">
        <f>SUM(C4585,C4561,C4537,C4513,C4489,C4465,C4441)/POBLA!$B$24*100000</f>
        <v>137.66805770610674</v>
      </c>
    </row>
    <row r="4586" spans="1:13" s="360" customFormat="1" x14ac:dyDescent="0.25">
      <c r="A4586" s="363" t="s">
        <v>16</v>
      </c>
      <c r="B4586" s="265">
        <v>44084</v>
      </c>
      <c r="C4586" s="43">
        <v>6252</v>
      </c>
      <c r="D4586" s="174">
        <f>C4586+D4562</f>
        <v>316506</v>
      </c>
      <c r="E4586" s="43">
        <f>29+9+62+41</f>
        <v>141</v>
      </c>
      <c r="F4586" s="39">
        <f t="shared" si="482"/>
        <v>6556</v>
      </c>
      <c r="G4586" s="175">
        <f>SUM(C4586,C4562,C4538,C4514,C4490,C4466,C4442,C4418,C4394,C4370,C4346,C4322,C4298,C4274)/POBLA!$B$1*100000</f>
        <v>454.77087265873979</v>
      </c>
      <c r="H4586" s="300">
        <f t="shared" ref="H4586:H4609" si="483">SUM(C4586,C4562,C4538,C4514,C4490,C4466,C4442,C4418,C4394,C4370,C4346,C4322,C4298,C4274)/SUM(C4250,C4226,C4202,C4178,C4154,C4130,C4106,C4082,C4058,C4034,C4010,C3986,C3962,C3938)</f>
        <v>1.2205765346716446</v>
      </c>
      <c r="I4586" s="301">
        <f>G4586*H4586</f>
        <v>555.08265581940441</v>
      </c>
      <c r="J4586" s="301">
        <f>AVERAGE(C4586,C4562,C4538,C4514,C4490,C4466,C4442)</f>
        <v>5475.8571428571431</v>
      </c>
      <c r="K4586" s="301">
        <f>J4586/POBLA!$B$1*100000</f>
        <v>31.217223228848926</v>
      </c>
      <c r="L4586" s="548">
        <f t="shared" ref="L4586:L4609" si="484">1-SUM(C4586,C4562,C4538,C4514,C4490,C4466,C4442)/SUM(C4418,C4394,C4370,C4346,C4322,C4298,C4274)</f>
        <v>7.5046451581766815E-2</v>
      </c>
      <c r="M4586" s="400">
        <f>SUM(C4586,C4562,C4538,C4514,C4490,C4466,C4442)/POBLA!$B$1*100000</f>
        <v>218.52056260194252</v>
      </c>
    </row>
    <row r="4587" spans="1:13" s="360" customFormat="1" x14ac:dyDescent="0.25">
      <c r="A4587" s="364" t="s">
        <v>43</v>
      </c>
      <c r="B4587" s="2">
        <v>44084</v>
      </c>
      <c r="C4587" s="1">
        <v>1284</v>
      </c>
      <c r="D4587" s="39">
        <f t="shared" ref="D4587:D4599" si="485">C4587+D4563</f>
        <v>107857</v>
      </c>
      <c r="E4587" s="1">
        <v>34</v>
      </c>
      <c r="F4587" s="409">
        <f t="shared" si="482"/>
        <v>2611</v>
      </c>
      <c r="G4587" s="168">
        <f>SUM(C4587,C4563,C4539,C4515,C4491,C4467,C4443,C4419,C4395,C4371,C4347,C4323,C4299,C4275)/POBLA!$B$2*100000</f>
        <v>568.98615770475544</v>
      </c>
      <c r="H4587" s="256">
        <f t="shared" si="483"/>
        <v>1.1096316023080337</v>
      </c>
      <c r="I4587" s="297">
        <f t="shared" ref="I4587:I4609" si="486">G4587*H4587</f>
        <v>631.36502186501934</v>
      </c>
      <c r="J4587" s="297">
        <f t="shared" ref="J4587:J4609" si="487">AVERAGE(C4587,C4563,C4539,C4515,C4491,C4467,C4443)</f>
        <v>1157.2857142857142</v>
      </c>
      <c r="K4587" s="297">
        <f>J4587/POBLA!$B$2*100000</f>
        <v>37.627402967887534</v>
      </c>
      <c r="L4587" s="549">
        <f t="shared" si="484"/>
        <v>0.13809979785083515</v>
      </c>
      <c r="M4587" s="401">
        <f>SUM(C4587,C4563,C4539,C4515,C4491,C4467,C4443)/POBLA!$B$2*100000</f>
        <v>263.39182077521275</v>
      </c>
    </row>
    <row r="4588" spans="1:13" s="360" customFormat="1" x14ac:dyDescent="0.25">
      <c r="A4588" s="364" t="s">
        <v>28</v>
      </c>
      <c r="B4588" s="2">
        <v>44084</v>
      </c>
      <c r="C4588" s="1">
        <v>12</v>
      </c>
      <c r="D4588" s="39">
        <f t="shared" si="485"/>
        <v>111</v>
      </c>
      <c r="E4588" s="1"/>
      <c r="F4588" s="409">
        <f t="shared" si="482"/>
        <v>0</v>
      </c>
      <c r="G4588" s="168">
        <f>SUM(C4588,C4564,C4540,C4516,C4492,C4468,C4444,C4420,C4396,C4372,C4348,C4324,C4300,C4276)/POBLA!$B$3*100000</f>
        <v>11.313360838440394</v>
      </c>
      <c r="H4588" s="256">
        <f t="shared" si="483"/>
        <v>47</v>
      </c>
      <c r="I4588" s="297">
        <f t="shared" si="486"/>
        <v>531.72795940669846</v>
      </c>
      <c r="J4588" s="297">
        <f t="shared" si="487"/>
        <v>5.8571428571428568</v>
      </c>
      <c r="K4588" s="297">
        <f>J4588/POBLA!$B$3*100000</f>
        <v>1.4098717154287419</v>
      </c>
      <c r="L4588" s="549">
        <f t="shared" si="484"/>
        <v>-5.833333333333333</v>
      </c>
      <c r="M4588" s="401">
        <f>SUM(C4588,C4564,C4540,C4516,C4492,C4468,C4444)/POBLA!$B$3*100000</f>
        <v>9.8691020080011942</v>
      </c>
    </row>
    <row r="4589" spans="1:13" s="360" customFormat="1" x14ac:dyDescent="0.25">
      <c r="A4589" s="364" t="s">
        <v>15</v>
      </c>
      <c r="B4589" s="2">
        <v>44084</v>
      </c>
      <c r="C4589" s="1">
        <v>128</v>
      </c>
      <c r="D4589" s="39">
        <f t="shared" si="485"/>
        <v>6418</v>
      </c>
      <c r="E4589" s="1">
        <f>1</f>
        <v>1</v>
      </c>
      <c r="F4589" s="409">
        <f t="shared" si="478"/>
        <v>232</v>
      </c>
      <c r="G4589" s="168">
        <f>SUM(C4589,C4565,C4541,C4517,C4493,C4469,C4445,C4421,C4397,C4373,C4349,C4325,C4301,C4277)/POBLA!$B$4*100000</f>
        <v>109.08719586963001</v>
      </c>
      <c r="H4589" s="256">
        <f t="shared" si="483"/>
        <v>1.5927272727272728</v>
      </c>
      <c r="I4589" s="297">
        <f t="shared" si="486"/>
        <v>173.74615196690161</v>
      </c>
      <c r="J4589" s="297">
        <f t="shared" si="487"/>
        <v>105.14285714285714</v>
      </c>
      <c r="K4589" s="297">
        <f>J4589/POBLA!$B$4*100000</f>
        <v>8.7288732507118603</v>
      </c>
      <c r="L4589" s="549">
        <f t="shared" si="484"/>
        <v>-0.27335640138408301</v>
      </c>
      <c r="M4589" s="401">
        <f>SUM(C4589,C4565,C4541,C4517,C4493,C4469,C4445)/POBLA!$B$4*100000</f>
        <v>61.102112754983018</v>
      </c>
    </row>
    <row r="4590" spans="1:13" s="360" customFormat="1" x14ac:dyDescent="0.25">
      <c r="A4590" s="364" t="s">
        <v>29</v>
      </c>
      <c r="B4590" s="2">
        <v>44084</v>
      </c>
      <c r="C4590" s="1">
        <v>29</v>
      </c>
      <c r="D4590" s="39">
        <f t="shared" si="485"/>
        <v>1390</v>
      </c>
      <c r="E4590" s="1"/>
      <c r="F4590" s="409">
        <f t="shared" si="478"/>
        <v>8</v>
      </c>
      <c r="G4590" s="168">
        <f>SUM(C4590,C4566,C4542,C4518,C4494,C4470,C4446,C4422,C4398,C4374,C4350,C4326,C4302,C4278)/POBLA!$B$5*100000</f>
        <v>111.63274603631054</v>
      </c>
      <c r="H4590" s="256">
        <f t="shared" si="483"/>
        <v>2.1936507936507939</v>
      </c>
      <c r="I4590" s="297">
        <f t="shared" si="486"/>
        <v>244.88326193997011</v>
      </c>
      <c r="J4590" s="297">
        <f t="shared" si="487"/>
        <v>46.857142857142854</v>
      </c>
      <c r="K4590" s="297">
        <f>J4590/POBLA!$B$5*100000</f>
        <v>7.5698864378560788</v>
      </c>
      <c r="L4590" s="549">
        <f t="shared" si="484"/>
        <v>9.6418732782369121E-2</v>
      </c>
      <c r="M4590" s="401">
        <f>SUM(C4590,C4566,C4542,C4518,C4494,C4470,C4446)/POBLA!$B$5*100000</f>
        <v>52.989205064992554</v>
      </c>
    </row>
    <row r="4591" spans="1:13" s="360" customFormat="1" x14ac:dyDescent="0.25">
      <c r="A4591" s="364" t="s">
        <v>20</v>
      </c>
      <c r="B4591" s="2">
        <v>44084</v>
      </c>
      <c r="C4591" s="1">
        <v>443</v>
      </c>
      <c r="D4591" s="39">
        <f t="shared" si="485"/>
        <v>13009</v>
      </c>
      <c r="E4591" s="1">
        <f>3+2</f>
        <v>5</v>
      </c>
      <c r="F4591" s="409">
        <f t="shared" si="478"/>
        <v>183</v>
      </c>
      <c r="G4591" s="168">
        <f>SUM(C4591,C4567,C4543,C4519,C4495,C4471,C4447,C4423,C4399,C4375,C4351,C4327,C4303,C4279)/POBLA!$B$6*100000</f>
        <v>524.53557768060523</v>
      </c>
      <c r="H4591" s="256">
        <f t="shared" si="483"/>
        <v>1.9701742627345844</v>
      </c>
      <c r="I4591" s="297">
        <f t="shared" si="486"/>
        <v>1033.4264950349457</v>
      </c>
      <c r="J4591" s="297">
        <f t="shared" si="487"/>
        <v>452.28571428571428</v>
      </c>
      <c r="K4591" s="297">
        <f>J4591/POBLA!$B$6*100000</f>
        <v>40.353792893271354</v>
      </c>
      <c r="L4591" s="549">
        <f t="shared" si="484"/>
        <v>-0.16697382970880947</v>
      </c>
      <c r="M4591" s="401">
        <f>SUM(C4591,C4567,C4543,C4519,C4495,C4471,C4447)/POBLA!$B$6*100000</f>
        <v>282.47655025289947</v>
      </c>
    </row>
    <row r="4592" spans="1:13" s="360" customFormat="1" x14ac:dyDescent="0.25">
      <c r="A4592" s="364" t="s">
        <v>30</v>
      </c>
      <c r="B4592" s="2">
        <v>44084</v>
      </c>
      <c r="C4592" s="1">
        <v>60</v>
      </c>
      <c r="D4592" s="39">
        <f t="shared" si="485"/>
        <v>491</v>
      </c>
      <c r="E4592" s="1"/>
      <c r="F4592" s="409">
        <f t="shared" si="478"/>
        <v>5</v>
      </c>
      <c r="G4592" s="168">
        <f>SUM(C4592,C4568,C4544,C4520,C4496,C4472,C4448,C4424,C4400,C4376,C4352,C4328,C4304,C4280)/POBLA!$B$7*100000</f>
        <v>5.6642157188634341</v>
      </c>
      <c r="H4592" s="256">
        <f t="shared" si="483"/>
        <v>3.8035714285714284</v>
      </c>
      <c r="I4592" s="297">
        <f t="shared" si="486"/>
        <v>21.544249073534132</v>
      </c>
      <c r="J4592" s="297">
        <f t="shared" si="487"/>
        <v>23</v>
      </c>
      <c r="K4592" s="297">
        <f>J4592/POBLA!$B$7*100000</f>
        <v>0.61162892738900931</v>
      </c>
      <c r="L4592" s="549">
        <f t="shared" si="484"/>
        <v>-2.0961538461538463</v>
      </c>
      <c r="M4592" s="401">
        <f>SUM(C4592,C4568,C4544,C4520,C4496,C4472,C4448)/POBLA!$B$7*100000</f>
        <v>4.2814024917230649</v>
      </c>
    </row>
    <row r="4593" spans="1:13" x14ac:dyDescent="0.25">
      <c r="A4593" s="364" t="s">
        <v>31</v>
      </c>
      <c r="B4593" s="2">
        <v>44084</v>
      </c>
      <c r="C4593" s="1">
        <v>137</v>
      </c>
      <c r="D4593" s="39">
        <f t="shared" si="485"/>
        <v>4844</v>
      </c>
      <c r="E4593" s="1">
        <f>4+4</f>
        <v>8</v>
      </c>
      <c r="F4593" s="409">
        <f t="shared" si="478"/>
        <v>77</v>
      </c>
      <c r="G4593" s="168">
        <f>SUM(C4593,C4569,C4545,C4521,C4497,C4473,C4449,C4425,C4401,C4377,C4353,C4329,C4305,C4281)/POBLA!$B$8*100000</f>
        <v>148.84978725952607</v>
      </c>
      <c r="H4593" s="256">
        <f t="shared" si="483"/>
        <v>1.4569209039548023</v>
      </c>
      <c r="I4593" s="297">
        <f t="shared" si="486"/>
        <v>216.86236660762873</v>
      </c>
      <c r="J4593" s="297">
        <f t="shared" si="487"/>
        <v>128.14285714285714</v>
      </c>
      <c r="K4593" s="297">
        <f>J4593/POBLA!$B$8*100000</f>
        <v>9.2457765509171725</v>
      </c>
      <c r="L4593" s="549">
        <f t="shared" si="484"/>
        <v>0.23070325900514577</v>
      </c>
      <c r="M4593" s="401">
        <f>SUM(C4593,C4569,C4545,C4521,C4497,C4473,C4449)/POBLA!$B$8*100000</f>
        <v>64.72043585642021</v>
      </c>
    </row>
    <row r="4594" spans="1:13" s="360" customFormat="1" x14ac:dyDescent="0.25">
      <c r="A4594" s="364" t="s">
        <v>41</v>
      </c>
      <c r="B4594" s="2">
        <v>44084</v>
      </c>
      <c r="C4594" s="1">
        <v>1</v>
      </c>
      <c r="D4594" s="39">
        <f t="shared" si="485"/>
        <v>92</v>
      </c>
      <c r="E4594" s="1"/>
      <c r="F4594" s="39">
        <f>E4594+F4570</f>
        <v>1</v>
      </c>
      <c r="G4594" s="168">
        <f>SUM(C4594,C4570,C4546,C4522,C4498,C4474,C4450,C4426,C4402,C4378,C4354,C4330,C4306,C4282)/POBLA!$B$9*100000</f>
        <v>1.6523654437510016</v>
      </c>
      <c r="H4594" s="256">
        <f t="shared" si="483"/>
        <v>2.5</v>
      </c>
      <c r="I4594" s="297">
        <f t="shared" si="486"/>
        <v>4.1309136093775036</v>
      </c>
      <c r="J4594" s="297">
        <f t="shared" si="487"/>
        <v>0.5714285714285714</v>
      </c>
      <c r="K4594" s="297">
        <f>J4594/POBLA!$B$9*100000</f>
        <v>9.4420882500057243E-2</v>
      </c>
      <c r="L4594" s="549">
        <f t="shared" si="484"/>
        <v>0.33333333333333337</v>
      </c>
      <c r="M4594" s="401">
        <f>SUM(C4594,C4570,C4546,C4522,C4498,C4474,C4450)/POBLA!$B$9*100000</f>
        <v>0.66094617750040074</v>
      </c>
    </row>
    <row r="4595" spans="1:13" s="360" customFormat="1" x14ac:dyDescent="0.25">
      <c r="A4595" s="364" t="s">
        <v>32</v>
      </c>
      <c r="B4595" s="2">
        <v>44084</v>
      </c>
      <c r="C4595" s="1">
        <v>280</v>
      </c>
      <c r="D4595" s="39">
        <f t="shared" si="485"/>
        <v>11397</v>
      </c>
      <c r="E4595" s="1">
        <f>4+2</f>
        <v>6</v>
      </c>
      <c r="F4595" s="409">
        <f t="shared" si="478"/>
        <v>243</v>
      </c>
      <c r="G4595" s="168">
        <f>SUM(C4595,C4571,C4547,C4523,C4499,C4475,C4451,C4427,C4403,C4379,C4355,C4331,C4307,C4283)/POBLA!$B$10*100000</f>
        <v>534.84260216557425</v>
      </c>
      <c r="H4595" s="256">
        <f t="shared" si="483"/>
        <v>1.3438722294654497</v>
      </c>
      <c r="I4595" s="297">
        <f t="shared" si="486"/>
        <v>718.76012018535278</v>
      </c>
      <c r="J4595" s="297">
        <f t="shared" si="487"/>
        <v>311.42857142857144</v>
      </c>
      <c r="K4595" s="297">
        <f>J4595/POBLA!$B$10*100000</f>
        <v>40.399046211875948</v>
      </c>
      <c r="L4595" s="549">
        <f t="shared" si="484"/>
        <v>-0.12197632527020064</v>
      </c>
      <c r="M4595" s="401">
        <f>SUM(C4595,C4571,C4547,C4523,C4499,C4475,C4451)/POBLA!$B$10*100000</f>
        <v>282.79332348313164</v>
      </c>
    </row>
    <row r="4596" spans="1:13" s="360" customFormat="1" x14ac:dyDescent="0.25">
      <c r="A4596" s="364" t="s">
        <v>33</v>
      </c>
      <c r="B4596" s="2">
        <v>44084</v>
      </c>
      <c r="C4596" s="1">
        <v>27</v>
      </c>
      <c r="D4596" s="39">
        <f t="shared" si="485"/>
        <v>294</v>
      </c>
      <c r="E4596" s="1"/>
      <c r="F4596" s="409">
        <f t="shared" si="478"/>
        <v>4</v>
      </c>
      <c r="G4596" s="168">
        <f>SUM(C4596,C4572,C4548,C4524,C4500,C4476,C4452,C4428,C4404,C4380,C4356,C4332,C4308,C4284)/POBLA!$B$11*100000</f>
        <v>27.899606057562465</v>
      </c>
      <c r="H4596" s="256">
        <f t="shared" si="483"/>
        <v>7.6923076923076925</v>
      </c>
      <c r="I4596" s="297">
        <f t="shared" si="486"/>
        <v>214.61235428894204</v>
      </c>
      <c r="J4596" s="297">
        <f t="shared" si="487"/>
        <v>11.428571428571429</v>
      </c>
      <c r="K4596" s="297">
        <f>J4596/POBLA!$B$11*100000</f>
        <v>3.1885264065785681</v>
      </c>
      <c r="L4596" s="549">
        <f t="shared" si="484"/>
        <v>-3</v>
      </c>
      <c r="M4596" s="401">
        <f>SUM(C4596,C4572,C4548,C4524,C4500,C4476,C4452)/POBLA!$B$11*100000</f>
        <v>22.319684846049974</v>
      </c>
    </row>
    <row r="4597" spans="1:13" s="360" customFormat="1" x14ac:dyDescent="0.25">
      <c r="A4597" s="364" t="s">
        <v>21</v>
      </c>
      <c r="B4597" s="2">
        <v>44084</v>
      </c>
      <c r="C4597" s="1">
        <v>143</v>
      </c>
      <c r="D4597" s="39">
        <f t="shared" si="485"/>
        <v>2503</v>
      </c>
      <c r="E4597" s="1">
        <f>1+1</f>
        <v>2</v>
      </c>
      <c r="F4597" s="409">
        <f t="shared" si="478"/>
        <v>54</v>
      </c>
      <c r="G4597" s="168">
        <f>SUM(C4597,C4573,C4549,C4525,C4501,C4477,C4453,C4429,C4405,C4381,C4357,C4333,C4309,C4285)/POBLA!$B$12*100000</f>
        <v>312.80890196706235</v>
      </c>
      <c r="H4597" s="256">
        <f t="shared" si="483"/>
        <v>1.9477848101265822</v>
      </c>
      <c r="I4597" s="297">
        <f t="shared" si="486"/>
        <v>609.28442772381925</v>
      </c>
      <c r="J4597" s="297">
        <f t="shared" si="487"/>
        <v>102.14285714285714</v>
      </c>
      <c r="K4597" s="297">
        <f>J4597/POBLA!$B$12*100000</f>
        <v>25.95547927427754</v>
      </c>
      <c r="L4597" s="549">
        <f t="shared" si="484"/>
        <v>-0.38565891472868219</v>
      </c>
      <c r="M4597" s="401">
        <f>SUM(C4597,C4573,C4549,C4525,C4501,C4477,C4453)/POBLA!$B$12*100000</f>
        <v>181.68835491994278</v>
      </c>
    </row>
    <row r="4598" spans="1:13" s="360" customFormat="1" x14ac:dyDescent="0.25">
      <c r="A4598" s="364" t="s">
        <v>17</v>
      </c>
      <c r="B4598" s="2">
        <v>44084</v>
      </c>
      <c r="C4598" s="1">
        <v>731</v>
      </c>
      <c r="D4598" s="39">
        <f t="shared" si="485"/>
        <v>12365</v>
      </c>
      <c r="E4598" s="1">
        <f>5+3+5</f>
        <v>13</v>
      </c>
      <c r="F4598" s="409">
        <f t="shared" si="478"/>
        <v>138</v>
      </c>
      <c r="G4598" s="168">
        <f>SUM(C4598,C4574,C4550,C4526,C4502,C4478,C4454,C4430,C4406,C4382,C4358,C4334,C4310,C4286)/POBLA!$B$13*100000</f>
        <v>339.84177561801062</v>
      </c>
      <c r="H4598" s="256">
        <f t="shared" si="483"/>
        <v>2.3683473389355743</v>
      </c>
      <c r="I4598" s="297">
        <f t="shared" si="486"/>
        <v>804.863364944056</v>
      </c>
      <c r="J4598" s="297">
        <f t="shared" si="487"/>
        <v>602.42857142857144</v>
      </c>
      <c r="K4598" s="297">
        <f>J4598/POBLA!$B$13*100000</f>
        <v>30.26765159629025</v>
      </c>
      <c r="L4598" s="549">
        <f t="shared" si="484"/>
        <v>-0.65567334118570875</v>
      </c>
      <c r="M4598" s="401">
        <f>SUM(C4598,C4574,C4550,C4526,C4502,C4478,C4454)/POBLA!$B$13*100000</f>
        <v>211.87356117403172</v>
      </c>
    </row>
    <row r="4599" spans="1:13" s="360" customFormat="1" x14ac:dyDescent="0.25">
      <c r="A4599" s="364" t="s">
        <v>23</v>
      </c>
      <c r="B4599" s="2">
        <v>44084</v>
      </c>
      <c r="C4599" s="1">
        <v>-6</v>
      </c>
      <c r="D4599" s="39">
        <f t="shared" si="485"/>
        <v>65</v>
      </c>
      <c r="E4599" s="1"/>
      <c r="F4599" s="409">
        <f t="shared" si="478"/>
        <v>2</v>
      </c>
      <c r="G4599" s="168">
        <f>SUM(C4599,C4575,C4551,C4527,C4503,C4479,C4455,C4431,C4407,C4383,C4359,C4335,C4311,C4287)/POBLA!$B$14*100000</f>
        <v>0.55498559415964877</v>
      </c>
      <c r="H4599" s="256">
        <f t="shared" si="483"/>
        <v>2.3333333333333335</v>
      </c>
      <c r="I4599" s="297">
        <f t="shared" si="486"/>
        <v>1.2949663863725138</v>
      </c>
      <c r="J4599" s="297">
        <f t="shared" si="487"/>
        <v>0.14285714285714285</v>
      </c>
      <c r="K4599" s="297">
        <f>J4599/POBLA!$B$14*100000</f>
        <v>1.1326236615503036E-2</v>
      </c>
      <c r="L4599" s="549">
        <f t="shared" si="484"/>
        <v>0.83333333333333337</v>
      </c>
      <c r="M4599" s="401">
        <f>SUM(C4599,C4575,C4551,C4527,C4503,C4479,C4455)/POBLA!$B$14*100000</f>
        <v>7.9283656308521244E-2</v>
      </c>
    </row>
    <row r="4600" spans="1:13" s="360" customFormat="1" x14ac:dyDescent="0.25">
      <c r="A4600" s="364" t="s">
        <v>19</v>
      </c>
      <c r="B4600" s="2">
        <v>44084</v>
      </c>
      <c r="C4600" s="1">
        <v>180</v>
      </c>
      <c r="D4600" s="39">
        <f>C4600+D4576</f>
        <v>4298</v>
      </c>
      <c r="E4600" s="1">
        <f>1+1</f>
        <v>2</v>
      </c>
      <c r="F4600" s="409">
        <f t="shared" si="478"/>
        <v>45</v>
      </c>
      <c r="G4600" s="168">
        <f>SUM(C4600,C4576,C4552,C4528,C4504,C4480,C4456,C4432,C4408,C4384,C4360,C4336,C4312,C4288)/POBLA!$B$15*100000</f>
        <v>245.31026704032936</v>
      </c>
      <c r="H4600" s="256">
        <f t="shared" si="483"/>
        <v>1.7147368421052631</v>
      </c>
      <c r="I4600" s="297">
        <f t="shared" si="486"/>
        <v>420.64255264073319</v>
      </c>
      <c r="J4600" s="297">
        <f t="shared" si="487"/>
        <v>128.57142857142858</v>
      </c>
      <c r="K4600" s="297">
        <f>J4600/POBLA!$B$15*100000</f>
        <v>19.361504896632155</v>
      </c>
      <c r="L4600" s="549">
        <f t="shared" si="484"/>
        <v>-0.23456790123456783</v>
      </c>
      <c r="M4600" s="401">
        <f>SUM(C4600,C4576,C4552,C4528,C4504,C4480,C4456)/POBLA!$B$15*100000</f>
        <v>135.53053427642507</v>
      </c>
    </row>
    <row r="4601" spans="1:13" s="360" customFormat="1" x14ac:dyDescent="0.25">
      <c r="A4601" s="364" t="s">
        <v>18</v>
      </c>
      <c r="B4601" s="2">
        <v>44084</v>
      </c>
      <c r="C4601" s="1">
        <v>265</v>
      </c>
      <c r="D4601" s="39">
        <f>C4601+D4577</f>
        <v>8042</v>
      </c>
      <c r="E4601" s="1">
        <f>3+1</f>
        <v>4</v>
      </c>
      <c r="F4601" s="409">
        <f t="shared" si="478"/>
        <v>144</v>
      </c>
      <c r="G4601" s="168">
        <f>SUM(C4601,C4577,C4553,C4529,C4505,C4481,C4457,C4433,C4409,C4385,C4361,C4337,C4313,C4289)/POBLA!$B$16*100000</f>
        <v>347.90866895841413</v>
      </c>
      <c r="H4601" s="256">
        <f t="shared" si="483"/>
        <v>1.3646379853095487</v>
      </c>
      <c r="I4601" s="297">
        <f t="shared" si="486"/>
        <v>474.76938507913701</v>
      </c>
      <c r="J4601" s="297">
        <f t="shared" si="487"/>
        <v>219.42857142857142</v>
      </c>
      <c r="K4601" s="297">
        <f>J4601/POBLA!$B$16*100000</f>
        <v>29.350673670573084</v>
      </c>
      <c r="L4601" s="549">
        <f t="shared" si="484"/>
        <v>-0.44225352112676064</v>
      </c>
      <c r="M4601" s="401">
        <f>SUM(C4601,C4577,C4553,C4529,C4505,C4481,C4457)/POBLA!$B$16*100000</f>
        <v>205.45471569401158</v>
      </c>
    </row>
    <row r="4602" spans="1:13" s="360" customFormat="1" x14ac:dyDescent="0.25">
      <c r="A4602" s="364" t="s">
        <v>34</v>
      </c>
      <c r="B4602" s="2">
        <v>44084</v>
      </c>
      <c r="C4602" s="1">
        <v>367</v>
      </c>
      <c r="D4602" s="39">
        <f>C4602+D4578</f>
        <v>5837</v>
      </c>
      <c r="E4602" s="1">
        <f>3+6</f>
        <v>9</v>
      </c>
      <c r="F4602" s="409">
        <f>E4602+F4578</f>
        <v>80</v>
      </c>
      <c r="G4602" s="168">
        <f>SUM(C4602,C4578,C4554,C4530,C4506,C4482,C4458,C4434,C4410,C4386,C4362,C4338,C4314,C4290)/POBLA!$B$17*100000</f>
        <v>236.80195900440677</v>
      </c>
      <c r="H4602" s="256">
        <f t="shared" si="483"/>
        <v>2.0529519172245894</v>
      </c>
      <c r="I4602" s="297">
        <f t="shared" si="486"/>
        <v>486.14303574063547</v>
      </c>
      <c r="J4602" s="297">
        <f t="shared" si="487"/>
        <v>272.71428571428572</v>
      </c>
      <c r="K4602" s="297">
        <f>J4602/POBLA!$B$17*100000</f>
        <v>19.145946369887447</v>
      </c>
      <c r="L4602" s="549">
        <f t="shared" si="484"/>
        <v>-0.3039617486338797</v>
      </c>
      <c r="M4602" s="401">
        <f>SUM(C4602,C4578,C4554,C4530,C4506,C4482,C4458)/POBLA!$B$17*100000</f>
        <v>134.02162458921214</v>
      </c>
    </row>
    <row r="4603" spans="1:13" s="360" customFormat="1" x14ac:dyDescent="0.25">
      <c r="A4603" s="364" t="s">
        <v>35</v>
      </c>
      <c r="B4603" s="2">
        <v>44084</v>
      </c>
      <c r="C4603" s="1">
        <v>1</v>
      </c>
      <c r="D4603" s="39">
        <f t="shared" ref="D4603:D4609" si="488">C4603+D4579</f>
        <v>385</v>
      </c>
      <c r="E4603" s="1"/>
      <c r="F4603" s="39">
        <f>E4603+F4579</f>
        <v>7</v>
      </c>
      <c r="G4603" s="168">
        <f>SUM(C4603,C4579,C4555,C4531,C4507,C4483,C4459,C4435,C4411,C4387,C4363,C4339,C4315,C4291)/POBLA!$B$18*100000</f>
        <v>25.985097610523066</v>
      </c>
      <c r="H4603" s="256">
        <f t="shared" si="483"/>
        <v>1.2767295597484276</v>
      </c>
      <c r="I4603" s="297">
        <f t="shared" si="486"/>
        <v>33.175942232303036</v>
      </c>
      <c r="J4603" s="297">
        <f t="shared" si="487"/>
        <v>8</v>
      </c>
      <c r="K4603" s="297">
        <f>J4603/POBLA!$B$18*100000</f>
        <v>1.024043255587116</v>
      </c>
      <c r="L4603" s="549">
        <f t="shared" si="484"/>
        <v>0.61904761904761907</v>
      </c>
      <c r="M4603" s="401">
        <f>SUM(C4603,C4579,C4555,C4531,C4507,C4483,C4459)/POBLA!$B$18*100000</f>
        <v>7.1683027891098119</v>
      </c>
    </row>
    <row r="4604" spans="1:13" s="360" customFormat="1" x14ac:dyDescent="0.25">
      <c r="A4604" s="364" t="s">
        <v>36</v>
      </c>
      <c r="B4604" s="2">
        <v>44084</v>
      </c>
      <c r="C4604" s="1">
        <v>10</v>
      </c>
      <c r="D4604" s="39">
        <f t="shared" si="488"/>
        <v>356</v>
      </c>
      <c r="E4604" s="1"/>
      <c r="F4604" s="409">
        <f t="shared" si="478"/>
        <v>0</v>
      </c>
      <c r="G4604" s="168">
        <f>SUM(C4604,C4580,C4556,C4532,C4508,C4484,C4460,C4436,C4412,C4388,C4364,C4340,C4316,C4292)/POBLA!$B$19*100000</f>
        <v>60.000629514801467</v>
      </c>
      <c r="H4604" s="256">
        <f t="shared" si="483"/>
        <v>16.944444444444443</v>
      </c>
      <c r="I4604" s="297">
        <f t="shared" si="486"/>
        <v>1016.677333445247</v>
      </c>
      <c r="J4604" s="297">
        <f t="shared" si="487"/>
        <v>23</v>
      </c>
      <c r="K4604" s="297">
        <f>J4604/POBLA!$B$19*100000</f>
        <v>4.5246376355424056</v>
      </c>
      <c r="L4604" s="549">
        <f t="shared" si="484"/>
        <v>-0.11805555555555558</v>
      </c>
      <c r="M4604" s="401">
        <f>SUM(C4604,C4580,C4556,C4532,C4508,C4484,C4460)/POBLA!$B$19*100000</f>
        <v>31.67246344879684</v>
      </c>
    </row>
    <row r="4605" spans="1:13" s="360" customFormat="1" x14ac:dyDescent="0.25">
      <c r="A4605" s="364" t="s">
        <v>37</v>
      </c>
      <c r="B4605" s="2">
        <v>44084</v>
      </c>
      <c r="C4605" s="1">
        <v>86</v>
      </c>
      <c r="D4605" s="39">
        <f t="shared" si="488"/>
        <v>2626</v>
      </c>
      <c r="E4605" s="1"/>
      <c r="F4605" s="39">
        <f t="shared" ref="F4605:F4612" si="489">E4605+F4581</f>
        <v>21</v>
      </c>
      <c r="G4605" s="168">
        <f>SUM(C4605,C4581,C4557,C4533,C4509,C4485,C4461,C4437,C4413,C4389,C4365,C4341,C4317,C4293)/POBLA!$B$20*100000</f>
        <v>299.70084605330084</v>
      </c>
      <c r="H4605" s="256">
        <f t="shared" si="483"/>
        <v>1.7879282218597063</v>
      </c>
      <c r="I4605" s="297">
        <f t="shared" si="486"/>
        <v>535.84360077392773</v>
      </c>
      <c r="J4605" s="297">
        <f t="shared" si="487"/>
        <v>94.857142857142861</v>
      </c>
      <c r="K4605" s="297">
        <f>J4605/POBLA!$B$20*100000</f>
        <v>25.938655080734065</v>
      </c>
      <c r="L4605" s="549">
        <f t="shared" si="484"/>
        <v>-0.53703703703703698</v>
      </c>
      <c r="M4605" s="401">
        <f>SUM(C4605,C4581,C4557,C4533,C4509,C4485,C4461)/POBLA!$B$20*100000</f>
        <v>181.57058556513846</v>
      </c>
    </row>
    <row r="4606" spans="1:13" s="360" customFormat="1" x14ac:dyDescent="0.25">
      <c r="A4606" s="364" t="s">
        <v>22</v>
      </c>
      <c r="B4606" s="2">
        <v>44084</v>
      </c>
      <c r="C4606" s="1">
        <v>1042</v>
      </c>
      <c r="D4606" s="39">
        <f t="shared" si="488"/>
        <v>15743</v>
      </c>
      <c r="E4606" s="1">
        <f>5+2+7+7</f>
        <v>21</v>
      </c>
      <c r="F4606" s="39">
        <f t="shared" si="489"/>
        <v>177</v>
      </c>
      <c r="G4606" s="168">
        <f>SUM(C4606,C4582,C4558,C4534,C4510,C4486,C4462,C4438,C4414,C4390,C4366,C4342,C4318,C4294)/POBLA!$B$21*100000</f>
        <v>268.88789730173301</v>
      </c>
      <c r="H4606" s="256">
        <f t="shared" si="483"/>
        <v>2.7403458213256484</v>
      </c>
      <c r="I4606" s="297">
        <f t="shared" si="486"/>
        <v>736.84582577584411</v>
      </c>
      <c r="J4606" s="297">
        <f t="shared" si="487"/>
        <v>807.14285714285711</v>
      </c>
      <c r="K4606" s="297">
        <f>J4606/POBLA!$B$21*100000</f>
        <v>22.823740212352078</v>
      </c>
      <c r="L4606" s="549">
        <f t="shared" si="484"/>
        <v>-0.46410987302409956</v>
      </c>
      <c r="M4606" s="401">
        <f>SUM(C4606,C4582,C4558,C4534,C4510,C4486,C4462)/POBLA!$B$21*100000</f>
        <v>159.76618148646455</v>
      </c>
    </row>
    <row r="4607" spans="1:13" s="360" customFormat="1" x14ac:dyDescent="0.25">
      <c r="A4607" s="364" t="s">
        <v>38</v>
      </c>
      <c r="B4607" s="2">
        <v>44084</v>
      </c>
      <c r="C4607" s="1">
        <v>88</v>
      </c>
      <c r="D4607" s="39">
        <f t="shared" si="488"/>
        <v>1558</v>
      </c>
      <c r="E4607" s="1">
        <f>1+2</f>
        <v>3</v>
      </c>
      <c r="F4607" s="39">
        <f t="shared" si="489"/>
        <v>25</v>
      </c>
      <c r="G4607" s="168">
        <f>SUM(C4607,C4583,C4559,C4535,C4511,C4487,C4463,C4439,C4415,C4391,C4367,C4343,C4319,C4295)/POBLA!$B$22*100000</f>
        <v>83.102238240726635</v>
      </c>
      <c r="H4607" s="256">
        <f t="shared" si="483"/>
        <v>1.494485294117647</v>
      </c>
      <c r="I4607" s="297">
        <f t="shared" si="486"/>
        <v>124.19507295902712</v>
      </c>
      <c r="J4607" s="297">
        <f t="shared" si="487"/>
        <v>66.142857142857139</v>
      </c>
      <c r="K4607" s="297">
        <f>J4607/POBLA!$B$22*100000</f>
        <v>6.7609095599115152</v>
      </c>
      <c r="L4607" s="549">
        <f t="shared" si="484"/>
        <v>-0.32285714285714295</v>
      </c>
      <c r="M4607" s="401">
        <f>SUM(C4607,C4583,C4559,C4535,C4511,C4487,C4463)/POBLA!$B$22*100000</f>
        <v>47.326366919380611</v>
      </c>
    </row>
    <row r="4608" spans="1:13" s="360" customFormat="1" x14ac:dyDescent="0.25">
      <c r="A4608" s="364" t="s">
        <v>39</v>
      </c>
      <c r="B4608" s="2">
        <v>44084</v>
      </c>
      <c r="C4608" s="1">
        <v>62</v>
      </c>
      <c r="D4608" s="39">
        <f t="shared" si="488"/>
        <v>2592</v>
      </c>
      <c r="E4608" s="1">
        <f>1</f>
        <v>1</v>
      </c>
      <c r="F4608" s="39">
        <f t="shared" si="489"/>
        <v>40</v>
      </c>
      <c r="G4608" s="168">
        <f>SUM(C4608,C4584,C4560,C4536,C4512,C4488,C4464,C4440,C4416,C4392,C4368,C4344,C4320,C4296)/POBLA!$B$23*100000</f>
        <v>403.21212463948427</v>
      </c>
      <c r="H4608" s="256">
        <f t="shared" si="483"/>
        <v>1.0952380952380953</v>
      </c>
      <c r="I4608" s="297">
        <f t="shared" si="486"/>
        <v>441.61327936705425</v>
      </c>
      <c r="J4608" s="297">
        <f t="shared" si="487"/>
        <v>51.285714285714285</v>
      </c>
      <c r="K4608" s="297">
        <f>J4608/POBLA!$B$23*100000</f>
        <v>29.002835653290894</v>
      </c>
      <c r="L4608" s="549">
        <f t="shared" si="484"/>
        <v>-1.4124293785310771E-2</v>
      </c>
      <c r="M4608" s="401">
        <f>SUM(C4608,C4584,C4560,C4536,C4512,C4488,C4464)/POBLA!$B$23*100000</f>
        <v>203.01984957303625</v>
      </c>
    </row>
    <row r="4609" spans="1:13" s="360" customFormat="1" ht="15.75" thickBot="1" x14ac:dyDescent="0.3">
      <c r="A4609" s="366" t="s">
        <v>40</v>
      </c>
      <c r="B4609" s="266">
        <v>44084</v>
      </c>
      <c r="C4609" s="44">
        <v>283</v>
      </c>
      <c r="D4609" s="176">
        <f t="shared" si="488"/>
        <v>5419</v>
      </c>
      <c r="E4609" s="44"/>
      <c r="F4609" s="39">
        <f t="shared" si="489"/>
        <v>17</v>
      </c>
      <c r="G4609" s="177">
        <f>SUM(C4609,C4585,C4561,C4537,C4513,C4489,C4465,C4441,C4417,C4393,C4369,C4345,C4321,C4297)/POBLA!$B$24*100000</f>
        <v>233.08565278144945</v>
      </c>
      <c r="H4609" s="402">
        <f t="shared" si="483"/>
        <v>4.0890269151138714</v>
      </c>
      <c r="I4609" s="403">
        <f t="shared" si="486"/>
        <v>953.09350775023324</v>
      </c>
      <c r="J4609" s="403">
        <f t="shared" si="487"/>
        <v>334.85714285714283</v>
      </c>
      <c r="K4609" s="403">
        <f>J4609/POBLA!$B$24*100000</f>
        <v>19.759593856047648</v>
      </c>
      <c r="L4609" s="550">
        <f t="shared" si="484"/>
        <v>-0.45952677459526781</v>
      </c>
      <c r="M4609" s="405">
        <f>SUM(C4609,C4585,C4561,C4537,C4513,C4489,C4465)/POBLA!$B$24*100000</f>
        <v>138.31715699233354</v>
      </c>
    </row>
    <row r="4610" spans="1:13" s="360" customFormat="1" ht="15.75" thickBot="1" x14ac:dyDescent="0.3">
      <c r="A4610" s="363" t="s">
        <v>16</v>
      </c>
      <c r="B4610" s="266">
        <v>44085</v>
      </c>
      <c r="C4610" s="225">
        <v>5732</v>
      </c>
      <c r="D4610" s="174">
        <f>C4610+D4586</f>
        <v>322238</v>
      </c>
      <c r="E4610" s="225">
        <v>127</v>
      </c>
      <c r="F4610" s="39">
        <f t="shared" si="489"/>
        <v>6683</v>
      </c>
      <c r="G4610" s="175">
        <f>SUM(C4610,C4586,C4562,C4538,C4514,C4490,C4466,C4442,C4418,C4394,C4370,C4346,C4322,C4298)/POBLA!$B$1*100000</f>
        <v>444.77152312953871</v>
      </c>
      <c r="H4610" s="300">
        <f t="shared" ref="H4610:H4673" si="490">SUM(C4610,C4586,C4562,C4538,C4514,C4490,C4466,C4442,C4418,C4394,C4370,C4346,C4322,C4298)/SUM(C4274,C4250,C4226,C4202,C4178,C4154,C4130,C4106,C4082,C4058,C4034,C4010,C3986,C3962)</f>
        <v>1.1359308115663493</v>
      </c>
      <c r="I4610" s="301">
        <f>G4610*H4610</f>
        <v>505.22967723013824</v>
      </c>
      <c r="J4610" s="301">
        <f>AVERAGE(C4610,C4586,C4562,C4538,C4514,C4490,C4466)</f>
        <v>5483</v>
      </c>
      <c r="K4610" s="301">
        <f>J4610/POBLA!$B$1*100000</f>
        <v>31.257943824748914</v>
      </c>
      <c r="L4610" s="548">
        <f t="shared" ref="L4610:L4673" si="491">1-SUM(C4610,C4586,C4562,C4538,C4514,C4490,C4466)/SUM(C4442,C4418,C4394,C4370,C4346,C4322,C4298)</f>
        <v>3.1687564649191424E-2</v>
      </c>
      <c r="M4610" s="400">
        <f>SUM(C4610,C4586,C4562,C4538,C4514,C4490,C4466)/POBLA!$B$1*100000</f>
        <v>218.8056067732424</v>
      </c>
    </row>
    <row r="4611" spans="1:13" s="360" customFormat="1" ht="15.75" thickBot="1" x14ac:dyDescent="0.3">
      <c r="A4611" s="364" t="s">
        <v>43</v>
      </c>
      <c r="B4611" s="266">
        <v>44085</v>
      </c>
      <c r="C4611" s="1">
        <v>1215</v>
      </c>
      <c r="D4611" s="39">
        <f t="shared" ref="D4611:D4623" si="492">C4611+D4587</f>
        <v>109072</v>
      </c>
      <c r="E4611" s="1">
        <f>19+18+9+13</f>
        <v>59</v>
      </c>
      <c r="F4611" s="409">
        <f>E4611+F4587</f>
        <v>2670</v>
      </c>
      <c r="G4611" s="168">
        <f>SUM(C4611,C4587,C4563,C4539,C4515,C4491,C4467,C4443,C4419,C4395,C4371,C4347,C4323,C4299)/POBLA!$B$2*100000</f>
        <v>561.99575633866834</v>
      </c>
      <c r="H4611" s="256">
        <f t="shared" si="490"/>
        <v>1.0680961502811592</v>
      </c>
      <c r="I4611" s="297">
        <f t="shared" ref="I4611:I4633" si="493">G4611*H4611</f>
        <v>600.26550381968002</v>
      </c>
      <c r="J4611" s="297">
        <f t="shared" ref="J4611:J4633" si="494">AVERAGE(C4611,C4587,C4563,C4539,C4515,C4491,C4467)</f>
        <v>1148.2857142857142</v>
      </c>
      <c r="K4611" s="297">
        <f>J4611/POBLA!$B$2*100000</f>
        <v>37.334781515353654</v>
      </c>
      <c r="L4611" s="549">
        <f t="shared" si="491"/>
        <v>0.13074510652103388</v>
      </c>
      <c r="M4611" s="401">
        <f>SUM(C4611,C4587,C4563,C4539,C4515,C4491,C4467)/POBLA!$B$2*100000</f>
        <v>261.34347060747564</v>
      </c>
    </row>
    <row r="4612" spans="1:13" s="360" customFormat="1" ht="15.75" thickBot="1" x14ac:dyDescent="0.3">
      <c r="A4612" s="364" t="s">
        <v>28</v>
      </c>
      <c r="B4612" s="266">
        <v>44085</v>
      </c>
      <c r="C4612" s="1">
        <v>3</v>
      </c>
      <c r="D4612" s="39">
        <f t="shared" si="492"/>
        <v>114</v>
      </c>
      <c r="E4612" s="1"/>
      <c r="F4612" s="409">
        <f t="shared" si="489"/>
        <v>0</v>
      </c>
      <c r="G4612" s="168">
        <f>SUM(C4612,C4588,C4564,C4540,C4516,C4492,C4468,C4444,C4420,C4396,C4372,C4348,C4324,C4300)/POBLA!$B$3*100000</f>
        <v>11.794780448586792</v>
      </c>
      <c r="H4612" s="256">
        <f t="shared" si="490"/>
        <v>24.5</v>
      </c>
      <c r="I4612" s="297">
        <f t="shared" si="493"/>
        <v>288.97212099037642</v>
      </c>
      <c r="J4612" s="297">
        <f t="shared" si="494"/>
        <v>6.1428571428571432</v>
      </c>
      <c r="K4612" s="297">
        <f>J4612/POBLA!$B$3*100000</f>
        <v>1.4786459454496563</v>
      </c>
      <c r="L4612" s="549">
        <f t="shared" si="491"/>
        <v>-6.166666666666667</v>
      </c>
      <c r="M4612" s="401">
        <f>SUM(C4612,C4588,C4564,C4540,C4516,C4492,C4468)/POBLA!$B$3*100000</f>
        <v>10.350521618147594</v>
      </c>
    </row>
    <row r="4613" spans="1:13" s="360" customFormat="1" ht="15.75" thickBot="1" x14ac:dyDescent="0.3">
      <c r="A4613" s="364" t="s">
        <v>15</v>
      </c>
      <c r="B4613" s="266">
        <v>44085</v>
      </c>
      <c r="C4613" s="1">
        <v>125</v>
      </c>
      <c r="D4613" s="39">
        <f t="shared" si="492"/>
        <v>6543</v>
      </c>
      <c r="E4613" s="1">
        <f>1+1</f>
        <v>2</v>
      </c>
      <c r="F4613" s="409">
        <f t="shared" ref="F4613:F4631" si="495">E4613+F4589</f>
        <v>234</v>
      </c>
      <c r="G4613" s="168">
        <f>SUM(C4613,C4589,C4565,C4541,C4517,C4493,C4469,C4445,C4421,C4397,C4373,C4349,C4325,C4301)/POBLA!$B$4*100000</f>
        <v>112.90607791681646</v>
      </c>
      <c r="H4613" s="256">
        <f t="shared" si="490"/>
        <v>1.5906432748538011</v>
      </c>
      <c r="I4613" s="297">
        <f t="shared" si="493"/>
        <v>179.59329352850335</v>
      </c>
      <c r="J4613" s="297">
        <f t="shared" si="494"/>
        <v>110.28571428571429</v>
      </c>
      <c r="K4613" s="297">
        <f>J4613/POBLA!$B$4*100000</f>
        <v>9.1558290075401576</v>
      </c>
      <c r="L4613" s="549">
        <f t="shared" si="491"/>
        <v>-0.31292517006802711</v>
      </c>
      <c r="M4613" s="401">
        <f>SUM(C4613,C4589,C4565,C4541,C4517,C4493,C4469)/POBLA!$B$4*100000</f>
        <v>64.090803052781098</v>
      </c>
    </row>
    <row r="4614" spans="1:13" s="360" customFormat="1" ht="15.75" thickBot="1" x14ac:dyDescent="0.3">
      <c r="A4614" s="364" t="s">
        <v>29</v>
      </c>
      <c r="B4614" s="266">
        <v>44085</v>
      </c>
      <c r="C4614" s="1">
        <v>90</v>
      </c>
      <c r="D4614" s="39">
        <f t="shared" si="492"/>
        <v>1480</v>
      </c>
      <c r="E4614" s="1">
        <v>2</v>
      </c>
      <c r="F4614" s="409">
        <f t="shared" si="495"/>
        <v>10</v>
      </c>
      <c r="G4614" s="168">
        <f>SUM(C4614,C4590,C4566,C4542,C4518,C4494,C4470,C4446,C4422,C4398,C4374,C4350,C4326,C4302)/POBLA!$B$5*100000</f>
        <v>115.51000494350511</v>
      </c>
      <c r="H4614" s="256">
        <f t="shared" si="490"/>
        <v>1.9066666666666667</v>
      </c>
      <c r="I4614" s="297">
        <f t="shared" si="493"/>
        <v>220.23907609228309</v>
      </c>
      <c r="J4614" s="297">
        <f t="shared" si="494"/>
        <v>54.142857142857146</v>
      </c>
      <c r="K4614" s="297">
        <f>J4614/POBLA!$B$5*100000</f>
        <v>8.7469114632544329</v>
      </c>
      <c r="L4614" s="549">
        <f t="shared" si="491"/>
        <v>-0.12797619047619047</v>
      </c>
      <c r="M4614" s="401">
        <f>SUM(C4614,C4590,C4566,C4542,C4518,C4494,C4470)/POBLA!$B$5*100000</f>
        <v>61.228380242781029</v>
      </c>
    </row>
    <row r="4615" spans="1:13" s="360" customFormat="1" ht="15.75" thickBot="1" x14ac:dyDescent="0.3">
      <c r="A4615" s="364" t="s">
        <v>20</v>
      </c>
      <c r="B4615" s="266">
        <v>44085</v>
      </c>
      <c r="C4615" s="1">
        <v>387</v>
      </c>
      <c r="D4615" s="39">
        <f t="shared" si="492"/>
        <v>13396</v>
      </c>
      <c r="E4615" s="1">
        <f>3+3</f>
        <v>6</v>
      </c>
      <c r="F4615" s="409">
        <f t="shared" si="495"/>
        <v>189</v>
      </c>
      <c r="G4615" s="168">
        <f>SUM(C4615,C4591,C4567,C4543,C4519,C4495,C4471,C4447,C4423,C4399,C4375,C4351,C4327,C4303)/POBLA!$B$6*100000</f>
        <v>525.60624053690174</v>
      </c>
      <c r="H4615" s="256">
        <f t="shared" si="490"/>
        <v>1.8323483670295491</v>
      </c>
      <c r="I4615" s="297">
        <f t="shared" si="493"/>
        <v>963.09373654833223</v>
      </c>
      <c r="J4615" s="297">
        <f t="shared" si="494"/>
        <v>436.42857142857144</v>
      </c>
      <c r="K4615" s="297">
        <f>J4615/POBLA!$B$6*100000</f>
        <v>38.938988404593808</v>
      </c>
      <c r="L4615" s="549">
        <f t="shared" si="491"/>
        <v>-7.7221438645980189E-2</v>
      </c>
      <c r="M4615" s="401">
        <f>SUM(C4615,C4591,C4567,C4543,C4519,C4495,C4471)/POBLA!$B$6*100000</f>
        <v>272.57291883215663</v>
      </c>
    </row>
    <row r="4616" spans="1:13" s="360" customFormat="1" ht="15.75" thickBot="1" x14ac:dyDescent="0.3">
      <c r="A4616" s="364" t="s">
        <v>30</v>
      </c>
      <c r="B4616" s="266">
        <v>44085</v>
      </c>
      <c r="C4616" s="1">
        <v>112</v>
      </c>
      <c r="D4616" s="39">
        <f t="shared" si="492"/>
        <v>603</v>
      </c>
      <c r="E4616" s="1">
        <f>1</f>
        <v>1</v>
      </c>
      <c r="F4616" s="409">
        <f t="shared" si="495"/>
        <v>6</v>
      </c>
      <c r="G4616" s="168">
        <f>SUM(C4616,C4592,C4568,C4544,C4520,C4496,C4472,C4448,C4424,C4400,C4376,C4352,C4328,C4304)/POBLA!$B$7*100000</f>
        <v>7.711842997513596</v>
      </c>
      <c r="H4616" s="256">
        <f t="shared" si="490"/>
        <v>3.2222222222222223</v>
      </c>
      <c r="I4616" s="297">
        <f t="shared" si="493"/>
        <v>24.849271880877144</v>
      </c>
      <c r="J4616" s="297">
        <f t="shared" si="494"/>
        <v>38.571428571428569</v>
      </c>
      <c r="K4616" s="297">
        <f>J4616/POBLA!$B$7*100000</f>
        <v>1.0257131080436801</v>
      </c>
      <c r="L4616" s="549">
        <f t="shared" si="491"/>
        <v>-12.5</v>
      </c>
      <c r="M4616" s="401">
        <f>SUM(C4616,C4592,C4568,C4544,C4520,C4496,C4472)/POBLA!$B$7*100000</f>
        <v>7.1799917563057605</v>
      </c>
    </row>
    <row r="4617" spans="1:13" ht="15.75" thickBot="1" x14ac:dyDescent="0.3">
      <c r="A4617" s="364" t="s">
        <v>31</v>
      </c>
      <c r="B4617" s="266">
        <v>44085</v>
      </c>
      <c r="C4617" s="1">
        <v>151</v>
      </c>
      <c r="D4617" s="39">
        <f t="shared" si="492"/>
        <v>4995</v>
      </c>
      <c r="E4617" s="1">
        <v>11</v>
      </c>
      <c r="F4617" s="409">
        <f t="shared" si="495"/>
        <v>88</v>
      </c>
      <c r="G4617" s="168">
        <f>SUM(C4617,C4593,C4569,C4545,C4521,C4497,C4473,C4449,C4425,C4401,C4377,C4353,C4329,C4305)/POBLA!$B$8*100000</f>
        <v>148.56117884990991</v>
      </c>
      <c r="H4617" s="256">
        <f t="shared" si="490"/>
        <v>1.3997280761386812</v>
      </c>
      <c r="I4617" s="297">
        <f t="shared" si="493"/>
        <v>207.94525306047893</v>
      </c>
      <c r="J4617" s="297">
        <f t="shared" si="494"/>
        <v>126</v>
      </c>
      <c r="K4617" s="297">
        <f>J4617/POBLA!$B$8*100000</f>
        <v>9.091164902908524</v>
      </c>
      <c r="L4617" s="549">
        <f t="shared" si="491"/>
        <v>0.25063721325403565</v>
      </c>
      <c r="M4617" s="401">
        <f>SUM(C4617,C4593,C4569,C4545,C4521,C4497,C4473)/POBLA!$B$8*100000</f>
        <v>63.638154320359668</v>
      </c>
    </row>
    <row r="4618" spans="1:13" s="360" customFormat="1" ht="15.75" thickBot="1" x14ac:dyDescent="0.3">
      <c r="A4618" s="364" t="s">
        <v>41</v>
      </c>
      <c r="B4618" s="266">
        <v>44085</v>
      </c>
      <c r="C4618" s="1">
        <v>4</v>
      </c>
      <c r="D4618" s="39">
        <f t="shared" si="492"/>
        <v>96</v>
      </c>
      <c r="E4618" s="1"/>
      <c r="F4618" s="39">
        <f>E4618+F4594</f>
        <v>1</v>
      </c>
      <c r="G4618" s="168">
        <f>SUM(C4618,C4594,C4570,C4546,C4522,C4498,C4474,C4450,C4426,C4402,C4378,C4354,C4330,C4306)/POBLA!$B$9*100000</f>
        <v>1.9828385325012021</v>
      </c>
      <c r="H4618" s="256">
        <f t="shared" si="490"/>
        <v>2</v>
      </c>
      <c r="I4618" s="297">
        <f t="shared" si="493"/>
        <v>3.9656770650024042</v>
      </c>
      <c r="J4618" s="297">
        <f t="shared" si="494"/>
        <v>0.8571428571428571</v>
      </c>
      <c r="K4618" s="297">
        <f>J4618/POBLA!$B$9*100000</f>
        <v>0.14163132375008586</v>
      </c>
      <c r="L4618" s="549">
        <f t="shared" si="491"/>
        <v>0</v>
      </c>
      <c r="M4618" s="401">
        <f>SUM(C4618,C4594,C4570,C4546,C4522,C4498,C4474)/POBLA!$B$9*100000</f>
        <v>0.99141926625060106</v>
      </c>
    </row>
    <row r="4619" spans="1:13" s="360" customFormat="1" ht="15.75" thickBot="1" x14ac:dyDescent="0.3">
      <c r="A4619" s="364" t="s">
        <v>32</v>
      </c>
      <c r="B4619" s="266">
        <v>44085</v>
      </c>
      <c r="C4619" s="1">
        <v>302</v>
      </c>
      <c r="D4619" s="39">
        <f t="shared" si="492"/>
        <v>11699</v>
      </c>
      <c r="E4619" s="1">
        <f>1</f>
        <v>1</v>
      </c>
      <c r="F4619" s="409">
        <f t="shared" si="495"/>
        <v>244</v>
      </c>
      <c r="G4619" s="168">
        <f>SUM(C4619,C4595,C4571,C4547,C4523,C4499,C4475,C4451,C4427,C4403,C4379,C4355,C4331,C4307)/POBLA!$B$10*100000</f>
        <v>529.00512530468382</v>
      </c>
      <c r="H4619" s="256">
        <f t="shared" si="490"/>
        <v>1.241400304414003</v>
      </c>
      <c r="I4619" s="297">
        <f t="shared" si="493"/>
        <v>656.70712358980222</v>
      </c>
      <c r="J4619" s="297">
        <f t="shared" si="494"/>
        <v>307.14285714285717</v>
      </c>
      <c r="K4619" s="297">
        <f>J4619/POBLA!$B$10*100000</f>
        <v>39.843096034648305</v>
      </c>
      <c r="L4619" s="549">
        <f t="shared" si="491"/>
        <v>-0.11514522821576767</v>
      </c>
      <c r="M4619" s="401">
        <f>SUM(C4619,C4595,C4571,C4547,C4523,C4499,C4475)/POBLA!$B$10*100000</f>
        <v>278.9016722425381</v>
      </c>
    </row>
    <row r="4620" spans="1:13" s="360" customFormat="1" ht="15.75" thickBot="1" x14ac:dyDescent="0.3">
      <c r="A4620" s="364" t="s">
        <v>33</v>
      </c>
      <c r="B4620" s="266">
        <v>44085</v>
      </c>
      <c r="C4620" s="1">
        <v>27</v>
      </c>
      <c r="D4620" s="39">
        <f t="shared" si="492"/>
        <v>321</v>
      </c>
      <c r="E4620" s="1"/>
      <c r="F4620" s="409">
        <f t="shared" si="495"/>
        <v>4</v>
      </c>
      <c r="G4620" s="168">
        <f>SUM(C4620,C4596,C4572,C4548,C4524,C4500,C4476,C4452,C4428,C4404,C4380,C4356,C4332,C4308)/POBLA!$B$11*100000</f>
        <v>35.432499693104333</v>
      </c>
      <c r="H4620" s="256">
        <f t="shared" si="490"/>
        <v>10.583333333333334</v>
      </c>
      <c r="I4620" s="297">
        <f t="shared" si="493"/>
        <v>374.99395508535423</v>
      </c>
      <c r="J4620" s="297">
        <f t="shared" si="494"/>
        <v>14.285714285714286</v>
      </c>
      <c r="K4620" s="297">
        <f>J4620/POBLA!$B$11*100000</f>
        <v>3.98565800822321</v>
      </c>
      <c r="L4620" s="549">
        <f t="shared" si="491"/>
        <v>-2.7037037037037037</v>
      </c>
      <c r="M4620" s="401">
        <f>SUM(C4620,C4596,C4572,C4548,C4524,C4500,C4476)/POBLA!$B$11*100000</f>
        <v>27.899606057562465</v>
      </c>
    </row>
    <row r="4621" spans="1:13" s="360" customFormat="1" ht="15.75" thickBot="1" x14ac:dyDescent="0.3">
      <c r="A4621" s="364" t="s">
        <v>21</v>
      </c>
      <c r="B4621" s="266">
        <v>44085</v>
      </c>
      <c r="C4621" s="1">
        <v>162</v>
      </c>
      <c r="D4621" s="39">
        <f t="shared" si="492"/>
        <v>2665</v>
      </c>
      <c r="E4621" s="1"/>
      <c r="F4621" s="409">
        <f t="shared" si="495"/>
        <v>54</v>
      </c>
      <c r="G4621" s="168">
        <f>SUM(C4621,C4597,C4573,C4549,C4525,C4501,C4477,C4453,C4429,C4405,C4381,C4357,C4333,C4309)/POBLA!$B$12*100000</f>
        <v>338.72807987172553</v>
      </c>
      <c r="H4621" s="256">
        <f t="shared" si="490"/>
        <v>1.9865871833084947</v>
      </c>
      <c r="I4621" s="297">
        <f t="shared" si="493"/>
        <v>672.91286209986606</v>
      </c>
      <c r="J4621" s="297">
        <f t="shared" si="494"/>
        <v>111.14285714285714</v>
      </c>
      <c r="K4621" s="297">
        <f>J4621/POBLA!$B$12*100000</f>
        <v>28.242465559983113</v>
      </c>
      <c r="L4621" s="549">
        <f t="shared" si="491"/>
        <v>-0.40180180180180169</v>
      </c>
      <c r="M4621" s="401">
        <f>SUM(C4621,C4597,C4573,C4549,C4525,C4501,C4477)/POBLA!$B$12*100000</f>
        <v>197.69725891988179</v>
      </c>
    </row>
    <row r="4622" spans="1:13" s="360" customFormat="1" ht="15.75" thickBot="1" x14ac:dyDescent="0.3">
      <c r="A4622" s="364" t="s">
        <v>17</v>
      </c>
      <c r="B4622" s="266">
        <v>44085</v>
      </c>
      <c r="C4622" s="1">
        <v>695</v>
      </c>
      <c r="D4622" s="39">
        <f t="shared" si="492"/>
        <v>13060</v>
      </c>
      <c r="E4622" s="1">
        <f>1+2+3+2</f>
        <v>8</v>
      </c>
      <c r="F4622" s="409">
        <f t="shared" si="495"/>
        <v>146</v>
      </c>
      <c r="G4622" s="168">
        <f>SUM(C4622,C4598,C4574,C4550,C4526,C4502,C4478,C4454,C4430,C4406,C4382,C4358,C4334,C4310)/POBLA!$B$13*100000</f>
        <v>357.57745669328523</v>
      </c>
      <c r="H4622" s="256">
        <f t="shared" si="490"/>
        <v>2.3465215957797558</v>
      </c>
      <c r="I4622" s="297">
        <f t="shared" si="493"/>
        <v>839.06322429479417</v>
      </c>
      <c r="J4622" s="297">
        <f t="shared" si="494"/>
        <v>608.42857142857144</v>
      </c>
      <c r="K4622" s="297">
        <f>J4622/POBLA!$B$13*100000</f>
        <v>30.569107931847327</v>
      </c>
      <c r="L4622" s="549">
        <f t="shared" si="491"/>
        <v>-0.49020293911826451</v>
      </c>
      <c r="M4622" s="401">
        <f>SUM(C4622,C4598,C4574,C4550,C4526,C4502,C4478)/POBLA!$B$13*100000</f>
        <v>213.98375552293129</v>
      </c>
    </row>
    <row r="4623" spans="1:13" s="360" customFormat="1" ht="15.75" thickBot="1" x14ac:dyDescent="0.3">
      <c r="A4623" s="364" t="s">
        <v>23</v>
      </c>
      <c r="B4623" s="266">
        <v>44085</v>
      </c>
      <c r="C4623" s="1">
        <v>0</v>
      </c>
      <c r="D4623" s="39">
        <f t="shared" si="492"/>
        <v>65</v>
      </c>
      <c r="E4623" s="1"/>
      <c r="F4623" s="409">
        <f t="shared" si="495"/>
        <v>2</v>
      </c>
      <c r="G4623" s="168">
        <f>SUM(C4623,C4599,C4575,C4551,C4527,C4503,C4479,C4455,C4431,C4407,C4383,C4359,C4335,C4311)/POBLA!$B$14*100000</f>
        <v>0.47570193785112752</v>
      </c>
      <c r="H4623" s="256">
        <f t="shared" si="490"/>
        <v>2</v>
      </c>
      <c r="I4623" s="297">
        <f t="shared" si="493"/>
        <v>0.95140387570225504</v>
      </c>
      <c r="J4623" s="297">
        <f t="shared" si="494"/>
        <v>0</v>
      </c>
      <c r="K4623" s="297">
        <f>J4623/POBLA!$B$14*100000</f>
        <v>0</v>
      </c>
      <c r="L4623" s="549">
        <f t="shared" si="491"/>
        <v>1</v>
      </c>
      <c r="M4623" s="401">
        <f>SUM(C4623,C4599,C4575,C4551,C4527,C4503,C4479)/POBLA!$B$14*100000</f>
        <v>0</v>
      </c>
    </row>
    <row r="4624" spans="1:13" s="360" customFormat="1" ht="15.75" thickBot="1" x14ac:dyDescent="0.3">
      <c r="A4624" s="364" t="s">
        <v>19</v>
      </c>
      <c r="B4624" s="266">
        <v>44085</v>
      </c>
      <c r="C4624" s="1">
        <v>161</v>
      </c>
      <c r="D4624" s="39">
        <f>C4624+D4600</f>
        <v>4459</v>
      </c>
      <c r="E4624" s="1">
        <f>1</f>
        <v>1</v>
      </c>
      <c r="F4624" s="409">
        <f t="shared" si="495"/>
        <v>46</v>
      </c>
      <c r="G4624" s="168">
        <f>SUM(C4624,C4600,C4576,C4552,C4528,C4504,C4480,C4456,C4432,C4408,C4384,C4360,C4336,C4312)/POBLA!$B$15*100000</f>
        <v>254.64681495714976</v>
      </c>
      <c r="H4624" s="256">
        <f t="shared" si="490"/>
        <v>1.6369796708615683</v>
      </c>
      <c r="I4624" s="297">
        <f t="shared" si="493"/>
        <v>416.85165933450168</v>
      </c>
      <c r="J4624" s="297">
        <f t="shared" si="494"/>
        <v>141.14285714285714</v>
      </c>
      <c r="K4624" s="297">
        <f>J4624/POBLA!$B$15*100000</f>
        <v>21.254629819858408</v>
      </c>
      <c r="L4624" s="549">
        <f t="shared" si="491"/>
        <v>-0.40540540540540548</v>
      </c>
      <c r="M4624" s="401">
        <f>SUM(C4624,C4600,C4576,C4552,C4528,C4504,C4480)/POBLA!$B$15*100000</f>
        <v>148.78240873900884</v>
      </c>
    </row>
    <row r="4625" spans="1:13" s="360" customFormat="1" ht="15.75" thickBot="1" x14ac:dyDescent="0.3">
      <c r="A4625" s="364" t="s">
        <v>18</v>
      </c>
      <c r="B4625" s="266">
        <v>44085</v>
      </c>
      <c r="C4625" s="1">
        <v>318</v>
      </c>
      <c r="D4625" s="39">
        <f>C4625+D4601</f>
        <v>8360</v>
      </c>
      <c r="E4625" s="1">
        <f>1+2+4</f>
        <v>7</v>
      </c>
      <c r="F4625" s="409">
        <f t="shared" si="495"/>
        <v>151</v>
      </c>
      <c r="G4625" s="168">
        <f>SUM(C4625,C4601,C4577,C4553,C4529,C4505,C4481,C4457,C4433,C4409,C4385,C4361,C4337,C4313)/POBLA!$B$16*100000</f>
        <v>370.38027848744667</v>
      </c>
      <c r="H4625" s="256">
        <f t="shared" si="490"/>
        <v>1.4287925696594428</v>
      </c>
      <c r="I4625" s="297">
        <f t="shared" si="493"/>
        <v>529.19658985125898</v>
      </c>
      <c r="J4625" s="297">
        <f t="shared" si="494"/>
        <v>227.42857142857142</v>
      </c>
      <c r="K4625" s="297">
        <f>J4625/POBLA!$B$16*100000</f>
        <v>30.420750314812725</v>
      </c>
      <c r="L4625" s="549">
        <f t="shared" si="491"/>
        <v>-0.35259133389974506</v>
      </c>
      <c r="M4625" s="401">
        <f>SUM(C4625,C4601,C4577,C4553,C4529,C4505,C4481)/POBLA!$B$16*100000</f>
        <v>212.94525220368908</v>
      </c>
    </row>
    <row r="4626" spans="1:13" s="360" customFormat="1" ht="15.75" thickBot="1" x14ac:dyDescent="0.3">
      <c r="A4626" s="364" t="s">
        <v>34</v>
      </c>
      <c r="B4626" s="266">
        <v>44085</v>
      </c>
      <c r="C4626" s="1">
        <v>322</v>
      </c>
      <c r="D4626" s="39">
        <f>C4626+D4602</f>
        <v>6159</v>
      </c>
      <c r="E4626" s="1">
        <f>1+2+2</f>
        <v>5</v>
      </c>
      <c r="F4626" s="409">
        <f>E4626+F4602</f>
        <v>85</v>
      </c>
      <c r="G4626" s="168">
        <f>SUM(C4626,C4602,C4578,C4554,C4530,C4506,C4482,C4458,C4434,C4410,C4386,C4362,C4338,C4314)/POBLA!$B$17*100000</f>
        <v>240.80365235253936</v>
      </c>
      <c r="H4626" s="256">
        <f t="shared" si="490"/>
        <v>1.906614785992218</v>
      </c>
      <c r="I4626" s="297">
        <f t="shared" si="493"/>
        <v>459.11980409628131</v>
      </c>
      <c r="J4626" s="297">
        <f t="shared" si="494"/>
        <v>280.28571428571428</v>
      </c>
      <c r="K4626" s="297">
        <f>J4626/POBLA!$B$17*100000</f>
        <v>19.677499621644408</v>
      </c>
      <c r="L4626" s="549">
        <f t="shared" si="491"/>
        <v>-0.3365122615803815</v>
      </c>
      <c r="M4626" s="401">
        <f>SUM(C4626,C4602,C4578,C4554,C4530,C4506,C4482)/POBLA!$B$17*100000</f>
        <v>137.74249735151085</v>
      </c>
    </row>
    <row r="4627" spans="1:13" s="360" customFormat="1" ht="15.75" thickBot="1" x14ac:dyDescent="0.3">
      <c r="A4627" s="364" t="s">
        <v>35</v>
      </c>
      <c r="B4627" s="266">
        <v>44085</v>
      </c>
      <c r="C4627" s="1">
        <v>14</v>
      </c>
      <c r="D4627" s="39">
        <f t="shared" ref="D4627:D4633" si="496">C4627+D4603</f>
        <v>399</v>
      </c>
      <c r="E4627" s="1"/>
      <c r="F4627" s="39">
        <f>E4627+F4603</f>
        <v>7</v>
      </c>
      <c r="G4627" s="168">
        <f>SUM(C4627,C4603,C4579,C4555,C4531,C4507,C4483,C4459,C4435,C4411,C4387,C4363,C4339,C4315)/POBLA!$B$18*100000</f>
        <v>26.369113831368239</v>
      </c>
      <c r="H4627" s="256">
        <f t="shared" si="490"/>
        <v>1.2046783625730995</v>
      </c>
      <c r="I4627" s="297">
        <f t="shared" si="493"/>
        <v>31.766300872876357</v>
      </c>
      <c r="J4627" s="297">
        <f t="shared" si="494"/>
        <v>5.8571428571428568</v>
      </c>
      <c r="K4627" s="297">
        <f>J4627/POBLA!$B$18*100000</f>
        <v>0.74974595498342411</v>
      </c>
      <c r="L4627" s="549">
        <f t="shared" si="491"/>
        <v>0.75151515151515147</v>
      </c>
      <c r="M4627" s="401">
        <f>SUM(C4627,C4603,C4579,C4555,C4531,C4507,C4483)/POBLA!$B$18*100000</f>
        <v>5.24822168488397</v>
      </c>
    </row>
    <row r="4628" spans="1:13" s="360" customFormat="1" ht="15.75" thickBot="1" x14ac:dyDescent="0.3">
      <c r="A4628" s="364" t="s">
        <v>36</v>
      </c>
      <c r="B4628" s="266">
        <v>44085</v>
      </c>
      <c r="C4628" s="1">
        <v>23</v>
      </c>
      <c r="D4628" s="39">
        <f t="shared" si="496"/>
        <v>379</v>
      </c>
      <c r="E4628" s="1"/>
      <c r="F4628" s="409">
        <f t="shared" si="495"/>
        <v>0</v>
      </c>
      <c r="G4628" s="168">
        <f>SUM(C4628,C4604,C4580,C4556,C4532,C4508,C4484,C4460,C4436,C4412,C4388,C4364,C4340,C4316)/POBLA!$B$19*100000</f>
        <v>62.558033395760219</v>
      </c>
      <c r="H4628" s="256">
        <f t="shared" si="490"/>
        <v>11.777777777777779</v>
      </c>
      <c r="I4628" s="297">
        <f t="shared" si="493"/>
        <v>736.7946155500648</v>
      </c>
      <c r="J4628" s="297">
        <f t="shared" si="494"/>
        <v>24.142857142857142</v>
      </c>
      <c r="K4628" s="297">
        <f>J4628/POBLA!$B$19*100000</f>
        <v>4.7494643503519658</v>
      </c>
      <c r="L4628" s="549">
        <f t="shared" si="491"/>
        <v>-0.13422818791946312</v>
      </c>
      <c r="M4628" s="401">
        <f>SUM(C4628,C4604,C4580,C4556,C4532,C4508,C4484)/POBLA!$B$19*100000</f>
        <v>33.246250452463762</v>
      </c>
    </row>
    <row r="4629" spans="1:13" s="360" customFormat="1" ht="15.75" thickBot="1" x14ac:dyDescent="0.3">
      <c r="A4629" s="364" t="s">
        <v>37</v>
      </c>
      <c r="B4629" s="266">
        <v>44085</v>
      </c>
      <c r="C4629" s="1">
        <v>136</v>
      </c>
      <c r="D4629" s="39">
        <f t="shared" si="496"/>
        <v>2762</v>
      </c>
      <c r="E4629" s="1"/>
      <c r="F4629" s="39">
        <f>E4629+F4605</f>
        <v>21</v>
      </c>
      <c r="G4629" s="168">
        <f>SUM(C4629,C4605,C4581,C4557,C4533,C4509,C4485,C4461,C4437,C4413,C4389,C4365,C4341,C4317)/POBLA!$B$20*100000</f>
        <v>312.82643055198548</v>
      </c>
      <c r="H4629" s="256">
        <f t="shared" si="490"/>
        <v>1.7228915662650603</v>
      </c>
      <c r="I4629" s="297">
        <f t="shared" si="493"/>
        <v>538.9660189028184</v>
      </c>
      <c r="J4629" s="297">
        <f t="shared" si="494"/>
        <v>104.71428571428571</v>
      </c>
      <c r="K4629" s="297">
        <f>J4629/POBLA!$B$20*100000</f>
        <v>28.634087611713955</v>
      </c>
      <c r="L4629" s="549">
        <f t="shared" si="491"/>
        <v>-0.78345498783454981</v>
      </c>
      <c r="M4629" s="401">
        <f>SUM(C4629,C4605,C4581,C4557,C4533,C4509,C4485)/POBLA!$B$20*100000</f>
        <v>200.4386132819977</v>
      </c>
    </row>
    <row r="4630" spans="1:13" s="360" customFormat="1" ht="15.75" thickBot="1" x14ac:dyDescent="0.3">
      <c r="A4630" s="364" t="s">
        <v>22</v>
      </c>
      <c r="B4630" s="266">
        <v>44085</v>
      </c>
      <c r="C4630" s="1">
        <v>930</v>
      </c>
      <c r="D4630" s="39">
        <f t="shared" si="496"/>
        <v>16673</v>
      </c>
      <c r="E4630" s="1">
        <f>2+4+4</f>
        <v>10</v>
      </c>
      <c r="F4630" s="39">
        <f>E4630+F4606</f>
        <v>187</v>
      </c>
      <c r="G4630" s="168">
        <f>SUM(C4630,C4606,C4582,C4558,C4534,C4510,C4486,C4462,C4438,C4414,C4390,C4366,C4342,C4318)/POBLA!$B$21*100000</f>
        <v>280.8491530130205</v>
      </c>
      <c r="H4630" s="256">
        <f t="shared" si="490"/>
        <v>2.6226564562978609</v>
      </c>
      <c r="I4630" s="297">
        <f t="shared" si="493"/>
        <v>736.57084439538403</v>
      </c>
      <c r="J4630" s="297">
        <f t="shared" si="494"/>
        <v>838.14285714285711</v>
      </c>
      <c r="K4630" s="297">
        <f>J4630/POBLA!$B$21*100000</f>
        <v>23.700333420507903</v>
      </c>
      <c r="L4630" s="549">
        <f t="shared" si="491"/>
        <v>-0.44329643296432963</v>
      </c>
      <c r="M4630" s="401">
        <f>SUM(C4630,C4606,C4582,C4558,C4534,C4510,C4486)/POBLA!$B$21*100000</f>
        <v>165.90233394355531</v>
      </c>
    </row>
    <row r="4631" spans="1:13" s="360" customFormat="1" ht="15.75" thickBot="1" x14ac:dyDescent="0.3">
      <c r="A4631" s="364" t="s">
        <v>38</v>
      </c>
      <c r="B4631" s="266">
        <v>44085</v>
      </c>
      <c r="C4631" s="1">
        <v>83</v>
      </c>
      <c r="D4631" s="39">
        <f t="shared" si="496"/>
        <v>1641</v>
      </c>
      <c r="E4631" s="1"/>
      <c r="F4631" s="409">
        <f t="shared" si="495"/>
        <v>25</v>
      </c>
      <c r="G4631" s="168">
        <f>SUM(C4631,C4607,C4583,C4559,C4535,C4511,C4487,C4463,C4439,C4415,C4391,C4367,C4343,C4319)/POBLA!$B$22*100000</f>
        <v>87.08869247367663</v>
      </c>
      <c r="H4631" s="256">
        <f t="shared" si="490"/>
        <v>1.5053003533568905</v>
      </c>
      <c r="I4631" s="297">
        <f t="shared" si="493"/>
        <v>131.094639554015</v>
      </c>
      <c r="J4631" s="297">
        <f t="shared" si="494"/>
        <v>69.857142857142861</v>
      </c>
      <c r="K4631" s="297">
        <f>J4631/POBLA!$B$22*100000</f>
        <v>7.1405718678115147</v>
      </c>
      <c r="L4631" s="549">
        <f t="shared" si="491"/>
        <v>-0.34710743801652888</v>
      </c>
      <c r="M4631" s="401">
        <f>SUM(C4631,C4607,C4583,C4559,C4535,C4511,C4487)/POBLA!$B$22*100000</f>
        <v>49.984003074680601</v>
      </c>
    </row>
    <row r="4632" spans="1:13" s="360" customFormat="1" ht="15.75" thickBot="1" x14ac:dyDescent="0.3">
      <c r="A4632" s="364" t="s">
        <v>39</v>
      </c>
      <c r="B4632" s="266">
        <v>44085</v>
      </c>
      <c r="C4632" s="1">
        <v>43</v>
      </c>
      <c r="D4632" s="39">
        <f t="shared" si="496"/>
        <v>2635</v>
      </c>
      <c r="E4632" s="1">
        <f>1</f>
        <v>1</v>
      </c>
      <c r="F4632" s="409">
        <f>E4632+F4608</f>
        <v>41</v>
      </c>
      <c r="G4632" s="168">
        <f>SUM(C4632,C4608,C4584,C4560,C4536,C4512,C4488,C4464,C4440,C4416,C4392,C4368,C4344,C4320)/POBLA!$B$23*100000</f>
        <v>411.12933325793131</v>
      </c>
      <c r="H4632" s="256">
        <f t="shared" si="490"/>
        <v>1.1466876971608833</v>
      </c>
      <c r="I4632" s="297">
        <f t="shared" si="493"/>
        <v>471.43694838882658</v>
      </c>
      <c r="J4632" s="297">
        <f t="shared" si="494"/>
        <v>51.857142857142854</v>
      </c>
      <c r="K4632" s="297">
        <f>J4632/POBLA!$B$23*100000</f>
        <v>29.325987025472404</v>
      </c>
      <c r="L4632" s="549">
        <f t="shared" si="491"/>
        <v>2.7472527472527375E-3</v>
      </c>
      <c r="M4632" s="401">
        <f>SUM(C4632,C4608,C4584,C4560,C4536,C4512,C4488)/POBLA!$B$23*100000</f>
        <v>205.28190917830685</v>
      </c>
    </row>
    <row r="4633" spans="1:13" s="360" customFormat="1" ht="15.75" thickBot="1" x14ac:dyDescent="0.3">
      <c r="A4633" s="365" t="s">
        <v>40</v>
      </c>
      <c r="B4633" s="34">
        <v>44085</v>
      </c>
      <c r="C4633" s="232">
        <v>472</v>
      </c>
      <c r="D4633" s="67">
        <f t="shared" si="496"/>
        <v>5891</v>
      </c>
      <c r="E4633" s="232">
        <f>1</f>
        <v>1</v>
      </c>
      <c r="F4633" s="67">
        <f>E4633+F4609</f>
        <v>18</v>
      </c>
      <c r="G4633" s="177">
        <f>SUM(C4633,C4609,C4585,C4561,C4537,C4513,C4489,C4465,C4441,C4417,C4393,C4369,C4345,C4321)/POBLA!$B$24*100000</f>
        <v>252.97169455039841</v>
      </c>
      <c r="H4633" s="402">
        <f t="shared" si="490"/>
        <v>4.0065420560747667</v>
      </c>
      <c r="I4633" s="403">
        <f t="shared" si="493"/>
        <v>1013.5417332126711</v>
      </c>
      <c r="J4633" s="403">
        <f t="shared" si="494"/>
        <v>358</v>
      </c>
      <c r="K4633" s="403">
        <f>J4633/POBLA!$B$24*100000</f>
        <v>21.125231315381999</v>
      </c>
      <c r="L4633" s="550">
        <f t="shared" si="491"/>
        <v>-0.40707467714766987</v>
      </c>
      <c r="M4633" s="405">
        <f>SUM(C4633,C4609,C4585,C4561,C4537,C4513,C4489)/POBLA!$B$24*100000</f>
        <v>147.876619207674</v>
      </c>
    </row>
    <row r="4634" spans="1:13" s="360" customFormat="1" x14ac:dyDescent="0.25">
      <c r="A4634" s="363" t="s">
        <v>16</v>
      </c>
      <c r="B4634" s="265">
        <v>44086</v>
      </c>
      <c r="C4634" s="43">
        <v>5862</v>
      </c>
      <c r="D4634" s="174">
        <f>C4634+D4610</f>
        <v>328100</v>
      </c>
      <c r="E4634" s="43">
        <f>15+15+18+6</f>
        <v>54</v>
      </c>
      <c r="F4634" s="475">
        <f>E4634+F4610</f>
        <v>6737</v>
      </c>
      <c r="G4634" s="175">
        <f>SUM(C4634,C4610,C4586,C4562,C4538,C4514,C4490,C4466,C4442,C4418,C4394,C4370,C4346,C4322)/POBLA!$B$1*100000</f>
        <v>446.57870317558019</v>
      </c>
      <c r="H4634" s="300">
        <f t="shared" si="490"/>
        <v>1.1224548281247761</v>
      </c>
      <c r="I4634" s="301">
        <f>G4634*H4634</f>
        <v>501.26442151713127</v>
      </c>
      <c r="J4634" s="301">
        <f>AVERAGE(C4634,C4610,C4586,C4562,C4538,C4514,C4490)</f>
        <v>5560.4285714285716</v>
      </c>
      <c r="K4634" s="301">
        <f>J4634/POBLA!$B$1*100000</f>
        <v>31.699355084304788</v>
      </c>
      <c r="L4634" s="548">
        <f t="shared" si="491"/>
        <v>1.2407388612605263E-2</v>
      </c>
      <c r="M4634" s="400">
        <f>SUM(C4634,C4610,C4586,C4562,C4538,C4514,C4490)/POBLA!$B$1*100000</f>
        <v>221.89548559013349</v>
      </c>
    </row>
    <row r="4635" spans="1:13" s="360" customFormat="1" x14ac:dyDescent="0.25">
      <c r="A4635" s="364" t="s">
        <v>43</v>
      </c>
      <c r="B4635" s="2">
        <v>44086</v>
      </c>
      <c r="C4635" s="1">
        <v>985</v>
      </c>
      <c r="D4635" s="39">
        <f t="shared" ref="D4635:D4647" si="497">C4635+D4611</f>
        <v>110057</v>
      </c>
      <c r="E4635" s="1">
        <f>9+5+5+4</f>
        <v>23</v>
      </c>
      <c r="F4635" s="409">
        <f>E4635+F4611</f>
        <v>2693</v>
      </c>
      <c r="G4635" s="168">
        <f>SUM(C4635,C4611,C4587,C4563,C4539,C4515,C4491,C4467,C4443,C4419,C4395,C4371,C4347,C4323)/POBLA!$B$2*100000</f>
        <v>555.16792244621138</v>
      </c>
      <c r="H4635" s="256">
        <f t="shared" si="490"/>
        <v>1.0371742695741968</v>
      </c>
      <c r="I4635" s="297">
        <f t="shared" ref="I4635:I4657" si="498">G4635*H4635</f>
        <v>575.80588445417357</v>
      </c>
      <c r="J4635" s="297">
        <f t="shared" ref="J4635:J4657" si="499">AVERAGE(C4635,C4611,C4587,C4563,C4539,C4515,C4491)</f>
        <v>1134.1428571428571</v>
      </c>
      <c r="K4635" s="297">
        <f>J4635/POBLA!$B$2*100000</f>
        <v>36.874947804229002</v>
      </c>
      <c r="L4635" s="549">
        <f t="shared" si="491"/>
        <v>0.13102014010507879</v>
      </c>
      <c r="M4635" s="401">
        <f>SUM(C4635,C4611,C4587,C4563,C4539,C4515,C4491)/POBLA!$B$2*100000</f>
        <v>258.12463462960301</v>
      </c>
    </row>
    <row r="4636" spans="1:13" s="360" customFormat="1" x14ac:dyDescent="0.25">
      <c r="A4636" s="364" t="s">
        <v>28</v>
      </c>
      <c r="B4636" s="2">
        <v>44086</v>
      </c>
      <c r="C4636" s="1">
        <v>6</v>
      </c>
      <c r="D4636" s="39">
        <f t="shared" si="497"/>
        <v>120</v>
      </c>
      <c r="E4636" s="1"/>
      <c r="F4636" s="409">
        <f>E4636+F4612</f>
        <v>0</v>
      </c>
      <c r="G4636" s="168">
        <f>SUM(C4636,C4612,C4588,C4564,C4540,C4516,C4492,C4468,C4444,C4420,C4396,C4372,C4348,C4324)/POBLA!$B$3*100000</f>
        <v>13.239039279025992</v>
      </c>
      <c r="H4636" s="256">
        <f t="shared" si="490"/>
        <v>27.5</v>
      </c>
      <c r="I4636" s="297">
        <f t="shared" si="498"/>
        <v>364.07358017321479</v>
      </c>
      <c r="J4636" s="297">
        <f t="shared" si="499"/>
        <v>5.5714285714285712</v>
      </c>
      <c r="K4636" s="297">
        <f>J4636/POBLA!$B$3*100000</f>
        <v>1.3410974854078277</v>
      </c>
      <c r="L4636" s="549">
        <f t="shared" si="491"/>
        <v>-1.4375</v>
      </c>
      <c r="M4636" s="401">
        <f>SUM(C4636,C4612,C4588,C4564,C4540,C4516,C4492)/POBLA!$B$3*100000</f>
        <v>9.3876823978547943</v>
      </c>
    </row>
    <row r="4637" spans="1:13" s="360" customFormat="1" x14ac:dyDescent="0.25">
      <c r="A4637" s="364" t="s">
        <v>15</v>
      </c>
      <c r="B4637" s="2">
        <v>44086</v>
      </c>
      <c r="C4637" s="1">
        <v>117</v>
      </c>
      <c r="D4637" s="39">
        <f t="shared" si="497"/>
        <v>6660</v>
      </c>
      <c r="E4637" s="1">
        <f>2+1</f>
        <v>3</v>
      </c>
      <c r="F4637" s="409">
        <f t="shared" ref="F4637:F4655" si="500">E4637+F4613</f>
        <v>237</v>
      </c>
      <c r="G4637" s="168">
        <f>SUM(C4637,C4613,C4589,C4565,C4541,C4517,C4493,C4469,C4445,C4421,C4397,C4373,C4349,C4325)/POBLA!$B$4*100000</f>
        <v>114.48344224065433</v>
      </c>
      <c r="H4637" s="256">
        <f t="shared" si="490"/>
        <v>1.5104052573932092</v>
      </c>
      <c r="I4637" s="297">
        <f t="shared" si="498"/>
        <v>172.91639304475609</v>
      </c>
      <c r="J4637" s="297">
        <f t="shared" si="499"/>
        <v>106.85714285714286</v>
      </c>
      <c r="K4637" s="297">
        <f>J4637/POBLA!$B$4*100000</f>
        <v>8.8711918363212927</v>
      </c>
      <c r="L4637" s="549">
        <f t="shared" si="491"/>
        <v>-0.18541996830427898</v>
      </c>
      <c r="M4637" s="401">
        <f>SUM(C4637,C4613,C4589,C4565,C4541,C4517,C4493)/POBLA!$B$4*100000</f>
        <v>62.09834285424904</v>
      </c>
    </row>
    <row r="4638" spans="1:13" s="360" customFormat="1" x14ac:dyDescent="0.25">
      <c r="A4638" s="364" t="s">
        <v>29</v>
      </c>
      <c r="B4638" s="2">
        <v>44086</v>
      </c>
      <c r="C4638" s="1">
        <v>165</v>
      </c>
      <c r="D4638" s="39">
        <f t="shared" si="497"/>
        <v>1645</v>
      </c>
      <c r="E4638" s="1">
        <f>2+2</f>
        <v>4</v>
      </c>
      <c r="F4638" s="409">
        <f t="shared" si="500"/>
        <v>14</v>
      </c>
      <c r="G4638" s="168">
        <f>SUM(C4638,C4614,C4590,C4566,C4542,C4518,C4494,C4470,C4446,C4422,C4398,C4374,C4350,C4326)/POBLA!$B$5*100000</f>
        <v>135.21940438841088</v>
      </c>
      <c r="H4638" s="256">
        <f t="shared" si="490"/>
        <v>2.0217391304347827</v>
      </c>
      <c r="I4638" s="297">
        <f t="shared" si="498"/>
        <v>273.37836104613507</v>
      </c>
      <c r="J4638" s="297">
        <f t="shared" si="499"/>
        <v>66.714285714285708</v>
      </c>
      <c r="K4638" s="297">
        <f>J4638/POBLA!$B$5*100000</f>
        <v>10.777856605118258</v>
      </c>
      <c r="L4638" s="549">
        <f t="shared" si="491"/>
        <v>-0.26216216216216215</v>
      </c>
      <c r="M4638" s="401">
        <f>SUM(C4638,C4614,C4590,C4566,C4542,C4518,C4494)/POBLA!$B$5*100000</f>
        <v>75.444996235827816</v>
      </c>
    </row>
    <row r="4639" spans="1:13" s="360" customFormat="1" x14ac:dyDescent="0.25">
      <c r="A4639" s="364" t="s">
        <v>20</v>
      </c>
      <c r="B4639" s="2">
        <v>44086</v>
      </c>
      <c r="C4639" s="1">
        <v>491</v>
      </c>
      <c r="D4639" s="39">
        <f t="shared" si="497"/>
        <v>13887</v>
      </c>
      <c r="E4639" s="1">
        <f>4</f>
        <v>4</v>
      </c>
      <c r="F4639" s="409">
        <f t="shared" si="500"/>
        <v>193</v>
      </c>
      <c r="G4639" s="168">
        <f>SUM(C4639,C4615,C4591,C4567,C4543,C4519,C4495,C4471,C4447,C4423,C4399,C4375,C4351,C4327)/POBLA!$B$6*100000</f>
        <v>539.3464138593738</v>
      </c>
      <c r="H4639" s="256">
        <f t="shared" si="490"/>
        <v>1.7826599823061045</v>
      </c>
      <c r="I4639" s="297">
        <f t="shared" si="498"/>
        <v>961.47126858741217</v>
      </c>
      <c r="J4639" s="297">
        <f t="shared" si="499"/>
        <v>446</v>
      </c>
      <c r="K4639" s="297">
        <f>J4639/POBLA!$B$6*100000</f>
        <v>39.792969492354125</v>
      </c>
      <c r="L4639" s="549">
        <f t="shared" si="491"/>
        <v>-6.8080738966814991E-2</v>
      </c>
      <c r="M4639" s="401">
        <f>SUM(C4639,C4615,C4591,C4567,C4543,C4519,C4495)/POBLA!$B$6*100000</f>
        <v>278.55078644647887</v>
      </c>
    </row>
    <row r="4640" spans="1:13" s="360" customFormat="1" x14ac:dyDescent="0.25">
      <c r="A4640" s="364" t="s">
        <v>30</v>
      </c>
      <c r="B4640" s="2">
        <v>44086</v>
      </c>
      <c r="C4640" s="1">
        <v>56</v>
      </c>
      <c r="D4640" s="39">
        <f t="shared" si="497"/>
        <v>659</v>
      </c>
      <c r="E4640" s="1"/>
      <c r="F4640" s="409">
        <f t="shared" si="500"/>
        <v>6</v>
      </c>
      <c r="G4640" s="168">
        <f>SUM(C4640,C4616,C4592,C4568,C4544,C4520,C4496,C4472,C4448,C4424,C4400,C4376,C4352,C4328)/POBLA!$B$7*100000</f>
        <v>8.9882859764123975</v>
      </c>
      <c r="H4640" s="256">
        <f t="shared" si="490"/>
        <v>3.5208333333333335</v>
      </c>
      <c r="I4640" s="297">
        <f t="shared" si="498"/>
        <v>31.646256875285317</v>
      </c>
      <c r="J4640" s="297">
        <f t="shared" si="499"/>
        <v>46.285714285714285</v>
      </c>
      <c r="K4640" s="297">
        <f>J4640/POBLA!$B$7*100000</f>
        <v>1.2308557296524161</v>
      </c>
      <c r="L4640" s="549">
        <f t="shared" si="491"/>
        <v>-22.142857142857142</v>
      </c>
      <c r="M4640" s="401">
        <f>SUM(C4640,C4616,C4592,C4568,C4544,C4520,C4496)/POBLA!$B$7*100000</f>
        <v>8.6159901075669136</v>
      </c>
    </row>
    <row r="4641" spans="1:13" x14ac:dyDescent="0.25">
      <c r="A4641" s="364" t="s">
        <v>31</v>
      </c>
      <c r="B4641" s="2">
        <v>44086</v>
      </c>
      <c r="C4641" s="1">
        <v>138</v>
      </c>
      <c r="D4641" s="39">
        <f t="shared" si="497"/>
        <v>5133</v>
      </c>
      <c r="F4641" s="409">
        <f t="shared" si="500"/>
        <v>88</v>
      </c>
      <c r="G4641" s="168">
        <f>SUM(C4641,C4617,C4593,C4569,C4545,C4521,C4497,C4473,C4449,C4425,C4401,C4377,C4353,C4329)/POBLA!$B$8*100000</f>
        <v>149.49915618116239</v>
      </c>
      <c r="H4641" s="256">
        <f t="shared" si="490"/>
        <v>1.3524804177545693</v>
      </c>
      <c r="I4641" s="297">
        <f t="shared" si="498"/>
        <v>202.1946812058541</v>
      </c>
      <c r="J4641" s="297">
        <f t="shared" si="499"/>
        <v>133.14285714285714</v>
      </c>
      <c r="K4641" s="297">
        <f>J4641/POBLA!$B$8*100000</f>
        <v>9.6065370629373508</v>
      </c>
      <c r="L4641" s="549">
        <f t="shared" si="491"/>
        <v>0.18245614035087721</v>
      </c>
      <c r="M4641" s="401">
        <f>SUM(C4641,C4617,C4593,C4569,C4545,C4521,C4497)/POBLA!$B$8*100000</f>
        <v>67.245759440561457</v>
      </c>
    </row>
    <row r="4642" spans="1:13" s="360" customFormat="1" x14ac:dyDescent="0.25">
      <c r="A4642" s="364" t="s">
        <v>41</v>
      </c>
      <c r="B4642" s="2">
        <v>44086</v>
      </c>
      <c r="C4642" s="1">
        <v>-1</v>
      </c>
      <c r="D4642" s="39">
        <f t="shared" si="497"/>
        <v>95</v>
      </c>
      <c r="E4642" s="1"/>
      <c r="F4642" s="409">
        <f>E4642+F4618</f>
        <v>1</v>
      </c>
      <c r="G4642" s="168">
        <f>SUM(C4642,C4618,C4594,C4570,C4546,C4522,C4498,C4474,C4450,C4426,C4402,C4378,C4354,C4330)/POBLA!$B$9*100000</f>
        <v>1.8176019881261019</v>
      </c>
      <c r="H4642" s="256">
        <f t="shared" si="490"/>
        <v>2.2000000000000002</v>
      </c>
      <c r="I4642" s="297">
        <f t="shared" si="498"/>
        <v>3.9987243738774243</v>
      </c>
      <c r="J4642" s="297">
        <f t="shared" si="499"/>
        <v>0.8571428571428571</v>
      </c>
      <c r="K4642" s="297">
        <f>J4642/POBLA!$B$9*100000</f>
        <v>0.14163132375008586</v>
      </c>
      <c r="L4642" s="549">
        <f t="shared" si="491"/>
        <v>-0.19999999999999996</v>
      </c>
      <c r="M4642" s="401">
        <f>SUM(C4642,C4618,C4594,C4570,C4546,C4522,C4498)/POBLA!$B$9*100000</f>
        <v>0.99141926625060106</v>
      </c>
    </row>
    <row r="4643" spans="1:13" s="360" customFormat="1" x14ac:dyDescent="0.25">
      <c r="A4643" s="364" t="s">
        <v>32</v>
      </c>
      <c r="B4643" s="2">
        <v>44086</v>
      </c>
      <c r="C4643" s="1">
        <v>254</v>
      </c>
      <c r="D4643" s="39">
        <f t="shared" si="497"/>
        <v>11953</v>
      </c>
      <c r="E4643" s="1">
        <f>4+2</f>
        <v>6</v>
      </c>
      <c r="F4643" s="409">
        <f t="shared" si="500"/>
        <v>250</v>
      </c>
      <c r="G4643" s="168">
        <f>SUM(C4643,C4619,C4595,C4571,C4547,C4523,C4499,C4475,C4451,C4427,C4403,C4379,C4355,C4331)/POBLA!$B$10*100000</f>
        <v>520.31377086735824</v>
      </c>
      <c r="H4643" s="256">
        <f t="shared" si="490"/>
        <v>1.162945781385909</v>
      </c>
      <c r="I4643" s="297">
        <f t="shared" si="498"/>
        <v>605.09670482718877</v>
      </c>
      <c r="J4643" s="297">
        <f t="shared" si="499"/>
        <v>296.85714285714283</v>
      </c>
      <c r="K4643" s="297">
        <f>J4643/POBLA!$B$10*100000</f>
        <v>38.508815609301934</v>
      </c>
      <c r="L4643" s="549">
        <f t="shared" si="491"/>
        <v>-7.5012933264355874E-2</v>
      </c>
      <c r="M4643" s="401">
        <f>SUM(C4643,C4619,C4595,C4571,C4547,C4523,C4499)/POBLA!$B$10*100000</f>
        <v>269.56170926511356</v>
      </c>
    </row>
    <row r="4644" spans="1:13" s="360" customFormat="1" x14ac:dyDescent="0.25">
      <c r="A4644" s="364" t="s">
        <v>33</v>
      </c>
      <c r="B4644" s="2">
        <v>44086</v>
      </c>
      <c r="C4644" s="1">
        <v>30</v>
      </c>
      <c r="D4644" s="39">
        <f t="shared" si="497"/>
        <v>351</v>
      </c>
      <c r="E4644" s="1"/>
      <c r="F4644" s="409">
        <f t="shared" si="500"/>
        <v>4</v>
      </c>
      <c r="G4644" s="168">
        <f>SUM(C4644,C4620,C4596,C4572,C4548,C4524,C4500,C4476,C4452,C4428,C4404,C4380,C4356,C4332)/POBLA!$B$11*100000</f>
        <v>42.12840514691932</v>
      </c>
      <c r="H4644" s="256">
        <f t="shared" si="490"/>
        <v>8.882352941176471</v>
      </c>
      <c r="I4644" s="297">
        <f t="shared" si="498"/>
        <v>374.19936336381278</v>
      </c>
      <c r="J4644" s="297">
        <f t="shared" si="499"/>
        <v>17.285714285714285</v>
      </c>
      <c r="K4644" s="297">
        <f>J4644/POBLA!$B$11*100000</f>
        <v>4.822646189950083</v>
      </c>
      <c r="L4644" s="549">
        <f t="shared" si="491"/>
        <v>-3.0333333333333332</v>
      </c>
      <c r="M4644" s="401">
        <f>SUM(C4644,C4620,C4596,C4572,C4548,C4524,C4500)/POBLA!$B$11*100000</f>
        <v>33.758523329650586</v>
      </c>
    </row>
    <row r="4645" spans="1:13" s="360" customFormat="1" x14ac:dyDescent="0.25">
      <c r="A4645" s="364" t="s">
        <v>21</v>
      </c>
      <c r="B4645" s="2">
        <v>44086</v>
      </c>
      <c r="C4645" s="1">
        <v>47</v>
      </c>
      <c r="D4645" s="39">
        <f t="shared" si="497"/>
        <v>2712</v>
      </c>
      <c r="E4645" s="1"/>
      <c r="F4645" s="409">
        <f t="shared" si="500"/>
        <v>54</v>
      </c>
      <c r="G4645" s="168">
        <f>SUM(C4645,C4621,C4597,C4573,C4549,C4525,C4501,C4477,C4453,C4429,C4405,C4381,C4357,C4333)/POBLA!$B$12*100000</f>
        <v>343.55616203043724</v>
      </c>
      <c r="H4645" s="256">
        <f t="shared" si="490"/>
        <v>2.0993788819875778</v>
      </c>
      <c r="I4645" s="297">
        <f t="shared" si="498"/>
        <v>721.25455134340245</v>
      </c>
      <c r="J4645" s="297">
        <f t="shared" si="499"/>
        <v>109.57142857142857</v>
      </c>
      <c r="K4645" s="297">
        <f>J4645/POBLA!$B$12*100000</f>
        <v>27.843150494224997</v>
      </c>
      <c r="L4645" s="549">
        <f t="shared" si="491"/>
        <v>-0.31111111111111112</v>
      </c>
      <c r="M4645" s="401">
        <f>SUM(C4645,C4621,C4597,C4573,C4549,C4525,C4501)/POBLA!$B$12*100000</f>
        <v>194.90205345957497</v>
      </c>
    </row>
    <row r="4646" spans="1:13" s="360" customFormat="1" x14ac:dyDescent="0.25">
      <c r="A4646" s="364" t="s">
        <v>17</v>
      </c>
      <c r="B4646" s="2">
        <v>44086</v>
      </c>
      <c r="C4646" s="1">
        <v>718</v>
      </c>
      <c r="D4646" s="39">
        <f t="shared" si="497"/>
        <v>13778</v>
      </c>
      <c r="E4646" s="1">
        <f>2</f>
        <v>2</v>
      </c>
      <c r="F4646" s="409">
        <f t="shared" si="500"/>
        <v>148</v>
      </c>
      <c r="G4646" s="168">
        <f>SUM(C4646,C4622,C4598,C4574,C4550,C4526,C4502,C4478,C4454,C4430,C4406,C4382,C4358,C4334)/POBLA!$B$13*100000</f>
        <v>379.08134196302336</v>
      </c>
      <c r="H4646" s="256">
        <f t="shared" si="490"/>
        <v>2.4237070350144556</v>
      </c>
      <c r="I4646" s="297">
        <f t="shared" si="498"/>
        <v>918.78211535850028</v>
      </c>
      <c r="J4646" s="297">
        <f t="shared" si="499"/>
        <v>642</v>
      </c>
      <c r="K4646" s="297">
        <f>J4646/POBLA!$B$13*100000</f>
        <v>32.255827904607159</v>
      </c>
      <c r="L4646" s="549">
        <f t="shared" si="491"/>
        <v>-0.47295968534906585</v>
      </c>
      <c r="M4646" s="401">
        <f>SUM(C4646,C4622,C4598,C4574,C4550,C4526,C4502)/POBLA!$B$13*100000</f>
        <v>225.79079533225013</v>
      </c>
    </row>
    <row r="4647" spans="1:13" s="360" customFormat="1" x14ac:dyDescent="0.25">
      <c r="A4647" s="364" t="s">
        <v>23</v>
      </c>
      <c r="B4647" s="2">
        <v>44086</v>
      </c>
      <c r="C4647" s="1">
        <v>3</v>
      </c>
      <c r="D4647" s="39">
        <f t="shared" si="497"/>
        <v>68</v>
      </c>
      <c r="E4647" s="1"/>
      <c r="F4647" s="409">
        <f t="shared" si="500"/>
        <v>2</v>
      </c>
      <c r="G4647" s="168">
        <f>SUM(C4647,C4623,C4599,C4575,C4551,C4527,C4503,C4479,C4455,C4431,C4407,C4383,C4359,C4335)/POBLA!$B$14*100000</f>
        <v>0.63426925046816995</v>
      </c>
      <c r="H4647" s="256">
        <f t="shared" si="490"/>
        <v>8</v>
      </c>
      <c r="I4647" s="297">
        <f t="shared" si="498"/>
        <v>5.0741540037453596</v>
      </c>
      <c r="J4647" s="297">
        <f t="shared" si="499"/>
        <v>0.42857142857142855</v>
      </c>
      <c r="K4647" s="297">
        <f>J4647/POBLA!$B$14*100000</f>
        <v>3.3978709846509102E-2</v>
      </c>
      <c r="L4647" s="549">
        <f t="shared" si="491"/>
        <v>0.4</v>
      </c>
      <c r="M4647" s="401">
        <f>SUM(C4647,C4623,C4599,C4575,C4551,C4527,C4503)/POBLA!$B$14*100000</f>
        <v>0.23785096892556376</v>
      </c>
    </row>
    <row r="4648" spans="1:13" s="360" customFormat="1" x14ac:dyDescent="0.25">
      <c r="A4648" s="364" t="s">
        <v>19</v>
      </c>
      <c r="B4648" s="2">
        <v>44086</v>
      </c>
      <c r="C4648" s="1">
        <v>67</v>
      </c>
      <c r="D4648" s="39">
        <f>C4648+D4624</f>
        <v>4526</v>
      </c>
      <c r="E4648" s="1"/>
      <c r="F4648" s="409">
        <f t="shared" si="500"/>
        <v>46</v>
      </c>
      <c r="G4648" s="168">
        <f>SUM(C4648,C4624,C4600,C4576,C4552,C4528,C4504,C4480,C4456,C4432,C4408,C4384,C4360,C4336)/POBLA!$B$15*100000</f>
        <v>253.14092013185612</v>
      </c>
      <c r="H4648" s="256">
        <f t="shared" si="490"/>
        <v>1.6194605009633911</v>
      </c>
      <c r="I4648" s="297">
        <f t="shared" si="498"/>
        <v>409.95172133106951</v>
      </c>
      <c r="J4648" s="297">
        <f t="shared" si="499"/>
        <v>126.28571428571429</v>
      </c>
      <c r="K4648" s="297">
        <f>J4648/POBLA!$B$15*100000</f>
        <v>19.017300365136471</v>
      </c>
      <c r="L4648" s="549">
        <f t="shared" si="491"/>
        <v>-0.10915934755332501</v>
      </c>
      <c r="M4648" s="401">
        <f>SUM(C4648,C4624,C4600,C4576,C4552,C4528,C4504)/POBLA!$B$15*100000</f>
        <v>133.12110255595528</v>
      </c>
    </row>
    <row r="4649" spans="1:13" s="360" customFormat="1" x14ac:dyDescent="0.25">
      <c r="A4649" s="364" t="s">
        <v>18</v>
      </c>
      <c r="B4649" s="2">
        <v>44086</v>
      </c>
      <c r="C4649" s="1">
        <v>229</v>
      </c>
      <c r="D4649" s="39">
        <f>C4649+D4625</f>
        <v>8589</v>
      </c>
      <c r="E4649" s="1"/>
      <c r="F4649" s="409">
        <f t="shared" si="500"/>
        <v>151</v>
      </c>
      <c r="G4649" s="168">
        <f>SUM(C4649,C4625,C4601,C4577,C4553,C4529,C4505,C4481,C4457,C4433,C4409,C4385,C4361,C4337)/POBLA!$B$16*100000</f>
        <v>375.86442128917486</v>
      </c>
      <c r="H4649" s="256">
        <f t="shared" si="490"/>
        <v>1.3973147687717553</v>
      </c>
      <c r="I4649" s="297">
        <f t="shared" si="498"/>
        <v>525.20090692321298</v>
      </c>
      <c r="J4649" s="297">
        <f t="shared" si="499"/>
        <v>236</v>
      </c>
      <c r="K4649" s="297">
        <f>J4649/POBLA!$B$16*100000</f>
        <v>31.567261005069486</v>
      </c>
      <c r="L4649" s="549">
        <f t="shared" si="491"/>
        <v>-0.42659758203799658</v>
      </c>
      <c r="M4649" s="401">
        <f>SUM(C4649,C4625,C4601,C4577,C4553,C4529,C4505)/POBLA!$B$16*100000</f>
        <v>220.97082703548642</v>
      </c>
    </row>
    <row r="4650" spans="1:13" s="360" customFormat="1" x14ac:dyDescent="0.25">
      <c r="A4650" s="364" t="s">
        <v>34</v>
      </c>
      <c r="B4650" s="2">
        <v>44086</v>
      </c>
      <c r="C4650" s="1">
        <v>266</v>
      </c>
      <c r="D4650" s="39">
        <f>C4650+D4626</f>
        <v>6425</v>
      </c>
      <c r="E4650" s="1">
        <f>2</f>
        <v>2</v>
      </c>
      <c r="F4650" s="409">
        <f>E4650+F4626</f>
        <v>87</v>
      </c>
      <c r="G4650" s="168">
        <f>SUM(C4650,C4626,C4602,C4578,C4554,C4530,C4506,C4482,C4458,C4434,C4410,C4386,C4362,C4338)/POBLA!$B$17*100000</f>
        <v>246.70088465505052</v>
      </c>
      <c r="H4650" s="256">
        <f t="shared" si="490"/>
        <v>1.8349869451697127</v>
      </c>
      <c r="I4650" s="297">
        <f t="shared" si="498"/>
        <v>452.69290270383681</v>
      </c>
      <c r="J4650" s="297">
        <f t="shared" si="499"/>
        <v>278.42857142857144</v>
      </c>
      <c r="K4650" s="297">
        <f>J4650/POBLA!$B$17*100000</f>
        <v>19.547118635364399</v>
      </c>
      <c r="L4650" s="549">
        <f t="shared" si="491"/>
        <v>-0.24536741214057511</v>
      </c>
      <c r="M4650" s="401">
        <f>SUM(C4650,C4626,C4602,C4578,C4554,C4530,C4506)/POBLA!$B$17*100000</f>
        <v>136.82983044755079</v>
      </c>
    </row>
    <row r="4651" spans="1:13" s="360" customFormat="1" x14ac:dyDescent="0.25">
      <c r="A4651" s="364" t="s">
        <v>35</v>
      </c>
      <c r="B4651" s="2">
        <v>44086</v>
      </c>
      <c r="C4651" s="1">
        <v>23</v>
      </c>
      <c r="D4651" s="39">
        <f t="shared" ref="D4651:D4657" si="501">C4651+D4627</f>
        <v>422</v>
      </c>
      <c r="E4651" s="1">
        <f>2+3</f>
        <v>5</v>
      </c>
      <c r="F4651" s="409">
        <f>E4651+F4627</f>
        <v>12</v>
      </c>
      <c r="G4651" s="168">
        <f>SUM(C4651,C4627,C4603,C4579,C4555,C4531,C4507,C4483,C4459,C4435,C4411,C4387,C4363,C4339)/POBLA!$B$18*100000</f>
        <v>27.649167900852131</v>
      </c>
      <c r="H4651" s="256">
        <f t="shared" si="490"/>
        <v>1.173913043478261</v>
      </c>
      <c r="I4651" s="297">
        <f t="shared" si="498"/>
        <v>32.457718840130767</v>
      </c>
      <c r="J4651" s="297">
        <f t="shared" si="499"/>
        <v>7</v>
      </c>
      <c r="K4651" s="297">
        <f>J4651/POBLA!$B$18*100000</f>
        <v>0.89603784863872649</v>
      </c>
      <c r="L4651" s="549">
        <f t="shared" si="491"/>
        <v>0.70658682634730541</v>
      </c>
      <c r="M4651" s="401">
        <f>SUM(C4651,C4627,C4603,C4579,C4555,C4531,C4507)/POBLA!$B$18*100000</f>
        <v>6.2722649404710857</v>
      </c>
    </row>
    <row r="4652" spans="1:13" s="360" customFormat="1" x14ac:dyDescent="0.25">
      <c r="A4652" s="364" t="s">
        <v>36</v>
      </c>
      <c r="B4652" s="2">
        <v>44086</v>
      </c>
      <c r="C4652" s="1">
        <v>3</v>
      </c>
      <c r="D4652" s="39">
        <f t="shared" si="501"/>
        <v>382</v>
      </c>
      <c r="E4652" s="1"/>
      <c r="F4652" s="409">
        <f t="shared" si="500"/>
        <v>0</v>
      </c>
      <c r="G4652" s="168">
        <f>SUM(C4652,C4628,C4604,C4580,C4556,C4532,C4508,C4484,C4460,C4436,C4412,C4388,C4364,C4340)/POBLA!$B$19*100000</f>
        <v>58.230119135676176</v>
      </c>
      <c r="H4652" s="256">
        <f t="shared" si="490"/>
        <v>5.6923076923076925</v>
      </c>
      <c r="I4652" s="297">
        <f t="shared" si="498"/>
        <v>331.46375508000284</v>
      </c>
      <c r="J4652" s="297">
        <f t="shared" si="499"/>
        <v>19.571428571428573</v>
      </c>
      <c r="K4652" s="297">
        <f>J4652/POBLA!$B$19*100000</f>
        <v>3.8501574911137242</v>
      </c>
      <c r="L4652" s="549">
        <f t="shared" si="491"/>
        <v>0.13836477987421381</v>
      </c>
      <c r="M4652" s="401">
        <f>SUM(C4652,C4628,C4604,C4580,C4556,C4532,C4508)/POBLA!$B$19*100000</f>
        <v>26.95110243779607</v>
      </c>
    </row>
    <row r="4653" spans="1:13" s="360" customFormat="1" x14ac:dyDescent="0.25">
      <c r="A4653" s="364" t="s">
        <v>37</v>
      </c>
      <c r="B4653" s="2">
        <v>44086</v>
      </c>
      <c r="C4653" s="1">
        <v>114</v>
      </c>
      <c r="D4653" s="39">
        <f t="shared" si="501"/>
        <v>2876</v>
      </c>
      <c r="E4653" s="1"/>
      <c r="F4653" s="409">
        <f>E4653+F4629</f>
        <v>21</v>
      </c>
      <c r="G4653" s="168">
        <f>SUM(C4653,C4629,C4605,C4581,C4557,C4533,C4509,C4485,C4461,C4437,C4413,C4389,C4365,C4341)/POBLA!$B$20*100000</f>
        <v>335.2493040705719</v>
      </c>
      <c r="H4653" s="256">
        <f t="shared" si="490"/>
        <v>1.8632218844984803</v>
      </c>
      <c r="I4653" s="297">
        <f t="shared" si="498"/>
        <v>624.64384010717504</v>
      </c>
      <c r="J4653" s="297">
        <f t="shared" si="499"/>
        <v>101.28571428571429</v>
      </c>
      <c r="K4653" s="297">
        <f>J4653/POBLA!$B$20*100000</f>
        <v>27.696545861807913</v>
      </c>
      <c r="L4653" s="549">
        <f t="shared" si="491"/>
        <v>-0.37137330754352038</v>
      </c>
      <c r="M4653" s="401">
        <f>SUM(C4653,C4629,C4605,C4581,C4557,C4533,C4509)/POBLA!$B$20*100000</f>
        <v>193.87582103265535</v>
      </c>
    </row>
    <row r="4654" spans="1:13" s="360" customFormat="1" x14ac:dyDescent="0.25">
      <c r="A4654" s="364" t="s">
        <v>22</v>
      </c>
      <c r="B4654" s="2">
        <v>44086</v>
      </c>
      <c r="C4654" s="1">
        <v>889</v>
      </c>
      <c r="D4654" s="39">
        <f t="shared" si="501"/>
        <v>17562</v>
      </c>
      <c r="E4654" s="1">
        <f>2+3+2</f>
        <v>7</v>
      </c>
      <c r="F4654" s="409">
        <f>E4654+F4630</f>
        <v>194</v>
      </c>
      <c r="G4654" s="168">
        <f>SUM(C4654,C4630,C4606,C4582,C4558,C4534,C4510,C4486,C4462,C4438,C4414,C4390,C4366,C4342)/POBLA!$B$21*100000</f>
        <v>294.50704074009354</v>
      </c>
      <c r="H4654" s="256">
        <f t="shared" si="490"/>
        <v>2.5946686596910813</v>
      </c>
      <c r="I4654" s="297">
        <f t="shared" si="498"/>
        <v>764.1481886666852</v>
      </c>
      <c r="J4654" s="297">
        <f t="shared" si="499"/>
        <v>865.42857142857144</v>
      </c>
      <c r="K4654" s="297">
        <f>J4654/POBLA!$B$21*100000</f>
        <v>24.471897027686531</v>
      </c>
      <c r="L4654" s="549">
        <f t="shared" si="491"/>
        <v>-0.39040624282763359</v>
      </c>
      <c r="M4654" s="401">
        <f>SUM(C4654,C4630,C4606,C4582,C4558,C4534,C4510)/POBLA!$B$21*100000</f>
        <v>171.30327919380571</v>
      </c>
    </row>
    <row r="4655" spans="1:13" s="360" customFormat="1" x14ac:dyDescent="0.25">
      <c r="A4655" s="364" t="s">
        <v>38</v>
      </c>
      <c r="B4655" s="2">
        <v>44086</v>
      </c>
      <c r="C4655" s="1">
        <v>112</v>
      </c>
      <c r="D4655" s="39">
        <f t="shared" si="501"/>
        <v>1753</v>
      </c>
      <c r="E4655" s="1"/>
      <c r="F4655" s="409">
        <f t="shared" si="500"/>
        <v>25</v>
      </c>
      <c r="G4655" s="168">
        <f>SUM(C4655,C4631,C4607,C4583,C4559,C4535,C4511,C4487,C4463,C4439,C4415,C4391,C4367,C4343)/POBLA!$B$22*100000</f>
        <v>93.221698985907381</v>
      </c>
      <c r="H4655" s="256">
        <f t="shared" si="490"/>
        <v>1.5405405405405406</v>
      </c>
      <c r="I4655" s="297">
        <f t="shared" si="498"/>
        <v>143.61180654585732</v>
      </c>
      <c r="J4655" s="297">
        <f t="shared" si="499"/>
        <v>76.285714285714292</v>
      </c>
      <c r="K4655" s="297">
        <f>J4655/POBLA!$B$22*100000</f>
        <v>7.7976797084076663</v>
      </c>
      <c r="L4655" s="549">
        <f t="shared" si="491"/>
        <v>-0.41269841269841279</v>
      </c>
      <c r="M4655" s="401">
        <f>SUM(C4655,C4631,C4607,C4583,C4559,C4535,C4511)/POBLA!$B$22*100000</f>
        <v>54.583757958853667</v>
      </c>
    </row>
    <row r="4656" spans="1:13" s="360" customFormat="1" x14ac:dyDescent="0.25">
      <c r="A4656" s="364" t="s">
        <v>39</v>
      </c>
      <c r="B4656" s="2">
        <v>44086</v>
      </c>
      <c r="C4656" s="1">
        <v>48</v>
      </c>
      <c r="D4656" s="39">
        <f t="shared" si="501"/>
        <v>2683</v>
      </c>
      <c r="E4656" s="1">
        <f>1+1+1</f>
        <v>3</v>
      </c>
      <c r="F4656" s="409">
        <f>E4656+F4632</f>
        <v>44</v>
      </c>
      <c r="G4656" s="168">
        <f>SUM(C4656,C4632,C4608,C4584,C4560,C4536,C4512,C4488,C4464,C4440,C4416,C4392,C4368,C4344)/POBLA!$B$23*100000</f>
        <v>418.48102697506079</v>
      </c>
      <c r="H4656" s="256">
        <f t="shared" si="490"/>
        <v>1.2736660929432013</v>
      </c>
      <c r="I4656" s="297">
        <f t="shared" si="498"/>
        <v>533.00509459818409</v>
      </c>
      <c r="J4656" s="297">
        <f t="shared" si="499"/>
        <v>55.285714285714285</v>
      </c>
      <c r="K4656" s="297">
        <f>J4656/POBLA!$B$23*100000</f>
        <v>31.264895258561488</v>
      </c>
      <c r="L4656" s="549">
        <f t="shared" si="491"/>
        <v>-9.6317280453257714E-2</v>
      </c>
      <c r="M4656" s="401">
        <f>SUM(C4656,C4632,C4608,C4584,C4560,C4536,C4512)/POBLA!$B$23*100000</f>
        <v>218.85426680993046</v>
      </c>
    </row>
    <row r="4657" spans="1:13" s="360" customFormat="1" ht="15.75" thickBot="1" x14ac:dyDescent="0.3">
      <c r="A4657" s="366" t="s">
        <v>40</v>
      </c>
      <c r="B4657" s="266">
        <v>44086</v>
      </c>
      <c r="C4657" s="44">
        <v>154</v>
      </c>
      <c r="D4657" s="176">
        <f t="shared" si="501"/>
        <v>6045</v>
      </c>
      <c r="E4657" s="44">
        <f>1</f>
        <v>1</v>
      </c>
      <c r="F4657" s="476">
        <f>E4657+F4633</f>
        <v>19</v>
      </c>
      <c r="G4657" s="177">
        <f>SUM(C4657,C4633,C4609,C4585,C4561,C4537,C4513,C4489,C4465,C4441,C4417,C4393,C4369,C4345)/POBLA!$B$24*100000</f>
        <v>248.90007175497564</v>
      </c>
      <c r="H4657" s="402">
        <f t="shared" si="490"/>
        <v>3.334387351778656</v>
      </c>
      <c r="I4657" s="403">
        <f t="shared" si="498"/>
        <v>829.92925111659065</v>
      </c>
      <c r="J4657" s="403">
        <f t="shared" si="499"/>
        <v>336.14285714285717</v>
      </c>
      <c r="K4657" s="403">
        <f>J4657/POBLA!$B$24*100000</f>
        <v>19.83546260378845</v>
      </c>
      <c r="L4657" s="550">
        <f t="shared" si="491"/>
        <v>-0.26166219839142091</v>
      </c>
      <c r="M4657" s="405">
        <f>SUM(C4657,C4633,C4609,C4585,C4561,C4537,C4513)/POBLA!$B$24*100000</f>
        <v>138.84823822651913</v>
      </c>
    </row>
    <row r="4658" spans="1:13" s="360" customFormat="1" x14ac:dyDescent="0.25">
      <c r="A4658" s="363" t="s">
        <v>16</v>
      </c>
      <c r="B4658" s="267">
        <v>44087</v>
      </c>
      <c r="C4658" s="225">
        <v>3689</v>
      </c>
      <c r="D4658" s="174">
        <f>C4658+D4634</f>
        <v>331789</v>
      </c>
      <c r="E4658" s="225">
        <f>11+3+11+13</f>
        <v>38</v>
      </c>
      <c r="F4658" s="475">
        <f>E4658+F4634</f>
        <v>6775</v>
      </c>
      <c r="G4658" s="175">
        <f>SUM(C4658,C4634,C4610,C4586,C4562,C4538,C4514,C4490,C4466,C4442,C4418,C4394,C4370,C4346)/POBLA!$B$1*100000</f>
        <v>445.44992825723256</v>
      </c>
      <c r="H4658" s="300">
        <f t="shared" si="490"/>
        <v>1.1073994812851655</v>
      </c>
      <c r="I4658" s="301">
        <f>G4658*H4658</f>
        <v>493.29101949057355</v>
      </c>
      <c r="J4658" s="301">
        <f>AVERAGE(C4658,C4634,C4610,C4586,C4562,C4538,C4514)</f>
        <v>5620.4285714285716</v>
      </c>
      <c r="K4658" s="301">
        <f>J4658/POBLA!$B$1*100000</f>
        <v>32.041408089864689</v>
      </c>
      <c r="L4658" s="548">
        <f t="shared" si="491"/>
        <v>-1.4151672939114235E-2</v>
      </c>
      <c r="M4658" s="400">
        <f>SUM(C4658,C4634,C4610,C4586,C4562,C4538,C4514)/POBLA!$B$1*100000</f>
        <v>224.28985662905279</v>
      </c>
    </row>
    <row r="4659" spans="1:13" s="360" customFormat="1" x14ac:dyDescent="0.25">
      <c r="A4659" s="364" t="s">
        <v>43</v>
      </c>
      <c r="B4659" s="267">
        <v>44087</v>
      </c>
      <c r="C4659" s="1">
        <v>843</v>
      </c>
      <c r="D4659" s="39">
        <f t="shared" ref="D4659:D4671" si="502">C4659+D4635</f>
        <v>110900</v>
      </c>
      <c r="E4659" s="1">
        <f>6+7+4+2</f>
        <v>19</v>
      </c>
      <c r="F4659" s="409">
        <f>E4659+F4635</f>
        <v>2712</v>
      </c>
      <c r="G4659" s="168">
        <f>SUM(C4659,C4635,C4611,C4587,C4563,C4539,C4515,C4491,C4467,C4443,C4419,C4395,C4371,C4347)/POBLA!$B$2*100000</f>
        <v>542.42263251362476</v>
      </c>
      <c r="H4659" s="256">
        <f t="shared" si="490"/>
        <v>0.99742915221810358</v>
      </c>
      <c r="I4659" s="297">
        <f t="shared" ref="I4659:I4681" si="503">G4659*H4659</f>
        <v>541.02814649197671</v>
      </c>
      <c r="J4659" s="297">
        <f t="shared" ref="J4659:J4681" si="504">AVERAGE(C4659,C4635,C4611,C4587,C4563,C4539,C4515)</f>
        <v>1140</v>
      </c>
      <c r="K4659" s="297">
        <f>J4659/POBLA!$B$2*100000</f>
        <v>37.065383987624067</v>
      </c>
      <c r="L4659" s="549">
        <f t="shared" si="491"/>
        <v>8.3074801792485387E-2</v>
      </c>
      <c r="M4659" s="401">
        <f>SUM(C4659,C4635,C4611,C4587,C4563,C4539,C4515)/POBLA!$B$2*100000</f>
        <v>259.45768791336849</v>
      </c>
    </row>
    <row r="4660" spans="1:13" s="360" customFormat="1" x14ac:dyDescent="0.25">
      <c r="A4660" s="364" t="s">
        <v>28</v>
      </c>
      <c r="B4660" s="267">
        <v>44087</v>
      </c>
      <c r="C4660" s="1">
        <v>4</v>
      </c>
      <c r="D4660" s="39">
        <f t="shared" si="502"/>
        <v>124</v>
      </c>
      <c r="E4660" s="1"/>
      <c r="F4660" s="409">
        <f>E4660+F4636</f>
        <v>0</v>
      </c>
      <c r="G4660" s="168">
        <f>SUM(C4660,C4636,C4612,C4588,C4564,C4540,C4516,C4492,C4468,C4444,C4420,C4396,C4372,C4348)/POBLA!$B$3*100000</f>
        <v>14.201878499318791</v>
      </c>
      <c r="H4660" s="256">
        <f t="shared" si="490"/>
        <v>29.5</v>
      </c>
      <c r="I4660" s="297">
        <f t="shared" si="503"/>
        <v>418.95541572990436</v>
      </c>
      <c r="J4660" s="297">
        <f t="shared" si="504"/>
        <v>5.4285714285714288</v>
      </c>
      <c r="K4660" s="297">
        <f>J4660/POBLA!$B$3*100000</f>
        <v>1.3067103703973706</v>
      </c>
      <c r="L4660" s="549">
        <f t="shared" si="491"/>
        <v>-0.80952380952380953</v>
      </c>
      <c r="M4660" s="401">
        <f>SUM(C4660,C4636,C4612,C4588,C4564,C4540,C4516)/POBLA!$B$3*100000</f>
        <v>9.1469725927815944</v>
      </c>
    </row>
    <row r="4661" spans="1:13" s="360" customFormat="1" x14ac:dyDescent="0.25">
      <c r="A4661" s="364" t="s">
        <v>15</v>
      </c>
      <c r="B4661" s="267">
        <v>44087</v>
      </c>
      <c r="C4661" s="1">
        <v>91</v>
      </c>
      <c r="D4661" s="39">
        <f t="shared" si="502"/>
        <v>6751</v>
      </c>
      <c r="E4661" s="1">
        <f>2</f>
        <v>2</v>
      </c>
      <c r="F4661" s="409">
        <f t="shared" ref="F4661:F4679" si="505">E4661+F4637</f>
        <v>239</v>
      </c>
      <c r="G4661" s="168">
        <f>SUM(C4661,C4637,C4613,C4589,C4565,C4541,C4517,C4493,C4469,C4445,C4421,C4397,C4373,C4349)/POBLA!$B$4*100000</f>
        <v>116.97401748881938</v>
      </c>
      <c r="H4661" s="256">
        <f t="shared" si="490"/>
        <v>1.555187637969095</v>
      </c>
      <c r="I4661" s="297">
        <f t="shared" si="503"/>
        <v>181.91654596219263</v>
      </c>
      <c r="J4661" s="297">
        <f t="shared" si="504"/>
        <v>105.28571428571429</v>
      </c>
      <c r="K4661" s="297">
        <f>J4661/POBLA!$B$4*100000</f>
        <v>8.7407331328459801</v>
      </c>
      <c r="L4661" s="549">
        <f t="shared" si="491"/>
        <v>-9.6726190476190466E-2</v>
      </c>
      <c r="M4661" s="401">
        <f>SUM(C4661,C4637,C4613,C4589,C4565,C4541,C4517)/POBLA!$B$4*100000</f>
        <v>61.185131929921852</v>
      </c>
    </row>
    <row r="4662" spans="1:13" s="360" customFormat="1" x14ac:dyDescent="0.25">
      <c r="A4662" s="364" t="s">
        <v>29</v>
      </c>
      <c r="B4662" s="267">
        <v>44087</v>
      </c>
      <c r="C4662" s="1">
        <v>73</v>
      </c>
      <c r="D4662" s="39">
        <f t="shared" si="502"/>
        <v>1718</v>
      </c>
      <c r="E4662" s="1"/>
      <c r="F4662" s="409">
        <f t="shared" si="505"/>
        <v>14</v>
      </c>
      <c r="G4662" s="168">
        <f>SUM(C4662,C4638,C4614,C4590,C4566,C4542,C4518,C4494,C4470,C4446,C4422,C4398,C4374,C4350)/POBLA!$B$5*100000</f>
        <v>145.07410411086374</v>
      </c>
      <c r="H4662" s="256">
        <f t="shared" si="490"/>
        <v>2.1534772182254196</v>
      </c>
      <c r="I4662" s="297">
        <f t="shared" si="503"/>
        <v>312.41377815720779</v>
      </c>
      <c r="J4662" s="297">
        <f t="shared" si="504"/>
        <v>71.571428571428569</v>
      </c>
      <c r="K4662" s="297">
        <f>J4662/POBLA!$B$5*100000</f>
        <v>11.562539955383828</v>
      </c>
      <c r="L4662" s="549">
        <f t="shared" si="491"/>
        <v>-0.26196473551637278</v>
      </c>
      <c r="M4662" s="401">
        <f>SUM(C4662,C4638,C4614,C4590,C4566,C4542,C4518)/POBLA!$B$5*100000</f>
        <v>80.937779687686799</v>
      </c>
    </row>
    <row r="4663" spans="1:13" s="360" customFormat="1" x14ac:dyDescent="0.25">
      <c r="A4663" s="364" t="s">
        <v>20</v>
      </c>
      <c r="B4663" s="267">
        <v>44087</v>
      </c>
      <c r="C4663" s="1">
        <v>552</v>
      </c>
      <c r="D4663" s="39">
        <f t="shared" si="502"/>
        <v>14439</v>
      </c>
      <c r="E4663" s="1">
        <f>3+1</f>
        <v>4</v>
      </c>
      <c r="F4663" s="409">
        <f t="shared" si="505"/>
        <v>197</v>
      </c>
      <c r="G4663" s="168">
        <f>SUM(C4663,C4639,C4615,C4591,C4567,C4543,C4519,C4495,C4471,C4447,C4423,C4399,C4375,C4351)/POBLA!$B$6*100000</f>
        <v>562.54410907913177</v>
      </c>
      <c r="H4663" s="256">
        <f t="shared" si="490"/>
        <v>1.780067758328628</v>
      </c>
      <c r="I4663" s="297">
        <f t="shared" si="503"/>
        <v>1001.3666312094653</v>
      </c>
      <c r="J4663" s="297">
        <f t="shared" si="504"/>
        <v>469.57142857142856</v>
      </c>
      <c r="K4663" s="297">
        <f>J4663/POBLA!$B$6*100000</f>
        <v>41.896057245793727</v>
      </c>
      <c r="L4663" s="549">
        <f t="shared" si="491"/>
        <v>-8.913187541418166E-2</v>
      </c>
      <c r="M4663" s="401">
        <f>SUM(C4663,C4639,C4615,C4591,C4567,C4543,C4519)/POBLA!$B$6*100000</f>
        <v>293.27240072055611</v>
      </c>
    </row>
    <row r="4664" spans="1:13" s="360" customFormat="1" x14ac:dyDescent="0.25">
      <c r="A4664" s="364" t="s">
        <v>30</v>
      </c>
      <c r="B4664" s="267">
        <v>44087</v>
      </c>
      <c r="C4664" s="1">
        <v>1</v>
      </c>
      <c r="D4664" s="39">
        <f t="shared" si="502"/>
        <v>660</v>
      </c>
      <c r="E4664" s="1"/>
      <c r="F4664" s="409">
        <f t="shared" si="505"/>
        <v>6</v>
      </c>
      <c r="G4664" s="168">
        <f>SUM(C4664,C4640,C4616,C4592,C4568,C4544,C4520,C4496,C4472,C4448,C4424,C4400,C4376,C4352)/POBLA!$B$7*100000</f>
        <v>9.1212487867143555</v>
      </c>
      <c r="H4664" s="256">
        <f t="shared" si="490"/>
        <v>3.8539325842696628</v>
      </c>
      <c r="I4664" s="297">
        <f t="shared" si="503"/>
        <v>35.152677908348579</v>
      </c>
      <c r="J4664" s="297">
        <f t="shared" si="504"/>
        <v>45</v>
      </c>
      <c r="K4664" s="297">
        <f>J4664/POBLA!$B$7*100000</f>
        <v>1.1966652927176269</v>
      </c>
      <c r="L4664" s="549">
        <f t="shared" si="491"/>
        <v>-10.25</v>
      </c>
      <c r="M4664" s="401">
        <f>SUM(C4664,C4640,C4616,C4592,C4568,C4544,C4520)/POBLA!$B$7*100000</f>
        <v>8.3766570490233878</v>
      </c>
    </row>
    <row r="4665" spans="1:13" x14ac:dyDescent="0.25">
      <c r="A4665" s="364" t="s">
        <v>31</v>
      </c>
      <c r="B4665" s="267">
        <v>44087</v>
      </c>
      <c r="C4665" s="1">
        <v>105</v>
      </c>
      <c r="D4665" s="39">
        <f t="shared" si="502"/>
        <v>5238</v>
      </c>
      <c r="E4665" s="1">
        <f>1</f>
        <v>1</v>
      </c>
      <c r="F4665" s="409">
        <f t="shared" si="505"/>
        <v>89</v>
      </c>
      <c r="G4665" s="168">
        <f>SUM(C4665,C4641,C4617,C4593,C4569,C4545,C4521,C4497,C4473,C4449,C4425,C4401,C4377,C4353)/POBLA!$B$8*100000</f>
        <v>149.1383956691422</v>
      </c>
      <c r="H4665" s="256">
        <f t="shared" si="490"/>
        <v>1.3422077922077922</v>
      </c>
      <c r="I4665" s="297">
        <f t="shared" si="503"/>
        <v>200.17471678449149</v>
      </c>
      <c r="J4665" s="297">
        <f t="shared" si="504"/>
        <v>135</v>
      </c>
      <c r="K4665" s="297">
        <f>J4665/POBLA!$B$8*100000</f>
        <v>9.7405338245448458</v>
      </c>
      <c r="L4665" s="549">
        <f t="shared" si="491"/>
        <v>0.15775401069518713</v>
      </c>
      <c r="M4665" s="401">
        <f>SUM(C4665,C4641,C4617,C4593,C4569,C4545,C4521)/POBLA!$B$8*100000</f>
        <v>68.183736771813926</v>
      </c>
    </row>
    <row r="4666" spans="1:13" s="360" customFormat="1" x14ac:dyDescent="0.25">
      <c r="A4666" s="364" t="s">
        <v>41</v>
      </c>
      <c r="B4666" s="267">
        <v>44087</v>
      </c>
      <c r="C4666" s="1">
        <v>-1</v>
      </c>
      <c r="D4666" s="39">
        <f t="shared" si="502"/>
        <v>94</v>
      </c>
      <c r="E4666" s="1"/>
      <c r="F4666" s="409">
        <f>E4666+F4642</f>
        <v>1</v>
      </c>
      <c r="G4666" s="168">
        <f>SUM(C4666,C4642,C4618,C4594,C4570,C4546,C4522,C4498,C4474,C4450,C4426,C4402,C4378,C4354)/POBLA!$B$9*100000</f>
        <v>1.8176019881261019</v>
      </c>
      <c r="H4666" s="256">
        <f t="shared" si="490"/>
        <v>3.6666666666666665</v>
      </c>
      <c r="I4666" s="297">
        <f t="shared" si="503"/>
        <v>6.6645406231290396</v>
      </c>
      <c r="J4666" s="297">
        <f t="shared" si="504"/>
        <v>0.5714285714285714</v>
      </c>
      <c r="K4666" s="297">
        <f>J4666/POBLA!$B$9*100000</f>
        <v>9.4420882500057243E-2</v>
      </c>
      <c r="L4666" s="549">
        <f t="shared" si="491"/>
        <v>0.4285714285714286</v>
      </c>
      <c r="M4666" s="401">
        <f>SUM(C4666,C4642,C4618,C4594,C4570,C4546,C4522)/POBLA!$B$9*100000</f>
        <v>0.66094617750040074</v>
      </c>
    </row>
    <row r="4667" spans="1:13" s="360" customFormat="1" x14ac:dyDescent="0.25">
      <c r="A4667" s="364" t="s">
        <v>32</v>
      </c>
      <c r="B4667" s="267">
        <v>44087</v>
      </c>
      <c r="C4667" s="1">
        <v>169</v>
      </c>
      <c r="D4667" s="39">
        <f t="shared" si="502"/>
        <v>12122</v>
      </c>
      <c r="E4667" s="1">
        <f>3+2+1</f>
        <v>6</v>
      </c>
      <c r="F4667" s="409">
        <f t="shared" si="505"/>
        <v>256</v>
      </c>
      <c r="G4667" s="168">
        <f>SUM(C4667,C4643,C4619,C4595,C4571,C4547,C4523,C4499,C4475,C4451,C4427,C4403,C4379,C4355)/POBLA!$B$10*100000</f>
        <v>522.90820502775398</v>
      </c>
      <c r="H4667" s="256">
        <f t="shared" si="490"/>
        <v>1.2119663259170175</v>
      </c>
      <c r="I4667" s="297">
        <f t="shared" si="503"/>
        <v>633.74713603934947</v>
      </c>
      <c r="J4667" s="297">
        <f t="shared" si="504"/>
        <v>285.28571428571428</v>
      </c>
      <c r="K4667" s="297">
        <f>J4667/POBLA!$B$10*100000</f>
        <v>37.007750130787279</v>
      </c>
      <c r="L4667" s="549">
        <f t="shared" si="491"/>
        <v>1.8190757128810242E-2</v>
      </c>
      <c r="M4667" s="401">
        <f>SUM(C4667,C4643,C4619,C4595,C4571,C4547,C4523)/POBLA!$B$10*100000</f>
        <v>259.05425091551098</v>
      </c>
    </row>
    <row r="4668" spans="1:13" s="360" customFormat="1" x14ac:dyDescent="0.25">
      <c r="A4668" s="364" t="s">
        <v>33</v>
      </c>
      <c r="B4668" s="267">
        <v>44087</v>
      </c>
      <c r="C4668" s="1">
        <v>46</v>
      </c>
      <c r="D4668" s="39">
        <f t="shared" si="502"/>
        <v>397</v>
      </c>
      <c r="E4668" s="1"/>
      <c r="F4668" s="409">
        <f t="shared" si="505"/>
        <v>4</v>
      </c>
      <c r="G4668" s="168">
        <f>SUM(C4668,C4644,C4620,C4596,C4572,C4548,C4524,C4500,C4476,C4452,C4428,C4404,C4380,C4356)/POBLA!$B$11*100000</f>
        <v>54.962223933398064</v>
      </c>
      <c r="H4668" s="256">
        <f t="shared" si="490"/>
        <v>12.3125</v>
      </c>
      <c r="I4668" s="297">
        <f t="shared" si="503"/>
        <v>676.72238217996369</v>
      </c>
      <c r="J4668" s="297">
        <f t="shared" si="504"/>
        <v>23.285714285714285</v>
      </c>
      <c r="K4668" s="297">
        <f>J4668/POBLA!$B$11*100000</f>
        <v>6.4966225534038315</v>
      </c>
      <c r="L4668" s="549">
        <f t="shared" si="491"/>
        <v>-3.7941176470588234</v>
      </c>
      <c r="M4668" s="401">
        <f>SUM(C4668,C4644,C4620,C4596,C4572,C4548,C4524)/POBLA!$B$11*100000</f>
        <v>45.476357873826821</v>
      </c>
    </row>
    <row r="4669" spans="1:13" s="360" customFormat="1" x14ac:dyDescent="0.25">
      <c r="A4669" s="364" t="s">
        <v>21</v>
      </c>
      <c r="B4669" s="267">
        <v>44087</v>
      </c>
      <c r="C4669" s="1">
        <v>96</v>
      </c>
      <c r="D4669" s="39">
        <f t="shared" si="502"/>
        <v>2808</v>
      </c>
      <c r="E4669" s="1">
        <f>1+3</f>
        <v>4</v>
      </c>
      <c r="F4669" s="409">
        <f t="shared" si="505"/>
        <v>58</v>
      </c>
      <c r="G4669" s="168">
        <f>SUM(C4669,C4645,C4621,C4597,C4573,C4549,C4525,C4501,C4477,C4453,C4429,C4405,C4381,C4357)/POBLA!$B$12*100000</f>
        <v>353.46643593516137</v>
      </c>
      <c r="H4669" s="256">
        <f t="shared" si="490"/>
        <v>2.085457271364318</v>
      </c>
      <c r="I4669" s="297">
        <f t="shared" si="503"/>
        <v>737.13914900421219</v>
      </c>
      <c r="J4669" s="297">
        <f t="shared" si="504"/>
        <v>109.85714285714286</v>
      </c>
      <c r="K4669" s="297">
        <f>J4669/POBLA!$B$12*100000</f>
        <v>27.915753233453742</v>
      </c>
      <c r="L4669" s="549">
        <f t="shared" si="491"/>
        <v>-0.2363344051446945</v>
      </c>
      <c r="M4669" s="401">
        <f>SUM(C4669,C4645,C4621,C4597,C4573,C4549,C4525)/POBLA!$B$12*100000</f>
        <v>195.41027263417621</v>
      </c>
    </row>
    <row r="4670" spans="1:13" s="360" customFormat="1" x14ac:dyDescent="0.25">
      <c r="A4670" s="364" t="s">
        <v>17</v>
      </c>
      <c r="B4670" s="267">
        <v>44087</v>
      </c>
      <c r="C4670" s="1">
        <v>704</v>
      </c>
      <c r="D4670" s="39">
        <f t="shared" si="502"/>
        <v>14482</v>
      </c>
      <c r="E4670" s="1">
        <f>2</f>
        <v>2</v>
      </c>
      <c r="F4670" s="409">
        <f t="shared" si="505"/>
        <v>150</v>
      </c>
      <c r="G4670" s="168">
        <f>SUM(C4670,C4646,C4622,C4598,C4574,C4550,C4526,C4502,C4478,C4454,C4430,C4406,C4382,C4358)/POBLA!$B$13*100000</f>
        <v>398.57551832904761</v>
      </c>
      <c r="H4670" s="256">
        <f t="shared" si="490"/>
        <v>2.464429947188568</v>
      </c>
      <c r="I4670" s="297">
        <f t="shared" si="503"/>
        <v>982.26144358631097</v>
      </c>
      <c r="J4670" s="297">
        <f t="shared" si="504"/>
        <v>683.57142857142856</v>
      </c>
      <c r="K4670" s="297">
        <f>J4670/POBLA!$B$13*100000</f>
        <v>34.344489658109758</v>
      </c>
      <c r="L4670" s="549">
        <f t="shared" si="491"/>
        <v>-0.52001270648030506</v>
      </c>
      <c r="M4670" s="401">
        <f>SUM(C4670,C4646,C4622,C4598,C4574,C4550,C4526)/POBLA!$B$13*100000</f>
        <v>240.41142760676829</v>
      </c>
    </row>
    <row r="4671" spans="1:13" s="360" customFormat="1" x14ac:dyDescent="0.25">
      <c r="A4671" s="364" t="s">
        <v>23</v>
      </c>
      <c r="B4671" s="267">
        <v>44087</v>
      </c>
      <c r="C4671" s="1">
        <v>0</v>
      </c>
      <c r="D4671" s="39">
        <f t="shared" si="502"/>
        <v>68</v>
      </c>
      <c r="E4671" s="1"/>
      <c r="F4671" s="409">
        <f t="shared" si="505"/>
        <v>2</v>
      </c>
      <c r="G4671" s="168">
        <f>SUM(C4671,C4647,C4623,C4599,C4575,C4551,C4527,C4503,C4479,C4455,C4431,C4407,C4383,C4359)/POBLA!$B$14*100000</f>
        <v>0.47570193785112752</v>
      </c>
      <c r="H4671" s="256">
        <f t="shared" si="490"/>
        <v>2</v>
      </c>
      <c r="I4671" s="297">
        <f t="shared" si="503"/>
        <v>0.95140387570225504</v>
      </c>
      <c r="J4671" s="297">
        <f t="shared" si="504"/>
        <v>0.14285714285714285</v>
      </c>
      <c r="K4671" s="297">
        <f>J4671/POBLA!$B$14*100000</f>
        <v>1.1326236615503036E-2</v>
      </c>
      <c r="L4671" s="549">
        <f t="shared" si="491"/>
        <v>0.8</v>
      </c>
      <c r="M4671" s="401">
        <f>SUM(C4671,C4647,C4623,C4599,C4575,C4551,C4527)/POBLA!$B$14*100000</f>
        <v>7.9283656308521244E-2</v>
      </c>
    </row>
    <row r="4672" spans="1:13" s="360" customFormat="1" x14ac:dyDescent="0.25">
      <c r="A4672" s="364" t="s">
        <v>19</v>
      </c>
      <c r="B4672" s="267">
        <v>44087</v>
      </c>
      <c r="C4672" s="1">
        <v>286</v>
      </c>
      <c r="D4672" s="39">
        <f>C4672+D4648</f>
        <v>4812</v>
      </c>
      <c r="E4672" s="1">
        <f>2+1+1</f>
        <v>4</v>
      </c>
      <c r="F4672" s="409">
        <f t="shared" si="505"/>
        <v>50</v>
      </c>
      <c r="G4672" s="168">
        <f>SUM(C4672,C4648,C4624,C4600,C4576,C4552,C4528,C4504,C4480,C4456,C4432,C4408,C4384,C4360)/POBLA!$B$15*100000</f>
        <v>283.10822715519902</v>
      </c>
      <c r="H4672" s="256">
        <f t="shared" si="490"/>
        <v>1.7122040072859745</v>
      </c>
      <c r="I4672" s="297">
        <f t="shared" si="503"/>
        <v>484.73904103075972</v>
      </c>
      <c r="J4672" s="297">
        <f t="shared" si="504"/>
        <v>141.85714285714286</v>
      </c>
      <c r="K4672" s="297">
        <f>J4672/POBLA!$B$15*100000</f>
        <v>21.362193735950811</v>
      </c>
      <c r="L4672" s="549">
        <f t="shared" si="491"/>
        <v>-0.11950394588500557</v>
      </c>
      <c r="M4672" s="401">
        <f>SUM(C4672,C4648,C4624,C4600,C4576,C4552,C4528)/POBLA!$B$15*100000</f>
        <v>149.53535615165566</v>
      </c>
    </row>
    <row r="4673" spans="1:13" s="360" customFormat="1" x14ac:dyDescent="0.25">
      <c r="A4673" s="364" t="s">
        <v>18</v>
      </c>
      <c r="B4673" s="267">
        <v>44087</v>
      </c>
      <c r="C4673" s="1">
        <v>130</v>
      </c>
      <c r="D4673" s="39">
        <f>C4673+D4649</f>
        <v>8719</v>
      </c>
      <c r="E4673" s="1">
        <f>2</f>
        <v>2</v>
      </c>
      <c r="F4673" s="409">
        <f t="shared" si="505"/>
        <v>153</v>
      </c>
      <c r="G4673" s="168">
        <f>SUM(C4673,C4649,C4625,C4601,C4577,C4553,C4529,C4505,C4481,C4457,C4433,C4409,C4385,C4361)/POBLA!$B$16*100000</f>
        <v>381.08104492984307</v>
      </c>
      <c r="H4673" s="256">
        <f t="shared" si="490"/>
        <v>1.4131944444444444</v>
      </c>
      <c r="I4673" s="297">
        <f t="shared" si="503"/>
        <v>538.54161557793793</v>
      </c>
      <c r="J4673" s="297">
        <f t="shared" si="504"/>
        <v>246.85714285714286</v>
      </c>
      <c r="K4673" s="297">
        <f>J4673/POBLA!$B$16*100000</f>
        <v>33.019507879394723</v>
      </c>
      <c r="L4673" s="549">
        <f t="shared" si="491"/>
        <v>-0.54148082069580727</v>
      </c>
      <c r="M4673" s="401">
        <f>SUM(C4673,C4649,C4625,C4601,C4577,C4553,C4529)/POBLA!$B$16*100000</f>
        <v>231.13655515576303</v>
      </c>
    </row>
    <row r="4674" spans="1:13" s="360" customFormat="1" x14ac:dyDescent="0.25">
      <c r="A4674" s="364" t="s">
        <v>34</v>
      </c>
      <c r="B4674" s="267">
        <v>44087</v>
      </c>
      <c r="C4674" s="1">
        <v>340</v>
      </c>
      <c r="D4674" s="39">
        <f>C4674+D4650</f>
        <v>6765</v>
      </c>
      <c r="E4674" s="1">
        <f>1+1</f>
        <v>2</v>
      </c>
      <c r="F4674" s="409">
        <f>E4674+F4650</f>
        <v>89</v>
      </c>
      <c r="G4674" s="168">
        <f>SUM(C4674,C4650,C4626,C4602,C4578,C4554,C4530,C4506,C4482,C4458,C4434,C4410,C4386,C4362)/POBLA!$B$17*100000</f>
        <v>253.01934783631248</v>
      </c>
      <c r="H4674" s="256">
        <f t="shared" ref="H4674:H4705" si="506">SUM(C4674,C4650,C4626,C4602,C4578,C4554,C4530,C4506,C4482,C4458,C4434,C4410,C4386,C4362)/SUM(C4338,C4314,C4290,C4266,C4242,C4218,C4194,C4170,C4146,C4122,C4098,C4074,C4050,C4026)</f>
        <v>1.7385431741437529</v>
      </c>
      <c r="I4674" s="297">
        <f t="shared" si="503"/>
        <v>439.88506010712501</v>
      </c>
      <c r="J4674" s="297">
        <f t="shared" si="504"/>
        <v>304.71428571428572</v>
      </c>
      <c r="K4674" s="297">
        <f>J4674/POBLA!$B$17*100000</f>
        <v>21.392511056558369</v>
      </c>
      <c r="L4674" s="549">
        <f t="shared" ref="L4674:L4705" si="507">1-SUM(C4674,C4650,C4626,C4602,C4578,C4554,C4530)/SUM(C4506,C4482,C4458,C4434,C4410,C4386,C4362)</f>
        <v>-0.4500339904826649</v>
      </c>
      <c r="M4674" s="401">
        <f>SUM(C4674,C4650,C4626,C4602,C4578,C4554,C4530)/POBLA!$B$17*100000</f>
        <v>149.74757739590859</v>
      </c>
    </row>
    <row r="4675" spans="1:13" s="360" customFormat="1" x14ac:dyDescent="0.25">
      <c r="A4675" s="364" t="s">
        <v>35</v>
      </c>
      <c r="B4675" s="267">
        <v>44087</v>
      </c>
      <c r="C4675" s="1">
        <v>-5</v>
      </c>
      <c r="D4675" s="39">
        <f t="shared" ref="D4675:D4681" si="508">C4675+D4651</f>
        <v>417</v>
      </c>
      <c r="E4675" s="1"/>
      <c r="F4675" s="409">
        <f>E4675+F4651</f>
        <v>12</v>
      </c>
      <c r="G4675" s="168">
        <f>SUM(C4675,C4651,C4627,C4603,C4579,C4555,C4531,C4507,C4483,C4459,C4435,C4411,C4387,C4363)/POBLA!$B$18*100000</f>
        <v>25.089059761884343</v>
      </c>
      <c r="H4675" s="256">
        <f t="shared" si="506"/>
        <v>0.98492462311557794</v>
      </c>
      <c r="I4675" s="297">
        <f t="shared" si="503"/>
        <v>24.710832730298147</v>
      </c>
      <c r="J4675" s="297">
        <f t="shared" si="504"/>
        <v>5.7142857142857144</v>
      </c>
      <c r="K4675" s="297">
        <f>J4675/POBLA!$B$18*100000</f>
        <v>0.73145946827651143</v>
      </c>
      <c r="L4675" s="549">
        <f t="shared" si="507"/>
        <v>0.74358974358974361</v>
      </c>
      <c r="M4675" s="401">
        <f>SUM(C4675,C4651,C4627,C4603,C4579,C4555,C4531)/POBLA!$B$18*100000</f>
        <v>5.1202162779355795</v>
      </c>
    </row>
    <row r="4676" spans="1:13" s="360" customFormat="1" x14ac:dyDescent="0.25">
      <c r="A4676" s="364" t="s">
        <v>36</v>
      </c>
      <c r="B4676" s="267">
        <v>44087</v>
      </c>
      <c r="C4676" s="1">
        <v>1</v>
      </c>
      <c r="D4676" s="39">
        <f t="shared" si="508"/>
        <v>383</v>
      </c>
      <c r="E4676" s="1"/>
      <c r="F4676" s="409">
        <f t="shared" si="505"/>
        <v>0</v>
      </c>
      <c r="G4676" s="168">
        <f>SUM(C4676,C4652,C4628,C4604,C4580,C4556,C4532,C4508,C4484,C4460,C4436,C4412,C4388,C4364)/POBLA!$B$19*100000</f>
        <v>58.623565886592907</v>
      </c>
      <c r="H4676" s="256">
        <f t="shared" si="506"/>
        <v>5.8431372549019605</v>
      </c>
      <c r="I4676" s="297">
        <f t="shared" si="503"/>
        <v>342.54554184715067</v>
      </c>
      <c r="J4676" s="297">
        <f t="shared" si="504"/>
        <v>19.428571428571427</v>
      </c>
      <c r="K4676" s="297">
        <f>J4676/POBLA!$B$19*100000</f>
        <v>3.8220541517625288</v>
      </c>
      <c r="L4676" s="549">
        <f t="shared" si="507"/>
        <v>0.16049382716049387</v>
      </c>
      <c r="M4676" s="401">
        <f>SUM(C4676,C4652,C4628,C4604,C4580,C4556,C4532)/POBLA!$B$19*100000</f>
        <v>26.754379062337701</v>
      </c>
    </row>
    <row r="4677" spans="1:13" s="360" customFormat="1" x14ac:dyDescent="0.25">
      <c r="A4677" s="364" t="s">
        <v>37</v>
      </c>
      <c r="B4677" s="267">
        <v>44087</v>
      </c>
      <c r="C4677" s="1">
        <v>193</v>
      </c>
      <c r="D4677" s="39">
        <f t="shared" si="508"/>
        <v>3069</v>
      </c>
      <c r="E4677" s="1"/>
      <c r="F4677" s="409">
        <f>E4677+F4653</f>
        <v>21</v>
      </c>
      <c r="G4677" s="168">
        <f>SUM(C4677,C4653,C4629,C4605,C4581,C4557,C4533,C4509,C4485,C4461,C4437,C4413,C4389,C4365)/POBLA!$B$20*100000</f>
        <v>365.05531886966838</v>
      </c>
      <c r="H4677" s="256">
        <f t="shared" si="506"/>
        <v>1.9071428571428573</v>
      </c>
      <c r="I4677" s="297">
        <f t="shared" si="503"/>
        <v>696.21264384429617</v>
      </c>
      <c r="J4677" s="297">
        <f t="shared" si="504"/>
        <v>111.57142857142857</v>
      </c>
      <c r="K4677" s="297">
        <f>J4677/POBLA!$B$20*100000</f>
        <v>30.509171111526062</v>
      </c>
      <c r="L4677" s="549">
        <f t="shared" si="507"/>
        <v>-0.40974729241877261</v>
      </c>
      <c r="M4677" s="401">
        <f>SUM(C4677,C4653,C4629,C4605,C4581,C4557,C4533)/POBLA!$B$20*100000</f>
        <v>213.56419778068243</v>
      </c>
    </row>
    <row r="4678" spans="1:13" s="360" customFormat="1" x14ac:dyDescent="0.25">
      <c r="A4678" s="364" t="s">
        <v>22</v>
      </c>
      <c r="B4678" s="267">
        <v>44087</v>
      </c>
      <c r="C4678" s="1">
        <v>1055</v>
      </c>
      <c r="D4678" s="39">
        <f t="shared" si="508"/>
        <v>18617</v>
      </c>
      <c r="E4678" s="1">
        <f>1+1</f>
        <v>2</v>
      </c>
      <c r="F4678" s="409">
        <f>E4678+F4654</f>
        <v>196</v>
      </c>
      <c r="G4678" s="168">
        <f>SUM(C4678,C4654,C4630,C4606,C4582,C4558,C4534,C4510,C4486,C4462,C4438,C4414,C4390,C4366)/POBLA!$B$21*100000</f>
        <v>316.33703934319982</v>
      </c>
      <c r="H4678" s="256">
        <f t="shared" si="506"/>
        <v>2.7041334300217548</v>
      </c>
      <c r="I4678" s="297">
        <f t="shared" si="503"/>
        <v>855.41756324205369</v>
      </c>
      <c r="J4678" s="297">
        <f t="shared" si="504"/>
        <v>928.28571428571433</v>
      </c>
      <c r="K4678" s="297">
        <f>J4678/POBLA!$B$21*100000</f>
        <v>26.249321044223684</v>
      </c>
      <c r="L4678" s="549">
        <f t="shared" si="507"/>
        <v>-0.38579654510556627</v>
      </c>
      <c r="M4678" s="401">
        <f>SUM(C4678,C4654,C4630,C4606,C4582,C4558,C4534)/POBLA!$B$21*100000</f>
        <v>183.74524730956577</v>
      </c>
    </row>
    <row r="4679" spans="1:13" s="360" customFormat="1" x14ac:dyDescent="0.25">
      <c r="A4679" s="364" t="s">
        <v>38</v>
      </c>
      <c r="B4679" s="267">
        <v>44087</v>
      </c>
      <c r="C4679" s="1">
        <v>79</v>
      </c>
      <c r="D4679" s="39">
        <f t="shared" si="508"/>
        <v>1832</v>
      </c>
      <c r="E4679" s="1">
        <f>1</f>
        <v>1</v>
      </c>
      <c r="F4679" s="409">
        <f t="shared" si="505"/>
        <v>26</v>
      </c>
      <c r="G4679" s="168">
        <f>SUM(C4679,C4655,C4631,C4607,C4583,C4559,C4535,C4511,C4487,C4463,C4439,C4415,C4391,C4367)/POBLA!$B$22*100000</f>
        <v>95.470468040391978</v>
      </c>
      <c r="H4679" s="256">
        <f t="shared" si="506"/>
        <v>1.5162337662337662</v>
      </c>
      <c r="I4679" s="297">
        <f t="shared" si="503"/>
        <v>144.75554732098394</v>
      </c>
      <c r="J4679" s="297">
        <f t="shared" si="504"/>
        <v>76.714285714285708</v>
      </c>
      <c r="K4679" s="297">
        <f>J4679/POBLA!$B$22*100000</f>
        <v>7.8414868977807419</v>
      </c>
      <c r="L4679" s="549">
        <f t="shared" si="507"/>
        <v>-0.35264483627204024</v>
      </c>
      <c r="M4679" s="401">
        <f>SUM(C4679,C4655,C4631,C4607,C4583,C4559,C4535)/POBLA!$B$22*100000</f>
        <v>54.890408284465195</v>
      </c>
    </row>
    <row r="4680" spans="1:13" s="360" customFormat="1" x14ac:dyDescent="0.25">
      <c r="A4680" s="364" t="s">
        <v>39</v>
      </c>
      <c r="B4680" s="267">
        <v>44087</v>
      </c>
      <c r="C4680" s="1">
        <v>22</v>
      </c>
      <c r="D4680" s="39">
        <f t="shared" si="508"/>
        <v>2705</v>
      </c>
      <c r="E4680" s="1">
        <f>1</f>
        <v>1</v>
      </c>
      <c r="F4680" s="409">
        <f>E4680+F4656</f>
        <v>45</v>
      </c>
      <c r="G4680" s="168">
        <f>SUM(C4680,C4656,C4632,C4608,C4584,C4560,C4536,C4512,C4488,C4464,C4440,C4416,C4392,C4368)/POBLA!$B$23*100000</f>
        <v>408.8672736526608</v>
      </c>
      <c r="H4680" s="256">
        <f t="shared" si="506"/>
        <v>1.2841918294849024</v>
      </c>
      <c r="I4680" s="297">
        <f t="shared" si="503"/>
        <v>525.06401216851475</v>
      </c>
      <c r="J4680" s="297">
        <f t="shared" si="504"/>
        <v>51.428571428571431</v>
      </c>
      <c r="K4680" s="297">
        <f>J4680/POBLA!$B$23*100000</f>
        <v>29.083623496336273</v>
      </c>
      <c r="L4680" s="549">
        <f t="shared" si="507"/>
        <v>8.2644628099173278E-3</v>
      </c>
      <c r="M4680" s="401">
        <f>SUM(C4680,C4656,C4632,C4608,C4584,C4560,C4536)/POBLA!$B$23*100000</f>
        <v>203.58536447435392</v>
      </c>
    </row>
    <row r="4681" spans="1:13" s="360" customFormat="1" ht="15.75" thickBot="1" x14ac:dyDescent="0.3">
      <c r="A4681" s="366" t="s">
        <v>40</v>
      </c>
      <c r="B4681" s="267">
        <v>44087</v>
      </c>
      <c r="C4681" s="1">
        <v>583</v>
      </c>
      <c r="D4681" s="176">
        <f t="shared" si="508"/>
        <v>6628</v>
      </c>
      <c r="E4681" s="1"/>
      <c r="F4681" s="476">
        <f>E4681+F4657</f>
        <v>19</v>
      </c>
      <c r="G4681" s="177">
        <f>SUM(C4681,C4657,C4633,C4609,C4585,C4561,C4537,C4513,C4489,C4465,C4441,C4417,C4393,C4369)/POBLA!$B$24*100000</f>
        <v>273.50683560557422</v>
      </c>
      <c r="H4681" s="402">
        <f t="shared" si="506"/>
        <v>3.3369330453563717</v>
      </c>
      <c r="I4681" s="403">
        <f t="shared" si="503"/>
        <v>912.67399786309329</v>
      </c>
      <c r="J4681" s="403">
        <f t="shared" si="504"/>
        <v>382</v>
      </c>
      <c r="K4681" s="403">
        <f>J4681/POBLA!$B$24*100000</f>
        <v>22.541447939876885</v>
      </c>
      <c r="L4681" s="550">
        <f t="shared" si="507"/>
        <v>-0.36359000509943895</v>
      </c>
      <c r="M4681" s="405">
        <f>SUM(C4681,C4657,C4633,C4609,C4585,C4561,C4537)/POBLA!$B$24*100000</f>
        <v>157.79013557913819</v>
      </c>
    </row>
    <row r="4682" spans="1:13" s="360" customFormat="1" x14ac:dyDescent="0.25">
      <c r="A4682" s="363" t="s">
        <v>16</v>
      </c>
      <c r="B4682" s="267">
        <v>44088</v>
      </c>
      <c r="C4682" s="1">
        <v>4863</v>
      </c>
      <c r="D4682" s="174">
        <f>C4682+D4658</f>
        <v>336652</v>
      </c>
      <c r="E4682" s="1">
        <f>7+4+96+51</f>
        <v>158</v>
      </c>
      <c r="F4682" s="475">
        <f>E4682+F4658</f>
        <v>6933</v>
      </c>
      <c r="G4682" s="175">
        <f>SUM(C4682,C4658,C4634,C4610,C4586,C4562,C4538,C4514,C4490,C4466,C4442,C4418,C4394,C4370)/POBLA!$B$1*100000</f>
        <v>443.86508266480502</v>
      </c>
      <c r="H4682" s="300">
        <f t="shared" si="506"/>
        <v>1.063952773336613</v>
      </c>
      <c r="I4682" s="301">
        <f>G4682*H4682</f>
        <v>472.25148568850426</v>
      </c>
      <c r="J4682" s="301">
        <f>AVERAGE(C4682,C4658,C4634,C4610,C4586,C4562,C4538)</f>
        <v>5653.2857142857147</v>
      </c>
      <c r="K4682" s="301">
        <f>J4682/POBLA!$B$1*100000</f>
        <v>32.228722831004639</v>
      </c>
      <c r="L4682" s="548">
        <f t="shared" si="507"/>
        <v>-3.3615420780441996E-2</v>
      </c>
      <c r="M4682" s="400">
        <f>SUM(C4682,C4658,C4634,C4610,C4586,C4562,C4538)/POBLA!$B$1*100000</f>
        <v>225.60105981703242</v>
      </c>
    </row>
    <row r="4683" spans="1:13" s="360" customFormat="1" x14ac:dyDescent="0.25">
      <c r="A4683" s="364" t="s">
        <v>43</v>
      </c>
      <c r="B4683" s="267">
        <v>44088</v>
      </c>
      <c r="C4683" s="1">
        <v>946</v>
      </c>
      <c r="D4683" s="39">
        <f t="shared" ref="D4683:D4695" si="509">C4683+D4659</f>
        <v>111846</v>
      </c>
      <c r="E4683" s="1">
        <f>5+9+25+14</f>
        <v>53</v>
      </c>
      <c r="F4683" s="409">
        <f>E4683+F4659</f>
        <v>2765</v>
      </c>
      <c r="G4683" s="168">
        <f>SUM(C4683,C4659,C4635,C4611,C4587,C4563,C4539,C4515,C4491,C4467,C4443,C4419,C4395,C4371)/POBLA!$B$2*100000</f>
        <v>528.08418133946486</v>
      </c>
      <c r="H4683" s="256">
        <f t="shared" si="506"/>
        <v>0.93328736424754355</v>
      </c>
      <c r="I4683" s="297">
        <f t="shared" ref="I4683:I4705" si="510">G4683*H4683</f>
        <v>492.85429370313096</v>
      </c>
      <c r="J4683" s="297">
        <f t="shared" ref="J4683:J4705" si="511">AVERAGE(C4683,C4659,C4635,C4611,C4587,C4563,C4539)</f>
        <v>1119.5714285714287</v>
      </c>
      <c r="K4683" s="297">
        <f>J4683/POBLA!$B$2*100000</f>
        <v>36.401179738221778</v>
      </c>
      <c r="L4683" s="549">
        <f t="shared" si="507"/>
        <v>6.757882212968469E-2</v>
      </c>
      <c r="M4683" s="401">
        <f>SUM(C4683,C4659,C4635,C4611,C4587,C4563,C4539)/POBLA!$B$2*100000</f>
        <v>254.80825816755242</v>
      </c>
    </row>
    <row r="4684" spans="1:13" s="360" customFormat="1" x14ac:dyDescent="0.25">
      <c r="A4684" s="364" t="s">
        <v>28</v>
      </c>
      <c r="B4684" s="267">
        <v>44088</v>
      </c>
      <c r="C4684" s="1">
        <v>5</v>
      </c>
      <c r="D4684" s="39">
        <f t="shared" si="509"/>
        <v>129</v>
      </c>
      <c r="E4684" s="1"/>
      <c r="F4684" s="409">
        <f>E4684+F4660</f>
        <v>0</v>
      </c>
      <c r="G4684" s="168">
        <f>SUM(C4684,C4660,C4636,C4612,C4588,C4564,C4540,C4516,C4492,C4468,C4444,C4420,C4396,C4372)/POBLA!$B$3*100000</f>
        <v>15.164717719611591</v>
      </c>
      <c r="H4684" s="256">
        <f t="shared" si="506"/>
        <v>63</v>
      </c>
      <c r="I4684" s="297">
        <f t="shared" si="510"/>
        <v>955.37721633553019</v>
      </c>
      <c r="J4684" s="297">
        <f t="shared" si="511"/>
        <v>5.8571428571428568</v>
      </c>
      <c r="K4684" s="297">
        <f>J4684/POBLA!$B$3*100000</f>
        <v>1.4098717154287419</v>
      </c>
      <c r="L4684" s="549">
        <f t="shared" si="507"/>
        <v>-0.86363636363636354</v>
      </c>
      <c r="M4684" s="401">
        <f>SUM(C4684,C4660,C4636,C4612,C4588,C4564,C4540)/POBLA!$B$3*100000</f>
        <v>9.8691020080011942</v>
      </c>
    </row>
    <row r="4685" spans="1:13" s="360" customFormat="1" x14ac:dyDescent="0.25">
      <c r="A4685" s="364" t="s">
        <v>15</v>
      </c>
      <c r="B4685" s="267">
        <v>44088</v>
      </c>
      <c r="C4685" s="1">
        <v>41</v>
      </c>
      <c r="D4685" s="39">
        <f t="shared" si="509"/>
        <v>6792</v>
      </c>
      <c r="E4685" s="1">
        <f>1+2</f>
        <v>3</v>
      </c>
      <c r="F4685" s="409">
        <f t="shared" ref="F4685:F4703" si="512">E4685+F4661</f>
        <v>242</v>
      </c>
      <c r="G4685" s="168">
        <f>SUM(C4685,C4661,C4637,C4613,C4589,C4565,C4541,C4517,C4493,C4469,C4445,C4421,C4397,C4373)/POBLA!$B$4*100000</f>
        <v>114.15136554089899</v>
      </c>
      <c r="H4685" s="256">
        <f t="shared" si="506"/>
        <v>1.5060240963855422</v>
      </c>
      <c r="I4685" s="297">
        <f t="shared" si="510"/>
        <v>171.91470713990813</v>
      </c>
      <c r="J4685" s="297">
        <f t="shared" si="511"/>
        <v>105.14285714285714</v>
      </c>
      <c r="K4685" s="297">
        <f>J4685/POBLA!$B$4*100000</f>
        <v>8.7288732507118603</v>
      </c>
      <c r="L4685" s="549">
        <f t="shared" si="507"/>
        <v>-0.15179968701095459</v>
      </c>
      <c r="M4685" s="401">
        <f>SUM(C4685,C4661,C4637,C4613,C4589,C4565,C4541)/POBLA!$B$4*100000</f>
        <v>61.102112754983018</v>
      </c>
    </row>
    <row r="4686" spans="1:13" s="360" customFormat="1" x14ac:dyDescent="0.25">
      <c r="A4686" s="364" t="s">
        <v>29</v>
      </c>
      <c r="B4686" s="267">
        <v>44088</v>
      </c>
      <c r="C4686" s="1">
        <v>39</v>
      </c>
      <c r="D4686" s="39">
        <f t="shared" si="509"/>
        <v>1757</v>
      </c>
      <c r="E4686" s="1">
        <f>4+2</f>
        <v>6</v>
      </c>
      <c r="F4686" s="409">
        <f t="shared" si="512"/>
        <v>20</v>
      </c>
      <c r="G4686" s="168">
        <f>SUM(C4686,C4662,C4638,C4614,C4590,C4566,C4542,C4518,C4494,C4470,C4446,C4422,C4398,C4374)/POBLA!$B$5*100000</f>
        <v>138.61200593220613</v>
      </c>
      <c r="H4686" s="256">
        <f t="shared" si="506"/>
        <v>1.7800829875518671</v>
      </c>
      <c r="I4686" s="297">
        <f t="shared" si="510"/>
        <v>246.74087363035861</v>
      </c>
      <c r="J4686" s="297">
        <f t="shared" si="511"/>
        <v>69</v>
      </c>
      <c r="K4686" s="297">
        <f>J4686/POBLA!$B$5*100000</f>
        <v>11.14711935818441</v>
      </c>
      <c r="L4686" s="549">
        <f t="shared" si="507"/>
        <v>-0.28800000000000003</v>
      </c>
      <c r="M4686" s="401">
        <f>SUM(C4686,C4662,C4638,C4614,C4590,C4566,C4542)/POBLA!$B$5*100000</f>
        <v>78.029835507290855</v>
      </c>
    </row>
    <row r="4687" spans="1:13" s="360" customFormat="1" x14ac:dyDescent="0.25">
      <c r="A4687" s="364" t="s">
        <v>20</v>
      </c>
      <c r="B4687" s="267">
        <v>44088</v>
      </c>
      <c r="C4687" s="1">
        <v>535</v>
      </c>
      <c r="D4687" s="39">
        <f t="shared" si="509"/>
        <v>14974</v>
      </c>
      <c r="E4687" s="1">
        <f>4+3</f>
        <v>7</v>
      </c>
      <c r="F4687" s="409">
        <f t="shared" si="512"/>
        <v>204</v>
      </c>
      <c r="G4687" s="168">
        <f>SUM(C4687,C4663,C4639,C4615,C4591,C4567,C4543,C4519,C4495,C4471,C4447,C4423,C4399,C4375)/POBLA!$B$6*100000</f>
        <v>575.65972906876425</v>
      </c>
      <c r="H4687" s="256">
        <f t="shared" si="506"/>
        <v>1.7168706758914316</v>
      </c>
      <c r="I4687" s="297">
        <f t="shared" si="510"/>
        <v>988.33330812976772</v>
      </c>
      <c r="J4687" s="297">
        <f t="shared" si="511"/>
        <v>480.85714285714283</v>
      </c>
      <c r="K4687" s="297">
        <f>J4687/POBLA!$B$6*100000</f>
        <v>42.90299017016784</v>
      </c>
      <c r="L4687" s="549">
        <f t="shared" si="507"/>
        <v>-9.0732339598185385E-2</v>
      </c>
      <c r="M4687" s="401">
        <f>SUM(C4687,C4663,C4639,C4615,C4591,C4567,C4543)/POBLA!$B$6*100000</f>
        <v>300.32093119117485</v>
      </c>
    </row>
    <row r="4688" spans="1:13" s="360" customFormat="1" x14ac:dyDescent="0.25">
      <c r="A4688" s="364" t="s">
        <v>30</v>
      </c>
      <c r="B4688" s="267">
        <v>44088</v>
      </c>
      <c r="C4688" s="1">
        <v>58</v>
      </c>
      <c r="D4688" s="39">
        <f t="shared" si="509"/>
        <v>718</v>
      </c>
      <c r="E4688" s="1"/>
      <c r="F4688" s="409">
        <f t="shared" si="512"/>
        <v>6</v>
      </c>
      <c r="G4688" s="168">
        <f>SUM(C4688,C4664,C4640,C4616,C4592,C4568,C4544,C4520,C4496,C4472,C4448,C4424,C4400,C4376)/POBLA!$B$7*100000</f>
        <v>10.823172758579425</v>
      </c>
      <c r="H4688" s="256">
        <f t="shared" si="506"/>
        <v>5.0246913580246915</v>
      </c>
      <c r="I4688" s="297">
        <f t="shared" si="510"/>
        <v>54.383102626442295</v>
      </c>
      <c r="J4688" s="297">
        <f t="shared" si="511"/>
        <v>47.428571428571431</v>
      </c>
      <c r="K4688" s="297">
        <f>J4688/POBLA!$B$7*100000</f>
        <v>1.2612472291500068</v>
      </c>
      <c r="L4688" s="549">
        <f t="shared" si="507"/>
        <v>-3.4266666666666667</v>
      </c>
      <c r="M4688" s="401">
        <f>SUM(C4688,C4664,C4640,C4616,C4592,C4568,C4544)/POBLA!$B$7*100000</f>
        <v>8.8287306040500475</v>
      </c>
    </row>
    <row r="4689" spans="1:13" x14ac:dyDescent="0.25">
      <c r="A4689" s="364" t="s">
        <v>31</v>
      </c>
      <c r="B4689" s="267">
        <v>44088</v>
      </c>
      <c r="C4689" s="1">
        <v>72</v>
      </c>
      <c r="D4689" s="39">
        <f t="shared" si="509"/>
        <v>5310</v>
      </c>
      <c r="F4689" s="409">
        <f t="shared" si="512"/>
        <v>89</v>
      </c>
      <c r="G4689" s="168">
        <f>SUM(C4689,C4665,C4641,C4617,C4593,C4569,C4545,C4521,C4497,C4473,C4449,C4425,C4401,C4377)/POBLA!$B$8*100000</f>
        <v>142.2839459407588</v>
      </c>
      <c r="H4689" s="256">
        <f t="shared" si="506"/>
        <v>1.2068543451652387</v>
      </c>
      <c r="I4689" s="297">
        <f t="shared" si="510"/>
        <v>171.71599840586069</v>
      </c>
      <c r="J4689" s="297">
        <f t="shared" si="511"/>
        <v>136.71428571428572</v>
      </c>
      <c r="K4689" s="297">
        <f>J4689/POBLA!$B$8*100000</f>
        <v>9.8642231429517668</v>
      </c>
      <c r="L4689" s="549">
        <f t="shared" si="507"/>
        <v>5.7142857142857162E-2</v>
      </c>
      <c r="M4689" s="401">
        <f>SUM(C4689,C4665,C4641,C4617,C4593,C4569,C4545)/POBLA!$B$8*100000</f>
        <v>69.049562000662362</v>
      </c>
    </row>
    <row r="4690" spans="1:13" s="360" customFormat="1" x14ac:dyDescent="0.25">
      <c r="A4690" s="364" t="s">
        <v>41</v>
      </c>
      <c r="B4690" s="267">
        <v>44088</v>
      </c>
      <c r="C4690" s="1">
        <v>1</v>
      </c>
      <c r="D4690" s="39">
        <f t="shared" si="509"/>
        <v>95</v>
      </c>
      <c r="E4690" s="1"/>
      <c r="F4690" s="409">
        <f>E4690+F4666</f>
        <v>1</v>
      </c>
      <c r="G4690" s="168">
        <f>SUM(C4690,C4666,C4642,C4618,C4594,C4570,C4546,C4522,C4498,C4474,C4450,C4426,C4402,C4378)/POBLA!$B$9*100000</f>
        <v>1.8176019881261019</v>
      </c>
      <c r="H4690" s="256">
        <f t="shared" si="506"/>
        <v>2.75</v>
      </c>
      <c r="I4690" s="297">
        <f t="shared" si="510"/>
        <v>4.9984054673467799</v>
      </c>
      <c r="J4690" s="297">
        <f t="shared" si="511"/>
        <v>0.7142857142857143</v>
      </c>
      <c r="K4690" s="297">
        <f>J4690/POBLA!$B$9*100000</f>
        <v>0.11802610312507156</v>
      </c>
      <c r="L4690" s="549">
        <f t="shared" si="507"/>
        <v>0.16666666666666663</v>
      </c>
      <c r="M4690" s="401">
        <f>SUM(C4690,C4666,C4642,C4618,C4594,C4570,C4546)/POBLA!$B$9*100000</f>
        <v>0.82618272187550079</v>
      </c>
    </row>
    <row r="4691" spans="1:13" s="360" customFormat="1" x14ac:dyDescent="0.25">
      <c r="A4691" s="364" t="s">
        <v>32</v>
      </c>
      <c r="B4691" s="267">
        <v>44088</v>
      </c>
      <c r="C4691" s="1">
        <v>277</v>
      </c>
      <c r="D4691" s="39">
        <f t="shared" si="509"/>
        <v>12399</v>
      </c>
      <c r="E4691" s="1">
        <f>3+1+5+1</f>
        <v>10</v>
      </c>
      <c r="F4691" s="409">
        <f t="shared" si="512"/>
        <v>266</v>
      </c>
      <c r="G4691" s="168">
        <f>SUM(C4691,C4667,C4643,C4619,C4595,C4571,C4547,C4523,C4499,C4475,C4451,C4427,C4403,C4379)/POBLA!$B$10*100000</f>
        <v>516.4221196267647</v>
      </c>
      <c r="H4691" s="256">
        <f t="shared" si="506"/>
        <v>1.167791141097096</v>
      </c>
      <c r="I4691" s="297">
        <f t="shared" si="510"/>
        <v>603.07317636672053</v>
      </c>
      <c r="J4691" s="297">
        <f t="shared" si="511"/>
        <v>274.14285714285717</v>
      </c>
      <c r="K4691" s="297">
        <f>J4691/POBLA!$B$10*100000</f>
        <v>35.562279669995391</v>
      </c>
      <c r="L4691" s="549">
        <f t="shared" si="507"/>
        <v>6.9350145489815662E-2</v>
      </c>
      <c r="M4691" s="401">
        <f>SUM(C4691,C4667,C4643,C4619,C4595,C4571,C4547)/POBLA!$B$10*100000</f>
        <v>248.93595768996769</v>
      </c>
    </row>
    <row r="4692" spans="1:13" s="360" customFormat="1" x14ac:dyDescent="0.25">
      <c r="A4692" s="364" t="s">
        <v>33</v>
      </c>
      <c r="B4692" s="267">
        <v>44088</v>
      </c>
      <c r="C4692" s="1">
        <v>45</v>
      </c>
      <c r="D4692" s="39">
        <f t="shared" si="509"/>
        <v>442</v>
      </c>
      <c r="E4692" s="1"/>
      <c r="F4692" s="409">
        <f t="shared" si="512"/>
        <v>4</v>
      </c>
      <c r="G4692" s="168">
        <f>SUM(C4692,C4668,C4644,C4620,C4596,C4572,C4548,C4524,C4500,C4476,C4452,C4428,C4404,C4380)/POBLA!$B$11*100000</f>
        <v>66.40106241699867</v>
      </c>
      <c r="H4692" s="256">
        <f t="shared" si="506"/>
        <v>12.526315789473685</v>
      </c>
      <c r="I4692" s="297">
        <f t="shared" si="510"/>
        <v>831.76067659187811</v>
      </c>
      <c r="J4692" s="297">
        <f t="shared" si="511"/>
        <v>28.428571428571427</v>
      </c>
      <c r="K4692" s="297">
        <f>J4692/POBLA!$B$11*100000</f>
        <v>7.9314594363641859</v>
      </c>
      <c r="L4692" s="549">
        <f t="shared" si="507"/>
        <v>-4.1025641025641022</v>
      </c>
      <c r="M4692" s="401">
        <f>SUM(C4692,C4668,C4644,C4620,C4596,C4572,C4548)/POBLA!$B$11*100000</f>
        <v>55.520216054549309</v>
      </c>
    </row>
    <row r="4693" spans="1:13" s="360" customFormat="1" x14ac:dyDescent="0.25">
      <c r="A4693" s="364" t="s">
        <v>21</v>
      </c>
      <c r="B4693" s="267">
        <v>44088</v>
      </c>
      <c r="C4693" s="1">
        <v>74</v>
      </c>
      <c r="D4693" s="39">
        <f t="shared" si="509"/>
        <v>2882</v>
      </c>
      <c r="E4693" s="1">
        <f>13+11</f>
        <v>24</v>
      </c>
      <c r="F4693" s="409">
        <f t="shared" si="512"/>
        <v>82</v>
      </c>
      <c r="G4693" s="168">
        <f>SUM(C4693,C4669,C4645,C4621,C4597,C4573,C4549,C4525,C4501,C4477,C4453,C4429,C4405,C4381)/POBLA!$B$12*100000</f>
        <v>328.81780596700133</v>
      </c>
      <c r="H4693" s="256">
        <f t="shared" si="506"/>
        <v>1.6317780580075663</v>
      </c>
      <c r="I4693" s="297">
        <f t="shared" si="510"/>
        <v>536.55768085914212</v>
      </c>
      <c r="J4693" s="297">
        <f t="shared" si="511"/>
        <v>107.28571428571429</v>
      </c>
      <c r="K4693" s="297">
        <f>J4693/POBLA!$B$12*100000</f>
        <v>27.26232858039501</v>
      </c>
      <c r="L4693" s="549">
        <f t="shared" si="507"/>
        <v>-0.38305709023941059</v>
      </c>
      <c r="M4693" s="401">
        <f>SUM(C4693,C4669,C4645,C4621,C4597,C4573,C4549)/POBLA!$B$12*100000</f>
        <v>190.83630006276508</v>
      </c>
    </row>
    <row r="4694" spans="1:13" s="360" customFormat="1" x14ac:dyDescent="0.25">
      <c r="A4694" s="364" t="s">
        <v>17</v>
      </c>
      <c r="B4694" s="267">
        <v>44088</v>
      </c>
      <c r="C4694" s="1">
        <v>650</v>
      </c>
      <c r="D4694" s="39">
        <f t="shared" si="509"/>
        <v>15132</v>
      </c>
      <c r="E4694" s="1">
        <f>2+1</f>
        <v>3</v>
      </c>
      <c r="F4694" s="409">
        <f t="shared" si="512"/>
        <v>153</v>
      </c>
      <c r="G4694" s="168">
        <f>SUM(C4694,C4670,C4646,C4622,C4598,C4574,C4550,C4526,C4502,C4478,C4454,C4430,C4406,C4382)/POBLA!$B$13*100000</f>
        <v>417.11508296580786</v>
      </c>
      <c r="H4694" s="256">
        <f t="shared" si="506"/>
        <v>2.4923446412488741</v>
      </c>
      <c r="I4694" s="297">
        <f t="shared" si="510"/>
        <v>1039.5945418139108</v>
      </c>
      <c r="J4694" s="297">
        <f t="shared" si="511"/>
        <v>687.42857142857144</v>
      </c>
      <c r="K4694" s="297">
        <f>J4694/POBLA!$B$13*100000</f>
        <v>34.538283016682165</v>
      </c>
      <c r="L4694" s="549">
        <f t="shared" si="507"/>
        <v>-0.37879656160458453</v>
      </c>
      <c r="M4694" s="401">
        <f>SUM(C4694,C4670,C4646,C4622,C4598,C4574,C4550)/POBLA!$B$13*100000</f>
        <v>241.76798111677513</v>
      </c>
    </row>
    <row r="4695" spans="1:13" s="360" customFormat="1" x14ac:dyDescent="0.25">
      <c r="A4695" s="364" t="s">
        <v>23</v>
      </c>
      <c r="B4695" s="267">
        <v>44088</v>
      </c>
      <c r="C4695" s="1">
        <v>0</v>
      </c>
      <c r="D4695" s="39">
        <f t="shared" si="509"/>
        <v>68</v>
      </c>
      <c r="E4695" s="1"/>
      <c r="F4695" s="409">
        <f t="shared" si="512"/>
        <v>2</v>
      </c>
      <c r="G4695" s="168">
        <f>SUM(C4695,C4671,C4647,C4623,C4599,C4575,C4551,C4527,C4503,C4479,C4455,C4431,C4407,C4383)/POBLA!$B$14*100000</f>
        <v>0.47570193785112752</v>
      </c>
      <c r="H4695" s="256">
        <f t="shared" si="506"/>
        <v>0.8571428571428571</v>
      </c>
      <c r="I4695" s="297">
        <f t="shared" si="510"/>
        <v>0.4077445181581093</v>
      </c>
      <c r="J4695" s="297">
        <f t="shared" si="511"/>
        <v>-0.42857142857142855</v>
      </c>
      <c r="K4695" s="297">
        <f>J4695/POBLA!$B$14*100000</f>
        <v>-3.3978709846509102E-2</v>
      </c>
      <c r="L4695" s="549">
        <f t="shared" si="507"/>
        <v>1.3333333333333333</v>
      </c>
      <c r="M4695" s="401">
        <f>SUM(C4695,C4671,C4647,C4623,C4599,C4575,C4551)/POBLA!$B$14*100000</f>
        <v>-0.23785096892556376</v>
      </c>
    </row>
    <row r="4696" spans="1:13" s="360" customFormat="1" x14ac:dyDescent="0.25">
      <c r="A4696" s="364" t="s">
        <v>19</v>
      </c>
      <c r="B4696" s="267">
        <v>44088</v>
      </c>
      <c r="C4696" s="1">
        <v>227</v>
      </c>
      <c r="D4696" s="39">
        <f>C4696+D4672</f>
        <v>5039</v>
      </c>
      <c r="E4696" s="1">
        <f>1+1</f>
        <v>2</v>
      </c>
      <c r="F4696" s="409">
        <f t="shared" si="512"/>
        <v>52</v>
      </c>
      <c r="G4696" s="168">
        <f>SUM(C4696,C4672,C4648,C4624,C4600,C4576,C4552,C4528,C4504,C4480,C4456,C4432,C4408,C4384)/POBLA!$B$15*100000</f>
        <v>301.63073350631043</v>
      </c>
      <c r="H4696" s="256">
        <f t="shared" si="506"/>
        <v>1.7601054481546572</v>
      </c>
      <c r="I4696" s="297">
        <f t="shared" si="510"/>
        <v>530.90189737534251</v>
      </c>
      <c r="J4696" s="297">
        <f t="shared" si="511"/>
        <v>154.28571428571428</v>
      </c>
      <c r="K4696" s="297">
        <f>J4696/POBLA!$B$15*100000</f>
        <v>23.233805875958581</v>
      </c>
      <c r="L4696" s="549">
        <f t="shared" si="507"/>
        <v>-0.17009750812567703</v>
      </c>
      <c r="M4696" s="401">
        <f>SUM(C4696,C4672,C4648,C4624,C4600,C4576,C4552)/POBLA!$B$15*100000</f>
        <v>162.63664113171009</v>
      </c>
    </row>
    <row r="4697" spans="1:13" s="360" customFormat="1" x14ac:dyDescent="0.25">
      <c r="A4697" s="364" t="s">
        <v>18</v>
      </c>
      <c r="B4697" s="267">
        <v>44088</v>
      </c>
      <c r="C4697" s="1">
        <v>135</v>
      </c>
      <c r="D4697" s="39">
        <f>C4697+D4673</f>
        <v>8854</v>
      </c>
      <c r="E4697" s="1">
        <f>4+4</f>
        <v>8</v>
      </c>
      <c r="F4697" s="409">
        <f t="shared" si="512"/>
        <v>161</v>
      </c>
      <c r="G4697" s="168">
        <f>SUM(C4697,C4673,C4649,C4625,C4601,C4577,C4553,C4529,C4505,C4481,C4457,C4433,C4409,C4385)/POBLA!$B$16*100000</f>
        <v>382.28488115461272</v>
      </c>
      <c r="H4697" s="256">
        <f t="shared" si="506"/>
        <v>1.387378640776699</v>
      </c>
      <c r="I4697" s="297">
        <f t="shared" si="510"/>
        <v>530.37387880576853</v>
      </c>
      <c r="J4697" s="297">
        <f t="shared" si="511"/>
        <v>236.57142857142858</v>
      </c>
      <c r="K4697" s="297">
        <f>J4697/POBLA!$B$16*100000</f>
        <v>31.643695051086606</v>
      </c>
      <c r="L4697" s="549">
        <f t="shared" si="507"/>
        <v>-0.37770382695507498</v>
      </c>
      <c r="M4697" s="401">
        <f>SUM(C4697,C4673,C4649,C4625,C4601,C4577,C4553)/POBLA!$B$16*100000</f>
        <v>221.50586535760624</v>
      </c>
    </row>
    <row r="4698" spans="1:13" s="360" customFormat="1" x14ac:dyDescent="0.25">
      <c r="A4698" s="364" t="s">
        <v>34</v>
      </c>
      <c r="B4698" s="267">
        <v>44088</v>
      </c>
      <c r="C4698" s="1">
        <v>229</v>
      </c>
      <c r="D4698" s="39">
        <f>C4698+D4674</f>
        <v>6994</v>
      </c>
      <c r="E4698" s="1">
        <f>4+1</f>
        <v>5</v>
      </c>
      <c r="F4698" s="409">
        <f>E4698+F4674</f>
        <v>94</v>
      </c>
      <c r="G4698" s="168">
        <f>SUM(C4698,C4674,C4650,C4626,C4602,C4578,C4554,C4530,C4506,C4482,C4458,C4434,C4410,C4386)/POBLA!$B$17*100000</f>
        <v>257.93370808840513</v>
      </c>
      <c r="H4698" s="256">
        <f t="shared" si="506"/>
        <v>1.7136194029850746</v>
      </c>
      <c r="I4698" s="297">
        <f t="shared" si="510"/>
        <v>442.00020686417929</v>
      </c>
      <c r="J4698" s="297">
        <f t="shared" si="511"/>
        <v>309.57142857142856</v>
      </c>
      <c r="K4698" s="297">
        <f>J4698/POBLA!$B$17*100000</f>
        <v>21.733507482213774</v>
      </c>
      <c r="L4698" s="549">
        <f t="shared" si="507"/>
        <v>-0.43795620437956195</v>
      </c>
      <c r="M4698" s="401">
        <f>SUM(C4698,C4674,C4650,C4626,C4602,C4578,C4554)/POBLA!$B$17*100000</f>
        <v>152.13455237549644</v>
      </c>
    </row>
    <row r="4699" spans="1:13" s="360" customFormat="1" x14ac:dyDescent="0.25">
      <c r="A4699" s="364" t="s">
        <v>35</v>
      </c>
      <c r="B4699" s="267">
        <v>44088</v>
      </c>
      <c r="C4699" s="1">
        <v>0</v>
      </c>
      <c r="D4699" s="39">
        <f t="shared" ref="D4699:D4705" si="513">C4699+D4675</f>
        <v>417</v>
      </c>
      <c r="E4699" s="1"/>
      <c r="F4699" s="409">
        <f>E4699+F4675</f>
        <v>12</v>
      </c>
      <c r="G4699" s="168">
        <f>SUM(C4699,C4675,C4651,C4627,C4603,C4579,C4555,C4531,C4507,C4483,C4459,C4435,C4411,C4387)/POBLA!$B$18*100000</f>
        <v>24.833048947987564</v>
      </c>
      <c r="H4699" s="256">
        <f t="shared" si="506"/>
        <v>0.96517412935323388</v>
      </c>
      <c r="I4699" s="297">
        <f t="shared" si="510"/>
        <v>23.968216397560138</v>
      </c>
      <c r="J4699" s="297">
        <f t="shared" si="511"/>
        <v>7.5714285714285712</v>
      </c>
      <c r="K4699" s="297">
        <f>J4699/POBLA!$B$18*100000</f>
        <v>0.96918379546637756</v>
      </c>
      <c r="L4699" s="549">
        <f t="shared" si="507"/>
        <v>0.62411347517730498</v>
      </c>
      <c r="M4699" s="401">
        <f>SUM(C4699,C4675,C4651,C4627,C4603,C4579,C4555)/POBLA!$B$18*100000</f>
        <v>6.7842865682646432</v>
      </c>
    </row>
    <row r="4700" spans="1:13" s="360" customFormat="1" x14ac:dyDescent="0.25">
      <c r="A4700" s="364" t="s">
        <v>36</v>
      </c>
      <c r="B4700" s="267">
        <v>44088</v>
      </c>
      <c r="C4700" s="1">
        <v>49</v>
      </c>
      <c r="D4700" s="39">
        <f t="shared" si="513"/>
        <v>432</v>
      </c>
      <c r="E4700" s="1"/>
      <c r="F4700" s="409">
        <f t="shared" si="512"/>
        <v>0</v>
      </c>
      <c r="G4700" s="168">
        <f>SUM(C4700,C4676,C4652,C4628,C4604,C4580,C4556,C4532,C4508,C4484,C4460,C4436,C4412,C4388)/POBLA!$B$19*100000</f>
        <v>56.066162005634162</v>
      </c>
      <c r="H4700" s="256">
        <f t="shared" si="506"/>
        <v>2.5221238938053099</v>
      </c>
      <c r="I4700" s="297">
        <f t="shared" si="510"/>
        <v>141.40580682836935</v>
      </c>
      <c r="J4700" s="297">
        <f t="shared" si="511"/>
        <v>17.857142857142858</v>
      </c>
      <c r="K4700" s="297">
        <f>J4700/POBLA!$B$19*100000</f>
        <v>3.512917418899383</v>
      </c>
      <c r="L4700" s="549">
        <f t="shared" si="507"/>
        <v>0.21875</v>
      </c>
      <c r="M4700" s="401">
        <f>SUM(C4700,C4676,C4652,C4628,C4604,C4580,C4556)/POBLA!$B$19*100000</f>
        <v>24.590421932295683</v>
      </c>
    </row>
    <row r="4701" spans="1:13" s="360" customFormat="1" x14ac:dyDescent="0.25">
      <c r="A4701" s="364" t="s">
        <v>37</v>
      </c>
      <c r="B4701" s="267">
        <v>44088</v>
      </c>
      <c r="C4701" s="1">
        <v>39</v>
      </c>
      <c r="D4701" s="39">
        <f t="shared" si="513"/>
        <v>3108</v>
      </c>
      <c r="E4701" s="1">
        <f>1+11+3</f>
        <v>15</v>
      </c>
      <c r="F4701" s="409">
        <f>E4701+F4677</f>
        <v>36</v>
      </c>
      <c r="G4701" s="168">
        <f>SUM(C4701,C4677,C4653,C4629,C4605,C4581,C4557,C4533,C4509,C4485,C4461,C4437,C4413,C4389)/POBLA!$B$20*100000</f>
        <v>365.60221822378026</v>
      </c>
      <c r="H4701" s="256">
        <f t="shared" si="506"/>
        <v>1.8991477272727273</v>
      </c>
      <c r="I4701" s="297">
        <f t="shared" si="510"/>
        <v>694.33262182555995</v>
      </c>
      <c r="J4701" s="297">
        <f t="shared" si="511"/>
        <v>112.28571428571429</v>
      </c>
      <c r="K4701" s="297">
        <f>J4701/POBLA!$B$20*100000</f>
        <v>30.704492309423156</v>
      </c>
      <c r="L4701" s="549">
        <f t="shared" si="507"/>
        <v>-0.42649727767695089</v>
      </c>
      <c r="M4701" s="401">
        <f>SUM(C4701,C4677,C4653,C4629,C4605,C4581,C4557)/POBLA!$B$20*100000</f>
        <v>214.93144616596209</v>
      </c>
    </row>
    <row r="4702" spans="1:13" s="360" customFormat="1" x14ac:dyDescent="0.25">
      <c r="A4702" s="364" t="s">
        <v>22</v>
      </c>
      <c r="B4702" s="267">
        <v>44088</v>
      </c>
      <c r="C4702" s="1">
        <v>850</v>
      </c>
      <c r="D4702" s="39">
        <f t="shared" si="513"/>
        <v>19467</v>
      </c>
      <c r="E4702" s="1">
        <f>1+10+5</f>
        <v>16</v>
      </c>
      <c r="F4702" s="409">
        <f>E4702+F4678</f>
        <v>212</v>
      </c>
      <c r="G4702" s="168">
        <f>SUM(C4702,C4678,C4654,C4630,C4606,C4582,C4558,C4534,C4510,C4486,C4462,C4438,C4414,C4390)/POBLA!$B$21*100000</f>
        <v>326.94098944185896</v>
      </c>
      <c r="H4702" s="256">
        <f t="shared" si="506"/>
        <v>2.5848423876592892</v>
      </c>
      <c r="I4702" s="297">
        <f t="shared" si="510"/>
        <v>845.09092777258513</v>
      </c>
      <c r="J4702" s="297">
        <f t="shared" si="511"/>
        <v>975.85714285714289</v>
      </c>
      <c r="K4702" s="297">
        <f>J4702/POBLA!$B$21*100000</f>
        <v>27.594507856739302</v>
      </c>
      <c r="L4702" s="549">
        <f t="shared" si="507"/>
        <v>-0.44388078630310712</v>
      </c>
      <c r="M4702" s="401">
        <f>SUM(C4702,C4678,C4654,C4630,C4606,C4582,C4558)/POBLA!$B$21*100000</f>
        <v>193.1615549971751</v>
      </c>
    </row>
    <row r="4703" spans="1:13" s="360" customFormat="1" x14ac:dyDescent="0.25">
      <c r="A4703" s="364" t="s">
        <v>38</v>
      </c>
      <c r="B4703" s="267">
        <v>44088</v>
      </c>
      <c r="C4703" s="1">
        <v>81</v>
      </c>
      <c r="D4703" s="39">
        <f t="shared" si="513"/>
        <v>1913</v>
      </c>
      <c r="E4703" s="1">
        <f>2</f>
        <v>2</v>
      </c>
      <c r="F4703" s="409">
        <f t="shared" si="512"/>
        <v>28</v>
      </c>
      <c r="G4703" s="168">
        <f>SUM(C4703,C4679,C4655,C4631,C4607,C4583,C4559,C4535,C4511,C4487,C4463,C4439,C4415,C4391)/POBLA!$B$22*100000</f>
        <v>99.661355823749645</v>
      </c>
      <c r="H4703" s="256">
        <f t="shared" si="506"/>
        <v>1.5931372549019607</v>
      </c>
      <c r="I4703" s="297">
        <f t="shared" si="510"/>
        <v>158.77421883685605</v>
      </c>
      <c r="J4703" s="297">
        <f t="shared" si="511"/>
        <v>81.428571428571431</v>
      </c>
      <c r="K4703" s="297">
        <f>J4703/POBLA!$B$22*100000</f>
        <v>8.3233659808845868</v>
      </c>
      <c r="L4703" s="549">
        <f t="shared" si="507"/>
        <v>-0.40740740740740744</v>
      </c>
      <c r="M4703" s="401">
        <f>SUM(C4703,C4679,C4655,C4631,C4607,C4583,C4559)/POBLA!$B$22*100000</f>
        <v>58.263561866192106</v>
      </c>
    </row>
    <row r="4704" spans="1:13" s="360" customFormat="1" x14ac:dyDescent="0.25">
      <c r="A4704" s="364" t="s">
        <v>39</v>
      </c>
      <c r="B4704" s="267">
        <v>44088</v>
      </c>
      <c r="C4704" s="1">
        <v>72</v>
      </c>
      <c r="D4704" s="39">
        <f t="shared" si="513"/>
        <v>2777</v>
      </c>
      <c r="E4704" s="1">
        <f>1+1</f>
        <v>2</v>
      </c>
      <c r="F4704" s="409">
        <f>E4704+F4680</f>
        <v>47</v>
      </c>
      <c r="G4704" s="168">
        <f>SUM(C4704,C4680,C4656,C4632,C4608,C4584,C4560,C4536,C4512,C4488,C4464,C4440,C4416,C4392)/POBLA!$B$23*100000</f>
        <v>428.09478029746083</v>
      </c>
      <c r="H4704" s="256">
        <f t="shared" si="506"/>
        <v>1.399260628465804</v>
      </c>
      <c r="I4704" s="297">
        <f t="shared" si="510"/>
        <v>599.01617132195531</v>
      </c>
      <c r="J4704" s="297">
        <f t="shared" si="511"/>
        <v>53.857142857142854</v>
      </c>
      <c r="K4704" s="297">
        <f>J4704/POBLA!$B$23*100000</f>
        <v>30.457016828107704</v>
      </c>
      <c r="L4704" s="549">
        <f t="shared" si="507"/>
        <v>7.8947368421052877E-3</v>
      </c>
      <c r="M4704" s="401">
        <f>SUM(C4704,C4680,C4656,C4632,C4608,C4584,C4560)/POBLA!$B$23*100000</f>
        <v>213.19911779675394</v>
      </c>
    </row>
    <row r="4705" spans="1:13" s="360" customFormat="1" ht="15.75" thickBot="1" x14ac:dyDescent="0.3">
      <c r="A4705" s="365" t="s">
        <v>40</v>
      </c>
      <c r="B4705" s="268">
        <v>44088</v>
      </c>
      <c r="C4705" s="232">
        <v>621</v>
      </c>
      <c r="D4705" s="67">
        <f t="shared" si="513"/>
        <v>7249</v>
      </c>
      <c r="E4705" s="232"/>
      <c r="F4705" s="477">
        <f>E4705+F4681</f>
        <v>19</v>
      </c>
      <c r="G4705" s="177">
        <f>SUM(C4705,C4681,C4657,C4633,C4609,C4585,C4561,C4537,C4513,C4489,C4465,C4441,C4417,C4393)/POBLA!$B$24*100000</f>
        <v>295.39918425922428</v>
      </c>
      <c r="H4705" s="402">
        <f t="shared" si="506"/>
        <v>3.1112492231199504</v>
      </c>
      <c r="I4705" s="403">
        <f t="shared" si="510"/>
        <v>919.06048253677864</v>
      </c>
      <c r="J4705" s="403">
        <f t="shared" si="511"/>
        <v>398</v>
      </c>
      <c r="K4705" s="403">
        <f>J4705/POBLA!$B$24*100000</f>
        <v>23.485592356206805</v>
      </c>
      <c r="L4705" s="550">
        <f t="shared" si="507"/>
        <v>-0.25495495495495502</v>
      </c>
      <c r="M4705" s="405">
        <f>SUM(C4705,C4681,C4657,C4633,C4609,C4585,C4561)/POBLA!$B$24*100000</f>
        <v>164.39914649344763</v>
      </c>
    </row>
    <row r="4706" spans="1:13" s="360" customFormat="1" x14ac:dyDescent="0.25">
      <c r="A4706" s="363" t="s">
        <v>16</v>
      </c>
      <c r="B4706" s="265">
        <v>44089</v>
      </c>
      <c r="C4706" s="43">
        <v>6001</v>
      </c>
      <c r="D4706" s="174">
        <f>C4706+D4682</f>
        <v>342653</v>
      </c>
      <c r="E4706" s="43">
        <f>16+11+32+41</f>
        <v>100</v>
      </c>
      <c r="F4706" s="475">
        <f>E4706+F4682</f>
        <v>7033</v>
      </c>
      <c r="G4706" s="175">
        <f>SUM(C4706,C4682,C4658,C4634,C4610,C4586,C4562,C4538,C4514,C4490,C4466,C4442,C4418,C4394)/POBLA!$B$1*100000</f>
        <v>442.97574485034926</v>
      </c>
      <c r="H4706" s="300">
        <f t="shared" ref="H4706:H4729" si="514">SUM(C4706,C4682,C4658,C4634,C4610,C4586,C4562,C4538,C4514,C4490,C4466,C4442,C4418,C4394)/SUM(C4370,C4346,C4322,C4298,C4274,C4250,C4226,C4202,C4178,C4154,C4130,C4106,C4082,C4058)</f>
        <v>1.0394911104868163</v>
      </c>
      <c r="I4706" s="301">
        <f>G4706*H4706</f>
        <v>460.46934893321418</v>
      </c>
      <c r="J4706" s="301">
        <f>AVERAGE(C4706,C4682,C4658,C4634,C4610,C4586,C4562)</f>
        <v>5523.5714285714284</v>
      </c>
      <c r="K4706" s="301">
        <f>J4706/POBLA!$B$1*100000</f>
        <v>31.489236809460845</v>
      </c>
      <c r="L4706" s="548">
        <f t="shared" ref="L4706:L4729" si="515">1-SUM(C4706,C4682,C4658,C4634,C4610,C4586,C4562)/SUM(C4538,C4514,C4490,C4466,C4442,C4418,C4394)</f>
        <v>9.5547927660228904E-3</v>
      </c>
      <c r="M4706" s="400">
        <f>SUM(C4706,C4682,C4658,C4634,C4610,C4586,C4562)/POBLA!$B$1*100000</f>
        <v>220.42465766622593</v>
      </c>
    </row>
    <row r="4707" spans="1:13" s="360" customFormat="1" x14ac:dyDescent="0.25">
      <c r="A4707" s="367" t="s">
        <v>43</v>
      </c>
      <c r="B4707" s="267">
        <v>44089</v>
      </c>
      <c r="C4707" s="1">
        <v>1010</v>
      </c>
      <c r="D4707" s="39">
        <f t="shared" ref="D4707:D4719" si="516">C4707+D4683</f>
        <v>112856</v>
      </c>
      <c r="E4707" s="1">
        <f>6+2+12+6</f>
        <v>26</v>
      </c>
      <c r="F4707" s="409">
        <f>E4707+F4683</f>
        <v>2791</v>
      </c>
      <c r="G4707" s="168">
        <f>SUM(C4707,C4683,C4659,C4635,C4611,C4587,C4563,C4539,C4515,C4491,C4467,C4443,C4419,C4395)/POBLA!$B$2*100000</f>
        <v>515.56648586996039</v>
      </c>
      <c r="H4707" s="256">
        <f t="shared" si="514"/>
        <v>0.89350312728911929</v>
      </c>
      <c r="I4707" s="297">
        <f t="shared" ref="I4707:I4729" si="517">G4707*H4707</f>
        <v>460.66026745027114</v>
      </c>
      <c r="J4707" s="297">
        <f t="shared" ref="J4707:J4729" si="518">AVERAGE(C4707,C4683,C4659,C4635,C4611,C4587,C4563)</f>
        <v>1078.1428571428571</v>
      </c>
      <c r="K4707" s="297">
        <f>J4707/POBLA!$B$2*100000</f>
        <v>35.054192099573783</v>
      </c>
      <c r="L4707" s="549">
        <f t="shared" si="515"/>
        <v>9.1817087845968759E-2</v>
      </c>
      <c r="M4707" s="401">
        <f>SUM(C4707,C4683,C4659,C4635,C4611,C4587,C4563)/POBLA!$B$2*100000</f>
        <v>245.37934469701651</v>
      </c>
    </row>
    <row r="4708" spans="1:13" s="360" customFormat="1" x14ac:dyDescent="0.25">
      <c r="A4708" s="367" t="s">
        <v>28</v>
      </c>
      <c r="B4708" s="267">
        <v>44089</v>
      </c>
      <c r="C4708" s="1">
        <v>4</v>
      </c>
      <c r="D4708" s="39">
        <f t="shared" si="516"/>
        <v>133</v>
      </c>
      <c r="E4708" s="1"/>
      <c r="F4708" s="409">
        <f>E4708+F4684</f>
        <v>0</v>
      </c>
      <c r="G4708" s="168">
        <f>SUM(C4708,C4684,C4660,C4636,C4612,C4588,C4564,C4540,C4516,C4492,C4468,C4444,C4420,C4396)/POBLA!$B$3*100000</f>
        <v>15.886847134831191</v>
      </c>
      <c r="H4708" s="256">
        <f t="shared" si="514"/>
        <v>22</v>
      </c>
      <c r="I4708" s="297">
        <f t="shared" si="517"/>
        <v>349.5106369662862</v>
      </c>
      <c r="J4708" s="297">
        <f t="shared" si="518"/>
        <v>5.2857142857142856</v>
      </c>
      <c r="K4708" s="297">
        <f>J4708/POBLA!$B$3*100000</f>
        <v>1.2723232553869135</v>
      </c>
      <c r="L4708" s="549">
        <f t="shared" si="515"/>
        <v>-0.27586206896551735</v>
      </c>
      <c r="M4708" s="401">
        <f>SUM(C4708,C4684,C4660,C4636,C4612,C4588,C4564)/POBLA!$B$3*100000</f>
        <v>8.9062627877083944</v>
      </c>
    </row>
    <row r="4709" spans="1:13" s="360" customFormat="1" x14ac:dyDescent="0.25">
      <c r="A4709" s="367" t="s">
        <v>15</v>
      </c>
      <c r="B4709" s="267">
        <v>44089</v>
      </c>
      <c r="C4709" s="1">
        <v>87</v>
      </c>
      <c r="D4709" s="39">
        <f t="shared" si="516"/>
        <v>6879</v>
      </c>
      <c r="E4709" s="1">
        <f>1+1</f>
        <v>2</v>
      </c>
      <c r="F4709" s="409">
        <f t="shared" ref="F4709:F4727" si="519">E4709+F4685</f>
        <v>244</v>
      </c>
      <c r="G4709" s="168">
        <f>SUM(C4709,C4685,C4661,C4637,C4613,C4589,C4565,C4541,C4517,C4493,C4469,C4445,C4421,C4397)/POBLA!$B$4*100000</f>
        <v>115.14759564016501</v>
      </c>
      <c r="H4709" s="256">
        <f t="shared" si="514"/>
        <v>1.4708377518557794</v>
      </c>
      <c r="I4709" s="297">
        <f t="shared" si="517"/>
        <v>169.36343070297863</v>
      </c>
      <c r="J4709" s="297">
        <f t="shared" si="518"/>
        <v>104.14285714285714</v>
      </c>
      <c r="K4709" s="297">
        <f>J4709/POBLA!$B$4*100000</f>
        <v>8.6458540757730233</v>
      </c>
      <c r="L4709" s="549">
        <f t="shared" si="515"/>
        <v>-0.10790273556231011</v>
      </c>
      <c r="M4709" s="401">
        <f>SUM(C4709,C4685,C4661,C4637,C4613,C4589,C4565)/POBLA!$B$4*100000</f>
        <v>60.520978530411163</v>
      </c>
    </row>
    <row r="4710" spans="1:13" s="360" customFormat="1" x14ac:dyDescent="0.25">
      <c r="A4710" s="367" t="s">
        <v>29</v>
      </c>
      <c r="B4710" s="267">
        <v>44089</v>
      </c>
      <c r="C4710" s="1">
        <v>98</v>
      </c>
      <c r="D4710" s="39">
        <f t="shared" si="516"/>
        <v>1855</v>
      </c>
      <c r="E4710" s="1">
        <f>1+2</f>
        <v>3</v>
      </c>
      <c r="F4710" s="409">
        <f t="shared" si="519"/>
        <v>23</v>
      </c>
      <c r="G4710" s="168">
        <f>SUM(C4710,C4686,C4662,C4638,C4614,C4590,C4566,C4542,C4518,C4494,C4470,C4446,C4422,C4398)/POBLA!$B$5*100000</f>
        <v>145.39720901979663</v>
      </c>
      <c r="H4710" s="256">
        <f t="shared" si="514"/>
        <v>1.6949152542372881</v>
      </c>
      <c r="I4710" s="297">
        <f t="shared" si="517"/>
        <v>246.43594749118071</v>
      </c>
      <c r="J4710" s="297">
        <f t="shared" si="518"/>
        <v>76.142857142857139</v>
      </c>
      <c r="K4710" s="297">
        <f>J4710/POBLA!$B$5*100000</f>
        <v>12.30106546151613</v>
      </c>
      <c r="L4710" s="549">
        <f t="shared" si="515"/>
        <v>-0.45231607629427795</v>
      </c>
      <c r="M4710" s="401">
        <f>SUM(C4710,C4686,C4662,C4638,C4614,C4590,C4566)/POBLA!$B$5*100000</f>
        <v>86.107458230612892</v>
      </c>
    </row>
    <row r="4711" spans="1:13" s="360" customFormat="1" x14ac:dyDescent="0.25">
      <c r="A4711" s="367" t="s">
        <v>20</v>
      </c>
      <c r="B4711" s="267">
        <v>44089</v>
      </c>
      <c r="C4711" s="1">
        <v>719</v>
      </c>
      <c r="D4711" s="39">
        <f t="shared" si="516"/>
        <v>15693</v>
      </c>
      <c r="E4711" s="1">
        <f>4+4</f>
        <v>8</v>
      </c>
      <c r="F4711" s="409">
        <f t="shared" si="519"/>
        <v>212</v>
      </c>
      <c r="G4711" s="168">
        <f>SUM(C4711,C4687,C4663,C4639,C4615,C4591,C4567,C4543,C4519,C4495,C4471,C4447,C4423,C4399)/POBLA!$B$6*100000</f>
        <v>604.83529190284457</v>
      </c>
      <c r="H4711" s="256">
        <f t="shared" si="514"/>
        <v>1.7280142747897018</v>
      </c>
      <c r="I4711" s="297">
        <f t="shared" si="517"/>
        <v>1045.1640183047116</v>
      </c>
      <c r="J4711" s="297">
        <f t="shared" si="518"/>
        <v>529.14285714285711</v>
      </c>
      <c r="K4711" s="297">
        <f>J4711/POBLA!$B$6*100000</f>
        <v>47.211133568122897</v>
      </c>
      <c r="L4711" s="549">
        <f t="shared" si="515"/>
        <v>-0.20455284552845532</v>
      </c>
      <c r="M4711" s="401">
        <f>SUM(C4711,C4687,C4663,C4639,C4615,C4591,C4567)/POBLA!$B$6*100000</f>
        <v>330.4779349768603</v>
      </c>
    </row>
    <row r="4712" spans="1:13" s="360" customFormat="1" x14ac:dyDescent="0.25">
      <c r="A4712" s="367" t="s">
        <v>30</v>
      </c>
      <c r="B4712" s="267">
        <v>44089</v>
      </c>
      <c r="C4712" s="1">
        <v>60</v>
      </c>
      <c r="D4712" s="39">
        <f t="shared" si="516"/>
        <v>778</v>
      </c>
      <c r="E4712" s="1"/>
      <c r="F4712" s="409">
        <f t="shared" si="519"/>
        <v>6</v>
      </c>
      <c r="G4712" s="168">
        <f>SUM(C4712,C4688,C4664,C4640,C4616,C4592,C4568,C4544,C4520,C4496,C4472,C4448,C4424,C4400)/POBLA!$B$7*100000</f>
        <v>12.338948796021752</v>
      </c>
      <c r="H4712" s="256">
        <f t="shared" si="514"/>
        <v>5.7283950617283947</v>
      </c>
      <c r="I4712" s="297">
        <f t="shared" si="517"/>
        <v>70.682373350050526</v>
      </c>
      <c r="J4712" s="297">
        <f t="shared" si="518"/>
        <v>53.142857142857146</v>
      </c>
      <c r="K4712" s="297">
        <f>J4712/POBLA!$B$7*100000</f>
        <v>1.4132047266379595</v>
      </c>
      <c r="L4712" s="549">
        <f t="shared" si="515"/>
        <v>-3.0434782608695654</v>
      </c>
      <c r="M4712" s="401">
        <f>SUM(C4712,C4688,C4664,C4640,C4616,C4592,C4568)/POBLA!$B$7*100000</f>
        <v>9.8924330864657151</v>
      </c>
    </row>
    <row r="4713" spans="1:13" x14ac:dyDescent="0.25">
      <c r="A4713" s="367" t="s">
        <v>31</v>
      </c>
      <c r="B4713" s="267">
        <v>44089</v>
      </c>
      <c r="C4713" s="1">
        <v>189</v>
      </c>
      <c r="D4713" s="39">
        <f t="shared" si="516"/>
        <v>5499</v>
      </c>
      <c r="E4713" s="1">
        <f>3+2</f>
        <v>5</v>
      </c>
      <c r="F4713" s="409">
        <f t="shared" si="519"/>
        <v>94</v>
      </c>
      <c r="G4713" s="168">
        <f>SUM(C4713,C4689,C4665,C4641,C4617,C4593,C4569,C4545,C4521,C4497,C4473,C4449,C4425,C4401)/POBLA!$B$8*100000</f>
        <v>133.40923734506237</v>
      </c>
      <c r="H4713" s="256">
        <f t="shared" si="514"/>
        <v>0.97315789473684211</v>
      </c>
      <c r="I4713" s="297">
        <f t="shared" si="517"/>
        <v>129.8282525531686</v>
      </c>
      <c r="J4713" s="297">
        <f t="shared" si="518"/>
        <v>131.71428571428572</v>
      </c>
      <c r="K4713" s="297">
        <f>J4713/POBLA!$B$8*100000</f>
        <v>9.5034626309315868</v>
      </c>
      <c r="L4713" s="549">
        <f t="shared" si="515"/>
        <v>5.3937432578209377E-3</v>
      </c>
      <c r="M4713" s="401">
        <f>SUM(C4713,C4689,C4665,C4641,C4617,C4593,C4569)/POBLA!$B$8*100000</f>
        <v>66.524238416521101</v>
      </c>
    </row>
    <row r="4714" spans="1:13" s="360" customFormat="1" x14ac:dyDescent="0.25">
      <c r="A4714" s="367" t="s">
        <v>41</v>
      </c>
      <c r="B4714" s="267">
        <v>44089</v>
      </c>
      <c r="C4714" s="1">
        <v>3</v>
      </c>
      <c r="D4714" s="39">
        <f t="shared" si="516"/>
        <v>98</v>
      </c>
      <c r="E4714" s="1"/>
      <c r="F4714" s="409">
        <f>E4714+F4690</f>
        <v>1</v>
      </c>
      <c r="G4714" s="168">
        <f>SUM(C4714,C4690,C4666,C4642,C4618,C4594,C4570,C4546,C4522,C4498,C4474,C4450,C4426,C4402)/POBLA!$B$9*100000</f>
        <v>2.4785481656265027</v>
      </c>
      <c r="H4714" s="256">
        <f t="shared" si="514"/>
        <v>3.75</v>
      </c>
      <c r="I4714" s="297">
        <f t="shared" si="517"/>
        <v>9.2945556210993843</v>
      </c>
      <c r="J4714" s="297">
        <f t="shared" si="518"/>
        <v>1.1428571428571428</v>
      </c>
      <c r="K4714" s="297">
        <f>J4714/POBLA!$B$9*100000</f>
        <v>0.18884176500011449</v>
      </c>
      <c r="L4714" s="549">
        <f t="shared" si="515"/>
        <v>-0.14285714285714279</v>
      </c>
      <c r="M4714" s="401">
        <f>SUM(C4714,C4690,C4666,C4642,C4618,C4594,C4570)/POBLA!$B$9*100000</f>
        <v>1.3218923550008015</v>
      </c>
    </row>
    <row r="4715" spans="1:13" s="360" customFormat="1" x14ac:dyDescent="0.25">
      <c r="A4715" s="367" t="s">
        <v>32</v>
      </c>
      <c r="B4715" s="267">
        <v>44089</v>
      </c>
      <c r="C4715" s="1">
        <v>331</v>
      </c>
      <c r="D4715" s="39">
        <f t="shared" si="516"/>
        <v>12730</v>
      </c>
      <c r="E4715" s="1">
        <f>5+5</f>
        <v>10</v>
      </c>
      <c r="F4715" s="409">
        <f t="shared" si="519"/>
        <v>276</v>
      </c>
      <c r="G4715" s="168">
        <f>SUM(C4715,C4691,C4667,C4643,C4619,C4595,C4571,C4547,C4523,C4499,C4475,C4451,C4427,C4403)/POBLA!$B$10*100000</f>
        <v>543.27451318686019</v>
      </c>
      <c r="H4715" s="256">
        <f t="shared" si="514"/>
        <v>1.2633484162895927</v>
      </c>
      <c r="I4715" s="297">
        <f t="shared" si="517"/>
        <v>686.34499584511923</v>
      </c>
      <c r="J4715" s="297">
        <f t="shared" si="518"/>
        <v>279.42857142857144</v>
      </c>
      <c r="K4715" s="297">
        <f>J4715/POBLA!$B$10*100000</f>
        <v>36.247951555242821</v>
      </c>
      <c r="L4715" s="549">
        <f t="shared" si="515"/>
        <v>0.12365591397849462</v>
      </c>
      <c r="M4715" s="401">
        <f>SUM(C4715,C4691,C4667,C4643,C4619,C4595,C4571)/POBLA!$B$10*100000</f>
        <v>253.73566088669978</v>
      </c>
    </row>
    <row r="4716" spans="1:13" s="360" customFormat="1" x14ac:dyDescent="0.25">
      <c r="A4716" s="367" t="s">
        <v>33</v>
      </c>
      <c r="B4716" s="267">
        <v>44089</v>
      </c>
      <c r="C4716" s="1">
        <v>24</v>
      </c>
      <c r="D4716" s="39">
        <f t="shared" si="516"/>
        <v>466</v>
      </c>
      <c r="E4716" s="1"/>
      <c r="F4716" s="409">
        <f t="shared" si="519"/>
        <v>4</v>
      </c>
      <c r="G4716" s="168">
        <f>SUM(C4716,C4692,C4668,C4644,C4620,C4596,C4572,C4548,C4524,C4500,C4476,C4452,C4428,C4404)/POBLA!$B$11*100000</f>
        <v>70.864999386208666</v>
      </c>
      <c r="H4716" s="256">
        <f t="shared" si="514"/>
        <v>9.0714285714285712</v>
      </c>
      <c r="I4716" s="297">
        <f t="shared" si="517"/>
        <v>642.84678014632141</v>
      </c>
      <c r="J4716" s="297">
        <f t="shared" si="518"/>
        <v>31.285714285714285</v>
      </c>
      <c r="K4716" s="297">
        <f>J4716/POBLA!$B$11*100000</f>
        <v>8.7285910380088296</v>
      </c>
      <c r="L4716" s="549">
        <f t="shared" si="515"/>
        <v>-5.2571428571428571</v>
      </c>
      <c r="M4716" s="401">
        <f>SUM(C4716,C4692,C4668,C4644,C4620,C4596,C4572)/POBLA!$B$11*100000</f>
        <v>61.1001372660618</v>
      </c>
    </row>
    <row r="4717" spans="1:13" s="360" customFormat="1" x14ac:dyDescent="0.25">
      <c r="A4717" s="367" t="s">
        <v>21</v>
      </c>
      <c r="B4717" s="267">
        <v>44089</v>
      </c>
      <c r="C4717" s="1">
        <v>124</v>
      </c>
      <c r="D4717" s="39">
        <f t="shared" si="516"/>
        <v>3006</v>
      </c>
      <c r="E4717" s="1">
        <f>2+3</f>
        <v>5</v>
      </c>
      <c r="F4717" s="409">
        <f t="shared" si="519"/>
        <v>87</v>
      </c>
      <c r="G4717" s="168">
        <f>SUM(C4717,C4693,C4669,C4645,C4621,C4597,C4573,C4549,C4525,C4501,C4477,C4453,C4429,C4405)/POBLA!$B$12*100000</f>
        <v>350.16301130025334</v>
      </c>
      <c r="H4717" s="256">
        <f t="shared" si="514"/>
        <v>1.7734877734877734</v>
      </c>
      <c r="I4717" s="297">
        <f t="shared" si="517"/>
        <v>621.00981926866029</v>
      </c>
      <c r="J4717" s="297">
        <f t="shared" si="518"/>
        <v>113</v>
      </c>
      <c r="K4717" s="297">
        <f>J4717/POBLA!$B$12*100000</f>
        <v>28.714383364969979</v>
      </c>
      <c r="L4717" s="549">
        <f t="shared" si="515"/>
        <v>-0.34752981260647364</v>
      </c>
      <c r="M4717" s="401">
        <f>SUM(C4717,C4693,C4669,C4645,C4621,C4597,C4573)/POBLA!$B$12*100000</f>
        <v>201.00068355478982</v>
      </c>
    </row>
    <row r="4718" spans="1:13" s="360" customFormat="1" x14ac:dyDescent="0.25">
      <c r="A4718" s="367" t="s">
        <v>17</v>
      </c>
      <c r="B4718" s="267">
        <v>44089</v>
      </c>
      <c r="C4718" s="1">
        <v>629</v>
      </c>
      <c r="D4718" s="39">
        <f t="shared" si="516"/>
        <v>15761</v>
      </c>
      <c r="E4718" s="1">
        <f>2+1</f>
        <v>3</v>
      </c>
      <c r="F4718" s="409">
        <f t="shared" si="519"/>
        <v>156</v>
      </c>
      <c r="G4718" s="168">
        <f>SUM(C4718,C4694,C4670,C4646,C4622,C4598,C4574,C4550,C4526,C4502,C4478,C4454,C4430,C4406)/POBLA!$B$13*100000</f>
        <v>430.58013262069056</v>
      </c>
      <c r="H4718" s="256">
        <f t="shared" si="514"/>
        <v>2.4019058295964126</v>
      </c>
      <c r="I4718" s="297">
        <f t="shared" si="517"/>
        <v>1034.2129306500331</v>
      </c>
      <c r="J4718" s="297">
        <f t="shared" si="518"/>
        <v>703.57142857142856</v>
      </c>
      <c r="K4718" s="297">
        <f>J4718/POBLA!$B$13*100000</f>
        <v>35.349344109966673</v>
      </c>
      <c r="L4718" s="549">
        <f t="shared" si="515"/>
        <v>-0.35116598079561046</v>
      </c>
      <c r="M4718" s="401">
        <f>SUM(C4718,C4694,C4670,C4646,C4622,C4598,C4574)/POBLA!$B$13*100000</f>
        <v>247.44540876976674</v>
      </c>
    </row>
    <row r="4719" spans="1:13" s="360" customFormat="1" x14ac:dyDescent="0.25">
      <c r="A4719" s="367" t="s">
        <v>23</v>
      </c>
      <c r="B4719" s="267">
        <v>44089</v>
      </c>
      <c r="C4719" s="1">
        <v>-8</v>
      </c>
      <c r="D4719" s="39">
        <f t="shared" si="516"/>
        <v>60</v>
      </c>
      <c r="E4719" s="1"/>
      <c r="F4719" s="409">
        <f t="shared" si="519"/>
        <v>2</v>
      </c>
      <c r="G4719" s="168">
        <f>SUM(C4719,C4695,C4671,C4647,C4623,C4599,C4575,C4551,C4527,C4503,C4479,C4455,C4431,C4407)/POBLA!$B$14*100000</f>
        <v>-0.47570193785112752</v>
      </c>
      <c r="H4719" s="256">
        <f t="shared" si="514"/>
        <v>-0.54545454545454541</v>
      </c>
      <c r="I4719" s="297">
        <f t="shared" si="517"/>
        <v>0.25947378428243317</v>
      </c>
      <c r="J4719" s="297">
        <f t="shared" si="518"/>
        <v>-1.2857142857142858</v>
      </c>
      <c r="K4719" s="297">
        <f>J4719/POBLA!$B$14*100000</f>
        <v>-0.10193612953952733</v>
      </c>
      <c r="L4719" s="549">
        <f t="shared" si="515"/>
        <v>4</v>
      </c>
      <c r="M4719" s="401">
        <f>SUM(C4719,C4695,C4671,C4647,C4623,C4599,C4575)/POBLA!$B$14*100000</f>
        <v>-0.71355290677669125</v>
      </c>
    </row>
    <row r="4720" spans="1:13" s="360" customFormat="1" x14ac:dyDescent="0.25">
      <c r="A4720" s="367" t="s">
        <v>19</v>
      </c>
      <c r="B4720" s="267">
        <v>44089</v>
      </c>
      <c r="C4720" s="1">
        <v>120</v>
      </c>
      <c r="D4720" s="39">
        <f>C4720+D4696</f>
        <v>5159</v>
      </c>
      <c r="E4720" s="1">
        <f>1</f>
        <v>1</v>
      </c>
      <c r="F4720" s="409">
        <f t="shared" si="519"/>
        <v>53</v>
      </c>
      <c r="G4720" s="168">
        <f>SUM(C4720,C4696,C4672,C4648,C4624,C4600,C4576,C4552,C4528,C4504,C4480,C4456,C4432,C4408)/POBLA!$B$15*100000</f>
        <v>299.22130178584069</v>
      </c>
      <c r="H4720" s="256">
        <f t="shared" si="514"/>
        <v>1.5757335448057097</v>
      </c>
      <c r="I4720" s="297">
        <f t="shared" si="517"/>
        <v>471.49304254438181</v>
      </c>
      <c r="J4720" s="297">
        <f t="shared" si="518"/>
        <v>158.57142857142858</v>
      </c>
      <c r="K4720" s="297">
        <f>J4720/POBLA!$B$15*100000</f>
        <v>23.87918937251299</v>
      </c>
      <c r="L4720" s="549">
        <f t="shared" si="515"/>
        <v>-0.26567844925883688</v>
      </c>
      <c r="M4720" s="401">
        <f>SUM(C4720,C4696,C4672,C4648,C4624,C4600,C4576)/POBLA!$B$15*100000</f>
        <v>167.15432560759092</v>
      </c>
    </row>
    <row r="4721" spans="1:13" s="360" customFormat="1" x14ac:dyDescent="0.25">
      <c r="A4721" s="367" t="s">
        <v>18</v>
      </c>
      <c r="B4721" s="267">
        <v>44089</v>
      </c>
      <c r="C4721" s="1">
        <v>375</v>
      </c>
      <c r="D4721" s="39">
        <f>C4721+D4697</f>
        <v>9229</v>
      </c>
      <c r="E4721" s="1">
        <f>3+4</f>
        <v>7</v>
      </c>
      <c r="F4721" s="409">
        <f t="shared" si="519"/>
        <v>168</v>
      </c>
      <c r="G4721" s="168">
        <f>SUM(C4721,C4697,C4673,C4649,C4625,C4601,C4577,C4553,C4529,C4505,C4481,C4457,C4433,C4409)/POBLA!$B$16*100000</f>
        <v>408.50175893848393</v>
      </c>
      <c r="H4721" s="256">
        <f t="shared" si="514"/>
        <v>1.4535935268919562</v>
      </c>
      <c r="I4721" s="297">
        <f t="shared" si="517"/>
        <v>593.79551251695852</v>
      </c>
      <c r="J4721" s="297">
        <f t="shared" si="518"/>
        <v>247.42857142857142</v>
      </c>
      <c r="K4721" s="297">
        <f>J4721/POBLA!$B$16*100000</f>
        <v>33.095941925411829</v>
      </c>
      <c r="L4721" s="549">
        <f t="shared" si="515"/>
        <v>-0.31013615733736755</v>
      </c>
      <c r="M4721" s="401">
        <f>SUM(C4721,C4697,C4673,C4649,C4625,C4601,C4577)/POBLA!$B$16*100000</f>
        <v>231.67159347788285</v>
      </c>
    </row>
    <row r="4722" spans="1:13" s="360" customFormat="1" x14ac:dyDescent="0.25">
      <c r="A4722" s="367" t="s">
        <v>34</v>
      </c>
      <c r="B4722" s="267">
        <v>44089</v>
      </c>
      <c r="C4722" s="1">
        <v>309</v>
      </c>
      <c r="D4722" s="39">
        <f>C4722+D4698</f>
        <v>7303</v>
      </c>
      <c r="E4722" s="1">
        <f>1+1+3</f>
        <v>5</v>
      </c>
      <c r="F4722" s="409">
        <f>E4722+F4698</f>
        <v>99</v>
      </c>
      <c r="G4722" s="168">
        <f>SUM(C4722,C4698,C4674,C4650,C4626,C4602,C4578,C4554,C4530,C4506,C4482,C4458,C4434,C4410)/POBLA!$B$17*100000</f>
        <v>266.77955654217186</v>
      </c>
      <c r="H4722" s="256">
        <f t="shared" si="514"/>
        <v>1.7148014440433212</v>
      </c>
      <c r="I4722" s="297">
        <f t="shared" si="517"/>
        <v>457.47396879975315</v>
      </c>
      <c r="J4722" s="297">
        <f t="shared" si="518"/>
        <v>313.42857142857144</v>
      </c>
      <c r="K4722" s="297">
        <f>J4722/POBLA!$B$17*100000</f>
        <v>22.00429876141072</v>
      </c>
      <c r="L4722" s="549">
        <f t="shared" si="515"/>
        <v>-0.36612702366127015</v>
      </c>
      <c r="M4722" s="401">
        <f>SUM(C4722,C4698,C4674,C4650,C4626,C4602,C4578)/POBLA!$B$17*100000</f>
        <v>154.03009132987503</v>
      </c>
    </row>
    <row r="4723" spans="1:13" s="360" customFormat="1" x14ac:dyDescent="0.25">
      <c r="A4723" s="367" t="s">
        <v>35</v>
      </c>
      <c r="B4723" s="267">
        <v>44089</v>
      </c>
      <c r="C4723" s="1">
        <v>11</v>
      </c>
      <c r="D4723" s="39">
        <f t="shared" ref="D4723:D4729" si="520">C4723+D4699</f>
        <v>428</v>
      </c>
      <c r="E4723" s="1"/>
      <c r="F4723" s="409">
        <f>E4723+F4699</f>
        <v>12</v>
      </c>
      <c r="G4723" s="168">
        <f>SUM(C4723,C4699,C4675,C4651,C4627,C4603,C4579,C4555,C4531,C4507,C4483,C4459,C4435,C4411)/POBLA!$B$18*100000</f>
        <v>26.241108424419846</v>
      </c>
      <c r="H4723" s="256">
        <f t="shared" si="514"/>
        <v>1.0199004975124377</v>
      </c>
      <c r="I4723" s="297">
        <f t="shared" si="517"/>
        <v>26.763319537343619</v>
      </c>
      <c r="J4723" s="297">
        <f t="shared" si="518"/>
        <v>6.8571428571428568</v>
      </c>
      <c r="K4723" s="297">
        <f>J4723/POBLA!$B$18*100000</f>
        <v>0.87775136193181369</v>
      </c>
      <c r="L4723" s="549">
        <f t="shared" si="515"/>
        <v>0.69426751592356695</v>
      </c>
      <c r="M4723" s="401">
        <f>SUM(C4723,C4699,C4675,C4651,C4627,C4603,C4579)/POBLA!$B$18*100000</f>
        <v>6.1442595335226953</v>
      </c>
    </row>
    <row r="4724" spans="1:13" s="360" customFormat="1" x14ac:dyDescent="0.25">
      <c r="A4724" s="367" t="s">
        <v>36</v>
      </c>
      <c r="B4724" s="267">
        <v>44089</v>
      </c>
      <c r="C4724" s="1">
        <v>51</v>
      </c>
      <c r="D4724" s="39">
        <f t="shared" si="520"/>
        <v>483</v>
      </c>
      <c r="E4724" s="1"/>
      <c r="F4724" s="409">
        <f t="shared" si="519"/>
        <v>0</v>
      </c>
      <c r="G4724" s="168">
        <f>SUM(C4724,C4700,C4676,C4652,C4628,C4604,C4580,C4556,C4532,C4508,C4484,C4460,C4436,C4412)/POBLA!$B$19*100000</f>
        <v>64.328543774885503</v>
      </c>
      <c r="H4724" s="256">
        <f t="shared" si="514"/>
        <v>2.7250000000000001</v>
      </c>
      <c r="I4724" s="297">
        <f t="shared" si="517"/>
        <v>175.29528178656301</v>
      </c>
      <c r="J4724" s="297">
        <f t="shared" si="518"/>
        <v>22.571428571428573</v>
      </c>
      <c r="K4724" s="297">
        <f>J4724/POBLA!$B$19*100000</f>
        <v>4.4403276174888209</v>
      </c>
      <c r="L4724" s="549">
        <f t="shared" si="515"/>
        <v>6.5088757396449703E-2</v>
      </c>
      <c r="M4724" s="401">
        <f>SUM(C4724,C4700,C4676,C4652,C4628,C4604,C4580)/POBLA!$B$19*100000</f>
        <v>31.082293322421744</v>
      </c>
    </row>
    <row r="4725" spans="1:13" s="360" customFormat="1" x14ac:dyDescent="0.25">
      <c r="A4725" s="367" t="s">
        <v>37</v>
      </c>
      <c r="B4725" s="267">
        <v>44089</v>
      </c>
      <c r="C4725" s="1">
        <v>84</v>
      </c>
      <c r="D4725" s="39">
        <f t="shared" si="520"/>
        <v>3192</v>
      </c>
      <c r="E4725" s="1"/>
      <c r="F4725" s="409">
        <f>E4725+F4701</f>
        <v>36</v>
      </c>
      <c r="G4725" s="168">
        <f>SUM(C4725,C4701,C4677,C4653,C4629,C4605,C4581,C4557,C4533,C4509,C4485,C4461,C4437,C4413)/POBLA!$B$20*100000</f>
        <v>378.45435304540905</v>
      </c>
      <c r="H4725" s="256">
        <f t="shared" si="514"/>
        <v>1.9248956884561892</v>
      </c>
      <c r="I4725" s="297">
        <f t="shared" si="517"/>
        <v>728.48515245458429</v>
      </c>
      <c r="J4725" s="297">
        <f t="shared" si="518"/>
        <v>113.42857142857143</v>
      </c>
      <c r="K4725" s="297">
        <f>J4725/POBLA!$B$20*100000</f>
        <v>31.017006226058506</v>
      </c>
      <c r="L4725" s="549">
        <f t="shared" si="515"/>
        <v>-0.34576271186440688</v>
      </c>
      <c r="M4725" s="401">
        <f>SUM(C4725,C4701,C4677,C4653,C4629,C4605,C4581)/POBLA!$B$20*100000</f>
        <v>217.11904358240955</v>
      </c>
    </row>
    <row r="4726" spans="1:13" s="360" customFormat="1" x14ac:dyDescent="0.25">
      <c r="A4726" s="367" t="s">
        <v>22</v>
      </c>
      <c r="B4726" s="267">
        <v>44089</v>
      </c>
      <c r="C4726" s="1">
        <v>1056</v>
      </c>
      <c r="D4726" s="39">
        <f t="shared" si="520"/>
        <v>20523</v>
      </c>
      <c r="E4726" s="1">
        <f>3+4</f>
        <v>7</v>
      </c>
      <c r="F4726" s="409">
        <f>E4726+F4702</f>
        <v>219</v>
      </c>
      <c r="G4726" s="168">
        <f>SUM(C4726,C4702,C4678,C4654,C4630,C4606,C4582,C4558,C4534,C4510,C4486,C4462,C4438,C4414)/POBLA!$B$21*100000</f>
        <v>337.65804834157046</v>
      </c>
      <c r="H4726" s="256">
        <f t="shared" si="514"/>
        <v>2.3782115116510654</v>
      </c>
      <c r="I4726" s="297">
        <f t="shared" si="517"/>
        <v>803.02225756755479</v>
      </c>
      <c r="J4726" s="297">
        <f t="shared" si="518"/>
        <v>987.28571428571433</v>
      </c>
      <c r="K4726" s="297">
        <f>J4726/POBLA!$B$21*100000</f>
        <v>27.917675859746058</v>
      </c>
      <c r="L4726" s="549">
        <f t="shared" si="515"/>
        <v>-0.37395626242544733</v>
      </c>
      <c r="M4726" s="401">
        <f>SUM(C4726,C4702,C4678,C4654,C4630,C4606,C4582)/POBLA!$B$21*100000</f>
        <v>195.42373101822238</v>
      </c>
    </row>
    <row r="4727" spans="1:13" s="360" customFormat="1" x14ac:dyDescent="0.25">
      <c r="A4727" s="367" t="s">
        <v>38</v>
      </c>
      <c r="B4727" s="267">
        <v>44089</v>
      </c>
      <c r="C4727" s="1">
        <v>69</v>
      </c>
      <c r="D4727" s="39">
        <f t="shared" si="520"/>
        <v>1982</v>
      </c>
      <c r="E4727" s="1"/>
      <c r="F4727" s="409">
        <f t="shared" si="519"/>
        <v>28</v>
      </c>
      <c r="G4727" s="168">
        <f>SUM(C4727,C4703,C4679,C4655,C4631,C4607,C4583,C4559,C4535,C4511,C4487,C4463,C4439,C4415)/POBLA!$B$22*100000</f>
        <v>102.83007585506888</v>
      </c>
      <c r="H4727" s="256">
        <f t="shared" si="514"/>
        <v>1.5768025078369905</v>
      </c>
      <c r="I4727" s="297">
        <f t="shared" si="517"/>
        <v>162.14272148934057</v>
      </c>
      <c r="J4727" s="297">
        <f t="shared" si="518"/>
        <v>84.714285714285708</v>
      </c>
      <c r="K4727" s="297">
        <f>J4727/POBLA!$B$22*100000</f>
        <v>8.6592210994115089</v>
      </c>
      <c r="L4727" s="549">
        <f t="shared" si="515"/>
        <v>-0.43583535108958849</v>
      </c>
      <c r="M4727" s="401">
        <f>SUM(C4727,C4703,C4679,C4655,C4631,C4607,C4583)/POBLA!$B$22*100000</f>
        <v>60.614547695880567</v>
      </c>
    </row>
    <row r="4728" spans="1:13" s="360" customFormat="1" x14ac:dyDescent="0.25">
      <c r="A4728" s="367" t="s">
        <v>39</v>
      </c>
      <c r="B4728" s="267">
        <v>44089</v>
      </c>
      <c r="C4728" s="1">
        <v>78</v>
      </c>
      <c r="D4728" s="39">
        <f t="shared" si="520"/>
        <v>2855</v>
      </c>
      <c r="E4728" s="1"/>
      <c r="F4728" s="409">
        <f>E4728+F4704</f>
        <v>47</v>
      </c>
      <c r="G4728" s="168">
        <f>SUM(C4728,C4704,C4680,C4656,C4632,C4608,C4584,C4560,C4536,C4512,C4488,C4464,C4440,C4416)/POBLA!$B$23*100000</f>
        <v>425.83272069219026</v>
      </c>
      <c r="H4728" s="256">
        <f t="shared" si="514"/>
        <v>1.2283849918433931</v>
      </c>
      <c r="I4728" s="297">
        <f t="shared" si="517"/>
        <v>523.08652313412608</v>
      </c>
      <c r="J4728" s="297">
        <f t="shared" si="518"/>
        <v>56.285714285714285</v>
      </c>
      <c r="K4728" s="297">
        <f>J4728/POBLA!$B$23*100000</f>
        <v>31.83041015987914</v>
      </c>
      <c r="L4728" s="549">
        <f t="shared" si="515"/>
        <v>-9.7493036211699247E-2</v>
      </c>
      <c r="M4728" s="401">
        <f>SUM(C4728,C4704,C4680,C4656,C4632,C4608,C4584)/POBLA!$B$23*100000</f>
        <v>222.81287111915398</v>
      </c>
    </row>
    <row r="4729" spans="1:13" s="360" customFormat="1" ht="15.75" thickBot="1" x14ac:dyDescent="0.3">
      <c r="A4729" s="368" t="s">
        <v>40</v>
      </c>
      <c r="B4729" s="268">
        <v>44089</v>
      </c>
      <c r="C4729" s="232">
        <v>468</v>
      </c>
      <c r="D4729" s="67">
        <f t="shared" si="520"/>
        <v>7717</v>
      </c>
      <c r="E4729" s="232">
        <f>2+1</f>
        <v>3</v>
      </c>
      <c r="F4729" s="477">
        <f>E4729+F4705</f>
        <v>22</v>
      </c>
      <c r="G4729" s="177">
        <f>SUM(C4729,C4705,C4681,C4657,C4633,C4609,C4585,C4561,C4537,C4513,C4489,C4465,C4441,C4417)/POBLA!$B$24*100000</f>
        <v>309.08927829600816</v>
      </c>
      <c r="H4729" s="402">
        <f t="shared" si="514"/>
        <v>2.9083842309827874</v>
      </c>
      <c r="I4729" s="403">
        <f t="shared" si="517"/>
        <v>898.95038296196049</v>
      </c>
      <c r="J4729" s="403">
        <f t="shared" si="518"/>
        <v>424.42857142857144</v>
      </c>
      <c r="K4729" s="403">
        <f>J4729/POBLA!$B$24*100000</f>
        <v>25.045116615323195</v>
      </c>
      <c r="L4729" s="550">
        <f t="shared" si="515"/>
        <v>-0.31054256726951923</v>
      </c>
      <c r="M4729" s="405">
        <f>SUM(C4729,C4705,C4681,C4657,C4633,C4609,C4585)/POBLA!$B$24*100000</f>
        <v>175.31581630726237</v>
      </c>
    </row>
    <row r="4730" spans="1:13" s="360" customFormat="1" x14ac:dyDescent="0.25">
      <c r="A4730" s="363" t="s">
        <v>16</v>
      </c>
      <c r="B4730" s="265">
        <v>44090</v>
      </c>
      <c r="C4730" s="43">
        <v>6078</v>
      </c>
      <c r="D4730" s="174">
        <f>C4730+D4706</f>
        <v>348731</v>
      </c>
      <c r="E4730" s="43">
        <f>26+23+68+48</f>
        <v>165</v>
      </c>
      <c r="F4730" s="475">
        <f>E4730+F4706</f>
        <v>7198</v>
      </c>
      <c r="G4730" s="175">
        <f>SUM(C4730,C4706,C4682,C4658,C4634,C4610,C4586,C4562,C4538,C4514,C4490,C4466,C4442,C4418)/POBLA!$B$1*100000</f>
        <v>442.08070615246749</v>
      </c>
      <c r="H4730" s="300">
        <f t="shared" ref="H4730:H4793" si="521">SUM(C4730,C4706,C4682,C4658,C4634,C4610,C4586,C4562,C4538,C4514,C4490,C4466,C4442,C4418)/SUM(C4394,C4370,C4346,C4322,C4298,C4274,C4250,C4226,C4202,C4178,C4154,C4130,C4106,C4082)</f>
        <v>1.0112541241213828</v>
      </c>
      <c r="I4730" s="301">
        <f>G4730*H4730</f>
        <v>447.05593729117589</v>
      </c>
      <c r="J4730" s="301">
        <f>AVERAGE(C4730,C4706,C4682,C4658,C4634,C4610,C4586)</f>
        <v>5496.7142857142853</v>
      </c>
      <c r="K4730" s="301">
        <f>J4730/POBLA!$B$1*100000</f>
        <v>31.336127368876888</v>
      </c>
      <c r="L4730" s="548">
        <f t="shared" ref="L4730:L4793" si="522">1-SUM(C4730,C4706,C4682,C4658,C4634,C4610,C4586)/SUM(C4562,C4538,C4514,C4490,C4466,C4442,C4418)</f>
        <v>1.5152678594281932E-2</v>
      </c>
      <c r="M4730" s="400">
        <f>SUM(C4730,C4706,C4682,C4658,C4634,C4610,C4586)/POBLA!$B$1*100000</f>
        <v>219.35289158213826</v>
      </c>
    </row>
    <row r="4731" spans="1:13" s="360" customFormat="1" x14ac:dyDescent="0.25">
      <c r="A4731" s="367" t="s">
        <v>43</v>
      </c>
      <c r="B4731" s="2">
        <v>44090</v>
      </c>
      <c r="C4731" s="1">
        <v>813</v>
      </c>
      <c r="D4731" s="39">
        <f t="shared" ref="D4731:D4743" si="523">C4731+D4707</f>
        <v>113669</v>
      </c>
      <c r="E4731" s="1">
        <f>2+21+17</f>
        <v>40</v>
      </c>
      <c r="F4731" s="409">
        <f>E4731+F4707</f>
        <v>2831</v>
      </c>
      <c r="G4731" s="168">
        <f>SUM(C4731,C4707,C4683,C4659,C4635,C4611,C4587,C4563,C4539,C4515,C4491,C4467,C4443,C4419)/POBLA!$B$2*100000</f>
        <v>498.23679318100977</v>
      </c>
      <c r="H4731" s="256">
        <f t="shared" si="521"/>
        <v>0.85138063225734761</v>
      </c>
      <c r="I4731" s="297">
        <f t="shared" ref="I4731:I4753" si="524">G4731*H4731</f>
        <v>424.18915599232145</v>
      </c>
      <c r="J4731" s="297">
        <f t="shared" ref="J4731:J4753" si="525">AVERAGE(C4731,C4707,C4683,C4659,C4635,C4611,C4587)</f>
        <v>1013.7142857142857</v>
      </c>
      <c r="K4731" s="297">
        <f>J4731/POBLA!$B$2*100000</f>
        <v>32.959394082228116</v>
      </c>
      <c r="L4731" s="549">
        <f t="shared" si="522"/>
        <v>0.13757899854156541</v>
      </c>
      <c r="M4731" s="401">
        <f>SUM(C4731,C4707,C4683,C4659,C4635,C4611,C4587)/POBLA!$B$2*100000</f>
        <v>230.71575857559679</v>
      </c>
    </row>
    <row r="4732" spans="1:13" s="360" customFormat="1" x14ac:dyDescent="0.25">
      <c r="A4732" s="367" t="s">
        <v>28</v>
      </c>
      <c r="B4732" s="2">
        <v>44090</v>
      </c>
      <c r="C4732" s="1">
        <v>21</v>
      </c>
      <c r="D4732" s="39">
        <f t="shared" si="523"/>
        <v>154</v>
      </c>
      <c r="E4732" s="1"/>
      <c r="F4732" s="409">
        <f>E4732+F4708</f>
        <v>0</v>
      </c>
      <c r="G4732" s="168">
        <f>SUM(C4732,C4708,C4684,C4660,C4636,C4612,C4588,C4564,C4540,C4516,C4492,C4468,C4444,C4420)/POBLA!$B$3*100000</f>
        <v>20.941753041368386</v>
      </c>
      <c r="H4732" s="256">
        <f t="shared" si="521"/>
        <v>21.75</v>
      </c>
      <c r="I4732" s="297">
        <f t="shared" si="524"/>
        <v>455.48312864976242</v>
      </c>
      <c r="J4732" s="297">
        <f t="shared" si="525"/>
        <v>7.8571428571428568</v>
      </c>
      <c r="K4732" s="297">
        <f>J4732/POBLA!$B$3*100000</f>
        <v>1.8912913255751416</v>
      </c>
      <c r="L4732" s="549">
        <f t="shared" si="522"/>
        <v>-0.71875</v>
      </c>
      <c r="M4732" s="401">
        <f>SUM(C4732,C4708,C4684,C4660,C4636,C4612,C4588)/POBLA!$B$3*100000</f>
        <v>13.239039279025992</v>
      </c>
    </row>
    <row r="4733" spans="1:13" s="360" customFormat="1" x14ac:dyDescent="0.25">
      <c r="A4733" s="367" t="s">
        <v>15</v>
      </c>
      <c r="B4733" s="2">
        <v>44090</v>
      </c>
      <c r="C4733" s="1">
        <v>122</v>
      </c>
      <c r="D4733" s="39">
        <f t="shared" si="523"/>
        <v>7001</v>
      </c>
      <c r="E4733" s="1"/>
      <c r="F4733" s="409">
        <f t="shared" ref="F4733:F4751" si="526">E4733+F4709</f>
        <v>244</v>
      </c>
      <c r="G4733" s="168">
        <f>SUM(C4733,C4709,C4685,C4661,C4637,C4613,C4589,C4565,C4541,C4517,C4493,C4469,C4445,C4421)/POBLA!$B$4*100000</f>
        <v>118.30232428784076</v>
      </c>
      <c r="H4733" s="256">
        <f t="shared" si="521"/>
        <v>1.4690721649484537</v>
      </c>
      <c r="I4733" s="297">
        <f t="shared" si="524"/>
        <v>173.79465165997226</v>
      </c>
      <c r="J4733" s="297">
        <f t="shared" si="525"/>
        <v>101.57142857142857</v>
      </c>
      <c r="K4733" s="297">
        <f>J4733/POBLA!$B$4*100000</f>
        <v>8.4323761973588756</v>
      </c>
      <c r="L4733" s="549">
        <f t="shared" si="522"/>
        <v>4.2016806722688926E-3</v>
      </c>
      <c r="M4733" s="401">
        <f>SUM(C4733,C4709,C4685,C4661,C4637,C4613,C4589)/POBLA!$B$4*100000</f>
        <v>59.026633381512127</v>
      </c>
    </row>
    <row r="4734" spans="1:13" s="360" customFormat="1" x14ac:dyDescent="0.25">
      <c r="A4734" s="367" t="s">
        <v>29</v>
      </c>
      <c r="B4734" s="2">
        <v>44090</v>
      </c>
      <c r="C4734" s="1">
        <v>94</v>
      </c>
      <c r="D4734" s="39">
        <f t="shared" si="523"/>
        <v>1949</v>
      </c>
      <c r="E4734" s="1"/>
      <c r="F4734" s="409">
        <f t="shared" si="526"/>
        <v>23</v>
      </c>
      <c r="G4734" s="168">
        <f>SUM(C4734,C4710,C4686,C4662,C4638,C4614,C4590,C4566,C4542,C4518,C4494,C4470,C4446,C4422)/POBLA!$B$5*100000</f>
        <v>156.05967101458171</v>
      </c>
      <c r="H4734" s="256">
        <f t="shared" si="521"/>
        <v>1.7692307692307692</v>
      </c>
      <c r="I4734" s="297">
        <f t="shared" si="524"/>
        <v>276.10557179502916</v>
      </c>
      <c r="J4734" s="297">
        <f t="shared" si="525"/>
        <v>84</v>
      </c>
      <c r="K4734" s="297">
        <f>J4734/POBLA!$B$5*100000</f>
        <v>13.57040617518102</v>
      </c>
      <c r="L4734" s="549">
        <f t="shared" si="522"/>
        <v>-0.55555555555555558</v>
      </c>
      <c r="M4734" s="401">
        <f>SUM(C4734,C4710,C4686,C4662,C4638,C4614,C4590)/POBLA!$B$5*100000</f>
        <v>94.992843226267141</v>
      </c>
    </row>
    <row r="4735" spans="1:13" s="360" customFormat="1" x14ac:dyDescent="0.25">
      <c r="A4735" s="367" t="s">
        <v>20</v>
      </c>
      <c r="B4735" s="2">
        <v>44090</v>
      </c>
      <c r="C4735" s="1">
        <v>691</v>
      </c>
      <c r="D4735" s="39">
        <f t="shared" si="523"/>
        <v>16384</v>
      </c>
      <c r="E4735" s="1">
        <f>5+4</f>
        <v>9</v>
      </c>
      <c r="F4735" s="409">
        <f t="shared" si="526"/>
        <v>221</v>
      </c>
      <c r="G4735" s="168">
        <f>SUM(C4735,C4711,C4687,C4663,C4639,C4615,C4591,C4567,C4543,C4519,C4495,C4471,C4447,C4423)/POBLA!$B$6*100000</f>
        <v>623.66111379272502</v>
      </c>
      <c r="H4735" s="256">
        <f t="shared" si="521"/>
        <v>1.6244480594933768</v>
      </c>
      <c r="I4735" s="297">
        <f t="shared" si="524"/>
        <v>1013.1050860820702</v>
      </c>
      <c r="J4735" s="297">
        <f t="shared" si="525"/>
        <v>545.42857142857144</v>
      </c>
      <c r="K4735" s="297">
        <f>J4735/POBLA!$B$6*100000</f>
        <v>48.664176015953899</v>
      </c>
      <c r="L4735" s="549">
        <f t="shared" si="522"/>
        <v>-0.20365699873896603</v>
      </c>
      <c r="M4735" s="401">
        <f>SUM(C4735,C4711,C4687,C4663,C4639,C4615,C4591)/POBLA!$B$6*100000</f>
        <v>340.64923211167724</v>
      </c>
    </row>
    <row r="4736" spans="1:13" s="360" customFormat="1" x14ac:dyDescent="0.25">
      <c r="A4736" s="367" t="s">
        <v>30</v>
      </c>
      <c r="B4736" s="2">
        <v>44090</v>
      </c>
      <c r="C4736" s="1">
        <v>17</v>
      </c>
      <c r="D4736" s="39">
        <f t="shared" si="523"/>
        <v>795</v>
      </c>
      <c r="E4736" s="1"/>
      <c r="F4736" s="409">
        <f>E4736+F4712</f>
        <v>6</v>
      </c>
      <c r="G4736" s="168">
        <f>SUM(C4736,C4712,C4688,C4664,C4640,C4616,C4592,C4568,C4544,C4520,C4496,C4472,C4448,C4424)/POBLA!$B$7*100000</f>
        <v>12.60487441662567</v>
      </c>
      <c r="H4736" s="256">
        <f t="shared" si="521"/>
        <v>5.5764705882352938</v>
      </c>
      <c r="I4736" s="297">
        <f t="shared" si="524"/>
        <v>70.290711452712557</v>
      </c>
      <c r="J4736" s="297">
        <f t="shared" si="525"/>
        <v>52</v>
      </c>
      <c r="K4736" s="297">
        <f>J4736/POBLA!$B$7*100000</f>
        <v>1.3828132271403688</v>
      </c>
      <c r="L4736" s="549">
        <f t="shared" si="522"/>
        <v>-2.3090909090909091</v>
      </c>
      <c r="M4736" s="401">
        <f>SUM(C4736,C4712,C4688,C4664,C4640,C4616,C4592)/POBLA!$B$7*100000</f>
        <v>9.6796925899825812</v>
      </c>
    </row>
    <row r="4737" spans="1:13" x14ac:dyDescent="0.25">
      <c r="A4737" s="367" t="s">
        <v>31</v>
      </c>
      <c r="B4737" s="2">
        <v>44090</v>
      </c>
      <c r="C4737" s="1">
        <v>125</v>
      </c>
      <c r="D4737" s="39">
        <f t="shared" si="523"/>
        <v>5624</v>
      </c>
      <c r="E4737" s="1">
        <f>1+2</f>
        <v>3</v>
      </c>
      <c r="F4737" s="409">
        <f>E4737+F4713</f>
        <v>97</v>
      </c>
      <c r="G4737" s="168">
        <f>SUM(C4737,C4713,C4689,C4665,C4641,C4617,C4593,C4569,C4545,C4521,C4497,C4473,C4449,C4425)/POBLA!$B$8*100000</f>
        <v>128.86365489360813</v>
      </c>
      <c r="H4737" s="256">
        <f t="shared" si="521"/>
        <v>0.88067061143984215</v>
      </c>
      <c r="I4737" s="297">
        <f t="shared" si="524"/>
        <v>113.48643374752668</v>
      </c>
      <c r="J4737" s="297">
        <f t="shared" si="525"/>
        <v>131</v>
      </c>
      <c r="K4737" s="297">
        <f>J4737/POBLA!$B$8*100000</f>
        <v>9.451925414928704</v>
      </c>
      <c r="L4737" s="549">
        <f t="shared" si="522"/>
        <v>-5.5235903337169212E-2</v>
      </c>
      <c r="M4737" s="401">
        <f>SUM(C4737,C4713,C4689,C4665,C4641,C4617,C4593)/POBLA!$B$8*100000</f>
        <v>66.163477904500922</v>
      </c>
    </row>
    <row r="4738" spans="1:13" s="360" customFormat="1" x14ac:dyDescent="0.25">
      <c r="A4738" s="367" t="s">
        <v>41</v>
      </c>
      <c r="B4738" s="2">
        <v>44090</v>
      </c>
      <c r="C4738" s="1">
        <v>-2</v>
      </c>
      <c r="D4738" s="39">
        <f t="shared" si="523"/>
        <v>96</v>
      </c>
      <c r="E4738" s="1"/>
      <c r="F4738" s="409">
        <f>E4738+F4714</f>
        <v>1</v>
      </c>
      <c r="G4738" s="168">
        <f>SUM(C4738,C4714,C4690,C4666,C4642,C4618,C4594,C4570,C4546,C4522,C4498,C4474,C4450,C4426)/POBLA!$B$9*100000</f>
        <v>1.9828385325012021</v>
      </c>
      <c r="H4738" s="256">
        <f t="shared" si="521"/>
        <v>2.4</v>
      </c>
      <c r="I4738" s="297">
        <f t="shared" si="524"/>
        <v>4.7588124780028851</v>
      </c>
      <c r="J4738" s="297">
        <f t="shared" si="525"/>
        <v>0.7142857142857143</v>
      </c>
      <c r="K4738" s="297">
        <f>J4738/POBLA!$B$9*100000</f>
        <v>0.11802610312507156</v>
      </c>
      <c r="L4738" s="549">
        <f t="shared" si="522"/>
        <v>0.2857142857142857</v>
      </c>
      <c r="M4738" s="401">
        <f>SUM(C4738,C4714,C4690,C4666,C4642,C4618,C4594)/POBLA!$B$9*100000</f>
        <v>0.82618272187550079</v>
      </c>
    </row>
    <row r="4739" spans="1:13" s="360" customFormat="1" x14ac:dyDescent="0.25">
      <c r="A4739" s="367" t="s">
        <v>32</v>
      </c>
      <c r="B4739" s="2">
        <v>44090</v>
      </c>
      <c r="C4739" s="1">
        <v>305</v>
      </c>
      <c r="D4739" s="39">
        <f t="shared" si="523"/>
        <v>13035</v>
      </c>
      <c r="E4739" s="1"/>
      <c r="F4739" s="409">
        <f t="shared" si="526"/>
        <v>276</v>
      </c>
      <c r="G4739" s="168">
        <f>SUM(C4739,C4715,C4691,C4667,C4643,C4619,C4595,C4571,C4547,C4523,C4499,C4475,C4451,C4427)/POBLA!$B$10*100000</f>
        <v>541.58813098260305</v>
      </c>
      <c r="H4739" s="256">
        <f t="shared" si="521"/>
        <v>1.1928571428571428</v>
      </c>
      <c r="I4739" s="297">
        <f t="shared" si="524"/>
        <v>646.03727052924796</v>
      </c>
      <c r="J4739" s="297">
        <f t="shared" si="525"/>
        <v>274</v>
      </c>
      <c r="K4739" s="297">
        <f>J4739/POBLA!$B$10*100000</f>
        <v>35.543747997421129</v>
      </c>
      <c r="L4739" s="549">
        <f t="shared" si="522"/>
        <v>0.15019937970757646</v>
      </c>
      <c r="M4739" s="401">
        <f>SUM(C4739,C4715,C4691,C4667,C4643,C4619,C4595)/POBLA!$B$10*100000</f>
        <v>248.80623598194794</v>
      </c>
    </row>
    <row r="4740" spans="1:13" s="360" customFormat="1" x14ac:dyDescent="0.25">
      <c r="A4740" s="367" t="s">
        <v>33</v>
      </c>
      <c r="B4740" s="2">
        <v>44090</v>
      </c>
      <c r="C4740" s="1">
        <v>39</v>
      </c>
      <c r="D4740" s="39">
        <f t="shared" si="523"/>
        <v>505</v>
      </c>
      <c r="E4740" s="1"/>
      <c r="F4740" s="409">
        <f t="shared" si="526"/>
        <v>4</v>
      </c>
      <c r="G4740" s="168">
        <f>SUM(C4740,C4716,C4692,C4668,C4644,C4620,C4596,C4572,C4548,C4524,C4500,C4476,C4452,C4428)/POBLA!$B$11*100000</f>
        <v>81.466849688082405</v>
      </c>
      <c r="H4740" s="256">
        <f t="shared" si="521"/>
        <v>10.814814814814815</v>
      </c>
      <c r="I4740" s="297">
        <f t="shared" si="524"/>
        <v>881.04889292296525</v>
      </c>
      <c r="J4740" s="297">
        <f t="shared" si="525"/>
        <v>34</v>
      </c>
      <c r="K4740" s="297">
        <f>J4740/POBLA!$B$11*100000</f>
        <v>9.4858660595712383</v>
      </c>
      <c r="L4740" s="549">
        <f t="shared" si="522"/>
        <v>-3.4074074074074074</v>
      </c>
      <c r="M4740" s="401">
        <f>SUM(C4740,C4716,C4692,C4668,C4644,C4620,C4596)/POBLA!$B$11*100000</f>
        <v>66.40106241699867</v>
      </c>
    </row>
    <row r="4741" spans="1:13" s="360" customFormat="1" x14ac:dyDescent="0.25">
      <c r="A4741" s="367" t="s">
        <v>21</v>
      </c>
      <c r="B4741" s="2">
        <v>44090</v>
      </c>
      <c r="C4741" s="1">
        <v>125</v>
      </c>
      <c r="D4741" s="39">
        <f t="shared" si="523"/>
        <v>3131</v>
      </c>
      <c r="E4741" s="1"/>
      <c r="F4741" s="409">
        <f t="shared" si="526"/>
        <v>87</v>
      </c>
      <c r="G4741" s="168">
        <f>SUM(C4741,C4717,C4693,C4669,C4645,C4621,C4597,C4573,C4549,C4525,C4501,C4477,C4453,C4429)/POBLA!$B$12*100000</f>
        <v>364.9013673636893</v>
      </c>
      <c r="H4741" s="256">
        <f t="shared" si="521"/>
        <v>1.8177215189873417</v>
      </c>
      <c r="I4741" s="297">
        <f t="shared" si="524"/>
        <v>663.28906776488327</v>
      </c>
      <c r="J4741" s="297">
        <f t="shared" si="525"/>
        <v>110.14285714285714</v>
      </c>
      <c r="K4741" s="297">
        <f>J4741/POBLA!$B$12*100000</f>
        <v>27.988355972682491</v>
      </c>
      <c r="L4741" s="549">
        <f t="shared" si="522"/>
        <v>-0.15939849624060143</v>
      </c>
      <c r="M4741" s="401">
        <f>SUM(C4741,C4717,C4693,C4669,C4645,C4621,C4597)/POBLA!$B$12*100000</f>
        <v>195.91849180877747</v>
      </c>
    </row>
    <row r="4742" spans="1:13" s="360" customFormat="1" x14ac:dyDescent="0.25">
      <c r="A4742" s="367" t="s">
        <v>17</v>
      </c>
      <c r="B4742" s="2">
        <v>44090</v>
      </c>
      <c r="C4742" s="1">
        <v>682</v>
      </c>
      <c r="D4742" s="39">
        <f t="shared" si="523"/>
        <v>16443</v>
      </c>
      <c r="E4742" s="1">
        <f>1+1+1</f>
        <v>3</v>
      </c>
      <c r="F4742" s="409">
        <f t="shared" si="526"/>
        <v>159</v>
      </c>
      <c r="G4742" s="168">
        <f>SUM(C4742,C4718,C4694,C4670,C4646,C4622,C4598,C4574,C4550,C4526,C4502,C4478,C4454,C4430)/POBLA!$B$13*100000</f>
        <v>444.09542499816615</v>
      </c>
      <c r="H4742" s="256">
        <f t="shared" si="521"/>
        <v>2.3072304881232055</v>
      </c>
      <c r="I4742" s="297">
        <f t="shared" si="524"/>
        <v>1024.6305041918013</v>
      </c>
      <c r="J4742" s="297">
        <f t="shared" si="525"/>
        <v>687</v>
      </c>
      <c r="K4742" s="297">
        <f>J4742/POBLA!$B$13*100000</f>
        <v>34.516750421285231</v>
      </c>
      <c r="L4742" s="549">
        <f t="shared" si="522"/>
        <v>-0.19330024813895785</v>
      </c>
      <c r="M4742" s="401">
        <f>SUM(C4742,C4718,C4694,C4670,C4646,C4622,C4598)/POBLA!$B$13*100000</f>
        <v>241.61725294899659</v>
      </c>
    </row>
    <row r="4743" spans="1:13" s="360" customFormat="1" x14ac:dyDescent="0.25">
      <c r="A4743" s="367" t="s">
        <v>23</v>
      </c>
      <c r="B4743" s="2">
        <v>44090</v>
      </c>
      <c r="C4743" s="1">
        <v>3</v>
      </c>
      <c r="D4743" s="39">
        <f t="shared" si="523"/>
        <v>63</v>
      </c>
      <c r="E4743" s="1"/>
      <c r="F4743" s="409">
        <f t="shared" si="526"/>
        <v>2</v>
      </c>
      <c r="G4743" s="168">
        <f>SUM(C4743,C4719,C4695,C4671,C4647,C4623,C4599,C4575,C4551,C4527,C4503,C4479,C4455,C4431)/POBLA!$B$14*100000</f>
        <v>-7.9283656308521244E-2</v>
      </c>
      <c r="H4743" s="256">
        <f t="shared" si="521"/>
        <v>-0.1111111111111111</v>
      </c>
      <c r="I4743" s="297">
        <f t="shared" si="524"/>
        <v>8.8092951453912494E-3</v>
      </c>
      <c r="J4743" s="297">
        <f t="shared" si="525"/>
        <v>-1.1428571428571428</v>
      </c>
      <c r="K4743" s="297">
        <f>J4743/POBLA!$B$14*100000</f>
        <v>-9.0609892924024285E-2</v>
      </c>
      <c r="L4743" s="549">
        <f t="shared" si="522"/>
        <v>2.1428571428571428</v>
      </c>
      <c r="M4743" s="401">
        <f>SUM(C4743,C4719,C4695,C4671,C4647,C4623,C4599)/POBLA!$B$14*100000</f>
        <v>-0.63426925046816995</v>
      </c>
    </row>
    <row r="4744" spans="1:13" s="360" customFormat="1" x14ac:dyDescent="0.25">
      <c r="A4744" s="367" t="s">
        <v>19</v>
      </c>
      <c r="B4744" s="2">
        <v>44090</v>
      </c>
      <c r="C4744" s="1">
        <v>189</v>
      </c>
      <c r="D4744" s="39">
        <f>C4744+D4720</f>
        <v>5348</v>
      </c>
      <c r="E4744" s="1">
        <f>1</f>
        <v>1</v>
      </c>
      <c r="F4744" s="409">
        <f t="shared" si="526"/>
        <v>54</v>
      </c>
      <c r="G4744" s="168">
        <f>SUM(C4744,C4720,C4696,C4672,C4648,C4624,C4600,C4576,C4552,C4528,C4504,C4480,C4456,C4432)/POBLA!$B$15*100000</f>
        <v>313.9790710737181</v>
      </c>
      <c r="H4744" s="256">
        <f t="shared" si="521"/>
        <v>1.6013824884792627</v>
      </c>
      <c r="I4744" s="297">
        <f t="shared" si="524"/>
        <v>502.80058616643799</v>
      </c>
      <c r="J4744" s="297">
        <f t="shared" si="525"/>
        <v>175.71428571428572</v>
      </c>
      <c r="K4744" s="297">
        <f>J4744/POBLA!$B$15*100000</f>
        <v>26.460723358730611</v>
      </c>
      <c r="L4744" s="549">
        <f t="shared" si="522"/>
        <v>-0.43859649122807021</v>
      </c>
      <c r="M4744" s="401">
        <f>SUM(C4744,C4720,C4696,C4672,C4648,C4624,C4600)/POBLA!$B$15*100000</f>
        <v>185.22506351111426</v>
      </c>
    </row>
    <row r="4745" spans="1:13" s="360" customFormat="1" x14ac:dyDescent="0.25">
      <c r="A4745" s="367" t="s">
        <v>18</v>
      </c>
      <c r="B4745" s="2">
        <v>44090</v>
      </c>
      <c r="C4745" s="1">
        <v>232</v>
      </c>
      <c r="D4745" s="39">
        <f>C4745+D4721</f>
        <v>9461</v>
      </c>
      <c r="E4745" s="1">
        <f>3+5</f>
        <v>8</v>
      </c>
      <c r="F4745" s="409">
        <f t="shared" si="526"/>
        <v>176</v>
      </c>
      <c r="G4745" s="168">
        <f>SUM(C4745,C4721,C4697,C4673,C4649,C4625,C4601,C4577,C4553,C4529,C4505,C4481,C4457,C4433)/POBLA!$B$16*100000</f>
        <v>416.39357418975135</v>
      </c>
      <c r="H4745" s="256">
        <f t="shared" si="521"/>
        <v>1.4279816513761467</v>
      </c>
      <c r="I4745" s="297">
        <f t="shared" si="524"/>
        <v>594.6023836938972</v>
      </c>
      <c r="J4745" s="297">
        <f t="shared" si="525"/>
        <v>240.57142857142858</v>
      </c>
      <c r="K4745" s="297">
        <f>J4745/POBLA!$B$16*100000</f>
        <v>32.178733373206434</v>
      </c>
      <c r="L4745" s="549">
        <f t="shared" si="522"/>
        <v>-0.17844646606018189</v>
      </c>
      <c r="M4745" s="401">
        <f>SUM(C4745,C4721,C4697,C4673,C4649,C4625,C4601)/POBLA!$B$16*100000</f>
        <v>225.25113361244499</v>
      </c>
    </row>
    <row r="4746" spans="1:13" s="360" customFormat="1" x14ac:dyDescent="0.25">
      <c r="A4746" s="367" t="s">
        <v>34</v>
      </c>
      <c r="B4746" s="2">
        <v>44090</v>
      </c>
      <c r="C4746" s="1">
        <v>319</v>
      </c>
      <c r="D4746" s="39">
        <f>C4746+D4722</f>
        <v>7622</v>
      </c>
      <c r="E4746" s="1">
        <f>1+1</f>
        <v>2</v>
      </c>
      <c r="F4746" s="409">
        <f>E4746+F4722</f>
        <v>101</v>
      </c>
      <c r="G4746" s="168">
        <f>SUM(C4746,C4722,C4698,C4674,C4650,C4626,C4602,C4578,C4554,C4530,C4506,C4482,C4458,C4434)/POBLA!$B$17*100000</f>
        <v>276.25725131406483</v>
      </c>
      <c r="H4746" s="256">
        <f t="shared" si="521"/>
        <v>1.7213473315835521</v>
      </c>
      <c r="I4746" s="297">
        <f t="shared" si="524"/>
        <v>475.53468238007224</v>
      </c>
      <c r="J4746" s="297">
        <f t="shared" si="525"/>
        <v>307.42857142857144</v>
      </c>
      <c r="K4746" s="297">
        <f>J4746/POBLA!$B$17*100000</f>
        <v>21.583067882659922</v>
      </c>
      <c r="L4746" s="549">
        <f t="shared" si="522"/>
        <v>-0.20695457094784064</v>
      </c>
      <c r="M4746" s="401">
        <f>SUM(C4746,C4722,C4698,C4674,C4650,C4626,C4602)/POBLA!$B$17*100000</f>
        <v>151.08147517861943</v>
      </c>
    </row>
    <row r="4747" spans="1:13" s="360" customFormat="1" x14ac:dyDescent="0.25">
      <c r="A4747" s="367" t="s">
        <v>35</v>
      </c>
      <c r="B4747" s="2">
        <v>44090</v>
      </c>
      <c r="C4747" s="1">
        <v>0</v>
      </c>
      <c r="D4747" s="39">
        <f t="shared" ref="D4747:D4753" si="527">C4747+D4723</f>
        <v>428</v>
      </c>
      <c r="E4747" s="1">
        <f>2</f>
        <v>2</v>
      </c>
      <c r="F4747" s="409">
        <f>E4747+F4723</f>
        <v>14</v>
      </c>
      <c r="G4747" s="168">
        <f>SUM(C4747,C4723,C4699,C4675,C4651,C4627,C4603,C4579,C4555,C4531,C4507,C4483,C4459,C4435)/POBLA!$B$18*100000</f>
        <v>22.144935402071383</v>
      </c>
      <c r="H4747" s="256">
        <f t="shared" si="521"/>
        <v>0.74248927038626611</v>
      </c>
      <c r="I4747" s="297">
        <f t="shared" si="524"/>
        <v>16.442376929434975</v>
      </c>
      <c r="J4747" s="297">
        <f t="shared" si="525"/>
        <v>6.2857142857142856</v>
      </c>
      <c r="K4747" s="297">
        <f>J4747/POBLA!$B$18*100000</f>
        <v>0.80460541510416261</v>
      </c>
      <c r="L4747" s="549">
        <f t="shared" si="522"/>
        <v>0.6589147286821706</v>
      </c>
      <c r="M4747" s="401">
        <f>SUM(C4747,C4723,C4699,C4675,C4651,C4627,C4603)/POBLA!$B$18*100000</f>
        <v>5.6322379057291379</v>
      </c>
    </row>
    <row r="4748" spans="1:13" s="360" customFormat="1" x14ac:dyDescent="0.25">
      <c r="A4748" s="367" t="s">
        <v>36</v>
      </c>
      <c r="B4748" s="2">
        <v>44090</v>
      </c>
      <c r="C4748" s="1">
        <v>25</v>
      </c>
      <c r="D4748" s="39">
        <f t="shared" si="527"/>
        <v>508</v>
      </c>
      <c r="E4748" s="1"/>
      <c r="F4748" s="409">
        <f t="shared" si="526"/>
        <v>0</v>
      </c>
      <c r="G4748" s="168">
        <f>SUM(C4748,C4724,C4700,C4676,C4652,C4628,C4604,C4580,C4556,C4532,C4508,C4484,C4460,C4436)/POBLA!$B$19*100000</f>
        <v>65.115437276718964</v>
      </c>
      <c r="H4748" s="256">
        <f t="shared" si="521"/>
        <v>2.3475177304964538</v>
      </c>
      <c r="I4748" s="297">
        <f t="shared" si="524"/>
        <v>152.85964353612749</v>
      </c>
      <c r="J4748" s="297">
        <f t="shared" si="525"/>
        <v>23.142857142857142</v>
      </c>
      <c r="K4748" s="297">
        <f>J4748/POBLA!$B$19*100000</f>
        <v>4.5527409748936005</v>
      </c>
      <c r="L4748" s="549">
        <f t="shared" si="522"/>
        <v>4.1420118343195256E-2</v>
      </c>
      <c r="M4748" s="401">
        <f>SUM(C4748,C4724,C4700,C4676,C4652,C4628,C4604)/POBLA!$B$19*100000</f>
        <v>31.869186824255202</v>
      </c>
    </row>
    <row r="4749" spans="1:13" s="360" customFormat="1" x14ac:dyDescent="0.25">
      <c r="A4749" s="367" t="s">
        <v>37</v>
      </c>
      <c r="B4749" s="2">
        <v>44090</v>
      </c>
      <c r="C4749" s="1">
        <v>84</v>
      </c>
      <c r="D4749" s="39">
        <f t="shared" si="527"/>
        <v>3276</v>
      </c>
      <c r="E4749" s="1">
        <f>3</f>
        <v>3</v>
      </c>
      <c r="F4749" s="409">
        <f>E4749+F4725</f>
        <v>39</v>
      </c>
      <c r="G4749" s="168">
        <f>SUM(C4749,C4725,C4701,C4677,C4653,C4629,C4605,C4581,C4557,C4533,C4509,C4485,C4461,C4437)/POBLA!$B$20*100000</f>
        <v>372.16501047312261</v>
      </c>
      <c r="H4749" s="256">
        <f t="shared" si="521"/>
        <v>1.7675324675324675</v>
      </c>
      <c r="I4749" s="297">
        <f t="shared" si="524"/>
        <v>657.81373929080496</v>
      </c>
      <c r="J4749" s="297">
        <f t="shared" si="525"/>
        <v>105.14285714285714</v>
      </c>
      <c r="K4749" s="297">
        <f>J4749/POBLA!$B$20*100000</f>
        <v>28.751280330452214</v>
      </c>
      <c r="L4749" s="549">
        <f t="shared" si="522"/>
        <v>-0.17759999999999998</v>
      </c>
      <c r="M4749" s="401">
        <f>SUM(C4749,C4725,C4701,C4677,C4653,C4629,C4605)/POBLA!$B$20*100000</f>
        <v>201.25896231316551</v>
      </c>
    </row>
    <row r="4750" spans="1:13" s="360" customFormat="1" x14ac:dyDescent="0.25">
      <c r="A4750" s="367" t="s">
        <v>22</v>
      </c>
      <c r="B4750" s="2">
        <v>44090</v>
      </c>
      <c r="C4750" s="1">
        <v>1149</v>
      </c>
      <c r="D4750" s="39">
        <f t="shared" si="527"/>
        <v>21672</v>
      </c>
      <c r="E4750" s="1">
        <f>2+1+7+7</f>
        <v>17</v>
      </c>
      <c r="F4750" s="409">
        <f>E4750+F4726</f>
        <v>236</v>
      </c>
      <c r="G4750" s="168">
        <f>SUM(C4750,C4726,C4702,C4678,C4654,C4630,C4606,C4582,C4558,C4534,C4510,C4486,C4462,C4438)/POBLA!$B$21*100000</f>
        <v>349.02548284733314</v>
      </c>
      <c r="H4750" s="256">
        <f t="shared" si="521"/>
        <v>2.2175709665828243</v>
      </c>
      <c r="I4750" s="297">
        <f t="shared" si="524"/>
        <v>773.9887773597975</v>
      </c>
      <c r="J4750" s="297">
        <f t="shared" si="525"/>
        <v>995.85714285714289</v>
      </c>
      <c r="K4750" s="297">
        <f>J4750/POBLA!$B$21*100000</f>
        <v>28.160051862001122</v>
      </c>
      <c r="L4750" s="549">
        <f t="shared" si="522"/>
        <v>-0.29765450483991063</v>
      </c>
      <c r="M4750" s="401">
        <f>SUM(C4750,C4726,C4702,C4678,C4654,C4630,C4606)/POBLA!$B$21*100000</f>
        <v>197.12036303400788</v>
      </c>
    </row>
    <row r="4751" spans="1:13" s="360" customFormat="1" x14ac:dyDescent="0.25">
      <c r="A4751" s="367" t="s">
        <v>38</v>
      </c>
      <c r="B4751" s="2">
        <v>44090</v>
      </c>
      <c r="C4751" s="1">
        <v>59</v>
      </c>
      <c r="D4751" s="39">
        <f t="shared" si="527"/>
        <v>2041</v>
      </c>
      <c r="E4751" s="1"/>
      <c r="F4751" s="409">
        <f t="shared" si="526"/>
        <v>28</v>
      </c>
      <c r="G4751" s="168">
        <f>SUM(C4751,C4727,C4703,C4679,C4655,C4631,C4607,C4583,C4559,C4535,C4511,C4487,C4463,C4439)/POBLA!$B$22*100000</f>
        <v>103.23894295588426</v>
      </c>
      <c r="H4751" s="256">
        <f t="shared" si="521"/>
        <v>1.5490797546012269</v>
      </c>
      <c r="I4751" s="297">
        <f t="shared" si="524"/>
        <v>159.92535641939125</v>
      </c>
      <c r="J4751" s="297">
        <f t="shared" si="525"/>
        <v>81.571428571428569</v>
      </c>
      <c r="K4751" s="297">
        <f>J4751/POBLA!$B$22*100000</f>
        <v>8.3379683773422784</v>
      </c>
      <c r="L4751" s="549">
        <f t="shared" si="522"/>
        <v>-0.30068337129840539</v>
      </c>
      <c r="M4751" s="401">
        <f>SUM(C4751,C4727,C4703,C4679,C4655,C4631,C4607)/POBLA!$B$22*100000</f>
        <v>58.365778641395956</v>
      </c>
    </row>
    <row r="4752" spans="1:13" s="360" customFormat="1" x14ac:dyDescent="0.25">
      <c r="A4752" s="367" t="s">
        <v>39</v>
      </c>
      <c r="B4752" s="2">
        <v>44090</v>
      </c>
      <c r="C4752" s="1">
        <v>46</v>
      </c>
      <c r="D4752" s="39">
        <f t="shared" si="527"/>
        <v>2901</v>
      </c>
      <c r="E4752" s="1">
        <f>1+2</f>
        <v>3</v>
      </c>
      <c r="F4752" s="409">
        <f>E4752+F4728</f>
        <v>50</v>
      </c>
      <c r="G4752" s="168">
        <f>SUM(C4752,C4728,C4704,C4680,C4656,C4632,C4608,C4584,C4560,C4536,C4512,C4488,C4464,C4440)/POBLA!$B$23*100000</f>
        <v>433.18441440931969</v>
      </c>
      <c r="H4752" s="256">
        <f t="shared" si="521"/>
        <v>1.3161512027491409</v>
      </c>
      <c r="I4752" s="297">
        <f t="shared" si="524"/>
        <v>570.13618803700842</v>
      </c>
      <c r="J4752" s="297">
        <f t="shared" si="525"/>
        <v>53</v>
      </c>
      <c r="K4752" s="297">
        <f>J4752/POBLA!$B$23*100000</f>
        <v>29.972289769835434</v>
      </c>
      <c r="L4752" s="549">
        <f t="shared" si="522"/>
        <v>6.0759493670886067E-2</v>
      </c>
      <c r="M4752" s="401">
        <f>SUM(C4752,C4728,C4704,C4680,C4656,C4632,C4608)/POBLA!$B$23*100000</f>
        <v>209.80602838884806</v>
      </c>
    </row>
    <row r="4753" spans="1:13" s="360" customFormat="1" ht="15.75" thickBot="1" x14ac:dyDescent="0.3">
      <c r="A4753" s="369" t="s">
        <v>40</v>
      </c>
      <c r="B4753" s="266">
        <v>44090</v>
      </c>
      <c r="C4753" s="44">
        <v>458</v>
      </c>
      <c r="D4753" s="176">
        <f t="shared" si="527"/>
        <v>8175</v>
      </c>
      <c r="E4753" s="44">
        <f>8</f>
        <v>8</v>
      </c>
      <c r="F4753" s="476">
        <f>E4753+F4729</f>
        <v>30</v>
      </c>
      <c r="G4753" s="177">
        <f>SUM(C4753,C4729,C4705,C4681,C4657,C4633,C4609,C4585,C4561,C4537,C4513,C4489,C4465,C4441)/POBLA!$B$24*100000</f>
        <v>316.99648778277123</v>
      </c>
      <c r="H4753" s="402">
        <f t="shared" si="521"/>
        <v>2.6580900544285009</v>
      </c>
      <c r="I4753" s="403">
        <f t="shared" si="524"/>
        <v>842.60521146414999</v>
      </c>
      <c r="J4753" s="403">
        <f t="shared" si="525"/>
        <v>434.14285714285717</v>
      </c>
      <c r="K4753" s="403">
        <f>J4753/POBLA!$B$24*100000</f>
        <v>25.618347153809221</v>
      </c>
      <c r="L4753" s="550">
        <f t="shared" si="522"/>
        <v>-0.30261465923703379</v>
      </c>
      <c r="M4753" s="405">
        <f>SUM(C4753,C4729,C4705,C4681,C4657,C4633,C4609)/POBLA!$B$24*100000</f>
        <v>179.32843007666455</v>
      </c>
    </row>
    <row r="4754" spans="1:13" s="360" customFormat="1" ht="15.75" thickBot="1" x14ac:dyDescent="0.3">
      <c r="A4754" s="363" t="s">
        <v>16</v>
      </c>
      <c r="B4754" s="266">
        <v>44091</v>
      </c>
      <c r="C4754" s="225">
        <v>6319</v>
      </c>
      <c r="D4754" s="174">
        <f>C4754+D4730</f>
        <v>355050</v>
      </c>
      <c r="E4754" s="225">
        <v>213</v>
      </c>
      <c r="F4754" s="475">
        <f>E4754+F4730</f>
        <v>7411</v>
      </c>
      <c r="G4754" s="175">
        <f>SUM(C4754,C4730,C4706,C4682,C4658,C4634,C4610,C4586,C4562,C4538,C4514,C4490,C4466,C4442)/POBLA!$B$1*100000</f>
        <v>438.25541337362262</v>
      </c>
      <c r="H4754" s="300">
        <f t="shared" si="521"/>
        <v>0.98019839853113688</v>
      </c>
      <c r="I4754" s="301">
        <f>G4754*H4754</f>
        <v>429.57725433642628</v>
      </c>
      <c r="J4754" s="301">
        <f>AVERAGE(C4754,C4730,C4706,C4682,C4658,C4634,C4610)</f>
        <v>5506.2857142857147</v>
      </c>
      <c r="K4754" s="301">
        <f>J4754/POBLA!$B$1*100000</f>
        <v>31.390692967382879</v>
      </c>
      <c r="L4754" s="548">
        <f t="shared" si="522"/>
        <v>-5.5568599827815479E-3</v>
      </c>
      <c r="M4754" s="400">
        <f>SUM(C4754,C4730,C4706,C4682,C4658,C4634,C4610)/POBLA!$B$1*100000</f>
        <v>219.73485077168013</v>
      </c>
    </row>
    <row r="4755" spans="1:13" s="360" customFormat="1" ht="15.75" thickBot="1" x14ac:dyDescent="0.3">
      <c r="A4755" s="367" t="s">
        <v>43</v>
      </c>
      <c r="B4755" s="266">
        <v>44091</v>
      </c>
      <c r="C4755" s="1">
        <v>1156</v>
      </c>
      <c r="D4755" s="39">
        <f t="shared" ref="D4755:D4767" si="528">C4755+D4731</f>
        <v>114825</v>
      </c>
      <c r="E4755" s="1">
        <f>6+1+10+7</f>
        <v>24</v>
      </c>
      <c r="F4755" s="409">
        <f>E4755+F4731</f>
        <v>2855</v>
      </c>
      <c r="G4755" s="168">
        <f>SUM(C4755,C4731,C4707,C4683,C4659,C4635,C4611,C4587,C4563,C4539,C4515,C4491,C4467,C4443)/POBLA!$B$2*100000</f>
        <v>489.94585202588331</v>
      </c>
      <c r="H4755" s="256">
        <f t="shared" si="521"/>
        <v>0.83116381687810259</v>
      </c>
      <c r="I4755" s="297">
        <f t="shared" ref="I4755:I4777" si="529">G4755*H4755</f>
        <v>407.22526443342724</v>
      </c>
      <c r="J4755" s="297">
        <f t="shared" ref="J4755:J4777" si="530">AVERAGE(C4755,C4731,C4707,C4683,C4659,C4635,C4611)</f>
        <v>995.42857142857144</v>
      </c>
      <c r="K4755" s="297">
        <f>J4755/POBLA!$B$2*100000</f>
        <v>32.364861607238659</v>
      </c>
      <c r="L4755" s="549">
        <f t="shared" si="522"/>
        <v>0.13985927663251452</v>
      </c>
      <c r="M4755" s="401">
        <f>SUM(C4755,C4731,C4707,C4683,C4659,C4635,C4611)/POBLA!$B$2*100000</f>
        <v>226.55403125067056</v>
      </c>
    </row>
    <row r="4756" spans="1:13" s="360" customFormat="1" ht="15.75" thickBot="1" x14ac:dyDescent="0.3">
      <c r="A4756" s="367" t="s">
        <v>28</v>
      </c>
      <c r="B4756" s="266">
        <v>44091</v>
      </c>
      <c r="C4756" s="1">
        <v>23</v>
      </c>
      <c r="D4756" s="39">
        <f t="shared" si="528"/>
        <v>177</v>
      </c>
      <c r="E4756" s="1"/>
      <c r="F4756" s="409">
        <f>E4756+F4732</f>
        <v>0</v>
      </c>
      <c r="G4756" s="168">
        <f>SUM(C4756,C4732,C4708,C4684,C4660,C4636,C4612,C4588,C4564,C4540,C4516,C4492,C4468,C4444)/POBLA!$B$3*100000</f>
        <v>25.755949142832385</v>
      </c>
      <c r="H4756" s="256">
        <f t="shared" si="521"/>
        <v>17.833333333333332</v>
      </c>
      <c r="I4756" s="297">
        <f t="shared" si="529"/>
        <v>459.31442638051084</v>
      </c>
      <c r="J4756" s="297">
        <f t="shared" si="530"/>
        <v>9.4285714285714288</v>
      </c>
      <c r="K4756" s="297">
        <f>J4756/POBLA!$B$3*100000</f>
        <v>2.2695495906901701</v>
      </c>
      <c r="L4756" s="549">
        <f t="shared" si="522"/>
        <v>-0.60975609756097571</v>
      </c>
      <c r="M4756" s="401">
        <f>SUM(C4756,C4732,C4708,C4684,C4660,C4636,C4612)/POBLA!$B$3*100000</f>
        <v>15.886847134831191</v>
      </c>
    </row>
    <row r="4757" spans="1:13" s="360" customFormat="1" ht="15.75" thickBot="1" x14ac:dyDescent="0.3">
      <c r="A4757" s="367" t="s">
        <v>15</v>
      </c>
      <c r="B4757" s="266">
        <v>44091</v>
      </c>
      <c r="C4757" s="1">
        <v>108</v>
      </c>
      <c r="D4757" s="39">
        <f t="shared" si="528"/>
        <v>7109</v>
      </c>
      <c r="E4757" s="1">
        <f>1+2</f>
        <v>3</v>
      </c>
      <c r="F4757" s="409">
        <f t="shared" ref="F4757:F4775" si="531">E4757+F4733</f>
        <v>247</v>
      </c>
      <c r="G4757" s="168">
        <f>SUM(C4757,C4733,C4709,C4685,C4661,C4637,C4613,C4589,C4565,C4541,C4517,C4493,C4469,C4445)/POBLA!$B$4*100000</f>
        <v>118.46836263771843</v>
      </c>
      <c r="H4757" s="256">
        <f t="shared" si="521"/>
        <v>1.454638124362895</v>
      </c>
      <c r="I4757" s="297">
        <f t="shared" si="529"/>
        <v>172.32859682367399</v>
      </c>
      <c r="J4757" s="297">
        <f t="shared" si="530"/>
        <v>98.714285714285708</v>
      </c>
      <c r="K4757" s="297">
        <f>J4757/POBLA!$B$4*100000</f>
        <v>8.1951785546764881</v>
      </c>
      <c r="L4757" s="549">
        <f t="shared" si="522"/>
        <v>6.1141304347826053E-2</v>
      </c>
      <c r="M4757" s="401">
        <f>SUM(C4757,C4733,C4709,C4685,C4661,C4637,C4613)/POBLA!$B$4*100000</f>
        <v>57.366249882735417</v>
      </c>
    </row>
    <row r="4758" spans="1:13" s="360" customFormat="1" ht="15.75" thickBot="1" x14ac:dyDescent="0.3">
      <c r="A4758" s="367" t="s">
        <v>29</v>
      </c>
      <c r="B4758" s="266">
        <v>44091</v>
      </c>
      <c r="C4758" s="1">
        <v>95</v>
      </c>
      <c r="D4758" s="39">
        <f t="shared" si="528"/>
        <v>2044</v>
      </c>
      <c r="E4758" s="1">
        <f>1</f>
        <v>1</v>
      </c>
      <c r="F4758" s="409">
        <f t="shared" si="531"/>
        <v>24</v>
      </c>
      <c r="G4758" s="168">
        <f>SUM(C4758,C4734,C4710,C4686,C4662,C4638,C4614,C4590,C4566,C4542,C4518,C4494,C4470,C4446)/POBLA!$B$5*100000</f>
        <v>158.64451028604478</v>
      </c>
      <c r="H4758" s="256">
        <f t="shared" si="521"/>
        <v>1.6177924217462933</v>
      </c>
      <c r="I4758" s="297">
        <f t="shared" si="529"/>
        <v>256.6538864924151</v>
      </c>
      <c r="J4758" s="297">
        <f t="shared" si="530"/>
        <v>93.428571428571431</v>
      </c>
      <c r="K4758" s="297">
        <f>J4758/POBLA!$B$5*100000</f>
        <v>15.09361503157889</v>
      </c>
      <c r="L4758" s="549">
        <f t="shared" si="522"/>
        <v>-0.99390243902439024</v>
      </c>
      <c r="M4758" s="401">
        <f>SUM(C4758,C4734,C4710,C4686,C4662,C4638,C4614)/POBLA!$B$5*100000</f>
        <v>105.65530522105222</v>
      </c>
    </row>
    <row r="4759" spans="1:13" s="360" customFormat="1" ht="15.75" thickBot="1" x14ac:dyDescent="0.3">
      <c r="A4759" s="367" t="s">
        <v>20</v>
      </c>
      <c r="B4759" s="266">
        <v>44091</v>
      </c>
      <c r="C4759" s="1">
        <v>757</v>
      </c>
      <c r="D4759" s="39">
        <f t="shared" si="528"/>
        <v>17141</v>
      </c>
      <c r="E4759" s="1">
        <f>1+4+2</f>
        <v>7</v>
      </c>
      <c r="F4759" s="409">
        <f t="shared" si="531"/>
        <v>228</v>
      </c>
      <c r="G4759" s="168">
        <f>SUM(C4759,C4735,C4711,C4687,C4663,C4639,C4615,C4591,C4567,C4543,C4519,C4495,C4471,C4447)/POBLA!$B$6*100000</f>
        <v>651.14146043766914</v>
      </c>
      <c r="H4759" s="256">
        <f t="shared" si="521"/>
        <v>1.5965871800481295</v>
      </c>
      <c r="I4759" s="297">
        <f t="shared" si="529"/>
        <v>1039.6041081325989</v>
      </c>
      <c r="J4759" s="297">
        <f t="shared" si="530"/>
        <v>590.28571428571433</v>
      </c>
      <c r="K4759" s="297">
        <f>J4759/POBLA!$B$6*100000</f>
        <v>52.666415740681387</v>
      </c>
      <c r="L4759" s="549">
        <f t="shared" si="522"/>
        <v>-0.30511686670878069</v>
      </c>
      <c r="M4759" s="401">
        <f>SUM(C4759,C4735,C4711,C4687,C4663,C4639,C4615)/POBLA!$B$6*100000</f>
        <v>368.66491018476961</v>
      </c>
    </row>
    <row r="4760" spans="1:13" s="360" customFormat="1" ht="15.75" thickBot="1" x14ac:dyDescent="0.3">
      <c r="A4760" s="367" t="s">
        <v>30</v>
      </c>
      <c r="B4760" s="266">
        <v>44091</v>
      </c>
      <c r="C4760" s="1">
        <v>73</v>
      </c>
      <c r="D4760" s="39">
        <f t="shared" si="528"/>
        <v>868</v>
      </c>
      <c r="E4760" s="1"/>
      <c r="F4760" s="409">
        <f>E4760+F4736</f>
        <v>6</v>
      </c>
      <c r="G4760" s="168">
        <f>SUM(C4760,C4736,C4712,C4688,C4664,C4640,C4616,C4592,C4568,C4544,C4520,C4496,C4472,C4448)/POBLA!$B$7*100000</f>
        <v>14.306798388490739</v>
      </c>
      <c r="H4760" s="256">
        <f t="shared" si="521"/>
        <v>5.9120879120879124</v>
      </c>
      <c r="I4760" s="297">
        <f t="shared" si="529"/>
        <v>84.583049813274926</v>
      </c>
      <c r="J4760" s="297">
        <f t="shared" si="530"/>
        <v>53.857142857142854</v>
      </c>
      <c r="K4760" s="297">
        <f>J4760/POBLA!$B$7*100000</f>
        <v>1.4321994138239533</v>
      </c>
      <c r="L4760" s="549">
        <f t="shared" si="522"/>
        <v>-1.341614906832298</v>
      </c>
      <c r="M4760" s="401">
        <f>SUM(C4760,C4736,C4712,C4688,C4664,C4640,C4616)/POBLA!$B$7*100000</f>
        <v>10.025395896767675</v>
      </c>
    </row>
    <row r="4761" spans="1:13" ht="15.75" thickBot="1" x14ac:dyDescent="0.3">
      <c r="A4761" s="367" t="s">
        <v>31</v>
      </c>
      <c r="B4761" s="266">
        <v>44091</v>
      </c>
      <c r="C4761" s="1">
        <v>150</v>
      </c>
      <c r="D4761" s="39">
        <f t="shared" si="528"/>
        <v>5774</v>
      </c>
      <c r="E4761" s="1">
        <f>4+1</f>
        <v>5</v>
      </c>
      <c r="F4761" s="409">
        <f>E4761+F4737</f>
        <v>102</v>
      </c>
      <c r="G4761" s="168">
        <f>SUM(C4761,C4737,C4713,C4689,C4665,C4641,C4617,C4593,C4569,C4545,C4521,C4497,C4473,C4449)/POBLA!$B$8*100000</f>
        <v>131.82189109217359</v>
      </c>
      <c r="H4761" s="256">
        <f t="shared" si="521"/>
        <v>0.87583892617449666</v>
      </c>
      <c r="I4761" s="297">
        <f t="shared" si="529"/>
        <v>115.45474354046075</v>
      </c>
      <c r="J4761" s="297">
        <f t="shared" si="530"/>
        <v>132.85714285714286</v>
      </c>
      <c r="K4761" s="297">
        <f>J4761/POBLA!$B$8*100000</f>
        <v>9.5859221765361973</v>
      </c>
      <c r="L4761" s="549">
        <f t="shared" si="522"/>
        <v>-3.6789297658862852E-2</v>
      </c>
      <c r="M4761" s="401">
        <f>SUM(C4761,C4737,C4713,C4689,C4665,C4641,C4617)/POBLA!$B$8*100000</f>
        <v>67.101455235753392</v>
      </c>
    </row>
    <row r="4762" spans="1:13" s="360" customFormat="1" ht="15.75" thickBot="1" x14ac:dyDescent="0.3">
      <c r="A4762" s="367" t="s">
        <v>41</v>
      </c>
      <c r="B4762" s="266">
        <v>44091</v>
      </c>
      <c r="C4762" s="1">
        <v>-3</v>
      </c>
      <c r="D4762" s="39">
        <f t="shared" si="528"/>
        <v>93</v>
      </c>
      <c r="E4762" s="1"/>
      <c r="F4762" s="409">
        <f>E4762+F4738</f>
        <v>1</v>
      </c>
      <c r="G4762" s="168">
        <f>SUM(C4762,C4738,C4714,C4690,C4666,C4642,C4618,C4594,C4570,C4546,C4522,C4498,C4474,C4450)/POBLA!$B$9*100000</f>
        <v>0.82618272187550079</v>
      </c>
      <c r="H4762" s="256">
        <f t="shared" si="521"/>
        <v>0.625</v>
      </c>
      <c r="I4762" s="297">
        <f t="shared" si="529"/>
        <v>0.51636420117218795</v>
      </c>
      <c r="J4762" s="297">
        <f t="shared" si="530"/>
        <v>0.14285714285714285</v>
      </c>
      <c r="K4762" s="297">
        <f>J4762/POBLA!$B$9*100000</f>
        <v>2.3605220625014311E-2</v>
      </c>
      <c r="L4762" s="549">
        <f t="shared" si="522"/>
        <v>0.75</v>
      </c>
      <c r="M4762" s="401">
        <f>SUM(C4762,C4738,C4714,C4690,C4666,C4642,C4618)/POBLA!$B$9*100000</f>
        <v>0.16523654437510019</v>
      </c>
    </row>
    <row r="4763" spans="1:13" s="360" customFormat="1" ht="15.75" thickBot="1" x14ac:dyDescent="0.3">
      <c r="A4763" s="367" t="s">
        <v>32</v>
      </c>
      <c r="B4763" s="266">
        <v>44091</v>
      </c>
      <c r="C4763" s="1">
        <v>309</v>
      </c>
      <c r="D4763" s="39">
        <f t="shared" si="528"/>
        <v>13344</v>
      </c>
      <c r="E4763" s="1">
        <f>8+3+4+7</f>
        <v>22</v>
      </c>
      <c r="F4763" s="409">
        <f t="shared" si="531"/>
        <v>298</v>
      </c>
      <c r="G4763" s="168">
        <f>SUM(C4763,C4739,C4715,C4691,C4667,C4643,C4619,C4595,C4571,C4547,C4523,C4499,C4475,C4451)/POBLA!$B$10*100000</f>
        <v>535.36148899765328</v>
      </c>
      <c r="H4763" s="256">
        <f t="shared" si="521"/>
        <v>1.1486223211800723</v>
      </c>
      <c r="I4763" s="297">
        <f t="shared" si="529"/>
        <v>614.92815616290432</v>
      </c>
      <c r="J4763" s="297">
        <f t="shared" si="530"/>
        <v>278.14285714285717</v>
      </c>
      <c r="K4763" s="297">
        <f>J4763/POBLA!$B$10*100000</f>
        <v>36.081166502074531</v>
      </c>
      <c r="L4763" s="549">
        <f t="shared" si="522"/>
        <v>0.10688073394495412</v>
      </c>
      <c r="M4763" s="401">
        <f>SUM(C4763,C4739,C4715,C4691,C4667,C4643,C4619)/POBLA!$B$10*100000</f>
        <v>252.5681655145217</v>
      </c>
    </row>
    <row r="4764" spans="1:13" s="360" customFormat="1" ht="15.75" thickBot="1" x14ac:dyDescent="0.3">
      <c r="A4764" s="367" t="s">
        <v>33</v>
      </c>
      <c r="B4764" s="266">
        <v>44091</v>
      </c>
      <c r="C4764" s="1">
        <v>15</v>
      </c>
      <c r="D4764" s="39">
        <f t="shared" si="528"/>
        <v>520</v>
      </c>
      <c r="E4764" s="1"/>
      <c r="F4764" s="409">
        <f t="shared" si="531"/>
        <v>4</v>
      </c>
      <c r="G4764" s="168">
        <f>SUM(C4764,C4740,C4716,C4692,C4668,C4644,C4620,C4596,C4572,C4548,C4524,C4500,C4476,C4452)/POBLA!$B$11*100000</f>
        <v>85.372794536141157</v>
      </c>
      <c r="H4764" s="256">
        <f t="shared" si="521"/>
        <v>11.333333333333334</v>
      </c>
      <c r="I4764" s="297">
        <f t="shared" si="529"/>
        <v>967.55833807626652</v>
      </c>
      <c r="J4764" s="297">
        <f t="shared" si="530"/>
        <v>32.285714285714285</v>
      </c>
      <c r="K4764" s="297">
        <f>J4764/POBLA!$B$11*100000</f>
        <v>9.0075870985844535</v>
      </c>
      <c r="L4764" s="549">
        <f t="shared" si="522"/>
        <v>-1.8250000000000002</v>
      </c>
      <c r="M4764" s="401">
        <f>SUM(C4764,C4740,C4716,C4692,C4668,C4644,C4620)/POBLA!$B$11*100000</f>
        <v>63.053109690091183</v>
      </c>
    </row>
    <row r="4765" spans="1:13" s="360" customFormat="1" ht="15.75" thickBot="1" x14ac:dyDescent="0.3">
      <c r="A4765" s="367" t="s">
        <v>21</v>
      </c>
      <c r="B4765" s="266">
        <v>44091</v>
      </c>
      <c r="C4765" s="1">
        <v>121</v>
      </c>
      <c r="D4765" s="39">
        <f t="shared" si="528"/>
        <v>3252</v>
      </c>
      <c r="E4765" s="1">
        <f>5+1</f>
        <v>6</v>
      </c>
      <c r="F4765" s="409">
        <f t="shared" si="531"/>
        <v>93</v>
      </c>
      <c r="G4765" s="168">
        <f>SUM(C4765,C4741,C4717,C4693,C4669,C4645,C4621,C4597,C4573,C4549,C4525,C4501,C4477,C4453)/POBLA!$B$12*100000</f>
        <v>372.01643580810656</v>
      </c>
      <c r="H4765" s="256">
        <f t="shared" si="521"/>
        <v>1.7003484320557491</v>
      </c>
      <c r="I4765" s="297">
        <f t="shared" si="529"/>
        <v>632.55756332528222</v>
      </c>
      <c r="J4765" s="297">
        <f t="shared" si="530"/>
        <v>107</v>
      </c>
      <c r="K4765" s="297">
        <f>J4765/POBLA!$B$12*100000</f>
        <v>27.189725841166261</v>
      </c>
      <c r="L4765" s="549">
        <f t="shared" si="522"/>
        <v>-4.7552447552447585E-2</v>
      </c>
      <c r="M4765" s="401">
        <f>SUM(C4765,C4741,C4717,C4693,C4669,C4645,C4621)/POBLA!$B$12*100000</f>
        <v>190.32808088816384</v>
      </c>
    </row>
    <row r="4766" spans="1:13" s="360" customFormat="1" ht="15.75" thickBot="1" x14ac:dyDescent="0.3">
      <c r="A4766" s="367" t="s">
        <v>17</v>
      </c>
      <c r="B4766" s="266">
        <v>44091</v>
      </c>
      <c r="C4766" s="1">
        <v>566</v>
      </c>
      <c r="D4766" s="39">
        <f t="shared" si="528"/>
        <v>17009</v>
      </c>
      <c r="E4766" s="1">
        <f>1+1+3</f>
        <v>5</v>
      </c>
      <c r="F4766" s="409">
        <f t="shared" si="531"/>
        <v>164</v>
      </c>
      <c r="G4766" s="168">
        <f>SUM(C4766,C4742,C4718,C4694,C4670,C4646,C4622,C4598,C4574,C4550,C4526,C4502,C4478,C4454)/POBLA!$B$13*100000</f>
        <v>445.20076489520875</v>
      </c>
      <c r="H4766" s="256">
        <f t="shared" si="521"/>
        <v>2.1570107108081791</v>
      </c>
      <c r="I4766" s="297">
        <f t="shared" si="529"/>
        <v>960.30281833895924</v>
      </c>
      <c r="J4766" s="297">
        <f t="shared" si="530"/>
        <v>663.42857142857144</v>
      </c>
      <c r="K4766" s="297">
        <f>J4766/POBLA!$B$13*100000</f>
        <v>33.332457674453863</v>
      </c>
      <c r="L4766" s="549">
        <f t="shared" si="522"/>
        <v>-0.10125681764287409</v>
      </c>
      <c r="M4766" s="401">
        <f>SUM(C4766,C4742,C4718,C4694,C4670,C4646,C4622)/POBLA!$B$13*100000</f>
        <v>233.327203721177</v>
      </c>
    </row>
    <row r="4767" spans="1:13" s="360" customFormat="1" ht="15.75" thickBot="1" x14ac:dyDescent="0.3">
      <c r="A4767" s="367" t="s">
        <v>23</v>
      </c>
      <c r="B4767" s="266">
        <v>44091</v>
      </c>
      <c r="C4767" s="1">
        <v>2</v>
      </c>
      <c r="D4767" s="39">
        <f t="shared" si="528"/>
        <v>65</v>
      </c>
      <c r="E4767" s="1"/>
      <c r="F4767" s="409">
        <f t="shared" si="531"/>
        <v>2</v>
      </c>
      <c r="G4767" s="168">
        <f>SUM(C4767,C4743,C4719,C4695,C4671,C4647,C4623,C4599,C4575,C4551,C4527,C4503,C4479,C4455)/POBLA!$B$14*100000</f>
        <v>7.9283656308521244E-2</v>
      </c>
      <c r="H4767" s="256">
        <f t="shared" si="521"/>
        <v>9.0909090909090912E-2</v>
      </c>
      <c r="I4767" s="297">
        <f t="shared" si="529"/>
        <v>7.2076051189564772E-3</v>
      </c>
      <c r="J4767" s="297">
        <f t="shared" si="530"/>
        <v>0</v>
      </c>
      <c r="K4767" s="297">
        <f>J4767/POBLA!$B$14*100000</f>
        <v>0</v>
      </c>
      <c r="L4767" s="549">
        <f t="shared" si="522"/>
        <v>1</v>
      </c>
      <c r="M4767" s="401">
        <f>SUM(C4767,C4743,C4719,C4695,C4671,C4647,C4623)/POBLA!$B$14*100000</f>
        <v>0</v>
      </c>
    </row>
    <row r="4768" spans="1:13" s="360" customFormat="1" ht="15.75" thickBot="1" x14ac:dyDescent="0.3">
      <c r="A4768" s="367" t="s">
        <v>19</v>
      </c>
      <c r="B4768" s="266">
        <v>44091</v>
      </c>
      <c r="C4768" s="1">
        <v>218</v>
      </c>
      <c r="D4768" s="39">
        <f>C4768+D4744</f>
        <v>5566</v>
      </c>
      <c r="E4768" s="1">
        <f>5+2</f>
        <v>7</v>
      </c>
      <c r="F4768" s="409">
        <f t="shared" si="531"/>
        <v>61</v>
      </c>
      <c r="G4768" s="168">
        <f>SUM(C4768,C4744,C4720,C4696,C4672,C4648,C4624,C4600,C4576,C4552,C4528,C4504,C4480,C4456)/POBLA!$B$15*100000</f>
        <v>326.47799812365503</v>
      </c>
      <c r="H4768" s="256">
        <f t="shared" si="521"/>
        <v>1.5732946298984034</v>
      </c>
      <c r="I4768" s="297">
        <f t="shared" si="529"/>
        <v>513.64608122792743</v>
      </c>
      <c r="J4768" s="297">
        <f t="shared" si="530"/>
        <v>181.14285714285714</v>
      </c>
      <c r="K4768" s="297">
        <f>J4768/POBLA!$B$15*100000</f>
        <v>27.278209121032852</v>
      </c>
      <c r="L4768" s="549">
        <f t="shared" si="522"/>
        <v>-0.40888888888888886</v>
      </c>
      <c r="M4768" s="401">
        <f>SUM(C4768,C4744,C4720,C4696,C4672,C4648,C4624)/POBLA!$B$15*100000</f>
        <v>190.94746384722998</v>
      </c>
    </row>
    <row r="4769" spans="1:13" s="360" customFormat="1" ht="15.75" thickBot="1" x14ac:dyDescent="0.3">
      <c r="A4769" s="367" t="s">
        <v>18</v>
      </c>
      <c r="B4769" s="266">
        <v>44091</v>
      </c>
      <c r="C4769" s="1">
        <v>291</v>
      </c>
      <c r="D4769" s="39">
        <f>C4769+D4745</f>
        <v>9752</v>
      </c>
      <c r="E4769" s="1">
        <f>2+2+2</f>
        <v>6</v>
      </c>
      <c r="F4769" s="409">
        <f t="shared" si="531"/>
        <v>182</v>
      </c>
      <c r="G4769" s="168">
        <f>SUM(C4769,C4745,C4721,C4697,C4673,C4649,C4625,C4601,C4577,C4553,C4529,C4505,C4481,C4457)/POBLA!$B$16*100000</f>
        <v>434.18359840023538</v>
      </c>
      <c r="H4769" s="256">
        <f t="shared" si="521"/>
        <v>1.4910427193385394</v>
      </c>
      <c r="I4769" s="297">
        <f t="shared" si="529"/>
        <v>647.38629325087925</v>
      </c>
      <c r="J4769" s="297">
        <f t="shared" si="530"/>
        <v>244.28571428571428</v>
      </c>
      <c r="K4769" s="297">
        <f>J4769/POBLA!$B$16*100000</f>
        <v>32.675554672317688</v>
      </c>
      <c r="L4769" s="549">
        <f t="shared" si="522"/>
        <v>-0.11328125</v>
      </c>
      <c r="M4769" s="401">
        <f>SUM(C4769,C4745,C4721,C4697,C4673,C4649,C4625)/POBLA!$B$16*100000</f>
        <v>228.72888270622383</v>
      </c>
    </row>
    <row r="4770" spans="1:13" s="360" customFormat="1" ht="15.75" thickBot="1" x14ac:dyDescent="0.3">
      <c r="A4770" s="367" t="s">
        <v>34</v>
      </c>
      <c r="B4770" s="266">
        <v>44091</v>
      </c>
      <c r="C4770" s="1">
        <v>419</v>
      </c>
      <c r="D4770" s="39">
        <f>C4770+D4746</f>
        <v>8041</v>
      </c>
      <c r="E4770" s="1">
        <f>2+5+8</f>
        <v>15</v>
      </c>
      <c r="F4770" s="409">
        <f>E4770+F4746</f>
        <v>116</v>
      </c>
      <c r="G4770" s="168">
        <f>SUM(C4770,C4746,C4722,C4698,C4674,C4650,C4626,C4602,C4578,C4554,C4530,C4506,C4482,C4458)/POBLA!$B$17*100000</f>
        <v>288.7537673836718</v>
      </c>
      <c r="H4770" s="256">
        <f t="shared" si="521"/>
        <v>1.6939868204283361</v>
      </c>
      <c r="I4770" s="297">
        <f t="shared" si="529"/>
        <v>489.14507629696959</v>
      </c>
      <c r="J4770" s="297">
        <f t="shared" si="530"/>
        <v>314.85714285714283</v>
      </c>
      <c r="K4770" s="297">
        <f>J4770/POBLA!$B$17*100000</f>
        <v>22.104591827779952</v>
      </c>
      <c r="L4770" s="549">
        <f t="shared" si="522"/>
        <v>-0.15453116815086432</v>
      </c>
      <c r="M4770" s="401">
        <f>SUM(C4770,C4746,C4722,C4698,C4674,C4650,C4626)/POBLA!$B$17*100000</f>
        <v>154.73214279445969</v>
      </c>
    </row>
    <row r="4771" spans="1:13" s="360" customFormat="1" ht="15.75" thickBot="1" x14ac:dyDescent="0.3">
      <c r="A4771" s="367" t="s">
        <v>35</v>
      </c>
      <c r="B4771" s="266">
        <v>44091</v>
      </c>
      <c r="C4771" s="1">
        <v>20</v>
      </c>
      <c r="D4771" s="39">
        <f t="shared" ref="D4771:D4777" si="532">C4771+D4747</f>
        <v>448</v>
      </c>
      <c r="E4771" s="1"/>
      <c r="F4771" s="409">
        <f>E4771+F4747</f>
        <v>14</v>
      </c>
      <c r="G4771" s="168">
        <f>SUM(C4771,C4747,C4723,C4699,C4675,C4651,C4627,C4603,C4579,C4555,C4531,C4507,C4483,C4459)/POBLA!$B$18*100000</f>
        <v>15.232643426858351</v>
      </c>
      <c r="H4771" s="256">
        <f t="shared" si="521"/>
        <v>0.40476190476190477</v>
      </c>
      <c r="I4771" s="297">
        <f t="shared" si="529"/>
        <v>6.1655937680140944</v>
      </c>
      <c r="J4771" s="297">
        <f t="shared" si="530"/>
        <v>9</v>
      </c>
      <c r="K4771" s="297">
        <f>J4771/POBLA!$B$18*100000</f>
        <v>1.1520486625355055</v>
      </c>
      <c r="L4771" s="549">
        <f t="shared" si="522"/>
        <v>-0.125</v>
      </c>
      <c r="M4771" s="401">
        <f>SUM(C4771,C4747,C4723,C4699,C4675,C4651,C4627)/POBLA!$B$18*100000</f>
        <v>8.064340637748538</v>
      </c>
    </row>
    <row r="4772" spans="1:13" s="360" customFormat="1" ht="15.75" thickBot="1" x14ac:dyDescent="0.3">
      <c r="A4772" s="367" t="s">
        <v>36</v>
      </c>
      <c r="B4772" s="266">
        <v>44091</v>
      </c>
      <c r="C4772" s="1">
        <v>62</v>
      </c>
      <c r="D4772" s="39">
        <f t="shared" si="532"/>
        <v>570</v>
      </c>
      <c r="E4772" s="1"/>
      <c r="F4772" s="409">
        <f t="shared" si="531"/>
        <v>0</v>
      </c>
      <c r="G4772" s="168">
        <f>SUM(C4772,C4748,C4724,C4700,C4676,C4652,C4628,C4604,C4580,C4556,C4532,C4508,C4484,C4460)/POBLA!$B$19*100000</f>
        <v>73.77126579688705</v>
      </c>
      <c r="H4772" s="256">
        <f t="shared" si="521"/>
        <v>2.4038461538461537</v>
      </c>
      <c r="I4772" s="297">
        <f t="shared" si="529"/>
        <v>177.33477355020923</v>
      </c>
      <c r="J4772" s="297">
        <f t="shared" si="530"/>
        <v>30.571428571428573</v>
      </c>
      <c r="K4772" s="297">
        <f>J4772/POBLA!$B$19*100000</f>
        <v>6.0141146211557448</v>
      </c>
      <c r="L4772" s="549">
        <f t="shared" si="522"/>
        <v>-0.329192546583851</v>
      </c>
      <c r="M4772" s="401">
        <f>SUM(C4772,C4748,C4724,C4700,C4676,C4652,C4628)/POBLA!$B$19*100000</f>
        <v>42.09880234809021</v>
      </c>
    </row>
    <row r="4773" spans="1:13" s="360" customFormat="1" ht="15.75" thickBot="1" x14ac:dyDescent="0.3">
      <c r="A4773" s="367" t="s">
        <v>37</v>
      </c>
      <c r="B4773" s="266">
        <v>44091</v>
      </c>
      <c r="C4773" s="1">
        <v>86</v>
      </c>
      <c r="D4773" s="39">
        <f t="shared" si="532"/>
        <v>3362</v>
      </c>
      <c r="E4773" s="1">
        <f>3</f>
        <v>3</v>
      </c>
      <c r="F4773" s="409">
        <f>E4773+F4749</f>
        <v>42</v>
      </c>
      <c r="G4773" s="168">
        <f>SUM(C4773,C4749,C4725,C4701,C4677,C4653,C4629,C4605,C4581,C4557,C4533,C4509,C4485,C4461)/POBLA!$B$20*100000</f>
        <v>382.82954787830397</v>
      </c>
      <c r="H4773" s="256">
        <f t="shared" si="521"/>
        <v>1.7857142857142858</v>
      </c>
      <c r="I4773" s="297">
        <f t="shared" si="529"/>
        <v>683.62419263982861</v>
      </c>
      <c r="J4773" s="297">
        <f t="shared" si="530"/>
        <v>105.14285714285714</v>
      </c>
      <c r="K4773" s="297">
        <f>J4773/POBLA!$B$20*100000</f>
        <v>28.751280330452214</v>
      </c>
      <c r="L4773" s="549">
        <f t="shared" si="522"/>
        <v>-0.10843373493975905</v>
      </c>
      <c r="M4773" s="401">
        <f>SUM(C4773,C4749,C4725,C4701,C4677,C4653,C4629)/POBLA!$B$20*100000</f>
        <v>201.25896231316551</v>
      </c>
    </row>
    <row r="4774" spans="1:13" s="360" customFormat="1" ht="15.75" thickBot="1" x14ac:dyDescent="0.3">
      <c r="A4774" s="367" t="s">
        <v>22</v>
      </c>
      <c r="B4774" s="266">
        <v>44091</v>
      </c>
      <c r="C4774" s="1">
        <v>1362</v>
      </c>
      <c r="D4774" s="39">
        <f t="shared" si="532"/>
        <v>23034</v>
      </c>
      <c r="E4774" s="1">
        <f>3+2+8+3</f>
        <v>16</v>
      </c>
      <c r="F4774" s="409">
        <f>E4774+F4750</f>
        <v>252</v>
      </c>
      <c r="G4774" s="168">
        <f>SUM(C4774,C4750,C4726,C4702,C4678,C4654,C4630,C4606,C4582,C4558,C4534,C4510,C4486,C4462)/POBLA!$B$21*100000</f>
        <v>365.93524860466158</v>
      </c>
      <c r="H4774" s="256">
        <f t="shared" si="521"/>
        <v>2.1425496688741723</v>
      </c>
      <c r="I4774" s="297">
        <f t="shared" si="529"/>
        <v>784.03444572730564</v>
      </c>
      <c r="J4774" s="297">
        <f t="shared" si="530"/>
        <v>1041.5714285714287</v>
      </c>
      <c r="K4774" s="297">
        <f>J4774/POBLA!$B$21*100000</f>
        <v>29.452723874028145</v>
      </c>
      <c r="L4774" s="549">
        <f t="shared" si="522"/>
        <v>-0.29044247787610611</v>
      </c>
      <c r="M4774" s="401">
        <f>SUM(C4774,C4750,C4726,C4702,C4678,C4654,C4630)/POBLA!$B$21*100000</f>
        <v>206.16906711819701</v>
      </c>
    </row>
    <row r="4775" spans="1:13" s="360" customFormat="1" ht="15.75" thickBot="1" x14ac:dyDescent="0.3">
      <c r="A4775" s="367" t="s">
        <v>38</v>
      </c>
      <c r="B4775" s="266">
        <v>44091</v>
      </c>
      <c r="C4775" s="1">
        <v>68</v>
      </c>
      <c r="D4775" s="39">
        <f t="shared" si="532"/>
        <v>2109</v>
      </c>
      <c r="E4775" s="1">
        <f>1+1</f>
        <v>2</v>
      </c>
      <c r="F4775" s="409">
        <f t="shared" si="531"/>
        <v>30</v>
      </c>
      <c r="G4775" s="168">
        <f>SUM(C4775,C4751,C4727,C4703,C4679,C4655,C4631,C4607,C4583,C4559,C4535,C4511,C4487,C4463)/POBLA!$B$22*100000</f>
        <v>103.64781005669965</v>
      </c>
      <c r="H4775" s="256">
        <f t="shared" si="521"/>
        <v>1.4955752212389382</v>
      </c>
      <c r="I4775" s="297">
        <f t="shared" si="529"/>
        <v>155.01309645648001</v>
      </c>
      <c r="J4775" s="297">
        <f t="shared" si="530"/>
        <v>78.714285714285708</v>
      </c>
      <c r="K4775" s="297">
        <f>J4775/POBLA!$B$22*100000</f>
        <v>8.0459204481884328</v>
      </c>
      <c r="L4775" s="549">
        <f t="shared" si="522"/>
        <v>-0.19006479481641469</v>
      </c>
      <c r="M4775" s="401">
        <f>SUM(C4775,C4751,C4727,C4703,C4679,C4655,C4631)/POBLA!$B$22*100000</f>
        <v>56.321443137319037</v>
      </c>
    </row>
    <row r="4776" spans="1:13" s="360" customFormat="1" ht="15.75" thickBot="1" x14ac:dyDescent="0.3">
      <c r="A4776" s="367" t="s">
        <v>39</v>
      </c>
      <c r="B4776" s="266">
        <v>44091</v>
      </c>
      <c r="C4776" s="1">
        <v>49</v>
      </c>
      <c r="D4776" s="39">
        <f t="shared" si="532"/>
        <v>2950</v>
      </c>
      <c r="E4776" s="1">
        <f>1+1</f>
        <v>2</v>
      </c>
      <c r="F4776" s="409">
        <f>E4776+F4752</f>
        <v>52</v>
      </c>
      <c r="G4776" s="168">
        <f>SUM(C4776,C4752,C4728,C4704,C4680,C4656,C4632,C4608,C4584,C4560,C4536,C4512,C4488,C4464)/POBLA!$B$23*100000</f>
        <v>405.47418424475478</v>
      </c>
      <c r="H4776" s="256">
        <f t="shared" si="521"/>
        <v>1.1327014218009479</v>
      </c>
      <c r="I4776" s="297">
        <f t="shared" si="529"/>
        <v>459.28118499761325</v>
      </c>
      <c r="J4776" s="297">
        <f t="shared" si="530"/>
        <v>51.142857142857146</v>
      </c>
      <c r="K4776" s="297">
        <f>J4776/POBLA!$B$23*100000</f>
        <v>28.922047810245516</v>
      </c>
      <c r="L4776" s="549">
        <f t="shared" si="522"/>
        <v>2.7855153203342198E-3</v>
      </c>
      <c r="M4776" s="401">
        <f>SUM(C4776,C4752,C4728,C4704,C4680,C4656,C4632)/POBLA!$B$23*100000</f>
        <v>202.45433467171858</v>
      </c>
    </row>
    <row r="4777" spans="1:13" s="360" customFormat="1" ht="15.75" thickBot="1" x14ac:dyDescent="0.3">
      <c r="A4777" s="368" t="s">
        <v>40</v>
      </c>
      <c r="B4777" s="34">
        <v>44091</v>
      </c>
      <c r="C4777" s="232">
        <v>435</v>
      </c>
      <c r="D4777" s="67">
        <f t="shared" si="532"/>
        <v>8610</v>
      </c>
      <c r="E4777" s="232">
        <f>3+2+2</f>
        <v>7</v>
      </c>
      <c r="F4777" s="477">
        <f>E4777+F4753</f>
        <v>37</v>
      </c>
      <c r="G4777" s="177">
        <f>SUM(C4777,C4753,C4729,C4705,C4681,C4657,C4633,C4609,C4585,C4561,C4537,C4513,C4489,C4465)/POBLA!$B$24*100000</f>
        <v>326.6149590241323</v>
      </c>
      <c r="H4777" s="402">
        <f t="shared" si="521"/>
        <v>2.4731903485254692</v>
      </c>
      <c r="I4777" s="403">
        <f t="shared" si="529"/>
        <v>807.78096434252564</v>
      </c>
      <c r="J4777" s="403">
        <f t="shared" si="530"/>
        <v>455.85714285714283</v>
      </c>
      <c r="K4777" s="403">
        <f>J4777/POBLA!$B$24*100000</f>
        <v>26.899686004542684</v>
      </c>
      <c r="L4777" s="550">
        <f t="shared" si="522"/>
        <v>-0.36134812286689422</v>
      </c>
      <c r="M4777" s="405">
        <f>SUM(C4777,C4753,C4729,C4705,C4681,C4657,C4633)/POBLA!$B$24*100000</f>
        <v>188.29780203179877</v>
      </c>
    </row>
    <row r="4778" spans="1:13" s="360" customFormat="1" x14ac:dyDescent="0.25">
      <c r="A4778" s="363" t="s">
        <v>16</v>
      </c>
      <c r="B4778" s="265">
        <v>44092</v>
      </c>
      <c r="C4778" s="43">
        <v>5708</v>
      </c>
      <c r="D4778" s="174">
        <f>C4778+D4754</f>
        <v>360758</v>
      </c>
      <c r="E4778" s="43">
        <f>5+5+45+37</f>
        <v>92</v>
      </c>
      <c r="F4778" s="475">
        <f>E4778+F4754</f>
        <v>7503</v>
      </c>
      <c r="G4778" s="175">
        <f>SUM(C4778,C4754,C4730,C4706,C4682,C4658,C4634,C4610,C4586,C4562,C4538,C4514,C4490,C4466)/POBLA!$B$1*100000</f>
        <v>438.40363634269858</v>
      </c>
      <c r="H4778" s="300">
        <f t="shared" si="521"/>
        <v>0.97604965223130424</v>
      </c>
      <c r="I4778" s="301">
        <f>G4778*H4778</f>
        <v>427.90371678923015</v>
      </c>
      <c r="J4778" s="301">
        <f>AVERAGE(C4778,C4754,C4730,C4706,C4682,C4658,C4634)</f>
        <v>5502.8571428571431</v>
      </c>
      <c r="K4778" s="301">
        <f>J4778/POBLA!$B$1*100000</f>
        <v>31.371147081350884</v>
      </c>
      <c r="L4778" s="548">
        <f t="shared" si="522"/>
        <v>-3.6215835960500264E-3</v>
      </c>
      <c r="M4778" s="400">
        <f>SUM(C4778,C4754,C4730,C4706,C4682,C4658,C4634)/POBLA!$B$1*100000</f>
        <v>219.59802956945617</v>
      </c>
    </row>
    <row r="4779" spans="1:13" s="360" customFormat="1" x14ac:dyDescent="0.25">
      <c r="A4779" s="367" t="s">
        <v>43</v>
      </c>
      <c r="B4779" s="2">
        <v>44092</v>
      </c>
      <c r="C4779" s="1">
        <v>1070</v>
      </c>
      <c r="D4779" s="39">
        <f t="shared" ref="D4779:D4791" si="533">C4779+D4755</f>
        <v>115895</v>
      </c>
      <c r="E4779" s="1">
        <f>1+14+14</f>
        <v>29</v>
      </c>
      <c r="F4779" s="409">
        <f>E4779+F4755</f>
        <v>2884</v>
      </c>
      <c r="G4779" s="168">
        <f>SUM(C4779,C4755,C4731,C4707,C4683,C4659,C4635,C4611,C4587,C4563,C4539,C4515,C4491,C4467)/POBLA!$B$2*100000</f>
        <v>483.18304512287824</v>
      </c>
      <c r="H4779" s="256">
        <f t="shared" si="521"/>
        <v>0.81523945361786165</v>
      </c>
      <c r="I4779" s="297">
        <f t="shared" ref="I4779:I4801" si="534">G4779*H4779</f>
        <v>393.90988170338983</v>
      </c>
      <c r="J4779" s="297">
        <f t="shared" ref="J4779:J4801" si="535">AVERAGE(C4779,C4755,C4731,C4707,C4683,C4659,C4635)</f>
        <v>974.71428571428567</v>
      </c>
      <c r="K4779" s="297">
        <f>J4779/POBLA!$B$2*100000</f>
        <v>31.691367787914658</v>
      </c>
      <c r="L4779" s="549">
        <f t="shared" si="522"/>
        <v>0.15115700422990797</v>
      </c>
      <c r="M4779" s="401">
        <f>SUM(C4779,C4755,C4731,C4707,C4683,C4659,C4635)/POBLA!$B$2*100000</f>
        <v>221.83957451540263</v>
      </c>
    </row>
    <row r="4780" spans="1:13" s="360" customFormat="1" x14ac:dyDescent="0.25">
      <c r="A4780" s="367" t="s">
        <v>28</v>
      </c>
      <c r="B4780" s="2">
        <v>44092</v>
      </c>
      <c r="C4780" s="1">
        <v>6</v>
      </c>
      <c r="D4780" s="39">
        <f t="shared" si="533"/>
        <v>183</v>
      </c>
      <c r="E4780" s="1"/>
      <c r="F4780" s="409">
        <f>E4780+F4756</f>
        <v>0</v>
      </c>
      <c r="G4780" s="168">
        <f>SUM(C4780,C4756,C4732,C4708,C4684,C4660,C4636,C4612,C4588,C4564,C4540,C4516,C4492,C4468)/POBLA!$B$3*100000</f>
        <v>26.95949816819838</v>
      </c>
      <c r="H4780" s="256">
        <f t="shared" si="521"/>
        <v>14</v>
      </c>
      <c r="I4780" s="297">
        <f t="shared" si="534"/>
        <v>377.43297435477734</v>
      </c>
      <c r="J4780" s="297">
        <f t="shared" si="535"/>
        <v>9.8571428571428577</v>
      </c>
      <c r="K4780" s="297">
        <f>J4780/POBLA!$B$3*100000</f>
        <v>2.3727109357215417</v>
      </c>
      <c r="L4780" s="549">
        <f t="shared" si="522"/>
        <v>-0.60465116279069764</v>
      </c>
      <c r="M4780" s="401">
        <f>SUM(C4780,C4756,C4732,C4708,C4684,C4660,C4636)/POBLA!$B$3*100000</f>
        <v>16.608976550050787</v>
      </c>
    </row>
    <row r="4781" spans="1:13" s="360" customFormat="1" x14ac:dyDescent="0.25">
      <c r="A4781" s="367" t="s">
        <v>15</v>
      </c>
      <c r="B4781" s="2">
        <v>44092</v>
      </c>
      <c r="C4781" s="1">
        <v>104</v>
      </c>
      <c r="D4781" s="39">
        <f t="shared" si="533"/>
        <v>7213</v>
      </c>
      <c r="E4781" s="1">
        <f>1+2+1</f>
        <v>4</v>
      </c>
      <c r="F4781" s="409">
        <f t="shared" ref="F4781:F4799" si="536">E4781+F4757</f>
        <v>251</v>
      </c>
      <c r="G4781" s="168">
        <f>SUM(C4781,C4757,C4733,C4709,C4685,C4661,C4637,C4613,C4589,C4565,C4541,C4517,C4493,C4469)/POBLA!$B$4*100000</f>
        <v>119.71365026180096</v>
      </c>
      <c r="H4781" s="256">
        <f t="shared" si="521"/>
        <v>1.4206896551724137</v>
      </c>
      <c r="I4781" s="297">
        <f t="shared" si="534"/>
        <v>170.07594450986895</v>
      </c>
      <c r="J4781" s="297">
        <f t="shared" si="535"/>
        <v>95.714285714285708</v>
      </c>
      <c r="K4781" s="297">
        <f>J4781/POBLA!$B$4*100000</f>
        <v>7.94612102985998</v>
      </c>
      <c r="L4781" s="549">
        <f t="shared" si="522"/>
        <v>0.13212435233160624</v>
      </c>
      <c r="M4781" s="401">
        <f>SUM(C4781,C4757,C4733,C4709,C4685,C4661,C4637)/POBLA!$B$4*100000</f>
        <v>55.622847209019874</v>
      </c>
    </row>
    <row r="4782" spans="1:13" s="360" customFormat="1" x14ac:dyDescent="0.25">
      <c r="A4782" s="367" t="s">
        <v>29</v>
      </c>
      <c r="B4782" s="2">
        <v>44092</v>
      </c>
      <c r="C4782" s="1">
        <v>56</v>
      </c>
      <c r="D4782" s="39">
        <f t="shared" si="533"/>
        <v>2100</v>
      </c>
      <c r="E4782" s="1">
        <f>1</f>
        <v>1</v>
      </c>
      <c r="F4782" s="409">
        <f t="shared" si="536"/>
        <v>25</v>
      </c>
      <c r="G4782" s="168">
        <f>SUM(C4782,C4758,C4734,C4710,C4686,C4662,C4638,C4614,C4590,C4566,C4542,C4518,C4494,C4470)/POBLA!$B$5*100000</f>
        <v>161.39090201197428</v>
      </c>
      <c r="H4782" s="256">
        <f t="shared" si="521"/>
        <v>1.5933014354066986</v>
      </c>
      <c r="I4782" s="297">
        <f t="shared" si="534"/>
        <v>257.14435583726043</v>
      </c>
      <c r="J4782" s="297">
        <f t="shared" si="535"/>
        <v>88.571428571428569</v>
      </c>
      <c r="K4782" s="297">
        <f>J4782/POBLA!$B$5*100000</f>
        <v>14.308931681313322</v>
      </c>
      <c r="L4782" s="549">
        <f t="shared" si="522"/>
        <v>-0.63588390501319259</v>
      </c>
      <c r="M4782" s="401">
        <f>SUM(C4782,C4758,C4734,C4710,C4686,C4662,C4638)/POBLA!$B$5*100000</f>
        <v>100.16252176919323</v>
      </c>
    </row>
    <row r="4783" spans="1:13" s="360" customFormat="1" x14ac:dyDescent="0.25">
      <c r="A4783" s="367" t="s">
        <v>20</v>
      </c>
      <c r="B4783" s="2">
        <v>44092</v>
      </c>
      <c r="C4783" s="1">
        <v>716</v>
      </c>
      <c r="D4783" s="39">
        <f t="shared" si="533"/>
        <v>17857</v>
      </c>
      <c r="E4783" s="1">
        <f>1+1+5+3</f>
        <v>10</v>
      </c>
      <c r="F4783" s="409">
        <f t="shared" si="536"/>
        <v>238</v>
      </c>
      <c r="G4783" s="168">
        <f>SUM(C4783,C4759,C4735,C4711,C4687,C4663,C4639,C4615,C4591,C4567,C4543,C4519,C4495,C4471)/POBLA!$B$6*100000</f>
        <v>670.59183566038928</v>
      </c>
      <c r="H4783" s="256">
        <f t="shared" si="521"/>
        <v>1.5379578473501125</v>
      </c>
      <c r="I4783" s="297">
        <f t="shared" si="534"/>
        <v>1031.3419760228128</v>
      </c>
      <c r="J4783" s="297">
        <f t="shared" si="535"/>
        <v>637.28571428571433</v>
      </c>
      <c r="K4783" s="297">
        <f>J4783/POBLA!$B$6*100000</f>
        <v>56.859845261176105</v>
      </c>
      <c r="L4783" s="549">
        <f t="shared" si="522"/>
        <v>-0.460229132569558</v>
      </c>
      <c r="M4783" s="401">
        <f>SUM(C4783,C4759,C4735,C4711,C4687,C4663,C4639)/POBLA!$B$6*100000</f>
        <v>398.01891682823265</v>
      </c>
    </row>
    <row r="4784" spans="1:13" s="360" customFormat="1" x14ac:dyDescent="0.25">
      <c r="A4784" s="367" t="s">
        <v>30</v>
      </c>
      <c r="B4784" s="2">
        <v>44092</v>
      </c>
      <c r="C4784" s="1">
        <v>35</v>
      </c>
      <c r="D4784" s="39">
        <f t="shared" si="533"/>
        <v>903</v>
      </c>
      <c r="E4784" s="1"/>
      <c r="F4784" s="409">
        <f>E4784+F4760</f>
        <v>6</v>
      </c>
      <c r="G4784" s="168">
        <f>SUM(C4784,C4760,C4736,C4712,C4688,C4664,C4640,C4616,C4592,C4568,C4544,C4520,C4496,C4472)/POBLA!$B$7*100000</f>
        <v>15.157760374423274</v>
      </c>
      <c r="H4784" s="256">
        <f t="shared" si="521"/>
        <v>6.333333333333333</v>
      </c>
      <c r="I4784" s="297">
        <f t="shared" si="534"/>
        <v>95.999149038014068</v>
      </c>
      <c r="J4784" s="297">
        <f t="shared" si="535"/>
        <v>42.857142857142854</v>
      </c>
      <c r="K4784" s="297">
        <f>J4784/POBLA!$B$7*100000</f>
        <v>1.1396812311596445</v>
      </c>
      <c r="L4784" s="549">
        <f t="shared" si="522"/>
        <v>-0.11111111111111116</v>
      </c>
      <c r="M4784" s="401">
        <f>SUM(C4784,C4760,C4736,C4712,C4688,C4664,C4640)/POBLA!$B$7*100000</f>
        <v>7.9777686181175129</v>
      </c>
    </row>
    <row r="4785" spans="1:13" x14ac:dyDescent="0.25">
      <c r="A4785" s="367" t="s">
        <v>31</v>
      </c>
      <c r="B4785" s="2">
        <v>44092</v>
      </c>
      <c r="C4785" s="1">
        <v>181</v>
      </c>
      <c r="D4785" s="39">
        <f t="shared" si="533"/>
        <v>5955</v>
      </c>
      <c r="E4785" s="1">
        <f>1+1</f>
        <v>2</v>
      </c>
      <c r="F4785" s="409">
        <f>E4785+F4761</f>
        <v>104</v>
      </c>
      <c r="G4785" s="168">
        <f>SUM(C4785,C4761,C4737,C4713,C4689,C4665,C4641,C4617,C4593,C4569,C4545,C4521,C4497,C4473)/POBLA!$B$8*100000</f>
        <v>132.90417262823414</v>
      </c>
      <c r="H4785" s="256">
        <f t="shared" si="521"/>
        <v>0.87051039697542532</v>
      </c>
      <c r="I4785" s="297">
        <f t="shared" si="534"/>
        <v>115.69446407429456</v>
      </c>
      <c r="J4785" s="297">
        <f t="shared" si="535"/>
        <v>137.14285714285714</v>
      </c>
      <c r="K4785" s="297">
        <f>J4785/POBLA!$B$8*100000</f>
        <v>9.8951454725534944</v>
      </c>
      <c r="L4785" s="549">
        <f t="shared" si="522"/>
        <v>-8.8435374149659962E-2</v>
      </c>
      <c r="M4785" s="401">
        <f>SUM(C4785,C4761,C4737,C4713,C4689,C4665,C4641)/POBLA!$B$8*100000</f>
        <v>69.266018307874461</v>
      </c>
    </row>
    <row r="4786" spans="1:13" s="360" customFormat="1" x14ac:dyDescent="0.25">
      <c r="A4786" s="367" t="s">
        <v>41</v>
      </c>
      <c r="B4786" s="2">
        <v>44092</v>
      </c>
      <c r="C4786" s="1">
        <v>-1</v>
      </c>
      <c r="D4786" s="39">
        <f t="shared" si="533"/>
        <v>92</v>
      </c>
      <c r="E4786" s="1"/>
      <c r="F4786" s="409">
        <f>E4786+F4762</f>
        <v>1</v>
      </c>
      <c r="G4786" s="168">
        <f>SUM(C4786,C4762,C4738,C4714,C4690,C4666,C4642,C4618,C4594,C4570,C4546,C4522,C4498,C4474)/POBLA!$B$9*100000</f>
        <v>0.33047308875020037</v>
      </c>
      <c r="H4786" s="256">
        <f t="shared" si="521"/>
        <v>0.18181818181818182</v>
      </c>
      <c r="I4786" s="297">
        <f t="shared" si="534"/>
        <v>6.0086016136400071E-2</v>
      </c>
      <c r="J4786" s="297">
        <f t="shared" si="535"/>
        <v>-0.5714285714285714</v>
      </c>
      <c r="K4786" s="297">
        <f>J4786/POBLA!$B$9*100000</f>
        <v>-9.4420882500057243E-2</v>
      </c>
      <c r="L4786" s="549">
        <f t="shared" si="522"/>
        <v>1.6666666666666665</v>
      </c>
      <c r="M4786" s="401">
        <f>SUM(C4786,C4762,C4738,C4714,C4690,C4666,C4642)/POBLA!$B$9*100000</f>
        <v>-0.66094617750040074</v>
      </c>
    </row>
    <row r="4787" spans="1:13" s="360" customFormat="1" x14ac:dyDescent="0.25">
      <c r="A4787" s="367" t="s">
        <v>32</v>
      </c>
      <c r="B4787" s="2">
        <v>44092</v>
      </c>
      <c r="C4787" s="1">
        <v>256</v>
      </c>
      <c r="D4787" s="39">
        <f t="shared" si="533"/>
        <v>13600</v>
      </c>
      <c r="E4787" s="1"/>
      <c r="F4787" s="409">
        <f t="shared" si="536"/>
        <v>298</v>
      </c>
      <c r="G4787" s="168">
        <f>SUM(C4787,C4763,C4739,C4715,C4691,C4667,C4643,C4619,C4595,C4571,C4547,C4523,C4499,C4475)/POBLA!$B$10*100000</f>
        <v>525.5026391881496</v>
      </c>
      <c r="H4787" s="256">
        <f t="shared" si="521"/>
        <v>1.1023129251700681</v>
      </c>
      <c r="I4787" s="297">
        <f t="shared" si="534"/>
        <v>579.26835138808008</v>
      </c>
      <c r="J4787" s="297">
        <f t="shared" si="535"/>
        <v>271.57142857142856</v>
      </c>
      <c r="K4787" s="297">
        <f>J4787/POBLA!$B$10*100000</f>
        <v>35.228709563658796</v>
      </c>
      <c r="L4787" s="549">
        <f t="shared" si="522"/>
        <v>0.11581395348837209</v>
      </c>
      <c r="M4787" s="401">
        <f>SUM(C4787,C4763,C4739,C4715,C4691,C4667,C4643)/POBLA!$B$10*100000</f>
        <v>246.60096694561159</v>
      </c>
    </row>
    <row r="4788" spans="1:13" s="360" customFormat="1" x14ac:dyDescent="0.25">
      <c r="A4788" s="367" t="s">
        <v>33</v>
      </c>
      <c r="B4788" s="2">
        <v>44092</v>
      </c>
      <c r="C4788" s="1">
        <v>14</v>
      </c>
      <c r="D4788" s="39">
        <f t="shared" si="533"/>
        <v>534</v>
      </c>
      <c r="E4788" s="1"/>
      <c r="F4788" s="409">
        <f t="shared" si="536"/>
        <v>4</v>
      </c>
      <c r="G4788" s="168">
        <f>SUM(C4788,C4764,C4740,C4716,C4692,C4668,C4644,C4620,C4596,C4572,C4548,C4524,C4500,C4476)/POBLA!$B$11*100000</f>
        <v>87.325766960170526</v>
      </c>
      <c r="H4788" s="256">
        <f t="shared" si="521"/>
        <v>9.2058823529411757</v>
      </c>
      <c r="I4788" s="297">
        <f t="shared" si="534"/>
        <v>803.91073701568746</v>
      </c>
      <c r="J4788" s="297">
        <f t="shared" si="535"/>
        <v>30.428571428571427</v>
      </c>
      <c r="K4788" s="297">
        <f>J4788/POBLA!$B$11*100000</f>
        <v>8.4894515575154372</v>
      </c>
      <c r="L4788" s="549">
        <f t="shared" si="522"/>
        <v>-1.1299999999999999</v>
      </c>
      <c r="M4788" s="401">
        <f>SUM(C4788,C4764,C4740,C4716,C4692,C4668,C4644)/POBLA!$B$11*100000</f>
        <v>59.426160902608054</v>
      </c>
    </row>
    <row r="4789" spans="1:13" s="360" customFormat="1" x14ac:dyDescent="0.25">
      <c r="A4789" s="367" t="s">
        <v>21</v>
      </c>
      <c r="B4789" s="2">
        <v>44092</v>
      </c>
      <c r="C4789" s="1">
        <v>152</v>
      </c>
      <c r="D4789" s="39">
        <f t="shared" si="533"/>
        <v>3404</v>
      </c>
      <c r="E4789" s="1">
        <f>5</f>
        <v>5</v>
      </c>
      <c r="F4789" s="409">
        <f t="shared" si="536"/>
        <v>98</v>
      </c>
      <c r="G4789" s="168">
        <f>SUM(C4789,C4765,C4741,C4717,C4693,C4669,C4645,C4621,C4597,C4573,C4549,C4525,C4501,C4477)/POBLA!$B$12*100000</f>
        <v>385.48424393503944</v>
      </c>
      <c r="H4789" s="256">
        <f t="shared" si="521"/>
        <v>1.6688668866886689</v>
      </c>
      <c r="I4789" s="297">
        <f t="shared" si="534"/>
        <v>643.32189004340466</v>
      </c>
      <c r="J4789" s="297">
        <f t="shared" si="535"/>
        <v>105.57142857142857</v>
      </c>
      <c r="K4789" s="297">
        <f>J4789/POBLA!$B$12*100000</f>
        <v>26.826712145022519</v>
      </c>
      <c r="L4789" s="549">
        <f t="shared" si="522"/>
        <v>5.0128534704370176E-2</v>
      </c>
      <c r="M4789" s="401">
        <f>SUM(C4789,C4765,C4741,C4717,C4693,C4669,C4645)/POBLA!$B$12*100000</f>
        <v>187.78698501515765</v>
      </c>
    </row>
    <row r="4790" spans="1:13" s="360" customFormat="1" x14ac:dyDescent="0.25">
      <c r="A4790" s="367" t="s">
        <v>17</v>
      </c>
      <c r="B4790" s="2">
        <v>44092</v>
      </c>
      <c r="C4790" s="1">
        <v>578</v>
      </c>
      <c r="D4790" s="39">
        <f t="shared" si="533"/>
        <v>17587</v>
      </c>
      <c r="E4790" s="1">
        <f>3+2</f>
        <v>5</v>
      </c>
      <c r="F4790" s="409">
        <f t="shared" si="536"/>
        <v>169</v>
      </c>
      <c r="G4790" s="168">
        <f>SUM(C4790,C4766,C4742,C4718,C4694,C4670,C4646,C4622,C4598,C4574,C4550,C4526,C4502,C4478)/POBLA!$B$13*100000</f>
        <v>441.43256070074534</v>
      </c>
      <c r="H4790" s="256">
        <f t="shared" si="521"/>
        <v>1.9314134974719719</v>
      </c>
      <c r="I4790" s="297">
        <f t="shared" si="534"/>
        <v>852.58880596103506</v>
      </c>
      <c r="J4790" s="297">
        <f t="shared" si="535"/>
        <v>646.71428571428567</v>
      </c>
      <c r="K4790" s="297">
        <f>J4790/POBLA!$B$13*100000</f>
        <v>32.492686453973427</v>
      </c>
      <c r="L4790" s="549">
        <f t="shared" si="522"/>
        <v>-6.292556938248417E-2</v>
      </c>
      <c r="M4790" s="401">
        <f>SUM(C4790,C4766,C4742,C4718,C4694,C4670,C4646)/POBLA!$B$13*100000</f>
        <v>227.44880517781402</v>
      </c>
    </row>
    <row r="4791" spans="1:13" s="360" customFormat="1" x14ac:dyDescent="0.25">
      <c r="A4791" s="367" t="s">
        <v>23</v>
      </c>
      <c r="B4791" s="2">
        <v>44092</v>
      </c>
      <c r="C4791" s="1">
        <v>3</v>
      </c>
      <c r="D4791" s="39">
        <f t="shared" si="533"/>
        <v>68</v>
      </c>
      <c r="E4791" s="1"/>
      <c r="F4791" s="409">
        <f t="shared" si="536"/>
        <v>2</v>
      </c>
      <c r="G4791" s="168">
        <f>SUM(C4791,C4767,C4743,C4719,C4695,C4671,C4647,C4623,C4599,C4575,C4551,C4527,C4503,C4479)/POBLA!$B$14*100000</f>
        <v>0.23785096892556376</v>
      </c>
      <c r="H4791" s="256">
        <f t="shared" si="521"/>
        <v>0.42857142857142855</v>
      </c>
      <c r="I4791" s="297">
        <f t="shared" si="534"/>
        <v>0.10193612953952733</v>
      </c>
      <c r="J4791" s="297">
        <f t="shared" si="535"/>
        <v>0.42857142857142855</v>
      </c>
      <c r="K4791" s="297">
        <f>J4791/POBLA!$B$14*100000</f>
        <v>3.3978709846509102E-2</v>
      </c>
      <c r="L4791" s="549" t="e">
        <f t="shared" si="522"/>
        <v>#DIV/0!</v>
      </c>
      <c r="M4791" s="401">
        <f>SUM(C4791,C4767,C4743,C4719,C4695,C4671,C4647)/POBLA!$B$14*100000</f>
        <v>0.23785096892556376</v>
      </c>
    </row>
    <row r="4792" spans="1:13" s="360" customFormat="1" x14ac:dyDescent="0.25">
      <c r="A4792" s="367" t="s">
        <v>19</v>
      </c>
      <c r="B4792" s="2">
        <v>44092</v>
      </c>
      <c r="C4792" s="1">
        <v>150</v>
      </c>
      <c r="D4792" s="39">
        <f>C4792+D4768</f>
        <v>5716</v>
      </c>
      <c r="E4792" s="1">
        <f>4+2</f>
        <v>6</v>
      </c>
      <c r="F4792" s="409">
        <f t="shared" si="536"/>
        <v>67</v>
      </c>
      <c r="G4792" s="168">
        <f>SUM(C4792,C4768,C4744,C4720,C4696,C4672,C4648,C4624,C4600,C4576,C4552,C4528,C4504,C4480)/POBLA!$B$15*100000</f>
        <v>338.07338827841585</v>
      </c>
      <c r="H4792" s="256">
        <f t="shared" si="521"/>
        <v>1.5990028490028489</v>
      </c>
      <c r="I4792" s="297">
        <f t="shared" si="534"/>
        <v>540.58031102923326</v>
      </c>
      <c r="J4792" s="297">
        <f t="shared" si="535"/>
        <v>179.57142857142858</v>
      </c>
      <c r="K4792" s="297">
        <f>J4792/POBLA!$B$15*100000</f>
        <v>27.041568505629574</v>
      </c>
      <c r="L4792" s="549">
        <f t="shared" si="522"/>
        <v>-0.27226720647773273</v>
      </c>
      <c r="M4792" s="401">
        <f>SUM(C4792,C4768,C4744,C4720,C4696,C4672,C4648)/POBLA!$B$15*100000</f>
        <v>189.290979539407</v>
      </c>
    </row>
    <row r="4793" spans="1:13" s="360" customFormat="1" x14ac:dyDescent="0.25">
      <c r="A4793" s="367" t="s">
        <v>18</v>
      </c>
      <c r="B4793" s="2">
        <v>44092</v>
      </c>
      <c r="C4793" s="1">
        <v>217</v>
      </c>
      <c r="D4793" s="39">
        <f>C4793+D4769</f>
        <v>9969</v>
      </c>
      <c r="E4793" s="1">
        <f>3+3</f>
        <v>6</v>
      </c>
      <c r="F4793" s="409">
        <f t="shared" si="536"/>
        <v>188</v>
      </c>
      <c r="G4793" s="168">
        <f>SUM(C4793,C4769,C4745,C4721,C4697,C4673,C4649,C4625,C4601,C4577,C4553,C4529,C4505,C4481)/POBLA!$B$16*100000</f>
        <v>428.16441727638744</v>
      </c>
      <c r="H4793" s="256">
        <f t="shared" si="521"/>
        <v>1.390529973935708</v>
      </c>
      <c r="I4793" s="297">
        <f t="shared" si="534"/>
        <v>595.37545599553266</v>
      </c>
      <c r="J4793" s="297">
        <f t="shared" si="535"/>
        <v>229.85714285714286</v>
      </c>
      <c r="K4793" s="297">
        <f>J4793/POBLA!$B$16*100000</f>
        <v>30.745595010385475</v>
      </c>
      <c r="L4793" s="549">
        <f t="shared" si="522"/>
        <v>-1.0678391959799027E-2</v>
      </c>
      <c r="M4793" s="401">
        <f>SUM(C4793,C4769,C4745,C4721,C4697,C4673,C4649)/POBLA!$B$16*100000</f>
        <v>215.21916507269836</v>
      </c>
    </row>
    <row r="4794" spans="1:13" s="360" customFormat="1" x14ac:dyDescent="0.25">
      <c r="A4794" s="367" t="s">
        <v>34</v>
      </c>
      <c r="B4794" s="2">
        <v>44092</v>
      </c>
      <c r="C4794" s="1">
        <v>450</v>
      </c>
      <c r="D4794" s="39">
        <f>C4794+D4770</f>
        <v>8491</v>
      </c>
      <c r="E4794" s="1">
        <f>2+4+8+4</f>
        <v>18</v>
      </c>
      <c r="F4794" s="409">
        <f>E4794+F4770</f>
        <v>134</v>
      </c>
      <c r="G4794" s="168">
        <f>SUM(C4794,C4770,C4746,C4722,C4698,C4674,C4650,C4626,C4602,C4578,C4554,C4530,C4506,C4482)/POBLA!$B$17*100000</f>
        <v>301.46089889265426</v>
      </c>
      <c r="H4794" s="256">
        <f t="shared" ref="H4794:H4825" si="537">SUM(C4794,C4770,C4746,C4722,C4698,C4674,C4650,C4626,C4602,C4578,C4554,C4530,C4506,C4482)/SUM(C4458,C4434,C4410,C4386,C4362,C4338,C4314,C4290,C4266,C4242,C4218,C4194,C4170,C4146)</f>
        <v>1.6471039509014191</v>
      </c>
      <c r="I4794" s="297">
        <f t="shared" si="534"/>
        <v>496.5374376083841</v>
      </c>
      <c r="J4794" s="297">
        <f t="shared" si="535"/>
        <v>333.14285714285717</v>
      </c>
      <c r="K4794" s="297">
        <f>J4794/POBLA!$B$17*100000</f>
        <v>23.3883430773062</v>
      </c>
      <c r="L4794" s="549">
        <f t="shared" ref="L4794:L4825" si="538">1-SUM(C4794,C4770,C4746,C4722,C4698,C4674,C4650)/SUM(C4626,C4602,C4578,C4554,C4530,C4506,C4482)</f>
        <v>-0.18858307849133538</v>
      </c>
      <c r="M4794" s="401">
        <f>SUM(C4794,C4770,C4746,C4722,C4698,C4674,C4650)/POBLA!$B$17*100000</f>
        <v>163.71840154114338</v>
      </c>
    </row>
    <row r="4795" spans="1:13" s="360" customFormat="1" x14ac:dyDescent="0.25">
      <c r="A4795" s="367" t="s">
        <v>35</v>
      </c>
      <c r="B4795" s="2">
        <v>44092</v>
      </c>
      <c r="C4795" s="1">
        <v>15</v>
      </c>
      <c r="D4795" s="39">
        <f t="shared" ref="D4795:D4801" si="539">C4795+D4771</f>
        <v>463</v>
      </c>
      <c r="E4795" s="1">
        <f>4+2</f>
        <v>6</v>
      </c>
      <c r="F4795" s="409">
        <f>E4795+F4771</f>
        <v>20</v>
      </c>
      <c r="G4795" s="168">
        <f>SUM(C4795,C4771,C4747,C4723,C4699,C4675,C4651,C4627,C4603,C4579,C4555,C4531,C4507,C4483)/POBLA!$B$18*100000</f>
        <v>13.440567729580897</v>
      </c>
      <c r="H4795" s="256">
        <f t="shared" si="537"/>
        <v>0.32608695652173914</v>
      </c>
      <c r="I4795" s="297">
        <f t="shared" si="534"/>
        <v>4.3827938248633362</v>
      </c>
      <c r="J4795" s="297">
        <f t="shared" si="535"/>
        <v>9.1428571428571423</v>
      </c>
      <c r="K4795" s="297">
        <f>J4795/POBLA!$B$18*100000</f>
        <v>1.1703351492424183</v>
      </c>
      <c r="L4795" s="549">
        <f t="shared" si="538"/>
        <v>-0.56097560975609762</v>
      </c>
      <c r="M4795" s="401">
        <f>SUM(C4795,C4771,C4747,C4723,C4699,C4675,C4651)/POBLA!$B$18*100000</f>
        <v>8.1923460446969276</v>
      </c>
    </row>
    <row r="4796" spans="1:13" s="360" customFormat="1" x14ac:dyDescent="0.25">
      <c r="A4796" s="367" t="s">
        <v>36</v>
      </c>
      <c r="B4796" s="2">
        <v>44092</v>
      </c>
      <c r="C4796" s="1">
        <v>78</v>
      </c>
      <c r="D4796" s="39">
        <f t="shared" si="539"/>
        <v>648</v>
      </c>
      <c r="E4796" s="1"/>
      <c r="F4796" s="409">
        <f t="shared" si="536"/>
        <v>0</v>
      </c>
      <c r="G4796" s="168">
        <f>SUM(C4796,C4772,C4748,C4724,C4700,C4676,C4652,C4628,C4604,C4580,C4556,C4532,C4508,C4484)/POBLA!$B$19*100000</f>
        <v>86.164838450764066</v>
      </c>
      <c r="H4796" s="256">
        <f t="shared" si="537"/>
        <v>2.5614035087719298</v>
      </c>
      <c r="I4796" s="297">
        <f t="shared" si="534"/>
        <v>220.70291954055358</v>
      </c>
      <c r="J4796" s="297">
        <f t="shared" si="535"/>
        <v>38.428571428571431</v>
      </c>
      <c r="K4796" s="297">
        <f>J4796/POBLA!$B$19*100000</f>
        <v>7.5597982854714729</v>
      </c>
      <c r="L4796" s="549">
        <f t="shared" si="538"/>
        <v>-0.59171597633136086</v>
      </c>
      <c r="M4796" s="401">
        <f>SUM(C4796,C4772,C4748,C4724,C4700,C4676,C4652)/POBLA!$B$19*100000</f>
        <v>52.91858799830031</v>
      </c>
    </row>
    <row r="4797" spans="1:13" s="360" customFormat="1" x14ac:dyDescent="0.25">
      <c r="A4797" s="367" t="s">
        <v>37</v>
      </c>
      <c r="B4797" s="2">
        <v>44092</v>
      </c>
      <c r="C4797" s="1">
        <v>107</v>
      </c>
      <c r="D4797" s="39">
        <f t="shared" si="539"/>
        <v>3469</v>
      </c>
      <c r="E4797" s="1">
        <f>1+1</f>
        <v>2</v>
      </c>
      <c r="F4797" s="409">
        <f>E4797+F4773</f>
        <v>44</v>
      </c>
      <c r="G4797" s="168">
        <f>SUM(C4797,C4773,C4749,C4725,C4701,C4677,C4653,C4629,C4605,C4581,C4557,C4533,C4509,C4485)/POBLA!$B$20*100000</f>
        <v>393.76753496054124</v>
      </c>
      <c r="H4797" s="256">
        <f t="shared" si="537"/>
        <v>1.8390804597701149</v>
      </c>
      <c r="I4797" s="297">
        <f t="shared" si="534"/>
        <v>724.17017923777701</v>
      </c>
      <c r="J4797" s="297">
        <f t="shared" si="535"/>
        <v>101</v>
      </c>
      <c r="K4797" s="297">
        <f>J4797/POBLA!$B$20*100000</f>
        <v>27.618417382649071</v>
      </c>
      <c r="L4797" s="549">
        <f t="shared" si="538"/>
        <v>3.5470668485675261E-2</v>
      </c>
      <c r="M4797" s="401">
        <f>SUM(C4797,C4773,C4749,C4725,C4701,C4677,C4653)/POBLA!$B$20*100000</f>
        <v>193.32892167854351</v>
      </c>
    </row>
    <row r="4798" spans="1:13" s="360" customFormat="1" x14ac:dyDescent="0.25">
      <c r="A4798" s="367" t="s">
        <v>22</v>
      </c>
      <c r="B4798" s="2">
        <v>44092</v>
      </c>
      <c r="C4798" s="1">
        <v>1347</v>
      </c>
      <c r="D4798" s="39">
        <f t="shared" si="539"/>
        <v>24381</v>
      </c>
      <c r="E4798" s="1">
        <f>1+1+2+6</f>
        <v>10</v>
      </c>
      <c r="F4798" s="409">
        <f>E4798+F4774</f>
        <v>262</v>
      </c>
      <c r="G4798" s="168">
        <f>SUM(C4798,C4774,C4750,C4726,C4702,C4678,C4654,C4630,C4606,C4582,C4558,C4534,C4510,C4486)/POBLA!$B$21*100000</f>
        <v>383.86299357146129</v>
      </c>
      <c r="H4798" s="256">
        <f t="shared" si="537"/>
        <v>2.0913572639038671</v>
      </c>
      <c r="I4798" s="297">
        <f t="shared" si="534"/>
        <v>802.79465994955899</v>
      </c>
      <c r="J4798" s="297">
        <f t="shared" si="535"/>
        <v>1101.1428571428571</v>
      </c>
      <c r="K4798" s="297">
        <f>J4798/POBLA!$B$21*100000</f>
        <v>31.137237089700854</v>
      </c>
      <c r="L4798" s="549">
        <f t="shared" si="538"/>
        <v>-0.31378898926197385</v>
      </c>
      <c r="M4798" s="401">
        <f>SUM(C4798,C4774,C4750,C4726,C4702,C4678,C4654)/POBLA!$B$21*100000</f>
        <v>217.96065962790598</v>
      </c>
    </row>
    <row r="4799" spans="1:13" s="360" customFormat="1" x14ac:dyDescent="0.25">
      <c r="A4799" s="367" t="s">
        <v>38</v>
      </c>
      <c r="B4799" s="2">
        <v>44092</v>
      </c>
      <c r="C4799" s="1">
        <v>137</v>
      </c>
      <c r="D4799" s="39">
        <f t="shared" si="539"/>
        <v>2246</v>
      </c>
      <c r="E4799" s="1"/>
      <c r="F4799" s="409">
        <f t="shared" si="536"/>
        <v>30</v>
      </c>
      <c r="G4799" s="168">
        <f>SUM(C4799,C4775,C4751,C4727,C4703,C4679,C4655,C4631,C4607,C4583,C4559,C4535,C4511,C4487)/POBLA!$B$22*100000</f>
        <v>111.8251520730073</v>
      </c>
      <c r="H4799" s="256">
        <f t="shared" si="537"/>
        <v>1.569583931133429</v>
      </c>
      <c r="I4799" s="297">
        <f t="shared" si="534"/>
        <v>175.51896179034432</v>
      </c>
      <c r="J4799" s="297">
        <f t="shared" si="535"/>
        <v>86.428571428571431</v>
      </c>
      <c r="K4799" s="297">
        <f>J4799/POBLA!$B$22*100000</f>
        <v>8.8344498569038166</v>
      </c>
      <c r="L4799" s="549">
        <f t="shared" si="538"/>
        <v>-0.23721881390593058</v>
      </c>
      <c r="M4799" s="401">
        <f>SUM(C4799,C4775,C4751,C4727,C4703,C4679,C4655)/POBLA!$B$22*100000</f>
        <v>61.841148998326709</v>
      </c>
    </row>
    <row r="4800" spans="1:13" s="360" customFormat="1" x14ac:dyDescent="0.25">
      <c r="A4800" s="367" t="s">
        <v>39</v>
      </c>
      <c r="B4800" s="2">
        <v>44092</v>
      </c>
      <c r="C4800" s="1">
        <v>70</v>
      </c>
      <c r="D4800" s="39">
        <f t="shared" si="539"/>
        <v>3020</v>
      </c>
      <c r="E4800" s="1">
        <f>1</f>
        <v>1</v>
      </c>
      <c r="F4800" s="409">
        <f>E4800+F4776</f>
        <v>53</v>
      </c>
      <c r="G4800" s="168">
        <f>SUM(C4800,C4776,C4752,C4728,C4704,C4680,C4656,C4632,C4608,C4584,C4560,C4536,C4512,C4488)/POBLA!$B$23*100000</f>
        <v>423.00514618560197</v>
      </c>
      <c r="H4800" s="256">
        <f t="shared" si="537"/>
        <v>1.1761006289308176</v>
      </c>
      <c r="I4800" s="297">
        <f t="shared" si="534"/>
        <v>497.4966184698589</v>
      </c>
      <c r="J4800" s="297">
        <f t="shared" si="535"/>
        <v>55</v>
      </c>
      <c r="K4800" s="297">
        <f>J4800/POBLA!$B$23*100000</f>
        <v>31.103319572470735</v>
      </c>
      <c r="L4800" s="549">
        <f t="shared" si="538"/>
        <v>-6.0606060606060552E-2</v>
      </c>
      <c r="M4800" s="401">
        <f>SUM(C4800,C4776,C4752,C4728,C4704,C4680,C4656)/POBLA!$B$23*100000</f>
        <v>217.72323700729513</v>
      </c>
    </row>
    <row r="4801" spans="1:13" s="360" customFormat="1" ht="15.75" thickBot="1" x14ac:dyDescent="0.3">
      <c r="A4801" s="369" t="s">
        <v>40</v>
      </c>
      <c r="B4801" s="266">
        <v>44092</v>
      </c>
      <c r="C4801" s="44">
        <v>496</v>
      </c>
      <c r="D4801" s="176">
        <f t="shared" si="539"/>
        <v>9106</v>
      </c>
      <c r="E4801" s="44"/>
      <c r="F4801" s="476">
        <f>E4801+F4777</f>
        <v>37</v>
      </c>
      <c r="G4801" s="177">
        <f>SUM(C4801,C4777,C4753,C4729,C4705,C4681,C4657,C4633,C4609,C4585,C4561,C4537,C4513,C4489)/POBLA!$B$24*100000</f>
        <v>337.59063786396769</v>
      </c>
      <c r="H4801" s="402">
        <f t="shared" si="537"/>
        <v>2.305925030229746</v>
      </c>
      <c r="I4801" s="403">
        <f t="shared" si="534"/>
        <v>778.45870182174895</v>
      </c>
      <c r="J4801" s="403">
        <f t="shared" si="535"/>
        <v>459.28571428571428</v>
      </c>
      <c r="K4801" s="403">
        <f>J4801/POBLA!$B$24*100000</f>
        <v>27.102002665184806</v>
      </c>
      <c r="L4801" s="550">
        <f t="shared" si="538"/>
        <v>-0.28292098962490031</v>
      </c>
      <c r="M4801" s="405">
        <f>SUM(C4801,C4777,C4753,C4729,C4705,C4681,C4657)/POBLA!$B$24*100000</f>
        <v>189.71401865629366</v>
      </c>
    </row>
    <row r="4802" spans="1:13" s="360" customFormat="1" ht="15.75" thickBot="1" x14ac:dyDescent="0.3">
      <c r="A4802" s="363" t="s">
        <v>16</v>
      </c>
      <c r="B4802" s="266">
        <v>44093</v>
      </c>
      <c r="C4802" s="225">
        <v>3877</v>
      </c>
      <c r="D4802" s="174">
        <f>C4802+D4778</f>
        <v>364635</v>
      </c>
      <c r="E4802" s="225">
        <f>10+14+13+19</f>
        <v>56</v>
      </c>
      <c r="F4802" s="475">
        <f>E4802+F4778</f>
        <v>7559</v>
      </c>
      <c r="G4802" s="175">
        <f>SUM(C4802,C4778,C4754,C4730,C4706,C4682,C4658,C4634,C4610,C4586,C4562,C4538,C4514,C4490)/POBLA!$B$1*100000</f>
        <v>430.17726155898299</v>
      </c>
      <c r="H4802" s="300">
        <f t="shared" si="537"/>
        <v>0.95191118960514698</v>
      </c>
      <c r="I4802" s="301">
        <f>G4802*H4802</f>
        <v>409.49054879169597</v>
      </c>
      <c r="J4802" s="301">
        <f>AVERAGE(C4802,C4778,C4754,C4730,C4706,C4682,C4658)</f>
        <v>5219.2857142857147</v>
      </c>
      <c r="K4802" s="301">
        <f>J4802/POBLA!$B$1*100000</f>
        <v>29.754539424121354</v>
      </c>
      <c r="L4802" s="548">
        <f t="shared" si="538"/>
        <v>6.1351899904940499E-2</v>
      </c>
      <c r="M4802" s="400">
        <f>SUM(C4802,C4778,C4754,C4730,C4706,C4682,C4658)/POBLA!$B$1*100000</f>
        <v>208.28177596884947</v>
      </c>
    </row>
    <row r="4803" spans="1:13" s="360" customFormat="1" ht="15.75" thickBot="1" x14ac:dyDescent="0.3">
      <c r="A4803" s="367" t="s">
        <v>43</v>
      </c>
      <c r="B4803" s="266">
        <v>44093</v>
      </c>
      <c r="C4803" s="1">
        <v>683</v>
      </c>
      <c r="D4803" s="39">
        <f t="shared" ref="D4803:D4815" si="540">C4803+D4779</f>
        <v>116578</v>
      </c>
      <c r="E4803" s="1">
        <f>4+4+2</f>
        <v>10</v>
      </c>
      <c r="F4803" s="409">
        <f>E4803+F4779</f>
        <v>2894</v>
      </c>
      <c r="G4803" s="168">
        <f>SUM(C4803,C4779,C4755,C4731,C4707,C4683,C4659,C4635,C4611,C4587,C4563,C4539,C4515,C4491)/POBLA!$B$2*100000</f>
        <v>470.14513373775787</v>
      </c>
      <c r="H4803" s="256">
        <f t="shared" si="537"/>
        <v>0.79393839565145774</v>
      </c>
      <c r="I4803" s="297">
        <f t="shared" ref="I4803:I4825" si="541">G4803*H4803</f>
        <v>373.26627320309552</v>
      </c>
      <c r="J4803" s="297">
        <f t="shared" ref="J4803:J4825" si="542">AVERAGE(C4803,C4779,C4755,C4731,C4707,C4683,C4659)</f>
        <v>931.57142857142856</v>
      </c>
      <c r="K4803" s="297">
        <f>J4803/POBLA!$B$2*100000</f>
        <v>30.288642729736402</v>
      </c>
      <c r="L4803" s="549">
        <f t="shared" si="538"/>
        <v>0.17861191585842051</v>
      </c>
      <c r="M4803" s="401">
        <f>SUM(C4803,C4779,C4755,C4731,C4707,C4683,C4659)/POBLA!$B$2*100000</f>
        <v>212.02049910815487</v>
      </c>
    </row>
    <row r="4804" spans="1:13" s="360" customFormat="1" ht="15.75" thickBot="1" x14ac:dyDescent="0.3">
      <c r="A4804" s="367" t="s">
        <v>28</v>
      </c>
      <c r="B4804" s="266">
        <v>44093</v>
      </c>
      <c r="C4804" s="1">
        <v>7</v>
      </c>
      <c r="D4804" s="39">
        <f t="shared" si="540"/>
        <v>190</v>
      </c>
      <c r="E4804" s="1"/>
      <c r="F4804" s="409">
        <f>E4804+F4780</f>
        <v>0</v>
      </c>
      <c r="G4804" s="168">
        <f>SUM(C4804,C4780,C4756,C4732,C4708,C4684,C4660,C4636,C4612,C4588,C4564,C4540,C4516,C4492)/POBLA!$B$3*100000</f>
        <v>26.237368752978782</v>
      </c>
      <c r="H4804" s="256">
        <f t="shared" si="537"/>
        <v>6.4117647058823533</v>
      </c>
      <c r="I4804" s="297">
        <f t="shared" si="541"/>
        <v>168.22783494556984</v>
      </c>
      <c r="J4804" s="297">
        <f t="shared" si="542"/>
        <v>10</v>
      </c>
      <c r="K4804" s="297">
        <f>J4804/POBLA!$B$3*100000</f>
        <v>2.4070980507319986</v>
      </c>
      <c r="L4804" s="549">
        <f t="shared" si="538"/>
        <v>-0.79487179487179493</v>
      </c>
      <c r="M4804" s="401">
        <f>SUM(C4804,C4780,C4756,C4732,C4708,C4684,C4660)/POBLA!$B$3*100000</f>
        <v>16.849686355123989</v>
      </c>
    </row>
    <row r="4805" spans="1:13" s="360" customFormat="1" ht="15.75" thickBot="1" x14ac:dyDescent="0.3">
      <c r="A4805" s="367" t="s">
        <v>15</v>
      </c>
      <c r="B4805" s="266">
        <v>44093</v>
      </c>
      <c r="C4805" s="1">
        <v>132</v>
      </c>
      <c r="D4805" s="39">
        <f t="shared" si="540"/>
        <v>7345</v>
      </c>
      <c r="E4805" s="1">
        <f>1</f>
        <v>1</v>
      </c>
      <c r="F4805" s="409">
        <f t="shared" ref="F4805:F4823" si="543">E4805+F4781</f>
        <v>252</v>
      </c>
      <c r="G4805" s="168">
        <f>SUM(C4805,C4781,C4757,C4733,C4709,C4685,C4661,C4637,C4613,C4589,C4565,C4541,C4517,C4493)/POBLA!$B$4*100000</f>
        <v>118.96647768735146</v>
      </c>
      <c r="H4805" s="256">
        <f t="shared" si="537"/>
        <v>1.3293135435992578</v>
      </c>
      <c r="I4805" s="297">
        <f t="shared" si="541"/>
        <v>158.1437500240952</v>
      </c>
      <c r="J4805" s="297">
        <f t="shared" si="542"/>
        <v>97.857142857142861</v>
      </c>
      <c r="K4805" s="297">
        <f>J4805/POBLA!$B$4*100000</f>
        <v>8.124019261871771</v>
      </c>
      <c r="L4805" s="549">
        <f t="shared" si="538"/>
        <v>8.4224598930481287E-2</v>
      </c>
      <c r="M4805" s="401">
        <f>SUM(C4805,C4781,C4757,C4733,C4709,C4685,C4661)/POBLA!$B$4*100000</f>
        <v>56.868134833102395</v>
      </c>
    </row>
    <row r="4806" spans="1:13" s="360" customFormat="1" ht="15.75" thickBot="1" x14ac:dyDescent="0.3">
      <c r="A4806" s="367" t="s">
        <v>29</v>
      </c>
      <c r="B4806" s="266">
        <v>44093</v>
      </c>
      <c r="C4806" s="1">
        <v>81</v>
      </c>
      <c r="D4806" s="39">
        <f t="shared" si="540"/>
        <v>2181</v>
      </c>
      <c r="E4806" s="1"/>
      <c r="F4806" s="409">
        <f t="shared" si="543"/>
        <v>25</v>
      </c>
      <c r="G4806" s="168">
        <f>SUM(C4806,C4782,C4758,C4734,C4710,C4686,C4662,C4638,C4614,C4590,C4566,C4542,C4518,C4494)/POBLA!$B$5*100000</f>
        <v>162.03711182984003</v>
      </c>
      <c r="H4806" s="256">
        <f t="shared" si="537"/>
        <v>1.5014970059880239</v>
      </c>
      <c r="I4806" s="297">
        <f t="shared" si="541"/>
        <v>243.29823827145142</v>
      </c>
      <c r="J4806" s="297">
        <f t="shared" si="542"/>
        <v>76.571428571428569</v>
      </c>
      <c r="K4806" s="297">
        <f>J4806/POBLA!$B$5*100000</f>
        <v>12.37030222771603</v>
      </c>
      <c r="L4806" s="549">
        <f t="shared" si="538"/>
        <v>-0.14775160599571735</v>
      </c>
      <c r="M4806" s="401">
        <f>SUM(C4806,C4782,C4758,C4734,C4710,C4686,C4662)/POBLA!$B$5*100000</f>
        <v>86.592115594012228</v>
      </c>
    </row>
    <row r="4807" spans="1:13" s="360" customFormat="1" ht="15.75" thickBot="1" x14ac:dyDescent="0.3">
      <c r="A4807" s="367" t="s">
        <v>20</v>
      </c>
      <c r="B4807" s="266">
        <v>44093</v>
      </c>
      <c r="C4807" s="1">
        <v>751</v>
      </c>
      <c r="D4807" s="39">
        <f t="shared" si="540"/>
        <v>18608</v>
      </c>
      <c r="E4807" s="1">
        <f>1+1+7</f>
        <v>9</v>
      </c>
      <c r="F4807" s="409">
        <f t="shared" si="543"/>
        <v>247</v>
      </c>
      <c r="G4807" s="168">
        <f>SUM(C4807,C4783,C4759,C4735,C4711,C4687,C4663,C4639,C4615,C4591,C4567,C4543,C4519,C4495)/POBLA!$B$6*100000</f>
        <v>699.7673984944696</v>
      </c>
      <c r="H4807" s="256">
        <f t="shared" si="537"/>
        <v>1.5402592301649647</v>
      </c>
      <c r="I4807" s="297">
        <f t="shared" si="541"/>
        <v>1077.8231944996319</v>
      </c>
      <c r="J4807" s="297">
        <f t="shared" si="542"/>
        <v>674.42857142857144</v>
      </c>
      <c r="K4807" s="297">
        <f>J4807/POBLA!$B$6*100000</f>
        <v>60.173801721141523</v>
      </c>
      <c r="L4807" s="549">
        <f t="shared" si="538"/>
        <v>-0.5121716848174247</v>
      </c>
      <c r="M4807" s="401">
        <f>SUM(C4807,C4783,C4759,C4735,C4711,C4687,C4663)/POBLA!$B$6*100000</f>
        <v>421.21661204799074</v>
      </c>
    </row>
    <row r="4808" spans="1:13" s="360" customFormat="1" ht="15.75" thickBot="1" x14ac:dyDescent="0.3">
      <c r="A4808" s="367" t="s">
        <v>30</v>
      </c>
      <c r="B4808" s="266">
        <v>44093</v>
      </c>
      <c r="C4808" s="1">
        <v>37</v>
      </c>
      <c r="D4808" s="39">
        <f t="shared" si="540"/>
        <v>940</v>
      </c>
      <c r="E4808" s="1">
        <f>5</f>
        <v>5</v>
      </c>
      <c r="F4808" s="409">
        <f>E4808+F4784</f>
        <v>11</v>
      </c>
      <c r="G4808" s="168">
        <f>SUM(C4808,C4784,C4760,C4736,C4712,C4688,C4664,C4640,C4616,C4592,C4568,C4544,C4520,C4496)/POBLA!$B$7*100000</f>
        <v>16.088500046536982</v>
      </c>
      <c r="H4808" s="256">
        <f t="shared" si="537"/>
        <v>6.875</v>
      </c>
      <c r="I4808" s="297">
        <f t="shared" si="541"/>
        <v>110.60843781994176</v>
      </c>
      <c r="J4808" s="297">
        <f t="shared" si="542"/>
        <v>40.142857142857146</v>
      </c>
      <c r="K4808" s="297">
        <f>J4808/POBLA!$B$7*100000</f>
        <v>1.0675014198528672</v>
      </c>
      <c r="L4808" s="549">
        <f t="shared" si="538"/>
        <v>0.13271604938271608</v>
      </c>
      <c r="M4808" s="401">
        <f>SUM(C4808,C4784,C4760,C4736,C4712,C4688,C4664)/POBLA!$B$7*100000</f>
        <v>7.4725099389700711</v>
      </c>
    </row>
    <row r="4809" spans="1:13" ht="15.75" thickBot="1" x14ac:dyDescent="0.3">
      <c r="A4809" s="367" t="s">
        <v>31</v>
      </c>
      <c r="B4809" s="266">
        <v>44093</v>
      </c>
      <c r="C4809" s="1">
        <v>149</v>
      </c>
      <c r="D4809" s="39">
        <f t="shared" si="540"/>
        <v>6104</v>
      </c>
      <c r="E4809" s="1">
        <f>1+1</f>
        <v>2</v>
      </c>
      <c r="F4809" s="409">
        <f>E4809+F4785</f>
        <v>106</v>
      </c>
      <c r="G4809" s="168">
        <f>SUM(C4809,C4785,C4761,C4737,C4713,C4689,C4665,C4641,C4617,C4593,C4569,C4545,C4521,C4497)/POBLA!$B$8*100000</f>
        <v>137.30545087488031</v>
      </c>
      <c r="H4809" s="256">
        <f t="shared" si="537"/>
        <v>0.91976800386660218</v>
      </c>
      <c r="I4809" s="297">
        <f t="shared" si="541"/>
        <v>126.28916047119246</v>
      </c>
      <c r="J4809" s="297">
        <f t="shared" si="542"/>
        <v>138.71428571428572</v>
      </c>
      <c r="K4809" s="297">
        <f>J4809/POBLA!$B$8*100000</f>
        <v>10.008527347759838</v>
      </c>
      <c r="L4809" s="549">
        <f t="shared" si="538"/>
        <v>-4.1845493562231661E-2</v>
      </c>
      <c r="M4809" s="401">
        <f>SUM(C4809,C4785,C4761,C4737,C4713,C4689,C4665)/POBLA!$B$8*100000</f>
        <v>70.05969143431885</v>
      </c>
    </row>
    <row r="4810" spans="1:13" s="360" customFormat="1" ht="15.75" thickBot="1" x14ac:dyDescent="0.3">
      <c r="A4810" s="367" t="s">
        <v>41</v>
      </c>
      <c r="B4810" s="266">
        <v>44093</v>
      </c>
      <c r="C4810" s="1">
        <v>9</v>
      </c>
      <c r="D4810" s="39">
        <f t="shared" si="540"/>
        <v>101</v>
      </c>
      <c r="E4810" s="1"/>
      <c r="F4810" s="409">
        <f>E4810+F4786</f>
        <v>1</v>
      </c>
      <c r="G4810" s="168">
        <f>SUM(C4810,C4786,C4762,C4738,C4714,C4690,C4666,C4642,C4618,C4594,C4570,C4546,C4522,C4498)/POBLA!$B$9*100000</f>
        <v>1.9828385325012021</v>
      </c>
      <c r="H4810" s="256">
        <f t="shared" si="537"/>
        <v>1.3333333333333333</v>
      </c>
      <c r="I4810" s="297">
        <f t="shared" si="541"/>
        <v>2.6437847100016025</v>
      </c>
      <c r="J4810" s="297">
        <f t="shared" si="542"/>
        <v>0.8571428571428571</v>
      </c>
      <c r="K4810" s="297">
        <f>J4810/POBLA!$B$9*100000</f>
        <v>0.14163132375008586</v>
      </c>
      <c r="L4810" s="549">
        <f t="shared" si="538"/>
        <v>0</v>
      </c>
      <c r="M4810" s="401">
        <f>SUM(C4810,C4786,C4762,C4738,C4714,C4690,C4666)/POBLA!$B$9*100000</f>
        <v>0.99141926625060106</v>
      </c>
    </row>
    <row r="4811" spans="1:13" s="360" customFormat="1" ht="15.75" thickBot="1" x14ac:dyDescent="0.3">
      <c r="A4811" s="367" t="s">
        <v>32</v>
      </c>
      <c r="B4811" s="266">
        <v>44093</v>
      </c>
      <c r="C4811" s="1">
        <v>295</v>
      </c>
      <c r="D4811" s="39">
        <f t="shared" si="540"/>
        <v>13895</v>
      </c>
      <c r="E4811" s="1">
        <f>5+3</f>
        <v>8</v>
      </c>
      <c r="F4811" s="409">
        <f t="shared" si="543"/>
        <v>306</v>
      </c>
      <c r="G4811" s="168">
        <f>SUM(C4811,C4787,C4763,C4739,C4715,C4691,C4667,C4643,C4619,C4595,C4571,C4547,C4523,C4499)/POBLA!$B$10*100000</f>
        <v>521.48126623953635</v>
      </c>
      <c r="H4811" s="256">
        <f t="shared" si="537"/>
        <v>1.0609659540775931</v>
      </c>
      <c r="I4811" s="297">
        <f t="shared" si="541"/>
        <v>553.273869169421</v>
      </c>
      <c r="J4811" s="297">
        <f t="shared" si="542"/>
        <v>277.42857142857144</v>
      </c>
      <c r="K4811" s="297">
        <f>J4811/POBLA!$B$10*100000</f>
        <v>35.988508139203255</v>
      </c>
      <c r="L4811" s="549">
        <f t="shared" si="538"/>
        <v>6.5447545717035593E-2</v>
      </c>
      <c r="M4811" s="401">
        <f>SUM(C4811,C4787,C4763,C4739,C4715,C4691,C4667)/POBLA!$B$10*100000</f>
        <v>251.91955697442276</v>
      </c>
    </row>
    <row r="4812" spans="1:13" s="360" customFormat="1" ht="15.75" thickBot="1" x14ac:dyDescent="0.3">
      <c r="A4812" s="367" t="s">
        <v>33</v>
      </c>
      <c r="B4812" s="266">
        <v>44093</v>
      </c>
      <c r="C4812" s="1">
        <v>13</v>
      </c>
      <c r="D4812" s="39">
        <f t="shared" si="540"/>
        <v>547</v>
      </c>
      <c r="E4812" s="1"/>
      <c r="F4812" s="409">
        <f t="shared" si="543"/>
        <v>4</v>
      </c>
      <c r="G4812" s="168">
        <f>SUM(C4812,C4788,C4764,C4740,C4716,C4692,C4668,C4644,C4620,C4596,C4572,C4548,C4524,C4500)/POBLA!$B$11*100000</f>
        <v>88.441751202473014</v>
      </c>
      <c r="H4812" s="256">
        <f t="shared" si="537"/>
        <v>8.1282051282051277</v>
      </c>
      <c r="I4812" s="297">
        <f t="shared" si="541"/>
        <v>718.87269567138321</v>
      </c>
      <c r="J4812" s="297">
        <f t="shared" si="542"/>
        <v>28</v>
      </c>
      <c r="K4812" s="297">
        <f>J4812/POBLA!$B$11*100000</f>
        <v>7.8118896961174906</v>
      </c>
      <c r="L4812" s="549">
        <f t="shared" si="538"/>
        <v>-0.61983471074380159</v>
      </c>
      <c r="M4812" s="401">
        <f>SUM(C4812,C4788,C4764,C4740,C4716,C4692,C4668)/POBLA!$B$11*100000</f>
        <v>54.683227872822435</v>
      </c>
    </row>
    <row r="4813" spans="1:13" s="360" customFormat="1" ht="15.75" thickBot="1" x14ac:dyDescent="0.3">
      <c r="A4813" s="367" t="s">
        <v>21</v>
      </c>
      <c r="B4813" s="266">
        <v>44093</v>
      </c>
      <c r="C4813" s="1">
        <v>86</v>
      </c>
      <c r="D4813" s="39">
        <f t="shared" si="540"/>
        <v>3490</v>
      </c>
      <c r="E4813" s="1"/>
      <c r="F4813" s="409">
        <f t="shared" si="543"/>
        <v>98</v>
      </c>
      <c r="G4813" s="168">
        <f>SUM(C4813,C4789,C4765,C4741,C4717,C4693,C4669,C4645,C4621,C4597,C4573,C4549,C4525,C4501)/POBLA!$B$12*100000</f>
        <v>392.59931237945676</v>
      </c>
      <c r="H4813" s="256">
        <f t="shared" si="537"/>
        <v>1.645367412140575</v>
      </c>
      <c r="I4813" s="297">
        <f t="shared" si="541"/>
        <v>645.97011461795603</v>
      </c>
      <c r="J4813" s="297">
        <f t="shared" si="542"/>
        <v>111.14285714285714</v>
      </c>
      <c r="K4813" s="297">
        <f>J4813/POBLA!$B$12*100000</f>
        <v>28.242465559983113</v>
      </c>
      <c r="L4813" s="549">
        <f t="shared" si="538"/>
        <v>-1.4341590612777066E-2</v>
      </c>
      <c r="M4813" s="401">
        <f>SUM(C4813,C4789,C4765,C4741,C4717,C4693,C4669)/POBLA!$B$12*100000</f>
        <v>197.69725891988179</v>
      </c>
    </row>
    <row r="4814" spans="1:13" s="360" customFormat="1" ht="15.75" thickBot="1" x14ac:dyDescent="0.3">
      <c r="A4814" s="367" t="s">
        <v>17</v>
      </c>
      <c r="B4814" s="266">
        <v>44093</v>
      </c>
      <c r="C4814" s="1">
        <v>673</v>
      </c>
      <c r="D4814" s="39">
        <f t="shared" si="540"/>
        <v>18260</v>
      </c>
      <c r="E4814" s="1">
        <f>1+1</f>
        <v>2</v>
      </c>
      <c r="F4814" s="409">
        <f t="shared" si="543"/>
        <v>171</v>
      </c>
      <c r="G4814" s="168">
        <f>SUM(C4814,C4790,C4766,C4742,C4718,C4694,C4670,C4646,C4622,C4598,C4574,C4550,C4526,C4502)/POBLA!$B$13*100000</f>
        <v>450.97867799338604</v>
      </c>
      <c r="H4814" s="256">
        <f t="shared" si="537"/>
        <v>1.8750783371631501</v>
      </c>
      <c r="I4814" s="297">
        <f t="shared" si="541"/>
        <v>845.62034962787402</v>
      </c>
      <c r="J4814" s="297">
        <f t="shared" si="542"/>
        <v>640.28571428571433</v>
      </c>
      <c r="K4814" s="297">
        <f>J4814/POBLA!$B$13*100000</f>
        <v>32.169697523019423</v>
      </c>
      <c r="L4814" s="549">
        <f t="shared" si="538"/>
        <v>2.6702269692924219E-3</v>
      </c>
      <c r="M4814" s="401">
        <f>SUM(C4814,C4790,C4766,C4742,C4718,C4694,C4670)/POBLA!$B$13*100000</f>
        <v>225.18788266113594</v>
      </c>
    </row>
    <row r="4815" spans="1:13" s="360" customFormat="1" ht="15.75" thickBot="1" x14ac:dyDescent="0.3">
      <c r="A4815" s="367" t="s">
        <v>23</v>
      </c>
      <c r="B4815" s="266">
        <v>44093</v>
      </c>
      <c r="C4815" s="1">
        <v>1</v>
      </c>
      <c r="D4815" s="39">
        <f t="shared" si="540"/>
        <v>69</v>
      </c>
      <c r="E4815" s="1"/>
      <c r="F4815" s="409">
        <f t="shared" si="543"/>
        <v>2</v>
      </c>
      <c r="G4815" s="168">
        <f>SUM(C4815,C4791,C4767,C4743,C4719,C4695,C4671,C4647,C4623,C4599,C4575,C4551,C4527,C4503)/POBLA!$B$14*100000</f>
        <v>0.31713462523408498</v>
      </c>
      <c r="H4815" s="256">
        <f t="shared" si="537"/>
        <v>0.66666666666666663</v>
      </c>
      <c r="I4815" s="297">
        <f t="shared" si="541"/>
        <v>0.21142308348938998</v>
      </c>
      <c r="J4815" s="297">
        <f t="shared" si="542"/>
        <v>0.14285714285714285</v>
      </c>
      <c r="K4815" s="297">
        <f>J4815/POBLA!$B$14*100000</f>
        <v>1.1326236615503036E-2</v>
      </c>
      <c r="L4815" s="549">
        <f t="shared" si="538"/>
        <v>0.66666666666666674</v>
      </c>
      <c r="M4815" s="401">
        <f>SUM(C4815,C4791,C4767,C4743,C4719,C4695,C4671)/POBLA!$B$14*100000</f>
        <v>7.9283656308521244E-2</v>
      </c>
    </row>
    <row r="4816" spans="1:13" s="360" customFormat="1" ht="15.75" thickBot="1" x14ac:dyDescent="0.3">
      <c r="A4816" s="367" t="s">
        <v>19</v>
      </c>
      <c r="B4816" s="266">
        <v>44093</v>
      </c>
      <c r="C4816" s="1">
        <v>141</v>
      </c>
      <c r="D4816" s="39">
        <f>C4816+D4792</f>
        <v>5857</v>
      </c>
      <c r="E4816" s="1">
        <f>2+1</f>
        <v>3</v>
      </c>
      <c r="F4816" s="409">
        <f t="shared" si="543"/>
        <v>70</v>
      </c>
      <c r="G4816" s="168">
        <f>SUM(C4816,C4792,C4768,C4744,C4720,C4696,C4672,C4648,C4624,C4600,C4576,C4552,C4528,C4504)/POBLA!$B$15*100000</f>
        <v>333.55570380253499</v>
      </c>
      <c r="H4816" s="256">
        <f t="shared" si="537"/>
        <v>1.5047554347826086</v>
      </c>
      <c r="I4816" s="297">
        <f t="shared" si="541"/>
        <v>501.91975809960257</v>
      </c>
      <c r="J4816" s="297">
        <f t="shared" si="542"/>
        <v>190.14285714285714</v>
      </c>
      <c r="K4816" s="297">
        <f>J4816/POBLA!$B$15*100000</f>
        <v>28.633514463797106</v>
      </c>
      <c r="L4816" s="549">
        <f t="shared" si="538"/>
        <v>-0.50565610859728505</v>
      </c>
      <c r="M4816" s="401">
        <f>SUM(C4816,C4792,C4768,C4744,C4720,C4696,C4672)/POBLA!$B$15*100000</f>
        <v>200.43460124657972</v>
      </c>
    </row>
    <row r="4817" spans="1:13" s="360" customFormat="1" ht="15.75" thickBot="1" x14ac:dyDescent="0.3">
      <c r="A4817" s="367" t="s">
        <v>18</v>
      </c>
      <c r="B4817" s="266">
        <v>44093</v>
      </c>
      <c r="C4817" s="1">
        <v>245</v>
      </c>
      <c r="D4817" s="39">
        <f>C4817+D4793</f>
        <v>10214</v>
      </c>
      <c r="E4817" s="1">
        <f>3+2+2</f>
        <v>7</v>
      </c>
      <c r="F4817" s="409">
        <f t="shared" si="543"/>
        <v>195</v>
      </c>
      <c r="G4817" s="168">
        <f>SUM(C4817,C4793,C4769,C4745,C4721,C4697,C4673,C4649,C4625,C4601,C4577,C4553,C4529,C4505)/POBLA!$B$16*100000</f>
        <v>438.33014539666402</v>
      </c>
      <c r="H4817" s="256">
        <f t="shared" si="537"/>
        <v>1.3926901827454314</v>
      </c>
      <c r="I4817" s="297">
        <f t="shared" si="541"/>
        <v>610.45809029531154</v>
      </c>
      <c r="J4817" s="297">
        <f t="shared" si="542"/>
        <v>232.14285714285714</v>
      </c>
      <c r="K4817" s="297">
        <f>J4817/POBLA!$B$16*100000</f>
        <v>31.051331194453944</v>
      </c>
      <c r="L4817" s="549">
        <f t="shared" si="538"/>
        <v>1.6343825665859568E-2</v>
      </c>
      <c r="M4817" s="401">
        <f>SUM(C4817,C4793,C4769,C4745,C4721,C4697,C4673)/POBLA!$B$16*100000</f>
        <v>217.3593183611776</v>
      </c>
    </row>
    <row r="4818" spans="1:13" s="360" customFormat="1" ht="15.75" thickBot="1" x14ac:dyDescent="0.3">
      <c r="A4818" s="367" t="s">
        <v>34</v>
      </c>
      <c r="B4818" s="266">
        <v>44093</v>
      </c>
      <c r="C4818" s="1">
        <v>438</v>
      </c>
      <c r="D4818" s="39">
        <f>C4818+D4794</f>
        <v>8929</v>
      </c>
      <c r="E4818" s="1">
        <f>1+12+8</f>
        <v>21</v>
      </c>
      <c r="F4818" s="409">
        <f>E4818+F4794</f>
        <v>155</v>
      </c>
      <c r="G4818" s="168">
        <f>SUM(C4818,C4794,C4770,C4746,C4722,C4698,C4674,C4650,C4626,C4602,C4578,C4554,C4530,C4506)/POBLA!$B$17*100000</f>
        <v>312.62351717955039</v>
      </c>
      <c r="H4818" s="256">
        <f t="shared" si="537"/>
        <v>1.6275584795321638</v>
      </c>
      <c r="I4818" s="297">
        <f t="shared" si="541"/>
        <v>508.8130562867463</v>
      </c>
      <c r="J4818" s="297">
        <f t="shared" si="542"/>
        <v>357.71428571428572</v>
      </c>
      <c r="K4818" s="297">
        <f>J4818/POBLA!$B$17*100000</f>
        <v>25.113383818857081</v>
      </c>
      <c r="L4818" s="549">
        <f t="shared" si="538"/>
        <v>-0.28476141611082606</v>
      </c>
      <c r="M4818" s="401">
        <f>SUM(C4818,C4794,C4770,C4746,C4722,C4698,C4674)/POBLA!$B$17*100000</f>
        <v>175.7936867319996</v>
      </c>
    </row>
    <row r="4819" spans="1:13" s="360" customFormat="1" ht="15.75" thickBot="1" x14ac:dyDescent="0.3">
      <c r="A4819" s="367" t="s">
        <v>35</v>
      </c>
      <c r="B4819" s="266">
        <v>44093</v>
      </c>
      <c r="C4819" s="1">
        <v>1</v>
      </c>
      <c r="D4819" s="39">
        <f t="shared" ref="D4819:D4825" si="544">C4819+D4795</f>
        <v>464</v>
      </c>
      <c r="E4819" s="1">
        <f>1</f>
        <v>1</v>
      </c>
      <c r="F4819" s="409">
        <f>E4819+F4795</f>
        <v>21</v>
      </c>
      <c r="G4819" s="168">
        <f>SUM(C4819,C4795,C4771,C4747,C4723,C4699,C4675,C4651,C4627,C4603,C4579,C4555,C4531,C4507)/POBLA!$B$18*100000</f>
        <v>11.648492032303444</v>
      </c>
      <c r="H4819" s="256">
        <f t="shared" si="537"/>
        <v>0.27245508982035926</v>
      </c>
      <c r="I4819" s="297">
        <f t="shared" si="541"/>
        <v>3.173690942932974</v>
      </c>
      <c r="J4819" s="297">
        <f t="shared" si="542"/>
        <v>6</v>
      </c>
      <c r="K4819" s="297">
        <f>J4819/POBLA!$B$18*100000</f>
        <v>0.76803244169033691</v>
      </c>
      <c r="L4819" s="549">
        <f t="shared" si="538"/>
        <v>0.1428571428571429</v>
      </c>
      <c r="M4819" s="401">
        <f>SUM(C4819,C4795,C4771,C4747,C4723,C4699,C4675)/POBLA!$B$18*100000</f>
        <v>5.3762270918323587</v>
      </c>
    </row>
    <row r="4820" spans="1:13" s="360" customFormat="1" ht="15.75" thickBot="1" x14ac:dyDescent="0.3">
      <c r="A4820" s="367" t="s">
        <v>36</v>
      </c>
      <c r="B4820" s="266">
        <v>44093</v>
      </c>
      <c r="C4820" s="1">
        <v>24</v>
      </c>
      <c r="D4820" s="39">
        <f t="shared" si="544"/>
        <v>672</v>
      </c>
      <c r="E4820" s="1"/>
      <c r="F4820" s="409">
        <f t="shared" si="543"/>
        <v>0</v>
      </c>
      <c r="G4820" s="168">
        <f>SUM(C4820,C4796,C4772,C4748,C4724,C4700,C4676,C4652,C4628,C4604,C4580,C4556,C4532,C4508)/POBLA!$B$19*100000</f>
        <v>84.000881320722058</v>
      </c>
      <c r="H4820" s="256">
        <f t="shared" si="537"/>
        <v>2.0931372549019609</v>
      </c>
      <c r="I4820" s="297">
        <f t="shared" si="541"/>
        <v>175.82537413700157</v>
      </c>
      <c r="J4820" s="297">
        <f t="shared" si="542"/>
        <v>41.428571428571431</v>
      </c>
      <c r="K4820" s="297">
        <f>J4820/POBLA!$B$19*100000</f>
        <v>8.1499684118465687</v>
      </c>
      <c r="L4820" s="549">
        <f t="shared" si="538"/>
        <v>-1.1167883211678831</v>
      </c>
      <c r="M4820" s="401">
        <f>SUM(C4820,C4796,C4772,C4748,C4724,C4700,C4676)/POBLA!$B$19*100000</f>
        <v>57.049778882925985</v>
      </c>
    </row>
    <row r="4821" spans="1:13" s="360" customFormat="1" ht="15.75" thickBot="1" x14ac:dyDescent="0.3">
      <c r="A4821" s="367" t="s">
        <v>37</v>
      </c>
      <c r="B4821" s="266">
        <v>44093</v>
      </c>
      <c r="C4821" s="1">
        <v>195</v>
      </c>
      <c r="D4821" s="39">
        <f t="shared" si="544"/>
        <v>3664</v>
      </c>
      <c r="E4821" s="1"/>
      <c r="F4821" s="409">
        <f>E4821+F4797</f>
        <v>44</v>
      </c>
      <c r="G4821" s="168">
        <f>SUM(C4821,C4797,C4773,C4749,C4725,C4701,C4677,C4653,C4629,C4605,C4581,C4557,C4533,C4509)/POBLA!$B$20*100000</f>
        <v>409.35416655272928</v>
      </c>
      <c r="H4821" s="256">
        <f t="shared" si="537"/>
        <v>1.7128146453089246</v>
      </c>
      <c r="I4821" s="297">
        <f t="shared" si="541"/>
        <v>701.14781158974347</v>
      </c>
      <c r="J4821" s="297">
        <f t="shared" si="542"/>
        <v>112.57142857142857</v>
      </c>
      <c r="K4821" s="297">
        <f>J4821/POBLA!$B$20*100000</f>
        <v>30.78262078858199</v>
      </c>
      <c r="L4821" s="549">
        <f t="shared" si="538"/>
        <v>-0.1114245416078985</v>
      </c>
      <c r="M4821" s="401">
        <f>SUM(C4821,C4797,C4773,C4749,C4725,C4701,C4677)/POBLA!$B$20*100000</f>
        <v>215.47834552007396</v>
      </c>
    </row>
    <row r="4822" spans="1:13" s="360" customFormat="1" ht="15.75" thickBot="1" x14ac:dyDescent="0.3">
      <c r="A4822" s="367" t="s">
        <v>22</v>
      </c>
      <c r="B4822" s="266">
        <v>44093</v>
      </c>
      <c r="C4822" s="1">
        <v>1137</v>
      </c>
      <c r="D4822" s="39">
        <f t="shared" si="544"/>
        <v>25518</v>
      </c>
      <c r="E4822" s="1">
        <f>3+1</f>
        <v>4</v>
      </c>
      <c r="F4822" s="409">
        <f>E4822+F4798</f>
        <v>266</v>
      </c>
      <c r="G4822" s="168">
        <f>SUM(C4822,C4798,C4774,C4750,C4726,C4702,C4678,C4654,C4630,C4606,C4582,C4558,C4534,C4510)/POBLA!$B$21*100000</f>
        <v>396.27668448695829</v>
      </c>
      <c r="H4822" s="256">
        <f t="shared" si="537"/>
        <v>2.0324873096446701</v>
      </c>
      <c r="I4822" s="297">
        <f t="shared" si="541"/>
        <v>805.42733232780756</v>
      </c>
      <c r="J4822" s="297">
        <f t="shared" si="542"/>
        <v>1136.5714285714287</v>
      </c>
      <c r="K4822" s="297">
        <f>J4822/POBLA!$B$21*100000</f>
        <v>32.1390578990218</v>
      </c>
      <c r="L4822" s="549">
        <f t="shared" si="538"/>
        <v>-0.31330472103004281</v>
      </c>
      <c r="M4822" s="401">
        <f>SUM(C4822,C4798,C4774,C4750,C4726,C4702,C4678)/POBLA!$B$21*100000</f>
        <v>224.97340529315258</v>
      </c>
    </row>
    <row r="4823" spans="1:13" s="360" customFormat="1" ht="15.75" thickBot="1" x14ac:dyDescent="0.3">
      <c r="A4823" s="367" t="s">
        <v>38</v>
      </c>
      <c r="B4823" s="266">
        <v>44093</v>
      </c>
      <c r="C4823" s="1">
        <v>56</v>
      </c>
      <c r="D4823" s="39">
        <f t="shared" si="544"/>
        <v>2302</v>
      </c>
      <c r="E4823" s="1"/>
      <c r="F4823" s="409">
        <f t="shared" si="543"/>
        <v>30</v>
      </c>
      <c r="G4823" s="168">
        <f>SUM(C4823,C4799,C4775,C4751,C4727,C4703,C4679,C4655,C4631,C4607,C4583,C4559,C4535,C4511)/POBLA!$B$22*100000</f>
        <v>110.700767545765</v>
      </c>
      <c r="H4823" s="256">
        <f t="shared" si="537"/>
        <v>1.4835616438356165</v>
      </c>
      <c r="I4823" s="297">
        <f t="shared" si="541"/>
        <v>164.23141267405958</v>
      </c>
      <c r="J4823" s="297">
        <f t="shared" si="542"/>
        <v>78.428571428571431</v>
      </c>
      <c r="K4823" s="297">
        <f>J4823/POBLA!$B$22*100000</f>
        <v>8.0167156552730496</v>
      </c>
      <c r="L4823" s="549">
        <f t="shared" si="538"/>
        <v>-2.8089887640449396E-2</v>
      </c>
      <c r="M4823" s="401">
        <f>SUM(C4823,C4799,C4775,C4751,C4727,C4703,C4679)/POBLA!$B$22*100000</f>
        <v>56.117009586911351</v>
      </c>
    </row>
    <row r="4824" spans="1:13" s="360" customFormat="1" ht="15.75" thickBot="1" x14ac:dyDescent="0.3">
      <c r="A4824" s="367" t="s">
        <v>39</v>
      </c>
      <c r="B4824" s="266">
        <v>44093</v>
      </c>
      <c r="C4824" s="1">
        <v>98</v>
      </c>
      <c r="D4824" s="39">
        <f t="shared" si="544"/>
        <v>3118</v>
      </c>
      <c r="E4824" s="1"/>
      <c r="F4824" s="409">
        <f>E4824+F4800</f>
        <v>53</v>
      </c>
      <c r="G4824" s="168">
        <f>SUM(C4824,C4800,C4776,C4752,C4728,C4704,C4680,C4656,C4632,C4608,C4584,C4560,C4536,C4512)/POBLA!$B$23*100000</f>
        <v>464.85324888310811</v>
      </c>
      <c r="H4824" s="256">
        <f t="shared" si="537"/>
        <v>1.3130990415335464</v>
      </c>
      <c r="I4824" s="297">
        <f t="shared" si="541"/>
        <v>610.3983555621644</v>
      </c>
      <c r="J4824" s="297">
        <f t="shared" si="542"/>
        <v>62.142857142857146</v>
      </c>
      <c r="K4824" s="297">
        <f>J4824/POBLA!$B$23*100000</f>
        <v>35.142711724739662</v>
      </c>
      <c r="L4824" s="549">
        <f t="shared" si="538"/>
        <v>-0.12403100775193798</v>
      </c>
      <c r="M4824" s="401">
        <f>SUM(C4824,C4800,C4776,C4752,C4728,C4704,C4680)/POBLA!$B$23*100000</f>
        <v>245.99898207317764</v>
      </c>
    </row>
    <row r="4825" spans="1:13" s="360" customFormat="1" ht="15.75" thickBot="1" x14ac:dyDescent="0.3">
      <c r="A4825" s="369" t="s">
        <v>40</v>
      </c>
      <c r="B4825" s="266">
        <v>44093</v>
      </c>
      <c r="C4825" s="1">
        <v>147</v>
      </c>
      <c r="D4825" s="176">
        <f t="shared" si="544"/>
        <v>9253</v>
      </c>
      <c r="E4825" s="1">
        <f>1+7+6</f>
        <v>14</v>
      </c>
      <c r="F4825" s="476">
        <f>E4825+F4801</f>
        <v>51</v>
      </c>
      <c r="G4825" s="177">
        <f>SUM(C4825,C4801,C4777,C4753,C4729,C4705,C4681,C4657,C4633,C4609,C4585,C4561,C4537,C4513)/POBLA!$B$24*100000</f>
        <v>328.14919370066843</v>
      </c>
      <c r="H4825" s="402">
        <f t="shared" si="537"/>
        <v>2.0474963181148746</v>
      </c>
      <c r="I4825" s="403">
        <f t="shared" si="541"/>
        <v>671.88426589448341</v>
      </c>
      <c r="J4825" s="403">
        <f t="shared" si="542"/>
        <v>458.28571428571428</v>
      </c>
      <c r="K4825" s="403">
        <f>J4825/POBLA!$B$24*100000</f>
        <v>27.042993639164187</v>
      </c>
      <c r="L4825" s="550">
        <f t="shared" si="538"/>
        <v>-0.36336591585210365</v>
      </c>
      <c r="M4825" s="405">
        <f>SUM(C4825,C4801,C4777,C4753,C4729,C4705,C4681)/POBLA!$B$24*100000</f>
        <v>189.3009554741493</v>
      </c>
    </row>
    <row r="4826" spans="1:13" s="360" customFormat="1" ht="15.75" thickBot="1" x14ac:dyDescent="0.3">
      <c r="A4826" s="363" t="s">
        <v>16</v>
      </c>
      <c r="B4826" s="266">
        <v>44094</v>
      </c>
      <c r="C4826" s="1">
        <v>3645</v>
      </c>
      <c r="D4826" s="174">
        <f>C4826+D4802</f>
        <v>368280</v>
      </c>
      <c r="E4826" s="1">
        <f>16+19+47+35+1</f>
        <v>118</v>
      </c>
      <c r="F4826" s="475">
        <f>E4826+F4802</f>
        <v>7677</v>
      </c>
      <c r="G4826" s="175">
        <f>SUM(C4826,C4802,C4778,C4754,C4730,C4706,C4682,C4658,C4634,C4610,C4586,C4562,C4538,C4514)/POBLA!$B$1*100000</f>
        <v>432.32079372715833</v>
      </c>
      <c r="H4826" s="300">
        <f t="shared" ref="H4826:H4889" si="545">SUM(C4826,C4802,C4778,C4754,C4730,C4706,C4682,C4658,C4634,C4610,C4586,C4562,C4538,C4514)/SUM(C4490,C4466,C4442,C4418,C4394,C4370,C4346,C4322,C4298,C4274,C4250,C4226,C4202,C4178)</f>
        <v>0.95137372977041779</v>
      </c>
      <c r="I4826" s="301">
        <f>G4826*H4826</f>
        <v>411.29864598551404</v>
      </c>
      <c r="J4826" s="301">
        <f>AVERAGE(C4826,C4802,C4778,C4754,C4730,C4706,C4682)</f>
        <v>5213</v>
      </c>
      <c r="K4826" s="301">
        <f>J4826/POBLA!$B$1*100000</f>
        <v>29.718705299729365</v>
      </c>
      <c r="L4826" s="548">
        <f t="shared" ref="L4826:L4889" si="546">1-SUM(C4826,C4802,C4778,C4754,C4730,C4706,C4682)/SUM(C4658,C4634,C4610,C4586,C4562,C4538,C4514)</f>
        <v>7.2490659075312047E-2</v>
      </c>
      <c r="M4826" s="400">
        <f>SUM(C4826,C4802,C4778,C4754,C4730,C4706,C4682)/POBLA!$B$1*100000</f>
        <v>208.03093709810551</v>
      </c>
    </row>
    <row r="4827" spans="1:13" s="360" customFormat="1" ht="15.75" thickBot="1" x14ac:dyDescent="0.3">
      <c r="A4827" s="367" t="s">
        <v>43</v>
      </c>
      <c r="B4827" s="266">
        <v>44094</v>
      </c>
      <c r="C4827" s="1">
        <v>696</v>
      </c>
      <c r="D4827" s="39">
        <f t="shared" ref="D4827:D4839" si="547">C4827+D4803</f>
        <v>117274</v>
      </c>
      <c r="E4827" s="1">
        <f>1+3+3+2</f>
        <v>9</v>
      </c>
      <c r="F4827" s="409">
        <f>E4827+F4803</f>
        <v>2903</v>
      </c>
      <c r="G4827" s="168">
        <f>SUM(C4827,C4803,C4779,C4755,C4731,C4707,C4683,C4659,C4635,C4611,C4587,C4563,C4539,C4515)/POBLA!$B$2*100000</f>
        <v>466.69870329680339</v>
      </c>
      <c r="H4827" s="256">
        <f t="shared" si="545"/>
        <v>0.79766601833842732</v>
      </c>
      <c r="I4827" s="297">
        <f t="shared" ref="I4827:I4849" si="548">G4827*H4827</f>
        <v>372.2696964224682</v>
      </c>
      <c r="J4827" s="297">
        <f t="shared" ref="J4827:J4849" si="549">AVERAGE(C4827,C4803,C4779,C4755,C4731,C4707,C4683)</f>
        <v>910.57142857142856</v>
      </c>
      <c r="K4827" s="297">
        <f>J4827/POBLA!$B$2*100000</f>
        <v>29.605859340490699</v>
      </c>
      <c r="L4827" s="549">
        <f t="shared" si="546"/>
        <v>0.20125313283208024</v>
      </c>
      <c r="M4827" s="401">
        <f>SUM(C4827,C4803,C4779,C4755,C4731,C4707,C4683)/POBLA!$B$2*100000</f>
        <v>207.2410153834349</v>
      </c>
    </row>
    <row r="4828" spans="1:13" s="360" customFormat="1" ht="15.75" thickBot="1" x14ac:dyDescent="0.3">
      <c r="A4828" s="367" t="s">
        <v>28</v>
      </c>
      <c r="B4828" s="266">
        <v>44094</v>
      </c>
      <c r="C4828" s="1">
        <v>1</v>
      </c>
      <c r="D4828" s="39">
        <f t="shared" si="547"/>
        <v>191</v>
      </c>
      <c r="E4828" s="1"/>
      <c r="F4828" s="409">
        <f>E4828+F4804</f>
        <v>0</v>
      </c>
      <c r="G4828" s="168">
        <f>SUM(C4828,C4804,C4780,C4756,C4732,C4708,C4684,C4660,C4636,C4612,C4588,C4564,C4540,C4516)/POBLA!$B$3*100000</f>
        <v>25.274529532685982</v>
      </c>
      <c r="H4828" s="256">
        <f t="shared" si="545"/>
        <v>4.5652173913043477</v>
      </c>
      <c r="I4828" s="297">
        <f t="shared" si="548"/>
        <v>115.38372177965338</v>
      </c>
      <c r="J4828" s="297">
        <f t="shared" si="549"/>
        <v>9.5714285714285712</v>
      </c>
      <c r="K4828" s="297">
        <f>J4828/POBLA!$B$3*100000</f>
        <v>2.303936705700627</v>
      </c>
      <c r="L4828" s="549">
        <f t="shared" si="546"/>
        <v>-0.76315789473684204</v>
      </c>
      <c r="M4828" s="401">
        <f>SUM(C4828,C4804,C4780,C4756,C4732,C4708,C4684)/POBLA!$B$3*100000</f>
        <v>16.127556939904391</v>
      </c>
    </row>
    <row r="4829" spans="1:13" s="360" customFormat="1" ht="15.75" thickBot="1" x14ac:dyDescent="0.3">
      <c r="A4829" s="367" t="s">
        <v>15</v>
      </c>
      <c r="B4829" s="266">
        <v>44094</v>
      </c>
      <c r="C4829" s="1">
        <v>65</v>
      </c>
      <c r="D4829" s="39">
        <f t="shared" si="547"/>
        <v>7410</v>
      </c>
      <c r="E4829" s="1">
        <v>3</v>
      </c>
      <c r="F4829" s="409">
        <f t="shared" ref="F4829:F4847" si="550">E4829+F4805</f>
        <v>255</v>
      </c>
      <c r="G4829" s="168">
        <f>SUM(C4829,C4805,C4781,C4757,C4733,C4709,C4685,C4661,C4637,C4613,C4589,C4565,C4541,C4517)/POBLA!$B$4*100000</f>
        <v>115.89476821461453</v>
      </c>
      <c r="H4829" s="256">
        <f t="shared" si="545"/>
        <v>1.2107545533391153</v>
      </c>
      <c r="I4829" s="297">
        <f t="shared" si="548"/>
        <v>140.32011832402591</v>
      </c>
      <c r="J4829" s="297">
        <f t="shared" si="549"/>
        <v>94.142857142857139</v>
      </c>
      <c r="K4829" s="297">
        <f>J4829/POBLA!$B$4*100000</f>
        <v>7.8156623263846674</v>
      </c>
      <c r="L4829" s="549">
        <f t="shared" si="546"/>
        <v>0.10583446404341923</v>
      </c>
      <c r="M4829" s="401">
        <f>SUM(C4829,C4805,C4781,C4757,C4733,C4709,C4685)/POBLA!$B$4*100000</f>
        <v>54.709636284692671</v>
      </c>
    </row>
    <row r="4830" spans="1:13" s="360" customFormat="1" ht="15.75" thickBot="1" x14ac:dyDescent="0.3">
      <c r="A4830" s="367" t="s">
        <v>29</v>
      </c>
      <c r="B4830" s="266">
        <v>44094</v>
      </c>
      <c r="C4830" s="1">
        <v>126</v>
      </c>
      <c r="D4830" s="39">
        <f t="shared" si="547"/>
        <v>2307</v>
      </c>
      <c r="E4830" s="1"/>
      <c r="F4830" s="409">
        <f t="shared" si="550"/>
        <v>25</v>
      </c>
      <c r="G4830" s="168">
        <f>SUM(C4830,C4806,C4782,C4758,C4734,C4710,C4686,C4662,C4638,C4614,C4590,C4566,C4542,C4518)/POBLA!$B$5*100000</f>
        <v>176.09217536842038</v>
      </c>
      <c r="H4830" s="256">
        <f t="shared" si="545"/>
        <v>1.5959004392386531</v>
      </c>
      <c r="I4830" s="297">
        <f t="shared" si="548"/>
        <v>281.02558001695201</v>
      </c>
      <c r="J4830" s="297">
        <f t="shared" si="549"/>
        <v>84.142857142857139</v>
      </c>
      <c r="K4830" s="297">
        <f>J4830/POBLA!$B$5*100000</f>
        <v>13.593485097247653</v>
      </c>
      <c r="L4830" s="549">
        <f t="shared" si="546"/>
        <v>-0.17564870259481036</v>
      </c>
      <c r="M4830" s="401">
        <f>SUM(C4830,C4806,C4782,C4758,C4734,C4710,C4686)/POBLA!$B$5*100000</f>
        <v>95.154395680733572</v>
      </c>
    </row>
    <row r="4831" spans="1:13" s="360" customFormat="1" ht="15.75" thickBot="1" x14ac:dyDescent="0.3">
      <c r="A4831" s="367" t="s">
        <v>20</v>
      </c>
      <c r="B4831" s="266">
        <v>44094</v>
      </c>
      <c r="C4831" s="1">
        <v>600</v>
      </c>
      <c r="D4831" s="39">
        <f t="shared" si="547"/>
        <v>19208</v>
      </c>
      <c r="E4831" s="1">
        <f>5+3</f>
        <v>8</v>
      </c>
      <c r="F4831" s="409">
        <f t="shared" si="550"/>
        <v>255</v>
      </c>
      <c r="G4831" s="168">
        <f>SUM(C4831,C4807,C4783,C4759,C4735,C4711,C4687,C4663,C4639,C4615,C4591,C4567,C4543,C4519)/POBLA!$B$6*100000</f>
        <v>718.77166419373293</v>
      </c>
      <c r="H4831" s="256">
        <f t="shared" si="545"/>
        <v>1.5356462066336256</v>
      </c>
      <c r="I4831" s="297">
        <f t="shared" si="548"/>
        <v>1103.7789795548442</v>
      </c>
      <c r="J4831" s="297">
        <f t="shared" si="549"/>
        <v>681.28571428571433</v>
      </c>
      <c r="K4831" s="297">
        <f>J4831/POBLA!$B$6*100000</f>
        <v>60.785609067596688</v>
      </c>
      <c r="L4831" s="549">
        <f t="shared" si="546"/>
        <v>-0.4508670520231215</v>
      </c>
      <c r="M4831" s="401">
        <f>SUM(C4831,C4807,C4783,C4759,C4735,C4711,C4687)/POBLA!$B$6*100000</f>
        <v>425.49926347317682</v>
      </c>
    </row>
    <row r="4832" spans="1:13" s="360" customFormat="1" ht="15.75" thickBot="1" x14ac:dyDescent="0.3">
      <c r="A4832" s="367" t="s">
        <v>30</v>
      </c>
      <c r="B4832" s="266">
        <v>44094</v>
      </c>
      <c r="C4832" s="1">
        <v>28</v>
      </c>
      <c r="D4832" s="39">
        <f t="shared" si="547"/>
        <v>968</v>
      </c>
      <c r="E4832" s="1">
        <f>1+2</f>
        <v>3</v>
      </c>
      <c r="F4832" s="409">
        <f>E4832+F4808</f>
        <v>14</v>
      </c>
      <c r="G4832" s="168">
        <f>SUM(C4832,C4808,C4784,C4760,C4736,C4712,C4688,C4664,C4640,C4616,C4592,C4568,C4544,C4520)/POBLA!$B$7*100000</f>
        <v>16.567166163624034</v>
      </c>
      <c r="H4832" s="256">
        <f t="shared" si="545"/>
        <v>6.698924731182796</v>
      </c>
      <c r="I4832" s="297">
        <f t="shared" si="548"/>
        <v>110.98219913911585</v>
      </c>
      <c r="J4832" s="297">
        <f t="shared" si="549"/>
        <v>44</v>
      </c>
      <c r="K4832" s="297">
        <f>J4832/POBLA!$B$7*100000</f>
        <v>1.1700727306572352</v>
      </c>
      <c r="L4832" s="549">
        <f t="shared" si="546"/>
        <v>2.2222222222222254E-2</v>
      </c>
      <c r="M4832" s="401">
        <f>SUM(C4832,C4808,C4784,C4760,C4736,C4712,C4688)/POBLA!$B$7*100000</f>
        <v>8.1905091146006459</v>
      </c>
    </row>
    <row r="4833" spans="1:13" ht="15.75" thickBot="1" x14ac:dyDescent="0.3">
      <c r="A4833" s="367" t="s">
        <v>31</v>
      </c>
      <c r="B4833" s="266">
        <v>44094</v>
      </c>
      <c r="C4833" s="1">
        <v>102</v>
      </c>
      <c r="D4833" s="39">
        <f t="shared" si="547"/>
        <v>6206</v>
      </c>
      <c r="E4833" s="1">
        <f>2</f>
        <v>2</v>
      </c>
      <c r="F4833" s="409">
        <f>E4833+F4809</f>
        <v>108</v>
      </c>
      <c r="G4833" s="168">
        <f>SUM(C4833,C4809,C4785,C4761,C4737,C4713,C4689,C4665,C4641,C4617,C4593,C4569,C4545,C4521)/POBLA!$B$8*100000</f>
        <v>138.02697189892069</v>
      </c>
      <c r="H4833" s="256">
        <f t="shared" si="545"/>
        <v>0.94004914004914009</v>
      </c>
      <c r="I4833" s="297">
        <f t="shared" si="548"/>
        <v>129.75213623716721</v>
      </c>
      <c r="J4833" s="297">
        <f t="shared" si="549"/>
        <v>138.28571428571428</v>
      </c>
      <c r="K4833" s="297">
        <f>J4833/POBLA!$B$8*100000</f>
        <v>9.9776050181581066</v>
      </c>
      <c r="L4833" s="549">
        <f t="shared" si="546"/>
        <v>-2.4338624338624326E-2</v>
      </c>
      <c r="M4833" s="401">
        <f>SUM(C4833,C4809,C4785,C4761,C4737,C4713,C4689)/POBLA!$B$8*100000</f>
        <v>69.843235127106752</v>
      </c>
    </row>
    <row r="4834" spans="1:13" s="360" customFormat="1" ht="15.75" thickBot="1" x14ac:dyDescent="0.3">
      <c r="A4834" s="367" t="s">
        <v>41</v>
      </c>
      <c r="B4834" s="266">
        <v>44094</v>
      </c>
      <c r="C4834" s="1">
        <v>0</v>
      </c>
      <c r="D4834" s="39">
        <f t="shared" si="547"/>
        <v>101</v>
      </c>
      <c r="E4834" s="1"/>
      <c r="F4834" s="409">
        <f>E4834+F4810</f>
        <v>1</v>
      </c>
      <c r="G4834" s="168">
        <f>SUM(C4834,C4810,C4786,C4762,C4738,C4714,C4690,C4666,C4642,C4618,C4594,C4570,C4546,C4522)/POBLA!$B$9*100000</f>
        <v>1.8176019881261019</v>
      </c>
      <c r="H4834" s="256">
        <f t="shared" si="545"/>
        <v>1.375</v>
      </c>
      <c r="I4834" s="297">
        <f t="shared" si="548"/>
        <v>2.49920273367339</v>
      </c>
      <c r="J4834" s="297">
        <f t="shared" si="549"/>
        <v>1</v>
      </c>
      <c r="K4834" s="297">
        <f>J4834/POBLA!$B$9*100000</f>
        <v>0.16523654437510019</v>
      </c>
      <c r="L4834" s="549">
        <f t="shared" si="546"/>
        <v>-0.75</v>
      </c>
      <c r="M4834" s="401">
        <f>SUM(C4834,C4810,C4786,C4762,C4738,C4714,C4690)/POBLA!$B$9*100000</f>
        <v>1.1566558106257012</v>
      </c>
    </row>
    <row r="4835" spans="1:13" s="360" customFormat="1" ht="15.75" thickBot="1" x14ac:dyDescent="0.3">
      <c r="A4835" s="367" t="s">
        <v>32</v>
      </c>
      <c r="B4835" s="266">
        <v>44094</v>
      </c>
      <c r="C4835" s="1">
        <v>255</v>
      </c>
      <c r="D4835" s="39">
        <f t="shared" si="547"/>
        <v>14150</v>
      </c>
      <c r="E4835" s="1">
        <f>7+7+5+1+1</f>
        <v>21</v>
      </c>
      <c r="F4835" s="409">
        <f t="shared" si="550"/>
        <v>327</v>
      </c>
      <c r="G4835" s="168">
        <f>SUM(C4835,C4811,C4787,C4763,C4739,C4715,C4691,C4667,C4643,C4619,C4595,C4571,C4547,C4523)/POBLA!$B$10*100000</f>
        <v>522.12987477963532</v>
      </c>
      <c r="H4835" s="256">
        <f t="shared" si="545"/>
        <v>1.0443694862480539</v>
      </c>
      <c r="I4835" s="297">
        <f t="shared" si="548"/>
        <v>545.29650907836844</v>
      </c>
      <c r="J4835" s="297">
        <f t="shared" si="549"/>
        <v>289.71428571428572</v>
      </c>
      <c r="K4835" s="297">
        <f>J4835/POBLA!$B$10*100000</f>
        <v>37.582231980589185</v>
      </c>
      <c r="L4835" s="549">
        <f t="shared" si="546"/>
        <v>-1.552328492739119E-2</v>
      </c>
      <c r="M4835" s="401">
        <f>SUM(C4835,C4811,C4787,C4763,C4739,C4715,C4691)/POBLA!$B$10*100000</f>
        <v>263.07562386412428</v>
      </c>
    </row>
    <row r="4836" spans="1:13" s="360" customFormat="1" ht="15.75" thickBot="1" x14ac:dyDescent="0.3">
      <c r="A4836" s="367" t="s">
        <v>33</v>
      </c>
      <c r="B4836" s="266">
        <v>44094</v>
      </c>
      <c r="C4836" s="1">
        <v>21</v>
      </c>
      <c r="D4836" s="39">
        <f t="shared" si="547"/>
        <v>568</v>
      </c>
      <c r="E4836" s="1"/>
      <c r="F4836" s="409">
        <f t="shared" si="550"/>
        <v>4</v>
      </c>
      <c r="G4836" s="168">
        <f>SUM(C4836,C4812,C4788,C4764,C4740,C4716,C4692,C4668,C4644,C4620,C4596,C4572,C4548,C4524)/POBLA!$B$11*100000</f>
        <v>93.184684232258647</v>
      </c>
      <c r="H4836" s="256">
        <f t="shared" si="545"/>
        <v>8.5641025641025639</v>
      </c>
      <c r="I4836" s="297">
        <f t="shared" si="548"/>
        <v>798.04319316857402</v>
      </c>
      <c r="J4836" s="297">
        <f t="shared" si="549"/>
        <v>24.428571428571427</v>
      </c>
      <c r="K4836" s="297">
        <f>J4836/POBLA!$B$11*100000</f>
        <v>6.8154751940616878</v>
      </c>
      <c r="L4836" s="549">
        <f t="shared" si="546"/>
        <v>-4.9079754601226933E-2</v>
      </c>
      <c r="M4836" s="401">
        <f>SUM(C4836,C4812,C4788,C4764,C4740,C4716,C4692)/POBLA!$B$11*100000</f>
        <v>47.708326358431819</v>
      </c>
    </row>
    <row r="4837" spans="1:13" s="360" customFormat="1" ht="15.75" thickBot="1" x14ac:dyDescent="0.3">
      <c r="A4837" s="367" t="s">
        <v>21</v>
      </c>
      <c r="B4837" s="266">
        <v>44094</v>
      </c>
      <c r="C4837" s="1">
        <v>260</v>
      </c>
      <c r="D4837" s="39">
        <f t="shared" si="547"/>
        <v>3750</v>
      </c>
      <c r="E4837" s="1">
        <f>1</f>
        <v>1</v>
      </c>
      <c r="F4837" s="409">
        <f t="shared" si="550"/>
        <v>99</v>
      </c>
      <c r="G4837" s="168">
        <f>SUM(C4837,C4813,C4789,C4765,C4741,C4717,C4693,C4669,C4645,C4621,C4597,C4573,C4549,C4525)/POBLA!$B$12*100000</f>
        <v>434.78150387135952</v>
      </c>
      <c r="H4837" s="256">
        <f t="shared" si="545"/>
        <v>1.7127127127127126</v>
      </c>
      <c r="I4837" s="297">
        <f t="shared" si="548"/>
        <v>744.6558089328289</v>
      </c>
      <c r="J4837" s="297">
        <f t="shared" si="549"/>
        <v>134.57142857142858</v>
      </c>
      <c r="K4837" s="297">
        <f>J4837/POBLA!$B$12*100000</f>
        <v>34.195890176740477</v>
      </c>
      <c r="L4837" s="549">
        <f t="shared" si="546"/>
        <v>-0.22496749024707419</v>
      </c>
      <c r="M4837" s="401">
        <f>SUM(C4837,C4813,C4789,C4765,C4741,C4717,C4693)/POBLA!$B$12*100000</f>
        <v>239.37123123718334</v>
      </c>
    </row>
    <row r="4838" spans="1:13" s="360" customFormat="1" ht="15.75" thickBot="1" x14ac:dyDescent="0.3">
      <c r="A4838" s="367" t="s">
        <v>17</v>
      </c>
      <c r="B4838" s="266">
        <v>44094</v>
      </c>
      <c r="C4838" s="1">
        <v>590</v>
      </c>
      <c r="D4838" s="39">
        <f t="shared" si="547"/>
        <v>18850</v>
      </c>
      <c r="E4838" s="1">
        <f>2+2+2+2</f>
        <v>8</v>
      </c>
      <c r="F4838" s="409">
        <f t="shared" si="550"/>
        <v>179</v>
      </c>
      <c r="G4838" s="168">
        <f>SUM(C4838,C4814,C4790,C4766,C4742,C4718,C4694,C4670,C4646,C4622,C4598,C4574,C4550,C4526)/POBLA!$B$13*100000</f>
        <v>459.87163989231982</v>
      </c>
      <c r="H4838" s="256">
        <f t="shared" si="545"/>
        <v>1.8088932806324112</v>
      </c>
      <c r="I4838" s="297">
        <f t="shared" si="548"/>
        <v>831.85871935462524</v>
      </c>
      <c r="J4838" s="297">
        <f t="shared" si="549"/>
        <v>624</v>
      </c>
      <c r="K4838" s="297">
        <f>J4838/POBLA!$B$13*100000</f>
        <v>31.351458897935931</v>
      </c>
      <c r="L4838" s="549">
        <f t="shared" si="546"/>
        <v>8.7147335423197525E-2</v>
      </c>
      <c r="M4838" s="401">
        <f>SUM(C4838,C4814,C4790,C4766,C4742,C4718,C4694)/POBLA!$B$13*100000</f>
        <v>219.46021228555151</v>
      </c>
    </row>
    <row r="4839" spans="1:13" s="360" customFormat="1" ht="15.75" thickBot="1" x14ac:dyDescent="0.3">
      <c r="A4839" s="367" t="s">
        <v>23</v>
      </c>
      <c r="B4839" s="266">
        <v>44094</v>
      </c>
      <c r="C4839" s="1">
        <v>1</v>
      </c>
      <c r="D4839" s="39">
        <f t="shared" si="547"/>
        <v>70</v>
      </c>
      <c r="E4839" s="1"/>
      <c r="F4839" s="409">
        <f t="shared" si="550"/>
        <v>2</v>
      </c>
      <c r="G4839" s="168">
        <f>SUM(C4839,C4815,C4791,C4767,C4743,C4719,C4695,C4671,C4647,C4623,C4599,C4575,C4551,C4527)/POBLA!$B$14*100000</f>
        <v>0.23785096892556376</v>
      </c>
      <c r="H4839" s="256">
        <f t="shared" si="545"/>
        <v>0.27272727272727271</v>
      </c>
      <c r="I4839" s="297">
        <f t="shared" si="548"/>
        <v>6.4868446070608293E-2</v>
      </c>
      <c r="J4839" s="297">
        <f t="shared" si="549"/>
        <v>0.2857142857142857</v>
      </c>
      <c r="K4839" s="297">
        <f>J4839/POBLA!$B$14*100000</f>
        <v>2.2652473231006071E-2</v>
      </c>
      <c r="L4839" s="549">
        <f t="shared" si="546"/>
        <v>-1</v>
      </c>
      <c r="M4839" s="401">
        <f>SUM(C4839,C4815,C4791,C4767,C4743,C4719,C4695)/POBLA!$B$14*100000</f>
        <v>0.15856731261704249</v>
      </c>
    </row>
    <row r="4840" spans="1:13" s="360" customFormat="1" ht="15.75" thickBot="1" x14ac:dyDescent="0.3">
      <c r="A4840" s="367" t="s">
        <v>19</v>
      </c>
      <c r="B4840" s="266">
        <v>44094</v>
      </c>
      <c r="C4840" s="1">
        <v>155</v>
      </c>
      <c r="D4840" s="39">
        <f>C4840+D4816</f>
        <v>6012</v>
      </c>
      <c r="E4840" s="1">
        <f>2+1</f>
        <v>3</v>
      </c>
      <c r="F4840" s="409">
        <f t="shared" si="550"/>
        <v>73</v>
      </c>
      <c r="G4840" s="168">
        <f>SUM(C4840,C4816,C4792,C4768,C4744,C4720,C4696,C4672,C4648,C4624,C4600,C4576,C4552,C4528)/POBLA!$B$15*100000</f>
        <v>330.24273518688909</v>
      </c>
      <c r="H4840" s="256">
        <f t="shared" si="545"/>
        <v>1.4231018818948735</v>
      </c>
      <c r="I4840" s="297">
        <f t="shared" si="548"/>
        <v>469.96905792657225</v>
      </c>
      <c r="J4840" s="297">
        <f t="shared" si="549"/>
        <v>171.42857142857142</v>
      </c>
      <c r="K4840" s="297">
        <f>J4840/POBLA!$B$15*100000</f>
        <v>25.815339862176202</v>
      </c>
      <c r="L4840" s="549">
        <f t="shared" si="546"/>
        <v>-0.2084592145015105</v>
      </c>
      <c r="M4840" s="401">
        <f>SUM(C4840,C4816,C4792,C4768,C4744,C4720,C4696)/POBLA!$B$15*100000</f>
        <v>180.7073790352334</v>
      </c>
    </row>
    <row r="4841" spans="1:13" s="360" customFormat="1" ht="15.75" thickBot="1" x14ac:dyDescent="0.3">
      <c r="A4841" s="367" t="s">
        <v>18</v>
      </c>
      <c r="B4841" s="266">
        <v>44094</v>
      </c>
      <c r="C4841" s="1">
        <v>132</v>
      </c>
      <c r="D4841" s="39">
        <f>C4841+D4817</f>
        <v>10346</v>
      </c>
      <c r="E4841" s="1"/>
      <c r="F4841" s="409">
        <f t="shared" si="550"/>
        <v>195</v>
      </c>
      <c r="G4841" s="168">
        <f>SUM(C4841,C4817,C4793,C4769,C4745,C4721,C4697,C4673,C4649,C4625,C4601,C4577,C4553,C4529)/POBLA!$B$16*100000</f>
        <v>448.76339267800057</v>
      </c>
      <c r="H4841" s="256">
        <f t="shared" si="545"/>
        <v>1.4663461538461537</v>
      </c>
      <c r="I4841" s="297">
        <f t="shared" si="548"/>
        <v>658.04247484033738</v>
      </c>
      <c r="J4841" s="297">
        <f t="shared" si="549"/>
        <v>232.42857142857142</v>
      </c>
      <c r="K4841" s="297">
        <f>J4841/POBLA!$B$16*100000</f>
        <v>31.089548217462504</v>
      </c>
      <c r="L4841" s="549">
        <f t="shared" si="546"/>
        <v>5.844907407407407E-2</v>
      </c>
      <c r="M4841" s="401">
        <f>SUM(C4841,C4817,C4793,C4769,C4745,C4721,C4697)/POBLA!$B$16*100000</f>
        <v>217.62683752223751</v>
      </c>
    </row>
    <row r="4842" spans="1:13" s="360" customFormat="1" ht="15.75" thickBot="1" x14ac:dyDescent="0.3">
      <c r="A4842" s="367" t="s">
        <v>34</v>
      </c>
      <c r="B4842" s="266">
        <v>44094</v>
      </c>
      <c r="C4842" s="1">
        <v>339</v>
      </c>
      <c r="D4842" s="39">
        <f>C4842+D4818</f>
        <v>9268</v>
      </c>
      <c r="E4842" s="1">
        <f>2+3+8+3</f>
        <v>16</v>
      </c>
      <c r="F4842" s="409">
        <f>E4842+F4818</f>
        <v>171</v>
      </c>
      <c r="G4842" s="168">
        <f>SUM(C4842,C4818,C4794,C4770,C4746,C4722,C4698,C4674,C4650,C4626,C4602,C4578,C4554,C4530)/POBLA!$B$17*100000</f>
        <v>325.47105898144969</v>
      </c>
      <c r="H4842" s="256">
        <f t="shared" si="545"/>
        <v>1.6586762075134167</v>
      </c>
      <c r="I4842" s="297">
        <f t="shared" si="548"/>
        <v>539.85110176672652</v>
      </c>
      <c r="J4842" s="297">
        <f t="shared" si="549"/>
        <v>357.57142857142856</v>
      </c>
      <c r="K4842" s="297">
        <f>J4842/POBLA!$B$17*100000</f>
        <v>25.103354512220157</v>
      </c>
      <c r="L4842" s="549">
        <f t="shared" si="546"/>
        <v>-0.17346460384435058</v>
      </c>
      <c r="M4842" s="401">
        <f>SUM(C4842,C4818,C4794,C4770,C4746,C4722,C4698)/POBLA!$B$17*100000</f>
        <v>175.72348158554112</v>
      </c>
    </row>
    <row r="4843" spans="1:13" s="360" customFormat="1" ht="15.75" thickBot="1" x14ac:dyDescent="0.3">
      <c r="A4843" s="367" t="s">
        <v>35</v>
      </c>
      <c r="B4843" s="266">
        <v>44094</v>
      </c>
      <c r="C4843" s="1">
        <v>8</v>
      </c>
      <c r="D4843" s="39">
        <f t="shared" ref="D4843:D4849" si="551">C4843+D4819</f>
        <v>472</v>
      </c>
      <c r="E4843" s="1"/>
      <c r="F4843" s="409">
        <f>E4843+F4819</f>
        <v>21</v>
      </c>
      <c r="G4843" s="168">
        <f>SUM(C4843,C4819,C4795,C4771,C4747,C4723,C4699,C4675,C4651,C4627,C4603,C4579,C4555,C4531)/POBLA!$B$18*100000</f>
        <v>12.160513660097003</v>
      </c>
      <c r="H4843" s="256">
        <f t="shared" si="545"/>
        <v>0.29780564263322884</v>
      </c>
      <c r="I4843" s="297">
        <f t="shared" si="548"/>
        <v>3.6214695852953458</v>
      </c>
      <c r="J4843" s="297">
        <f t="shared" si="549"/>
        <v>7.8571428571428568</v>
      </c>
      <c r="K4843" s="297">
        <f>J4843/POBLA!$B$18*100000</f>
        <v>1.0057567688802032</v>
      </c>
      <c r="L4843" s="549">
        <f t="shared" si="546"/>
        <v>-0.375</v>
      </c>
      <c r="M4843" s="401">
        <f>SUM(C4843,C4819,C4795,C4771,C4747,C4723,C4699)/POBLA!$B$18*100000</f>
        <v>7.0402973821614232</v>
      </c>
    </row>
    <row r="4844" spans="1:13" s="360" customFormat="1" ht="15.75" thickBot="1" x14ac:dyDescent="0.3">
      <c r="A4844" s="367" t="s">
        <v>36</v>
      </c>
      <c r="B4844" s="266">
        <v>44094</v>
      </c>
      <c r="C4844" s="1">
        <v>26</v>
      </c>
      <c r="D4844" s="39">
        <f t="shared" si="551"/>
        <v>698</v>
      </c>
      <c r="E4844" s="1"/>
      <c r="F4844" s="409">
        <f t="shared" si="550"/>
        <v>0</v>
      </c>
      <c r="G4844" s="168">
        <f>SUM(C4844,C4820,C4796,C4772,C4748,C4724,C4700,C4676,C4652,C4628,C4604,C4580,C4556,C4532)/POBLA!$B$19*100000</f>
        <v>88.722242331722825</v>
      </c>
      <c r="H4844" s="256">
        <f t="shared" si="545"/>
        <v>2.2107843137254903</v>
      </c>
      <c r="I4844" s="297">
        <f t="shared" si="548"/>
        <v>196.14574162552449</v>
      </c>
      <c r="J4844" s="297">
        <f t="shared" si="549"/>
        <v>45</v>
      </c>
      <c r="K4844" s="297">
        <f>J4844/POBLA!$B$19*100000</f>
        <v>8.852551895626446</v>
      </c>
      <c r="L4844" s="549">
        <f t="shared" si="546"/>
        <v>-1.3161764705882355</v>
      </c>
      <c r="M4844" s="401">
        <f>SUM(C4844,C4820,C4796,C4772,C4748,C4724,C4700)/POBLA!$B$19*100000</f>
        <v>61.96786326938512</v>
      </c>
    </row>
    <row r="4845" spans="1:13" s="360" customFormat="1" ht="15.75" thickBot="1" x14ac:dyDescent="0.3">
      <c r="A4845" s="367" t="s">
        <v>37</v>
      </c>
      <c r="B4845" s="266">
        <v>44094</v>
      </c>
      <c r="C4845" s="1">
        <v>83</v>
      </c>
      <c r="D4845" s="39">
        <f t="shared" si="551"/>
        <v>3747</v>
      </c>
      <c r="E4845" s="1"/>
      <c r="F4845" s="409">
        <f>E4845+F4821</f>
        <v>44</v>
      </c>
      <c r="G4845" s="168">
        <f>SUM(C4845,C4821,C4797,C4773,C4749,C4725,C4701,C4677,C4653,C4629,C4605,C4581,C4557,C4533)/POBLA!$B$20*100000</f>
        <v>398.96307882460388</v>
      </c>
      <c r="H4845" s="256">
        <f t="shared" si="545"/>
        <v>1.529350104821803</v>
      </c>
      <c r="I4845" s="297">
        <f t="shared" si="548"/>
        <v>610.15422642043723</v>
      </c>
      <c r="J4845" s="297">
        <f t="shared" si="549"/>
        <v>96.857142857142861</v>
      </c>
      <c r="K4845" s="297">
        <f>J4845/POBLA!$B$20*100000</f>
        <v>26.48555443484593</v>
      </c>
      <c r="L4845" s="549">
        <f t="shared" si="546"/>
        <v>0.13188220230473746</v>
      </c>
      <c r="M4845" s="401">
        <f>SUM(C4845,C4821,C4797,C4773,C4749,C4725,C4701)/POBLA!$B$20*100000</f>
        <v>185.39888104392148</v>
      </c>
    </row>
    <row r="4846" spans="1:13" s="360" customFormat="1" ht="15.75" thickBot="1" x14ac:dyDescent="0.3">
      <c r="A4846" s="367" t="s">
        <v>22</v>
      </c>
      <c r="B4846" s="266">
        <v>44094</v>
      </c>
      <c r="C4846" s="1">
        <v>877</v>
      </c>
      <c r="D4846" s="39">
        <f t="shared" si="551"/>
        <v>26395</v>
      </c>
      <c r="E4846" s="1">
        <f>1+1+3</f>
        <v>5</v>
      </c>
      <c r="F4846" s="409">
        <f>E4846+F4822</f>
        <v>271</v>
      </c>
      <c r="G4846" s="168">
        <f>SUM(C4846,C4822,C4798,C4774,C4750,C4726,C4702,C4678,C4654,C4630,C4606,C4582,C4558,C4534)/POBLA!$B$21*100000</f>
        <v>403.6853109558881</v>
      </c>
      <c r="H4846" s="256">
        <f t="shared" si="545"/>
        <v>1.9550807997808819</v>
      </c>
      <c r="I4846" s="297">
        <f t="shared" si="548"/>
        <v>789.23740060343175</v>
      </c>
      <c r="J4846" s="297">
        <f t="shared" si="549"/>
        <v>1111.1428571428571</v>
      </c>
      <c r="K4846" s="297">
        <f>J4846/POBLA!$B$21*100000</f>
        <v>31.420009092331764</v>
      </c>
      <c r="L4846" s="549">
        <f t="shared" si="546"/>
        <v>-0.19698368728839633</v>
      </c>
      <c r="M4846" s="401">
        <f>SUM(C4846,C4822,C4798,C4774,C4750,C4726,C4702)/POBLA!$B$21*100000</f>
        <v>219.94006364632236</v>
      </c>
    </row>
    <row r="4847" spans="1:13" s="360" customFormat="1" ht="15.75" thickBot="1" x14ac:dyDescent="0.3">
      <c r="A4847" s="367" t="s">
        <v>38</v>
      </c>
      <c r="B4847" s="266">
        <v>44094</v>
      </c>
      <c r="C4847" s="1">
        <v>70</v>
      </c>
      <c r="D4847" s="39">
        <f t="shared" si="551"/>
        <v>2372</v>
      </c>
      <c r="E4847" s="1">
        <f>3+1+1</f>
        <v>5</v>
      </c>
      <c r="F4847" s="409">
        <f t="shared" si="550"/>
        <v>35</v>
      </c>
      <c r="G4847" s="168">
        <f>SUM(C4847,C4823,C4799,C4775,C4751,C4727,C4703,C4679,C4655,C4631,C4607,C4583,C4559,C4535)/POBLA!$B$22*100000</f>
        <v>110.08746689454195</v>
      </c>
      <c r="H4847" s="256">
        <f t="shared" si="545"/>
        <v>1.3843187660668381</v>
      </c>
      <c r="I4847" s="297">
        <f t="shared" si="548"/>
        <v>152.39614633087621</v>
      </c>
      <c r="J4847" s="297">
        <f t="shared" si="549"/>
        <v>77.142857142857139</v>
      </c>
      <c r="K4847" s="297">
        <f>J4847/POBLA!$B$22*100000</f>
        <v>7.8852940871538184</v>
      </c>
      <c r="L4847" s="549">
        <f t="shared" si="546"/>
        <v>-5.5865921787709993E-3</v>
      </c>
      <c r="M4847" s="401">
        <f>SUM(C4847,C4823,C4799,C4775,C4751,C4727,C4703)/POBLA!$B$22*100000</f>
        <v>55.197058610076738</v>
      </c>
    </row>
    <row r="4848" spans="1:13" s="360" customFormat="1" ht="15.75" thickBot="1" x14ac:dyDescent="0.3">
      <c r="A4848" s="367" t="s">
        <v>39</v>
      </c>
      <c r="B4848" s="266">
        <v>44094</v>
      </c>
      <c r="C4848" s="1">
        <v>79</v>
      </c>
      <c r="D4848" s="39">
        <f t="shared" si="551"/>
        <v>3197</v>
      </c>
      <c r="E4848" s="1">
        <f>1</f>
        <v>1</v>
      </c>
      <c r="F4848" s="409">
        <f>E4848+F4824</f>
        <v>54</v>
      </c>
      <c r="G4848" s="168">
        <f>SUM(C4848,C4824,C4800,C4776,C4752,C4728,C4704,C4680,C4656,C4632,C4608,C4584,C4560,C4536)/POBLA!$B$23*100000</f>
        <v>481.81869592263757</v>
      </c>
      <c r="H4848" s="256">
        <f t="shared" si="545"/>
        <v>1.3168469860896446</v>
      </c>
      <c r="I4848" s="297">
        <f t="shared" si="548"/>
        <v>634.48149756736825</v>
      </c>
      <c r="J4848" s="297">
        <f t="shared" si="549"/>
        <v>70.285714285714292</v>
      </c>
      <c r="K4848" s="297">
        <f>J4848/POBLA!$B$23*100000</f>
        <v>39.747618778326242</v>
      </c>
      <c r="L4848" s="549">
        <f t="shared" si="546"/>
        <v>-0.3666666666666667</v>
      </c>
      <c r="M4848" s="401">
        <f>SUM(C4848,C4824,C4800,C4776,C4752,C4728,C4704)/POBLA!$B$23*100000</f>
        <v>278.23333144828365</v>
      </c>
    </row>
    <row r="4849" spans="1:13" s="360" customFormat="1" ht="15.75" thickBot="1" x14ac:dyDescent="0.3">
      <c r="A4849" s="369" t="s">
        <v>40</v>
      </c>
      <c r="B4849" s="266">
        <v>44094</v>
      </c>
      <c r="C4849" s="1">
        <v>272</v>
      </c>
      <c r="D4849" s="176">
        <f t="shared" si="551"/>
        <v>9525</v>
      </c>
      <c r="E4849" s="1">
        <f>21+14+11+4</f>
        <v>50</v>
      </c>
      <c r="F4849" s="476">
        <f>E4849+F4825</f>
        <v>101</v>
      </c>
      <c r="G4849" s="177">
        <f>SUM(C4849,C4825,C4801,C4777,C4753,C4729,C4705,C4681,C4657,C4633,C4609,C4585,C4561,C4537)/POBLA!$B$24*100000</f>
        <v>328.73928396087467</v>
      </c>
      <c r="H4849" s="402">
        <f t="shared" si="545"/>
        <v>1.920372285418821</v>
      </c>
      <c r="I4849" s="403">
        <f t="shared" si="548"/>
        <v>631.30181004689166</v>
      </c>
      <c r="J4849" s="403">
        <f t="shared" si="549"/>
        <v>413.85714285714283</v>
      </c>
      <c r="K4849" s="403">
        <f>J4849/POBLA!$B$24*100000</f>
        <v>24.421306911676638</v>
      </c>
      <c r="L4849" s="550">
        <f t="shared" si="546"/>
        <v>-8.3395661929693388E-2</v>
      </c>
      <c r="M4849" s="405">
        <f>SUM(C4849,C4825,C4801,C4777,C4753,C4729,C4705)/POBLA!$B$24*100000</f>
        <v>170.94914838173648</v>
      </c>
    </row>
    <row r="4850" spans="1:13" s="360" customFormat="1" ht="15.75" thickBot="1" x14ac:dyDescent="0.3">
      <c r="A4850" s="363" t="s">
        <v>16</v>
      </c>
      <c r="B4850" s="266">
        <v>44095</v>
      </c>
      <c r="C4850" s="1">
        <v>3700</v>
      </c>
      <c r="D4850" s="174">
        <f>C4850+D4826</f>
        <v>371980</v>
      </c>
      <c r="E4850" s="1">
        <v>276</v>
      </c>
      <c r="F4850" s="475">
        <f>E4850+F4826</f>
        <v>7953</v>
      </c>
      <c r="G4850" s="175">
        <f>SUM(C4850,C4826,C4802,C4778,C4754,C4730,C4706,C4682,C4658,C4634,C4610,C4586,C4562,C4538)/POBLA!$B$1*100000</f>
        <v>427.00186949070184</v>
      </c>
      <c r="H4850" s="300">
        <f t="shared" si="545"/>
        <v>0.95188531777803198</v>
      </c>
      <c r="I4850" s="301">
        <f>G4850*H4850</f>
        <v>406.45681023197045</v>
      </c>
      <c r="J4850" s="301">
        <f>AVERAGE(C4850,C4826,C4802,C4778,C4754,C4730,C4706)</f>
        <v>5046.8571428571431</v>
      </c>
      <c r="K4850" s="301">
        <f>J4850/POBLA!$B$1*100000</f>
        <v>28.77154423909564</v>
      </c>
      <c r="L4850" s="548">
        <f t="shared" si="546"/>
        <v>0.10727010840724738</v>
      </c>
      <c r="M4850" s="400">
        <f>SUM(C4850,C4826,C4802,C4778,C4754,C4730,C4706)/POBLA!$B$1*100000</f>
        <v>201.40080967366944</v>
      </c>
    </row>
    <row r="4851" spans="1:13" s="360" customFormat="1" ht="15.75" thickBot="1" x14ac:dyDescent="0.3">
      <c r="A4851" s="367" t="s">
        <v>43</v>
      </c>
      <c r="B4851" s="266">
        <v>44095</v>
      </c>
      <c r="C4851" s="1">
        <v>678</v>
      </c>
      <c r="D4851" s="39">
        <f t="shared" ref="D4851:D4863" si="552">C4851+D4827</f>
        <v>117952</v>
      </c>
      <c r="E4851" s="1">
        <v>30</v>
      </c>
      <c r="F4851" s="409">
        <f>E4851+F4827</f>
        <v>2933</v>
      </c>
      <c r="G4851" s="168">
        <f>SUM(C4851,C4827,C4803,C4779,C4755,C4731,C4707,C4683,C4659,C4635,C4611,C4587,C4563,C4539)/POBLA!$B$2*100000</f>
        <v>453.33565696442309</v>
      </c>
      <c r="H4851" s="256">
        <f t="shared" si="545"/>
        <v>0.78547687454227932</v>
      </c>
      <c r="I4851" s="297">
        <f t="shared" ref="I4851:I4873" si="553">G4851*H4851</f>
        <v>356.08467495098591</v>
      </c>
      <c r="J4851" s="297">
        <f t="shared" ref="J4851:J4873" si="554">AVERAGE(C4851,C4827,C4803,C4779,C4755,C4731,C4707)</f>
        <v>872.28571428571433</v>
      </c>
      <c r="K4851" s="297">
        <f>J4851/POBLA!$B$2*100000</f>
        <v>28.361056970981526</v>
      </c>
      <c r="L4851" s="549">
        <f t="shared" si="546"/>
        <v>0.2208753349495981</v>
      </c>
      <c r="M4851" s="401">
        <f>SUM(C4851,C4827,C4803,C4779,C4755,C4731,C4707)/POBLA!$B$2*100000</f>
        <v>198.52739879687064</v>
      </c>
    </row>
    <row r="4852" spans="1:13" s="360" customFormat="1" ht="15.75" thickBot="1" x14ac:dyDescent="0.3">
      <c r="A4852" s="367" t="s">
        <v>28</v>
      </c>
      <c r="B4852" s="266">
        <v>44095</v>
      </c>
      <c r="C4852" s="1">
        <v>1</v>
      </c>
      <c r="D4852" s="39">
        <f t="shared" si="552"/>
        <v>192</v>
      </c>
      <c r="E4852" s="1"/>
      <c r="F4852" s="409">
        <f>E4852+F4828</f>
        <v>0</v>
      </c>
      <c r="G4852" s="168">
        <f>SUM(C4852,C4828,C4804,C4780,C4756,C4732,C4708,C4684,C4660,C4636,C4612,C4588,C4564,C4540)/POBLA!$B$3*100000</f>
        <v>25.033819727612784</v>
      </c>
      <c r="H4852" s="256">
        <f t="shared" si="545"/>
        <v>4.333333333333333</v>
      </c>
      <c r="I4852" s="297">
        <f t="shared" si="553"/>
        <v>108.47988548632206</v>
      </c>
      <c r="J4852" s="297">
        <f t="shared" si="554"/>
        <v>9</v>
      </c>
      <c r="K4852" s="297">
        <f>J4852/POBLA!$B$3*100000</f>
        <v>2.1663882456587986</v>
      </c>
      <c r="L4852" s="549">
        <f t="shared" si="546"/>
        <v>-0.53658536585365857</v>
      </c>
      <c r="M4852" s="401">
        <f>SUM(C4852,C4828,C4804,C4780,C4756,C4732,C4708)/POBLA!$B$3*100000</f>
        <v>15.164717719611591</v>
      </c>
    </row>
    <row r="4853" spans="1:13" s="360" customFormat="1" ht="15.75" thickBot="1" x14ac:dyDescent="0.3">
      <c r="A4853" s="367" t="s">
        <v>15</v>
      </c>
      <c r="B4853" s="266">
        <v>44095</v>
      </c>
      <c r="C4853" s="1">
        <v>69</v>
      </c>
      <c r="D4853" s="39">
        <f t="shared" si="552"/>
        <v>7479</v>
      </c>
      <c r="E4853" s="1">
        <v>7</v>
      </c>
      <c r="F4853" s="409">
        <f t="shared" ref="F4853:F4871" si="555">E4853+F4829</f>
        <v>262</v>
      </c>
      <c r="G4853" s="168">
        <f>SUM(C4853,C4829,C4805,C4781,C4757,C4733,C4709,C4685,C4661,C4637,C4613,C4589,C4565,C4541)/POBLA!$B$4*100000</f>
        <v>118.13628593796308</v>
      </c>
      <c r="H4853" s="256">
        <f t="shared" si="545"/>
        <v>1.2460595446584939</v>
      </c>
      <c r="I4853" s="297">
        <f t="shared" si="553"/>
        <v>147.2048466635039</v>
      </c>
      <c r="J4853" s="297">
        <f t="shared" si="554"/>
        <v>98.142857142857139</v>
      </c>
      <c r="K4853" s="297">
        <f>J4853/POBLA!$B$4*100000</f>
        <v>8.1477390261400107</v>
      </c>
      <c r="L4853" s="549">
        <f t="shared" si="546"/>
        <v>6.6576086956521729E-2</v>
      </c>
      <c r="M4853" s="401">
        <f>SUM(C4853,C4829,C4805,C4781,C4757,C4733,C4709)/POBLA!$B$4*100000</f>
        <v>57.034173182980069</v>
      </c>
    </row>
    <row r="4854" spans="1:13" s="360" customFormat="1" ht="15.75" thickBot="1" x14ac:dyDescent="0.3">
      <c r="A4854" s="367" t="s">
        <v>29</v>
      </c>
      <c r="B4854" s="266">
        <v>44095</v>
      </c>
      <c r="C4854" s="1">
        <v>116</v>
      </c>
      <c r="D4854" s="39">
        <f t="shared" si="552"/>
        <v>2423</v>
      </c>
      <c r="E4854" s="1"/>
      <c r="F4854" s="409">
        <f t="shared" si="555"/>
        <v>25</v>
      </c>
      <c r="G4854" s="168">
        <f>SUM(C4854,C4830,C4806,C4782,C4758,C4734,C4710,C4686,C4662,C4638,C4614,C4590,C4566,C4542)/POBLA!$B$5*100000</f>
        <v>185.62377018194039</v>
      </c>
      <c r="H4854" s="256">
        <f t="shared" si="545"/>
        <v>1.5782967032967032</v>
      </c>
      <c r="I4854" s="297">
        <f t="shared" si="553"/>
        <v>292.96938453166138</v>
      </c>
      <c r="J4854" s="297">
        <f t="shared" si="554"/>
        <v>95.142857142857139</v>
      </c>
      <c r="K4854" s="297">
        <f>J4854/POBLA!$B$5*100000</f>
        <v>15.370562096378503</v>
      </c>
      <c r="L4854" s="549">
        <f t="shared" si="546"/>
        <v>-0.37888198757763969</v>
      </c>
      <c r="M4854" s="401">
        <f>SUM(C4854,C4830,C4806,C4782,C4758,C4734,C4710)/POBLA!$B$5*100000</f>
        <v>107.59393467464952</v>
      </c>
    </row>
    <row r="4855" spans="1:13" s="360" customFormat="1" ht="15.75" thickBot="1" x14ac:dyDescent="0.3">
      <c r="A4855" s="367" t="s">
        <v>20</v>
      </c>
      <c r="B4855" s="266">
        <v>44095</v>
      </c>
      <c r="C4855" s="1">
        <v>770</v>
      </c>
      <c r="D4855" s="39">
        <f t="shared" si="552"/>
        <v>19978</v>
      </c>
      <c r="E4855" s="1">
        <v>5</v>
      </c>
      <c r="F4855" s="409">
        <f t="shared" si="555"/>
        <v>260</v>
      </c>
      <c r="G4855" s="168">
        <f>SUM(C4855,C4831,C4807,C4783,C4759,C4735,C4711,C4687,C4663,C4639,C4615,C4591,C4567,C4543)/POBLA!$B$6*100000</f>
        <v>746.78734226682525</v>
      </c>
      <c r="H4855" s="256">
        <f t="shared" si="545"/>
        <v>1.5234801601747361</v>
      </c>
      <c r="I4855" s="297">
        <f t="shared" si="553"/>
        <v>1137.7156998131284</v>
      </c>
      <c r="J4855" s="297">
        <f t="shared" si="554"/>
        <v>714.85714285714289</v>
      </c>
      <c r="K4855" s="297">
        <f>J4855/POBLA!$B$6*100000</f>
        <v>63.780915867950057</v>
      </c>
      <c r="L4855" s="549">
        <f t="shared" si="546"/>
        <v>-0.4866310160427807</v>
      </c>
      <c r="M4855" s="401">
        <f>SUM(C4855,C4831,C4807,C4783,C4759,C4735,C4711)/POBLA!$B$6*100000</f>
        <v>446.4664110756504</v>
      </c>
    </row>
    <row r="4856" spans="1:13" s="360" customFormat="1" ht="15.75" thickBot="1" x14ac:dyDescent="0.3">
      <c r="A4856" s="367" t="s">
        <v>30</v>
      </c>
      <c r="B4856" s="266">
        <v>44095</v>
      </c>
      <c r="C4856" s="1">
        <v>61</v>
      </c>
      <c r="D4856" s="39">
        <f t="shared" si="552"/>
        <v>1029</v>
      </c>
      <c r="E4856" s="1">
        <v>1</v>
      </c>
      <c r="F4856" s="409">
        <f>E4856+F4832</f>
        <v>15</v>
      </c>
      <c r="G4856" s="168">
        <f>SUM(C4856,C4832,C4808,C4784,C4760,C4736,C4712,C4688,C4664,C4640,C4616,C4592,C4568,C4544)/POBLA!$B$7*100000</f>
        <v>17.099017404831869</v>
      </c>
      <c r="H4856" s="256">
        <f t="shared" si="545"/>
        <v>5.0629921259842519</v>
      </c>
      <c r="I4856" s="297">
        <f t="shared" si="553"/>
        <v>86.572190482731429</v>
      </c>
      <c r="J4856" s="297">
        <f t="shared" si="554"/>
        <v>44.428571428571431</v>
      </c>
      <c r="K4856" s="297">
        <f>J4856/POBLA!$B$7*100000</f>
        <v>1.1814695429688318</v>
      </c>
      <c r="L4856" s="549">
        <f t="shared" si="546"/>
        <v>6.325301204819278E-2</v>
      </c>
      <c r="M4856" s="401">
        <f>SUM(C4856,C4832,C4808,C4784,C4760,C4736,C4712)/POBLA!$B$7*100000</f>
        <v>8.2702868007818218</v>
      </c>
    </row>
    <row r="4857" spans="1:13" ht="15.75" thickBot="1" x14ac:dyDescent="0.3">
      <c r="A4857" s="367" t="s">
        <v>31</v>
      </c>
      <c r="B4857" s="266">
        <v>44095</v>
      </c>
      <c r="C4857" s="1">
        <v>85</v>
      </c>
      <c r="D4857" s="39">
        <f t="shared" si="552"/>
        <v>6291</v>
      </c>
      <c r="E4857" s="1">
        <v>3</v>
      </c>
      <c r="F4857" s="409">
        <f>E4857+F4833</f>
        <v>111</v>
      </c>
      <c r="G4857" s="168">
        <f>SUM(C4857,C4833,C4809,C4785,C4761,C4737,C4713,C4689,C4665,C4641,C4617,C4593,C4569,C4545)/POBLA!$B$8*100000</f>
        <v>139.83077445902157</v>
      </c>
      <c r="H4857" s="256">
        <f t="shared" si="545"/>
        <v>0.98325722983257224</v>
      </c>
      <c r="I4857" s="297">
        <f t="shared" si="553"/>
        <v>137.48961993992074</v>
      </c>
      <c r="J4857" s="297">
        <f t="shared" si="554"/>
        <v>140.14285714285714</v>
      </c>
      <c r="K4857" s="297">
        <f>J4857/POBLA!$B$8*100000</f>
        <v>10.111601779765602</v>
      </c>
      <c r="L4857" s="549">
        <f t="shared" si="546"/>
        <v>-2.5078369905956022E-2</v>
      </c>
      <c r="M4857" s="401">
        <f>SUM(C4857,C4833,C4809,C4785,C4761,C4737,C4713)/POBLA!$B$8*100000</f>
        <v>70.781212458359221</v>
      </c>
    </row>
    <row r="4858" spans="1:13" s="360" customFormat="1" ht="15.75" thickBot="1" x14ac:dyDescent="0.3">
      <c r="A4858" s="367" t="s">
        <v>41</v>
      </c>
      <c r="B4858" s="266">
        <v>44095</v>
      </c>
      <c r="C4858" s="1">
        <v>0</v>
      </c>
      <c r="D4858" s="39">
        <f t="shared" si="552"/>
        <v>101</v>
      </c>
      <c r="E4858" s="1"/>
      <c r="F4858" s="409">
        <f>E4858+F4834</f>
        <v>1</v>
      </c>
      <c r="G4858" s="168">
        <f>SUM(C4858,C4834,C4810,C4786,C4762,C4738,C4714,C4690,C4666,C4642,C4618,C4594,C4570,C4546)/POBLA!$B$9*100000</f>
        <v>1.8176019881261019</v>
      </c>
      <c r="H4858" s="256">
        <f t="shared" si="545"/>
        <v>1.8333333333333333</v>
      </c>
      <c r="I4858" s="297">
        <f t="shared" si="553"/>
        <v>3.3322703115645198</v>
      </c>
      <c r="J4858" s="297">
        <f t="shared" si="554"/>
        <v>0.8571428571428571</v>
      </c>
      <c r="K4858" s="297">
        <f>J4858/POBLA!$B$9*100000</f>
        <v>0.14163132375008586</v>
      </c>
      <c r="L4858" s="549">
        <f t="shared" si="546"/>
        <v>-0.19999999999999996</v>
      </c>
      <c r="M4858" s="401">
        <f>SUM(C4858,C4834,C4810,C4786,C4762,C4738,C4714)/POBLA!$B$9*100000</f>
        <v>0.99141926625060106</v>
      </c>
    </row>
    <row r="4859" spans="1:13" s="360" customFormat="1" ht="15.75" thickBot="1" x14ac:dyDescent="0.3">
      <c r="A4859" s="367" t="s">
        <v>32</v>
      </c>
      <c r="B4859" s="266">
        <v>44095</v>
      </c>
      <c r="C4859" s="1">
        <v>101</v>
      </c>
      <c r="D4859" s="39">
        <f t="shared" si="552"/>
        <v>14251</v>
      </c>
      <c r="E4859" s="1">
        <v>11</v>
      </c>
      <c r="F4859" s="409">
        <f t="shared" si="555"/>
        <v>338</v>
      </c>
      <c r="G4859" s="168">
        <f>SUM(C4859,C4835,C4811,C4787,C4763,C4739,C4715,C4691,C4667,C4643,C4619,C4595,C4571,C4547)/POBLA!$B$10*100000</f>
        <v>489.18056094260982</v>
      </c>
      <c r="H4859" s="256">
        <f t="shared" si="545"/>
        <v>0.97770287788436605</v>
      </c>
      <c r="I4859" s="297">
        <f t="shared" si="553"/>
        <v>478.27324223867811</v>
      </c>
      <c r="J4859" s="297">
        <f t="shared" si="554"/>
        <v>264.57142857142856</v>
      </c>
      <c r="K4859" s="297">
        <f>J4859/POBLA!$B$10*100000</f>
        <v>34.320657607520296</v>
      </c>
      <c r="L4859" s="549">
        <f t="shared" si="546"/>
        <v>3.4914017717561197E-2</v>
      </c>
      <c r="M4859" s="401">
        <f>SUM(C4859,C4835,C4811,C4787,C4763,C4739,C4715)/POBLA!$B$10*100000</f>
        <v>240.24460325264212</v>
      </c>
    </row>
    <row r="4860" spans="1:13" s="360" customFormat="1" ht="15.75" thickBot="1" x14ac:dyDescent="0.3">
      <c r="A4860" s="367" t="s">
        <v>33</v>
      </c>
      <c r="B4860" s="266">
        <v>44095</v>
      </c>
      <c r="C4860" s="1">
        <v>18</v>
      </c>
      <c r="D4860" s="39">
        <f t="shared" si="552"/>
        <v>586</v>
      </c>
      <c r="E4860" s="1"/>
      <c r="F4860" s="409">
        <f t="shared" si="555"/>
        <v>4</v>
      </c>
      <c r="G4860" s="168">
        <f>SUM(C4860,C4836,C4812,C4788,C4764,C4740,C4716,C4692,C4668,C4644,C4620,C4596,C4572,C4548)/POBLA!$B$11*100000</f>
        <v>95.69564877743926</v>
      </c>
      <c r="H4860" s="256">
        <f t="shared" si="545"/>
        <v>6.86</v>
      </c>
      <c r="I4860" s="297">
        <f t="shared" si="553"/>
        <v>656.47215061323334</v>
      </c>
      <c r="J4860" s="297">
        <f t="shared" si="554"/>
        <v>20.571428571428573</v>
      </c>
      <c r="K4860" s="297">
        <f>J4860/POBLA!$B$11*100000</f>
        <v>5.739347531841422</v>
      </c>
      <c r="L4860" s="549">
        <f t="shared" si="546"/>
        <v>0.27638190954773867</v>
      </c>
      <c r="M4860" s="401">
        <f>SUM(C4860,C4836,C4812,C4788,C4764,C4740,C4716)/POBLA!$B$11*100000</f>
        <v>40.175432722889951</v>
      </c>
    </row>
    <row r="4861" spans="1:13" s="360" customFormat="1" ht="15.75" thickBot="1" x14ac:dyDescent="0.3">
      <c r="A4861" s="367" t="s">
        <v>21</v>
      </c>
      <c r="B4861" s="266">
        <v>44095</v>
      </c>
      <c r="C4861" s="1">
        <v>350</v>
      </c>
      <c r="D4861" s="39">
        <f t="shared" si="552"/>
        <v>4100</v>
      </c>
      <c r="E4861" s="1">
        <v>2</v>
      </c>
      <c r="F4861" s="409">
        <f t="shared" si="555"/>
        <v>101</v>
      </c>
      <c r="G4861" s="168">
        <f>SUM(C4861,C4837,C4813,C4789,C4765,C4741,C4717,C4693,C4669,C4645,C4621,C4597,C4573,C4549)/POBLA!$B$12*100000</f>
        <v>500.34177739491935</v>
      </c>
      <c r="H4861" s="256">
        <f t="shared" si="545"/>
        <v>1.9828801611278952</v>
      </c>
      <c r="I4861" s="297">
        <f t="shared" si="553"/>
        <v>992.11778417985511</v>
      </c>
      <c r="J4861" s="297">
        <f t="shared" si="554"/>
        <v>174</v>
      </c>
      <c r="K4861" s="297">
        <f>J4861/POBLA!$B$12*100000</f>
        <v>44.215068190307747</v>
      </c>
      <c r="L4861" s="549">
        <f t="shared" si="546"/>
        <v>-0.62183754993342211</v>
      </c>
      <c r="M4861" s="401">
        <f>SUM(C4861,C4837,C4813,C4789,C4765,C4741,C4717)/POBLA!$B$12*100000</f>
        <v>309.50547733215427</v>
      </c>
    </row>
    <row r="4862" spans="1:13" s="360" customFormat="1" ht="15.75" thickBot="1" x14ac:dyDescent="0.3">
      <c r="A4862" s="367" t="s">
        <v>17</v>
      </c>
      <c r="B4862" s="266">
        <v>44095</v>
      </c>
      <c r="C4862" s="1">
        <v>599</v>
      </c>
      <c r="D4862" s="39">
        <f t="shared" si="552"/>
        <v>19449</v>
      </c>
      <c r="E4862" s="1">
        <v>6</v>
      </c>
      <c r="F4862" s="409">
        <f t="shared" si="555"/>
        <v>185</v>
      </c>
      <c r="G4862" s="168">
        <f>SUM(C4862,C4838,C4814,C4790,C4766,C4742,C4718,C4694,C4670,C4646,C4622,C4598,C4574,C4550)/POBLA!$B$13*100000</f>
        <v>458.66581455009145</v>
      </c>
      <c r="H4862" s="256">
        <f t="shared" si="545"/>
        <v>1.6565051714752315</v>
      </c>
      <c r="I4862" s="297">
        <f t="shared" si="553"/>
        <v>759.78229378112599</v>
      </c>
      <c r="J4862" s="297">
        <f t="shared" si="554"/>
        <v>616.71428571428567</v>
      </c>
      <c r="K4862" s="297">
        <f>J4862/POBLA!$B$13*100000</f>
        <v>30.985404776188048</v>
      </c>
      <c r="L4862" s="549">
        <f t="shared" si="546"/>
        <v>0.1028678304239401</v>
      </c>
      <c r="M4862" s="401">
        <f>SUM(C4862,C4838,C4814,C4790,C4766,C4742,C4718)/POBLA!$B$13*100000</f>
        <v>216.89783343331635</v>
      </c>
    </row>
    <row r="4863" spans="1:13" s="360" customFormat="1" ht="15.75" thickBot="1" x14ac:dyDescent="0.3">
      <c r="A4863" s="367" t="s">
        <v>23</v>
      </c>
      <c r="B4863" s="266">
        <v>44095</v>
      </c>
      <c r="C4863" s="1">
        <v>0</v>
      </c>
      <c r="D4863" s="39">
        <f t="shared" si="552"/>
        <v>70</v>
      </c>
      <c r="E4863" s="1"/>
      <c r="F4863" s="409">
        <f t="shared" si="555"/>
        <v>2</v>
      </c>
      <c r="G4863" s="168">
        <f>SUM(C4863,C4839,C4815,C4791,C4767,C4743,C4719,C4695,C4671,C4647,C4623,C4599,C4575,C4551)/POBLA!$B$14*100000</f>
        <v>-7.9283656308521244E-2</v>
      </c>
      <c r="H4863" s="256">
        <f t="shared" si="545"/>
        <v>-7.6923076923076927E-2</v>
      </c>
      <c r="I4863" s="297">
        <f t="shared" si="553"/>
        <v>6.0987427929631733E-3</v>
      </c>
      <c r="J4863" s="297">
        <f t="shared" si="554"/>
        <v>0.2857142857142857</v>
      </c>
      <c r="K4863" s="297">
        <f>J4863/POBLA!$B$14*100000</f>
        <v>2.2652473231006071E-2</v>
      </c>
      <c r="L4863" s="549">
        <f t="shared" si="546"/>
        <v>1.6666666666666665</v>
      </c>
      <c r="M4863" s="401">
        <f>SUM(C4863,C4839,C4815,C4791,C4767,C4743,C4719)/POBLA!$B$14*100000</f>
        <v>0.15856731261704249</v>
      </c>
    </row>
    <row r="4864" spans="1:13" s="360" customFormat="1" ht="15.75" thickBot="1" x14ac:dyDescent="0.3">
      <c r="A4864" s="367" t="s">
        <v>19</v>
      </c>
      <c r="B4864" s="266">
        <v>44095</v>
      </c>
      <c r="C4864" s="1">
        <v>211</v>
      </c>
      <c r="D4864" s="39">
        <f>C4864+D4840</f>
        <v>6223</v>
      </c>
      <c r="E4864" s="1">
        <v>13</v>
      </c>
      <c r="F4864" s="409">
        <f t="shared" si="555"/>
        <v>86</v>
      </c>
      <c r="G4864" s="168">
        <f>SUM(C4864,C4840,C4816,C4792,C4768,C4744,C4720,C4696,C4672,C4648,C4624,C4600,C4576,C4552)/POBLA!$B$15*100000</f>
        <v>340.93458844647375</v>
      </c>
      <c r="H4864" s="256">
        <f t="shared" si="545"/>
        <v>1.3589435774309724</v>
      </c>
      <c r="I4864" s="297">
        <f t="shared" si="553"/>
        <v>463.31086929340734</v>
      </c>
      <c r="J4864" s="297">
        <f t="shared" si="554"/>
        <v>169.14285714285714</v>
      </c>
      <c r="K4864" s="297">
        <f>J4864/POBLA!$B$15*100000</f>
        <v>25.471135330680521</v>
      </c>
      <c r="L4864" s="549">
        <f t="shared" si="546"/>
        <v>-9.6296296296296324E-2</v>
      </c>
      <c r="M4864" s="401">
        <f>SUM(C4864,C4840,C4816,C4792,C4768,C4744,C4720)/POBLA!$B$15*100000</f>
        <v>178.29794731476363</v>
      </c>
    </row>
    <row r="4865" spans="1:13" s="360" customFormat="1" ht="15.75" thickBot="1" x14ac:dyDescent="0.3">
      <c r="A4865" s="367" t="s">
        <v>18</v>
      </c>
      <c r="B4865" s="266">
        <v>44095</v>
      </c>
      <c r="C4865" s="1">
        <v>132</v>
      </c>
      <c r="D4865" s="39">
        <f>C4865+D4841</f>
        <v>10478</v>
      </c>
      <c r="E4865" s="1">
        <v>21</v>
      </c>
      <c r="F4865" s="409">
        <f t="shared" si="555"/>
        <v>216</v>
      </c>
      <c r="G4865" s="168">
        <f>SUM(C4865,C4841,C4817,C4793,C4769,C4745,C4721,C4697,C4673,C4649,C4625,C4601,C4577,C4553)/POBLA!$B$16*100000</f>
        <v>438.73142413825389</v>
      </c>
      <c r="H4865" s="256">
        <f t="shared" si="545"/>
        <v>1.3475760065735416</v>
      </c>
      <c r="I4865" s="297">
        <f t="shared" si="553"/>
        <v>591.22394049855086</v>
      </c>
      <c r="J4865" s="297">
        <f t="shared" si="554"/>
        <v>232</v>
      </c>
      <c r="K4865" s="297">
        <f>J4865/POBLA!$B$16*100000</f>
        <v>31.032222682949666</v>
      </c>
      <c r="L4865" s="549">
        <f t="shared" si="546"/>
        <v>1.9323671497584516E-2</v>
      </c>
      <c r="M4865" s="401">
        <f>SUM(C4865,C4841,C4817,C4793,C4769,C4745,C4721)/POBLA!$B$16*100000</f>
        <v>217.22555878064767</v>
      </c>
    </row>
    <row r="4866" spans="1:13" s="360" customFormat="1" ht="15.75" thickBot="1" x14ac:dyDescent="0.3">
      <c r="A4866" s="367" t="s">
        <v>34</v>
      </c>
      <c r="B4866" s="266">
        <v>44095</v>
      </c>
      <c r="C4866" s="1">
        <v>138</v>
      </c>
      <c r="D4866" s="39">
        <f>C4866+D4842</f>
        <v>9406</v>
      </c>
      <c r="E4866" s="1">
        <v>23</v>
      </c>
      <c r="F4866" s="409">
        <f>E4866+F4842</f>
        <v>194</v>
      </c>
      <c r="G4866" s="168">
        <f>SUM(C4866,C4842,C4818,C4794,C4770,C4746,C4722,C4698,C4674,C4650,C4626,C4602,C4578,C4554)/POBLA!$B$17*100000</f>
        <v>321.46936563331712</v>
      </c>
      <c r="H4866" s="256">
        <f t="shared" si="545"/>
        <v>1.5816925734024179</v>
      </c>
      <c r="I4866" s="297">
        <f t="shared" si="553"/>
        <v>508.46570819860415</v>
      </c>
      <c r="J4866" s="297">
        <f t="shared" si="554"/>
        <v>344.57142857142856</v>
      </c>
      <c r="K4866" s="297">
        <f>J4866/POBLA!$B$17*100000</f>
        <v>24.190687608260095</v>
      </c>
      <c r="L4866" s="549">
        <f t="shared" si="546"/>
        <v>-0.11305952930318419</v>
      </c>
      <c r="M4866" s="401">
        <f>SUM(C4866,C4842,C4818,C4794,C4770,C4746,C4722)/POBLA!$B$17*100000</f>
        <v>169.33481325782068</v>
      </c>
    </row>
    <row r="4867" spans="1:13" s="360" customFormat="1" ht="15.75" thickBot="1" x14ac:dyDescent="0.3">
      <c r="A4867" s="367" t="s">
        <v>35</v>
      </c>
      <c r="B4867" s="266">
        <v>44095</v>
      </c>
      <c r="C4867" s="1">
        <v>18</v>
      </c>
      <c r="D4867" s="39">
        <f t="shared" ref="D4867:D4873" si="556">C4867+D4843</f>
        <v>490</v>
      </c>
      <c r="E4867" s="1"/>
      <c r="F4867" s="409">
        <f>E4867+F4843</f>
        <v>21</v>
      </c>
      <c r="G4867" s="168">
        <f>SUM(C4867,C4843,C4819,C4795,C4771,C4747,C4723,C4699,C4675,C4651,C4627,C4603,C4579,C4555)/POBLA!$B$18*100000</f>
        <v>16.128681275497076</v>
      </c>
      <c r="H4867" s="256">
        <f t="shared" si="545"/>
        <v>0.47014925373134331</v>
      </c>
      <c r="I4867" s="297">
        <f t="shared" si="553"/>
        <v>7.5828874653456406</v>
      </c>
      <c r="J4867" s="297">
        <f t="shared" si="554"/>
        <v>10.428571428571429</v>
      </c>
      <c r="K4867" s="297">
        <f>J4867/POBLA!$B$18*100000</f>
        <v>1.3349135296046335</v>
      </c>
      <c r="L4867" s="549">
        <f t="shared" si="546"/>
        <v>-0.37735849056603765</v>
      </c>
      <c r="M4867" s="401">
        <f>SUM(C4867,C4843,C4819,C4795,C4771,C4747,C4723)/POBLA!$B$18*100000</f>
        <v>9.3443947072324338</v>
      </c>
    </row>
    <row r="4868" spans="1:13" s="360" customFormat="1" ht="15.75" thickBot="1" x14ac:dyDescent="0.3">
      <c r="A4868" s="367" t="s">
        <v>36</v>
      </c>
      <c r="B4868" s="266">
        <v>44095</v>
      </c>
      <c r="C4868" s="1">
        <v>83</v>
      </c>
      <c r="D4868" s="39">
        <f t="shared" si="556"/>
        <v>781</v>
      </c>
      <c r="E4868" s="1"/>
      <c r="F4868" s="409">
        <f t="shared" si="555"/>
        <v>0</v>
      </c>
      <c r="G4868" s="168">
        <f>SUM(C4868,C4844,C4820,C4796,C4772,C4748,C4724,C4700,C4676,C4652,C4628,C4604,C4580,C4556)/POBLA!$B$19*100000</f>
        <v>93.24687996726523</v>
      </c>
      <c r="H4868" s="256">
        <f t="shared" si="545"/>
        <v>1.7819548872180451</v>
      </c>
      <c r="I4868" s="297">
        <f t="shared" si="553"/>
        <v>166.1617334755027</v>
      </c>
      <c r="J4868" s="297">
        <f t="shared" si="554"/>
        <v>49.857142857142854</v>
      </c>
      <c r="K4868" s="297">
        <f>J4868/POBLA!$B$19*100000</f>
        <v>9.8080654335670783</v>
      </c>
      <c r="L4868" s="549">
        <f t="shared" si="546"/>
        <v>-1.7919999999999998</v>
      </c>
      <c r="M4868" s="401">
        <f>SUM(C4868,C4844,C4820,C4796,C4772,C4748,C4724)/POBLA!$B$19*100000</f>
        <v>68.656458034969546</v>
      </c>
    </row>
    <row r="4869" spans="1:13" s="360" customFormat="1" ht="15.75" thickBot="1" x14ac:dyDescent="0.3">
      <c r="A4869" s="367" t="s">
        <v>37</v>
      </c>
      <c r="B4869" s="266">
        <v>44095</v>
      </c>
      <c r="C4869" s="1">
        <v>95</v>
      </c>
      <c r="D4869" s="39">
        <f t="shared" si="556"/>
        <v>3842</v>
      </c>
      <c r="E4869" s="1">
        <v>1</v>
      </c>
      <c r="F4869" s="409">
        <f>E4869+F4845</f>
        <v>45</v>
      </c>
      <c r="G4869" s="168">
        <f>SUM(C4869,C4845,C4821,C4797,C4773,C4749,C4725,C4701,C4677,C4653,C4629,C4605,C4581,C4557)/POBLA!$B$20*100000</f>
        <v>415.64350912501578</v>
      </c>
      <c r="H4869" s="256">
        <f t="shared" si="545"/>
        <v>1.6101694915254237</v>
      </c>
      <c r="I4869" s="297">
        <f t="shared" si="553"/>
        <v>669.25649774366946</v>
      </c>
      <c r="J4869" s="297">
        <f t="shared" si="554"/>
        <v>104.85714285714286</v>
      </c>
      <c r="K4869" s="297">
        <f>J4869/POBLA!$B$20*100000</f>
        <v>28.67315185129338</v>
      </c>
      <c r="L4869" s="549">
        <f t="shared" si="546"/>
        <v>6.61577608142494E-2</v>
      </c>
      <c r="M4869" s="401">
        <f>SUM(C4869,C4845,C4821,C4797,C4773,C4749,C4725)/POBLA!$B$20*100000</f>
        <v>200.71206295905367</v>
      </c>
    </row>
    <row r="4870" spans="1:13" s="360" customFormat="1" ht="15.75" thickBot="1" x14ac:dyDescent="0.3">
      <c r="A4870" s="367" t="s">
        <v>22</v>
      </c>
      <c r="B4870" s="266">
        <v>44095</v>
      </c>
      <c r="C4870" s="1">
        <v>1215</v>
      </c>
      <c r="D4870" s="39">
        <f t="shared" si="556"/>
        <v>27610</v>
      </c>
      <c r="E4870" s="1">
        <v>27</v>
      </c>
      <c r="F4870" s="409">
        <f>E4870+F4846</f>
        <v>298</v>
      </c>
      <c r="G4870" s="168">
        <f>SUM(C4870,C4846,C4822,C4798,C4774,C4750,C4726,C4702,C4678,C4654,C4630,C4606,C4582,C4558)/POBLA!$B$21*100000</f>
        <v>423.42279673952567</v>
      </c>
      <c r="H4870" s="256">
        <f t="shared" si="545"/>
        <v>1.9676741130091984</v>
      </c>
      <c r="I4870" s="297">
        <f t="shared" si="553"/>
        <v>833.15807600232029</v>
      </c>
      <c r="J4870" s="297">
        <f t="shared" si="554"/>
        <v>1163.2857142857142</v>
      </c>
      <c r="K4870" s="297">
        <f>J4870/POBLA!$B$21*100000</f>
        <v>32.894463106050083</v>
      </c>
      <c r="L4870" s="549">
        <f t="shared" si="546"/>
        <v>-0.19206558336993118</v>
      </c>
      <c r="M4870" s="401">
        <f>SUM(C4870,C4846,C4822,C4798,C4774,C4750,C4726)/POBLA!$B$21*100000</f>
        <v>230.26124174235059</v>
      </c>
    </row>
    <row r="4871" spans="1:13" s="360" customFormat="1" ht="15.75" thickBot="1" x14ac:dyDescent="0.3">
      <c r="A4871" s="367" t="s">
        <v>38</v>
      </c>
      <c r="B4871" s="266">
        <v>44095</v>
      </c>
      <c r="C4871" s="1">
        <v>53</v>
      </c>
      <c r="D4871" s="39">
        <f t="shared" si="556"/>
        <v>2425</v>
      </c>
      <c r="E4871" s="1">
        <v>2</v>
      </c>
      <c r="F4871" s="409">
        <f t="shared" si="555"/>
        <v>37</v>
      </c>
      <c r="G4871" s="168">
        <f>SUM(C4871,C4847,C4823,C4799,C4775,C4751,C4727,C4703,C4679,C4655,C4631,C4607,C4583,C4559)/POBLA!$B$22*100000</f>
        <v>110.59855077056116</v>
      </c>
      <c r="H4871" s="256">
        <f t="shared" si="545"/>
        <v>1.4236842105263159</v>
      </c>
      <c r="I4871" s="297">
        <f t="shared" si="553"/>
        <v>157.45741043914103</v>
      </c>
      <c r="J4871" s="297">
        <f t="shared" si="554"/>
        <v>73.142857142857139</v>
      </c>
      <c r="K4871" s="297">
        <f>J4871/POBLA!$B$22*100000</f>
        <v>7.4764269863384358</v>
      </c>
      <c r="L4871" s="549">
        <f t="shared" si="546"/>
        <v>0.10175438596491226</v>
      </c>
      <c r="M4871" s="401">
        <f>SUM(C4871,C4847,C4823,C4799,C4775,C4751,C4727)/POBLA!$B$22*100000</f>
        <v>52.334988904369055</v>
      </c>
    </row>
    <row r="4872" spans="1:13" s="360" customFormat="1" ht="15.75" thickBot="1" x14ac:dyDescent="0.3">
      <c r="A4872" s="367" t="s">
        <v>39</v>
      </c>
      <c r="B4872" s="266">
        <v>44095</v>
      </c>
      <c r="C4872" s="1">
        <v>81</v>
      </c>
      <c r="D4872" s="39">
        <f t="shared" si="556"/>
        <v>3278</v>
      </c>
      <c r="E4872" s="1">
        <v>1</v>
      </c>
      <c r="F4872" s="409">
        <f>E4872+F4848</f>
        <v>55</v>
      </c>
      <c r="G4872" s="168">
        <f>SUM(C4872,C4848,C4824,C4800,C4776,C4752,C4728,C4704,C4680,C4656,C4632,C4608,C4584,C4560)/POBLA!$B$23*100000</f>
        <v>496.52208335689647</v>
      </c>
      <c r="H4872" s="256">
        <f t="shared" si="545"/>
        <v>1.3549382716049383</v>
      </c>
      <c r="I4872" s="297">
        <f t="shared" si="553"/>
        <v>672.75677343727637</v>
      </c>
      <c r="J4872" s="297">
        <f t="shared" si="554"/>
        <v>71.571428571428569</v>
      </c>
      <c r="K4872" s="297">
        <f>J4872/POBLA!$B$23*100000</f>
        <v>40.47470936573464</v>
      </c>
      <c r="L4872" s="549">
        <f t="shared" si="546"/>
        <v>-0.32891246684350128</v>
      </c>
      <c r="M4872" s="401">
        <f>SUM(C4872,C4848,C4824,C4800,C4776,C4752,C4728)/POBLA!$B$23*100000</f>
        <v>283.32296556014251</v>
      </c>
    </row>
    <row r="4873" spans="1:13" s="360" customFormat="1" ht="15.75" thickBot="1" x14ac:dyDescent="0.3">
      <c r="A4873" s="369" t="s">
        <v>40</v>
      </c>
      <c r="B4873" s="266">
        <v>44095</v>
      </c>
      <c r="C4873" s="1">
        <v>208</v>
      </c>
      <c r="D4873" s="176">
        <f t="shared" si="556"/>
        <v>9733</v>
      </c>
      <c r="E4873" s="1"/>
      <c r="F4873" s="476">
        <f>E4873+F4849</f>
        <v>101</v>
      </c>
      <c r="G4873" s="177">
        <f>SUM(C4873,C4849,C4825,C4801,C4777,C4753,C4729,C4705,C4681,C4657,C4633,C4609,C4585,C4561)/POBLA!$B$24*100000</f>
        <v>310.977567128668</v>
      </c>
      <c r="H4873" s="402">
        <f t="shared" si="545"/>
        <v>1.5993930197268589</v>
      </c>
      <c r="I4873" s="403">
        <f t="shared" si="553"/>
        <v>497.37535015723228</v>
      </c>
      <c r="J4873" s="403">
        <f t="shared" si="554"/>
        <v>354.85714285714283</v>
      </c>
      <c r="K4873" s="403">
        <f>J4873/POBLA!$B$24*100000</f>
        <v>20.939774376460051</v>
      </c>
      <c r="L4873" s="550">
        <f t="shared" si="546"/>
        <v>0.10839913854989236</v>
      </c>
      <c r="M4873" s="405">
        <f>SUM(C4873,C4849,C4825,C4801,C4777,C4753,C4729)/POBLA!$B$24*100000</f>
        <v>146.57842063522037</v>
      </c>
    </row>
    <row r="4874" spans="1:13" s="360" customFormat="1" ht="15.75" thickBot="1" x14ac:dyDescent="0.3">
      <c r="A4874" s="363" t="s">
        <v>16</v>
      </c>
      <c r="B4874" s="266">
        <v>44096</v>
      </c>
      <c r="C4874" s="1">
        <v>5344</v>
      </c>
      <c r="D4874" s="174">
        <f>C4874+D4850</f>
        <v>377324</v>
      </c>
      <c r="E4874" s="1">
        <f>179+158</f>
        <v>337</v>
      </c>
      <c r="F4874" s="475">
        <f>E4874+F4850</f>
        <v>8290</v>
      </c>
      <c r="G4874" s="175">
        <f>SUM(C4874,C4850,C4826,C4802,C4778,C4754,C4730,C4706,C4682,C4658,C4634,C4610,C4586,C4562)/POBLA!$B$1*100000</f>
        <v>418.07998692901447</v>
      </c>
      <c r="H4874" s="300">
        <f t="shared" si="545"/>
        <v>0.91345722684470132</v>
      </c>
      <c r="I4874" s="301">
        <f>G4874*H4874</f>
        <v>381.89818545944655</v>
      </c>
      <c r="J4874" s="301">
        <f>AVERAGE(C4874,C4850,C4826,C4802,C4778,C4754,C4730)</f>
        <v>4953</v>
      </c>
      <c r="K4874" s="301">
        <f>J4874/POBLA!$B$1*100000</f>
        <v>28.236475608969791</v>
      </c>
      <c r="L4874" s="548">
        <f t="shared" si="546"/>
        <v>0.10329755592913492</v>
      </c>
      <c r="M4874" s="400">
        <f>SUM(C4874,C4850,C4826,C4802,C4778,C4754,C4730)/POBLA!$B$1*100000</f>
        <v>197.65532926278854</v>
      </c>
    </row>
    <row r="4875" spans="1:13" s="360" customFormat="1" ht="15.75" thickBot="1" x14ac:dyDescent="0.3">
      <c r="A4875" s="367" t="s">
        <v>43</v>
      </c>
      <c r="B4875" s="266">
        <v>44096</v>
      </c>
      <c r="C4875" s="1">
        <v>927</v>
      </c>
      <c r="D4875" s="39">
        <f t="shared" ref="D4875:D4887" si="557">C4875+D4851</f>
        <v>118879</v>
      </c>
      <c r="E4875" s="1">
        <f>24+20</f>
        <v>44</v>
      </c>
      <c r="F4875" s="409">
        <f>E4875+F4851</f>
        <v>2977</v>
      </c>
      <c r="G4875" s="168">
        <f>SUM(C4875,C4851,C4827,C4803,C4779,C4755,C4731,C4707,C4683,C4659,C4635,C4611,C4587,C4563)/POBLA!$B$2*100000</f>
        <v>441.20812343163033</v>
      </c>
      <c r="H4875" s="256">
        <f t="shared" si="545"/>
        <v>0.76493799323562572</v>
      </c>
      <c r="I4875" s="297">
        <f t="shared" ref="I4875:I4897" si="558">G4875*H4875</f>
        <v>337.49685653704756</v>
      </c>
      <c r="J4875" s="297">
        <f t="shared" ref="J4875:J4897" si="559">AVERAGE(C4875,C4851,C4827,C4803,C4779,C4755,C4731)</f>
        <v>860.42857142857144</v>
      </c>
      <c r="K4875" s="297">
        <f>J4875/POBLA!$B$2*100000</f>
        <v>27.975539819230544</v>
      </c>
      <c r="L4875" s="549">
        <f t="shared" si="546"/>
        <v>0.20193454352722939</v>
      </c>
      <c r="M4875" s="401">
        <f>SUM(C4875,C4851,C4827,C4803,C4779,C4755,C4731)/POBLA!$B$2*100000</f>
        <v>195.82877873461379</v>
      </c>
    </row>
    <row r="4876" spans="1:13" s="360" customFormat="1" ht="15.75" thickBot="1" x14ac:dyDescent="0.3">
      <c r="A4876" s="367" t="s">
        <v>28</v>
      </c>
      <c r="B4876" s="266">
        <v>44096</v>
      </c>
      <c r="C4876" s="1">
        <v>-5</v>
      </c>
      <c r="D4876" s="39">
        <f t="shared" si="557"/>
        <v>187</v>
      </c>
      <c r="E4876" s="1"/>
      <c r="F4876" s="409">
        <f>E4876+F4852</f>
        <v>0</v>
      </c>
      <c r="G4876" s="168">
        <f>SUM(C4876,C4852,C4828,C4804,C4780,C4756,C4732,C4708,C4684,C4660,C4636,C4612,C4588,C4564)/POBLA!$B$3*100000</f>
        <v>21.904592261661186</v>
      </c>
      <c r="H4876" s="256">
        <f t="shared" si="545"/>
        <v>2.84375</v>
      </c>
      <c r="I4876" s="297">
        <f t="shared" si="558"/>
        <v>62.291184244099</v>
      </c>
      <c r="J4876" s="297">
        <f t="shared" si="559"/>
        <v>7.7142857142857144</v>
      </c>
      <c r="K4876" s="297">
        <f>J4876/POBLA!$B$3*100000</f>
        <v>1.8569042105646845</v>
      </c>
      <c r="L4876" s="549">
        <f t="shared" si="546"/>
        <v>-0.45945945945945943</v>
      </c>
      <c r="M4876" s="401">
        <f>SUM(C4876,C4852,C4828,C4804,C4780,C4756,C4732)/POBLA!$B$3*100000</f>
        <v>12.998329473952792</v>
      </c>
    </row>
    <row r="4877" spans="1:13" s="360" customFormat="1" ht="15.75" thickBot="1" x14ac:dyDescent="0.3">
      <c r="A4877" s="367" t="s">
        <v>15</v>
      </c>
      <c r="B4877" s="266">
        <v>44096</v>
      </c>
      <c r="C4877" s="1">
        <v>94</v>
      </c>
      <c r="D4877" s="39">
        <f t="shared" si="557"/>
        <v>7573</v>
      </c>
      <c r="E4877" s="1"/>
      <c r="F4877" s="409">
        <f t="shared" ref="F4877:F4895" si="560">E4877+F4853</f>
        <v>262</v>
      </c>
      <c r="G4877" s="168">
        <f>SUM(C4877,C4853,C4829,C4805,C4781,C4757,C4733,C4709,C4685,C4661,C4637,C4613,C4589,C4565)/POBLA!$B$4*100000</f>
        <v>118.13628593796308</v>
      </c>
      <c r="H4877" s="256">
        <f t="shared" si="545"/>
        <v>1.2028740490278951</v>
      </c>
      <c r="I4877" s="297">
        <f t="shared" si="558"/>
        <v>142.10307260331484</v>
      </c>
      <c r="J4877" s="297">
        <f t="shared" si="559"/>
        <v>99.142857142857139</v>
      </c>
      <c r="K4877" s="297">
        <f>J4877/POBLA!$B$4*100000</f>
        <v>8.2307582010788458</v>
      </c>
      <c r="L4877" s="549">
        <f t="shared" si="546"/>
        <v>4.8010973936899903E-2</v>
      </c>
      <c r="M4877" s="401">
        <f>SUM(C4877,C4853,C4829,C4805,C4781,C4757,C4733)/POBLA!$B$4*100000</f>
        <v>57.615307407551917</v>
      </c>
    </row>
    <row r="4878" spans="1:13" s="360" customFormat="1" ht="15.75" thickBot="1" x14ac:dyDescent="0.3">
      <c r="A4878" s="367" t="s">
        <v>29</v>
      </c>
      <c r="B4878" s="266">
        <v>44096</v>
      </c>
      <c r="C4878" s="1">
        <v>132</v>
      </c>
      <c r="D4878" s="39">
        <f t="shared" si="557"/>
        <v>2555</v>
      </c>
      <c r="E4878" s="1">
        <f>1+1</f>
        <v>2</v>
      </c>
      <c r="F4878" s="409">
        <f t="shared" si="560"/>
        <v>27</v>
      </c>
      <c r="G4878" s="168">
        <f>SUM(C4878,C4854,C4830,C4806,C4782,C4758,C4734,C4710,C4686,C4662,C4638,C4614,C4590,C4566)/POBLA!$B$5*100000</f>
        <v>199.19417635712136</v>
      </c>
      <c r="H4878" s="256">
        <f t="shared" si="545"/>
        <v>1.6639676113360324</v>
      </c>
      <c r="I4878" s="297">
        <f t="shared" si="558"/>
        <v>331.45265782500763</v>
      </c>
      <c r="J4878" s="297">
        <f t="shared" si="559"/>
        <v>100</v>
      </c>
      <c r="K4878" s="297">
        <f>J4878/POBLA!$B$5*100000</f>
        <v>16.155245446644074</v>
      </c>
      <c r="L4878" s="549">
        <f t="shared" si="546"/>
        <v>-0.31332082551594742</v>
      </c>
      <c r="M4878" s="401">
        <f>SUM(C4878,C4854,C4830,C4806,C4782,C4758,C4734)/POBLA!$B$5*100000</f>
        <v>113.0867181265085</v>
      </c>
    </row>
    <row r="4879" spans="1:13" s="360" customFormat="1" ht="15.75" thickBot="1" x14ac:dyDescent="0.3">
      <c r="A4879" s="367" t="s">
        <v>20</v>
      </c>
      <c r="B4879" s="266">
        <v>44096</v>
      </c>
      <c r="C4879" s="1">
        <v>1152</v>
      </c>
      <c r="D4879" s="39">
        <f t="shared" si="557"/>
        <v>21130</v>
      </c>
      <c r="E4879" s="1">
        <f>4+5</f>
        <v>9</v>
      </c>
      <c r="F4879" s="409">
        <f t="shared" si="560"/>
        <v>269</v>
      </c>
      <c r="G4879" s="168">
        <f>SUM(C4879,C4855,C4831,C4807,C4783,C4759,C4735,C4711,C4687,C4663,C4639,C4615,C4591,C4567)/POBLA!$B$6*100000</f>
        <v>815.57743078387693</v>
      </c>
      <c r="H4879" s="256">
        <f t="shared" si="545"/>
        <v>1.6390532544378698</v>
      </c>
      <c r="I4879" s="297">
        <f t="shared" si="558"/>
        <v>1336.77484217239</v>
      </c>
      <c r="J4879" s="297">
        <f t="shared" si="559"/>
        <v>776.71428571428567</v>
      </c>
      <c r="K4879" s="297">
        <f>J4879/POBLA!$B$6*100000</f>
        <v>69.299927972430936</v>
      </c>
      <c r="L4879" s="549">
        <f t="shared" si="546"/>
        <v>-0.46787257019438444</v>
      </c>
      <c r="M4879" s="401">
        <f>SUM(C4879,C4855,C4831,C4807,C4783,C4759,C4735)/POBLA!$B$6*100000</f>
        <v>485.09949580701658</v>
      </c>
    </row>
    <row r="4880" spans="1:13" s="360" customFormat="1" ht="15.75" thickBot="1" x14ac:dyDescent="0.3">
      <c r="A4880" s="367" t="s">
        <v>30</v>
      </c>
      <c r="B4880" s="266">
        <v>44096</v>
      </c>
      <c r="C4880" s="1">
        <v>30</v>
      </c>
      <c r="D4880" s="39">
        <f t="shared" si="557"/>
        <v>1059</v>
      </c>
      <c r="E4880" s="1"/>
      <c r="F4880" s="409">
        <f>E4880+F4856</f>
        <v>15</v>
      </c>
      <c r="G4880" s="168">
        <f>SUM(C4880,C4856,C4832,C4808,C4784,C4760,C4736,C4712,C4688,C4664,C4640,C4616,C4592,C4568)/POBLA!$B$7*100000</f>
        <v>17.364943025435785</v>
      </c>
      <c r="H4880" s="256">
        <f t="shared" si="545"/>
        <v>4.4726027397260273</v>
      </c>
      <c r="I4880" s="297">
        <f t="shared" si="558"/>
        <v>77.666491750750467</v>
      </c>
      <c r="J4880" s="297">
        <f t="shared" si="559"/>
        <v>40.142857142857146</v>
      </c>
      <c r="K4880" s="297">
        <f>J4880/POBLA!$B$7*100000</f>
        <v>1.0675014198528672</v>
      </c>
      <c r="L4880" s="549">
        <f t="shared" si="546"/>
        <v>0.2446236559139785</v>
      </c>
      <c r="M4880" s="401">
        <f>SUM(C4880,C4856,C4832,C4808,C4784,C4760,C4736)/POBLA!$B$7*100000</f>
        <v>7.4725099389700711</v>
      </c>
    </row>
    <row r="4881" spans="1:13" ht="15.75" thickBot="1" x14ac:dyDescent="0.3">
      <c r="A4881" s="367" t="s">
        <v>31</v>
      </c>
      <c r="B4881" s="266">
        <v>44096</v>
      </c>
      <c r="C4881" s="1">
        <v>121</v>
      </c>
      <c r="D4881" s="39">
        <f t="shared" si="557"/>
        <v>6412</v>
      </c>
      <c r="E4881" s="1">
        <f>6+2</f>
        <v>8</v>
      </c>
      <c r="F4881" s="409">
        <f>E4881+F4857</f>
        <v>119</v>
      </c>
      <c r="G4881" s="168">
        <f>SUM(C4881,C4857,C4833,C4809,C4785,C4761,C4737,C4713,C4689,C4665,C4641,C4617,C4593,C4569)/POBLA!$B$8*100000</f>
        <v>132.39910791140588</v>
      </c>
      <c r="H4881" s="256">
        <f t="shared" si="545"/>
        <v>0.8873307543520309</v>
      </c>
      <c r="I4881" s="297">
        <f t="shared" si="558"/>
        <v>117.48180029856373</v>
      </c>
      <c r="J4881" s="297">
        <f t="shared" si="559"/>
        <v>130.42857142857142</v>
      </c>
      <c r="K4881" s="297">
        <f>J4881/POBLA!$B$8*100000</f>
        <v>9.4106956421263952</v>
      </c>
      <c r="L4881" s="549">
        <f t="shared" si="546"/>
        <v>9.761388286334105E-3</v>
      </c>
      <c r="M4881" s="401">
        <f>SUM(C4881,C4857,C4833,C4809,C4785,C4761,C4737)/POBLA!$B$8*100000</f>
        <v>65.874869494884777</v>
      </c>
    </row>
    <row r="4882" spans="1:13" s="360" customFormat="1" ht="15.75" thickBot="1" x14ac:dyDescent="0.3">
      <c r="A4882" s="367" t="s">
        <v>41</v>
      </c>
      <c r="B4882" s="266">
        <v>44096</v>
      </c>
      <c r="C4882" s="1">
        <v>0</v>
      </c>
      <c r="D4882" s="39">
        <f t="shared" si="557"/>
        <v>101</v>
      </c>
      <c r="E4882" s="1"/>
      <c r="F4882" s="409">
        <f>E4882+F4858</f>
        <v>1</v>
      </c>
      <c r="G4882" s="168">
        <f>SUM(C4882,C4858,C4834,C4810,C4786,C4762,C4738,C4714,C4690,C4666,C4642,C4618,C4594,C4570)/POBLA!$B$9*100000</f>
        <v>1.8176019881261019</v>
      </c>
      <c r="H4882" s="256">
        <f t="shared" si="545"/>
        <v>1.5714285714285714</v>
      </c>
      <c r="I4882" s="297">
        <f t="shared" si="558"/>
        <v>2.8562316956267315</v>
      </c>
      <c r="J4882" s="297">
        <f t="shared" si="559"/>
        <v>0.42857142857142855</v>
      </c>
      <c r="K4882" s="297">
        <f>J4882/POBLA!$B$9*100000</f>
        <v>7.0815661875042929E-2</v>
      </c>
      <c r="L4882" s="549">
        <f t="shared" si="546"/>
        <v>0.625</v>
      </c>
      <c r="M4882" s="401">
        <f>SUM(C4882,C4858,C4834,C4810,C4786,C4762,C4738)/POBLA!$B$9*100000</f>
        <v>0.49570963312530053</v>
      </c>
    </row>
    <row r="4883" spans="1:13" s="360" customFormat="1" ht="15.75" thickBot="1" x14ac:dyDescent="0.3">
      <c r="A4883" s="367" t="s">
        <v>32</v>
      </c>
      <c r="B4883" s="266">
        <v>44096</v>
      </c>
      <c r="C4883" s="1">
        <v>99</v>
      </c>
      <c r="D4883" s="39">
        <f t="shared" si="557"/>
        <v>14350</v>
      </c>
      <c r="E4883" s="1">
        <f>8+5</f>
        <v>13</v>
      </c>
      <c r="F4883" s="409">
        <f t="shared" si="560"/>
        <v>351</v>
      </c>
      <c r="G4883" s="168">
        <f>SUM(C4883,C4859,C4835,C4811,C4787,C4763,C4739,C4715,C4691,C4667,C4643,C4619,C4595,C4571)/POBLA!$B$10*100000</f>
        <v>463.88482787875176</v>
      </c>
      <c r="H4883" s="256">
        <f t="shared" si="545"/>
        <v>0.90853658536585369</v>
      </c>
      <c r="I4883" s="297">
        <f t="shared" si="558"/>
        <v>421.45633752398788</v>
      </c>
      <c r="J4883" s="297">
        <f t="shared" si="559"/>
        <v>231.42857142857142</v>
      </c>
      <c r="K4883" s="297">
        <f>J4883/POBLA!$B$10*100000</f>
        <v>30.021309570293134</v>
      </c>
      <c r="L4883" s="549">
        <f t="shared" si="546"/>
        <v>0.17177914110429449</v>
      </c>
      <c r="M4883" s="401">
        <f>SUM(C4883,C4859,C4835,C4811,C4787,C4763,C4739)/POBLA!$B$10*100000</f>
        <v>210.14916699205196</v>
      </c>
    </row>
    <row r="4884" spans="1:13" s="360" customFormat="1" ht="15.75" thickBot="1" x14ac:dyDescent="0.3">
      <c r="A4884" s="367" t="s">
        <v>33</v>
      </c>
      <c r="B4884" s="266">
        <v>44096</v>
      </c>
      <c r="C4884" s="1">
        <v>22</v>
      </c>
      <c r="D4884" s="39">
        <f t="shared" si="557"/>
        <v>608</v>
      </c>
      <c r="E4884" s="1"/>
      <c r="F4884" s="409">
        <f t="shared" si="560"/>
        <v>4</v>
      </c>
      <c r="G4884" s="168">
        <f>SUM(C4884,C4860,C4836,C4812,C4788,C4764,C4740,C4716,C4692,C4668,C4644,C4620,C4596,C4572)/POBLA!$B$11*100000</f>
        <v>100.7175778678005</v>
      </c>
      <c r="H4884" s="256">
        <f t="shared" si="545"/>
        <v>6.8113207547169807</v>
      </c>
      <c r="I4884" s="297">
        <f t="shared" si="558"/>
        <v>686.01972849577317</v>
      </c>
      <c r="J4884" s="297">
        <f t="shared" si="559"/>
        <v>20.285714285714285</v>
      </c>
      <c r="K4884" s="297">
        <f>J4884/POBLA!$B$11*100000</f>
        <v>5.6596343716769573</v>
      </c>
      <c r="L4884" s="549">
        <f t="shared" si="546"/>
        <v>0.35159817351598177</v>
      </c>
      <c r="M4884" s="401">
        <f>SUM(C4884,C4860,C4836,C4812,C4788,C4764,C4740)/POBLA!$B$11*100000</f>
        <v>39.6174406017387</v>
      </c>
    </row>
    <row r="4885" spans="1:13" s="360" customFormat="1" ht="15.75" thickBot="1" x14ac:dyDescent="0.3">
      <c r="A4885" s="367" t="s">
        <v>21</v>
      </c>
      <c r="B4885" s="266">
        <v>44096</v>
      </c>
      <c r="C4885" s="1">
        <v>120</v>
      </c>
      <c r="D4885" s="39">
        <f t="shared" si="557"/>
        <v>4220</v>
      </c>
      <c r="E4885" s="1"/>
      <c r="F4885" s="409">
        <f t="shared" si="560"/>
        <v>101</v>
      </c>
      <c r="G4885" s="168">
        <f>SUM(C4885,C4861,C4837,C4813,C4789,C4765,C4741,C4717,C4693,C4669,C4645,C4621,C4597,C4573)/POBLA!$B$12*100000</f>
        <v>509.48972253774167</v>
      </c>
      <c r="H4885" s="256">
        <f t="shared" si="545"/>
        <v>1.9315992292870905</v>
      </c>
      <c r="I4885" s="297">
        <f t="shared" si="558"/>
        <v>984.12995538359542</v>
      </c>
      <c r="J4885" s="297">
        <f t="shared" si="559"/>
        <v>173.42857142857142</v>
      </c>
      <c r="K4885" s="297">
        <f>J4885/POBLA!$B$12*100000</f>
        <v>44.069862711850256</v>
      </c>
      <c r="L4885" s="549">
        <f t="shared" si="546"/>
        <v>-0.53476611883691527</v>
      </c>
      <c r="M4885" s="401">
        <f>SUM(C4885,C4861,C4837,C4813,C4789,C4765,C4741)/POBLA!$B$12*100000</f>
        <v>308.4890389829518</v>
      </c>
    </row>
    <row r="4886" spans="1:13" s="360" customFormat="1" ht="15.75" thickBot="1" x14ac:dyDescent="0.3">
      <c r="A4886" s="367" t="s">
        <v>17</v>
      </c>
      <c r="B4886" s="266">
        <v>44096</v>
      </c>
      <c r="C4886" s="1">
        <v>426</v>
      </c>
      <c r="D4886" s="39">
        <f t="shared" si="557"/>
        <v>19875</v>
      </c>
      <c r="E4886" s="1">
        <f>5+5</f>
        <v>10</v>
      </c>
      <c r="F4886" s="409">
        <f t="shared" si="560"/>
        <v>195</v>
      </c>
      <c r="G4886" s="168">
        <f>SUM(C4886,C4862,C4838,C4814,C4790,C4766,C4742,C4718,C4694,C4670,C4646,C4622,C4598,C4574)/POBLA!$B$13*100000</f>
        <v>454.14396951673535</v>
      </c>
      <c r="H4886" s="256">
        <f t="shared" si="545"/>
        <v>1.5684539302446643</v>
      </c>
      <c r="I4886" s="297">
        <f t="shared" si="558"/>
        <v>712.30389388543654</v>
      </c>
      <c r="J4886" s="297">
        <f t="shared" si="559"/>
        <v>587.71428571428567</v>
      </c>
      <c r="K4886" s="297">
        <f>J4886/POBLA!$B$13*100000</f>
        <v>29.528365820995514</v>
      </c>
      <c r="L4886" s="549">
        <f t="shared" si="546"/>
        <v>0.16467005076142127</v>
      </c>
      <c r="M4886" s="401">
        <f>SUM(C4886,C4862,C4838,C4814,C4790,C4766,C4742)/POBLA!$B$13*100000</f>
        <v>206.69856074696861</v>
      </c>
    </row>
    <row r="4887" spans="1:13" s="360" customFormat="1" ht="15.75" thickBot="1" x14ac:dyDescent="0.3">
      <c r="A4887" s="367" t="s">
        <v>23</v>
      </c>
      <c r="B4887" s="266">
        <v>44096</v>
      </c>
      <c r="C4887" s="1">
        <v>8</v>
      </c>
      <c r="D4887" s="39">
        <f t="shared" si="557"/>
        <v>78</v>
      </c>
      <c r="E4887" s="1"/>
      <c r="F4887" s="409">
        <f t="shared" si="560"/>
        <v>2</v>
      </c>
      <c r="G4887" s="168">
        <f>SUM(C4887,C4863,C4839,C4815,C4791,C4767,C4743,C4719,C4695,C4671,C4647,C4623,C4599,C4575)/POBLA!$B$14*100000</f>
        <v>0.71355290677669125</v>
      </c>
      <c r="H4887" s="256">
        <f t="shared" si="545"/>
        <v>0.9</v>
      </c>
      <c r="I4887" s="297">
        <f t="shared" si="558"/>
        <v>0.64219761609902215</v>
      </c>
      <c r="J4887" s="297">
        <f t="shared" si="559"/>
        <v>2.5714285714285716</v>
      </c>
      <c r="K4887" s="297">
        <f>J4887/POBLA!$B$14*100000</f>
        <v>0.20387225907905465</v>
      </c>
      <c r="L4887" s="549">
        <f t="shared" si="546"/>
        <v>3</v>
      </c>
      <c r="M4887" s="401">
        <f>SUM(C4887,C4863,C4839,C4815,C4791,C4767,C4743)/POBLA!$B$14*100000</f>
        <v>1.4271058135533825</v>
      </c>
    </row>
    <row r="4888" spans="1:13" s="360" customFormat="1" ht="15.75" thickBot="1" x14ac:dyDescent="0.3">
      <c r="A4888" s="367" t="s">
        <v>19</v>
      </c>
      <c r="B4888" s="266">
        <v>44096</v>
      </c>
      <c r="C4888" s="1">
        <v>218</v>
      </c>
      <c r="D4888" s="39">
        <f>C4888+D4864</f>
        <v>6441</v>
      </c>
      <c r="E4888" s="1">
        <f>4+2</f>
        <v>6</v>
      </c>
      <c r="F4888" s="409">
        <f t="shared" si="560"/>
        <v>92</v>
      </c>
      <c r="G4888" s="168">
        <f>SUM(C4888,C4864,C4840,C4816,C4792,C4768,C4744,C4720,C4696,C4672,C4648,C4624,C4600,C4576)/POBLA!$B$15*100000</f>
        <v>360.21004221023196</v>
      </c>
      <c r="H4888" s="256">
        <f t="shared" si="545"/>
        <v>1.4638922888616892</v>
      </c>
      <c r="I4888" s="297">
        <f t="shared" si="558"/>
        <v>527.30870316210212</v>
      </c>
      <c r="J4888" s="297">
        <f t="shared" si="559"/>
        <v>183.14285714285714</v>
      </c>
      <c r="K4888" s="297">
        <f>J4888/POBLA!$B$15*100000</f>
        <v>27.579388086091576</v>
      </c>
      <c r="L4888" s="549">
        <f t="shared" si="546"/>
        <v>-0.15495495495495493</v>
      </c>
      <c r="M4888" s="401">
        <f>SUM(C4888,C4864,C4840,C4816,C4792,C4768,C4744)/POBLA!$B$15*100000</f>
        <v>193.05571660264104</v>
      </c>
    </row>
    <row r="4889" spans="1:13" s="360" customFormat="1" ht="15.75" thickBot="1" x14ac:dyDescent="0.3">
      <c r="A4889" s="367" t="s">
        <v>18</v>
      </c>
      <c r="B4889" s="266">
        <v>44096</v>
      </c>
      <c r="C4889" s="1">
        <v>251</v>
      </c>
      <c r="D4889" s="39">
        <f>C4889+D4865</f>
        <v>10729</v>
      </c>
      <c r="E4889" s="1">
        <f>8+4</f>
        <v>12</v>
      </c>
      <c r="F4889" s="409">
        <f t="shared" si="560"/>
        <v>228</v>
      </c>
      <c r="G4889" s="168">
        <f>SUM(C4889,C4865,C4841,C4817,C4793,C4769,C4745,C4721,C4697,C4673,C4649,C4625,C4601,C4577)/POBLA!$B$16*100000</f>
        <v>432.31096427281602</v>
      </c>
      <c r="H4889" s="256">
        <f t="shared" si="545"/>
        <v>1.2629933567799922</v>
      </c>
      <c r="I4889" s="297">
        <f t="shared" si="558"/>
        <v>546.0058759397192</v>
      </c>
      <c r="J4889" s="297">
        <f t="shared" si="559"/>
        <v>214.28571428571428</v>
      </c>
      <c r="K4889" s="297">
        <f>J4889/POBLA!$B$16*100000</f>
        <v>28.662767256419023</v>
      </c>
      <c r="L4889" s="549">
        <f t="shared" si="546"/>
        <v>0.13394919168591224</v>
      </c>
      <c r="M4889" s="401">
        <f>SUM(C4889,C4865,C4841,C4817,C4793,C4769,C4745)/POBLA!$B$16*100000</f>
        <v>200.6393707949332</v>
      </c>
    </row>
    <row r="4890" spans="1:13" s="360" customFormat="1" ht="15.75" thickBot="1" x14ac:dyDescent="0.3">
      <c r="A4890" s="367" t="s">
        <v>34</v>
      </c>
      <c r="B4890" s="266">
        <v>44096</v>
      </c>
      <c r="C4890" s="1">
        <v>444</v>
      </c>
      <c r="D4890" s="39">
        <f>C4890+D4866</f>
        <v>9850</v>
      </c>
      <c r="E4890" s="1">
        <f>6+6</f>
        <v>12</v>
      </c>
      <c r="F4890" s="409">
        <f>E4890+F4866</f>
        <v>206</v>
      </c>
      <c r="G4890" s="168">
        <f>SUM(C4890,C4866,C4842,C4818,C4794,C4770,C4746,C4722,C4698,C4674,C4650,C4626,C4602,C4578)/POBLA!$B$17*100000</f>
        <v>332.84259935958863</v>
      </c>
      <c r="H4890" s="256">
        <f t="shared" ref="H4890:H4921" si="561">SUM(C4890,C4866,C4842,C4818,C4794,C4770,C4746,C4722,C4698,C4674,C4650,C4626,C4602,C4578)/SUM(C4554,C4530,C4506,C4482,C4458,C4434,C4410,C4386,C4362,C4338,C4314,C4290,C4266,C4242)</f>
        <v>1.5803333333333334</v>
      </c>
      <c r="I4890" s="297">
        <f t="shared" si="558"/>
        <v>526.00225452126995</v>
      </c>
      <c r="J4890" s="297">
        <f t="shared" si="559"/>
        <v>363.85714285714283</v>
      </c>
      <c r="K4890" s="297">
        <f>J4890/POBLA!$B$17*100000</f>
        <v>25.544644004244802</v>
      </c>
      <c r="L4890" s="549">
        <f t="shared" ref="L4890:L4921" si="562">1-SUM(C4890,C4866,C4842,C4818,C4794,C4770,C4746)/SUM(C4722,C4698,C4674,C4650,C4626,C4602,C4578)</f>
        <v>-0.16089334548769374</v>
      </c>
      <c r="M4890" s="401">
        <f>SUM(C4890,C4866,C4842,C4818,C4794,C4770,C4746)/POBLA!$B$17*100000</f>
        <v>178.81250802971363</v>
      </c>
    </row>
    <row r="4891" spans="1:13" s="360" customFormat="1" ht="15.75" thickBot="1" x14ac:dyDescent="0.3">
      <c r="A4891" s="367" t="s">
        <v>35</v>
      </c>
      <c r="B4891" s="266">
        <v>44096</v>
      </c>
      <c r="C4891" s="1">
        <v>27</v>
      </c>
      <c r="D4891" s="39">
        <f t="shared" ref="D4891:D4897" si="563">C4891+D4867</f>
        <v>517</v>
      </c>
      <c r="E4891" s="1"/>
      <c r="F4891" s="409">
        <f>E4891+F4867</f>
        <v>21</v>
      </c>
      <c r="G4891" s="168">
        <f>SUM(C4891,C4867,C4843,C4819,C4795,C4771,C4747,C4723,C4699,C4675,C4651,C4627,C4603,C4579)/POBLA!$B$18*100000</f>
        <v>17.536740751929361</v>
      </c>
      <c r="H4891" s="256">
        <f t="shared" si="561"/>
        <v>0.50740740740740742</v>
      </c>
      <c r="I4891" s="297">
        <f t="shared" si="558"/>
        <v>8.898272159312306</v>
      </c>
      <c r="J4891" s="297">
        <f t="shared" si="559"/>
        <v>12.714285714285714</v>
      </c>
      <c r="K4891" s="297">
        <f>J4891/POBLA!$B$18*100000</f>
        <v>1.627497316915238</v>
      </c>
      <c r="L4891" s="549">
        <f t="shared" si="562"/>
        <v>-0.85416666666666674</v>
      </c>
      <c r="M4891" s="401">
        <f>SUM(C4891,C4867,C4843,C4819,C4795,C4771,C4747)/POBLA!$B$18*100000</f>
        <v>11.392481218406665</v>
      </c>
    </row>
    <row r="4892" spans="1:13" s="360" customFormat="1" ht="15.75" thickBot="1" x14ac:dyDescent="0.3">
      <c r="A4892" s="367" t="s">
        <v>36</v>
      </c>
      <c r="B4892" s="266">
        <v>44096</v>
      </c>
      <c r="C4892" s="1">
        <v>77</v>
      </c>
      <c r="D4892" s="39">
        <f t="shared" si="563"/>
        <v>858</v>
      </c>
      <c r="E4892" s="1">
        <f>1+2</f>
        <v>3</v>
      </c>
      <c r="F4892" s="409">
        <f t="shared" si="560"/>
        <v>3</v>
      </c>
      <c r="G4892" s="168">
        <f>SUM(C4892,C4868,C4844,C4820,C4796,C4772,C4748,C4724,C4700,C4676,C4652,C4628,C4604,C4580)/POBLA!$B$19*100000</f>
        <v>104.8535591193088</v>
      </c>
      <c r="H4892" s="256">
        <f t="shared" si="561"/>
        <v>1.8701754385964913</v>
      </c>
      <c r="I4892" s="297">
        <f t="shared" si="558"/>
        <v>196.09455091435646</v>
      </c>
      <c r="J4892" s="297">
        <f t="shared" si="559"/>
        <v>53.571428571428569</v>
      </c>
      <c r="K4892" s="297">
        <f>J4892/POBLA!$B$19*100000</f>
        <v>10.53875225669815</v>
      </c>
      <c r="L4892" s="549">
        <f t="shared" si="562"/>
        <v>-1.3734177215189876</v>
      </c>
      <c r="M4892" s="401">
        <f>SUM(C4892,C4868,C4844,C4820,C4796,C4772,C4748)/POBLA!$B$19*100000</f>
        <v>73.77126579688705</v>
      </c>
    </row>
    <row r="4893" spans="1:13" s="360" customFormat="1" ht="15.75" thickBot="1" x14ac:dyDescent="0.3">
      <c r="A4893" s="367" t="s">
        <v>37</v>
      </c>
      <c r="B4893" s="266">
        <v>44096</v>
      </c>
      <c r="C4893" s="1">
        <v>74</v>
      </c>
      <c r="D4893" s="39">
        <f t="shared" si="563"/>
        <v>3916</v>
      </c>
      <c r="E4893" s="1">
        <f>1</f>
        <v>1</v>
      </c>
      <c r="F4893" s="409">
        <f>E4893+F4869</f>
        <v>46</v>
      </c>
      <c r="G4893" s="168">
        <f>SUM(C4893,C4869,C4845,C4821,C4797,C4773,C4749,C4725,C4701,C4677,C4653,C4629,C4605,C4581)/POBLA!$B$20*100000</f>
        <v>415.09660977090385</v>
      </c>
      <c r="H4893" s="256">
        <f t="shared" si="561"/>
        <v>1.5458248472505092</v>
      </c>
      <c r="I4893" s="297">
        <f t="shared" si="558"/>
        <v>641.66665339331166</v>
      </c>
      <c r="J4893" s="297">
        <f t="shared" si="559"/>
        <v>103.42857142857143</v>
      </c>
      <c r="K4893" s="297">
        <f>J4893/POBLA!$B$20*100000</f>
        <v>28.282509455499195</v>
      </c>
      <c r="L4893" s="549">
        <f t="shared" si="562"/>
        <v>8.816120906801006E-2</v>
      </c>
      <c r="M4893" s="401">
        <f>SUM(C4893,C4869,C4845,C4821,C4797,C4773,C4749)/POBLA!$B$20*100000</f>
        <v>197.97756618849431</v>
      </c>
    </row>
    <row r="4894" spans="1:13" s="360" customFormat="1" ht="15.75" thickBot="1" x14ac:dyDescent="0.3">
      <c r="A4894" s="367" t="s">
        <v>22</v>
      </c>
      <c r="B4894" s="266">
        <v>44096</v>
      </c>
      <c r="C4894" s="1">
        <v>1592</v>
      </c>
      <c r="D4894" s="39">
        <f t="shared" si="563"/>
        <v>29202</v>
      </c>
      <c r="E4894" s="1">
        <f>3+5</f>
        <v>8</v>
      </c>
      <c r="F4894" s="409">
        <f>E4894+F4870</f>
        <v>306</v>
      </c>
      <c r="G4894" s="168">
        <f>SUM(C4894,C4870,C4846,C4822,C4798,C4774,C4750,C4726,C4702,C4678,C4654,C4630,C4606,C4582)/POBLA!$B$21*100000</f>
        <v>440.84155210158974</v>
      </c>
      <c r="H4894" s="256">
        <f t="shared" si="561"/>
        <v>1.8942891859052249</v>
      </c>
      <c r="I4894" s="297">
        <f t="shared" si="558"/>
        <v>835.08138484371625</v>
      </c>
      <c r="J4894" s="297">
        <f t="shared" si="559"/>
        <v>1239.8571428571429</v>
      </c>
      <c r="K4894" s="297">
        <f>J4894/POBLA!$B$21*100000</f>
        <v>35.059688726195347</v>
      </c>
      <c r="L4894" s="549">
        <f t="shared" si="562"/>
        <v>-0.25582404861814489</v>
      </c>
      <c r="M4894" s="401">
        <f>SUM(C4894,C4870,C4846,C4822,C4798,C4774,C4750)/POBLA!$B$21*100000</f>
        <v>245.41782108336739</v>
      </c>
    </row>
    <row r="4895" spans="1:13" s="360" customFormat="1" ht="15.75" thickBot="1" x14ac:dyDescent="0.3">
      <c r="A4895" s="367" t="s">
        <v>38</v>
      </c>
      <c r="B4895" s="266">
        <v>44096</v>
      </c>
      <c r="C4895" s="1">
        <v>75</v>
      </c>
      <c r="D4895" s="39">
        <f t="shared" si="563"/>
        <v>2500</v>
      </c>
      <c r="E4895" s="1">
        <f>1+1</f>
        <v>2</v>
      </c>
      <c r="F4895" s="409">
        <f t="shared" si="560"/>
        <v>39</v>
      </c>
      <c r="G4895" s="168">
        <f>SUM(C4895,C4871,C4847,C4823,C4799,C4775,C4751,C4727,C4703,C4679,C4655,C4631,C4607,C4583)/POBLA!$B$22*100000</f>
        <v>113.56283725147269</v>
      </c>
      <c r="H4895" s="256">
        <f t="shared" si="561"/>
        <v>1.5115646258503401</v>
      </c>
      <c r="I4895" s="297">
        <f t="shared" si="558"/>
        <v>171.65756760052537</v>
      </c>
      <c r="J4895" s="297">
        <f t="shared" si="559"/>
        <v>74</v>
      </c>
      <c r="K4895" s="297">
        <f>J4895/POBLA!$B$22*100000</f>
        <v>7.5640413650845888</v>
      </c>
      <c r="L4895" s="549">
        <f t="shared" si="562"/>
        <v>0.12647554806070826</v>
      </c>
      <c r="M4895" s="401">
        <f>SUM(C4895,C4871,C4847,C4823,C4799,C4775,C4751)/POBLA!$B$22*100000</f>
        <v>52.948289555592126</v>
      </c>
    </row>
    <row r="4896" spans="1:13" s="360" customFormat="1" ht="15.75" thickBot="1" x14ac:dyDescent="0.3">
      <c r="A4896" s="367" t="s">
        <v>39</v>
      </c>
      <c r="B4896" s="266">
        <v>44096</v>
      </c>
      <c r="C4896" s="1">
        <v>78</v>
      </c>
      <c r="D4896" s="39">
        <f t="shared" si="563"/>
        <v>3356</v>
      </c>
      <c r="E4896" s="1">
        <f>1+1</f>
        <v>2</v>
      </c>
      <c r="F4896" s="409">
        <f>E4896+F4872</f>
        <v>57</v>
      </c>
      <c r="G4896" s="168">
        <f>SUM(C4896,C4872,C4848,C4824,C4800,C4776,C4752,C4728,C4704,C4680,C4656,C4632,C4608,C4584)/POBLA!$B$23*100000</f>
        <v>506.13583667929652</v>
      </c>
      <c r="H4896" s="256">
        <f t="shared" si="561"/>
        <v>1.3601823708206686</v>
      </c>
      <c r="I4896" s="297">
        <f t="shared" si="558"/>
        <v>688.4370422917483</v>
      </c>
      <c r="J4896" s="297">
        <f t="shared" si="559"/>
        <v>71.571428571428569</v>
      </c>
      <c r="K4896" s="297">
        <f>J4896/POBLA!$B$23*100000</f>
        <v>40.47470936573464</v>
      </c>
      <c r="L4896" s="549">
        <f t="shared" si="562"/>
        <v>-0.2715736040609138</v>
      </c>
      <c r="M4896" s="401">
        <f>SUM(C4896,C4872,C4848,C4824,C4800,C4776,C4752)/POBLA!$B$23*100000</f>
        <v>283.32296556014251</v>
      </c>
    </row>
    <row r="4897" spans="1:13" s="360" customFormat="1" ht="15.75" thickBot="1" x14ac:dyDescent="0.3">
      <c r="A4897" s="369" t="s">
        <v>40</v>
      </c>
      <c r="B4897" s="266">
        <v>44096</v>
      </c>
      <c r="C4897" s="1">
        <v>721</v>
      </c>
      <c r="D4897" s="176">
        <f t="shared" si="563"/>
        <v>10454</v>
      </c>
      <c r="E4897" s="1"/>
      <c r="F4897" s="476">
        <f>E4897+F4873</f>
        <v>101</v>
      </c>
      <c r="G4897" s="177">
        <f>SUM(C4897,C4873,C4849,C4825,C4801,C4777,C4753,C4729,C4705,C4681,C4657,C4633,C4609,C4585)/POBLA!$B$24*100000</f>
        <v>336.82352052569962</v>
      </c>
      <c r="H4897" s="402">
        <f t="shared" si="561"/>
        <v>1.6473304473304473</v>
      </c>
      <c r="I4897" s="403">
        <f t="shared" si="558"/>
        <v>554.85964073901687</v>
      </c>
      <c r="J4897" s="403">
        <f t="shared" si="559"/>
        <v>391</v>
      </c>
      <c r="K4897" s="403">
        <f>J4897/POBLA!$B$24*100000</f>
        <v>23.072529174062463</v>
      </c>
      <c r="L4897" s="550">
        <f t="shared" si="562"/>
        <v>7.8761359811511222E-2</v>
      </c>
      <c r="M4897" s="405">
        <f>SUM(C4897,C4873,C4849,C4825,C4801,C4777,C4753)/POBLA!$B$24*100000</f>
        <v>161.50770421843725</v>
      </c>
    </row>
    <row r="4898" spans="1:13" s="360" customFormat="1" ht="15.75" thickBot="1" x14ac:dyDescent="0.3">
      <c r="A4898" s="363" t="s">
        <v>16</v>
      </c>
      <c r="B4898" s="266">
        <v>44097</v>
      </c>
      <c r="C4898" s="1">
        <v>5389</v>
      </c>
      <c r="D4898" s="174">
        <f>C4898+D4874</f>
        <v>382713</v>
      </c>
      <c r="E4898" s="1">
        <f>160+131</f>
        <v>291</v>
      </c>
      <c r="F4898" s="475">
        <f>E4898+F4874</f>
        <v>8581</v>
      </c>
      <c r="G4898" s="175">
        <f>SUM(C4898,C4874,C4850,C4826,C4802,C4778,C4754,C4730,C4706,C4682,C4658,C4634,C4610,C4586)/POBLA!$B$1*100000</f>
        <v>413.0803121644139</v>
      </c>
      <c r="H4898" s="300">
        <f t="shared" si="561"/>
        <v>0.90662145591952148</v>
      </c>
      <c r="I4898" s="301">
        <f>G4898*H4898</f>
        <v>374.50747402619135</v>
      </c>
      <c r="J4898" s="301">
        <f>AVERAGE(C4898,C4874,C4850,C4826,C4802,C4778,C4754)</f>
        <v>4854.5714285714284</v>
      </c>
      <c r="K4898" s="301">
        <f>J4898/POBLA!$B$1*100000</f>
        <v>27.675345797467951</v>
      </c>
      <c r="L4898" s="548">
        <f t="shared" si="562"/>
        <v>0.11682303713907005</v>
      </c>
      <c r="M4898" s="400">
        <f>SUM(C4898,C4874,C4850,C4826,C4802,C4778,C4754)/POBLA!$B$1*100000</f>
        <v>193.7274205822757</v>
      </c>
    </row>
    <row r="4899" spans="1:13" s="360" customFormat="1" ht="15.75" thickBot="1" x14ac:dyDescent="0.3">
      <c r="A4899" s="367" t="s">
        <v>43</v>
      </c>
      <c r="B4899" s="266">
        <v>44097</v>
      </c>
      <c r="C4899" s="1">
        <v>929</v>
      </c>
      <c r="D4899" s="39">
        <f t="shared" ref="D4899:D4911" si="564">C4899+D4875</f>
        <v>119808</v>
      </c>
      <c r="E4899" s="1">
        <f>16+18</f>
        <v>34</v>
      </c>
      <c r="F4899" s="409">
        <f>E4899+F4875</f>
        <v>3011</v>
      </c>
      <c r="G4899" s="168">
        <f>SUM(C4899,C4875,C4851,C4827,C4803,C4779,C4755,C4731,C4707,C4683,C4659,C4635,C4611,C4587)/POBLA!$B$2*100000</f>
        <v>430.31610269842497</v>
      </c>
      <c r="H4899" s="256">
        <f t="shared" si="561"/>
        <v>0.75906171140169765</v>
      </c>
      <c r="I4899" s="297">
        <f t="shared" ref="I4899:I4921" si="565">G4899*H4899</f>
        <v>326.63647735797514</v>
      </c>
      <c r="J4899" s="297">
        <f t="shared" ref="J4899:J4921" si="566">AVERAGE(C4899,C4875,C4851,C4827,C4803,C4779,C4755)</f>
        <v>877</v>
      </c>
      <c r="K4899" s="297">
        <f>J4899/POBLA!$B$2*100000</f>
        <v>28.514334874689741</v>
      </c>
      <c r="L4899" s="549">
        <f t="shared" si="562"/>
        <v>0.13486471251409249</v>
      </c>
      <c r="M4899" s="401">
        <f>SUM(C4899,C4875,C4851,C4827,C4803,C4779,C4755)/POBLA!$B$2*100000</f>
        <v>199.60034412282818</v>
      </c>
    </row>
    <row r="4900" spans="1:13" s="360" customFormat="1" ht="15.75" thickBot="1" x14ac:dyDescent="0.3">
      <c r="A4900" s="367" t="s">
        <v>28</v>
      </c>
      <c r="B4900" s="266">
        <v>44097</v>
      </c>
      <c r="C4900" s="1">
        <v>6</v>
      </c>
      <c r="D4900" s="39">
        <f t="shared" si="564"/>
        <v>193</v>
      </c>
      <c r="E4900" s="1"/>
      <c r="F4900" s="409">
        <f>E4900+F4876</f>
        <v>0</v>
      </c>
      <c r="G4900" s="168">
        <f>SUM(C4900,C4876,C4852,C4828,C4804,C4780,C4756,C4732,C4708,C4684,C4660,C4636,C4612,C4588)/POBLA!$B$3*100000</f>
        <v>22.626721676880788</v>
      </c>
      <c r="H4900" s="256">
        <f t="shared" si="561"/>
        <v>2.6111111111111112</v>
      </c>
      <c r="I4900" s="297">
        <f t="shared" si="565"/>
        <v>59.080884378522057</v>
      </c>
      <c r="J4900" s="297">
        <f t="shared" si="566"/>
        <v>5.5714285714285712</v>
      </c>
      <c r="K4900" s="297">
        <f>J4900/POBLA!$B$3*100000</f>
        <v>1.3410974854078277</v>
      </c>
      <c r="L4900" s="549">
        <f t="shared" si="562"/>
        <v>0.29090909090909089</v>
      </c>
      <c r="M4900" s="401">
        <f>SUM(C4900,C4876,C4852,C4828,C4804,C4780,C4756)/POBLA!$B$3*100000</f>
        <v>9.3876823978547943</v>
      </c>
    </row>
    <row r="4901" spans="1:13" s="360" customFormat="1" ht="15.75" thickBot="1" x14ac:dyDescent="0.3">
      <c r="A4901" s="367" t="s">
        <v>15</v>
      </c>
      <c r="B4901" s="266">
        <v>44097</v>
      </c>
      <c r="C4901" s="1">
        <v>86</v>
      </c>
      <c r="D4901" s="39">
        <f t="shared" si="564"/>
        <v>7659</v>
      </c>
      <c r="E4901" s="1">
        <f>2+1</f>
        <v>3</v>
      </c>
      <c r="F4901" s="409">
        <f t="shared" ref="F4901:F4919" si="567">E4901+F4877</f>
        <v>265</v>
      </c>
      <c r="G4901" s="168">
        <f>SUM(C4901,C4877,C4853,C4829,C4805,C4781,C4757,C4733,C4709,C4685,C4661,C4637,C4613,C4589)/POBLA!$B$4*100000</f>
        <v>113.65325049126596</v>
      </c>
      <c r="H4901" s="256">
        <f t="shared" si="561"/>
        <v>1.0960768614891914</v>
      </c>
      <c r="I4901" s="297">
        <f t="shared" si="565"/>
        <v>124.5726980965117</v>
      </c>
      <c r="J4901" s="297">
        <f t="shared" si="566"/>
        <v>94</v>
      </c>
      <c r="K4901" s="297">
        <f>J4901/POBLA!$B$4*100000</f>
        <v>7.8038024442505485</v>
      </c>
      <c r="L4901" s="549">
        <f t="shared" si="562"/>
        <v>7.4542897327707469E-2</v>
      </c>
      <c r="M4901" s="401">
        <f>SUM(C4901,C4877,C4853,C4829,C4805,C4781,C4757)/POBLA!$B$4*100000</f>
        <v>54.626617109753838</v>
      </c>
    </row>
    <row r="4902" spans="1:13" s="360" customFormat="1" ht="15.75" thickBot="1" x14ac:dyDescent="0.3">
      <c r="A4902" s="367" t="s">
        <v>29</v>
      </c>
      <c r="B4902" s="266">
        <v>44097</v>
      </c>
      <c r="C4902" s="1">
        <v>203</v>
      </c>
      <c r="D4902" s="39">
        <f t="shared" si="564"/>
        <v>2758</v>
      </c>
      <c r="E4902" s="1">
        <f>1</f>
        <v>1</v>
      </c>
      <c r="F4902" s="409">
        <f t="shared" si="567"/>
        <v>28</v>
      </c>
      <c r="G4902" s="168">
        <f>SUM(C4902,C4878,C4854,C4830,C4806,C4782,C4758,C4734,C4710,C4686,C4662,C4638,C4614,C4590)/POBLA!$B$5*100000</f>
        <v>225.68877888961765</v>
      </c>
      <c r="H4902" s="256">
        <f t="shared" si="561"/>
        <v>1.9648382559774964</v>
      </c>
      <c r="I4902" s="297">
        <f t="shared" si="565"/>
        <v>443.44194670716718</v>
      </c>
      <c r="J4902" s="297">
        <f t="shared" si="566"/>
        <v>115.57142857142857</v>
      </c>
      <c r="K4902" s="297">
        <f>J4902/POBLA!$B$5*100000</f>
        <v>18.67084795190722</v>
      </c>
      <c r="L4902" s="549">
        <f t="shared" si="562"/>
        <v>-0.37585034013605445</v>
      </c>
      <c r="M4902" s="401">
        <f>SUM(C4902,C4878,C4854,C4830,C4806,C4782,C4758)/POBLA!$B$5*100000</f>
        <v>130.69593566335055</v>
      </c>
    </row>
    <row r="4903" spans="1:13" s="360" customFormat="1" ht="15.75" thickBot="1" x14ac:dyDescent="0.3">
      <c r="A4903" s="367" t="s">
        <v>20</v>
      </c>
      <c r="B4903" s="266">
        <v>44097</v>
      </c>
      <c r="C4903" s="1">
        <v>1435</v>
      </c>
      <c r="D4903" s="39">
        <f t="shared" si="564"/>
        <v>22565</v>
      </c>
      <c r="E4903" s="1">
        <f>8+3</f>
        <v>11</v>
      </c>
      <c r="F4903" s="409">
        <f t="shared" si="567"/>
        <v>280</v>
      </c>
      <c r="G4903" s="168">
        <f>SUM(C4903,C4879,C4855,C4831,C4807,C4783,C4759,C4735,C4711,C4687,C4663,C4639,C4615,C4591)/POBLA!$B$6*100000</f>
        <v>892.12982500907822</v>
      </c>
      <c r="H4903" s="256">
        <f t="shared" si="561"/>
        <v>1.7242628039317123</v>
      </c>
      <c r="I4903" s="297">
        <f t="shared" si="565"/>
        <v>1538.2662735412609</v>
      </c>
      <c r="J4903" s="297">
        <f t="shared" si="566"/>
        <v>883</v>
      </c>
      <c r="K4903" s="297">
        <f>J4903/POBLA!$B$6*100000</f>
        <v>78.782941842485869</v>
      </c>
      <c r="L4903" s="549">
        <f t="shared" si="562"/>
        <v>-0.61891042430591936</v>
      </c>
      <c r="M4903" s="401">
        <f>SUM(C4903,C4879,C4855,C4831,C4807,C4783,C4759)/POBLA!$B$6*100000</f>
        <v>551.48059289740104</v>
      </c>
    </row>
    <row r="4904" spans="1:13" s="360" customFormat="1" ht="15.75" thickBot="1" x14ac:dyDescent="0.3">
      <c r="A4904" s="367" t="s">
        <v>30</v>
      </c>
      <c r="B4904" s="266">
        <v>44097</v>
      </c>
      <c r="C4904" s="1">
        <v>-45</v>
      </c>
      <c r="D4904" s="39">
        <f t="shared" si="564"/>
        <v>1014</v>
      </c>
      <c r="E4904" s="1"/>
      <c r="F4904" s="409">
        <f>E4904+F4880</f>
        <v>15</v>
      </c>
      <c r="G4904" s="168">
        <f>SUM(C4904,C4880,C4856,C4832,C4808,C4784,C4760,C4736,C4712,C4688,C4664,C4640,C4616,C4592)/POBLA!$B$7*100000</f>
        <v>15.503463681208366</v>
      </c>
      <c r="H4904" s="256">
        <f t="shared" si="561"/>
        <v>3.6666666666666665</v>
      </c>
      <c r="I4904" s="297">
        <f t="shared" si="565"/>
        <v>56.846033497764004</v>
      </c>
      <c r="J4904" s="297">
        <f t="shared" si="566"/>
        <v>31.285714285714285</v>
      </c>
      <c r="K4904" s="297">
        <f>J4904/POBLA!$B$7*100000</f>
        <v>0.83196729874654052</v>
      </c>
      <c r="L4904" s="549">
        <f t="shared" si="562"/>
        <v>0.39835164835164838</v>
      </c>
      <c r="M4904" s="401">
        <f>SUM(C4904,C4880,C4856,C4832,C4808,C4784,C4760)/POBLA!$B$7*100000</f>
        <v>5.8237710912257841</v>
      </c>
    </row>
    <row r="4905" spans="1:13" ht="15.75" thickBot="1" x14ac:dyDescent="0.3">
      <c r="A4905" s="367" t="s">
        <v>31</v>
      </c>
      <c r="B4905" s="266">
        <v>44097</v>
      </c>
      <c r="C4905" s="1">
        <v>118</v>
      </c>
      <c r="D4905" s="39">
        <f t="shared" si="564"/>
        <v>6530</v>
      </c>
      <c r="E4905" s="1">
        <f>1+2</f>
        <v>3</v>
      </c>
      <c r="F4905" s="409">
        <f>E4905+F4881</f>
        <v>122</v>
      </c>
      <c r="G4905" s="168">
        <f>SUM(C4905,C4881,C4857,C4833,C4809,C4785,C4761,C4737,C4713,C4689,C4665,C4641,C4617,C4593)/POBLA!$B$8*100000</f>
        <v>131.53328268255743</v>
      </c>
      <c r="H4905" s="256">
        <f t="shared" si="561"/>
        <v>0.87392138063279001</v>
      </c>
      <c r="I4905" s="297">
        <f t="shared" si="565"/>
        <v>114.94974800110364</v>
      </c>
      <c r="J4905" s="297">
        <f t="shared" si="566"/>
        <v>129.42857142857142</v>
      </c>
      <c r="K4905" s="297">
        <f>J4905/POBLA!$B$8*100000</f>
        <v>9.3385435397223588</v>
      </c>
      <c r="L4905" s="549">
        <f t="shared" si="562"/>
        <v>1.199563794983638E-2</v>
      </c>
      <c r="M4905" s="401">
        <f>SUM(C4905,C4881,C4857,C4833,C4809,C4785,C4761)/POBLA!$B$8*100000</f>
        <v>65.369804778056533</v>
      </c>
    </row>
    <row r="4906" spans="1:13" s="360" customFormat="1" ht="15.75" thickBot="1" x14ac:dyDescent="0.3">
      <c r="A4906" s="367" t="s">
        <v>41</v>
      </c>
      <c r="B4906" s="266">
        <v>44097</v>
      </c>
      <c r="C4906" s="1">
        <v>1</v>
      </c>
      <c r="D4906" s="39">
        <f t="shared" si="564"/>
        <v>102</v>
      </c>
      <c r="E4906" s="1"/>
      <c r="F4906" s="409">
        <f>E4906+F4882</f>
        <v>1</v>
      </c>
      <c r="G4906" s="168">
        <f>SUM(C4906,C4882,C4858,C4834,C4810,C4786,C4762,C4738,C4714,C4690,C4666,C4642,C4618,C4594)/POBLA!$B$9*100000</f>
        <v>1.8176019881261019</v>
      </c>
      <c r="H4906" s="256">
        <f t="shared" si="561"/>
        <v>1.2222222222222223</v>
      </c>
      <c r="I4906" s="297">
        <f t="shared" si="565"/>
        <v>2.2215135410430134</v>
      </c>
      <c r="J4906" s="297">
        <f t="shared" si="566"/>
        <v>0.8571428571428571</v>
      </c>
      <c r="K4906" s="297">
        <f>J4906/POBLA!$B$9*100000</f>
        <v>0.14163132375008586</v>
      </c>
      <c r="L4906" s="549">
        <f t="shared" si="562"/>
        <v>-0.19999999999999996</v>
      </c>
      <c r="M4906" s="401">
        <f>SUM(C4906,C4882,C4858,C4834,C4810,C4786,C4762)/POBLA!$B$9*100000</f>
        <v>0.99141926625060106</v>
      </c>
    </row>
    <row r="4907" spans="1:13" s="360" customFormat="1" ht="15.75" thickBot="1" x14ac:dyDescent="0.3">
      <c r="A4907" s="367" t="s">
        <v>32</v>
      </c>
      <c r="B4907" s="266">
        <v>44097</v>
      </c>
      <c r="C4907" s="1">
        <v>230</v>
      </c>
      <c r="D4907" s="39">
        <f t="shared" si="564"/>
        <v>14580</v>
      </c>
      <c r="E4907" s="1">
        <f>9+2</f>
        <v>11</v>
      </c>
      <c r="F4907" s="409">
        <f t="shared" si="567"/>
        <v>362</v>
      </c>
      <c r="G4907" s="168">
        <f>SUM(C4907,C4883,C4859,C4835,C4811,C4787,C4763,C4739,C4715,C4691,C4667,C4643,C4619,C4595)/POBLA!$B$10*100000</f>
        <v>449.22627487251606</v>
      </c>
      <c r="H4907" s="256">
        <f t="shared" si="561"/>
        <v>0.8565421716547118</v>
      </c>
      <c r="I4907" s="297">
        <f t="shared" si="565"/>
        <v>384.78124904366138</v>
      </c>
      <c r="J4907" s="297">
        <f t="shared" si="566"/>
        <v>220.71428571428572</v>
      </c>
      <c r="K4907" s="297">
        <f>J4907/POBLA!$B$10*100000</f>
        <v>28.631434127224008</v>
      </c>
      <c r="L4907" s="549">
        <f t="shared" si="562"/>
        <v>0.194473409801877</v>
      </c>
      <c r="M4907" s="401">
        <f>SUM(C4907,C4883,C4859,C4835,C4811,C4787,C4763)/POBLA!$B$10*100000</f>
        <v>200.42003889056804</v>
      </c>
    </row>
    <row r="4908" spans="1:13" s="360" customFormat="1" ht="15.75" thickBot="1" x14ac:dyDescent="0.3">
      <c r="A4908" s="367" t="s">
        <v>33</v>
      </c>
      <c r="B4908" s="266">
        <v>44097</v>
      </c>
      <c r="C4908" s="1">
        <v>15</v>
      </c>
      <c r="D4908" s="39">
        <f t="shared" si="564"/>
        <v>623</v>
      </c>
      <c r="E4908" s="1"/>
      <c r="F4908" s="409">
        <f t="shared" si="567"/>
        <v>4</v>
      </c>
      <c r="G4908" s="168">
        <f>SUM(C4908,C4884,C4860,C4836,C4812,C4788,C4764,C4740,C4716,C4692,C4668,C4644,C4620,C4596)/POBLA!$B$11*100000</f>
        <v>99.32259756492239</v>
      </c>
      <c r="H4908" s="256">
        <f t="shared" si="561"/>
        <v>4.9444444444444446</v>
      </c>
      <c r="I4908" s="297">
        <f t="shared" si="565"/>
        <v>491.09506573767186</v>
      </c>
      <c r="J4908" s="297">
        <f t="shared" si="566"/>
        <v>16.857142857142858</v>
      </c>
      <c r="K4908" s="297">
        <f>J4908/POBLA!$B$11*100000</f>
        <v>4.7030764497033877</v>
      </c>
      <c r="L4908" s="549">
        <f t="shared" si="562"/>
        <v>0.50420168067226889</v>
      </c>
      <c r="M4908" s="401">
        <f>SUM(C4908,C4884,C4860,C4836,C4812,C4788,C4764)/POBLA!$B$11*100000</f>
        <v>32.921535147923713</v>
      </c>
    </row>
    <row r="4909" spans="1:13" s="360" customFormat="1" ht="15.75" thickBot="1" x14ac:dyDescent="0.3">
      <c r="A4909" s="367" t="s">
        <v>21</v>
      </c>
      <c r="B4909" s="266">
        <v>44097</v>
      </c>
      <c r="C4909" s="1">
        <v>48</v>
      </c>
      <c r="D4909" s="39">
        <f t="shared" si="564"/>
        <v>4268</v>
      </c>
      <c r="E4909" s="1"/>
      <c r="F4909" s="409">
        <f t="shared" si="567"/>
        <v>101</v>
      </c>
      <c r="G4909" s="168">
        <f>SUM(C4909,C4885,C4861,C4837,C4813,C4789,C4765,C4741,C4717,C4693,C4669,C4645,C4621,C4597)/POBLA!$B$12*100000</f>
        <v>484.84109256958152</v>
      </c>
      <c r="H4909" s="256">
        <f t="shared" si="561"/>
        <v>1.6649214659685865</v>
      </c>
      <c r="I4909" s="297">
        <f t="shared" si="565"/>
        <v>807.22234260275877</v>
      </c>
      <c r="J4909" s="297">
        <f t="shared" si="566"/>
        <v>162.42857142857142</v>
      </c>
      <c r="K4909" s="297">
        <f>J4909/POBLA!$B$12*100000</f>
        <v>41.274657251543438</v>
      </c>
      <c r="L4909" s="549">
        <f t="shared" si="562"/>
        <v>-0.47470817120622577</v>
      </c>
      <c r="M4909" s="401">
        <f>SUM(C4909,C4885,C4861,C4837,C4813,C4789,C4765)/POBLA!$B$12*100000</f>
        <v>288.92260076080407</v>
      </c>
    </row>
    <row r="4910" spans="1:13" s="360" customFormat="1" ht="15.75" thickBot="1" x14ac:dyDescent="0.3">
      <c r="A4910" s="367" t="s">
        <v>17</v>
      </c>
      <c r="B4910" s="266">
        <v>44097</v>
      </c>
      <c r="C4910" s="1">
        <v>528</v>
      </c>
      <c r="D4910" s="39">
        <f t="shared" si="564"/>
        <v>20403</v>
      </c>
      <c r="E4910" s="1">
        <f>7+5</f>
        <v>12</v>
      </c>
      <c r="F4910" s="409">
        <f t="shared" si="567"/>
        <v>207</v>
      </c>
      <c r="G4910" s="168">
        <f>SUM(C4910,C4886,C4862,C4838,C4814,C4790,C4766,C4742,C4718,C4694,C4670,C4646,C4622,C4598)/POBLA!$B$13*100000</f>
        <v>440.57843441666694</v>
      </c>
      <c r="H4910" s="256">
        <f t="shared" si="561"/>
        <v>1.3952267303102626</v>
      </c>
      <c r="I4910" s="297">
        <f t="shared" si="565"/>
        <v>614.70680849638063</v>
      </c>
      <c r="J4910" s="297">
        <f t="shared" si="566"/>
        <v>565.71428571428567</v>
      </c>
      <c r="K4910" s="297">
        <f>J4910/POBLA!$B$13*100000</f>
        <v>28.423025923952899</v>
      </c>
      <c r="L4910" s="549">
        <f t="shared" si="562"/>
        <v>0.17654398003742977</v>
      </c>
      <c r="M4910" s="401">
        <f>SUM(C4910,C4886,C4862,C4838,C4814,C4790,C4766)/POBLA!$B$13*100000</f>
        <v>198.96118146767034</v>
      </c>
    </row>
    <row r="4911" spans="1:13" s="360" customFormat="1" ht="15.75" thickBot="1" x14ac:dyDescent="0.3">
      <c r="A4911" s="367" t="s">
        <v>23</v>
      </c>
      <c r="B4911" s="266">
        <v>44097</v>
      </c>
      <c r="C4911" s="1">
        <v>4</v>
      </c>
      <c r="D4911" s="39">
        <f t="shared" si="564"/>
        <v>82</v>
      </c>
      <c r="E4911" s="1"/>
      <c r="F4911" s="409">
        <f t="shared" si="567"/>
        <v>2</v>
      </c>
      <c r="G4911" s="168">
        <f>SUM(C4911,C4887,C4863,C4839,C4815,C4791,C4767,C4743,C4719,C4695,C4671,C4647,C4623,C4599)/POBLA!$B$14*100000</f>
        <v>0.87212021939373374</v>
      </c>
      <c r="H4911" s="256">
        <f t="shared" si="561"/>
        <v>0.91666666666666663</v>
      </c>
      <c r="I4911" s="297">
        <f t="shared" si="565"/>
        <v>0.79944353444425587</v>
      </c>
      <c r="J4911" s="297">
        <f t="shared" si="566"/>
        <v>2.7142857142857144</v>
      </c>
      <c r="K4911" s="297">
        <f>J4911/POBLA!$B$14*100000</f>
        <v>0.21519849569455768</v>
      </c>
      <c r="L4911" s="549">
        <f t="shared" si="562"/>
        <v>3.375</v>
      </c>
      <c r="M4911" s="401">
        <f>SUM(C4911,C4887,C4863,C4839,C4815,C4791,C4767)/POBLA!$B$14*100000</f>
        <v>1.5063894698619038</v>
      </c>
    </row>
    <row r="4912" spans="1:13" s="360" customFormat="1" ht="15.75" thickBot="1" x14ac:dyDescent="0.3">
      <c r="A4912" s="367" t="s">
        <v>19</v>
      </c>
      <c r="B4912" s="266">
        <v>44097</v>
      </c>
      <c r="C4912" s="1">
        <v>176</v>
      </c>
      <c r="D4912" s="39">
        <f>C4912+D4888</f>
        <v>6617</v>
      </c>
      <c r="E4912" s="1">
        <f>4+3</f>
        <v>7</v>
      </c>
      <c r="F4912" s="409">
        <f t="shared" si="567"/>
        <v>99</v>
      </c>
      <c r="G4912" s="168">
        <f>SUM(C4912,C4888,C4864,C4840,C4816,C4792,C4768,C4744,C4720,C4696,C4672,C4648,C4624,C4600)/POBLA!$B$15*100000</f>
        <v>376.32311684087358</v>
      </c>
      <c r="H4912" s="256">
        <f t="shared" si="561"/>
        <v>1.5907065563335454</v>
      </c>
      <c r="I4912" s="297">
        <f t="shared" si="565"/>
        <v>598.61964925865243</v>
      </c>
      <c r="J4912" s="297">
        <f t="shared" si="566"/>
        <v>181.28571428571428</v>
      </c>
      <c r="K4912" s="297">
        <f>J4912/POBLA!$B$15*100000</f>
        <v>27.299721904251331</v>
      </c>
      <c r="L4912" s="549">
        <f t="shared" si="562"/>
        <v>-3.170731707317076E-2</v>
      </c>
      <c r="M4912" s="401">
        <f>SUM(C4912,C4888,C4864,C4840,C4816,C4792,C4768)/POBLA!$B$15*100000</f>
        <v>191.09805332975935</v>
      </c>
    </row>
    <row r="4913" spans="1:13" s="360" customFormat="1" ht="15.75" thickBot="1" x14ac:dyDescent="0.3">
      <c r="A4913" s="367" t="s">
        <v>18</v>
      </c>
      <c r="B4913" s="266">
        <v>44097</v>
      </c>
      <c r="C4913" s="1">
        <v>272</v>
      </c>
      <c r="D4913" s="39">
        <f>C4913+D4889</f>
        <v>11001</v>
      </c>
      <c r="E4913" s="1">
        <f>5+3</f>
        <v>8</v>
      </c>
      <c r="F4913" s="409">
        <f t="shared" si="567"/>
        <v>236</v>
      </c>
      <c r="G4913" s="168">
        <f>SUM(C4913,C4889,C4865,C4841,C4817,C4793,C4769,C4745,C4721,C4697,C4673,C4649,C4625,C4601)/POBLA!$B$16*100000</f>
        <v>431.24088762857639</v>
      </c>
      <c r="H4913" s="256">
        <f t="shared" si="561"/>
        <v>1.2380952380952381</v>
      </c>
      <c r="I4913" s="297">
        <f t="shared" si="565"/>
        <v>533.9172894449041</v>
      </c>
      <c r="J4913" s="297">
        <f t="shared" si="566"/>
        <v>220</v>
      </c>
      <c r="K4913" s="297">
        <f>J4913/POBLA!$B$16*100000</f>
        <v>29.4271077165902</v>
      </c>
      <c r="L4913" s="549">
        <f t="shared" si="562"/>
        <v>8.5510688836104465E-2</v>
      </c>
      <c r="M4913" s="401">
        <f>SUM(C4913,C4889,C4865,C4841,C4817,C4793,C4769)/POBLA!$B$16*100000</f>
        <v>205.9897540161314</v>
      </c>
    </row>
    <row r="4914" spans="1:13" s="360" customFormat="1" ht="15.75" thickBot="1" x14ac:dyDescent="0.3">
      <c r="A4914" s="367" t="s">
        <v>34</v>
      </c>
      <c r="B4914" s="266">
        <v>44097</v>
      </c>
      <c r="C4914" s="1">
        <v>347</v>
      </c>
      <c r="D4914" s="39">
        <f>C4914+D4890</f>
        <v>10197</v>
      </c>
      <c r="E4914" s="1">
        <f>12+3</f>
        <v>15</v>
      </c>
      <c r="F4914" s="409">
        <f>E4914+F4890</f>
        <v>221</v>
      </c>
      <c r="G4914" s="168">
        <f>SUM(C4914,C4890,C4866,C4842,C4818,C4794,C4770,C4746,C4722,C4698,C4674,C4650,C4626,C4602)/POBLA!$B$17*100000</f>
        <v>331.85972730917013</v>
      </c>
      <c r="H4914" s="256">
        <f t="shared" si="561"/>
        <v>1.4841444270015698</v>
      </c>
      <c r="I4914" s="297">
        <f t="shared" si="565"/>
        <v>492.52776483216547</v>
      </c>
      <c r="J4914" s="297">
        <f t="shared" si="566"/>
        <v>367.85714285714283</v>
      </c>
      <c r="K4914" s="297">
        <f>J4914/POBLA!$B$17*100000</f>
        <v>25.825464590078667</v>
      </c>
      <c r="L4914" s="549">
        <f t="shared" si="562"/>
        <v>-0.19656133828996292</v>
      </c>
      <c r="M4914" s="401">
        <f>SUM(C4914,C4890,C4866,C4842,C4818,C4794,C4770)/POBLA!$B$17*100000</f>
        <v>180.77825213055067</v>
      </c>
    </row>
    <row r="4915" spans="1:13" s="360" customFormat="1" ht="15.75" thickBot="1" x14ac:dyDescent="0.3">
      <c r="A4915" s="367" t="s">
        <v>35</v>
      </c>
      <c r="B4915" s="266">
        <v>44097</v>
      </c>
      <c r="C4915" s="1">
        <v>19</v>
      </c>
      <c r="D4915" s="39">
        <f t="shared" ref="D4915:D4921" si="568">C4915+D4891</f>
        <v>536</v>
      </c>
      <c r="E4915" s="1">
        <f>1+3</f>
        <v>4</v>
      </c>
      <c r="F4915" s="409">
        <f>E4915+F4891</f>
        <v>25</v>
      </c>
      <c r="G4915" s="168">
        <f>SUM(C4915,C4891,C4867,C4843,C4819,C4795,C4771,C4747,C4723,C4699,C4675,C4651,C4627,C4603)/POBLA!$B$18*100000</f>
        <v>19.456821856155205</v>
      </c>
      <c r="H4915" s="256">
        <f t="shared" si="561"/>
        <v>0.6386554621848739</v>
      </c>
      <c r="I4915" s="297">
        <f t="shared" si="565"/>
        <v>12.426205555191558</v>
      </c>
      <c r="J4915" s="297">
        <f t="shared" si="566"/>
        <v>15.428571428571429</v>
      </c>
      <c r="K4915" s="297">
        <f>J4915/POBLA!$B$18*100000</f>
        <v>1.9749405643465809</v>
      </c>
      <c r="L4915" s="549">
        <f t="shared" si="562"/>
        <v>-1.4545454545454546</v>
      </c>
      <c r="M4915" s="401">
        <f>SUM(C4915,C4891,C4867,C4843,C4819,C4795,C4771)/POBLA!$B$18*100000</f>
        <v>13.824583950426065</v>
      </c>
    </row>
    <row r="4916" spans="1:13" s="360" customFormat="1" ht="15.75" thickBot="1" x14ac:dyDescent="0.3">
      <c r="A4916" s="367" t="s">
        <v>36</v>
      </c>
      <c r="B4916" s="266">
        <v>44097</v>
      </c>
      <c r="C4916" s="1">
        <v>62</v>
      </c>
      <c r="D4916" s="39">
        <f t="shared" si="568"/>
        <v>920</v>
      </c>
      <c r="E4916" s="1"/>
      <c r="F4916" s="409">
        <f t="shared" si="567"/>
        <v>3</v>
      </c>
      <c r="G4916" s="168">
        <f>SUM(C4916,C4892,C4868,C4844,C4820,C4796,C4772,C4748,C4724,C4700,C4676,C4652,C4628,C4604)/POBLA!$B$19*100000</f>
        <v>112.91921751310177</v>
      </c>
      <c r="H4916" s="256">
        <f t="shared" si="561"/>
        <v>1.9006622516556291</v>
      </c>
      <c r="I4916" s="297">
        <f t="shared" si="565"/>
        <v>214.62129421364375</v>
      </c>
      <c r="J4916" s="297">
        <f t="shared" si="566"/>
        <v>58.857142857142854</v>
      </c>
      <c r="K4916" s="297">
        <f>J4916/POBLA!$B$19*100000</f>
        <v>11.578575812692367</v>
      </c>
      <c r="L4916" s="549">
        <f t="shared" si="562"/>
        <v>-1.5432098765432101</v>
      </c>
      <c r="M4916" s="401">
        <f>SUM(C4916,C4892,C4868,C4844,C4820,C4796,C4772)/POBLA!$B$19*100000</f>
        <v>81.050030688846576</v>
      </c>
    </row>
    <row r="4917" spans="1:13" s="360" customFormat="1" ht="15.75" thickBot="1" x14ac:dyDescent="0.3">
      <c r="A4917" s="367" t="s">
        <v>37</v>
      </c>
      <c r="B4917" s="266">
        <v>44097</v>
      </c>
      <c r="C4917" s="1">
        <v>114</v>
      </c>
      <c r="D4917" s="39">
        <f t="shared" si="568"/>
        <v>4030</v>
      </c>
      <c r="E4917" s="1">
        <f>1</f>
        <v>1</v>
      </c>
      <c r="F4917" s="409">
        <f>E4917+F4893</f>
        <v>47</v>
      </c>
      <c r="G4917" s="168">
        <f>SUM(C4917,C4893,C4869,C4845,C4821,C4797,C4773,C4749,C4725,C4701,C4677,C4653,C4629,C4605)/POBLA!$B$20*100000</f>
        <v>407.44001881333776</v>
      </c>
      <c r="H4917" s="256">
        <f t="shared" si="561"/>
        <v>1.4043355325164939</v>
      </c>
      <c r="I4917" s="297">
        <f t="shared" si="565"/>
        <v>572.18249578875896</v>
      </c>
      <c r="J4917" s="297">
        <f t="shared" si="566"/>
        <v>107.71428571428571</v>
      </c>
      <c r="K4917" s="297">
        <f>J4917/POBLA!$B$20*100000</f>
        <v>29.454436642881753</v>
      </c>
      <c r="L4917" s="549">
        <f t="shared" si="562"/>
        <v>-2.4456521739130377E-2</v>
      </c>
      <c r="M4917" s="401">
        <f>SUM(C4917,C4893,C4869,C4845,C4821,C4797,C4773)/POBLA!$B$20*100000</f>
        <v>206.18105650017228</v>
      </c>
    </row>
    <row r="4918" spans="1:13" s="360" customFormat="1" ht="15.75" thickBot="1" x14ac:dyDescent="0.3">
      <c r="A4918" s="367" t="s">
        <v>22</v>
      </c>
      <c r="B4918" s="266">
        <v>44097</v>
      </c>
      <c r="C4918" s="1">
        <v>1682</v>
      </c>
      <c r="D4918" s="39">
        <f t="shared" si="568"/>
        <v>30884</v>
      </c>
      <c r="E4918" s="1">
        <f>11+6</f>
        <v>17</v>
      </c>
      <c r="F4918" s="409">
        <f>E4918+F4894</f>
        <v>323</v>
      </c>
      <c r="G4918" s="168">
        <f>SUM(C4918,C4894,C4870,C4846,C4822,C4798,C4774,C4750,C4726,C4702,C4678,C4654,C4630,C4606)/POBLA!$B$21*100000</f>
        <v>457.60993185760276</v>
      </c>
      <c r="H4918" s="256">
        <f t="shared" si="561"/>
        <v>1.8105840232714254</v>
      </c>
      <c r="I4918" s="297">
        <f t="shared" si="565"/>
        <v>828.5412315117012</v>
      </c>
      <c r="J4918" s="297">
        <f t="shared" si="566"/>
        <v>1316</v>
      </c>
      <c r="K4918" s="297">
        <f>J4918/POBLA!$B$21*100000</f>
        <v>37.212795546227852</v>
      </c>
      <c r="L4918" s="549">
        <f t="shared" si="562"/>
        <v>-0.3214746808205422</v>
      </c>
      <c r="M4918" s="401">
        <f>SUM(C4918,C4894,C4870,C4846,C4822,C4798,C4774)/POBLA!$B$21*100000</f>
        <v>260.48956882359494</v>
      </c>
    </row>
    <row r="4919" spans="1:13" s="360" customFormat="1" ht="15.75" thickBot="1" x14ac:dyDescent="0.3">
      <c r="A4919" s="367" t="s">
        <v>38</v>
      </c>
      <c r="B4919" s="266">
        <v>44097</v>
      </c>
      <c r="C4919" s="1">
        <v>108</v>
      </c>
      <c r="D4919" s="39">
        <f t="shared" si="568"/>
        <v>2608</v>
      </c>
      <c r="E4919" s="1">
        <f>4</f>
        <v>4</v>
      </c>
      <c r="F4919" s="409">
        <f t="shared" si="567"/>
        <v>43</v>
      </c>
      <c r="G4919" s="168">
        <f>SUM(C4919,C4895,C4871,C4847,C4823,C4799,C4775,C4751,C4727,C4703,C4679,C4655,C4631,C4607)/POBLA!$B$22*100000</f>
        <v>116.32269018197653</v>
      </c>
      <c r="H4919" s="256">
        <f t="shared" si="561"/>
        <v>1.4627249357326477</v>
      </c>
      <c r="I4919" s="297">
        <f t="shared" si="565"/>
        <v>170.14809952068032</v>
      </c>
      <c r="J4919" s="297">
        <f t="shared" si="566"/>
        <v>81</v>
      </c>
      <c r="K4919" s="297">
        <f>J4919/POBLA!$B$22*100000</f>
        <v>8.2795587915115103</v>
      </c>
      <c r="L4919" s="549">
        <f t="shared" si="562"/>
        <v>7.0052539404553693E-3</v>
      </c>
      <c r="M4919" s="401">
        <f>SUM(C4919,C4895,C4871,C4847,C4823,C4799,C4775)/POBLA!$B$22*100000</f>
        <v>57.95691154058057</v>
      </c>
    </row>
    <row r="4920" spans="1:13" s="360" customFormat="1" ht="15.75" thickBot="1" x14ac:dyDescent="0.3">
      <c r="A4920" s="367" t="s">
        <v>39</v>
      </c>
      <c r="B4920" s="266">
        <v>44097</v>
      </c>
      <c r="C4920" s="1">
        <v>79</v>
      </c>
      <c r="D4920" s="39">
        <f t="shared" si="568"/>
        <v>3435</v>
      </c>
      <c r="E4920" s="1">
        <f>2</f>
        <v>2</v>
      </c>
      <c r="F4920" s="409">
        <f>E4920+F4896</f>
        <v>59</v>
      </c>
      <c r="G4920" s="168">
        <f>SUM(C4920,C4896,C4872,C4848,C4824,C4800,C4776,C4752,C4728,C4704,C4680,C4656,C4632,C4608)/POBLA!$B$23*100000</f>
        <v>511.79098569247304</v>
      </c>
      <c r="H4920" s="256">
        <f t="shared" si="561"/>
        <v>1.3387573964497042</v>
      </c>
      <c r="I4920" s="297">
        <f t="shared" si="565"/>
        <v>685.16396753208301</v>
      </c>
      <c r="J4920" s="297">
        <f t="shared" si="566"/>
        <v>76.285714285714292</v>
      </c>
      <c r="K4920" s="297">
        <f>J4920/POBLA!$B$23*100000</f>
        <v>43.140708186232139</v>
      </c>
      <c r="L4920" s="549">
        <f t="shared" si="562"/>
        <v>-0.43935309973045822</v>
      </c>
      <c r="M4920" s="401">
        <f>SUM(C4920,C4896,C4872,C4848,C4824,C4800,C4776)/POBLA!$B$23*100000</f>
        <v>301.98495730362492</v>
      </c>
    </row>
    <row r="4921" spans="1:13" s="360" customFormat="1" ht="15.75" thickBot="1" x14ac:dyDescent="0.3">
      <c r="A4921" s="368" t="s">
        <v>40</v>
      </c>
      <c r="B4921" s="34">
        <v>44097</v>
      </c>
      <c r="C4921" s="232">
        <v>819</v>
      </c>
      <c r="D4921" s="67">
        <f t="shared" si="568"/>
        <v>11273</v>
      </c>
      <c r="E4921" s="232"/>
      <c r="F4921" s="477">
        <f>E4921+F4897</f>
        <v>101</v>
      </c>
      <c r="G4921" s="177">
        <f>SUM(C4921,C4897,C4873,C4849,C4825,C4801,C4777,C4753,C4729,C4705,C4681,C4657,C4633,C4609)/POBLA!$B$24*100000</f>
        <v>362.13839268854565</v>
      </c>
      <c r="H4921" s="402">
        <f t="shared" si="561"/>
        <v>1.6205439662001584</v>
      </c>
      <c r="I4921" s="403">
        <f t="shared" si="565"/>
        <v>586.86118720084619</v>
      </c>
      <c r="J4921" s="403">
        <f t="shared" si="566"/>
        <v>442.57142857142856</v>
      </c>
      <c r="K4921" s="403">
        <f>J4921/POBLA!$B$24*100000</f>
        <v>26.115708944554441</v>
      </c>
      <c r="L4921" s="550">
        <f t="shared" si="562"/>
        <v>-1.9414281013491186E-2</v>
      </c>
      <c r="M4921" s="405">
        <f>SUM(C4921,C4897,C4873,C4849,C4825,C4801,C4777)/POBLA!$B$24*100000</f>
        <v>182.80996261188113</v>
      </c>
    </row>
    <row r="4922" spans="1:13" s="360" customFormat="1" x14ac:dyDescent="0.25">
      <c r="A4922" s="363" t="s">
        <v>16</v>
      </c>
      <c r="B4922" s="265">
        <v>44098</v>
      </c>
      <c r="C4922" s="43">
        <v>6122</v>
      </c>
      <c r="D4922" s="174">
        <f>C4922+D4898</f>
        <v>388835</v>
      </c>
      <c r="E4922" s="43">
        <f>162+117+3</f>
        <v>282</v>
      </c>
      <c r="F4922" s="475">
        <f>E4922+F4898</f>
        <v>8863</v>
      </c>
      <c r="G4922" s="175">
        <f>SUM(C4922,C4898,C4874,C4850,C4826,C4802,C4778,C4754,C4730,C4706,C4682,C4658,C4634,C4610)/POBLA!$B$1*100000</f>
        <v>412.33919731903416</v>
      </c>
      <c r="H4922" s="300">
        <f t="shared" ref="H4922:H4985" si="569">SUM(C4922,C4898,C4874,C4850,C4826,C4802,C4778,C4754,C4730,C4706,C4682,C4658,C4634,C4610)/SUM(C4586,C4562,C4538,C4514,C4490,C4466,C4442,C4418,C4394,C4370,C4346,C4322,C4298,C4274)</f>
        <v>0.90669658526801389</v>
      </c>
      <c r="I4922" s="301">
        <f>G4922*H4922</f>
        <v>373.86654218132207</v>
      </c>
      <c r="J4922" s="301">
        <f>AVERAGE(C4922,C4898,C4874,C4850,C4826,C4802,C4778)</f>
        <v>4826.4285714285716</v>
      </c>
      <c r="K4922" s="301">
        <f>J4922/POBLA!$B$1*100000</f>
        <v>27.514906649622002</v>
      </c>
      <c r="L4922" s="548">
        <f t="shared" ref="L4922:L4985" si="570">1-SUM(C4922,C4898,C4874,C4850,C4826,C4802,C4778)/SUM(C4754,C4730,C4706,C4682,C4658,C4634,C4610)</f>
        <v>0.12346928185969286</v>
      </c>
      <c r="M4922" s="400">
        <f>SUM(C4922,C4898,C4874,C4850,C4826,C4802,C4778)/POBLA!$B$1*100000</f>
        <v>192.60434654735403</v>
      </c>
    </row>
    <row r="4923" spans="1:13" s="360" customFormat="1" x14ac:dyDescent="0.25">
      <c r="A4923" s="367" t="s">
        <v>43</v>
      </c>
      <c r="B4923" s="2">
        <v>44098</v>
      </c>
      <c r="C4923" s="1">
        <v>1009</v>
      </c>
      <c r="D4923" s="39">
        <f t="shared" ref="D4923:D4935" si="571">C4923+D4899</f>
        <v>120817</v>
      </c>
      <c r="E4923" s="1">
        <f>9+10</f>
        <v>19</v>
      </c>
      <c r="F4923" s="409">
        <f>E4923+F4899</f>
        <v>3030</v>
      </c>
      <c r="G4923" s="168">
        <f>SUM(C4923,C4899,C4875,C4851,C4827,C4803,C4779,C4755,C4731,C4707,C4683,C4659,C4635,C4611)/POBLA!$B$2*100000</f>
        <v>421.37489164877883</v>
      </c>
      <c r="H4923" s="256">
        <f t="shared" si="569"/>
        <v>0.74057142857142855</v>
      </c>
      <c r="I4923" s="297">
        <f t="shared" ref="I4923:I4945" si="572">G4923*H4923</f>
        <v>312.05820547246708</v>
      </c>
      <c r="J4923" s="297">
        <f t="shared" ref="J4923:J4945" si="573">AVERAGE(C4923,C4899,C4875,C4851,C4827,C4803,C4779)</f>
        <v>856</v>
      </c>
      <c r="K4923" s="297">
        <f>J4923/POBLA!$B$2*100000</f>
        <v>27.831551485444034</v>
      </c>
      <c r="L4923" s="549">
        <f t="shared" si="570"/>
        <v>0.14006888633754311</v>
      </c>
      <c r="M4923" s="401">
        <f>SUM(C4923,C4899,C4875,C4851,C4827,C4803,C4779)/POBLA!$B$2*100000</f>
        <v>194.82086039810824</v>
      </c>
    </row>
    <row r="4924" spans="1:13" s="360" customFormat="1" x14ac:dyDescent="0.25">
      <c r="A4924" s="367" t="s">
        <v>28</v>
      </c>
      <c r="B4924" s="2">
        <v>44098</v>
      </c>
      <c r="C4924" s="1">
        <v>2</v>
      </c>
      <c r="D4924" s="39">
        <f t="shared" si="571"/>
        <v>195</v>
      </c>
      <c r="E4924" s="1"/>
      <c r="F4924" s="409">
        <f>E4924+F4900</f>
        <v>0</v>
      </c>
      <c r="G4924" s="168">
        <f>SUM(C4924,C4900,C4876,C4852,C4828,C4804,C4780,C4756,C4732,C4708,C4684,C4660,C4636,C4612)/POBLA!$B$3*100000</f>
        <v>20.219623626148788</v>
      </c>
      <c r="H4924" s="256">
        <f t="shared" si="569"/>
        <v>1.7872340425531914</v>
      </c>
      <c r="I4924" s="297">
        <f t="shared" si="572"/>
        <v>36.137199672265915</v>
      </c>
      <c r="J4924" s="297">
        <f t="shared" si="573"/>
        <v>2.5714285714285716</v>
      </c>
      <c r="K4924" s="297">
        <f>J4924/POBLA!$B$3*100000</f>
        <v>0.6189680701882283</v>
      </c>
      <c r="L4924" s="549">
        <f t="shared" si="570"/>
        <v>0.72727272727272729</v>
      </c>
      <c r="M4924" s="401">
        <f>SUM(C4924,C4900,C4876,C4852,C4828,C4804,C4780)/POBLA!$B$3*100000</f>
        <v>4.3327764913175972</v>
      </c>
    </row>
    <row r="4925" spans="1:13" s="360" customFormat="1" x14ac:dyDescent="0.25">
      <c r="A4925" s="367" t="s">
        <v>15</v>
      </c>
      <c r="B4925" s="2">
        <v>44098</v>
      </c>
      <c r="C4925" s="1">
        <v>128</v>
      </c>
      <c r="D4925" s="39">
        <f t="shared" si="571"/>
        <v>7787</v>
      </c>
      <c r="E4925" s="1">
        <f>5</f>
        <v>5</v>
      </c>
      <c r="F4925" s="409">
        <f t="shared" ref="F4925:F4943" si="574">E4925+F4901</f>
        <v>270</v>
      </c>
      <c r="G4925" s="168">
        <f>SUM(C4925,C4901,C4877,C4853,C4829,C4805,C4781,C4757,C4733,C4709,C4685,C4661,C4637,C4613)/POBLA!$B$4*100000</f>
        <v>113.65325049126596</v>
      </c>
      <c r="H4925" s="256">
        <f t="shared" si="569"/>
        <v>1.0418569254185692</v>
      </c>
      <c r="I4925" s="297">
        <f t="shared" si="572"/>
        <v>118.41042612065685</v>
      </c>
      <c r="J4925" s="297">
        <f t="shared" si="573"/>
        <v>96.857142857142861</v>
      </c>
      <c r="K4925" s="297">
        <f>J4925/POBLA!$B$4*100000</f>
        <v>8.0410000869329359</v>
      </c>
      <c r="L4925" s="549">
        <f t="shared" si="570"/>
        <v>1.8813314037626649E-2</v>
      </c>
      <c r="M4925" s="401">
        <f>SUM(C4925,C4901,C4877,C4853,C4829,C4805,C4781)/POBLA!$B$4*100000</f>
        <v>56.287000608530548</v>
      </c>
    </row>
    <row r="4926" spans="1:13" s="360" customFormat="1" x14ac:dyDescent="0.25">
      <c r="A4926" s="367" t="s">
        <v>29</v>
      </c>
      <c r="B4926" s="2">
        <v>44098</v>
      </c>
      <c r="C4926" s="1">
        <v>162</v>
      </c>
      <c r="D4926" s="39">
        <f t="shared" si="571"/>
        <v>2920</v>
      </c>
      <c r="E4926" s="1"/>
      <c r="F4926" s="409">
        <f t="shared" si="574"/>
        <v>28</v>
      </c>
      <c r="G4926" s="168">
        <f>SUM(C4926,C4902,C4878,C4854,C4830,C4806,C4782,C4758,C4734,C4710,C4686,C4662,C4638,C4614)/POBLA!$B$5*100000</f>
        <v>247.17525533365429</v>
      </c>
      <c r="H4926" s="256">
        <f t="shared" si="569"/>
        <v>2.2141823444283646</v>
      </c>
      <c r="I4926" s="297">
        <f t="shared" si="572"/>
        <v>547.29108633935027</v>
      </c>
      <c r="J4926" s="297">
        <f t="shared" si="573"/>
        <v>125.14285714285714</v>
      </c>
      <c r="K4926" s="297">
        <f>J4926/POBLA!$B$5*100000</f>
        <v>20.217135730371723</v>
      </c>
      <c r="L4926" s="549">
        <f t="shared" si="570"/>
        <v>-0.33944954128440363</v>
      </c>
      <c r="M4926" s="401">
        <f>SUM(C4926,C4902,C4878,C4854,C4830,C4806,C4782)/POBLA!$B$5*100000</f>
        <v>141.51995011260206</v>
      </c>
    </row>
    <row r="4927" spans="1:13" s="360" customFormat="1" x14ac:dyDescent="0.25">
      <c r="A4927" s="367" t="s">
        <v>20</v>
      </c>
      <c r="B4927" s="2">
        <v>44098</v>
      </c>
      <c r="C4927" s="1">
        <v>1626</v>
      </c>
      <c r="D4927" s="39">
        <f t="shared" si="571"/>
        <v>24191</v>
      </c>
      <c r="E4927" s="1">
        <f>6+7</f>
        <v>13</v>
      </c>
      <c r="F4927" s="409">
        <f t="shared" si="574"/>
        <v>293</v>
      </c>
      <c r="G4927" s="168">
        <f>SUM(C4927,C4903,C4879,C4855,C4831,C4807,C4783,C4759,C4735,C4711,C4687,C4663,C4639,C4615)/POBLA!$B$6*100000</f>
        <v>997.6793382589774</v>
      </c>
      <c r="H4927" s="256">
        <f t="shared" si="569"/>
        <v>1.9020241537676477</v>
      </c>
      <c r="I4927" s="297">
        <f t="shared" si="572"/>
        <v>1897.6101990834982</v>
      </c>
      <c r="J4927" s="297">
        <f t="shared" si="573"/>
        <v>1007.1428571428571</v>
      </c>
      <c r="K4927" s="297">
        <f>J4927/POBLA!$B$6*100000</f>
        <v>89.85920401060109</v>
      </c>
      <c r="L4927" s="549">
        <f t="shared" si="570"/>
        <v>-0.70619554695062914</v>
      </c>
      <c r="M4927" s="401">
        <f>SUM(C4927,C4903,C4879,C4855,C4831,C4807,C4783)/POBLA!$B$6*100000</f>
        <v>629.01442807420767</v>
      </c>
    </row>
    <row r="4928" spans="1:13" s="360" customFormat="1" x14ac:dyDescent="0.25">
      <c r="A4928" s="367" t="s">
        <v>30</v>
      </c>
      <c r="B4928" s="2">
        <v>44098</v>
      </c>
      <c r="C4928" s="1">
        <v>-4</v>
      </c>
      <c r="D4928" s="39">
        <f t="shared" si="571"/>
        <v>1010</v>
      </c>
      <c r="E4928" s="1">
        <f>1</f>
        <v>1</v>
      </c>
      <c r="F4928" s="409">
        <f>E4928+F4904</f>
        <v>16</v>
      </c>
      <c r="G4928" s="168">
        <f>SUM(C4928,C4904,C4880,C4856,C4832,C4808,C4784,C4760,C4736,C4712,C4688,C4664,C4640,C4616)/POBLA!$B$7*100000</f>
        <v>13.801539709343297</v>
      </c>
      <c r="H4928" s="256">
        <f t="shared" si="569"/>
        <v>2.436619718309859</v>
      </c>
      <c r="I4928" s="297">
        <f t="shared" si="572"/>
        <v>33.629103798822399</v>
      </c>
      <c r="J4928" s="297">
        <f t="shared" si="573"/>
        <v>20.285714285714285</v>
      </c>
      <c r="K4928" s="297">
        <f>J4928/POBLA!$B$7*100000</f>
        <v>0.53944911608223178</v>
      </c>
      <c r="L4928" s="549">
        <f t="shared" si="570"/>
        <v>0.62334217506631306</v>
      </c>
      <c r="M4928" s="401">
        <f>SUM(C4928,C4904,C4880,C4856,C4832,C4808,C4784)/POBLA!$B$7*100000</f>
        <v>3.776143812575623</v>
      </c>
    </row>
    <row r="4929" spans="1:13" x14ac:dyDescent="0.25">
      <c r="A4929" s="367" t="s">
        <v>31</v>
      </c>
      <c r="B4929" s="2">
        <v>44098</v>
      </c>
      <c r="C4929" s="1">
        <v>115</v>
      </c>
      <c r="D4929" s="39">
        <f t="shared" si="571"/>
        <v>6645</v>
      </c>
      <c r="E4929" s="1">
        <f>2+1</f>
        <v>3</v>
      </c>
      <c r="F4929" s="409">
        <f>E4929+F4905</f>
        <v>125</v>
      </c>
      <c r="G4929" s="168">
        <f>SUM(C4929,C4905,C4881,C4857,C4833,C4809,C4785,C4761,C4737,C4713,C4689,C4665,C4641,C4617)/POBLA!$B$8*100000</f>
        <v>129.94593642966865</v>
      </c>
      <c r="H4929" s="256">
        <f t="shared" si="569"/>
        <v>0.87300048473097436</v>
      </c>
      <c r="I4929" s="297">
        <f t="shared" si="572"/>
        <v>113.44286549192111</v>
      </c>
      <c r="J4929" s="297">
        <f t="shared" si="573"/>
        <v>124.42857142857143</v>
      </c>
      <c r="K4929" s="297">
        <f>J4929/POBLA!$B$8*100000</f>
        <v>8.9777830277021806</v>
      </c>
      <c r="L4929" s="549">
        <f t="shared" si="570"/>
        <v>6.3440860215053796E-2</v>
      </c>
      <c r="M4929" s="401">
        <f>SUM(C4929,C4905,C4881,C4857,C4833,C4809,C4785)/POBLA!$B$8*100000</f>
        <v>62.844481193915264</v>
      </c>
    </row>
    <row r="4930" spans="1:13" s="360" customFormat="1" x14ac:dyDescent="0.25">
      <c r="A4930" s="367" t="s">
        <v>41</v>
      </c>
      <c r="B4930" s="2">
        <v>44098</v>
      </c>
      <c r="C4930" s="1">
        <v>0</v>
      </c>
      <c r="D4930" s="39">
        <f t="shared" si="571"/>
        <v>102</v>
      </c>
      <c r="E4930" s="1"/>
      <c r="F4930" s="409">
        <f>E4930+F4906</f>
        <v>1</v>
      </c>
      <c r="G4930" s="168">
        <f>SUM(C4930,C4906,C4882,C4858,C4834,C4810,C4786,C4762,C4738,C4714,C4690,C4666,C4642,C4618)/POBLA!$B$9*100000</f>
        <v>1.6523654437510016</v>
      </c>
      <c r="H4930" s="256">
        <f t="shared" si="569"/>
        <v>1</v>
      </c>
      <c r="I4930" s="297">
        <f t="shared" si="572"/>
        <v>1.6523654437510016</v>
      </c>
      <c r="J4930" s="297">
        <f t="shared" si="573"/>
        <v>1.2857142857142858</v>
      </c>
      <c r="K4930" s="297">
        <f>J4930/POBLA!$B$9*100000</f>
        <v>0.21244698562512881</v>
      </c>
      <c r="L4930" s="549">
        <f t="shared" si="570"/>
        <v>-8</v>
      </c>
      <c r="M4930" s="401">
        <f>SUM(C4930,C4906,C4882,C4858,C4834,C4810,C4786)/POBLA!$B$9*100000</f>
        <v>1.4871288993759018</v>
      </c>
    </row>
    <row r="4931" spans="1:13" s="360" customFormat="1" x14ac:dyDescent="0.25">
      <c r="A4931" s="367" t="s">
        <v>32</v>
      </c>
      <c r="B4931" s="2">
        <v>44098</v>
      </c>
      <c r="C4931" s="1">
        <v>223</v>
      </c>
      <c r="D4931" s="39">
        <f t="shared" si="571"/>
        <v>14803</v>
      </c>
      <c r="E4931" s="1">
        <f>9+2</f>
        <v>11</v>
      </c>
      <c r="F4931" s="409">
        <f>E4931+F4907</f>
        <v>373</v>
      </c>
      <c r="G4931" s="168">
        <f>SUM(C4931,C4907,C4883,C4859,C4835,C4811,C4787,C4763,C4739,C4715,C4691,C4667,C4643,C4619)/POBLA!$B$10*100000</f>
        <v>441.83213751538824</v>
      </c>
      <c r="H4931" s="256">
        <f t="shared" si="569"/>
        <v>0.82609750181906383</v>
      </c>
      <c r="I4931" s="297">
        <f t="shared" si="572"/>
        <v>364.99642502483931</v>
      </c>
      <c r="J4931" s="297">
        <f t="shared" si="573"/>
        <v>208.42857142857142</v>
      </c>
      <c r="K4931" s="297">
        <f>J4931/POBLA!$B$10*100000</f>
        <v>27.037710285838074</v>
      </c>
      <c r="L4931" s="549">
        <f t="shared" si="570"/>
        <v>0.25064201335387781</v>
      </c>
      <c r="M4931" s="401">
        <f>SUM(C4931,C4907,C4883,C4859,C4835,C4811,C4787)/POBLA!$B$10*100000</f>
        <v>189.26397200086654</v>
      </c>
    </row>
    <row r="4932" spans="1:13" s="360" customFormat="1" x14ac:dyDescent="0.25">
      <c r="A4932" s="367" t="s">
        <v>33</v>
      </c>
      <c r="B4932" s="2">
        <v>44098</v>
      </c>
      <c r="C4932" s="1">
        <v>34</v>
      </c>
      <c r="D4932" s="39">
        <f t="shared" si="571"/>
        <v>657</v>
      </c>
      <c r="E4932" s="1"/>
      <c r="F4932" s="409">
        <f t="shared" si="574"/>
        <v>4</v>
      </c>
      <c r="G4932" s="168">
        <f>SUM(C4932,C4908,C4884,C4860,C4836,C4812,C4788,C4764,C4740,C4716,C4692,C4668,C4644,C4620)/POBLA!$B$11*100000</f>
        <v>101.27556998895176</v>
      </c>
      <c r="H4932" s="256">
        <f t="shared" si="569"/>
        <v>3.63</v>
      </c>
      <c r="I4932" s="297">
        <f t="shared" si="572"/>
        <v>367.63031905989487</v>
      </c>
      <c r="J4932" s="297">
        <f t="shared" si="573"/>
        <v>19.571428571428573</v>
      </c>
      <c r="K4932" s="297">
        <f>J4932/POBLA!$B$11*100000</f>
        <v>5.4603514712657981</v>
      </c>
      <c r="L4932" s="549">
        <f t="shared" si="570"/>
        <v>0.39380530973451322</v>
      </c>
      <c r="M4932" s="401">
        <f>SUM(C4932,C4908,C4884,C4860,C4836,C4812,C4788)/POBLA!$B$11*100000</f>
        <v>38.222460298860582</v>
      </c>
    </row>
    <row r="4933" spans="1:13" s="360" customFormat="1" x14ac:dyDescent="0.25">
      <c r="A4933" s="367" t="s">
        <v>21</v>
      </c>
      <c r="B4933" s="2">
        <v>44098</v>
      </c>
      <c r="C4933" s="1">
        <v>100</v>
      </c>
      <c r="D4933" s="39">
        <f t="shared" si="571"/>
        <v>4368</v>
      </c>
      <c r="E4933" s="1"/>
      <c r="F4933" s="409">
        <f t="shared" si="574"/>
        <v>101</v>
      </c>
      <c r="G4933" s="168">
        <f>SUM(C4933,C4909,C4885,C4861,C4837,C4813,C4789,C4765,C4741,C4717,C4693,C4669,C4645,C4621)/POBLA!$B$12*100000</f>
        <v>473.91438031565497</v>
      </c>
      <c r="H4933" s="256">
        <f t="shared" si="569"/>
        <v>1.5150284321689682</v>
      </c>
      <c r="I4933" s="297">
        <f t="shared" si="572"/>
        <v>717.99376059195492</v>
      </c>
      <c r="J4933" s="297">
        <f t="shared" si="573"/>
        <v>159.42857142857142</v>
      </c>
      <c r="K4933" s="297">
        <f>J4933/POBLA!$B$12*100000</f>
        <v>40.512328489641583</v>
      </c>
      <c r="L4933" s="549">
        <f t="shared" si="570"/>
        <v>-0.48998664886515364</v>
      </c>
      <c r="M4933" s="401">
        <f>SUM(C4933,C4909,C4885,C4861,C4837,C4813,C4789)/POBLA!$B$12*100000</f>
        <v>283.5862994274911</v>
      </c>
    </row>
    <row r="4934" spans="1:13" s="360" customFormat="1" x14ac:dyDescent="0.25">
      <c r="A4934" s="367" t="s">
        <v>17</v>
      </c>
      <c r="B4934" s="2">
        <v>44098</v>
      </c>
      <c r="C4934" s="1">
        <v>656</v>
      </c>
      <c r="D4934" s="39">
        <f t="shared" si="571"/>
        <v>21059</v>
      </c>
      <c r="E4934" s="1">
        <f>2+4</f>
        <v>6</v>
      </c>
      <c r="F4934" s="409">
        <f t="shared" si="574"/>
        <v>213</v>
      </c>
      <c r="G4934" s="168">
        <f>SUM(C4934,C4910,C4886,C4862,C4838,C4814,C4790,C4766,C4742,C4718,C4694,C4670,C4646,C4622)/POBLA!$B$13*100000</f>
        <v>436.81023022220342</v>
      </c>
      <c r="H4934" s="256">
        <f t="shared" si="569"/>
        <v>1.2853341218214074</v>
      </c>
      <c r="I4934" s="297">
        <f t="shared" si="572"/>
        <v>561.44709366526263</v>
      </c>
      <c r="J4934" s="297">
        <f t="shared" si="573"/>
        <v>578.57142857142856</v>
      </c>
      <c r="K4934" s="297">
        <f>J4934/POBLA!$B$13*100000</f>
        <v>29.069003785860922</v>
      </c>
      <c r="L4934" s="549">
        <f t="shared" si="570"/>
        <v>0.12790697674418605</v>
      </c>
      <c r="M4934" s="401">
        <f>SUM(C4934,C4910,C4886,C4862,C4838,C4814,C4790)/POBLA!$B$13*100000</f>
        <v>203.48302650102647</v>
      </c>
    </row>
    <row r="4935" spans="1:13" s="360" customFormat="1" x14ac:dyDescent="0.25">
      <c r="A4935" s="367" t="s">
        <v>23</v>
      </c>
      <c r="B4935" s="2">
        <v>44098</v>
      </c>
      <c r="C4935" s="1">
        <v>3</v>
      </c>
      <c r="D4935" s="39">
        <f t="shared" si="571"/>
        <v>85</v>
      </c>
      <c r="E4935" s="1"/>
      <c r="F4935" s="409">
        <f t="shared" si="574"/>
        <v>2</v>
      </c>
      <c r="G4935" s="168">
        <f>SUM(C4935,C4911,C4887,C4863,C4839,C4815,C4791,C4767,C4743,C4719,C4695,C4671,C4647,C4623)/POBLA!$B$14*100000</f>
        <v>1.5856731261704251</v>
      </c>
      <c r="H4935" s="256">
        <f t="shared" si="569"/>
        <v>2.8571428571428572</v>
      </c>
      <c r="I4935" s="297">
        <f t="shared" si="572"/>
        <v>4.5304946462012143</v>
      </c>
      <c r="J4935" s="297">
        <f t="shared" si="573"/>
        <v>2.8571428571428572</v>
      </c>
      <c r="K4935" s="297">
        <f>J4935/POBLA!$B$14*100000</f>
        <v>0.22652473231006073</v>
      </c>
      <c r="L4935" s="549" t="e">
        <f t="shared" si="570"/>
        <v>#DIV/0!</v>
      </c>
      <c r="M4935" s="401">
        <f>SUM(C4935,C4911,C4887,C4863,C4839,C4815,C4791)/POBLA!$B$14*100000</f>
        <v>1.5856731261704251</v>
      </c>
    </row>
    <row r="4936" spans="1:13" s="360" customFormat="1" x14ac:dyDescent="0.25">
      <c r="A4936" s="367" t="s">
        <v>19</v>
      </c>
      <c r="B4936" s="2">
        <v>44098</v>
      </c>
      <c r="C4936" s="1">
        <v>253</v>
      </c>
      <c r="D4936" s="39">
        <f>C4936+D4912</f>
        <v>6870</v>
      </c>
      <c r="E4936" s="1">
        <f>1+1</f>
        <v>2</v>
      </c>
      <c r="F4936" s="409">
        <f t="shared" si="574"/>
        <v>101</v>
      </c>
      <c r="G4936" s="168">
        <f>SUM(C4936,C4912,C4888,C4864,C4840,C4816,C4792,C4768,C4744,C4720,C4696,C4672,C4648,C4624)/POBLA!$B$15*100000</f>
        <v>387.31614906551698</v>
      </c>
      <c r="H4936" s="256">
        <f t="shared" si="569"/>
        <v>1.5788827501534684</v>
      </c>
      <c r="I4936" s="297">
        <f t="shared" si="572"/>
        <v>611.52678661541415</v>
      </c>
      <c r="J4936" s="297">
        <f t="shared" si="573"/>
        <v>186.28571428571428</v>
      </c>
      <c r="K4936" s="297">
        <f>J4936/POBLA!$B$15*100000</f>
        <v>28.05266931689814</v>
      </c>
      <c r="L4936" s="549">
        <f t="shared" si="570"/>
        <v>-2.8391167192429068E-2</v>
      </c>
      <c r="M4936" s="401">
        <f>SUM(C4936,C4912,C4888,C4864,C4840,C4816,C4792)/POBLA!$B$15*100000</f>
        <v>196.368685218287</v>
      </c>
    </row>
    <row r="4937" spans="1:13" s="360" customFormat="1" x14ac:dyDescent="0.25">
      <c r="A4937" s="367" t="s">
        <v>18</v>
      </c>
      <c r="B4937" s="2">
        <v>44098</v>
      </c>
      <c r="C4937" s="1">
        <v>247</v>
      </c>
      <c r="D4937" s="39">
        <f>C4937+D4913</f>
        <v>11248</v>
      </c>
      <c r="E4937" s="1">
        <f>6+4</f>
        <v>10</v>
      </c>
      <c r="F4937" s="409">
        <f t="shared" si="574"/>
        <v>246</v>
      </c>
      <c r="G4937" s="168">
        <f>SUM(C4937,C4913,C4889,C4865,C4841,C4817,C4793,C4769,C4745,C4721,C4697,C4673,C4649,C4625)/POBLA!$B$16*100000</f>
        <v>428.83321517903715</v>
      </c>
      <c r="H4937" s="256">
        <f t="shared" si="569"/>
        <v>1.2326028450595925</v>
      </c>
      <c r="I4937" s="297">
        <f t="shared" si="572"/>
        <v>528.58104108573366</v>
      </c>
      <c r="J4937" s="297">
        <f t="shared" si="573"/>
        <v>213.71428571428572</v>
      </c>
      <c r="K4937" s="297">
        <f>J4937/POBLA!$B$16*100000</f>
        <v>28.586333210401911</v>
      </c>
      <c r="L4937" s="549">
        <f t="shared" si="570"/>
        <v>0.12514619883040934</v>
      </c>
      <c r="M4937" s="401">
        <f>SUM(C4937,C4913,C4889,C4865,C4841,C4817,C4793)/POBLA!$B$16*100000</f>
        <v>200.10433247281338</v>
      </c>
    </row>
    <row r="4938" spans="1:13" s="360" customFormat="1" x14ac:dyDescent="0.25">
      <c r="A4938" s="367" t="s">
        <v>34</v>
      </c>
      <c r="B4938" s="2">
        <v>44098</v>
      </c>
      <c r="C4938" s="1">
        <v>286</v>
      </c>
      <c r="D4938" s="39">
        <f>C4938+D4914</f>
        <v>10483</v>
      </c>
      <c r="E4938" s="1">
        <f>10+4</f>
        <v>14</v>
      </c>
      <c r="F4938" s="409">
        <f>E4938+F4914</f>
        <v>235</v>
      </c>
      <c r="G4938" s="168">
        <f>SUM(C4938,C4914,C4890,C4866,C4842,C4818,C4794,C4770,C4746,C4722,C4698,C4674,C4650,C4626)/POBLA!$B$17*100000</f>
        <v>326.17311044603434</v>
      </c>
      <c r="H4938" s="256">
        <f t="shared" si="569"/>
        <v>1.3774088348651052</v>
      </c>
      <c r="I4938" s="297">
        <f t="shared" si="572"/>
        <v>449.27372402379945</v>
      </c>
      <c r="J4938" s="297">
        <f t="shared" si="573"/>
        <v>348.85714285714283</v>
      </c>
      <c r="K4938" s="297">
        <f>J4938/POBLA!$B$17*100000</f>
        <v>24.491566807367811</v>
      </c>
      <c r="L4938" s="549">
        <f t="shared" si="570"/>
        <v>-0.10798548094373861</v>
      </c>
      <c r="M4938" s="401">
        <f>SUM(C4938,C4914,C4890,C4866,C4842,C4818,C4794)/POBLA!$B$17*100000</f>
        <v>171.44096765157468</v>
      </c>
    </row>
    <row r="4939" spans="1:13" s="360" customFormat="1" x14ac:dyDescent="0.25">
      <c r="A4939" s="367" t="s">
        <v>35</v>
      </c>
      <c r="B4939" s="2">
        <v>44098</v>
      </c>
      <c r="C4939" s="1">
        <v>12</v>
      </c>
      <c r="D4939" s="39">
        <f t="shared" ref="D4939:D4945" si="575">C4939+D4915</f>
        <v>548</v>
      </c>
      <c r="E4939" s="1"/>
      <c r="F4939" s="409">
        <f>E4939+F4915</f>
        <v>25</v>
      </c>
      <c r="G4939" s="168">
        <f>SUM(C4939,C4915,C4891,C4867,C4843,C4819,C4795,C4771,C4747,C4723,C4699,C4675,C4651,C4627)/POBLA!$B$18*100000</f>
        <v>20.864881332587487</v>
      </c>
      <c r="H4939" s="256">
        <f t="shared" si="569"/>
        <v>0.80295566502463056</v>
      </c>
      <c r="I4939" s="297">
        <f t="shared" si="572"/>
        <v>16.753574666067784</v>
      </c>
      <c r="J4939" s="297">
        <f t="shared" si="573"/>
        <v>14.285714285714286</v>
      </c>
      <c r="K4939" s="297">
        <f>J4939/POBLA!$B$18*100000</f>
        <v>1.8286486706912786</v>
      </c>
      <c r="L4939" s="549">
        <f t="shared" si="570"/>
        <v>-0.58730158730158721</v>
      </c>
      <c r="M4939" s="401">
        <f>SUM(C4939,C4915,C4891,C4867,C4843,C4819,C4795)/POBLA!$B$18*100000</f>
        <v>12.800540694838951</v>
      </c>
    </row>
    <row r="4940" spans="1:13" s="360" customFormat="1" x14ac:dyDescent="0.25">
      <c r="A4940" s="367" t="s">
        <v>36</v>
      </c>
      <c r="B4940" s="2">
        <v>44098</v>
      </c>
      <c r="C4940" s="1">
        <v>71</v>
      </c>
      <c r="D4940" s="39">
        <f t="shared" si="575"/>
        <v>991</v>
      </c>
      <c r="E4940" s="1"/>
      <c r="F4940" s="409">
        <f t="shared" si="574"/>
        <v>3</v>
      </c>
      <c r="G4940" s="168">
        <f>SUM(C4940,C4916,C4892,C4868,C4844,C4820,C4796,C4772,C4748,C4724,C4700,C4676,C4652,C4628)/POBLA!$B$19*100000</f>
        <v>124.91934341606206</v>
      </c>
      <c r="H4940" s="256">
        <f t="shared" si="569"/>
        <v>2.081967213114754</v>
      </c>
      <c r="I4940" s="297">
        <f t="shared" si="572"/>
        <v>260.07797727606362</v>
      </c>
      <c r="J4940" s="297">
        <f t="shared" si="573"/>
        <v>60.142857142857146</v>
      </c>
      <c r="K4940" s="297">
        <f>J4940/POBLA!$B$19*100000</f>
        <v>11.831505866853124</v>
      </c>
      <c r="L4940" s="549">
        <f t="shared" si="570"/>
        <v>-0.96728971962616828</v>
      </c>
      <c r="M4940" s="401">
        <f>SUM(C4940,C4916,C4892,C4868,C4844,C4820,C4796)/POBLA!$B$19*100000</f>
        <v>82.82054106797186</v>
      </c>
    </row>
    <row r="4941" spans="1:13" s="360" customFormat="1" x14ac:dyDescent="0.25">
      <c r="A4941" s="367" t="s">
        <v>37</v>
      </c>
      <c r="B4941" s="2">
        <v>44098</v>
      </c>
      <c r="C4941" s="1">
        <v>86</v>
      </c>
      <c r="D4941" s="39">
        <f t="shared" si="575"/>
        <v>4116</v>
      </c>
      <c r="E4941" s="1">
        <f>2</f>
        <v>2</v>
      </c>
      <c r="F4941" s="409">
        <f>E4941+F4917</f>
        <v>49</v>
      </c>
      <c r="G4941" s="168">
        <f>SUM(C4941,C4917,C4893,C4869,C4845,C4821,C4797,C4773,C4749,C4725,C4701,C4677,C4653,C4629)/POBLA!$B$20*100000</f>
        <v>407.44001881333776</v>
      </c>
      <c r="H4941" s="256">
        <f t="shared" si="569"/>
        <v>1.3594890510948905</v>
      </c>
      <c r="I4941" s="297">
        <f t="shared" si="572"/>
        <v>553.91024455462889</v>
      </c>
      <c r="J4941" s="297">
        <f t="shared" si="573"/>
        <v>107.71428571428571</v>
      </c>
      <c r="K4941" s="297">
        <f>J4941/POBLA!$B$20*100000</f>
        <v>29.454436642881753</v>
      </c>
      <c r="L4941" s="549">
        <f t="shared" si="570"/>
        <v>-2.4456521739130377E-2</v>
      </c>
      <c r="M4941" s="401">
        <f>SUM(C4941,C4917,C4893,C4869,C4845,C4821,C4797)/POBLA!$B$20*100000</f>
        <v>206.18105650017228</v>
      </c>
    </row>
    <row r="4942" spans="1:13" s="360" customFormat="1" x14ac:dyDescent="0.25">
      <c r="A4942" s="367" t="s">
        <v>22</v>
      </c>
      <c r="B4942" s="2">
        <v>44098</v>
      </c>
      <c r="C4942" s="1">
        <v>1928</v>
      </c>
      <c r="D4942" s="39">
        <f t="shared" si="575"/>
        <v>32812</v>
      </c>
      <c r="E4942" s="1">
        <f>10+10</f>
        <v>20</v>
      </c>
      <c r="F4942" s="409">
        <f>E4942+F4918</f>
        <v>343</v>
      </c>
      <c r="G4942" s="168">
        <f>SUM(C4942,C4918,C4894,C4870,C4846,C4822,C4798,C4774,C4750,C4726,C4702,C4678,C4654,C4630)/POBLA!$B$21*100000</f>
        <v>482.66353129070148</v>
      </c>
      <c r="H4942" s="256">
        <f t="shared" si="569"/>
        <v>1.7950362814176044</v>
      </c>
      <c r="I4942" s="297">
        <f t="shared" si="572"/>
        <v>866.39855038395035</v>
      </c>
      <c r="J4942" s="297">
        <f t="shared" si="573"/>
        <v>1396.8571428571429</v>
      </c>
      <c r="K4942" s="297">
        <f>J4942/POBLA!$B$21*100000</f>
        <v>39.499209167500645</v>
      </c>
      <c r="L4942" s="549">
        <f t="shared" si="570"/>
        <v>-0.34110547250034284</v>
      </c>
      <c r="M4942" s="401">
        <f>SUM(C4942,C4918,C4894,C4870,C4846,C4822,C4798)/POBLA!$B$21*100000</f>
        <v>276.49446417250454</v>
      </c>
    </row>
    <row r="4943" spans="1:13" s="360" customFormat="1" x14ac:dyDescent="0.25">
      <c r="A4943" s="367" t="s">
        <v>38</v>
      </c>
      <c r="B4943" s="2">
        <v>44098</v>
      </c>
      <c r="C4943" s="1">
        <v>116</v>
      </c>
      <c r="D4943" s="39">
        <f t="shared" si="575"/>
        <v>2724</v>
      </c>
      <c r="E4943" s="1">
        <f>1</f>
        <v>1</v>
      </c>
      <c r="F4943" s="409">
        <f t="shared" si="574"/>
        <v>44</v>
      </c>
      <c r="G4943" s="168">
        <f>SUM(C4943,C4919,C4895,C4871,C4847,C4823,C4799,C4775,C4751,C4727,C4703,C4679,C4655,C4631)/POBLA!$B$22*100000</f>
        <v>119.18475988768419</v>
      </c>
      <c r="H4943" s="256">
        <f t="shared" si="569"/>
        <v>1.4341943419434193</v>
      </c>
      <c r="I4943" s="297">
        <f t="shared" si="572"/>
        <v>170.93410827680168</v>
      </c>
      <c r="J4943" s="297">
        <f t="shared" si="573"/>
        <v>87.857142857142861</v>
      </c>
      <c r="K4943" s="297">
        <f>J4943/POBLA!$B$22*100000</f>
        <v>8.9804738214807394</v>
      </c>
      <c r="L4943" s="549">
        <f t="shared" si="570"/>
        <v>-0.11615245009074404</v>
      </c>
      <c r="M4943" s="401">
        <f>SUM(C4943,C4919,C4895,C4871,C4847,C4823,C4799)/POBLA!$B$22*100000</f>
        <v>62.863316750365165</v>
      </c>
    </row>
    <row r="4944" spans="1:13" s="360" customFormat="1" x14ac:dyDescent="0.25">
      <c r="A4944" s="367" t="s">
        <v>39</v>
      </c>
      <c r="B4944" s="2">
        <v>44098</v>
      </c>
      <c r="C4944" s="1">
        <v>68</v>
      </c>
      <c r="D4944" s="39">
        <f t="shared" si="575"/>
        <v>3503</v>
      </c>
      <c r="E4944" s="1">
        <f>1</f>
        <v>1</v>
      </c>
      <c r="F4944" s="409">
        <f>E4944+F4920</f>
        <v>60</v>
      </c>
      <c r="G4944" s="168">
        <f>SUM(C4944,C4920,C4896,C4872,C4848,C4824,C4800,C4776,C4752,C4728,C4704,C4680,C4656,C4632)/POBLA!$B$23*100000</f>
        <v>515.18407510037889</v>
      </c>
      <c r="H4944" s="256">
        <f t="shared" si="569"/>
        <v>1.2776998597475455</v>
      </c>
      <c r="I4944" s="297">
        <f t="shared" si="572"/>
        <v>658.25062049992312</v>
      </c>
      <c r="J4944" s="297">
        <f t="shared" si="573"/>
        <v>79</v>
      </c>
      <c r="K4944" s="297">
        <f>J4944/POBLA!$B$23*100000</f>
        <v>44.675677204094328</v>
      </c>
      <c r="L4944" s="549">
        <f t="shared" si="570"/>
        <v>-0.54469273743016755</v>
      </c>
      <c r="M4944" s="401">
        <f>SUM(C4944,C4920,C4896,C4872,C4848,C4824,C4800)/POBLA!$B$23*100000</f>
        <v>312.72974042866031</v>
      </c>
    </row>
    <row r="4945" spans="1:13" s="360" customFormat="1" ht="15.75" thickBot="1" x14ac:dyDescent="0.3">
      <c r="A4945" s="369" t="s">
        <v>40</v>
      </c>
      <c r="B4945" s="266">
        <v>44098</v>
      </c>
      <c r="C4945" s="44">
        <v>224</v>
      </c>
      <c r="D4945" s="176">
        <f t="shared" si="575"/>
        <v>11497</v>
      </c>
      <c r="E4945" s="44">
        <f>1</f>
        <v>1</v>
      </c>
      <c r="F4945" s="476">
        <f>E4945+F4921</f>
        <v>102</v>
      </c>
      <c r="G4945" s="177">
        <f>SUM(C4945,C4921,C4897,C4873,C4849,C4825,C4801,C4777,C4753,C4729,C4705,C4681,C4657,C4633)/POBLA!$B$24*100000</f>
        <v>358.65686015332909</v>
      </c>
      <c r="H4945" s="402">
        <f t="shared" si="569"/>
        <v>1.5387341772151899</v>
      </c>
      <c r="I4945" s="403">
        <f t="shared" si="572"/>
        <v>551.87756861061632</v>
      </c>
      <c r="J4945" s="403">
        <f t="shared" si="573"/>
        <v>412.42857142857144</v>
      </c>
      <c r="K4945" s="403">
        <f>J4945/POBLA!$B$24*100000</f>
        <v>24.337008303075752</v>
      </c>
      <c r="L4945" s="550">
        <f t="shared" si="570"/>
        <v>9.526794108429959E-2</v>
      </c>
      <c r="M4945" s="405">
        <f>SUM(C4945,C4921,C4897,C4873,C4849,C4825,C4801)/POBLA!$B$24*100000</f>
        <v>170.35905812153027</v>
      </c>
    </row>
    <row r="4946" spans="1:13" s="360" customFormat="1" x14ac:dyDescent="0.25">
      <c r="A4946" s="363" t="s">
        <v>16</v>
      </c>
      <c r="B4946" s="267">
        <v>44099</v>
      </c>
      <c r="C4946" s="225">
        <v>5600</v>
      </c>
      <c r="D4946" s="174">
        <f>C4946+D4922</f>
        <v>394435</v>
      </c>
      <c r="E4946" s="225">
        <f>122+118</f>
        <v>240</v>
      </c>
      <c r="F4946" s="475">
        <f>E4946+F4922</f>
        <v>9103</v>
      </c>
      <c r="G4946" s="175">
        <f>SUM(C4946,C4922,C4898,C4874,C4850,C4826,C4802,C4778,C4754,C4730,C4706,C4682,C4658,C4634)/POBLA!$B$1*100000</f>
        <v>411.58668070680238</v>
      </c>
      <c r="H4946" s="300">
        <f t="shared" si="569"/>
        <v>0.92538901279191976</v>
      </c>
      <c r="I4946" s="301">
        <f>G4946*H4946</f>
        <v>380.87779213757096</v>
      </c>
      <c r="J4946" s="301">
        <f>AVERAGE(C4946,C4922,C4898,C4874,C4850,C4826,C4802)</f>
        <v>4811</v>
      </c>
      <c r="K4946" s="301">
        <f>J4946/POBLA!$B$1*100000</f>
        <v>27.426950162478029</v>
      </c>
      <c r="L4946" s="548">
        <f t="shared" si="570"/>
        <v>0.12572689511941848</v>
      </c>
      <c r="M4946" s="400">
        <f>SUM(C4946,C4922,C4898,C4874,C4850,C4826,C4802)/POBLA!$B$1*100000</f>
        <v>191.98865113734621</v>
      </c>
    </row>
    <row r="4947" spans="1:13" s="360" customFormat="1" x14ac:dyDescent="0.25">
      <c r="A4947" s="367" t="s">
        <v>43</v>
      </c>
      <c r="B4947" s="267">
        <v>44099</v>
      </c>
      <c r="C4947" s="1">
        <v>926</v>
      </c>
      <c r="D4947" s="39">
        <f t="shared" ref="D4947:D4959" si="576">C4947+D4923</f>
        <v>121743</v>
      </c>
      <c r="E4947" s="1">
        <f>27+20</f>
        <v>47</v>
      </c>
      <c r="F4947" s="409">
        <f>E4947+F4923</f>
        <v>3077</v>
      </c>
      <c r="G4947" s="168">
        <f>SUM(C4947,C4923,C4899,C4875,C4851,C4827,C4803,C4779,C4755,C4731,C4707,C4683,C4659,C4635)/POBLA!$B$2*100000</f>
        <v>411.9784916729688</v>
      </c>
      <c r="H4947" s="256">
        <f t="shared" si="569"/>
        <v>0.73306334972519527</v>
      </c>
      <c r="I4947" s="297">
        <f t="shared" ref="I4947:I4969" si="577">G4947*H4947</f>
        <v>302.00633312051997</v>
      </c>
      <c r="J4947" s="297">
        <f t="shared" ref="J4947:J4969" si="578">AVERAGE(C4947,C4923,C4899,C4875,C4851,C4827,C4803)</f>
        <v>835.42857142857144</v>
      </c>
      <c r="K4947" s="297">
        <f>J4947/POBLA!$B$2*100000</f>
        <v>27.162702451080893</v>
      </c>
      <c r="L4947" s="549">
        <f t="shared" si="570"/>
        <v>0.14289901802726068</v>
      </c>
      <c r="M4947" s="401">
        <f>SUM(C4947,C4923,C4899,C4875,C4851,C4827,C4803)/POBLA!$B$2*100000</f>
        <v>190.13891715756623</v>
      </c>
    </row>
    <row r="4948" spans="1:13" s="360" customFormat="1" x14ac:dyDescent="0.25">
      <c r="A4948" s="367" t="s">
        <v>28</v>
      </c>
      <c r="B4948" s="267">
        <v>44099</v>
      </c>
      <c r="C4948" s="1">
        <v>6</v>
      </c>
      <c r="D4948" s="39">
        <f t="shared" si="576"/>
        <v>201</v>
      </c>
      <c r="E4948" s="1"/>
      <c r="F4948" s="409">
        <f>E4948+F4924</f>
        <v>0</v>
      </c>
      <c r="G4948" s="168">
        <f>SUM(C4948,C4924,C4900,C4876,C4852,C4828,C4804,C4780,C4756,C4732,C4708,C4684,C4660,C4636)/POBLA!$B$3*100000</f>
        <v>20.941753041368386</v>
      </c>
      <c r="H4948" s="256">
        <f t="shared" si="569"/>
        <v>1.7755102040816326</v>
      </c>
      <c r="I4948" s="297">
        <f t="shared" si="577"/>
        <v>37.182296216307137</v>
      </c>
      <c r="J4948" s="297">
        <f t="shared" si="578"/>
        <v>2.5714285714285716</v>
      </c>
      <c r="K4948" s="297">
        <f>J4948/POBLA!$B$3*100000</f>
        <v>0.6189680701882283</v>
      </c>
      <c r="L4948" s="549">
        <f t="shared" si="570"/>
        <v>0.73913043478260865</v>
      </c>
      <c r="M4948" s="401">
        <f>SUM(C4948,C4924,C4900,C4876,C4852,C4828,C4804)/POBLA!$B$3*100000</f>
        <v>4.3327764913175972</v>
      </c>
    </row>
    <row r="4949" spans="1:13" s="360" customFormat="1" x14ac:dyDescent="0.25">
      <c r="A4949" s="367" t="s">
        <v>15</v>
      </c>
      <c r="B4949" s="267">
        <v>44099</v>
      </c>
      <c r="C4949" s="1">
        <v>120</v>
      </c>
      <c r="D4949" s="39">
        <f t="shared" si="576"/>
        <v>7907</v>
      </c>
      <c r="E4949" s="1">
        <f>4+1</f>
        <v>5</v>
      </c>
      <c r="F4949" s="409">
        <f t="shared" ref="F4949:F4967" si="579">E4949+F4925</f>
        <v>275</v>
      </c>
      <c r="G4949" s="168">
        <f>SUM(C4949,C4925,C4901,C4877,C4853,C4829,C4805,C4781,C4757,C4733,C4709,C4685,C4661,C4637)/POBLA!$B$4*100000</f>
        <v>113.23815461657179</v>
      </c>
      <c r="H4949" s="256">
        <f t="shared" si="569"/>
        <v>1.0029411764705882</v>
      </c>
      <c r="I4949" s="297">
        <f t="shared" si="577"/>
        <v>113.57120801250288</v>
      </c>
      <c r="J4949" s="297">
        <f t="shared" si="578"/>
        <v>99.142857142857139</v>
      </c>
      <c r="K4949" s="297">
        <f>J4949/POBLA!$B$4*100000</f>
        <v>8.2307582010788458</v>
      </c>
      <c r="L4949" s="549">
        <f t="shared" si="570"/>
        <v>-3.5820895522387985E-2</v>
      </c>
      <c r="M4949" s="401">
        <f>SUM(C4949,C4925,C4901,C4877,C4853,C4829,C4805)/POBLA!$B$4*100000</f>
        <v>57.615307407551917</v>
      </c>
    </row>
    <row r="4950" spans="1:13" s="360" customFormat="1" x14ac:dyDescent="0.25">
      <c r="A4950" s="367" t="s">
        <v>29</v>
      </c>
      <c r="B4950" s="267">
        <v>44099</v>
      </c>
      <c r="C4950" s="1">
        <v>207</v>
      </c>
      <c r="D4950" s="39">
        <f t="shared" si="576"/>
        <v>3127</v>
      </c>
      <c r="E4950" s="1">
        <f>1</f>
        <v>1</v>
      </c>
      <c r="F4950" s="409">
        <f t="shared" si="579"/>
        <v>29</v>
      </c>
      <c r="G4950" s="168">
        <f>SUM(C4950,C4926,C4902,C4878,C4854,C4830,C4806,C4782,C4758,C4734,C4710,C4686,C4662,C4638)/POBLA!$B$5*100000</f>
        <v>266.07689250622786</v>
      </c>
      <c r="H4950" s="256">
        <f t="shared" si="569"/>
        <v>2.3034965034965036</v>
      </c>
      <c r="I4950" s="297">
        <f t="shared" si="577"/>
        <v>612.90719154931094</v>
      </c>
      <c r="J4950" s="297">
        <f t="shared" si="578"/>
        <v>146.71428571428572</v>
      </c>
      <c r="K4950" s="297">
        <f>J4950/POBLA!$B$5*100000</f>
        <v>23.702052962433516</v>
      </c>
      <c r="L4950" s="549">
        <f t="shared" si="570"/>
        <v>-0.65645161290322585</v>
      </c>
      <c r="M4950" s="401">
        <f>SUM(C4950,C4926,C4902,C4878,C4854,C4830,C4806)/POBLA!$B$5*100000</f>
        <v>165.91437073703463</v>
      </c>
    </row>
    <row r="4951" spans="1:13" s="360" customFormat="1" x14ac:dyDescent="0.25">
      <c r="A4951" s="367" t="s">
        <v>20</v>
      </c>
      <c r="B4951" s="267">
        <v>44099</v>
      </c>
      <c r="C4951" s="1">
        <v>1575</v>
      </c>
      <c r="D4951" s="39">
        <f t="shared" si="576"/>
        <v>25766</v>
      </c>
      <c r="E4951" s="1">
        <f>10+7</f>
        <v>17</v>
      </c>
      <c r="F4951" s="409">
        <f t="shared" si="579"/>
        <v>310</v>
      </c>
      <c r="G4951" s="168">
        <f>SUM(C4951,C4927,C4903,C4879,C4855,C4831,C4807,C4783,C4759,C4735,C4711,C4687,C4663,C4639)/POBLA!$B$6*100000</f>
        <v>1103.6749610323332</v>
      </c>
      <c r="H4951" s="256">
        <f t="shared" si="569"/>
        <v>2.0998132744865048</v>
      </c>
      <c r="I4951" s="297">
        <f t="shared" si="577"/>
        <v>2317.5113338940691</v>
      </c>
      <c r="J4951" s="297">
        <f t="shared" si="578"/>
        <v>1129.8571428571429</v>
      </c>
      <c r="K4951" s="297">
        <f>J4951/POBLA!$B$6*100000</f>
        <v>100.80800631487149</v>
      </c>
      <c r="L4951" s="549">
        <f t="shared" si="570"/>
        <v>-0.77292086976014351</v>
      </c>
      <c r="M4951" s="401">
        <f>SUM(C4951,C4927,C4903,C4879,C4855,C4831,C4807)/POBLA!$B$6*100000</f>
        <v>705.65604420410045</v>
      </c>
    </row>
    <row r="4952" spans="1:13" s="360" customFormat="1" x14ac:dyDescent="0.25">
      <c r="A4952" s="367" t="s">
        <v>30</v>
      </c>
      <c r="B4952" s="267">
        <v>44099</v>
      </c>
      <c r="C4952" s="1">
        <v>-8</v>
      </c>
      <c r="D4952" s="39">
        <f t="shared" si="576"/>
        <v>1002</v>
      </c>
      <c r="E4952" s="1"/>
      <c r="F4952" s="409">
        <f>E4952+F4928</f>
        <v>16</v>
      </c>
      <c r="G4952" s="168">
        <f>SUM(C4952,C4928,C4904,C4880,C4856,C4832,C4808,C4784,C4760,C4736,C4712,C4688,C4664,C4640)/POBLA!$B$7*100000</f>
        <v>10.610432262096293</v>
      </c>
      <c r="H4952" s="256">
        <f t="shared" si="569"/>
        <v>1.3758620689655172</v>
      </c>
      <c r="I4952" s="297">
        <f t="shared" si="577"/>
        <v>14.598491284746277</v>
      </c>
      <c r="J4952" s="297">
        <f t="shared" si="578"/>
        <v>14.142857142857142</v>
      </c>
      <c r="K4952" s="297">
        <f>J4952/POBLA!$B$7*100000</f>
        <v>0.37609480628268271</v>
      </c>
      <c r="L4952" s="549">
        <f t="shared" si="570"/>
        <v>0.66999999999999993</v>
      </c>
      <c r="M4952" s="401">
        <f>SUM(C4952,C4928,C4904,C4880,C4856,C4832,C4808)/POBLA!$B$7*100000</f>
        <v>2.6326636439787792</v>
      </c>
    </row>
    <row r="4953" spans="1:13" x14ac:dyDescent="0.25">
      <c r="A4953" s="367" t="s">
        <v>31</v>
      </c>
      <c r="B4953" s="267">
        <v>44099</v>
      </c>
      <c r="C4953" s="1">
        <v>165</v>
      </c>
      <c r="D4953" s="39">
        <f t="shared" si="576"/>
        <v>6810</v>
      </c>
      <c r="E4953" s="1">
        <f>2</f>
        <v>2</v>
      </c>
      <c r="F4953" s="409">
        <f>E4953+F4929</f>
        <v>127</v>
      </c>
      <c r="G4953" s="168">
        <f>SUM(C4953,C4929,C4905,C4881,C4857,C4833,C4809,C4785,C4761,C4737,C4713,C4689,C4665,C4641)/POBLA!$B$8*100000</f>
        <v>130.95606586332516</v>
      </c>
      <c r="H4953" s="256">
        <f t="shared" si="569"/>
        <v>0.88149587178241862</v>
      </c>
      <c r="I4953" s="297">
        <f t="shared" si="577"/>
        <v>115.43723144338765</v>
      </c>
      <c r="J4953" s="297">
        <f t="shared" si="578"/>
        <v>122.14285714285714</v>
      </c>
      <c r="K4953" s="297">
        <f>J4953/POBLA!$B$8*100000</f>
        <v>8.8128639364929562</v>
      </c>
      <c r="L4953" s="549">
        <f t="shared" si="570"/>
        <v>0.109375</v>
      </c>
      <c r="M4953" s="401">
        <f>SUM(C4953,C4929,C4905,C4881,C4857,C4833,C4809)/POBLA!$B$8*100000</f>
        <v>61.690047555450697</v>
      </c>
    </row>
    <row r="4954" spans="1:13" s="360" customFormat="1" x14ac:dyDescent="0.25">
      <c r="A4954" s="367" t="s">
        <v>41</v>
      </c>
      <c r="B4954" s="267">
        <v>44099</v>
      </c>
      <c r="C4954" s="1">
        <v>0</v>
      </c>
      <c r="D4954" s="39">
        <f t="shared" si="576"/>
        <v>102</v>
      </c>
      <c r="E4954" s="1"/>
      <c r="F4954" s="409">
        <f>E4954+F4930</f>
        <v>1</v>
      </c>
      <c r="G4954" s="168">
        <f>SUM(C4954,C4930,C4906,C4882,C4858,C4834,C4810,C4786,C4762,C4738,C4714,C4690,C4666,C4642)/POBLA!$B$9*100000</f>
        <v>0.99141926625060106</v>
      </c>
      <c r="H4954" s="256">
        <f t="shared" si="569"/>
        <v>0.5</v>
      </c>
      <c r="I4954" s="297">
        <f t="shared" si="577"/>
        <v>0.49570963312530053</v>
      </c>
      <c r="J4954" s="297">
        <f t="shared" si="578"/>
        <v>1.4285714285714286</v>
      </c>
      <c r="K4954" s="297">
        <f>J4954/POBLA!$B$9*100000</f>
        <v>0.23605220625014312</v>
      </c>
      <c r="L4954" s="549">
        <f t="shared" si="570"/>
        <v>3.5</v>
      </c>
      <c r="M4954" s="401">
        <f>SUM(C4954,C4930,C4906,C4882,C4858,C4834,C4810)/POBLA!$B$9*100000</f>
        <v>1.6523654437510016</v>
      </c>
    </row>
    <row r="4955" spans="1:13" s="360" customFormat="1" x14ac:dyDescent="0.25">
      <c r="A4955" s="367" t="s">
        <v>32</v>
      </c>
      <c r="B4955" s="267">
        <v>44099</v>
      </c>
      <c r="C4955" s="1">
        <v>193</v>
      </c>
      <c r="D4955" s="39">
        <f t="shared" si="576"/>
        <v>14996</v>
      </c>
      <c r="E4955" s="1">
        <f>16+5</f>
        <v>21</v>
      </c>
      <c r="F4955" s="409">
        <f>E4955+F4931</f>
        <v>394</v>
      </c>
      <c r="G4955" s="168">
        <f>SUM(C4955,C4931,C4907,C4883,C4859,C4835,C4811,C4787,C4763,C4739,C4715,C4691,C4667,C4643)/POBLA!$B$10*100000</f>
        <v>427.69247134123168</v>
      </c>
      <c r="H4955" s="256">
        <f t="shared" si="569"/>
        <v>0.80848455125061303</v>
      </c>
      <c r="I4955" s="297">
        <f t="shared" si="577"/>
        <v>345.78275576558138</v>
      </c>
      <c r="J4955" s="297">
        <f t="shared" si="578"/>
        <v>199.42857142857142</v>
      </c>
      <c r="K4955" s="297">
        <f>J4955/POBLA!$B$10*100000</f>
        <v>25.870214913660007</v>
      </c>
      <c r="L4955" s="549">
        <f t="shared" si="570"/>
        <v>0.26564965807469754</v>
      </c>
      <c r="M4955" s="401">
        <f>SUM(C4955,C4931,C4907,C4883,C4859,C4835,C4811)/POBLA!$B$10*100000</f>
        <v>181.09150439562009</v>
      </c>
    </row>
    <row r="4956" spans="1:13" s="360" customFormat="1" x14ac:dyDescent="0.25">
      <c r="A4956" s="367" t="s">
        <v>33</v>
      </c>
      <c r="B4956" s="267">
        <v>44099</v>
      </c>
      <c r="C4956" s="1">
        <v>25</v>
      </c>
      <c r="D4956" s="39">
        <f t="shared" si="576"/>
        <v>682</v>
      </c>
      <c r="E4956" s="1"/>
      <c r="F4956" s="409">
        <f t="shared" si="579"/>
        <v>4</v>
      </c>
      <c r="G4956" s="168">
        <f>SUM(C4956,C4932,C4908,C4884,C4860,C4836,C4812,C4788,C4764,C4740,C4716,C4692,C4668,C4644)/POBLA!$B$11*100000</f>
        <v>100.7175778678005</v>
      </c>
      <c r="H4956" s="256">
        <f t="shared" si="569"/>
        <v>2.8425196850393699</v>
      </c>
      <c r="I4956" s="297">
        <f t="shared" si="577"/>
        <v>286.29169771870852</v>
      </c>
      <c r="J4956" s="297">
        <f t="shared" si="578"/>
        <v>21.142857142857142</v>
      </c>
      <c r="K4956" s="297">
        <f>J4956/POBLA!$B$11*100000</f>
        <v>5.8987738521703497</v>
      </c>
      <c r="L4956" s="549">
        <f t="shared" si="570"/>
        <v>0.30516431924882625</v>
      </c>
      <c r="M4956" s="401">
        <f>SUM(C4956,C4932,C4908,C4884,C4860,C4836,C4812)/POBLA!$B$11*100000</f>
        <v>41.291416965192454</v>
      </c>
    </row>
    <row r="4957" spans="1:13" s="360" customFormat="1" x14ac:dyDescent="0.25">
      <c r="A4957" s="367" t="s">
        <v>21</v>
      </c>
      <c r="B4957" s="267">
        <v>44099</v>
      </c>
      <c r="C4957" s="1">
        <v>106</v>
      </c>
      <c r="D4957" s="39">
        <f t="shared" si="576"/>
        <v>4474</v>
      </c>
      <c r="E4957" s="1"/>
      <c r="F4957" s="409">
        <f t="shared" si="579"/>
        <v>101</v>
      </c>
      <c r="G4957" s="168">
        <f>SUM(C4957,C4933,C4909,C4885,C4861,C4837,C4813,C4789,C4765,C4741,C4717,C4693,C4669,C4645)/POBLA!$B$12*100000</f>
        <v>459.68424342682022</v>
      </c>
      <c r="H4957" s="256">
        <f t="shared" si="569"/>
        <v>1.3570892723180794</v>
      </c>
      <c r="I4957" s="297">
        <f t="shared" si="577"/>
        <v>623.83255540819027</v>
      </c>
      <c r="J4957" s="297">
        <f t="shared" si="578"/>
        <v>152.85714285714286</v>
      </c>
      <c r="K4957" s="297">
        <f>J4957/POBLA!$B$12*100000</f>
        <v>38.842465487380373</v>
      </c>
      <c r="L4957" s="549">
        <f t="shared" si="570"/>
        <v>-0.44790257104194864</v>
      </c>
      <c r="M4957" s="401">
        <f>SUM(C4957,C4933,C4909,C4885,C4861,C4837,C4813)/POBLA!$B$12*100000</f>
        <v>271.89725841166262</v>
      </c>
    </row>
    <row r="4958" spans="1:13" s="360" customFormat="1" x14ac:dyDescent="0.25">
      <c r="A4958" s="367" t="s">
        <v>17</v>
      </c>
      <c r="B4958" s="267">
        <v>44099</v>
      </c>
      <c r="C4958" s="1">
        <v>768</v>
      </c>
      <c r="D4958" s="39">
        <f t="shared" si="576"/>
        <v>21827</v>
      </c>
      <c r="E4958" s="1">
        <f>7+8</f>
        <v>15</v>
      </c>
      <c r="F4958" s="409">
        <f t="shared" si="579"/>
        <v>228</v>
      </c>
      <c r="G4958" s="168">
        <f>SUM(C4958,C4934,C4910,C4886,C4862,C4838,C4814,C4790,C4766,C4742,C4718,C4694,C4670,C4646)/POBLA!$B$13*100000</f>
        <v>440.47794897148123</v>
      </c>
      <c r="H4958" s="256">
        <f t="shared" si="569"/>
        <v>1.231839258114374</v>
      </c>
      <c r="I4958" s="297">
        <f t="shared" si="577"/>
        <v>542.59802987677051</v>
      </c>
      <c r="J4958" s="297">
        <f t="shared" si="578"/>
        <v>605.71428571428567</v>
      </c>
      <c r="K4958" s="297">
        <f>J4958/POBLA!$B$13*100000</f>
        <v>30.432734827666739</v>
      </c>
      <c r="L4958" s="549">
        <f t="shared" si="570"/>
        <v>6.3397393417274128E-2</v>
      </c>
      <c r="M4958" s="401">
        <f>SUM(C4958,C4934,C4910,C4886,C4862,C4838,C4814)/POBLA!$B$13*100000</f>
        <v>213.0291437936672</v>
      </c>
    </row>
    <row r="4959" spans="1:13" s="360" customFormat="1" x14ac:dyDescent="0.25">
      <c r="A4959" s="367" t="s">
        <v>23</v>
      </c>
      <c r="B4959" s="267">
        <v>44099</v>
      </c>
      <c r="C4959" s="1">
        <v>2</v>
      </c>
      <c r="D4959" s="39">
        <f t="shared" si="576"/>
        <v>87</v>
      </c>
      <c r="E4959" s="1"/>
      <c r="F4959" s="409">
        <f t="shared" si="579"/>
        <v>2</v>
      </c>
      <c r="G4959" s="168">
        <f>SUM(C4959,C4935,C4911,C4887,C4863,C4839,C4815,C4791,C4767,C4743,C4719,C4695,C4671,C4647)/POBLA!$B$14*100000</f>
        <v>1.7442404387874675</v>
      </c>
      <c r="H4959" s="256">
        <f t="shared" si="569"/>
        <v>3.6666666666666665</v>
      </c>
      <c r="I4959" s="297">
        <f t="shared" si="577"/>
        <v>6.3955482755540469</v>
      </c>
      <c r="J4959" s="297">
        <f t="shared" si="578"/>
        <v>2.7142857142857144</v>
      </c>
      <c r="K4959" s="297">
        <f>J4959/POBLA!$B$14*100000</f>
        <v>0.21519849569455768</v>
      </c>
      <c r="L4959" s="549">
        <f t="shared" si="570"/>
        <v>-5.333333333333333</v>
      </c>
      <c r="M4959" s="401">
        <f>SUM(C4959,C4935,C4911,C4887,C4863,C4839,C4815)/POBLA!$B$14*100000</f>
        <v>1.5063894698619038</v>
      </c>
    </row>
    <row r="4960" spans="1:13" s="360" customFormat="1" x14ac:dyDescent="0.25">
      <c r="A4960" s="367" t="s">
        <v>19</v>
      </c>
      <c r="B4960" s="267">
        <v>44099</v>
      </c>
      <c r="C4960" s="1">
        <v>105</v>
      </c>
      <c r="D4960" s="39">
        <f>C4960+D4936</f>
        <v>6975</v>
      </c>
      <c r="E4960" s="1">
        <f>3</f>
        <v>3</v>
      </c>
      <c r="F4960" s="409">
        <f t="shared" si="579"/>
        <v>104</v>
      </c>
      <c r="G4960" s="168">
        <f>SUM(C4960,C4936,C4912,C4888,C4864,C4840,C4816,C4792,C4768,C4744,C4720,C4696,C4672,C4648)/POBLA!$B$15*100000</f>
        <v>378.88313804387275</v>
      </c>
      <c r="H4960" s="256">
        <f t="shared" si="569"/>
        <v>1.4878769958604376</v>
      </c>
      <c r="I4960" s="297">
        <f t="shared" si="577"/>
        <v>563.73150521489288</v>
      </c>
      <c r="J4960" s="297">
        <f t="shared" si="578"/>
        <v>179.85714285714286</v>
      </c>
      <c r="K4960" s="297">
        <f>J4960/POBLA!$B$15*100000</f>
        <v>27.084594072066533</v>
      </c>
      <c r="L4960" s="549">
        <f t="shared" si="570"/>
        <v>-1.5910898965791898E-3</v>
      </c>
      <c r="M4960" s="401">
        <f>SUM(C4960,C4936,C4912,C4888,C4864,C4840,C4816)/POBLA!$B$15*100000</f>
        <v>189.59215850446574</v>
      </c>
    </row>
    <row r="4961" spans="1:13" s="360" customFormat="1" x14ac:dyDescent="0.25">
      <c r="A4961" s="367" t="s">
        <v>18</v>
      </c>
      <c r="B4961" s="267">
        <v>44099</v>
      </c>
      <c r="C4961" s="1">
        <v>227</v>
      </c>
      <c r="D4961" s="39">
        <f>C4961+D4937</f>
        <v>11475</v>
      </c>
      <c r="E4961" s="1">
        <v>10</v>
      </c>
      <c r="F4961" s="409">
        <f t="shared" si="579"/>
        <v>256</v>
      </c>
      <c r="G4961" s="168">
        <f>SUM(C4961,C4937,C4913,C4889,C4865,C4841,C4817,C4793,C4769,C4745,C4721,C4697,C4673,C4649)/POBLA!$B$16*100000</f>
        <v>416.6610933508112</v>
      </c>
      <c r="H4961" s="256">
        <f t="shared" si="569"/>
        <v>1.1249548573492236</v>
      </c>
      <c r="I4961" s="297">
        <f t="shared" si="577"/>
        <v>468.72492083343337</v>
      </c>
      <c r="J4961" s="297">
        <f t="shared" si="578"/>
        <v>215.14285714285714</v>
      </c>
      <c r="K4961" s="297">
        <f>J4961/POBLA!$B$16*100000</f>
        <v>28.777418325444703</v>
      </c>
      <c r="L4961" s="549">
        <f t="shared" si="570"/>
        <v>6.4014916096954644E-2</v>
      </c>
      <c r="M4961" s="401">
        <f>SUM(C4961,C4937,C4913,C4889,C4865,C4841,C4817)/POBLA!$B$16*100000</f>
        <v>201.44192827811293</v>
      </c>
    </row>
    <row r="4962" spans="1:13" s="360" customFormat="1" x14ac:dyDescent="0.25">
      <c r="A4962" s="367" t="s">
        <v>34</v>
      </c>
      <c r="B4962" s="267">
        <v>44099</v>
      </c>
      <c r="C4962" s="1">
        <v>469</v>
      </c>
      <c r="D4962" s="39">
        <f>C4962+D4938</f>
        <v>10952</v>
      </c>
      <c r="E4962" s="1">
        <f>24+19</f>
        <v>43</v>
      </c>
      <c r="F4962" s="409">
        <f>E4962+F4938</f>
        <v>278</v>
      </c>
      <c r="G4962" s="168">
        <f>SUM(C4962,C4938,C4914,C4890,C4866,C4842,C4818,C4794,C4770,C4746,C4722,C4698,C4674,C4650)/POBLA!$B$17*100000</f>
        <v>336.49326697542892</v>
      </c>
      <c r="H4962" s="256">
        <f t="shared" si="569"/>
        <v>1.3973760932944606</v>
      </c>
      <c r="I4962" s="297">
        <f t="shared" si="577"/>
        <v>470.20764682601481</v>
      </c>
      <c r="J4962" s="297">
        <f t="shared" si="578"/>
        <v>351.57142857142856</v>
      </c>
      <c r="K4962" s="297">
        <f>J4962/POBLA!$B$17*100000</f>
        <v>24.682123633469359</v>
      </c>
      <c r="L4962" s="549">
        <f t="shared" si="570"/>
        <v>-5.5317324185248706E-2</v>
      </c>
      <c r="M4962" s="401">
        <f>SUM(C4962,C4938,C4914,C4890,C4866,C4842,C4818)/POBLA!$B$17*100000</f>
        <v>172.77486543428552</v>
      </c>
    </row>
    <row r="4963" spans="1:13" s="360" customFormat="1" x14ac:dyDescent="0.25">
      <c r="A4963" s="367" t="s">
        <v>35</v>
      </c>
      <c r="B4963" s="267">
        <v>44099</v>
      </c>
      <c r="C4963" s="1">
        <v>8</v>
      </c>
      <c r="D4963" s="39">
        <f t="shared" ref="D4963:D4969" si="580">C4963+D4939</f>
        <v>556</v>
      </c>
      <c r="E4963" s="1"/>
      <c r="F4963" s="409">
        <f>E4963+F4939</f>
        <v>25</v>
      </c>
      <c r="G4963" s="168">
        <f>SUM(C4963,C4939,C4915,C4891,C4867,C4843,C4819,C4795,C4771,C4747,C4723,C4699,C4675,C4651)/POBLA!$B$18*100000</f>
        <v>20.096848890897153</v>
      </c>
      <c r="H4963" s="256">
        <f t="shared" si="569"/>
        <v>0.76213592233009708</v>
      </c>
      <c r="I4963" s="297">
        <f t="shared" si="577"/>
        <v>15.316530465392491</v>
      </c>
      <c r="J4963" s="297">
        <f t="shared" si="578"/>
        <v>13.285714285714286</v>
      </c>
      <c r="K4963" s="297">
        <f>J4963/POBLA!$B$18*100000</f>
        <v>1.7006432637428892</v>
      </c>
      <c r="L4963" s="549">
        <f t="shared" si="570"/>
        <v>-0.453125</v>
      </c>
      <c r="M4963" s="401">
        <f>SUM(C4963,C4939,C4915,C4891,C4867,C4843,C4819)/POBLA!$B$18*100000</f>
        <v>11.904502846200224</v>
      </c>
    </row>
    <row r="4964" spans="1:13" s="360" customFormat="1" x14ac:dyDescent="0.25">
      <c r="A4964" s="367" t="s">
        <v>36</v>
      </c>
      <c r="B4964" s="267">
        <v>44099</v>
      </c>
      <c r="C4964" s="1">
        <v>94</v>
      </c>
      <c r="D4964" s="39">
        <f t="shared" si="580"/>
        <v>1085</v>
      </c>
      <c r="E4964" s="1">
        <f>1</f>
        <v>1</v>
      </c>
      <c r="F4964" s="409">
        <f t="shared" si="579"/>
        <v>4</v>
      </c>
      <c r="G4964" s="168">
        <f>SUM(C4964,C4940,C4916,C4892,C4868,C4844,C4820,C4796,C4772,C4748,C4724,C4700,C4676,C4652)/POBLA!$B$19*100000</f>
        <v>138.88670307360601</v>
      </c>
      <c r="H4964" s="256">
        <f t="shared" si="569"/>
        <v>2.2201257861635222</v>
      </c>
      <c r="I4964" s="297">
        <f t="shared" si="577"/>
        <v>308.3459508489492</v>
      </c>
      <c r="J4964" s="297">
        <f t="shared" si="578"/>
        <v>62.428571428571431</v>
      </c>
      <c r="K4964" s="297">
        <f>J4964/POBLA!$B$19*100000</f>
        <v>12.281159296472245</v>
      </c>
      <c r="L4964" s="549">
        <f t="shared" si="570"/>
        <v>-0.62453531598513012</v>
      </c>
      <c r="M4964" s="401">
        <f>SUM(C4964,C4940,C4916,C4892,C4868,C4844,C4820)/POBLA!$B$19*100000</f>
        <v>85.968115075305718</v>
      </c>
    </row>
    <row r="4965" spans="1:13" s="360" customFormat="1" x14ac:dyDescent="0.25">
      <c r="A4965" s="367" t="s">
        <v>37</v>
      </c>
      <c r="B4965" s="267">
        <v>44099</v>
      </c>
      <c r="C4965" s="1">
        <v>139</v>
      </c>
      <c r="D4965" s="39">
        <f t="shared" si="580"/>
        <v>4255</v>
      </c>
      <c r="E4965" s="1">
        <f>1</f>
        <v>1</v>
      </c>
      <c r="F4965" s="409">
        <f>E4965+F4941</f>
        <v>50</v>
      </c>
      <c r="G4965" s="168">
        <f>SUM(C4965,C4941,C4917,C4893,C4869,C4845,C4821,C4797,C4773,C4749,C4725,C4701,C4677,C4653)/POBLA!$B$20*100000</f>
        <v>408.26036784450559</v>
      </c>
      <c r="H4965" s="256">
        <f t="shared" si="569"/>
        <v>1.30506993006993</v>
      </c>
      <c r="I4965" s="297">
        <f t="shared" si="577"/>
        <v>532.80832971315283</v>
      </c>
      <c r="J4965" s="297">
        <f t="shared" si="578"/>
        <v>112.28571428571429</v>
      </c>
      <c r="K4965" s="297">
        <f>J4965/POBLA!$B$20*100000</f>
        <v>30.704492309423156</v>
      </c>
      <c r="L4965" s="549">
        <f t="shared" si="570"/>
        <v>-0.11173974540311171</v>
      </c>
      <c r="M4965" s="401">
        <f>SUM(C4965,C4941,C4917,C4893,C4869,C4845,C4821)/POBLA!$B$20*100000</f>
        <v>214.93144616596209</v>
      </c>
    </row>
    <row r="4966" spans="1:13" s="360" customFormat="1" x14ac:dyDescent="0.25">
      <c r="A4966" s="367" t="s">
        <v>22</v>
      </c>
      <c r="B4966" s="267">
        <v>44099</v>
      </c>
      <c r="C4966" s="1">
        <v>1728</v>
      </c>
      <c r="D4966" s="39">
        <f t="shared" si="580"/>
        <v>34540</v>
      </c>
      <c r="E4966" s="1">
        <f>13+13</f>
        <v>26</v>
      </c>
      <c r="F4966" s="409">
        <f>E4966+F4942</f>
        <v>369</v>
      </c>
      <c r="G4966" s="168">
        <f>SUM(C4966,C4942,C4918,C4894,C4870,C4846,C4822,C4798,C4774,C4750,C4726,C4702,C4678,C4654)/POBLA!$B$21*100000</f>
        <v>505.22873710064817</v>
      </c>
      <c r="H4966" s="256">
        <f t="shared" si="569"/>
        <v>1.7989327426500201</v>
      </c>
      <c r="I4966" s="297">
        <f t="shared" si="577"/>
        <v>908.87251769807494</v>
      </c>
      <c r="J4966" s="297">
        <f t="shared" si="578"/>
        <v>1451.2857142857142</v>
      </c>
      <c r="K4966" s="297">
        <f>J4966/POBLA!$B$21*100000</f>
        <v>41.038296781820314</v>
      </c>
      <c r="L4966" s="549">
        <f t="shared" si="570"/>
        <v>-0.31798131811105335</v>
      </c>
      <c r="M4966" s="401">
        <f>SUM(C4966,C4942,C4918,C4894,C4870,C4846,C4822)/POBLA!$B$21*100000</f>
        <v>287.26807747274216</v>
      </c>
    </row>
    <row r="4967" spans="1:13" s="360" customFormat="1" x14ac:dyDescent="0.25">
      <c r="A4967" s="367" t="s">
        <v>38</v>
      </c>
      <c r="B4967" s="267">
        <v>44099</v>
      </c>
      <c r="C4967" s="1">
        <v>94</v>
      </c>
      <c r="D4967" s="39">
        <f t="shared" si="580"/>
        <v>2818</v>
      </c>
      <c r="E4967" s="1">
        <f>1+2</f>
        <v>3</v>
      </c>
      <c r="F4967" s="409">
        <f t="shared" si="579"/>
        <v>47</v>
      </c>
      <c r="G4967" s="168">
        <f>SUM(C4967,C4943,C4919,C4895,C4871,C4847,C4823,C4799,C4775,C4751,C4727,C4703,C4679,C4655)/POBLA!$B$22*100000</f>
        <v>120.30914441492652</v>
      </c>
      <c r="H4967" s="256">
        <f t="shared" si="569"/>
        <v>1.3814553990610328</v>
      </c>
      <c r="I4967" s="297">
        <f t="shared" si="577"/>
        <v>166.20171710841373</v>
      </c>
      <c r="J4967" s="297">
        <f t="shared" si="578"/>
        <v>81.714285714285708</v>
      </c>
      <c r="K4967" s="297">
        <f>J4967/POBLA!$B$22*100000</f>
        <v>8.3525707737999717</v>
      </c>
      <c r="L4967" s="549">
        <f t="shared" si="570"/>
        <v>5.4545454545454564E-2</v>
      </c>
      <c r="M4967" s="401">
        <f>SUM(C4967,C4943,C4919,C4895,C4871,C4847,C4823)/POBLA!$B$22*100000</f>
        <v>58.467995416599798</v>
      </c>
    </row>
    <row r="4968" spans="1:13" s="360" customFormat="1" x14ac:dyDescent="0.25">
      <c r="A4968" s="367" t="s">
        <v>39</v>
      </c>
      <c r="B4968" s="267">
        <v>44099</v>
      </c>
      <c r="C4968" s="1">
        <v>37</v>
      </c>
      <c r="D4968" s="39">
        <f t="shared" si="580"/>
        <v>3540</v>
      </c>
      <c r="E4968" s="1">
        <f>1+1</f>
        <v>2</v>
      </c>
      <c r="F4968" s="409">
        <f>E4968+F4944</f>
        <v>62</v>
      </c>
      <c r="G4968" s="168">
        <f>SUM(C4968,C4944,C4920,C4896,C4872,C4848,C4824,C4800,C4776,C4752,C4728,C4704,C4680,C4656)/POBLA!$B$23*100000</f>
        <v>511.79098569247304</v>
      </c>
      <c r="H4968" s="256">
        <f t="shared" si="569"/>
        <v>1.2448418156808803</v>
      </c>
      <c r="I4968" s="297">
        <f t="shared" si="577"/>
        <v>637.09881987852555</v>
      </c>
      <c r="J4968" s="297">
        <f t="shared" si="578"/>
        <v>74.285714285714292</v>
      </c>
      <c r="K4968" s="297">
        <f>J4968/POBLA!$B$23*100000</f>
        <v>42.009678383596842</v>
      </c>
      <c r="L4968" s="549">
        <f t="shared" si="570"/>
        <v>-0.35064935064935066</v>
      </c>
      <c r="M4968" s="401">
        <f>SUM(C4968,C4944,C4920,C4896,C4872,C4848,C4824)/POBLA!$B$23*100000</f>
        <v>294.06774868517783</v>
      </c>
    </row>
    <row r="4969" spans="1:13" s="360" customFormat="1" ht="15.75" thickBot="1" x14ac:dyDescent="0.3">
      <c r="A4969" s="369" t="s">
        <v>40</v>
      </c>
      <c r="B4969" s="267">
        <v>44099</v>
      </c>
      <c r="C4969" s="1">
        <v>383</v>
      </c>
      <c r="D4969" s="176">
        <f t="shared" si="580"/>
        <v>11880</v>
      </c>
      <c r="E4969" s="1">
        <f>4+1</f>
        <v>5</v>
      </c>
      <c r="F4969" s="476">
        <f>E4969+F4945</f>
        <v>107</v>
      </c>
      <c r="G4969" s="177">
        <f>SUM(C4969,C4945,C4921,C4897,C4873,C4849,C4825,C4801,C4777,C4753,C4729,C4705,C4681,C4657)/POBLA!$B$24*100000</f>
        <v>353.40505683749387</v>
      </c>
      <c r="H4969" s="402">
        <f t="shared" si="569"/>
        <v>1.3970142290646139</v>
      </c>
      <c r="I4969" s="403">
        <f t="shared" si="577"/>
        <v>493.71189302536754</v>
      </c>
      <c r="J4969" s="403">
        <f t="shared" si="578"/>
        <v>396.28571428571428</v>
      </c>
      <c r="K4969" s="403">
        <f>J4969/POBLA!$B$24*100000</f>
        <v>23.384434025885742</v>
      </c>
      <c r="L4969" s="550">
        <f t="shared" si="570"/>
        <v>0.13716951788491449</v>
      </c>
      <c r="M4969" s="405">
        <f>SUM(C4969,C4945,C4921,C4897,C4873,C4849,C4825)/POBLA!$B$24*100000</f>
        <v>163.69103818120021</v>
      </c>
    </row>
    <row r="4970" spans="1:13" s="360" customFormat="1" x14ac:dyDescent="0.25">
      <c r="A4970" s="363" t="s">
        <v>16</v>
      </c>
      <c r="B4970" s="267">
        <v>44100</v>
      </c>
      <c r="C4970" s="1">
        <v>4480</v>
      </c>
      <c r="D4970" s="174">
        <f>C4970+D4946</f>
        <v>398915</v>
      </c>
      <c r="E4970" s="1">
        <f>86+87</f>
        <v>173</v>
      </c>
      <c r="F4970" s="475">
        <f>E4970+F4946</f>
        <v>9276</v>
      </c>
      <c r="G4970" s="175">
        <f>SUM(C4970,C4946,C4922,C4898,C4874,C4850,C4826,C4802,C4778,C4754,C4730,C4706,C4682,C4658)/POBLA!$B$1*100000</f>
        <v>403.70805981207269</v>
      </c>
      <c r="H4970" s="300">
        <f t="shared" si="569"/>
        <v>0.90400204250973382</v>
      </c>
      <c r="I4970" s="301">
        <f>G4970*H4970</f>
        <v>364.95291064775552</v>
      </c>
      <c r="J4970" s="301">
        <f>AVERAGE(C4970,C4946,C4922,C4898,C4874,C4850,C4826)</f>
        <v>4897.1428571428569</v>
      </c>
      <c r="K4970" s="301">
        <f>J4970/POBLA!$B$1*100000</f>
        <v>27.918040549031886</v>
      </c>
      <c r="L4970" s="548">
        <f t="shared" si="570"/>
        <v>6.1721636786642997E-2</v>
      </c>
      <c r="M4970" s="400">
        <f>SUM(C4970,C4946,C4922,C4898,C4874,C4850,C4826)/POBLA!$B$1*100000</f>
        <v>195.42628384322322</v>
      </c>
    </row>
    <row r="4971" spans="1:13" s="360" customFormat="1" x14ac:dyDescent="0.25">
      <c r="A4971" s="367" t="s">
        <v>43</v>
      </c>
      <c r="B4971" s="267">
        <v>44100</v>
      </c>
      <c r="C4971" s="1">
        <v>917</v>
      </c>
      <c r="D4971" s="39">
        <f t="shared" ref="D4971:D4983" si="581">C4971+D4947</f>
        <v>122660</v>
      </c>
      <c r="E4971" s="1">
        <f>30+29</f>
        <v>59</v>
      </c>
      <c r="F4971" s="409">
        <f>E4971+F4947</f>
        <v>3136</v>
      </c>
      <c r="G4971" s="168">
        <f>SUM(C4971,C4947,C4923,C4899,C4875,C4851,C4827,C4803,C4779,C4755,C4731,C4707,C4683,C4659)/POBLA!$B$2*100000</f>
        <v>409.76757403160178</v>
      </c>
      <c r="H4971" s="256">
        <f t="shared" si="569"/>
        <v>0.73809663250366031</v>
      </c>
      <c r="I4971" s="297">
        <f t="shared" ref="I4971:I4993" si="582">G4971*H4971</f>
        <v>302.44806650191958</v>
      </c>
      <c r="J4971" s="297">
        <f t="shared" ref="J4971:J4993" si="583">AVERAGE(C4971,C4947,C4923,C4899,C4875,C4851,C4827)</f>
        <v>868.85714285714289</v>
      </c>
      <c r="K4971" s="297">
        <f>J4971/POBLA!$B$2*100000</f>
        <v>28.249582131920999</v>
      </c>
      <c r="L4971" s="549">
        <f t="shared" si="570"/>
        <v>6.7320963042478144E-2</v>
      </c>
      <c r="M4971" s="401">
        <f>SUM(C4971,C4947,C4923,C4899,C4875,C4851,C4827)/POBLA!$B$2*100000</f>
        <v>197.74707492344697</v>
      </c>
    </row>
    <row r="4972" spans="1:13" s="360" customFormat="1" x14ac:dyDescent="0.25">
      <c r="A4972" s="367" t="s">
        <v>28</v>
      </c>
      <c r="B4972" s="267">
        <v>44100</v>
      </c>
      <c r="C4972" s="1">
        <v>4</v>
      </c>
      <c r="D4972" s="39">
        <f t="shared" si="581"/>
        <v>205</v>
      </c>
      <c r="E4972" s="1"/>
      <c r="F4972" s="409">
        <f>E4972+F4948</f>
        <v>0</v>
      </c>
      <c r="G4972" s="168">
        <f>SUM(C4972,C4948,C4924,C4900,C4876,C4852,C4828,C4804,C4780,C4756,C4732,C4708,C4684,C4660)/POBLA!$B$3*100000</f>
        <v>20.460333431221986</v>
      </c>
      <c r="H4972" s="256">
        <f t="shared" si="569"/>
        <v>1.5454545454545454</v>
      </c>
      <c r="I4972" s="297">
        <f t="shared" si="582"/>
        <v>31.620515302797614</v>
      </c>
      <c r="J4972" s="297">
        <f t="shared" si="583"/>
        <v>2.1428571428571428</v>
      </c>
      <c r="K4972" s="297">
        <f>J4972/POBLA!$B$3*100000</f>
        <v>0.51580672515685677</v>
      </c>
      <c r="L4972" s="549">
        <f t="shared" si="570"/>
        <v>0.7857142857142857</v>
      </c>
      <c r="M4972" s="401">
        <f>SUM(C4972,C4948,C4924,C4900,C4876,C4852,C4828)/POBLA!$B$3*100000</f>
        <v>3.6106470760979978</v>
      </c>
    </row>
    <row r="4973" spans="1:13" s="360" customFormat="1" x14ac:dyDescent="0.25">
      <c r="A4973" s="367" t="s">
        <v>15</v>
      </c>
      <c r="B4973" s="267">
        <v>44100</v>
      </c>
      <c r="C4973" s="1">
        <v>160</v>
      </c>
      <c r="D4973" s="39">
        <f t="shared" si="581"/>
        <v>8067</v>
      </c>
      <c r="E4973" s="1">
        <f>1+1</f>
        <v>2</v>
      </c>
      <c r="F4973" s="409">
        <f t="shared" ref="F4973:F4991" si="584">E4973+F4949</f>
        <v>277</v>
      </c>
      <c r="G4973" s="168">
        <f>SUM(C4973,C4949,C4925,C4901,C4877,C4853,C4829,C4805,C4781,C4757,C4733,C4709,C4685,C4661)/POBLA!$B$4*100000</f>
        <v>116.80797913894172</v>
      </c>
      <c r="H4973" s="256">
        <f t="shared" si="569"/>
        <v>1.0203045685279188</v>
      </c>
      <c r="I4973" s="297">
        <f t="shared" si="582"/>
        <v>119.17971475597608</v>
      </c>
      <c r="J4973" s="297">
        <f t="shared" si="583"/>
        <v>103.14285714285714</v>
      </c>
      <c r="K4973" s="297">
        <f>J4973/POBLA!$B$4*100000</f>
        <v>8.5628349008341882</v>
      </c>
      <c r="L4973" s="549">
        <f t="shared" si="570"/>
        <v>-5.4014598540145897E-2</v>
      </c>
      <c r="M4973" s="401">
        <f>SUM(C4973,C4949,C4925,C4901,C4877,C4853,C4829)/POBLA!$B$4*100000</f>
        <v>59.939844305839316</v>
      </c>
    </row>
    <row r="4974" spans="1:13" s="360" customFormat="1" x14ac:dyDescent="0.25">
      <c r="A4974" s="367" t="s">
        <v>29</v>
      </c>
      <c r="B4974" s="267">
        <v>44100</v>
      </c>
      <c r="C4974" s="1">
        <v>182</v>
      </c>
      <c r="D4974" s="39">
        <f t="shared" si="581"/>
        <v>3309</v>
      </c>
      <c r="E4974" s="1">
        <f>2+1</f>
        <v>3</v>
      </c>
      <c r="F4974" s="409">
        <f t="shared" si="584"/>
        <v>32</v>
      </c>
      <c r="G4974" s="168">
        <f>SUM(C4974,C4950,C4926,C4902,C4878,C4854,C4830,C4806,C4782,C4758,C4734,C4710,C4686,C4662)/POBLA!$B$5*100000</f>
        <v>268.82328423215733</v>
      </c>
      <c r="H4974" s="256">
        <f t="shared" si="569"/>
        <v>1.9880525686977299</v>
      </c>
      <c r="I4974" s="297">
        <f t="shared" si="582"/>
        <v>534.43482074350038</v>
      </c>
      <c r="J4974" s="297">
        <f t="shared" si="583"/>
        <v>161.14285714285714</v>
      </c>
      <c r="K4974" s="297">
        <f>J4974/POBLA!$B$5*100000</f>
        <v>26.033024091163586</v>
      </c>
      <c r="L4974" s="549">
        <f t="shared" si="570"/>
        <v>-1.1044776119402986</v>
      </c>
      <c r="M4974" s="401">
        <f>SUM(C4974,C4950,C4926,C4902,C4878,C4854,C4830)/POBLA!$B$5*100000</f>
        <v>182.23116863814511</v>
      </c>
    </row>
    <row r="4975" spans="1:13" s="360" customFormat="1" x14ac:dyDescent="0.25">
      <c r="A4975" s="367" t="s">
        <v>20</v>
      </c>
      <c r="B4975" s="267">
        <v>44100</v>
      </c>
      <c r="C4975" s="1">
        <v>1867</v>
      </c>
      <c r="D4975" s="39">
        <f t="shared" si="581"/>
        <v>27633</v>
      </c>
      <c r="E4975" s="1">
        <f>12+6</f>
        <v>18</v>
      </c>
      <c r="F4975" s="409">
        <f t="shared" si="584"/>
        <v>328</v>
      </c>
      <c r="G4975" s="168">
        <f>SUM(C4975,C4951,C4927,C4903,C4879,C4855,C4831,C4807,C4783,C4759,C4735,C4711,C4687,C4663)/POBLA!$B$6*100000</f>
        <v>1226.4443018876677</v>
      </c>
      <c r="H4975" s="256">
        <f t="shared" si="569"/>
        <v>2.2739454094292806</v>
      </c>
      <c r="I4975" s="297">
        <f t="shared" si="582"/>
        <v>2788.8673901981606</v>
      </c>
      <c r="J4975" s="297">
        <f t="shared" si="583"/>
        <v>1289.2857142857142</v>
      </c>
      <c r="K4975" s="297">
        <f>J4975/POBLA!$B$6*100000</f>
        <v>115.03252711995387</v>
      </c>
      <c r="L4975" s="549">
        <f t="shared" si="570"/>
        <v>-0.91167125608981148</v>
      </c>
      <c r="M4975" s="401">
        <f>SUM(C4975,C4951,C4927,C4903,C4879,C4855,C4831)/POBLA!$B$6*100000</f>
        <v>805.22768983967705</v>
      </c>
    </row>
    <row r="4976" spans="1:13" s="360" customFormat="1" x14ac:dyDescent="0.25">
      <c r="A4976" s="367" t="s">
        <v>30</v>
      </c>
      <c r="B4976" s="267">
        <v>44100</v>
      </c>
      <c r="C4976" s="1">
        <v>12</v>
      </c>
      <c r="D4976" s="39">
        <f t="shared" si="581"/>
        <v>1014</v>
      </c>
      <c r="E4976" s="1"/>
      <c r="F4976" s="409">
        <f>E4976+F4952</f>
        <v>16</v>
      </c>
      <c r="G4976" s="168">
        <f>SUM(C4976,C4952,C4928,C4904,C4880,C4856,C4832,C4808,C4784,C4760,C4736,C4712,C4688,C4664)/POBLA!$B$7*100000</f>
        <v>9.4403595314390572</v>
      </c>
      <c r="H4976" s="256">
        <f t="shared" si="569"/>
        <v>1.0502958579881656</v>
      </c>
      <c r="I4976" s="297">
        <f t="shared" si="582"/>
        <v>9.9151705137895423</v>
      </c>
      <c r="J4976" s="297">
        <f t="shared" si="583"/>
        <v>10.571428571428571</v>
      </c>
      <c r="K4976" s="297">
        <f>J4976/POBLA!$B$7*100000</f>
        <v>0.28112137035271234</v>
      </c>
      <c r="L4976" s="549">
        <f t="shared" si="570"/>
        <v>0.73665480427046259</v>
      </c>
      <c r="M4976" s="401">
        <f>SUM(C4976,C4952,C4928,C4904,C4880,C4856,C4832)/POBLA!$B$7*100000</f>
        <v>1.9678495924689865</v>
      </c>
    </row>
    <row r="4977" spans="1:13" x14ac:dyDescent="0.25">
      <c r="A4977" s="367" t="s">
        <v>31</v>
      </c>
      <c r="B4977" s="267">
        <v>44100</v>
      </c>
      <c r="C4977" s="1">
        <v>146</v>
      </c>
      <c r="D4977" s="39">
        <f t="shared" si="581"/>
        <v>6956</v>
      </c>
      <c r="E4977" s="1">
        <f>1+1</f>
        <v>2</v>
      </c>
      <c r="F4977" s="409">
        <f>E4977+F4953</f>
        <v>129</v>
      </c>
      <c r="G4977" s="168">
        <f>SUM(C4977,C4953,C4929,C4905,C4881,C4857,C4833,C4809,C4785,C4761,C4737,C4713,C4689,C4665)/POBLA!$B$8*100000</f>
        <v>131.53328268255743</v>
      </c>
      <c r="H4977" s="256">
        <f t="shared" si="569"/>
        <v>0.87982625482625487</v>
      </c>
      <c r="I4977" s="297">
        <f t="shared" si="582"/>
        <v>115.72643548759758</v>
      </c>
      <c r="J4977" s="297">
        <f t="shared" si="583"/>
        <v>121.71428571428571</v>
      </c>
      <c r="K4977" s="297">
        <f>J4977/POBLA!$B$8*100000</f>
        <v>8.7819416068912268</v>
      </c>
      <c r="L4977" s="549">
        <f t="shared" si="570"/>
        <v>0.12255406797116375</v>
      </c>
      <c r="M4977" s="401">
        <f>SUM(C4977,C4953,C4929,C4905,C4881,C4857,C4833)/POBLA!$B$8*100000</f>
        <v>61.473591248238591</v>
      </c>
    </row>
    <row r="4978" spans="1:13" s="360" customFormat="1" x14ac:dyDescent="0.25">
      <c r="A4978" s="367" t="s">
        <v>41</v>
      </c>
      <c r="B4978" s="267">
        <v>44100</v>
      </c>
      <c r="C4978" s="1">
        <v>2</v>
      </c>
      <c r="D4978" s="39">
        <f t="shared" si="581"/>
        <v>104</v>
      </c>
      <c r="E4978" s="1"/>
      <c r="F4978" s="409">
        <f>E4978+F4954</f>
        <v>1</v>
      </c>
      <c r="G4978" s="168">
        <f>SUM(C4978,C4954,C4930,C4906,C4882,C4858,C4834,C4810,C4786,C4762,C4738,C4714,C4690,C4666)/POBLA!$B$9*100000</f>
        <v>1.4871288993759018</v>
      </c>
      <c r="H4978" s="256">
        <f t="shared" si="569"/>
        <v>0.81818181818181823</v>
      </c>
      <c r="I4978" s="297">
        <f t="shared" si="582"/>
        <v>1.2167418267621015</v>
      </c>
      <c r="J4978" s="297">
        <f t="shared" si="583"/>
        <v>0.42857142857142855</v>
      </c>
      <c r="K4978" s="297">
        <f>J4978/POBLA!$B$9*100000</f>
        <v>7.0815661875042929E-2</v>
      </c>
      <c r="L4978" s="549">
        <f t="shared" si="570"/>
        <v>0.5</v>
      </c>
      <c r="M4978" s="401">
        <f>SUM(C4978,C4954,C4930,C4906,C4882,C4858,C4834)/POBLA!$B$9*100000</f>
        <v>0.49570963312530053</v>
      </c>
    </row>
    <row r="4979" spans="1:13" s="360" customFormat="1" x14ac:dyDescent="0.25">
      <c r="A4979" s="367" t="s">
        <v>32</v>
      </c>
      <c r="B4979" s="267">
        <v>44100</v>
      </c>
      <c r="C4979" s="1">
        <v>209</v>
      </c>
      <c r="D4979" s="39">
        <f t="shared" si="581"/>
        <v>15205</v>
      </c>
      <c r="E4979" s="1">
        <f>11+8</f>
        <v>19</v>
      </c>
      <c r="F4979" s="409">
        <f>E4979+F4955</f>
        <v>413</v>
      </c>
      <c r="G4979" s="168">
        <f>SUM(C4979,C4955,C4931,C4907,C4883,C4859,C4835,C4811,C4787,C4763,C4739,C4715,C4691,C4667)/POBLA!$B$10*100000</f>
        <v>421.8549944803413</v>
      </c>
      <c r="H4979" s="256">
        <f t="shared" si="569"/>
        <v>0.81077038145100977</v>
      </c>
      <c r="I4979" s="297">
        <f t="shared" si="582"/>
        <v>342.02753479183991</v>
      </c>
      <c r="J4979" s="297">
        <f t="shared" si="583"/>
        <v>187.14285714285714</v>
      </c>
      <c r="K4979" s="297">
        <f>J4979/POBLA!$B$10*100000</f>
        <v>24.27649107227408</v>
      </c>
      <c r="L4979" s="549">
        <f t="shared" si="570"/>
        <v>0.32543769309989701</v>
      </c>
      <c r="M4979" s="401">
        <f>SUM(C4979,C4955,C4931,C4907,C4883,C4859,C4835)/POBLA!$B$10*100000</f>
        <v>169.93543750591854</v>
      </c>
    </row>
    <row r="4980" spans="1:13" s="360" customFormat="1" x14ac:dyDescent="0.25">
      <c r="A4980" s="367" t="s">
        <v>33</v>
      </c>
      <c r="B4980" s="267">
        <v>44100</v>
      </c>
      <c r="C4980" s="1">
        <v>2</v>
      </c>
      <c r="D4980" s="39">
        <f t="shared" si="581"/>
        <v>684</v>
      </c>
      <c r="E4980" s="1">
        <f>1</f>
        <v>1</v>
      </c>
      <c r="F4980" s="409">
        <f t="shared" si="584"/>
        <v>5</v>
      </c>
      <c r="G4980" s="168">
        <f>SUM(C4980,C4956,C4932,C4908,C4884,C4860,C4836,C4812,C4788,C4764,C4740,C4716,C4692,C4668)/POBLA!$B$11*100000</f>
        <v>92.905688171683011</v>
      </c>
      <c r="H4980" s="256">
        <f t="shared" si="569"/>
        <v>2.2052980132450331</v>
      </c>
      <c r="I4980" s="297">
        <f t="shared" si="582"/>
        <v>204.88472954417512</v>
      </c>
      <c r="J4980" s="297">
        <f t="shared" si="583"/>
        <v>19.571428571428573</v>
      </c>
      <c r="K4980" s="297">
        <f>J4980/POBLA!$B$11*100000</f>
        <v>5.4603514712657981</v>
      </c>
      <c r="L4980" s="549">
        <f t="shared" si="570"/>
        <v>0.30102040816326525</v>
      </c>
      <c r="M4980" s="401">
        <f>SUM(C4980,C4956,C4932,C4908,C4884,C4860,C4836)/POBLA!$B$11*100000</f>
        <v>38.222460298860582</v>
      </c>
    </row>
    <row r="4981" spans="1:13" s="360" customFormat="1" x14ac:dyDescent="0.25">
      <c r="A4981" s="367" t="s">
        <v>21</v>
      </c>
      <c r="B4981" s="267">
        <v>44100</v>
      </c>
      <c r="C4981" s="1">
        <v>22</v>
      </c>
      <c r="D4981" s="39">
        <f t="shared" si="581"/>
        <v>4496</v>
      </c>
      <c r="E4981" s="1"/>
      <c r="F4981" s="409">
        <f t="shared" si="584"/>
        <v>101</v>
      </c>
      <c r="G4981" s="168">
        <f>SUM(C4981,C4957,C4933,C4909,C4885,C4861,C4837,C4813,C4789,C4765,C4741,C4717,C4693,C4669)/POBLA!$B$12*100000</f>
        <v>453.33150374430471</v>
      </c>
      <c r="H4981" s="256">
        <f t="shared" si="569"/>
        <v>1.319526627218935</v>
      </c>
      <c r="I4981" s="297">
        <f t="shared" si="582"/>
        <v>598.18299014781041</v>
      </c>
      <c r="J4981" s="297">
        <f t="shared" si="583"/>
        <v>143.71428571428572</v>
      </c>
      <c r="K4981" s="297">
        <f>J4981/POBLA!$B$12*100000</f>
        <v>36.519177832060429</v>
      </c>
      <c r="L4981" s="549">
        <f t="shared" si="570"/>
        <v>-0.29305912596401029</v>
      </c>
      <c r="M4981" s="401">
        <f>SUM(C4981,C4957,C4933,C4909,C4885,C4861,C4837)/POBLA!$B$12*100000</f>
        <v>255.63424482442301</v>
      </c>
    </row>
    <row r="4982" spans="1:13" s="360" customFormat="1" x14ac:dyDescent="0.25">
      <c r="A4982" s="367" t="s">
        <v>17</v>
      </c>
      <c r="B4982" s="267">
        <v>44100</v>
      </c>
      <c r="C4982" s="1">
        <v>656</v>
      </c>
      <c r="D4982" s="39">
        <f t="shared" si="581"/>
        <v>22483</v>
      </c>
      <c r="E4982" s="1">
        <f>9+5</f>
        <v>14</v>
      </c>
      <c r="F4982" s="409">
        <f t="shared" si="584"/>
        <v>242</v>
      </c>
      <c r="G4982" s="168">
        <f>SUM(C4982,C4958,C4934,C4910,C4886,C4862,C4838,C4814,C4790,C4766,C4742,C4718,C4694,C4670)/POBLA!$B$13*100000</f>
        <v>437.36290017072474</v>
      </c>
      <c r="H4982" s="256">
        <f t="shared" si="569"/>
        <v>1.1537442014579191</v>
      </c>
      <c r="I4982" s="297">
        <f t="shared" si="582"/>
        <v>504.60491000479243</v>
      </c>
      <c r="J4982" s="297">
        <f t="shared" si="583"/>
        <v>603.28571428571433</v>
      </c>
      <c r="K4982" s="297">
        <f>J4982/POBLA!$B$13*100000</f>
        <v>30.310716787084118</v>
      </c>
      <c r="L4982" s="549">
        <f t="shared" si="570"/>
        <v>5.7786702365015596E-2</v>
      </c>
      <c r="M4982" s="401">
        <f>SUM(C4982,C4958,C4934,C4910,C4886,C4862,C4838)/POBLA!$B$13*100000</f>
        <v>212.17501750958883</v>
      </c>
    </row>
    <row r="4983" spans="1:13" s="360" customFormat="1" x14ac:dyDescent="0.25">
      <c r="A4983" s="367" t="s">
        <v>23</v>
      </c>
      <c r="B4983" s="267">
        <v>44100</v>
      </c>
      <c r="C4983" s="1">
        <v>-5</v>
      </c>
      <c r="D4983" s="39">
        <f t="shared" si="581"/>
        <v>82</v>
      </c>
      <c r="E4983" s="1"/>
      <c r="F4983" s="409">
        <f t="shared" si="584"/>
        <v>2</v>
      </c>
      <c r="G4983" s="168">
        <f>SUM(C4983,C4959,C4935,C4911,C4887,C4863,C4839,C4815,C4791,C4767,C4743,C4719,C4695,C4671)/POBLA!$B$14*100000</f>
        <v>1.1099711883192975</v>
      </c>
      <c r="H4983" s="256">
        <f t="shared" si="569"/>
        <v>1.75</v>
      </c>
      <c r="I4983" s="297">
        <f t="shared" si="582"/>
        <v>1.9424495795587706</v>
      </c>
      <c r="J4983" s="297">
        <f t="shared" si="583"/>
        <v>1.8571428571428572</v>
      </c>
      <c r="K4983" s="297">
        <f>J4983/POBLA!$B$14*100000</f>
        <v>0.14724107600153949</v>
      </c>
      <c r="L4983" s="549">
        <f t="shared" si="570"/>
        <v>-12</v>
      </c>
      <c r="M4983" s="401">
        <f>SUM(C4983,C4959,C4935,C4911,C4887,C4863,C4839)/POBLA!$B$14*100000</f>
        <v>1.0306875320107762</v>
      </c>
    </row>
    <row r="4984" spans="1:13" s="360" customFormat="1" x14ac:dyDescent="0.25">
      <c r="A4984" s="367" t="s">
        <v>19</v>
      </c>
      <c r="B4984" s="267">
        <v>44100</v>
      </c>
      <c r="C4984" s="1">
        <v>180</v>
      </c>
      <c r="D4984" s="39">
        <f>C4984+D4960</f>
        <v>7155</v>
      </c>
      <c r="E4984" s="1">
        <f>5</f>
        <v>5</v>
      </c>
      <c r="F4984" s="409">
        <f t="shared" si="584"/>
        <v>109</v>
      </c>
      <c r="G4984" s="168">
        <f>SUM(C4984,C4960,C4936,C4912,C4888,C4864,C4840,C4816,C4792,C4768,C4744,C4720,C4696,C4672)/POBLA!$B$15*100000</f>
        <v>395.89974956969058</v>
      </c>
      <c r="H4984" s="256">
        <f t="shared" si="569"/>
        <v>1.5639500297441999</v>
      </c>
      <c r="I4984" s="297">
        <f t="shared" si="582"/>
        <v>619.16742511523887</v>
      </c>
      <c r="J4984" s="297">
        <f t="shared" si="583"/>
        <v>185.42857142857142</v>
      </c>
      <c r="K4984" s="297">
        <f>J4984/POBLA!$B$15*100000</f>
        <v>27.923592617587257</v>
      </c>
      <c r="L4984" s="549">
        <f t="shared" si="570"/>
        <v>2.4793388429752095E-2</v>
      </c>
      <c r="M4984" s="401">
        <f>SUM(C4984,C4960,C4936,C4912,C4888,C4864,C4840)/POBLA!$B$15*100000</f>
        <v>195.46514832311084</v>
      </c>
    </row>
    <row r="4985" spans="1:13" s="360" customFormat="1" x14ac:dyDescent="0.25">
      <c r="A4985" s="367" t="s">
        <v>18</v>
      </c>
      <c r="B4985" s="267">
        <v>44100</v>
      </c>
      <c r="C4985" s="1">
        <v>243</v>
      </c>
      <c r="D4985" s="39">
        <f>C4985+D4961</f>
        <v>11718</v>
      </c>
      <c r="E4985" s="1">
        <f>1</f>
        <v>1</v>
      </c>
      <c r="F4985" s="409">
        <f t="shared" si="584"/>
        <v>257</v>
      </c>
      <c r="G4985" s="168">
        <f>SUM(C4985,C4961,C4937,C4913,C4889,C4865,C4841,C4817,C4793,C4769,C4745,C4721,C4697,C4673)/POBLA!$B$16*100000</f>
        <v>418.53372747823062</v>
      </c>
      <c r="H4985" s="256">
        <f t="shared" si="569"/>
        <v>1.1135231316725978</v>
      </c>
      <c r="I4985" s="297">
        <f t="shared" si="582"/>
        <v>466.04698693216494</v>
      </c>
      <c r="J4985" s="297">
        <f t="shared" si="583"/>
        <v>214.85714285714286</v>
      </c>
      <c r="K4985" s="297">
        <f>J4985/POBLA!$B$16*100000</f>
        <v>28.739201302436147</v>
      </c>
      <c r="L4985" s="549">
        <f t="shared" si="570"/>
        <v>7.4461538461538468E-2</v>
      </c>
      <c r="M4985" s="401">
        <f>SUM(C4985,C4961,C4937,C4913,C4889,C4865,C4841)/POBLA!$B$16*100000</f>
        <v>201.17440911705302</v>
      </c>
    </row>
    <row r="4986" spans="1:13" s="360" customFormat="1" x14ac:dyDescent="0.25">
      <c r="A4986" s="367" t="s">
        <v>34</v>
      </c>
      <c r="B4986" s="267">
        <v>44100</v>
      </c>
      <c r="C4986" s="1">
        <v>301</v>
      </c>
      <c r="D4986" s="39">
        <f>C4986+D4962</f>
        <v>11253</v>
      </c>
      <c r="E4986" s="1">
        <f>12+3</f>
        <v>15</v>
      </c>
      <c r="F4986" s="409">
        <f>E4986+F4962</f>
        <v>293</v>
      </c>
      <c r="G4986" s="168">
        <f>SUM(C4986,C4962,C4938,C4914,C4890,C4866,C4842,C4818,C4794,C4770,C4746,C4722,C4698,C4674)/POBLA!$B$17*100000</f>
        <v>338.95044710147522</v>
      </c>
      <c r="H4986" s="256">
        <f t="shared" ref="H4986:H5017" si="585">SUM(C4986,C4962,C4938,C4914,C4890,C4866,C4842,C4818,C4794,C4770,C4746,C4722,C4698,C4674)/SUM(C4650,C4626,C4602,C4578,C4554,C4530,C4506,C4482,C4458,C4434,C4410,C4386,C4362,C4338)</f>
        <v>1.3739328400682982</v>
      </c>
      <c r="I4986" s="297">
        <f t="shared" si="582"/>
        <v>465.69515042854931</v>
      </c>
      <c r="J4986" s="297">
        <f t="shared" si="583"/>
        <v>332</v>
      </c>
      <c r="K4986" s="297">
        <f>J4986/POBLA!$B$17*100000</f>
        <v>23.308108624210806</v>
      </c>
      <c r="L4986" s="549">
        <f t="shared" ref="L4986:L5017" si="586">1-SUM(C4986,C4962,C4938,C4914,C4890,C4866,C4842)/SUM(C4818,C4794,C4770,C4746,C4722,C4698,C4674)</f>
        <v>7.1884984025559095E-2</v>
      </c>
      <c r="M4986" s="401">
        <f>SUM(C4986,C4962,C4938,C4914,C4890,C4866,C4842)/POBLA!$B$17*100000</f>
        <v>163.15676036947565</v>
      </c>
    </row>
    <row r="4987" spans="1:13" s="360" customFormat="1" x14ac:dyDescent="0.25">
      <c r="A4987" s="367" t="s">
        <v>35</v>
      </c>
      <c r="B4987" s="267">
        <v>44100</v>
      </c>
      <c r="C4987" s="1">
        <v>2</v>
      </c>
      <c r="D4987" s="39">
        <f t="shared" ref="D4987:D4993" si="587">C4987+D4963</f>
        <v>558</v>
      </c>
      <c r="E4987" s="1">
        <f>1+2</f>
        <v>3</v>
      </c>
      <c r="F4987" s="409">
        <f>E4987+F4963</f>
        <v>28</v>
      </c>
      <c r="G4987" s="168">
        <f>SUM(C4987,C4963,C4939,C4915,C4891,C4867,C4843,C4819,C4795,C4771,C4747,C4723,C4699,C4675)/POBLA!$B$18*100000</f>
        <v>17.408735344980972</v>
      </c>
      <c r="H4987" s="256">
        <f t="shared" si="585"/>
        <v>0.62962962962962965</v>
      </c>
      <c r="I4987" s="297">
        <f t="shared" si="582"/>
        <v>10.961055587580612</v>
      </c>
      <c r="J4987" s="297">
        <f t="shared" si="583"/>
        <v>13.428571428571429</v>
      </c>
      <c r="K4987" s="297">
        <f>J4987/POBLA!$B$18*100000</f>
        <v>1.7189297504498018</v>
      </c>
      <c r="L4987" s="549">
        <f t="shared" si="586"/>
        <v>-1.2380952380952381</v>
      </c>
      <c r="M4987" s="401">
        <f>SUM(C4987,C4963,C4939,C4915,C4891,C4867,C4843)/POBLA!$B$18*100000</f>
        <v>12.032508253148613</v>
      </c>
    </row>
    <row r="4988" spans="1:13" s="360" customFormat="1" x14ac:dyDescent="0.25">
      <c r="A4988" s="367" t="s">
        <v>36</v>
      </c>
      <c r="B4988" s="267">
        <v>44100</v>
      </c>
      <c r="C4988" s="1">
        <v>1</v>
      </c>
      <c r="D4988" s="39">
        <f t="shared" si="587"/>
        <v>1086</v>
      </c>
      <c r="E4988" s="1"/>
      <c r="F4988" s="409">
        <f t="shared" si="584"/>
        <v>4</v>
      </c>
      <c r="G4988" s="168">
        <f>SUM(C4988,C4964,C4940,C4916,C4892,C4868,C4844,C4820,C4796,C4772,C4748,C4724,C4700,C4676)/POBLA!$B$19*100000</f>
        <v>138.49325632268929</v>
      </c>
      <c r="H4988" s="256">
        <f t="shared" si="585"/>
        <v>2.3783783783783785</v>
      </c>
      <c r="I4988" s="297">
        <f t="shared" si="582"/>
        <v>329.38936638909888</v>
      </c>
      <c r="J4988" s="297">
        <f t="shared" si="583"/>
        <v>59.142857142857146</v>
      </c>
      <c r="K4988" s="297">
        <f>J4988/POBLA!$B$19*100000</f>
        <v>11.634782491394757</v>
      </c>
      <c r="L4988" s="549">
        <f t="shared" si="586"/>
        <v>-0.42758620689655169</v>
      </c>
      <c r="M4988" s="401">
        <f>SUM(C4988,C4964,C4940,C4916,C4892,C4868,C4844)/POBLA!$B$19*100000</f>
        <v>81.443477439763299</v>
      </c>
    </row>
    <row r="4989" spans="1:13" s="360" customFormat="1" x14ac:dyDescent="0.25">
      <c r="A4989" s="367" t="s">
        <v>37</v>
      </c>
      <c r="B4989" s="267">
        <v>44100</v>
      </c>
      <c r="C4989" s="1">
        <v>125</v>
      </c>
      <c r="D4989" s="39">
        <f t="shared" si="587"/>
        <v>4380</v>
      </c>
      <c r="E4989" s="1">
        <f>3+2</f>
        <v>5</v>
      </c>
      <c r="F4989" s="409">
        <f>E4989+F4965</f>
        <v>55</v>
      </c>
      <c r="G4989" s="168">
        <f>SUM(C4989,C4965,C4941,C4917,C4893,C4869,C4845,C4821,C4797,C4773,C4749,C4725,C4701,C4677)/POBLA!$B$20*100000</f>
        <v>411.26831429212086</v>
      </c>
      <c r="H4989" s="256">
        <f t="shared" si="585"/>
        <v>1.2267536704730833</v>
      </c>
      <c r="I4989" s="297">
        <f t="shared" si="582"/>
        <v>504.52491410713685</v>
      </c>
      <c r="J4989" s="297">
        <f t="shared" si="583"/>
        <v>102.28571428571429</v>
      </c>
      <c r="K4989" s="297">
        <f>J4989/POBLA!$B$20*100000</f>
        <v>27.969995538863845</v>
      </c>
      <c r="L4989" s="549">
        <f t="shared" si="586"/>
        <v>9.137055837563457E-2</v>
      </c>
      <c r="M4989" s="401">
        <f>SUM(C4989,C4965,C4941,C4917,C4893,C4869,C4845)/POBLA!$B$20*100000</f>
        <v>195.78996877204685</v>
      </c>
    </row>
    <row r="4990" spans="1:13" s="360" customFormat="1" x14ac:dyDescent="0.25">
      <c r="A4990" s="367" t="s">
        <v>22</v>
      </c>
      <c r="B4990" s="267">
        <v>44100</v>
      </c>
      <c r="C4990" s="1">
        <v>1311</v>
      </c>
      <c r="D4990" s="39">
        <f t="shared" si="587"/>
        <v>35851</v>
      </c>
      <c r="E4990" s="1">
        <f>7+8</f>
        <v>15</v>
      </c>
      <c r="F4990" s="409">
        <f>E4990+F4966</f>
        <v>384</v>
      </c>
      <c r="G4990" s="168">
        <f>SUM(C4990,C4966,C4942,C4918,C4894,C4870,C4846,C4822,C4798,C4774,C4750,C4726,C4702,C4678)/POBLA!$B$21*100000</f>
        <v>517.16171561167266</v>
      </c>
      <c r="H4990" s="256">
        <f t="shared" si="585"/>
        <v>1.7560249639942391</v>
      </c>
      <c r="I4990" s="297">
        <f t="shared" si="582"/>
        <v>908.14888303618648</v>
      </c>
      <c r="J4990" s="297">
        <f t="shared" si="583"/>
        <v>1476.1428571428571</v>
      </c>
      <c r="K4990" s="297">
        <f>J4990/POBLA!$B$21*100000</f>
        <v>41.741187188360009</v>
      </c>
      <c r="L4990" s="549">
        <f t="shared" si="586"/>
        <v>-0.29876822523881352</v>
      </c>
      <c r="M4990" s="401">
        <f>SUM(C4990,C4966,C4942,C4918,C4894,C4870,C4846)/POBLA!$B$21*100000</f>
        <v>292.18831031852005</v>
      </c>
    </row>
    <row r="4991" spans="1:13" s="360" customFormat="1" x14ac:dyDescent="0.25">
      <c r="A4991" s="367" t="s">
        <v>38</v>
      </c>
      <c r="B4991" s="267">
        <v>44100</v>
      </c>
      <c r="C4991" s="1">
        <v>71</v>
      </c>
      <c r="D4991" s="39">
        <f t="shared" si="587"/>
        <v>2889</v>
      </c>
      <c r="E4991" s="1">
        <f>2</f>
        <v>2</v>
      </c>
      <c r="F4991" s="409">
        <f t="shared" si="584"/>
        <v>49</v>
      </c>
      <c r="G4991" s="168">
        <f>SUM(C4991,C4967,C4943,C4919,C4895,C4871,C4847,C4823,C4799,C4775,C4751,C4727,C4703,C4679)/POBLA!$B$22*100000</f>
        <v>116.11825663156883</v>
      </c>
      <c r="H4991" s="256">
        <f t="shared" si="585"/>
        <v>1.2456140350877194</v>
      </c>
      <c r="I4991" s="297">
        <f t="shared" si="582"/>
        <v>144.63853019019979</v>
      </c>
      <c r="J4991" s="297">
        <f t="shared" si="583"/>
        <v>83.857142857142861</v>
      </c>
      <c r="K4991" s="297">
        <f>J4991/POBLA!$B$22*100000</f>
        <v>8.5716067206653559</v>
      </c>
      <c r="L4991" s="549">
        <f t="shared" si="586"/>
        <v>-6.9216757741347834E-2</v>
      </c>
      <c r="M4991" s="401">
        <f>SUM(C4991,C4967,C4943,C4919,C4895,C4871,C4847)/POBLA!$B$22*100000</f>
        <v>60.001247044657482</v>
      </c>
    </row>
    <row r="4992" spans="1:13" s="360" customFormat="1" x14ac:dyDescent="0.25">
      <c r="A4992" s="367" t="s">
        <v>39</v>
      </c>
      <c r="B4992" s="267">
        <v>44100</v>
      </c>
      <c r="C4992" s="1">
        <v>102</v>
      </c>
      <c r="D4992" s="39">
        <f t="shared" si="587"/>
        <v>3642</v>
      </c>
      <c r="E4992" s="1"/>
      <c r="F4992" s="409">
        <f>E4992+F4968</f>
        <v>62</v>
      </c>
      <c r="G4992" s="168">
        <f>SUM(C4992,C4968,C4944,C4920,C4896,C4872,C4848,C4824,C4800,C4776,C4752,C4728,C4704,C4680)/POBLA!$B$23*100000</f>
        <v>542.32879036362613</v>
      </c>
      <c r="H4992" s="256">
        <f t="shared" si="585"/>
        <v>1.2959459459459459</v>
      </c>
      <c r="I4992" s="297">
        <f t="shared" si="582"/>
        <v>702.82879724151007</v>
      </c>
      <c r="J4992" s="297">
        <f t="shared" si="583"/>
        <v>74.857142857142861</v>
      </c>
      <c r="K4992" s="297">
        <f>J4992/POBLA!$B$23*100000</f>
        <v>42.332829755778356</v>
      </c>
      <c r="L4992" s="549">
        <f t="shared" si="586"/>
        <v>-0.20459770114942533</v>
      </c>
      <c r="M4992" s="401">
        <f>SUM(C4992,C4968,C4944,C4920,C4896,C4872,C4848)/POBLA!$B$23*100000</f>
        <v>296.32980829044845</v>
      </c>
    </row>
    <row r="4993" spans="1:13" s="360" customFormat="1" ht="15.75" thickBot="1" x14ac:dyDescent="0.3">
      <c r="A4993" s="369" t="s">
        <v>40</v>
      </c>
      <c r="B4993" s="267">
        <v>44100</v>
      </c>
      <c r="C4993" s="1">
        <v>249</v>
      </c>
      <c r="D4993" s="176">
        <f t="shared" si="587"/>
        <v>12129</v>
      </c>
      <c r="E4993" s="1"/>
      <c r="F4993" s="476">
        <f>E4993+F4969</f>
        <v>107</v>
      </c>
      <c r="G4993" s="177">
        <f>SUM(C4993,C4969,C4945,C4921,C4897,C4873,C4849,C4825,C4801,C4777,C4753,C4729,C4705,C4681)/POBLA!$B$24*100000</f>
        <v>359.0109143094528</v>
      </c>
      <c r="H4993" s="402">
        <f t="shared" si="585"/>
        <v>1.4423897581792318</v>
      </c>
      <c r="I4993" s="403">
        <f t="shared" si="582"/>
        <v>517.83366587451656</v>
      </c>
      <c r="J4993" s="403">
        <f t="shared" si="583"/>
        <v>410.85714285714283</v>
      </c>
      <c r="K4993" s="403">
        <f>J4993/POBLA!$B$24*100000</f>
        <v>24.24427983361478</v>
      </c>
      <c r="L4993" s="550">
        <f t="shared" si="586"/>
        <v>0.10349127182044893</v>
      </c>
      <c r="M4993" s="405">
        <f>SUM(C4993,C4969,C4945,C4921,C4897,C4873,C4849)/POBLA!$B$24*100000</f>
        <v>169.70995883530347</v>
      </c>
    </row>
    <row r="4994" spans="1:13" s="360" customFormat="1" x14ac:dyDescent="0.25">
      <c r="A4994" s="363" t="s">
        <v>16</v>
      </c>
      <c r="B4994" s="267">
        <v>44101</v>
      </c>
      <c r="C4994" s="1">
        <v>2947</v>
      </c>
      <c r="D4994" s="174">
        <f>C4994+D4970</f>
        <v>401862</v>
      </c>
      <c r="E4994" s="1">
        <f>35+33</f>
        <v>68</v>
      </c>
      <c r="F4994" s="475">
        <f>E4994+F4970</f>
        <v>9344</v>
      </c>
      <c r="G4994" s="175">
        <f>SUM(C4994,C4970,C4946,C4922,C4898,C4874,C4850,C4826,C4802,C4778,C4754,C4730,C4706,C4682)/POBLA!$B$1*100000</f>
        <v>399.47800430998188</v>
      </c>
      <c r="H4994" s="300">
        <f t="shared" si="585"/>
        <v>0.89679665203424752</v>
      </c>
      <c r="I4994" s="301">
        <f>G4994*H4994</f>
        <v>358.25053682651446</v>
      </c>
      <c r="J4994" s="301">
        <f>AVERAGE(C4994,C4970,C4946,C4922,C4898,C4874,C4850)</f>
        <v>4797.4285714285716</v>
      </c>
      <c r="K4994" s="301">
        <f>J4994/POBLA!$B$1*100000</f>
        <v>27.349581030268048</v>
      </c>
      <c r="L4994" s="548">
        <f t="shared" si="586"/>
        <v>7.9718286700830365E-2</v>
      </c>
      <c r="M4994" s="400">
        <f>SUM(C4994,C4970,C4946,C4922,C4898,C4874,C4850)/POBLA!$B$1*100000</f>
        <v>191.44706721187634</v>
      </c>
    </row>
    <row r="4995" spans="1:13" s="360" customFormat="1" x14ac:dyDescent="0.25">
      <c r="A4995" s="367" t="s">
        <v>43</v>
      </c>
      <c r="B4995" s="267">
        <v>44101</v>
      </c>
      <c r="C4995" s="1">
        <v>628</v>
      </c>
      <c r="D4995" s="39">
        <f t="shared" ref="D4995:D5007" si="588">C4995+D4971</f>
        <v>123288</v>
      </c>
      <c r="E4995" s="1">
        <f>30+32</f>
        <v>62</v>
      </c>
      <c r="F4995" s="409">
        <f>E4995+F4971</f>
        <v>3198</v>
      </c>
      <c r="G4995" s="168">
        <f>SUM(C4995,C4971,C4947,C4923,C4899,C4875,C4851,C4827,C4803,C4779,C4755,C4731,C4707,C4683)/POBLA!$B$2*100000</f>
        <v>402.7771726655148</v>
      </c>
      <c r="H4995" s="256">
        <f t="shared" si="585"/>
        <v>0.74255229874722772</v>
      </c>
      <c r="I4995" s="297">
        <f t="shared" ref="I4995:I5017" si="589">G4995*H4995</f>
        <v>299.08311544568704</v>
      </c>
      <c r="J4995" s="297">
        <f t="shared" ref="J4995:J5017" si="590">AVERAGE(C4995,C4971,C4947,C4923,C4899,C4875,C4851)</f>
        <v>859.14285714285711</v>
      </c>
      <c r="K4995" s="297">
        <f>J4995/POBLA!$B$2*100000</f>
        <v>27.933736754582846</v>
      </c>
      <c r="L4995" s="549">
        <f t="shared" si="586"/>
        <v>5.6479447756510814E-2</v>
      </c>
      <c r="M4995" s="401">
        <f>SUM(C4995,C4971,C4947,C4923,C4899,C4875,C4851)/POBLA!$B$2*100000</f>
        <v>195.5361572820799</v>
      </c>
    </row>
    <row r="4996" spans="1:13" s="360" customFormat="1" x14ac:dyDescent="0.25">
      <c r="A4996" s="367" t="s">
        <v>28</v>
      </c>
      <c r="B4996" s="267">
        <v>44101</v>
      </c>
      <c r="C4996" s="1">
        <v>67</v>
      </c>
      <c r="D4996" s="39">
        <f t="shared" si="588"/>
        <v>272</v>
      </c>
      <c r="E4996" s="1"/>
      <c r="F4996" s="409">
        <f>E4996+F4972</f>
        <v>0</v>
      </c>
      <c r="G4996" s="168">
        <f>SUM(C4996,C4972,C4948,C4924,C4900,C4876,C4852,C4828,C4804,C4780,C4756,C4732,C4708,C4684)/POBLA!$B$3*100000</f>
        <v>35.625051150833578</v>
      </c>
      <c r="H4996" s="256">
        <f t="shared" si="585"/>
        <v>2.5084745762711864</v>
      </c>
      <c r="I4996" s="297">
        <f t="shared" si="589"/>
        <v>89.364535090226596</v>
      </c>
      <c r="J4996" s="297">
        <f t="shared" si="590"/>
        <v>11.571428571428571</v>
      </c>
      <c r="K4996" s="297">
        <f>J4996/POBLA!$B$3*100000</f>
        <v>2.7853563158470269</v>
      </c>
      <c r="L4996" s="549">
        <f t="shared" si="586"/>
        <v>-0.20895522388059695</v>
      </c>
      <c r="M4996" s="401">
        <f>SUM(C4996,C4972,C4948,C4924,C4900,C4876,C4852)/POBLA!$B$3*100000</f>
        <v>19.49749421092919</v>
      </c>
    </row>
    <row r="4997" spans="1:13" s="360" customFormat="1" x14ac:dyDescent="0.25">
      <c r="A4997" s="367" t="s">
        <v>15</v>
      </c>
      <c r="B4997" s="267">
        <v>44101</v>
      </c>
      <c r="C4997" s="1">
        <v>111</v>
      </c>
      <c r="D4997" s="39">
        <f t="shared" si="588"/>
        <v>8178</v>
      </c>
      <c r="E4997" s="1">
        <f>1</f>
        <v>1</v>
      </c>
      <c r="F4997" s="409">
        <f t="shared" ref="F4997:F5015" si="591">E4997+F4973</f>
        <v>278</v>
      </c>
      <c r="G4997" s="168">
        <f>SUM(C4997,C4973,C4949,C4925,C4901,C4877,C4853,C4829,C4805,C4781,C4757,C4733,C4709,C4685)/POBLA!$B$4*100000</f>
        <v>118.46836263771843</v>
      </c>
      <c r="H4997" s="256">
        <f t="shared" si="585"/>
        <v>1.0127750177430801</v>
      </c>
      <c r="I4997" s="297">
        <f t="shared" si="589"/>
        <v>119.98179807240894</v>
      </c>
      <c r="J4997" s="297">
        <f t="shared" si="590"/>
        <v>109.71428571428571</v>
      </c>
      <c r="K4997" s="297">
        <f>J4997/POBLA!$B$4*100000</f>
        <v>9.1083894790036783</v>
      </c>
      <c r="L4997" s="549">
        <f t="shared" si="586"/>
        <v>-0.16540212443095603</v>
      </c>
      <c r="M4997" s="401">
        <f>SUM(C4997,C4973,C4949,C4925,C4901,C4877,C4853)/POBLA!$B$4*100000</f>
        <v>63.758726353025764</v>
      </c>
    </row>
    <row r="4998" spans="1:13" s="360" customFormat="1" x14ac:dyDescent="0.25">
      <c r="A4998" s="367" t="s">
        <v>29</v>
      </c>
      <c r="B4998" s="267">
        <v>44101</v>
      </c>
      <c r="C4998" s="1">
        <v>100</v>
      </c>
      <c r="D4998" s="39">
        <f t="shared" si="588"/>
        <v>3409</v>
      </c>
      <c r="E4998" s="1"/>
      <c r="F4998" s="409">
        <f t="shared" si="591"/>
        <v>32</v>
      </c>
      <c r="G4998" s="168">
        <f>SUM(C4998,C4974,C4950,C4926,C4902,C4878,C4854,C4830,C4806,C4782,C4758,C4734,C4710,C4686)/POBLA!$B$5*100000</f>
        <v>273.18520050275129</v>
      </c>
      <c r="H4998" s="256">
        <f t="shared" si="585"/>
        <v>1.8830734966592428</v>
      </c>
      <c r="I4998" s="297">
        <f t="shared" si="589"/>
        <v>514.42781074627226</v>
      </c>
      <c r="J4998" s="297">
        <f t="shared" si="590"/>
        <v>157.42857142857142</v>
      </c>
      <c r="K4998" s="297">
        <f>J4998/POBLA!$B$5*100000</f>
        <v>25.432972117431095</v>
      </c>
      <c r="L4998" s="549">
        <f t="shared" si="586"/>
        <v>-0.87096774193548376</v>
      </c>
      <c r="M4998" s="401">
        <f>SUM(C4998,C4974,C4950,C4926,C4902,C4878,C4854)/POBLA!$B$5*100000</f>
        <v>178.03080482201764</v>
      </c>
    </row>
    <row r="4999" spans="1:13" s="360" customFormat="1" x14ac:dyDescent="0.25">
      <c r="A4999" s="367" t="s">
        <v>20</v>
      </c>
      <c r="B4999" s="267">
        <v>44101</v>
      </c>
      <c r="C4999" s="1">
        <v>1577</v>
      </c>
      <c r="D4999" s="39">
        <f t="shared" si="588"/>
        <v>29210</v>
      </c>
      <c r="E4999" s="1">
        <f>7+10</f>
        <v>17</v>
      </c>
      <c r="F4999" s="409">
        <f t="shared" si="591"/>
        <v>345</v>
      </c>
      <c r="G4999" s="168">
        <f>SUM(C4999,C4975,C4951,C4927,C4903,C4879,C4855,C4831,C4807,C4783,C4759,C4735,C4711,C4687)/POBLA!$B$6*100000</f>
        <v>1317.8967541963291</v>
      </c>
      <c r="H4999" s="256">
        <f t="shared" si="585"/>
        <v>2.3427438540840604</v>
      </c>
      <c r="I4999" s="297">
        <f t="shared" si="589"/>
        <v>3087.4945212107814</v>
      </c>
      <c r="J4999" s="297">
        <f t="shared" si="590"/>
        <v>1428.8571428571429</v>
      </c>
      <c r="K4999" s="297">
        <f>J4999/POBLA!$B$6*100000</f>
        <v>127.48535581759322</v>
      </c>
      <c r="L4999" s="549">
        <f t="shared" si="586"/>
        <v>-1.0972950304046969</v>
      </c>
      <c r="M4999" s="401">
        <f>SUM(C4999,C4975,C4951,C4927,C4903,C4879,C4855)/POBLA!$B$6*100000</f>
        <v>892.3974907231526</v>
      </c>
    </row>
    <row r="5000" spans="1:13" s="360" customFormat="1" x14ac:dyDescent="0.25">
      <c r="A5000" s="367" t="s">
        <v>30</v>
      </c>
      <c r="B5000" s="267">
        <v>44101</v>
      </c>
      <c r="C5000" s="1">
        <v>49</v>
      </c>
      <c r="D5000" s="39">
        <f t="shared" si="588"/>
        <v>1063</v>
      </c>
      <c r="E5000" s="1">
        <f>3</f>
        <v>3</v>
      </c>
      <c r="F5000" s="409">
        <f>E5000+F4976</f>
        <v>19</v>
      </c>
      <c r="G5000" s="168">
        <f>SUM(C5000,C4976,C4952,C4928,C4904,C4880,C4856,C4832,C4808,C4784,C4760,C4736,C4712,C4688)/POBLA!$B$7*100000</f>
        <v>10.716802510337859</v>
      </c>
      <c r="H5000" s="256">
        <f t="shared" si="585"/>
        <v>1.1749271137026238</v>
      </c>
      <c r="I5000" s="297">
        <f t="shared" si="589"/>
        <v>12.591461841592293</v>
      </c>
      <c r="J5000" s="297">
        <f t="shared" si="590"/>
        <v>13.571428571428571</v>
      </c>
      <c r="K5000" s="297">
        <f>J5000/POBLA!$B$7*100000</f>
        <v>0.36089905653388749</v>
      </c>
      <c r="L5000" s="549">
        <f t="shared" si="586"/>
        <v>0.69155844155844148</v>
      </c>
      <c r="M5000" s="401">
        <f>SUM(C5000,C4976,C4952,C4928,C4904,C4880,C4856)/POBLA!$B$7*100000</f>
        <v>2.5262933957372122</v>
      </c>
    </row>
    <row r="5001" spans="1:13" x14ac:dyDescent="0.25">
      <c r="A5001" s="367" t="s">
        <v>31</v>
      </c>
      <c r="B5001" s="267">
        <v>44101</v>
      </c>
      <c r="C5001" s="1">
        <v>85</v>
      </c>
      <c r="D5001" s="39">
        <f t="shared" si="588"/>
        <v>7041</v>
      </c>
      <c r="E5001" s="1">
        <f>2</f>
        <v>2</v>
      </c>
      <c r="F5001" s="409">
        <f>E5001+F4977</f>
        <v>131</v>
      </c>
      <c r="G5001" s="168">
        <f>SUM(C5001,C4977,C4953,C4929,C4905,C4881,C4857,C4833,C4809,C4785,C4761,C4737,C4713,C4689)/POBLA!$B$8*100000</f>
        <v>130.09024063447674</v>
      </c>
      <c r="H5001" s="256">
        <f t="shared" si="585"/>
        <v>0.87227866473149496</v>
      </c>
      <c r="I5001" s="297">
        <f t="shared" si="589"/>
        <v>113.47494139524024</v>
      </c>
      <c r="J5001" s="297">
        <f t="shared" si="590"/>
        <v>119.28571428571429</v>
      </c>
      <c r="K5001" s="297">
        <f>J5001/POBLA!$B$8*100000</f>
        <v>8.6067150724814265</v>
      </c>
      <c r="L5001" s="549">
        <f t="shared" si="586"/>
        <v>0.13739669421487599</v>
      </c>
      <c r="M5001" s="401">
        <f>SUM(C5001,C4977,C4953,C4929,C4905,C4881,C4857)/POBLA!$B$8*100000</f>
        <v>60.247005507369977</v>
      </c>
    </row>
    <row r="5002" spans="1:13" s="360" customFormat="1" x14ac:dyDescent="0.25">
      <c r="A5002" s="367" t="s">
        <v>41</v>
      </c>
      <c r="B5002" s="267">
        <v>44101</v>
      </c>
      <c r="C5002" s="1">
        <v>1</v>
      </c>
      <c r="D5002" s="39">
        <f t="shared" si="588"/>
        <v>105</v>
      </c>
      <c r="E5002" s="1"/>
      <c r="F5002" s="409">
        <f>E5002+F4978</f>
        <v>1</v>
      </c>
      <c r="G5002" s="168">
        <f>SUM(C5002,C4978,C4954,C4930,C4906,C4882,C4858,C4834,C4810,C4786,C4762,C4738,C4714,C4690)/POBLA!$B$9*100000</f>
        <v>1.8176019881261019</v>
      </c>
      <c r="H5002" s="256">
        <f t="shared" si="585"/>
        <v>1</v>
      </c>
      <c r="I5002" s="297">
        <f t="shared" si="589"/>
        <v>1.8176019881261019</v>
      </c>
      <c r="J5002" s="297">
        <f t="shared" si="590"/>
        <v>0.5714285714285714</v>
      </c>
      <c r="K5002" s="297">
        <f>J5002/POBLA!$B$9*100000</f>
        <v>9.4420882500057243E-2</v>
      </c>
      <c r="L5002" s="549">
        <f t="shared" si="586"/>
        <v>0.4285714285714286</v>
      </c>
      <c r="M5002" s="401">
        <f>SUM(C5002,C4978,C4954,C4930,C4906,C4882,C4858)/POBLA!$B$9*100000</f>
        <v>0.66094617750040074</v>
      </c>
    </row>
    <row r="5003" spans="1:13" s="360" customFormat="1" x14ac:dyDescent="0.25">
      <c r="A5003" s="367" t="s">
        <v>32</v>
      </c>
      <c r="B5003" s="267">
        <v>44101</v>
      </c>
      <c r="C5003" s="1">
        <v>97</v>
      </c>
      <c r="D5003" s="39">
        <f t="shared" si="588"/>
        <v>15302</v>
      </c>
      <c r="E5003" s="1">
        <f>11+7</f>
        <v>18</v>
      </c>
      <c r="F5003" s="409">
        <f>E5003+F4979</f>
        <v>431</v>
      </c>
      <c r="G5003" s="168">
        <f>SUM(C5003,C4979,C4955,C4931,C4907,C4883,C4859,C4835,C4811,C4787,C4763,C4739,C4715,C4691)/POBLA!$B$10*100000</f>
        <v>412.51503150291677</v>
      </c>
      <c r="H5003" s="256">
        <f t="shared" si="585"/>
        <v>0.78888613247333172</v>
      </c>
      <c r="I5003" s="297">
        <f t="shared" si="589"/>
        <v>325.42738778945062</v>
      </c>
      <c r="J5003" s="297">
        <f t="shared" si="590"/>
        <v>164.57142857142858</v>
      </c>
      <c r="K5003" s="297">
        <f>J5003/POBLA!$B$10*100000</f>
        <v>21.348486805541786</v>
      </c>
      <c r="L5003" s="549">
        <f t="shared" si="586"/>
        <v>0.43195266272189348</v>
      </c>
      <c r="M5003" s="401">
        <f>SUM(C5003,C4979,C4955,C4931,C4907,C4883,C4859)/POBLA!$B$10*100000</f>
        <v>149.43940763879252</v>
      </c>
    </row>
    <row r="5004" spans="1:13" s="360" customFormat="1" x14ac:dyDescent="0.25">
      <c r="A5004" s="367" t="s">
        <v>33</v>
      </c>
      <c r="B5004" s="267">
        <v>44101</v>
      </c>
      <c r="C5004" s="1">
        <v>10</v>
      </c>
      <c r="D5004" s="39">
        <f t="shared" si="588"/>
        <v>694</v>
      </c>
      <c r="E5004" s="1">
        <f>2</f>
        <v>2</v>
      </c>
      <c r="F5004" s="409">
        <f t="shared" si="591"/>
        <v>7</v>
      </c>
      <c r="G5004" s="168">
        <f>SUM(C5004,C4980,C4956,C4932,C4908,C4884,C4860,C4836,C4812,C4788,C4764,C4740,C4716,C4692)/POBLA!$B$11*100000</f>
        <v>82.86182999096053</v>
      </c>
      <c r="H5004" s="256">
        <f t="shared" si="585"/>
        <v>1.5076142131979695</v>
      </c>
      <c r="I5004" s="297">
        <f t="shared" si="589"/>
        <v>124.92367262596588</v>
      </c>
      <c r="J5004" s="297">
        <f t="shared" si="590"/>
        <v>18</v>
      </c>
      <c r="K5004" s="297">
        <f>J5004/POBLA!$B$11*100000</f>
        <v>5.0219290903612439</v>
      </c>
      <c r="L5004" s="549">
        <f t="shared" si="586"/>
        <v>0.26315789473684215</v>
      </c>
      <c r="M5004" s="401">
        <f>SUM(C5004,C4980,C4956,C4932,C4908,C4884,C4860)/POBLA!$B$11*100000</f>
        <v>35.153503632528711</v>
      </c>
    </row>
    <row r="5005" spans="1:13" s="360" customFormat="1" x14ac:dyDescent="0.25">
      <c r="A5005" s="367" t="s">
        <v>21</v>
      </c>
      <c r="B5005" s="267">
        <v>44101</v>
      </c>
      <c r="C5005" s="1">
        <v>86</v>
      </c>
      <c r="D5005" s="39">
        <f t="shared" si="588"/>
        <v>4582</v>
      </c>
      <c r="E5005" s="1"/>
      <c r="F5005" s="409">
        <f t="shared" si="591"/>
        <v>101</v>
      </c>
      <c r="G5005" s="168">
        <f>SUM(C5005,C4981,C4957,C4933,C4909,C4885,C4861,C4837,C4813,C4789,C4765,C4741,C4717,C4693)/POBLA!$B$12*100000</f>
        <v>450.79040787129861</v>
      </c>
      <c r="H5005" s="256">
        <f t="shared" si="585"/>
        <v>1.2753414809489576</v>
      </c>
      <c r="I5005" s="297">
        <f t="shared" si="589"/>
        <v>574.91170637216658</v>
      </c>
      <c r="J5005" s="297">
        <f t="shared" si="590"/>
        <v>118.85714285714286</v>
      </c>
      <c r="K5005" s="297">
        <f>J5005/POBLA!$B$12*100000</f>
        <v>30.202739519159316</v>
      </c>
      <c r="L5005" s="549">
        <f t="shared" si="586"/>
        <v>0.11677282377919318</v>
      </c>
      <c r="M5005" s="401">
        <f>SUM(C5005,C4981,C4957,C4933,C4909,C4885,C4861)/POBLA!$B$12*100000</f>
        <v>211.41917663411522</v>
      </c>
    </row>
    <row r="5006" spans="1:13" s="360" customFormat="1" x14ac:dyDescent="0.25">
      <c r="A5006" s="367" t="s">
        <v>17</v>
      </c>
      <c r="B5006" s="267">
        <v>44101</v>
      </c>
      <c r="C5006" s="1">
        <v>558</v>
      </c>
      <c r="D5006" s="39">
        <f t="shared" si="588"/>
        <v>23041</v>
      </c>
      <c r="E5006" s="1">
        <f>2</f>
        <v>2</v>
      </c>
      <c r="F5006" s="409">
        <f t="shared" si="591"/>
        <v>244</v>
      </c>
      <c r="G5006" s="168">
        <f>SUM(C5006,C4982,C4958,C4934,C4910,C4886,C4862,C4838,C4814,C4790,C4766,C4742,C4718,C4694)/POBLA!$B$13*100000</f>
        <v>430.02746267216924</v>
      </c>
      <c r="H5006" s="256">
        <f t="shared" si="585"/>
        <v>1.0789108786083448</v>
      </c>
      <c r="I5006" s="297">
        <f t="shared" si="589"/>
        <v>463.96130757734733</v>
      </c>
      <c r="J5006" s="297">
        <f t="shared" si="590"/>
        <v>598.71428571428567</v>
      </c>
      <c r="K5006" s="297">
        <f>J5006/POBLA!$B$13*100000</f>
        <v>30.081035769516816</v>
      </c>
      <c r="L5006" s="549">
        <f t="shared" si="586"/>
        <v>4.0521978021977989E-2</v>
      </c>
      <c r="M5006" s="401">
        <f>SUM(C5006,C4982,C4958,C4934,C4910,C4886,C4862)/POBLA!$B$13*100000</f>
        <v>210.56725038661773</v>
      </c>
    </row>
    <row r="5007" spans="1:13" s="360" customFormat="1" x14ac:dyDescent="0.25">
      <c r="A5007" s="367" t="s">
        <v>23</v>
      </c>
      <c r="B5007" s="267">
        <v>44101</v>
      </c>
      <c r="C5007" s="1">
        <v>3</v>
      </c>
      <c r="D5007" s="39">
        <f t="shared" si="588"/>
        <v>85</v>
      </c>
      <c r="E5007" s="1"/>
      <c r="F5007" s="409">
        <f t="shared" si="591"/>
        <v>2</v>
      </c>
      <c r="G5007" s="168">
        <f>SUM(C5007,C4983,C4959,C4935,C4911,C4887,C4863,C4839,C4815,C4791,C4767,C4743,C4719,C4695)/POBLA!$B$14*100000</f>
        <v>1.3478221572448612</v>
      </c>
      <c r="H5007" s="256">
        <f t="shared" si="585"/>
        <v>2.8333333333333335</v>
      </c>
      <c r="I5007" s="297">
        <f t="shared" si="589"/>
        <v>3.8188294455271068</v>
      </c>
      <c r="J5007" s="297">
        <f t="shared" si="590"/>
        <v>2.1428571428571428</v>
      </c>
      <c r="K5007" s="297">
        <f>J5007/POBLA!$B$14*100000</f>
        <v>0.16989354923254552</v>
      </c>
      <c r="L5007" s="549">
        <f t="shared" si="586"/>
        <v>-6.5</v>
      </c>
      <c r="M5007" s="401">
        <f>SUM(C5007,C4983,C4959,C4935,C4911,C4887,C4863)/POBLA!$B$14*100000</f>
        <v>1.1892548446278186</v>
      </c>
    </row>
    <row r="5008" spans="1:13" s="360" customFormat="1" x14ac:dyDescent="0.25">
      <c r="A5008" s="367" t="s">
        <v>19</v>
      </c>
      <c r="B5008" s="267">
        <v>44101</v>
      </c>
      <c r="C5008" s="1">
        <v>181</v>
      </c>
      <c r="D5008" s="39">
        <f>C5008+D4984</f>
        <v>7336</v>
      </c>
      <c r="E5008" s="1">
        <f>2</f>
        <v>2</v>
      </c>
      <c r="F5008" s="409">
        <f t="shared" si="591"/>
        <v>111</v>
      </c>
      <c r="G5008" s="168">
        <f>SUM(C5008,C4984,C4960,C4936,C4912,C4888,C4864,C4840,C4816,C4792,C4768,C4744,C4720,C4696)/POBLA!$B$15*100000</f>
        <v>380.08785390410765</v>
      </c>
      <c r="H5008" s="256">
        <f t="shared" si="585"/>
        <v>1.3425531914893618</v>
      </c>
      <c r="I5008" s="297">
        <f t="shared" si="589"/>
        <v>510.28816130530203</v>
      </c>
      <c r="J5008" s="297">
        <f t="shared" si="590"/>
        <v>189.14285714285714</v>
      </c>
      <c r="K5008" s="297">
        <f>J5008/POBLA!$B$15*100000</f>
        <v>28.482924981267743</v>
      </c>
      <c r="L5008" s="549">
        <f t="shared" si="586"/>
        <v>-0.10333333333333328</v>
      </c>
      <c r="M5008" s="401">
        <f>SUM(C5008,C4984,C4960,C4936,C4912,C4888,C4864)/POBLA!$B$15*100000</f>
        <v>199.38047486887422</v>
      </c>
    </row>
    <row r="5009" spans="1:13" s="360" customFormat="1" x14ac:dyDescent="0.25">
      <c r="A5009" s="367" t="s">
        <v>18</v>
      </c>
      <c r="B5009" s="267">
        <v>44101</v>
      </c>
      <c r="C5009" s="1">
        <v>200</v>
      </c>
      <c r="D5009" s="39">
        <f>C5009+D4985</f>
        <v>11918</v>
      </c>
      <c r="E5009" s="1">
        <f>6+2</f>
        <v>8</v>
      </c>
      <c r="F5009" s="409">
        <f t="shared" si="591"/>
        <v>265</v>
      </c>
      <c r="G5009" s="168">
        <f>SUM(C5009,C4985,C4961,C4937,C4913,C4889,C4865,C4841,C4817,C4793,C4769,C4745,C4721,C4697)/POBLA!$B$16*100000</f>
        <v>427.89689811532753</v>
      </c>
      <c r="H5009" s="256">
        <f t="shared" si="585"/>
        <v>1.1228501228501229</v>
      </c>
      <c r="I5009" s="297">
        <f t="shared" si="589"/>
        <v>480.46408461598202</v>
      </c>
      <c r="J5009" s="297">
        <f t="shared" si="590"/>
        <v>224.57142857142858</v>
      </c>
      <c r="K5009" s="297">
        <f>J5009/POBLA!$B$16*100000</f>
        <v>30.038580084727144</v>
      </c>
      <c r="L5009" s="549">
        <f t="shared" si="586"/>
        <v>3.3804548248309807E-2</v>
      </c>
      <c r="M5009" s="401">
        <f>SUM(C5009,C4985,C4961,C4937,C4913,C4889,C4865)/POBLA!$B$16*100000</f>
        <v>210.27006059308999</v>
      </c>
    </row>
    <row r="5010" spans="1:13" s="360" customFormat="1" x14ac:dyDescent="0.25">
      <c r="A5010" s="367" t="s">
        <v>34</v>
      </c>
      <c r="B5010" s="267">
        <v>44101</v>
      </c>
      <c r="C5010" s="1">
        <v>244</v>
      </c>
      <c r="D5010" s="39">
        <f>C5010+D4986</f>
        <v>11497</v>
      </c>
      <c r="E5010" s="1">
        <f>2+1</f>
        <v>3</v>
      </c>
      <c r="F5010" s="409">
        <f>E5010+F4986</f>
        <v>296</v>
      </c>
      <c r="G5010" s="168">
        <f>SUM(C5010,C4986,C4962,C4938,C4914,C4890,C4866,C4842,C4818,C4794,C4770,C4746,C4722,C4698)/POBLA!$B$17*100000</f>
        <v>332.21075304146245</v>
      </c>
      <c r="H5010" s="256">
        <f t="shared" si="585"/>
        <v>1.3129855715871255</v>
      </c>
      <c r="I5010" s="297">
        <f t="shared" si="589"/>
        <v>436.18792546953398</v>
      </c>
      <c r="J5010" s="297">
        <f t="shared" si="590"/>
        <v>318.42857142857144</v>
      </c>
      <c r="K5010" s="297">
        <f>J5010/POBLA!$B$17*100000</f>
        <v>22.355324493703051</v>
      </c>
      <c r="L5010" s="549">
        <f t="shared" si="586"/>
        <v>0.10946863763483816</v>
      </c>
      <c r="M5010" s="401">
        <f>SUM(C5010,C4986,C4962,C4938,C4914,C4890,C4866)/POBLA!$B$17*100000</f>
        <v>156.48727145592133</v>
      </c>
    </row>
    <row r="5011" spans="1:13" s="360" customFormat="1" x14ac:dyDescent="0.25">
      <c r="A5011" s="367" t="s">
        <v>35</v>
      </c>
      <c r="B5011" s="267">
        <v>44101</v>
      </c>
      <c r="C5011" s="1">
        <v>65</v>
      </c>
      <c r="D5011" s="39">
        <f t="shared" ref="D5011:D5017" si="592">C5011+D4987</f>
        <v>623</v>
      </c>
      <c r="E5011" s="1"/>
      <c r="F5011" s="409">
        <f>E5011+F4987</f>
        <v>28</v>
      </c>
      <c r="G5011" s="168">
        <f>SUM(C5011,C4987,C4963,C4939,C4915,C4891,C4867,C4843,C4819,C4795,C4771,C4747,C4723,C4699)/POBLA!$B$18*100000</f>
        <v>26.369113831368239</v>
      </c>
      <c r="H5011" s="256">
        <f t="shared" si="585"/>
        <v>1.0510204081632653</v>
      </c>
      <c r="I5011" s="297">
        <f t="shared" si="589"/>
        <v>27.71447678194825</v>
      </c>
      <c r="J5011" s="297">
        <f t="shared" si="590"/>
        <v>21.571428571428573</v>
      </c>
      <c r="K5011" s="297">
        <f>J5011/POBLA!$B$18*100000</f>
        <v>2.761259492743831</v>
      </c>
      <c r="L5011" s="549">
        <f t="shared" si="586"/>
        <v>-1.7454545454545456</v>
      </c>
      <c r="M5011" s="401">
        <f>SUM(C5011,C4987,C4963,C4939,C4915,C4891,C4867)/POBLA!$B$18*100000</f>
        <v>19.328816449206816</v>
      </c>
    </row>
    <row r="5012" spans="1:13" s="360" customFormat="1" x14ac:dyDescent="0.25">
      <c r="A5012" s="367" t="s">
        <v>36</v>
      </c>
      <c r="B5012" s="267">
        <v>44101</v>
      </c>
      <c r="C5012" s="1">
        <v>5</v>
      </c>
      <c r="D5012" s="39">
        <f t="shared" si="592"/>
        <v>1091</v>
      </c>
      <c r="E5012" s="1"/>
      <c r="F5012" s="409">
        <f t="shared" si="591"/>
        <v>4</v>
      </c>
      <c r="G5012" s="168">
        <f>SUM(C5012,C4988,C4964,C4940,C4916,C4892,C4868,C4844,C4820,C4796,C4772,C4748,C4724,C4700)/POBLA!$B$19*100000</f>
        <v>139.28014982452277</v>
      </c>
      <c r="H5012" s="256">
        <f t="shared" si="585"/>
        <v>2.3758389261744965</v>
      </c>
      <c r="I5012" s="297">
        <f t="shared" si="589"/>
        <v>330.90720159651715</v>
      </c>
      <c r="J5012" s="297">
        <f t="shared" si="590"/>
        <v>56.142857142857146</v>
      </c>
      <c r="K5012" s="297">
        <f>J5012/POBLA!$B$19*100000</f>
        <v>11.044612365019661</v>
      </c>
      <c r="L5012" s="549">
        <f t="shared" si="586"/>
        <v>-0.24761904761904763</v>
      </c>
      <c r="M5012" s="401">
        <f>SUM(C5012,C4988,C4964,C4940,C4916,C4892,C4868)/POBLA!$B$19*100000</f>
        <v>77.312286555137618</v>
      </c>
    </row>
    <row r="5013" spans="1:13" s="360" customFormat="1" x14ac:dyDescent="0.25">
      <c r="A5013" s="367" t="s">
        <v>37</v>
      </c>
      <c r="B5013" s="267">
        <v>44101</v>
      </c>
      <c r="C5013" s="1">
        <v>77</v>
      </c>
      <c r="D5013" s="39">
        <f t="shared" si="592"/>
        <v>4457</v>
      </c>
      <c r="E5013" s="1">
        <f>1+1</f>
        <v>2</v>
      </c>
      <c r="F5013" s="409">
        <f>E5013+F4989</f>
        <v>57</v>
      </c>
      <c r="G5013" s="168">
        <f>SUM(C5013,C4989,C4965,C4941,C4917,C4893,C4869,C4845,C4821,C4797,C4773,C4749,C4725,C4701)/POBLA!$B$20*100000</f>
        <v>379.54815175363279</v>
      </c>
      <c r="H5013" s="256">
        <f t="shared" si="585"/>
        <v>1.0397003745318352</v>
      </c>
      <c r="I5013" s="297">
        <f t="shared" si="589"/>
        <v>394.61635553111785</v>
      </c>
      <c r="J5013" s="297">
        <f t="shared" si="590"/>
        <v>101.42857142857143</v>
      </c>
      <c r="K5013" s="297">
        <f>J5013/POBLA!$B$20*100000</f>
        <v>27.73561010138733</v>
      </c>
      <c r="L5013" s="549">
        <f t="shared" si="586"/>
        <v>-4.71976401179941E-2</v>
      </c>
      <c r="M5013" s="401">
        <f>SUM(C5013,C4989,C4965,C4941,C4917,C4893,C4869)/POBLA!$B$20*100000</f>
        <v>194.14927070971129</v>
      </c>
    </row>
    <row r="5014" spans="1:13" s="360" customFormat="1" x14ac:dyDescent="0.25">
      <c r="A5014" s="367" t="s">
        <v>22</v>
      </c>
      <c r="B5014" s="267">
        <v>44101</v>
      </c>
      <c r="C5014" s="1">
        <v>944</v>
      </c>
      <c r="D5014" s="39">
        <f t="shared" si="592"/>
        <v>36795</v>
      </c>
      <c r="E5014" s="1">
        <f>6+7</f>
        <v>13</v>
      </c>
      <c r="F5014" s="409">
        <f>E5014+F4990</f>
        <v>397</v>
      </c>
      <c r="G5014" s="168">
        <f>SUM(C5014,C4990,C4966,C4942,C4918,C4894,C4870,C4846,C4822,C4798,C4774,C4750,C4726,C4702)/POBLA!$B$21*100000</f>
        <v>514.02294638246951</v>
      </c>
      <c r="H5014" s="256">
        <f t="shared" si="585"/>
        <v>1.6249217842138197</v>
      </c>
      <c r="I5014" s="297">
        <f t="shared" si="589"/>
        <v>835.24708316264696</v>
      </c>
      <c r="J5014" s="297">
        <f t="shared" si="590"/>
        <v>1485.7142857142858</v>
      </c>
      <c r="K5014" s="297">
        <f>J5014/POBLA!$B$21*100000</f>
        <v>42.01184039087817</v>
      </c>
      <c r="L5014" s="549">
        <f t="shared" si="586"/>
        <v>-0.33710465415273849</v>
      </c>
      <c r="M5014" s="401">
        <f>SUM(C5014,C4990,C4966,C4942,C4918,C4894,C4870)/POBLA!$B$21*100000</f>
        <v>294.08288273614716</v>
      </c>
    </row>
    <row r="5015" spans="1:13" s="360" customFormat="1" x14ac:dyDescent="0.25">
      <c r="A5015" s="367" t="s">
        <v>38</v>
      </c>
      <c r="B5015" s="267">
        <v>44101</v>
      </c>
      <c r="C5015" s="1">
        <v>168</v>
      </c>
      <c r="D5015" s="39">
        <f t="shared" si="592"/>
        <v>3057</v>
      </c>
      <c r="E5015" s="1">
        <f>2+1</f>
        <v>3</v>
      </c>
      <c r="F5015" s="409">
        <f t="shared" si="591"/>
        <v>52</v>
      </c>
      <c r="G5015" s="168">
        <f>SUM(C5015,C4991,C4967,C4943,C4919,C4895,C4871,C4847,C4823,C4799,C4775,C4751,C4727,C4703)/POBLA!$B$22*100000</f>
        <v>125.21554962471112</v>
      </c>
      <c r="H5015" s="256">
        <f t="shared" si="585"/>
        <v>1.3115631691648821</v>
      </c>
      <c r="I5015" s="297">
        <f t="shared" si="589"/>
        <v>164.22810309450867</v>
      </c>
      <c r="J5015" s="297">
        <f t="shared" si="590"/>
        <v>97.857142857142861</v>
      </c>
      <c r="K5015" s="297">
        <f>J5015/POBLA!$B$22*100000</f>
        <v>10.002641573519197</v>
      </c>
      <c r="L5015" s="549">
        <f t="shared" si="586"/>
        <v>-0.2685185185185186</v>
      </c>
      <c r="M5015" s="401">
        <f>SUM(C5015,C4991,C4967,C4943,C4919,C4895,C4871)/POBLA!$B$22*100000</f>
        <v>70.018491014634378</v>
      </c>
    </row>
    <row r="5016" spans="1:13" s="360" customFormat="1" x14ac:dyDescent="0.25">
      <c r="A5016" s="367" t="s">
        <v>39</v>
      </c>
      <c r="B5016" s="267">
        <v>44101</v>
      </c>
      <c r="C5016" s="1">
        <v>86</v>
      </c>
      <c r="D5016" s="39">
        <f t="shared" si="592"/>
        <v>3728</v>
      </c>
      <c r="E5016" s="1"/>
      <c r="F5016" s="409">
        <f>E5016+F4992</f>
        <v>62</v>
      </c>
      <c r="G5016" s="168">
        <f>SUM(C5016,C4992,C4968,C4944,C4920,C4896,C4872,C4848,C4824,C4800,C4776,C4752,C4728,C4704)/POBLA!$B$23*100000</f>
        <v>578.52174404795574</v>
      </c>
      <c r="H5016" s="256">
        <f t="shared" si="585"/>
        <v>1.4149377593360997</v>
      </c>
      <c r="I5016" s="297">
        <f t="shared" si="589"/>
        <v>818.57226025042701</v>
      </c>
      <c r="J5016" s="297">
        <f t="shared" si="590"/>
        <v>75.857142857142861</v>
      </c>
      <c r="K5016" s="297">
        <f>J5016/POBLA!$B$23*100000</f>
        <v>42.898344657096004</v>
      </c>
      <c r="L5016" s="549">
        <f t="shared" si="586"/>
        <v>-7.92682926829269E-2</v>
      </c>
      <c r="M5016" s="401">
        <f>SUM(C5016,C4992,C4968,C4944,C4920,C4896,C4872)/POBLA!$B$23*100000</f>
        <v>300.28841259967197</v>
      </c>
    </row>
    <row r="5017" spans="1:13" s="360" customFormat="1" ht="15.75" thickBot="1" x14ac:dyDescent="0.3">
      <c r="A5017" s="368" t="s">
        <v>40</v>
      </c>
      <c r="B5017" s="268">
        <v>44101</v>
      </c>
      <c r="C5017" s="232">
        <v>552</v>
      </c>
      <c r="D5017" s="67">
        <f t="shared" si="592"/>
        <v>12681</v>
      </c>
      <c r="E5017" s="232"/>
      <c r="F5017" s="477">
        <f>E5017+F4993</f>
        <v>107</v>
      </c>
      <c r="G5017" s="177">
        <f>SUM(C5017,C4993,C4969,C4945,C4921,C4897,C4873,C4849,C4825,C4801,C4777,C4753,C4729,C4705)/POBLA!$B$24*100000</f>
        <v>357.18163450281355</v>
      </c>
      <c r="H5017" s="402">
        <f t="shared" si="585"/>
        <v>1.3059331175836031</v>
      </c>
      <c r="I5017" s="403">
        <f t="shared" si="589"/>
        <v>466.45532548986637</v>
      </c>
      <c r="J5017" s="403">
        <f t="shared" si="590"/>
        <v>450.85714285714283</v>
      </c>
      <c r="K5017" s="403">
        <f>J5017/POBLA!$B$24*100000</f>
        <v>26.604640874439585</v>
      </c>
      <c r="L5017" s="550">
        <f t="shared" si="586"/>
        <v>-8.9402830514325071E-2</v>
      </c>
      <c r="M5017" s="405">
        <f>SUM(C5017,C4993,C4969,C4945,C4921,C4897,C4873)/POBLA!$B$24*100000</f>
        <v>186.23248612107707</v>
      </c>
    </row>
    <row r="5018" spans="1:13" s="360" customFormat="1" x14ac:dyDescent="0.25">
      <c r="A5018" s="363" t="s">
        <v>16</v>
      </c>
      <c r="B5018" s="265">
        <v>44102</v>
      </c>
      <c r="C5018" s="43">
        <v>4544</v>
      </c>
      <c r="D5018" s="174">
        <f>C5018+D4994</f>
        <v>406406</v>
      </c>
      <c r="E5018" s="43">
        <v>192</v>
      </c>
      <c r="F5018" s="475">
        <f>E5018+F4994</f>
        <v>9536</v>
      </c>
      <c r="G5018" s="175">
        <f>SUM(C5018,C4994,C4970,C4946,C4922,C4898,C4874,C4850,C4826,C4802,C4778,C4754,C4730,C4706)/POBLA!$B$1*100000</f>
        <v>397.65942249708837</v>
      </c>
      <c r="H5018" s="300">
        <f t="shared" ref="H5018:H5081" si="593">SUM(C5018,C4994,C4970,C4946,C4922,C4898,C4874,C4850,C4826,C4802,C4778,C4754,C4730,C4706)/SUM(C4682,C4658,C4634,C4610,C4586,C4562,C4538,C4514,C4490,C4466,C4442,C4418,C4394,C4370)</f>
        <v>0.89590156565072765</v>
      </c>
      <c r="I5018" s="301">
        <f>G5018*H5018</f>
        <v>356.26369921090566</v>
      </c>
      <c r="J5018" s="301">
        <f>AVERAGE(C5018,C4994,C4970,C4946,C4922,C4898,C4874)</f>
        <v>4918</v>
      </c>
      <c r="K5018" s="301">
        <f>J5018/POBLA!$B$1*100000</f>
        <v>28.036944689059851</v>
      </c>
      <c r="L5018" s="548">
        <f t="shared" ref="L5018:L5081" si="594">1-SUM(C5018,C4994,C4970,C4946,C4922,C4898,C4874)/SUM(C4850,C4826,C4802,C4778,C4754,C4730,C4706)</f>
        <v>2.5532155797101441E-2</v>
      </c>
      <c r="M5018" s="400">
        <f>SUM(C5018,C4994,C4970,C4946,C4922,C4898,C4874)/POBLA!$B$1*100000</f>
        <v>196.25861282341896</v>
      </c>
    </row>
    <row r="5019" spans="1:13" s="360" customFormat="1" x14ac:dyDescent="0.25">
      <c r="A5019" s="367" t="s">
        <v>43</v>
      </c>
      <c r="B5019" s="267">
        <v>44102</v>
      </c>
      <c r="C5019" s="1">
        <v>787</v>
      </c>
      <c r="D5019" s="39">
        <f t="shared" ref="D5019:D5031" si="595">C5019+D4995</f>
        <v>124075</v>
      </c>
      <c r="E5019" s="1">
        <v>39</v>
      </c>
      <c r="F5019" s="409">
        <f>E5019+F4995</f>
        <v>3237</v>
      </c>
      <c r="G5019" s="168">
        <f>SUM(C5019,C4995,C4971,C4947,C4923,C4899,C4875,C4851,C4827,C4803,C4779,C4755,C4731,C4707)/POBLA!$B$2*100000</f>
        <v>397.60752700408307</v>
      </c>
      <c r="H5019" s="256">
        <f t="shared" si="593"/>
        <v>0.75292451668513727</v>
      </c>
      <c r="I5019" s="297">
        <f t="shared" ref="I5019:I5041" si="596">G5019*H5019</f>
        <v>299.3684550999219</v>
      </c>
      <c r="J5019" s="297">
        <f t="shared" ref="J5019:J5041" si="597">AVERAGE(C5019,C4995,C4971,C4947,C4923,C4899,C4875)</f>
        <v>874.71428571428567</v>
      </c>
      <c r="K5019" s="297">
        <f>J5019/POBLA!$B$2*100000</f>
        <v>28.44001831531606</v>
      </c>
      <c r="L5019" s="549">
        <f t="shared" si="594"/>
        <v>-2.7841467409106535E-3</v>
      </c>
      <c r="M5019" s="401">
        <f>SUM(C5019,C4995,C4971,C4947,C4923,C4899,C4875)/POBLA!$B$2*100000</f>
        <v>199.0801282072124</v>
      </c>
    </row>
    <row r="5020" spans="1:13" s="360" customFormat="1" x14ac:dyDescent="0.25">
      <c r="A5020" s="367" t="s">
        <v>28</v>
      </c>
      <c r="B5020" s="267">
        <v>44102</v>
      </c>
      <c r="C5020" s="1">
        <v>3</v>
      </c>
      <c r="D5020" s="39">
        <f t="shared" si="595"/>
        <v>275</v>
      </c>
      <c r="E5020" s="1"/>
      <c r="F5020" s="409">
        <f>E5020+F4996</f>
        <v>0</v>
      </c>
      <c r="G5020" s="168">
        <f>SUM(C5020,C4996,C4972,C4948,C4924,C4900,C4876,C4852,C4828,C4804,C4780,C4756,C4732,C4708)/POBLA!$B$3*100000</f>
        <v>35.143631540687181</v>
      </c>
      <c r="H5020" s="256">
        <f t="shared" si="593"/>
        <v>2.3174603174603177</v>
      </c>
      <c r="I5020" s="297">
        <f t="shared" si="596"/>
        <v>81.443971506989342</v>
      </c>
      <c r="J5020" s="297">
        <f t="shared" si="597"/>
        <v>11.857142857142858</v>
      </c>
      <c r="K5020" s="297">
        <f>J5020/POBLA!$B$3*100000</f>
        <v>2.8541305458679411</v>
      </c>
      <c r="L5020" s="549">
        <f t="shared" si="594"/>
        <v>-0.31746031746031744</v>
      </c>
      <c r="M5020" s="401">
        <f>SUM(C5020,C4996,C4972,C4948,C4924,C4900,C4876)/POBLA!$B$3*100000</f>
        <v>19.978913821075587</v>
      </c>
    </row>
    <row r="5021" spans="1:13" s="360" customFormat="1" x14ac:dyDescent="0.25">
      <c r="A5021" s="367" t="s">
        <v>15</v>
      </c>
      <c r="B5021" s="267">
        <v>44102</v>
      </c>
      <c r="C5021" s="1">
        <v>65</v>
      </c>
      <c r="D5021" s="39">
        <f t="shared" si="595"/>
        <v>8243</v>
      </c>
      <c r="E5021" s="1">
        <v>2</v>
      </c>
      <c r="F5021" s="409">
        <f t="shared" ref="F5021:F5039" si="598">E5021+F4997</f>
        <v>280</v>
      </c>
      <c r="G5021" s="168">
        <f>SUM(C5021,C4997,C4973,C4949,C4925,C4901,C4877,C4853,C4829,C4805,C4781,C4757,C4733,C4709)/POBLA!$B$4*100000</f>
        <v>120.46082283625049</v>
      </c>
      <c r="H5021" s="256">
        <f t="shared" si="593"/>
        <v>1.0552727272727274</v>
      </c>
      <c r="I5021" s="297">
        <f t="shared" si="596"/>
        <v>127.11902104392689</v>
      </c>
      <c r="J5021" s="297">
        <f t="shared" si="597"/>
        <v>109.14285714285714</v>
      </c>
      <c r="K5021" s="297">
        <f>J5021/POBLA!$B$4*100000</f>
        <v>9.0609499504672009</v>
      </c>
      <c r="L5021" s="549">
        <f t="shared" si="594"/>
        <v>-0.11208151382823872</v>
      </c>
      <c r="M5021" s="401">
        <f>SUM(C5021,C4997,C4973,C4949,C4925,C4901,C4877)/POBLA!$B$4*100000</f>
        <v>63.426649653270417</v>
      </c>
    </row>
    <row r="5022" spans="1:13" s="360" customFormat="1" x14ac:dyDescent="0.25">
      <c r="A5022" s="367" t="s">
        <v>29</v>
      </c>
      <c r="B5022" s="267">
        <v>44102</v>
      </c>
      <c r="C5022" s="1">
        <v>181</v>
      </c>
      <c r="D5022" s="39">
        <f t="shared" si="595"/>
        <v>3590</v>
      </c>
      <c r="E5022" s="1">
        <v>5</v>
      </c>
      <c r="F5022" s="409">
        <f t="shared" si="598"/>
        <v>37</v>
      </c>
      <c r="G5022" s="168">
        <f>SUM(C5022,C4998,C4974,C4950,C4926,C4902,C4878,C4854,C4830,C4806,C4782,C4758,C4734,C4710)/POBLA!$B$5*100000</f>
        <v>296.12564903698581</v>
      </c>
      <c r="H5022" s="256">
        <f t="shared" si="593"/>
        <v>2.1363636363636362</v>
      </c>
      <c r="I5022" s="297">
        <f t="shared" si="596"/>
        <v>632.63206839719692</v>
      </c>
      <c r="J5022" s="297">
        <f t="shared" si="597"/>
        <v>166.71428571428572</v>
      </c>
      <c r="K5022" s="297">
        <f>J5022/POBLA!$B$5*100000</f>
        <v>26.933102051762329</v>
      </c>
      <c r="L5022" s="549">
        <f t="shared" si="594"/>
        <v>-0.75225225225225234</v>
      </c>
      <c r="M5022" s="401">
        <f>SUM(C5022,C4998,C4974,C4950,C4926,C4902,C4878)/POBLA!$B$5*100000</f>
        <v>188.53171436233632</v>
      </c>
    </row>
    <row r="5023" spans="1:13" s="360" customFormat="1" x14ac:dyDescent="0.25">
      <c r="A5023" s="367" t="s">
        <v>20</v>
      </c>
      <c r="B5023" s="267">
        <v>44102</v>
      </c>
      <c r="C5023" s="1">
        <v>1475</v>
      </c>
      <c r="D5023" s="39">
        <f t="shared" si="595"/>
        <v>30685</v>
      </c>
      <c r="E5023" s="1">
        <v>12</v>
      </c>
      <c r="F5023" s="409">
        <f t="shared" si="598"/>
        <v>357</v>
      </c>
      <c r="G5023" s="168">
        <f>SUM(C5023,C4999,C4975,C4951,C4927,C4903,C4879,C4855,C4831,C4807,C4783,C4759,C4735,C4711)/POBLA!$B$6*100000</f>
        <v>1401.7653446062236</v>
      </c>
      <c r="H5023" s="256">
        <f t="shared" si="593"/>
        <v>2.4350588964662121</v>
      </c>
      <c r="I5023" s="297">
        <f t="shared" si="596"/>
        <v>3413.3811731414103</v>
      </c>
      <c r="J5023" s="297">
        <f t="shared" si="597"/>
        <v>1529.5714285714287</v>
      </c>
      <c r="K5023" s="297">
        <f>J5023/POBLA!$B$6*100000</f>
        <v>136.47127621865332</v>
      </c>
      <c r="L5023" s="549">
        <f t="shared" si="594"/>
        <v>-1.1396882494004794</v>
      </c>
      <c r="M5023" s="401">
        <f>SUM(C5023,C4999,C4975,C4951,C4927,C4903,C4879)/POBLA!$B$6*100000</f>
        <v>955.29893353057321</v>
      </c>
    </row>
    <row r="5024" spans="1:13" s="360" customFormat="1" x14ac:dyDescent="0.25">
      <c r="A5024" s="367" t="s">
        <v>30</v>
      </c>
      <c r="B5024" s="267">
        <v>44102</v>
      </c>
      <c r="C5024" s="1">
        <v>22</v>
      </c>
      <c r="D5024" s="39">
        <f t="shared" si="595"/>
        <v>1085</v>
      </c>
      <c r="E5024" s="1">
        <v>4</v>
      </c>
      <c r="F5024" s="409">
        <f>E5024+F5000</f>
        <v>23</v>
      </c>
      <c r="G5024" s="168">
        <f>SUM(C5024,C5000,C4976,C4952,C4928,C4904,C4880,C4856,C4832,C4808,C4784,C4760,C4736,C4712)/POBLA!$B$7*100000</f>
        <v>9.7594702761637571</v>
      </c>
      <c r="H5024" s="256">
        <f t="shared" si="593"/>
        <v>0.90171990171990168</v>
      </c>
      <c r="I5024" s="297">
        <f t="shared" si="596"/>
        <v>8.8003085782606849</v>
      </c>
      <c r="J5024" s="297">
        <f t="shared" si="597"/>
        <v>8</v>
      </c>
      <c r="K5024" s="297">
        <f>J5024/POBLA!$B$7*100000</f>
        <v>0.21274049648313365</v>
      </c>
      <c r="L5024" s="549">
        <f t="shared" si="594"/>
        <v>0.819935691318328</v>
      </c>
      <c r="M5024" s="401">
        <f>SUM(C5024,C5000,C4976,C4952,C4928,C4904,C4880)/POBLA!$B$7*100000</f>
        <v>1.4891834753819357</v>
      </c>
    </row>
    <row r="5025" spans="1:13" x14ac:dyDescent="0.25">
      <c r="A5025" s="367" t="s">
        <v>31</v>
      </c>
      <c r="B5025" s="267">
        <v>44102</v>
      </c>
      <c r="C5025" s="1">
        <v>103</v>
      </c>
      <c r="D5025" s="39">
        <f t="shared" si="595"/>
        <v>7144</v>
      </c>
      <c r="E5025" s="1">
        <v>1</v>
      </c>
      <c r="F5025" s="409">
        <f>E5025+F5001</f>
        <v>132</v>
      </c>
      <c r="G5025" s="168">
        <f>SUM(C5025,C5001,C4977,C4953,C4929,C4905,C4881,C4857,C4833,C4809,C4785,C4761,C4737,C4713)/POBLA!$B$8*100000</f>
        <v>132.32695580900184</v>
      </c>
      <c r="H5025" s="256">
        <f t="shared" si="593"/>
        <v>0.93002028397565928</v>
      </c>
      <c r="I5025" s="297">
        <f t="shared" si="596"/>
        <v>123.06675301912242</v>
      </c>
      <c r="J5025" s="297">
        <f t="shared" si="597"/>
        <v>121.85714285714286</v>
      </c>
      <c r="K5025" s="297">
        <f>J5025/POBLA!$B$8*100000</f>
        <v>8.7922490500918027</v>
      </c>
      <c r="L5025" s="549">
        <f t="shared" si="594"/>
        <v>0.13047910295616716</v>
      </c>
      <c r="M5025" s="401">
        <f>SUM(C5025,C5001,C4977,C4953,C4929,C4905,C4881)/POBLA!$B$8*100000</f>
        <v>61.545743350642617</v>
      </c>
    </row>
    <row r="5026" spans="1:13" s="360" customFormat="1" x14ac:dyDescent="0.25">
      <c r="A5026" s="367" t="s">
        <v>41</v>
      </c>
      <c r="B5026" s="267">
        <v>44102</v>
      </c>
      <c r="C5026" s="1">
        <v>-1</v>
      </c>
      <c r="D5026" s="39">
        <f t="shared" si="595"/>
        <v>104</v>
      </c>
      <c r="E5026" s="1"/>
      <c r="F5026" s="409">
        <f>E5026+F5002</f>
        <v>1</v>
      </c>
      <c r="G5026" s="168">
        <f>SUM(C5026,C5002,C4978,C4954,C4930,C4906,C4882,C4858,C4834,C4810,C4786,C4762,C4738,C4714)/POBLA!$B$9*100000</f>
        <v>1.4871288993759018</v>
      </c>
      <c r="H5026" s="256">
        <f t="shared" si="593"/>
        <v>0.81818181818181823</v>
      </c>
      <c r="I5026" s="297">
        <f t="shared" si="596"/>
        <v>1.2167418267621015</v>
      </c>
      <c r="J5026" s="297">
        <f t="shared" si="597"/>
        <v>0.42857142857142855</v>
      </c>
      <c r="K5026" s="297">
        <f>J5026/POBLA!$B$9*100000</f>
        <v>7.0815661875042929E-2</v>
      </c>
      <c r="L5026" s="549">
        <f t="shared" si="594"/>
        <v>0.5</v>
      </c>
      <c r="M5026" s="401">
        <f>SUM(C5026,C5002,C4978,C4954,C4930,C4906,C4882)/POBLA!$B$9*100000</f>
        <v>0.49570963312530053</v>
      </c>
    </row>
    <row r="5027" spans="1:13" s="360" customFormat="1" x14ac:dyDescent="0.25">
      <c r="A5027" s="367" t="s">
        <v>32</v>
      </c>
      <c r="B5027" s="267">
        <v>44102</v>
      </c>
      <c r="C5027" s="1">
        <v>109</v>
      </c>
      <c r="D5027" s="39">
        <f t="shared" si="595"/>
        <v>15411</v>
      </c>
      <c r="E5027" s="1">
        <v>33</v>
      </c>
      <c r="F5027" s="409">
        <f>E5027+F5003</f>
        <v>464</v>
      </c>
      <c r="G5027" s="168">
        <f>SUM(C5027,C5003,C4979,C4955,C4931,C4907,C4883,C4859,C4835,C4811,C4787,C4763,C4739,C4715)/POBLA!$B$10*100000</f>
        <v>390.72178455559293</v>
      </c>
      <c r="H5027" s="256">
        <f t="shared" si="593"/>
        <v>0.75659382064807834</v>
      </c>
      <c r="I5027" s="297">
        <f t="shared" si="596"/>
        <v>295.61768778735137</v>
      </c>
      <c r="J5027" s="297">
        <f t="shared" si="597"/>
        <v>165.71428571428572</v>
      </c>
      <c r="K5027" s="297">
        <f>J5027/POBLA!$B$10*100000</f>
        <v>21.496740186135828</v>
      </c>
      <c r="L5027" s="549">
        <f t="shared" si="594"/>
        <v>0.37365010799136067</v>
      </c>
      <c r="M5027" s="401">
        <f>SUM(C5027,C5003,C4979,C4955,C4931,C4907,C4883)/POBLA!$B$10*100000</f>
        <v>150.47718130295078</v>
      </c>
    </row>
    <row r="5028" spans="1:13" s="360" customFormat="1" x14ac:dyDescent="0.25">
      <c r="A5028" s="367" t="s">
        <v>33</v>
      </c>
      <c r="B5028" s="267">
        <v>44102</v>
      </c>
      <c r="C5028" s="1">
        <v>25</v>
      </c>
      <c r="D5028" s="39">
        <f t="shared" si="595"/>
        <v>719</v>
      </c>
      <c r="E5028" s="1"/>
      <c r="F5028" s="409">
        <f t="shared" si="598"/>
        <v>7</v>
      </c>
      <c r="G5028" s="168">
        <f>SUM(C5028,C5004,C4980,C4956,C4932,C4908,C4884,C4860,C4836,C4812,C4788,C4764,C4740,C4716)/POBLA!$B$11*100000</f>
        <v>77.281908779448031</v>
      </c>
      <c r="H5028" s="256">
        <f t="shared" si="593"/>
        <v>1.1638655462184875</v>
      </c>
      <c r="I5028" s="297">
        <f t="shared" si="596"/>
        <v>89.945750974399601</v>
      </c>
      <c r="J5028" s="297">
        <f t="shared" si="597"/>
        <v>19</v>
      </c>
      <c r="K5028" s="297">
        <f>J5028/POBLA!$B$11*100000</f>
        <v>5.3009251509368687</v>
      </c>
      <c r="L5028" s="549">
        <f t="shared" si="594"/>
        <v>7.638888888888884E-2</v>
      </c>
      <c r="M5028" s="401">
        <f>SUM(C5028,C5004,C4980,C4956,C4932,C4908,C4884)/POBLA!$B$11*100000</f>
        <v>37.106476056558087</v>
      </c>
    </row>
    <row r="5029" spans="1:13" s="360" customFormat="1" x14ac:dyDescent="0.25">
      <c r="A5029" s="367" t="s">
        <v>21</v>
      </c>
      <c r="B5029" s="267">
        <v>44102</v>
      </c>
      <c r="C5029" s="1">
        <v>69</v>
      </c>
      <c r="D5029" s="39">
        <f t="shared" si="595"/>
        <v>4651</v>
      </c>
      <c r="E5029" s="1"/>
      <c r="F5029" s="409">
        <f t="shared" si="598"/>
        <v>101</v>
      </c>
      <c r="G5029" s="168">
        <f>SUM(C5029,C5005,C4981,C4957,C4933,C4909,C4885,C4861,C4837,C4813,C4789,C4765,C4741,C4717)/POBLA!$B$12*100000</f>
        <v>449.51985993479548</v>
      </c>
      <c r="H5029" s="256">
        <f t="shared" si="593"/>
        <v>1.3670788253477588</v>
      </c>
      <c r="I5029" s="297">
        <f t="shared" si="596"/>
        <v>614.52908209014925</v>
      </c>
      <c r="J5029" s="297">
        <f t="shared" si="597"/>
        <v>78.714285714285708</v>
      </c>
      <c r="K5029" s="297">
        <f>J5029/POBLA!$B$12*100000</f>
        <v>20.002054657520173</v>
      </c>
      <c r="L5029" s="549">
        <f t="shared" si="594"/>
        <v>0.54761904761904767</v>
      </c>
      <c r="M5029" s="401">
        <f>SUM(C5029,C5005,C4981,C4957,C4933,C4909,C4885)/POBLA!$B$12*100000</f>
        <v>140.01438260264121</v>
      </c>
    </row>
    <row r="5030" spans="1:13" s="360" customFormat="1" x14ac:dyDescent="0.25">
      <c r="A5030" s="367" t="s">
        <v>17</v>
      </c>
      <c r="B5030" s="267">
        <v>44102</v>
      </c>
      <c r="C5030" s="1">
        <v>649</v>
      </c>
      <c r="D5030" s="39">
        <f t="shared" si="595"/>
        <v>23690</v>
      </c>
      <c r="E5030" s="1">
        <v>2</v>
      </c>
      <c r="F5030" s="409">
        <f t="shared" si="598"/>
        <v>246</v>
      </c>
      <c r="G5030" s="168">
        <f>SUM(C5030,C5006,C4982,C4958,C4934,C4910,C4886,C4862,C4838,C4814,C4790,C4766,C4742,C4718)/POBLA!$B$13*100000</f>
        <v>429.97721994957641</v>
      </c>
      <c r="H5030" s="256">
        <f t="shared" si="593"/>
        <v>1.0308359431462297</v>
      </c>
      <c r="I5030" s="297">
        <f t="shared" si="596"/>
        <v>443.23597305811546</v>
      </c>
      <c r="J5030" s="297">
        <f t="shared" si="597"/>
        <v>605.85714285714289</v>
      </c>
      <c r="K5030" s="297">
        <f>J5030/POBLA!$B$13*100000</f>
        <v>30.439912359465726</v>
      </c>
      <c r="L5030" s="549">
        <f t="shared" si="594"/>
        <v>1.7604818160759761E-2</v>
      </c>
      <c r="M5030" s="401">
        <f>SUM(C5030,C5006,C4982,C4958,C4934,C4910,C4886)/POBLA!$B$13*100000</f>
        <v>213.07938651626006</v>
      </c>
    </row>
    <row r="5031" spans="1:13" s="360" customFormat="1" x14ac:dyDescent="0.25">
      <c r="A5031" s="367" t="s">
        <v>23</v>
      </c>
      <c r="B5031" s="267">
        <v>44102</v>
      </c>
      <c r="C5031" s="1">
        <v>-6</v>
      </c>
      <c r="D5031" s="39">
        <f t="shared" si="595"/>
        <v>79</v>
      </c>
      <c r="E5031" s="1">
        <v>1</v>
      </c>
      <c r="F5031" s="409">
        <f t="shared" si="598"/>
        <v>3</v>
      </c>
      <c r="G5031" s="168">
        <f>SUM(C5031,C5007,C4983,C4959,C4935,C4911,C4887,C4863,C4839,C4815,C4791,C4767,C4743,C4719)/POBLA!$B$14*100000</f>
        <v>0.87212021939373374</v>
      </c>
      <c r="H5031" s="256">
        <f t="shared" si="593"/>
        <v>1.8333333333333333</v>
      </c>
      <c r="I5031" s="297">
        <f t="shared" si="596"/>
        <v>1.5988870688885117</v>
      </c>
      <c r="J5031" s="297">
        <f t="shared" si="597"/>
        <v>1.2857142857142858</v>
      </c>
      <c r="K5031" s="297">
        <f>J5031/POBLA!$B$14*100000</f>
        <v>0.10193612953952733</v>
      </c>
      <c r="L5031" s="549">
        <f t="shared" si="594"/>
        <v>-3.5</v>
      </c>
      <c r="M5031" s="401">
        <f>SUM(C5031,C5007,C4983,C4959,C4935,C4911,C4887)/POBLA!$B$14*100000</f>
        <v>0.71355290677669125</v>
      </c>
    </row>
    <row r="5032" spans="1:13" s="360" customFormat="1" x14ac:dyDescent="0.25">
      <c r="A5032" s="367" t="s">
        <v>19</v>
      </c>
      <c r="B5032" s="267">
        <v>44102</v>
      </c>
      <c r="C5032" s="1">
        <v>288</v>
      </c>
      <c r="D5032" s="39">
        <f>C5032+D5008</f>
        <v>7624</v>
      </c>
      <c r="E5032" s="1">
        <v>3</v>
      </c>
      <c r="F5032" s="409">
        <f t="shared" si="598"/>
        <v>114</v>
      </c>
      <c r="G5032" s="168">
        <f>SUM(C5032,C5008,C4984,C4960,C4936,C4912,C4888,C4864,C4840,C4816,C4792,C4768,C4744,C4720)/POBLA!$B$15*100000</f>
        <v>389.27381233839867</v>
      </c>
      <c r="H5032" s="256">
        <f t="shared" si="593"/>
        <v>1.290564153769346</v>
      </c>
      <c r="I5032" s="297">
        <f t="shared" si="596"/>
        <v>502.38282820507266</v>
      </c>
      <c r="J5032" s="297">
        <f t="shared" si="597"/>
        <v>200.14285714285714</v>
      </c>
      <c r="K5032" s="297">
        <f>J5032/POBLA!$B$15*100000</f>
        <v>30.139409289090718</v>
      </c>
      <c r="L5032" s="549">
        <f t="shared" si="594"/>
        <v>-0.18327702702702697</v>
      </c>
      <c r="M5032" s="401">
        <f>SUM(C5032,C5008,C4984,C4960,C4936,C4912,C4888)/POBLA!$B$15*100000</f>
        <v>210.97586502363501</v>
      </c>
    </row>
    <row r="5033" spans="1:13" s="360" customFormat="1" x14ac:dyDescent="0.25">
      <c r="A5033" s="367" t="s">
        <v>18</v>
      </c>
      <c r="B5033" s="267">
        <v>44102</v>
      </c>
      <c r="C5033" s="1">
        <v>213</v>
      </c>
      <c r="D5033" s="39">
        <f>C5033+D5009</f>
        <v>12131</v>
      </c>
      <c r="E5033" s="1">
        <v>6</v>
      </c>
      <c r="F5033" s="409">
        <f t="shared" si="598"/>
        <v>271</v>
      </c>
      <c r="G5033" s="168">
        <f>SUM(C5033,C5009,C4985,C4961,C4937,C4913,C4889,C4865,C4841,C4817,C4793,C4769,C4745,C4721)/POBLA!$B$16*100000</f>
        <v>438.33014539666402</v>
      </c>
      <c r="H5033" s="256">
        <f t="shared" si="593"/>
        <v>1.1466060181945417</v>
      </c>
      <c r="I5033" s="297">
        <f t="shared" si="596"/>
        <v>502.59198266790344</v>
      </c>
      <c r="J5033" s="297">
        <f t="shared" si="597"/>
        <v>236.14285714285714</v>
      </c>
      <c r="K5033" s="297">
        <f>J5033/POBLA!$B$16*100000</f>
        <v>31.586369516573768</v>
      </c>
      <c r="L5033" s="549">
        <f t="shared" si="594"/>
        <v>-1.7857142857142794E-2</v>
      </c>
      <c r="M5033" s="401">
        <f>SUM(C5033,C5009,C4985,C4961,C4937,C4913,C4889)/POBLA!$B$16*100000</f>
        <v>221.10458661601635</v>
      </c>
    </row>
    <row r="5034" spans="1:13" s="360" customFormat="1" x14ac:dyDescent="0.25">
      <c r="A5034" s="367" t="s">
        <v>34</v>
      </c>
      <c r="B5034" s="267">
        <v>44102</v>
      </c>
      <c r="C5034" s="1">
        <v>234</v>
      </c>
      <c r="D5034" s="39">
        <f>C5034+D5010</f>
        <v>11731</v>
      </c>
      <c r="E5034" s="1">
        <v>19</v>
      </c>
      <c r="F5034" s="409">
        <f>E5034+F5010</f>
        <v>315</v>
      </c>
      <c r="G5034" s="168">
        <f>SUM(C5034,C5010,C4986,C4962,C4938,C4914,C4890,C4866,C4842,C4818,C4794,C4770,C4746,C4722)/POBLA!$B$17*100000</f>
        <v>332.56177877375478</v>
      </c>
      <c r="H5034" s="256">
        <f t="shared" si="593"/>
        <v>1.2893304300489929</v>
      </c>
      <c r="I5034" s="297">
        <f t="shared" si="596"/>
        <v>428.7820212442233</v>
      </c>
      <c r="J5034" s="297">
        <f t="shared" si="597"/>
        <v>332.14285714285717</v>
      </c>
      <c r="K5034" s="297">
        <f>J5034/POBLA!$B$17*100000</f>
        <v>23.318137930847733</v>
      </c>
      <c r="L5034" s="549">
        <f t="shared" si="594"/>
        <v>3.6069651741293507E-2</v>
      </c>
      <c r="M5034" s="401">
        <f>SUM(C5034,C5010,C4986,C4962,C4938,C4914,C4890)/POBLA!$B$17*100000</f>
        <v>163.2269655159341</v>
      </c>
    </row>
    <row r="5035" spans="1:13" s="360" customFormat="1" x14ac:dyDescent="0.25">
      <c r="A5035" s="367" t="s">
        <v>35</v>
      </c>
      <c r="B5035" s="267">
        <v>44102</v>
      </c>
      <c r="C5035" s="1">
        <v>72</v>
      </c>
      <c r="D5035" s="39">
        <f t="shared" ref="D5035:D5041" si="599">C5035+D5011</f>
        <v>695</v>
      </c>
      <c r="E5035" s="1"/>
      <c r="F5035" s="409">
        <f>E5035+F5011</f>
        <v>28</v>
      </c>
      <c r="G5035" s="168">
        <f>SUM(C5035,C5011,C4987,C4963,C4939,C4915,C4891,C4867,C4843,C4819,C4795,C4771,C4747,C4723)/POBLA!$B$18*100000</f>
        <v>35.585503131652281</v>
      </c>
      <c r="H5035" s="256">
        <f t="shared" si="593"/>
        <v>1.4329896907216495</v>
      </c>
      <c r="I5035" s="297">
        <f t="shared" si="596"/>
        <v>50.993659126800694</v>
      </c>
      <c r="J5035" s="297">
        <f t="shared" si="597"/>
        <v>29.285714285714285</v>
      </c>
      <c r="K5035" s="297">
        <f>J5035/POBLA!$B$18*100000</f>
        <v>3.7487297749171207</v>
      </c>
      <c r="L5035" s="549">
        <f t="shared" si="594"/>
        <v>-1.8082191780821919</v>
      </c>
      <c r="M5035" s="401">
        <f>SUM(C5035,C5011,C4987,C4963,C4939,C4915,C4891)/POBLA!$B$18*100000</f>
        <v>26.241108424419846</v>
      </c>
    </row>
    <row r="5036" spans="1:13" s="360" customFormat="1" x14ac:dyDescent="0.25">
      <c r="A5036" s="367" t="s">
        <v>36</v>
      </c>
      <c r="B5036" s="267">
        <v>44102</v>
      </c>
      <c r="C5036" s="1">
        <v>100</v>
      </c>
      <c r="D5036" s="39">
        <f t="shared" si="599"/>
        <v>1191</v>
      </c>
      <c r="E5036" s="1">
        <v>1</v>
      </c>
      <c r="F5036" s="409">
        <f t="shared" si="598"/>
        <v>5</v>
      </c>
      <c r="G5036" s="168">
        <f>SUM(C5036,C5012,C4988,C4964,C4940,C4916,C4892,C4868,C4844,C4820,C4796,C4772,C4748,C4724)/POBLA!$B$19*100000</f>
        <v>149.31304197289938</v>
      </c>
      <c r="H5036" s="256">
        <f t="shared" si="593"/>
        <v>2.6631578947368419</v>
      </c>
      <c r="I5036" s="297">
        <f t="shared" si="596"/>
        <v>397.64420651730046</v>
      </c>
      <c r="J5036" s="297">
        <f t="shared" si="597"/>
        <v>58.571428571428569</v>
      </c>
      <c r="K5036" s="297">
        <f>J5036/POBLA!$B$19*100000</f>
        <v>11.522369133989978</v>
      </c>
      <c r="L5036" s="549">
        <f t="shared" si="594"/>
        <v>-0.17478510028653305</v>
      </c>
      <c r="M5036" s="401">
        <f>SUM(C5036,C5012,C4988,C4964,C4940,C4916,C4892)/POBLA!$B$19*100000</f>
        <v>80.656583937929838</v>
      </c>
    </row>
    <row r="5037" spans="1:13" s="360" customFormat="1" x14ac:dyDescent="0.25">
      <c r="A5037" s="367" t="s">
        <v>37</v>
      </c>
      <c r="B5037" s="267">
        <v>44102</v>
      </c>
      <c r="C5037" s="1">
        <v>129</v>
      </c>
      <c r="D5037" s="39">
        <f t="shared" si="599"/>
        <v>4586</v>
      </c>
      <c r="E5037" s="1">
        <v>1</v>
      </c>
      <c r="F5037" s="409">
        <f>E5037+F5013</f>
        <v>58</v>
      </c>
      <c r="G5037" s="168">
        <f>SUM(C5037,C5013,C4989,C4965,C4941,C4917,C4893,C4869,C4845,C4821,C4797,C4773,C4749,C4725)/POBLA!$B$20*100000</f>
        <v>404.15862268866664</v>
      </c>
      <c r="H5037" s="256">
        <f t="shared" si="593"/>
        <v>1.1054599850411369</v>
      </c>
      <c r="I5037" s="297">
        <f t="shared" si="596"/>
        <v>446.78118499165987</v>
      </c>
      <c r="J5037" s="297">
        <f t="shared" si="597"/>
        <v>106.28571428571429</v>
      </c>
      <c r="K5037" s="297">
        <f>J5037/POBLA!$B$20*100000</f>
        <v>29.063794247087564</v>
      </c>
      <c r="L5037" s="549">
        <f t="shared" si="594"/>
        <v>-1.3623978201634968E-2</v>
      </c>
      <c r="M5037" s="401">
        <f>SUM(C5037,C5013,C4989,C4965,C4941,C4917,C4893)/POBLA!$B$20*100000</f>
        <v>203.44655972961297</v>
      </c>
    </row>
    <row r="5038" spans="1:13" s="360" customFormat="1" x14ac:dyDescent="0.25">
      <c r="A5038" s="367" t="s">
        <v>22</v>
      </c>
      <c r="B5038" s="267">
        <v>44102</v>
      </c>
      <c r="C5038" s="1">
        <v>1575</v>
      </c>
      <c r="D5038" s="39">
        <f t="shared" si="599"/>
        <v>38370</v>
      </c>
      <c r="E5038" s="1">
        <v>24</v>
      </c>
      <c r="F5038" s="409">
        <f>E5038+F5014</f>
        <v>421</v>
      </c>
      <c r="G5038" s="168">
        <f>SUM(C5038,C5014,C4990,C4966,C4942,C4918,C4894,C4870,C4846,C4822,C4798,C4774,C4750,C4726)/POBLA!$B$21*100000</f>
        <v>534.5239165732105</v>
      </c>
      <c r="H5038" s="256">
        <f t="shared" si="593"/>
        <v>1.6349247535028542</v>
      </c>
      <c r="I5038" s="297">
        <f t="shared" si="596"/>
        <v>873.90638254483633</v>
      </c>
      <c r="J5038" s="297">
        <f t="shared" si="597"/>
        <v>1537.1428571428571</v>
      </c>
      <c r="K5038" s="297">
        <f>J5038/POBLA!$B$21*100000</f>
        <v>43.46609640440856</v>
      </c>
      <c r="L5038" s="549">
        <f t="shared" si="594"/>
        <v>-0.32138032666093586</v>
      </c>
      <c r="M5038" s="401">
        <f>SUM(C5038,C5014,C4990,C4966,C4942,C4918,C4894)/POBLA!$B$21*100000</f>
        <v>304.26267483085991</v>
      </c>
    </row>
    <row r="5039" spans="1:13" s="360" customFormat="1" x14ac:dyDescent="0.25">
      <c r="A5039" s="367" t="s">
        <v>38</v>
      </c>
      <c r="B5039" s="267">
        <v>44102</v>
      </c>
      <c r="C5039" s="1">
        <v>124</v>
      </c>
      <c r="D5039" s="39">
        <f t="shared" si="599"/>
        <v>3181</v>
      </c>
      <c r="E5039" s="1">
        <v>5</v>
      </c>
      <c r="F5039" s="409">
        <f t="shared" si="598"/>
        <v>57</v>
      </c>
      <c r="G5039" s="168">
        <f>SUM(C5039,C5015,C4991,C4967,C4943,C4919,C4895,C4871,C4847,C4823,C4799,C4775,C4751,C4727)/POBLA!$B$22*100000</f>
        <v>129.61087095847648</v>
      </c>
      <c r="H5039" s="256">
        <f t="shared" si="593"/>
        <v>1.3005128205128205</v>
      </c>
      <c r="I5039" s="297">
        <f t="shared" si="596"/>
        <v>168.56059935933146</v>
      </c>
      <c r="J5039" s="297">
        <f t="shared" si="597"/>
        <v>108</v>
      </c>
      <c r="K5039" s="297">
        <f>J5039/POBLA!$B$22*100000</f>
        <v>11.039411722015346</v>
      </c>
      <c r="L5039" s="549">
        <f t="shared" si="594"/>
        <v>-0.4765625</v>
      </c>
      <c r="M5039" s="401">
        <f>SUM(C5039,C5015,C4991,C4967,C4943,C4919,C4895)/POBLA!$B$22*100000</f>
        <v>77.275882054107427</v>
      </c>
    </row>
    <row r="5040" spans="1:13" s="360" customFormat="1" x14ac:dyDescent="0.25">
      <c r="A5040" s="367" t="s">
        <v>39</v>
      </c>
      <c r="B5040" s="267">
        <v>44102</v>
      </c>
      <c r="C5040" s="1">
        <v>158</v>
      </c>
      <c r="D5040" s="39">
        <f t="shared" si="599"/>
        <v>3886</v>
      </c>
      <c r="E5040" s="1">
        <v>3</v>
      </c>
      <c r="F5040" s="409">
        <f>E5040+F5016</f>
        <v>65</v>
      </c>
      <c r="G5040" s="168">
        <f>SUM(C5040,C5016,C4992,C4968,C4944,C4920,C4896,C4872,C4848,C4824,C4800,C4776,C4752,C4728)/POBLA!$B$23*100000</f>
        <v>627.15602556127351</v>
      </c>
      <c r="H5040" s="256">
        <f t="shared" si="593"/>
        <v>1.464993394980185</v>
      </c>
      <c r="I5040" s="297">
        <f t="shared" si="596"/>
        <v>918.77943506928978</v>
      </c>
      <c r="J5040" s="297">
        <f t="shared" si="597"/>
        <v>86.857142857142861</v>
      </c>
      <c r="K5040" s="297">
        <f>J5040/POBLA!$B$23*100000</f>
        <v>49.119008571590143</v>
      </c>
      <c r="L5040" s="549">
        <f t="shared" si="594"/>
        <v>-0.21357285429141726</v>
      </c>
      <c r="M5040" s="401">
        <f>SUM(C5040,C5016,C4992,C4968,C4944,C4920,C4896)/POBLA!$B$23*100000</f>
        <v>343.83306000113106</v>
      </c>
    </row>
    <row r="5041" spans="1:13" s="360" customFormat="1" ht="15.75" thickBot="1" x14ac:dyDescent="0.3">
      <c r="A5041" s="369" t="s">
        <v>40</v>
      </c>
      <c r="B5041" s="269">
        <v>44102</v>
      </c>
      <c r="C5041" s="44">
        <v>889</v>
      </c>
      <c r="D5041" s="176">
        <f t="shared" si="599"/>
        <v>13570</v>
      </c>
      <c r="E5041" s="44">
        <v>12</v>
      </c>
      <c r="F5041" s="476">
        <f>E5041+F5017</f>
        <v>119</v>
      </c>
      <c r="G5041" s="177">
        <f>SUM(C5041,C5017,C4993,C4969,C4945,C4921,C4897,C4873,C4849,C4825,C4801,C4777,C4753,C4729)/POBLA!$B$24*100000</f>
        <v>372.99605347633974</v>
      </c>
      <c r="H5041" s="402">
        <f t="shared" si="593"/>
        <v>1.2626847782660806</v>
      </c>
      <c r="I5041" s="403">
        <f t="shared" si="596"/>
        <v>470.97643907789518</v>
      </c>
      <c r="J5041" s="403">
        <f t="shared" si="597"/>
        <v>548.14285714285711</v>
      </c>
      <c r="K5041" s="403">
        <f>J5041/POBLA!$B$24*100000</f>
        <v>32.345376120159912</v>
      </c>
      <c r="L5041" s="550">
        <f t="shared" si="594"/>
        <v>-0.54468599033816423</v>
      </c>
      <c r="M5041" s="405">
        <f>SUM(C5041,C5017,C4993,C4969,C4945,C4921,C4897)/POBLA!$B$24*100000</f>
        <v>226.41763284111937</v>
      </c>
    </row>
    <row r="5042" spans="1:13" s="360" customFormat="1" x14ac:dyDescent="0.25">
      <c r="A5042" s="363" t="s">
        <v>16</v>
      </c>
      <c r="B5042" s="267">
        <v>44103</v>
      </c>
      <c r="C5042" s="225">
        <v>5328</v>
      </c>
      <c r="D5042" s="174">
        <f>C5042+D5018</f>
        <v>411734</v>
      </c>
      <c r="E5042" s="225">
        <v>249</v>
      </c>
      <c r="F5042" s="475">
        <f>E5042+F5018</f>
        <v>9785</v>
      </c>
      <c r="G5042" s="175">
        <f>SUM(C5042,C5018,C4994,C4970,C4946,C4922,C4898,C4874,C4850,C4826,C4802,C4778,C4754,C4730)/POBLA!$B$1*100000</f>
        <v>393.82272795139153</v>
      </c>
      <c r="H5042" s="300">
        <f t="shared" si="593"/>
        <v>0.88903903324195976</v>
      </c>
      <c r="I5042" s="301">
        <f>G5042*H5042</f>
        <v>350.12377732661645</v>
      </c>
      <c r="J5042" s="301">
        <f>AVERAGE(C5042,C5018,C4994,C4970,C4946,C4922,C4898)</f>
        <v>4915.7142857142853</v>
      </c>
      <c r="K5042" s="301">
        <f>J5042/POBLA!$B$1*100000</f>
        <v>28.023914098371851</v>
      </c>
      <c r="L5042" s="548">
        <f t="shared" si="594"/>
        <v>7.5279051657004548E-3</v>
      </c>
      <c r="M5042" s="400">
        <f>SUM(C5042,C5018,C4994,C4970,C4946,C4922,C4898)/POBLA!$B$1*100000</f>
        <v>196.16739868860296</v>
      </c>
    </row>
    <row r="5043" spans="1:13" s="360" customFormat="1" x14ac:dyDescent="0.25">
      <c r="A5043" s="367" t="s">
        <v>43</v>
      </c>
      <c r="B5043" s="267">
        <v>44103</v>
      </c>
      <c r="C5043" s="1">
        <v>993</v>
      </c>
      <c r="D5043" s="39">
        <f t="shared" ref="D5043:D5055" si="600">C5043+D5019</f>
        <v>125068</v>
      </c>
      <c r="E5043" s="1">
        <v>52</v>
      </c>
      <c r="F5043" s="409">
        <f>E5043+F5019</f>
        <v>3289</v>
      </c>
      <c r="G5043" s="168">
        <f>SUM(C5043,C5019,C4995,C4971,C4947,C4923,C4899,C4875,C4851,C4827,C4803,C4779,C4755,C4731)/POBLA!$B$2*100000</f>
        <v>397.05479759374128</v>
      </c>
      <c r="H5043" s="256">
        <f t="shared" si="593"/>
        <v>0.77013306426184025</v>
      </c>
      <c r="I5043" s="297">
        <f t="shared" ref="I5043:I5065" si="601">G5043*H5043</f>
        <v>305.78502795073274</v>
      </c>
      <c r="J5043" s="297">
        <f t="shared" ref="J5043:J5065" si="602">AVERAGE(C5043,C5019,C4995,C4971,C4947,C4923,C4899)</f>
        <v>884.14285714285711</v>
      </c>
      <c r="K5043" s="297">
        <f>J5043/POBLA!$B$2*100000</f>
        <v>28.746574122732493</v>
      </c>
      <c r="L5043" s="549">
        <f t="shared" si="594"/>
        <v>-2.7561016104931113E-2</v>
      </c>
      <c r="M5043" s="401">
        <f>SUM(C5043,C5019,C4995,C4971,C4947,C4923,C4899)/POBLA!$B$2*100000</f>
        <v>201.22601885912746</v>
      </c>
    </row>
    <row r="5044" spans="1:13" s="360" customFormat="1" x14ac:dyDescent="0.25">
      <c r="A5044" s="367" t="s">
        <v>28</v>
      </c>
      <c r="B5044" s="267">
        <v>44103</v>
      </c>
      <c r="C5044" s="1">
        <v>4</v>
      </c>
      <c r="D5044" s="39">
        <f t="shared" si="600"/>
        <v>279</v>
      </c>
      <c r="E5044" s="1"/>
      <c r="F5044" s="409">
        <f>E5044+F5020</f>
        <v>0</v>
      </c>
      <c r="G5044" s="168">
        <f>SUM(C5044,C5020,C4996,C4972,C4948,C4924,C4900,C4876,C4852,C4828,C4804,C4780,C4756,C4732)/POBLA!$B$3*100000</f>
        <v>35.143631540687181</v>
      </c>
      <c r="H5044" s="256">
        <f t="shared" si="593"/>
        <v>2.2121212121212119</v>
      </c>
      <c r="I5044" s="297">
        <f t="shared" si="601"/>
        <v>77.741972802126185</v>
      </c>
      <c r="J5044" s="297">
        <f t="shared" si="602"/>
        <v>13.142857142857142</v>
      </c>
      <c r="K5044" s="297">
        <f>J5044/POBLA!$B$3*100000</f>
        <v>3.1636145809620548</v>
      </c>
      <c r="L5044" s="549">
        <f t="shared" si="594"/>
        <v>-0.70370370370370372</v>
      </c>
      <c r="M5044" s="401">
        <f>SUM(C5044,C5020,C4996,C4972,C4948,C4924,C4900)/POBLA!$B$3*100000</f>
        <v>22.145302066734388</v>
      </c>
    </row>
    <row r="5045" spans="1:13" s="360" customFormat="1" x14ac:dyDescent="0.25">
      <c r="A5045" s="367" t="s">
        <v>15</v>
      </c>
      <c r="B5045" s="267">
        <v>44103</v>
      </c>
      <c r="C5045" s="1">
        <v>143</v>
      </c>
      <c r="D5045" s="39">
        <f t="shared" si="600"/>
        <v>8386</v>
      </c>
      <c r="E5045" s="1">
        <v>1</v>
      </c>
      <c r="F5045" s="409">
        <f t="shared" ref="F5045:F5063" si="603">E5045+F5021</f>
        <v>281</v>
      </c>
      <c r="G5045" s="168">
        <f>SUM(C5045,C5021,C4997,C4973,C4949,C4925,C4901,C4877,C4853,C4829,C4805,C4781,C4757,C4733)/POBLA!$B$4*100000</f>
        <v>125.10989663282528</v>
      </c>
      <c r="H5045" s="256">
        <f t="shared" si="593"/>
        <v>1.0865176640230714</v>
      </c>
      <c r="I5045" s="297">
        <f t="shared" si="601"/>
        <v>135.93411263566526</v>
      </c>
      <c r="J5045" s="297">
        <f t="shared" si="602"/>
        <v>116.14285714285714</v>
      </c>
      <c r="K5045" s="297">
        <f>J5045/POBLA!$B$4*100000</f>
        <v>9.6420841750390522</v>
      </c>
      <c r="L5045" s="549">
        <f t="shared" si="594"/>
        <v>-0.17146974063400577</v>
      </c>
      <c r="M5045" s="401">
        <f>SUM(C5045,C5021,C4997,C4973,C4949,C4925,C4901)/POBLA!$B$4*100000</f>
        <v>67.494589225273359</v>
      </c>
    </row>
    <row r="5046" spans="1:13" s="360" customFormat="1" x14ac:dyDescent="0.25">
      <c r="A5046" s="367" t="s">
        <v>29</v>
      </c>
      <c r="B5046" s="267">
        <v>44103</v>
      </c>
      <c r="C5046" s="1">
        <v>209</v>
      </c>
      <c r="D5046" s="39">
        <f t="shared" si="600"/>
        <v>3799</v>
      </c>
      <c r="E5046" s="1">
        <v>7</v>
      </c>
      <c r="F5046" s="409">
        <f t="shared" si="603"/>
        <v>44</v>
      </c>
      <c r="G5046" s="168">
        <f>SUM(C5046,C5022,C4998,C4974,C4950,C4926,C4902,C4878,C4854,C4830,C4806,C4782,C4758,C4734)/POBLA!$B$5*100000</f>
        <v>314.05797148276076</v>
      </c>
      <c r="H5046" s="256">
        <f t="shared" si="593"/>
        <v>2.16</v>
      </c>
      <c r="I5046" s="297">
        <f t="shared" si="601"/>
        <v>678.36521840276328</v>
      </c>
      <c r="J5046" s="297">
        <f t="shared" si="602"/>
        <v>177.71428571428572</v>
      </c>
      <c r="K5046" s="297">
        <f>J5046/POBLA!$B$5*100000</f>
        <v>28.710179050893181</v>
      </c>
      <c r="L5046" s="549">
        <f t="shared" si="594"/>
        <v>-0.77714285714285714</v>
      </c>
      <c r="M5046" s="401">
        <f>SUM(C5046,C5022,C4998,C4974,C4950,C4926,C4902)/POBLA!$B$5*100000</f>
        <v>200.97125335625225</v>
      </c>
    </row>
    <row r="5047" spans="1:13" s="360" customFormat="1" x14ac:dyDescent="0.25">
      <c r="A5047" s="367" t="s">
        <v>20</v>
      </c>
      <c r="B5047" s="267">
        <v>44103</v>
      </c>
      <c r="C5047" s="1">
        <v>1800</v>
      </c>
      <c r="D5047" s="39">
        <f t="shared" si="600"/>
        <v>32485</v>
      </c>
      <c r="E5047" s="1">
        <v>21</v>
      </c>
      <c r="F5047" s="409">
        <f t="shared" si="603"/>
        <v>378</v>
      </c>
      <c r="G5047" s="168">
        <f>SUM(C5047,C5023,C4999,C4975,C4951,C4927,C4903,C4879,C4855,C4831,C4807,C4783,C4759,C4735)/POBLA!$B$6*100000</f>
        <v>1498.2142235776021</v>
      </c>
      <c r="H5047" s="256">
        <f t="shared" si="593"/>
        <v>2.4770615134975662</v>
      </c>
      <c r="I5047" s="297">
        <f t="shared" si="601"/>
        <v>3711.1687921987159</v>
      </c>
      <c r="J5047" s="297">
        <f t="shared" si="602"/>
        <v>1622.1428571428571</v>
      </c>
      <c r="K5047" s="297">
        <f>J5047/POBLA!$B$6*100000</f>
        <v>144.73067539579793</v>
      </c>
      <c r="L5047" s="549">
        <f t="shared" si="594"/>
        <v>-1.0884679050947215</v>
      </c>
      <c r="M5047" s="401">
        <f>SUM(C5047,C5023,C4999,C4975,C4951,C4927,C4903)/POBLA!$B$6*100000</f>
        <v>1013.1147277705855</v>
      </c>
    </row>
    <row r="5048" spans="1:13" s="360" customFormat="1" x14ac:dyDescent="0.25">
      <c r="A5048" s="367" t="s">
        <v>30</v>
      </c>
      <c r="B5048" s="267">
        <v>44103</v>
      </c>
      <c r="C5048" s="1">
        <v>-12</v>
      </c>
      <c r="D5048" s="39">
        <f t="shared" si="600"/>
        <v>1073</v>
      </c>
      <c r="E5048" s="1">
        <v>-1</v>
      </c>
      <c r="F5048" s="409">
        <f>E5048+F5024</f>
        <v>22</v>
      </c>
      <c r="G5048" s="168">
        <f>SUM(C5048,C5024,C5000,C4976,C4952,C4928,C4904,C4880,C4856,C4832,C4808,C4784,C4760,C4736)/POBLA!$B$7*100000</f>
        <v>7.844805807815554</v>
      </c>
      <c r="H5048" s="256">
        <f t="shared" si="593"/>
        <v>0.63577586206896552</v>
      </c>
      <c r="I5048" s="297">
        <f t="shared" si="601"/>
        <v>4.9875381752275612</v>
      </c>
      <c r="J5048" s="297">
        <f t="shared" si="602"/>
        <v>2</v>
      </c>
      <c r="K5048" s="297">
        <f>J5048/POBLA!$B$7*100000</f>
        <v>5.3185124120783411E-2</v>
      </c>
      <c r="L5048" s="549">
        <f t="shared" si="594"/>
        <v>0.95017793594306055</v>
      </c>
      <c r="M5048" s="401">
        <f>SUM(C5048,C5024,C5000,C4976,C4952,C4928,C4904)/POBLA!$B$7*100000</f>
        <v>0.37229586884548393</v>
      </c>
    </row>
    <row r="5049" spans="1:13" x14ac:dyDescent="0.25">
      <c r="A5049" s="367" t="s">
        <v>31</v>
      </c>
      <c r="B5049" s="267">
        <v>44103</v>
      </c>
      <c r="C5049" s="1">
        <v>162</v>
      </c>
      <c r="D5049" s="39">
        <f t="shared" si="600"/>
        <v>7306</v>
      </c>
      <c r="E5049" s="1">
        <v>6</v>
      </c>
      <c r="F5049" s="409">
        <f>E5049+F5025</f>
        <v>138</v>
      </c>
      <c r="G5049" s="168">
        <f>SUM(C5049,C5025,C5001,C4977,C4953,C4929,C4905,C4881,C4857,C4833,C4809,C4785,C4761,C4737)/POBLA!$B$8*100000</f>
        <v>130.37884904409287</v>
      </c>
      <c r="H5049" s="256">
        <f t="shared" si="593"/>
        <v>0.97728501892915087</v>
      </c>
      <c r="I5049" s="297">
        <f t="shared" si="601"/>
        <v>127.41729595601721</v>
      </c>
      <c r="J5049" s="297">
        <f t="shared" si="602"/>
        <v>127.71428571428571</v>
      </c>
      <c r="K5049" s="297">
        <f>J5049/POBLA!$B$8*100000</f>
        <v>9.2148542213154414</v>
      </c>
      <c r="L5049" s="549">
        <f t="shared" si="594"/>
        <v>2.0810514786418377E-2</v>
      </c>
      <c r="M5049" s="401">
        <f>SUM(C5049,C5025,C5001,C4977,C4953,C4929,C4905)/POBLA!$B$8*100000</f>
        <v>64.503979549208097</v>
      </c>
    </row>
    <row r="5050" spans="1:13" s="360" customFormat="1" x14ac:dyDescent="0.25">
      <c r="A5050" s="367" t="s">
        <v>41</v>
      </c>
      <c r="B5050" s="267">
        <v>44103</v>
      </c>
      <c r="C5050" s="1">
        <v>0</v>
      </c>
      <c r="D5050" s="39">
        <f t="shared" si="600"/>
        <v>104</v>
      </c>
      <c r="E5050" s="1"/>
      <c r="F5050" s="409">
        <f>E5050+F5026</f>
        <v>1</v>
      </c>
      <c r="G5050" s="168">
        <f>SUM(C5050,C5026,C5002,C4978,C4954,C4930,C4906,C4882,C4858,C4834,C4810,C4786,C4762,C4738)/POBLA!$B$9*100000</f>
        <v>0.99141926625060106</v>
      </c>
      <c r="H5050" s="256">
        <f t="shared" si="593"/>
        <v>0.4</v>
      </c>
      <c r="I5050" s="297">
        <f t="shared" si="601"/>
        <v>0.39656770650024042</v>
      </c>
      <c r="J5050" s="297">
        <f t="shared" si="602"/>
        <v>0.42857142857142855</v>
      </c>
      <c r="K5050" s="297">
        <f>J5050/POBLA!$B$9*100000</f>
        <v>7.0815661875042929E-2</v>
      </c>
      <c r="L5050" s="549">
        <f t="shared" si="594"/>
        <v>0</v>
      </c>
      <c r="M5050" s="401">
        <f>SUM(C5050,C5026,C5002,C4978,C4954,C4930,C4906)/POBLA!$B$9*100000</f>
        <v>0.49570963312530053</v>
      </c>
    </row>
    <row r="5051" spans="1:13" s="360" customFormat="1" x14ac:dyDescent="0.25">
      <c r="A5051" s="367" t="s">
        <v>32</v>
      </c>
      <c r="B5051" s="267">
        <v>44103</v>
      </c>
      <c r="C5051" s="1">
        <v>102</v>
      </c>
      <c r="D5051" s="39">
        <f t="shared" si="600"/>
        <v>15513</v>
      </c>
      <c r="E5051" s="1">
        <v>4</v>
      </c>
      <c r="F5051" s="409">
        <f>E5051+F5027</f>
        <v>468</v>
      </c>
      <c r="G5051" s="168">
        <f>SUM(C5051,C5027,C5003,C4979,C4955,C4931,C4907,C4883,C4859,C4835,C4811,C4787,C4763,C4739)/POBLA!$B$10*100000</f>
        <v>361.01551341906207</v>
      </c>
      <c r="H5051" s="256">
        <f t="shared" si="593"/>
        <v>0.6645176695319962</v>
      </c>
      <c r="I5051" s="297">
        <f t="shared" si="601"/>
        <v>239.90118764213224</v>
      </c>
      <c r="J5051" s="297">
        <f t="shared" si="602"/>
        <v>166.14285714285714</v>
      </c>
      <c r="K5051" s="297">
        <f>J5051/POBLA!$B$10*100000</f>
        <v>21.55233520385859</v>
      </c>
      <c r="L5051" s="549">
        <f t="shared" si="594"/>
        <v>0.28209876543209877</v>
      </c>
      <c r="M5051" s="401">
        <f>SUM(C5051,C5027,C5003,C4979,C4955,C4931,C4907)/POBLA!$B$10*100000</f>
        <v>150.86634642701011</v>
      </c>
    </row>
    <row r="5052" spans="1:13" s="360" customFormat="1" x14ac:dyDescent="0.25">
      <c r="A5052" s="367" t="s">
        <v>33</v>
      </c>
      <c r="B5052" s="267">
        <v>44103</v>
      </c>
      <c r="C5052" s="1">
        <v>19</v>
      </c>
      <c r="D5052" s="39">
        <f t="shared" si="600"/>
        <v>738</v>
      </c>
      <c r="E5052" s="1"/>
      <c r="F5052" s="409">
        <f t="shared" si="603"/>
        <v>7</v>
      </c>
      <c r="G5052" s="168">
        <f>SUM(C5052,C5028,C5004,C4980,C4956,C4932,C4908,C4884,C4860,C4836,C4812,C4788,C4764,C4740)/POBLA!$B$11*100000</f>
        <v>75.886928476569906</v>
      </c>
      <c r="H5052" s="256">
        <f t="shared" si="593"/>
        <v>1.0708661417322836</v>
      </c>
      <c r="I5052" s="297">
        <f t="shared" si="601"/>
        <v>81.264742305618171</v>
      </c>
      <c r="J5052" s="297">
        <f t="shared" si="602"/>
        <v>18.571428571428573</v>
      </c>
      <c r="K5052" s="297">
        <f>J5052/POBLA!$B$11*100000</f>
        <v>5.1813554106901725</v>
      </c>
      <c r="L5052" s="549">
        <f t="shared" si="594"/>
        <v>8.4507042253521125E-2</v>
      </c>
      <c r="M5052" s="401">
        <f>SUM(C5052,C5028,C5004,C4980,C4956,C4932,C4908)/POBLA!$B$11*100000</f>
        <v>36.269487874831206</v>
      </c>
    </row>
    <row r="5053" spans="1:13" s="360" customFormat="1" x14ac:dyDescent="0.25">
      <c r="A5053" s="367" t="s">
        <v>21</v>
      </c>
      <c r="B5053" s="267">
        <v>44103</v>
      </c>
      <c r="C5053" s="1">
        <v>51</v>
      </c>
      <c r="D5053" s="39">
        <f t="shared" si="600"/>
        <v>4702</v>
      </c>
      <c r="E5053" s="1"/>
      <c r="F5053" s="409">
        <f t="shared" si="603"/>
        <v>101</v>
      </c>
      <c r="G5053" s="168">
        <f>SUM(C5053,C5029,C5005,C4981,C4957,C4933,C4909,C4885,C4861,C4837,C4813,C4789,C4765,C4741)/POBLA!$B$12*100000</f>
        <v>430.96986006185028</v>
      </c>
      <c r="H5053" s="256">
        <f t="shared" si="593"/>
        <v>1.2307692307692308</v>
      </c>
      <c r="I5053" s="297">
        <f t="shared" si="601"/>
        <v>530.42444315304658</v>
      </c>
      <c r="J5053" s="297">
        <f t="shared" si="602"/>
        <v>68.857142857142861</v>
      </c>
      <c r="K5053" s="297">
        <f>J5053/POBLA!$B$12*100000</f>
        <v>17.497260154128359</v>
      </c>
      <c r="L5053" s="549">
        <f t="shared" si="594"/>
        <v>0.60296540362438222</v>
      </c>
      <c r="M5053" s="401">
        <f>SUM(C5053,C5029,C5005,C4981,C4957,C4933,C4909)/POBLA!$B$12*100000</f>
        <v>122.48082107889847</v>
      </c>
    </row>
    <row r="5054" spans="1:13" s="360" customFormat="1" x14ac:dyDescent="0.25">
      <c r="A5054" s="367" t="s">
        <v>17</v>
      </c>
      <c r="B5054" s="267">
        <v>44103</v>
      </c>
      <c r="C5054" s="1">
        <v>668</v>
      </c>
      <c r="D5054" s="39">
        <f t="shared" si="600"/>
        <v>24358</v>
      </c>
      <c r="E5054" s="1">
        <v>7</v>
      </c>
      <c r="F5054" s="409">
        <f t="shared" si="603"/>
        <v>253</v>
      </c>
      <c r="G5054" s="168">
        <f>SUM(C5054,C5030,C5006,C4982,C4958,C4934,C4910,C4886,C4862,C4838,C4814,C4790,C4766,C4742)/POBLA!$B$13*100000</f>
        <v>431.93668613069741</v>
      </c>
      <c r="H5054" s="256">
        <f t="shared" si="593"/>
        <v>1.0031505250875146</v>
      </c>
      <c r="I5054" s="297">
        <f t="shared" si="601"/>
        <v>433.2975134965701</v>
      </c>
      <c r="J5054" s="297">
        <f t="shared" si="602"/>
        <v>640.42857142857144</v>
      </c>
      <c r="K5054" s="297">
        <f>J5054/POBLA!$B$13*100000</f>
        <v>32.176875054818396</v>
      </c>
      <c r="L5054" s="549">
        <f t="shared" si="594"/>
        <v>-8.9693728731161881E-2</v>
      </c>
      <c r="M5054" s="401">
        <f>SUM(C5054,C5030,C5006,C4982,C4958,C4934,C4910)/POBLA!$B$13*100000</f>
        <v>225.2381253837288</v>
      </c>
    </row>
    <row r="5055" spans="1:13" s="360" customFormat="1" x14ac:dyDescent="0.25">
      <c r="A5055" s="367" t="s">
        <v>23</v>
      </c>
      <c r="B5055" s="267">
        <v>44103</v>
      </c>
      <c r="C5055" s="1">
        <v>8</v>
      </c>
      <c r="D5055" s="39">
        <f t="shared" si="600"/>
        <v>87</v>
      </c>
      <c r="E5055" s="1"/>
      <c r="F5055" s="409">
        <f t="shared" si="603"/>
        <v>3</v>
      </c>
      <c r="G5055" s="168">
        <f>SUM(C5055,C5031,C5007,C4983,C4959,C4935,C4911,C4887,C4863,C4839,C4815,C4791,C4767,C4743)/POBLA!$B$14*100000</f>
        <v>2.140658720330074</v>
      </c>
      <c r="H5055" s="256">
        <f t="shared" si="593"/>
        <v>-4.5</v>
      </c>
      <c r="I5055" s="297">
        <f t="shared" si="601"/>
        <v>-9.6329642414853325</v>
      </c>
      <c r="J5055" s="297">
        <f t="shared" si="602"/>
        <v>1.2857142857142858</v>
      </c>
      <c r="K5055" s="297">
        <f>J5055/POBLA!$B$14*100000</f>
        <v>0.10193612953952733</v>
      </c>
      <c r="L5055" s="549">
        <f t="shared" si="594"/>
        <v>0.5</v>
      </c>
      <c r="M5055" s="401">
        <f>SUM(C5055,C5031,C5007,C4983,C4959,C4935,C4911)/POBLA!$B$14*100000</f>
        <v>0.71355290677669125</v>
      </c>
    </row>
    <row r="5056" spans="1:13" s="360" customFormat="1" x14ac:dyDescent="0.25">
      <c r="A5056" s="367" t="s">
        <v>19</v>
      </c>
      <c r="B5056" s="267">
        <v>44103</v>
      </c>
      <c r="C5056" s="1">
        <v>77</v>
      </c>
      <c r="D5056" s="39">
        <f>C5056+D5032</f>
        <v>7701</v>
      </c>
      <c r="E5056" s="1">
        <v>2</v>
      </c>
      <c r="F5056" s="409">
        <f t="shared" si="603"/>
        <v>116</v>
      </c>
      <c r="G5056" s="168">
        <f>SUM(C5056,C5032,C5008,C4984,C4960,C4936,C4912,C4888,C4864,C4840,C4816,C4792,C4768,C4744)/POBLA!$B$15*100000</f>
        <v>382.79846458963613</v>
      </c>
      <c r="H5056" s="256">
        <f t="shared" si="593"/>
        <v>1.2793155510820333</v>
      </c>
      <c r="I5056" s="297">
        <f t="shared" si="601"/>
        <v>489.72002867984656</v>
      </c>
      <c r="J5056" s="297">
        <f t="shared" si="602"/>
        <v>180</v>
      </c>
      <c r="K5056" s="297">
        <f>J5056/POBLA!$B$15*100000</f>
        <v>27.106106855285017</v>
      </c>
      <c r="L5056" s="549">
        <f t="shared" si="594"/>
        <v>1.716068642745705E-2</v>
      </c>
      <c r="M5056" s="401">
        <f>SUM(C5056,C5032,C5008,C4984,C4960,C4936,C4912)/POBLA!$B$15*100000</f>
        <v>189.74274798699511</v>
      </c>
    </row>
    <row r="5057" spans="1:13" s="360" customFormat="1" x14ac:dyDescent="0.25">
      <c r="A5057" s="367" t="s">
        <v>18</v>
      </c>
      <c r="B5057" s="267">
        <v>44103</v>
      </c>
      <c r="C5057" s="1">
        <v>339</v>
      </c>
      <c r="D5057" s="39">
        <f>C5057+D5033</f>
        <v>12470</v>
      </c>
      <c r="E5057" s="1">
        <v>8</v>
      </c>
      <c r="F5057" s="409">
        <f t="shared" si="603"/>
        <v>279</v>
      </c>
      <c r="G5057" s="168">
        <f>SUM(C5057,C5033,C5009,C4985,C4961,C4937,C4913,C4889,C4865,C4841,C4817,C4793,C4769,C4745)/POBLA!$B$16*100000</f>
        <v>433.51480049758561</v>
      </c>
      <c r="H5057" s="256">
        <f t="shared" si="593"/>
        <v>1.0612311722331369</v>
      </c>
      <c r="I5057" s="297">
        <f t="shared" si="601"/>
        <v>460.05941991246726</v>
      </c>
      <c r="J5057" s="297">
        <f t="shared" si="602"/>
        <v>248.71428571428572</v>
      </c>
      <c r="K5057" s="297">
        <f>J5057/POBLA!$B$16*100000</f>
        <v>33.267918528950354</v>
      </c>
      <c r="L5057" s="549">
        <f t="shared" si="594"/>
        <v>-0.16066666666666674</v>
      </c>
      <c r="M5057" s="401">
        <f>SUM(C5057,C5033,C5009,C4985,C4961,C4937,C4913)/POBLA!$B$16*100000</f>
        <v>232.87542970265247</v>
      </c>
    </row>
    <row r="5058" spans="1:13" s="360" customFormat="1" x14ac:dyDescent="0.25">
      <c r="A5058" s="367" t="s">
        <v>34</v>
      </c>
      <c r="B5058" s="267">
        <v>44103</v>
      </c>
      <c r="C5058" s="1">
        <v>324</v>
      </c>
      <c r="D5058" s="39">
        <f>C5058+D5034</f>
        <v>12055</v>
      </c>
      <c r="E5058" s="1">
        <v>11</v>
      </c>
      <c r="F5058" s="409">
        <f>E5058+F5034</f>
        <v>326</v>
      </c>
      <c r="G5058" s="168">
        <f>SUM(C5058,C5034,C5010,C4986,C4962,C4938,C4914,C4890,C4866,C4842,C4818,C4794,C4770,C4746)/POBLA!$B$17*100000</f>
        <v>333.61485597063177</v>
      </c>
      <c r="H5058" s="256">
        <f t="shared" si="593"/>
        <v>1.2505263157894737</v>
      </c>
      <c r="I5058" s="297">
        <f t="shared" si="601"/>
        <v>417.19415672959002</v>
      </c>
      <c r="J5058" s="297">
        <f t="shared" si="602"/>
        <v>315</v>
      </c>
      <c r="K5058" s="297">
        <f>J5058/POBLA!$B$17*100000</f>
        <v>22.114621134416879</v>
      </c>
      <c r="L5058" s="549">
        <f t="shared" si="594"/>
        <v>0.13427561837455826</v>
      </c>
      <c r="M5058" s="401">
        <f>SUM(C5058,C5034,C5010,C4986,C4962,C4938,C4914)/POBLA!$B$17*100000</f>
        <v>154.80234794091817</v>
      </c>
    </row>
    <row r="5059" spans="1:13" s="360" customFormat="1" x14ac:dyDescent="0.25">
      <c r="A5059" s="367" t="s">
        <v>35</v>
      </c>
      <c r="B5059" s="267">
        <v>44103</v>
      </c>
      <c r="C5059" s="1">
        <v>20</v>
      </c>
      <c r="D5059" s="39">
        <f t="shared" ref="D5059:D5065" si="604">C5059+D5035</f>
        <v>715</v>
      </c>
      <c r="E5059" s="1">
        <v>4</v>
      </c>
      <c r="F5059" s="409">
        <f>E5059+F5035</f>
        <v>32</v>
      </c>
      <c r="G5059" s="168">
        <f>SUM(C5059,C5035,C5011,C4987,C4963,C4939,C4915,C4891,C4867,C4843,C4819,C4795,C4771,C4747)/POBLA!$B$18*100000</f>
        <v>36.737551794187787</v>
      </c>
      <c r="H5059" s="256">
        <f t="shared" si="593"/>
        <v>1.4</v>
      </c>
      <c r="I5059" s="297">
        <f t="shared" si="601"/>
        <v>51.432572511862901</v>
      </c>
      <c r="J5059" s="297">
        <f t="shared" si="602"/>
        <v>28.285714285714285</v>
      </c>
      <c r="K5059" s="297">
        <f>J5059/POBLA!$B$18*100000</f>
        <v>3.6207243679687315</v>
      </c>
      <c r="L5059" s="549">
        <f t="shared" si="594"/>
        <v>-1.2247191011235956</v>
      </c>
      <c r="M5059" s="401">
        <f>SUM(C5059,C5035,C5011,C4987,C4963,C4939,C4915)/POBLA!$B$18*100000</f>
        <v>25.345070575781119</v>
      </c>
    </row>
    <row r="5060" spans="1:13" s="360" customFormat="1" x14ac:dyDescent="0.25">
      <c r="A5060" s="367" t="s">
        <v>36</v>
      </c>
      <c r="B5060" s="267">
        <v>44103</v>
      </c>
      <c r="C5060" s="1">
        <v>150</v>
      </c>
      <c r="D5060" s="39">
        <f t="shared" si="604"/>
        <v>1341</v>
      </c>
      <c r="E5060" s="1"/>
      <c r="F5060" s="409">
        <f t="shared" si="603"/>
        <v>5</v>
      </c>
      <c r="G5060" s="168">
        <f>SUM(C5060,C5036,C5012,C4988,C4964,C4940,C4916,C4892,C4868,C4844,C4820,C4796,C4772,C4748)/POBLA!$B$19*100000</f>
        <v>168.78865614327756</v>
      </c>
      <c r="H5060" s="256">
        <f t="shared" si="593"/>
        <v>2.6238532110091741</v>
      </c>
      <c r="I5060" s="297">
        <f t="shared" si="601"/>
        <v>442.87665740346222</v>
      </c>
      <c r="J5060" s="297">
        <f t="shared" si="602"/>
        <v>69</v>
      </c>
      <c r="K5060" s="297">
        <f>J5060/POBLA!$B$19*100000</f>
        <v>13.573912906627216</v>
      </c>
      <c r="L5060" s="549">
        <f t="shared" si="594"/>
        <v>-0.28800000000000003</v>
      </c>
      <c r="M5060" s="401">
        <f>SUM(C5060,C5036,C5012,C4988,C4964,C4940,C4916)/POBLA!$B$19*100000</f>
        <v>95.017390346390513</v>
      </c>
    </row>
    <row r="5061" spans="1:13" s="360" customFormat="1" x14ac:dyDescent="0.25">
      <c r="A5061" s="367" t="s">
        <v>37</v>
      </c>
      <c r="B5061" s="267">
        <v>44103</v>
      </c>
      <c r="C5061" s="1">
        <v>113</v>
      </c>
      <c r="D5061" s="39">
        <f t="shared" si="604"/>
        <v>4699</v>
      </c>
      <c r="E5061" s="1">
        <v>3</v>
      </c>
      <c r="F5061" s="409">
        <f>E5061+F5037</f>
        <v>61</v>
      </c>
      <c r="G5061" s="168">
        <f>SUM(C5061,C5037,C5013,C4989,C4965,C4941,C4917,C4893,C4869,C4845,C4821,C4797,C4773,C4749)/POBLA!$B$20*100000</f>
        <v>412.08866332328859</v>
      </c>
      <c r="H5061" s="256">
        <f t="shared" si="593"/>
        <v>1.0888728323699421</v>
      </c>
      <c r="I5061" s="297">
        <f t="shared" si="601"/>
        <v>448.71215002037275</v>
      </c>
      <c r="J5061" s="297">
        <f t="shared" si="602"/>
        <v>111.85714285714286</v>
      </c>
      <c r="K5061" s="297">
        <f>J5061/POBLA!$B$20*100000</f>
        <v>30.5872995906849</v>
      </c>
      <c r="L5061" s="549">
        <f t="shared" si="594"/>
        <v>-8.1491712707182362E-2</v>
      </c>
      <c r="M5061" s="401">
        <f>SUM(C5061,C5037,C5013,C4989,C4965,C4941,C4917)/POBLA!$B$20*100000</f>
        <v>214.11109713479431</v>
      </c>
    </row>
    <row r="5062" spans="1:13" s="360" customFormat="1" x14ac:dyDescent="0.25">
      <c r="A5062" s="367" t="s">
        <v>22</v>
      </c>
      <c r="B5062" s="267">
        <v>44103</v>
      </c>
      <c r="C5062" s="1">
        <v>2011</v>
      </c>
      <c r="D5062" s="39">
        <f t="shared" si="604"/>
        <v>40381</v>
      </c>
      <c r="E5062" s="1">
        <v>15</v>
      </c>
      <c r="F5062" s="409">
        <f>E5062+F5038</f>
        <v>436</v>
      </c>
      <c r="G5062" s="168">
        <f>SUM(C5062,C5038,C5014,C4990,C4966,C4942,C4918,C4894,C4870,C4846,C4822,C4798,C4774,C4750)/POBLA!$B$21*100000</f>
        <v>561.52864282446251</v>
      </c>
      <c r="H5062" s="256">
        <f t="shared" si="593"/>
        <v>1.6630097981743572</v>
      </c>
      <c r="I5062" s="297">
        <f t="shared" si="601"/>
        <v>933.82763497263011</v>
      </c>
      <c r="J5062" s="297">
        <f t="shared" si="602"/>
        <v>1597</v>
      </c>
      <c r="K5062" s="297">
        <f>J5062/POBLA!$B$21*100000</f>
        <v>45.158688820156442</v>
      </c>
      <c r="L5062" s="549">
        <f t="shared" si="594"/>
        <v>-0.28805161885009789</v>
      </c>
      <c r="M5062" s="401">
        <f>SUM(C5062,C5038,C5014,C4990,C4966,C4942,C4918)/POBLA!$B$21*100000</f>
        <v>316.11082174109509</v>
      </c>
    </row>
    <row r="5063" spans="1:13" s="360" customFormat="1" x14ac:dyDescent="0.25">
      <c r="A5063" s="367" t="s">
        <v>38</v>
      </c>
      <c r="B5063" s="267">
        <v>44103</v>
      </c>
      <c r="C5063" s="1">
        <v>142</v>
      </c>
      <c r="D5063" s="39">
        <f t="shared" si="604"/>
        <v>3323</v>
      </c>
      <c r="E5063" s="1">
        <v>1</v>
      </c>
      <c r="F5063" s="409">
        <f t="shared" si="603"/>
        <v>58</v>
      </c>
      <c r="G5063" s="168">
        <f>SUM(C5063,C5039,C5015,C4991,C4967,C4943,C4919,C4895,C4871,C4847,C4823,C4799,C4775,C4751)/POBLA!$B$22*100000</f>
        <v>137.07269554835725</v>
      </c>
      <c r="H5063" s="256">
        <f t="shared" si="593"/>
        <v>1.3330019880715707</v>
      </c>
      <c r="I5063" s="297">
        <f t="shared" si="601"/>
        <v>182.71817567628935</v>
      </c>
      <c r="J5063" s="297">
        <f t="shared" si="602"/>
        <v>117.57142857142857</v>
      </c>
      <c r="K5063" s="297">
        <f>J5063/POBLA!$B$22*100000</f>
        <v>12.017772284680728</v>
      </c>
      <c r="L5063" s="549">
        <f t="shared" si="594"/>
        <v>-0.58880308880308885</v>
      </c>
      <c r="M5063" s="401">
        <f>SUM(C5063,C5039,C5015,C4991,C4967,C4943,C4919)/POBLA!$B$22*100000</f>
        <v>84.124405992765091</v>
      </c>
    </row>
    <row r="5064" spans="1:13" s="360" customFormat="1" x14ac:dyDescent="0.25">
      <c r="A5064" s="367" t="s">
        <v>39</v>
      </c>
      <c r="B5064" s="267">
        <v>44103</v>
      </c>
      <c r="C5064" s="1">
        <v>221</v>
      </c>
      <c r="D5064" s="39">
        <f t="shared" si="604"/>
        <v>4107</v>
      </c>
      <c r="E5064" s="1">
        <v>2</v>
      </c>
      <c r="F5064" s="409">
        <f>E5064+F5040</f>
        <v>67</v>
      </c>
      <c r="G5064" s="168">
        <f>SUM(C5064,C5040,C5016,C4992,C4968,C4944,C4920,C4896,C4872,C4848,C4824,C4800,C4776,C4752)/POBLA!$B$23*100000</f>
        <v>708.02465644969743</v>
      </c>
      <c r="H5064" s="256">
        <f t="shared" si="593"/>
        <v>1.6626826029216468</v>
      </c>
      <c r="I5064" s="297">
        <f t="shared" si="601"/>
        <v>1177.2202787184876</v>
      </c>
      <c r="J5064" s="297">
        <f t="shared" si="602"/>
        <v>107.28571428571429</v>
      </c>
      <c r="K5064" s="297">
        <f>J5064/POBLA!$B$23*100000</f>
        <v>60.671670127079281</v>
      </c>
      <c r="L5064" s="549">
        <f t="shared" si="594"/>
        <v>-0.49900199600798412</v>
      </c>
      <c r="M5064" s="401">
        <f>SUM(C5064,C5040,C5016,C4992,C4968,C4944,C4920)/POBLA!$B$23*100000</f>
        <v>424.70169088955492</v>
      </c>
    </row>
    <row r="5065" spans="1:13" s="360" customFormat="1" ht="15.75" thickBot="1" x14ac:dyDescent="0.3">
      <c r="A5065" s="369" t="s">
        <v>40</v>
      </c>
      <c r="B5065" s="267">
        <v>44103</v>
      </c>
      <c r="C5065" s="1">
        <v>605</v>
      </c>
      <c r="D5065" s="176">
        <f t="shared" si="604"/>
        <v>14175</v>
      </c>
      <c r="E5065" s="1">
        <v>13</v>
      </c>
      <c r="F5065" s="476">
        <f>E5065+F5041</f>
        <v>132</v>
      </c>
      <c r="G5065" s="177">
        <f>SUM(C5065,C5041,C5017,C4993,C4969,C4945,C4921,C4897,C4873,C4849,C4825,C4801,C4777,C4753)/POBLA!$B$24*100000</f>
        <v>381.08029004116469</v>
      </c>
      <c r="H5065" s="402">
        <f t="shared" si="593"/>
        <v>1.2329133256968308</v>
      </c>
      <c r="I5065" s="403">
        <f t="shared" si="601"/>
        <v>469.83896775216522</v>
      </c>
      <c r="J5065" s="403">
        <f t="shared" si="602"/>
        <v>531.57142857142856</v>
      </c>
      <c r="K5065" s="403">
        <f>J5065/POBLA!$B$24*100000</f>
        <v>31.367512260389635</v>
      </c>
      <c r="L5065" s="550">
        <f t="shared" si="594"/>
        <v>-0.35951772013153094</v>
      </c>
      <c r="M5065" s="405">
        <f>SUM(C5065,C5041,C5017,C4993,C4969,C4945,C4921)/POBLA!$B$24*100000</f>
        <v>219.57258582272743</v>
      </c>
    </row>
    <row r="5066" spans="1:13" s="360" customFormat="1" x14ac:dyDescent="0.25">
      <c r="A5066" s="363" t="s">
        <v>16</v>
      </c>
      <c r="B5066" s="267">
        <v>44104</v>
      </c>
      <c r="C5066" s="1">
        <v>5943</v>
      </c>
      <c r="D5066" s="174">
        <f>C5066+D5042</f>
        <v>417677</v>
      </c>
      <c r="E5066" s="1">
        <f>92+84</f>
        <v>176</v>
      </c>
      <c r="F5066" s="475">
        <f>E5066+F5042</f>
        <v>9961</v>
      </c>
      <c r="G5066" s="175">
        <f>SUM(C5066,C5042,C5018,C4994,C4970,C4946,C4922,C4898,C4874,C4850,C4826,C4802,C4778,C4754)/POBLA!$B$1*100000</f>
        <v>393.05310868888176</v>
      </c>
      <c r="H5066" s="300">
        <f t="shared" si="593"/>
        <v>0.88909808371805121</v>
      </c>
      <c r="I5066" s="301">
        <f>G5066*H5066</f>
        <v>349.46276573470766</v>
      </c>
      <c r="J5066" s="301">
        <f>AVERAGE(C5066,C5042,C5018,C4994,C4970,C4946,C4922)</f>
        <v>4994.8571428571431</v>
      </c>
      <c r="K5066" s="301">
        <f>J5066/POBLA!$B$1*100000</f>
        <v>28.475098300943728</v>
      </c>
      <c r="L5066" s="548">
        <f t="shared" si="594"/>
        <v>-2.8897651697957771E-2</v>
      </c>
      <c r="M5066" s="400">
        <f>SUM(C5066,C5042,C5018,C4994,C4970,C4946,C4922)/POBLA!$B$1*100000</f>
        <v>199.32568810660604</v>
      </c>
    </row>
    <row r="5067" spans="1:13" s="360" customFormat="1" x14ac:dyDescent="0.25">
      <c r="A5067" s="367" t="s">
        <v>43</v>
      </c>
      <c r="B5067" s="267">
        <v>44104</v>
      </c>
      <c r="C5067" s="1">
        <v>898</v>
      </c>
      <c r="D5067" s="39">
        <f t="shared" ref="D5067:D5079" si="605">C5067+D5043</f>
        <v>125966</v>
      </c>
      <c r="E5067" s="1">
        <f>55+63</f>
        <v>118</v>
      </c>
      <c r="F5067" s="409">
        <f>E5067+F5043</f>
        <v>3407</v>
      </c>
      <c r="G5067" s="168">
        <f>SUM(C5067,C5043,C5019,C4995,C4971,C4947,C4923,C4899,C4875,C4851,C4827,C4803,C4779,C4755)/POBLA!$B$2*100000</f>
        <v>399.81844464545009</v>
      </c>
      <c r="H5067" s="256">
        <f t="shared" si="593"/>
        <v>0.8024667188723571</v>
      </c>
      <c r="I5067" s="297">
        <f t="shared" ref="I5067:I5089" si="606">G5067*H5067</f>
        <v>320.84099541928344</v>
      </c>
      <c r="J5067" s="297">
        <f t="shared" ref="J5067:J5089" si="607">AVERAGE(C5067,C5043,C5019,C4995,C4971,C4947,C4923)</f>
        <v>879.71428571428567</v>
      </c>
      <c r="K5067" s="297">
        <f>J5067/POBLA!$B$2*100000</f>
        <v>28.602585788945987</v>
      </c>
      <c r="L5067" s="549">
        <f t="shared" si="594"/>
        <v>-3.0949666069393089E-3</v>
      </c>
      <c r="M5067" s="401">
        <f>SUM(C5067,C5043,C5019,C4995,C4971,C4947,C4923)/POBLA!$B$2*100000</f>
        <v>200.21810052262191</v>
      </c>
    </row>
    <row r="5068" spans="1:13" s="360" customFormat="1" x14ac:dyDescent="0.25">
      <c r="A5068" s="367" t="s">
        <v>28</v>
      </c>
      <c r="B5068" s="267">
        <v>44104</v>
      </c>
      <c r="C5068" s="1">
        <v>8</v>
      </c>
      <c r="D5068" s="39">
        <f t="shared" si="605"/>
        <v>287</v>
      </c>
      <c r="E5068" s="1"/>
      <c r="F5068" s="409">
        <f>E5068+F5044</f>
        <v>0</v>
      </c>
      <c r="G5068" s="168">
        <f>SUM(C5068,C5044,C5020,C4996,C4972,C4948,C4924,C4900,C4876,C4852,C4828,C4804,C4780,C4756)/POBLA!$B$3*100000</f>
        <v>32.01440407473558</v>
      </c>
      <c r="H5068" s="256">
        <f t="shared" si="593"/>
        <v>1.5287356321839081</v>
      </c>
      <c r="I5068" s="297">
        <f t="shared" si="606"/>
        <v>48.941560252181979</v>
      </c>
      <c r="J5068" s="297">
        <f t="shared" si="607"/>
        <v>13.428571428571429</v>
      </c>
      <c r="K5068" s="297">
        <f>J5068/POBLA!$B$3*100000</f>
        <v>3.2323888109829699</v>
      </c>
      <c r="L5068" s="549">
        <f t="shared" si="594"/>
        <v>-1.4102564102564101</v>
      </c>
      <c r="M5068" s="401">
        <f>SUM(C5068,C5044,C5020,C4996,C4972,C4948,C4924)/POBLA!$B$3*100000</f>
        <v>22.626721676880788</v>
      </c>
    </row>
    <row r="5069" spans="1:13" s="360" customFormat="1" x14ac:dyDescent="0.25">
      <c r="A5069" s="367" t="s">
        <v>15</v>
      </c>
      <c r="B5069" s="267">
        <v>44104</v>
      </c>
      <c r="C5069" s="1">
        <v>157</v>
      </c>
      <c r="D5069" s="39">
        <f t="shared" si="605"/>
        <v>8543</v>
      </c>
      <c r="E5069" s="1">
        <f>2+2</f>
        <v>4</v>
      </c>
      <c r="F5069" s="409">
        <f t="shared" ref="F5069:F5087" si="608">E5069+F5045</f>
        <v>285</v>
      </c>
      <c r="G5069" s="168">
        <f>SUM(C5069,C5045,C5021,C4997,C4973,C4949,C4925,C4901,C4877,C4853,C4829,C4805,C4781,C4757)/POBLA!$B$4*100000</f>
        <v>128.01556775568454</v>
      </c>
      <c r="H5069" s="256">
        <f t="shared" si="593"/>
        <v>1.0821052631578947</v>
      </c>
      <c r="I5069" s="297">
        <f t="shared" si="606"/>
        <v>138.52631963457233</v>
      </c>
      <c r="J5069" s="297">
        <f t="shared" si="607"/>
        <v>126.28571428571429</v>
      </c>
      <c r="K5069" s="297">
        <f>J5069/POBLA!$B$4*100000</f>
        <v>10.484135806561527</v>
      </c>
      <c r="L5069" s="549">
        <f t="shared" si="594"/>
        <v>-0.34346504559270508</v>
      </c>
      <c r="M5069" s="401">
        <f>SUM(C5069,C5045,C5021,C4997,C4973,C4949,C4925)/POBLA!$B$4*100000</f>
        <v>73.388950645930692</v>
      </c>
    </row>
    <row r="5070" spans="1:13" s="360" customFormat="1" x14ac:dyDescent="0.25">
      <c r="A5070" s="367" t="s">
        <v>29</v>
      </c>
      <c r="B5070" s="267">
        <v>44104</v>
      </c>
      <c r="C5070" s="1">
        <v>156</v>
      </c>
      <c r="D5070" s="39">
        <f t="shared" si="605"/>
        <v>3955</v>
      </c>
      <c r="E5070" s="1">
        <f>3+3</f>
        <v>6</v>
      </c>
      <c r="F5070" s="409">
        <f t="shared" si="608"/>
        <v>50</v>
      </c>
      <c r="G5070" s="168">
        <f>SUM(C5070,C5046,C5022,C4998,C4974,C4950,C4926,C4902,C4878,C4854,C4830,C4806,C4782,C4758)/POBLA!$B$5*100000</f>
        <v>324.07422365968006</v>
      </c>
      <c r="H5070" s="256">
        <f t="shared" si="593"/>
        <v>2.0766045548654244</v>
      </c>
      <c r="I5070" s="297">
        <f t="shared" si="606"/>
        <v>672.97400896616784</v>
      </c>
      <c r="J5070" s="297">
        <f t="shared" si="607"/>
        <v>171</v>
      </c>
      <c r="K5070" s="297">
        <f>J5070/POBLA!$B$5*100000</f>
        <v>27.625469713761362</v>
      </c>
      <c r="L5070" s="549">
        <f t="shared" si="594"/>
        <v>-0.47960444993819529</v>
      </c>
      <c r="M5070" s="401">
        <f>SUM(C5070,C5046,C5022,C4998,C4974,C4950,C4926)/POBLA!$B$5*100000</f>
        <v>193.37828799632953</v>
      </c>
    </row>
    <row r="5071" spans="1:13" s="360" customFormat="1" x14ac:dyDescent="0.25">
      <c r="A5071" s="367" t="s">
        <v>20</v>
      </c>
      <c r="B5071" s="267">
        <v>44104</v>
      </c>
      <c r="C5071" s="1">
        <v>1718</v>
      </c>
      <c r="D5071" s="39">
        <f t="shared" si="605"/>
        <v>34203</v>
      </c>
      <c r="E5071" s="1">
        <f>8+11</f>
        <v>19</v>
      </c>
      <c r="F5071" s="409">
        <f t="shared" si="608"/>
        <v>397</v>
      </c>
      <c r="G5071" s="168">
        <f>SUM(C5071,C5047,C5023,C4999,C4975,C4951,C4927,C4903,C4879,C4855,C4831,C4807,C4783,C4759)/POBLA!$B$6*100000</f>
        <v>1589.8451196956462</v>
      </c>
      <c r="H5071" s="256">
        <f t="shared" si="593"/>
        <v>2.5492131616595137</v>
      </c>
      <c r="I5071" s="297">
        <f t="shared" si="606"/>
        <v>4052.8541041282861</v>
      </c>
      <c r="J5071" s="297">
        <f t="shared" si="607"/>
        <v>1662.5714285714287</v>
      </c>
      <c r="K5071" s="297">
        <f>J5071/POBLA!$B$6*100000</f>
        <v>148.33778954260646</v>
      </c>
      <c r="L5071" s="549">
        <f t="shared" si="594"/>
        <v>-0.88286685002426801</v>
      </c>
      <c r="M5071" s="401">
        <f>SUM(C5071,C5047,C5023,C4999,C4975,C4951,C4927)/POBLA!$B$6*100000</f>
        <v>1038.3645267982452</v>
      </c>
    </row>
    <row r="5072" spans="1:13" s="360" customFormat="1" x14ac:dyDescent="0.25">
      <c r="A5072" s="367" t="s">
        <v>30</v>
      </c>
      <c r="B5072" s="267">
        <v>44104</v>
      </c>
      <c r="C5072" s="1">
        <v>20</v>
      </c>
      <c r="D5072" s="39">
        <f t="shared" si="605"/>
        <v>1093</v>
      </c>
      <c r="E5072" s="1"/>
      <c r="F5072" s="409">
        <f>E5072+F5048</f>
        <v>22</v>
      </c>
      <c r="G5072" s="168">
        <f>SUM(C5072,C5048,C5024,C5000,C4976,C4952,C4928,C4904,C4880,C4856,C4832,C4808,C4784,C4760)/POBLA!$B$7*100000</f>
        <v>7.924583493996729</v>
      </c>
      <c r="H5072" s="256">
        <f t="shared" si="593"/>
        <v>0.62869198312236285</v>
      </c>
      <c r="I5072" s="297">
        <f t="shared" si="606"/>
        <v>4.9821221122595469</v>
      </c>
      <c r="J5072" s="297">
        <f t="shared" si="607"/>
        <v>11.285714285714286</v>
      </c>
      <c r="K5072" s="297">
        <f>J5072/POBLA!$B$7*100000</f>
        <v>0.30011605753870646</v>
      </c>
      <c r="L5072" s="549">
        <f t="shared" si="594"/>
        <v>0.63926940639269403</v>
      </c>
      <c r="M5072" s="401">
        <f>SUM(C5072,C5048,C5024,C5000,C4976,C4952,C4928)/POBLA!$B$7*100000</f>
        <v>2.1008124027709449</v>
      </c>
    </row>
    <row r="5073" spans="1:13" x14ac:dyDescent="0.25">
      <c r="A5073" s="367" t="s">
        <v>31</v>
      </c>
      <c r="B5073" s="267">
        <v>44104</v>
      </c>
      <c r="C5073" s="1">
        <v>177</v>
      </c>
      <c r="D5073" s="39">
        <f t="shared" si="605"/>
        <v>7483</v>
      </c>
      <c r="E5073" s="1">
        <f>1+1</f>
        <v>2</v>
      </c>
      <c r="F5073" s="409">
        <f>E5073+F5049</f>
        <v>140</v>
      </c>
      <c r="G5073" s="168">
        <f>SUM(C5073,C5049,C5025,C5001,C4977,C4953,C4929,C4905,C4881,C4857,C4833,C4809,C4785,C4761)/POBLA!$B$8*100000</f>
        <v>134.13075836910272</v>
      </c>
      <c r="H5073" s="256">
        <f t="shared" si="593"/>
        <v>1.0408734602463605</v>
      </c>
      <c r="I5073" s="297">
        <f t="shared" si="606"/>
        <v>139.61314658911644</v>
      </c>
      <c r="J5073" s="297">
        <f t="shared" si="607"/>
        <v>136.14285714285714</v>
      </c>
      <c r="K5073" s="297">
        <f>J5073/POBLA!$B$8*100000</f>
        <v>9.8229933701494598</v>
      </c>
      <c r="L5073" s="549">
        <f t="shared" si="594"/>
        <v>-5.1876379690949159E-2</v>
      </c>
      <c r="M5073" s="401">
        <f>SUM(C5073,C5049,C5025,C5001,C4977,C4953,C4929)/POBLA!$B$8*100000</f>
        <v>68.760953591046217</v>
      </c>
    </row>
    <row r="5074" spans="1:13" s="360" customFormat="1" x14ac:dyDescent="0.25">
      <c r="A5074" s="367" t="s">
        <v>41</v>
      </c>
      <c r="B5074" s="267">
        <v>44104</v>
      </c>
      <c r="C5074" s="1">
        <v>0</v>
      </c>
      <c r="D5074" s="39">
        <f t="shared" si="605"/>
        <v>104</v>
      </c>
      <c r="E5074" s="1"/>
      <c r="F5074" s="409">
        <f>E5074+F5050</f>
        <v>1</v>
      </c>
      <c r="G5074" s="168">
        <f>SUM(C5074,C5050,C5026,C5002,C4978,C4954,C4930,C4906,C4882,C4858,C4834,C4810,C4786,C4762)/POBLA!$B$9*100000</f>
        <v>1.3218923550008015</v>
      </c>
      <c r="H5074" s="256">
        <f t="shared" si="593"/>
        <v>0.66666666666666663</v>
      </c>
      <c r="I5074" s="297">
        <f t="shared" si="606"/>
        <v>0.88126157000053429</v>
      </c>
      <c r="J5074" s="297">
        <f t="shared" si="607"/>
        <v>0.2857142857142857</v>
      </c>
      <c r="K5074" s="297">
        <f>J5074/POBLA!$B$9*100000</f>
        <v>4.7210441250028622E-2</v>
      </c>
      <c r="L5074" s="549">
        <f t="shared" si="594"/>
        <v>0.66666666666666674</v>
      </c>
      <c r="M5074" s="401">
        <f>SUM(C5074,C5050,C5026,C5002,C4978,C4954,C4930)/POBLA!$B$9*100000</f>
        <v>0.33047308875020037</v>
      </c>
    </row>
    <row r="5075" spans="1:13" s="360" customFormat="1" x14ac:dyDescent="0.25">
      <c r="A5075" s="367" t="s">
        <v>32</v>
      </c>
      <c r="B5075" s="267">
        <v>44104</v>
      </c>
      <c r="C5075" s="1">
        <v>157</v>
      </c>
      <c r="D5075" s="39">
        <f t="shared" si="605"/>
        <v>15670</v>
      </c>
      <c r="E5075" s="1">
        <f>26+10</f>
        <v>36</v>
      </c>
      <c r="F5075" s="409">
        <f>E5075+F5051</f>
        <v>504</v>
      </c>
      <c r="G5075" s="168">
        <f>SUM(C5075,C5051,C5027,C5003,C4979,C4955,C4931,C4907,C4883,C4859,C4835,C4811,C4787,C4763)/POBLA!$B$10*100000</f>
        <v>341.81670063213392</v>
      </c>
      <c r="H5075" s="256">
        <f t="shared" si="593"/>
        <v>0.63113772455089823</v>
      </c>
      <c r="I5075" s="297">
        <f t="shared" si="606"/>
        <v>215.73341465046059</v>
      </c>
      <c r="J5075" s="297">
        <f t="shared" si="607"/>
        <v>155.71428571428572</v>
      </c>
      <c r="K5075" s="297">
        <f>J5075/POBLA!$B$10*100000</f>
        <v>20.199523105937974</v>
      </c>
      <c r="L5075" s="549">
        <f t="shared" si="594"/>
        <v>0.29449838187702271</v>
      </c>
      <c r="M5075" s="401">
        <f>SUM(C5075,C5051,C5027,C5003,C4979,C4955,C4931)/POBLA!$B$10*100000</f>
        <v>141.39666174156582</v>
      </c>
    </row>
    <row r="5076" spans="1:13" s="360" customFormat="1" x14ac:dyDescent="0.25">
      <c r="A5076" s="367" t="s">
        <v>33</v>
      </c>
      <c r="B5076" s="267">
        <v>44104</v>
      </c>
      <c r="C5076" s="1">
        <v>25</v>
      </c>
      <c r="D5076" s="39">
        <f t="shared" si="605"/>
        <v>763</v>
      </c>
      <c r="E5076" s="1"/>
      <c r="F5076" s="409">
        <f t="shared" si="608"/>
        <v>7</v>
      </c>
      <c r="G5076" s="168">
        <f>SUM(C5076,C5052,C5028,C5004,C4980,C4956,C4932,C4908,C4884,C4860,C4836,C4812,C4788,C4764)/POBLA!$B$11*100000</f>
        <v>71.980983628511169</v>
      </c>
      <c r="H5076" s="256">
        <f t="shared" si="593"/>
        <v>0.88356164383561642</v>
      </c>
      <c r="I5076" s="297">
        <f t="shared" si="606"/>
        <v>63.599636219711918</v>
      </c>
      <c r="J5076" s="297">
        <f t="shared" si="607"/>
        <v>20</v>
      </c>
      <c r="K5076" s="297">
        <f>J5076/POBLA!$B$11*100000</f>
        <v>5.5799212115124934</v>
      </c>
      <c r="L5076" s="549">
        <f t="shared" si="594"/>
        <v>-0.18644067796610164</v>
      </c>
      <c r="M5076" s="401">
        <f>SUM(C5076,C5052,C5028,C5004,C4980,C4956,C4932)/POBLA!$B$11*100000</f>
        <v>39.059448480587456</v>
      </c>
    </row>
    <row r="5077" spans="1:13" s="360" customFormat="1" x14ac:dyDescent="0.25">
      <c r="A5077" s="367" t="s">
        <v>21</v>
      </c>
      <c r="B5077" s="267">
        <v>44104</v>
      </c>
      <c r="C5077" s="1">
        <v>126</v>
      </c>
      <c r="D5077" s="39">
        <f t="shared" si="605"/>
        <v>4828</v>
      </c>
      <c r="E5077" s="1"/>
      <c r="F5077" s="409">
        <f t="shared" si="608"/>
        <v>101</v>
      </c>
      <c r="G5077" s="168">
        <f>SUM(C5077,C5053,C5029,C5005,C4981,C4957,C4933,C4909,C4885,C4861,C4837,C4813,C4789,C4765)/POBLA!$B$12*100000</f>
        <v>431.22396964915094</v>
      </c>
      <c r="H5077" s="256">
        <f t="shared" si="593"/>
        <v>1.1817548746518105</v>
      </c>
      <c r="I5077" s="297">
        <f t="shared" si="606"/>
        <v>509.60102819958854</v>
      </c>
      <c r="J5077" s="297">
        <f t="shared" si="607"/>
        <v>80</v>
      </c>
      <c r="K5077" s="297">
        <f>J5077/POBLA!$B$12*100000</f>
        <v>20.32876698404954</v>
      </c>
      <c r="L5077" s="549">
        <f t="shared" si="594"/>
        <v>0.50747581354441507</v>
      </c>
      <c r="M5077" s="401">
        <f>SUM(C5077,C5053,C5029,C5005,C4981,C4957,C4933)/POBLA!$B$12*100000</f>
        <v>142.30136888834679</v>
      </c>
    </row>
    <row r="5078" spans="1:13" s="360" customFormat="1" x14ac:dyDescent="0.25">
      <c r="A5078" s="367" t="s">
        <v>17</v>
      </c>
      <c r="B5078" s="267">
        <v>44104</v>
      </c>
      <c r="C5078" s="1">
        <v>691</v>
      </c>
      <c r="D5078" s="39">
        <f t="shared" si="605"/>
        <v>25049</v>
      </c>
      <c r="E5078" s="1">
        <f>10+4</f>
        <v>14</v>
      </c>
      <c r="F5078" s="409">
        <f t="shared" si="608"/>
        <v>267</v>
      </c>
      <c r="G5078" s="168">
        <f>SUM(C5078,C5054,C5030,C5006,C4982,C4958,C4934,C4910,C4886,C4862,C4838,C4814,C4790,C4766)/POBLA!$B$13*100000</f>
        <v>432.38887063403303</v>
      </c>
      <c r="H5078" s="256">
        <f t="shared" si="593"/>
        <v>0.97363955198551877</v>
      </c>
      <c r="I5078" s="297">
        <f t="shared" si="606"/>
        <v>420.99090628764435</v>
      </c>
      <c r="J5078" s="297">
        <f t="shared" si="607"/>
        <v>663.71428571428567</v>
      </c>
      <c r="K5078" s="297">
        <f>J5078/POBLA!$B$13*100000</f>
        <v>33.34681273805181</v>
      </c>
      <c r="L5078" s="549">
        <f t="shared" si="594"/>
        <v>-0.17323232323232318</v>
      </c>
      <c r="M5078" s="401">
        <f>SUM(C5078,C5054,C5030,C5006,C4982,C4958,C4934)/POBLA!$B$13*100000</f>
        <v>233.42768916636271</v>
      </c>
    </row>
    <row r="5079" spans="1:13" s="360" customFormat="1" x14ac:dyDescent="0.25">
      <c r="A5079" s="367" t="s">
        <v>23</v>
      </c>
      <c r="B5079" s="267">
        <v>44104</v>
      </c>
      <c r="C5079" s="1">
        <v>9</v>
      </c>
      <c r="D5079" s="39">
        <f t="shared" si="605"/>
        <v>96</v>
      </c>
      <c r="E5079" s="1"/>
      <c r="F5079" s="409">
        <f t="shared" si="608"/>
        <v>3</v>
      </c>
      <c r="G5079" s="168">
        <f>SUM(C5079,C5055,C5031,C5007,C4983,C4959,C4935,C4911,C4887,C4863,C4839,C4815,C4791,C4767)/POBLA!$B$14*100000</f>
        <v>2.6163606581812013</v>
      </c>
      <c r="H5079" s="256">
        <f t="shared" si="593"/>
        <v>-33</v>
      </c>
      <c r="I5079" s="297">
        <f t="shared" si="606"/>
        <v>-86.33990171997965</v>
      </c>
      <c r="J5079" s="297">
        <f t="shared" si="607"/>
        <v>2</v>
      </c>
      <c r="K5079" s="297">
        <f>J5079/POBLA!$B$14*100000</f>
        <v>0.15856731261704249</v>
      </c>
      <c r="L5079" s="549">
        <f t="shared" si="594"/>
        <v>0.26315789473684215</v>
      </c>
      <c r="M5079" s="401">
        <f>SUM(C5079,C5055,C5031,C5007,C4983,C4959,C4935)/POBLA!$B$14*100000</f>
        <v>1.1099711883192975</v>
      </c>
    </row>
    <row r="5080" spans="1:13" s="360" customFormat="1" x14ac:dyDescent="0.25">
      <c r="A5080" s="367" t="s">
        <v>19</v>
      </c>
      <c r="B5080" s="267">
        <v>44104</v>
      </c>
      <c r="C5080" s="1">
        <v>192</v>
      </c>
      <c r="D5080" s="39">
        <f>C5080+D5056</f>
        <v>7893</v>
      </c>
      <c r="E5080" s="1">
        <f>1</f>
        <v>1</v>
      </c>
      <c r="F5080" s="409">
        <f t="shared" si="608"/>
        <v>117</v>
      </c>
      <c r="G5080" s="168">
        <f>SUM(C5080,C5056,C5032,C5008,C4984,C4960,C4936,C4912,C4888,C4864,C4840,C4816,C4792,C4768)/POBLA!$B$15*100000</f>
        <v>383.25023303722418</v>
      </c>
      <c r="H5080" s="256">
        <f t="shared" si="593"/>
        <v>1.2206235011990407</v>
      </c>
      <c r="I5080" s="297">
        <f t="shared" si="606"/>
        <v>467.80424128524487</v>
      </c>
      <c r="J5080" s="297">
        <f t="shared" si="607"/>
        <v>182.28571428571428</v>
      </c>
      <c r="K5080" s="297">
        <f>J5080/POBLA!$B$15*100000</f>
        <v>27.450311386780694</v>
      </c>
      <c r="L5080" s="549">
        <f t="shared" si="594"/>
        <v>-5.516154452324562E-3</v>
      </c>
      <c r="M5080" s="401">
        <f>SUM(C5080,C5056,C5032,C5008,C4984,C4960,C4936)/POBLA!$B$15*100000</f>
        <v>192.15217970746488</v>
      </c>
    </row>
    <row r="5081" spans="1:13" s="360" customFormat="1" x14ac:dyDescent="0.25">
      <c r="A5081" s="367" t="s">
        <v>18</v>
      </c>
      <c r="B5081" s="267">
        <v>44104</v>
      </c>
      <c r="C5081" s="1">
        <v>369</v>
      </c>
      <c r="D5081" s="39">
        <f>C5081+D5057</f>
        <v>12839</v>
      </c>
      <c r="E5081" s="1">
        <f>5+6</f>
        <v>11</v>
      </c>
      <c r="F5081" s="409">
        <f t="shared" si="608"/>
        <v>290</v>
      </c>
      <c r="G5081" s="168">
        <f>SUM(C5081,C5057,C5033,C5009,C4985,C4961,C4937,C4913,C4889,C4865,C4841,C4817,C4793,C4769)/POBLA!$B$16*100000</f>
        <v>451.83986303018958</v>
      </c>
      <c r="H5081" s="256">
        <f t="shared" si="593"/>
        <v>1.0851268872470285</v>
      </c>
      <c r="I5081" s="297">
        <f t="shared" si="606"/>
        <v>490.30358410407337</v>
      </c>
      <c r="J5081" s="297">
        <f t="shared" si="607"/>
        <v>262.57142857142856</v>
      </c>
      <c r="K5081" s="297">
        <f>J5081/POBLA!$B$16*100000</f>
        <v>35.121444144865443</v>
      </c>
      <c r="L5081" s="549">
        <f t="shared" si="594"/>
        <v>-0.1935064935064934</v>
      </c>
      <c r="M5081" s="401">
        <f>SUM(C5081,C5057,C5033,C5009,C4985,C4961,C4937)/POBLA!$B$16*100000</f>
        <v>245.85010901405812</v>
      </c>
    </row>
    <row r="5082" spans="1:13" s="360" customFormat="1" x14ac:dyDescent="0.25">
      <c r="A5082" s="367" t="s">
        <v>34</v>
      </c>
      <c r="B5082" s="267">
        <v>44104</v>
      </c>
      <c r="C5082" s="1">
        <v>360</v>
      </c>
      <c r="D5082" s="39">
        <f>C5082+D5058</f>
        <v>12415</v>
      </c>
      <c r="E5082" s="1">
        <f>5+7</f>
        <v>12</v>
      </c>
      <c r="F5082" s="409">
        <f>E5082+F5058</f>
        <v>338</v>
      </c>
      <c r="G5082" s="168">
        <f>SUM(C5082,C5058,C5034,C5010,C4986,C4962,C4938,C4914,C4890,C4866,C4842,C4818,C4794,C4770)/POBLA!$B$17*100000</f>
        <v>336.49326697542892</v>
      </c>
      <c r="H5082" s="256">
        <f t="shared" ref="H5082:H5113" si="609">SUM(C5082,C5058,C5034,C5010,C4986,C4962,C4938,C4914,C4890,C4866,C4842,C4818,C4794,C4770)/SUM(C4746,C4722,C4698,C4674,C4650,C4626,C4602,C4578,C4554,C4530,C4506,C4482,C4458,C4434)</f>
        <v>1.218043202033037</v>
      </c>
      <c r="I5082" s="297">
        <f t="shared" si="606"/>
        <v>409.86333636930902</v>
      </c>
      <c r="J5082" s="297">
        <f t="shared" si="607"/>
        <v>316.85714285714283</v>
      </c>
      <c r="K5082" s="297">
        <f>J5082/POBLA!$B$17*100000</f>
        <v>22.245002120696885</v>
      </c>
      <c r="L5082" s="549">
        <f t="shared" ref="L5082:L5113" si="610">1-SUM(C5082,C5058,C5034,C5010,C4986,C4962,C4938)/SUM(C4914,C4890,C4866,C4842,C4818,C4794,C4770)</f>
        <v>0.13864077669902908</v>
      </c>
      <c r="M5082" s="401">
        <f>SUM(C5082,C5058,C5034,C5010,C4986,C4962,C4938)/POBLA!$B$17*100000</f>
        <v>155.7150148448782</v>
      </c>
    </row>
    <row r="5083" spans="1:13" s="360" customFormat="1" x14ac:dyDescent="0.25">
      <c r="A5083" s="367" t="s">
        <v>35</v>
      </c>
      <c r="B5083" s="267">
        <v>44104</v>
      </c>
      <c r="C5083" s="1">
        <v>2</v>
      </c>
      <c r="D5083" s="39">
        <f t="shared" ref="D5083:D5089" si="611">C5083+D5059</f>
        <v>717</v>
      </c>
      <c r="E5083" s="1">
        <f>1+2</f>
        <v>3</v>
      </c>
      <c r="F5083" s="409">
        <f>E5083+F5059</f>
        <v>35</v>
      </c>
      <c r="G5083" s="168">
        <f>SUM(C5083,C5059,C5035,C5011,C4987,C4963,C4939,C4915,C4891,C4867,C4843,C4819,C4795,C4771)/POBLA!$B$18*100000</f>
        <v>36.993562608084567</v>
      </c>
      <c r="H5083" s="256">
        <f t="shared" si="609"/>
        <v>1.6705202312138729</v>
      </c>
      <c r="I5083" s="297">
        <f t="shared" si="606"/>
        <v>61.798494761482317</v>
      </c>
      <c r="J5083" s="297">
        <f t="shared" si="607"/>
        <v>25.857142857142858</v>
      </c>
      <c r="K5083" s="297">
        <f>J5083/POBLA!$B$18*100000</f>
        <v>3.3098540939512144</v>
      </c>
      <c r="L5083" s="549">
        <f t="shared" si="610"/>
        <v>-0.67592592592592582</v>
      </c>
      <c r="M5083" s="401">
        <f>SUM(C5083,C5059,C5035,C5011,C4987,C4963,C4939)/POBLA!$B$18*100000</f>
        <v>23.168978657658499</v>
      </c>
    </row>
    <row r="5084" spans="1:13" s="360" customFormat="1" x14ac:dyDescent="0.25">
      <c r="A5084" s="367" t="s">
        <v>36</v>
      </c>
      <c r="B5084" s="267">
        <v>44104</v>
      </c>
      <c r="C5084" s="1">
        <v>131</v>
      </c>
      <c r="D5084" s="39">
        <f t="shared" si="611"/>
        <v>1472</v>
      </c>
      <c r="E5084" s="1">
        <f>1</f>
        <v>1</v>
      </c>
      <c r="F5084" s="409">
        <f t="shared" si="608"/>
        <v>6</v>
      </c>
      <c r="G5084" s="168">
        <f>SUM(C5084,C5060,C5036,C5012,C4988,C4964,C4940,C4916,C4892,C4868,C4844,C4820,C4796,C4772)/POBLA!$B$19*100000</f>
        <v>189.6413339418643</v>
      </c>
      <c r="H5084" s="256">
        <f t="shared" si="609"/>
        <v>2.9123867069486407</v>
      </c>
      <c r="I5084" s="297">
        <f t="shared" si="606"/>
        <v>552.30890006029369</v>
      </c>
      <c r="J5084" s="297">
        <f t="shared" si="607"/>
        <v>78.857142857142861</v>
      </c>
      <c r="K5084" s="297">
        <f>J5084/POBLA!$B$19*100000</f>
        <v>15.513043321859678</v>
      </c>
      <c r="L5084" s="549">
        <f t="shared" si="610"/>
        <v>-0.33980582524271852</v>
      </c>
      <c r="M5084" s="401">
        <f>SUM(C5084,C5060,C5036,C5012,C4988,C4964,C4940)/POBLA!$B$19*100000</f>
        <v>108.59130325301773</v>
      </c>
    </row>
    <row r="5085" spans="1:13" s="360" customFormat="1" x14ac:dyDescent="0.25">
      <c r="A5085" s="367" t="s">
        <v>37</v>
      </c>
      <c r="B5085" s="267">
        <v>44104</v>
      </c>
      <c r="C5085" s="1">
        <v>145</v>
      </c>
      <c r="D5085" s="39">
        <f t="shared" si="611"/>
        <v>4844</v>
      </c>
      <c r="E5085" s="1">
        <f>1</f>
        <v>1</v>
      </c>
      <c r="F5085" s="409">
        <f>E5085+F5061</f>
        <v>62</v>
      </c>
      <c r="G5085" s="168">
        <f>SUM(C5085,C5061,C5037,C5013,C4989,C4965,C4941,C4917,C4893,C4869,C4845,C4821,C4797,C4773)/POBLA!$B$20*100000</f>
        <v>428.76909362370037</v>
      </c>
      <c r="H5085" s="256">
        <f t="shared" si="609"/>
        <v>1.1520940484937545</v>
      </c>
      <c r="I5085" s="297">
        <f t="shared" si="606"/>
        <v>493.98232094192662</v>
      </c>
      <c r="J5085" s="297">
        <f t="shared" si="607"/>
        <v>116.28571428571429</v>
      </c>
      <c r="K5085" s="297">
        <f>J5085/POBLA!$B$20*100000</f>
        <v>31.798291017646882</v>
      </c>
      <c r="L5085" s="549">
        <f t="shared" si="610"/>
        <v>-7.9575596816976235E-2</v>
      </c>
      <c r="M5085" s="401">
        <f>SUM(C5085,C5061,C5037,C5013,C4989,C4965,C4941)/POBLA!$B$20*100000</f>
        <v>222.58803712352815</v>
      </c>
    </row>
    <row r="5086" spans="1:13" s="360" customFormat="1" x14ac:dyDescent="0.25">
      <c r="A5086" s="367" t="s">
        <v>22</v>
      </c>
      <c r="B5086" s="267">
        <v>44104</v>
      </c>
      <c r="C5086" s="1">
        <v>2017</v>
      </c>
      <c r="D5086" s="39">
        <f t="shared" si="611"/>
        <v>42398</v>
      </c>
      <c r="E5086" s="1">
        <f>5+5</f>
        <v>10</v>
      </c>
      <c r="F5086" s="409">
        <f>E5086+F5062</f>
        <v>446</v>
      </c>
      <c r="G5086" s="168">
        <f>SUM(C5086,C5062,C5038,C5014,C4990,C4966,C4942,C4918,C4894,C4870,C4846,C4822,C4798,C4774)/POBLA!$B$21*100000</f>
        <v>586.07325265282554</v>
      </c>
      <c r="H5086" s="256">
        <f t="shared" si="609"/>
        <v>1.679170379972454</v>
      </c>
      <c r="I5086" s="297">
        <f t="shared" si="606"/>
        <v>984.11684634873711</v>
      </c>
      <c r="J5086" s="297">
        <f t="shared" si="607"/>
        <v>1644.8571428571429</v>
      </c>
      <c r="K5086" s="297">
        <f>J5086/POBLA!$B$21*100000</f>
        <v>46.511954832747229</v>
      </c>
      <c r="L5086" s="549">
        <f t="shared" si="610"/>
        <v>-0.24989144594007806</v>
      </c>
      <c r="M5086" s="401">
        <f>SUM(C5086,C5062,C5038,C5014,C4990,C4966,C4942)/POBLA!$B$21*100000</f>
        <v>325.58368382923061</v>
      </c>
    </row>
    <row r="5087" spans="1:13" s="360" customFormat="1" x14ac:dyDescent="0.25">
      <c r="A5087" s="367" t="s">
        <v>38</v>
      </c>
      <c r="B5087" s="267">
        <v>44104</v>
      </c>
      <c r="C5087" s="1">
        <v>96</v>
      </c>
      <c r="D5087" s="39">
        <f t="shared" si="611"/>
        <v>3419</v>
      </c>
      <c r="E5087" s="1">
        <f>2+2</f>
        <v>4</v>
      </c>
      <c r="F5087" s="409">
        <f t="shared" si="608"/>
        <v>62</v>
      </c>
      <c r="G5087" s="168">
        <f>SUM(C5087,C5063,C5039,C5015,C4991,C4967,C4943,C4919,C4895,C4871,C4847,C4823,C4799,C4775)/POBLA!$B$22*100000</f>
        <v>140.85471623089953</v>
      </c>
      <c r="H5087" s="256">
        <f t="shared" si="609"/>
        <v>1.3643564356435645</v>
      </c>
      <c r="I5087" s="297">
        <f t="shared" si="606"/>
        <v>192.1760385803758</v>
      </c>
      <c r="J5087" s="297">
        <f t="shared" si="607"/>
        <v>115.85714285714286</v>
      </c>
      <c r="K5087" s="297">
        <f>J5087/POBLA!$B$22*100000</f>
        <v>11.842543527188422</v>
      </c>
      <c r="L5087" s="549">
        <f t="shared" si="610"/>
        <v>-0.43033509700176364</v>
      </c>
      <c r="M5087" s="401">
        <f>SUM(C5087,C5063,C5039,C5015,C4991,C4967,C4943)/POBLA!$B$22*100000</f>
        <v>82.897804690318949</v>
      </c>
    </row>
    <row r="5088" spans="1:13" s="360" customFormat="1" x14ac:dyDescent="0.25">
      <c r="A5088" s="367" t="s">
        <v>39</v>
      </c>
      <c r="B5088" s="267">
        <v>44104</v>
      </c>
      <c r="C5088" s="1">
        <v>256</v>
      </c>
      <c r="D5088" s="39">
        <f t="shared" si="611"/>
        <v>4363</v>
      </c>
      <c r="E5088" s="1"/>
      <c r="F5088" s="409">
        <f t="shared" ref="F5088:F5099" si="612">E5088+F5064</f>
        <v>67</v>
      </c>
      <c r="G5088" s="168">
        <f>SUM(C5088,C5064,C5040,C5016,C4992,C4968,C4944,C4920,C4896,C4872,C4848,C4824,C4800,C4776)/POBLA!$B$23*100000</f>
        <v>826.78278572640397</v>
      </c>
      <c r="H5088" s="256">
        <f t="shared" si="609"/>
        <v>1.9086161879895562</v>
      </c>
      <c r="I5088" s="297">
        <f t="shared" si="606"/>
        <v>1578.0110087885153</v>
      </c>
      <c r="J5088" s="297">
        <f t="shared" si="607"/>
        <v>132.57142857142858</v>
      </c>
      <c r="K5088" s="297">
        <f>J5088/POBLA!$B$23*100000</f>
        <v>74.971118346111282</v>
      </c>
      <c r="L5088" s="549">
        <f t="shared" si="610"/>
        <v>-0.73782771535580527</v>
      </c>
      <c r="M5088" s="401">
        <f>SUM(C5088,C5064,C5040,C5016,C4992,C4968,C4944)/POBLA!$B$23*100000</f>
        <v>524.79782842277893</v>
      </c>
    </row>
    <row r="5089" spans="1:13" s="360" customFormat="1" ht="15.75" thickBot="1" x14ac:dyDescent="0.3">
      <c r="A5089" s="368" t="s">
        <v>40</v>
      </c>
      <c r="B5089" s="268">
        <v>44104</v>
      </c>
      <c r="C5089" s="232">
        <v>739</v>
      </c>
      <c r="D5089" s="67">
        <f t="shared" si="611"/>
        <v>14914</v>
      </c>
      <c r="E5089" s="232"/>
      <c r="F5089" s="477">
        <f t="shared" si="612"/>
        <v>132</v>
      </c>
      <c r="G5089" s="177">
        <f>SUM(C5089,C5065,C5041,C5017,C4993,C4969,C4945,C4921,C4897,C4873,C4849,C4825,C4801,C4777)/POBLA!$B$24*100000</f>
        <v>397.66182635295894</v>
      </c>
      <c r="H5089" s="402">
        <f t="shared" si="609"/>
        <v>1.2544676098287417</v>
      </c>
      <c r="I5089" s="403">
        <f t="shared" si="606"/>
        <v>498.85388082512856</v>
      </c>
      <c r="J5089" s="403">
        <f t="shared" si="607"/>
        <v>520.14285714285711</v>
      </c>
      <c r="K5089" s="403">
        <f>J5089/POBLA!$B$24*100000</f>
        <v>30.693123391582542</v>
      </c>
      <c r="L5089" s="550">
        <f t="shared" si="610"/>
        <v>-0.17527437056165263</v>
      </c>
      <c r="M5089" s="405">
        <f>SUM(C5089,C5065,C5041,C5017,C4993,C4969,C4945)/POBLA!$B$24*100000</f>
        <v>214.85186374107786</v>
      </c>
    </row>
    <row r="5090" spans="1:13" s="360" customFormat="1" x14ac:dyDescent="0.25">
      <c r="A5090" s="363" t="s">
        <v>16</v>
      </c>
      <c r="B5090" s="265">
        <v>44105</v>
      </c>
      <c r="C5090" s="43">
        <v>5407</v>
      </c>
      <c r="D5090" s="174">
        <f>C5090+D5066</f>
        <v>423084</v>
      </c>
      <c r="E5090" s="43">
        <v>3153</v>
      </c>
      <c r="F5090" s="475">
        <f t="shared" si="612"/>
        <v>13114</v>
      </c>
      <c r="G5090" s="175">
        <f>SUM(C5090,C5066,C5042,C5018,C4994,C4970,C4946,C4922,C4898,C4874,C4850,C4826,C4802,C4778)/POBLA!$B$1*100000</f>
        <v>387.85390300437126</v>
      </c>
      <c r="H5090" s="300">
        <f t="shared" si="609"/>
        <v>0.88499512195121954</v>
      </c>
      <c r="I5090" s="301">
        <f>G5090*H5090</f>
        <v>343.24881218861003</v>
      </c>
      <c r="J5090" s="301">
        <f>AVERAGE(C5090,C5066,C5042,C5018,C4994,C4970,C4946)</f>
        <v>4892.7142857142853</v>
      </c>
      <c r="K5090" s="301">
        <f>J5090/POBLA!$B$1*100000</f>
        <v>27.892793779573889</v>
      </c>
      <c r="L5090" s="548">
        <f t="shared" si="610"/>
        <v>-1.3733905579399242E-2</v>
      </c>
      <c r="M5090" s="400">
        <f>SUM(C5090,C5066,C5042,C5018,C4994,C4970,C4946)/POBLA!$B$1*100000</f>
        <v>195.24955645701726</v>
      </c>
    </row>
    <row r="5091" spans="1:13" s="360" customFormat="1" x14ac:dyDescent="0.25">
      <c r="A5091" s="367" t="s">
        <v>43</v>
      </c>
      <c r="B5091" s="267">
        <v>44105</v>
      </c>
      <c r="C5091" s="1">
        <v>924</v>
      </c>
      <c r="D5091" s="39">
        <f t="shared" ref="D5091:D5103" si="613">C5091+D5067</f>
        <v>126890</v>
      </c>
      <c r="E5091" s="1">
        <v>95</v>
      </c>
      <c r="F5091" s="409">
        <f t="shared" si="612"/>
        <v>3502</v>
      </c>
      <c r="G5091" s="168">
        <f>SUM(C5091,C5067,C5043,C5019,C4995,C4971,C4947,C4923,C4899,C4875,C4851,C4827,C4803,C4779)/POBLA!$B$2*100000</f>
        <v>392.27531386902132</v>
      </c>
      <c r="H5091" s="256">
        <f t="shared" si="609"/>
        <v>0.80065034176123162</v>
      </c>
      <c r="I5091" s="297">
        <f t="shared" ref="I5091:I5113" si="614">G5091*H5091</f>
        <v>314.07536411372632</v>
      </c>
      <c r="J5091" s="297">
        <f t="shared" ref="J5091:J5113" si="615">AVERAGE(C5091,C5067,C5043,C5019,C4995,C4971,C4947)</f>
        <v>867.57142857142856</v>
      </c>
      <c r="K5091" s="297">
        <f>J5091/POBLA!$B$2*100000</f>
        <v>28.2077790672733</v>
      </c>
      <c r="L5091" s="549">
        <f t="shared" si="610"/>
        <v>-1.3518024032042719E-2</v>
      </c>
      <c r="M5091" s="401">
        <f>SUM(C5091,C5067,C5043,C5019,C4995,C4971,C4947)/POBLA!$B$2*100000</f>
        <v>197.45445347091311</v>
      </c>
    </row>
    <row r="5092" spans="1:13" s="360" customFormat="1" x14ac:dyDescent="0.25">
      <c r="A5092" s="367" t="s">
        <v>28</v>
      </c>
      <c r="B5092" s="267">
        <v>44105</v>
      </c>
      <c r="C5092" s="1">
        <v>5</v>
      </c>
      <c r="D5092" s="39">
        <f t="shared" si="613"/>
        <v>292</v>
      </c>
      <c r="E5092" s="1"/>
      <c r="F5092" s="409">
        <f t="shared" si="612"/>
        <v>0</v>
      </c>
      <c r="G5092" s="168">
        <f>SUM(C5092,C5068,C5044,C5020,C4996,C4972,C4948,C4924,C4900,C4876,C4852,C4828,C4804,C4780)/POBLA!$B$3*100000</f>
        <v>27.681627583417981</v>
      </c>
      <c r="H5092" s="256">
        <f t="shared" si="609"/>
        <v>1.0747663551401869</v>
      </c>
      <c r="I5092" s="297">
        <f t="shared" si="614"/>
        <v>29.751281982178206</v>
      </c>
      <c r="J5092" s="297">
        <f t="shared" si="615"/>
        <v>13.857142857142858</v>
      </c>
      <c r="K5092" s="297">
        <f>J5092/POBLA!$B$3*100000</f>
        <v>3.335550156014341</v>
      </c>
      <c r="L5092" s="549">
        <f t="shared" si="610"/>
        <v>-4.3888888888888893</v>
      </c>
      <c r="M5092" s="401">
        <f>SUM(C5092,C5068,C5044,C5020,C4996,C4972,C4948)/POBLA!$B$3*100000</f>
        <v>23.348851092100386</v>
      </c>
    </row>
    <row r="5093" spans="1:13" s="360" customFormat="1" x14ac:dyDescent="0.25">
      <c r="A5093" s="367" t="s">
        <v>15</v>
      </c>
      <c r="B5093" s="267">
        <v>44105</v>
      </c>
      <c r="C5093" s="1">
        <v>200</v>
      </c>
      <c r="D5093" s="39">
        <f t="shared" si="613"/>
        <v>8743</v>
      </c>
      <c r="E5093" s="1">
        <v>4</v>
      </c>
      <c r="F5093" s="409">
        <f t="shared" si="612"/>
        <v>289</v>
      </c>
      <c r="G5093" s="168">
        <f>SUM(C5093,C5069,C5045,C5021,C4997,C4973,C4949,C4925,C4901,C4877,C4853,C4829,C4805,C4781)/POBLA!$B$4*100000</f>
        <v>135.65333185005741</v>
      </c>
      <c r="H5093" s="256">
        <f t="shared" si="609"/>
        <v>1.1450595655220743</v>
      </c>
      <c r="I5093" s="297">
        <f t="shared" si="614"/>
        <v>155.33114522984852</v>
      </c>
      <c r="J5093" s="297">
        <f t="shared" si="615"/>
        <v>136.57142857142858</v>
      </c>
      <c r="K5093" s="297">
        <f>J5093/POBLA!$B$4*100000</f>
        <v>11.338047320218124</v>
      </c>
      <c r="L5093" s="549">
        <f t="shared" si="610"/>
        <v>-0.41002949852507364</v>
      </c>
      <c r="M5093" s="401">
        <f>SUM(C5093,C5069,C5045,C5021,C4997,C4973,C4949)/POBLA!$B$4*100000</f>
        <v>79.366331241526851</v>
      </c>
    </row>
    <row r="5094" spans="1:13" s="360" customFormat="1" x14ac:dyDescent="0.25">
      <c r="A5094" s="367" t="s">
        <v>29</v>
      </c>
      <c r="B5094" s="267">
        <v>44105</v>
      </c>
      <c r="C5094" s="1">
        <v>188</v>
      </c>
      <c r="D5094" s="39">
        <f t="shared" si="613"/>
        <v>4143</v>
      </c>
      <c r="E5094" s="1">
        <v>6</v>
      </c>
      <c r="F5094" s="409">
        <f t="shared" si="612"/>
        <v>56</v>
      </c>
      <c r="G5094" s="168">
        <f>SUM(C5094,C5070,C5046,C5022,C4998,C4974,C4950,C4926,C4902,C4878,C4854,C4830,C4806,C4782)/POBLA!$B$5*100000</f>
        <v>339.09860192505909</v>
      </c>
      <c r="H5094" s="256">
        <f t="shared" si="609"/>
        <v>2.1374745417515273</v>
      </c>
      <c r="I5094" s="297">
        <f t="shared" si="614"/>
        <v>724.81462875834927</v>
      </c>
      <c r="J5094" s="297">
        <f t="shared" si="615"/>
        <v>174.71428571428572</v>
      </c>
      <c r="K5094" s="297">
        <f>J5094/POBLA!$B$5*100000</f>
        <v>28.225521687493856</v>
      </c>
      <c r="L5094" s="549">
        <f t="shared" si="610"/>
        <v>-0.39611872146118721</v>
      </c>
      <c r="M5094" s="401">
        <f>SUM(C5094,C5070,C5046,C5022,C4998,C4974,C4950)/POBLA!$B$5*100000</f>
        <v>197.578651812457</v>
      </c>
    </row>
    <row r="5095" spans="1:13" s="360" customFormat="1" x14ac:dyDescent="0.25">
      <c r="A5095" s="367" t="s">
        <v>20</v>
      </c>
      <c r="B5095" s="267">
        <v>44105</v>
      </c>
      <c r="C5095" s="1">
        <v>1966</v>
      </c>
      <c r="D5095" s="39">
        <f t="shared" si="613"/>
        <v>36169</v>
      </c>
      <c r="E5095" s="1">
        <v>17</v>
      </c>
      <c r="F5095" s="409">
        <f t="shared" si="612"/>
        <v>414</v>
      </c>
      <c r="G5095" s="168">
        <f>SUM(C5095,C5071,C5047,C5023,C4999,C4975,C4951,C4927,C4903,C4879,C4855,C4831,C4807,C4783)/POBLA!$B$6*100000</f>
        <v>1697.714402467521</v>
      </c>
      <c r="H5095" s="256">
        <f t="shared" si="609"/>
        <v>2.6072896684023021</v>
      </c>
      <c r="I5095" s="297">
        <f t="shared" si="614"/>
        <v>4426.4332214513552</v>
      </c>
      <c r="J5095" s="297">
        <f t="shared" si="615"/>
        <v>1711.1428571428571</v>
      </c>
      <c r="K5095" s="297">
        <f>J5095/POBLA!$B$6*100000</f>
        <v>152.67142491333047</v>
      </c>
      <c r="L5095" s="549">
        <f t="shared" si="610"/>
        <v>-0.69900709219858159</v>
      </c>
      <c r="M5095" s="401">
        <f>SUM(C5095,C5071,C5047,C5023,C4999,C4975,C4951)/POBLA!$B$6*100000</f>
        <v>1068.6999743933134</v>
      </c>
    </row>
    <row r="5096" spans="1:13" s="360" customFormat="1" x14ac:dyDescent="0.25">
      <c r="A5096" s="367" t="s">
        <v>30</v>
      </c>
      <c r="B5096" s="267">
        <v>44105</v>
      </c>
      <c r="C5096" s="1">
        <v>7</v>
      </c>
      <c r="D5096" s="39">
        <f t="shared" si="613"/>
        <v>1100</v>
      </c>
      <c r="E5096" s="1"/>
      <c r="F5096" s="409">
        <f t="shared" si="612"/>
        <v>22</v>
      </c>
      <c r="G5096" s="168">
        <f>SUM(C5096,C5072,C5048,C5024,C5000,C4976,C4952,C4928,C4904,C4880,C4856,C4832,C4808,C4784)/POBLA!$B$7*100000</f>
        <v>6.1694743980108759</v>
      </c>
      <c r="H5096" s="256">
        <f t="shared" si="609"/>
        <v>0.43122676579925651</v>
      </c>
      <c r="I5096" s="297">
        <f t="shared" si="614"/>
        <v>2.6604424913355449</v>
      </c>
      <c r="J5096" s="297">
        <f t="shared" si="615"/>
        <v>12.857142857142858</v>
      </c>
      <c r="K5096" s="297">
        <f>J5096/POBLA!$B$7*100000</f>
        <v>0.34190436934789342</v>
      </c>
      <c r="L5096" s="549">
        <f t="shared" si="610"/>
        <v>0.36619718309859151</v>
      </c>
      <c r="M5096" s="401">
        <f>SUM(C5096,C5072,C5048,C5024,C5000,C4976,C4952)/POBLA!$B$7*100000</f>
        <v>2.3933305854352538</v>
      </c>
    </row>
    <row r="5097" spans="1:13" x14ac:dyDescent="0.25">
      <c r="A5097" s="367" t="s">
        <v>31</v>
      </c>
      <c r="B5097" s="267">
        <v>44105</v>
      </c>
      <c r="C5097" s="1">
        <v>186</v>
      </c>
      <c r="D5097" s="39">
        <f t="shared" si="613"/>
        <v>7669</v>
      </c>
      <c r="F5097" s="409">
        <f t="shared" si="612"/>
        <v>140</v>
      </c>
      <c r="G5097" s="168">
        <f>SUM(C5097,C5073,C5049,C5025,C5001,C4977,C4953,C4929,C4905,C4881,C4857,C4833,C4809,C4785)/POBLA!$B$8*100000</f>
        <v>136.72823405564802</v>
      </c>
      <c r="H5097" s="256">
        <f t="shared" si="609"/>
        <v>1.0372194854953476</v>
      </c>
      <c r="I5097" s="297">
        <f t="shared" si="614"/>
        <v>141.8171885798867</v>
      </c>
      <c r="J5097" s="297">
        <f t="shared" si="615"/>
        <v>146.28571428571428</v>
      </c>
      <c r="K5097" s="297">
        <f>J5097/POBLA!$B$8*100000</f>
        <v>10.554821837390394</v>
      </c>
      <c r="L5097" s="549">
        <f t="shared" si="610"/>
        <v>-0.17566016073478763</v>
      </c>
      <c r="M5097" s="401">
        <f>SUM(C5097,C5073,C5049,C5025,C5001,C4977,C4953)/POBLA!$B$8*100000</f>
        <v>73.883752861732759</v>
      </c>
    </row>
    <row r="5098" spans="1:13" s="360" customFormat="1" x14ac:dyDescent="0.25">
      <c r="A5098" s="367" t="s">
        <v>41</v>
      </c>
      <c r="B5098" s="267">
        <v>44105</v>
      </c>
      <c r="C5098" s="1">
        <v>0</v>
      </c>
      <c r="D5098" s="39">
        <f t="shared" si="613"/>
        <v>104</v>
      </c>
      <c r="E5098" s="1"/>
      <c r="F5098" s="409">
        <f t="shared" si="612"/>
        <v>1</v>
      </c>
      <c r="G5098" s="168">
        <f>SUM(C5098,C5074,C5050,C5026,C5002,C4978,C4954,C4930,C4906,C4882,C4858,C4834,C4810,C4786)/POBLA!$B$9*100000</f>
        <v>1.8176019881261019</v>
      </c>
      <c r="H5098" s="256">
        <f t="shared" si="609"/>
        <v>2.2000000000000002</v>
      </c>
      <c r="I5098" s="297">
        <f t="shared" si="614"/>
        <v>3.9987243738774243</v>
      </c>
      <c r="J5098" s="297">
        <f t="shared" si="615"/>
        <v>0.2857142857142857</v>
      </c>
      <c r="K5098" s="297">
        <f>J5098/POBLA!$B$9*100000</f>
        <v>4.7210441250028622E-2</v>
      </c>
      <c r="L5098" s="549">
        <f t="shared" si="610"/>
        <v>0.77777777777777779</v>
      </c>
      <c r="M5098" s="401">
        <f>SUM(C5098,C5074,C5050,C5026,C5002,C4978,C4954)/POBLA!$B$9*100000</f>
        <v>0.33047308875020037</v>
      </c>
    </row>
    <row r="5099" spans="1:13" s="360" customFormat="1" x14ac:dyDescent="0.25">
      <c r="A5099" s="367" t="s">
        <v>32</v>
      </c>
      <c r="B5099" s="267">
        <v>44105</v>
      </c>
      <c r="C5099" s="1">
        <v>175</v>
      </c>
      <c r="D5099" s="39">
        <f t="shared" si="613"/>
        <v>15845</v>
      </c>
      <c r="E5099" s="1">
        <v>16</v>
      </c>
      <c r="F5099" s="409">
        <f t="shared" si="612"/>
        <v>520</v>
      </c>
      <c r="G5099" s="168">
        <f>SUM(C5099,C5075,C5051,C5027,C5003,C4979,C4955,C4931,C4907,C4883,C4859,C4835,C4811,C4787)/POBLA!$B$10*100000</f>
        <v>324.43399175748266</v>
      </c>
      <c r="H5099" s="256">
        <f t="shared" si="609"/>
        <v>0.60600920765689359</v>
      </c>
      <c r="I5099" s="297">
        <f t="shared" si="614"/>
        <v>196.60998628191521</v>
      </c>
      <c r="J5099" s="297">
        <f t="shared" si="615"/>
        <v>148.85714285714286</v>
      </c>
      <c r="K5099" s="297">
        <f>J5099/POBLA!$B$10*100000</f>
        <v>19.310002822373736</v>
      </c>
      <c r="L5099" s="549">
        <f t="shared" si="610"/>
        <v>0.2858122001370802</v>
      </c>
      <c r="M5099" s="401">
        <f>SUM(C5099,C5075,C5051,C5027,C5003,C4979,C4955)/POBLA!$B$10*100000</f>
        <v>135.17001975661614</v>
      </c>
    </row>
    <row r="5100" spans="1:13" s="360" customFormat="1" x14ac:dyDescent="0.25">
      <c r="A5100" s="367" t="s">
        <v>33</v>
      </c>
      <c r="B5100" s="267">
        <v>44105</v>
      </c>
      <c r="C5100" s="1">
        <v>28</v>
      </c>
      <c r="D5100" s="39">
        <f t="shared" si="613"/>
        <v>791</v>
      </c>
      <c r="E5100" s="1"/>
      <c r="F5100" s="409">
        <f t="shared" ref="F5100:F5111" si="616">E5100+F5076</f>
        <v>7</v>
      </c>
      <c r="G5100" s="168">
        <f>SUM(C5100,C5076,C5052,C5028,C5004,C4980,C4956,C4932,C4908,C4884,C4860,C4836,C4812,C4788)/POBLA!$B$11*100000</f>
        <v>75.607932415994284</v>
      </c>
      <c r="H5100" s="256">
        <f t="shared" si="609"/>
        <v>0.8856209150326797</v>
      </c>
      <c r="I5100" s="297">
        <f t="shared" si="614"/>
        <v>66.959966289981864</v>
      </c>
      <c r="J5100" s="297">
        <f t="shared" si="615"/>
        <v>19.142857142857142</v>
      </c>
      <c r="K5100" s="297">
        <f>J5100/POBLA!$B$11*100000</f>
        <v>5.340781731019101</v>
      </c>
      <c r="L5100" s="549">
        <f t="shared" si="610"/>
        <v>2.1897810218978075E-2</v>
      </c>
      <c r="M5100" s="401">
        <f>SUM(C5100,C5076,C5052,C5028,C5004,C4980,C4956)/POBLA!$B$11*100000</f>
        <v>37.385472117133709</v>
      </c>
    </row>
    <row r="5101" spans="1:13" s="360" customFormat="1" x14ac:dyDescent="0.25">
      <c r="A5101" s="367" t="s">
        <v>21</v>
      </c>
      <c r="B5101" s="267">
        <v>44105</v>
      </c>
      <c r="C5101" s="1">
        <v>22</v>
      </c>
      <c r="D5101" s="39">
        <f t="shared" si="613"/>
        <v>4850</v>
      </c>
      <c r="E5101" s="1">
        <v>4</v>
      </c>
      <c r="F5101" s="409">
        <f t="shared" si="616"/>
        <v>105</v>
      </c>
      <c r="G5101" s="168">
        <f>SUM(C5101,C5077,C5053,C5029,C5005,C4981,C4957,C4933,C4909,C4885,C4861,C4837,C4813,C4789)/POBLA!$B$12*100000</f>
        <v>406.06712050638959</v>
      </c>
      <c r="H5101" s="256">
        <f t="shared" si="609"/>
        <v>1.0915300546448088</v>
      </c>
      <c r="I5101" s="297">
        <f t="shared" si="614"/>
        <v>443.23446623579957</v>
      </c>
      <c r="J5101" s="297">
        <f t="shared" si="615"/>
        <v>68.857142857142861</v>
      </c>
      <c r="K5101" s="297">
        <f>J5101/POBLA!$B$12*100000</f>
        <v>17.497260154128359</v>
      </c>
      <c r="L5101" s="549">
        <f t="shared" si="610"/>
        <v>0.56810035842293904</v>
      </c>
      <c r="M5101" s="401">
        <f>SUM(C5101,C5077,C5053,C5029,C5005,C4981,C4957)/POBLA!$B$12*100000</f>
        <v>122.48082107889847</v>
      </c>
    </row>
    <row r="5102" spans="1:13" s="360" customFormat="1" x14ac:dyDescent="0.25">
      <c r="A5102" s="367" t="s">
        <v>17</v>
      </c>
      <c r="B5102" s="267">
        <v>44105</v>
      </c>
      <c r="C5102" s="1">
        <v>799</v>
      </c>
      <c r="D5102" s="39">
        <f t="shared" si="613"/>
        <v>25848</v>
      </c>
      <c r="E5102" s="1">
        <v>7</v>
      </c>
      <c r="F5102" s="409">
        <f t="shared" si="616"/>
        <v>274</v>
      </c>
      <c r="G5102" s="168">
        <f>SUM(C5102,C5078,C5054,C5030,C5006,C4982,C4958,C4934,C4910,C4886,C4862,C4838,C4814,C4790)/POBLA!$B$13*100000</f>
        <v>444.09542499816615</v>
      </c>
      <c r="H5102" s="256">
        <f t="shared" si="609"/>
        <v>0.99751721024715045</v>
      </c>
      <c r="I5102" s="297">
        <f t="shared" si="614"/>
        <v>442.99282942769332</v>
      </c>
      <c r="J5102" s="297">
        <f t="shared" si="615"/>
        <v>684.14285714285711</v>
      </c>
      <c r="K5102" s="297">
        <f>J5102/POBLA!$B$13*100000</f>
        <v>34.373199785305665</v>
      </c>
      <c r="L5102" s="549">
        <f t="shared" si="610"/>
        <v>-0.18246913580246904</v>
      </c>
      <c r="M5102" s="401">
        <f>SUM(C5102,C5078,C5054,C5030,C5006,C4982,C4958)/POBLA!$B$13*100000</f>
        <v>240.61239849713971</v>
      </c>
    </row>
    <row r="5103" spans="1:13" s="360" customFormat="1" x14ac:dyDescent="0.25">
      <c r="A5103" s="367" t="s">
        <v>23</v>
      </c>
      <c r="B5103" s="267">
        <v>44105</v>
      </c>
      <c r="C5103" s="1">
        <v>-2</v>
      </c>
      <c r="D5103" s="39">
        <f t="shared" si="613"/>
        <v>94</v>
      </c>
      <c r="E5103" s="1"/>
      <c r="F5103" s="409">
        <f t="shared" si="616"/>
        <v>3</v>
      </c>
      <c r="G5103" s="168">
        <f>SUM(C5103,C5079,C5055,C5031,C5007,C4983,C4959,C4935,C4911,C4887,C4863,C4839,C4815,C4791)/POBLA!$B$14*100000</f>
        <v>2.2992260329471161</v>
      </c>
      <c r="H5103" s="256">
        <f t="shared" si="609"/>
        <v>29</v>
      </c>
      <c r="I5103" s="297">
        <f t="shared" si="614"/>
        <v>66.677554955466363</v>
      </c>
      <c r="J5103" s="297">
        <f t="shared" si="615"/>
        <v>1.2857142857142858</v>
      </c>
      <c r="K5103" s="297">
        <f>J5103/POBLA!$B$14*100000</f>
        <v>0.10193612953952733</v>
      </c>
      <c r="L5103" s="549">
        <f t="shared" si="610"/>
        <v>0.55000000000000004</v>
      </c>
      <c r="M5103" s="401">
        <f>SUM(C5103,C5079,C5055,C5031,C5007,C4983,C4959)/POBLA!$B$14*100000</f>
        <v>0.71355290677669125</v>
      </c>
    </row>
    <row r="5104" spans="1:13" s="360" customFormat="1" x14ac:dyDescent="0.25">
      <c r="A5104" s="367" t="s">
        <v>19</v>
      </c>
      <c r="B5104" s="267">
        <v>44105</v>
      </c>
      <c r="C5104" s="1">
        <v>186</v>
      </c>
      <c r="D5104" s="39">
        <f>C5104+D5080</f>
        <v>8079</v>
      </c>
      <c r="E5104" s="1">
        <v>1</v>
      </c>
      <c r="F5104" s="409">
        <f t="shared" si="616"/>
        <v>118</v>
      </c>
      <c r="G5104" s="168">
        <f>SUM(C5104,C5080,C5056,C5032,C5008,C4984,C4960,C4936,C4912,C4888,C4864,C4840,C4816,C4792)/POBLA!$B$15*100000</f>
        <v>378.43136959628464</v>
      </c>
      <c r="H5104" s="256">
        <f t="shared" si="609"/>
        <v>1.1591328413284132</v>
      </c>
      <c r="I5104" s="297">
        <f t="shared" si="614"/>
        <v>438.65222868794427</v>
      </c>
      <c r="J5104" s="297">
        <f t="shared" si="615"/>
        <v>172.71428571428572</v>
      </c>
      <c r="K5104" s="297">
        <f>J5104/POBLA!$B$15*100000</f>
        <v>26.008954911142524</v>
      </c>
      <c r="L5104" s="549">
        <f t="shared" si="610"/>
        <v>7.2852760736196287E-2</v>
      </c>
      <c r="M5104" s="401">
        <f>SUM(C5104,C5080,C5056,C5032,C5008,C4984,C4960)/POBLA!$B$15*100000</f>
        <v>182.06268437799767</v>
      </c>
    </row>
    <row r="5105" spans="1:13" s="360" customFormat="1" x14ac:dyDescent="0.25">
      <c r="A5105" s="367" t="s">
        <v>18</v>
      </c>
      <c r="B5105" s="267">
        <v>44105</v>
      </c>
      <c r="C5105" s="1">
        <v>287</v>
      </c>
      <c r="D5105" s="39">
        <f>C5105+D5081</f>
        <v>13126</v>
      </c>
      <c r="E5105" s="1">
        <v>9</v>
      </c>
      <c r="F5105" s="409">
        <f t="shared" si="616"/>
        <v>299</v>
      </c>
      <c r="G5105" s="168">
        <f>SUM(C5105,C5081,C5057,C5033,C5009,C4985,C4961,C4937,C4913,C4889,C4865,C4841,C4817,C4793)/POBLA!$B$16*100000</f>
        <v>451.30482470806976</v>
      </c>
      <c r="H5105" s="256">
        <f t="shared" si="609"/>
        <v>1.0394331484904498</v>
      </c>
      <c r="I5105" s="297">
        <f t="shared" si="614"/>
        <v>469.10119487523946</v>
      </c>
      <c r="J5105" s="297">
        <f t="shared" si="615"/>
        <v>268.28571428571428</v>
      </c>
      <c r="K5105" s="297">
        <f>J5105/POBLA!$B$16*100000</f>
        <v>35.885784605036619</v>
      </c>
      <c r="L5105" s="549">
        <f t="shared" si="610"/>
        <v>-0.25534759358288772</v>
      </c>
      <c r="M5105" s="401">
        <f>SUM(C5105,C5081,C5057,C5033,C5009,C4985,C4961)/POBLA!$B$16*100000</f>
        <v>251.20049223525638</v>
      </c>
    </row>
    <row r="5106" spans="1:13" s="360" customFormat="1" x14ac:dyDescent="0.25">
      <c r="A5106" s="367" t="s">
        <v>34</v>
      </c>
      <c r="B5106" s="267">
        <v>44105</v>
      </c>
      <c r="C5106" s="1">
        <v>359</v>
      </c>
      <c r="D5106" s="39">
        <f>C5106+D5082</f>
        <v>12774</v>
      </c>
      <c r="E5106" s="1">
        <v>11</v>
      </c>
      <c r="F5106" s="409">
        <f>E5106+F5082</f>
        <v>349</v>
      </c>
      <c r="G5106" s="168">
        <f>SUM(C5106,C5082,C5058,C5034,C5010,C4986,C4962,C4938,C4914,C4890,C4866,C4842,C4818,C4794)/POBLA!$B$17*100000</f>
        <v>332.28095818792093</v>
      </c>
      <c r="H5106" s="256">
        <f t="shared" si="609"/>
        <v>1.1507415511791879</v>
      </c>
      <c r="I5106" s="297">
        <f t="shared" si="614"/>
        <v>382.36950525247499</v>
      </c>
      <c r="J5106" s="297">
        <f t="shared" si="615"/>
        <v>327.28571428571428</v>
      </c>
      <c r="K5106" s="297">
        <f>J5106/POBLA!$B$17*100000</f>
        <v>22.977141505192321</v>
      </c>
      <c r="L5106" s="549">
        <f t="shared" si="610"/>
        <v>6.1834561834561819E-2</v>
      </c>
      <c r="M5106" s="401">
        <f>SUM(C5106,C5082,C5058,C5034,C5010,C4986,C4962)/POBLA!$B$17*100000</f>
        <v>160.83999053634625</v>
      </c>
    </row>
    <row r="5107" spans="1:13" s="360" customFormat="1" x14ac:dyDescent="0.25">
      <c r="A5107" s="367" t="s">
        <v>35</v>
      </c>
      <c r="B5107" s="267">
        <v>44105</v>
      </c>
      <c r="C5107" s="1">
        <v>34</v>
      </c>
      <c r="D5107" s="39">
        <f t="shared" ref="D5107:D5113" si="617">C5107+D5083</f>
        <v>751</v>
      </c>
      <c r="E5107" s="1">
        <v>1</v>
      </c>
      <c r="F5107" s="409">
        <f>E5107+F5083</f>
        <v>36</v>
      </c>
      <c r="G5107" s="168">
        <f>SUM(C5107,C5083,C5059,C5035,C5011,C4987,C4963,C4939,C4915,C4891,C4867,C4843,C4819,C4795)/POBLA!$B$18*100000</f>
        <v>38.785638305362021</v>
      </c>
      <c r="H5107" s="256">
        <f t="shared" si="609"/>
        <v>2.5462184873949578</v>
      </c>
      <c r="I5107" s="297">
        <f t="shared" si="614"/>
        <v>98.756709298526815</v>
      </c>
      <c r="J5107" s="297">
        <f t="shared" si="615"/>
        <v>29</v>
      </c>
      <c r="K5107" s="297">
        <f>J5107/POBLA!$B$18*100000</f>
        <v>3.7121568015032955</v>
      </c>
      <c r="L5107" s="549">
        <f t="shared" si="610"/>
        <v>-1.0299999999999998</v>
      </c>
      <c r="M5107" s="401">
        <f>SUM(C5107,C5083,C5059,C5035,C5011,C4987,C4963)/POBLA!$B$18*100000</f>
        <v>25.985097610523066</v>
      </c>
    </row>
    <row r="5108" spans="1:13" s="360" customFormat="1" x14ac:dyDescent="0.25">
      <c r="A5108" s="367" t="s">
        <v>36</v>
      </c>
      <c r="B5108" s="267">
        <v>44105</v>
      </c>
      <c r="C5108" s="1">
        <v>93</v>
      </c>
      <c r="D5108" s="39">
        <f t="shared" si="617"/>
        <v>1565</v>
      </c>
      <c r="E5108" s="1">
        <v>1</v>
      </c>
      <c r="F5108" s="409">
        <f t="shared" si="616"/>
        <v>7</v>
      </c>
      <c r="G5108" s="168">
        <f>SUM(C5108,C5084,C5060,C5036,C5012,C4988,C4964,C4940,C4916,C4892,C4868,C4844,C4820,C4796)/POBLA!$B$19*100000</f>
        <v>195.73975858107363</v>
      </c>
      <c r="H5108" s="256">
        <f t="shared" si="609"/>
        <v>2.6533333333333333</v>
      </c>
      <c r="I5108" s="297">
        <f t="shared" si="614"/>
        <v>519.36282610178205</v>
      </c>
      <c r="J5108" s="297">
        <f t="shared" si="615"/>
        <v>82</v>
      </c>
      <c r="K5108" s="297">
        <f>J5108/POBLA!$B$19*100000</f>
        <v>16.131316787585966</v>
      </c>
      <c r="L5108" s="549">
        <f t="shared" si="610"/>
        <v>-0.36342042755344428</v>
      </c>
      <c r="M5108" s="401">
        <f>SUM(C5108,C5084,C5060,C5036,C5012,C4988,C4964)/POBLA!$B$19*100000</f>
        <v>112.91921751310177</v>
      </c>
    </row>
    <row r="5109" spans="1:13" s="360" customFormat="1" x14ac:dyDescent="0.25">
      <c r="A5109" s="367" t="s">
        <v>37</v>
      </c>
      <c r="B5109" s="267">
        <v>44105</v>
      </c>
      <c r="C5109" s="1">
        <v>142</v>
      </c>
      <c r="D5109" s="39">
        <f t="shared" si="617"/>
        <v>4986</v>
      </c>
      <c r="E5109" s="1">
        <v>3</v>
      </c>
      <c r="F5109" s="409">
        <f>E5109+F5085</f>
        <v>65</v>
      </c>
      <c r="G5109" s="168">
        <f>SUM(C5109,C5085,C5061,C5037,C5013,C4989,C4965,C4941,C4917,C4893,C4869,C4845,C4821,C4797)/POBLA!$B$20*100000</f>
        <v>444.08227553883262</v>
      </c>
      <c r="H5109" s="256">
        <f t="shared" si="609"/>
        <v>1.1599999999999999</v>
      </c>
      <c r="I5109" s="297">
        <f t="shared" si="614"/>
        <v>515.13543962504582</v>
      </c>
      <c r="J5109" s="297">
        <f t="shared" si="615"/>
        <v>124.28571428571429</v>
      </c>
      <c r="K5109" s="297">
        <f>J5109/POBLA!$B$20*100000</f>
        <v>33.985888434094335</v>
      </c>
      <c r="L5109" s="549">
        <f t="shared" si="610"/>
        <v>-0.15384615384615374</v>
      </c>
      <c r="M5109" s="401">
        <f>SUM(C5109,C5085,C5061,C5037,C5013,C4989,C4965)/POBLA!$B$20*100000</f>
        <v>237.90121903866029</v>
      </c>
    </row>
    <row r="5110" spans="1:13" s="360" customFormat="1" x14ac:dyDescent="0.25">
      <c r="A5110" s="367" t="s">
        <v>22</v>
      </c>
      <c r="B5110" s="267">
        <v>44105</v>
      </c>
      <c r="C5110" s="1">
        <v>2073</v>
      </c>
      <c r="D5110" s="39">
        <f t="shared" si="617"/>
        <v>44471</v>
      </c>
      <c r="E5110" s="1">
        <v>21</v>
      </c>
      <c r="F5110" s="409">
        <f>E5110+F5086</f>
        <v>467</v>
      </c>
      <c r="G5110" s="168">
        <f>SUM(C5110,C5086,C5062,C5038,C5014,C4990,C4966,C4942,C4918,C4894,C4870,C4846,C4822,C4798)/POBLA!$B$21*100000</f>
        <v>606.17834203988332</v>
      </c>
      <c r="H5110" s="256">
        <f t="shared" si="609"/>
        <v>1.656518043427865</v>
      </c>
      <c r="I5110" s="297">
        <f t="shared" si="614"/>
        <v>1004.1453611242547</v>
      </c>
      <c r="J5110" s="297">
        <f t="shared" si="615"/>
        <v>1665.5714285714287</v>
      </c>
      <c r="K5110" s="297">
        <f>J5110/POBLA!$B$21*100000</f>
        <v>47.097696838196974</v>
      </c>
      <c r="L5110" s="549">
        <f t="shared" si="610"/>
        <v>-0.19237062794027415</v>
      </c>
      <c r="M5110" s="401">
        <f>SUM(C5110,C5086,C5062,C5038,C5014,C4990,C4966)/POBLA!$B$21*100000</f>
        <v>329.68387786737878</v>
      </c>
    </row>
    <row r="5111" spans="1:13" s="360" customFormat="1" x14ac:dyDescent="0.25">
      <c r="A5111" s="367" t="s">
        <v>38</v>
      </c>
      <c r="B5111" s="267">
        <v>44105</v>
      </c>
      <c r="C5111" s="1">
        <v>126</v>
      </c>
      <c r="D5111" s="39">
        <f t="shared" si="617"/>
        <v>3545</v>
      </c>
      <c r="E5111" s="1"/>
      <c r="F5111" s="409">
        <f t="shared" si="616"/>
        <v>62</v>
      </c>
      <c r="G5111" s="168">
        <f>SUM(C5111,C5087,C5063,C5039,C5015,C4991,C4967,C4943,C4919,C4895,C4871,C4847,C4823,C4799)/POBLA!$B$22*100000</f>
        <v>146.78328919272258</v>
      </c>
      <c r="H5111" s="256">
        <f t="shared" si="609"/>
        <v>1.4161735700197238</v>
      </c>
      <c r="I5111" s="297">
        <f t="shared" si="614"/>
        <v>207.87061467529546</v>
      </c>
      <c r="J5111" s="297">
        <f t="shared" si="615"/>
        <v>117.28571428571429</v>
      </c>
      <c r="K5111" s="297">
        <f>J5111/POBLA!$B$22*100000</f>
        <v>11.988567491765345</v>
      </c>
      <c r="L5111" s="549">
        <f t="shared" si="610"/>
        <v>-0.33495934959349594</v>
      </c>
      <c r="M5111" s="401">
        <f>SUM(C5111,C5087,C5063,C5039,C5015,C4991,C4967)/POBLA!$B$22*100000</f>
        <v>83.919972442357405</v>
      </c>
    </row>
    <row r="5112" spans="1:13" s="360" customFormat="1" x14ac:dyDescent="0.25">
      <c r="A5112" s="367" t="s">
        <v>39</v>
      </c>
      <c r="B5112" s="267">
        <v>44105</v>
      </c>
      <c r="C5112" s="1">
        <v>164</v>
      </c>
      <c r="D5112" s="39">
        <f t="shared" si="617"/>
        <v>4527</v>
      </c>
      <c r="E5112" s="1"/>
      <c r="F5112" s="409">
        <f t="shared" ref="F5112:F5123" si="618">E5112+F5088</f>
        <v>67</v>
      </c>
      <c r="G5112" s="168">
        <f>SUM(C5112,C5088,C5064,C5040,C5016,C4992,C4968,C4944,C4920,C4896,C4872,C4848,C4824,C4800)/POBLA!$B$23*100000</f>
        <v>891.81699937793371</v>
      </c>
      <c r="H5112" s="256">
        <f t="shared" si="609"/>
        <v>2.1994421199442118</v>
      </c>
      <c r="I5112" s="297">
        <f t="shared" si="614"/>
        <v>1961.4998717140884</v>
      </c>
      <c r="J5112" s="297">
        <f t="shared" si="615"/>
        <v>146.28571428571428</v>
      </c>
      <c r="K5112" s="297">
        <f>J5112/POBLA!$B$23*100000</f>
        <v>82.726751278467603</v>
      </c>
      <c r="L5112" s="549">
        <f t="shared" si="610"/>
        <v>-0.85171790235081368</v>
      </c>
      <c r="M5112" s="401">
        <f>SUM(C5112,C5088,C5064,C5040,C5016,C4992,C4968)/POBLA!$B$23*100000</f>
        <v>579.08725894927329</v>
      </c>
    </row>
    <row r="5113" spans="1:13" s="360" customFormat="1" ht="15.75" thickBot="1" x14ac:dyDescent="0.3">
      <c r="A5113" s="369" t="s">
        <v>40</v>
      </c>
      <c r="B5113" s="269">
        <v>44105</v>
      </c>
      <c r="C5113" s="44">
        <v>632</v>
      </c>
      <c r="D5113" s="176">
        <f t="shared" si="617"/>
        <v>15546</v>
      </c>
      <c r="E5113" s="44"/>
      <c r="F5113" s="476">
        <f t="shared" si="618"/>
        <v>132</v>
      </c>
      <c r="G5113" s="177">
        <f>SUM(C5113,C5089,C5065,C5041,C5017,C4993,C4969,C4945,C4921,C4897,C4873,C4849,C4825,C4801)/POBLA!$B$24*100000</f>
        <v>409.28660447902109</v>
      </c>
      <c r="H5113" s="402">
        <f t="shared" si="609"/>
        <v>1.2531165311653116</v>
      </c>
      <c r="I5113" s="403">
        <f t="shared" si="614"/>
        <v>512.88381005717986</v>
      </c>
      <c r="J5113" s="403">
        <f t="shared" si="615"/>
        <v>578.42857142857144</v>
      </c>
      <c r="K5113" s="403">
        <f>J5113/POBLA!$B$24*100000</f>
        <v>34.132506622498695</v>
      </c>
      <c r="L5113" s="550">
        <f t="shared" si="610"/>
        <v>-0.40249393834430203</v>
      </c>
      <c r="M5113" s="405">
        <f>SUM(C5113,C5089,C5065,C5041,C5017,C4993,C4969)/POBLA!$B$24*100000</f>
        <v>238.92754635749083</v>
      </c>
    </row>
    <row r="5114" spans="1:13" s="360" customFormat="1" ht="15.75" thickBot="1" x14ac:dyDescent="0.3">
      <c r="A5114" s="363" t="s">
        <v>16</v>
      </c>
      <c r="B5114" s="269">
        <v>44106</v>
      </c>
      <c r="C5114" s="225">
        <v>5695</v>
      </c>
      <c r="D5114" s="174">
        <f>C5114+D5090</f>
        <v>428779</v>
      </c>
      <c r="E5114" s="225">
        <v>149</v>
      </c>
      <c r="F5114" s="475">
        <f t="shared" si="618"/>
        <v>13263</v>
      </c>
      <c r="G5114" s="175">
        <f>SUM(C5114,C5090,C5066,C5042,C5018,C4994,C4970,C4946,C4922,C4898,C4874,C4850,C4826,C4802)/POBLA!$B$1*100000</f>
        <v>387.77979151983328</v>
      </c>
      <c r="H5114" s="300">
        <f t="shared" ref="H5114:H5177" si="619">SUM(C5114,C5090,C5066,C5042,C5018,C4994,C4970,C4946,C4922,C4898,C4874,C4850,C4826,C4802)/SUM(C4778,C4754,C4730,C4706,C4682,C4658,C4634,C4610,C4586,C4562,C4538,C4514,C4490,C4466)</f>
        <v>0.88452685920859286</v>
      </c>
      <c r="I5114" s="301">
        <f>G5114*H5114</f>
        <v>343.00164105760109</v>
      </c>
      <c r="J5114" s="301">
        <f>AVERAGE(C5114,C5090,C5066,C5042,C5018,C4994,C4970)</f>
        <v>4906.2857142857147</v>
      </c>
      <c r="K5114" s="301">
        <f>J5114/POBLA!$B$1*100000</f>
        <v>27.97016291178387</v>
      </c>
      <c r="L5114" s="548">
        <f t="shared" ref="L5114:L5177" si="620">1-SUM(C5114,C5090,C5066,C5042,C5018,C4994,C4970)/SUM(C4946,C4922,C4898,C4874,C4850,C4826,C4802)</f>
        <v>-1.9805802179529097E-2</v>
      </c>
      <c r="M5114" s="400">
        <f>SUM(C5114,C5090,C5066,C5042,C5018,C4994,C4970)/POBLA!$B$1*100000</f>
        <v>195.79114038248707</v>
      </c>
    </row>
    <row r="5115" spans="1:13" s="360" customFormat="1" ht="15.75" thickBot="1" x14ac:dyDescent="0.3">
      <c r="A5115" s="367" t="s">
        <v>43</v>
      </c>
      <c r="B5115" s="269">
        <v>44106</v>
      </c>
      <c r="C5115" s="1">
        <v>1050</v>
      </c>
      <c r="D5115" s="39">
        <f t="shared" ref="D5115:D5127" si="621">C5115+D5091</f>
        <v>127940</v>
      </c>
      <c r="E5115" s="1">
        <v>44</v>
      </c>
      <c r="F5115" s="409">
        <f t="shared" si="618"/>
        <v>3546</v>
      </c>
      <c r="G5115" s="168">
        <f>SUM(C5115,C5091,C5067,C5043,C5019,C4995,C4971,C4947,C4923,C4899,C4875,C4851,C4827,C4803)/POBLA!$B$2*100000</f>
        <v>391.62504397450158</v>
      </c>
      <c r="H5115" s="256">
        <f t="shared" si="619"/>
        <v>0.81051073279052555</v>
      </c>
      <c r="I5115" s="297">
        <f t="shared" ref="I5115:I5137" si="622">G5115*H5115</f>
        <v>317.41630137089504</v>
      </c>
      <c r="J5115" s="297">
        <f t="shared" ref="J5115:J5137" si="623">AVERAGE(C5115,C5091,C5067,C5043,C5019,C4995,C4971)</f>
        <v>885.28571428571433</v>
      </c>
      <c r="K5115" s="297">
        <f>J5115/POBLA!$B$2*100000</f>
        <v>28.783732402419343</v>
      </c>
      <c r="L5115" s="549">
        <f t="shared" si="620"/>
        <v>-5.9678522571819492E-2</v>
      </c>
      <c r="M5115" s="401">
        <f>SUM(C5115,C5091,C5067,C5043,C5019,C4995,C4971)/POBLA!$B$2*100000</f>
        <v>201.48612681693535</v>
      </c>
    </row>
    <row r="5116" spans="1:13" s="360" customFormat="1" ht="15.75" thickBot="1" x14ac:dyDescent="0.3">
      <c r="A5116" s="367" t="s">
        <v>28</v>
      </c>
      <c r="B5116" s="269">
        <v>44106</v>
      </c>
      <c r="C5116" s="1">
        <v>7</v>
      </c>
      <c r="D5116" s="39">
        <f t="shared" si="621"/>
        <v>299</v>
      </c>
      <c r="E5116" s="1"/>
      <c r="F5116" s="409">
        <f t="shared" si="618"/>
        <v>0</v>
      </c>
      <c r="G5116" s="168">
        <f>SUM(C5116,C5092,C5068,C5044,C5020,C4996,C4972,C4948,C4924,C4900,C4876,C4852,C4828,C4804)/POBLA!$B$3*100000</f>
        <v>27.922337388491183</v>
      </c>
      <c r="H5116" s="256">
        <f t="shared" si="619"/>
        <v>1.0357142857142858</v>
      </c>
      <c r="I5116" s="297">
        <f t="shared" si="622"/>
        <v>28.919563723794443</v>
      </c>
      <c r="J5116" s="297">
        <f t="shared" si="623"/>
        <v>14</v>
      </c>
      <c r="K5116" s="297">
        <f>J5116/POBLA!$B$3*100000</f>
        <v>3.3699372710247975</v>
      </c>
      <c r="L5116" s="549">
        <f t="shared" si="620"/>
        <v>-4.4444444444444446</v>
      </c>
      <c r="M5116" s="401">
        <f>SUM(C5116,C5092,C5068,C5044,C5020,C4996,C4972)/POBLA!$B$3*100000</f>
        <v>23.589560897173584</v>
      </c>
    </row>
    <row r="5117" spans="1:13" s="360" customFormat="1" ht="15.75" thickBot="1" x14ac:dyDescent="0.3">
      <c r="A5117" s="367" t="s">
        <v>15</v>
      </c>
      <c r="B5117" s="269">
        <v>44106</v>
      </c>
      <c r="C5117" s="1">
        <v>200</v>
      </c>
      <c r="D5117" s="39">
        <f t="shared" si="621"/>
        <v>8943</v>
      </c>
      <c r="E5117" s="1">
        <v>8</v>
      </c>
      <c r="F5117" s="409">
        <f t="shared" si="618"/>
        <v>297</v>
      </c>
      <c r="G5117" s="168">
        <f>SUM(C5117,C5093,C5069,C5045,C5021,C4997,C4973,C4949,C4925,C4901,C4877,C4853,C4829,C4805)/POBLA!$B$4*100000</f>
        <v>143.62317264418564</v>
      </c>
      <c r="H5117" s="256">
        <f t="shared" si="619"/>
        <v>1.1997226074895977</v>
      </c>
      <c r="I5117" s="297">
        <f t="shared" si="622"/>
        <v>172.30796718061106</v>
      </c>
      <c r="J5117" s="297">
        <f t="shared" si="623"/>
        <v>148</v>
      </c>
      <c r="K5117" s="297">
        <f>J5117/POBLA!$B$4*100000</f>
        <v>12.286837890947673</v>
      </c>
      <c r="L5117" s="549">
        <f t="shared" si="620"/>
        <v>-0.49279538904899134</v>
      </c>
      <c r="M5117" s="401">
        <f>SUM(C5117,C5093,C5069,C5045,C5021,C4997,C4973)/POBLA!$B$4*100000</f>
        <v>86.007865236633705</v>
      </c>
    </row>
    <row r="5118" spans="1:13" s="360" customFormat="1" ht="15.75" thickBot="1" x14ac:dyDescent="0.3">
      <c r="A5118" s="367" t="s">
        <v>29</v>
      </c>
      <c r="B5118" s="269">
        <v>44106</v>
      </c>
      <c r="C5118" s="1">
        <v>214</v>
      </c>
      <c r="D5118" s="39">
        <f t="shared" si="621"/>
        <v>4357</v>
      </c>
      <c r="E5118" s="1">
        <v>2</v>
      </c>
      <c r="F5118" s="409">
        <f t="shared" si="618"/>
        <v>58</v>
      </c>
      <c r="G5118" s="168">
        <f>SUM(C5118,C5094,C5070,C5046,C5022,C4998,C4974,C4950,C4926,C4902,C4878,C4854,C4830,C4806)/POBLA!$B$5*100000</f>
        <v>364.62388973075667</v>
      </c>
      <c r="H5118" s="256">
        <f t="shared" si="619"/>
        <v>2.2592592592592591</v>
      </c>
      <c r="I5118" s="297">
        <f t="shared" si="622"/>
        <v>823.77989902133913</v>
      </c>
      <c r="J5118" s="297">
        <f t="shared" si="623"/>
        <v>175.71428571428572</v>
      </c>
      <c r="K5118" s="297">
        <f>J5118/POBLA!$B$5*100000</f>
        <v>28.387074141960298</v>
      </c>
      <c r="L5118" s="549">
        <f t="shared" si="620"/>
        <v>-0.19766309639727364</v>
      </c>
      <c r="M5118" s="401">
        <f>SUM(C5118,C5094,C5070,C5046,C5022,C4998,C4974)/POBLA!$B$5*100000</f>
        <v>198.70951899372207</v>
      </c>
    </row>
    <row r="5119" spans="1:13" s="360" customFormat="1" ht="15.75" thickBot="1" x14ac:dyDescent="0.3">
      <c r="A5119" s="367" t="s">
        <v>20</v>
      </c>
      <c r="B5119" s="269">
        <v>44106</v>
      </c>
      <c r="C5119" s="1">
        <v>1776</v>
      </c>
      <c r="D5119" s="39">
        <f t="shared" si="621"/>
        <v>37945</v>
      </c>
      <c r="E5119" s="1">
        <v>14</v>
      </c>
      <c r="F5119" s="409">
        <f t="shared" si="618"/>
        <v>428</v>
      </c>
      <c r="G5119" s="168">
        <f>SUM(C5119,C5095,C5071,C5047,C5023,C4999,C4975,C4951,C4927,C4903,C4879,C4855,C4831,C4807)/POBLA!$B$6*100000</f>
        <v>1792.2896214403804</v>
      </c>
      <c r="H5119" s="256">
        <f t="shared" si="619"/>
        <v>2.672698243746674</v>
      </c>
      <c r="I5119" s="297">
        <f t="shared" si="622"/>
        <v>4790.249323509096</v>
      </c>
      <c r="J5119" s="297">
        <f t="shared" si="623"/>
        <v>1739.8571428571429</v>
      </c>
      <c r="K5119" s="297">
        <f>J5119/POBLA!$B$6*100000</f>
        <v>155.23336817661144</v>
      </c>
      <c r="L5119" s="549">
        <f t="shared" si="620"/>
        <v>-0.53989126311796687</v>
      </c>
      <c r="M5119" s="401">
        <f>SUM(C5119,C5095,C5071,C5047,C5023,C4999,C4975)/POBLA!$B$6*100000</f>
        <v>1086.6335772362802</v>
      </c>
    </row>
    <row r="5120" spans="1:13" s="360" customFormat="1" ht="15.75" thickBot="1" x14ac:dyDescent="0.3">
      <c r="A5120" s="367" t="s">
        <v>30</v>
      </c>
      <c r="B5120" s="269">
        <v>44106</v>
      </c>
      <c r="C5120" s="1">
        <v>67</v>
      </c>
      <c r="D5120" s="39">
        <f t="shared" si="621"/>
        <v>1167</v>
      </c>
      <c r="E5120" s="1">
        <v>4</v>
      </c>
      <c r="F5120" s="409">
        <f t="shared" si="618"/>
        <v>26</v>
      </c>
      <c r="G5120" s="168">
        <f>SUM(C5120,C5096,C5072,C5048,C5024,C5000,C4976,C4952,C4928,C4904,C4880,C4856,C4832,C4808)/POBLA!$B$7*100000</f>
        <v>7.0204363839434105</v>
      </c>
      <c r="H5120" s="256">
        <f t="shared" si="619"/>
        <v>0.4631578947368421</v>
      </c>
      <c r="I5120" s="297">
        <f t="shared" si="622"/>
        <v>3.2515705357211586</v>
      </c>
      <c r="J5120" s="297">
        <f t="shared" si="623"/>
        <v>23.571428571428573</v>
      </c>
      <c r="K5120" s="297">
        <f>J5120/POBLA!$B$7*100000</f>
        <v>0.62682467713780454</v>
      </c>
      <c r="L5120" s="549">
        <f t="shared" si="620"/>
        <v>-0.66666666666666674</v>
      </c>
      <c r="M5120" s="401">
        <f>SUM(C5120,C5096,C5072,C5048,C5024,C5000,C4976)/POBLA!$B$7*100000</f>
        <v>4.3877727399646318</v>
      </c>
    </row>
    <row r="5121" spans="1:13" ht="15.75" thickBot="1" x14ac:dyDescent="0.3">
      <c r="A5121" s="367" t="s">
        <v>31</v>
      </c>
      <c r="B5121" s="269">
        <v>44106</v>
      </c>
      <c r="C5121" s="1">
        <v>173</v>
      </c>
      <c r="D5121" s="39">
        <f t="shared" si="621"/>
        <v>7842</v>
      </c>
      <c r="E5121" s="1">
        <v>2</v>
      </c>
      <c r="F5121" s="409">
        <f t="shared" si="618"/>
        <v>142</v>
      </c>
      <c r="G5121" s="168">
        <f>SUM(C5121,C5097,C5073,C5049,C5025,C5001,C4977,C4953,C4929,C4905,C4881,C4857,C4833,C4809)/POBLA!$B$8*100000</f>
        <v>136.15101723641575</v>
      </c>
      <c r="H5121" s="256">
        <f t="shared" si="619"/>
        <v>1.0244299674267101</v>
      </c>
      <c r="I5121" s="297">
        <f t="shared" si="622"/>
        <v>139.47718215261483</v>
      </c>
      <c r="J5121" s="297">
        <f t="shared" si="623"/>
        <v>147.42857142857142</v>
      </c>
      <c r="K5121" s="297">
        <f>J5121/POBLA!$B$8*100000</f>
        <v>10.637281382995006</v>
      </c>
      <c r="L5121" s="549">
        <f t="shared" si="620"/>
        <v>-0.2070175438596491</v>
      </c>
      <c r="M5121" s="401">
        <f>SUM(C5121,C5097,C5073,C5049,C5025,C5001,C4977)/POBLA!$B$8*100000</f>
        <v>74.46096968096505</v>
      </c>
    </row>
    <row r="5122" spans="1:13" s="360" customFormat="1" ht="15.75" thickBot="1" x14ac:dyDescent="0.3">
      <c r="A5122" s="367" t="s">
        <v>41</v>
      </c>
      <c r="B5122" s="269">
        <v>44106</v>
      </c>
      <c r="C5122" s="1">
        <v>2</v>
      </c>
      <c r="D5122" s="39">
        <f t="shared" si="621"/>
        <v>106</v>
      </c>
      <c r="E5122" s="1"/>
      <c r="F5122" s="409">
        <f t="shared" si="618"/>
        <v>1</v>
      </c>
      <c r="G5122" s="168">
        <f>SUM(C5122,C5098,C5074,C5050,C5026,C5002,C4978,C4954,C4930,C4906,C4882,C4858,C4834,C4810)/POBLA!$B$9*100000</f>
        <v>2.3133116212514024</v>
      </c>
      <c r="H5122" s="256">
        <f t="shared" si="619"/>
        <v>7</v>
      </c>
      <c r="I5122" s="297">
        <f t="shared" si="622"/>
        <v>16.193181348759818</v>
      </c>
      <c r="J5122" s="297">
        <f t="shared" si="623"/>
        <v>0.5714285714285714</v>
      </c>
      <c r="K5122" s="297">
        <f>J5122/POBLA!$B$9*100000</f>
        <v>9.4420882500057243E-2</v>
      </c>
      <c r="L5122" s="549">
        <f t="shared" si="620"/>
        <v>0.6</v>
      </c>
      <c r="M5122" s="401">
        <f>SUM(C5122,C5098,C5074,C5050,C5026,C5002,C4978)/POBLA!$B$9*100000</f>
        <v>0.66094617750040074</v>
      </c>
    </row>
    <row r="5123" spans="1:13" s="360" customFormat="1" ht="15.75" thickBot="1" x14ac:dyDescent="0.3">
      <c r="A5123" s="367" t="s">
        <v>32</v>
      </c>
      <c r="B5123" s="269">
        <v>44106</v>
      </c>
      <c r="C5123" s="1">
        <v>116</v>
      </c>
      <c r="D5123" s="39">
        <f t="shared" si="621"/>
        <v>15961</v>
      </c>
      <c r="E5123" s="1">
        <v>9</v>
      </c>
      <c r="F5123" s="409">
        <f t="shared" si="618"/>
        <v>529</v>
      </c>
      <c r="G5123" s="168">
        <f>SUM(C5123,C5099,C5075,C5051,C5027,C5003,C4979,C4955,C4931,C4907,C4883,C4859,C4835,C4811)/POBLA!$B$10*100000</f>
        <v>306.27295263471274</v>
      </c>
      <c r="H5123" s="256">
        <f t="shared" si="619"/>
        <v>0.58281905702295733</v>
      </c>
      <c r="I5123" s="297">
        <f t="shared" si="622"/>
        <v>178.50171344620014</v>
      </c>
      <c r="J5123" s="297">
        <f t="shared" si="623"/>
        <v>137.85714285714286</v>
      </c>
      <c r="K5123" s="297">
        <f>J5123/POBLA!$B$10*100000</f>
        <v>17.883064034156096</v>
      </c>
      <c r="L5123" s="549">
        <f t="shared" si="620"/>
        <v>0.30873925501432664</v>
      </c>
      <c r="M5123" s="401">
        <f>SUM(C5123,C5099,C5075,C5051,C5027,C5003,C4979)/POBLA!$B$10*100000</f>
        <v>125.18144823909266</v>
      </c>
    </row>
    <row r="5124" spans="1:13" s="360" customFormat="1" ht="15.75" thickBot="1" x14ac:dyDescent="0.3">
      <c r="A5124" s="367" t="s">
        <v>33</v>
      </c>
      <c r="B5124" s="269">
        <v>44106</v>
      </c>
      <c r="C5124" s="1">
        <v>13</v>
      </c>
      <c r="D5124" s="39">
        <f t="shared" si="621"/>
        <v>804</v>
      </c>
      <c r="E5124" s="1">
        <v>2</v>
      </c>
      <c r="F5124" s="409">
        <f t="shared" ref="F5124:F5135" si="624">E5124+F5100</f>
        <v>9</v>
      </c>
      <c r="G5124" s="168">
        <f>SUM(C5124,C5100,C5076,C5052,C5028,C5004,C4980,C4956,C4932,C4908,C4884,C4860,C4836,C4812)/POBLA!$B$11*100000</f>
        <v>75.328936355418662</v>
      </c>
      <c r="H5124" s="256">
        <f t="shared" si="619"/>
        <v>0.86261980830670926</v>
      </c>
      <c r="I5124" s="297">
        <f t="shared" si="622"/>
        <v>64.980232638859547</v>
      </c>
      <c r="J5124" s="297">
        <f t="shared" si="623"/>
        <v>17.428571428571427</v>
      </c>
      <c r="K5124" s="297">
        <f>J5124/POBLA!$B$11*100000</f>
        <v>4.8625027700323153</v>
      </c>
      <c r="L5124" s="549">
        <f t="shared" si="620"/>
        <v>0.17567567567567566</v>
      </c>
      <c r="M5124" s="401">
        <f>SUM(C5124,C5100,C5076,C5052,C5028,C5004,C4980)/POBLA!$B$11*100000</f>
        <v>34.037519390226208</v>
      </c>
    </row>
    <row r="5125" spans="1:13" s="360" customFormat="1" ht="15.75" thickBot="1" x14ac:dyDescent="0.3">
      <c r="A5125" s="367" t="s">
        <v>21</v>
      </c>
      <c r="B5125" s="269">
        <v>44106</v>
      </c>
      <c r="C5125" s="1">
        <v>142</v>
      </c>
      <c r="D5125" s="39">
        <f t="shared" si="621"/>
        <v>4992</v>
      </c>
      <c r="E5125" s="1"/>
      <c r="F5125" s="409">
        <f t="shared" si="624"/>
        <v>105</v>
      </c>
      <c r="G5125" s="168">
        <f>SUM(C5125,C5101,C5077,C5053,C5029,C5005,C4981,C4957,C4933,C4909,C4885,C4861,C4837,C4813)/POBLA!$B$12*100000</f>
        <v>403.52602463338343</v>
      </c>
      <c r="H5125" s="256">
        <f t="shared" si="619"/>
        <v>1.046802900461437</v>
      </c>
      <c r="I5125" s="297">
        <f t="shared" si="622"/>
        <v>422.41221299789902</v>
      </c>
      <c r="J5125" s="297">
        <f t="shared" si="623"/>
        <v>74</v>
      </c>
      <c r="K5125" s="297">
        <f>J5125/POBLA!$B$12*100000</f>
        <v>18.804109460245826</v>
      </c>
      <c r="L5125" s="549">
        <f t="shared" si="620"/>
        <v>0.51588785046728969</v>
      </c>
      <c r="M5125" s="401">
        <f>SUM(C5125,C5101,C5077,C5053,C5029,C5005,C4981)/POBLA!$B$12*100000</f>
        <v>131.62876622172078</v>
      </c>
    </row>
    <row r="5126" spans="1:13" s="360" customFormat="1" ht="15.75" thickBot="1" x14ac:dyDescent="0.3">
      <c r="A5126" s="367" t="s">
        <v>17</v>
      </c>
      <c r="B5126" s="269">
        <v>44106</v>
      </c>
      <c r="C5126" s="1">
        <v>759</v>
      </c>
      <c r="D5126" s="39">
        <f t="shared" si="621"/>
        <v>26607</v>
      </c>
      <c r="E5126" s="1">
        <v>14</v>
      </c>
      <c r="F5126" s="409">
        <f t="shared" si="624"/>
        <v>288</v>
      </c>
      <c r="G5126" s="168">
        <f>SUM(C5126,C5102,C5078,C5054,C5030,C5006,C4982,C4958,C4934,C4910,C4886,C4862,C4838,C4814)/POBLA!$B$13*100000</f>
        <v>453.18935778747129</v>
      </c>
      <c r="H5126" s="256">
        <f t="shared" si="619"/>
        <v>1.0266332802185294</v>
      </c>
      <c r="I5126" s="297">
        <f t="shared" si="622"/>
        <v>465.25927694548039</v>
      </c>
      <c r="J5126" s="297">
        <f t="shared" si="623"/>
        <v>682.85714285714289</v>
      </c>
      <c r="K5126" s="297">
        <f>J5126/POBLA!$B$13*100000</f>
        <v>34.30860199911487</v>
      </c>
      <c r="L5126" s="549">
        <f t="shared" si="620"/>
        <v>-0.12735849056603765</v>
      </c>
      <c r="M5126" s="401">
        <f>SUM(C5126,C5102,C5078,C5054,C5030,C5006,C4982)/POBLA!$B$13*100000</f>
        <v>240.16021399380409</v>
      </c>
    </row>
    <row r="5127" spans="1:13" s="360" customFormat="1" ht="15.75" thickBot="1" x14ac:dyDescent="0.3">
      <c r="A5127" s="367" t="s">
        <v>23</v>
      </c>
      <c r="B5127" s="269">
        <v>44106</v>
      </c>
      <c r="C5127" s="1">
        <v>5</v>
      </c>
      <c r="D5127" s="39">
        <f t="shared" si="621"/>
        <v>99</v>
      </c>
      <c r="E5127" s="1">
        <v>1</v>
      </c>
      <c r="F5127" s="409">
        <f t="shared" si="624"/>
        <v>4</v>
      </c>
      <c r="G5127" s="168">
        <f>SUM(C5127,C5103,C5079,C5055,C5031,C5007,C4983,C4959,C4935,C4911,C4887,C4863,C4839,C4815)/POBLA!$B$14*100000</f>
        <v>2.4577933455641587</v>
      </c>
      <c r="H5127" s="256">
        <f t="shared" si="619"/>
        <v>10.333333333333334</v>
      </c>
      <c r="I5127" s="297">
        <f t="shared" si="622"/>
        <v>25.397197904162976</v>
      </c>
      <c r="J5127" s="297">
        <f t="shared" si="623"/>
        <v>1.7142857142857142</v>
      </c>
      <c r="K5127" s="297">
        <f>J5127/POBLA!$B$14*100000</f>
        <v>0.13591483938603641</v>
      </c>
      <c r="L5127" s="549">
        <f t="shared" si="620"/>
        <v>0.36842105263157898</v>
      </c>
      <c r="M5127" s="401">
        <f>SUM(C5127,C5103,C5079,C5055,C5031,C5007,C4983)/POBLA!$B$14*100000</f>
        <v>0.95140387570225504</v>
      </c>
    </row>
    <row r="5128" spans="1:13" s="360" customFormat="1" ht="15.75" thickBot="1" x14ac:dyDescent="0.3">
      <c r="A5128" s="367" t="s">
        <v>19</v>
      </c>
      <c r="B5128" s="269">
        <v>44106</v>
      </c>
      <c r="C5128" s="1">
        <v>270</v>
      </c>
      <c r="D5128" s="39">
        <f>C5128+D5104</f>
        <v>8349</v>
      </c>
      <c r="E5128" s="1">
        <v>2</v>
      </c>
      <c r="F5128" s="409">
        <f t="shared" si="624"/>
        <v>120</v>
      </c>
      <c r="G5128" s="168">
        <f>SUM(C5128,C5104,C5080,C5056,C5032,C5008,C4984,C4960,C4936,C4912,C4888,C4864,C4840,C4816)/POBLA!$B$15*100000</f>
        <v>396.50210749980801</v>
      </c>
      <c r="H5128" s="256">
        <f t="shared" si="619"/>
        <v>1.1728285077951002</v>
      </c>
      <c r="I5128" s="297">
        <f t="shared" si="622"/>
        <v>465.0289750766122</v>
      </c>
      <c r="J5128" s="297">
        <f t="shared" si="623"/>
        <v>196.28571428571428</v>
      </c>
      <c r="K5128" s="297">
        <f>J5128/POBLA!$B$15*100000</f>
        <v>29.558564142191749</v>
      </c>
      <c r="L5128" s="549">
        <f t="shared" si="620"/>
        <v>-9.1342335186656021E-2</v>
      </c>
      <c r="M5128" s="401">
        <f>SUM(C5128,C5104,C5080,C5056,C5032,C5008,C4984)/POBLA!$B$15*100000</f>
        <v>206.90994899534223</v>
      </c>
    </row>
    <row r="5129" spans="1:13" s="360" customFormat="1" ht="15.75" thickBot="1" x14ac:dyDescent="0.3">
      <c r="A5129" s="367" t="s">
        <v>18</v>
      </c>
      <c r="B5129" s="269">
        <v>44106</v>
      </c>
      <c r="C5129" s="1">
        <v>371</v>
      </c>
      <c r="D5129" s="39">
        <f>C5129+D5105</f>
        <v>13497</v>
      </c>
      <c r="E5129" s="1">
        <v>4</v>
      </c>
      <c r="F5129" s="409">
        <f t="shared" si="624"/>
        <v>303</v>
      </c>
      <c r="G5129" s="168">
        <f>SUM(C5129,C5105,C5081,C5057,C5033,C5009,C4985,C4961,C4937,C4913,C4889,C4865,C4841,C4817)/POBLA!$B$16*100000</f>
        <v>471.90380010968283</v>
      </c>
      <c r="H5129" s="256">
        <f t="shared" si="619"/>
        <v>1.1021555763823805</v>
      </c>
      <c r="I5129" s="297">
        <f t="shared" si="622"/>
        <v>520.11140480692313</v>
      </c>
      <c r="J5129" s="297">
        <f t="shared" si="623"/>
        <v>288.85714285714283</v>
      </c>
      <c r="K5129" s="297">
        <f>J5129/POBLA!$B$16*100000</f>
        <v>38.637410261652846</v>
      </c>
      <c r="L5129" s="549">
        <f t="shared" si="620"/>
        <v>-0.34262948207171307</v>
      </c>
      <c r="M5129" s="401">
        <f>SUM(C5129,C5105,C5081,C5057,C5033,C5009,C4985)/POBLA!$B$16*100000</f>
        <v>270.46187183156991</v>
      </c>
    </row>
    <row r="5130" spans="1:13" s="360" customFormat="1" ht="15.75" thickBot="1" x14ac:dyDescent="0.3">
      <c r="A5130" s="367" t="s">
        <v>34</v>
      </c>
      <c r="B5130" s="269">
        <v>44106</v>
      </c>
      <c r="C5130" s="1">
        <v>327</v>
      </c>
      <c r="D5130" s="39">
        <f>C5130+D5106</f>
        <v>13101</v>
      </c>
      <c r="E5130" s="1">
        <v>14</v>
      </c>
      <c r="F5130" s="409">
        <f>E5130+F5106</f>
        <v>363</v>
      </c>
      <c r="G5130" s="168">
        <f>SUM(C5130,C5106,C5082,C5058,C5034,C5010,C4986,C4962,C4938,C4914,C4890,C4866,C4842,C4818)/POBLA!$B$17*100000</f>
        <v>323.64572517352957</v>
      </c>
      <c r="H5130" s="256">
        <f t="shared" si="619"/>
        <v>1.0735910572892409</v>
      </c>
      <c r="I5130" s="297">
        <f t="shared" si="622"/>
        <v>347.46315627619271</v>
      </c>
      <c r="J5130" s="297">
        <f t="shared" si="623"/>
        <v>307</v>
      </c>
      <c r="K5130" s="297">
        <f>J5130/POBLA!$B$17*100000</f>
        <v>21.552979962749149</v>
      </c>
      <c r="L5130" s="549">
        <f t="shared" si="620"/>
        <v>0.1267777326290126</v>
      </c>
      <c r="M5130" s="401">
        <f>SUM(C5130,C5106,C5082,C5058,C5034,C5010,C4986)/POBLA!$B$17*100000</f>
        <v>150.87085973924405</v>
      </c>
    </row>
    <row r="5131" spans="1:13" s="360" customFormat="1" ht="15.75" thickBot="1" x14ac:dyDescent="0.3">
      <c r="A5131" s="367" t="s">
        <v>35</v>
      </c>
      <c r="B5131" s="269">
        <v>44106</v>
      </c>
      <c r="C5131" s="1">
        <v>3</v>
      </c>
      <c r="D5131" s="39">
        <f t="shared" ref="D5131:D5137" si="625">C5131+D5107</f>
        <v>754</v>
      </c>
      <c r="E5131" s="1">
        <v>4</v>
      </c>
      <c r="F5131" s="409">
        <f>E5131+F5107</f>
        <v>40</v>
      </c>
      <c r="G5131" s="168">
        <f>SUM(C5131,C5107,C5083,C5059,C5035,C5011,C4987,C4963,C4939,C4915,C4891,C4867,C4843,C4819)/POBLA!$B$18*100000</f>
        <v>37.249573421981346</v>
      </c>
      <c r="H5131" s="256">
        <f t="shared" si="619"/>
        <v>2.7714285714285714</v>
      </c>
      <c r="I5131" s="297">
        <f t="shared" si="622"/>
        <v>103.23453205520543</v>
      </c>
      <c r="J5131" s="297">
        <f t="shared" si="623"/>
        <v>28.285714285714285</v>
      </c>
      <c r="K5131" s="297">
        <f>J5131/POBLA!$B$18*100000</f>
        <v>3.6207243679687315</v>
      </c>
      <c r="L5131" s="549">
        <f t="shared" si="620"/>
        <v>-1.129032258064516</v>
      </c>
      <c r="M5131" s="401">
        <f>SUM(C5131,C5107,C5083,C5059,C5035,C5011,C4987)/POBLA!$B$18*100000</f>
        <v>25.345070575781119</v>
      </c>
    </row>
    <row r="5132" spans="1:13" s="360" customFormat="1" ht="15.75" thickBot="1" x14ac:dyDescent="0.3">
      <c r="A5132" s="367" t="s">
        <v>36</v>
      </c>
      <c r="B5132" s="269">
        <v>44106</v>
      </c>
      <c r="C5132" s="1">
        <v>73</v>
      </c>
      <c r="D5132" s="39">
        <f t="shared" si="625"/>
        <v>1638</v>
      </c>
      <c r="E5132" s="1"/>
      <c r="F5132" s="409">
        <f t="shared" si="624"/>
        <v>7</v>
      </c>
      <c r="G5132" s="168">
        <f>SUM(C5132,C5108,C5084,C5060,C5036,C5012,C4988,C4964,C4940,C4916,C4892,C4868,C4844,C4820)/POBLA!$B$19*100000</f>
        <v>194.75614170378182</v>
      </c>
      <c r="H5132" s="256">
        <f t="shared" si="619"/>
        <v>2.2602739726027399</v>
      </c>
      <c r="I5132" s="297">
        <f t="shared" si="622"/>
        <v>440.20223809758909</v>
      </c>
      <c r="J5132" s="297">
        <f t="shared" si="623"/>
        <v>79</v>
      </c>
      <c r="K5132" s="297">
        <f>J5132/POBLA!$B$19*100000</f>
        <v>15.541146661210872</v>
      </c>
      <c r="L5132" s="549">
        <f t="shared" si="620"/>
        <v>-0.26544622425629294</v>
      </c>
      <c r="M5132" s="401">
        <f>SUM(C5132,C5108,C5084,C5060,C5036,C5012,C4988)/POBLA!$B$19*100000</f>
        <v>108.7880266284761</v>
      </c>
    </row>
    <row r="5133" spans="1:13" s="360" customFormat="1" ht="15.75" thickBot="1" x14ac:dyDescent="0.3">
      <c r="A5133" s="367" t="s">
        <v>37</v>
      </c>
      <c r="B5133" s="269">
        <v>44106</v>
      </c>
      <c r="C5133" s="1">
        <v>137</v>
      </c>
      <c r="D5133" s="39">
        <f t="shared" si="625"/>
        <v>5123</v>
      </c>
      <c r="E5133" s="1">
        <v>2</v>
      </c>
      <c r="F5133" s="409">
        <f>E5133+F5109</f>
        <v>67</v>
      </c>
      <c r="G5133" s="168">
        <f>SUM(C5133,C5109,C5085,C5061,C5037,C5013,C4989,C4965,C4941,C4917,C4893,C4869,C4845,C4821)/POBLA!$B$20*100000</f>
        <v>452.28576585051053</v>
      </c>
      <c r="H5133" s="256">
        <f t="shared" si="619"/>
        <v>1.148611111111111</v>
      </c>
      <c r="I5133" s="297">
        <f t="shared" si="622"/>
        <v>519.50045605329467</v>
      </c>
      <c r="J5133" s="297">
        <f t="shared" si="623"/>
        <v>124</v>
      </c>
      <c r="K5133" s="297">
        <f>J5133/POBLA!$B$20*100000</f>
        <v>33.907759954935493</v>
      </c>
      <c r="L5133" s="549">
        <f t="shared" si="620"/>
        <v>-0.10432569974554706</v>
      </c>
      <c r="M5133" s="401">
        <f>SUM(C5133,C5109,C5085,C5061,C5037,C5013,C4989)/POBLA!$B$20*100000</f>
        <v>237.35431968454844</v>
      </c>
    </row>
    <row r="5134" spans="1:13" s="360" customFormat="1" ht="15.75" thickBot="1" x14ac:dyDescent="0.3">
      <c r="A5134" s="367" t="s">
        <v>22</v>
      </c>
      <c r="B5134" s="269">
        <v>44106</v>
      </c>
      <c r="C5134" s="1">
        <v>2244</v>
      </c>
      <c r="D5134" s="39">
        <f t="shared" si="625"/>
        <v>46715</v>
      </c>
      <c r="E5134" s="1">
        <v>24</v>
      </c>
      <c r="F5134" s="409">
        <f>E5134+F5110</f>
        <v>491</v>
      </c>
      <c r="G5134" s="168">
        <f>SUM(C5134,C5110,C5086,C5062,C5038,C5014,C4990,C4966,C4942,C4918,C4894,C4870,C4846,C4822)/POBLA!$B$21*100000</f>
        <v>631.54299067587601</v>
      </c>
      <c r="H5134" s="256">
        <f t="shared" si="619"/>
        <v>1.6452302025782688</v>
      </c>
      <c r="I5134" s="297">
        <f t="shared" si="622"/>
        <v>1039.0336024865571</v>
      </c>
      <c r="J5134" s="297">
        <f t="shared" si="623"/>
        <v>1739.2857142857142</v>
      </c>
      <c r="K5134" s="297">
        <f>J5134/POBLA!$B$21*100000</f>
        <v>49.182130457590546</v>
      </c>
      <c r="L5134" s="549">
        <f t="shared" si="620"/>
        <v>-0.1984447288118909</v>
      </c>
      <c r="M5134" s="401">
        <f>SUM(C5134,C5110,C5086,C5062,C5038,C5014,C4990)/POBLA!$B$21*100000</f>
        <v>344.27491320313379</v>
      </c>
    </row>
    <row r="5135" spans="1:13" s="360" customFormat="1" ht="15.75" thickBot="1" x14ac:dyDescent="0.3">
      <c r="A5135" s="367" t="s">
        <v>38</v>
      </c>
      <c r="B5135" s="269">
        <v>44106</v>
      </c>
      <c r="C5135" s="1">
        <v>176</v>
      </c>
      <c r="D5135" s="39">
        <f t="shared" si="625"/>
        <v>3721</v>
      </c>
      <c r="E5135" s="1">
        <v>2</v>
      </c>
      <c r="F5135" s="409">
        <f t="shared" si="624"/>
        <v>64</v>
      </c>
      <c r="G5135" s="168">
        <f>SUM(C5135,C5111,C5087,C5063,C5039,C5015,C4991,C4967,C4943,C4919,C4895,C4871,C4847,C4823)/POBLA!$B$22*100000</f>
        <v>150.76974342567254</v>
      </c>
      <c r="H5135" s="256">
        <f t="shared" si="619"/>
        <v>1.3482632541133455</v>
      </c>
      <c r="I5135" s="297">
        <f t="shared" si="622"/>
        <v>203.27730489293143</v>
      </c>
      <c r="J5135" s="297">
        <f t="shared" si="623"/>
        <v>129</v>
      </c>
      <c r="K5135" s="297">
        <f>J5135/POBLA!$B$22*100000</f>
        <v>13.18596400129611</v>
      </c>
      <c r="L5135" s="549">
        <f t="shared" si="620"/>
        <v>-0.57867132867132876</v>
      </c>
      <c r="M5135" s="401">
        <f>SUM(C5135,C5111,C5087,C5063,C5039,C5015,C4991)/POBLA!$B$22*100000</f>
        <v>92.301748009072767</v>
      </c>
    </row>
    <row r="5136" spans="1:13" s="360" customFormat="1" ht="15.75" thickBot="1" x14ac:dyDescent="0.3">
      <c r="A5136" s="367" t="s">
        <v>39</v>
      </c>
      <c r="B5136" s="269">
        <v>44106</v>
      </c>
      <c r="C5136" s="1">
        <v>193</v>
      </c>
      <c r="D5136" s="39">
        <f t="shared" si="625"/>
        <v>4720</v>
      </c>
      <c r="E5136" s="1">
        <v>3</v>
      </c>
      <c r="F5136" s="409">
        <f t="shared" ref="F5136:F5147" si="626">E5136+F5112</f>
        <v>70</v>
      </c>
      <c r="G5136" s="168">
        <f>SUM(C5136,C5112,C5088,C5064,C5040,C5016,C4992,C4968,C4944,C4920,C4896,C4872,C4848,C4824)/POBLA!$B$23*100000</f>
        <v>961.37533224000447</v>
      </c>
      <c r="H5136" s="256">
        <f t="shared" si="619"/>
        <v>2.2727272727272729</v>
      </c>
      <c r="I5136" s="297">
        <f t="shared" si="622"/>
        <v>2184.9439369091015</v>
      </c>
      <c r="J5136" s="297">
        <f t="shared" si="623"/>
        <v>168.57142857142858</v>
      </c>
      <c r="K5136" s="297">
        <f>J5136/POBLA!$B$23*100000</f>
        <v>95.329654793546666</v>
      </c>
      <c r="L5136" s="549">
        <f t="shared" si="620"/>
        <v>-1.2692307692307692</v>
      </c>
      <c r="M5136" s="401">
        <f>SUM(C5136,C5112,C5088,C5064,C5040,C5016,C4992)/POBLA!$B$23*100000</f>
        <v>667.30758355482669</v>
      </c>
    </row>
    <row r="5137" spans="1:13" s="360" customFormat="1" ht="15.75" thickBot="1" x14ac:dyDescent="0.3">
      <c r="A5137" s="369" t="s">
        <v>40</v>
      </c>
      <c r="B5137" s="269">
        <v>44106</v>
      </c>
      <c r="C5137" s="1">
        <v>674</v>
      </c>
      <c r="D5137" s="176">
        <f t="shared" si="625"/>
        <v>16220</v>
      </c>
      <c r="E5137" s="1">
        <v>8</v>
      </c>
      <c r="F5137" s="476">
        <f t="shared" si="626"/>
        <v>140</v>
      </c>
      <c r="G5137" s="177">
        <f>SUM(C5137,C5113,C5089,C5065,C5041,C5017,C4993,C4969,C4945,C4921,C4897,C4873,C4849,C4825)/POBLA!$B$24*100000</f>
        <v>419.79021111069153</v>
      </c>
      <c r="H5137" s="402">
        <f t="shared" si="619"/>
        <v>1.2434889005418632</v>
      </c>
      <c r="I5137" s="403">
        <f t="shared" si="622"/>
        <v>522.00446807227047</v>
      </c>
      <c r="J5137" s="403">
        <f t="shared" si="623"/>
        <v>620</v>
      </c>
      <c r="K5137" s="403">
        <f>J5137/POBLA!$B$24*100000</f>
        <v>36.585596132784467</v>
      </c>
      <c r="L5137" s="550">
        <f t="shared" si="620"/>
        <v>-0.56452775775054076</v>
      </c>
      <c r="M5137" s="405">
        <f>SUM(C5137,C5113,C5089,C5065,C5041,C5017,C4993)/POBLA!$B$24*100000</f>
        <v>256.09917292949132</v>
      </c>
    </row>
    <row r="5138" spans="1:13" s="360" customFormat="1" ht="15.75" thickBot="1" x14ac:dyDescent="0.3">
      <c r="A5138" s="363" t="s">
        <v>16</v>
      </c>
      <c r="B5138" s="269">
        <v>44107</v>
      </c>
      <c r="C5138" s="1">
        <v>4507</v>
      </c>
      <c r="D5138" s="174">
        <f>C5138+D5114</f>
        <v>433286</v>
      </c>
      <c r="E5138" s="1">
        <v>92</v>
      </c>
      <c r="F5138" s="475">
        <f t="shared" si="626"/>
        <v>13355</v>
      </c>
      <c r="G5138" s="175">
        <f>SUM(C5138,C5114,C5090,C5066,C5042,C5018,C4994,C4970,C4946,C4922,C4898,C4874,C4850,C4826)/POBLA!$B$1*100000</f>
        <v>391.37134807821224</v>
      </c>
      <c r="H5138" s="300">
        <f t="shared" si="619"/>
        <v>0.90979087704418349</v>
      </c>
      <c r="I5138" s="301">
        <f>G5138*H5138</f>
        <v>356.06608201804113</v>
      </c>
      <c r="J5138" s="301">
        <f>AVERAGE(C5138,C5114,C5090,C5066,C5042,C5018,C4994)</f>
        <v>4910.1428571428569</v>
      </c>
      <c r="K5138" s="301">
        <f>J5138/POBLA!$B$1*100000</f>
        <v>27.992152033569862</v>
      </c>
      <c r="L5138" s="548">
        <f t="shared" si="620"/>
        <v>-2.654609101516936E-3</v>
      </c>
      <c r="M5138" s="400">
        <f>SUM(C5138,C5114,C5090,C5066,C5042,C5018,C4994)/POBLA!$B$1*100000</f>
        <v>195.94506423498905</v>
      </c>
    </row>
    <row r="5139" spans="1:13" s="360" customFormat="1" ht="15.75" thickBot="1" x14ac:dyDescent="0.3">
      <c r="A5139" s="367" t="s">
        <v>43</v>
      </c>
      <c r="B5139" s="269">
        <v>44107</v>
      </c>
      <c r="C5139" s="1">
        <v>801</v>
      </c>
      <c r="D5139" s="39">
        <f t="shared" ref="D5139:D5151" si="627">C5139+D5115</f>
        <v>128741</v>
      </c>
      <c r="E5139" s="1">
        <f>8+12</f>
        <v>20</v>
      </c>
      <c r="F5139" s="409">
        <f t="shared" si="626"/>
        <v>3566</v>
      </c>
      <c r="G5139" s="168">
        <f>SUM(C5139,C5115,C5091,C5067,C5043,C5019,C4995,C4971,C4947,C4923,C4899,C4875,C4851,C4827)/POBLA!$B$2*100000</f>
        <v>395.461636352168</v>
      </c>
      <c r="H5139" s="256">
        <f t="shared" si="619"/>
        <v>0.84114799446749655</v>
      </c>
      <c r="I5139" s="297">
        <f t="shared" ref="I5139:I5161" si="628">G5139*H5139</f>
        <v>332.64176230646052</v>
      </c>
      <c r="J5139" s="297">
        <f t="shared" ref="J5139:J5161" si="629">AVERAGE(C5139,C5115,C5091,C5067,C5043,C5019,C4995)</f>
        <v>868.71428571428567</v>
      </c>
      <c r="K5139" s="297">
        <f>J5139/POBLA!$B$2*100000</f>
        <v>28.244937346960139</v>
      </c>
      <c r="L5139" s="549">
        <f t="shared" si="620"/>
        <v>1.6441959881619006E-4</v>
      </c>
      <c r="M5139" s="401">
        <f>SUM(C5139,C5115,C5091,C5067,C5043,C5019,C4995)/POBLA!$B$2*100000</f>
        <v>197.714561428721</v>
      </c>
    </row>
    <row r="5140" spans="1:13" s="360" customFormat="1" ht="15.75" thickBot="1" x14ac:dyDescent="0.3">
      <c r="A5140" s="367" t="s">
        <v>28</v>
      </c>
      <c r="B5140" s="269">
        <v>44107</v>
      </c>
      <c r="C5140" s="1">
        <v>6</v>
      </c>
      <c r="D5140" s="39">
        <f t="shared" si="627"/>
        <v>305</v>
      </c>
      <c r="E5140" s="1"/>
      <c r="F5140" s="409">
        <f t="shared" si="626"/>
        <v>0</v>
      </c>
      <c r="G5140" s="168">
        <f>SUM(C5140,C5116,C5092,C5068,C5044,C5020,C4996,C4972,C4948,C4924,C4900,C4876,C4852,C4828)/POBLA!$B$3*100000</f>
        <v>27.681627583417981</v>
      </c>
      <c r="H5140" s="256">
        <f t="shared" si="619"/>
        <v>1.0550458715596329</v>
      </c>
      <c r="I5140" s="297">
        <f t="shared" si="628"/>
        <v>29.2053868999364</v>
      </c>
      <c r="J5140" s="297">
        <f t="shared" si="629"/>
        <v>14.285714285714286</v>
      </c>
      <c r="K5140" s="297">
        <f>J5140/POBLA!$B$3*100000</f>
        <v>3.4387115010457125</v>
      </c>
      <c r="L5140" s="549">
        <f t="shared" si="620"/>
        <v>-5.666666666666667</v>
      </c>
      <c r="M5140" s="401">
        <f>SUM(C5140,C5116,C5092,C5068,C5044,C5020,C4996)/POBLA!$B$3*100000</f>
        <v>24.070980507319984</v>
      </c>
    </row>
    <row r="5141" spans="1:13" s="360" customFormat="1" ht="15.75" thickBot="1" x14ac:dyDescent="0.3">
      <c r="A5141" s="367" t="s">
        <v>15</v>
      </c>
      <c r="B5141" s="269">
        <v>44107</v>
      </c>
      <c r="C5141" s="1">
        <v>120</v>
      </c>
      <c r="D5141" s="39">
        <f t="shared" si="627"/>
        <v>9063</v>
      </c>
      <c r="E5141" s="1">
        <f>1</f>
        <v>1</v>
      </c>
      <c r="F5141" s="409">
        <f t="shared" si="626"/>
        <v>298</v>
      </c>
      <c r="G5141" s="168">
        <f>SUM(C5141,C5117,C5093,C5069,C5045,C5021,C4997,C4973,C4949,C4925,C4901,C4877,C4853,C4829)/POBLA!$B$4*100000</f>
        <v>142.62694254491961</v>
      </c>
      <c r="H5141" s="256">
        <f t="shared" si="619"/>
        <v>1.1988834612700627</v>
      </c>
      <c r="I5141" s="297">
        <f t="shared" si="628"/>
        <v>170.99308254861961</v>
      </c>
      <c r="J5141" s="297">
        <f t="shared" si="629"/>
        <v>142.28571428571428</v>
      </c>
      <c r="K5141" s="297">
        <f>J5141/POBLA!$B$4*100000</f>
        <v>11.812442605582897</v>
      </c>
      <c r="L5141" s="549">
        <f t="shared" si="620"/>
        <v>-0.37950138504155118</v>
      </c>
      <c r="M5141" s="401">
        <f>SUM(C5141,C5117,C5093,C5069,C5045,C5021,C4997)/POBLA!$B$4*100000</f>
        <v>82.687098239080271</v>
      </c>
    </row>
    <row r="5142" spans="1:13" s="360" customFormat="1" ht="15.75" thickBot="1" x14ac:dyDescent="0.3">
      <c r="A5142" s="367" t="s">
        <v>29</v>
      </c>
      <c r="B5142" s="269">
        <v>44107</v>
      </c>
      <c r="C5142" s="1">
        <v>149</v>
      </c>
      <c r="D5142" s="39">
        <f t="shared" si="627"/>
        <v>4506</v>
      </c>
      <c r="E5142" s="1"/>
      <c r="F5142" s="409">
        <f t="shared" si="626"/>
        <v>58</v>
      </c>
      <c r="G5142" s="168">
        <f>SUM(C5142,C5118,C5094,C5070,C5046,C5022,C4998,C4974,C4950,C4926,C4902,C4878,C4854,C4830)/POBLA!$B$5*100000</f>
        <v>375.60945663447467</v>
      </c>
      <c r="H5142" s="256">
        <f t="shared" si="619"/>
        <v>2.3180458624127618</v>
      </c>
      <c r="I5142" s="297">
        <f t="shared" si="628"/>
        <v>870.67994683464963</v>
      </c>
      <c r="J5142" s="297">
        <f t="shared" si="629"/>
        <v>171</v>
      </c>
      <c r="K5142" s="297">
        <f>J5142/POBLA!$B$5*100000</f>
        <v>27.625469713761362</v>
      </c>
      <c r="L5142" s="549">
        <f t="shared" si="620"/>
        <v>-6.1170212765957466E-2</v>
      </c>
      <c r="M5142" s="401">
        <f>SUM(C5142,C5118,C5094,C5070,C5046,C5022,C4998)/POBLA!$B$5*100000</f>
        <v>193.37828799632953</v>
      </c>
    </row>
    <row r="5143" spans="1:13" s="360" customFormat="1" ht="15.75" thickBot="1" x14ac:dyDescent="0.3">
      <c r="A5143" s="367" t="s">
        <v>20</v>
      </c>
      <c r="B5143" s="269">
        <v>44107</v>
      </c>
      <c r="C5143" s="1">
        <v>1451</v>
      </c>
      <c r="D5143" s="39">
        <f t="shared" si="627"/>
        <v>39396</v>
      </c>
      <c r="E5143" s="1">
        <f>12+7</f>
        <v>19</v>
      </c>
      <c r="F5143" s="409">
        <f t="shared" si="626"/>
        <v>447</v>
      </c>
      <c r="G5143" s="168">
        <f>SUM(C5143,C5119,C5095,C5071,C5047,C5023,C4999,C4975,C4951,C4927,C4903,C4879,C4855,C4831)/POBLA!$B$6*100000</f>
        <v>1854.7449547243446</v>
      </c>
      <c r="H5143" s="256">
        <f t="shared" si="619"/>
        <v>2.6505163840367207</v>
      </c>
      <c r="I5143" s="297">
        <f t="shared" si="628"/>
        <v>4916.0318907063211</v>
      </c>
      <c r="J5143" s="297">
        <f t="shared" si="629"/>
        <v>1680.4285714285713</v>
      </c>
      <c r="K5143" s="297">
        <f>J5143/POBLA!$B$6*100000</f>
        <v>149.93103784066676</v>
      </c>
      <c r="L5143" s="549">
        <f t="shared" si="620"/>
        <v>-0.30337950138504155</v>
      </c>
      <c r="M5143" s="401">
        <f>SUM(C5143,C5119,C5095,C5071,C5047,C5023,C4999)/POBLA!$B$6*100000</f>
        <v>1049.5172648846674</v>
      </c>
    </row>
    <row r="5144" spans="1:13" s="360" customFormat="1" ht="15.75" thickBot="1" x14ac:dyDescent="0.3">
      <c r="A5144" s="367" t="s">
        <v>30</v>
      </c>
      <c r="B5144" s="269">
        <v>44107</v>
      </c>
      <c r="C5144" s="1">
        <v>3</v>
      </c>
      <c r="D5144" s="39">
        <f t="shared" si="627"/>
        <v>1170</v>
      </c>
      <c r="E5144" s="1">
        <f>1</f>
        <v>1</v>
      </c>
      <c r="F5144" s="409">
        <f t="shared" si="626"/>
        <v>27</v>
      </c>
      <c r="G5144" s="168">
        <f>SUM(C5144,C5120,C5096,C5072,C5048,C5024,C5000,C4976,C4952,C4928,C4904,C4880,C4856,C4832)/POBLA!$B$7*100000</f>
        <v>6.1162892738900929</v>
      </c>
      <c r="H5144" s="256">
        <f t="shared" si="619"/>
        <v>0.38016528925619836</v>
      </c>
      <c r="I5144" s="297">
        <f t="shared" si="628"/>
        <v>2.3252008809830107</v>
      </c>
      <c r="J5144" s="297">
        <f t="shared" si="629"/>
        <v>22.285714285714285</v>
      </c>
      <c r="K5144" s="297">
        <f>J5144/POBLA!$B$7*100000</f>
        <v>0.59263424020301514</v>
      </c>
      <c r="L5144" s="549">
        <f t="shared" si="620"/>
        <v>-1.1081081081081079</v>
      </c>
      <c r="M5144" s="401">
        <f>SUM(C5144,C5120,C5096,C5072,C5048,C5024,C5000)/POBLA!$B$7*100000</f>
        <v>4.1484396814211069</v>
      </c>
    </row>
    <row r="5145" spans="1:13" ht="15.75" thickBot="1" x14ac:dyDescent="0.3">
      <c r="A5145" s="367" t="s">
        <v>31</v>
      </c>
      <c r="B5145" s="269">
        <v>44107</v>
      </c>
      <c r="C5145" s="1">
        <v>152</v>
      </c>
      <c r="D5145" s="39">
        <f t="shared" si="627"/>
        <v>7994</v>
      </c>
      <c r="E5145" s="1">
        <f>1</f>
        <v>1</v>
      </c>
      <c r="F5145" s="409">
        <f t="shared" si="626"/>
        <v>143</v>
      </c>
      <c r="G5145" s="168">
        <f>SUM(C5145,C5121,C5097,C5073,C5049,C5025,C5001,C4977,C4953,C4929,C4905,C4881,C4857,C4833)/POBLA!$B$8*100000</f>
        <v>136.36747354362785</v>
      </c>
      <c r="H5145" s="256">
        <f t="shared" si="619"/>
        <v>0.9931686810299527</v>
      </c>
      <c r="I5145" s="297">
        <f t="shared" si="628"/>
        <v>135.43590383471184</v>
      </c>
      <c r="J5145" s="297">
        <f t="shared" si="629"/>
        <v>148.28571428571428</v>
      </c>
      <c r="K5145" s="297">
        <f>J5145/POBLA!$B$8*100000</f>
        <v>10.699126042198465</v>
      </c>
      <c r="L5145" s="549">
        <f t="shared" si="620"/>
        <v>-0.21830985915492951</v>
      </c>
      <c r="M5145" s="401">
        <f>SUM(C5145,C5121,C5097,C5073,C5049,C5025,C5001)/POBLA!$B$8*100000</f>
        <v>74.893882295389261</v>
      </c>
    </row>
    <row r="5146" spans="1:13" s="360" customFormat="1" ht="15.75" thickBot="1" x14ac:dyDescent="0.3">
      <c r="A5146" s="367" t="s">
        <v>41</v>
      </c>
      <c r="B5146" s="269">
        <v>44107</v>
      </c>
      <c r="C5146" s="1">
        <v>-1</v>
      </c>
      <c r="D5146" s="39">
        <f t="shared" si="627"/>
        <v>105</v>
      </c>
      <c r="E5146" s="1"/>
      <c r="F5146" s="409">
        <f t="shared" si="626"/>
        <v>1</v>
      </c>
      <c r="G5146" s="168">
        <f>SUM(C5146,C5122,C5098,C5074,C5050,C5026,C5002,C4978,C4954,C4930,C4906,C4882,C4858,C4834)/POBLA!$B$9*100000</f>
        <v>0.66094617750040074</v>
      </c>
      <c r="H5146" s="256">
        <f t="shared" si="619"/>
        <v>0.33333333333333331</v>
      </c>
      <c r="I5146" s="297">
        <f t="shared" si="628"/>
        <v>0.22031539250013357</v>
      </c>
      <c r="J5146" s="297">
        <f t="shared" si="629"/>
        <v>0.14285714285714285</v>
      </c>
      <c r="K5146" s="297">
        <f>J5146/POBLA!$B$9*100000</f>
        <v>2.3605220625014311E-2</v>
      </c>
      <c r="L5146" s="549">
        <f t="shared" si="620"/>
        <v>0.66666666666666674</v>
      </c>
      <c r="M5146" s="401">
        <f>SUM(C5146,C5122,C5098,C5074,C5050,C5026,C5002)/POBLA!$B$9*100000</f>
        <v>0.16523654437510019</v>
      </c>
    </row>
    <row r="5147" spans="1:13" s="360" customFormat="1" ht="15.75" thickBot="1" x14ac:dyDescent="0.3">
      <c r="A5147" s="367" t="s">
        <v>32</v>
      </c>
      <c r="B5147" s="269">
        <v>44107</v>
      </c>
      <c r="C5147" s="1">
        <v>122</v>
      </c>
      <c r="D5147" s="39">
        <f t="shared" si="627"/>
        <v>16083</v>
      </c>
      <c r="E5147" s="1">
        <f>8+2</f>
        <v>10</v>
      </c>
      <c r="F5147" s="409">
        <f t="shared" si="626"/>
        <v>539</v>
      </c>
      <c r="G5147" s="168">
        <f>SUM(C5147,C5123,C5099,C5075,C5051,C5027,C5003,C4979,C4955,C4931,C4907,C4883,C4859,C4835)/POBLA!$B$10*100000</f>
        <v>283.83109714728994</v>
      </c>
      <c r="H5147" s="256">
        <f t="shared" si="619"/>
        <v>0.54427860696517416</v>
      </c>
      <c r="I5147" s="297">
        <f t="shared" si="628"/>
        <v>154.483194168724</v>
      </c>
      <c r="J5147" s="297">
        <f t="shared" si="629"/>
        <v>125.42857142857143</v>
      </c>
      <c r="K5147" s="297">
        <f>J5147/POBLA!$B$10*100000</f>
        <v>16.27080852019591</v>
      </c>
      <c r="L5147" s="549">
        <f t="shared" si="620"/>
        <v>0.32977099236641216</v>
      </c>
      <c r="M5147" s="401">
        <f>SUM(C5147,C5123,C5099,C5075,C5051,C5027,C5003)/POBLA!$B$10*100000</f>
        <v>113.89565964137138</v>
      </c>
    </row>
    <row r="5148" spans="1:13" s="360" customFormat="1" ht="15.75" thickBot="1" x14ac:dyDescent="0.3">
      <c r="A5148" s="367" t="s">
        <v>33</v>
      </c>
      <c r="B5148" s="269">
        <v>44107</v>
      </c>
      <c r="C5148" s="1">
        <v>27</v>
      </c>
      <c r="D5148" s="39">
        <f t="shared" si="627"/>
        <v>831</v>
      </c>
      <c r="E5148" s="1"/>
      <c r="F5148" s="409">
        <f t="shared" ref="F5148:F5159" si="630">E5148+F5124</f>
        <v>9</v>
      </c>
      <c r="G5148" s="168">
        <f>SUM(C5148,C5124,C5100,C5076,C5052,C5028,C5004,C4980,C4956,C4932,C4908,C4884,C4860,C4836)/POBLA!$B$11*100000</f>
        <v>79.2348812034774</v>
      </c>
      <c r="H5148" s="256">
        <f t="shared" si="619"/>
        <v>0.89589905362776023</v>
      </c>
      <c r="I5148" s="297">
        <f t="shared" si="628"/>
        <v>70.986455084503405</v>
      </c>
      <c r="J5148" s="297">
        <f t="shared" si="629"/>
        <v>21</v>
      </c>
      <c r="K5148" s="297">
        <f>J5148/POBLA!$B$11*100000</f>
        <v>5.8589172720881182</v>
      </c>
      <c r="L5148" s="549">
        <f t="shared" si="620"/>
        <v>-7.2992700729926918E-2</v>
      </c>
      <c r="M5148" s="401">
        <f>SUM(C5148,C5124,C5100,C5076,C5052,C5028,C5004)/POBLA!$B$11*100000</f>
        <v>41.012420904616825</v>
      </c>
    </row>
    <row r="5149" spans="1:13" s="360" customFormat="1" ht="15.75" thickBot="1" x14ac:dyDescent="0.3">
      <c r="A5149" s="367" t="s">
        <v>21</v>
      </c>
      <c r="B5149" s="269">
        <v>44107</v>
      </c>
      <c r="C5149" s="1">
        <v>62</v>
      </c>
      <c r="D5149" s="39">
        <f t="shared" si="627"/>
        <v>5054</v>
      </c>
      <c r="E5149" s="1"/>
      <c r="F5149" s="409">
        <f t="shared" si="630"/>
        <v>105</v>
      </c>
      <c r="G5149" s="168">
        <f>SUM(C5149,C5125,C5101,C5077,C5053,C5029,C5005,C4981,C4957,C4933,C4909,C4885,C4861,C4837)/POBLA!$B$12*100000</f>
        <v>397.42739453816858</v>
      </c>
      <c r="H5149" s="256">
        <f t="shared" si="619"/>
        <v>1.0122977346278317</v>
      </c>
      <c r="I5149" s="297">
        <f t="shared" si="628"/>
        <v>402.31485117002956</v>
      </c>
      <c r="J5149" s="297">
        <f t="shared" si="629"/>
        <v>79.714285714285708</v>
      </c>
      <c r="K5149" s="297">
        <f>J5149/POBLA!$B$12*100000</f>
        <v>20.256164244820791</v>
      </c>
      <c r="L5149" s="549">
        <f t="shared" si="620"/>
        <v>0.44532803180914515</v>
      </c>
      <c r="M5149" s="401">
        <f>SUM(C5149,C5125,C5101,C5077,C5053,C5029,C5005)/POBLA!$B$12*100000</f>
        <v>141.79314971374555</v>
      </c>
    </row>
    <row r="5150" spans="1:13" s="360" customFormat="1" ht="15.75" thickBot="1" x14ac:dyDescent="0.3">
      <c r="A5150" s="367" t="s">
        <v>17</v>
      </c>
      <c r="B5150" s="269">
        <v>44107</v>
      </c>
      <c r="C5150" s="1">
        <v>517</v>
      </c>
      <c r="D5150" s="39">
        <f t="shared" si="627"/>
        <v>27124</v>
      </c>
      <c r="E5150" s="1">
        <f>12+4</f>
        <v>16</v>
      </c>
      <c r="F5150" s="409">
        <f t="shared" si="630"/>
        <v>304</v>
      </c>
      <c r="G5150" s="168">
        <f>SUM(C5150,C5126,C5102,C5078,C5054,C5030,C5006,C4982,C4958,C4934,C4910,C4886,C4862,C4838)/POBLA!$B$13*100000</f>
        <v>445.35149306298729</v>
      </c>
      <c r="H5150" s="256">
        <f t="shared" si="619"/>
        <v>0.98752228163992872</v>
      </c>
      <c r="I5150" s="297">
        <f t="shared" si="628"/>
        <v>439.79452256131009</v>
      </c>
      <c r="J5150" s="297">
        <f t="shared" si="629"/>
        <v>663</v>
      </c>
      <c r="K5150" s="297">
        <f>J5150/POBLA!$B$13*100000</f>
        <v>33.310925079056922</v>
      </c>
      <c r="L5150" s="549">
        <f t="shared" si="620"/>
        <v>-9.8981766516694325E-2</v>
      </c>
      <c r="M5150" s="401">
        <f>SUM(C5150,C5126,C5102,C5078,C5054,C5030,C5006)/POBLA!$B$13*100000</f>
        <v>233.17647555339849</v>
      </c>
    </row>
    <row r="5151" spans="1:13" s="360" customFormat="1" ht="15.75" thickBot="1" x14ac:dyDescent="0.3">
      <c r="A5151" s="367" t="s">
        <v>23</v>
      </c>
      <c r="B5151" s="269">
        <v>44107</v>
      </c>
      <c r="C5151" s="1">
        <v>5</v>
      </c>
      <c r="D5151" s="39">
        <f t="shared" si="627"/>
        <v>104</v>
      </c>
      <c r="E5151" s="1"/>
      <c r="F5151" s="409">
        <f t="shared" si="630"/>
        <v>4</v>
      </c>
      <c r="G5151" s="168">
        <f>SUM(C5151,C5127,C5103,C5079,C5055,C5031,C5007,C4983,C4959,C4935,C4911,C4887,C4863,C4839)/POBLA!$B$14*100000</f>
        <v>2.7749279707982439</v>
      </c>
      <c r="H5151" s="256">
        <f t="shared" si="619"/>
        <v>8.75</v>
      </c>
      <c r="I5151" s="297">
        <f t="shared" si="628"/>
        <v>24.280619744484635</v>
      </c>
      <c r="J5151" s="297">
        <f t="shared" si="629"/>
        <v>3.1428571428571428</v>
      </c>
      <c r="K5151" s="297">
        <f>J5151/POBLA!$B$14*100000</f>
        <v>0.24917720554106679</v>
      </c>
      <c r="L5151" s="549">
        <f t="shared" si="620"/>
        <v>-0.69230769230769229</v>
      </c>
      <c r="M5151" s="401">
        <f>SUM(C5151,C5127,C5103,C5079,C5055,C5031,C5007)/POBLA!$B$14*100000</f>
        <v>1.7442404387874675</v>
      </c>
    </row>
    <row r="5152" spans="1:13" s="360" customFormat="1" ht="15.75" thickBot="1" x14ac:dyDescent="0.3">
      <c r="A5152" s="367" t="s">
        <v>19</v>
      </c>
      <c r="B5152" s="269">
        <v>44107</v>
      </c>
      <c r="C5152" s="1">
        <v>264</v>
      </c>
      <c r="D5152" s="39">
        <f>C5152+D5128</f>
        <v>8613</v>
      </c>
      <c r="E5152" s="1">
        <f>1</f>
        <v>1</v>
      </c>
      <c r="F5152" s="409">
        <f t="shared" si="630"/>
        <v>121</v>
      </c>
      <c r="G5152" s="168">
        <f>SUM(C5152,C5128,C5104,C5080,C5056,C5032,C5008,C4984,C4960,C4936,C4912,C4888,C4864,C4840)/POBLA!$B$15*100000</f>
        <v>415.02461385091942</v>
      </c>
      <c r="H5152" s="256">
        <f t="shared" si="619"/>
        <v>1.2442437923250564</v>
      </c>
      <c r="I5152" s="297">
        <f t="shared" si="628"/>
        <v>516.3917994461101</v>
      </c>
      <c r="J5152" s="297">
        <f t="shared" si="629"/>
        <v>208.28571428571428</v>
      </c>
      <c r="K5152" s="297">
        <f>J5152/POBLA!$B$15*100000</f>
        <v>31.365637932544086</v>
      </c>
      <c r="L5152" s="549">
        <f t="shared" si="620"/>
        <v>-0.12326656394453006</v>
      </c>
      <c r="M5152" s="401">
        <f>SUM(C5152,C5128,C5104,C5080,C5056,C5032,C5008)/POBLA!$B$15*100000</f>
        <v>219.55946552780861</v>
      </c>
    </row>
    <row r="5153" spans="1:13" s="360" customFormat="1" ht="15.75" thickBot="1" x14ac:dyDescent="0.3">
      <c r="A5153" s="367" t="s">
        <v>18</v>
      </c>
      <c r="B5153" s="269">
        <v>44107</v>
      </c>
      <c r="C5153" s="1">
        <v>330</v>
      </c>
      <c r="D5153" s="39">
        <f>C5153+D5129</f>
        <v>13827</v>
      </c>
      <c r="E5153" s="1">
        <f>2+2</f>
        <v>4</v>
      </c>
      <c r="F5153" s="409">
        <f t="shared" si="630"/>
        <v>307</v>
      </c>
      <c r="G5153" s="168">
        <f>SUM(C5153,C5129,C5105,C5081,C5057,C5033,C5009,C4985,C4961,C4937,C4913,C4889,C4865,C4841)/POBLA!$B$16*100000</f>
        <v>483.27336445472912</v>
      </c>
      <c r="H5153" s="256">
        <f t="shared" si="619"/>
        <v>1.102532804394263</v>
      </c>
      <c r="I5153" s="297">
        <f t="shared" si="628"/>
        <v>532.82473780132329</v>
      </c>
      <c r="J5153" s="297">
        <f t="shared" si="629"/>
        <v>301.28571428571428</v>
      </c>
      <c r="K5153" s="297">
        <f>J5153/POBLA!$B$16*100000</f>
        <v>40.299850762525153</v>
      </c>
      <c r="L5153" s="549">
        <f t="shared" si="620"/>
        <v>-0.4022606382978724</v>
      </c>
      <c r="M5153" s="401">
        <f>SUM(C5153,C5129,C5105,C5081,C5057,C5033,C5009)/POBLA!$B$16*100000</f>
        <v>282.09895533767605</v>
      </c>
    </row>
    <row r="5154" spans="1:13" s="360" customFormat="1" ht="15.75" thickBot="1" x14ac:dyDescent="0.3">
      <c r="A5154" s="367" t="s">
        <v>34</v>
      </c>
      <c r="B5154" s="269">
        <v>44107</v>
      </c>
      <c r="C5154" s="1">
        <v>134</v>
      </c>
      <c r="D5154" s="39">
        <f>C5154+D5130</f>
        <v>13235</v>
      </c>
      <c r="E5154" s="1">
        <f>2+1</f>
        <v>3</v>
      </c>
      <c r="F5154" s="409">
        <f>E5154+F5130</f>
        <v>366</v>
      </c>
      <c r="G5154" s="168">
        <f>SUM(C5154,C5130,C5106,C5082,C5058,C5034,C5010,C4986,C4962,C4938,C4914,C4890,C4866,C4842)/POBLA!$B$17*100000</f>
        <v>302.30336065015581</v>
      </c>
      <c r="H5154" s="256">
        <f t="shared" si="619"/>
        <v>0.9669885470469346</v>
      </c>
      <c r="I5154" s="297">
        <f t="shared" si="628"/>
        <v>292.32388748249963</v>
      </c>
      <c r="J5154" s="297">
        <f t="shared" si="629"/>
        <v>283.14285714285717</v>
      </c>
      <c r="K5154" s="297">
        <f>J5154/POBLA!$B$17*100000</f>
        <v>19.878085754382884</v>
      </c>
      <c r="L5154" s="549">
        <f t="shared" si="620"/>
        <v>0.14716006884681587</v>
      </c>
      <c r="M5154" s="401">
        <f>SUM(C5154,C5130,C5106,C5082,C5058,C5034,C5010)/POBLA!$B$17*100000</f>
        <v>139.14660028068016</v>
      </c>
    </row>
    <row r="5155" spans="1:13" s="360" customFormat="1" ht="15.75" thickBot="1" x14ac:dyDescent="0.3">
      <c r="A5155" s="367" t="s">
        <v>35</v>
      </c>
      <c r="B5155" s="269">
        <v>44107</v>
      </c>
      <c r="C5155" s="1">
        <v>75</v>
      </c>
      <c r="D5155" s="39">
        <f t="shared" ref="D5155:D5161" si="631">C5155+D5131</f>
        <v>829</v>
      </c>
      <c r="E5155" s="1"/>
      <c r="F5155" s="409">
        <f>E5155+F5131</f>
        <v>40</v>
      </c>
      <c r="G5155" s="168">
        <f>SUM(C5155,C5131,C5107,C5083,C5059,C5035,C5011,C4987,C4963,C4939,C4915,C4891,C4867,C4843)/POBLA!$B$18*100000</f>
        <v>46.721973536162167</v>
      </c>
      <c r="H5155" s="256">
        <f t="shared" si="619"/>
        <v>4.0109890109890109</v>
      </c>
      <c r="I5155" s="297">
        <f t="shared" si="628"/>
        <v>187.40132242526585</v>
      </c>
      <c r="J5155" s="297">
        <f t="shared" si="629"/>
        <v>38.714285714285715</v>
      </c>
      <c r="K5155" s="297">
        <f>J5155/POBLA!$B$18*100000</f>
        <v>4.9556378975733653</v>
      </c>
      <c r="L5155" s="549">
        <f t="shared" si="620"/>
        <v>-1.8829787234042552</v>
      </c>
      <c r="M5155" s="401">
        <f>SUM(C5155,C5131,C5107,C5083,C5059,C5035,C5011)/POBLA!$B$18*100000</f>
        <v>34.689465283013554</v>
      </c>
    </row>
    <row r="5156" spans="1:13" s="360" customFormat="1" ht="15.75" thickBot="1" x14ac:dyDescent="0.3">
      <c r="A5156" s="367" t="s">
        <v>36</v>
      </c>
      <c r="B5156" s="269">
        <v>44107</v>
      </c>
      <c r="C5156" s="1">
        <v>11</v>
      </c>
      <c r="D5156" s="39">
        <f t="shared" si="631"/>
        <v>1649</v>
      </c>
      <c r="E5156" s="1">
        <f>7+5</f>
        <v>12</v>
      </c>
      <c r="F5156" s="409">
        <f t="shared" si="630"/>
        <v>19</v>
      </c>
      <c r="G5156" s="168">
        <f>SUM(C5156,C5132,C5108,C5084,C5060,C5036,C5012,C4988,C4964,C4940,C4916,C4892,C4868,C4844)/POBLA!$B$19*100000</f>
        <v>192.19873782282306</v>
      </c>
      <c r="H5156" s="256">
        <f t="shared" si="619"/>
        <v>2.2880562060889931</v>
      </c>
      <c r="I5156" s="297">
        <f t="shared" si="628"/>
        <v>439.7615148779816</v>
      </c>
      <c r="J5156" s="297">
        <f t="shared" si="629"/>
        <v>80.428571428571431</v>
      </c>
      <c r="K5156" s="297">
        <f>J5156/POBLA!$B$19*100000</f>
        <v>15.822180054722823</v>
      </c>
      <c r="L5156" s="549">
        <f t="shared" si="620"/>
        <v>-0.35990338164251212</v>
      </c>
      <c r="M5156" s="401">
        <f>SUM(C5156,C5132,C5108,C5084,C5060,C5036,C5012)/POBLA!$B$19*100000</f>
        <v>110.75526038305976</v>
      </c>
    </row>
    <row r="5157" spans="1:13" s="360" customFormat="1" ht="15.75" thickBot="1" x14ac:dyDescent="0.3">
      <c r="A5157" s="367" t="s">
        <v>37</v>
      </c>
      <c r="B5157" s="269">
        <v>44107</v>
      </c>
      <c r="C5157" s="1">
        <v>221</v>
      </c>
      <c r="D5157" s="39">
        <f t="shared" si="631"/>
        <v>5344</v>
      </c>
      <c r="E5157" s="1"/>
      <c r="F5157" s="409">
        <f>E5157+F5133</f>
        <v>67</v>
      </c>
      <c r="G5157" s="168">
        <f>SUM(C5157,C5133,C5109,C5085,C5061,C5037,C5013,C4989,C4965,C4941,C4917,C4893,C4869,C4845)/POBLA!$B$20*100000</f>
        <v>459.39545745396475</v>
      </c>
      <c r="H5157" s="256">
        <f t="shared" si="619"/>
        <v>1.1222444889779559</v>
      </c>
      <c r="I5157" s="297">
        <f t="shared" si="628"/>
        <v>515.55402038921898</v>
      </c>
      <c r="J5157" s="297">
        <f t="shared" si="629"/>
        <v>137.71428571428572</v>
      </c>
      <c r="K5157" s="297">
        <f>J5157/POBLA!$B$20*100000</f>
        <v>37.657926954559699</v>
      </c>
      <c r="L5157" s="549">
        <f t="shared" si="620"/>
        <v>-0.34636871508379885</v>
      </c>
      <c r="M5157" s="401">
        <f>SUM(C5157,C5133,C5109,C5085,C5061,C5037,C5013)/POBLA!$B$20*100000</f>
        <v>263.60548868191785</v>
      </c>
    </row>
    <row r="5158" spans="1:13" s="360" customFormat="1" ht="15.75" thickBot="1" x14ac:dyDescent="0.3">
      <c r="A5158" s="367" t="s">
        <v>22</v>
      </c>
      <c r="B5158" s="269">
        <v>44107</v>
      </c>
      <c r="C5158" s="1">
        <v>1450</v>
      </c>
      <c r="D5158" s="39">
        <f t="shared" si="631"/>
        <v>48165</v>
      </c>
      <c r="E5158" s="1">
        <f>7+8</f>
        <v>15</v>
      </c>
      <c r="F5158" s="409">
        <f>E5158+F5134</f>
        <v>506</v>
      </c>
      <c r="G5158" s="168">
        <f>SUM(C5158,C5134,C5110,C5086,C5062,C5038,C5014,C4990,C4966,C4942,C4918,C4894,C4870,C4846)/POBLA!$B$21*100000</f>
        <v>640.39375435822353</v>
      </c>
      <c r="H5158" s="256">
        <f t="shared" si="619"/>
        <v>1.6160268303125447</v>
      </c>
      <c r="I5158" s="297">
        <f t="shared" si="628"/>
        <v>1034.8934890074704</v>
      </c>
      <c r="J5158" s="297">
        <f t="shared" si="629"/>
        <v>1759.1428571428571</v>
      </c>
      <c r="K5158" s="297">
        <f>J5158/POBLA!$B$21*100000</f>
        <v>49.74363486281478</v>
      </c>
      <c r="L5158" s="549">
        <f t="shared" si="620"/>
        <v>-0.19171586180199363</v>
      </c>
      <c r="M5158" s="401">
        <f>SUM(C5158,C5134,C5110,C5086,C5062,C5038,C5014)/POBLA!$B$21*100000</f>
        <v>348.20544403970342</v>
      </c>
    </row>
    <row r="5159" spans="1:13" s="360" customFormat="1" ht="15.75" thickBot="1" x14ac:dyDescent="0.3">
      <c r="A5159" s="367" t="s">
        <v>38</v>
      </c>
      <c r="B5159" s="269">
        <v>44107</v>
      </c>
      <c r="C5159" s="1">
        <v>123</v>
      </c>
      <c r="D5159" s="39">
        <f t="shared" si="631"/>
        <v>3844</v>
      </c>
      <c r="E5159" s="1">
        <f>1</f>
        <v>1</v>
      </c>
      <c r="F5159" s="409">
        <f t="shared" si="630"/>
        <v>65</v>
      </c>
      <c r="G5159" s="168">
        <f>SUM(C5159,C5135,C5111,C5087,C5063,C5039,C5015,C4991,C4967,C4943,C4919,C4895,C4871,C4847)/POBLA!$B$22*100000</f>
        <v>157.61826736433022</v>
      </c>
      <c r="H5159" s="256">
        <f t="shared" si="619"/>
        <v>1.4238227146814404</v>
      </c>
      <c r="I5159" s="297">
        <f t="shared" si="628"/>
        <v>224.42046932206574</v>
      </c>
      <c r="J5159" s="297">
        <f t="shared" si="629"/>
        <v>136.42857142857142</v>
      </c>
      <c r="K5159" s="297">
        <f>J5159/POBLA!$B$22*100000</f>
        <v>13.945288617096105</v>
      </c>
      <c r="L5159" s="549">
        <f t="shared" si="620"/>
        <v>-0.62691652470187398</v>
      </c>
      <c r="M5159" s="401">
        <f>SUM(C5159,C5135,C5111,C5087,C5063,C5039,C5015)/POBLA!$B$22*100000</f>
        <v>97.617020319672747</v>
      </c>
    </row>
    <row r="5160" spans="1:13" s="360" customFormat="1" ht="15.75" thickBot="1" x14ac:dyDescent="0.3">
      <c r="A5160" s="367" t="s">
        <v>39</v>
      </c>
      <c r="B5160" s="269">
        <v>44107</v>
      </c>
      <c r="C5160" s="1">
        <v>188</v>
      </c>
      <c r="D5160" s="39">
        <f t="shared" si="631"/>
        <v>4908</v>
      </c>
      <c r="E5160" s="1">
        <f>1</f>
        <v>1</v>
      </c>
      <c r="F5160" s="409">
        <f t="shared" ref="F5160:F5171" si="632">E5160+F5136</f>
        <v>71</v>
      </c>
      <c r="G5160" s="168">
        <f>SUM(C5160,C5136,C5112,C5088,C5064,C5040,C5016,C4992,C4968,C4944,C4920,C4896,C4872,C4848)/POBLA!$B$23*100000</f>
        <v>1012.271673358593</v>
      </c>
      <c r="H5160" s="256">
        <f t="shared" si="619"/>
        <v>2.1776155717761556</v>
      </c>
      <c r="I5160" s="297">
        <f t="shared" si="628"/>
        <v>2204.3385587735784</v>
      </c>
      <c r="J5160" s="297">
        <f t="shared" si="629"/>
        <v>180.85714285714286</v>
      </c>
      <c r="K5160" s="297">
        <f>J5160/POBLA!$B$23*100000</f>
        <v>102.27740929544922</v>
      </c>
      <c r="L5160" s="549">
        <f t="shared" si="620"/>
        <v>-1.4160305343511452</v>
      </c>
      <c r="M5160" s="401">
        <f>SUM(C5160,C5136,C5112,C5088,C5064,C5040,C5016)/POBLA!$B$23*100000</f>
        <v>715.94186506814447</v>
      </c>
    </row>
    <row r="5161" spans="1:13" s="360" customFormat="1" ht="15.75" thickBot="1" x14ac:dyDescent="0.3">
      <c r="A5161" s="369" t="s">
        <v>40</v>
      </c>
      <c r="B5161" s="269">
        <v>44107</v>
      </c>
      <c r="C5161" s="1">
        <v>412</v>
      </c>
      <c r="D5161" s="176">
        <f t="shared" si="631"/>
        <v>16632</v>
      </c>
      <c r="E5161" s="1"/>
      <c r="F5161" s="476">
        <f t="shared" si="632"/>
        <v>140</v>
      </c>
      <c r="G5161" s="177">
        <f>SUM(C5161,C5137,C5113,C5089,C5065,C5041,C5017,C4993,C4969,C4945,C4921,C4897,C4873,C4849)/POBLA!$B$24*100000</f>
        <v>435.42760300615583</v>
      </c>
      <c r="H5161" s="402">
        <f t="shared" si="619"/>
        <v>1.3269196187736019</v>
      </c>
      <c r="I5161" s="403">
        <f t="shared" si="628"/>
        <v>577.77742898443159</v>
      </c>
      <c r="J5161" s="403">
        <f t="shared" si="629"/>
        <v>643.28571428571433</v>
      </c>
      <c r="K5161" s="403">
        <f>J5161/POBLA!$B$24*100000</f>
        <v>37.959663452978909</v>
      </c>
      <c r="L5161" s="550">
        <f t="shared" si="620"/>
        <v>-0.56571627260083446</v>
      </c>
      <c r="M5161" s="405">
        <f>SUM(C5161,C5137,C5113,C5089,C5065,C5041,C5017)/POBLA!$B$24*100000</f>
        <v>265.7176441708524</v>
      </c>
    </row>
    <row r="5162" spans="1:13" s="360" customFormat="1" ht="15.75" thickBot="1" x14ac:dyDescent="0.3">
      <c r="A5162" s="363" t="s">
        <v>16</v>
      </c>
      <c r="B5162" s="269">
        <v>44108</v>
      </c>
      <c r="C5162" s="1">
        <v>2648</v>
      </c>
      <c r="D5162" s="174">
        <f>C5162+D5138</f>
        <v>435934</v>
      </c>
      <c r="E5162" s="1">
        <v>59</v>
      </c>
      <c r="F5162" s="475">
        <f t="shared" si="632"/>
        <v>13414</v>
      </c>
      <c r="G5162" s="175">
        <f>SUM(C5162,C5138,C5114,C5090,C5066,C5042,C5018,C4994,C4970,C4946,C4922,C4898,C4874,C4850)/POBLA!$B$1*100000</f>
        <v>385.68756730249186</v>
      </c>
      <c r="H5162" s="300">
        <f t="shared" si="619"/>
        <v>0.8921328164148008</v>
      </c>
      <c r="I5162" s="301">
        <f>G5162*H5162</f>
        <v>344.08453567374511</v>
      </c>
      <c r="J5162" s="301">
        <f>AVERAGE(C5162,C5138,C5114,C5090,C5066,C5042,C5018)</f>
        <v>4867.4285714285716</v>
      </c>
      <c r="K5162" s="301">
        <f>J5162/POBLA!$B$1*100000</f>
        <v>27.748642870087934</v>
      </c>
      <c r="L5162" s="548">
        <f t="shared" si="620"/>
        <v>-1.4591150020844434E-2</v>
      </c>
      <c r="M5162" s="400">
        <f>SUM(C5162,C5138,C5114,C5090,C5066,C5042,C5018)/POBLA!$B$1*100000</f>
        <v>194.24050009061554</v>
      </c>
    </row>
    <row r="5163" spans="1:13" s="360" customFormat="1" ht="15.75" thickBot="1" x14ac:dyDescent="0.3">
      <c r="A5163" s="367" t="s">
        <v>43</v>
      </c>
      <c r="B5163" s="269">
        <v>44108</v>
      </c>
      <c r="C5163" s="1">
        <v>533</v>
      </c>
      <c r="D5163" s="39">
        <f t="shared" ref="D5163:D5175" si="633">C5163+D5139</f>
        <v>129274</v>
      </c>
      <c r="E5163" s="1">
        <f>30+27</f>
        <v>57</v>
      </c>
      <c r="F5163" s="409">
        <f t="shared" si="632"/>
        <v>3623</v>
      </c>
      <c r="G5163" s="168">
        <f>SUM(C5163,C5139,C5115,C5091,C5067,C5043,C5019,C4995,C4971,C4947,C4923,C4899,C4875,C4851)/POBLA!$B$2*100000</f>
        <v>390.16193671183225</v>
      </c>
      <c r="H5163" s="256">
        <f t="shared" si="619"/>
        <v>0.83600390135153968</v>
      </c>
      <c r="I5163" s="297">
        <f t="shared" ref="I5163:I5185" si="634">G5163*H5163</f>
        <v>326.17690124996426</v>
      </c>
      <c r="J5163" s="297">
        <f t="shared" ref="J5163:J5185" si="635">AVERAGE(C5163,C5139,C5115,C5091,C5067,C5043,C5019)</f>
        <v>855.14285714285711</v>
      </c>
      <c r="K5163" s="297">
        <f>J5163/POBLA!$B$2*100000</f>
        <v>27.803682775678901</v>
      </c>
      <c r="L5163" s="549">
        <f t="shared" si="620"/>
        <v>4.655803126039193E-3</v>
      </c>
      <c r="M5163" s="401">
        <f>SUM(C5163,C5139,C5115,C5091,C5067,C5043,C5019)/POBLA!$B$2*100000</f>
        <v>194.62577942975233</v>
      </c>
    </row>
    <row r="5164" spans="1:13" s="360" customFormat="1" ht="15.75" thickBot="1" x14ac:dyDescent="0.3">
      <c r="A5164" s="367" t="s">
        <v>28</v>
      </c>
      <c r="B5164" s="269">
        <v>44108</v>
      </c>
      <c r="C5164" s="1">
        <v>13</v>
      </c>
      <c r="D5164" s="39">
        <f t="shared" si="633"/>
        <v>318</v>
      </c>
      <c r="E5164" s="1"/>
      <c r="F5164" s="409">
        <f t="shared" si="632"/>
        <v>0</v>
      </c>
      <c r="G5164" s="168">
        <f>SUM(C5164,C5140,C5116,C5092,C5068,C5044,C5020,C4996,C4972,C4948,C4924,C4900,C4876,C4852)/POBLA!$B$3*100000</f>
        <v>30.570145244296381</v>
      </c>
      <c r="H5164" s="256">
        <f t="shared" si="619"/>
        <v>1.2095238095238094</v>
      </c>
      <c r="I5164" s="297">
        <f t="shared" si="634"/>
        <v>36.975318533577521</v>
      </c>
      <c r="J5164" s="297">
        <f t="shared" si="635"/>
        <v>6.5714285714285712</v>
      </c>
      <c r="K5164" s="297">
        <f>J5164/POBLA!$B$3*100000</f>
        <v>1.5818072904810274</v>
      </c>
      <c r="L5164" s="549">
        <f t="shared" si="620"/>
        <v>0.4320987654320988</v>
      </c>
      <c r="M5164" s="401">
        <f>SUM(C5164,C5140,C5116,C5092,C5068,C5044,C5020)/POBLA!$B$3*100000</f>
        <v>11.072651033367194</v>
      </c>
    </row>
    <row r="5165" spans="1:13" s="360" customFormat="1" ht="15.75" thickBot="1" x14ac:dyDescent="0.3">
      <c r="A5165" s="367" t="s">
        <v>15</v>
      </c>
      <c r="B5165" s="269">
        <v>44108</v>
      </c>
      <c r="C5165" s="1">
        <v>177</v>
      </c>
      <c r="D5165" s="39">
        <f t="shared" si="633"/>
        <v>9240</v>
      </c>
      <c r="E5165" s="1">
        <f>2</f>
        <v>2</v>
      </c>
      <c r="F5165" s="409">
        <f t="shared" si="632"/>
        <v>300</v>
      </c>
      <c r="G5165" s="168">
        <f>SUM(C5165,C5141,C5117,C5093,C5069,C5045,C5021,C4997,C4973,C4949,C4925,C4901,C4877,C4853)/POBLA!$B$4*100000</f>
        <v>151.92509013806918</v>
      </c>
      <c r="H5165" s="256">
        <f t="shared" si="619"/>
        <v>1.3108882521489971</v>
      </c>
      <c r="I5165" s="297">
        <f t="shared" si="634"/>
        <v>199.15681586867234</v>
      </c>
      <c r="J5165" s="297">
        <f t="shared" si="635"/>
        <v>151.71428571428572</v>
      </c>
      <c r="K5165" s="297">
        <f>J5165/POBLA!$B$4*100000</f>
        <v>12.595194826434776</v>
      </c>
      <c r="L5165" s="549">
        <f t="shared" si="620"/>
        <v>-0.3828125</v>
      </c>
      <c r="M5165" s="401">
        <f>SUM(C5165,C5141,C5117,C5093,C5069,C5045,C5021)/POBLA!$B$4*100000</f>
        <v>88.16636378504343</v>
      </c>
    </row>
    <row r="5166" spans="1:13" s="360" customFormat="1" ht="15.75" thickBot="1" x14ac:dyDescent="0.3">
      <c r="A5166" s="367" t="s">
        <v>29</v>
      </c>
      <c r="B5166" s="269">
        <v>44108</v>
      </c>
      <c r="C5166" s="1">
        <v>181</v>
      </c>
      <c r="D5166" s="39">
        <f t="shared" si="633"/>
        <v>4687</v>
      </c>
      <c r="E5166" s="1"/>
      <c r="F5166" s="409">
        <f t="shared" si="632"/>
        <v>58</v>
      </c>
      <c r="G5166" s="168">
        <f>SUM(C5166,C5142,C5118,C5094,C5070,C5046,C5022,C4998,C4974,C4950,C4926,C4902,C4878,C4854)/POBLA!$B$5*100000</f>
        <v>384.49484163012892</v>
      </c>
      <c r="H5166" s="256">
        <f t="shared" si="619"/>
        <v>2.1834862385321099</v>
      </c>
      <c r="I5166" s="297">
        <f t="shared" si="634"/>
        <v>839.53919548596946</v>
      </c>
      <c r="J5166" s="297">
        <f t="shared" si="635"/>
        <v>182.57142857142858</v>
      </c>
      <c r="K5166" s="297">
        <f>J5166/POBLA!$B$5*100000</f>
        <v>29.494862401158748</v>
      </c>
      <c r="L5166" s="549">
        <f t="shared" si="620"/>
        <v>-0.15970961887477308</v>
      </c>
      <c r="M5166" s="401">
        <f>SUM(C5166,C5142,C5118,C5094,C5070,C5046,C5022)/POBLA!$B$5*100000</f>
        <v>206.46403680811125</v>
      </c>
    </row>
    <row r="5167" spans="1:13" s="360" customFormat="1" ht="15.75" thickBot="1" x14ac:dyDescent="0.3">
      <c r="A5167" s="367" t="s">
        <v>20</v>
      </c>
      <c r="B5167" s="269">
        <v>44108</v>
      </c>
      <c r="C5167" s="1">
        <v>1154</v>
      </c>
      <c r="D5167" s="39">
        <f t="shared" si="633"/>
        <v>40550</v>
      </c>
      <c r="E5167" s="1">
        <f>9+16</f>
        <v>25</v>
      </c>
      <c r="F5167" s="409">
        <f t="shared" si="632"/>
        <v>472</v>
      </c>
      <c r="G5167" s="168">
        <f>SUM(C5167,C5143,C5119,C5095,C5071,C5047,C5023,C4999,C4975,C4951,C4927,C4903,C4879,C4855)/POBLA!$B$6*100000</f>
        <v>1904.1738899233674</v>
      </c>
      <c r="H5167" s="256">
        <f t="shared" si="619"/>
        <v>2.6492055610724927</v>
      </c>
      <c r="I5167" s="297">
        <f t="shared" si="634"/>
        <v>5044.5480584340257</v>
      </c>
      <c r="J5167" s="297">
        <f t="shared" si="635"/>
        <v>1620</v>
      </c>
      <c r="K5167" s="297">
        <f>J5167/POBLA!$B$6*100000</f>
        <v>144.5394856000307</v>
      </c>
      <c r="L5167" s="549">
        <f t="shared" si="620"/>
        <v>-0.13377324535092971</v>
      </c>
      <c r="M5167" s="401">
        <f>SUM(C5167,C5143,C5119,C5095,C5071,C5047,C5023)/POBLA!$B$6*100000</f>
        <v>1011.7763992002149</v>
      </c>
    </row>
    <row r="5168" spans="1:13" s="360" customFormat="1" ht="15.75" thickBot="1" x14ac:dyDescent="0.3">
      <c r="A5168" s="367" t="s">
        <v>30</v>
      </c>
      <c r="B5168" s="269">
        <v>44108</v>
      </c>
      <c r="C5168" s="1">
        <v>4</v>
      </c>
      <c r="D5168" s="39">
        <f t="shared" si="633"/>
        <v>1174</v>
      </c>
      <c r="E5168" s="1"/>
      <c r="F5168" s="409">
        <f t="shared" si="632"/>
        <v>27</v>
      </c>
      <c r="G5168" s="168">
        <f>SUM(C5168,C5144,C5120,C5096,C5072,C5048,C5024,C5000,C4976,C4952,C4928,C4904,C4880,C4856)/POBLA!$B$7*100000</f>
        <v>5.4780677844406922</v>
      </c>
      <c r="H5168" s="256">
        <f t="shared" si="619"/>
        <v>0.3306581059390048</v>
      </c>
      <c r="I5168" s="297">
        <f t="shared" si="634"/>
        <v>1.8113675178086397</v>
      </c>
      <c r="J5168" s="297">
        <f t="shared" si="635"/>
        <v>15.857142857142858</v>
      </c>
      <c r="K5168" s="297">
        <f>J5168/POBLA!$B$7*100000</f>
        <v>0.42168205552906851</v>
      </c>
      <c r="L5168" s="549">
        <f t="shared" si="620"/>
        <v>-0.16842105263157903</v>
      </c>
      <c r="M5168" s="401">
        <f>SUM(C5168,C5144,C5120,C5096,C5072,C5048,C5024)/POBLA!$B$7*100000</f>
        <v>2.95177438870348</v>
      </c>
    </row>
    <row r="5169" spans="1:13" ht="15.75" thickBot="1" x14ac:dyDescent="0.3">
      <c r="A5169" s="367" t="s">
        <v>31</v>
      </c>
      <c r="B5169" s="269">
        <v>44108</v>
      </c>
      <c r="C5169" s="1">
        <v>125</v>
      </c>
      <c r="D5169" s="39">
        <f t="shared" si="633"/>
        <v>8119</v>
      </c>
      <c r="F5169" s="409">
        <f t="shared" si="632"/>
        <v>143</v>
      </c>
      <c r="G5169" s="168">
        <f>SUM(C5169,C5145,C5121,C5097,C5073,C5049,C5025,C5001,C4977,C4953,C4929,C4905,C4881,C4857)/POBLA!$B$8*100000</f>
        <v>138.02697189892069</v>
      </c>
      <c r="H5169" s="256">
        <f t="shared" si="619"/>
        <v>1</v>
      </c>
      <c r="I5169" s="297">
        <f t="shared" si="634"/>
        <v>138.02697189892069</v>
      </c>
      <c r="J5169" s="297">
        <f t="shared" si="635"/>
        <v>154</v>
      </c>
      <c r="K5169" s="297">
        <f>J5169/POBLA!$B$8*100000</f>
        <v>11.111423770221528</v>
      </c>
      <c r="L5169" s="549">
        <f t="shared" si="620"/>
        <v>-0.29101796407185621</v>
      </c>
      <c r="M5169" s="401">
        <f>SUM(C5169,C5145,C5121,C5097,C5073,C5049,C5025)/POBLA!$B$8*100000</f>
        <v>77.779966391550701</v>
      </c>
    </row>
    <row r="5170" spans="1:13" s="360" customFormat="1" ht="15.75" thickBot="1" x14ac:dyDescent="0.3">
      <c r="A5170" s="367" t="s">
        <v>41</v>
      </c>
      <c r="B5170" s="269">
        <v>44108</v>
      </c>
      <c r="C5170" s="1">
        <v>0</v>
      </c>
      <c r="D5170" s="39">
        <f t="shared" si="633"/>
        <v>105</v>
      </c>
      <c r="E5170" s="1"/>
      <c r="F5170" s="409">
        <f t="shared" si="632"/>
        <v>1</v>
      </c>
      <c r="G5170" s="168">
        <f>SUM(C5170,C5146,C5122,C5098,C5074,C5050,C5026,C5002,C4978,C4954,C4930,C4906,C4882,C4858)/POBLA!$B$9*100000</f>
        <v>0.66094617750040074</v>
      </c>
      <c r="H5170" s="256">
        <f t="shared" si="619"/>
        <v>0.36363636363636365</v>
      </c>
      <c r="I5170" s="297">
        <f t="shared" si="634"/>
        <v>0.24034406454560028</v>
      </c>
      <c r="J5170" s="297">
        <f t="shared" si="635"/>
        <v>0</v>
      </c>
      <c r="K5170" s="297">
        <f>J5170/POBLA!$B$9*100000</f>
        <v>0</v>
      </c>
      <c r="L5170" s="549">
        <f t="shared" si="620"/>
        <v>1</v>
      </c>
      <c r="M5170" s="401">
        <f>SUM(C5170,C5146,C5122,C5098,C5074,C5050,C5026)/POBLA!$B$9*100000</f>
        <v>0</v>
      </c>
    </row>
    <row r="5171" spans="1:13" s="360" customFormat="1" ht="15.75" thickBot="1" x14ac:dyDescent="0.3">
      <c r="A5171" s="367" t="s">
        <v>32</v>
      </c>
      <c r="B5171" s="269">
        <v>44108</v>
      </c>
      <c r="C5171" s="1">
        <v>37</v>
      </c>
      <c r="D5171" s="39">
        <f t="shared" si="633"/>
        <v>16120</v>
      </c>
      <c r="E5171" s="1">
        <f>16+5</f>
        <v>21</v>
      </c>
      <c r="F5171" s="409">
        <f t="shared" si="632"/>
        <v>560</v>
      </c>
      <c r="G5171" s="168">
        <f>SUM(C5171,C5147,C5123,C5099,C5075,C5051,C5027,C5003,C4979,C4955,C4931,C4907,C4883,C4859)/POBLA!$B$10*100000</f>
        <v>255.55176479897676</v>
      </c>
      <c r="H5171" s="256">
        <f t="shared" si="619"/>
        <v>0.48944099378881989</v>
      </c>
      <c r="I5171" s="297">
        <f t="shared" si="634"/>
        <v>125.07750972769794</v>
      </c>
      <c r="J5171" s="297">
        <f t="shared" si="635"/>
        <v>116.85714285714286</v>
      </c>
      <c r="K5171" s="297">
        <f>J5171/POBLA!$B$10*100000</f>
        <v>15.158908165740609</v>
      </c>
      <c r="L5171" s="549">
        <f t="shared" si="620"/>
        <v>0.28993055555555558</v>
      </c>
      <c r="M5171" s="401">
        <f>SUM(C5171,C5147,C5123,C5099,C5075,C5051,C5027)/POBLA!$B$10*100000</f>
        <v>106.11235716018426</v>
      </c>
    </row>
    <row r="5172" spans="1:13" s="360" customFormat="1" ht="15.75" thickBot="1" x14ac:dyDescent="0.3">
      <c r="A5172" s="367" t="s">
        <v>33</v>
      </c>
      <c r="B5172" s="269">
        <v>44108</v>
      </c>
      <c r="C5172" s="1">
        <v>24</v>
      </c>
      <c r="D5172" s="39">
        <f t="shared" si="633"/>
        <v>855</v>
      </c>
      <c r="E5172" s="1">
        <f>2</f>
        <v>2</v>
      </c>
      <c r="F5172" s="409">
        <f t="shared" ref="F5172:F5183" si="636">E5172+F5148</f>
        <v>11</v>
      </c>
      <c r="G5172" s="168">
        <f>SUM(C5172,C5148,C5124,C5100,C5076,C5052,C5028,C5004,C4980,C4956,C4932,C4908,C4884,C4860)/POBLA!$B$11*100000</f>
        <v>80.07186938520428</v>
      </c>
      <c r="H5172" s="256">
        <f t="shared" si="619"/>
        <v>0.85928143712574845</v>
      </c>
      <c r="I5172" s="297">
        <f t="shared" si="634"/>
        <v>68.804270998663554</v>
      </c>
      <c r="J5172" s="297">
        <f t="shared" si="635"/>
        <v>23</v>
      </c>
      <c r="K5172" s="297">
        <f>J5172/POBLA!$B$11*100000</f>
        <v>6.4169093932393668</v>
      </c>
      <c r="L5172" s="549">
        <f t="shared" si="620"/>
        <v>-0.27777777777777768</v>
      </c>
      <c r="M5172" s="401">
        <f>SUM(C5172,C5148,C5124,C5100,C5076,C5052,C5028)/POBLA!$B$11*100000</f>
        <v>44.91836575267557</v>
      </c>
    </row>
    <row r="5173" spans="1:13" s="360" customFormat="1" ht="15.75" thickBot="1" x14ac:dyDescent="0.3">
      <c r="A5173" s="367" t="s">
        <v>21</v>
      </c>
      <c r="B5173" s="269">
        <v>44108</v>
      </c>
      <c r="C5173" s="1">
        <v>62</v>
      </c>
      <c r="D5173" s="39">
        <f t="shared" si="633"/>
        <v>5116</v>
      </c>
      <c r="E5173" s="1"/>
      <c r="F5173" s="409">
        <f t="shared" si="636"/>
        <v>105</v>
      </c>
      <c r="G5173" s="168">
        <f>SUM(C5173,C5149,C5125,C5101,C5077,C5053,C5029,C5005,C4981,C4957,C4933,C4909,C4885,C4861)/POBLA!$B$12*100000</f>
        <v>347.11369625264592</v>
      </c>
      <c r="H5173" s="256">
        <f t="shared" si="619"/>
        <v>0.79836353009935712</v>
      </c>
      <c r="I5173" s="297">
        <f t="shared" si="634"/>
        <v>277.12291588609838</v>
      </c>
      <c r="J5173" s="297">
        <f t="shared" si="635"/>
        <v>76.285714285714292</v>
      </c>
      <c r="K5173" s="297">
        <f>J5173/POBLA!$B$12*100000</f>
        <v>19.384931374075816</v>
      </c>
      <c r="L5173" s="549">
        <f t="shared" si="620"/>
        <v>0.35817307692307687</v>
      </c>
      <c r="M5173" s="401">
        <f>SUM(C5173,C5149,C5125,C5101,C5077,C5053,C5029)/POBLA!$B$12*100000</f>
        <v>135.69451961853071</v>
      </c>
    </row>
    <row r="5174" spans="1:13" s="360" customFormat="1" ht="15.75" thickBot="1" x14ac:dyDescent="0.3">
      <c r="A5174" s="367" t="s">
        <v>17</v>
      </c>
      <c r="B5174" s="269">
        <v>44108</v>
      </c>
      <c r="C5174" s="1">
        <v>377</v>
      </c>
      <c r="D5174" s="39">
        <f t="shared" si="633"/>
        <v>27501</v>
      </c>
      <c r="E5174" s="1">
        <f>2+4</f>
        <v>6</v>
      </c>
      <c r="F5174" s="409">
        <f t="shared" si="636"/>
        <v>310</v>
      </c>
      <c r="G5174" s="168">
        <f>SUM(C5174,C5150,C5126,C5102,C5078,C5054,C5030,C5006,C4982,C4958,C4934,C4910,C4886,C4862)/POBLA!$B$13*100000</f>
        <v>434.64979315071105</v>
      </c>
      <c r="H5174" s="256">
        <f t="shared" si="619"/>
        <v>0.94515459412214575</v>
      </c>
      <c r="I5174" s="297">
        <f t="shared" si="634"/>
        <v>410.8112488306349</v>
      </c>
      <c r="J5174" s="297">
        <f t="shared" si="635"/>
        <v>637.14285714285711</v>
      </c>
      <c r="K5174" s="297">
        <f>J5174/POBLA!$B$13*100000</f>
        <v>32.011791823441904</v>
      </c>
      <c r="L5174" s="549">
        <f t="shared" si="620"/>
        <v>-6.4185158673347731E-2</v>
      </c>
      <c r="M5174" s="401">
        <f>SUM(C5174,C5150,C5126,C5102,C5078,C5054,C5030)/POBLA!$B$13*100000</f>
        <v>224.08254276409332</v>
      </c>
    </row>
    <row r="5175" spans="1:13" s="360" customFormat="1" ht="15.75" thickBot="1" x14ac:dyDescent="0.3">
      <c r="A5175" s="367" t="s">
        <v>23</v>
      </c>
      <c r="B5175" s="269">
        <v>44108</v>
      </c>
      <c r="C5175" s="1">
        <v>-1</v>
      </c>
      <c r="D5175" s="39">
        <f t="shared" si="633"/>
        <v>103</v>
      </c>
      <c r="E5175" s="1"/>
      <c r="F5175" s="409">
        <f t="shared" si="636"/>
        <v>4</v>
      </c>
      <c r="G5175" s="168">
        <f>SUM(C5175,C5151,C5127,C5103,C5079,C5055,C5031,C5007,C4983,C4959,C4935,C4911,C4887,C4863)/POBLA!$B$14*100000</f>
        <v>2.6163606581812013</v>
      </c>
      <c r="H5175" s="256">
        <f t="shared" si="619"/>
        <v>11</v>
      </c>
      <c r="I5175" s="297">
        <f t="shared" si="634"/>
        <v>28.779967239993216</v>
      </c>
      <c r="J5175" s="297">
        <f t="shared" si="635"/>
        <v>2.5714285714285716</v>
      </c>
      <c r="K5175" s="297">
        <f>J5175/POBLA!$B$14*100000</f>
        <v>0.20387225907905465</v>
      </c>
      <c r="L5175" s="549">
        <f t="shared" si="620"/>
        <v>-0.19999999999999996</v>
      </c>
      <c r="M5175" s="401">
        <f>SUM(C5175,C5151,C5127,C5103,C5079,C5055,C5031)/POBLA!$B$14*100000</f>
        <v>1.4271058135533825</v>
      </c>
    </row>
    <row r="5176" spans="1:13" s="360" customFormat="1" ht="15.75" thickBot="1" x14ac:dyDescent="0.3">
      <c r="A5176" s="367" t="s">
        <v>19</v>
      </c>
      <c r="B5176" s="269">
        <v>44108</v>
      </c>
      <c r="C5176" s="1">
        <v>266</v>
      </c>
      <c r="D5176" s="39">
        <f>C5176+D5152</f>
        <v>8879</v>
      </c>
      <c r="E5176" s="1">
        <f>1</f>
        <v>1</v>
      </c>
      <c r="F5176" s="409">
        <f t="shared" si="636"/>
        <v>122</v>
      </c>
      <c r="G5176" s="168">
        <f>SUM(C5176,C5152,C5128,C5104,C5080,C5056,C5032,C5008,C4984,C4960,C4936,C4912,C4888,C4864)/POBLA!$B$15*100000</f>
        <v>431.74004641167846</v>
      </c>
      <c r="H5176" s="256">
        <f t="shared" si="619"/>
        <v>1.3073415412676699</v>
      </c>
      <c r="I5176" s="297">
        <f t="shared" si="634"/>
        <v>564.43169770281906</v>
      </c>
      <c r="J5176" s="297">
        <f t="shared" si="635"/>
        <v>220.42857142857142</v>
      </c>
      <c r="K5176" s="297">
        <f>J5176/POBLA!$B$15*100000</f>
        <v>33.194224506114899</v>
      </c>
      <c r="L5176" s="549">
        <f t="shared" si="620"/>
        <v>-0.1654078549848943</v>
      </c>
      <c r="M5176" s="401">
        <f>SUM(C5176,C5152,C5128,C5104,C5080,C5056,C5032)/POBLA!$B$15*100000</f>
        <v>232.3595715428043</v>
      </c>
    </row>
    <row r="5177" spans="1:13" s="360" customFormat="1" ht="15.75" thickBot="1" x14ac:dyDescent="0.3">
      <c r="A5177" s="367" t="s">
        <v>18</v>
      </c>
      <c r="B5177" s="269">
        <v>44108</v>
      </c>
      <c r="C5177" s="1">
        <v>230</v>
      </c>
      <c r="D5177" s="39">
        <f>C5177+D5153</f>
        <v>14057</v>
      </c>
      <c r="E5177" s="1">
        <f>2+1</f>
        <v>3</v>
      </c>
      <c r="F5177" s="409">
        <f t="shared" si="636"/>
        <v>310</v>
      </c>
      <c r="G5177" s="168">
        <f>SUM(C5177,C5153,C5129,C5105,C5081,C5057,C5033,C5009,C4985,C4961,C4937,C4913,C4889,C4865)/POBLA!$B$16*100000</f>
        <v>496.3818033466647</v>
      </c>
      <c r="H5177" s="256">
        <f t="shared" si="619"/>
        <v>1.1061102831594636</v>
      </c>
      <c r="I5177" s="297">
        <f t="shared" si="634"/>
        <v>549.05301705498448</v>
      </c>
      <c r="J5177" s="297">
        <f t="shared" si="635"/>
        <v>305.57142857142856</v>
      </c>
      <c r="K5177" s="297">
        <f>J5177/POBLA!$B$16*100000</f>
        <v>40.873106107653527</v>
      </c>
      <c r="L5177" s="549">
        <f t="shared" si="620"/>
        <v>-0.36068702290076327</v>
      </c>
      <c r="M5177" s="401">
        <f>SUM(C5177,C5153,C5129,C5105,C5081,C5057,C5033)/POBLA!$B$16*100000</f>
        <v>286.11174275357473</v>
      </c>
    </row>
    <row r="5178" spans="1:13" s="360" customFormat="1" ht="15.75" thickBot="1" x14ac:dyDescent="0.3">
      <c r="A5178" s="367" t="s">
        <v>34</v>
      </c>
      <c r="B5178" s="269">
        <v>44108</v>
      </c>
      <c r="C5178" s="1">
        <v>288</v>
      </c>
      <c r="D5178" s="39">
        <f>C5178+D5154</f>
        <v>13523</v>
      </c>
      <c r="E5178" s="1">
        <f>10+7</f>
        <v>17</v>
      </c>
      <c r="F5178" s="409">
        <f>E5178+F5154</f>
        <v>383</v>
      </c>
      <c r="G5178" s="168">
        <f>SUM(C5178,C5154,C5130,C5106,C5082,C5058,C5034,C5010,C4986,C4962,C4938,C4914,C4890,C4866)/POBLA!$B$17*100000</f>
        <v>298.72289818077405</v>
      </c>
      <c r="H5178" s="256">
        <f t="shared" ref="H5178:H5209" si="637">SUM(C5178,C5154,C5130,C5106,C5082,C5058,C5034,C5010,C4986,C4962,C4938,C4914,C4890,C4866)/SUM(C4842,C4818,C4794,C4770,C4746,C4722,C4698,C4674,C4650,C4626,C4602,C4578,C4554,C4530)</f>
        <v>0.91781708369283865</v>
      </c>
      <c r="I5178" s="297">
        <f t="shared" si="634"/>
        <v>274.17297924055083</v>
      </c>
      <c r="J5178" s="297">
        <f t="shared" si="635"/>
        <v>289.42857142857144</v>
      </c>
      <c r="K5178" s="297">
        <f>J5178/POBLA!$B$17*100000</f>
        <v>20.319375246407528</v>
      </c>
      <c r="L5178" s="549">
        <f t="shared" ref="L5178:L5209" si="638">1-SUM(C5178,C5154,C5130,C5106,C5082,C5058,C5034)/SUM(C5010,C4986,C4962,C4938,C4914,C4890,C4866)</f>
        <v>9.1072229699416751E-2</v>
      </c>
      <c r="M5178" s="401">
        <f>SUM(C5178,C5154,C5130,C5106,C5082,C5058,C5034)/POBLA!$B$17*100000</f>
        <v>142.23562672485269</v>
      </c>
    </row>
    <row r="5179" spans="1:13" s="360" customFormat="1" ht="15.75" thickBot="1" x14ac:dyDescent="0.3">
      <c r="A5179" s="367" t="s">
        <v>35</v>
      </c>
      <c r="B5179" s="269">
        <v>44108</v>
      </c>
      <c r="C5179" s="1">
        <v>10</v>
      </c>
      <c r="D5179" s="39">
        <f t="shared" ref="D5179:D5185" si="639">C5179+D5155</f>
        <v>839</v>
      </c>
      <c r="E5179" s="1">
        <f>2</f>
        <v>2</v>
      </c>
      <c r="F5179" s="409">
        <f>E5179+F5155</f>
        <v>42</v>
      </c>
      <c r="G5179" s="168">
        <f>SUM(C5179,C5155,C5131,C5107,C5083,C5059,C5035,C5011,C4987,C4963,C4939,C4915,C4891,C4867)/POBLA!$B$18*100000</f>
        <v>46.977984350058946</v>
      </c>
      <c r="H5179" s="256">
        <f t="shared" si="637"/>
        <v>3.8631578947368421</v>
      </c>
      <c r="I5179" s="297">
        <f t="shared" si="634"/>
        <v>181.48337112075404</v>
      </c>
      <c r="J5179" s="297">
        <f t="shared" si="635"/>
        <v>30.857142857142858</v>
      </c>
      <c r="K5179" s="297">
        <f>J5179/POBLA!$B$18*100000</f>
        <v>3.9498811286931619</v>
      </c>
      <c r="L5179" s="549">
        <f t="shared" si="638"/>
        <v>-0.43046357615894038</v>
      </c>
      <c r="M5179" s="401">
        <f>SUM(C5179,C5155,C5131,C5107,C5083,C5059,C5035)/POBLA!$B$18*100000</f>
        <v>27.649167900852131</v>
      </c>
    </row>
    <row r="5180" spans="1:13" s="360" customFormat="1" ht="15.75" thickBot="1" x14ac:dyDescent="0.3">
      <c r="A5180" s="367" t="s">
        <v>36</v>
      </c>
      <c r="B5180" s="269">
        <v>44108</v>
      </c>
      <c r="C5180" s="1">
        <v>51</v>
      </c>
      <c r="D5180" s="39">
        <f t="shared" si="639"/>
        <v>1700</v>
      </c>
      <c r="E5180" s="1">
        <f>4+2</f>
        <v>6</v>
      </c>
      <c r="F5180" s="409">
        <f t="shared" si="636"/>
        <v>25</v>
      </c>
      <c r="G5180" s="168">
        <f>SUM(C5180,C5156,C5132,C5108,C5084,C5060,C5036,C5012,C4988,C4964,C4940,C4916,C4892,C4868)/POBLA!$B$19*100000</f>
        <v>197.11682220928222</v>
      </c>
      <c r="H5180" s="256">
        <f t="shared" si="637"/>
        <v>2.2217294900221729</v>
      </c>
      <c r="I5180" s="297">
        <f t="shared" si="634"/>
        <v>437.94025688181989</v>
      </c>
      <c r="J5180" s="297">
        <f t="shared" si="635"/>
        <v>87</v>
      </c>
      <c r="K5180" s="297">
        <f>J5180/POBLA!$B$19*100000</f>
        <v>17.114933664877796</v>
      </c>
      <c r="L5180" s="549">
        <f t="shared" si="638"/>
        <v>-0.54961832061068705</v>
      </c>
      <c r="M5180" s="401">
        <f>SUM(C5180,C5156,C5132,C5108,C5084,C5060,C5036)/POBLA!$B$19*100000</f>
        <v>119.80453565414457</v>
      </c>
    </row>
    <row r="5181" spans="1:13" s="360" customFormat="1" ht="15.75" thickBot="1" x14ac:dyDescent="0.3">
      <c r="A5181" s="367" t="s">
        <v>37</v>
      </c>
      <c r="B5181" s="269">
        <v>44108</v>
      </c>
      <c r="C5181" s="1">
        <v>109</v>
      </c>
      <c r="D5181" s="39">
        <f t="shared" si="639"/>
        <v>5453</v>
      </c>
      <c r="E5181" s="1">
        <f>1</f>
        <v>1</v>
      </c>
      <c r="F5181" s="409">
        <f>E5181+F5157</f>
        <v>68</v>
      </c>
      <c r="G5181" s="168">
        <f>SUM(C5181,C5157,C5133,C5109,C5085,C5061,C5037,C5013,C4989,C4965,C4941,C4917,C4893,C4869)/POBLA!$B$20*100000</f>
        <v>466.50514905741898</v>
      </c>
      <c r="H5181" s="256">
        <f t="shared" si="637"/>
        <v>1.1692940370116518</v>
      </c>
      <c r="I5181" s="297">
        <f t="shared" si="634"/>
        <v>545.48168902807186</v>
      </c>
      <c r="J5181" s="297">
        <f t="shared" si="635"/>
        <v>142.28571428571428</v>
      </c>
      <c r="K5181" s="297">
        <f>J5181/POBLA!$B$20*100000</f>
        <v>38.907982621101091</v>
      </c>
      <c r="L5181" s="549">
        <f t="shared" si="638"/>
        <v>-0.40281690140845061</v>
      </c>
      <c r="M5181" s="401">
        <f>SUM(C5181,C5157,C5133,C5109,C5085,C5061,C5037)/POBLA!$B$20*100000</f>
        <v>272.35587834770769</v>
      </c>
    </row>
    <row r="5182" spans="1:13" s="360" customFormat="1" ht="15.75" thickBot="1" x14ac:dyDescent="0.3">
      <c r="A5182" s="367" t="s">
        <v>22</v>
      </c>
      <c r="B5182" s="269">
        <v>44108</v>
      </c>
      <c r="C5182" s="1">
        <v>851</v>
      </c>
      <c r="D5182" s="39">
        <f t="shared" si="639"/>
        <v>49016</v>
      </c>
      <c r="E5182" s="1">
        <f>6+10</f>
        <v>16</v>
      </c>
      <c r="F5182" s="409">
        <f>E5182+F5158</f>
        <v>522</v>
      </c>
      <c r="G5182" s="168">
        <f>SUM(C5182,C5158,C5134,C5110,C5086,C5062,C5038,C5014,C4990,C4966,C4942,C4918,C4894,C4870)/POBLA!$B$21*100000</f>
        <v>639.65854715138312</v>
      </c>
      <c r="H5182" s="256">
        <f t="shared" si="637"/>
        <v>1.5845474922947604</v>
      </c>
      <c r="I5182" s="297">
        <f t="shared" si="634"/>
        <v>1013.5693468136338</v>
      </c>
      <c r="J5182" s="297">
        <f t="shared" si="635"/>
        <v>1745.8571428571429</v>
      </c>
      <c r="K5182" s="297">
        <f>J5182/POBLA!$B$21*100000</f>
        <v>49.367952059319421</v>
      </c>
      <c r="L5182" s="549">
        <f t="shared" si="638"/>
        <v>-0.17509615384615396</v>
      </c>
      <c r="M5182" s="401">
        <f>SUM(C5182,C5158,C5134,C5110,C5086,C5062,C5038)/POBLA!$B$21*100000</f>
        <v>345.57566441523596</v>
      </c>
    </row>
    <row r="5183" spans="1:13" s="360" customFormat="1" ht="15.75" thickBot="1" x14ac:dyDescent="0.3">
      <c r="A5183" s="367" t="s">
        <v>38</v>
      </c>
      <c r="B5183" s="269">
        <v>44108</v>
      </c>
      <c r="C5183" s="1">
        <v>58</v>
      </c>
      <c r="D5183" s="39">
        <f t="shared" si="639"/>
        <v>3902</v>
      </c>
      <c r="E5183" s="1">
        <f>2</f>
        <v>2</v>
      </c>
      <c r="F5183" s="409">
        <f t="shared" si="636"/>
        <v>67</v>
      </c>
      <c r="G5183" s="168">
        <f>SUM(C5183,C5159,C5135,C5111,C5087,C5063,C5039,C5015,C4991,C4967,C4943,C4919,C4895,C4871)/POBLA!$B$22*100000</f>
        <v>156.39166606188408</v>
      </c>
      <c r="H5183" s="256">
        <f t="shared" si="637"/>
        <v>1.4206128133704736</v>
      </c>
      <c r="I5183" s="297">
        <f t="shared" si="634"/>
        <v>222.17200471186877</v>
      </c>
      <c r="J5183" s="297">
        <f t="shared" si="635"/>
        <v>120.71428571428571</v>
      </c>
      <c r="K5183" s="297">
        <f>J5183/POBLA!$B$22*100000</f>
        <v>12.339025006749958</v>
      </c>
      <c r="L5183" s="549">
        <f t="shared" si="638"/>
        <v>-0.23357664233576636</v>
      </c>
      <c r="M5183" s="401">
        <f>SUM(C5183,C5159,C5135,C5111,C5087,C5063,C5039)/POBLA!$B$22*100000</f>
        <v>86.373175047249703</v>
      </c>
    </row>
    <row r="5184" spans="1:13" s="360" customFormat="1" ht="15.75" thickBot="1" x14ac:dyDescent="0.3">
      <c r="A5184" s="367" t="s">
        <v>39</v>
      </c>
      <c r="B5184" s="269">
        <v>44108</v>
      </c>
      <c r="C5184" s="1">
        <v>135</v>
      </c>
      <c r="D5184" s="39">
        <f t="shared" si="639"/>
        <v>5043</v>
      </c>
      <c r="E5184" s="1"/>
      <c r="F5184" s="409">
        <f t="shared" ref="F5184:F5195" si="640">E5184+F5160</f>
        <v>71</v>
      </c>
      <c r="G5184" s="168">
        <f>SUM(C5184,C5160,C5136,C5112,C5088,C5064,C5040,C5016,C4992,C4968,C4944,C4920,C4896,C4872)/POBLA!$B$23*100000</f>
        <v>1043.9405078323814</v>
      </c>
      <c r="H5184" s="256">
        <f t="shared" si="637"/>
        <v>2.1666666666666665</v>
      </c>
      <c r="I5184" s="297">
        <f t="shared" si="634"/>
        <v>2261.8711003034928</v>
      </c>
      <c r="J5184" s="297">
        <f t="shared" si="635"/>
        <v>187.85714285714286</v>
      </c>
      <c r="K5184" s="297">
        <f>J5184/POBLA!$B$23*100000</f>
        <v>106.23601360467278</v>
      </c>
      <c r="L5184" s="549">
        <f t="shared" si="638"/>
        <v>-1.4764595103578153</v>
      </c>
      <c r="M5184" s="401">
        <f>SUM(C5184,C5160,C5136,C5112,C5088,C5064,C5040)/POBLA!$B$23*100000</f>
        <v>743.65209523270937</v>
      </c>
    </row>
    <row r="5185" spans="1:13" s="360" customFormat="1" ht="15.75" thickBot="1" x14ac:dyDescent="0.3">
      <c r="A5185" s="369" t="s">
        <v>40</v>
      </c>
      <c r="B5185" s="269">
        <v>44108</v>
      </c>
      <c r="C5185" s="1">
        <v>336</v>
      </c>
      <c r="D5185" s="176">
        <f t="shared" si="639"/>
        <v>16968</v>
      </c>
      <c r="E5185" s="1">
        <f>1+1</f>
        <v>2</v>
      </c>
      <c r="F5185" s="476">
        <f t="shared" si="640"/>
        <v>142</v>
      </c>
      <c r="G5185" s="177">
        <f>SUM(C5185,C5161,C5137,C5113,C5089,C5065,C5041,C5017,C4993,C4969,C4945,C4921,C4897,C4873)/POBLA!$B$24*100000</f>
        <v>439.20418067147551</v>
      </c>
      <c r="H5185" s="402">
        <f t="shared" si="637"/>
        <v>1.3360258481421647</v>
      </c>
      <c r="I5185" s="403">
        <f t="shared" si="634"/>
        <v>586.78813798919259</v>
      </c>
      <c r="J5185" s="403">
        <f t="shared" si="635"/>
        <v>612.42857142857144</v>
      </c>
      <c r="K5185" s="403">
        <f>J5185/POBLA!$B$24*100000</f>
        <v>36.138813507199778</v>
      </c>
      <c r="L5185" s="550">
        <f t="shared" si="638"/>
        <v>-0.35836501901140694</v>
      </c>
      <c r="M5185" s="405">
        <f>SUM(C5185,C5161,C5137,C5113,C5089,C5065,C5041)/POBLA!$B$24*100000</f>
        <v>252.97169455039841</v>
      </c>
    </row>
    <row r="5186" spans="1:13" s="360" customFormat="1" ht="15.75" thickBot="1" x14ac:dyDescent="0.3">
      <c r="A5186" s="363" t="s">
        <v>16</v>
      </c>
      <c r="B5186" s="269">
        <v>44109</v>
      </c>
      <c r="C5186" s="1">
        <v>4471</v>
      </c>
      <c r="D5186" s="174">
        <f>C5186+D5162</f>
        <v>440405</v>
      </c>
      <c r="E5186" s="1">
        <v>207</v>
      </c>
      <c r="F5186" s="475">
        <f t="shared" si="640"/>
        <v>13621</v>
      </c>
      <c r="G5186" s="175">
        <f>SUM(C5186,C5162,C5138,C5114,C5090,C5066,C5042,C5018,C4994,C4970,C4946,C4922,C4898,C4874)/POBLA!$B$1*100000</f>
        <v>390.08294842393661</v>
      </c>
      <c r="H5186" s="300">
        <f t="shared" si="637"/>
        <v>0.91353920508404429</v>
      </c>
      <c r="I5186" s="301">
        <f>G5186*H5186</f>
        <v>356.35606662004329</v>
      </c>
      <c r="J5186" s="301">
        <f>AVERAGE(C5186,C5162,C5138,C5114,C5090,C5066,C5042)</f>
        <v>4857</v>
      </c>
      <c r="K5186" s="301">
        <f>J5186/POBLA!$B$1*100000</f>
        <v>27.689190800073952</v>
      </c>
      <c r="L5186" s="548">
        <f t="shared" si="638"/>
        <v>1.2403416022773506E-2</v>
      </c>
      <c r="M5186" s="400">
        <f>SUM(C5186,C5162,C5138,C5114,C5090,C5066,C5042)/POBLA!$B$1*100000</f>
        <v>193.82433560051766</v>
      </c>
    </row>
    <row r="5187" spans="1:13" s="360" customFormat="1" ht="15.75" thickBot="1" x14ac:dyDescent="0.3">
      <c r="A5187" s="367" t="s">
        <v>43</v>
      </c>
      <c r="B5187" s="269">
        <v>44109</v>
      </c>
      <c r="C5187" s="1">
        <v>684</v>
      </c>
      <c r="D5187" s="39">
        <f t="shared" ref="D5187:D5199" si="641">C5187+D5163</f>
        <v>129958</v>
      </c>
      <c r="E5187" s="1">
        <v>57</v>
      </c>
      <c r="F5187" s="409">
        <f t="shared" si="640"/>
        <v>3680</v>
      </c>
      <c r="G5187" s="168">
        <f>SUM(C5187,C5163,C5139,C5115,C5091,C5067,C5043,C5019,C4995,C4971,C4947,C4923,C4899,C4875)/POBLA!$B$2*100000</f>
        <v>390.35701768018816</v>
      </c>
      <c r="H5187" s="256">
        <f t="shared" si="637"/>
        <v>0.86107724306103417</v>
      </c>
      <c r="I5187" s="297">
        <f t="shared" ref="I5187:I5209" si="642">G5187*H5187</f>
        <v>336.12754459358382</v>
      </c>
      <c r="J5187" s="297">
        <f t="shared" ref="J5187:J5209" si="643">AVERAGE(C5187,C5163,C5139,C5115,C5091,C5067,C5043)</f>
        <v>840.42857142857144</v>
      </c>
      <c r="K5187" s="297">
        <f>J5187/POBLA!$B$2*100000</f>
        <v>27.32526992471082</v>
      </c>
      <c r="L5187" s="549">
        <f t="shared" si="638"/>
        <v>3.919647231749146E-2</v>
      </c>
      <c r="M5187" s="401">
        <f>SUM(C5187,C5163,C5139,C5115,C5091,C5067,C5043)/POBLA!$B$2*100000</f>
        <v>191.27688947297577</v>
      </c>
    </row>
    <row r="5188" spans="1:13" s="360" customFormat="1" ht="15.75" thickBot="1" x14ac:dyDescent="0.3">
      <c r="A5188" s="367" t="s">
        <v>28</v>
      </c>
      <c r="B5188" s="269">
        <v>44109</v>
      </c>
      <c r="C5188" s="1">
        <v>0</v>
      </c>
      <c r="D5188" s="39">
        <f t="shared" si="641"/>
        <v>318</v>
      </c>
      <c r="E5188" s="1"/>
      <c r="F5188" s="409">
        <f t="shared" si="640"/>
        <v>0</v>
      </c>
      <c r="G5188" s="168">
        <f>SUM(C5188,C5164,C5140,C5116,C5092,C5068,C5044,C5020,C4996,C4972,C4948,C4924,C4900,C4876)/POBLA!$B$3*100000</f>
        <v>30.329435439223182</v>
      </c>
      <c r="H5188" s="256">
        <f t="shared" si="637"/>
        <v>1.2115384615384615</v>
      </c>
      <c r="I5188" s="297">
        <f t="shared" si="642"/>
        <v>36.745277551366549</v>
      </c>
      <c r="J5188" s="297">
        <f t="shared" si="643"/>
        <v>6.1428571428571432</v>
      </c>
      <c r="K5188" s="297">
        <f>J5188/POBLA!$B$3*100000</f>
        <v>1.4786459454496563</v>
      </c>
      <c r="L5188" s="549">
        <f t="shared" si="638"/>
        <v>0.48192771084337349</v>
      </c>
      <c r="M5188" s="401">
        <f>SUM(C5188,C5164,C5140,C5116,C5092,C5068,C5044)/POBLA!$B$3*100000</f>
        <v>10.350521618147594</v>
      </c>
    </row>
    <row r="5189" spans="1:13" s="360" customFormat="1" ht="15.75" thickBot="1" x14ac:dyDescent="0.3">
      <c r="A5189" s="367" t="s">
        <v>15</v>
      </c>
      <c r="B5189" s="269">
        <v>44109</v>
      </c>
      <c r="C5189" s="1">
        <v>101</v>
      </c>
      <c r="D5189" s="39">
        <f t="shared" si="641"/>
        <v>9341</v>
      </c>
      <c r="E5189" s="1">
        <v>5</v>
      </c>
      <c r="F5189" s="409">
        <f t="shared" si="640"/>
        <v>305</v>
      </c>
      <c r="G5189" s="168">
        <f>SUM(C5189,C5165,C5141,C5117,C5093,C5069,C5045,C5021,C4997,C4973,C4949,C4925,C4901,C4877)/POBLA!$B$4*100000</f>
        <v>154.58170373611193</v>
      </c>
      <c r="H5189" s="256">
        <f t="shared" si="637"/>
        <v>1.3085031623330992</v>
      </c>
      <c r="I5189" s="297">
        <f t="shared" si="642"/>
        <v>202.27064817754072</v>
      </c>
      <c r="J5189" s="297">
        <f t="shared" si="643"/>
        <v>156.85714285714286</v>
      </c>
      <c r="K5189" s="297">
        <f>J5189/POBLA!$B$4*100000</f>
        <v>13.022150583263075</v>
      </c>
      <c r="L5189" s="549">
        <f t="shared" si="638"/>
        <v>-0.43717277486910988</v>
      </c>
      <c r="M5189" s="401">
        <f>SUM(C5189,C5165,C5141,C5117,C5093,C5069,C5045)/POBLA!$B$4*100000</f>
        <v>91.155054082841517</v>
      </c>
    </row>
    <row r="5190" spans="1:13" s="360" customFormat="1" ht="15.75" thickBot="1" x14ac:dyDescent="0.3">
      <c r="A5190" s="367" t="s">
        <v>29</v>
      </c>
      <c r="B5190" s="269">
        <v>44109</v>
      </c>
      <c r="C5190" s="1">
        <v>234</v>
      </c>
      <c r="D5190" s="39">
        <f t="shared" si="641"/>
        <v>4921</v>
      </c>
      <c r="E5190" s="1">
        <v>11</v>
      </c>
      <c r="F5190" s="409">
        <f t="shared" si="640"/>
        <v>69</v>
      </c>
      <c r="G5190" s="168">
        <f>SUM(C5190,C5166,C5142,C5118,C5094,C5070,C5046,C5022,C4998,C4974,C4950,C4926,C4902,C4878)/POBLA!$B$5*100000</f>
        <v>403.55803125716886</v>
      </c>
      <c r="H5190" s="256">
        <f t="shared" si="637"/>
        <v>2.174064403829417</v>
      </c>
      <c r="I5190" s="297">
        <f t="shared" si="642"/>
        <v>877.36115063569002</v>
      </c>
      <c r="J5190" s="297">
        <f t="shared" si="643"/>
        <v>190.14285714285714</v>
      </c>
      <c r="K5190" s="297">
        <f>J5190/POBLA!$B$5*100000</f>
        <v>30.718045270690371</v>
      </c>
      <c r="L5190" s="549">
        <f t="shared" si="638"/>
        <v>-0.14053127677806332</v>
      </c>
      <c r="M5190" s="401">
        <f>SUM(C5190,C5166,C5142,C5118,C5094,C5070,C5046)/POBLA!$B$5*100000</f>
        <v>215.02631689483258</v>
      </c>
    </row>
    <row r="5191" spans="1:13" s="360" customFormat="1" ht="15.75" thickBot="1" x14ac:dyDescent="0.3">
      <c r="A5191" s="367" t="s">
        <v>20</v>
      </c>
      <c r="B5191" s="269">
        <v>44109</v>
      </c>
      <c r="C5191" s="1">
        <v>1188</v>
      </c>
      <c r="D5191" s="39">
        <f t="shared" si="641"/>
        <v>41738</v>
      </c>
      <c r="E5191" s="1">
        <v>21</v>
      </c>
      <c r="F5191" s="409">
        <f t="shared" si="640"/>
        <v>493</v>
      </c>
      <c r="G5191" s="168">
        <f>SUM(C5191,C5167,C5143,C5119,C5095,C5071,C5047,C5023,C4999,C4975,C4951,C4927,C4903,C4879)/POBLA!$B$6*100000</f>
        <v>1941.4686460843627</v>
      </c>
      <c r="H5191" s="256">
        <f t="shared" si="637"/>
        <v>2.5997610513739544</v>
      </c>
      <c r="I5191" s="297">
        <f t="shared" si="642"/>
        <v>5047.3545685538502</v>
      </c>
      <c r="J5191" s="297">
        <f t="shared" si="643"/>
        <v>1579</v>
      </c>
      <c r="K5191" s="297">
        <f>J5191/POBLA!$B$6*100000</f>
        <v>140.88138750768425</v>
      </c>
      <c r="L5191" s="549">
        <f t="shared" si="638"/>
        <v>-3.2315307742598387E-2</v>
      </c>
      <c r="M5191" s="401">
        <f>SUM(C5191,C5167,C5143,C5119,C5095,C5071,C5047)/POBLA!$B$6*100000</f>
        <v>986.16971255378974</v>
      </c>
    </row>
    <row r="5192" spans="1:13" s="360" customFormat="1" ht="15.75" thickBot="1" x14ac:dyDescent="0.3">
      <c r="A5192" s="367" t="s">
        <v>30</v>
      </c>
      <c r="B5192" s="269">
        <v>44109</v>
      </c>
      <c r="C5192" s="1">
        <v>110</v>
      </c>
      <c r="D5192" s="39">
        <f t="shared" si="641"/>
        <v>1284</v>
      </c>
      <c r="E5192" s="1">
        <v>1</v>
      </c>
      <c r="F5192" s="409">
        <f t="shared" si="640"/>
        <v>28</v>
      </c>
      <c r="G5192" s="168">
        <f>SUM(C5192,C5168,C5144,C5120,C5096,C5072,C5048,C5024,C5000,C4976,C4952,C4928,C4904,C4880)/POBLA!$B$7*100000</f>
        <v>6.7811033253998856</v>
      </c>
      <c r="H5192" s="256">
        <f t="shared" si="637"/>
        <v>0.39657853810264387</v>
      </c>
      <c r="I5192" s="297">
        <f t="shared" si="642"/>
        <v>2.6892400435100634</v>
      </c>
      <c r="J5192" s="297">
        <f t="shared" si="643"/>
        <v>28.428571428571427</v>
      </c>
      <c r="K5192" s="297">
        <f>J5192/POBLA!$B$7*100000</f>
        <v>0.75598855000256426</v>
      </c>
      <c r="L5192" s="549">
        <f t="shared" si="638"/>
        <v>-2.5535714285714284</v>
      </c>
      <c r="M5192" s="401">
        <f>SUM(C5192,C5168,C5144,C5120,C5096,C5072,C5048)/POBLA!$B$7*100000</f>
        <v>5.2919198500179503</v>
      </c>
    </row>
    <row r="5193" spans="1:13" ht="15.75" thickBot="1" x14ac:dyDescent="0.3">
      <c r="A5193" s="367" t="s">
        <v>31</v>
      </c>
      <c r="B5193" s="269">
        <v>44109</v>
      </c>
      <c r="C5193" s="1">
        <v>129</v>
      </c>
      <c r="D5193" s="39">
        <f t="shared" si="641"/>
        <v>8248</v>
      </c>
      <c r="E5193" s="1">
        <v>7</v>
      </c>
      <c r="F5193" s="409">
        <f t="shared" si="640"/>
        <v>150</v>
      </c>
      <c r="G5193" s="168">
        <f>SUM(C5193,C5169,C5145,C5121,C5097,C5073,C5049,C5025,C5001,C4977,C4953,C4929,C4905,C4881)/POBLA!$B$8*100000</f>
        <v>141.20166440469825</v>
      </c>
      <c r="H5193" s="256">
        <f t="shared" si="637"/>
        <v>1.0098039215686274</v>
      </c>
      <c r="I5193" s="297">
        <f t="shared" si="642"/>
        <v>142.58599444788155</v>
      </c>
      <c r="J5193" s="297">
        <f t="shared" si="643"/>
        <v>157.71428571428572</v>
      </c>
      <c r="K5193" s="297">
        <f>J5193/POBLA!$B$8*100000</f>
        <v>11.37941729343652</v>
      </c>
      <c r="L5193" s="549">
        <f t="shared" si="638"/>
        <v>-0.29425556858147717</v>
      </c>
      <c r="M5193" s="401">
        <f>SUM(C5193,C5169,C5145,C5121,C5097,C5073,C5049)/POBLA!$B$8*100000</f>
        <v>79.655921054055625</v>
      </c>
    </row>
    <row r="5194" spans="1:13" s="360" customFormat="1" ht="15.75" thickBot="1" x14ac:dyDescent="0.3">
      <c r="A5194" s="367" t="s">
        <v>41</v>
      </c>
      <c r="B5194" s="269">
        <v>44109</v>
      </c>
      <c r="C5194" s="1">
        <v>1</v>
      </c>
      <c r="D5194" s="39">
        <f t="shared" si="641"/>
        <v>106</v>
      </c>
      <c r="E5194" s="1"/>
      <c r="F5194" s="409">
        <f t="shared" si="640"/>
        <v>1</v>
      </c>
      <c r="G5194" s="168">
        <f>SUM(C5194,C5170,C5146,C5122,C5098,C5074,C5050,C5026,C5002,C4978,C4954,C4930,C4906,C4882)/POBLA!$B$9*100000</f>
        <v>0.82618272187550079</v>
      </c>
      <c r="H5194" s="256">
        <f t="shared" si="637"/>
        <v>0.45454545454545453</v>
      </c>
      <c r="I5194" s="297">
        <f t="shared" si="642"/>
        <v>0.37553760085250038</v>
      </c>
      <c r="J5194" s="297">
        <f t="shared" si="643"/>
        <v>0.2857142857142857</v>
      </c>
      <c r="K5194" s="297">
        <f>J5194/POBLA!$B$9*100000</f>
        <v>4.7210441250028622E-2</v>
      </c>
      <c r="L5194" s="549">
        <f t="shared" si="638"/>
        <v>0.33333333333333337</v>
      </c>
      <c r="M5194" s="401">
        <f>SUM(C5194,C5170,C5146,C5122,C5098,C5074,C5050)/POBLA!$B$9*100000</f>
        <v>0.33047308875020037</v>
      </c>
    </row>
    <row r="5195" spans="1:13" s="360" customFormat="1" ht="15.75" thickBot="1" x14ac:dyDescent="0.3">
      <c r="A5195" s="367" t="s">
        <v>32</v>
      </c>
      <c r="B5195" s="269">
        <v>44109</v>
      </c>
      <c r="C5195" s="1">
        <v>61</v>
      </c>
      <c r="D5195" s="39">
        <f t="shared" si="641"/>
        <v>16181</v>
      </c>
      <c r="E5195" s="1">
        <v>29</v>
      </c>
      <c r="F5195" s="409">
        <f t="shared" si="640"/>
        <v>589</v>
      </c>
      <c r="G5195" s="168">
        <f>SUM(C5195,C5171,C5147,C5123,C5099,C5075,C5051,C5027,C5003,C4979,C4955,C4931,C4907,C4883)/POBLA!$B$10*100000</f>
        <v>250.36289647818532</v>
      </c>
      <c r="H5195" s="256">
        <f t="shared" si="637"/>
        <v>0.51180058339962875</v>
      </c>
      <c r="I5195" s="297">
        <f t="shared" si="642"/>
        <v>128.13587647915611</v>
      </c>
      <c r="J5195" s="297">
        <f t="shared" si="643"/>
        <v>110</v>
      </c>
      <c r="K5195" s="297">
        <f>J5195/POBLA!$B$10*100000</f>
        <v>14.269387882176368</v>
      </c>
      <c r="L5195" s="549">
        <f t="shared" si="638"/>
        <v>0.33620689655172409</v>
      </c>
      <c r="M5195" s="401">
        <f>SUM(C5195,C5171,C5147,C5123,C5099,C5075,C5051)/POBLA!$B$10*100000</f>
        <v>99.885715175234566</v>
      </c>
    </row>
    <row r="5196" spans="1:13" s="360" customFormat="1" ht="15.75" thickBot="1" x14ac:dyDescent="0.3">
      <c r="A5196" s="367" t="s">
        <v>33</v>
      </c>
      <c r="B5196" s="269">
        <v>44109</v>
      </c>
      <c r="C5196" s="1">
        <v>16</v>
      </c>
      <c r="D5196" s="39">
        <f t="shared" si="641"/>
        <v>871</v>
      </c>
      <c r="E5196" s="1"/>
      <c r="F5196" s="409">
        <f t="shared" ref="F5196:F5207" si="644">E5196+F5172</f>
        <v>11</v>
      </c>
      <c r="G5196" s="168">
        <f>SUM(C5196,C5172,C5148,C5124,C5100,C5076,C5052,C5028,C5004,C4980,C4956,C4932,C4908,C4884)/POBLA!$B$11*100000</f>
        <v>79.513877264053036</v>
      </c>
      <c r="H5196" s="256">
        <f t="shared" si="637"/>
        <v>0.83090379008746351</v>
      </c>
      <c r="I5196" s="297">
        <f t="shared" si="642"/>
        <v>66.068381983251058</v>
      </c>
      <c r="J5196" s="297">
        <f t="shared" si="643"/>
        <v>21.714285714285715</v>
      </c>
      <c r="K5196" s="297">
        <f>J5196/POBLA!$B$11*100000</f>
        <v>6.0582001724992782</v>
      </c>
      <c r="L5196" s="549">
        <f t="shared" si="638"/>
        <v>-0.14285714285714279</v>
      </c>
      <c r="M5196" s="401">
        <f>SUM(C5196,C5172,C5148,C5124,C5100,C5076,C5052)/POBLA!$B$11*100000</f>
        <v>42.407401207494949</v>
      </c>
    </row>
    <row r="5197" spans="1:13" s="360" customFormat="1" ht="15.75" thickBot="1" x14ac:dyDescent="0.3">
      <c r="A5197" s="367" t="s">
        <v>21</v>
      </c>
      <c r="B5197" s="269">
        <v>44109</v>
      </c>
      <c r="C5197" s="1">
        <v>85</v>
      </c>
      <c r="D5197" s="39">
        <f t="shared" si="641"/>
        <v>5201</v>
      </c>
      <c r="E5197" s="1"/>
      <c r="F5197" s="409">
        <f t="shared" si="644"/>
        <v>105</v>
      </c>
      <c r="G5197" s="168">
        <f>SUM(C5197,C5173,C5149,C5125,C5101,C5077,C5053,C5029,C5005,C4981,C4957,C4933,C4909,C4885)/POBLA!$B$12*100000</f>
        <v>279.77465561798181</v>
      </c>
      <c r="H5197" s="256">
        <f t="shared" si="637"/>
        <v>0.55916708989334685</v>
      </c>
      <c r="I5197" s="297">
        <f t="shared" si="642"/>
        <v>156.44078000782019</v>
      </c>
      <c r="J5197" s="297">
        <f t="shared" si="643"/>
        <v>78.571428571428569</v>
      </c>
      <c r="K5197" s="297">
        <f>J5197/POBLA!$B$12*100000</f>
        <v>19.965753287905798</v>
      </c>
      <c r="L5197" s="549">
        <f t="shared" si="638"/>
        <v>1.8148820326678861E-3</v>
      </c>
      <c r="M5197" s="401">
        <f>SUM(C5197,C5173,C5149,C5125,C5101,C5077,C5053)/POBLA!$B$12*100000</f>
        <v>139.7602730153406</v>
      </c>
    </row>
    <row r="5198" spans="1:13" s="360" customFormat="1" ht="15.75" thickBot="1" x14ac:dyDescent="0.3">
      <c r="A5198" s="367" t="s">
        <v>17</v>
      </c>
      <c r="B5198" s="269">
        <v>44109</v>
      </c>
      <c r="C5198" s="1">
        <v>384</v>
      </c>
      <c r="D5198" s="39">
        <f t="shared" si="641"/>
        <v>27885</v>
      </c>
      <c r="E5198" s="1">
        <v>8</v>
      </c>
      <c r="F5198" s="409">
        <f t="shared" si="644"/>
        <v>318</v>
      </c>
      <c r="G5198" s="168">
        <f>SUM(C5198,C5174,C5150,C5126,C5102,C5078,C5054,C5030,C5006,C4982,C4958,C4934,C4910,C4886)/POBLA!$B$13*100000</f>
        <v>423.84760779324915</v>
      </c>
      <c r="H5198" s="256">
        <f t="shared" si="637"/>
        <v>0.92408807098258294</v>
      </c>
      <c r="I5198" s="297">
        <f t="shared" si="642"/>
        <v>391.67251827624602</v>
      </c>
      <c r="J5198" s="297">
        <f t="shared" si="643"/>
        <v>599.28571428571433</v>
      </c>
      <c r="K5198" s="297">
        <f>J5198/POBLA!$B$13*100000</f>
        <v>30.109745896712738</v>
      </c>
      <c r="L5198" s="549">
        <f t="shared" si="638"/>
        <v>1.0846498467342647E-2</v>
      </c>
      <c r="M5198" s="401">
        <f>SUM(C5198,C5174,C5150,C5126,C5102,C5078,C5054)/POBLA!$B$13*100000</f>
        <v>210.76822127698912</v>
      </c>
    </row>
    <row r="5199" spans="1:13" s="360" customFormat="1" ht="15.75" thickBot="1" x14ac:dyDescent="0.3">
      <c r="A5199" s="367" t="s">
        <v>23</v>
      </c>
      <c r="B5199" s="269">
        <v>44109</v>
      </c>
      <c r="C5199" s="1">
        <v>4</v>
      </c>
      <c r="D5199" s="39">
        <f t="shared" si="641"/>
        <v>107</v>
      </c>
      <c r="E5199" s="1"/>
      <c r="F5199" s="409">
        <f t="shared" si="644"/>
        <v>4</v>
      </c>
      <c r="G5199" s="168">
        <f>SUM(C5199,C5175,C5151,C5127,C5103,C5079,C5055,C5031,C5007,C4983,C4959,C4935,C4911,C4887)/POBLA!$B$14*100000</f>
        <v>2.9334952834152861</v>
      </c>
      <c r="H5199" s="256">
        <f t="shared" si="637"/>
        <v>-37</v>
      </c>
      <c r="I5199" s="297">
        <f t="shared" si="642"/>
        <v>-108.53932548636558</v>
      </c>
      <c r="J5199" s="297">
        <f t="shared" si="643"/>
        <v>4</v>
      </c>
      <c r="K5199" s="297">
        <f>J5199/POBLA!$B$14*100000</f>
        <v>0.31713462523408498</v>
      </c>
      <c r="L5199" s="549">
        <f t="shared" si="638"/>
        <v>-2.1111111111111112</v>
      </c>
      <c r="M5199" s="401">
        <f>SUM(C5199,C5175,C5151,C5127,C5103,C5079,C5055)/POBLA!$B$14*100000</f>
        <v>2.2199423766385951</v>
      </c>
    </row>
    <row r="5200" spans="1:13" s="360" customFormat="1" ht="15.75" thickBot="1" x14ac:dyDescent="0.3">
      <c r="A5200" s="367" t="s">
        <v>19</v>
      </c>
      <c r="B5200" s="269">
        <v>44109</v>
      </c>
      <c r="C5200" s="1">
        <v>251</v>
      </c>
      <c r="D5200" s="39">
        <f>C5200+D5176</f>
        <v>9130</v>
      </c>
      <c r="E5200" s="1"/>
      <c r="F5200" s="409">
        <f t="shared" si="644"/>
        <v>122</v>
      </c>
      <c r="G5200" s="168">
        <f>SUM(C5200,C5176,C5152,C5128,C5104,C5080,C5056,C5032,C5008,C4984,C4960,C4936,C4912,C4888)/POBLA!$B$15*100000</f>
        <v>437.7636257128529</v>
      </c>
      <c r="H5200" s="256">
        <f t="shared" si="637"/>
        <v>1.2840106007067138</v>
      </c>
      <c r="I5200" s="297">
        <f t="shared" si="642"/>
        <v>562.09313601910924</v>
      </c>
      <c r="J5200" s="297">
        <f t="shared" si="643"/>
        <v>215.14285714285714</v>
      </c>
      <c r="K5200" s="297">
        <f>J5200/POBLA!$B$15*100000</f>
        <v>32.398251527031135</v>
      </c>
      <c r="L5200" s="549">
        <f t="shared" si="638"/>
        <v>-7.4946466809421741E-2</v>
      </c>
      <c r="M5200" s="401">
        <f>SUM(C5200,C5176,C5152,C5128,C5104,C5080,C5056)/POBLA!$B$15*100000</f>
        <v>226.78776068921795</v>
      </c>
    </row>
    <row r="5201" spans="1:13" s="360" customFormat="1" ht="15.75" thickBot="1" x14ac:dyDescent="0.3">
      <c r="A5201" s="367" t="s">
        <v>18</v>
      </c>
      <c r="B5201" s="269">
        <v>44109</v>
      </c>
      <c r="C5201" s="1">
        <v>257</v>
      </c>
      <c r="D5201" s="39">
        <f>C5201+D5177</f>
        <v>14314</v>
      </c>
      <c r="E5201" s="1">
        <v>10</v>
      </c>
      <c r="F5201" s="409">
        <f t="shared" si="644"/>
        <v>320</v>
      </c>
      <c r="G5201" s="168">
        <f>SUM(C5201,C5177,C5153,C5129,C5105,C5081,C5057,C5033,C5009,C4985,C4961,C4937,C4913,C4889)/POBLA!$B$16*100000</f>
        <v>513.1017509129091</v>
      </c>
      <c r="H5201" s="256">
        <f t="shared" si="637"/>
        <v>1.1695121951219511</v>
      </c>
      <c r="I5201" s="297">
        <f t="shared" si="642"/>
        <v>600.07875503107289</v>
      </c>
      <c r="J5201" s="297">
        <f t="shared" si="643"/>
        <v>311.85714285714283</v>
      </c>
      <c r="K5201" s="297">
        <f>J5201/POBLA!$B$16*100000</f>
        <v>41.713880613841823</v>
      </c>
      <c r="L5201" s="549">
        <f t="shared" si="638"/>
        <v>-0.32062915910465817</v>
      </c>
      <c r="M5201" s="401">
        <f>SUM(C5201,C5177,C5153,C5129,C5105,C5081,C5057)/POBLA!$B$16*100000</f>
        <v>291.99716429689278</v>
      </c>
    </row>
    <row r="5202" spans="1:13" s="360" customFormat="1" ht="15.75" thickBot="1" x14ac:dyDescent="0.3">
      <c r="A5202" s="367" t="s">
        <v>34</v>
      </c>
      <c r="B5202" s="269">
        <v>44109</v>
      </c>
      <c r="C5202" s="1">
        <v>217</v>
      </c>
      <c r="D5202" s="39">
        <f>C5202+D5178</f>
        <v>13740</v>
      </c>
      <c r="E5202" s="1">
        <v>40</v>
      </c>
      <c r="F5202" s="409">
        <f>E5202+F5178</f>
        <v>423</v>
      </c>
      <c r="G5202" s="168">
        <f>SUM(C5202,C5178,C5154,C5130,C5106,C5082,C5058,C5034,C5010,C4986,C4962,C4938,C4914,C4890)/POBLA!$B$17*100000</f>
        <v>304.26910475099288</v>
      </c>
      <c r="H5202" s="256">
        <f t="shared" si="637"/>
        <v>0.94649486787508186</v>
      </c>
      <c r="I5202" s="297">
        <f t="shared" si="642"/>
        <v>287.98914609976043</v>
      </c>
      <c r="J5202" s="297">
        <f t="shared" si="643"/>
        <v>287</v>
      </c>
      <c r="K5202" s="297">
        <f>J5202/POBLA!$B$17*100000</f>
        <v>20.148877033579822</v>
      </c>
      <c r="L5202" s="549">
        <f t="shared" si="638"/>
        <v>0.13591397849462361</v>
      </c>
      <c r="M5202" s="401">
        <f>SUM(C5202,C5178,C5154,C5130,C5106,C5082,C5058)/POBLA!$B$17*100000</f>
        <v>141.04213923505876</v>
      </c>
    </row>
    <row r="5203" spans="1:13" s="360" customFormat="1" ht="15.75" thickBot="1" x14ac:dyDescent="0.3">
      <c r="A5203" s="367" t="s">
        <v>35</v>
      </c>
      <c r="B5203" s="269">
        <v>44109</v>
      </c>
      <c r="C5203" s="1">
        <v>84</v>
      </c>
      <c r="D5203" s="39">
        <f t="shared" ref="D5203:D5209" si="645">C5203+D5179</f>
        <v>923</v>
      </c>
      <c r="E5203" s="1"/>
      <c r="F5203" s="409">
        <f>E5203+F5179</f>
        <v>42</v>
      </c>
      <c r="G5203" s="168">
        <f>SUM(C5203,C5179,C5155,C5131,C5107,C5083,C5059,C5035,C5011,C4987,C4963,C4939,C4915,C4891)/POBLA!$B$18*100000</f>
        <v>55.426341208652651</v>
      </c>
      <c r="H5203" s="256">
        <f t="shared" si="637"/>
        <v>3.4365079365079363</v>
      </c>
      <c r="I5203" s="297">
        <f t="shared" si="642"/>
        <v>190.47306145513173</v>
      </c>
      <c r="J5203" s="297">
        <f t="shared" si="643"/>
        <v>32.571428571428569</v>
      </c>
      <c r="K5203" s="297">
        <f>J5203/POBLA!$B$18*100000</f>
        <v>4.169318969176115</v>
      </c>
      <c r="L5203" s="549">
        <f t="shared" si="638"/>
        <v>-0.11219512195121961</v>
      </c>
      <c r="M5203" s="401">
        <f>SUM(C5203,C5179,C5155,C5131,C5107,C5083,C5059)/POBLA!$B$18*100000</f>
        <v>29.185232784232806</v>
      </c>
    </row>
    <row r="5204" spans="1:13" s="360" customFormat="1" ht="15.75" thickBot="1" x14ac:dyDescent="0.3">
      <c r="A5204" s="367" t="s">
        <v>36</v>
      </c>
      <c r="B5204" s="269">
        <v>44109</v>
      </c>
      <c r="C5204" s="1">
        <v>104</v>
      </c>
      <c r="D5204" s="39">
        <f t="shared" si="645"/>
        <v>1804</v>
      </c>
      <c r="E5204" s="1">
        <v>3</v>
      </c>
      <c r="F5204" s="409">
        <f t="shared" si="644"/>
        <v>28</v>
      </c>
      <c r="G5204" s="168">
        <f>SUM(C5204,C5180,C5156,C5132,C5108,C5084,C5060,C5036,C5012,C4988,C4964,C4940,C4916,C4892)/POBLA!$B$19*100000</f>
        <v>201.24801309390787</v>
      </c>
      <c r="H5204" s="256">
        <f t="shared" si="637"/>
        <v>2.1582278481012658</v>
      </c>
      <c r="I5204" s="297">
        <f t="shared" si="642"/>
        <v>434.33906623432017</v>
      </c>
      <c r="J5204" s="297">
        <f t="shared" si="643"/>
        <v>87.571428571428569</v>
      </c>
      <c r="K5204" s="297">
        <f>J5204/POBLA!$B$19*100000</f>
        <v>17.227347022282576</v>
      </c>
      <c r="L5204" s="549">
        <f t="shared" si="638"/>
        <v>-0.49512195121951219</v>
      </c>
      <c r="M5204" s="401">
        <f>SUM(C5204,C5180,C5156,C5132,C5108,C5084,C5060)/POBLA!$B$19*100000</f>
        <v>120.59142915597802</v>
      </c>
    </row>
    <row r="5205" spans="1:13" s="360" customFormat="1" ht="15.75" thickBot="1" x14ac:dyDescent="0.3">
      <c r="A5205" s="367" t="s">
        <v>37</v>
      </c>
      <c r="B5205" s="269">
        <v>44109</v>
      </c>
      <c r="C5205" s="1">
        <v>110</v>
      </c>
      <c r="D5205" s="39">
        <f t="shared" si="645"/>
        <v>5563</v>
      </c>
      <c r="E5205" s="1">
        <v>3</v>
      </c>
      <c r="F5205" s="409">
        <f>E5205+F5181</f>
        <v>71</v>
      </c>
      <c r="G5205" s="168">
        <f>SUM(C5205,C5181,C5157,C5133,C5109,C5085,C5061,C5037,C5013,C4989,C4965,C4941,C4917,C4893)/POBLA!$B$20*100000</f>
        <v>470.60689421325793</v>
      </c>
      <c r="H5205" s="256">
        <f t="shared" si="637"/>
        <v>1.1322368421052631</v>
      </c>
      <c r="I5205" s="297">
        <f t="shared" si="642"/>
        <v>532.83846377698478</v>
      </c>
      <c r="J5205" s="297">
        <f t="shared" si="643"/>
        <v>139.57142857142858</v>
      </c>
      <c r="K5205" s="297">
        <f>J5205/POBLA!$B$20*100000</f>
        <v>38.165762069092146</v>
      </c>
      <c r="L5205" s="549">
        <f t="shared" si="638"/>
        <v>-0.31317204301075274</v>
      </c>
      <c r="M5205" s="401">
        <f>SUM(C5205,C5181,C5157,C5133,C5109,C5085,C5061)/POBLA!$B$20*100000</f>
        <v>267.16033448364493</v>
      </c>
    </row>
    <row r="5206" spans="1:13" s="360" customFormat="1" ht="15.75" thickBot="1" x14ac:dyDescent="0.3">
      <c r="A5206" s="367" t="s">
        <v>22</v>
      </c>
      <c r="B5206" s="269">
        <v>44109</v>
      </c>
      <c r="C5206" s="1">
        <v>1670</v>
      </c>
      <c r="D5206" s="39">
        <f t="shared" si="645"/>
        <v>50686</v>
      </c>
      <c r="E5206" s="1">
        <v>34</v>
      </c>
      <c r="F5206" s="409">
        <f>E5206+F5182</f>
        <v>556</v>
      </c>
      <c r="G5206" s="168">
        <f>SUM(C5206,C5182,C5158,C5134,C5110,C5086,C5062,C5038,C5014,C4990,C4966,C4942,C4918,C4894)/POBLA!$B$21*100000</f>
        <v>652.52467327108957</v>
      </c>
      <c r="H5206" s="256">
        <f t="shared" si="637"/>
        <v>1.5410711900627754</v>
      </c>
      <c r="I5206" s="297">
        <f t="shared" si="642"/>
        <v>1005.5869747832016</v>
      </c>
      <c r="J5206" s="297">
        <f t="shared" si="643"/>
        <v>1759.4285714285713</v>
      </c>
      <c r="K5206" s="297">
        <f>J5206/POBLA!$B$21*100000</f>
        <v>49.751714062889945</v>
      </c>
      <c r="L5206" s="549">
        <f t="shared" si="638"/>
        <v>-0.1446096654275093</v>
      </c>
      <c r="M5206" s="401">
        <f>SUM(C5206,C5182,C5158,C5134,C5110,C5086,C5062)/POBLA!$B$21*100000</f>
        <v>348.26199844022966</v>
      </c>
    </row>
    <row r="5207" spans="1:13" s="360" customFormat="1" ht="15.75" thickBot="1" x14ac:dyDescent="0.3">
      <c r="A5207" s="367" t="s">
        <v>38</v>
      </c>
      <c r="B5207" s="269">
        <v>44109</v>
      </c>
      <c r="C5207" s="1">
        <v>112</v>
      </c>
      <c r="D5207" s="39">
        <f t="shared" si="645"/>
        <v>4014</v>
      </c>
      <c r="E5207" s="1">
        <v>2</v>
      </c>
      <c r="F5207" s="409">
        <f t="shared" si="644"/>
        <v>69</v>
      </c>
      <c r="G5207" s="168">
        <f>SUM(C5207,C5183,C5159,C5135,C5111,C5087,C5063,C5039,C5015,C4991,C4967,C4943,C4919,C4895)/POBLA!$B$22*100000</f>
        <v>162.42245579891099</v>
      </c>
      <c r="H5207" s="256">
        <f t="shared" si="637"/>
        <v>1.4685767097966729</v>
      </c>
      <c r="I5207" s="297">
        <f t="shared" si="642"/>
        <v>238.52983573426022</v>
      </c>
      <c r="J5207" s="297">
        <f t="shared" si="643"/>
        <v>119</v>
      </c>
      <c r="K5207" s="297">
        <f>J5207/POBLA!$B$22*100000</f>
        <v>12.163796249257651</v>
      </c>
      <c r="L5207" s="549">
        <f t="shared" si="638"/>
        <v>-0.10185185185185186</v>
      </c>
      <c r="M5207" s="401">
        <f>SUM(C5207,C5183,C5159,C5135,C5111,C5087,C5063)/POBLA!$B$22*100000</f>
        <v>85.146573744803547</v>
      </c>
    </row>
    <row r="5208" spans="1:13" s="360" customFormat="1" ht="15.75" thickBot="1" x14ac:dyDescent="0.3">
      <c r="A5208" s="367" t="s">
        <v>39</v>
      </c>
      <c r="B5208" s="269">
        <v>44109</v>
      </c>
      <c r="C5208" s="1">
        <v>133</v>
      </c>
      <c r="D5208" s="39">
        <f t="shared" si="645"/>
        <v>5176</v>
      </c>
      <c r="E5208" s="1">
        <v>3</v>
      </c>
      <c r="F5208" s="409">
        <f t="shared" ref="F5208:F5219" si="646">E5208+F5184</f>
        <v>74</v>
      </c>
      <c r="G5208" s="168">
        <f>SUM(C5208,C5184,C5160,C5136,C5112,C5088,C5064,C5040,C5016,C4992,C4968,C4944,C4920,C4896)/POBLA!$B$23*100000</f>
        <v>1073.3472827008991</v>
      </c>
      <c r="H5208" s="256">
        <f t="shared" si="637"/>
        <v>2.1617312072892938</v>
      </c>
      <c r="I5208" s="297">
        <f t="shared" si="642"/>
        <v>2320.2883172736974</v>
      </c>
      <c r="J5208" s="297">
        <f t="shared" si="643"/>
        <v>184.28571428571428</v>
      </c>
      <c r="K5208" s="297">
        <f>J5208/POBLA!$B$23*100000</f>
        <v>104.2163175285383</v>
      </c>
      <c r="L5208" s="549">
        <f t="shared" si="638"/>
        <v>-1.1217105263157894</v>
      </c>
      <c r="M5208" s="401">
        <f>SUM(C5208,C5184,C5160,C5136,C5112,C5088,C5064)/POBLA!$B$23*100000</f>
        <v>729.51422269976808</v>
      </c>
    </row>
    <row r="5209" spans="1:13" s="360" customFormat="1" ht="15.75" thickBot="1" x14ac:dyDescent="0.3">
      <c r="A5209" s="369" t="s">
        <v>40</v>
      </c>
      <c r="B5209" s="269">
        <v>44109</v>
      </c>
      <c r="C5209" s="1">
        <v>836</v>
      </c>
      <c r="D5209" s="176">
        <f t="shared" si="645"/>
        <v>17804</v>
      </c>
      <c r="E5209" s="1">
        <v>9</v>
      </c>
      <c r="F5209" s="476">
        <f t="shared" si="646"/>
        <v>151</v>
      </c>
      <c r="G5209" s="177">
        <f>SUM(C5209,C5185,C5161,C5137,C5113,C5089,C5065,C5041,C5017,C4993,C4969,C4945,C4921,C4897)/POBLA!$B$24*100000</f>
        <v>476.26184901242493</v>
      </c>
      <c r="H5209" s="402">
        <f t="shared" si="637"/>
        <v>1.5314990512333966</v>
      </c>
      <c r="I5209" s="403">
        <f t="shared" si="642"/>
        <v>729.39456990119197</v>
      </c>
      <c r="J5209" s="403">
        <f t="shared" si="643"/>
        <v>604.85714285714289</v>
      </c>
      <c r="K5209" s="403">
        <f>J5209/POBLA!$B$24*100000</f>
        <v>35.692030881615082</v>
      </c>
      <c r="L5209" s="550">
        <f t="shared" si="638"/>
        <v>-0.10346624967422469</v>
      </c>
      <c r="M5209" s="405">
        <f>SUM(C5209,C5185,C5161,C5137,C5113,C5089,C5065)/POBLA!$B$24*100000</f>
        <v>249.84421617130556</v>
      </c>
    </row>
    <row r="5210" spans="1:13" s="360" customFormat="1" ht="15.75" thickBot="1" x14ac:dyDescent="0.3">
      <c r="A5210" s="363" t="s">
        <v>16</v>
      </c>
      <c r="B5210" s="269">
        <v>44110</v>
      </c>
      <c r="C5210" s="1">
        <v>5659</v>
      </c>
      <c r="D5210" s="174">
        <f>C5210+D5186</f>
        <v>446064</v>
      </c>
      <c r="E5210" s="1">
        <v>149</v>
      </c>
      <c r="F5210" s="475">
        <f t="shared" si="646"/>
        <v>13770</v>
      </c>
      <c r="G5210" s="175">
        <f>SUM(C5210,C5186,C5162,C5138,C5114,C5090,C5066,C5042,C5018,C4994,C4970,C4946,C4922,C4898)/POBLA!$B$1*100000</f>
        <v>391.87872670312606</v>
      </c>
      <c r="H5210" s="300">
        <f t="shared" ref="H5210:H5273" si="647">SUM(C5210,C5186,C5162,C5138,C5114,C5090,C5066,C5042,C5018,C4994,C4970,C4946,C4922,C4898)/SUM(C4874,C4850,C4826,C4802,C4778,C4754,C4730,C4706,C4682,C4658,C4634,C4610,C4586,C4562)</f>
        <v>0.93732955165266718</v>
      </c>
      <c r="I5210" s="301">
        <f>G5210*H5210</f>
        <v>367.31951120285925</v>
      </c>
      <c r="J5210" s="301">
        <f>AVERAGE(C5210,C5186,C5162,C5138,C5114,C5090,C5066)</f>
        <v>4904.2857142857147</v>
      </c>
      <c r="K5210" s="301">
        <f>J5210/POBLA!$B$1*100000</f>
        <v>27.958761144931877</v>
      </c>
      <c r="L5210" s="548">
        <f t="shared" ref="L5210:L5273" si="648">1-SUM(C5210,C5186,C5162,C5138,C5114,C5090,C5066)/SUM(C5042,C5018,C4994,C4970,C4946,C4922,C4898)</f>
        <v>2.3249055507119643E-3</v>
      </c>
      <c r="M5210" s="400">
        <f>SUM(C5210,C5186,C5162,C5138,C5114,C5090,C5066)/POBLA!$B$1*100000</f>
        <v>195.7113280145231</v>
      </c>
    </row>
    <row r="5211" spans="1:13" s="360" customFormat="1" ht="15.75" thickBot="1" x14ac:dyDescent="0.3">
      <c r="A5211" s="367" t="s">
        <v>43</v>
      </c>
      <c r="B5211" s="269">
        <v>44110</v>
      </c>
      <c r="C5211" s="1">
        <v>883</v>
      </c>
      <c r="D5211" s="39">
        <f t="shared" ref="D5211:D5223" si="649">C5211+D5187</f>
        <v>130841</v>
      </c>
      <c r="E5211" s="1">
        <v>51</v>
      </c>
      <c r="F5211" s="409">
        <f t="shared" si="646"/>
        <v>3731</v>
      </c>
      <c r="G5211" s="168">
        <f>SUM(C5211,C5187,C5163,C5139,C5115,C5091,C5067,C5043,C5019,C4995,C4971,C4947,C4923,C4899)/POBLA!$B$2*100000</f>
        <v>388.92642391224479</v>
      </c>
      <c r="H5211" s="256">
        <f t="shared" si="647"/>
        <v>0.88150331613854094</v>
      </c>
      <c r="I5211" s="297">
        <f t="shared" ref="I5211:I5233" si="650">G5211*H5211</f>
        <v>342.83993241254768</v>
      </c>
      <c r="J5211" s="297">
        <f t="shared" ref="J5211:J5233" si="651">AVERAGE(C5211,C5187,C5163,C5139,C5115,C5091,C5067)</f>
        <v>824.71428571428567</v>
      </c>
      <c r="K5211" s="297">
        <f>J5211/POBLA!$B$2*100000</f>
        <v>26.814343579016754</v>
      </c>
      <c r="L5211" s="549">
        <f t="shared" si="648"/>
        <v>6.7216028437550479E-2</v>
      </c>
      <c r="M5211" s="401">
        <f>SUM(C5211,C5187,C5163,C5139,C5115,C5091,C5067)/POBLA!$B$2*100000</f>
        <v>187.70040505311729</v>
      </c>
    </row>
    <row r="5212" spans="1:13" s="360" customFormat="1" ht="15.75" thickBot="1" x14ac:dyDescent="0.3">
      <c r="A5212" s="367" t="s">
        <v>28</v>
      </c>
      <c r="B5212" s="269">
        <v>44110</v>
      </c>
      <c r="C5212" s="1">
        <v>9</v>
      </c>
      <c r="D5212" s="39">
        <f t="shared" si="649"/>
        <v>327</v>
      </c>
      <c r="E5212" s="1"/>
      <c r="F5212" s="409">
        <f t="shared" si="646"/>
        <v>0</v>
      </c>
      <c r="G5212" s="168">
        <f>SUM(C5212,C5188,C5164,C5140,C5116,C5092,C5068,C5044,C5020,C4996,C4972,C4948,C4924,C4900)/POBLA!$B$3*100000</f>
        <v>33.699372710247978</v>
      </c>
      <c r="H5212" s="256">
        <f t="shared" si="647"/>
        <v>1.5384615384615385</v>
      </c>
      <c r="I5212" s="297">
        <f t="shared" si="650"/>
        <v>51.845188784996893</v>
      </c>
      <c r="J5212" s="297">
        <f t="shared" si="651"/>
        <v>6.8571428571428568</v>
      </c>
      <c r="K5212" s="297">
        <f>J5212/POBLA!$B$3*100000</f>
        <v>1.6505815205019416</v>
      </c>
      <c r="L5212" s="549">
        <f t="shared" si="648"/>
        <v>0.47826086956521741</v>
      </c>
      <c r="M5212" s="401">
        <f>SUM(C5212,C5188,C5164,C5140,C5116,C5092,C5068)/POBLA!$B$3*100000</f>
        <v>11.554070643513592</v>
      </c>
    </row>
    <row r="5213" spans="1:13" s="360" customFormat="1" ht="15.75" thickBot="1" x14ac:dyDescent="0.3">
      <c r="A5213" s="367" t="s">
        <v>15</v>
      </c>
      <c r="B5213" s="269">
        <v>44110</v>
      </c>
      <c r="C5213" s="1">
        <v>145</v>
      </c>
      <c r="D5213" s="39">
        <f t="shared" si="649"/>
        <v>9486</v>
      </c>
      <c r="E5213" s="1">
        <v>4</v>
      </c>
      <c r="F5213" s="409">
        <f t="shared" si="646"/>
        <v>309</v>
      </c>
      <c r="G5213" s="168">
        <f>SUM(C5213,C5189,C5165,C5141,C5117,C5093,C5069,C5045,C5021,C4997,C4973,C4949,C4925,C4901)/POBLA!$B$4*100000</f>
        <v>158.81568165799254</v>
      </c>
      <c r="H5213" s="256">
        <f t="shared" si="647"/>
        <v>1.3443429374560787</v>
      </c>
      <c r="I5213" s="297">
        <f t="shared" si="650"/>
        <v>213.50273999419517</v>
      </c>
      <c r="J5213" s="297">
        <f t="shared" si="651"/>
        <v>157.14285714285714</v>
      </c>
      <c r="K5213" s="297">
        <f>J5213/POBLA!$B$4*100000</f>
        <v>13.045870347531313</v>
      </c>
      <c r="L5213" s="549">
        <f t="shared" si="648"/>
        <v>-0.35301353013530146</v>
      </c>
      <c r="M5213" s="401">
        <f>SUM(C5213,C5189,C5165,C5141,C5117,C5093,C5069)/POBLA!$B$4*100000</f>
        <v>91.321092432719183</v>
      </c>
    </row>
    <row r="5214" spans="1:13" s="360" customFormat="1" ht="15.75" thickBot="1" x14ac:dyDescent="0.3">
      <c r="A5214" s="367" t="s">
        <v>29</v>
      </c>
      <c r="B5214" s="269">
        <v>44110</v>
      </c>
      <c r="C5214" s="1">
        <v>322</v>
      </c>
      <c r="D5214" s="39">
        <f t="shared" si="649"/>
        <v>5243</v>
      </c>
      <c r="E5214" s="1"/>
      <c r="F5214" s="409">
        <f t="shared" si="646"/>
        <v>69</v>
      </c>
      <c r="G5214" s="168">
        <f>SUM(C5214,C5190,C5166,C5142,C5118,C5094,C5070,C5046,C5022,C4998,C4974,C4950,C4926,C4902)/POBLA!$B$5*100000</f>
        <v>434.25299760579264</v>
      </c>
      <c r="H5214" s="256">
        <f t="shared" si="647"/>
        <v>2.1800486618004866</v>
      </c>
      <c r="I5214" s="297">
        <f t="shared" si="650"/>
        <v>946.69266631335813</v>
      </c>
      <c r="J5214" s="297">
        <f t="shared" si="651"/>
        <v>206.28571428571428</v>
      </c>
      <c r="K5214" s="297">
        <f>J5214/POBLA!$B$5*100000</f>
        <v>33.325963464220052</v>
      </c>
      <c r="L5214" s="549">
        <f t="shared" si="648"/>
        <v>-0.16077170418006426</v>
      </c>
      <c r="M5214" s="401">
        <f>SUM(C5214,C5190,C5166,C5142,C5118,C5094,C5070)/POBLA!$B$5*100000</f>
        <v>233.28174424954037</v>
      </c>
    </row>
    <row r="5215" spans="1:13" s="360" customFormat="1" ht="15.75" thickBot="1" x14ac:dyDescent="0.3">
      <c r="A5215" s="367" t="s">
        <v>20</v>
      </c>
      <c r="B5215" s="269">
        <v>44110</v>
      </c>
      <c r="C5215" s="1">
        <v>1455</v>
      </c>
      <c r="D5215" s="39">
        <f t="shared" si="649"/>
        <v>43193</v>
      </c>
      <c r="E5215" s="1">
        <v>21</v>
      </c>
      <c r="F5215" s="409">
        <f t="shared" si="646"/>
        <v>514</v>
      </c>
      <c r="G5215" s="168">
        <f>SUM(C5215,C5191,C5167,C5143,C5119,C5095,C5071,C5047,C5023,C4999,C4975,C4951,C4927,C4903)/POBLA!$B$6*100000</f>
        <v>1968.5028832058501</v>
      </c>
      <c r="H5215" s="256">
        <f t="shared" si="647"/>
        <v>2.4136308937752982</v>
      </c>
      <c r="I5215" s="297">
        <f t="shared" si="650"/>
        <v>4751.2393733913877</v>
      </c>
      <c r="J5215" s="297">
        <f t="shared" si="651"/>
        <v>1529.7142857142858</v>
      </c>
      <c r="K5215" s="297">
        <f>J5215/POBLA!$B$6*100000</f>
        <v>136.4840222050378</v>
      </c>
      <c r="L5215" s="549">
        <f t="shared" si="648"/>
        <v>5.6979304271246201E-2</v>
      </c>
      <c r="M5215" s="401">
        <f>SUM(C5215,C5191,C5167,C5143,C5119,C5095,C5071)/POBLA!$B$6*100000</f>
        <v>955.38815543526459</v>
      </c>
    </row>
    <row r="5216" spans="1:13" s="360" customFormat="1" ht="15.75" thickBot="1" x14ac:dyDescent="0.3">
      <c r="A5216" s="367" t="s">
        <v>30</v>
      </c>
      <c r="B5216" s="269">
        <v>44110</v>
      </c>
      <c r="C5216" s="1">
        <v>72</v>
      </c>
      <c r="D5216" s="39">
        <f t="shared" si="649"/>
        <v>1356</v>
      </c>
      <c r="E5216" s="1">
        <v>3</v>
      </c>
      <c r="F5216" s="409">
        <f t="shared" si="646"/>
        <v>31</v>
      </c>
      <c r="G5216" s="168">
        <f>SUM(C5216,C5192,C5168,C5144,C5120,C5096,C5072,C5048,C5024,C5000,C4976,C4952,C4928,C4904)/POBLA!$B$7*100000</f>
        <v>7.8979909319363371</v>
      </c>
      <c r="H5216" s="256">
        <f t="shared" si="647"/>
        <v>0.45482388973966309</v>
      </c>
      <c r="I5216" s="297">
        <f t="shared" si="650"/>
        <v>3.5921949567918716</v>
      </c>
      <c r="J5216" s="297">
        <f t="shared" si="651"/>
        <v>40.428571428571431</v>
      </c>
      <c r="K5216" s="297">
        <f>J5216/POBLA!$B$7*100000</f>
        <v>1.0750992947272648</v>
      </c>
      <c r="L5216" s="549">
        <f t="shared" si="648"/>
        <v>-19.214285714285715</v>
      </c>
      <c r="M5216" s="401">
        <f>SUM(C5216,C5192,C5168,C5144,C5120,C5096,C5072)/POBLA!$B$7*100000</f>
        <v>7.5256950630908532</v>
      </c>
    </row>
    <row r="5217" spans="1:13" ht="15.75" thickBot="1" x14ac:dyDescent="0.3">
      <c r="A5217" s="367" t="s">
        <v>31</v>
      </c>
      <c r="B5217" s="269">
        <v>44110</v>
      </c>
      <c r="C5217" s="1">
        <v>201</v>
      </c>
      <c r="D5217" s="39">
        <f t="shared" si="649"/>
        <v>8449</v>
      </c>
      <c r="E5217" s="1">
        <v>3</v>
      </c>
      <c r="F5217" s="409">
        <f t="shared" si="646"/>
        <v>153</v>
      </c>
      <c r="G5217" s="168">
        <f>SUM(C5217,C5193,C5169,C5145,C5121,C5097,C5073,C5049,C5025,C5001,C4977,C4953,C4929,C4905)/POBLA!$B$8*100000</f>
        <v>146.97383259702113</v>
      </c>
      <c r="H5217" s="256">
        <f t="shared" si="647"/>
        <v>1.1100817438692099</v>
      </c>
      <c r="I5217" s="297">
        <f t="shared" si="650"/>
        <v>163.15296839244255</v>
      </c>
      <c r="J5217" s="297">
        <f t="shared" si="651"/>
        <v>163.28571428571428</v>
      </c>
      <c r="K5217" s="297">
        <f>J5217/POBLA!$B$8*100000</f>
        <v>11.781407578259003</v>
      </c>
      <c r="L5217" s="549">
        <f t="shared" si="648"/>
        <v>-0.27852348993288589</v>
      </c>
      <c r="M5217" s="401">
        <f>SUM(C5217,C5193,C5169,C5145,C5121,C5097,C5073)/POBLA!$B$8*100000</f>
        <v>82.469853047813032</v>
      </c>
    </row>
    <row r="5218" spans="1:13" s="360" customFormat="1" ht="15.75" thickBot="1" x14ac:dyDescent="0.3">
      <c r="A5218" s="367" t="s">
        <v>41</v>
      </c>
      <c r="B5218" s="269">
        <v>44110</v>
      </c>
      <c r="C5218" s="1">
        <v>0</v>
      </c>
      <c r="D5218" s="39">
        <f t="shared" si="649"/>
        <v>106</v>
      </c>
      <c r="E5218" s="1"/>
      <c r="F5218" s="409">
        <f t="shared" si="646"/>
        <v>1</v>
      </c>
      <c r="G5218" s="168">
        <f>SUM(C5218,C5194,C5170,C5146,C5122,C5098,C5074,C5050,C5026,C5002,C4978,C4954,C4930,C4906)/POBLA!$B$9*100000</f>
        <v>0.82618272187550079</v>
      </c>
      <c r="H5218" s="256">
        <f t="shared" si="647"/>
        <v>0.45454545454545453</v>
      </c>
      <c r="I5218" s="297">
        <f t="shared" si="650"/>
        <v>0.37553760085250038</v>
      </c>
      <c r="J5218" s="297">
        <f t="shared" si="651"/>
        <v>0.2857142857142857</v>
      </c>
      <c r="K5218" s="297">
        <f>J5218/POBLA!$B$9*100000</f>
        <v>4.7210441250028622E-2</v>
      </c>
      <c r="L5218" s="549">
        <f t="shared" si="648"/>
        <v>0.33333333333333337</v>
      </c>
      <c r="M5218" s="401">
        <f>SUM(C5218,C5194,C5170,C5146,C5122,C5098,C5074)/POBLA!$B$9*100000</f>
        <v>0.33047308875020037</v>
      </c>
    </row>
    <row r="5219" spans="1:13" s="360" customFormat="1" ht="15.75" thickBot="1" x14ac:dyDescent="0.3">
      <c r="A5219" s="367" t="s">
        <v>32</v>
      </c>
      <c r="B5219" s="269">
        <v>44110</v>
      </c>
      <c r="C5219" s="1">
        <v>109</v>
      </c>
      <c r="D5219" s="39">
        <f t="shared" si="649"/>
        <v>16290</v>
      </c>
      <c r="E5219" s="1">
        <v>19</v>
      </c>
      <c r="F5219" s="409">
        <f t="shared" si="646"/>
        <v>608</v>
      </c>
      <c r="G5219" s="168">
        <f>SUM(C5219,C5195,C5171,C5147,C5123,C5099,C5075,C5051,C5027,C5003,C4979,C4955,C4931,C4907)/POBLA!$B$10*100000</f>
        <v>251.66011355838322</v>
      </c>
      <c r="H5219" s="256">
        <f t="shared" si="647"/>
        <v>0.54250559284116329</v>
      </c>
      <c r="I5219" s="297">
        <f t="shared" si="650"/>
        <v>136.52701910046517</v>
      </c>
      <c r="J5219" s="297">
        <f t="shared" si="651"/>
        <v>111</v>
      </c>
      <c r="K5219" s="297">
        <f>J5219/POBLA!$B$10*100000</f>
        <v>14.399109590196153</v>
      </c>
      <c r="L5219" s="549">
        <f t="shared" si="648"/>
        <v>0.33190025795356837</v>
      </c>
      <c r="M5219" s="401">
        <f>SUM(C5219,C5195,C5171,C5147,C5123,C5099,C5075)/POBLA!$B$10*100000</f>
        <v>100.79376713137307</v>
      </c>
    </row>
    <row r="5220" spans="1:13" s="360" customFormat="1" ht="15.75" thickBot="1" x14ac:dyDescent="0.3">
      <c r="A5220" s="367" t="s">
        <v>33</v>
      </c>
      <c r="B5220" s="269">
        <v>44110</v>
      </c>
      <c r="C5220" s="1">
        <v>26</v>
      </c>
      <c r="D5220" s="39">
        <f t="shared" si="649"/>
        <v>897</v>
      </c>
      <c r="E5220" s="1"/>
      <c r="F5220" s="409">
        <f t="shared" ref="F5220:F5231" si="652">E5220+F5196</f>
        <v>11</v>
      </c>
      <c r="G5220" s="168">
        <f>SUM(C5220,C5196,C5172,C5148,C5124,C5100,C5076,C5052,C5028,C5004,C4980,C4956,C4932,C4908)/POBLA!$B$11*100000</f>
        <v>80.629861506355525</v>
      </c>
      <c r="H5220" s="256">
        <f t="shared" si="647"/>
        <v>0.80055401662049863</v>
      </c>
      <c r="I5220" s="297">
        <f t="shared" si="650"/>
        <v>64.548559488467447</v>
      </c>
      <c r="J5220" s="297">
        <f t="shared" si="651"/>
        <v>22.714285714285715</v>
      </c>
      <c r="K5220" s="297">
        <f>J5220/POBLA!$B$11*100000</f>
        <v>6.3371962330749039</v>
      </c>
      <c r="L5220" s="549">
        <f t="shared" si="648"/>
        <v>-0.22307692307692317</v>
      </c>
      <c r="M5220" s="401">
        <f>SUM(C5220,C5196,C5172,C5148,C5124,C5100,C5076)/POBLA!$B$11*100000</f>
        <v>44.360373631524325</v>
      </c>
    </row>
    <row r="5221" spans="1:13" s="360" customFormat="1" ht="15.75" thickBot="1" x14ac:dyDescent="0.3">
      <c r="A5221" s="367" t="s">
        <v>21</v>
      </c>
      <c r="B5221" s="269">
        <v>44110</v>
      </c>
      <c r="C5221" s="1">
        <v>110</v>
      </c>
      <c r="D5221" s="39">
        <f t="shared" si="649"/>
        <v>5311</v>
      </c>
      <c r="E5221" s="1"/>
      <c r="F5221" s="409">
        <f t="shared" si="652"/>
        <v>105</v>
      </c>
      <c r="G5221" s="168">
        <f>SUM(C5221,C5197,C5173,C5149,C5125,C5101,C5077,C5053,C5029,C5005,C4981,C4957,C4933,C4909)/POBLA!$B$12*100000</f>
        <v>277.23355974497565</v>
      </c>
      <c r="H5221" s="256">
        <f t="shared" si="647"/>
        <v>0.5441396508728179</v>
      </c>
      <c r="I5221" s="297">
        <f t="shared" si="650"/>
        <v>150.85377240985954</v>
      </c>
      <c r="J5221" s="297">
        <f t="shared" si="651"/>
        <v>87</v>
      </c>
      <c r="K5221" s="297">
        <f>J5221/POBLA!$B$12*100000</f>
        <v>22.107534095153873</v>
      </c>
      <c r="L5221" s="549">
        <f t="shared" si="648"/>
        <v>-0.26348547717842319</v>
      </c>
      <c r="M5221" s="401">
        <f>SUM(C5221,C5197,C5173,C5149,C5125,C5101,C5077)/POBLA!$B$12*100000</f>
        <v>154.75273866607714</v>
      </c>
    </row>
    <row r="5222" spans="1:13" s="360" customFormat="1" ht="15.75" thickBot="1" x14ac:dyDescent="0.3">
      <c r="A5222" s="367" t="s">
        <v>17</v>
      </c>
      <c r="B5222" s="269">
        <v>44110</v>
      </c>
      <c r="C5222" s="1">
        <v>680</v>
      </c>
      <c r="D5222" s="39">
        <f t="shared" si="649"/>
        <v>28565</v>
      </c>
      <c r="E5222" s="1">
        <v>44</v>
      </c>
      <c r="F5222" s="409">
        <f t="shared" si="652"/>
        <v>362</v>
      </c>
      <c r="G5222" s="168">
        <f>SUM(C5222,C5198,C5174,C5150,C5126,C5102,C5078,C5054,C5030,C5006,C4982,C4958,C4934,C4910)/POBLA!$B$13*100000</f>
        <v>436.60925933183211</v>
      </c>
      <c r="H5222" s="256">
        <f t="shared" si="647"/>
        <v>0.96138953424051332</v>
      </c>
      <c r="I5222" s="297">
        <f t="shared" si="650"/>
        <v>419.75157247412557</v>
      </c>
      <c r="J5222" s="297">
        <f t="shared" si="651"/>
        <v>601</v>
      </c>
      <c r="K5222" s="297">
        <f>J5222/POBLA!$B$13*100000</f>
        <v>30.195876278300467</v>
      </c>
      <c r="L5222" s="549">
        <f t="shared" si="648"/>
        <v>6.1565915681463301E-2</v>
      </c>
      <c r="M5222" s="401">
        <f>SUM(C5222,C5198,C5174,C5150,C5126,C5102,C5078)/POBLA!$B$13*100000</f>
        <v>211.37113394810331</v>
      </c>
    </row>
    <row r="5223" spans="1:13" s="360" customFormat="1" ht="15.75" thickBot="1" x14ac:dyDescent="0.3">
      <c r="A5223" s="367" t="s">
        <v>23</v>
      </c>
      <c r="B5223" s="269">
        <v>44110</v>
      </c>
      <c r="C5223" s="1">
        <v>11</v>
      </c>
      <c r="D5223" s="39">
        <f t="shared" si="649"/>
        <v>118</v>
      </c>
      <c r="E5223" s="1"/>
      <c r="F5223" s="409">
        <f t="shared" si="652"/>
        <v>4</v>
      </c>
      <c r="G5223" s="168">
        <f>SUM(C5223,C5199,C5175,C5151,C5127,C5103,C5079,C5055,C5031,C5007,C4983,C4959,C4935,C4911)/POBLA!$B$14*100000</f>
        <v>3.1713462523408502</v>
      </c>
      <c r="H5223" s="256">
        <f t="shared" si="647"/>
        <v>4.4444444444444446</v>
      </c>
      <c r="I5223" s="297">
        <f t="shared" si="650"/>
        <v>14.094872232626001</v>
      </c>
      <c r="J5223" s="297">
        <f t="shared" si="651"/>
        <v>4.4285714285714288</v>
      </c>
      <c r="K5223" s="297">
        <f>J5223/POBLA!$B$14*100000</f>
        <v>0.35111333508059411</v>
      </c>
      <c r="L5223" s="549">
        <f t="shared" si="648"/>
        <v>-2.4444444444444446</v>
      </c>
      <c r="M5223" s="401">
        <f>SUM(C5223,C5199,C5175,C5151,C5127,C5103,C5079)/POBLA!$B$14*100000</f>
        <v>2.4577933455641587</v>
      </c>
    </row>
    <row r="5224" spans="1:13" s="360" customFormat="1" ht="15.75" thickBot="1" x14ac:dyDescent="0.3">
      <c r="A5224" s="367" t="s">
        <v>19</v>
      </c>
      <c r="B5224" s="269">
        <v>44110</v>
      </c>
      <c r="C5224" s="1">
        <v>356</v>
      </c>
      <c r="D5224" s="39">
        <f>C5224+D5200</f>
        <v>9486</v>
      </c>
      <c r="E5224" s="1">
        <v>1</v>
      </c>
      <c r="F5224" s="409">
        <f t="shared" si="652"/>
        <v>123</v>
      </c>
      <c r="G5224" s="168">
        <f>SUM(C5224,C5200,C5176,C5152,C5128,C5104,C5080,C5056,C5032,C5008,C4984,C4960,C4936,C4912)/POBLA!$B$15*100000</f>
        <v>458.54497430190486</v>
      </c>
      <c r="H5224" s="256">
        <f t="shared" si="647"/>
        <v>1.2729933110367893</v>
      </c>
      <c r="I5224" s="297">
        <f t="shared" si="650"/>
        <v>583.72468509586133</v>
      </c>
      <c r="J5224" s="297">
        <f t="shared" si="651"/>
        <v>255</v>
      </c>
      <c r="K5224" s="297">
        <f>J5224/POBLA!$B$15*100000</f>
        <v>38.400318044987102</v>
      </c>
      <c r="L5224" s="549">
        <f t="shared" si="648"/>
        <v>-0.41666666666666674</v>
      </c>
      <c r="M5224" s="401">
        <f>SUM(C5224,C5200,C5176,C5152,C5128,C5104,C5080)/POBLA!$B$15*100000</f>
        <v>268.80222631490972</v>
      </c>
    </row>
    <row r="5225" spans="1:13" s="360" customFormat="1" ht="15.75" thickBot="1" x14ac:dyDescent="0.3">
      <c r="A5225" s="367" t="s">
        <v>18</v>
      </c>
      <c r="B5225" s="269">
        <v>44110</v>
      </c>
      <c r="C5225" s="1">
        <v>338</v>
      </c>
      <c r="D5225" s="39">
        <f>C5225+D5201</f>
        <v>14652</v>
      </c>
      <c r="E5225" s="1">
        <v>11</v>
      </c>
      <c r="F5225" s="409">
        <f t="shared" si="652"/>
        <v>331</v>
      </c>
      <c r="G5225" s="168">
        <f>SUM(C5225,C5201,C5177,C5153,C5129,C5105,C5081,C5057,C5033,C5009,C4985,C4961,C4937,C4913)/POBLA!$B$16*100000</f>
        <v>524.73883441901523</v>
      </c>
      <c r="H5225" s="256">
        <f t="shared" si="647"/>
        <v>1.213799504950495</v>
      </c>
      <c r="I5225" s="297">
        <f t="shared" si="650"/>
        <v>636.92773744610054</v>
      </c>
      <c r="J5225" s="297">
        <f t="shared" si="651"/>
        <v>311.71428571428572</v>
      </c>
      <c r="K5225" s="297">
        <f>J5225/POBLA!$B$16*100000</f>
        <v>41.694772102337545</v>
      </c>
      <c r="L5225" s="549">
        <f t="shared" si="648"/>
        <v>-0.25330269959793217</v>
      </c>
      <c r="M5225" s="401">
        <f>SUM(C5225,C5201,C5177,C5153,C5129,C5105,C5081)/POBLA!$B$16*100000</f>
        <v>291.86340471636282</v>
      </c>
    </row>
    <row r="5226" spans="1:13" s="360" customFormat="1" ht="15.75" thickBot="1" x14ac:dyDescent="0.3">
      <c r="A5226" s="367" t="s">
        <v>34</v>
      </c>
      <c r="B5226" s="269">
        <v>44110</v>
      </c>
      <c r="C5226" s="1">
        <v>222</v>
      </c>
      <c r="D5226" s="39">
        <f>C5226+D5202</f>
        <v>13962</v>
      </c>
      <c r="E5226" s="1">
        <v>11</v>
      </c>
      <c r="F5226" s="409">
        <f>E5226+F5202</f>
        <v>434</v>
      </c>
      <c r="G5226" s="168">
        <f>SUM(C5226,C5202,C5178,C5154,C5130,C5106,C5082,C5058,C5034,C5010,C4986,C4962,C4938,C4914)/POBLA!$B$17*100000</f>
        <v>288.68356223721338</v>
      </c>
      <c r="H5226" s="256">
        <f t="shared" si="647"/>
        <v>0.86732756802362376</v>
      </c>
      <c r="I5226" s="297">
        <f t="shared" si="650"/>
        <v>250.38321196359871</v>
      </c>
      <c r="J5226" s="297">
        <f t="shared" si="651"/>
        <v>272.42857142857144</v>
      </c>
      <c r="K5226" s="297">
        <f>J5226/POBLA!$B$17*100000</f>
        <v>19.125887756613604</v>
      </c>
      <c r="L5226" s="549">
        <f t="shared" si="648"/>
        <v>0.13514739229024941</v>
      </c>
      <c r="M5226" s="401">
        <f>SUM(C5226,C5202,C5178,C5154,C5130,C5106,C5082)/POBLA!$B$17*100000</f>
        <v>133.88121429629521</v>
      </c>
    </row>
    <row r="5227" spans="1:13" s="360" customFormat="1" ht="15.75" thickBot="1" x14ac:dyDescent="0.3">
      <c r="A5227" s="367" t="s">
        <v>35</v>
      </c>
      <c r="B5227" s="269">
        <v>44110</v>
      </c>
      <c r="C5227" s="1">
        <v>64</v>
      </c>
      <c r="D5227" s="39">
        <f t="shared" ref="D5227:D5233" si="653">C5227+D5203</f>
        <v>987</v>
      </c>
      <c r="E5227" s="1"/>
      <c r="F5227" s="409">
        <f>E5227+F5203</f>
        <v>42</v>
      </c>
      <c r="G5227" s="168">
        <f>SUM(C5227,C5203,C5179,C5155,C5131,C5107,C5083,C5059,C5035,C5011,C4987,C4963,C4939,C4915)/POBLA!$B$18*100000</f>
        <v>60.162541265743066</v>
      </c>
      <c r="H5227" s="256">
        <f t="shared" si="647"/>
        <v>3.4306569343065694</v>
      </c>
      <c r="I5227" s="297">
        <f t="shared" si="650"/>
        <v>206.39703937882658</v>
      </c>
      <c r="J5227" s="297">
        <f t="shared" si="651"/>
        <v>38.857142857142854</v>
      </c>
      <c r="K5227" s="297">
        <f>J5227/POBLA!$B$18*100000</f>
        <v>4.9739243842802772</v>
      </c>
      <c r="L5227" s="549">
        <f t="shared" si="648"/>
        <v>-0.3737373737373737</v>
      </c>
      <c r="M5227" s="401">
        <f>SUM(C5227,C5203,C5179,C5155,C5131,C5107,C5083)/POBLA!$B$18*100000</f>
        <v>34.817470689961944</v>
      </c>
    </row>
    <row r="5228" spans="1:13" s="360" customFormat="1" ht="15.75" thickBot="1" x14ac:dyDescent="0.3">
      <c r="A5228" s="367" t="s">
        <v>36</v>
      </c>
      <c r="B5228" s="269">
        <v>44110</v>
      </c>
      <c r="C5228" s="1">
        <v>61</v>
      </c>
      <c r="D5228" s="39">
        <f t="shared" si="653"/>
        <v>1865</v>
      </c>
      <c r="E5228" s="1">
        <v>3</v>
      </c>
      <c r="F5228" s="409">
        <f t="shared" si="652"/>
        <v>31</v>
      </c>
      <c r="G5228" s="168">
        <f>SUM(C5228,C5204,C5180,C5156,C5132,C5108,C5084,C5060,C5036,C5012,C4988,C4964,C4940,C4916)/POBLA!$B$19*100000</f>
        <v>198.100439086574</v>
      </c>
      <c r="H5228" s="256">
        <f t="shared" si="647"/>
        <v>1.8893058161350844</v>
      </c>
      <c r="I5228" s="297">
        <f t="shared" si="650"/>
        <v>374.27231174517829</v>
      </c>
      <c r="J5228" s="297">
        <f t="shared" si="651"/>
        <v>74.857142857142861</v>
      </c>
      <c r="K5228" s="297">
        <f>J5228/POBLA!$B$19*100000</f>
        <v>14.726149820026214</v>
      </c>
      <c r="L5228" s="549">
        <f t="shared" si="648"/>
        <v>-8.4886128364389135E-2</v>
      </c>
      <c r="M5228" s="401">
        <f>SUM(C5228,C5204,C5180,C5156,C5132,C5108,C5084)/POBLA!$B$19*100000</f>
        <v>103.0830487401835</v>
      </c>
    </row>
    <row r="5229" spans="1:13" s="360" customFormat="1" ht="15.75" thickBot="1" x14ac:dyDescent="0.3">
      <c r="A5229" s="367" t="s">
        <v>37</v>
      </c>
      <c r="B5229" s="269">
        <v>44110</v>
      </c>
      <c r="C5229" s="1">
        <v>55</v>
      </c>
      <c r="D5229" s="39">
        <f t="shared" si="653"/>
        <v>5618</v>
      </c>
      <c r="E5229" s="1">
        <v>1</v>
      </c>
      <c r="F5229" s="409">
        <f>E5229+F5205</f>
        <v>72</v>
      </c>
      <c r="G5229" s="168">
        <f>SUM(C5229,C5205,C5181,C5157,C5133,C5109,C5085,C5061,C5037,C5013,C4989,C4965,C4941,C4917)/POBLA!$B$20*100000</f>
        <v>465.41135034919529</v>
      </c>
      <c r="H5229" s="256">
        <f t="shared" si="647"/>
        <v>1.1212121212121211</v>
      </c>
      <c r="I5229" s="297">
        <f t="shared" si="650"/>
        <v>521.82484736121887</v>
      </c>
      <c r="J5229" s="297">
        <f t="shared" si="651"/>
        <v>131.28571428571428</v>
      </c>
      <c r="K5229" s="297">
        <f>J5229/POBLA!$B$20*100000</f>
        <v>35.900036173485852</v>
      </c>
      <c r="L5229" s="549">
        <f t="shared" si="648"/>
        <v>-0.17369093231162203</v>
      </c>
      <c r="M5229" s="401">
        <f>SUM(C5229,C5205,C5181,C5157,C5133,C5109,C5085)/POBLA!$B$20*100000</f>
        <v>251.30025321440098</v>
      </c>
    </row>
    <row r="5230" spans="1:13" s="360" customFormat="1" ht="15.75" thickBot="1" x14ac:dyDescent="0.3">
      <c r="A5230" s="367" t="s">
        <v>22</v>
      </c>
      <c r="B5230" s="269">
        <v>44110</v>
      </c>
      <c r="C5230" s="1">
        <v>2209</v>
      </c>
      <c r="D5230" s="39">
        <f t="shared" si="653"/>
        <v>52895</v>
      </c>
      <c r="E5230" s="1">
        <v>16</v>
      </c>
      <c r="F5230" s="409">
        <f>E5230+F5206</f>
        <v>572</v>
      </c>
      <c r="G5230" s="168">
        <f>SUM(C5230,C5206,C5182,C5158,C5134,C5110,C5086,C5062,C5038,C5014,C4990,C4966,C4942,C4918)/POBLA!$B$21*100000</f>
        <v>669.97170583341676</v>
      </c>
      <c r="H5230" s="256">
        <f t="shared" si="647"/>
        <v>1.5197562540089802</v>
      </c>
      <c r="I5230" s="297">
        <f t="shared" si="650"/>
        <v>1018.1936899493999</v>
      </c>
      <c r="J5230" s="297">
        <f t="shared" si="651"/>
        <v>1787.7142857142858</v>
      </c>
      <c r="K5230" s="297">
        <f>J5230/POBLA!$B$21*100000</f>
        <v>50.551554870331671</v>
      </c>
      <c r="L5230" s="549">
        <f t="shared" si="648"/>
        <v>-0.11942034171213889</v>
      </c>
      <c r="M5230" s="401">
        <f>SUM(C5230,C5206,C5182,C5158,C5134,C5110,C5086)/POBLA!$B$21*100000</f>
        <v>353.86088409232167</v>
      </c>
    </row>
    <row r="5231" spans="1:13" s="360" customFormat="1" ht="15.75" thickBot="1" x14ac:dyDescent="0.3">
      <c r="A5231" s="367" t="s">
        <v>38</v>
      </c>
      <c r="B5231" s="269">
        <v>44110</v>
      </c>
      <c r="C5231" s="1">
        <v>154</v>
      </c>
      <c r="D5231" s="39">
        <f t="shared" si="653"/>
        <v>4168</v>
      </c>
      <c r="E5231" s="1">
        <v>4</v>
      </c>
      <c r="F5231" s="409">
        <f t="shared" si="652"/>
        <v>73</v>
      </c>
      <c r="G5231" s="168">
        <f>SUM(C5231,C5207,C5183,C5159,C5135,C5111,C5087,C5063,C5039,C5015,C4991,C4967,C4943,C4919)/POBLA!$B$22*100000</f>
        <v>170.49758104001481</v>
      </c>
      <c r="H5231" s="256">
        <f t="shared" si="647"/>
        <v>1.5013501350135015</v>
      </c>
      <c r="I5231" s="297">
        <f t="shared" si="650"/>
        <v>255.97656631390163</v>
      </c>
      <c r="J5231" s="297">
        <f t="shared" si="651"/>
        <v>120.71428571428571</v>
      </c>
      <c r="K5231" s="297">
        <f>J5231/POBLA!$B$22*100000</f>
        <v>12.339025006749958</v>
      </c>
      <c r="L5231" s="549">
        <f t="shared" si="648"/>
        <v>-2.6731470230862753E-2</v>
      </c>
      <c r="M5231" s="401">
        <f>SUM(C5231,C5207,C5183,C5159,C5135,C5111,C5087)/POBLA!$B$22*100000</f>
        <v>86.373175047249703</v>
      </c>
    </row>
    <row r="5232" spans="1:13" s="360" customFormat="1" ht="15.75" thickBot="1" x14ac:dyDescent="0.3">
      <c r="A5232" s="367" t="s">
        <v>39</v>
      </c>
      <c r="B5232" s="269">
        <v>44110</v>
      </c>
      <c r="C5232" s="1">
        <v>244</v>
      </c>
      <c r="D5232" s="39">
        <f t="shared" si="653"/>
        <v>5420</v>
      </c>
      <c r="E5232" s="1">
        <v>1</v>
      </c>
      <c r="F5232" s="409">
        <f t="shared" ref="F5232:F5243" si="654">E5232+F5208</f>
        <v>75</v>
      </c>
      <c r="G5232" s="168">
        <f>SUM(C5232,C5208,C5184,C5160,C5136,C5112,C5088,C5064,C5040,C5016,C4992,C4968,C4944,C4920)/POBLA!$B$23*100000</f>
        <v>1167.2227563196291</v>
      </c>
      <c r="H5232" s="256">
        <f t="shared" si="647"/>
        <v>2.3061452513966478</v>
      </c>
      <c r="I5232" s="297">
        <f t="shared" si="650"/>
        <v>2691.7852168086192</v>
      </c>
      <c r="J5232" s="297">
        <f t="shared" si="651"/>
        <v>187.57142857142858</v>
      </c>
      <c r="K5232" s="297">
        <f>J5232/POBLA!$B$23*100000</f>
        <v>106.07443791858201</v>
      </c>
      <c r="L5232" s="549">
        <f t="shared" si="648"/>
        <v>-0.74833555259653806</v>
      </c>
      <c r="M5232" s="401">
        <f>SUM(C5232,C5208,C5184,C5160,C5136,C5112,C5088)/POBLA!$B$23*100000</f>
        <v>742.52106543007415</v>
      </c>
    </row>
    <row r="5233" spans="1:13" s="360" customFormat="1" ht="15.75" thickBot="1" x14ac:dyDescent="0.3">
      <c r="A5233" s="369" t="s">
        <v>40</v>
      </c>
      <c r="B5233" s="269">
        <v>44110</v>
      </c>
      <c r="C5233" s="1">
        <v>1356</v>
      </c>
      <c r="D5233" s="176">
        <f t="shared" si="653"/>
        <v>19160</v>
      </c>
      <c r="E5233" s="1">
        <v>17</v>
      </c>
      <c r="F5233" s="476">
        <f t="shared" si="654"/>
        <v>168</v>
      </c>
      <c r="G5233" s="177">
        <f>SUM(C5233,C5209,C5185,C5161,C5137,C5113,C5089,C5065,C5041,C5017,C4993,C4969,C4945,C4921)/POBLA!$B$24*100000</f>
        <v>513.73258053551865</v>
      </c>
      <c r="H5233" s="402">
        <f t="shared" si="647"/>
        <v>1.5252277505255782</v>
      </c>
      <c r="I5233" s="403">
        <f t="shared" si="650"/>
        <v>783.55918818188957</v>
      </c>
      <c r="J5233" s="403">
        <f t="shared" si="651"/>
        <v>712.14285714285711</v>
      </c>
      <c r="K5233" s="403">
        <f>J5233/POBLA!$B$24*100000</f>
        <v>42.022856387541609</v>
      </c>
      <c r="L5233" s="550">
        <f t="shared" si="648"/>
        <v>-0.3396936307444236</v>
      </c>
      <c r="M5233" s="405">
        <f>SUM(C5233,C5209,C5185,C5161,C5137,C5113,C5089)/POBLA!$B$24*100000</f>
        <v>294.15999471279127</v>
      </c>
    </row>
    <row r="5234" spans="1:13" s="360" customFormat="1" ht="15.75" thickBot="1" x14ac:dyDescent="0.3">
      <c r="A5234" s="363" t="s">
        <v>16</v>
      </c>
      <c r="B5234" s="269">
        <v>44111</v>
      </c>
      <c r="C5234" s="1">
        <v>5222</v>
      </c>
      <c r="D5234" s="174">
        <f>C5234+D5210</f>
        <v>451286</v>
      </c>
      <c r="E5234" s="1">
        <v>187</v>
      </c>
      <c r="F5234" s="475">
        <f t="shared" si="654"/>
        <v>13957</v>
      </c>
      <c r="G5234" s="175">
        <f>SUM(C5234,C5210,C5186,C5162,C5138,C5114,C5090,C5066,C5042,C5018,C4994,C4970,C4946,C4922)/POBLA!$B$1*100000</f>
        <v>390.92667917098436</v>
      </c>
      <c r="H5234" s="300">
        <f t="shared" si="647"/>
        <v>0.94636967112435999</v>
      </c>
      <c r="I5234" s="301">
        <f>G5234*H5234</f>
        <v>369.96115280078266</v>
      </c>
      <c r="J5234" s="301">
        <f>AVERAGE(C5234,C5210,C5186,C5162,C5138,C5114,C5090)</f>
        <v>4801.2857142857147</v>
      </c>
      <c r="K5234" s="301">
        <f>J5234/POBLA!$B$1*100000</f>
        <v>27.371570152054044</v>
      </c>
      <c r="L5234" s="548">
        <f t="shared" si="648"/>
        <v>3.8754147122754823E-2</v>
      </c>
      <c r="M5234" s="400">
        <f>SUM(C5234,C5210,C5186,C5162,C5138,C5114,C5090)/POBLA!$B$1*100000</f>
        <v>191.60099106437829</v>
      </c>
    </row>
    <row r="5235" spans="1:13" s="360" customFormat="1" ht="15.75" thickBot="1" x14ac:dyDescent="0.3">
      <c r="A5235" s="367" t="s">
        <v>43</v>
      </c>
      <c r="B5235" s="269">
        <v>44111</v>
      </c>
      <c r="C5235" s="1">
        <v>956</v>
      </c>
      <c r="D5235" s="39">
        <f t="shared" ref="D5235:D5247" si="655">C5235+D5211</f>
        <v>131797</v>
      </c>
      <c r="E5235" s="1">
        <v>63</v>
      </c>
      <c r="F5235" s="409">
        <f t="shared" si="654"/>
        <v>3794</v>
      </c>
      <c r="G5235" s="168">
        <f>SUM(C5235,C5211,C5187,C5163,C5139,C5115,C5091,C5067,C5043,C5019,C4995,C4971,C4947,C4923)/POBLA!$B$2*100000</f>
        <v>389.80428826984638</v>
      </c>
      <c r="H5235" s="256">
        <f t="shared" si="647"/>
        <v>0.905855685681904</v>
      </c>
      <c r="I5235" s="297">
        <f t="shared" ref="I5235:I5257" si="656">G5235*H5235</f>
        <v>353.10643083242826</v>
      </c>
      <c r="J5235" s="297">
        <f t="shared" ref="J5235:J5257" si="657">AVERAGE(C5235,C5211,C5187,C5163,C5139,C5115,C5091)</f>
        <v>833</v>
      </c>
      <c r="K5235" s="297">
        <f>J5235/POBLA!$B$2*100000</f>
        <v>27.083741106746356</v>
      </c>
      <c r="L5235" s="549">
        <f t="shared" si="648"/>
        <v>5.3101656381942197E-2</v>
      </c>
      <c r="M5235" s="401">
        <f>SUM(C5235,C5211,C5187,C5163,C5139,C5115,C5091)/POBLA!$B$2*100000</f>
        <v>189.58618774722447</v>
      </c>
    </row>
    <row r="5236" spans="1:13" s="360" customFormat="1" ht="15.75" thickBot="1" x14ac:dyDescent="0.3">
      <c r="A5236" s="367" t="s">
        <v>28</v>
      </c>
      <c r="B5236" s="269">
        <v>44111</v>
      </c>
      <c r="C5236" s="1">
        <v>8</v>
      </c>
      <c r="D5236" s="39">
        <f t="shared" si="655"/>
        <v>335</v>
      </c>
      <c r="E5236" s="1"/>
      <c r="F5236" s="409">
        <f t="shared" si="654"/>
        <v>0</v>
      </c>
      <c r="G5236" s="168">
        <f>SUM(C5236,C5212,C5188,C5164,C5140,C5116,C5092,C5068,C5044,C5020,C4996,C4972,C4948,C4924)/POBLA!$B$3*100000</f>
        <v>34.180792320394382</v>
      </c>
      <c r="H5236" s="256">
        <f t="shared" si="647"/>
        <v>1.5106382978723405</v>
      </c>
      <c r="I5236" s="297">
        <f t="shared" si="656"/>
        <v>51.634813930808534</v>
      </c>
      <c r="J5236" s="297">
        <f t="shared" si="657"/>
        <v>6.8571428571428568</v>
      </c>
      <c r="K5236" s="297">
        <f>J5236/POBLA!$B$3*100000</f>
        <v>1.6505815205019416</v>
      </c>
      <c r="L5236" s="549">
        <f t="shared" si="648"/>
        <v>0.48936170212765961</v>
      </c>
      <c r="M5236" s="401">
        <f>SUM(C5236,C5212,C5188,C5164,C5140,C5116,C5092)/POBLA!$B$3*100000</f>
        <v>11.554070643513592</v>
      </c>
    </row>
    <row r="5237" spans="1:13" s="360" customFormat="1" ht="15.75" thickBot="1" x14ac:dyDescent="0.3">
      <c r="A5237" s="367" t="s">
        <v>15</v>
      </c>
      <c r="B5237" s="269">
        <v>44111</v>
      </c>
      <c r="C5237" s="1">
        <v>207</v>
      </c>
      <c r="D5237" s="39">
        <f t="shared" si="655"/>
        <v>9693</v>
      </c>
      <c r="E5237" s="1">
        <v>5</v>
      </c>
      <c r="F5237" s="409">
        <f t="shared" si="654"/>
        <v>314</v>
      </c>
      <c r="G5237" s="168">
        <f>SUM(C5237,C5213,C5189,C5165,C5141,C5117,C5093,C5069,C5045,C5021,C4997,C4973,C4949,C4925)/POBLA!$B$4*100000</f>
        <v>168.86100182559167</v>
      </c>
      <c r="H5237" s="256">
        <f t="shared" si="647"/>
        <v>1.4857560262965668</v>
      </c>
      <c r="I5237" s="297">
        <f t="shared" si="656"/>
        <v>250.8862510688484</v>
      </c>
      <c r="J5237" s="297">
        <f t="shared" si="657"/>
        <v>164.28571428571428</v>
      </c>
      <c r="K5237" s="297">
        <f>J5237/POBLA!$B$4*100000</f>
        <v>13.638864454237281</v>
      </c>
      <c r="L5237" s="549">
        <f t="shared" si="648"/>
        <v>-0.30090497737556565</v>
      </c>
      <c r="M5237" s="401">
        <f>SUM(C5237,C5213,C5189,C5165,C5141,C5117,C5093)/POBLA!$B$4*100000</f>
        <v>95.472051179660966</v>
      </c>
    </row>
    <row r="5238" spans="1:13" s="360" customFormat="1" ht="15.75" thickBot="1" x14ac:dyDescent="0.3">
      <c r="A5238" s="367" t="s">
        <v>29</v>
      </c>
      <c r="B5238" s="269">
        <v>44111</v>
      </c>
      <c r="C5238" s="1">
        <v>381</v>
      </c>
      <c r="D5238" s="39">
        <f t="shared" si="655"/>
        <v>5624</v>
      </c>
      <c r="E5238" s="1">
        <v>5</v>
      </c>
      <c r="F5238" s="409">
        <f t="shared" si="654"/>
        <v>74</v>
      </c>
      <c r="G5238" s="168">
        <f>SUM(C5238,C5214,C5190,C5166,C5142,C5118,C5094,C5070,C5046,C5022,C4998,C4974,C4950,C4926)/POBLA!$B$5*100000</f>
        <v>463.00933450081902</v>
      </c>
      <c r="H5238" s="256">
        <f t="shared" si="647"/>
        <v>2.0515390121689334</v>
      </c>
      <c r="I5238" s="297">
        <f t="shared" si="656"/>
        <v>949.88171272680552</v>
      </c>
      <c r="J5238" s="297">
        <f t="shared" si="657"/>
        <v>238.42857142857142</v>
      </c>
      <c r="K5238" s="297">
        <f>J5238/POBLA!$B$5*100000</f>
        <v>38.51872092921279</v>
      </c>
      <c r="L5238" s="549">
        <f t="shared" si="648"/>
        <v>-0.3943191311612364</v>
      </c>
      <c r="M5238" s="401">
        <f>SUM(C5238,C5214,C5190,C5166,C5142,C5118,C5094)/POBLA!$B$5*100000</f>
        <v>269.63104650448952</v>
      </c>
    </row>
    <row r="5239" spans="1:13" s="360" customFormat="1" ht="15.75" thickBot="1" x14ac:dyDescent="0.3">
      <c r="A5239" s="367" t="s">
        <v>20</v>
      </c>
      <c r="B5239" s="269">
        <v>44111</v>
      </c>
      <c r="C5239" s="1">
        <v>1749</v>
      </c>
      <c r="D5239" s="39">
        <f t="shared" si="655"/>
        <v>44942</v>
      </c>
      <c r="E5239" s="1">
        <v>10</v>
      </c>
      <c r="F5239" s="409">
        <f t="shared" si="654"/>
        <v>524</v>
      </c>
      <c r="G5239" s="168">
        <f>SUM(C5239,C5215,C5191,C5167,C5143,C5119,C5095,C5071,C5047,C5023,C4999,C4975,C4951,C4927)/POBLA!$B$6*100000</f>
        <v>1996.5185612789423</v>
      </c>
      <c r="H5239" s="256">
        <f t="shared" si="647"/>
        <v>2.2379237923792381</v>
      </c>
      <c r="I5239" s="297">
        <f t="shared" si="656"/>
        <v>4468.0563902129106</v>
      </c>
      <c r="J5239" s="297">
        <f t="shared" si="657"/>
        <v>1534.1428571428571</v>
      </c>
      <c r="K5239" s="297">
        <f>J5239/POBLA!$B$6*100000</f>
        <v>136.87914778295675</v>
      </c>
      <c r="L5239" s="549">
        <f t="shared" si="648"/>
        <v>7.7246949647705843E-2</v>
      </c>
      <c r="M5239" s="401">
        <f>SUM(C5239,C5215,C5191,C5167,C5143,C5119,C5095)/POBLA!$B$6*100000</f>
        <v>958.15403448069719</v>
      </c>
    </row>
    <row r="5240" spans="1:13" s="360" customFormat="1" ht="15.75" thickBot="1" x14ac:dyDescent="0.3">
      <c r="A5240" s="367" t="s">
        <v>30</v>
      </c>
      <c r="B5240" s="269">
        <v>44111</v>
      </c>
      <c r="C5240" s="1">
        <v>5</v>
      </c>
      <c r="D5240" s="39">
        <f t="shared" si="655"/>
        <v>1361</v>
      </c>
      <c r="E5240" s="1"/>
      <c r="F5240" s="409">
        <f t="shared" si="654"/>
        <v>31</v>
      </c>
      <c r="G5240" s="168">
        <f>SUM(C5240,C5216,C5192,C5168,C5144,C5120,C5096,C5072,C5048,C5024,C5000,C4976,C4952,C4928)/POBLA!$B$7*100000</f>
        <v>9.2276190349559233</v>
      </c>
      <c r="H5240" s="256">
        <f t="shared" si="647"/>
        <v>0.59519725557461411</v>
      </c>
      <c r="I5240" s="297">
        <f t="shared" si="656"/>
        <v>5.4922535250938349</v>
      </c>
      <c r="J5240" s="297">
        <f t="shared" si="657"/>
        <v>38.285714285714285</v>
      </c>
      <c r="K5240" s="297">
        <f>J5240/POBLA!$B$7*100000</f>
        <v>1.0181152331692827</v>
      </c>
      <c r="L5240" s="549">
        <f t="shared" si="648"/>
        <v>-2.3924050632911391</v>
      </c>
      <c r="M5240" s="401">
        <f>SUM(C5240,C5216,C5192,C5168,C5144,C5120,C5096)/POBLA!$B$7*100000</f>
        <v>7.1268066321849783</v>
      </c>
    </row>
    <row r="5241" spans="1:13" ht="15.75" thickBot="1" x14ac:dyDescent="0.3">
      <c r="A5241" s="367" t="s">
        <v>31</v>
      </c>
      <c r="B5241" s="269">
        <v>44111</v>
      </c>
      <c r="C5241" s="1">
        <v>170</v>
      </c>
      <c r="D5241" s="39">
        <f t="shared" si="655"/>
        <v>8619</v>
      </c>
      <c r="E5241" s="1">
        <v>7</v>
      </c>
      <c r="F5241" s="409">
        <f t="shared" si="654"/>
        <v>160</v>
      </c>
      <c r="G5241" s="168">
        <f>SUM(C5241,C5217,C5193,C5169,C5145,C5121,C5097,C5073,C5049,C5025,C5001,C4977,C4953,C4929)/POBLA!$B$8*100000</f>
        <v>150.72574192203098</v>
      </c>
      <c r="H5241" s="256">
        <f t="shared" si="647"/>
        <v>1.1459133296763577</v>
      </c>
      <c r="I5241" s="297">
        <f t="shared" si="656"/>
        <v>172.71863679381389</v>
      </c>
      <c r="J5241" s="297">
        <f t="shared" si="657"/>
        <v>162.28571428571428</v>
      </c>
      <c r="K5241" s="297">
        <f>J5241/POBLA!$B$8*100000</f>
        <v>11.709255475854969</v>
      </c>
      <c r="L5241" s="549">
        <f t="shared" si="648"/>
        <v>-0.19202518363064014</v>
      </c>
      <c r="M5241" s="401">
        <f>SUM(C5241,C5217,C5193,C5169,C5145,C5121,C5097)/POBLA!$B$8*100000</f>
        <v>81.964788330984788</v>
      </c>
    </row>
    <row r="5242" spans="1:13" s="360" customFormat="1" ht="15.75" thickBot="1" x14ac:dyDescent="0.3">
      <c r="A5242" s="367" t="s">
        <v>41</v>
      </c>
      <c r="B5242" s="269">
        <v>44111</v>
      </c>
      <c r="C5242" s="1">
        <v>-1</v>
      </c>
      <c r="D5242" s="39">
        <f t="shared" si="655"/>
        <v>105</v>
      </c>
      <c r="E5242" s="1"/>
      <c r="F5242" s="409">
        <f t="shared" si="654"/>
        <v>1</v>
      </c>
      <c r="G5242" s="168">
        <f>SUM(C5242,C5218,C5194,C5170,C5146,C5122,C5098,C5074,C5050,C5026,C5002,C4978,C4954,C4930)/POBLA!$B$9*100000</f>
        <v>0.49570963312530053</v>
      </c>
      <c r="H5242" s="256">
        <f t="shared" si="647"/>
        <v>0.27272727272727271</v>
      </c>
      <c r="I5242" s="297">
        <f t="shared" si="656"/>
        <v>0.13519353630690015</v>
      </c>
      <c r="J5242" s="297">
        <f t="shared" si="657"/>
        <v>0.14285714285714285</v>
      </c>
      <c r="K5242" s="297">
        <f>J5242/POBLA!$B$9*100000</f>
        <v>2.3605220625014311E-2</v>
      </c>
      <c r="L5242" s="549">
        <f t="shared" si="648"/>
        <v>0.5</v>
      </c>
      <c r="M5242" s="401">
        <f>SUM(C5242,C5218,C5194,C5170,C5146,C5122,C5098)/POBLA!$B$9*100000</f>
        <v>0.16523654437510019</v>
      </c>
    </row>
    <row r="5243" spans="1:13" s="360" customFormat="1" ht="15.75" thickBot="1" x14ac:dyDescent="0.3">
      <c r="A5243" s="367" t="s">
        <v>32</v>
      </c>
      <c r="B5243" s="269">
        <v>44111</v>
      </c>
      <c r="C5243" s="1">
        <v>65</v>
      </c>
      <c r="D5243" s="39">
        <f t="shared" si="655"/>
        <v>16355</v>
      </c>
      <c r="E5243" s="1"/>
      <c r="F5243" s="409">
        <f t="shared" si="654"/>
        <v>608</v>
      </c>
      <c r="G5243" s="168">
        <f>SUM(C5243,C5219,C5195,C5171,C5147,C5123,C5099,C5075,C5051,C5027,C5003,C4979,C4955,C4931)/POBLA!$B$10*100000</f>
        <v>230.25603173511865</v>
      </c>
      <c r="H5243" s="256">
        <f t="shared" si="647"/>
        <v>0.51256136298007504</v>
      </c>
      <c r="I5243" s="297">
        <f t="shared" si="656"/>
        <v>118.02034546053584</v>
      </c>
      <c r="J5243" s="297">
        <f t="shared" si="657"/>
        <v>97.857142857142861</v>
      </c>
      <c r="K5243" s="297">
        <f>J5243/POBLA!$B$10*100000</f>
        <v>12.694195713364691</v>
      </c>
      <c r="L5243" s="549">
        <f t="shared" si="648"/>
        <v>0.37155963302752293</v>
      </c>
      <c r="M5243" s="401">
        <f>SUM(C5243,C5219,C5195,C5171,C5147,C5123,C5099)/POBLA!$B$10*100000</f>
        <v>88.859369993552832</v>
      </c>
    </row>
    <row r="5244" spans="1:13" s="360" customFormat="1" ht="15.75" thickBot="1" x14ac:dyDescent="0.3">
      <c r="A5244" s="367" t="s">
        <v>33</v>
      </c>
      <c r="B5244" s="269">
        <v>44111</v>
      </c>
      <c r="C5244" s="1">
        <v>33</v>
      </c>
      <c r="D5244" s="39">
        <f t="shared" si="655"/>
        <v>930</v>
      </c>
      <c r="E5244" s="1"/>
      <c r="F5244" s="409">
        <f t="shared" ref="F5244:F5255" si="658">E5244+F5220</f>
        <v>11</v>
      </c>
      <c r="G5244" s="168">
        <f>SUM(C5244,C5220,C5196,C5172,C5148,C5124,C5100,C5076,C5052,C5028,C5004,C4980,C4956,C4932)/POBLA!$B$11*100000</f>
        <v>85.651790596716765</v>
      </c>
      <c r="H5244" s="256">
        <f t="shared" si="647"/>
        <v>0.86235955056179781</v>
      </c>
      <c r="I5244" s="297">
        <f t="shared" si="656"/>
        <v>73.862639643797891</v>
      </c>
      <c r="J5244" s="297">
        <f t="shared" si="657"/>
        <v>23.857142857142858</v>
      </c>
      <c r="K5244" s="297">
        <f>J5244/POBLA!$B$11*100000</f>
        <v>6.6560488737327601</v>
      </c>
      <c r="L5244" s="549">
        <f t="shared" si="648"/>
        <v>-0.19285714285714284</v>
      </c>
      <c r="M5244" s="401">
        <f>SUM(C5244,C5220,C5196,C5172,C5148,C5124,C5100)/POBLA!$B$11*100000</f>
        <v>46.592342116129323</v>
      </c>
    </row>
    <row r="5245" spans="1:13" s="360" customFormat="1" ht="15.75" thickBot="1" x14ac:dyDescent="0.3">
      <c r="A5245" s="367" t="s">
        <v>21</v>
      </c>
      <c r="B5245" s="269">
        <v>44111</v>
      </c>
      <c r="C5245" s="1">
        <v>119</v>
      </c>
      <c r="D5245" s="39">
        <f t="shared" si="655"/>
        <v>5430</v>
      </c>
      <c r="E5245" s="1">
        <v>25</v>
      </c>
      <c r="F5245" s="409">
        <f t="shared" si="658"/>
        <v>130</v>
      </c>
      <c r="G5245" s="168">
        <f>SUM(C5245,C5221,C5197,C5173,C5149,C5125,C5101,C5077,C5053,C5029,C5005,C4981,C4957,C4933)/POBLA!$B$12*100000</f>
        <v>295.27534044331958</v>
      </c>
      <c r="H5245" s="256">
        <f t="shared" si="647"/>
        <v>0.60901467505241091</v>
      </c>
      <c r="I5245" s="297">
        <f t="shared" si="656"/>
        <v>179.82701551107829</v>
      </c>
      <c r="J5245" s="297">
        <f t="shared" si="657"/>
        <v>86</v>
      </c>
      <c r="K5245" s="297">
        <f>J5245/POBLA!$B$12*100000</f>
        <v>21.853424507853259</v>
      </c>
      <c r="L5245" s="549">
        <f t="shared" si="648"/>
        <v>-7.4999999999999956E-2</v>
      </c>
      <c r="M5245" s="401">
        <f>SUM(C5245,C5221,C5197,C5173,C5149,C5125,C5101)/POBLA!$B$12*100000</f>
        <v>152.97397155497279</v>
      </c>
    </row>
    <row r="5246" spans="1:13" s="360" customFormat="1" ht="15.75" thickBot="1" x14ac:dyDescent="0.3">
      <c r="A5246" s="367" t="s">
        <v>17</v>
      </c>
      <c r="B5246" s="269">
        <v>44111</v>
      </c>
      <c r="C5246" s="1">
        <v>771</v>
      </c>
      <c r="D5246" s="39">
        <f t="shared" si="655"/>
        <v>29336</v>
      </c>
      <c r="E5246" s="1">
        <v>36</v>
      </c>
      <c r="F5246" s="409">
        <f t="shared" si="658"/>
        <v>398</v>
      </c>
      <c r="G5246" s="168">
        <f>SUM(C5246,C5222,C5198,C5174,C5150,C5126,C5102,C5078,C5054,C5030,C5006,C4982,C4958,C4934)/POBLA!$B$13*100000</f>
        <v>448.81824092189368</v>
      </c>
      <c r="H5246" s="256">
        <f t="shared" si="647"/>
        <v>1.0187022465503479</v>
      </c>
      <c r="I5246" s="297">
        <f t="shared" si="656"/>
        <v>457.2121503199084</v>
      </c>
      <c r="J5246" s="297">
        <f t="shared" si="657"/>
        <v>612.42857142857144</v>
      </c>
      <c r="K5246" s="297">
        <f>J5246/POBLA!$B$13*100000</f>
        <v>30.770078822218711</v>
      </c>
      <c r="L5246" s="549">
        <f t="shared" si="648"/>
        <v>7.7270770555316393E-2</v>
      </c>
      <c r="M5246" s="401">
        <f>SUM(C5246,C5222,C5198,C5174,C5150,C5126,C5102)/POBLA!$B$13*100000</f>
        <v>215.39055175553096</v>
      </c>
    </row>
    <row r="5247" spans="1:13" s="360" customFormat="1" ht="15.75" thickBot="1" x14ac:dyDescent="0.3">
      <c r="A5247" s="367" t="s">
        <v>23</v>
      </c>
      <c r="B5247" s="269">
        <v>44111</v>
      </c>
      <c r="C5247" s="1">
        <v>7</v>
      </c>
      <c r="D5247" s="39">
        <f t="shared" si="655"/>
        <v>125</v>
      </c>
      <c r="E5247" s="1"/>
      <c r="F5247" s="409">
        <f t="shared" si="658"/>
        <v>4</v>
      </c>
      <c r="G5247" s="168">
        <f>SUM(C5247,C5223,C5199,C5175,C5151,C5127,C5103,C5079,C5055,C5031,C5007,C4983,C4959,C4935)/POBLA!$B$14*100000</f>
        <v>3.4091972212664139</v>
      </c>
      <c r="H5247" s="256">
        <f t="shared" si="647"/>
        <v>3.9090909090909092</v>
      </c>
      <c r="I5247" s="297">
        <f t="shared" si="656"/>
        <v>13.326861864950528</v>
      </c>
      <c r="J5247" s="297">
        <f t="shared" si="657"/>
        <v>4.1428571428571432</v>
      </c>
      <c r="K5247" s="297">
        <f>J5247/POBLA!$B$14*100000</f>
        <v>0.32846086184958806</v>
      </c>
      <c r="L5247" s="549">
        <f t="shared" si="648"/>
        <v>-1.0714285714285716</v>
      </c>
      <c r="M5247" s="401">
        <f>SUM(C5247,C5223,C5199,C5175,C5151,C5127,C5103)/POBLA!$B$14*100000</f>
        <v>2.2992260329471161</v>
      </c>
    </row>
    <row r="5248" spans="1:13" s="360" customFormat="1" ht="15.75" thickBot="1" x14ac:dyDescent="0.3">
      <c r="A5248" s="367" t="s">
        <v>19</v>
      </c>
      <c r="B5248" s="269">
        <v>44111</v>
      </c>
      <c r="C5248" s="1">
        <v>1204</v>
      </c>
      <c r="D5248" s="39">
        <f>C5248+D5224</f>
        <v>10690</v>
      </c>
      <c r="E5248" s="1">
        <v>1</v>
      </c>
      <c r="F5248" s="409">
        <f t="shared" si="658"/>
        <v>124</v>
      </c>
      <c r="G5248" s="168">
        <f>SUM(C5248,C5224,C5200,C5176,C5152,C5128,C5104,C5080,C5056,C5032,C5008,C4984,C4960,C4936)/POBLA!$B$15*100000</f>
        <v>613.35096234208811</v>
      </c>
      <c r="H5248" s="256">
        <f t="shared" si="647"/>
        <v>1.6298519407763106</v>
      </c>
      <c r="I5248" s="297">
        <f t="shared" si="656"/>
        <v>999.67125635027014</v>
      </c>
      <c r="J5248" s="297">
        <f t="shared" si="657"/>
        <v>399.57142857142856</v>
      </c>
      <c r="K5248" s="297">
        <f>J5248/POBLA!$B$15*100000</f>
        <v>60.171254662089027</v>
      </c>
      <c r="L5248" s="549">
        <f t="shared" si="648"/>
        <v>-1.1920062695924765</v>
      </c>
      <c r="M5248" s="401">
        <f>SUM(C5248,C5224,C5200,C5176,C5152,C5128,C5104)/POBLA!$B$15*100000</f>
        <v>421.19878263462323</v>
      </c>
    </row>
    <row r="5249" spans="1:13" s="360" customFormat="1" ht="15.75" thickBot="1" x14ac:dyDescent="0.3">
      <c r="A5249" s="367" t="s">
        <v>18</v>
      </c>
      <c r="B5249" s="269">
        <v>44111</v>
      </c>
      <c r="C5249" s="1">
        <v>339</v>
      </c>
      <c r="D5249" s="39">
        <f>C5249+D5225</f>
        <v>14991</v>
      </c>
      <c r="E5249" s="1">
        <v>6</v>
      </c>
      <c r="F5249" s="409">
        <f t="shared" si="658"/>
        <v>337</v>
      </c>
      <c r="G5249" s="168">
        <f>SUM(C5249,C5225,C5201,C5177,C5153,C5129,C5105,C5081,C5057,C5033,C5009,C4985,C4961,C4937)/POBLA!$B$16*100000</f>
        <v>533.70072631452229</v>
      </c>
      <c r="H5249" s="256">
        <f t="shared" si="647"/>
        <v>1.2375930521091811</v>
      </c>
      <c r="I5249" s="297">
        <f t="shared" si="656"/>
        <v>660.50431079247642</v>
      </c>
      <c r="J5249" s="297">
        <f t="shared" si="657"/>
        <v>307.42857142857144</v>
      </c>
      <c r="K5249" s="297">
        <f>J5249/POBLA!$B$16*100000</f>
        <v>41.121516757209164</v>
      </c>
      <c r="L5249" s="549">
        <f t="shared" si="648"/>
        <v>-0.17083786724700767</v>
      </c>
      <c r="M5249" s="401">
        <f>SUM(C5249,C5225,C5201,C5177,C5153,C5129,C5105)/POBLA!$B$16*100000</f>
        <v>287.85061730046414</v>
      </c>
    </row>
    <row r="5250" spans="1:13" s="360" customFormat="1" ht="15.75" thickBot="1" x14ac:dyDescent="0.3">
      <c r="A5250" s="367" t="s">
        <v>34</v>
      </c>
      <c r="B5250" s="269">
        <v>44111</v>
      </c>
      <c r="C5250" s="1">
        <v>289</v>
      </c>
      <c r="D5250" s="39">
        <f>C5250+D5226</f>
        <v>14251</v>
      </c>
      <c r="E5250" s="1">
        <v>18</v>
      </c>
      <c r="F5250" s="409">
        <f>E5250+F5226</f>
        <v>452</v>
      </c>
      <c r="G5250" s="168">
        <f>SUM(C5250,C5226,C5202,C5178,C5154,C5130,C5106,C5082,C5058,C5034,C5010,C4986,C4962,C4938)/POBLA!$B$17*100000</f>
        <v>284.61166374262228</v>
      </c>
      <c r="H5250" s="256">
        <f t="shared" si="647"/>
        <v>0.85762640152316483</v>
      </c>
      <c r="I5250" s="297">
        <f t="shared" si="656"/>
        <v>244.09047700710616</v>
      </c>
      <c r="J5250" s="297">
        <f t="shared" si="657"/>
        <v>262.28571428571428</v>
      </c>
      <c r="K5250" s="297">
        <f>J5250/POBLA!$B$17*100000</f>
        <v>18.413806985392011</v>
      </c>
      <c r="L5250" s="549">
        <f t="shared" si="648"/>
        <v>0.17222723174030663</v>
      </c>
      <c r="M5250" s="401">
        <f>SUM(C5250,C5226,C5202,C5178,C5154,C5130,C5106)/POBLA!$B$17*100000</f>
        <v>128.89664889774409</v>
      </c>
    </row>
    <row r="5251" spans="1:13" s="360" customFormat="1" ht="15.75" thickBot="1" x14ac:dyDescent="0.3">
      <c r="A5251" s="367" t="s">
        <v>35</v>
      </c>
      <c r="B5251" s="269">
        <v>44111</v>
      </c>
      <c r="C5251" s="1">
        <v>6</v>
      </c>
      <c r="D5251" s="39">
        <f t="shared" ref="D5251:D5257" si="659">C5251+D5227</f>
        <v>993</v>
      </c>
      <c r="E5251" s="1"/>
      <c r="F5251" s="409">
        <f>E5251+F5227</f>
        <v>42</v>
      </c>
      <c r="G5251" s="168">
        <f>SUM(C5251,C5227,C5203,C5179,C5155,C5131,C5107,C5083,C5059,C5035,C5011,C4987,C4963,C4939)/POBLA!$B$18*100000</f>
        <v>58.498470975414001</v>
      </c>
      <c r="H5251" s="256">
        <f t="shared" si="647"/>
        <v>3.0065789473684212</v>
      </c>
      <c r="I5251" s="297">
        <f t="shared" si="656"/>
        <v>175.88027128792237</v>
      </c>
      <c r="J5251" s="297">
        <f t="shared" si="657"/>
        <v>39.428571428571431</v>
      </c>
      <c r="K5251" s="297">
        <f>J5251/POBLA!$B$18*100000</f>
        <v>5.0470703311079292</v>
      </c>
      <c r="L5251" s="549">
        <f t="shared" si="648"/>
        <v>-0.52486187845303878</v>
      </c>
      <c r="M5251" s="401">
        <f>SUM(C5251,C5227,C5203,C5179,C5155,C5131,C5107)/POBLA!$B$18*100000</f>
        <v>35.329492317755502</v>
      </c>
    </row>
    <row r="5252" spans="1:13" s="360" customFormat="1" ht="15.75" thickBot="1" x14ac:dyDescent="0.3">
      <c r="A5252" s="367" t="s">
        <v>36</v>
      </c>
      <c r="B5252" s="269">
        <v>44111</v>
      </c>
      <c r="C5252" s="1">
        <v>125</v>
      </c>
      <c r="D5252" s="39">
        <f t="shared" si="659"/>
        <v>1990</v>
      </c>
      <c r="E5252" s="1"/>
      <c r="F5252" s="409">
        <f t="shared" si="658"/>
        <v>31</v>
      </c>
      <c r="G5252" s="168">
        <f>SUM(C5252,C5228,C5204,C5180,C5156,C5132,C5108,C5084,C5060,C5036,C5012,C4988,C4964,C4940)/POBLA!$B$19*100000</f>
        <v>210.49401174045107</v>
      </c>
      <c r="H5252" s="256">
        <f t="shared" si="647"/>
        <v>1.8641114982578397</v>
      </c>
      <c r="I5252" s="297">
        <f t="shared" si="656"/>
        <v>392.38430759979553</v>
      </c>
      <c r="J5252" s="297">
        <f t="shared" si="657"/>
        <v>74</v>
      </c>
      <c r="K5252" s="297">
        <f>J5252/POBLA!$B$19*100000</f>
        <v>14.557529783919044</v>
      </c>
      <c r="L5252" s="549">
        <f t="shared" si="648"/>
        <v>6.1594202898550776E-2</v>
      </c>
      <c r="M5252" s="401">
        <f>SUM(C5252,C5228,C5204,C5180,C5156,C5132,C5108)/POBLA!$B$19*100000</f>
        <v>101.9027084874333</v>
      </c>
    </row>
    <row r="5253" spans="1:13" s="360" customFormat="1" ht="15.75" thickBot="1" x14ac:dyDescent="0.3">
      <c r="A5253" s="367" t="s">
        <v>37</v>
      </c>
      <c r="B5253" s="269">
        <v>44111</v>
      </c>
      <c r="C5253" s="1">
        <v>162</v>
      </c>
      <c r="D5253" s="39">
        <f t="shared" si="659"/>
        <v>5780</v>
      </c>
      <c r="E5253" s="1">
        <v>2</v>
      </c>
      <c r="F5253" s="409">
        <f>E5253+F5229</f>
        <v>74</v>
      </c>
      <c r="G5253" s="168">
        <f>SUM(C5253,C5229,C5205,C5181,C5157,C5133,C5109,C5085,C5061,C5037,C5013,C4989,C4965,C4941)/POBLA!$B$20*100000</f>
        <v>478.53693484787988</v>
      </c>
      <c r="H5253" s="256">
        <f t="shared" si="647"/>
        <v>1.174496644295302</v>
      </c>
      <c r="I5253" s="297">
        <f t="shared" si="656"/>
        <v>562.04002415019443</v>
      </c>
      <c r="J5253" s="297">
        <f t="shared" si="657"/>
        <v>133.71428571428572</v>
      </c>
      <c r="K5253" s="297">
        <f>J5253/POBLA!$B$20*100000</f>
        <v>36.564128246335969</v>
      </c>
      <c r="L5253" s="549">
        <f t="shared" si="648"/>
        <v>-0.14987714987714984</v>
      </c>
      <c r="M5253" s="401">
        <f>SUM(C5253,C5229,C5205,C5181,C5157,C5133,C5109)/POBLA!$B$20*100000</f>
        <v>255.94889772435178</v>
      </c>
    </row>
    <row r="5254" spans="1:13" s="360" customFormat="1" ht="15.75" thickBot="1" x14ac:dyDescent="0.3">
      <c r="A5254" s="367" t="s">
        <v>22</v>
      </c>
      <c r="B5254" s="269">
        <v>44111</v>
      </c>
      <c r="C5254" s="1">
        <v>2137</v>
      </c>
      <c r="D5254" s="39">
        <f t="shared" si="659"/>
        <v>55032</v>
      </c>
      <c r="E5254" s="1">
        <v>17</v>
      </c>
      <c r="F5254" s="409">
        <f>E5254+F5230</f>
        <v>589</v>
      </c>
      <c r="G5254" s="168">
        <f>SUM(C5254,C5230,C5206,C5182,C5158,C5134,C5110,C5086,C5062,C5038,C5014,C4990,C4966,C4942)/POBLA!$B$21*100000</f>
        <v>682.83783195312321</v>
      </c>
      <c r="H5254" s="256">
        <f t="shared" si="647"/>
        <v>1.4921831551628253</v>
      </c>
      <c r="I5254" s="297">
        <f t="shared" si="656"/>
        <v>1018.9191105483545</v>
      </c>
      <c r="J5254" s="297">
        <f t="shared" si="657"/>
        <v>1804.8571428571429</v>
      </c>
      <c r="K5254" s="297">
        <f>J5254/POBLA!$B$21*100000</f>
        <v>51.036306874841799</v>
      </c>
      <c r="L5254" s="549">
        <f t="shared" si="648"/>
        <v>-9.7272885183255164E-2</v>
      </c>
      <c r="M5254" s="401">
        <f>SUM(C5254,C5230,C5206,C5182,C5158,C5134,C5110)/POBLA!$B$21*100000</f>
        <v>357.25414812389261</v>
      </c>
    </row>
    <row r="5255" spans="1:13" s="360" customFormat="1" ht="15.75" thickBot="1" x14ac:dyDescent="0.3">
      <c r="A5255" s="367" t="s">
        <v>38</v>
      </c>
      <c r="B5255" s="269">
        <v>44111</v>
      </c>
      <c r="C5255" s="1">
        <v>60</v>
      </c>
      <c r="D5255" s="39">
        <f t="shared" si="659"/>
        <v>4228</v>
      </c>
      <c r="E5255" s="1">
        <v>5</v>
      </c>
      <c r="F5255" s="409">
        <f t="shared" si="658"/>
        <v>78</v>
      </c>
      <c r="G5255" s="168">
        <f>SUM(C5255,C5231,C5207,C5183,C5159,C5135,C5111,C5087,C5063,C5039,C5015,C4991,C4967,C4943)/POBLA!$B$22*100000</f>
        <v>165.59117583023018</v>
      </c>
      <c r="H5255" s="256">
        <f t="shared" si="647"/>
        <v>1.4235500878734622</v>
      </c>
      <c r="I5255" s="297">
        <f t="shared" si="656"/>
        <v>235.7273329041941</v>
      </c>
      <c r="J5255" s="297">
        <f t="shared" si="657"/>
        <v>115.57142857142857</v>
      </c>
      <c r="K5255" s="297">
        <f>J5255/POBLA!$B$22*100000</f>
        <v>11.813338734273037</v>
      </c>
      <c r="L5255" s="549">
        <f t="shared" si="648"/>
        <v>2.4660912453761119E-3</v>
      </c>
      <c r="M5255" s="401">
        <f>SUM(C5255,C5231,C5207,C5183,C5159,C5135,C5111)/POBLA!$B$22*100000</f>
        <v>82.69337113991125</v>
      </c>
    </row>
    <row r="5256" spans="1:13" s="360" customFormat="1" ht="15.75" thickBot="1" x14ac:dyDescent="0.3">
      <c r="A5256" s="367" t="s">
        <v>39</v>
      </c>
      <c r="B5256" s="269">
        <v>44111</v>
      </c>
      <c r="C5256" s="1">
        <v>216</v>
      </c>
      <c r="D5256" s="39">
        <f t="shared" si="659"/>
        <v>5636</v>
      </c>
      <c r="E5256" s="1">
        <v>6</v>
      </c>
      <c r="F5256" s="409">
        <f t="shared" ref="F5256:F5267" si="660">E5256+F5232</f>
        <v>81</v>
      </c>
      <c r="G5256" s="168">
        <f>SUM(C5256,C5232,C5208,C5184,C5160,C5136,C5112,C5088,C5064,C5040,C5016,C4992,C4968,C4944)/POBLA!$B$23*100000</f>
        <v>1244.698297800147</v>
      </c>
      <c r="H5256" s="256">
        <f t="shared" si="647"/>
        <v>2.4320441988950274</v>
      </c>
      <c r="I5256" s="297">
        <f t="shared" si="656"/>
        <v>3027.1612745393627</v>
      </c>
      <c r="J5256" s="297">
        <f t="shared" si="657"/>
        <v>181.85714285714286</v>
      </c>
      <c r="K5256" s="297">
        <f>J5256/POBLA!$B$23*100000</f>
        <v>102.84292419676687</v>
      </c>
      <c r="L5256" s="549">
        <f t="shared" si="648"/>
        <v>-0.37176724137931028</v>
      </c>
      <c r="M5256" s="401">
        <f>SUM(C5256,C5232,C5208,C5184,C5160,C5136,C5112)/POBLA!$B$23*100000</f>
        <v>719.90046937736815</v>
      </c>
    </row>
    <row r="5257" spans="1:13" s="360" customFormat="1" ht="15.75" thickBot="1" x14ac:dyDescent="0.3">
      <c r="A5257" s="369" t="s">
        <v>40</v>
      </c>
      <c r="B5257" s="269">
        <v>44111</v>
      </c>
      <c r="C5257" s="1">
        <v>2217</v>
      </c>
      <c r="D5257" s="176">
        <f t="shared" si="659"/>
        <v>21377</v>
      </c>
      <c r="E5257" s="1">
        <v>8</v>
      </c>
      <c r="F5257" s="476">
        <f t="shared" si="660"/>
        <v>176</v>
      </c>
      <c r="G5257" s="177">
        <f>SUM(C5257,C5233,C5209,C5185,C5161,C5137,C5113,C5089,C5065,C5041,C5017,C4993,C4969,C4945)/POBLA!$B$24*100000</f>
        <v>596.22719891234567</v>
      </c>
      <c r="H5257" s="402">
        <f t="shared" si="647"/>
        <v>1.6464070392700016</v>
      </c>
      <c r="I5257" s="403">
        <f t="shared" si="656"/>
        <v>981.63265729352133</v>
      </c>
      <c r="J5257" s="403">
        <f t="shared" si="657"/>
        <v>923.28571428571433</v>
      </c>
      <c r="K5257" s="403">
        <f>J5257/POBLA!$B$24*100000</f>
        <v>54.48219073875255</v>
      </c>
      <c r="L5257" s="550">
        <f t="shared" si="648"/>
        <v>-0.77506179620983251</v>
      </c>
      <c r="M5257" s="405">
        <f>SUM(C5257,C5233,C5209,C5185,C5161,C5137,C5113)/POBLA!$B$24*100000</f>
        <v>381.37533517126781</v>
      </c>
    </row>
    <row r="5258" spans="1:13" s="360" customFormat="1" ht="15.75" thickBot="1" x14ac:dyDescent="0.3">
      <c r="A5258" s="363" t="s">
        <v>16</v>
      </c>
      <c r="B5258" s="269">
        <v>44112</v>
      </c>
      <c r="C5258" s="1">
        <v>5184</v>
      </c>
      <c r="D5258" s="174">
        <f>C5258+D5234</f>
        <v>456470</v>
      </c>
      <c r="E5258" s="1">
        <v>186</v>
      </c>
      <c r="F5258" s="475">
        <f t="shared" si="660"/>
        <v>14143</v>
      </c>
      <c r="G5258" s="175">
        <f>SUM(C5258,C5234,C5210,C5186,C5162,C5138,C5114,C5090,C5066,C5042,C5018,C4994,C4970,C4946)/POBLA!$B$1*100000</f>
        <v>385.57925051739795</v>
      </c>
      <c r="H5258" s="300">
        <f t="shared" si="647"/>
        <v>0.93510210289095663</v>
      </c>
      <c r="I5258" s="301">
        <f>G5258*H5258</f>
        <v>360.55596798993781</v>
      </c>
      <c r="J5258" s="301">
        <f>AVERAGE(C5258,C5234,C5210,C5186,C5162,C5138,C5114)</f>
        <v>4769.4285714285716</v>
      </c>
      <c r="K5258" s="301">
        <f>J5258/POBLA!$B$1*100000</f>
        <v>27.189956294340096</v>
      </c>
      <c r="L5258" s="548">
        <f t="shared" si="648"/>
        <v>2.5197815994627559E-2</v>
      </c>
      <c r="M5258" s="400">
        <f>SUM(C5258,C5234,C5210,C5186,C5162,C5138,C5114)/POBLA!$B$1*100000</f>
        <v>190.32969406038066</v>
      </c>
    </row>
    <row r="5259" spans="1:13" s="360" customFormat="1" ht="15.75" thickBot="1" x14ac:dyDescent="0.3">
      <c r="A5259" s="367" t="s">
        <v>43</v>
      </c>
      <c r="B5259" s="269">
        <v>44112</v>
      </c>
      <c r="C5259" s="1">
        <v>937</v>
      </c>
      <c r="D5259" s="39">
        <f t="shared" ref="D5259:D5271" si="661">C5259+D5235</f>
        <v>132734</v>
      </c>
      <c r="E5259" s="1">
        <v>67</v>
      </c>
      <c r="F5259" s="409">
        <f t="shared" si="660"/>
        <v>3861</v>
      </c>
      <c r="G5259" s="168">
        <f>SUM(C5259,C5235,C5211,C5187,C5163,C5139,C5115,C5091,C5067,C5043,C5019,C4995,C4971,C4947)/POBLA!$B$2*100000</f>
        <v>387.4633166495754</v>
      </c>
      <c r="H5259" s="256">
        <f t="shared" si="647"/>
        <v>0.91952160493827162</v>
      </c>
      <c r="I5259" s="297">
        <f t="shared" ref="I5259:I5281" si="662">G5259*H5259</f>
        <v>356.28089078032332</v>
      </c>
      <c r="J5259" s="297">
        <f t="shared" ref="J5259:J5281" si="663">AVERAGE(C5259,C5235,C5211,C5187,C5163,C5139,C5115)</f>
        <v>834.85714285714289</v>
      </c>
      <c r="K5259" s="297">
        <f>J5259/POBLA!$B$2*100000</f>
        <v>27.144123311237472</v>
      </c>
      <c r="L5259" s="549">
        <f t="shared" si="648"/>
        <v>3.7707887370327708E-2</v>
      </c>
      <c r="M5259" s="401">
        <f>SUM(C5259,C5235,C5211,C5187,C5163,C5139,C5115)/POBLA!$B$2*100000</f>
        <v>190.00886317866232</v>
      </c>
    </row>
    <row r="5260" spans="1:13" s="360" customFormat="1" ht="15.75" thickBot="1" x14ac:dyDescent="0.3">
      <c r="A5260" s="367" t="s">
        <v>28</v>
      </c>
      <c r="B5260" s="269">
        <v>44112</v>
      </c>
      <c r="C5260" s="1">
        <v>18</v>
      </c>
      <c r="D5260" s="39">
        <f t="shared" si="661"/>
        <v>353</v>
      </c>
      <c r="E5260" s="1"/>
      <c r="F5260" s="409">
        <f t="shared" si="660"/>
        <v>0</v>
      </c>
      <c r="G5260" s="168">
        <f>SUM(C5260,C5236,C5212,C5188,C5164,C5140,C5116,C5092,C5068,C5044,C5020,C4996,C4972,C4948)/POBLA!$B$3*100000</f>
        <v>38.032149201565581</v>
      </c>
      <c r="H5260" s="256">
        <f t="shared" si="647"/>
        <v>1.8809523809523809</v>
      </c>
      <c r="I5260" s="297">
        <f t="shared" si="662"/>
        <v>71.536661593420973</v>
      </c>
      <c r="J5260" s="297">
        <f t="shared" si="663"/>
        <v>8.7142857142857135</v>
      </c>
      <c r="K5260" s="297">
        <f>J5260/POBLA!$B$3*100000</f>
        <v>2.0976140156378844</v>
      </c>
      <c r="L5260" s="549">
        <f t="shared" si="648"/>
        <v>0.37113402061855671</v>
      </c>
      <c r="M5260" s="401">
        <f>SUM(C5260,C5236,C5212,C5188,C5164,C5140,C5116)/POBLA!$B$3*100000</f>
        <v>14.68329810946519</v>
      </c>
    </row>
    <row r="5261" spans="1:13" s="360" customFormat="1" ht="15.75" thickBot="1" x14ac:dyDescent="0.3">
      <c r="A5261" s="367" t="s">
        <v>15</v>
      </c>
      <c r="B5261" s="269">
        <v>44112</v>
      </c>
      <c r="C5261" s="1">
        <v>156</v>
      </c>
      <c r="D5261" s="39">
        <f t="shared" si="661"/>
        <v>9849</v>
      </c>
      <c r="E5261" s="1">
        <v>4</v>
      </c>
      <c r="F5261" s="409">
        <f t="shared" si="660"/>
        <v>318</v>
      </c>
      <c r="G5261" s="168">
        <f>SUM(C5261,C5237,C5213,C5189,C5165,C5141,C5117,C5093,C5069,C5045,C5021,C4997,C4973,C4949)/POBLA!$B$4*100000</f>
        <v>171.18553872387906</v>
      </c>
      <c r="H5261" s="256">
        <f t="shared" si="647"/>
        <v>1.5062089116143169</v>
      </c>
      <c r="I5261" s="297">
        <f t="shared" si="662"/>
        <v>257.84118396540441</v>
      </c>
      <c r="J5261" s="297">
        <f t="shared" si="663"/>
        <v>158</v>
      </c>
      <c r="K5261" s="297">
        <f>J5261/POBLA!$B$4*100000</f>
        <v>13.117029640336028</v>
      </c>
      <c r="L5261" s="549">
        <f t="shared" si="648"/>
        <v>-0.15690376569037667</v>
      </c>
      <c r="M5261" s="401">
        <f>SUM(C5261,C5237,C5213,C5189,C5165,C5141,C5117)/POBLA!$B$4*100000</f>
        <v>91.819207482352198</v>
      </c>
    </row>
    <row r="5262" spans="1:13" s="360" customFormat="1" ht="15.75" thickBot="1" x14ac:dyDescent="0.3">
      <c r="A5262" s="367" t="s">
        <v>29</v>
      </c>
      <c r="B5262" s="269">
        <v>44112</v>
      </c>
      <c r="C5262" s="1">
        <v>312</v>
      </c>
      <c r="D5262" s="39">
        <f t="shared" si="661"/>
        <v>5936</v>
      </c>
      <c r="E5262" s="1">
        <v>2</v>
      </c>
      <c r="F5262" s="409">
        <f t="shared" si="660"/>
        <v>76</v>
      </c>
      <c r="G5262" s="168">
        <f>SUM(C5262,C5238,C5214,C5190,C5166,C5142,C5118,C5094,C5070,C5046,C5022,C4998,C4974,C4950)/POBLA!$B$5*100000</f>
        <v>487.24220267078516</v>
      </c>
      <c r="H5262" s="256">
        <f t="shared" si="647"/>
        <v>1.9712418300653596</v>
      </c>
      <c r="I5262" s="297">
        <f t="shared" si="662"/>
        <v>960.47221127783541</v>
      </c>
      <c r="J5262" s="297">
        <f t="shared" si="663"/>
        <v>256.14285714285717</v>
      </c>
      <c r="K5262" s="297">
        <f>J5262/POBLA!$B$5*100000</f>
        <v>41.380507265475458</v>
      </c>
      <c r="L5262" s="549">
        <f t="shared" si="648"/>
        <v>-0.46606704824202771</v>
      </c>
      <c r="M5262" s="401">
        <f>SUM(C5262,C5238,C5214,C5190,C5166,C5142,C5118)/POBLA!$B$5*100000</f>
        <v>289.66355085832822</v>
      </c>
    </row>
    <row r="5263" spans="1:13" s="360" customFormat="1" ht="15.75" thickBot="1" x14ac:dyDescent="0.3">
      <c r="A5263" s="367" t="s">
        <v>20</v>
      </c>
      <c r="B5263" s="269">
        <v>44112</v>
      </c>
      <c r="C5263" s="1">
        <v>2090</v>
      </c>
      <c r="D5263" s="39">
        <f t="shared" si="661"/>
        <v>47032</v>
      </c>
      <c r="E5263" s="1">
        <v>18</v>
      </c>
      <c r="F5263" s="409">
        <f t="shared" si="660"/>
        <v>542</v>
      </c>
      <c r="G5263" s="168">
        <f>SUM(C5263,C5239,C5215,C5191,C5167,C5143,C5119,C5095,C5071,C5047,C5023,C4999,C4975,C4951)/POBLA!$B$6*100000</f>
        <v>2037.9175250557414</v>
      </c>
      <c r="H5263" s="256">
        <f t="shared" si="647"/>
        <v>2.0426578429619031</v>
      </c>
      <c r="I5263" s="297">
        <f t="shared" si="662"/>
        <v>4162.7682158646212</v>
      </c>
      <c r="J5263" s="297">
        <f t="shared" si="663"/>
        <v>1551.8571428571429</v>
      </c>
      <c r="K5263" s="297">
        <f>J5263/POBLA!$B$6*100000</f>
        <v>138.45965009463256</v>
      </c>
      <c r="L5263" s="549">
        <f t="shared" si="648"/>
        <v>9.3087326765737166E-2</v>
      </c>
      <c r="M5263" s="401">
        <f>SUM(C5263,C5239,C5215,C5191,C5167,C5143,C5119)/POBLA!$B$6*100000</f>
        <v>969.21755066242793</v>
      </c>
    </row>
    <row r="5264" spans="1:13" s="360" customFormat="1" ht="15.75" thickBot="1" x14ac:dyDescent="0.3">
      <c r="A5264" s="367" t="s">
        <v>30</v>
      </c>
      <c r="B5264" s="269">
        <v>44112</v>
      </c>
      <c r="C5264" s="1">
        <v>51</v>
      </c>
      <c r="D5264" s="39">
        <f t="shared" si="661"/>
        <v>1412</v>
      </c>
      <c r="E5264" s="1"/>
      <c r="F5264" s="409">
        <f t="shared" si="660"/>
        <v>31</v>
      </c>
      <c r="G5264" s="168">
        <f>SUM(C5264,C5240,C5216,C5192,C5168,C5144,C5120,C5096,C5072,C5048,C5024,C5000,C4976,C4952)/POBLA!$B$7*100000</f>
        <v>10.690209948277467</v>
      </c>
      <c r="H5264" s="256">
        <f t="shared" si="647"/>
        <v>0.77456647398843925</v>
      </c>
      <c r="I5264" s="297">
        <f t="shared" si="662"/>
        <v>8.2802782258334133</v>
      </c>
      <c r="J5264" s="297">
        <f t="shared" si="663"/>
        <v>44.571428571428569</v>
      </c>
      <c r="K5264" s="297">
        <f>J5264/POBLA!$B$7*100000</f>
        <v>1.1852684804060303</v>
      </c>
      <c r="L5264" s="549">
        <f t="shared" si="648"/>
        <v>-2.4666666666666668</v>
      </c>
      <c r="M5264" s="401">
        <f>SUM(C5264,C5240,C5216,C5192,C5168,C5144,C5120)/POBLA!$B$7*100000</f>
        <v>8.2968793628422137</v>
      </c>
    </row>
    <row r="5265" spans="1:13" ht="15.75" thickBot="1" x14ac:dyDescent="0.3">
      <c r="A5265" s="367" t="s">
        <v>31</v>
      </c>
      <c r="B5265" s="269">
        <v>44112</v>
      </c>
      <c r="C5265" s="1">
        <v>220</v>
      </c>
      <c r="D5265" s="39">
        <f t="shared" si="661"/>
        <v>8839</v>
      </c>
      <c r="E5265" s="1">
        <v>6</v>
      </c>
      <c r="F5265" s="409">
        <f t="shared" si="660"/>
        <v>166</v>
      </c>
      <c r="G5265" s="168">
        <f>SUM(C5265,C5241,C5217,C5193,C5169,C5145,C5121,C5097,C5073,C5049,C5025,C5001,C4977,C4953)/POBLA!$B$8*100000</f>
        <v>158.30171267445476</v>
      </c>
      <c r="H5265" s="256">
        <f t="shared" si="647"/>
        <v>1.218212104386452</v>
      </c>
      <c r="I5265" s="297">
        <f t="shared" si="662"/>
        <v>192.84506252512702</v>
      </c>
      <c r="J5265" s="297">
        <f t="shared" si="663"/>
        <v>167.14285714285714</v>
      </c>
      <c r="K5265" s="297">
        <f>J5265/POBLA!$B$8*100000</f>
        <v>12.059708544674573</v>
      </c>
      <c r="L5265" s="549">
        <f t="shared" si="648"/>
        <v>-0.142578125</v>
      </c>
      <c r="M5265" s="401">
        <f>SUM(C5265,C5241,C5217,C5193,C5169,C5145,C5121)/POBLA!$B$8*100000</f>
        <v>84.417959812722003</v>
      </c>
    </row>
    <row r="5266" spans="1:13" s="360" customFormat="1" ht="15.75" thickBot="1" x14ac:dyDescent="0.3">
      <c r="A5266" s="367" t="s">
        <v>41</v>
      </c>
      <c r="B5266" s="269">
        <v>44112</v>
      </c>
      <c r="C5266" s="1">
        <v>5</v>
      </c>
      <c r="D5266" s="39">
        <f t="shared" si="661"/>
        <v>110</v>
      </c>
      <c r="E5266" s="1"/>
      <c r="F5266" s="409">
        <f t="shared" si="660"/>
        <v>1</v>
      </c>
      <c r="G5266" s="168">
        <f>SUM(C5266,C5242,C5218,C5194,C5170,C5146,C5122,C5098,C5074,C5050,C5026,C5002,C4978,C4954)/POBLA!$B$9*100000</f>
        <v>1.3218923550008015</v>
      </c>
      <c r="H5266" s="256">
        <f t="shared" si="647"/>
        <v>0.8</v>
      </c>
      <c r="I5266" s="297">
        <f t="shared" si="662"/>
        <v>1.0575138840006413</v>
      </c>
      <c r="J5266" s="297">
        <f t="shared" si="663"/>
        <v>0.8571428571428571</v>
      </c>
      <c r="K5266" s="297">
        <f>J5266/POBLA!$B$9*100000</f>
        <v>0.14163132375008586</v>
      </c>
      <c r="L5266" s="549">
        <f t="shared" si="648"/>
        <v>-2</v>
      </c>
      <c r="M5266" s="401">
        <f>SUM(C5266,C5242,C5218,C5194,C5170,C5146,C5122)/POBLA!$B$9*100000</f>
        <v>0.99141926625060106</v>
      </c>
    </row>
    <row r="5267" spans="1:13" s="360" customFormat="1" ht="15.75" thickBot="1" x14ac:dyDescent="0.3">
      <c r="A5267" s="367" t="s">
        <v>32</v>
      </c>
      <c r="B5267" s="269">
        <v>44112</v>
      </c>
      <c r="C5267" s="1">
        <v>119</v>
      </c>
      <c r="D5267" s="39">
        <f t="shared" si="661"/>
        <v>16474</v>
      </c>
      <c r="E5267" s="1">
        <v>19</v>
      </c>
      <c r="F5267" s="409">
        <f t="shared" si="660"/>
        <v>627</v>
      </c>
      <c r="G5267" s="168">
        <f>SUM(C5267,C5243,C5219,C5195,C5171,C5147,C5123,C5099,C5075,C5051,C5027,C5003,C4979,C4955)/POBLA!$B$10*100000</f>
        <v>216.764974101061</v>
      </c>
      <c r="H5267" s="256">
        <f t="shared" si="647"/>
        <v>0.49060481503229597</v>
      </c>
      <c r="I5267" s="297">
        <f t="shared" si="662"/>
        <v>106.34594002433145</v>
      </c>
      <c r="J5267" s="297">
        <f t="shared" si="663"/>
        <v>89.857142857142861</v>
      </c>
      <c r="K5267" s="297">
        <f>J5267/POBLA!$B$10*100000</f>
        <v>11.656422049206409</v>
      </c>
      <c r="L5267" s="549">
        <f t="shared" si="648"/>
        <v>0.39635316698656431</v>
      </c>
      <c r="M5267" s="401">
        <f>SUM(C5267,C5243,C5219,C5195,C5171,C5147,C5123)/POBLA!$B$10*100000</f>
        <v>81.594954344444858</v>
      </c>
    </row>
    <row r="5268" spans="1:13" s="360" customFormat="1" ht="15.75" thickBot="1" x14ac:dyDescent="0.3">
      <c r="A5268" s="367" t="s">
        <v>33</v>
      </c>
      <c r="B5268" s="269">
        <v>44112</v>
      </c>
      <c r="C5268" s="1">
        <v>24</v>
      </c>
      <c r="D5268" s="39">
        <f t="shared" si="661"/>
        <v>954</v>
      </c>
      <c r="E5268" s="1">
        <v>1</v>
      </c>
      <c r="F5268" s="409">
        <f t="shared" ref="F5268:F5279" si="664">E5268+F5244</f>
        <v>12</v>
      </c>
      <c r="G5268" s="168">
        <f>SUM(C5268,C5244,C5220,C5196,C5172,C5148,C5124,C5100,C5076,C5052,C5028,C5004,C4980,C4956)/POBLA!$B$11*100000</f>
        <v>82.86182999096053</v>
      </c>
      <c r="H5268" s="256">
        <f t="shared" si="647"/>
        <v>0.81818181818181823</v>
      </c>
      <c r="I5268" s="297">
        <f t="shared" si="662"/>
        <v>67.796042719876795</v>
      </c>
      <c r="J5268" s="297">
        <f t="shared" si="663"/>
        <v>23.285714285714285</v>
      </c>
      <c r="K5268" s="297">
        <f>J5268/POBLA!$B$11*100000</f>
        <v>6.4966225534038315</v>
      </c>
      <c r="L5268" s="549">
        <f t="shared" si="648"/>
        <v>-0.21641791044776126</v>
      </c>
      <c r="M5268" s="401">
        <f>SUM(C5268,C5244,C5220,C5196,C5172,C5148,C5124)/POBLA!$B$11*100000</f>
        <v>45.476357873826821</v>
      </c>
    </row>
    <row r="5269" spans="1:13" s="360" customFormat="1" ht="15.75" thickBot="1" x14ac:dyDescent="0.3">
      <c r="A5269" s="367" t="s">
        <v>21</v>
      </c>
      <c r="B5269" s="269">
        <v>44112</v>
      </c>
      <c r="C5269" s="1">
        <v>117</v>
      </c>
      <c r="D5269" s="39">
        <f t="shared" si="661"/>
        <v>5547</v>
      </c>
      <c r="E5269" s="1">
        <v>30</v>
      </c>
      <c r="F5269" s="409">
        <f t="shared" si="664"/>
        <v>160</v>
      </c>
      <c r="G5269" s="168">
        <f>SUM(C5269,C5245,C5221,C5197,C5173,C5149,C5125,C5101,C5077,C5053,C5029,C5005,C4981,C4957)/POBLA!$B$12*100000</f>
        <v>299.59520342743008</v>
      </c>
      <c r="H5269" s="256">
        <f t="shared" si="647"/>
        <v>0.632171581769437</v>
      </c>
      <c r="I5269" s="297">
        <f t="shared" si="662"/>
        <v>189.39557364125471</v>
      </c>
      <c r="J5269" s="297">
        <f t="shared" si="663"/>
        <v>99.571428571428569</v>
      </c>
      <c r="K5269" s="297">
        <f>J5269/POBLA!$B$12*100000</f>
        <v>25.302054621218801</v>
      </c>
      <c r="L5269" s="549">
        <f t="shared" si="648"/>
        <v>-0.44605809128630702</v>
      </c>
      <c r="M5269" s="401">
        <f>SUM(C5269,C5245,C5221,C5197,C5173,C5149,C5125)/POBLA!$B$12*100000</f>
        <v>177.11438234853165</v>
      </c>
    </row>
    <row r="5270" spans="1:13" s="360" customFormat="1" ht="15.75" thickBot="1" x14ac:dyDescent="0.3">
      <c r="A5270" s="367" t="s">
        <v>17</v>
      </c>
      <c r="B5270" s="269">
        <v>44112</v>
      </c>
      <c r="C5270" s="1">
        <v>697</v>
      </c>
      <c r="D5270" s="39">
        <f t="shared" si="661"/>
        <v>30033</v>
      </c>
      <c r="E5270" s="1">
        <v>10</v>
      </c>
      <c r="F5270" s="409">
        <f t="shared" si="664"/>
        <v>408</v>
      </c>
      <c r="G5270" s="168">
        <f>SUM(C5270,C5246,C5222,C5198,C5174,C5150,C5126,C5102,C5078,C5054,C5030,C5006,C4982,C4958)/POBLA!$B$13*100000</f>
        <v>450.87819254820033</v>
      </c>
      <c r="H5270" s="256">
        <f t="shared" si="647"/>
        <v>1.0322061191626408</v>
      </c>
      <c r="I5270" s="297">
        <f t="shared" si="662"/>
        <v>465.39922934524378</v>
      </c>
      <c r="J5270" s="297">
        <f t="shared" si="663"/>
        <v>597.85714285714289</v>
      </c>
      <c r="K5270" s="297">
        <f>J5270/POBLA!$B$13*100000</f>
        <v>30.037970578722952</v>
      </c>
      <c r="L5270" s="549">
        <f t="shared" si="648"/>
        <v>0.12612236375026098</v>
      </c>
      <c r="M5270" s="401">
        <f>SUM(C5270,C5246,C5222,C5198,C5174,C5150,C5126)/POBLA!$B$13*100000</f>
        <v>210.26579405106068</v>
      </c>
    </row>
    <row r="5271" spans="1:13" s="360" customFormat="1" ht="15.75" thickBot="1" x14ac:dyDescent="0.3">
      <c r="A5271" s="367" t="s">
        <v>23</v>
      </c>
      <c r="B5271" s="269">
        <v>44112</v>
      </c>
      <c r="C5271" s="1">
        <v>15</v>
      </c>
      <c r="D5271" s="39">
        <f t="shared" si="661"/>
        <v>140</v>
      </c>
      <c r="E5271" s="1"/>
      <c r="F5271" s="409">
        <f t="shared" si="664"/>
        <v>4</v>
      </c>
      <c r="G5271" s="168">
        <f>SUM(C5271,C5247,C5223,C5199,C5175,C5151,C5127,C5103,C5079,C5055,C5031,C5007,C4983,C4959)/POBLA!$B$14*100000</f>
        <v>4.3606010969686686</v>
      </c>
      <c r="H5271" s="256">
        <f t="shared" si="647"/>
        <v>2.75</v>
      </c>
      <c r="I5271" s="297">
        <f t="shared" si="662"/>
        <v>11.99165301666384</v>
      </c>
      <c r="J5271" s="297">
        <f t="shared" si="663"/>
        <v>6.5714285714285712</v>
      </c>
      <c r="K5271" s="297">
        <f>J5271/POBLA!$B$14*100000</f>
        <v>0.52100688431313957</v>
      </c>
      <c r="L5271" s="549">
        <f t="shared" si="648"/>
        <v>-4.1111111111111107</v>
      </c>
      <c r="M5271" s="401">
        <f>SUM(C5271,C5247,C5223,C5199,C5175,C5151,C5127)/POBLA!$B$14*100000</f>
        <v>3.6470481901919771</v>
      </c>
    </row>
    <row r="5272" spans="1:13" s="360" customFormat="1" ht="15.75" thickBot="1" x14ac:dyDescent="0.3">
      <c r="A5272" s="367" t="s">
        <v>19</v>
      </c>
      <c r="B5272" s="269">
        <v>44112</v>
      </c>
      <c r="C5272" s="1">
        <v>409</v>
      </c>
      <c r="D5272" s="39">
        <f>C5272+D5248</f>
        <v>11099</v>
      </c>
      <c r="E5272" s="1">
        <v>1</v>
      </c>
      <c r="F5272" s="409">
        <f t="shared" si="664"/>
        <v>125</v>
      </c>
      <c r="G5272" s="168">
        <f>SUM(C5272,C5248,C5224,C5200,C5176,C5152,C5128,C5104,C5080,C5056,C5032,C5008,C4984,C4960)/POBLA!$B$15*100000</f>
        <v>636.84292161666849</v>
      </c>
      <c r="H5272" s="256">
        <f t="shared" si="647"/>
        <v>1.6442457231726284</v>
      </c>
      <c r="I5272" s="297">
        <f t="shared" si="662"/>
        <v>1047.1262502009686</v>
      </c>
      <c r="J5272" s="297">
        <f t="shared" si="663"/>
        <v>431.42857142857144</v>
      </c>
      <c r="K5272" s="297">
        <f>J5272/POBLA!$B$15*100000</f>
        <v>64.968605319810109</v>
      </c>
      <c r="L5272" s="549">
        <f t="shared" si="648"/>
        <v>-1.4979321753515302</v>
      </c>
      <c r="M5272" s="401">
        <f>SUM(C5272,C5248,C5224,C5200,C5176,C5152,C5128)/POBLA!$B$15*100000</f>
        <v>454.78023723867074</v>
      </c>
    </row>
    <row r="5273" spans="1:13" s="360" customFormat="1" ht="15.75" thickBot="1" x14ac:dyDescent="0.3">
      <c r="A5273" s="367" t="s">
        <v>18</v>
      </c>
      <c r="B5273" s="269">
        <v>44112</v>
      </c>
      <c r="C5273" s="1">
        <v>356</v>
      </c>
      <c r="D5273" s="39">
        <f>C5273+D5249</f>
        <v>15347</v>
      </c>
      <c r="E5273" s="1">
        <v>7</v>
      </c>
      <c r="F5273" s="409">
        <f t="shared" si="664"/>
        <v>344</v>
      </c>
      <c r="G5273" s="168">
        <f>SUM(C5273,C5249,C5225,C5201,C5177,C5153,C5129,C5105,C5081,C5057,C5033,C5009,C4985,C4961)/POBLA!$B$16*100000</f>
        <v>548.28052059228742</v>
      </c>
      <c r="H5273" s="256">
        <f t="shared" si="647"/>
        <v>1.278540237055521</v>
      </c>
      <c r="I5273" s="297">
        <f t="shared" si="662"/>
        <v>700.99870677098761</v>
      </c>
      <c r="J5273" s="297">
        <f t="shared" si="663"/>
        <v>317.28571428571428</v>
      </c>
      <c r="K5273" s="297">
        <f>J5273/POBLA!$B$16*100000</f>
        <v>42.440004051004436</v>
      </c>
      <c r="L5273" s="549">
        <f t="shared" si="648"/>
        <v>-0.18264110756123531</v>
      </c>
      <c r="M5273" s="401">
        <f>SUM(C5273,C5249,C5225,C5201,C5177,C5153,C5129)/POBLA!$B$16*100000</f>
        <v>297.0800283570311</v>
      </c>
    </row>
    <row r="5274" spans="1:13" s="360" customFormat="1" ht="15.75" thickBot="1" x14ac:dyDescent="0.3">
      <c r="A5274" s="367" t="s">
        <v>34</v>
      </c>
      <c r="B5274" s="269">
        <v>44112</v>
      </c>
      <c r="C5274" s="1">
        <v>265</v>
      </c>
      <c r="D5274" s="39">
        <f>C5274+D5250</f>
        <v>14516</v>
      </c>
      <c r="E5274" s="1">
        <v>11</v>
      </c>
      <c r="F5274" s="409">
        <f>E5274+F5250</f>
        <v>463</v>
      </c>
      <c r="G5274" s="168">
        <f>SUM(C5274,C5250,C5226,C5202,C5178,C5154,C5130,C5106,C5082,C5058,C5034,C5010,C4986,C4962)/POBLA!$B$17*100000</f>
        <v>283.13735566699455</v>
      </c>
      <c r="H5274" s="256">
        <f t="shared" ref="H5274:H5305" si="665">SUM(C5274,C5250,C5226,C5202,C5178,C5154,C5130,C5106,C5082,C5058,C5034,C5010,C4986,C4962)/SUM(C4938,C4914,C4890,C4866,C4842,C4818,C4794,C4770,C4746,C4722,C4698,C4674,C4650,C4626)</f>
        <v>0.86805854498493329</v>
      </c>
      <c r="I5274" s="297">
        <f t="shared" si="662"/>
        <v>245.77980099117283</v>
      </c>
      <c r="J5274" s="297">
        <f t="shared" si="663"/>
        <v>248.85714285714286</v>
      </c>
      <c r="K5274" s="297">
        <f>J5274/POBLA!$B$17*100000</f>
        <v>17.471052161521182</v>
      </c>
      <c r="L5274" s="549">
        <f t="shared" ref="L5274:L5305" si="666">1-SUM(C5274,C5250,C5226,C5202,C5178,C5154,C5130)/SUM(C5106,C5082,C5058,C5034,C5010,C4986,C4962)</f>
        <v>0.23963334788302049</v>
      </c>
      <c r="M5274" s="401">
        <f>SUM(C5274,C5250,C5226,C5202,C5178,C5154,C5130)/POBLA!$B$17*100000</f>
        <v>122.29736513064827</v>
      </c>
    </row>
    <row r="5275" spans="1:13" s="360" customFormat="1" ht="15.75" thickBot="1" x14ac:dyDescent="0.3">
      <c r="A5275" s="367" t="s">
        <v>35</v>
      </c>
      <c r="B5275" s="269">
        <v>44112</v>
      </c>
      <c r="C5275" s="1">
        <v>112</v>
      </c>
      <c r="D5275" s="39">
        <f t="shared" ref="D5275:D5281" si="667">C5275+D5251</f>
        <v>1105</v>
      </c>
      <c r="E5275" s="1"/>
      <c r="F5275" s="409">
        <f>E5275+F5251</f>
        <v>42</v>
      </c>
      <c r="G5275" s="168">
        <f>SUM(C5275,C5251,C5227,C5203,C5179,C5155,C5131,C5107,C5083,C5059,C5035,C5011,C4987,C4963)/POBLA!$B$18*100000</f>
        <v>71.299011670252952</v>
      </c>
      <c r="H5275" s="256">
        <f t="shared" si="665"/>
        <v>3.4171779141104293</v>
      </c>
      <c r="I5275" s="297">
        <f t="shared" si="662"/>
        <v>243.64140797749013</v>
      </c>
      <c r="J5275" s="297">
        <f t="shared" si="663"/>
        <v>50.571428571428569</v>
      </c>
      <c r="K5275" s="297">
        <f>J5275/POBLA!$B$18*100000</f>
        <v>6.4734162942471265</v>
      </c>
      <c r="L5275" s="549">
        <f t="shared" si="666"/>
        <v>-0.7438423645320198</v>
      </c>
      <c r="M5275" s="401">
        <f>SUM(C5275,C5251,C5227,C5203,C5179,C5155,C5131)/POBLA!$B$18*100000</f>
        <v>45.313914059729882</v>
      </c>
    </row>
    <row r="5276" spans="1:13" s="360" customFormat="1" ht="15.75" thickBot="1" x14ac:dyDescent="0.3">
      <c r="A5276" s="367" t="s">
        <v>36</v>
      </c>
      <c r="B5276" s="269">
        <v>44112</v>
      </c>
      <c r="C5276" s="1">
        <v>112</v>
      </c>
      <c r="D5276" s="39">
        <f t="shared" si="667"/>
        <v>2102</v>
      </c>
      <c r="E5276" s="1">
        <v>2</v>
      </c>
      <c r="F5276" s="409">
        <f t="shared" si="664"/>
        <v>33</v>
      </c>
      <c r="G5276" s="168">
        <f>SUM(C5276,C5252,C5228,C5204,C5180,C5156,C5132,C5108,C5084,C5060,C5036,C5012,C4988,C4964)/POBLA!$B$19*100000</f>
        <v>218.55967013424404</v>
      </c>
      <c r="H5276" s="256">
        <f t="shared" si="665"/>
        <v>1.7496062992125985</v>
      </c>
      <c r="I5276" s="297">
        <f t="shared" si="662"/>
        <v>382.39337562070102</v>
      </c>
      <c r="J5276" s="297">
        <f t="shared" si="663"/>
        <v>76.714285714285708</v>
      </c>
      <c r="K5276" s="297">
        <f>J5276/POBLA!$B$19*100000</f>
        <v>15.091493231591748</v>
      </c>
      <c r="L5276" s="549">
        <f t="shared" si="666"/>
        <v>6.4459930313588876E-2</v>
      </c>
      <c r="M5276" s="401">
        <f>SUM(C5276,C5252,C5228,C5204,C5180,C5156,C5132)/POBLA!$B$19*100000</f>
        <v>105.64045262114224</v>
      </c>
    </row>
    <row r="5277" spans="1:13" s="360" customFormat="1" ht="15.75" thickBot="1" x14ac:dyDescent="0.3">
      <c r="A5277" s="367" t="s">
        <v>37</v>
      </c>
      <c r="B5277" s="269">
        <v>44112</v>
      </c>
      <c r="C5277" s="1">
        <v>89</v>
      </c>
      <c r="D5277" s="39">
        <f t="shared" si="667"/>
        <v>5869</v>
      </c>
      <c r="E5277" s="1">
        <v>2</v>
      </c>
      <c r="F5277" s="409">
        <f>E5277+F5253</f>
        <v>76</v>
      </c>
      <c r="G5277" s="168">
        <f>SUM(C5277,C5253,C5229,C5205,C5181,C5157,C5133,C5109,C5085,C5061,C5037,C5013,C4989,C4965)/POBLA!$B$20*100000</f>
        <v>479.35728387904777</v>
      </c>
      <c r="H5277" s="256">
        <f t="shared" si="665"/>
        <v>1.176510067114094</v>
      </c>
      <c r="I5277" s="297">
        <f t="shared" si="662"/>
        <v>563.96867022816832</v>
      </c>
      <c r="J5277" s="297">
        <f t="shared" si="663"/>
        <v>126.14285714285714</v>
      </c>
      <c r="K5277" s="297">
        <f>J5277/POBLA!$B$20*100000</f>
        <v>34.493723548626768</v>
      </c>
      <c r="L5277" s="549">
        <f t="shared" si="666"/>
        <v>-1.4942528735632177E-2</v>
      </c>
      <c r="M5277" s="401">
        <f>SUM(C5277,C5253,C5229,C5205,C5181,C5157,C5133)/POBLA!$B$20*100000</f>
        <v>241.4560648403874</v>
      </c>
    </row>
    <row r="5278" spans="1:13" s="360" customFormat="1" ht="15.75" thickBot="1" x14ac:dyDescent="0.3">
      <c r="A5278" s="367" t="s">
        <v>22</v>
      </c>
      <c r="B5278" s="269">
        <v>44112</v>
      </c>
      <c r="C5278" s="1">
        <v>2099</v>
      </c>
      <c r="D5278" s="39">
        <f t="shared" si="667"/>
        <v>57131</v>
      </c>
      <c r="E5278" s="1">
        <v>31</v>
      </c>
      <c r="F5278" s="409">
        <f>E5278+F5254</f>
        <v>620</v>
      </c>
      <c r="G5278" s="168">
        <f>SUM(C5278,C5254,C5230,C5206,C5182,C5158,C5134,C5110,C5086,C5062,C5038,C5014,C4990,C4966)/POBLA!$B$21*100000</f>
        <v>687.6732331981118</v>
      </c>
      <c r="H5278" s="256">
        <f t="shared" si="665"/>
        <v>1.4247466166735017</v>
      </c>
      <c r="I5278" s="297">
        <f t="shared" si="662"/>
        <v>979.76011237593775</v>
      </c>
      <c r="J5278" s="297">
        <f t="shared" si="663"/>
        <v>1808.5714285714287</v>
      </c>
      <c r="K5278" s="297">
        <f>J5278/POBLA!$B$21*100000</f>
        <v>51.141336475818996</v>
      </c>
      <c r="L5278" s="549">
        <f t="shared" si="666"/>
        <v>-8.5856419933098893E-2</v>
      </c>
      <c r="M5278" s="401">
        <f>SUM(C5278,C5254,C5230,C5206,C5182,C5158,C5134)/POBLA!$B$21*100000</f>
        <v>357.98935533073296</v>
      </c>
    </row>
    <row r="5279" spans="1:13" s="360" customFormat="1" ht="15.75" thickBot="1" x14ac:dyDescent="0.3">
      <c r="A5279" s="367" t="s">
        <v>38</v>
      </c>
      <c r="B5279" s="269">
        <v>44112</v>
      </c>
      <c r="C5279" s="1">
        <v>40</v>
      </c>
      <c r="D5279" s="39">
        <f t="shared" si="667"/>
        <v>4268</v>
      </c>
      <c r="E5279" s="1">
        <v>1</v>
      </c>
      <c r="F5279" s="409">
        <f t="shared" si="664"/>
        <v>79</v>
      </c>
      <c r="G5279" s="168">
        <f>SUM(C5279,C5255,C5231,C5207,C5183,C5159,C5135,C5111,C5087,C5063,C5039,C5015,C4991,C4967)/POBLA!$B$22*100000</f>
        <v>157.82270091473794</v>
      </c>
      <c r="H5279" s="256">
        <f t="shared" si="665"/>
        <v>1.3241852487135506</v>
      </c>
      <c r="I5279" s="297">
        <f t="shared" si="662"/>
        <v>208.98649246342657</v>
      </c>
      <c r="J5279" s="297">
        <f t="shared" si="663"/>
        <v>103.28571428571429</v>
      </c>
      <c r="K5279" s="297">
        <f>J5279/POBLA!$B$22*100000</f>
        <v>10.557532638911503</v>
      </c>
      <c r="L5279" s="549">
        <f t="shared" si="666"/>
        <v>0.11936662606577342</v>
      </c>
      <c r="M5279" s="401">
        <f>SUM(C5279,C5255,C5231,C5207,C5183,C5159,C5135)/POBLA!$B$22*100000</f>
        <v>73.902728472380517</v>
      </c>
    </row>
    <row r="5280" spans="1:13" s="360" customFormat="1" ht="15.75" thickBot="1" x14ac:dyDescent="0.3">
      <c r="A5280" s="367" t="s">
        <v>39</v>
      </c>
      <c r="B5280" s="269">
        <v>44112</v>
      </c>
      <c r="C5280" s="1">
        <v>168</v>
      </c>
      <c r="D5280" s="39">
        <f t="shared" si="667"/>
        <v>5804</v>
      </c>
      <c r="E5280" s="1">
        <v>1</v>
      </c>
      <c r="F5280" s="409">
        <f t="shared" ref="F5280:F5291" si="668">E5280+F5256</f>
        <v>82</v>
      </c>
      <c r="G5280" s="168">
        <f>SUM(C5280,C5256,C5232,C5208,C5184,C5160,C5136,C5112,C5088,C5064,C5040,C5016,C4992,C4968)/POBLA!$B$23*100000</f>
        <v>1301.2497879319121</v>
      </c>
      <c r="H5280" s="256">
        <f t="shared" si="665"/>
        <v>2.525795828759605</v>
      </c>
      <c r="I5280" s="297">
        <f t="shared" si="662"/>
        <v>3286.691286532744</v>
      </c>
      <c r="J5280" s="297">
        <f t="shared" si="663"/>
        <v>182.42857142857142</v>
      </c>
      <c r="K5280" s="297">
        <f>J5280/POBLA!$B$23*100000</f>
        <v>103.16607556894839</v>
      </c>
      <c r="L5280" s="549">
        <f t="shared" si="666"/>
        <v>-0.2470703125</v>
      </c>
      <c r="M5280" s="401">
        <f>SUM(C5280,C5256,C5232,C5208,C5184,C5160,C5136)/POBLA!$B$23*100000</f>
        <v>722.16252898263861</v>
      </c>
    </row>
    <row r="5281" spans="1:13" s="360" customFormat="1" ht="15.75" thickBot="1" x14ac:dyDescent="0.3">
      <c r="A5281" s="369" t="s">
        <v>40</v>
      </c>
      <c r="B5281" s="269">
        <v>44112</v>
      </c>
      <c r="C5281" s="1">
        <v>1859</v>
      </c>
      <c r="D5281" s="176">
        <f t="shared" si="667"/>
        <v>23236</v>
      </c>
      <c r="E5281" s="1">
        <v>84</v>
      </c>
      <c r="F5281" s="476">
        <f t="shared" si="668"/>
        <v>260</v>
      </c>
      <c r="G5281" s="177">
        <f>SUM(C5281,C5257,C5233,C5209,C5185,C5161,C5137,C5113,C5089,C5065,C5041,C5017,C4993,C4969)/POBLA!$B$24*100000</f>
        <v>692.70695645605952</v>
      </c>
      <c r="H5281" s="402">
        <f t="shared" si="665"/>
        <v>1.9313919052319841</v>
      </c>
      <c r="I5281" s="403">
        <f t="shared" si="662"/>
        <v>1337.8886083971179</v>
      </c>
      <c r="J5281" s="403">
        <f t="shared" si="663"/>
        <v>1098.5714285714287</v>
      </c>
      <c r="K5281" s="403">
        <f>J5281/POBLA!$B$24*100000</f>
        <v>64.825630014081241</v>
      </c>
      <c r="L5281" s="550">
        <f t="shared" si="666"/>
        <v>-0.89923437885897761</v>
      </c>
      <c r="M5281" s="405">
        <f>SUM(C5281,C5257,C5233,C5209,C5185,C5161,C5137)/POBLA!$B$24*100000</f>
        <v>453.77941009856875</v>
      </c>
    </row>
    <row r="5282" spans="1:13" s="360" customFormat="1" ht="15.75" thickBot="1" x14ac:dyDescent="0.3">
      <c r="A5282" s="363" t="s">
        <v>16</v>
      </c>
      <c r="B5282" s="269">
        <v>44113</v>
      </c>
      <c r="C5282" s="1">
        <v>5346</v>
      </c>
      <c r="D5282" s="174">
        <f>C5282+D5258</f>
        <v>461816</v>
      </c>
      <c r="E5282" s="1">
        <f>134+105</f>
        <v>239</v>
      </c>
      <c r="F5282" s="475">
        <f t="shared" si="668"/>
        <v>14382</v>
      </c>
      <c r="G5282" s="175">
        <f>SUM(C5282,C5258,C5234,C5210,C5186,C5162,C5138,C5114,C5090,C5066,C5042,C5018,C4994,C4970)/POBLA!$B$1*100000</f>
        <v>384.1312261271944</v>
      </c>
      <c r="H5282" s="300">
        <f t="shared" si="665"/>
        <v>0.9332936271590232</v>
      </c>
      <c r="I5282" s="301">
        <f>G5282*H5282</f>
        <v>358.5072253372922</v>
      </c>
      <c r="J5282" s="301">
        <f>AVERAGE(C5282,C5258,C5234,C5210,C5186,C5162,C5138)</f>
        <v>4719.5714285714284</v>
      </c>
      <c r="K5282" s="301">
        <f>J5282/POBLA!$B$1*100000</f>
        <v>26.905726534958177</v>
      </c>
      <c r="L5282" s="548">
        <f t="shared" si="666"/>
        <v>3.8056137898905162E-2</v>
      </c>
      <c r="M5282" s="400">
        <f>SUM(C5282,C5258,C5234,C5210,C5186,C5162,C5138)/POBLA!$B$1*100000</f>
        <v>188.34008574470724</v>
      </c>
    </row>
    <row r="5283" spans="1:13" s="360" customFormat="1" ht="15.75" thickBot="1" x14ac:dyDescent="0.3">
      <c r="A5283" s="367" t="s">
        <v>43</v>
      </c>
      <c r="B5283" s="269">
        <v>44113</v>
      </c>
      <c r="C5283" s="1">
        <v>874</v>
      </c>
      <c r="D5283" s="39">
        <f t="shared" ref="D5283:D5295" si="669">C5283+D5259</f>
        <v>133608</v>
      </c>
      <c r="E5283" s="1">
        <f>22+16</f>
        <v>38</v>
      </c>
      <c r="F5283" s="409">
        <f t="shared" si="668"/>
        <v>3899</v>
      </c>
      <c r="G5283" s="168">
        <f>SUM(C5283,C5259,C5235,C5211,C5187,C5163,C5139,C5115,C5091,C5067,C5043,C5019,C4995,C4971)/POBLA!$B$2*100000</f>
        <v>385.77261492382411</v>
      </c>
      <c r="H5283" s="256">
        <f t="shared" si="665"/>
        <v>0.9363901823060532</v>
      </c>
      <c r="I5283" s="297">
        <f t="shared" ref="I5283:I5305" si="670">G5283*H5283</f>
        <v>361.23368921720254</v>
      </c>
      <c r="J5283" s="297">
        <f t="shared" ref="J5283:J5305" si="671">AVERAGE(C5283,C5259,C5235,C5211,C5187,C5163,C5139)</f>
        <v>809.71428571428567</v>
      </c>
      <c r="K5283" s="297">
        <f>J5283/POBLA!$B$2*100000</f>
        <v>26.326641158126968</v>
      </c>
      <c r="L5283" s="549">
        <f t="shared" si="666"/>
        <v>8.5363885751169932E-2</v>
      </c>
      <c r="M5283" s="401">
        <f>SUM(C5283,C5259,C5235,C5211,C5187,C5163,C5139)/POBLA!$B$2*100000</f>
        <v>184.28648810688875</v>
      </c>
    </row>
    <row r="5284" spans="1:13" s="360" customFormat="1" ht="15.75" thickBot="1" x14ac:dyDescent="0.3">
      <c r="A5284" s="367" t="s">
        <v>28</v>
      </c>
      <c r="B5284" s="269">
        <v>44113</v>
      </c>
      <c r="C5284" s="1">
        <v>7</v>
      </c>
      <c r="D5284" s="39">
        <f t="shared" si="669"/>
        <v>360</v>
      </c>
      <c r="E5284" s="1"/>
      <c r="F5284" s="409">
        <f t="shared" si="668"/>
        <v>0</v>
      </c>
      <c r="G5284" s="168">
        <f>SUM(C5284,C5260,C5236,C5212,C5188,C5164,C5140,C5116,C5092,C5068,C5044,C5020,C4996,C4972)/POBLA!$B$3*100000</f>
        <v>38.272859006638775</v>
      </c>
      <c r="H5284" s="256">
        <f t="shared" si="665"/>
        <v>1.8275862068965518</v>
      </c>
      <c r="I5284" s="297">
        <f t="shared" si="670"/>
        <v>69.946949219029491</v>
      </c>
      <c r="J5284" s="297">
        <f t="shared" si="671"/>
        <v>8.7142857142857135</v>
      </c>
      <c r="K5284" s="297">
        <f>J5284/POBLA!$B$3*100000</f>
        <v>2.0976140156378844</v>
      </c>
      <c r="L5284" s="549">
        <f t="shared" si="666"/>
        <v>0.37755102040816324</v>
      </c>
      <c r="M5284" s="401">
        <f>SUM(C5284,C5260,C5236,C5212,C5188,C5164,C5140)/POBLA!$B$3*100000</f>
        <v>14.68329810946519</v>
      </c>
    </row>
    <row r="5285" spans="1:13" s="360" customFormat="1" ht="15.75" thickBot="1" x14ac:dyDescent="0.3">
      <c r="A5285" s="367" t="s">
        <v>15</v>
      </c>
      <c r="B5285" s="269">
        <v>44113</v>
      </c>
      <c r="C5285" s="1">
        <v>177</v>
      </c>
      <c r="D5285" s="39">
        <f t="shared" si="669"/>
        <v>10026</v>
      </c>
      <c r="E5285" s="1">
        <f>8+4</f>
        <v>12</v>
      </c>
      <c r="F5285" s="409">
        <f t="shared" si="668"/>
        <v>330</v>
      </c>
      <c r="G5285" s="168">
        <f>SUM(C5285,C5261,C5237,C5213,C5189,C5165,C5141,C5117,C5093,C5069,C5045,C5021,C4997,C4973)/POBLA!$B$4*100000</f>
        <v>175.91763169539269</v>
      </c>
      <c r="H5285" s="256">
        <f t="shared" si="665"/>
        <v>1.5535190615835777</v>
      </c>
      <c r="I5285" s="297">
        <f t="shared" si="670"/>
        <v>273.29139410743187</v>
      </c>
      <c r="J5285" s="297">
        <f t="shared" si="671"/>
        <v>154.71428571428572</v>
      </c>
      <c r="K5285" s="297">
        <f>J5285/POBLA!$B$4*100000</f>
        <v>12.844252351251285</v>
      </c>
      <c r="L5285" s="549">
        <f t="shared" si="666"/>
        <v>-4.5366795366795332E-2</v>
      </c>
      <c r="M5285" s="401">
        <f>SUM(C5285,C5261,C5237,C5213,C5189,C5165,C5141)/POBLA!$B$4*100000</f>
        <v>89.90976645875898</v>
      </c>
    </row>
    <row r="5286" spans="1:13" s="360" customFormat="1" ht="15.75" thickBot="1" x14ac:dyDescent="0.3">
      <c r="A5286" s="367" t="s">
        <v>29</v>
      </c>
      <c r="B5286" s="269">
        <v>44113</v>
      </c>
      <c r="C5286" s="1">
        <v>205</v>
      </c>
      <c r="D5286" s="39">
        <f t="shared" si="669"/>
        <v>6141</v>
      </c>
      <c r="E5286" s="1">
        <f>6</f>
        <v>6</v>
      </c>
      <c r="F5286" s="409">
        <f t="shared" si="668"/>
        <v>82</v>
      </c>
      <c r="G5286" s="168">
        <f>SUM(C5286,C5262,C5238,C5214,C5190,C5166,C5142,C5118,C5094,C5070,C5046,C5022,C4998,C4974)/POBLA!$B$5*100000</f>
        <v>486.9190977618523</v>
      </c>
      <c r="H5286" s="256">
        <f t="shared" si="665"/>
        <v>1.8299939283545841</v>
      </c>
      <c r="I5286" s="297">
        <f t="shared" si="670"/>
        <v>891.05899250408186</v>
      </c>
      <c r="J5286" s="297">
        <f t="shared" si="671"/>
        <v>254.85714285714286</v>
      </c>
      <c r="K5286" s="297">
        <f>J5286/POBLA!$B$5*100000</f>
        <v>41.172796966875751</v>
      </c>
      <c r="L5286" s="549">
        <f t="shared" si="666"/>
        <v>-0.45040650406504068</v>
      </c>
      <c r="M5286" s="401">
        <f>SUM(C5286,C5262,C5238,C5214,C5190,C5166,C5142)/POBLA!$B$5*100000</f>
        <v>288.20957876813026</v>
      </c>
    </row>
    <row r="5287" spans="1:13" s="360" customFormat="1" ht="15.75" thickBot="1" x14ac:dyDescent="0.3">
      <c r="A5287" s="367" t="s">
        <v>20</v>
      </c>
      <c r="B5287" s="269">
        <v>44113</v>
      </c>
      <c r="C5287" s="1">
        <v>1643</v>
      </c>
      <c r="D5287" s="39">
        <f t="shared" si="669"/>
        <v>48675</v>
      </c>
      <c r="E5287" s="1">
        <v>27</v>
      </c>
      <c r="F5287" s="409">
        <f t="shared" si="668"/>
        <v>569</v>
      </c>
      <c r="G5287" s="168">
        <f>SUM(C5287,C5263,C5239,C5215,C5191,C5167,C5143,C5119,C5095,C5071,C5047,C5023,C4999,C4975)/POBLA!$B$6*100000</f>
        <v>2043.9846145747551</v>
      </c>
      <c r="H5287" s="256">
        <f t="shared" si="665"/>
        <v>1.8519805982215036</v>
      </c>
      <c r="I5287" s="297">
        <f t="shared" si="670"/>
        <v>3785.4198492557043</v>
      </c>
      <c r="J5287" s="297">
        <f t="shared" si="671"/>
        <v>1532.8571428571429</v>
      </c>
      <c r="K5287" s="297">
        <f>J5287/POBLA!$B$6*100000</f>
        <v>136.76443390549642</v>
      </c>
      <c r="L5287" s="549">
        <f t="shared" si="666"/>
        <v>0.11897528532720258</v>
      </c>
      <c r="M5287" s="401">
        <f>SUM(C5287,C5263,C5239,C5215,C5191,C5167,C5143)/POBLA!$B$6*100000</f>
        <v>957.35103733847484</v>
      </c>
    </row>
    <row r="5288" spans="1:13" s="360" customFormat="1" ht="15.75" thickBot="1" x14ac:dyDescent="0.3">
      <c r="A5288" s="367" t="s">
        <v>30</v>
      </c>
      <c r="B5288" s="269">
        <v>44113</v>
      </c>
      <c r="C5288" s="1">
        <v>93</v>
      </c>
      <c r="D5288" s="39">
        <f t="shared" si="669"/>
        <v>1505</v>
      </c>
      <c r="E5288" s="1"/>
      <c r="F5288" s="409">
        <f t="shared" si="668"/>
        <v>31</v>
      </c>
      <c r="G5288" s="168">
        <f>SUM(C5288,C5264,C5240,C5216,C5192,C5168,C5144,C5120,C5096,C5072,C5048,C5024,C5000,C4976)/POBLA!$B$7*100000</f>
        <v>13.376058716377029</v>
      </c>
      <c r="H5288" s="256">
        <f t="shared" si="665"/>
        <v>1.2606516290726817</v>
      </c>
      <c r="I5288" s="297">
        <f t="shared" si="670"/>
        <v>16.862550211372547</v>
      </c>
      <c r="J5288" s="297">
        <f t="shared" si="671"/>
        <v>48.285714285714285</v>
      </c>
      <c r="K5288" s="297">
        <f>J5288/POBLA!$B$7*100000</f>
        <v>1.2840408537731995</v>
      </c>
      <c r="L5288" s="549">
        <f t="shared" si="666"/>
        <v>-1.0484848484848484</v>
      </c>
      <c r="M5288" s="401">
        <f>SUM(C5288,C5264,C5240,C5216,C5192,C5168,C5144)/POBLA!$B$7*100000</f>
        <v>8.9882859764123975</v>
      </c>
    </row>
    <row r="5289" spans="1:13" ht="15.75" thickBot="1" x14ac:dyDescent="0.3">
      <c r="A5289" s="367" t="s">
        <v>31</v>
      </c>
      <c r="B5289" s="269">
        <v>44113</v>
      </c>
      <c r="C5289" s="1">
        <v>206</v>
      </c>
      <c r="D5289" s="39">
        <f t="shared" si="669"/>
        <v>9045</v>
      </c>
      <c r="E5289" s="1">
        <f>4</f>
        <v>4</v>
      </c>
      <c r="F5289" s="409">
        <f t="shared" si="668"/>
        <v>170</v>
      </c>
      <c r="G5289" s="168">
        <f>SUM(C5289,C5265,C5241,C5217,C5193,C5169,C5145,C5121,C5097,C5073,C5049,C5025,C5001,C4977)/POBLA!$B$8*100000</f>
        <v>161.25994887302022</v>
      </c>
      <c r="H5289" s="256">
        <f t="shared" si="665"/>
        <v>1.2314049586776858</v>
      </c>
      <c r="I5289" s="297">
        <f t="shared" si="670"/>
        <v>198.5763006783472</v>
      </c>
      <c r="J5289" s="297">
        <f t="shared" si="671"/>
        <v>171.85714285714286</v>
      </c>
      <c r="K5289" s="297">
        <f>J5289/POBLA!$B$8*100000</f>
        <v>12.399854170293597</v>
      </c>
      <c r="L5289" s="549">
        <f t="shared" si="666"/>
        <v>-0.16569767441860472</v>
      </c>
      <c r="M5289" s="401">
        <f>SUM(C5289,C5265,C5241,C5217,C5193,C5169,C5145)/POBLA!$B$8*100000</f>
        <v>86.798979192055185</v>
      </c>
    </row>
    <row r="5290" spans="1:13" s="360" customFormat="1" ht="15.75" thickBot="1" x14ac:dyDescent="0.3">
      <c r="A5290" s="367" t="s">
        <v>41</v>
      </c>
      <c r="B5290" s="269">
        <v>44113</v>
      </c>
      <c r="C5290" s="1">
        <v>10</v>
      </c>
      <c r="D5290" s="39">
        <f t="shared" si="669"/>
        <v>120</v>
      </c>
      <c r="E5290" s="1"/>
      <c r="F5290" s="409">
        <f t="shared" si="668"/>
        <v>1</v>
      </c>
      <c r="G5290" s="168">
        <f>SUM(C5290,C5266,C5242,C5218,C5194,C5170,C5146,C5122,C5098,C5074,C5050,C5026,C5002,C4978)/POBLA!$B$9*100000</f>
        <v>2.9742577987518035</v>
      </c>
      <c r="H5290" s="256">
        <f t="shared" si="665"/>
        <v>3</v>
      </c>
      <c r="I5290" s="297">
        <f t="shared" si="670"/>
        <v>8.9227733962554101</v>
      </c>
      <c r="J5290" s="297">
        <f t="shared" si="671"/>
        <v>2</v>
      </c>
      <c r="K5290" s="297">
        <f>J5290/POBLA!$B$9*100000</f>
        <v>0.33047308875020037</v>
      </c>
      <c r="L5290" s="549">
        <f t="shared" si="666"/>
        <v>-2.5</v>
      </c>
      <c r="M5290" s="401">
        <f>SUM(C5290,C5266,C5242,C5218,C5194,C5170,C5146)/POBLA!$B$9*100000</f>
        <v>2.3133116212514024</v>
      </c>
    </row>
    <row r="5291" spans="1:13" s="360" customFormat="1" ht="15.75" thickBot="1" x14ac:dyDescent="0.3">
      <c r="A5291" s="367" t="s">
        <v>32</v>
      </c>
      <c r="B5291" s="269">
        <v>44113</v>
      </c>
      <c r="C5291" s="1">
        <v>70</v>
      </c>
      <c r="D5291" s="39">
        <f t="shared" si="669"/>
        <v>16544</v>
      </c>
      <c r="E5291" s="1"/>
      <c r="F5291" s="409">
        <f t="shared" si="668"/>
        <v>627</v>
      </c>
      <c r="G5291" s="168">
        <f>SUM(C5291,C5267,C5243,C5219,C5195,C5171,C5147,C5123,C5099,C5075,C5051,C5027,C5003,C4979)/POBLA!$B$10*100000</f>
        <v>200.80920401462743</v>
      </c>
      <c r="H5291" s="256">
        <f t="shared" si="665"/>
        <v>0.46951774340309371</v>
      </c>
      <c r="I5291" s="297">
        <f t="shared" si="670"/>
        <v>94.283484323519332</v>
      </c>
      <c r="J5291" s="297">
        <f t="shared" si="671"/>
        <v>83.285714285714292</v>
      </c>
      <c r="K5291" s="297">
        <f>J5291/POBLA!$B$10*100000</f>
        <v>10.803965110790678</v>
      </c>
      <c r="L5291" s="549">
        <f t="shared" si="666"/>
        <v>0.3958549222797928</v>
      </c>
      <c r="M5291" s="401">
        <f>SUM(C5291,C5267,C5243,C5219,C5195,C5171,C5147)/POBLA!$B$10*100000</f>
        <v>75.627755775534737</v>
      </c>
    </row>
    <row r="5292" spans="1:13" s="360" customFormat="1" ht="15.75" thickBot="1" x14ac:dyDescent="0.3">
      <c r="A5292" s="367" t="s">
        <v>33</v>
      </c>
      <c r="B5292" s="269">
        <v>44113</v>
      </c>
      <c r="C5292" s="1">
        <v>42</v>
      </c>
      <c r="D5292" s="39">
        <f t="shared" si="669"/>
        <v>996</v>
      </c>
      <c r="E5292" s="1"/>
      <c r="F5292" s="409">
        <f t="shared" ref="F5292:F5303" si="672">E5292+F5268</f>
        <v>12</v>
      </c>
      <c r="G5292" s="168">
        <f>SUM(C5292,C5268,C5244,C5220,C5196,C5172,C5148,C5124,C5100,C5076,C5052,C5028,C5004,C4980)/POBLA!$B$11*100000</f>
        <v>87.604763020746148</v>
      </c>
      <c r="H5292" s="256">
        <f t="shared" si="665"/>
        <v>0.86980609418282551</v>
      </c>
      <c r="I5292" s="297">
        <f t="shared" si="670"/>
        <v>76.199156754887227</v>
      </c>
      <c r="J5292" s="297">
        <f t="shared" si="671"/>
        <v>27.428571428571427</v>
      </c>
      <c r="K5292" s="297">
        <f>J5292/POBLA!$B$11*100000</f>
        <v>7.6524633757885621</v>
      </c>
      <c r="L5292" s="549">
        <f t="shared" si="666"/>
        <v>-0.57377049180327866</v>
      </c>
      <c r="M5292" s="401">
        <f>SUM(C5292,C5268,C5244,C5220,C5196,C5172,C5148)/POBLA!$B$11*100000</f>
        <v>53.56724363051994</v>
      </c>
    </row>
    <row r="5293" spans="1:13" s="360" customFormat="1" ht="15.75" thickBot="1" x14ac:dyDescent="0.3">
      <c r="A5293" s="367" t="s">
        <v>21</v>
      </c>
      <c r="B5293" s="269">
        <v>44113</v>
      </c>
      <c r="C5293" s="1">
        <v>83</v>
      </c>
      <c r="D5293" s="39">
        <f t="shared" si="669"/>
        <v>5630</v>
      </c>
      <c r="E5293" s="1">
        <f>7+4</f>
        <v>11</v>
      </c>
      <c r="F5293" s="409">
        <f t="shared" si="672"/>
        <v>171</v>
      </c>
      <c r="G5293" s="168">
        <f>SUM(C5293,C5269,C5245,C5221,C5197,C5173,C5149,C5125,C5101,C5077,C5053,C5029,C5005,C4981)/POBLA!$B$12*100000</f>
        <v>293.75068291951584</v>
      </c>
      <c r="H5293" s="256">
        <f t="shared" si="665"/>
        <v>0.6390270867882808</v>
      </c>
      <c r="I5293" s="297">
        <f t="shared" si="670"/>
        <v>187.71464314812621</v>
      </c>
      <c r="J5293" s="297">
        <f t="shared" si="671"/>
        <v>91.142857142857139</v>
      </c>
      <c r="K5293" s="297">
        <f>J5293/POBLA!$B$12*100000</f>
        <v>23.160273813970726</v>
      </c>
      <c r="L5293" s="549">
        <f t="shared" si="666"/>
        <v>-0.23166023166023164</v>
      </c>
      <c r="M5293" s="401">
        <f>SUM(C5293,C5269,C5245,C5221,C5197,C5173,C5149)/POBLA!$B$12*100000</f>
        <v>162.12191669779509</v>
      </c>
    </row>
    <row r="5294" spans="1:13" s="360" customFormat="1" ht="15.75" thickBot="1" x14ac:dyDescent="0.3">
      <c r="A5294" s="367" t="s">
        <v>17</v>
      </c>
      <c r="B5294" s="269">
        <v>44113</v>
      </c>
      <c r="C5294" s="1">
        <v>858</v>
      </c>
      <c r="D5294" s="39">
        <f t="shared" si="669"/>
        <v>30891</v>
      </c>
      <c r="E5294" s="1">
        <f>10+8</f>
        <v>18</v>
      </c>
      <c r="F5294" s="409">
        <f t="shared" si="672"/>
        <v>426</v>
      </c>
      <c r="G5294" s="168">
        <f>SUM(C5294,C5270,C5246,C5222,C5198,C5174,C5150,C5126,C5102,C5078,C5054,C5030,C5006,C4982)/POBLA!$B$13*100000</f>
        <v>455.40003758155655</v>
      </c>
      <c r="H5294" s="256">
        <f t="shared" si="665"/>
        <v>1.0338770388958596</v>
      </c>
      <c r="I5294" s="297">
        <f t="shared" si="670"/>
        <v>470.82764236788285</v>
      </c>
      <c r="J5294" s="297">
        <f t="shared" si="671"/>
        <v>612</v>
      </c>
      <c r="K5294" s="297">
        <f>J5294/POBLA!$B$13*100000</f>
        <v>30.748546226821777</v>
      </c>
      <c r="L5294" s="549">
        <f t="shared" si="666"/>
        <v>0.10376569037656902</v>
      </c>
      <c r="M5294" s="401">
        <f>SUM(C5294,C5270,C5246,C5222,C5198,C5174,C5150)/POBLA!$B$13*100000</f>
        <v>215.23982358775243</v>
      </c>
    </row>
    <row r="5295" spans="1:13" s="360" customFormat="1" ht="15.75" thickBot="1" x14ac:dyDescent="0.3">
      <c r="A5295" s="367" t="s">
        <v>23</v>
      </c>
      <c r="B5295" s="269">
        <v>44113</v>
      </c>
      <c r="C5295" s="1">
        <v>4</v>
      </c>
      <c r="D5295" s="39">
        <f t="shared" si="669"/>
        <v>144</v>
      </c>
      <c r="E5295" s="1"/>
      <c r="F5295" s="409">
        <f t="shared" si="672"/>
        <v>4</v>
      </c>
      <c r="G5295" s="168">
        <f>SUM(C5295,C5271,C5247,C5223,C5199,C5175,C5151,C5127,C5103,C5079,C5055,C5031,C5007,C4983)/POBLA!$B$14*100000</f>
        <v>4.5191684095857108</v>
      </c>
      <c r="H5295" s="256">
        <f t="shared" si="665"/>
        <v>2.5909090909090908</v>
      </c>
      <c r="I5295" s="297">
        <f t="shared" si="670"/>
        <v>11.708754515744795</v>
      </c>
      <c r="J5295" s="297">
        <f t="shared" si="671"/>
        <v>6.4285714285714288</v>
      </c>
      <c r="K5295" s="297">
        <f>J5295/POBLA!$B$14*100000</f>
        <v>0.50968064769763655</v>
      </c>
      <c r="L5295" s="549">
        <f t="shared" si="666"/>
        <v>-2.75</v>
      </c>
      <c r="M5295" s="401">
        <f>SUM(C5295,C5271,C5247,C5223,C5199,C5175,C5151)/POBLA!$B$14*100000</f>
        <v>3.567764533883456</v>
      </c>
    </row>
    <row r="5296" spans="1:13" s="360" customFormat="1" ht="15.75" thickBot="1" x14ac:dyDescent="0.3">
      <c r="A5296" s="367" t="s">
        <v>19</v>
      </c>
      <c r="B5296" s="269">
        <v>44113</v>
      </c>
      <c r="C5296" s="1">
        <v>287</v>
      </c>
      <c r="D5296" s="39">
        <f>C5296+D5272</f>
        <v>11386</v>
      </c>
      <c r="E5296" s="1">
        <f>25+17</f>
        <v>42</v>
      </c>
      <c r="F5296" s="409">
        <f t="shared" si="672"/>
        <v>167</v>
      </c>
      <c r="G5296" s="168">
        <f>SUM(C5296,C5272,C5248,C5224,C5200,C5176,C5152,C5128,C5104,C5080,C5056,C5032,C5008,C4984)/POBLA!$B$15*100000</f>
        <v>664.25020743701214</v>
      </c>
      <c r="H5296" s="256">
        <f t="shared" si="665"/>
        <v>1.7531796502384738</v>
      </c>
      <c r="I5296" s="297">
        <f t="shared" si="670"/>
        <v>1164.5499463452545</v>
      </c>
      <c r="J5296" s="297">
        <f t="shared" si="671"/>
        <v>433.85714285714283</v>
      </c>
      <c r="K5296" s="297">
        <f>J5296/POBLA!$B$15*100000</f>
        <v>65.33432263452427</v>
      </c>
      <c r="L5296" s="549">
        <f t="shared" si="666"/>
        <v>-1.2103347889374092</v>
      </c>
      <c r="M5296" s="401">
        <f>SUM(C5296,C5272,C5248,C5224,C5200,C5176,C5152)/POBLA!$B$15*100000</f>
        <v>457.3402584416699</v>
      </c>
    </row>
    <row r="5297" spans="1:13" s="360" customFormat="1" ht="15.75" thickBot="1" x14ac:dyDescent="0.3">
      <c r="A5297" s="367" t="s">
        <v>18</v>
      </c>
      <c r="B5297" s="269">
        <v>44113</v>
      </c>
      <c r="C5297" s="1">
        <v>462</v>
      </c>
      <c r="D5297" s="39">
        <f>C5297+D5273</f>
        <v>15809</v>
      </c>
      <c r="E5297" s="1">
        <f>5+3</f>
        <v>8</v>
      </c>
      <c r="F5297" s="409">
        <f t="shared" si="672"/>
        <v>352</v>
      </c>
      <c r="G5297" s="168">
        <f>SUM(C5297,C5273,C5249,C5225,C5201,C5177,C5153,C5129,C5105,C5081,C5057,C5033,C5009,C4985)/POBLA!$B$16*100000</f>
        <v>579.7140220168269</v>
      </c>
      <c r="H5297" s="256">
        <f t="shared" si="665"/>
        <v>1.3913322632423757</v>
      </c>
      <c r="I5297" s="297">
        <f t="shared" si="670"/>
        <v>806.57482228601214</v>
      </c>
      <c r="J5297" s="297">
        <f t="shared" si="671"/>
        <v>330.28571428571428</v>
      </c>
      <c r="K5297" s="297">
        <f>J5297/POBLA!$B$16*100000</f>
        <v>44.178878597893856</v>
      </c>
      <c r="L5297" s="549">
        <f t="shared" si="666"/>
        <v>-0.14342235410484672</v>
      </c>
      <c r="M5297" s="401">
        <f>SUM(C5297,C5273,C5249,C5225,C5201,C5177,C5153)/POBLA!$B$16*100000</f>
        <v>309.25215018525705</v>
      </c>
    </row>
    <row r="5298" spans="1:13" s="360" customFormat="1" ht="15.75" thickBot="1" x14ac:dyDescent="0.3">
      <c r="A5298" s="367" t="s">
        <v>34</v>
      </c>
      <c r="B5298" s="269">
        <v>44113</v>
      </c>
      <c r="C5298" s="1">
        <v>267</v>
      </c>
      <c r="D5298" s="39">
        <f>C5298+D5274</f>
        <v>14783</v>
      </c>
      <c r="E5298" s="1">
        <f>8+6</f>
        <v>14</v>
      </c>
      <c r="F5298" s="409">
        <f>E5298+F5274</f>
        <v>477</v>
      </c>
      <c r="G5298" s="168">
        <f>SUM(C5298,C5274,C5250,C5226,C5202,C5178,C5154,C5130,C5106,C5082,C5058,C5034,C5010,C4986)/POBLA!$B$17*100000</f>
        <v>268.95591608238431</v>
      </c>
      <c r="H5298" s="256">
        <f t="shared" si="665"/>
        <v>0.79929063217191743</v>
      </c>
      <c r="I5298" s="297">
        <f t="shared" si="670"/>
        <v>214.97394419186614</v>
      </c>
      <c r="J5298" s="297">
        <f t="shared" si="671"/>
        <v>240.28571428571428</v>
      </c>
      <c r="K5298" s="297">
        <f>J5298/POBLA!$B$17*100000</f>
        <v>16.869293763305755</v>
      </c>
      <c r="L5298" s="549">
        <f t="shared" si="666"/>
        <v>0.21731037691949739</v>
      </c>
      <c r="M5298" s="401">
        <f>SUM(C5298,C5274,C5250,C5226,C5202,C5178,C5154)/POBLA!$B$17*100000</f>
        <v>118.08505634314029</v>
      </c>
    </row>
    <row r="5299" spans="1:13" s="360" customFormat="1" ht="15.75" thickBot="1" x14ac:dyDescent="0.3">
      <c r="A5299" s="367" t="s">
        <v>35</v>
      </c>
      <c r="B5299" s="269">
        <v>44113</v>
      </c>
      <c r="C5299" s="1">
        <v>40</v>
      </c>
      <c r="D5299" s="39">
        <f t="shared" ref="D5299:D5305" si="673">C5299+D5275</f>
        <v>1145</v>
      </c>
      <c r="E5299" s="1"/>
      <c r="F5299" s="409">
        <f>E5299+F5275</f>
        <v>42</v>
      </c>
      <c r="G5299" s="168">
        <f>SUM(C5299,C5275,C5251,C5227,C5203,C5179,C5155,C5131,C5107,C5083,C5059,C5035,C5011,C4987)/POBLA!$B$18*100000</f>
        <v>75.395184692601418</v>
      </c>
      <c r="H5299" s="256">
        <f t="shared" si="665"/>
        <v>3.7515923566878979</v>
      </c>
      <c r="I5299" s="297">
        <f t="shared" si="670"/>
        <v>282.85199862383587</v>
      </c>
      <c r="J5299" s="297">
        <f t="shared" si="671"/>
        <v>55.857142857142854</v>
      </c>
      <c r="K5299" s="297">
        <f>J5299/POBLA!$B$18*100000</f>
        <v>7.1500163024028982</v>
      </c>
      <c r="L5299" s="549">
        <f t="shared" si="666"/>
        <v>-0.9747474747474747</v>
      </c>
      <c r="M5299" s="401">
        <f>SUM(C5299,C5275,C5251,C5227,C5203,C5179,C5155)/POBLA!$B$18*100000</f>
        <v>50.050114116820296</v>
      </c>
    </row>
    <row r="5300" spans="1:13" s="360" customFormat="1" ht="15.75" thickBot="1" x14ac:dyDescent="0.3">
      <c r="A5300" s="367" t="s">
        <v>36</v>
      </c>
      <c r="B5300" s="269">
        <v>44113</v>
      </c>
      <c r="C5300" s="1">
        <v>86</v>
      </c>
      <c r="D5300" s="39">
        <f t="shared" si="673"/>
        <v>2188</v>
      </c>
      <c r="E5300" s="1"/>
      <c r="F5300" s="409">
        <f t="shared" si="672"/>
        <v>33</v>
      </c>
      <c r="G5300" s="168">
        <f>SUM(C5300,C5276,C5252,C5228,C5204,C5180,C5156,C5132,C5108,C5084,C5060,C5036,C5012,C4988)/POBLA!$B$19*100000</f>
        <v>216.98588313057709</v>
      </c>
      <c r="H5300" s="256">
        <f t="shared" si="665"/>
        <v>1.5623229461756374</v>
      </c>
      <c r="I5300" s="297">
        <f t="shared" si="670"/>
        <v>339.00202421108577</v>
      </c>
      <c r="J5300" s="297">
        <f t="shared" si="671"/>
        <v>78.571428571428569</v>
      </c>
      <c r="K5300" s="297">
        <f>J5300/POBLA!$B$19*100000</f>
        <v>15.456836643157287</v>
      </c>
      <c r="L5300" s="549">
        <f t="shared" si="666"/>
        <v>5.4249547920434127E-3</v>
      </c>
      <c r="M5300" s="401">
        <f>SUM(C5300,C5276,C5252,C5228,C5204,C5180,C5156)/POBLA!$B$19*100000</f>
        <v>108.19785650210102</v>
      </c>
    </row>
    <row r="5301" spans="1:13" s="360" customFormat="1" ht="15.75" thickBot="1" x14ac:dyDescent="0.3">
      <c r="A5301" s="367" t="s">
        <v>37</v>
      </c>
      <c r="B5301" s="269">
        <v>44113</v>
      </c>
      <c r="C5301" s="1">
        <v>172</v>
      </c>
      <c r="D5301" s="39">
        <f t="shared" si="673"/>
        <v>6041</v>
      </c>
      <c r="E5301" s="1">
        <f>1+3</f>
        <v>4</v>
      </c>
      <c r="F5301" s="409">
        <f>E5301+F5277</f>
        <v>80</v>
      </c>
      <c r="G5301" s="168">
        <f>SUM(C5301,C5277,C5253,C5229,C5205,C5181,C5157,C5133,C5109,C5085,C5061,C5037,C5013,C4989)/POBLA!$B$20*100000</f>
        <v>488.38112322189352</v>
      </c>
      <c r="H5301" s="256">
        <f t="shared" si="665"/>
        <v>1.1962491627595446</v>
      </c>
      <c r="I5301" s="297">
        <f t="shared" si="670"/>
        <v>584.22550976175614</v>
      </c>
      <c r="J5301" s="297">
        <f t="shared" si="671"/>
        <v>131.14285714285714</v>
      </c>
      <c r="K5301" s="297">
        <f>J5301/POBLA!$B$20*100000</f>
        <v>35.860971933906427</v>
      </c>
      <c r="L5301" s="549">
        <f t="shared" si="666"/>
        <v>-5.7603686635944618E-2</v>
      </c>
      <c r="M5301" s="401">
        <f>SUM(C5301,C5277,C5253,C5229,C5205,C5181,C5157)/POBLA!$B$20*100000</f>
        <v>251.02680353734502</v>
      </c>
    </row>
    <row r="5302" spans="1:13" s="360" customFormat="1" ht="15.75" thickBot="1" x14ac:dyDescent="0.3">
      <c r="A5302" s="367" t="s">
        <v>22</v>
      </c>
      <c r="B5302" s="269">
        <v>44113</v>
      </c>
      <c r="C5302" s="1">
        <v>2179</v>
      </c>
      <c r="D5302" s="39">
        <f t="shared" si="673"/>
        <v>59310</v>
      </c>
      <c r="E5302" s="1">
        <f>10+11</f>
        <v>21</v>
      </c>
      <c r="F5302" s="409">
        <f>E5302+F5278</f>
        <v>641</v>
      </c>
      <c r="G5302" s="168">
        <f>SUM(C5302,C5278,C5254,C5230,C5206,C5182,C5158,C5134,C5110,C5086,C5062,C5038,C5014,C4990)/POBLA!$B$21*100000</f>
        <v>700.42625051676589</v>
      </c>
      <c r="H5302" s="256">
        <f t="shared" si="665"/>
        <v>1.3863547321878322</v>
      </c>
      <c r="I5302" s="297">
        <f t="shared" si="670"/>
        <v>971.0392469524985</v>
      </c>
      <c r="J5302" s="297">
        <f t="shared" si="671"/>
        <v>1799.2857142857142</v>
      </c>
      <c r="K5302" s="297">
        <f>J5302/POBLA!$B$21*100000</f>
        <v>50.878762473376007</v>
      </c>
      <c r="L5302" s="549">
        <f t="shared" si="666"/>
        <v>-3.449691991786441E-2</v>
      </c>
      <c r="M5302" s="401">
        <f>SUM(C5302,C5278,C5254,C5230,C5206,C5182,C5158)/POBLA!$B$21*100000</f>
        <v>356.15133731363204</v>
      </c>
    </row>
    <row r="5303" spans="1:13" s="360" customFormat="1" ht="15.75" thickBot="1" x14ac:dyDescent="0.3">
      <c r="A5303" s="367" t="s">
        <v>38</v>
      </c>
      <c r="B5303" s="269">
        <v>44113</v>
      </c>
      <c r="C5303" s="1">
        <v>15</v>
      </c>
      <c r="D5303" s="39">
        <f t="shared" si="673"/>
        <v>4283</v>
      </c>
      <c r="E5303" s="1">
        <f>2+1</f>
        <v>3</v>
      </c>
      <c r="F5303" s="409">
        <f t="shared" si="672"/>
        <v>82</v>
      </c>
      <c r="G5303" s="168">
        <f>SUM(C5303,C5279,C5255,C5231,C5207,C5183,C5159,C5135,C5111,C5087,C5063,C5039,C5015,C4991)/POBLA!$B$22*100000</f>
        <v>149.74757567363409</v>
      </c>
      <c r="H5303" s="256">
        <f t="shared" si="665"/>
        <v>1.2446898895497027</v>
      </c>
      <c r="I5303" s="297">
        <f t="shared" si="670"/>
        <v>186.38929342555136</v>
      </c>
      <c r="J5303" s="297">
        <f t="shared" si="671"/>
        <v>80.285714285714292</v>
      </c>
      <c r="K5303" s="297">
        <f>J5303/POBLA!$B$22*100000</f>
        <v>8.2065468092230507</v>
      </c>
      <c r="L5303" s="549">
        <f t="shared" si="666"/>
        <v>0.37763012181616828</v>
      </c>
      <c r="M5303" s="401">
        <f>SUM(C5303,C5279,C5255,C5231,C5207,C5183,C5159)/POBLA!$B$22*100000</f>
        <v>57.445827664561342</v>
      </c>
    </row>
    <row r="5304" spans="1:13" s="360" customFormat="1" ht="15.75" thickBot="1" x14ac:dyDescent="0.3">
      <c r="A5304" s="367" t="s">
        <v>39</v>
      </c>
      <c r="B5304" s="269">
        <v>44113</v>
      </c>
      <c r="C5304" s="1">
        <v>249</v>
      </c>
      <c r="D5304" s="39">
        <f t="shared" si="673"/>
        <v>6053</v>
      </c>
      <c r="E5304" s="1">
        <f>2</f>
        <v>2</v>
      </c>
      <c r="F5304" s="409">
        <f t="shared" ref="F5304:F5315" si="674">E5304+F5280</f>
        <v>84</v>
      </c>
      <c r="G5304" s="168">
        <f>SUM(C5304,C5280,C5256,C5232,C5208,C5184,C5160,C5136,C5112,C5088,C5064,C5040,C5016,C4992)/POBLA!$B$23*100000</f>
        <v>1421.1389470112538</v>
      </c>
      <c r="H5304" s="256">
        <f t="shared" si="665"/>
        <v>2.7767955801104973</v>
      </c>
      <c r="I5304" s="297">
        <f t="shared" si="670"/>
        <v>3946.2123467837359</v>
      </c>
      <c r="J5304" s="297">
        <f t="shared" si="671"/>
        <v>190.42857142857142</v>
      </c>
      <c r="K5304" s="297">
        <f>J5304/POBLA!$B$23*100000</f>
        <v>107.69019477948959</v>
      </c>
      <c r="L5304" s="549">
        <f t="shared" si="666"/>
        <v>-0.12966101694915255</v>
      </c>
      <c r="M5304" s="401">
        <f>SUM(C5304,C5280,C5256,C5232,C5208,C5184,C5160)/POBLA!$B$23*100000</f>
        <v>753.83136345642708</v>
      </c>
    </row>
    <row r="5305" spans="1:13" s="360" customFormat="1" ht="15.75" thickBot="1" x14ac:dyDescent="0.3">
      <c r="A5305" s="369" t="s">
        <v>40</v>
      </c>
      <c r="B5305" s="269">
        <v>44113</v>
      </c>
      <c r="C5305" s="1">
        <v>1724</v>
      </c>
      <c r="D5305" s="176">
        <f t="shared" si="673"/>
        <v>24960</v>
      </c>
      <c r="E5305" s="1">
        <f>44+21</f>
        <v>65</v>
      </c>
      <c r="F5305" s="476">
        <f t="shared" si="674"/>
        <v>325</v>
      </c>
      <c r="G5305" s="177">
        <f>SUM(C5305,C5281,C5257,C5233,C5209,C5185,C5161,C5137,C5113,C5089,C5065,C5041,C5017,C4993)/POBLA!$B$24*100000</f>
        <v>771.8380603497111</v>
      </c>
      <c r="H5305" s="402">
        <f t="shared" si="665"/>
        <v>2.1840040073468026</v>
      </c>
      <c r="I5305" s="403">
        <f t="shared" si="670"/>
        <v>1685.6974168265522</v>
      </c>
      <c r="J5305" s="403">
        <f t="shared" si="671"/>
        <v>1248.5714285714287</v>
      </c>
      <c r="K5305" s="403">
        <f>J5305/POBLA!$B$24*100000</f>
        <v>73.676983917174255</v>
      </c>
      <c r="L5305" s="550">
        <f t="shared" si="666"/>
        <v>-1.0138248847926268</v>
      </c>
      <c r="M5305" s="405">
        <f>SUM(C5305,C5281,C5257,C5233,C5209,C5185,C5161)/POBLA!$B$24*100000</f>
        <v>515.73888742021984</v>
      </c>
    </row>
    <row r="5306" spans="1:13" s="360" customFormat="1" ht="15.75" thickBot="1" x14ac:dyDescent="0.3">
      <c r="A5306" s="363" t="s">
        <v>16</v>
      </c>
      <c r="B5306" s="269">
        <v>44114</v>
      </c>
      <c r="C5306" s="1">
        <v>4047</v>
      </c>
      <c r="D5306" s="174">
        <f>C5306+D5282</f>
        <v>465863</v>
      </c>
      <c r="E5306" s="1">
        <v>187</v>
      </c>
      <c r="F5306" s="475">
        <f t="shared" si="674"/>
        <v>14569</v>
      </c>
      <c r="G5306" s="175">
        <f>SUM(C5306,C5282,C5258,C5234,C5210,C5186,C5162,C5138,C5114,C5090,C5066,C5042,C5018,C4994)/POBLA!$B$1*100000</f>
        <v>381.66274360373706</v>
      </c>
      <c r="H5306" s="300">
        <f t="shared" ref="H5306:H5369" si="675">SUM(C5306,C5282,C5258,C5234,C5210,C5186,C5162,C5138,C5114,C5090,C5066,C5042,C5018,C4994)/SUM(C4970,C4946,C4922,C4898,C4874,C4850,C4826,C4802,C4778,C4754,C4730,C4706,C4682,C4658)</f>
        <v>0.94539292522770602</v>
      </c>
      <c r="I5306" s="301">
        <f>G5306*H5306</f>
        <v>360.82125762596894</v>
      </c>
      <c r="J5306" s="301">
        <f>AVERAGE(C5306,C5282,C5258,C5234,C5210,C5186,C5162)</f>
        <v>4653.8571428571431</v>
      </c>
      <c r="K5306" s="301">
        <f>J5306/POBLA!$B$1*100000</f>
        <v>26.531097052678291</v>
      </c>
      <c r="L5306" s="548">
        <f t="shared" ref="L5306:L5369" si="676">1-SUM(C5306,C5282,C5258,C5234,C5210,C5186,C5162)/SUM(C5138,C5114,C5090,C5066,C5042,C5018,C4994)</f>
        <v>5.2195164528236027E-2</v>
      </c>
      <c r="M5306" s="400">
        <f>SUM(C5306,C5282,C5258,C5234,C5210,C5186,C5162)/POBLA!$B$1*100000</f>
        <v>185.71767936874801</v>
      </c>
    </row>
    <row r="5307" spans="1:13" s="360" customFormat="1" ht="15.75" thickBot="1" x14ac:dyDescent="0.3">
      <c r="A5307" s="367" t="s">
        <v>43</v>
      </c>
      <c r="B5307" s="269">
        <v>44114</v>
      </c>
      <c r="C5307" s="1">
        <v>742</v>
      </c>
      <c r="D5307" s="39">
        <f t="shared" ref="D5307:D5319" si="677">C5307+D5283</f>
        <v>134350</v>
      </c>
      <c r="E5307" s="1">
        <f>2+43+28</f>
        <v>73</v>
      </c>
      <c r="F5307" s="409">
        <f t="shared" si="674"/>
        <v>3972</v>
      </c>
      <c r="G5307" s="168">
        <f>SUM(C5307,C5283,C5259,C5235,C5211,C5187,C5163,C5139,C5115,C5091,C5067,C5043,C5019,C4995)/POBLA!$B$2*100000</f>
        <v>380.0827533467766</v>
      </c>
      <c r="H5307" s="256">
        <f t="shared" si="675"/>
        <v>0.92755693088947078</v>
      </c>
      <c r="I5307" s="297">
        <f t="shared" ref="I5307:I5329" si="678">G5307*H5307</f>
        <v>352.54839217835581</v>
      </c>
      <c r="J5307" s="297">
        <f t="shared" ref="J5307:J5329" si="679">AVERAGE(C5307,C5283,C5259,C5235,C5211,C5187,C5163)</f>
        <v>801.28571428571433</v>
      </c>
      <c r="K5307" s="297">
        <f>J5307/POBLA!$B$2*100000</f>
        <v>26.052598845436513</v>
      </c>
      <c r="L5307" s="549">
        <f t="shared" si="676"/>
        <v>7.761881269528037E-2</v>
      </c>
      <c r="M5307" s="401">
        <f>SUM(C5307,C5283,C5259,C5235,C5211,C5187,C5163)/POBLA!$B$2*100000</f>
        <v>182.36819191805557</v>
      </c>
    </row>
    <row r="5308" spans="1:13" s="360" customFormat="1" ht="15.75" thickBot="1" x14ac:dyDescent="0.3">
      <c r="A5308" s="367" t="s">
        <v>28</v>
      </c>
      <c r="B5308" s="269">
        <v>44114</v>
      </c>
      <c r="C5308" s="1">
        <v>10</v>
      </c>
      <c r="D5308" s="39">
        <f t="shared" si="677"/>
        <v>370</v>
      </c>
      <c r="E5308" s="1"/>
      <c r="F5308" s="409">
        <f t="shared" si="674"/>
        <v>0</v>
      </c>
      <c r="G5308" s="168">
        <f>SUM(C5308,C5284,C5260,C5236,C5212,C5188,C5164,C5140,C5116,C5092,C5068,C5044,C5020,C4996)/POBLA!$B$3*100000</f>
        <v>39.717117837077978</v>
      </c>
      <c r="H5308" s="256">
        <f t="shared" si="675"/>
        <v>1.9411764705882353</v>
      </c>
      <c r="I5308" s="297">
        <f t="shared" si="678"/>
        <v>77.097934624916078</v>
      </c>
      <c r="J5308" s="297">
        <f t="shared" si="679"/>
        <v>9.2857142857142865</v>
      </c>
      <c r="K5308" s="297">
        <f>J5308/POBLA!$B$3*100000</f>
        <v>2.2351624756797133</v>
      </c>
      <c r="L5308" s="549">
        <f t="shared" si="676"/>
        <v>0.35</v>
      </c>
      <c r="M5308" s="401">
        <f>SUM(C5308,C5284,C5260,C5236,C5212,C5188,C5164)/POBLA!$B$3*100000</f>
        <v>15.646137329757991</v>
      </c>
    </row>
    <row r="5309" spans="1:13" s="360" customFormat="1" ht="15.75" thickBot="1" x14ac:dyDescent="0.3">
      <c r="A5309" s="367" t="s">
        <v>15</v>
      </c>
      <c r="B5309" s="269">
        <v>44114</v>
      </c>
      <c r="C5309" s="1">
        <v>148</v>
      </c>
      <c r="D5309" s="39">
        <f t="shared" si="677"/>
        <v>10174</v>
      </c>
      <c r="E5309" s="1">
        <f>1</f>
        <v>1</v>
      </c>
      <c r="F5309" s="409">
        <f t="shared" si="674"/>
        <v>331</v>
      </c>
      <c r="G5309" s="168">
        <f>SUM(C5309,C5285,C5261,C5237,C5213,C5189,C5165,C5141,C5117,C5093,C5069,C5045,C5021,C4997)/POBLA!$B$4*100000</f>
        <v>174.92140159612666</v>
      </c>
      <c r="H5309" s="256">
        <f t="shared" si="675"/>
        <v>1.4975124378109452</v>
      </c>
      <c r="I5309" s="297">
        <f t="shared" si="678"/>
        <v>261.946974529523</v>
      </c>
      <c r="J5309" s="297">
        <f t="shared" si="679"/>
        <v>158.71428571428572</v>
      </c>
      <c r="K5309" s="297">
        <f>J5309/POBLA!$B$4*100000</f>
        <v>13.176329051006627</v>
      </c>
      <c r="L5309" s="549">
        <f t="shared" si="676"/>
        <v>-0.11546184738955834</v>
      </c>
      <c r="M5309" s="401">
        <f>SUM(C5309,C5285,C5261,C5237,C5213,C5189,C5165)/POBLA!$B$4*100000</f>
        <v>92.234303357046372</v>
      </c>
    </row>
    <row r="5310" spans="1:13" s="360" customFormat="1" ht="15.75" thickBot="1" x14ac:dyDescent="0.3">
      <c r="A5310" s="367" t="s">
        <v>29</v>
      </c>
      <c r="B5310" s="269">
        <v>44114</v>
      </c>
      <c r="C5310" s="1">
        <v>482</v>
      </c>
      <c r="D5310" s="39">
        <f t="shared" si="677"/>
        <v>6623</v>
      </c>
      <c r="E5310" s="1"/>
      <c r="F5310" s="409">
        <f t="shared" si="674"/>
        <v>82</v>
      </c>
      <c r="G5310" s="168">
        <f>SUM(C5310,C5286,C5262,C5238,C5214,C5190,C5166,C5142,C5118,C5094,C5070,C5046,C5022,C4998)/POBLA!$B$5*100000</f>
        <v>535.38483410178458</v>
      </c>
      <c r="H5310" s="256">
        <f t="shared" si="675"/>
        <v>1.9915865384615385</v>
      </c>
      <c r="I5310" s="297">
        <f t="shared" si="678"/>
        <v>1066.2652284935782</v>
      </c>
      <c r="J5310" s="297">
        <f t="shared" si="679"/>
        <v>302.42857142857144</v>
      </c>
      <c r="K5310" s="297">
        <f>J5310/POBLA!$B$5*100000</f>
        <v>48.858078015064997</v>
      </c>
      <c r="L5310" s="549">
        <f t="shared" si="676"/>
        <v>-0.7685881370091896</v>
      </c>
      <c r="M5310" s="401">
        <f>SUM(C5310,C5286,C5262,C5238,C5214,C5190,C5166)/POBLA!$B$5*100000</f>
        <v>342.00654610545502</v>
      </c>
    </row>
    <row r="5311" spans="1:13" s="360" customFormat="1" ht="15.75" thickBot="1" x14ac:dyDescent="0.3">
      <c r="A5311" s="367" t="s">
        <v>20</v>
      </c>
      <c r="B5311" s="269">
        <v>44114</v>
      </c>
      <c r="C5311" s="1">
        <v>1606</v>
      </c>
      <c r="D5311" s="39">
        <f t="shared" si="677"/>
        <v>50281</v>
      </c>
      <c r="E5311" s="1">
        <v>27</v>
      </c>
      <c r="F5311" s="409">
        <f t="shared" si="674"/>
        <v>596</v>
      </c>
      <c r="G5311" s="168">
        <f>SUM(C5311,C5287,C5263,C5239,C5215,C5191,C5167,C5143,C5119,C5095,C5071,C5047,C5023,C4999)/POBLA!$B$6*100000</f>
        <v>2020.6976974503057</v>
      </c>
      <c r="H5311" s="256">
        <f t="shared" si="675"/>
        <v>1.6476065764586061</v>
      </c>
      <c r="I5311" s="297">
        <f t="shared" si="678"/>
        <v>3329.3148153538864</v>
      </c>
      <c r="J5311" s="297">
        <f t="shared" si="679"/>
        <v>1555</v>
      </c>
      <c r="K5311" s="297">
        <f>J5311/POBLA!$B$6*100000</f>
        <v>138.74006179509118</v>
      </c>
      <c r="L5311" s="549">
        <f t="shared" si="676"/>
        <v>7.464082291932328E-2</v>
      </c>
      <c r="M5311" s="401">
        <f>SUM(C5311,C5287,C5263,C5239,C5215,C5191,C5167)/POBLA!$B$6*100000</f>
        <v>971.18043256563828</v>
      </c>
    </row>
    <row r="5312" spans="1:13" s="360" customFormat="1" ht="15.75" thickBot="1" x14ac:dyDescent="0.3">
      <c r="A5312" s="367" t="s">
        <v>30</v>
      </c>
      <c r="B5312" s="269">
        <v>44114</v>
      </c>
      <c r="C5312" s="1">
        <v>2</v>
      </c>
      <c r="D5312" s="39">
        <f t="shared" si="677"/>
        <v>1507</v>
      </c>
      <c r="E5312" s="1"/>
      <c r="F5312" s="409">
        <f t="shared" si="674"/>
        <v>31</v>
      </c>
      <c r="G5312" s="168">
        <f>SUM(C5312,C5288,C5264,C5240,C5216,C5192,C5168,C5144,C5120,C5096,C5072,C5048,C5024,C5000)/POBLA!$B$7*100000</f>
        <v>13.110133095773111</v>
      </c>
      <c r="H5312" s="256">
        <f t="shared" si="675"/>
        <v>1.3887323943661971</v>
      </c>
      <c r="I5312" s="297">
        <f t="shared" si="678"/>
        <v>18.206466524552518</v>
      </c>
      <c r="J5312" s="297">
        <f t="shared" si="679"/>
        <v>48.142857142857146</v>
      </c>
      <c r="K5312" s="297">
        <f>J5312/POBLA!$B$7*100000</f>
        <v>1.2802419163360008</v>
      </c>
      <c r="L5312" s="549">
        <f t="shared" si="676"/>
        <v>-1.1602564102564101</v>
      </c>
      <c r="M5312" s="401">
        <f>SUM(C5312,C5288,C5264,C5240,C5216,C5192,C5168)/POBLA!$B$7*100000</f>
        <v>8.9616934143520055</v>
      </c>
    </row>
    <row r="5313" spans="1:13" ht="15.75" thickBot="1" x14ac:dyDescent="0.3">
      <c r="A5313" s="367" t="s">
        <v>31</v>
      </c>
      <c r="B5313" s="269">
        <v>44114</v>
      </c>
      <c r="C5313" s="1">
        <v>188</v>
      </c>
      <c r="D5313" s="39">
        <f t="shared" si="677"/>
        <v>9233</v>
      </c>
      <c r="E5313" s="1">
        <f>1+1</f>
        <v>2</v>
      </c>
      <c r="F5313" s="409">
        <f t="shared" si="674"/>
        <v>172</v>
      </c>
      <c r="G5313" s="168">
        <f>SUM(C5313,C5289,C5265,C5241,C5217,C5193,C5169,C5145,C5121,C5097,C5073,C5049,C5025,C5001)/POBLA!$B$8*100000</f>
        <v>164.29033717398974</v>
      </c>
      <c r="H5313" s="256">
        <f t="shared" si="675"/>
        <v>1.2490400438837082</v>
      </c>
      <c r="I5313" s="297">
        <f t="shared" si="678"/>
        <v>205.20520995346936</v>
      </c>
      <c r="J5313" s="297">
        <f t="shared" si="679"/>
        <v>177</v>
      </c>
      <c r="K5313" s="297">
        <f>J5313/POBLA!$B$8*100000</f>
        <v>12.770922125514353</v>
      </c>
      <c r="L5313" s="549">
        <f t="shared" si="676"/>
        <v>-0.19364161849710992</v>
      </c>
      <c r="M5313" s="401">
        <f>SUM(C5313,C5289,C5265,C5241,C5217,C5193,C5169)/POBLA!$B$8*100000</f>
        <v>89.39645487860048</v>
      </c>
    </row>
    <row r="5314" spans="1:13" s="360" customFormat="1" ht="15.75" thickBot="1" x14ac:dyDescent="0.3">
      <c r="A5314" s="367" t="s">
        <v>41</v>
      </c>
      <c r="B5314" s="269">
        <v>44114</v>
      </c>
      <c r="C5314" s="1">
        <v>8</v>
      </c>
      <c r="D5314" s="39">
        <f t="shared" si="677"/>
        <v>128</v>
      </c>
      <c r="E5314" s="1"/>
      <c r="F5314" s="409">
        <f t="shared" si="674"/>
        <v>1</v>
      </c>
      <c r="G5314" s="168">
        <f>SUM(C5314,C5290,C5266,C5242,C5218,C5194,C5170,C5146,C5122,C5098,C5074,C5050,C5026,C5002)/POBLA!$B$9*100000</f>
        <v>3.9656770650024042</v>
      </c>
      <c r="H5314" s="256">
        <f t="shared" si="675"/>
        <v>2.6666666666666665</v>
      </c>
      <c r="I5314" s="297">
        <f t="shared" si="678"/>
        <v>10.57513884000641</v>
      </c>
      <c r="J5314" s="297">
        <f t="shared" si="679"/>
        <v>3.2857142857142856</v>
      </c>
      <c r="K5314" s="297">
        <f>J5314/POBLA!$B$9*100000</f>
        <v>0.54292007437532908</v>
      </c>
      <c r="L5314" s="549">
        <f t="shared" si="676"/>
        <v>-22</v>
      </c>
      <c r="M5314" s="401">
        <f>SUM(C5314,C5290,C5266,C5242,C5218,C5194,C5170)/POBLA!$B$9*100000</f>
        <v>3.800440520627304</v>
      </c>
    </row>
    <row r="5315" spans="1:13" s="360" customFormat="1" ht="15.75" thickBot="1" x14ac:dyDescent="0.3">
      <c r="A5315" s="367" t="s">
        <v>32</v>
      </c>
      <c r="B5315" s="269">
        <v>44114</v>
      </c>
      <c r="C5315" s="1">
        <v>128</v>
      </c>
      <c r="D5315" s="39">
        <f t="shared" si="677"/>
        <v>16672</v>
      </c>
      <c r="E5315" s="1"/>
      <c r="F5315" s="409">
        <f t="shared" si="674"/>
        <v>627</v>
      </c>
      <c r="G5315" s="168">
        <f>SUM(C5315,C5291,C5267,C5243,C5219,C5195,C5171,C5147,C5123,C5099,C5075,C5051,C5027,C5003)/POBLA!$B$10*100000</f>
        <v>190.30174566502481</v>
      </c>
      <c r="H5315" s="256">
        <f t="shared" si="675"/>
        <v>0.4511070110701107</v>
      </c>
      <c r="I5315" s="297">
        <f t="shared" si="678"/>
        <v>85.846451688373733</v>
      </c>
      <c r="J5315" s="297">
        <f t="shared" si="679"/>
        <v>84.142857142857139</v>
      </c>
      <c r="K5315" s="297">
        <f>J5315/POBLA!$B$10*100000</f>
        <v>10.915155146236208</v>
      </c>
      <c r="L5315" s="549">
        <f t="shared" si="676"/>
        <v>0.32915717539863321</v>
      </c>
      <c r="M5315" s="401">
        <f>SUM(C5315,C5291,C5267,C5243,C5219,C5195,C5171)/POBLA!$B$10*100000</f>
        <v>76.406086023653458</v>
      </c>
    </row>
    <row r="5316" spans="1:13" s="360" customFormat="1" ht="15.75" thickBot="1" x14ac:dyDescent="0.3">
      <c r="A5316" s="367" t="s">
        <v>33</v>
      </c>
      <c r="B5316" s="269">
        <v>44114</v>
      </c>
      <c r="C5316" s="1">
        <v>44</v>
      </c>
      <c r="D5316" s="39">
        <f t="shared" si="677"/>
        <v>1040</v>
      </c>
      <c r="E5316" s="1"/>
      <c r="F5316" s="409">
        <f t="shared" ref="F5316:F5327" si="680">E5316+F5292</f>
        <v>12</v>
      </c>
      <c r="G5316" s="168">
        <f>SUM(C5316,C5292,C5268,C5244,C5220,C5196,C5172,C5148,C5124,C5100,C5076,C5052,C5028,C5004)/POBLA!$B$11*100000</f>
        <v>99.32259756492239</v>
      </c>
      <c r="H5316" s="256">
        <f t="shared" si="675"/>
        <v>1.0690690690690692</v>
      </c>
      <c r="I5316" s="297">
        <f t="shared" si="678"/>
        <v>106.18271691625338</v>
      </c>
      <c r="J5316" s="297">
        <f t="shared" si="679"/>
        <v>29.857142857142858</v>
      </c>
      <c r="K5316" s="297">
        <f>J5316/POBLA!$B$11*100000</f>
        <v>8.3300252371865078</v>
      </c>
      <c r="L5316" s="549">
        <f t="shared" si="676"/>
        <v>-0.42176870748299322</v>
      </c>
      <c r="M5316" s="401">
        <f>SUM(C5316,C5292,C5268,C5244,C5220,C5196,C5172)/POBLA!$B$11*100000</f>
        <v>58.310176660305558</v>
      </c>
    </row>
    <row r="5317" spans="1:13" s="360" customFormat="1" ht="15.75" thickBot="1" x14ac:dyDescent="0.3">
      <c r="A5317" s="367" t="s">
        <v>21</v>
      </c>
      <c r="B5317" s="269">
        <v>44114</v>
      </c>
      <c r="C5317" s="1">
        <v>46</v>
      </c>
      <c r="D5317" s="39">
        <f t="shared" si="677"/>
        <v>5676</v>
      </c>
      <c r="E5317" s="1">
        <f>1</f>
        <v>1</v>
      </c>
      <c r="F5317" s="409">
        <f t="shared" si="680"/>
        <v>172</v>
      </c>
      <c r="G5317" s="168">
        <f>SUM(C5317,C5293,C5269,C5245,C5221,C5197,C5173,C5149,C5125,C5101,C5077,C5053,C5029,C5005)/POBLA!$B$12*100000</f>
        <v>299.84931301473074</v>
      </c>
      <c r="H5317" s="256">
        <f t="shared" si="675"/>
        <v>0.66143497757847536</v>
      </c>
      <c r="I5317" s="297">
        <f t="shared" si="678"/>
        <v>198.33082363081968</v>
      </c>
      <c r="J5317" s="297">
        <f t="shared" si="679"/>
        <v>88.857142857142861</v>
      </c>
      <c r="K5317" s="297">
        <f>J5317/POBLA!$B$12*100000</f>
        <v>22.579451900140743</v>
      </c>
      <c r="L5317" s="549">
        <f t="shared" si="676"/>
        <v>-0.11469534050179209</v>
      </c>
      <c r="M5317" s="401">
        <f>SUM(C5317,C5293,C5269,C5245,C5221,C5197,C5173)/POBLA!$B$12*100000</f>
        <v>158.05616330098519</v>
      </c>
    </row>
    <row r="5318" spans="1:13" s="360" customFormat="1" ht="15.75" thickBot="1" x14ac:dyDescent="0.3">
      <c r="A5318" s="367" t="s">
        <v>17</v>
      </c>
      <c r="B5318" s="269">
        <v>44114</v>
      </c>
      <c r="C5318" s="1">
        <v>573</v>
      </c>
      <c r="D5318" s="39">
        <f t="shared" si="677"/>
        <v>31464</v>
      </c>
      <c r="E5318" s="1">
        <f>3</f>
        <v>3</v>
      </c>
      <c r="F5318" s="409">
        <f t="shared" si="680"/>
        <v>429</v>
      </c>
      <c r="G5318" s="168">
        <f>SUM(C5318,C5294,C5270,C5246,C5222,C5198,C5174,C5150,C5126,C5102,C5078,C5054,C5030,C5006)/POBLA!$B$13*100000</f>
        <v>451.22989160635024</v>
      </c>
      <c r="H5318" s="256">
        <f t="shared" si="675"/>
        <v>1.0317059161401494</v>
      </c>
      <c r="I5318" s="297">
        <f t="shared" si="678"/>
        <v>465.53654870954989</v>
      </c>
      <c r="J5318" s="297">
        <f t="shared" si="679"/>
        <v>620</v>
      </c>
      <c r="K5318" s="297">
        <f>J5318/POBLA!$B$13*100000</f>
        <v>31.150488007564544</v>
      </c>
      <c r="L5318" s="549">
        <f t="shared" si="676"/>
        <v>6.4856711915535437E-2</v>
      </c>
      <c r="M5318" s="401">
        <f>SUM(C5318,C5294,C5270,C5246,C5222,C5198,C5174)/POBLA!$B$13*100000</f>
        <v>218.0534160529518</v>
      </c>
    </row>
    <row r="5319" spans="1:13" s="360" customFormat="1" ht="15.75" thickBot="1" x14ac:dyDescent="0.3">
      <c r="A5319" s="367" t="s">
        <v>23</v>
      </c>
      <c r="B5319" s="269">
        <v>44114</v>
      </c>
      <c r="C5319" s="1">
        <v>5</v>
      </c>
      <c r="D5319" s="39">
        <f t="shared" si="677"/>
        <v>149</v>
      </c>
      <c r="E5319" s="1"/>
      <c r="F5319" s="409">
        <f t="shared" si="680"/>
        <v>4</v>
      </c>
      <c r="G5319" s="168">
        <f>SUM(C5319,C5295,C5271,C5247,C5223,C5199,C5175,C5151,C5127,C5103,C5079,C5055,C5031,C5007)/POBLA!$B$14*100000</f>
        <v>5.3120049726709233</v>
      </c>
      <c r="H5319" s="256">
        <f t="shared" si="675"/>
        <v>4.7857142857142856</v>
      </c>
      <c r="I5319" s="297">
        <f t="shared" si="678"/>
        <v>25.42173808349656</v>
      </c>
      <c r="J5319" s="297">
        <f t="shared" si="679"/>
        <v>6.4285714285714288</v>
      </c>
      <c r="K5319" s="297">
        <f>J5319/POBLA!$B$14*100000</f>
        <v>0.50968064769763655</v>
      </c>
      <c r="L5319" s="549">
        <f t="shared" si="676"/>
        <v>-1.0454545454545454</v>
      </c>
      <c r="M5319" s="401">
        <f>SUM(C5319,C5295,C5271,C5247,C5223,C5199,C5175)/POBLA!$B$14*100000</f>
        <v>3.567764533883456</v>
      </c>
    </row>
    <row r="5320" spans="1:13" s="360" customFormat="1" ht="15.75" thickBot="1" x14ac:dyDescent="0.3">
      <c r="A5320" s="367" t="s">
        <v>19</v>
      </c>
      <c r="B5320" s="269">
        <v>44114</v>
      </c>
      <c r="C5320" s="1">
        <v>433</v>
      </c>
      <c r="D5320" s="39">
        <f>C5320+D5296</f>
        <v>11819</v>
      </c>
      <c r="E5320" s="1">
        <f>13+4</f>
        <v>17</v>
      </c>
      <c r="F5320" s="409">
        <f t="shared" si="680"/>
        <v>184</v>
      </c>
      <c r="G5320" s="168">
        <f>SUM(C5320,C5296,C5272,C5248,C5224,C5200,C5176,C5152,C5128,C5104,C5080,C5056,C5032,C5008)/POBLA!$B$15*100000</f>
        <v>702.34934651694061</v>
      </c>
      <c r="H5320" s="256">
        <f t="shared" si="675"/>
        <v>1.7740585774058577</v>
      </c>
      <c r="I5320" s="297">
        <f t="shared" si="678"/>
        <v>1246.0088825237774</v>
      </c>
      <c r="J5320" s="297">
        <f t="shared" si="679"/>
        <v>458</v>
      </c>
      <c r="K5320" s="297">
        <f>J5320/POBLA!$B$15*100000</f>
        <v>68.969982998447421</v>
      </c>
      <c r="L5320" s="549">
        <f t="shared" si="676"/>
        <v>-1.1989026063100137</v>
      </c>
      <c r="M5320" s="401">
        <f>SUM(C5320,C5296,C5272,C5248,C5224,C5200,C5176)/POBLA!$B$15*100000</f>
        <v>482.78988098913197</v>
      </c>
    </row>
    <row r="5321" spans="1:13" s="360" customFormat="1" ht="15.75" thickBot="1" x14ac:dyDescent="0.3">
      <c r="A5321" s="367" t="s">
        <v>18</v>
      </c>
      <c r="B5321" s="269">
        <v>44114</v>
      </c>
      <c r="C5321" s="1">
        <v>433</v>
      </c>
      <c r="D5321" s="39">
        <f>C5321+D5297</f>
        <v>16242</v>
      </c>
      <c r="E5321" s="1">
        <v>4</v>
      </c>
      <c r="F5321" s="409">
        <f t="shared" si="680"/>
        <v>356</v>
      </c>
      <c r="G5321" s="168">
        <f>SUM(C5321,C5297,C5273,C5249,C5225,C5201,C5177,C5153,C5129,C5105,C5081,C5057,C5033,C5009)/POBLA!$B$16*100000</f>
        <v>605.12834231751856</v>
      </c>
      <c r="H5321" s="256">
        <f t="shared" si="675"/>
        <v>1.4458293384467882</v>
      </c>
      <c r="I5321" s="297">
        <f t="shared" si="678"/>
        <v>874.91231084833942</v>
      </c>
      <c r="J5321" s="297">
        <f t="shared" si="679"/>
        <v>345</v>
      </c>
      <c r="K5321" s="297">
        <f>J5321/POBLA!$B$16*100000</f>
        <v>46.147055282834629</v>
      </c>
      <c r="L5321" s="549">
        <f t="shared" si="676"/>
        <v>-0.14509246088193462</v>
      </c>
      <c r="M5321" s="401">
        <f>SUM(C5321,C5297,C5273,C5249,C5225,C5201,C5177)/POBLA!$B$16*100000</f>
        <v>323.0293869798424</v>
      </c>
    </row>
    <row r="5322" spans="1:13" s="360" customFormat="1" ht="15.75" thickBot="1" x14ac:dyDescent="0.3">
      <c r="A5322" s="367" t="s">
        <v>34</v>
      </c>
      <c r="B5322" s="269">
        <v>44114</v>
      </c>
      <c r="C5322" s="1">
        <v>453</v>
      </c>
      <c r="D5322" s="39">
        <f>C5322+D5298</f>
        <v>15236</v>
      </c>
      <c r="E5322" s="1">
        <f>16+5</f>
        <v>21</v>
      </c>
      <c r="F5322" s="409">
        <f>E5322+F5298</f>
        <v>498</v>
      </c>
      <c r="G5322" s="168">
        <f>SUM(C5322,C5298,C5274,C5250,C5226,C5202,C5178,C5154,C5130,C5106,C5082,C5058,C5034,C5010)/POBLA!$B$17*100000</f>
        <v>279.62709834407121</v>
      </c>
      <c r="H5322" s="256">
        <f t="shared" si="675"/>
        <v>0.82497928748964378</v>
      </c>
      <c r="I5322" s="297">
        <f t="shared" si="678"/>
        <v>230.68656435468841</v>
      </c>
      <c r="J5322" s="297">
        <f t="shared" si="679"/>
        <v>285.85714285714283</v>
      </c>
      <c r="K5322" s="297">
        <f>J5322/POBLA!$B$17*100000</f>
        <v>20.068642580484433</v>
      </c>
      <c r="L5322" s="549">
        <f t="shared" si="676"/>
        <v>-9.5862764883956064E-3</v>
      </c>
      <c r="M5322" s="401">
        <f>SUM(C5322,C5298,C5274,C5250,C5226,C5202,C5178)/POBLA!$B$17*100000</f>
        <v>140.48049806339105</v>
      </c>
    </row>
    <row r="5323" spans="1:13" s="360" customFormat="1" ht="15.75" thickBot="1" x14ac:dyDescent="0.3">
      <c r="A5323" s="367" t="s">
        <v>35</v>
      </c>
      <c r="B5323" s="269">
        <v>44114</v>
      </c>
      <c r="C5323" s="1">
        <v>1</v>
      </c>
      <c r="D5323" s="39">
        <f t="shared" ref="D5323:D5329" si="681">C5323+D5299</f>
        <v>1146</v>
      </c>
      <c r="E5323" s="1"/>
      <c r="F5323" s="409">
        <f>E5323+F5299</f>
        <v>42</v>
      </c>
      <c r="G5323" s="168">
        <f>SUM(C5323,C5299,C5275,C5251,C5227,C5203,C5179,C5155,C5131,C5107,C5083,C5059,C5035,C5011)/POBLA!$B$18*100000</f>
        <v>75.267179285653015</v>
      </c>
      <c r="H5323" s="256">
        <f t="shared" si="675"/>
        <v>4.3235294117647056</v>
      </c>
      <c r="I5323" s="297">
        <f t="shared" si="678"/>
        <v>325.41986338208801</v>
      </c>
      <c r="J5323" s="297">
        <f t="shared" si="679"/>
        <v>45.285714285714285</v>
      </c>
      <c r="K5323" s="297">
        <f>J5323/POBLA!$B$18*100000</f>
        <v>5.796816286091353</v>
      </c>
      <c r="L5323" s="549">
        <f t="shared" si="676"/>
        <v>-0.16974169741697409</v>
      </c>
      <c r="M5323" s="401">
        <f>SUM(C5323,C5299,C5275,C5251,C5227,C5203,C5179)/POBLA!$B$18*100000</f>
        <v>40.577714002639475</v>
      </c>
    </row>
    <row r="5324" spans="1:13" s="360" customFormat="1" ht="15.75" thickBot="1" x14ac:dyDescent="0.3">
      <c r="A5324" s="367" t="s">
        <v>36</v>
      </c>
      <c r="B5324" s="269">
        <v>44114</v>
      </c>
      <c r="C5324" s="1">
        <v>14</v>
      </c>
      <c r="D5324" s="39">
        <f t="shared" si="681"/>
        <v>2202</v>
      </c>
      <c r="E5324" s="1"/>
      <c r="F5324" s="409">
        <f t="shared" si="680"/>
        <v>33</v>
      </c>
      <c r="G5324" s="168">
        <f>SUM(C5324,C5300,C5276,C5252,C5228,C5204,C5180,C5156,C5132,C5108,C5084,C5060,C5036,C5012)/POBLA!$B$19*100000</f>
        <v>219.54328701153585</v>
      </c>
      <c r="H5324" s="256">
        <f t="shared" si="675"/>
        <v>1.5852272727272727</v>
      </c>
      <c r="I5324" s="297">
        <f t="shared" si="678"/>
        <v>348.02600611487787</v>
      </c>
      <c r="J5324" s="297">
        <f t="shared" si="679"/>
        <v>79</v>
      </c>
      <c r="K5324" s="297">
        <f>J5324/POBLA!$B$19*100000</f>
        <v>15.541146661210872</v>
      </c>
      <c r="L5324" s="549">
        <f t="shared" si="676"/>
        <v>1.7761989342806372E-2</v>
      </c>
      <c r="M5324" s="401">
        <f>SUM(C5324,C5300,C5276,C5252,C5228,C5204,C5180)/POBLA!$B$19*100000</f>
        <v>108.7880266284761</v>
      </c>
    </row>
    <row r="5325" spans="1:13" s="360" customFormat="1" ht="15.75" thickBot="1" x14ac:dyDescent="0.3">
      <c r="A5325" s="367" t="s">
        <v>37</v>
      </c>
      <c r="B5325" s="269">
        <v>44114</v>
      </c>
      <c r="C5325" s="1">
        <v>170</v>
      </c>
      <c r="D5325" s="39">
        <f t="shared" si="681"/>
        <v>6211</v>
      </c>
      <c r="E5325" s="1">
        <f>3</f>
        <v>3</v>
      </c>
      <c r="F5325" s="409">
        <f>E5325+F5301</f>
        <v>83</v>
      </c>
      <c r="G5325" s="168">
        <f>SUM(C5325,C5301,C5277,C5253,C5229,C5205,C5181,C5157,C5133,C5109,C5085,C5061,C5037,C5013)/POBLA!$B$20*100000</f>
        <v>500.68635868941038</v>
      </c>
      <c r="H5325" s="256">
        <f t="shared" si="675"/>
        <v>1.2174202127659575</v>
      </c>
      <c r="I5325" s="297">
        <f t="shared" si="678"/>
        <v>609.54569332467452</v>
      </c>
      <c r="J5325" s="297">
        <f t="shared" si="679"/>
        <v>123.85714285714286</v>
      </c>
      <c r="K5325" s="297">
        <f>J5325/POBLA!$B$20*100000</f>
        <v>33.868695715356075</v>
      </c>
      <c r="L5325" s="549">
        <f t="shared" si="676"/>
        <v>0.10062240663900412</v>
      </c>
      <c r="M5325" s="401">
        <f>SUM(C5325,C5301,C5277,C5253,C5229,C5205,C5181)/POBLA!$B$20*100000</f>
        <v>237.08087000749254</v>
      </c>
    </row>
    <row r="5326" spans="1:13" s="360" customFormat="1" ht="15.75" thickBot="1" x14ac:dyDescent="0.3">
      <c r="A5326" s="367" t="s">
        <v>22</v>
      </c>
      <c r="B5326" s="269">
        <v>44114</v>
      </c>
      <c r="C5326" s="1">
        <v>2043</v>
      </c>
      <c r="D5326" s="39">
        <f t="shared" si="681"/>
        <v>61353</v>
      </c>
      <c r="E5326" s="1">
        <v>16</v>
      </c>
      <c r="F5326" s="409">
        <f>E5326+F5302</f>
        <v>657</v>
      </c>
      <c r="G5326" s="168">
        <f>SUM(C5326,C5302,C5278,C5254,C5230,C5206,C5182,C5158,C5134,C5110,C5086,C5062,C5038,C5014)/POBLA!$B$21*100000</f>
        <v>721.12516110934848</v>
      </c>
      <c r="H5326" s="256">
        <f t="shared" si="675"/>
        <v>1.3943900705342009</v>
      </c>
      <c r="I5326" s="297">
        <f t="shared" si="678"/>
        <v>1005.5297642632514</v>
      </c>
      <c r="J5326" s="297">
        <f t="shared" si="679"/>
        <v>1884</v>
      </c>
      <c r="K5326" s="297">
        <f>J5326/POBLA!$B$21*100000</f>
        <v>53.274245295663576</v>
      </c>
      <c r="L5326" s="549">
        <f t="shared" si="676"/>
        <v>-7.0976124736072732E-2</v>
      </c>
      <c r="M5326" s="401">
        <f>SUM(C5326,C5302,C5278,C5254,C5230,C5206,C5182)/POBLA!$B$21*100000</f>
        <v>372.91971706964506</v>
      </c>
    </row>
    <row r="5327" spans="1:13" s="360" customFormat="1" ht="15.75" thickBot="1" x14ac:dyDescent="0.3">
      <c r="A5327" s="367" t="s">
        <v>38</v>
      </c>
      <c r="B5327" s="269">
        <v>44114</v>
      </c>
      <c r="C5327" s="1">
        <v>93</v>
      </c>
      <c r="D5327" s="39">
        <f t="shared" si="681"/>
        <v>4376</v>
      </c>
      <c r="E5327" s="1"/>
      <c r="F5327" s="409">
        <f t="shared" si="680"/>
        <v>82</v>
      </c>
      <c r="G5327" s="168">
        <f>SUM(C5327,C5303,C5279,C5255,C5231,C5207,C5183,C5159,C5135,C5111,C5087,C5063,C5039,C5015)/POBLA!$B$22*100000</f>
        <v>151.99634472811871</v>
      </c>
      <c r="H5327" s="256">
        <f t="shared" si="675"/>
        <v>1.3089788732394365</v>
      </c>
      <c r="I5327" s="297">
        <f t="shared" si="678"/>
        <v>198.96000405872581</v>
      </c>
      <c r="J5327" s="297">
        <f t="shared" si="679"/>
        <v>76</v>
      </c>
      <c r="K5327" s="297">
        <f>J5327/POBLA!$B$22*100000</f>
        <v>7.7684749154922814</v>
      </c>
      <c r="L5327" s="549">
        <f t="shared" si="676"/>
        <v>0.4429319371727749</v>
      </c>
      <c r="M5327" s="401">
        <f>SUM(C5327,C5303,C5279,C5255,C5231,C5207,C5183)/POBLA!$B$22*100000</f>
        <v>54.379324408445967</v>
      </c>
    </row>
    <row r="5328" spans="1:13" s="360" customFormat="1" ht="15.75" thickBot="1" x14ac:dyDescent="0.3">
      <c r="A5328" s="367" t="s">
        <v>39</v>
      </c>
      <c r="B5328" s="269">
        <v>44114</v>
      </c>
      <c r="C5328" s="1">
        <v>144</v>
      </c>
      <c r="D5328" s="39">
        <f t="shared" si="681"/>
        <v>6197</v>
      </c>
      <c r="E5328" s="1"/>
      <c r="F5328" s="409">
        <f t="shared" ref="F5328:F5339" si="682">E5328+F5304</f>
        <v>84</v>
      </c>
      <c r="G5328" s="168">
        <f>SUM(C5328,C5304,C5280,C5256,C5232,C5208,C5184,C5160,C5136,C5112,C5088,C5064,C5040,C5016)/POBLA!$B$23*100000</f>
        <v>1444.890572866595</v>
      </c>
      <c r="H5328" s="256">
        <f t="shared" si="675"/>
        <v>2.664233576642336</v>
      </c>
      <c r="I5328" s="297">
        <f t="shared" si="678"/>
        <v>3849.5259788051621</v>
      </c>
      <c r="J5328" s="297">
        <f t="shared" si="679"/>
        <v>184.14285714285714</v>
      </c>
      <c r="K5328" s="297">
        <f>J5328/POBLA!$B$23*100000</f>
        <v>104.13552968549293</v>
      </c>
      <c r="L5328" s="549">
        <f t="shared" si="676"/>
        <v>-1.8167456556082096E-2</v>
      </c>
      <c r="M5328" s="401">
        <f>SUM(C5328,C5304,C5280,C5256,C5232,C5208,C5184)/POBLA!$B$23*100000</f>
        <v>728.94870779845053</v>
      </c>
    </row>
    <row r="5329" spans="1:13" s="360" customFormat="1" ht="15.75" thickBot="1" x14ac:dyDescent="0.3">
      <c r="A5329" s="369" t="s">
        <v>40</v>
      </c>
      <c r="B5329" s="269">
        <v>44114</v>
      </c>
      <c r="C5329" s="1">
        <v>802</v>
      </c>
      <c r="D5329" s="176">
        <f t="shared" si="681"/>
        <v>25762</v>
      </c>
      <c r="E5329" s="1"/>
      <c r="F5329" s="476">
        <f t="shared" si="682"/>
        <v>325</v>
      </c>
      <c r="G5329" s="177">
        <f>SUM(C5329,C5305,C5281,C5257,C5233,C5209,C5185,C5161,C5137,C5113,C5089,C5065,C5041,C5017)/POBLA!$B$24*100000</f>
        <v>804.47005173911407</v>
      </c>
      <c r="H5329" s="402">
        <f t="shared" si="675"/>
        <v>2.2407955292570678</v>
      </c>
      <c r="I5329" s="403">
        <f t="shared" si="678"/>
        <v>1802.6528953582088</v>
      </c>
      <c r="J5329" s="403">
        <f t="shared" si="679"/>
        <v>1304.2857142857142</v>
      </c>
      <c r="K5329" s="403">
        <f>J5329/POBLA!$B$24*100000</f>
        <v>76.964629652608807</v>
      </c>
      <c r="L5329" s="550">
        <f t="shared" si="676"/>
        <v>-1.0275371974239396</v>
      </c>
      <c r="M5329" s="405">
        <f>SUM(C5329,C5305,C5281,C5257,C5233,C5209,C5185)/POBLA!$B$24*100000</f>
        <v>538.75240756826167</v>
      </c>
    </row>
    <row r="5330" spans="1:13" s="360" customFormat="1" ht="15.75" thickBot="1" x14ac:dyDescent="0.3">
      <c r="A5330" s="363" t="s">
        <v>16</v>
      </c>
      <c r="B5330" s="269">
        <v>44115</v>
      </c>
      <c r="C5330" s="1">
        <v>2542</v>
      </c>
      <c r="D5330" s="174">
        <f>C5330+D5306</f>
        <v>468405</v>
      </c>
      <c r="E5330" s="1">
        <f>81+63+3</f>
        <v>147</v>
      </c>
      <c r="F5330" s="475">
        <f t="shared" si="682"/>
        <v>14716</v>
      </c>
      <c r="G5330" s="175">
        <f>SUM(C5330,C5306,C5282,C5258,C5234,C5210,C5186,C5162,C5138,C5114,C5090,C5066,C5042,C5018)/POBLA!$B$1*100000</f>
        <v>379.35388581620776</v>
      </c>
      <c r="H5330" s="300">
        <f t="shared" si="675"/>
        <v>0.94962396358083712</v>
      </c>
      <c r="I5330" s="301">
        <f>G5330*H5330</f>
        <v>360.24354064857954</v>
      </c>
      <c r="J5330" s="301">
        <f>AVERAGE(C5330,C5306,C5282,C5258,C5234,C5210,C5186)</f>
        <v>4638.7142857142853</v>
      </c>
      <c r="K5330" s="301">
        <f>J5330/POBLA!$B$1*100000</f>
        <v>26.444769389370308</v>
      </c>
      <c r="L5330" s="548">
        <f t="shared" si="676"/>
        <v>4.6988729748767333E-2</v>
      </c>
      <c r="M5330" s="400">
        <f>SUM(C5330,C5306,C5282,C5258,C5234,C5210,C5186)/POBLA!$B$1*100000</f>
        <v>185.1133857255922</v>
      </c>
    </row>
    <row r="5331" spans="1:13" s="360" customFormat="1" ht="15.75" thickBot="1" x14ac:dyDescent="0.3">
      <c r="A5331" s="367" t="s">
        <v>43</v>
      </c>
      <c r="B5331" s="269">
        <v>44115</v>
      </c>
      <c r="C5331" s="1">
        <v>642</v>
      </c>
      <c r="D5331" s="39">
        <f t="shared" ref="D5331:D5343" si="683">C5331+D5307</f>
        <v>134992</v>
      </c>
      <c r="E5331" s="1">
        <f>8+12</f>
        <v>20</v>
      </c>
      <c r="F5331" s="409">
        <f t="shared" si="682"/>
        <v>3992</v>
      </c>
      <c r="G5331" s="168">
        <f>SUM(C5331,C5307,C5283,C5259,C5235,C5211,C5187,C5163,C5139,C5115,C5091,C5067,C5043,C5019)/POBLA!$B$2*100000</f>
        <v>380.53794227294037</v>
      </c>
      <c r="H5331" s="256">
        <f t="shared" si="675"/>
        <v>0.94478527607361962</v>
      </c>
      <c r="I5331" s="297">
        <f t="shared" ref="I5331:I5353" si="684">G5331*H5331</f>
        <v>359.52664484682708</v>
      </c>
      <c r="J5331" s="297">
        <f t="shared" ref="J5331:J5353" si="685">AVERAGE(C5331,C5307,C5283,C5259,C5235,C5211,C5187)</f>
        <v>816.85714285714289</v>
      </c>
      <c r="K5331" s="297">
        <f>J5331/POBLA!$B$2*100000</f>
        <v>26.558880406169724</v>
      </c>
      <c r="L5331" s="549">
        <f t="shared" si="676"/>
        <v>4.4771132642833278E-2</v>
      </c>
      <c r="M5331" s="401">
        <f>SUM(C5331,C5307,C5283,C5259,C5235,C5211,C5187)/POBLA!$B$2*100000</f>
        <v>185.91216284318807</v>
      </c>
    </row>
    <row r="5332" spans="1:13" s="360" customFormat="1" ht="15.75" thickBot="1" x14ac:dyDescent="0.3">
      <c r="A5332" s="367" t="s">
        <v>28</v>
      </c>
      <c r="B5332" s="269">
        <v>44115</v>
      </c>
      <c r="C5332" s="1">
        <v>6</v>
      </c>
      <c r="D5332" s="39">
        <f t="shared" si="683"/>
        <v>376</v>
      </c>
      <c r="E5332" s="1"/>
      <c r="F5332" s="409">
        <f t="shared" si="682"/>
        <v>0</v>
      </c>
      <c r="G5332" s="168">
        <f>SUM(C5332,C5308,C5284,C5260,C5236,C5212,C5188,C5164,C5140,C5116,C5092,C5068,C5044,C5020)/POBLA!$B$3*100000</f>
        <v>25.033819727612784</v>
      </c>
      <c r="H5332" s="256">
        <f t="shared" si="675"/>
        <v>0.70270270270270274</v>
      </c>
      <c r="I5332" s="297">
        <f t="shared" si="684"/>
        <v>17.59133278156574</v>
      </c>
      <c r="J5332" s="297">
        <f t="shared" si="685"/>
        <v>8.2857142857142865</v>
      </c>
      <c r="K5332" s="297">
        <f>J5332/POBLA!$B$3*100000</f>
        <v>1.9944526706065133</v>
      </c>
      <c r="L5332" s="549">
        <f t="shared" si="676"/>
        <v>-0.26086956521739135</v>
      </c>
      <c r="M5332" s="401">
        <f>SUM(C5332,C5308,C5284,C5260,C5236,C5212,C5188)/POBLA!$B$3*100000</f>
        <v>13.961168694245591</v>
      </c>
    </row>
    <row r="5333" spans="1:13" s="360" customFormat="1" ht="15.75" thickBot="1" x14ac:dyDescent="0.3">
      <c r="A5333" s="367" t="s">
        <v>15</v>
      </c>
      <c r="B5333" s="269">
        <v>44115</v>
      </c>
      <c r="C5333" s="1">
        <v>199</v>
      </c>
      <c r="D5333" s="39">
        <f t="shared" si="683"/>
        <v>10373</v>
      </c>
      <c r="E5333" s="1">
        <v>3</v>
      </c>
      <c r="F5333" s="409">
        <f t="shared" si="682"/>
        <v>334</v>
      </c>
      <c r="G5333" s="168">
        <f>SUM(C5333,C5309,C5285,C5261,C5237,C5213,C5189,C5165,C5141,C5117,C5093,C5069,C5045,C5021)/POBLA!$B$4*100000</f>
        <v>182.22708899074419</v>
      </c>
      <c r="H5333" s="256">
        <f t="shared" si="675"/>
        <v>1.5381920112123335</v>
      </c>
      <c r="I5333" s="297">
        <f t="shared" si="684"/>
        <v>280.30025251204171</v>
      </c>
      <c r="J5333" s="297">
        <f t="shared" si="685"/>
        <v>161.85714285714286</v>
      </c>
      <c r="K5333" s="297">
        <f>J5333/POBLA!$B$4*100000</f>
        <v>13.437246457957253</v>
      </c>
      <c r="L5333" s="549">
        <f t="shared" si="676"/>
        <v>-6.6854990583804064E-2</v>
      </c>
      <c r="M5333" s="401">
        <f>SUM(C5333,C5309,C5285,C5261,C5237,C5213,C5189)/POBLA!$B$4*100000</f>
        <v>94.060725205700763</v>
      </c>
    </row>
    <row r="5334" spans="1:13" s="360" customFormat="1" ht="15.75" thickBot="1" x14ac:dyDescent="0.3">
      <c r="A5334" s="367" t="s">
        <v>29</v>
      </c>
      <c r="B5334" s="269">
        <v>44115</v>
      </c>
      <c r="C5334" s="1">
        <v>379</v>
      </c>
      <c r="D5334" s="39">
        <f t="shared" si="683"/>
        <v>7002</v>
      </c>
      <c r="E5334" s="1"/>
      <c r="F5334" s="409">
        <f t="shared" si="682"/>
        <v>82</v>
      </c>
      <c r="G5334" s="168">
        <f>SUM(C5334,C5310,C5286,C5262,C5238,C5214,C5190,C5166,C5142,C5118,C5094,C5070,C5046,C5022)/POBLA!$B$5*100000</f>
        <v>580.45796889792143</v>
      </c>
      <c r="H5334" s="256">
        <f t="shared" si="675"/>
        <v>2.1247782377291542</v>
      </c>
      <c r="I5334" s="297">
        <f t="shared" si="684"/>
        <v>1233.3444602307698</v>
      </c>
      <c r="J5334" s="297">
        <f t="shared" si="685"/>
        <v>330.71428571428572</v>
      </c>
      <c r="K5334" s="297">
        <f>J5334/POBLA!$B$5*100000</f>
        <v>53.427704584258613</v>
      </c>
      <c r="L5334" s="549">
        <f t="shared" si="676"/>
        <v>-0.81142410015649458</v>
      </c>
      <c r="M5334" s="401">
        <f>SUM(C5334,C5310,C5286,C5262,C5238,C5214,C5190)/POBLA!$B$5*100000</f>
        <v>373.99393208981024</v>
      </c>
    </row>
    <row r="5335" spans="1:13" s="360" customFormat="1" ht="15.75" thickBot="1" x14ac:dyDescent="0.3">
      <c r="A5335" s="367" t="s">
        <v>20</v>
      </c>
      <c r="B5335" s="269">
        <v>44115</v>
      </c>
      <c r="C5335" s="1">
        <v>1536</v>
      </c>
      <c r="D5335" s="39">
        <f t="shared" si="683"/>
        <v>51817</v>
      </c>
      <c r="E5335" s="1">
        <f>13+18</f>
        <v>31</v>
      </c>
      <c r="F5335" s="409">
        <f t="shared" si="682"/>
        <v>627</v>
      </c>
      <c r="G5335" s="168">
        <f>SUM(C5335,C5311,C5287,C5263,C5239,C5215,C5191,C5167,C5143,C5119,C5095,C5071,C5047,C5023)/POBLA!$B$6*100000</f>
        <v>2017.0395993579591</v>
      </c>
      <c r="H5335" s="256">
        <f t="shared" si="675"/>
        <v>1.5304989506465372</v>
      </c>
      <c r="I5335" s="297">
        <f t="shared" si="684"/>
        <v>3087.076990229868</v>
      </c>
      <c r="J5335" s="297">
        <f t="shared" si="685"/>
        <v>1609.5714285714287</v>
      </c>
      <c r="K5335" s="297">
        <f>J5335/POBLA!$B$6*100000</f>
        <v>143.6090285939635</v>
      </c>
      <c r="L5335" s="549">
        <f t="shared" si="676"/>
        <v>6.4373897707230565E-3</v>
      </c>
      <c r="M5335" s="401">
        <f>SUM(C5335,C5311,C5287,C5263,C5239,C5215,C5191)/POBLA!$B$6*100000</f>
        <v>1005.2632001577443</v>
      </c>
    </row>
    <row r="5336" spans="1:13" s="360" customFormat="1" ht="15.75" thickBot="1" x14ac:dyDescent="0.3">
      <c r="A5336" s="367" t="s">
        <v>30</v>
      </c>
      <c r="B5336" s="269">
        <v>44115</v>
      </c>
      <c r="C5336" s="1">
        <v>50</v>
      </c>
      <c r="D5336" s="39">
        <f t="shared" si="683"/>
        <v>1557</v>
      </c>
      <c r="E5336" s="1"/>
      <c r="F5336" s="409">
        <f t="shared" si="682"/>
        <v>31</v>
      </c>
      <c r="G5336" s="168">
        <f>SUM(C5336,C5312,C5288,C5264,C5240,C5216,C5192,C5168,C5144,C5120,C5096,C5072,C5048,C5024)/POBLA!$B$7*100000</f>
        <v>13.136725657833503</v>
      </c>
      <c r="H5336" s="256">
        <f t="shared" si="675"/>
        <v>1.2258064516129032</v>
      </c>
      <c r="I5336" s="297">
        <f t="shared" si="684"/>
        <v>16.103083064441069</v>
      </c>
      <c r="J5336" s="297">
        <f t="shared" si="685"/>
        <v>54.714285714285715</v>
      </c>
      <c r="K5336" s="297">
        <f>J5336/POBLA!$B$7*100000</f>
        <v>1.4549930384471463</v>
      </c>
      <c r="L5336" s="549">
        <f t="shared" si="676"/>
        <v>-2.4504504504504503</v>
      </c>
      <c r="M5336" s="401">
        <f>SUM(C5336,C5312,C5288,C5264,C5240,C5216,C5192)/POBLA!$B$7*100000</f>
        <v>10.184951269130025</v>
      </c>
    </row>
    <row r="5337" spans="1:13" ht="15.75" thickBot="1" x14ac:dyDescent="0.3">
      <c r="A5337" s="367" t="s">
        <v>31</v>
      </c>
      <c r="B5337" s="269">
        <v>44115</v>
      </c>
      <c r="C5337" s="1">
        <v>157</v>
      </c>
      <c r="D5337" s="39">
        <f t="shared" si="683"/>
        <v>9390</v>
      </c>
      <c r="E5337" s="1">
        <f>2+1</f>
        <v>3</v>
      </c>
      <c r="F5337" s="409">
        <f t="shared" si="682"/>
        <v>175</v>
      </c>
      <c r="G5337" s="168">
        <f>SUM(C5337,C5313,C5289,C5265,C5241,C5217,C5193,C5169,C5145,C5121,C5097,C5073,C5049,C5025)/POBLA!$B$8*100000</f>
        <v>169.48528854708033</v>
      </c>
      <c r="H5337" s="256">
        <f t="shared" si="675"/>
        <v>1.302828618968386</v>
      </c>
      <c r="I5337" s="297">
        <f t="shared" si="684"/>
        <v>220.81028441325108</v>
      </c>
      <c r="J5337" s="297">
        <f t="shared" si="685"/>
        <v>181.57142857142858</v>
      </c>
      <c r="K5337" s="297">
        <f>J5337/POBLA!$B$8*100000</f>
        <v>13.100760307932806</v>
      </c>
      <c r="L5337" s="549">
        <f t="shared" si="676"/>
        <v>-0.17903525046382196</v>
      </c>
      <c r="M5337" s="401">
        <f>SUM(C5337,C5313,C5289,C5265,C5241,C5217,C5193)/POBLA!$B$8*100000</f>
        <v>91.705322155529629</v>
      </c>
    </row>
    <row r="5338" spans="1:13" s="360" customFormat="1" ht="15.75" thickBot="1" x14ac:dyDescent="0.3">
      <c r="A5338" s="367" t="s">
        <v>41</v>
      </c>
      <c r="B5338" s="269">
        <v>44115</v>
      </c>
      <c r="C5338" s="1">
        <v>0</v>
      </c>
      <c r="D5338" s="39">
        <f t="shared" si="683"/>
        <v>128</v>
      </c>
      <c r="E5338" s="1"/>
      <c r="F5338" s="409">
        <f t="shared" si="682"/>
        <v>1</v>
      </c>
      <c r="G5338" s="168">
        <f>SUM(C5338,C5314,C5290,C5266,C5242,C5218,C5194,C5170,C5146,C5122,C5098,C5074,C5050,C5026)/POBLA!$B$9*100000</f>
        <v>3.800440520627304</v>
      </c>
      <c r="H5338" s="256">
        <f t="shared" si="675"/>
        <v>2.0909090909090908</v>
      </c>
      <c r="I5338" s="297">
        <f t="shared" si="684"/>
        <v>7.9463756340389082</v>
      </c>
      <c r="J5338" s="297">
        <f t="shared" si="685"/>
        <v>3.2857142857142856</v>
      </c>
      <c r="K5338" s="297">
        <f>J5338/POBLA!$B$9*100000</f>
        <v>0.54292007437532908</v>
      </c>
      <c r="L5338" s="549" t="e">
        <f t="shared" si="676"/>
        <v>#DIV/0!</v>
      </c>
      <c r="M5338" s="401">
        <f>SUM(C5338,C5314,C5290,C5266,C5242,C5218,C5194)/POBLA!$B$9*100000</f>
        <v>3.800440520627304</v>
      </c>
    </row>
    <row r="5339" spans="1:13" s="360" customFormat="1" ht="15.75" thickBot="1" x14ac:dyDescent="0.3">
      <c r="A5339" s="367" t="s">
        <v>32</v>
      </c>
      <c r="B5339" s="269">
        <v>44115</v>
      </c>
      <c r="C5339" s="1">
        <v>58</v>
      </c>
      <c r="D5339" s="39">
        <f t="shared" si="683"/>
        <v>16730</v>
      </c>
      <c r="E5339" s="1">
        <f>1</f>
        <v>1</v>
      </c>
      <c r="F5339" s="409">
        <f t="shared" si="682"/>
        <v>628</v>
      </c>
      <c r="G5339" s="168">
        <f>SUM(C5339,C5315,C5291,C5267,C5243,C5219,C5195,C5171,C5147,C5123,C5099,C5075,C5051,C5027)/POBLA!$B$10*100000</f>
        <v>185.24259905225321</v>
      </c>
      <c r="H5339" s="256">
        <f t="shared" si="675"/>
        <v>0.44905660377358492</v>
      </c>
      <c r="I5339" s="297">
        <f t="shared" si="684"/>
        <v>83.184412404596728</v>
      </c>
      <c r="J5339" s="297">
        <f t="shared" si="685"/>
        <v>87.142857142857139</v>
      </c>
      <c r="K5339" s="297">
        <f>J5339/POBLA!$B$10*100000</f>
        <v>11.304320270295563</v>
      </c>
      <c r="L5339" s="549">
        <f t="shared" si="676"/>
        <v>0.25427872860635692</v>
      </c>
      <c r="M5339" s="401">
        <f>SUM(C5339,C5315,C5291,C5267,C5243,C5219,C5195)/POBLA!$B$10*100000</f>
        <v>79.130241892068938</v>
      </c>
    </row>
    <row r="5340" spans="1:13" s="360" customFormat="1" ht="15.75" thickBot="1" x14ac:dyDescent="0.3">
      <c r="A5340" s="367" t="s">
        <v>33</v>
      </c>
      <c r="B5340" s="269">
        <v>44115</v>
      </c>
      <c r="C5340" s="1">
        <v>30</v>
      </c>
      <c r="D5340" s="39">
        <f t="shared" si="683"/>
        <v>1070</v>
      </c>
      <c r="E5340" s="1"/>
      <c r="F5340" s="409">
        <f t="shared" ref="F5340:F5351" si="686">E5340+F5316</f>
        <v>12</v>
      </c>
      <c r="G5340" s="168">
        <f>SUM(C5340,C5316,C5292,C5268,C5244,C5220,C5196,C5172,C5148,C5124,C5100,C5076,C5052,C5028)/POBLA!$B$11*100000</f>
        <v>104.90251877643489</v>
      </c>
      <c r="H5340" s="256">
        <f t="shared" si="675"/>
        <v>1.265993265993266</v>
      </c>
      <c r="I5340" s="297">
        <f t="shared" si="684"/>
        <v>132.8058823566987</v>
      </c>
      <c r="J5340" s="297">
        <f t="shared" si="685"/>
        <v>30.714285714285715</v>
      </c>
      <c r="K5340" s="297">
        <f>J5340/POBLA!$B$11*100000</f>
        <v>8.569164717679902</v>
      </c>
      <c r="L5340" s="549">
        <f t="shared" si="676"/>
        <v>-0.3354037267080745</v>
      </c>
      <c r="M5340" s="401">
        <f>SUM(C5340,C5316,C5292,C5268,C5244,C5220,C5196)/POBLA!$B$11*100000</f>
        <v>59.984153023759305</v>
      </c>
    </row>
    <row r="5341" spans="1:13" s="360" customFormat="1" ht="15.75" thickBot="1" x14ac:dyDescent="0.3">
      <c r="A5341" s="367" t="s">
        <v>21</v>
      </c>
      <c r="B5341" s="269">
        <v>44115</v>
      </c>
      <c r="C5341" s="1">
        <v>152</v>
      </c>
      <c r="D5341" s="39">
        <f t="shared" si="683"/>
        <v>5828</v>
      </c>
      <c r="E5341" s="1">
        <f>2+1</f>
        <v>3</v>
      </c>
      <c r="F5341" s="409">
        <f t="shared" si="686"/>
        <v>175</v>
      </c>
      <c r="G5341" s="168">
        <f>SUM(C5341,C5317,C5293,C5269,C5245,C5221,C5197,C5173,C5149,C5125,C5101,C5077,C5053,C5029)/POBLA!$B$12*100000</f>
        <v>316.62054577657159</v>
      </c>
      <c r="H5341" s="256">
        <f t="shared" si="675"/>
        <v>0.70236753100338223</v>
      </c>
      <c r="I5341" s="297">
        <f t="shared" si="684"/>
        <v>222.38399100203395</v>
      </c>
      <c r="J5341" s="297">
        <f t="shared" si="685"/>
        <v>101.71428571428571</v>
      </c>
      <c r="K5341" s="297">
        <f>J5341/POBLA!$B$12*100000</f>
        <v>25.846575165434416</v>
      </c>
      <c r="L5341" s="549">
        <f t="shared" si="676"/>
        <v>-0.33333333333333326</v>
      </c>
      <c r="M5341" s="401">
        <f>SUM(C5341,C5317,C5293,C5269,C5245,C5221,C5197)/POBLA!$B$12*100000</f>
        <v>180.92602615804091</v>
      </c>
    </row>
    <row r="5342" spans="1:13" s="360" customFormat="1" ht="15.75" thickBot="1" x14ac:dyDescent="0.3">
      <c r="A5342" s="367" t="s">
        <v>17</v>
      </c>
      <c r="B5342" s="269">
        <v>44115</v>
      </c>
      <c r="C5342" s="1">
        <v>571</v>
      </c>
      <c r="D5342" s="39">
        <f t="shared" si="683"/>
        <v>32035</v>
      </c>
      <c r="E5342" s="1">
        <f>4+2</f>
        <v>6</v>
      </c>
      <c r="F5342" s="409">
        <f t="shared" si="686"/>
        <v>435</v>
      </c>
      <c r="G5342" s="168">
        <f>SUM(C5342,C5318,C5294,C5270,C5246,C5222,C5198,C5174,C5150,C5126,C5102,C5078,C5054,C5030)/POBLA!$B$13*100000</f>
        <v>451.88304700005727</v>
      </c>
      <c r="H5342" s="256">
        <f t="shared" si="675"/>
        <v>1.0508236943568174</v>
      </c>
      <c r="I5342" s="297">
        <f t="shared" si="684"/>
        <v>474.84941286581557</v>
      </c>
      <c r="J5342" s="297">
        <f t="shared" si="685"/>
        <v>647.71428571428567</v>
      </c>
      <c r="K5342" s="297">
        <f>J5342/POBLA!$B$13*100000</f>
        <v>32.542929176566275</v>
      </c>
      <c r="L5342" s="549">
        <f t="shared" si="676"/>
        <v>-1.6591928251121102E-2</v>
      </c>
      <c r="M5342" s="401">
        <f>SUM(C5342,C5318,C5294,C5270,C5246,C5222,C5198)/POBLA!$B$13*100000</f>
        <v>227.80050423596393</v>
      </c>
    </row>
    <row r="5343" spans="1:13" s="360" customFormat="1" ht="15.75" thickBot="1" x14ac:dyDescent="0.3">
      <c r="A5343" s="367" t="s">
        <v>23</v>
      </c>
      <c r="B5343" s="269">
        <v>44115</v>
      </c>
      <c r="C5343" s="1">
        <v>5</v>
      </c>
      <c r="D5343" s="39">
        <f t="shared" si="683"/>
        <v>154</v>
      </c>
      <c r="E5343" s="1"/>
      <c r="F5343" s="409">
        <f t="shared" si="686"/>
        <v>4</v>
      </c>
      <c r="G5343" s="168">
        <f>SUM(C5343,C5319,C5295,C5271,C5247,C5223,C5199,C5175,C5151,C5127,C5103,C5079,C5055,C5031)/POBLA!$B$14*100000</f>
        <v>5.4705722852879664</v>
      </c>
      <c r="H5343" s="256">
        <f t="shared" si="675"/>
        <v>4.0588235294117645</v>
      </c>
      <c r="I5343" s="297">
        <f t="shared" si="684"/>
        <v>22.204087510874686</v>
      </c>
      <c r="J5343" s="297">
        <f t="shared" si="685"/>
        <v>7.2857142857142856</v>
      </c>
      <c r="K5343" s="297">
        <f>J5343/POBLA!$B$14*100000</f>
        <v>0.57763806739065482</v>
      </c>
      <c r="L5343" s="549">
        <f t="shared" si="676"/>
        <v>-1.8333333333333335</v>
      </c>
      <c r="M5343" s="401">
        <f>SUM(C5343,C5319,C5295,C5271,C5247,C5223,C5199)/POBLA!$B$14*100000</f>
        <v>4.0434664717345834</v>
      </c>
    </row>
    <row r="5344" spans="1:13" s="360" customFormat="1" ht="15.75" thickBot="1" x14ac:dyDescent="0.3">
      <c r="A5344" s="367" t="s">
        <v>19</v>
      </c>
      <c r="B5344" s="269">
        <v>44115</v>
      </c>
      <c r="C5344" s="1">
        <v>306</v>
      </c>
      <c r="D5344" s="39">
        <f>C5344+D5320</f>
        <v>12125</v>
      </c>
      <c r="E5344" s="1"/>
      <c r="F5344" s="409">
        <f t="shared" si="686"/>
        <v>184</v>
      </c>
      <c r="G5344" s="168">
        <f>SUM(C5344,C5320,C5296,C5272,C5248,C5224,C5200,C5176,C5152,C5128,C5104,C5080,C5056,C5032)/POBLA!$B$15*100000</f>
        <v>721.17303183311071</v>
      </c>
      <c r="H5344" s="256">
        <f t="shared" si="675"/>
        <v>1.8973851030110935</v>
      </c>
      <c r="I5344" s="297">
        <f t="shared" si="684"/>
        <v>1368.3429672934894</v>
      </c>
      <c r="J5344" s="297">
        <f t="shared" si="685"/>
        <v>463.71428571428572</v>
      </c>
      <c r="K5344" s="297">
        <f>J5344/POBLA!$B$15*100000</f>
        <v>69.830494327186628</v>
      </c>
      <c r="L5344" s="549">
        <f t="shared" si="676"/>
        <v>-1.1036941023979261</v>
      </c>
      <c r="M5344" s="401">
        <f>SUM(C5344,C5320,C5296,C5272,C5248,C5224,C5200)/POBLA!$B$15*100000</f>
        <v>488.81346029030641</v>
      </c>
    </row>
    <row r="5345" spans="1:13" s="360" customFormat="1" ht="15.75" thickBot="1" x14ac:dyDescent="0.3">
      <c r="A5345" s="367" t="s">
        <v>18</v>
      </c>
      <c r="B5345" s="269">
        <v>44115</v>
      </c>
      <c r="C5345" s="1">
        <v>252</v>
      </c>
      <c r="D5345" s="39">
        <f>C5345+D5321</f>
        <v>16494</v>
      </c>
      <c r="E5345" s="1">
        <f>4+4</f>
        <v>8</v>
      </c>
      <c r="F5345" s="409">
        <f t="shared" si="686"/>
        <v>364</v>
      </c>
      <c r="G5345" s="168">
        <f>SUM(C5345,C5321,C5297,C5273,C5249,C5225,C5201,C5177,C5153,C5129,C5105,C5081,C5057,C5033)/POBLA!$B$16*100000</f>
        <v>612.08384050507618</v>
      </c>
      <c r="H5345" s="256">
        <f t="shared" si="675"/>
        <v>1.4304470146920913</v>
      </c>
      <c r="I5345" s="297">
        <f t="shared" si="684"/>
        <v>875.55350239175641</v>
      </c>
      <c r="J5345" s="297">
        <f t="shared" si="685"/>
        <v>348.14285714285717</v>
      </c>
      <c r="K5345" s="297">
        <f>J5345/POBLA!$B$16*100000</f>
        <v>46.567442535928784</v>
      </c>
      <c r="L5345" s="549">
        <f t="shared" si="676"/>
        <v>-0.13931743805516605</v>
      </c>
      <c r="M5345" s="401">
        <f>SUM(C5345,C5321,C5297,C5273,C5249,C5225,C5201)/POBLA!$B$16*100000</f>
        <v>325.97209775150145</v>
      </c>
    </row>
    <row r="5346" spans="1:13" s="360" customFormat="1" ht="15.75" thickBot="1" x14ac:dyDescent="0.3">
      <c r="A5346" s="367" t="s">
        <v>34</v>
      </c>
      <c r="B5346" s="269">
        <v>44115</v>
      </c>
      <c r="C5346" s="1">
        <v>148</v>
      </c>
      <c r="D5346" s="39">
        <f>C5346+D5322</f>
        <v>15384</v>
      </c>
      <c r="E5346" s="1">
        <v>25</v>
      </c>
      <c r="F5346" s="409">
        <f>E5346+F5322</f>
        <v>523</v>
      </c>
      <c r="G5346" s="168">
        <f>SUM(C5346,C5322,C5298,C5274,C5250,C5226,C5202,C5178,C5154,C5130,C5106,C5082,C5058,C5034)/POBLA!$B$17*100000</f>
        <v>272.88740428405845</v>
      </c>
      <c r="H5346" s="256">
        <f t="shared" si="675"/>
        <v>0.8214285714285714</v>
      </c>
      <c r="I5346" s="297">
        <f t="shared" si="684"/>
        <v>224.15751066190515</v>
      </c>
      <c r="J5346" s="297">
        <f t="shared" si="685"/>
        <v>265.85714285714283</v>
      </c>
      <c r="K5346" s="297">
        <f>J5346/POBLA!$B$17*100000</f>
        <v>18.664539651315106</v>
      </c>
      <c r="L5346" s="549">
        <f t="shared" si="676"/>
        <v>8.1441263573543976E-2</v>
      </c>
      <c r="M5346" s="401">
        <f>SUM(C5346,C5322,C5298,C5274,C5250,C5226,C5202)/POBLA!$B$17*100000</f>
        <v>130.65177755920575</v>
      </c>
    </row>
    <row r="5347" spans="1:13" s="360" customFormat="1" ht="15.75" thickBot="1" x14ac:dyDescent="0.3">
      <c r="A5347" s="367" t="s">
        <v>35</v>
      </c>
      <c r="B5347" s="269">
        <v>44115</v>
      </c>
      <c r="C5347" s="1">
        <v>58</v>
      </c>
      <c r="D5347" s="39">
        <f t="shared" ref="D5347:D5353" si="687">C5347+D5323</f>
        <v>1204</v>
      </c>
      <c r="E5347" s="1"/>
      <c r="F5347" s="409">
        <f>E5347+F5323</f>
        <v>42</v>
      </c>
      <c r="G5347" s="168">
        <f>SUM(C5347,C5323,C5299,C5275,C5251,C5227,C5203,C5179,C5155,C5131,C5107,C5083,C5059,C5035)/POBLA!$B$18*100000</f>
        <v>74.371141437014302</v>
      </c>
      <c r="H5347" s="256">
        <f t="shared" si="675"/>
        <v>2.820388349514563</v>
      </c>
      <c r="I5347" s="297">
        <f t="shared" si="684"/>
        <v>209.7555008490549</v>
      </c>
      <c r="J5347" s="297">
        <f t="shared" si="685"/>
        <v>52.142857142857146</v>
      </c>
      <c r="K5347" s="297">
        <f>J5347/POBLA!$B$18*100000</f>
        <v>6.6745676480231664</v>
      </c>
      <c r="L5347" s="549">
        <f t="shared" si="676"/>
        <v>-0.68981481481481488</v>
      </c>
      <c r="M5347" s="401">
        <f>SUM(C5347,C5323,C5299,C5275,C5251,C5227,C5203)/POBLA!$B$18*100000</f>
        <v>46.721973536162167</v>
      </c>
    </row>
    <row r="5348" spans="1:13" s="360" customFormat="1" ht="15.75" thickBot="1" x14ac:dyDescent="0.3">
      <c r="A5348" s="367" t="s">
        <v>36</v>
      </c>
      <c r="B5348" s="269">
        <v>44115</v>
      </c>
      <c r="C5348" s="1">
        <v>20</v>
      </c>
      <c r="D5348" s="39">
        <f t="shared" si="687"/>
        <v>2222</v>
      </c>
      <c r="E5348" s="1"/>
      <c r="F5348" s="409">
        <f t="shared" si="686"/>
        <v>33</v>
      </c>
      <c r="G5348" s="168">
        <f>SUM(C5348,C5324,C5300,C5276,C5252,C5228,C5204,C5180,C5156,C5132,C5108,C5084,C5060,C5036)/POBLA!$B$19*100000</f>
        <v>222.49413764341134</v>
      </c>
      <c r="H5348" s="256">
        <f t="shared" si="675"/>
        <v>1.597457627118644</v>
      </c>
      <c r="I5348" s="297">
        <f t="shared" si="684"/>
        <v>355.42495716765285</v>
      </c>
      <c r="J5348" s="297">
        <f t="shared" si="685"/>
        <v>74.571428571428569</v>
      </c>
      <c r="K5348" s="297">
        <f>J5348/POBLA!$B$19*100000</f>
        <v>14.669943141323825</v>
      </c>
      <c r="L5348" s="549">
        <f t="shared" si="676"/>
        <v>0.1428571428571429</v>
      </c>
      <c r="M5348" s="401">
        <f>SUM(C5348,C5324,C5300,C5276,C5252,C5228,C5204)/POBLA!$B$19*100000</f>
        <v>102.68960198926678</v>
      </c>
    </row>
    <row r="5349" spans="1:13" s="360" customFormat="1" ht="15.75" thickBot="1" x14ac:dyDescent="0.3">
      <c r="A5349" s="367" t="s">
        <v>37</v>
      </c>
      <c r="B5349" s="269">
        <v>44115</v>
      </c>
      <c r="C5349" s="1">
        <v>134</v>
      </c>
      <c r="D5349" s="39">
        <f t="shared" si="687"/>
        <v>6345</v>
      </c>
      <c r="E5349" s="1">
        <f>3</f>
        <v>3</v>
      </c>
      <c r="F5349" s="409">
        <f>E5349+F5325</f>
        <v>86</v>
      </c>
      <c r="G5349" s="168">
        <f>SUM(C5349,C5325,C5301,C5277,C5253,C5229,C5205,C5181,C5157,C5133,C5109,C5085,C5061,C5037)/POBLA!$B$20*100000</f>
        <v>516.27299028159848</v>
      </c>
      <c r="H5349" s="256">
        <f t="shared" si="675"/>
        <v>1.3602305475504324</v>
      </c>
      <c r="I5349" s="297">
        <f t="shared" si="684"/>
        <v>702.2502922562378</v>
      </c>
      <c r="J5349" s="297">
        <f t="shared" si="685"/>
        <v>127.42857142857143</v>
      </c>
      <c r="K5349" s="297">
        <f>J5349/POBLA!$B$20*100000</f>
        <v>34.845301704841546</v>
      </c>
      <c r="L5349" s="549">
        <f t="shared" si="676"/>
        <v>0.10441767068273089</v>
      </c>
      <c r="M5349" s="401">
        <f>SUM(C5349,C5325,C5301,C5277,C5253,C5229,C5205)/POBLA!$B$20*100000</f>
        <v>243.91711193389079</v>
      </c>
    </row>
    <row r="5350" spans="1:13" s="360" customFormat="1" ht="15.75" thickBot="1" x14ac:dyDescent="0.3">
      <c r="A5350" s="367" t="s">
        <v>22</v>
      </c>
      <c r="B5350" s="269">
        <v>44115</v>
      </c>
      <c r="C5350" s="1">
        <v>1547</v>
      </c>
      <c r="D5350" s="39">
        <f t="shared" si="687"/>
        <v>62900</v>
      </c>
      <c r="E5350" s="1">
        <f>7+7</f>
        <v>14</v>
      </c>
      <c r="F5350" s="409">
        <f>E5350+F5326</f>
        <v>671</v>
      </c>
      <c r="G5350" s="168">
        <f>SUM(C5350,C5326,C5302,C5278,C5254,C5230,C5206,C5182,C5158,C5134,C5110,C5086,C5062,C5038)/POBLA!$B$21*100000</f>
        <v>738.17631286799235</v>
      </c>
      <c r="H5350" s="256">
        <f t="shared" si="675"/>
        <v>1.4360765760809771</v>
      </c>
      <c r="I5350" s="297">
        <f t="shared" si="684"/>
        <v>1060.0777119275465</v>
      </c>
      <c r="J5350" s="297">
        <f t="shared" si="685"/>
        <v>1983.4285714285713</v>
      </c>
      <c r="K5350" s="297">
        <f>J5350/POBLA!$B$21*100000</f>
        <v>56.085806921822339</v>
      </c>
      <c r="L5350" s="549">
        <f t="shared" si="676"/>
        <v>-0.13607724408804511</v>
      </c>
      <c r="M5350" s="401">
        <f>SUM(C5350,C5326,C5302,C5278,C5254,C5230,C5206)/POBLA!$B$21*100000</f>
        <v>392.60064845275639</v>
      </c>
    </row>
    <row r="5351" spans="1:13" s="360" customFormat="1" ht="15.75" thickBot="1" x14ac:dyDescent="0.3">
      <c r="A5351" s="367" t="s">
        <v>38</v>
      </c>
      <c r="B5351" s="269">
        <v>44115</v>
      </c>
      <c r="C5351" s="1">
        <v>450</v>
      </c>
      <c r="D5351" s="39">
        <f t="shared" si="687"/>
        <v>4826</v>
      </c>
      <c r="E5351" s="1">
        <f>1+1</f>
        <v>2</v>
      </c>
      <c r="F5351" s="409">
        <f t="shared" si="686"/>
        <v>84</v>
      </c>
      <c r="G5351" s="168">
        <f>SUM(C5351,C5327,C5303,C5279,C5255,C5231,C5207,C5183,C5159,C5135,C5111,C5087,C5063,C5039)/POBLA!$B$22*100000</f>
        <v>180.82147533560322</v>
      </c>
      <c r="H5351" s="256">
        <f t="shared" si="675"/>
        <v>1.4440816326530612</v>
      </c>
      <c r="I5351" s="297">
        <f t="shared" si="684"/>
        <v>261.12097132137313</v>
      </c>
      <c r="J5351" s="297">
        <f t="shared" si="685"/>
        <v>132</v>
      </c>
      <c r="K5351" s="297">
        <f>J5351/POBLA!$B$22*100000</f>
        <v>13.492614326907646</v>
      </c>
      <c r="L5351" s="549">
        <f t="shared" si="676"/>
        <v>-9.3491124260355107E-2</v>
      </c>
      <c r="M5351" s="401">
        <f>SUM(C5351,C5327,C5303,C5279,C5255,C5231,C5207)/POBLA!$B$22*100000</f>
        <v>94.448300288353522</v>
      </c>
    </row>
    <row r="5352" spans="1:13" s="360" customFormat="1" ht="15.75" thickBot="1" x14ac:dyDescent="0.3">
      <c r="A5352" s="367" t="s">
        <v>39</v>
      </c>
      <c r="B5352" s="269">
        <v>44115</v>
      </c>
      <c r="C5352" s="1">
        <v>227</v>
      </c>
      <c r="D5352" s="39">
        <f t="shared" si="687"/>
        <v>6424</v>
      </c>
      <c r="E5352" s="1"/>
      <c r="F5352" s="409">
        <f t="shared" ref="F5352:F5363" si="688">E5352+F5328</f>
        <v>84</v>
      </c>
      <c r="G5352" s="168">
        <f>SUM(C5352,C5328,C5304,C5280,C5256,C5232,C5208,C5184,C5160,C5136,C5112,C5088,C5064,C5040)/POBLA!$B$23*100000</f>
        <v>1524.6281739523836</v>
      </c>
      <c r="H5352" s="256">
        <f t="shared" si="675"/>
        <v>2.6353861192570869</v>
      </c>
      <c r="I5352" s="297">
        <f t="shared" si="684"/>
        <v>4017.9839266623908</v>
      </c>
      <c r="J5352" s="297">
        <f t="shared" si="685"/>
        <v>197.28571428571428</v>
      </c>
      <c r="K5352" s="297">
        <f>J5352/POBLA!$B$23*100000</f>
        <v>111.56801124566773</v>
      </c>
      <c r="L5352" s="549">
        <f t="shared" si="676"/>
        <v>-5.0190114068441094E-2</v>
      </c>
      <c r="M5352" s="401">
        <f>SUM(C5352,C5328,C5304,C5280,C5256,C5232,C5208)/POBLA!$B$23*100000</f>
        <v>780.97607871967421</v>
      </c>
    </row>
    <row r="5353" spans="1:13" s="360" customFormat="1" ht="15.75" thickBot="1" x14ac:dyDescent="0.3">
      <c r="A5353" s="369" t="s">
        <v>40</v>
      </c>
      <c r="B5353" s="269">
        <v>44115</v>
      </c>
      <c r="C5353" s="1">
        <v>855</v>
      </c>
      <c r="D5353" s="176">
        <f t="shared" si="687"/>
        <v>26617</v>
      </c>
      <c r="E5353" s="1">
        <f>10+7</f>
        <v>17</v>
      </c>
      <c r="F5353" s="476">
        <f t="shared" si="688"/>
        <v>342</v>
      </c>
      <c r="G5353" s="177">
        <f>SUM(C5353,C5329,C5305,C5281,C5257,C5233,C5209,C5185,C5161,C5137,C5113,C5089,C5065,C5041)/POBLA!$B$24*100000</f>
        <v>822.34978662336198</v>
      </c>
      <c r="H5353" s="402">
        <f t="shared" si="675"/>
        <v>2.3023294234264</v>
      </c>
      <c r="I5353" s="403">
        <f t="shared" si="684"/>
        <v>1893.320110091388</v>
      </c>
      <c r="J5353" s="403">
        <f t="shared" si="685"/>
        <v>1378.4285714285713</v>
      </c>
      <c r="K5353" s="403">
        <f>J5353/POBLA!$B$24*100000</f>
        <v>81.339727438994785</v>
      </c>
      <c r="L5353" s="550">
        <f t="shared" si="676"/>
        <v>-1.2507581059015629</v>
      </c>
      <c r="M5353" s="405">
        <f>SUM(C5353,C5329,C5305,C5281,C5257,C5233,C5209)/POBLA!$B$24*100000</f>
        <v>569.37809207296345</v>
      </c>
    </row>
    <row r="5354" spans="1:13" s="360" customFormat="1" ht="15.75" thickBot="1" x14ac:dyDescent="0.3">
      <c r="A5354" s="363" t="s">
        <v>16</v>
      </c>
      <c r="B5354" s="269">
        <v>44116</v>
      </c>
      <c r="C5354" s="1">
        <v>2221</v>
      </c>
      <c r="D5354" s="174">
        <f>C5354+D5330</f>
        <v>470626</v>
      </c>
      <c r="E5354" s="1">
        <f>1+69+61</f>
        <v>131</v>
      </c>
      <c r="F5354" s="475">
        <f t="shared" si="688"/>
        <v>14847</v>
      </c>
      <c r="G5354" s="175">
        <f>SUM(C5354,C5330,C5306,C5282,C5258,C5234,C5210,C5186,C5162,C5138,C5114,C5090,C5066,C5042)/POBLA!$B$1*100000</f>
        <v>366.11073361761356</v>
      </c>
      <c r="H5354" s="300">
        <f t="shared" si="675"/>
        <v>0.92066404793990309</v>
      </c>
      <c r="I5354" s="301">
        <f>G5354*H5354</f>
        <v>337.06499000663968</v>
      </c>
      <c r="J5354" s="301">
        <f>AVERAGE(C5354,C5330,C5306,C5282,C5258,C5234,C5210)</f>
        <v>4317.2857142857147</v>
      </c>
      <c r="K5354" s="301">
        <f>J5354/POBLA!$B$1*100000</f>
        <v>24.612342573870851</v>
      </c>
      <c r="L5354" s="548">
        <f t="shared" si="676"/>
        <v>0.11112091532103885</v>
      </c>
      <c r="M5354" s="400">
        <f>SUM(C5354,C5330,C5306,C5282,C5258,C5234,C5210)/POBLA!$B$1*100000</f>
        <v>172.28639801709593</v>
      </c>
    </row>
    <row r="5355" spans="1:13" s="360" customFormat="1" ht="15.75" thickBot="1" x14ac:dyDescent="0.3">
      <c r="A5355" s="367" t="s">
        <v>43</v>
      </c>
      <c r="B5355" s="269">
        <v>44116</v>
      </c>
      <c r="C5355" s="1">
        <v>499</v>
      </c>
      <c r="D5355" s="39">
        <f t="shared" ref="D5355:D5367" si="689">C5355+D5331</f>
        <v>135491</v>
      </c>
      <c r="E5355" s="1">
        <f>30+25</f>
        <v>55</v>
      </c>
      <c r="F5355" s="409">
        <f t="shared" si="688"/>
        <v>4047</v>
      </c>
      <c r="G5355" s="168">
        <f>SUM(C5355,C5331,C5307,C5283,C5259,C5235,C5211,C5187,C5163,C5139,C5115,C5091,C5067,C5043)/POBLA!$B$2*100000</f>
        <v>371.1740557918564</v>
      </c>
      <c r="H5355" s="256">
        <f t="shared" si="675"/>
        <v>0.93351868509281222</v>
      </c>
      <c r="I5355" s="297">
        <f t="shared" ref="I5355:I5377" si="690">G5355*H5355</f>
        <v>346.49791650337988</v>
      </c>
      <c r="J5355" s="297">
        <f t="shared" ref="J5355:J5377" si="691">AVERAGE(C5355,C5331,C5307,C5283,C5259,C5235,C5211)</f>
        <v>790.42857142857144</v>
      </c>
      <c r="K5355" s="297">
        <f>J5355/POBLA!$B$2*100000</f>
        <v>25.699595188411525</v>
      </c>
      <c r="L5355" s="549">
        <f t="shared" si="676"/>
        <v>5.9493455719870858E-2</v>
      </c>
      <c r="M5355" s="401">
        <f>SUM(C5355,C5331,C5307,C5283,C5259,C5235,C5211)/POBLA!$B$2*100000</f>
        <v>179.89716631888066</v>
      </c>
    </row>
    <row r="5356" spans="1:13" s="360" customFormat="1" ht="15.75" thickBot="1" x14ac:dyDescent="0.3">
      <c r="A5356" s="367" t="s">
        <v>28</v>
      </c>
      <c r="B5356" s="269">
        <v>44116</v>
      </c>
      <c r="C5356" s="1">
        <v>14</v>
      </c>
      <c r="D5356" s="39">
        <f t="shared" si="689"/>
        <v>390</v>
      </c>
      <c r="E5356" s="1"/>
      <c r="F5356" s="409">
        <f t="shared" si="688"/>
        <v>0</v>
      </c>
      <c r="G5356" s="168">
        <f>SUM(C5356,C5332,C5308,C5284,C5260,C5236,C5212,C5188,C5164,C5140,C5116,C5092,C5068,C5044)/POBLA!$B$3*100000</f>
        <v>27.681627583417981</v>
      </c>
      <c r="H5356" s="256">
        <f t="shared" si="675"/>
        <v>0.78767123287671237</v>
      </c>
      <c r="I5356" s="297">
        <f t="shared" si="690"/>
        <v>21.80402172666485</v>
      </c>
      <c r="J5356" s="297">
        <f t="shared" si="691"/>
        <v>10.285714285714286</v>
      </c>
      <c r="K5356" s="297">
        <f>J5356/POBLA!$B$3*100000</f>
        <v>2.4758722807529132</v>
      </c>
      <c r="L5356" s="549">
        <f t="shared" si="676"/>
        <v>-0.67441860465116288</v>
      </c>
      <c r="M5356" s="401">
        <f>SUM(C5356,C5332,C5308,C5284,C5260,C5236,C5212)/POBLA!$B$3*100000</f>
        <v>17.331105965270389</v>
      </c>
    </row>
    <row r="5357" spans="1:13" s="360" customFormat="1" ht="15.75" thickBot="1" x14ac:dyDescent="0.3">
      <c r="A5357" s="367" t="s">
        <v>15</v>
      </c>
      <c r="B5357" s="269">
        <v>44116</v>
      </c>
      <c r="C5357" s="1">
        <v>133</v>
      </c>
      <c r="D5357" s="39">
        <f t="shared" si="689"/>
        <v>10506</v>
      </c>
      <c r="E5357" s="1"/>
      <c r="F5357" s="409">
        <f t="shared" si="688"/>
        <v>334</v>
      </c>
      <c r="G5357" s="168">
        <f>SUM(C5357,C5333,C5309,C5285,C5261,C5237,C5213,C5189,C5165,C5141,C5117,C5093,C5069,C5045)/POBLA!$B$4*100000</f>
        <v>187.87239288658503</v>
      </c>
      <c r="H5357" s="256">
        <f t="shared" si="675"/>
        <v>1.5596140592694694</v>
      </c>
      <c r="I5357" s="297">
        <f t="shared" si="690"/>
        <v>293.00842529451546</v>
      </c>
      <c r="J5357" s="297">
        <f t="shared" si="691"/>
        <v>166.42857142857142</v>
      </c>
      <c r="K5357" s="297">
        <f>J5357/POBLA!$B$4*100000</f>
        <v>13.816762686249071</v>
      </c>
      <c r="L5357" s="549">
        <f t="shared" si="676"/>
        <v>-6.1020036429872526E-2</v>
      </c>
      <c r="M5357" s="401">
        <f>SUM(C5357,C5333,C5309,C5285,C5261,C5237,C5213)/POBLA!$B$4*100000</f>
        <v>96.717338803743502</v>
      </c>
    </row>
    <row r="5358" spans="1:13" s="360" customFormat="1" ht="15.75" thickBot="1" x14ac:dyDescent="0.3">
      <c r="A5358" s="367" t="s">
        <v>29</v>
      </c>
      <c r="B5358" s="269">
        <v>44116</v>
      </c>
      <c r="C5358" s="1">
        <v>348</v>
      </c>
      <c r="D5358" s="39">
        <f t="shared" si="689"/>
        <v>7350</v>
      </c>
      <c r="E5358" s="1">
        <f>9+6</f>
        <v>15</v>
      </c>
      <c r="F5358" s="409">
        <f t="shared" si="688"/>
        <v>97</v>
      </c>
      <c r="G5358" s="168">
        <f>SUM(C5358,C5334,C5310,C5286,C5262,C5238,C5214,C5190,C5166,C5142,C5118,C5094,C5070,C5046)/POBLA!$B$5*100000</f>
        <v>607.4372287938171</v>
      </c>
      <c r="H5358" s="256">
        <f t="shared" si="675"/>
        <v>2.0512820512820511</v>
      </c>
      <c r="I5358" s="297">
        <f t="shared" si="690"/>
        <v>1246.0250847052657</v>
      </c>
      <c r="J5358" s="297">
        <f t="shared" si="691"/>
        <v>347</v>
      </c>
      <c r="K5358" s="297">
        <f>J5358/POBLA!$B$5*100000</f>
        <v>56.058701699854922</v>
      </c>
      <c r="L5358" s="549">
        <f t="shared" si="676"/>
        <v>-0.82494365138993242</v>
      </c>
      <c r="M5358" s="401">
        <f>SUM(C5358,C5334,C5310,C5286,C5262,C5238,C5214)/POBLA!$B$5*100000</f>
        <v>392.41091189898452</v>
      </c>
    </row>
    <row r="5359" spans="1:13" s="360" customFormat="1" ht="15.75" thickBot="1" x14ac:dyDescent="0.3">
      <c r="A5359" s="367" t="s">
        <v>20</v>
      </c>
      <c r="B5359" s="269">
        <v>44116</v>
      </c>
      <c r="C5359" s="1">
        <v>1120</v>
      </c>
      <c r="D5359" s="39">
        <f t="shared" si="689"/>
        <v>52937</v>
      </c>
      <c r="E5359" s="1">
        <f>16+12</f>
        <v>28</v>
      </c>
      <c r="F5359" s="409">
        <f t="shared" si="688"/>
        <v>655</v>
      </c>
      <c r="G5359" s="168">
        <f>SUM(C5359,C5335,C5311,C5287,C5263,C5239,C5215,C5191,C5167,C5143,C5119,C5095,C5071,C5047)/POBLA!$B$6*100000</f>
        <v>1985.3658231925203</v>
      </c>
      <c r="H5359" s="256">
        <f t="shared" si="675"/>
        <v>1.4163325058875946</v>
      </c>
      <c r="I5359" s="297">
        <f t="shared" si="690"/>
        <v>2811.9381514658494</v>
      </c>
      <c r="J5359" s="297">
        <f t="shared" si="691"/>
        <v>1599.8571428571429</v>
      </c>
      <c r="K5359" s="297">
        <f>J5359/POBLA!$B$6*100000</f>
        <v>142.74230151981868</v>
      </c>
      <c r="L5359" s="549">
        <f t="shared" si="676"/>
        <v>-1.3209083506740216E-2</v>
      </c>
      <c r="M5359" s="401">
        <f>SUM(C5359,C5335,C5311,C5287,C5263,C5239,C5215)/POBLA!$B$6*100000</f>
        <v>999.19611063873072</v>
      </c>
    </row>
    <row r="5360" spans="1:13" s="360" customFormat="1" ht="15.75" thickBot="1" x14ac:dyDescent="0.3">
      <c r="A5360" s="367" t="s">
        <v>30</v>
      </c>
      <c r="B5360" s="269">
        <v>44116</v>
      </c>
      <c r="C5360" s="1">
        <v>77</v>
      </c>
      <c r="D5360" s="39">
        <f t="shared" si="689"/>
        <v>1634</v>
      </c>
      <c r="E5360" s="1"/>
      <c r="F5360" s="409">
        <f t="shared" si="688"/>
        <v>31</v>
      </c>
      <c r="G5360" s="168">
        <f>SUM(C5360,C5336,C5312,C5288,C5264,C5240,C5216,C5192,C5168,C5144,C5120,C5096,C5072,C5048)/POBLA!$B$7*100000</f>
        <v>14.599316571155049</v>
      </c>
      <c r="H5360" s="256">
        <f t="shared" si="675"/>
        <v>1.4959128065395095</v>
      </c>
      <c r="I5360" s="297">
        <f t="shared" si="690"/>
        <v>21.839304625515318</v>
      </c>
      <c r="J5360" s="297">
        <f t="shared" si="691"/>
        <v>50</v>
      </c>
      <c r="K5360" s="297">
        <f>J5360/POBLA!$B$7*100000</f>
        <v>1.3296281030195853</v>
      </c>
      <c r="L5360" s="549">
        <f t="shared" si="676"/>
        <v>-0.7587939698492463</v>
      </c>
      <c r="M5360" s="401">
        <f>SUM(C5360,C5336,C5312,C5288,C5264,C5240,C5216)/POBLA!$B$7*100000</f>
        <v>9.3073967211370974</v>
      </c>
    </row>
    <row r="5361" spans="1:13" ht="15.75" thickBot="1" x14ac:dyDescent="0.3">
      <c r="A5361" s="367" t="s">
        <v>31</v>
      </c>
      <c r="B5361" s="269">
        <v>44116</v>
      </c>
      <c r="C5361" s="1">
        <v>176</v>
      </c>
      <c r="D5361" s="39">
        <f t="shared" si="689"/>
        <v>9566</v>
      </c>
      <c r="E5361" s="1">
        <f>6+7</f>
        <v>13</v>
      </c>
      <c r="F5361" s="409">
        <f t="shared" si="688"/>
        <v>188</v>
      </c>
      <c r="G5361" s="168">
        <f>SUM(C5361,C5337,C5313,C5289,C5265,C5241,C5217,C5193,C5169,C5145,C5121,C5097,C5073,C5049)/POBLA!$B$8*100000</f>
        <v>174.75239202257495</v>
      </c>
      <c r="H5361" s="256">
        <f t="shared" si="675"/>
        <v>1.3206106870229009</v>
      </c>
      <c r="I5361" s="297">
        <f t="shared" si="690"/>
        <v>230.77987648782801</v>
      </c>
      <c r="J5361" s="297">
        <f t="shared" si="691"/>
        <v>188.28571428571428</v>
      </c>
      <c r="K5361" s="297">
        <f>J5361/POBLA!$B$8*100000</f>
        <v>13.585210138359903</v>
      </c>
      <c r="L5361" s="549">
        <f t="shared" si="676"/>
        <v>-0.19384057971014501</v>
      </c>
      <c r="M5361" s="401">
        <f>SUM(C5361,C5337,C5313,C5289,C5265,C5241,C5217)/POBLA!$B$8*100000</f>
        <v>95.096470968519327</v>
      </c>
    </row>
    <row r="5362" spans="1:13" s="360" customFormat="1" ht="15.75" thickBot="1" x14ac:dyDescent="0.3">
      <c r="A5362" s="367" t="s">
        <v>41</v>
      </c>
      <c r="B5362" s="269">
        <v>44116</v>
      </c>
      <c r="C5362" s="1">
        <v>8</v>
      </c>
      <c r="D5362" s="39">
        <f t="shared" si="689"/>
        <v>136</v>
      </c>
      <c r="E5362" s="1"/>
      <c r="F5362" s="409">
        <f t="shared" si="688"/>
        <v>1</v>
      </c>
      <c r="G5362" s="168">
        <f>SUM(C5362,C5338,C5314,C5290,C5266,C5242,C5218,C5194,C5170,C5146,C5122,C5098,C5074,C5050)/POBLA!$B$9*100000</f>
        <v>5.287569420003206</v>
      </c>
      <c r="H5362" s="256">
        <f t="shared" si="675"/>
        <v>3.5555555555555554</v>
      </c>
      <c r="I5362" s="297">
        <f t="shared" si="690"/>
        <v>18.800246826678066</v>
      </c>
      <c r="J5362" s="297">
        <f t="shared" si="691"/>
        <v>4.2857142857142856</v>
      </c>
      <c r="K5362" s="297">
        <f>J5362/POBLA!$B$9*100000</f>
        <v>0.70815661875042935</v>
      </c>
      <c r="L5362" s="549">
        <f t="shared" si="676"/>
        <v>-14</v>
      </c>
      <c r="M5362" s="401">
        <f>SUM(C5362,C5338,C5314,C5290,C5266,C5242,C5218)/POBLA!$B$9*100000</f>
        <v>4.9570963312530054</v>
      </c>
    </row>
    <row r="5363" spans="1:13" s="360" customFormat="1" ht="15.75" thickBot="1" x14ac:dyDescent="0.3">
      <c r="A5363" s="367" t="s">
        <v>32</v>
      </c>
      <c r="B5363" s="269">
        <v>44116</v>
      </c>
      <c r="C5363" s="1">
        <v>76</v>
      </c>
      <c r="D5363" s="39">
        <f t="shared" si="689"/>
        <v>16806</v>
      </c>
      <c r="E5363" s="1"/>
      <c r="F5363" s="409">
        <f t="shared" si="688"/>
        <v>628</v>
      </c>
      <c r="G5363" s="168">
        <f>SUM(C5363,C5339,C5315,C5291,C5267,C5243,C5219,C5195,C5171,C5147,C5123,C5099,C5075,C5051)/POBLA!$B$10*100000</f>
        <v>180.96178268760028</v>
      </c>
      <c r="H5363" s="256">
        <f t="shared" si="675"/>
        <v>0.46314741035856571</v>
      </c>
      <c r="I5363" s="297">
        <f t="shared" si="690"/>
        <v>83.811981025631596</v>
      </c>
      <c r="J5363" s="297">
        <f t="shared" si="691"/>
        <v>89.285714285714292</v>
      </c>
      <c r="K5363" s="297">
        <f>J5363/POBLA!$B$10*100000</f>
        <v>11.58229535890939</v>
      </c>
      <c r="L5363" s="549">
        <f t="shared" si="676"/>
        <v>0.18831168831168832</v>
      </c>
      <c r="M5363" s="401">
        <f>SUM(C5363,C5339,C5315,C5291,C5267,C5243,C5219)/POBLA!$B$10*100000</f>
        <v>81.076067512365711</v>
      </c>
    </row>
    <row r="5364" spans="1:13" s="360" customFormat="1" ht="15.75" thickBot="1" x14ac:dyDescent="0.3">
      <c r="A5364" s="367" t="s">
        <v>33</v>
      </c>
      <c r="B5364" s="269">
        <v>44116</v>
      </c>
      <c r="C5364" s="1">
        <v>57</v>
      </c>
      <c r="D5364" s="39">
        <f t="shared" si="689"/>
        <v>1127</v>
      </c>
      <c r="E5364" s="1"/>
      <c r="F5364" s="409">
        <f t="shared" ref="F5364:F5375" si="692">E5364+F5340</f>
        <v>12</v>
      </c>
      <c r="G5364" s="168">
        <f>SUM(C5364,C5340,C5316,C5292,C5268,C5244,C5220,C5196,C5172,C5148,C5124,C5100,C5076,C5052)/POBLA!$B$11*100000</f>
        <v>113.83039271485487</v>
      </c>
      <c r="H5364" s="256">
        <f t="shared" si="675"/>
        <v>1.4729241877256318</v>
      </c>
      <c r="I5364" s="297">
        <f t="shared" si="690"/>
        <v>167.66353872801727</v>
      </c>
      <c r="J5364" s="297">
        <f t="shared" si="691"/>
        <v>36.571428571428569</v>
      </c>
      <c r="K5364" s="297">
        <f>J5364/POBLA!$B$11*100000</f>
        <v>10.203284501051415</v>
      </c>
      <c r="L5364" s="549">
        <f t="shared" si="676"/>
        <v>-0.68421052631578938</v>
      </c>
      <c r="M5364" s="401">
        <f>SUM(C5364,C5340,C5316,C5292,C5268,C5244,C5220)/POBLA!$B$11*100000</f>
        <v>71.422991507359924</v>
      </c>
    </row>
    <row r="5365" spans="1:13" s="360" customFormat="1" ht="15.75" thickBot="1" x14ac:dyDescent="0.3">
      <c r="A5365" s="367" t="s">
        <v>21</v>
      </c>
      <c r="B5365" s="269">
        <v>44116</v>
      </c>
      <c r="C5365" s="1">
        <v>160</v>
      </c>
      <c r="D5365" s="39">
        <f t="shared" si="689"/>
        <v>5988</v>
      </c>
      <c r="E5365" s="1">
        <f>1</f>
        <v>1</v>
      </c>
      <c r="F5365" s="409">
        <f t="shared" si="692"/>
        <v>176</v>
      </c>
      <c r="G5365" s="168">
        <f>SUM(C5365,C5341,C5317,C5293,C5269,C5245,C5221,C5197,C5173,C5149,C5125,C5101,C5077,C5053)/POBLA!$B$12*100000</f>
        <v>339.74451822092794</v>
      </c>
      <c r="H5365" s="256">
        <f t="shared" si="675"/>
        <v>0.7557942340305257</v>
      </c>
      <c r="I5365" s="297">
        <f t="shared" si="690"/>
        <v>256.77694791485624</v>
      </c>
      <c r="J5365" s="297">
        <f t="shared" si="691"/>
        <v>112.42857142857143</v>
      </c>
      <c r="K5365" s="297">
        <f>J5365/POBLA!$B$12*100000</f>
        <v>28.569177886512481</v>
      </c>
      <c r="L5365" s="549">
        <f t="shared" si="676"/>
        <v>-0.43090909090909091</v>
      </c>
      <c r="M5365" s="401">
        <f>SUM(C5365,C5341,C5317,C5293,C5269,C5245,C5221)/POBLA!$B$12*100000</f>
        <v>199.98424520558737</v>
      </c>
    </row>
    <row r="5366" spans="1:13" s="360" customFormat="1" ht="15.75" thickBot="1" x14ac:dyDescent="0.3">
      <c r="A5366" s="367" t="s">
        <v>17</v>
      </c>
      <c r="B5366" s="269">
        <v>44116</v>
      </c>
      <c r="C5366" s="1">
        <v>364</v>
      </c>
      <c r="D5366" s="39">
        <f t="shared" si="689"/>
        <v>32399</v>
      </c>
      <c r="E5366" s="1">
        <f>1+1</f>
        <v>2</v>
      </c>
      <c r="F5366" s="409">
        <f t="shared" si="692"/>
        <v>437</v>
      </c>
      <c r="G5366" s="168">
        <f>SUM(C5366,C5342,C5318,C5294,C5270,C5246,C5222,C5198,C5174,C5150,C5126,C5102,C5078,C5054)/POBLA!$B$13*100000</f>
        <v>437.56387106109617</v>
      </c>
      <c r="H5366" s="256">
        <f t="shared" si="675"/>
        <v>1.0176443094180883</v>
      </c>
      <c r="I5366" s="297">
        <f t="shared" si="690"/>
        <v>445.28438339227461</v>
      </c>
      <c r="J5366" s="297">
        <f t="shared" si="691"/>
        <v>644.85714285714289</v>
      </c>
      <c r="K5366" s="297">
        <f>J5366/POBLA!$B$13*100000</f>
        <v>32.399378540586717</v>
      </c>
      <c r="L5366" s="549">
        <f t="shared" si="676"/>
        <v>-7.6042908224076333E-2</v>
      </c>
      <c r="M5366" s="401">
        <f>SUM(C5366,C5342,C5318,C5294,C5270,C5246,C5222)/POBLA!$B$13*100000</f>
        <v>226.79564978410701</v>
      </c>
    </row>
    <row r="5367" spans="1:13" s="360" customFormat="1" ht="15.75" thickBot="1" x14ac:dyDescent="0.3">
      <c r="A5367" s="367" t="s">
        <v>23</v>
      </c>
      <c r="B5367" s="269">
        <v>44116</v>
      </c>
      <c r="C5367" s="1">
        <v>8</v>
      </c>
      <c r="D5367" s="39">
        <f t="shared" si="689"/>
        <v>162</v>
      </c>
      <c r="E5367" s="1"/>
      <c r="F5367" s="409">
        <f t="shared" si="692"/>
        <v>4</v>
      </c>
      <c r="G5367" s="168">
        <f>SUM(C5367,C5343,C5319,C5295,C5271,C5247,C5223,C5199,C5175,C5151,C5127,C5103,C5079,C5055)/POBLA!$B$14*100000</f>
        <v>6.5805434736072632</v>
      </c>
      <c r="H5367" s="256">
        <f t="shared" si="675"/>
        <v>7.5454545454545459</v>
      </c>
      <c r="I5367" s="297">
        <f t="shared" si="690"/>
        <v>49.653191664491168</v>
      </c>
      <c r="J5367" s="297">
        <f t="shared" si="691"/>
        <v>7.8571428571428568</v>
      </c>
      <c r="K5367" s="297">
        <f>J5367/POBLA!$B$14*100000</f>
        <v>0.62294301385266693</v>
      </c>
      <c r="L5367" s="549">
        <f t="shared" si="676"/>
        <v>-0.96428571428571419</v>
      </c>
      <c r="M5367" s="401">
        <f>SUM(C5367,C5343,C5319,C5295,C5271,C5247,C5223)/POBLA!$B$14*100000</f>
        <v>4.3606010969686686</v>
      </c>
    </row>
    <row r="5368" spans="1:13" s="360" customFormat="1" ht="15.75" thickBot="1" x14ac:dyDescent="0.3">
      <c r="A5368" s="367" t="s">
        <v>19</v>
      </c>
      <c r="B5368" s="269">
        <v>44116</v>
      </c>
      <c r="C5368" s="1">
        <v>264</v>
      </c>
      <c r="D5368" s="39">
        <f>C5368+D5344</f>
        <v>12389</v>
      </c>
      <c r="E5368" s="1">
        <f>1</f>
        <v>1</v>
      </c>
      <c r="F5368" s="409">
        <f t="shared" si="692"/>
        <v>185</v>
      </c>
      <c r="G5368" s="168">
        <f>SUM(C5368,C5344,C5320,C5296,C5272,C5248,C5224,C5200,C5176,C5152,C5128,C5104,C5080,C5056)/POBLA!$B$15*100000</f>
        <v>717.55888425240607</v>
      </c>
      <c r="H5368" s="256">
        <f t="shared" si="675"/>
        <v>1.8433268858800773</v>
      </c>
      <c r="I5368" s="297">
        <f t="shared" si="690"/>
        <v>1322.6955835445706</v>
      </c>
      <c r="J5368" s="297">
        <f t="shared" si="691"/>
        <v>465.57142857142856</v>
      </c>
      <c r="K5368" s="297">
        <f>J5368/POBLA!$B$15*100000</f>
        <v>70.110160509026869</v>
      </c>
      <c r="L5368" s="549">
        <f t="shared" si="676"/>
        <v>-1.1640106241699866</v>
      </c>
      <c r="M5368" s="401">
        <f>SUM(C5368,C5344,C5320,C5296,C5272,C5248,C5224)/POBLA!$B$15*100000</f>
        <v>490.77112356318804</v>
      </c>
    </row>
    <row r="5369" spans="1:13" s="360" customFormat="1" ht="15.75" thickBot="1" x14ac:dyDescent="0.3">
      <c r="A5369" s="367" t="s">
        <v>18</v>
      </c>
      <c r="B5369" s="269">
        <v>44116</v>
      </c>
      <c r="C5369" s="1">
        <v>233</v>
      </c>
      <c r="D5369" s="39">
        <f>C5369+D5345</f>
        <v>16727</v>
      </c>
      <c r="E5369" s="1">
        <f>2+2</f>
        <v>4</v>
      </c>
      <c r="F5369" s="409">
        <f t="shared" si="692"/>
        <v>368</v>
      </c>
      <c r="G5369" s="168">
        <f>SUM(C5369,C5345,C5321,C5297,C5273,C5249,C5225,C5201,C5177,C5153,C5129,C5105,C5081,C5057)/POBLA!$B$16*100000</f>
        <v>614.75903211567527</v>
      </c>
      <c r="H5369" s="256">
        <f t="shared" si="675"/>
        <v>1.4025022886786696</v>
      </c>
      <c r="I5369" s="297">
        <f t="shared" si="690"/>
        <v>862.20094952811826</v>
      </c>
      <c r="J5369" s="297">
        <f t="shared" si="691"/>
        <v>344.71428571428572</v>
      </c>
      <c r="K5369" s="297">
        <f>J5369/POBLA!$B$16*100000</f>
        <v>46.108838259826079</v>
      </c>
      <c r="L5369" s="549">
        <f t="shared" si="676"/>
        <v>-0.10535959688502072</v>
      </c>
      <c r="M5369" s="401">
        <f>SUM(C5369,C5345,C5321,C5297,C5273,C5249,C5225)/POBLA!$B$16*100000</f>
        <v>322.76186781878249</v>
      </c>
    </row>
    <row r="5370" spans="1:13" s="360" customFormat="1" ht="15.75" thickBot="1" x14ac:dyDescent="0.3">
      <c r="A5370" s="367" t="s">
        <v>34</v>
      </c>
      <c r="B5370" s="269">
        <v>44116</v>
      </c>
      <c r="C5370" s="1">
        <v>84</v>
      </c>
      <c r="D5370" s="39">
        <f>C5370+D5346</f>
        <v>15468</v>
      </c>
      <c r="E5370" s="1">
        <f>7+1+4</f>
        <v>12</v>
      </c>
      <c r="F5370" s="409">
        <f>E5370+F5346</f>
        <v>535</v>
      </c>
      <c r="G5370" s="168">
        <f>SUM(C5370,C5346,C5322,C5298,C5274,C5250,C5226,C5202,C5178,C5154,C5130,C5106,C5082,C5058)/POBLA!$B$17*100000</f>
        <v>262.35663231528849</v>
      </c>
      <c r="H5370" s="256">
        <f t="shared" ref="H5370:H5401" si="693">SUM(C5370,C5346,C5322,C5298,C5274,C5250,C5226,C5202,C5178,C5154,C5130,C5106,C5082,C5058)/SUM(C5034,C5010,C4986,C4962,C4938,C4914,C4890,C4866,C4842,C4818,C4794,C4770,C4746,C4722)</f>
        <v>0.7888959256913658</v>
      </c>
      <c r="I5370" s="297">
        <f t="shared" si="690"/>
        <v>206.9720783116388</v>
      </c>
      <c r="J5370" s="297">
        <f t="shared" si="691"/>
        <v>246.85714285714286</v>
      </c>
      <c r="K5370" s="297">
        <f>J5370/POBLA!$B$17*100000</f>
        <v>17.33064186860425</v>
      </c>
      <c r="L5370" s="549">
        <f t="shared" ref="L5370:L5401" si="694">1-SUM(C5370,C5346,C5322,C5298,C5274,C5250,C5226)/SUM(C5202,C5178,C5154,C5130,C5106,C5082,C5058)</f>
        <v>0.13987058237929317</v>
      </c>
      <c r="M5370" s="401">
        <f>SUM(C5370,C5346,C5322,C5298,C5274,C5250,C5226)/POBLA!$B$17*100000</f>
        <v>121.31449308022974</v>
      </c>
    </row>
    <row r="5371" spans="1:13" s="360" customFormat="1" ht="15.75" thickBot="1" x14ac:dyDescent="0.3">
      <c r="A5371" s="367" t="s">
        <v>35</v>
      </c>
      <c r="B5371" s="269">
        <v>44116</v>
      </c>
      <c r="C5371" s="1">
        <v>37</v>
      </c>
      <c r="D5371" s="39">
        <f t="shared" ref="D5371:D5377" si="695">C5371+D5347</f>
        <v>1241</v>
      </c>
      <c r="E5371" s="1"/>
      <c r="F5371" s="409">
        <f>E5371+F5347</f>
        <v>42</v>
      </c>
      <c r="G5371" s="168">
        <f>SUM(C5371,C5347,C5323,C5299,C5275,C5251,C5227,C5203,C5179,C5155,C5131,C5107,C5083,C5059)/POBLA!$B$18*100000</f>
        <v>69.890952193820667</v>
      </c>
      <c r="H5371" s="256">
        <f t="shared" si="693"/>
        <v>1.9640287769784173</v>
      </c>
      <c r="I5371" s="297">
        <f t="shared" si="690"/>
        <v>137.26784135908665</v>
      </c>
      <c r="J5371" s="297">
        <f t="shared" si="691"/>
        <v>45.428571428571431</v>
      </c>
      <c r="K5371" s="297">
        <f>J5371/POBLA!$B$18*100000</f>
        <v>5.8151027727982667</v>
      </c>
      <c r="L5371" s="549">
        <f t="shared" si="694"/>
        <v>-0.39473684210526305</v>
      </c>
      <c r="M5371" s="401">
        <f>SUM(C5371,C5347,C5323,C5299,C5275,C5251,C5227)/POBLA!$B$18*100000</f>
        <v>40.705719409587857</v>
      </c>
    </row>
    <row r="5372" spans="1:13" s="360" customFormat="1" ht="15.75" thickBot="1" x14ac:dyDescent="0.3">
      <c r="A5372" s="367" t="s">
        <v>36</v>
      </c>
      <c r="B5372" s="269">
        <v>44116</v>
      </c>
      <c r="C5372" s="1">
        <v>68</v>
      </c>
      <c r="D5372" s="39">
        <f t="shared" si="695"/>
        <v>2290</v>
      </c>
      <c r="E5372" s="1"/>
      <c r="F5372" s="409">
        <f t="shared" si="692"/>
        <v>33</v>
      </c>
      <c r="G5372" s="168">
        <f>SUM(C5372,C5348,C5324,C5300,C5276,C5252,C5228,C5204,C5180,C5156,C5132,C5108,C5084,C5060)/POBLA!$B$19*100000</f>
        <v>216.19898962874367</v>
      </c>
      <c r="H5372" s="256">
        <f t="shared" si="693"/>
        <v>1.447957839262187</v>
      </c>
      <c r="I5372" s="297">
        <f t="shared" si="690"/>
        <v>313.0470218735037</v>
      </c>
      <c r="J5372" s="297">
        <f t="shared" si="691"/>
        <v>69.428571428571431</v>
      </c>
      <c r="K5372" s="297">
        <f>J5372/POBLA!$B$19*100000</f>
        <v>13.658222924680803</v>
      </c>
      <c r="L5372" s="549">
        <f t="shared" si="694"/>
        <v>0.20717781402936375</v>
      </c>
      <c r="M5372" s="401">
        <f>SUM(C5372,C5348,C5324,C5300,C5276,C5252,C5228)/POBLA!$B$19*100000</f>
        <v>95.607560472765627</v>
      </c>
    </row>
    <row r="5373" spans="1:13" s="360" customFormat="1" ht="15.75" thickBot="1" x14ac:dyDescent="0.3">
      <c r="A5373" s="367" t="s">
        <v>37</v>
      </c>
      <c r="B5373" s="269">
        <v>44116</v>
      </c>
      <c r="C5373" s="1">
        <v>103</v>
      </c>
      <c r="D5373" s="39">
        <f t="shared" si="695"/>
        <v>6448</v>
      </c>
      <c r="E5373" s="1">
        <f>1+1</f>
        <v>2</v>
      </c>
      <c r="F5373" s="409">
        <f>E5373+F5349</f>
        <v>88</v>
      </c>
      <c r="G5373" s="168">
        <f>SUM(C5373,C5349,C5325,C5301,C5277,C5253,C5229,C5205,C5181,C5157,C5133,C5109,C5085,C5061)/POBLA!$B$20*100000</f>
        <v>509.16329867814426</v>
      </c>
      <c r="H5373" s="256">
        <f t="shared" si="693"/>
        <v>1.259810554803789</v>
      </c>
      <c r="I5373" s="297">
        <f t="shared" si="690"/>
        <v>641.44929779344022</v>
      </c>
      <c r="J5373" s="297">
        <f t="shared" si="691"/>
        <v>126.42857142857143</v>
      </c>
      <c r="K5373" s="297">
        <f>J5373/POBLA!$B$20*100000</f>
        <v>34.57185202778561</v>
      </c>
      <c r="L5373" s="549">
        <f t="shared" si="694"/>
        <v>9.4165813715455515E-2</v>
      </c>
      <c r="M5373" s="401">
        <f>SUM(C5373,C5349,C5325,C5301,C5277,C5253,C5229)/POBLA!$B$20*100000</f>
        <v>242.0029641944993</v>
      </c>
    </row>
    <row r="5374" spans="1:13" s="360" customFormat="1" ht="15.75" thickBot="1" x14ac:dyDescent="0.3">
      <c r="A5374" s="367" t="s">
        <v>22</v>
      </c>
      <c r="B5374" s="269">
        <v>44116</v>
      </c>
      <c r="C5374" s="1">
        <v>1711</v>
      </c>
      <c r="D5374" s="39">
        <f t="shared" si="695"/>
        <v>64611</v>
      </c>
      <c r="E5374" s="1">
        <f>7+4</f>
        <v>11</v>
      </c>
      <c r="F5374" s="409">
        <f>E5374+F5350</f>
        <v>682</v>
      </c>
      <c r="G5374" s="168">
        <f>SUM(C5374,C5350,C5326,C5302,C5278,C5254,C5230,C5206,C5182,C5158,C5134,C5110,C5086,C5062)/POBLA!$B$21*100000</f>
        <v>742.02201210377279</v>
      </c>
      <c r="H5374" s="256">
        <f t="shared" si="693"/>
        <v>1.3881923504205682</v>
      </c>
      <c r="I5374" s="297">
        <f t="shared" si="690"/>
        <v>1030.0692810461358</v>
      </c>
      <c r="J5374" s="297">
        <f t="shared" si="691"/>
        <v>1989.2857142857142</v>
      </c>
      <c r="K5374" s="297">
        <f>J5374/POBLA!$B$21*100000</f>
        <v>56.251430523363304</v>
      </c>
      <c r="L5374" s="549">
        <f t="shared" si="694"/>
        <v>-0.1306430659304969</v>
      </c>
      <c r="M5374" s="401">
        <f>SUM(C5374,C5350,C5326,C5302,C5278,C5254,C5230)/POBLA!$B$21*100000</f>
        <v>393.76001366354313</v>
      </c>
    </row>
    <row r="5375" spans="1:13" s="360" customFormat="1" ht="15.75" thickBot="1" x14ac:dyDescent="0.3">
      <c r="A5375" s="367" t="s">
        <v>38</v>
      </c>
      <c r="B5375" s="269">
        <v>44116</v>
      </c>
      <c r="C5375" s="1">
        <v>573</v>
      </c>
      <c r="D5375" s="39">
        <f t="shared" si="695"/>
        <v>5399</v>
      </c>
      <c r="E5375" s="1">
        <f>2</f>
        <v>2</v>
      </c>
      <c r="F5375" s="409">
        <f t="shared" si="692"/>
        <v>86</v>
      </c>
      <c r="G5375" s="168">
        <f>SUM(C5375,C5351,C5327,C5303,C5279,C5255,C5231,C5207,C5183,C5159,C5135,C5111,C5087,C5063)/POBLA!$B$22*100000</f>
        <v>226.71680740213</v>
      </c>
      <c r="H5375" s="256">
        <f t="shared" si="693"/>
        <v>1.749211356466877</v>
      </c>
      <c r="I5375" s="297">
        <f t="shared" si="690"/>
        <v>396.5756142097195</v>
      </c>
      <c r="J5375" s="297">
        <f t="shared" si="691"/>
        <v>197.85714285714286</v>
      </c>
      <c r="K5375" s="297">
        <f>J5375/POBLA!$B$22*100000</f>
        <v>20.224319093903777</v>
      </c>
      <c r="L5375" s="549">
        <f t="shared" si="694"/>
        <v>-0.66266506602641062</v>
      </c>
      <c r="M5375" s="401">
        <f>SUM(C5375,C5351,C5327,C5303,C5279,C5255,C5231)/POBLA!$B$22*100000</f>
        <v>141.57023365732644</v>
      </c>
    </row>
    <row r="5376" spans="1:13" s="360" customFormat="1" ht="15.75" thickBot="1" x14ac:dyDescent="0.3">
      <c r="A5376" s="367" t="s">
        <v>39</v>
      </c>
      <c r="B5376" s="269">
        <v>44116</v>
      </c>
      <c r="C5376" s="1">
        <v>268</v>
      </c>
      <c r="D5376" s="39">
        <f t="shared" si="695"/>
        <v>6692</v>
      </c>
      <c r="E5376" s="1">
        <f>1</f>
        <v>1</v>
      </c>
      <c r="F5376" s="409">
        <f t="shared" ref="F5376:F5387" si="696">E5376+F5352</f>
        <v>85</v>
      </c>
      <c r="G5376" s="168">
        <f>SUM(C5376,C5352,C5328,C5304,C5280,C5256,C5232,C5208,C5184,C5160,C5136,C5112,C5088,C5064)/POBLA!$B$23*100000</f>
        <v>1586.834813097325</v>
      </c>
      <c r="H5376" s="256">
        <f t="shared" si="693"/>
        <v>2.5302073940486927</v>
      </c>
      <c r="I5376" s="297">
        <f t="shared" si="690"/>
        <v>4015.021177232727</v>
      </c>
      <c r="J5376" s="297">
        <f t="shared" si="691"/>
        <v>216.57142857142858</v>
      </c>
      <c r="K5376" s="297">
        <f>J5376/POBLA!$B$23*100000</f>
        <v>122.47437005679386</v>
      </c>
      <c r="L5376" s="549">
        <f t="shared" si="694"/>
        <v>-0.17519379844961236</v>
      </c>
      <c r="M5376" s="401">
        <f>SUM(C5376,C5352,C5328,C5304,C5280,C5256,C5232)/POBLA!$B$23*100000</f>
        <v>857.320590397557</v>
      </c>
    </row>
    <row r="5377" spans="1:13" s="360" customFormat="1" ht="15.75" thickBot="1" x14ac:dyDescent="0.3">
      <c r="A5377" s="368" t="s">
        <v>40</v>
      </c>
      <c r="B5377" s="268">
        <v>44116</v>
      </c>
      <c r="C5377" s="232">
        <v>922</v>
      </c>
      <c r="D5377" s="67">
        <f t="shared" si="695"/>
        <v>27539</v>
      </c>
      <c r="E5377" s="232">
        <f>21+19</f>
        <v>40</v>
      </c>
      <c r="F5377" s="477">
        <f t="shared" si="696"/>
        <v>382</v>
      </c>
      <c r="G5377" s="177">
        <f>SUM(C5377,C5353,C5329,C5305,C5281,C5257,C5233,C5209,C5185,C5161,C5137,C5113,C5089,C5065)/POBLA!$B$24*100000</f>
        <v>824.29708448204246</v>
      </c>
      <c r="H5377" s="402">
        <f t="shared" si="693"/>
        <v>2.2099351368454356</v>
      </c>
      <c r="I5377" s="403">
        <f t="shared" si="690"/>
        <v>1821.6430901961162</v>
      </c>
      <c r="J5377" s="403">
        <f t="shared" si="691"/>
        <v>1390.7142857142858</v>
      </c>
      <c r="K5377" s="403">
        <f>J5377/POBLA!$B$24*100000</f>
        <v>82.064695472962413</v>
      </c>
      <c r="L5377" s="550">
        <f t="shared" si="694"/>
        <v>-1.2992442135096836</v>
      </c>
      <c r="M5377" s="405">
        <f>SUM(C5377,C5353,C5329,C5305,C5281,C5257,C5233)/POBLA!$B$24*100000</f>
        <v>574.45286831073679</v>
      </c>
    </row>
    <row r="5378" spans="1:13" s="360" customFormat="1" x14ac:dyDescent="0.25">
      <c r="A5378" s="363" t="s">
        <v>16</v>
      </c>
      <c r="B5378" s="265">
        <v>44117</v>
      </c>
      <c r="C5378" s="43">
        <v>4666</v>
      </c>
      <c r="D5378" s="174">
        <f>C5378+D5354</f>
        <v>475292</v>
      </c>
      <c r="E5378" s="43">
        <v>169</v>
      </c>
      <c r="F5378" s="475">
        <f t="shared" si="696"/>
        <v>15016</v>
      </c>
      <c r="G5378" s="175">
        <f>SUM(C5378,C5354,C5330,C5306,C5282,C5258,C5234,C5210,C5186,C5162,C5138,C5114,C5090,C5066)/POBLA!$B$1*100000</f>
        <v>362.33674878960267</v>
      </c>
      <c r="H5378" s="300">
        <f t="shared" si="693"/>
        <v>0.9200503756459808</v>
      </c>
      <c r="I5378" s="301">
        <f>G5378*H5378</f>
        <v>333.36806183421731</v>
      </c>
      <c r="J5378" s="301">
        <f>AVERAGE(C5378,C5354,C5330,C5306,C5282,C5258,C5234)</f>
        <v>4175.4285714285716</v>
      </c>
      <c r="K5378" s="301">
        <f>J5378/POBLA!$B$1*100000</f>
        <v>23.803631539297079</v>
      </c>
      <c r="L5378" s="548">
        <f t="shared" si="694"/>
        <v>0.14861637052140986</v>
      </c>
      <c r="M5378" s="400">
        <f>SUM(C5378,C5354,C5330,C5306,C5282,C5258,C5234)/POBLA!$B$1*100000</f>
        <v>166.62542077507959</v>
      </c>
    </row>
    <row r="5379" spans="1:13" s="360" customFormat="1" x14ac:dyDescent="0.25">
      <c r="A5379" s="367" t="s">
        <v>43</v>
      </c>
      <c r="B5379" s="2">
        <v>44117</v>
      </c>
      <c r="C5379" s="1">
        <v>745</v>
      </c>
      <c r="D5379" s="39">
        <f t="shared" ref="D5379:D5391" si="697">C5379+D5355</f>
        <v>136236</v>
      </c>
      <c r="E5379" s="1">
        <v>49</v>
      </c>
      <c r="F5379" s="409">
        <f t="shared" si="696"/>
        <v>4096</v>
      </c>
      <c r="G5379" s="168">
        <f>SUM(C5379,C5355,C5331,C5307,C5283,C5259,C5235,C5211,C5187,C5163,C5139,C5115,C5091,C5067)/POBLA!$B$2*100000</f>
        <v>363.11070909981191</v>
      </c>
      <c r="H5379" s="256">
        <f t="shared" si="693"/>
        <v>0.91451031772027513</v>
      </c>
      <c r="I5379" s="297">
        <f t="shared" ref="I5379:I5401" si="698">G5379*H5379</f>
        <v>332.06848994650341</v>
      </c>
      <c r="J5379" s="297">
        <f t="shared" ref="J5379:J5401" si="699">AVERAGE(C5379,C5355,C5331,C5307,C5283,C5259,C5235)</f>
        <v>770.71428571428567</v>
      </c>
      <c r="K5379" s="297">
        <f>J5379/POBLA!$B$2*100000</f>
        <v>25.058614863813506</v>
      </c>
      <c r="L5379" s="549">
        <f t="shared" si="694"/>
        <v>6.547722154858826E-2</v>
      </c>
      <c r="M5379" s="401">
        <f>SUM(C5379,C5355,C5331,C5307,C5283,C5259,C5235)/POBLA!$B$2*100000</f>
        <v>175.41030404669459</v>
      </c>
    </row>
    <row r="5380" spans="1:13" s="360" customFormat="1" x14ac:dyDescent="0.25">
      <c r="A5380" s="367" t="s">
        <v>28</v>
      </c>
      <c r="B5380" s="2">
        <v>44117</v>
      </c>
      <c r="C5380" s="1">
        <v>3</v>
      </c>
      <c r="D5380" s="39">
        <f t="shared" si="697"/>
        <v>393</v>
      </c>
      <c r="E5380" s="1"/>
      <c r="F5380" s="409">
        <f t="shared" si="696"/>
        <v>0</v>
      </c>
      <c r="G5380" s="168">
        <f>SUM(C5380,C5356,C5332,C5308,C5284,C5260,C5236,C5212,C5188,C5164,C5140,C5116,C5092,C5068)/POBLA!$B$3*100000</f>
        <v>27.440917778344783</v>
      </c>
      <c r="H5380" s="256">
        <f t="shared" si="693"/>
        <v>0.78082191780821919</v>
      </c>
      <c r="I5380" s="297">
        <f t="shared" si="698"/>
        <v>21.426470046104832</v>
      </c>
      <c r="J5380" s="297">
        <f t="shared" si="699"/>
        <v>9.4285714285714288</v>
      </c>
      <c r="K5380" s="297">
        <f>J5380/POBLA!$B$3*100000</f>
        <v>2.2695495906901701</v>
      </c>
      <c r="L5380" s="549">
        <f t="shared" si="694"/>
        <v>-0.375</v>
      </c>
      <c r="M5380" s="401">
        <f>SUM(C5380,C5356,C5332,C5308,C5284,C5260,C5236)/POBLA!$B$3*100000</f>
        <v>15.886847134831191</v>
      </c>
    </row>
    <row r="5381" spans="1:13" s="360" customFormat="1" x14ac:dyDescent="0.25">
      <c r="A5381" s="367" t="s">
        <v>15</v>
      </c>
      <c r="B5381" s="2">
        <v>44117</v>
      </c>
      <c r="C5381" s="1">
        <v>172</v>
      </c>
      <c r="D5381" s="39">
        <f t="shared" si="697"/>
        <v>10678</v>
      </c>
      <c r="E5381" s="1">
        <v>10</v>
      </c>
      <c r="F5381" s="409">
        <f t="shared" si="696"/>
        <v>344</v>
      </c>
      <c r="G5381" s="168">
        <f>SUM(C5381,C5357,C5333,C5309,C5285,C5261,C5237,C5213,C5189,C5165,C5141,C5117,C5093,C5069)/POBLA!$B$4*100000</f>
        <v>190.27994895981124</v>
      </c>
      <c r="H5381" s="256">
        <f t="shared" si="693"/>
        <v>1.5209024552090245</v>
      </c>
      <c r="I5381" s="297">
        <f t="shared" si="698"/>
        <v>289.39724155002477</v>
      </c>
      <c r="J5381" s="297">
        <f t="shared" si="699"/>
        <v>170.28571428571428</v>
      </c>
      <c r="K5381" s="297">
        <f>J5381/POBLA!$B$4*100000</f>
        <v>14.136979503870295</v>
      </c>
      <c r="L5381" s="549">
        <f t="shared" si="694"/>
        <v>-8.3636363636363731E-2</v>
      </c>
      <c r="M5381" s="401">
        <f>SUM(C5381,C5357,C5333,C5309,C5285,C5261,C5237)/POBLA!$B$4*100000</f>
        <v>98.958856527092053</v>
      </c>
    </row>
    <row r="5382" spans="1:13" s="360" customFormat="1" x14ac:dyDescent="0.25">
      <c r="A5382" s="367" t="s">
        <v>29</v>
      </c>
      <c r="B5382" s="2">
        <v>44117</v>
      </c>
      <c r="C5382" s="1">
        <v>438</v>
      </c>
      <c r="D5382" s="39">
        <f t="shared" si="697"/>
        <v>7788</v>
      </c>
      <c r="E5382" s="1">
        <v>4</v>
      </c>
      <c r="F5382" s="409">
        <f t="shared" si="696"/>
        <v>101</v>
      </c>
      <c r="G5382" s="168">
        <f>SUM(C5382,C5358,C5334,C5310,C5286,C5262,C5238,C5214,C5190,C5166,C5142,C5118,C5094,C5070)/POBLA!$B$5*100000</f>
        <v>644.432740866632</v>
      </c>
      <c r="H5382" s="256">
        <f t="shared" si="693"/>
        <v>2.0519547325102883</v>
      </c>
      <c r="I5382" s="297">
        <f t="shared" si="698"/>
        <v>1322.3468124058618</v>
      </c>
      <c r="J5382" s="297">
        <f t="shared" si="699"/>
        <v>363.57142857142856</v>
      </c>
      <c r="K5382" s="297">
        <f>J5382/POBLA!$B$5*100000</f>
        <v>58.73585665958452</v>
      </c>
      <c r="L5382" s="549">
        <f t="shared" si="694"/>
        <v>-0.76246537396121883</v>
      </c>
      <c r="M5382" s="401">
        <f>SUM(C5382,C5358,C5334,C5310,C5286,C5262,C5238)/POBLA!$B$5*100000</f>
        <v>411.15099661709161</v>
      </c>
    </row>
    <row r="5383" spans="1:13" s="360" customFormat="1" x14ac:dyDescent="0.25">
      <c r="A5383" s="367" t="s">
        <v>20</v>
      </c>
      <c r="B5383" s="2">
        <v>44117</v>
      </c>
      <c r="C5383" s="1">
        <v>1158</v>
      </c>
      <c r="D5383" s="39">
        <f t="shared" si="697"/>
        <v>54095</v>
      </c>
      <c r="E5383" s="1">
        <v>35</v>
      </c>
      <c r="F5383" s="409">
        <f t="shared" si="696"/>
        <v>690</v>
      </c>
      <c r="G5383" s="168">
        <f>SUM(C5383,C5359,C5335,C5311,C5287,C5263,C5239,C5215,C5191,C5167,C5143,C5119,C5095,C5071)/POBLA!$B$6*100000</f>
        <v>1928.0853603806565</v>
      </c>
      <c r="H5383" s="256">
        <f t="shared" si="693"/>
        <v>1.2869223439733206</v>
      </c>
      <c r="I5383" s="297">
        <f t="shared" si="698"/>
        <v>2481.2961313617193</v>
      </c>
      <c r="J5383" s="297">
        <f t="shared" si="699"/>
        <v>1557.4285714285713</v>
      </c>
      <c r="K5383" s="297">
        <f>J5383/POBLA!$B$6*100000</f>
        <v>138.95674356362738</v>
      </c>
      <c r="L5383" s="549">
        <f t="shared" si="694"/>
        <v>-1.8117295480014839E-2</v>
      </c>
      <c r="M5383" s="401">
        <f>SUM(C5383,C5359,C5335,C5311,C5287,C5263,C5239)/POBLA!$B$6*100000</f>
        <v>972.69720494539172</v>
      </c>
    </row>
    <row r="5384" spans="1:13" s="360" customFormat="1" x14ac:dyDescent="0.25">
      <c r="A5384" s="367" t="s">
        <v>30</v>
      </c>
      <c r="B5384" s="2">
        <v>44117</v>
      </c>
      <c r="C5384" s="1">
        <v>114</v>
      </c>
      <c r="D5384" s="39">
        <f t="shared" si="697"/>
        <v>1748</v>
      </c>
      <c r="E5384" s="1">
        <v>1</v>
      </c>
      <c r="F5384" s="409">
        <f t="shared" si="696"/>
        <v>32</v>
      </c>
      <c r="G5384" s="168">
        <f>SUM(C5384,C5360,C5336,C5312,C5288,C5264,C5240,C5216,C5192,C5168,C5144,C5120,C5096,C5072)/POBLA!$B$7*100000</f>
        <v>17.949979390764405</v>
      </c>
      <c r="H5384" s="256">
        <f t="shared" si="693"/>
        <v>2.2881355932203391</v>
      </c>
      <c r="I5384" s="297">
        <f t="shared" si="698"/>
        <v>41.071986741579572</v>
      </c>
      <c r="J5384" s="297">
        <f t="shared" si="699"/>
        <v>56</v>
      </c>
      <c r="K5384" s="297">
        <f>J5384/POBLA!$B$7*100000</f>
        <v>1.4891834753819357</v>
      </c>
      <c r="L5384" s="549">
        <f t="shared" si="694"/>
        <v>-0.38515901060070679</v>
      </c>
      <c r="M5384" s="401">
        <f>SUM(C5384,C5360,C5336,C5312,C5288,C5264,C5240)/POBLA!$B$7*100000</f>
        <v>10.424284327673549</v>
      </c>
    </row>
    <row r="5385" spans="1:13" x14ac:dyDescent="0.25">
      <c r="A5385" s="367" t="s">
        <v>31</v>
      </c>
      <c r="B5385" s="2">
        <v>44117</v>
      </c>
      <c r="C5385" s="1">
        <v>257</v>
      </c>
      <c r="D5385" s="39">
        <f t="shared" si="697"/>
        <v>9823</v>
      </c>
      <c r="E5385" s="1">
        <v>5</v>
      </c>
      <c r="F5385" s="409">
        <f t="shared" si="696"/>
        <v>193</v>
      </c>
      <c r="G5385" s="168">
        <f>SUM(C5385,C5361,C5337,C5313,C5289,C5265,C5241,C5217,C5193,C5169,C5145,C5121,C5097,C5073)/POBLA!$B$8*100000</f>
        <v>181.60684175095835</v>
      </c>
      <c r="H5385" s="256">
        <f t="shared" si="693"/>
        <v>1.3929164360819037</v>
      </c>
      <c r="I5385" s="297">
        <f t="shared" si="698"/>
        <v>252.96315477983518</v>
      </c>
      <c r="J5385" s="297">
        <f t="shared" si="699"/>
        <v>196.28571428571428</v>
      </c>
      <c r="K5385" s="297">
        <f>J5385/POBLA!$B$8*100000</f>
        <v>14.162426957592189</v>
      </c>
      <c r="L5385" s="549">
        <f t="shared" si="694"/>
        <v>-0.20209973753280841</v>
      </c>
      <c r="M5385" s="401">
        <f>SUM(C5385,C5361,C5337,C5313,C5289,C5265,C5241)/POBLA!$B$8*100000</f>
        <v>99.13698870314532</v>
      </c>
    </row>
    <row r="5386" spans="1:13" s="360" customFormat="1" x14ac:dyDescent="0.25">
      <c r="A5386" s="367" t="s">
        <v>41</v>
      </c>
      <c r="B5386" s="2">
        <v>44117</v>
      </c>
      <c r="C5386" s="1">
        <v>3</v>
      </c>
      <c r="D5386" s="39">
        <f t="shared" si="697"/>
        <v>139</v>
      </c>
      <c r="E5386" s="1"/>
      <c r="F5386" s="409">
        <f t="shared" si="696"/>
        <v>1</v>
      </c>
      <c r="G5386" s="168">
        <f>SUM(C5386,C5362,C5338,C5314,C5290,C5266,C5242,C5218,C5194,C5170,C5146,C5122,C5098,C5074)/POBLA!$B$9*100000</f>
        <v>5.7832790531285063</v>
      </c>
      <c r="H5386" s="256">
        <f t="shared" si="693"/>
        <v>5.833333333333333</v>
      </c>
      <c r="I5386" s="297">
        <f t="shared" si="698"/>
        <v>33.735794476582953</v>
      </c>
      <c r="J5386" s="297">
        <f t="shared" si="699"/>
        <v>4.7142857142857144</v>
      </c>
      <c r="K5386" s="297">
        <f>J5386/POBLA!$B$9*100000</f>
        <v>0.77897228062547219</v>
      </c>
      <c r="L5386" s="549">
        <f t="shared" si="694"/>
        <v>-15.5</v>
      </c>
      <c r="M5386" s="401">
        <f>SUM(C5386,C5362,C5338,C5314,C5290,C5266,C5242)/POBLA!$B$9*100000</f>
        <v>5.4528059643783058</v>
      </c>
    </row>
    <row r="5387" spans="1:13" s="360" customFormat="1" x14ac:dyDescent="0.25">
      <c r="A5387" s="367" t="s">
        <v>32</v>
      </c>
      <c r="B5387" s="2">
        <v>44117</v>
      </c>
      <c r="C5387" s="1">
        <v>36</v>
      </c>
      <c r="D5387" s="39">
        <f t="shared" si="697"/>
        <v>16842</v>
      </c>
      <c r="E5387" s="1">
        <v>2</v>
      </c>
      <c r="F5387" s="409">
        <f t="shared" si="696"/>
        <v>630</v>
      </c>
      <c r="G5387" s="168">
        <f>SUM(C5387,C5363,C5339,C5315,C5291,C5267,C5243,C5219,C5195,C5171,C5147,C5123,C5099,C5075)/POBLA!$B$10*100000</f>
        <v>172.40014995829446</v>
      </c>
      <c r="H5387" s="256">
        <f t="shared" si="693"/>
        <v>0.47754222062522456</v>
      </c>
      <c r="I5387" s="297">
        <f t="shared" si="698"/>
        <v>82.328350447205651</v>
      </c>
      <c r="J5387" s="297">
        <f t="shared" si="699"/>
        <v>78.857142857142861</v>
      </c>
      <c r="K5387" s="297">
        <f>J5387/POBLA!$B$10*100000</f>
        <v>10.229483260988772</v>
      </c>
      <c r="L5387" s="549">
        <f t="shared" si="694"/>
        <v>0.28957528957528955</v>
      </c>
      <c r="M5387" s="401">
        <f>SUM(C5387,C5363,C5339,C5315,C5291,C5267,C5243)/POBLA!$B$10*100000</f>
        <v>71.606382826921404</v>
      </c>
    </row>
    <row r="5388" spans="1:13" s="360" customFormat="1" x14ac:dyDescent="0.25">
      <c r="A5388" s="367" t="s">
        <v>33</v>
      </c>
      <c r="B5388" s="2">
        <v>44117</v>
      </c>
      <c r="C5388" s="1">
        <v>44</v>
      </c>
      <c r="D5388" s="39">
        <f t="shared" si="697"/>
        <v>1171</v>
      </c>
      <c r="E5388" s="1">
        <v>1</v>
      </c>
      <c r="F5388" s="409">
        <f t="shared" ref="F5388:F5399" si="700">E5388+F5364</f>
        <v>13</v>
      </c>
      <c r="G5388" s="168">
        <f>SUM(C5388,C5364,C5340,C5316,C5292,C5268,C5244,C5220,C5196,C5172,C5148,C5124,C5100,C5076)/POBLA!$B$11*100000</f>
        <v>120.80529422924548</v>
      </c>
      <c r="H5388" s="256">
        <f t="shared" si="693"/>
        <v>1.5919117647058822</v>
      </c>
      <c r="I5388" s="297">
        <f t="shared" si="698"/>
        <v>192.3113691222915</v>
      </c>
      <c r="J5388" s="297">
        <f t="shared" si="699"/>
        <v>39.142857142857146</v>
      </c>
      <c r="K5388" s="297">
        <f>J5388/POBLA!$B$11*100000</f>
        <v>10.920702942531596</v>
      </c>
      <c r="L5388" s="549">
        <f t="shared" si="694"/>
        <v>-0.72327044025157239</v>
      </c>
      <c r="M5388" s="401">
        <f>SUM(C5388,C5364,C5340,C5316,C5292,C5268,C5244)/POBLA!$B$11*100000</f>
        <v>76.444920597721165</v>
      </c>
    </row>
    <row r="5389" spans="1:13" s="360" customFormat="1" x14ac:dyDescent="0.25">
      <c r="A5389" s="367" t="s">
        <v>21</v>
      </c>
      <c r="B5389" s="2">
        <v>44117</v>
      </c>
      <c r="C5389" s="1">
        <v>43</v>
      </c>
      <c r="D5389" s="39">
        <f t="shared" si="697"/>
        <v>6031</v>
      </c>
      <c r="E5389" s="1">
        <v>6</v>
      </c>
      <c r="F5389" s="409">
        <f t="shared" si="700"/>
        <v>182</v>
      </c>
      <c r="G5389" s="168">
        <f>SUM(C5389,C5365,C5341,C5317,C5293,C5269,C5245,C5221,C5197,C5173,C5149,C5125,C5101,C5077)/POBLA!$B$12*100000</f>
        <v>337.711641522523</v>
      </c>
      <c r="H5389" s="256">
        <f t="shared" si="693"/>
        <v>0.78360849056603776</v>
      </c>
      <c r="I5389" s="297">
        <f t="shared" si="698"/>
        <v>264.63370966004311</v>
      </c>
      <c r="J5389" s="297">
        <f t="shared" si="699"/>
        <v>102.85714285714286</v>
      </c>
      <c r="K5389" s="297">
        <f>J5389/POBLA!$B$12*100000</f>
        <v>26.136986122349413</v>
      </c>
      <c r="L5389" s="549">
        <f t="shared" si="694"/>
        <v>-0.18226600985221686</v>
      </c>
      <c r="M5389" s="401">
        <f>SUM(C5389,C5365,C5341,C5317,C5293,C5269,C5245)/POBLA!$B$12*100000</f>
        <v>182.95890285644586</v>
      </c>
    </row>
    <row r="5390" spans="1:13" s="360" customFormat="1" x14ac:dyDescent="0.25">
      <c r="A5390" s="367" t="s">
        <v>17</v>
      </c>
      <c r="B5390" s="2">
        <v>44117</v>
      </c>
      <c r="C5390" s="1">
        <v>653</v>
      </c>
      <c r="D5390" s="39">
        <f t="shared" si="697"/>
        <v>33052</v>
      </c>
      <c r="E5390" s="1">
        <v>7</v>
      </c>
      <c r="F5390" s="409">
        <f t="shared" si="700"/>
        <v>444</v>
      </c>
      <c r="G5390" s="168">
        <f>SUM(C5390,C5366,C5342,C5318,C5294,C5270,C5246,C5222,C5198,C5174,C5150,C5126,C5102,C5078)/POBLA!$B$13*100000</f>
        <v>436.81023022220342</v>
      </c>
      <c r="H5390" s="256">
        <f t="shared" si="693"/>
        <v>1.0112830056996627</v>
      </c>
      <c r="I5390" s="297">
        <f t="shared" si="698"/>
        <v>441.73876253947151</v>
      </c>
      <c r="J5390" s="297">
        <f t="shared" si="699"/>
        <v>641</v>
      </c>
      <c r="K5390" s="297">
        <f>J5390/POBLA!$B$13*100000</f>
        <v>32.20558518201431</v>
      </c>
      <c r="L5390" s="549">
        <f t="shared" si="694"/>
        <v>-6.6555740432612254E-2</v>
      </c>
      <c r="M5390" s="401">
        <f>SUM(C5390,C5366,C5342,C5318,C5294,C5270,C5246)/POBLA!$B$13*100000</f>
        <v>225.43909627410017</v>
      </c>
    </row>
    <row r="5391" spans="1:13" s="360" customFormat="1" x14ac:dyDescent="0.25">
      <c r="A5391" s="367" t="s">
        <v>23</v>
      </c>
      <c r="B5391" s="2">
        <v>44117</v>
      </c>
      <c r="C5391" s="1">
        <v>24</v>
      </c>
      <c r="D5391" s="39">
        <f t="shared" si="697"/>
        <v>186</v>
      </c>
      <c r="E5391" s="1"/>
      <c r="F5391" s="409">
        <f t="shared" si="700"/>
        <v>4</v>
      </c>
      <c r="G5391" s="168">
        <f>SUM(C5391,C5367,C5343,C5319,C5295,C5271,C5247,C5223,C5199,C5175,C5151,C5127,C5103,C5079)/POBLA!$B$14*100000</f>
        <v>7.8490819745436031</v>
      </c>
      <c r="H5391" s="256">
        <f t="shared" si="693"/>
        <v>3.6666666666666665</v>
      </c>
      <c r="I5391" s="297">
        <f t="shared" si="698"/>
        <v>28.779967239993212</v>
      </c>
      <c r="J5391" s="297">
        <f t="shared" si="699"/>
        <v>9.7142857142857135</v>
      </c>
      <c r="K5391" s="297">
        <f>J5391/POBLA!$B$14*100000</f>
        <v>0.77018408985420639</v>
      </c>
      <c r="L5391" s="549">
        <f t="shared" si="694"/>
        <v>-1.193548387096774</v>
      </c>
      <c r="M5391" s="401">
        <f>SUM(C5391,C5367,C5343,C5319,C5295,C5271,C5247)/POBLA!$B$14*100000</f>
        <v>5.3912886289794448</v>
      </c>
    </row>
    <row r="5392" spans="1:13" s="360" customFormat="1" x14ac:dyDescent="0.25">
      <c r="A5392" s="367" t="s">
        <v>19</v>
      </c>
      <c r="B5392" s="2">
        <v>44117</v>
      </c>
      <c r="C5392" s="1">
        <v>299</v>
      </c>
      <c r="D5392" s="39">
        <f>C5392+D5368</f>
        <v>12688</v>
      </c>
      <c r="E5392" s="1">
        <v>12</v>
      </c>
      <c r="F5392" s="409">
        <f t="shared" si="700"/>
        <v>197</v>
      </c>
      <c r="G5392" s="168">
        <f>SUM(C5392,C5368,C5344,C5320,C5296,C5272,C5248,C5224,C5200,C5176,C5152,C5128,C5104,C5080)/POBLA!$B$15*100000</f>
        <v>750.98974937392416</v>
      </c>
      <c r="H5392" s="256">
        <f t="shared" si="693"/>
        <v>1.9618410700236035</v>
      </c>
      <c r="I5392" s="297">
        <f t="shared" si="698"/>
        <v>1473.3225334884971</v>
      </c>
      <c r="J5392" s="297">
        <f t="shared" si="699"/>
        <v>457.42857142857144</v>
      </c>
      <c r="K5392" s="297">
        <f>J5392/POBLA!$B$15*100000</f>
        <v>68.883931865573501</v>
      </c>
      <c r="L5392" s="549">
        <f t="shared" si="694"/>
        <v>-0.79383753501400567</v>
      </c>
      <c r="M5392" s="401">
        <f>SUM(C5392,C5368,C5344,C5320,C5296,C5272,C5248)/POBLA!$B$15*100000</f>
        <v>482.1875230590145</v>
      </c>
    </row>
    <row r="5393" spans="1:13" s="360" customFormat="1" x14ac:dyDescent="0.25">
      <c r="A5393" s="367" t="s">
        <v>18</v>
      </c>
      <c r="B5393" s="2">
        <v>44117</v>
      </c>
      <c r="C5393" s="1">
        <v>405</v>
      </c>
      <c r="D5393" s="39">
        <f>C5393+D5369</f>
        <v>17132</v>
      </c>
      <c r="E5393" s="1">
        <v>6</v>
      </c>
      <c r="F5393" s="409">
        <f t="shared" si="700"/>
        <v>374</v>
      </c>
      <c r="G5393" s="168">
        <f>SUM(C5393,C5369,C5345,C5321,C5297,C5273,C5249,C5225,C5201,C5177,C5153,C5129,C5105,C5081)/POBLA!$B$16*100000</f>
        <v>623.58716443065236</v>
      </c>
      <c r="H5393" s="256">
        <f t="shared" si="693"/>
        <v>1.4384449244060475</v>
      </c>
      <c r="I5393" s="297">
        <f t="shared" si="698"/>
        <v>896.99579160003123</v>
      </c>
      <c r="J5393" s="297">
        <f t="shared" si="699"/>
        <v>354.28571428571428</v>
      </c>
      <c r="K5393" s="297">
        <f>J5393/POBLA!$B$16*100000</f>
        <v>47.389108530612788</v>
      </c>
      <c r="L5393" s="549">
        <f t="shared" si="694"/>
        <v>-0.13657195233730524</v>
      </c>
      <c r="M5393" s="401">
        <f>SUM(C5393,C5369,C5345,C5321,C5297,C5273,C5249)/POBLA!$B$16*100000</f>
        <v>331.72375971428954</v>
      </c>
    </row>
    <row r="5394" spans="1:13" s="360" customFormat="1" x14ac:dyDescent="0.25">
      <c r="A5394" s="367" t="s">
        <v>34</v>
      </c>
      <c r="B5394" s="2">
        <v>44117</v>
      </c>
      <c r="C5394" s="1">
        <v>136</v>
      </c>
      <c r="D5394" s="39">
        <f>C5394+D5370</f>
        <v>15604</v>
      </c>
      <c r="E5394" s="1">
        <v>8</v>
      </c>
      <c r="F5394" s="409">
        <f>E5394+F5370</f>
        <v>543</v>
      </c>
      <c r="G5394" s="168">
        <f>SUM(C5394,C5370,C5346,C5322,C5298,C5274,C5250,C5226,C5202,C5178,C5154,C5130,C5106,C5082)/POBLA!$B$17*100000</f>
        <v>249.15806478109681</v>
      </c>
      <c r="H5394" s="256">
        <f t="shared" si="693"/>
        <v>0.74684343434343436</v>
      </c>
      <c r="I5394" s="297">
        <f t="shared" si="698"/>
        <v>186.08206479547823</v>
      </c>
      <c r="J5394" s="297">
        <f t="shared" si="699"/>
        <v>234.57142857142858</v>
      </c>
      <c r="K5394" s="297">
        <f>J5394/POBLA!$B$17*100000</f>
        <v>16.468121497828808</v>
      </c>
      <c r="L5394" s="549">
        <f t="shared" si="694"/>
        <v>0.13896171997902462</v>
      </c>
      <c r="M5394" s="401">
        <f>SUM(C5394,C5370,C5346,C5322,C5298,C5274,C5250)/POBLA!$B$17*100000</f>
        <v>115.27685048480164</v>
      </c>
    </row>
    <row r="5395" spans="1:13" s="360" customFormat="1" x14ac:dyDescent="0.25">
      <c r="A5395" s="367" t="s">
        <v>35</v>
      </c>
      <c r="B5395" s="2">
        <v>44117</v>
      </c>
      <c r="C5395" s="1">
        <v>27</v>
      </c>
      <c r="D5395" s="39">
        <f t="shared" ref="D5395:D5401" si="701">C5395+D5371</f>
        <v>1268</v>
      </c>
      <c r="E5395" s="1">
        <v>9</v>
      </c>
      <c r="F5395" s="409">
        <f>E5395+F5371</f>
        <v>51</v>
      </c>
      <c r="G5395" s="168">
        <f>SUM(C5395,C5371,C5347,C5323,C5299,C5275,C5251,C5227,C5203,C5179,C5155,C5131,C5107,C5083)/POBLA!$B$18*100000</f>
        <v>70.786990042459394</v>
      </c>
      <c r="H5395" s="256">
        <f t="shared" si="693"/>
        <v>1.9268292682926829</v>
      </c>
      <c r="I5395" s="297">
        <f t="shared" si="698"/>
        <v>136.39444422815347</v>
      </c>
      <c r="J5395" s="297">
        <f t="shared" si="699"/>
        <v>40.142857142857146</v>
      </c>
      <c r="K5395" s="297">
        <f>J5395/POBLA!$B$18*100000</f>
        <v>5.1385027646424932</v>
      </c>
      <c r="L5395" s="549">
        <f t="shared" si="694"/>
        <v>-3.3088235294117752E-2</v>
      </c>
      <c r="M5395" s="401">
        <f>SUM(C5395,C5371,C5347,C5323,C5299,C5275,C5251)/POBLA!$B$18*100000</f>
        <v>35.96951935249745</v>
      </c>
    </row>
    <row r="5396" spans="1:13" s="360" customFormat="1" x14ac:dyDescent="0.25">
      <c r="A5396" s="367" t="s">
        <v>36</v>
      </c>
      <c r="B5396" s="2">
        <v>44117</v>
      </c>
      <c r="C5396" s="1">
        <v>126</v>
      </c>
      <c r="D5396" s="39">
        <f t="shared" si="701"/>
        <v>2416</v>
      </c>
      <c r="E5396" s="1"/>
      <c r="F5396" s="409">
        <f t="shared" si="700"/>
        <v>33</v>
      </c>
      <c r="G5396" s="168">
        <f>SUM(C5396,C5372,C5348,C5324,C5300,C5276,C5252,C5228,C5204,C5180,C5156,C5132,C5108,C5084)/POBLA!$B$19*100000</f>
        <v>211.47762861774285</v>
      </c>
      <c r="H5396" s="256">
        <f t="shared" si="693"/>
        <v>1.2529137529137528</v>
      </c>
      <c r="I5396" s="297">
        <f t="shared" si="698"/>
        <v>264.96322932875705</v>
      </c>
      <c r="J5396" s="297">
        <f t="shared" si="699"/>
        <v>78.714285714285708</v>
      </c>
      <c r="K5396" s="297">
        <f>J5396/POBLA!$B$19*100000</f>
        <v>15.484939982508481</v>
      </c>
      <c r="L5396" s="549">
        <f t="shared" si="694"/>
        <v>-5.15267175572518E-2</v>
      </c>
      <c r="M5396" s="401">
        <f>SUM(C5396,C5372,C5348,C5324,C5300,C5276,C5252)/POBLA!$B$19*100000</f>
        <v>108.39457987755937</v>
      </c>
    </row>
    <row r="5397" spans="1:13" s="360" customFormat="1" x14ac:dyDescent="0.25">
      <c r="A5397" s="367" t="s">
        <v>37</v>
      </c>
      <c r="B5397" s="2">
        <v>44117</v>
      </c>
      <c r="C5397" s="1">
        <v>66</v>
      </c>
      <c r="D5397" s="39">
        <f t="shared" si="701"/>
        <v>6514</v>
      </c>
      <c r="E5397" s="1">
        <v>3</v>
      </c>
      <c r="F5397" s="409">
        <f>E5397+F5373</f>
        <v>91</v>
      </c>
      <c r="G5397" s="168">
        <f>SUM(C5397,C5373,C5349,C5325,C5301,C5277,C5253,C5229,C5205,C5181,C5157,C5133,C5109,C5085)/POBLA!$B$20*100000</f>
        <v>496.31116385651546</v>
      </c>
      <c r="H5397" s="256">
        <f t="shared" si="693"/>
        <v>1.2043795620437956</v>
      </c>
      <c r="I5397" s="297">
        <f t="shared" si="698"/>
        <v>597.74702216295657</v>
      </c>
      <c r="J5397" s="297">
        <f t="shared" si="699"/>
        <v>128</v>
      </c>
      <c r="K5397" s="297">
        <f>J5397/POBLA!$B$20*100000</f>
        <v>35.001558663159216</v>
      </c>
      <c r="L5397" s="549">
        <f t="shared" si="694"/>
        <v>2.5027203482045679E-2</v>
      </c>
      <c r="M5397" s="401">
        <f>SUM(C5397,C5373,C5349,C5325,C5301,C5277,C5253)/POBLA!$B$20*100000</f>
        <v>245.01091064211451</v>
      </c>
    </row>
    <row r="5398" spans="1:13" s="360" customFormat="1" x14ac:dyDescent="0.25">
      <c r="A5398" s="367" t="s">
        <v>22</v>
      </c>
      <c r="B5398" s="2">
        <v>44117</v>
      </c>
      <c r="C5398" s="1">
        <v>2288</v>
      </c>
      <c r="D5398" s="39">
        <f t="shared" si="701"/>
        <v>66899</v>
      </c>
      <c r="E5398" s="1">
        <v>25</v>
      </c>
      <c r="F5398" s="409">
        <f>E5398+F5374</f>
        <v>707</v>
      </c>
      <c r="G5398" s="168">
        <f>SUM(C5398,C5374,C5350,C5326,C5302,C5278,C5254,C5230,C5206,C5182,C5158,C5134,C5110,C5086)/POBLA!$B$21*100000</f>
        <v>749.85479657664905</v>
      </c>
      <c r="H5398" s="256">
        <f t="shared" si="693"/>
        <v>1.3353812065666231</v>
      </c>
      <c r="I5398" s="297">
        <f t="shared" si="698"/>
        <v>1001.3420030022953</v>
      </c>
      <c r="J5398" s="297">
        <f t="shared" si="699"/>
        <v>2000.5714285714287</v>
      </c>
      <c r="K5398" s="297">
        <f>J5398/POBLA!$B$21*100000</f>
        <v>56.570558926332488</v>
      </c>
      <c r="L5398" s="549">
        <f t="shared" si="694"/>
        <v>-0.11906664535720002</v>
      </c>
      <c r="M5398" s="401">
        <f>SUM(C5398,C5374,C5350,C5326,C5302,C5278,C5254)/POBLA!$B$21*100000</f>
        <v>395.99391248432738</v>
      </c>
    </row>
    <row r="5399" spans="1:13" s="360" customFormat="1" x14ac:dyDescent="0.25">
      <c r="A5399" s="367" t="s">
        <v>38</v>
      </c>
      <c r="B5399" s="2">
        <v>44117</v>
      </c>
      <c r="C5399" s="1">
        <v>146</v>
      </c>
      <c r="D5399" s="39">
        <f t="shared" si="701"/>
        <v>5545</v>
      </c>
      <c r="E5399" s="1">
        <v>2</v>
      </c>
      <c r="F5399" s="409">
        <f t="shared" si="700"/>
        <v>88</v>
      </c>
      <c r="G5399" s="168">
        <f>SUM(C5399,C5375,C5351,C5327,C5303,C5279,C5255,C5231,C5207,C5183,C5159,C5135,C5111,C5087)/POBLA!$B$22*100000</f>
        <v>227.12567450294537</v>
      </c>
      <c r="H5399" s="256">
        <f t="shared" si="693"/>
        <v>1.6569724086502611</v>
      </c>
      <c r="I5399" s="297">
        <f t="shared" si="698"/>
        <v>376.34097594746061</v>
      </c>
      <c r="J5399" s="297">
        <f t="shared" si="699"/>
        <v>196.71428571428572</v>
      </c>
      <c r="K5399" s="297">
        <f>J5399/POBLA!$B$22*100000</f>
        <v>20.107499922242241</v>
      </c>
      <c r="L5399" s="549">
        <f t="shared" si="694"/>
        <v>-0.62958579881656807</v>
      </c>
      <c r="M5399" s="401">
        <f>SUM(C5399,C5375,C5351,C5327,C5303,C5279,C5255)/POBLA!$B$22*100000</f>
        <v>140.75249945569567</v>
      </c>
    </row>
    <row r="5400" spans="1:13" s="360" customFormat="1" x14ac:dyDescent="0.25">
      <c r="A5400" s="367" t="s">
        <v>39</v>
      </c>
      <c r="B5400" s="2">
        <v>44117</v>
      </c>
      <c r="C5400" s="1">
        <v>202</v>
      </c>
      <c r="D5400" s="39">
        <f t="shared" si="701"/>
        <v>6894</v>
      </c>
      <c r="E5400" s="1">
        <v>2</v>
      </c>
      <c r="F5400" s="409">
        <f t="shared" ref="F5400:F5411" si="702">E5400+F5376</f>
        <v>87</v>
      </c>
      <c r="G5400" s="168">
        <f>SUM(C5400,C5376,C5352,C5328,C5304,C5280,C5256,C5232,C5208,C5184,C5160,C5136,C5112,C5088)/POBLA!$B$23*100000</f>
        <v>1576.0900299722898</v>
      </c>
      <c r="H5400" s="256">
        <f t="shared" si="693"/>
        <v>2.2260383386581468</v>
      </c>
      <c r="I5400" s="297">
        <f t="shared" si="698"/>
        <v>3508.4368318951847</v>
      </c>
      <c r="J5400" s="297">
        <f t="shared" si="699"/>
        <v>210.57142857142858</v>
      </c>
      <c r="K5400" s="297">
        <f>J5400/POBLA!$B$23*100000</f>
        <v>119.08128064888797</v>
      </c>
      <c r="L5400" s="549">
        <f t="shared" si="694"/>
        <v>-0.12261995430312256</v>
      </c>
      <c r="M5400" s="401">
        <f>SUM(C5400,C5376,C5352,C5328,C5304,C5280,C5256)/POBLA!$B$23*100000</f>
        <v>833.56896454221567</v>
      </c>
    </row>
    <row r="5401" spans="1:13" s="360" customFormat="1" ht="15.75" thickBot="1" x14ac:dyDescent="0.3">
      <c r="A5401" s="369" t="s">
        <v>40</v>
      </c>
      <c r="B5401" s="266">
        <v>44117</v>
      </c>
      <c r="C5401" s="44">
        <v>1254</v>
      </c>
      <c r="D5401" s="176">
        <f t="shared" si="701"/>
        <v>28793</v>
      </c>
      <c r="E5401" s="44">
        <v>28</v>
      </c>
      <c r="F5401" s="476">
        <f t="shared" si="702"/>
        <v>410</v>
      </c>
      <c r="G5401" s="177">
        <f>SUM(C5401,C5377,C5353,C5329,C5305,C5281,C5257,C5233,C5209,C5185,C5161,C5137,C5113,C5089)/POBLA!$B$24*100000</f>
        <v>862.59394236942489</v>
      </c>
      <c r="H5401" s="402">
        <f t="shared" si="693"/>
        <v>2.2635490864044594</v>
      </c>
      <c r="I5401" s="403">
        <f t="shared" si="698"/>
        <v>1952.5237301883326</v>
      </c>
      <c r="J5401" s="403">
        <f t="shared" si="699"/>
        <v>1376.1428571428571</v>
      </c>
      <c r="K5401" s="403">
        <f>J5401/POBLA!$B$24*100000</f>
        <v>81.204849665233368</v>
      </c>
      <c r="L5401" s="550">
        <f t="shared" si="694"/>
        <v>-0.93239719157472423</v>
      </c>
      <c r="M5401" s="405">
        <f>SUM(C5401,C5377,C5353,C5329,C5305,C5281,C5257)/POBLA!$B$24*100000</f>
        <v>568.43394765663356</v>
      </c>
    </row>
    <row r="5402" spans="1:13" s="360" customFormat="1" ht="15.75" thickBot="1" x14ac:dyDescent="0.3">
      <c r="A5402" s="363" t="s">
        <v>16</v>
      </c>
      <c r="B5402" s="266">
        <v>44118</v>
      </c>
      <c r="C5402" s="225">
        <v>5175</v>
      </c>
      <c r="D5402" s="174">
        <f>C5402+D5378</f>
        <v>480467</v>
      </c>
      <c r="E5402" s="225">
        <f>1+87+76</f>
        <v>164</v>
      </c>
      <c r="F5402" s="475">
        <f t="shared" si="702"/>
        <v>15180</v>
      </c>
      <c r="G5402" s="175">
        <f>SUM(C5402,C5378,C5354,C5330,C5306,C5282,C5258,C5234,C5210,C5186,C5162,C5138,C5114,C5090)/POBLA!$B$1*100000</f>
        <v>357.95847031843596</v>
      </c>
      <c r="H5402" s="300">
        <f t="shared" ref="H5402:H5465" si="703">SUM(C5402,C5378,C5354,C5330,C5306,C5282,C5258,C5234,C5210,C5186,C5162,C5138,C5114,C5090)/SUM(C5066,C5042,C5018,C4994,C4970,C4946,C4922,C4898,C4874,C4850,C4826,C4802,C4778,C4754)</f>
        <v>0.91071273170307199</v>
      </c>
      <c r="I5402" s="301">
        <f>G5402*H5402</f>
        <v>325.99733633995584</v>
      </c>
      <c r="J5402" s="301">
        <f>AVERAGE(C5402,C5378,C5354,C5330,C5306,C5282,C5258)</f>
        <v>4168.7142857142853</v>
      </c>
      <c r="K5402" s="301">
        <f>J5402/POBLA!$B$1*100000</f>
        <v>23.765354179151089</v>
      </c>
      <c r="L5402" s="548">
        <f t="shared" ref="L5402:L5465" si="704">1-SUM(C5402,C5378,C5354,C5330,C5306,C5282,C5258)/SUM(C5234,C5210,C5186,C5162,C5138,C5114,C5090)</f>
        <v>0.13175042399357317</v>
      </c>
      <c r="M5402" s="400">
        <f>SUM(C5402,C5378,C5354,C5330,C5306,C5282,C5258)/POBLA!$B$1*100000</f>
        <v>166.35747925405764</v>
      </c>
    </row>
    <row r="5403" spans="1:13" s="360" customFormat="1" ht="15.75" thickBot="1" x14ac:dyDescent="0.3">
      <c r="A5403" s="367" t="s">
        <v>43</v>
      </c>
      <c r="B5403" s="266">
        <v>44118</v>
      </c>
      <c r="C5403" s="1">
        <v>825</v>
      </c>
      <c r="D5403" s="39">
        <f t="shared" ref="D5403:D5415" si="705">C5403+D5379</f>
        <v>137061</v>
      </c>
      <c r="E5403" s="1">
        <f>1+24+26</f>
        <v>51</v>
      </c>
      <c r="F5403" s="409">
        <f t="shared" si="702"/>
        <v>4147</v>
      </c>
      <c r="G5403" s="168">
        <f>SUM(C5403,C5379,C5355,C5331,C5307,C5283,C5259,C5235,C5211,C5187,C5163,C5139,C5115,C5091)/POBLA!$B$2*100000</f>
        <v>360.73722398481488</v>
      </c>
      <c r="H5403" s="256">
        <f t="shared" si="703"/>
        <v>0.90225258193055213</v>
      </c>
      <c r="I5403" s="297">
        <f t="shared" ref="I5403:I5425" si="706">G5403*H5403</f>
        <v>325.47609173875912</v>
      </c>
      <c r="J5403" s="297">
        <f t="shared" ref="J5403:J5425" si="707">AVERAGE(C5403,C5379,C5355,C5331,C5307,C5283,C5259)</f>
        <v>752</v>
      </c>
      <c r="K5403" s="297">
        <f>J5403/POBLA!$B$2*100000</f>
        <v>24.450148033941488</v>
      </c>
      <c r="L5403" s="549">
        <f t="shared" si="704"/>
        <v>9.7238895558223293E-2</v>
      </c>
      <c r="M5403" s="401">
        <f>SUM(C5403,C5379,C5355,C5331,C5307,C5283,C5259)/POBLA!$B$2*100000</f>
        <v>171.1510362375904</v>
      </c>
    </row>
    <row r="5404" spans="1:13" s="360" customFormat="1" ht="15.75" thickBot="1" x14ac:dyDescent="0.3">
      <c r="A5404" s="367" t="s">
        <v>28</v>
      </c>
      <c r="B5404" s="266">
        <v>44118</v>
      </c>
      <c r="C5404" s="1">
        <v>8</v>
      </c>
      <c r="D5404" s="39">
        <f t="shared" si="705"/>
        <v>401</v>
      </c>
      <c r="E5404" s="1"/>
      <c r="F5404" s="409">
        <f t="shared" si="702"/>
        <v>0</v>
      </c>
      <c r="G5404" s="168">
        <f>SUM(C5404,C5380,C5356,C5332,C5308,C5284,C5260,C5236,C5212,C5188,C5164,C5140,C5116,C5092)/POBLA!$B$3*100000</f>
        <v>27.440917778344783</v>
      </c>
      <c r="H5404" s="256">
        <f t="shared" si="703"/>
        <v>0.8571428571428571</v>
      </c>
      <c r="I5404" s="297">
        <f t="shared" si="706"/>
        <v>23.52078666715267</v>
      </c>
      <c r="J5404" s="297">
        <f t="shared" si="707"/>
        <v>9.4285714285714288</v>
      </c>
      <c r="K5404" s="297">
        <f>J5404/POBLA!$B$3*100000</f>
        <v>2.2695495906901701</v>
      </c>
      <c r="L5404" s="549">
        <f t="shared" si="704"/>
        <v>-0.375</v>
      </c>
      <c r="M5404" s="401">
        <f>SUM(C5404,C5380,C5356,C5332,C5308,C5284,C5260)/POBLA!$B$3*100000</f>
        <v>15.886847134831191</v>
      </c>
    </row>
    <row r="5405" spans="1:13" s="360" customFormat="1" ht="15.75" thickBot="1" x14ac:dyDescent="0.3">
      <c r="A5405" s="367" t="s">
        <v>15</v>
      </c>
      <c r="B5405" s="266">
        <v>44118</v>
      </c>
      <c r="C5405" s="1">
        <v>192</v>
      </c>
      <c r="D5405" s="39">
        <f t="shared" si="705"/>
        <v>10870</v>
      </c>
      <c r="E5405" s="1">
        <f>1+1</f>
        <v>2</v>
      </c>
      <c r="F5405" s="409">
        <f t="shared" si="702"/>
        <v>346</v>
      </c>
      <c r="G5405" s="168">
        <f>SUM(C5405,C5381,C5357,C5333,C5309,C5285,C5261,C5237,C5213,C5189,C5165,C5141,C5117,C5093)/POBLA!$B$4*100000</f>
        <v>193.18562008267048</v>
      </c>
      <c r="H5405" s="256">
        <f t="shared" si="703"/>
        <v>1.5090791180285343</v>
      </c>
      <c r="I5405" s="297">
        <f t="shared" si="706"/>
        <v>291.53238517015188</v>
      </c>
      <c r="J5405" s="297">
        <f t="shared" si="707"/>
        <v>168.14285714285714</v>
      </c>
      <c r="K5405" s="297">
        <f>J5405/POBLA!$B$4*100000</f>
        <v>13.959081271858505</v>
      </c>
      <c r="L5405" s="549">
        <f t="shared" si="704"/>
        <v>-2.3478260869565171E-2</v>
      </c>
      <c r="M5405" s="401">
        <f>SUM(C5405,C5381,C5357,C5333,C5309,C5285,C5261)/POBLA!$B$4*100000</f>
        <v>97.713568903009516</v>
      </c>
    </row>
    <row r="5406" spans="1:13" s="360" customFormat="1" ht="15.75" thickBot="1" x14ac:dyDescent="0.3">
      <c r="A5406" s="367" t="s">
        <v>29</v>
      </c>
      <c r="B5406" s="266">
        <v>44118</v>
      </c>
      <c r="C5406" s="1">
        <v>236</v>
      </c>
      <c r="D5406" s="39">
        <f t="shared" si="705"/>
        <v>8024</v>
      </c>
      <c r="E5406" s="1"/>
      <c r="F5406" s="409">
        <f t="shared" si="702"/>
        <v>101</v>
      </c>
      <c r="G5406" s="168">
        <f>SUM(C5406,C5382,C5358,C5334,C5310,C5286,C5262,C5238,C5214,C5190,C5166,C5142,C5118,C5094)/POBLA!$B$5*100000</f>
        <v>657.35693722394728</v>
      </c>
      <c r="H5406" s="256">
        <f t="shared" si="703"/>
        <v>2.0284147557328014</v>
      </c>
      <c r="I5406" s="297">
        <f t="shared" si="706"/>
        <v>1333.3925112483755</v>
      </c>
      <c r="J5406" s="297">
        <f t="shared" si="707"/>
        <v>342.85714285714283</v>
      </c>
      <c r="K5406" s="297">
        <f>J5406/POBLA!$B$5*100000</f>
        <v>55.389412959922524</v>
      </c>
      <c r="L5406" s="549">
        <f t="shared" si="704"/>
        <v>-0.43798681845416421</v>
      </c>
      <c r="M5406" s="401">
        <f>SUM(C5406,C5382,C5358,C5334,C5310,C5286,C5262)/POBLA!$B$5*100000</f>
        <v>387.72589071945771</v>
      </c>
    </row>
    <row r="5407" spans="1:13" s="360" customFormat="1" ht="15.75" thickBot="1" x14ac:dyDescent="0.3">
      <c r="A5407" s="367" t="s">
        <v>20</v>
      </c>
      <c r="B5407" s="266">
        <v>44118</v>
      </c>
      <c r="C5407" s="1">
        <v>1606</v>
      </c>
      <c r="D5407" s="39">
        <f t="shared" si="705"/>
        <v>55701</v>
      </c>
      <c r="E5407" s="1">
        <f>15+13</f>
        <v>28</v>
      </c>
      <c r="F5407" s="409">
        <f t="shared" si="702"/>
        <v>718</v>
      </c>
      <c r="G5407" s="168">
        <f>SUM(C5407,C5383,C5359,C5335,C5311,C5287,C5263,C5239,C5215,C5191,C5167,C5143,C5119,C5095)/POBLA!$B$6*100000</f>
        <v>1918.0925070552221</v>
      </c>
      <c r="H5407" s="256">
        <f t="shared" si="703"/>
        <v>1.2064650092597788</v>
      </c>
      <c r="I5407" s="297">
        <f t="shared" si="706"/>
        <v>2314.1114942854911</v>
      </c>
      <c r="J5407" s="297">
        <f t="shared" si="707"/>
        <v>1537</v>
      </c>
      <c r="K5407" s="297">
        <f>J5407/POBLA!$B$6*100000</f>
        <v>137.13406751064639</v>
      </c>
      <c r="L5407" s="549">
        <f t="shared" si="704"/>
        <v>-1.8623707980258697E-3</v>
      </c>
      <c r="M5407" s="401">
        <f>SUM(C5407,C5383,C5359,C5335,C5311,C5287,C5263)/POBLA!$B$6*100000</f>
        <v>959.93847257452478</v>
      </c>
    </row>
    <row r="5408" spans="1:13" s="360" customFormat="1" ht="15.75" thickBot="1" x14ac:dyDescent="0.3">
      <c r="A5408" s="367" t="s">
        <v>30</v>
      </c>
      <c r="B5408" s="266">
        <v>44118</v>
      </c>
      <c r="C5408" s="1">
        <v>54</v>
      </c>
      <c r="D5408" s="39">
        <f t="shared" si="705"/>
        <v>1802</v>
      </c>
      <c r="E5408" s="1"/>
      <c r="F5408" s="409">
        <f t="shared" si="702"/>
        <v>32</v>
      </c>
      <c r="G5408" s="168">
        <f>SUM(C5408,C5384,C5360,C5336,C5312,C5288,C5264,C5240,C5216,C5192,C5168,C5144,C5120,C5096)/POBLA!$B$7*100000</f>
        <v>18.854126500817721</v>
      </c>
      <c r="H5408" s="256">
        <f t="shared" si="703"/>
        <v>2.3791946308724832</v>
      </c>
      <c r="I5408" s="297">
        <f t="shared" si="706"/>
        <v>44.85763654053612</v>
      </c>
      <c r="J5408" s="297">
        <f t="shared" si="707"/>
        <v>63</v>
      </c>
      <c r="K5408" s="297">
        <f>J5408/POBLA!$B$7*100000</f>
        <v>1.6753314098046777</v>
      </c>
      <c r="L5408" s="549">
        <f t="shared" si="704"/>
        <v>-0.64552238805970141</v>
      </c>
      <c r="M5408" s="401">
        <f>SUM(C5408,C5384,C5360,C5336,C5312,C5288,C5264)/POBLA!$B$7*100000</f>
        <v>11.727319868632742</v>
      </c>
    </row>
    <row r="5409" spans="1:13" ht="15.75" thickBot="1" x14ac:dyDescent="0.3">
      <c r="A5409" s="367" t="s">
        <v>31</v>
      </c>
      <c r="B5409" s="266">
        <v>44118</v>
      </c>
      <c r="C5409" s="1">
        <v>299</v>
      </c>
      <c r="D5409" s="39">
        <f t="shared" si="705"/>
        <v>10122</v>
      </c>
      <c r="E5409" s="1">
        <f>2+1</f>
        <v>3</v>
      </c>
      <c r="F5409" s="409">
        <f t="shared" si="702"/>
        <v>196</v>
      </c>
      <c r="G5409" s="168">
        <f>SUM(C5409,C5385,C5361,C5337,C5313,C5289,C5265,C5241,C5217,C5193,C5169,C5145,C5121,C5097)/POBLA!$B$8*100000</f>
        <v>190.40939824425075</v>
      </c>
      <c r="H5409" s="256">
        <f t="shared" si="703"/>
        <v>1.4195804195804196</v>
      </c>
      <c r="I5409" s="297">
        <f t="shared" si="706"/>
        <v>270.30145345162867</v>
      </c>
      <c r="J5409" s="297">
        <f t="shared" si="707"/>
        <v>214.71428571428572</v>
      </c>
      <c r="K5409" s="297">
        <f>J5409/POBLA!$B$8*100000</f>
        <v>15.492087130466567</v>
      </c>
      <c r="L5409" s="549">
        <f t="shared" si="704"/>
        <v>-0.32306338028169024</v>
      </c>
      <c r="M5409" s="401">
        <f>SUM(C5409,C5385,C5361,C5337,C5313,C5289,C5265)/POBLA!$B$8*100000</f>
        <v>108.44460991326595</v>
      </c>
    </row>
    <row r="5410" spans="1:13" s="360" customFormat="1" ht="15.75" thickBot="1" x14ac:dyDescent="0.3">
      <c r="A5410" s="367" t="s">
        <v>41</v>
      </c>
      <c r="B5410" s="266">
        <v>44118</v>
      </c>
      <c r="C5410" s="1">
        <v>1</v>
      </c>
      <c r="D5410" s="39">
        <f t="shared" si="705"/>
        <v>140</v>
      </c>
      <c r="E5410" s="1"/>
      <c r="F5410" s="409">
        <f t="shared" si="702"/>
        <v>1</v>
      </c>
      <c r="G5410" s="168">
        <f>SUM(C5410,C5386,C5362,C5338,C5314,C5290,C5266,C5242,C5218,C5194,C5170,C5146,C5122,C5098)/POBLA!$B$9*100000</f>
        <v>5.948515597503607</v>
      </c>
      <c r="H5410" s="256">
        <f t="shared" si="703"/>
        <v>4.5</v>
      </c>
      <c r="I5410" s="297">
        <f t="shared" si="706"/>
        <v>26.768320188766232</v>
      </c>
      <c r="J5410" s="297">
        <f t="shared" si="707"/>
        <v>5</v>
      </c>
      <c r="K5410" s="297">
        <f>J5410/POBLA!$B$9*100000</f>
        <v>0.82618272187550079</v>
      </c>
      <c r="L5410" s="549">
        <f t="shared" si="704"/>
        <v>-34</v>
      </c>
      <c r="M5410" s="401">
        <f>SUM(C5410,C5386,C5362,C5338,C5314,C5290,C5266)/POBLA!$B$9*100000</f>
        <v>5.7832790531285063</v>
      </c>
    </row>
    <row r="5411" spans="1:13" s="360" customFormat="1" ht="15.75" thickBot="1" x14ac:dyDescent="0.3">
      <c r="A5411" s="367" t="s">
        <v>32</v>
      </c>
      <c r="B5411" s="266">
        <v>44118</v>
      </c>
      <c r="C5411" s="1">
        <v>103</v>
      </c>
      <c r="D5411" s="39">
        <f t="shared" si="705"/>
        <v>16945</v>
      </c>
      <c r="E5411" s="1"/>
      <c r="F5411" s="409">
        <f t="shared" si="702"/>
        <v>630</v>
      </c>
      <c r="G5411" s="168">
        <f>SUM(C5411,C5387,C5363,C5339,C5315,C5291,C5267,C5243,C5219,C5195,C5171,C5147,C5123,C5099)/POBLA!$B$10*100000</f>
        <v>165.39517772522606</v>
      </c>
      <c r="H5411" s="256">
        <f t="shared" si="703"/>
        <v>0.4838709677419355</v>
      </c>
      <c r="I5411" s="297">
        <f t="shared" si="706"/>
        <v>80.029924705754553</v>
      </c>
      <c r="J5411" s="297">
        <f t="shared" si="707"/>
        <v>84.285714285714292</v>
      </c>
      <c r="K5411" s="297">
        <f>J5411/POBLA!$B$10*100000</f>
        <v>10.933686818810465</v>
      </c>
      <c r="L5411" s="549">
        <f t="shared" si="704"/>
        <v>0.13868613138686137</v>
      </c>
      <c r="M5411" s="401">
        <f>SUM(C5411,C5387,C5363,C5339,C5315,C5291,C5267)/POBLA!$B$10*100000</f>
        <v>76.535807731673245</v>
      </c>
    </row>
    <row r="5412" spans="1:13" s="360" customFormat="1" ht="15.75" thickBot="1" x14ac:dyDescent="0.3">
      <c r="A5412" s="367" t="s">
        <v>33</v>
      </c>
      <c r="B5412" s="266">
        <v>44118</v>
      </c>
      <c r="C5412" s="1">
        <v>101</v>
      </c>
      <c r="D5412" s="39">
        <f t="shared" si="705"/>
        <v>1272</v>
      </c>
      <c r="E5412" s="1">
        <f>2+1</f>
        <v>3</v>
      </c>
      <c r="F5412" s="409">
        <f t="shared" ref="F5412:F5423" si="708">E5412+F5388</f>
        <v>16</v>
      </c>
      <c r="G5412" s="168">
        <f>SUM(C5412,C5388,C5364,C5340,C5316,C5292,C5268,C5244,C5220,C5196,C5172,C5148,C5124,C5100)/POBLA!$B$11*100000</f>
        <v>142.00899483299295</v>
      </c>
      <c r="H5412" s="256">
        <f t="shared" si="703"/>
        <v>1.9728682170542635</v>
      </c>
      <c r="I5412" s="297">
        <f t="shared" si="706"/>
        <v>280.16503244183491</v>
      </c>
      <c r="J5412" s="297">
        <f t="shared" si="707"/>
        <v>48.857142857142854</v>
      </c>
      <c r="K5412" s="297">
        <f>J5412/POBLA!$B$11*100000</f>
        <v>13.630950388123376</v>
      </c>
      <c r="L5412" s="549">
        <f t="shared" si="704"/>
        <v>-1.0479041916167664</v>
      </c>
      <c r="M5412" s="401">
        <f>SUM(C5412,C5388,C5364,C5340,C5316,C5292,C5268)/POBLA!$B$11*100000</f>
        <v>95.416652716863638</v>
      </c>
    </row>
    <row r="5413" spans="1:13" s="360" customFormat="1" ht="15.75" thickBot="1" x14ac:dyDescent="0.3">
      <c r="A5413" s="367" t="s">
        <v>21</v>
      </c>
      <c r="B5413" s="266">
        <v>44118</v>
      </c>
      <c r="C5413" s="1">
        <v>87</v>
      </c>
      <c r="D5413" s="39">
        <f t="shared" si="705"/>
        <v>6118</v>
      </c>
      <c r="E5413" s="1">
        <f>4</f>
        <v>4</v>
      </c>
      <c r="F5413" s="409">
        <f t="shared" si="708"/>
        <v>186</v>
      </c>
      <c r="G5413" s="168">
        <f>SUM(C5413,C5389,C5365,C5341,C5317,C5293,C5269,C5245,C5221,C5197,C5173,C5149,C5125,C5101)/POBLA!$B$12*100000</f>
        <v>327.80136761779886</v>
      </c>
      <c r="H5413" s="256">
        <f t="shared" si="703"/>
        <v>0.76016499705362406</v>
      </c>
      <c r="I5413" s="297">
        <f t="shared" si="706"/>
        <v>249.183125649358</v>
      </c>
      <c r="J5413" s="297">
        <f t="shared" si="707"/>
        <v>98.285714285714292</v>
      </c>
      <c r="K5413" s="297">
        <f>J5413/POBLA!$B$12*100000</f>
        <v>24.975342294689437</v>
      </c>
      <c r="L5413" s="549">
        <f t="shared" si="704"/>
        <v>-0.14285714285714279</v>
      </c>
      <c r="M5413" s="401">
        <f>SUM(C5413,C5389,C5365,C5341,C5317,C5293,C5269)/POBLA!$B$12*100000</f>
        <v>174.82739606282607</v>
      </c>
    </row>
    <row r="5414" spans="1:13" s="360" customFormat="1" ht="15.75" thickBot="1" x14ac:dyDescent="0.3">
      <c r="A5414" s="367" t="s">
        <v>17</v>
      </c>
      <c r="B5414" s="266">
        <v>44118</v>
      </c>
      <c r="C5414" s="1">
        <v>925</v>
      </c>
      <c r="D5414" s="39">
        <f t="shared" si="705"/>
        <v>33977</v>
      </c>
      <c r="E5414" s="1">
        <f>6+3</f>
        <v>9</v>
      </c>
      <c r="F5414" s="409">
        <f t="shared" si="708"/>
        <v>453</v>
      </c>
      <c r="G5414" s="168">
        <f>SUM(C5414,C5390,C5366,C5342,C5318,C5294,C5270,C5246,C5222,C5198,C5174,C5150,C5126,C5102)/POBLA!$B$13*100000</f>
        <v>448.56702730892943</v>
      </c>
      <c r="H5414" s="256">
        <f t="shared" si="703"/>
        <v>1.037415756448989</v>
      </c>
      <c r="I5414" s="297">
        <f t="shared" si="706"/>
        <v>465.35050195376732</v>
      </c>
      <c r="J5414" s="297">
        <f t="shared" si="707"/>
        <v>663</v>
      </c>
      <c r="K5414" s="297">
        <f>J5414/POBLA!$B$13*100000</f>
        <v>33.310925079056922</v>
      </c>
      <c r="L5414" s="549">
        <f t="shared" si="704"/>
        <v>-8.2575227431770371E-2</v>
      </c>
      <c r="M5414" s="401">
        <f>SUM(C5414,C5390,C5366,C5342,C5318,C5294,C5270)/POBLA!$B$13*100000</f>
        <v>233.17647555339849</v>
      </c>
    </row>
    <row r="5415" spans="1:13" s="360" customFormat="1" ht="15.75" thickBot="1" x14ac:dyDescent="0.3">
      <c r="A5415" s="367" t="s">
        <v>23</v>
      </c>
      <c r="B5415" s="266">
        <v>44118</v>
      </c>
      <c r="C5415" s="1">
        <v>3</v>
      </c>
      <c r="D5415" s="39">
        <f t="shared" si="705"/>
        <v>189</v>
      </c>
      <c r="E5415" s="1"/>
      <c r="F5415" s="409">
        <f t="shared" si="708"/>
        <v>4</v>
      </c>
      <c r="G5415" s="168">
        <f>SUM(C5415,C5391,C5367,C5343,C5319,C5295,C5271,C5247,C5223,C5199,C5175,C5151,C5127,C5103)/POBLA!$B$14*100000</f>
        <v>7.3733800366924758</v>
      </c>
      <c r="H5415" s="256">
        <f t="shared" si="703"/>
        <v>2.8181818181818183</v>
      </c>
      <c r="I5415" s="297">
        <f t="shared" si="706"/>
        <v>20.779525557951523</v>
      </c>
      <c r="J5415" s="297">
        <f t="shared" si="707"/>
        <v>9.1428571428571423</v>
      </c>
      <c r="K5415" s="297">
        <f>J5415/POBLA!$B$14*100000</f>
        <v>0.72487914339219428</v>
      </c>
      <c r="L5415" s="549">
        <f t="shared" si="704"/>
        <v>-1.2068965517241379</v>
      </c>
      <c r="M5415" s="401">
        <f>SUM(C5415,C5391,C5367,C5343,C5319,C5295,C5271)/POBLA!$B$14*100000</f>
        <v>5.0741540037453596</v>
      </c>
    </row>
    <row r="5416" spans="1:13" s="360" customFormat="1" ht="15.75" thickBot="1" x14ac:dyDescent="0.3">
      <c r="A5416" s="367" t="s">
        <v>19</v>
      </c>
      <c r="B5416" s="266">
        <v>44118</v>
      </c>
      <c r="C5416" s="1">
        <v>296</v>
      </c>
      <c r="D5416" s="39">
        <f>C5416+D5392</f>
        <v>12984</v>
      </c>
      <c r="E5416" s="1">
        <f>5+3</f>
        <v>8</v>
      </c>
      <c r="F5416" s="409">
        <f t="shared" si="708"/>
        <v>205</v>
      </c>
      <c r="G5416" s="168">
        <f>SUM(C5416,C5392,C5368,C5344,C5320,C5296,C5272,C5248,C5224,C5200,C5176,C5152,C5128,C5104)/POBLA!$B$15*100000</f>
        <v>766.65105555697778</v>
      </c>
      <c r="H5416" s="256">
        <f t="shared" si="703"/>
        <v>2.000392927308448</v>
      </c>
      <c r="I5416" s="297">
        <f t="shared" si="706"/>
        <v>1533.6033492497343</v>
      </c>
      <c r="J5416" s="297">
        <f t="shared" si="707"/>
        <v>327.71428571428572</v>
      </c>
      <c r="K5416" s="297">
        <f>J5416/POBLA!$B$15*100000</f>
        <v>49.350324703193515</v>
      </c>
      <c r="L5416" s="549">
        <f t="shared" si="704"/>
        <v>0.17983553807651054</v>
      </c>
      <c r="M5416" s="401">
        <f>SUM(C5416,C5392,C5368,C5344,C5320,C5296,C5272)/POBLA!$B$15*100000</f>
        <v>345.45227292235455</v>
      </c>
    </row>
    <row r="5417" spans="1:13" s="360" customFormat="1" ht="15.75" thickBot="1" x14ac:dyDescent="0.3">
      <c r="A5417" s="367" t="s">
        <v>18</v>
      </c>
      <c r="B5417" s="266">
        <v>44118</v>
      </c>
      <c r="C5417" s="1">
        <v>361</v>
      </c>
      <c r="D5417" s="39">
        <f>C5417+D5393</f>
        <v>17493</v>
      </c>
      <c r="E5417" s="1">
        <f>10+4</f>
        <v>14</v>
      </c>
      <c r="F5417" s="409">
        <f t="shared" si="708"/>
        <v>388</v>
      </c>
      <c r="G5417" s="168">
        <f>SUM(C5417,C5393,C5369,C5345,C5321,C5297,C5273,C5249,C5225,C5201,C5177,C5153,C5129,C5105)/POBLA!$B$16*100000</f>
        <v>622.51708778641273</v>
      </c>
      <c r="H5417" s="256">
        <f t="shared" si="703"/>
        <v>1.3777383066903492</v>
      </c>
      <c r="I5417" s="297">
        <f t="shared" si="706"/>
        <v>857.66563841265975</v>
      </c>
      <c r="J5417" s="297">
        <f t="shared" si="707"/>
        <v>357.42857142857144</v>
      </c>
      <c r="K5417" s="297">
        <f>J5417/POBLA!$B$16*100000</f>
        <v>47.809495783706943</v>
      </c>
      <c r="L5417" s="549">
        <f t="shared" si="704"/>
        <v>-0.16263940520446107</v>
      </c>
      <c r="M5417" s="401">
        <f>SUM(C5417,C5393,C5369,C5345,C5321,C5297,C5273)/POBLA!$B$16*100000</f>
        <v>334.66647048594854</v>
      </c>
    </row>
    <row r="5418" spans="1:13" s="360" customFormat="1" ht="15.75" thickBot="1" x14ac:dyDescent="0.3">
      <c r="A5418" s="367" t="s">
        <v>34</v>
      </c>
      <c r="B5418" s="266">
        <v>44118</v>
      </c>
      <c r="C5418" s="1">
        <v>150</v>
      </c>
      <c r="D5418" s="39">
        <f>C5418+D5394</f>
        <v>15754</v>
      </c>
      <c r="E5418" s="1">
        <f>6+3</f>
        <v>9</v>
      </c>
      <c r="F5418" s="409">
        <f>E5418+F5394</f>
        <v>552</v>
      </c>
      <c r="G5418" s="168">
        <f>SUM(C5418,C5394,C5370,C5346,C5322,C5298,C5274,C5250,C5226,C5202,C5178,C5154,C5130,C5106)/POBLA!$B$17*100000</f>
        <v>234.41498402481895</v>
      </c>
      <c r="H5418" s="256">
        <f t="shared" si="703"/>
        <v>0.69664093469643229</v>
      </c>
      <c r="I5418" s="297">
        <f t="shared" si="706"/>
        <v>163.30307357789911</v>
      </c>
      <c r="J5418" s="297">
        <f t="shared" si="707"/>
        <v>214.71428571428572</v>
      </c>
      <c r="K5418" s="297">
        <f>J5418/POBLA!$B$17*100000</f>
        <v>15.074047875296404</v>
      </c>
      <c r="L5418" s="549">
        <f t="shared" si="704"/>
        <v>0.18137254901960786</v>
      </c>
      <c r="M5418" s="401">
        <f>SUM(C5418,C5394,C5370,C5346,C5322,C5298,C5274)/POBLA!$B$17*100000</f>
        <v>105.51833512707483</v>
      </c>
    </row>
    <row r="5419" spans="1:13" s="360" customFormat="1" ht="15.75" thickBot="1" x14ac:dyDescent="0.3">
      <c r="A5419" s="367" t="s">
        <v>35</v>
      </c>
      <c r="B5419" s="266">
        <v>44118</v>
      </c>
      <c r="C5419" s="1">
        <v>5</v>
      </c>
      <c r="D5419" s="39">
        <f t="shared" ref="D5419:D5425" si="709">C5419+D5395</f>
        <v>1273</v>
      </c>
      <c r="E5419" s="1"/>
      <c r="F5419" s="409">
        <f>E5419+F5395</f>
        <v>51</v>
      </c>
      <c r="G5419" s="168">
        <f>SUM(C5419,C5395,C5371,C5347,C5323,C5299,C5275,C5251,C5227,C5203,C5179,C5155,C5131,C5107)/POBLA!$B$18*100000</f>
        <v>71.171006263304562</v>
      </c>
      <c r="H5419" s="256">
        <f t="shared" si="703"/>
        <v>1.9238754325259515</v>
      </c>
      <c r="I5419" s="297">
        <f t="shared" si="706"/>
        <v>136.92415045812226</v>
      </c>
      <c r="J5419" s="297">
        <f t="shared" si="707"/>
        <v>40</v>
      </c>
      <c r="K5419" s="297">
        <f>J5419/POBLA!$B$18*100000</f>
        <v>5.1202162779355795</v>
      </c>
      <c r="L5419" s="549">
        <f t="shared" si="704"/>
        <v>-1.449275362318847E-2</v>
      </c>
      <c r="M5419" s="401">
        <f>SUM(C5419,C5395,C5371,C5347,C5323,C5299,C5275)/POBLA!$B$18*100000</f>
        <v>35.84151394554906</v>
      </c>
    </row>
    <row r="5420" spans="1:13" s="360" customFormat="1" ht="15.75" thickBot="1" x14ac:dyDescent="0.3">
      <c r="A5420" s="367" t="s">
        <v>36</v>
      </c>
      <c r="B5420" s="266">
        <v>44118</v>
      </c>
      <c r="C5420" s="1">
        <v>151</v>
      </c>
      <c r="D5420" s="39">
        <f t="shared" si="709"/>
        <v>2567</v>
      </c>
      <c r="E5420" s="1">
        <f>1</f>
        <v>1</v>
      </c>
      <c r="F5420" s="409">
        <f t="shared" si="708"/>
        <v>34</v>
      </c>
      <c r="G5420" s="168">
        <f>SUM(C5420,C5396,C5372,C5348,C5324,C5300,C5276,C5252,C5228,C5204,C5180,C5156,C5132,C5108)/POBLA!$B$19*100000</f>
        <v>215.4120961269102</v>
      </c>
      <c r="H5420" s="256">
        <f t="shared" si="703"/>
        <v>1.1358921161825726</v>
      </c>
      <c r="I5420" s="297">
        <f t="shared" si="706"/>
        <v>244.68490172091978</v>
      </c>
      <c r="J5420" s="297">
        <f t="shared" si="707"/>
        <v>82.428571428571431</v>
      </c>
      <c r="K5420" s="297">
        <f>J5420/POBLA!$B$19*100000</f>
        <v>16.215626805639555</v>
      </c>
      <c r="L5420" s="549">
        <f t="shared" si="704"/>
        <v>-0.11389961389961401</v>
      </c>
      <c r="M5420" s="401">
        <f>SUM(C5420,C5396,C5372,C5348,C5324,C5300,C5276)/POBLA!$B$19*100000</f>
        <v>113.50938763947688</v>
      </c>
    </row>
    <row r="5421" spans="1:13" s="360" customFormat="1" ht="15.75" thickBot="1" x14ac:dyDescent="0.3">
      <c r="A5421" s="367" t="s">
        <v>37</v>
      </c>
      <c r="B5421" s="266">
        <v>44118</v>
      </c>
      <c r="C5421" s="1">
        <v>195</v>
      </c>
      <c r="D5421" s="39">
        <f t="shared" si="709"/>
        <v>6709</v>
      </c>
      <c r="E5421" s="1">
        <f>1</f>
        <v>1</v>
      </c>
      <c r="F5421" s="409">
        <f>E5421+F5397</f>
        <v>92</v>
      </c>
      <c r="G5421" s="168">
        <f>SUM(C5421,C5397,C5373,C5349,C5325,C5301,C5277,C5253,C5229,C5205,C5181,C5157,C5133,C5109)/POBLA!$B$20*100000</f>
        <v>509.98364770931204</v>
      </c>
      <c r="H5421" s="256">
        <f t="shared" si="703"/>
        <v>1.1894132653061225</v>
      </c>
      <c r="I5421" s="297">
        <f t="shared" si="706"/>
        <v>606.58131567466</v>
      </c>
      <c r="J5421" s="297">
        <f t="shared" si="707"/>
        <v>132.71428571428572</v>
      </c>
      <c r="K5421" s="297">
        <f>J5421/POBLA!$B$20*100000</f>
        <v>36.29067856928004</v>
      </c>
      <c r="L5421" s="549">
        <f t="shared" si="704"/>
        <v>7.4786324786324521E-3</v>
      </c>
      <c r="M5421" s="401">
        <f>SUM(C5421,C5397,C5373,C5349,C5325,C5301,C5277)/POBLA!$B$20*100000</f>
        <v>254.03474998496029</v>
      </c>
    </row>
    <row r="5422" spans="1:13" s="360" customFormat="1" ht="15.75" thickBot="1" x14ac:dyDescent="0.3">
      <c r="A5422" s="367" t="s">
        <v>22</v>
      </c>
      <c r="B5422" s="266">
        <v>44118</v>
      </c>
      <c r="C5422" s="1">
        <v>2470</v>
      </c>
      <c r="D5422" s="39">
        <f t="shared" si="709"/>
        <v>69369</v>
      </c>
      <c r="E5422" s="1">
        <f>24+17</f>
        <v>41</v>
      </c>
      <c r="F5422" s="409">
        <f>E5422+F5398</f>
        <v>748</v>
      </c>
      <c r="G5422" s="168">
        <f>SUM(C5422,C5398,C5374,C5350,C5326,C5302,C5278,C5254,C5230,C5206,C5182,C5158,C5134,C5110)/POBLA!$B$21*100000</f>
        <v>762.66436829582926</v>
      </c>
      <c r="H5422" s="256">
        <f t="shared" si="703"/>
        <v>1.3013123612853421</v>
      </c>
      <c r="I5422" s="297">
        <f t="shared" si="706"/>
        <v>992.46456997523944</v>
      </c>
      <c r="J5422" s="297">
        <f t="shared" si="707"/>
        <v>2048.1428571428573</v>
      </c>
      <c r="K5422" s="297">
        <f>J5422/POBLA!$B$21*100000</f>
        <v>57.915745738848102</v>
      </c>
      <c r="L5422" s="549">
        <f t="shared" si="704"/>
        <v>-0.13479499762545522</v>
      </c>
      <c r="M5422" s="401">
        <f>SUM(C5422,C5398,C5374,C5350,C5326,C5302,C5278)/POBLA!$B$21*100000</f>
        <v>405.41022017193671</v>
      </c>
    </row>
    <row r="5423" spans="1:13" s="360" customFormat="1" ht="15.75" thickBot="1" x14ac:dyDescent="0.3">
      <c r="A5423" s="367" t="s">
        <v>38</v>
      </c>
      <c r="B5423" s="266">
        <v>44118</v>
      </c>
      <c r="C5423" s="1">
        <v>153</v>
      </c>
      <c r="D5423" s="39">
        <f t="shared" si="709"/>
        <v>5698</v>
      </c>
      <c r="E5423" s="1">
        <f>2+2</f>
        <v>4</v>
      </c>
      <c r="F5423" s="409">
        <f t="shared" si="708"/>
        <v>92</v>
      </c>
      <c r="G5423" s="168">
        <f>SUM(C5423,C5399,C5375,C5351,C5327,C5303,C5279,C5255,C5231,C5207,C5183,C5159,C5135,C5111)/POBLA!$B$22*100000</f>
        <v>232.95203068956459</v>
      </c>
      <c r="H5423" s="256">
        <f t="shared" si="703"/>
        <v>1.6538461538461537</v>
      </c>
      <c r="I5423" s="297">
        <f t="shared" si="706"/>
        <v>385.26681998658756</v>
      </c>
      <c r="J5423" s="297">
        <f t="shared" si="707"/>
        <v>210</v>
      </c>
      <c r="K5423" s="297">
        <f>J5423/POBLA!$B$22*100000</f>
        <v>21.465522792807619</v>
      </c>
      <c r="L5423" s="549">
        <f t="shared" si="704"/>
        <v>-0.81705809641532756</v>
      </c>
      <c r="M5423" s="401">
        <f>SUM(C5423,C5399,C5375,C5351,C5327,C5303,C5279)/POBLA!$B$22*100000</f>
        <v>150.25865954965334</v>
      </c>
    </row>
    <row r="5424" spans="1:13" s="360" customFormat="1" ht="15.75" thickBot="1" x14ac:dyDescent="0.3">
      <c r="A5424" s="367" t="s">
        <v>39</v>
      </c>
      <c r="B5424" s="266">
        <v>44118</v>
      </c>
      <c r="C5424" s="1">
        <v>295</v>
      </c>
      <c r="D5424" s="39">
        <f t="shared" si="709"/>
        <v>7189</v>
      </c>
      <c r="E5424" s="1">
        <f>1+3</f>
        <v>4</v>
      </c>
      <c r="F5424" s="409">
        <f t="shared" ref="F5424:F5435" si="710">E5424+F5400</f>
        <v>91</v>
      </c>
      <c r="G5424" s="168">
        <f>SUM(C5424,C5400,C5376,C5352,C5328,C5304,C5280,C5256,C5232,C5208,C5184,C5160,C5136,C5112)/POBLA!$B$23*100000</f>
        <v>1598.1451111236781</v>
      </c>
      <c r="H5424" s="256">
        <f t="shared" si="703"/>
        <v>1.9329685362517099</v>
      </c>
      <c r="I5424" s="297">
        <f t="shared" si="706"/>
        <v>3089.1642161665623</v>
      </c>
      <c r="J5424" s="297">
        <f t="shared" si="707"/>
        <v>221.85714285714286</v>
      </c>
      <c r="K5424" s="297">
        <f>J5424/POBLA!$B$23*100000</f>
        <v>125.46352024947286</v>
      </c>
      <c r="L5424" s="549">
        <f t="shared" si="704"/>
        <v>-0.21995286724273377</v>
      </c>
      <c r="M5424" s="401">
        <f>SUM(C5424,C5400,C5376,C5352,C5328,C5304,C5280)/POBLA!$B$23*100000</f>
        <v>878.24464174630998</v>
      </c>
    </row>
    <row r="5425" spans="1:13" s="360" customFormat="1" ht="15.75" thickBot="1" x14ac:dyDescent="0.3">
      <c r="A5425" s="368" t="s">
        <v>40</v>
      </c>
      <c r="B5425" s="34">
        <v>44118</v>
      </c>
      <c r="C5425" s="232">
        <v>1241</v>
      </c>
      <c r="D5425" s="67">
        <f t="shared" si="709"/>
        <v>30034</v>
      </c>
      <c r="E5425" s="232">
        <f>4</f>
        <v>4</v>
      </c>
      <c r="F5425" s="477">
        <f t="shared" si="710"/>
        <v>414</v>
      </c>
      <c r="G5425" s="177">
        <f>SUM(C5425,C5401,C5377,C5353,C5329,C5305,C5281,C5257,C5233,C5209,C5185,C5161,C5137,C5113)/POBLA!$B$24*100000</f>
        <v>892.21647343177608</v>
      </c>
      <c r="H5425" s="402">
        <f t="shared" si="703"/>
        <v>2.2436563288321709</v>
      </c>
      <c r="I5425" s="403">
        <f t="shared" si="706"/>
        <v>2001.827137303525</v>
      </c>
      <c r="J5425" s="403">
        <f t="shared" si="707"/>
        <v>1236.7142857142858</v>
      </c>
      <c r="K5425" s="403">
        <f>J5425/POBLA!$B$24*100000</f>
        <v>72.977305465786912</v>
      </c>
      <c r="L5425" s="550">
        <f t="shared" si="704"/>
        <v>-0.3394708339780288</v>
      </c>
      <c r="M5425" s="405">
        <f>SUM(C5425,C5401,C5377,C5353,C5329,C5305,C5281)/POBLA!$B$24*100000</f>
        <v>510.84113826050833</v>
      </c>
    </row>
    <row r="5426" spans="1:13" s="360" customFormat="1" x14ac:dyDescent="0.25">
      <c r="A5426" s="363" t="s">
        <v>16</v>
      </c>
      <c r="B5426" s="265">
        <v>44119</v>
      </c>
      <c r="C5426" s="43">
        <v>5756</v>
      </c>
      <c r="D5426" s="174">
        <f>C5426+D5402</f>
        <v>486223</v>
      </c>
      <c r="E5426" s="43">
        <v>193</v>
      </c>
      <c r="F5426" s="475">
        <f t="shared" si="710"/>
        <v>15373</v>
      </c>
      <c r="G5426" s="175">
        <f>SUM(C5426,C5402,C5378,C5354,C5330,C5306,C5282,C5258,C5234,C5210,C5186,C5162,C5138,C5114)/POBLA!$B$1*100000</f>
        <v>359.94807863410938</v>
      </c>
      <c r="H5426" s="300">
        <f t="shared" si="703"/>
        <v>0.92805068054208195</v>
      </c>
      <c r="I5426" s="301">
        <f>G5426*H5426</f>
        <v>334.05005933620004</v>
      </c>
      <c r="J5426" s="301">
        <f>AVERAGE(C5426,C5402,C5378,C5354,C5330,C5306,C5282)</f>
        <v>4250.4285714285716</v>
      </c>
      <c r="K5426" s="301">
        <f>J5426/POBLA!$B$1*100000</f>
        <v>24.231197796246956</v>
      </c>
      <c r="L5426" s="548">
        <f t="shared" si="704"/>
        <v>0.10881806745342359</v>
      </c>
      <c r="M5426" s="400">
        <f>SUM(C5426,C5402,C5378,C5354,C5330,C5306,C5282)/POBLA!$B$1*100000</f>
        <v>169.61838457372869</v>
      </c>
    </row>
    <row r="5427" spans="1:13" s="360" customFormat="1" x14ac:dyDescent="0.25">
      <c r="A5427" s="367" t="s">
        <v>43</v>
      </c>
      <c r="B5427" s="2">
        <v>44119</v>
      </c>
      <c r="C5427" s="1">
        <v>830</v>
      </c>
      <c r="D5427" s="39">
        <f t="shared" ref="D5427:D5439" si="711">C5427+D5403</f>
        <v>137891</v>
      </c>
      <c r="E5427" s="1">
        <v>58</v>
      </c>
      <c r="F5427" s="409">
        <f t="shared" si="710"/>
        <v>4205</v>
      </c>
      <c r="G5427" s="168">
        <f>SUM(C5427,C5403,C5379,C5355,C5331,C5307,C5283,C5259,C5235,C5211,C5187,C5163,C5139,C5115)/POBLA!$B$2*100000</f>
        <v>357.68095548057221</v>
      </c>
      <c r="H5427" s="256">
        <f t="shared" si="703"/>
        <v>0.91181102362204725</v>
      </c>
      <c r="I5427" s="297">
        <f t="shared" ref="I5427:I5449" si="712">G5427*H5427</f>
        <v>326.13743814685245</v>
      </c>
      <c r="J5427" s="297">
        <f t="shared" ref="J5427:J5449" si="713">AVERAGE(C5427,C5403,C5379,C5355,C5331,C5307,C5283)</f>
        <v>736.71428571428567</v>
      </c>
      <c r="K5427" s="297">
        <f>J5427/POBLA!$B$2*100000</f>
        <v>23.953156043129987</v>
      </c>
      <c r="L5427" s="549">
        <f t="shared" si="704"/>
        <v>0.11755646817248455</v>
      </c>
      <c r="M5427" s="401">
        <f>SUM(C5427,C5403,C5379,C5355,C5331,C5307,C5283)/POBLA!$B$2*100000</f>
        <v>167.67209230190991</v>
      </c>
    </row>
    <row r="5428" spans="1:13" s="360" customFormat="1" x14ac:dyDescent="0.25">
      <c r="A5428" s="367" t="s">
        <v>28</v>
      </c>
      <c r="B5428" s="2">
        <v>44119</v>
      </c>
      <c r="C5428" s="1">
        <v>6</v>
      </c>
      <c r="D5428" s="39">
        <f t="shared" si="711"/>
        <v>407</v>
      </c>
      <c r="E5428" s="1"/>
      <c r="F5428" s="409">
        <f t="shared" si="710"/>
        <v>0</v>
      </c>
      <c r="G5428" s="168">
        <f>SUM(C5428,C5404,C5380,C5356,C5332,C5308,C5284,C5260,C5236,C5212,C5188,C5164,C5140,C5116)/POBLA!$B$3*100000</f>
        <v>27.681627583417981</v>
      </c>
      <c r="H5428" s="256">
        <f t="shared" si="703"/>
        <v>1</v>
      </c>
      <c r="I5428" s="297">
        <f t="shared" si="712"/>
        <v>27.681627583417981</v>
      </c>
      <c r="J5428" s="297">
        <f t="shared" si="713"/>
        <v>7.7142857142857144</v>
      </c>
      <c r="K5428" s="297">
        <f>J5428/POBLA!$B$3*100000</f>
        <v>1.8569042105646845</v>
      </c>
      <c r="L5428" s="549">
        <f t="shared" si="704"/>
        <v>0.11475409836065575</v>
      </c>
      <c r="M5428" s="401">
        <f>SUM(C5428,C5404,C5380,C5356,C5332,C5308,C5284)/POBLA!$B$3*100000</f>
        <v>12.998329473952792</v>
      </c>
    </row>
    <row r="5429" spans="1:13" s="360" customFormat="1" x14ac:dyDescent="0.25">
      <c r="A5429" s="367" t="s">
        <v>15</v>
      </c>
      <c r="B5429" s="2">
        <v>44119</v>
      </c>
      <c r="C5429" s="1">
        <v>197</v>
      </c>
      <c r="D5429" s="39">
        <f t="shared" si="711"/>
        <v>11067</v>
      </c>
      <c r="E5429" s="1">
        <v>5</v>
      </c>
      <c r="F5429" s="409">
        <f t="shared" si="710"/>
        <v>351</v>
      </c>
      <c r="G5429" s="168">
        <f>SUM(C5429,C5405,C5381,C5357,C5333,C5309,C5285,C5261,C5237,C5213,C5189,C5165,C5141,C5117)/POBLA!$B$4*100000</f>
        <v>192.93656255785399</v>
      </c>
      <c r="H5429" s="256">
        <f t="shared" si="703"/>
        <v>1.4222766217870257</v>
      </c>
      <c r="I5429" s="297">
        <f t="shared" si="712"/>
        <v>274.40916241398571</v>
      </c>
      <c r="J5429" s="297">
        <f t="shared" si="713"/>
        <v>174</v>
      </c>
      <c r="K5429" s="297">
        <f>J5429/POBLA!$B$4*100000</f>
        <v>14.445336439357398</v>
      </c>
      <c r="L5429" s="549">
        <f t="shared" si="704"/>
        <v>-0.10126582278481022</v>
      </c>
      <c r="M5429" s="401">
        <f>SUM(C5429,C5405,C5381,C5357,C5333,C5309,C5285)/POBLA!$B$4*100000</f>
        <v>101.11735507550179</v>
      </c>
    </row>
    <row r="5430" spans="1:13" s="360" customFormat="1" x14ac:dyDescent="0.25">
      <c r="A5430" s="367" t="s">
        <v>29</v>
      </c>
      <c r="B5430" s="2">
        <v>44119</v>
      </c>
      <c r="C5430" s="1">
        <v>245</v>
      </c>
      <c r="D5430" s="39">
        <f t="shared" si="711"/>
        <v>8269</v>
      </c>
      <c r="E5430" s="1">
        <v>9</v>
      </c>
      <c r="F5430" s="409">
        <f t="shared" si="710"/>
        <v>110</v>
      </c>
      <c r="G5430" s="168">
        <f>SUM(C5430,C5406,C5382,C5358,C5334,C5310,C5286,C5262,C5238,C5214,C5190,C5166,C5142,C5118)/POBLA!$B$5*100000</f>
        <v>666.56542712853445</v>
      </c>
      <c r="H5430" s="256">
        <f t="shared" si="703"/>
        <v>1.9656979514054311</v>
      </c>
      <c r="I5430" s="297">
        <f t="shared" si="712"/>
        <v>1310.2662945842465</v>
      </c>
      <c r="J5430" s="297">
        <f t="shared" si="713"/>
        <v>333.28571428571428</v>
      </c>
      <c r="K5430" s="297">
        <f>J5430/POBLA!$B$5*100000</f>
        <v>53.843125181458028</v>
      </c>
      <c r="L5430" s="549">
        <f t="shared" si="704"/>
        <v>-0.30117122141662023</v>
      </c>
      <c r="M5430" s="401">
        <f>SUM(C5430,C5406,C5382,C5358,C5334,C5310,C5286)/POBLA!$B$5*100000</f>
        <v>376.90187627020617</v>
      </c>
    </row>
    <row r="5431" spans="1:13" s="360" customFormat="1" x14ac:dyDescent="0.25">
      <c r="A5431" s="367" t="s">
        <v>20</v>
      </c>
      <c r="B5431" s="2">
        <v>44119</v>
      </c>
      <c r="C5431" s="1">
        <v>2082</v>
      </c>
      <c r="D5431" s="39">
        <f t="shared" si="711"/>
        <v>57783</v>
      </c>
      <c r="E5431" s="1">
        <v>44</v>
      </c>
      <c r="F5431" s="409">
        <f t="shared" si="710"/>
        <v>762</v>
      </c>
      <c r="G5431" s="168">
        <f>SUM(C5431,C5407,C5383,C5359,C5335,C5311,C5287,C5263,C5239,C5215,C5191,C5167,C5143,C5119)/POBLA!$B$6*100000</f>
        <v>1928.4422479994216</v>
      </c>
      <c r="H5431" s="256">
        <f t="shared" si="703"/>
        <v>1.1359049821315956</v>
      </c>
      <c r="I5431" s="297">
        <f t="shared" si="712"/>
        <v>2190.5271572555971</v>
      </c>
      <c r="J5431" s="297">
        <f t="shared" si="713"/>
        <v>1535.8571428571429</v>
      </c>
      <c r="K5431" s="297">
        <f>J5431/POBLA!$B$6*100000</f>
        <v>137.03209961957054</v>
      </c>
      <c r="L5431" s="549">
        <f t="shared" si="704"/>
        <v>1.031022737733589E-2</v>
      </c>
      <c r="M5431" s="401">
        <f>SUM(C5431,C5407,C5383,C5359,C5335,C5311,C5287)/POBLA!$B$6*100000</f>
        <v>959.22469733699393</v>
      </c>
    </row>
    <row r="5432" spans="1:13" s="360" customFormat="1" x14ac:dyDescent="0.25">
      <c r="A5432" s="367" t="s">
        <v>30</v>
      </c>
      <c r="B5432" s="2">
        <v>44119</v>
      </c>
      <c r="C5432" s="1">
        <v>72</v>
      </c>
      <c r="D5432" s="39">
        <f t="shared" si="711"/>
        <v>1874</v>
      </c>
      <c r="E5432" s="1"/>
      <c r="F5432" s="409">
        <f t="shared" si="710"/>
        <v>32</v>
      </c>
      <c r="G5432" s="168">
        <f>SUM(C5432,C5408,C5384,C5360,C5336,C5312,C5288,C5264,C5240,C5216,C5192,C5168,C5144,C5120)/POBLA!$B$7*100000</f>
        <v>20.582643034743182</v>
      </c>
      <c r="H5432" s="256">
        <f t="shared" si="703"/>
        <v>3.3362068965517242</v>
      </c>
      <c r="I5432" s="297">
        <f t="shared" si="712"/>
        <v>68.667955641772508</v>
      </c>
      <c r="J5432" s="297">
        <f t="shared" si="713"/>
        <v>66</v>
      </c>
      <c r="K5432" s="297">
        <f>J5432/POBLA!$B$7*100000</f>
        <v>1.7551090959858526</v>
      </c>
      <c r="L5432" s="549">
        <f t="shared" si="704"/>
        <v>-0.48076923076923084</v>
      </c>
      <c r="M5432" s="401">
        <f>SUM(C5432,C5408,C5384,C5360,C5336,C5312,C5288)/POBLA!$B$7*100000</f>
        <v>12.28576367190097</v>
      </c>
    </row>
    <row r="5433" spans="1:13" x14ac:dyDescent="0.25">
      <c r="A5433" s="367" t="s">
        <v>31</v>
      </c>
      <c r="B5433" s="2">
        <v>44119</v>
      </c>
      <c r="C5433" s="1">
        <v>334</v>
      </c>
      <c r="D5433" s="39">
        <f t="shared" si="711"/>
        <v>10456</v>
      </c>
      <c r="E5433" s="1">
        <v>7</v>
      </c>
      <c r="F5433" s="409">
        <f t="shared" si="710"/>
        <v>203</v>
      </c>
      <c r="G5433" s="168">
        <f>SUM(C5433,C5409,C5385,C5361,C5337,C5313,C5289,C5265,C5241,C5217,C5193,C5169,C5145,C5121)/POBLA!$B$8*100000</f>
        <v>201.08790940004806</v>
      </c>
      <c r="H5433" s="256">
        <f t="shared" si="703"/>
        <v>1.4707124010554089</v>
      </c>
      <c r="I5433" s="297">
        <f t="shared" si="712"/>
        <v>295.74248205695721</v>
      </c>
      <c r="J5433" s="297">
        <f t="shared" si="713"/>
        <v>231</v>
      </c>
      <c r="K5433" s="297">
        <f>J5433/POBLA!$B$8*100000</f>
        <v>16.667135655332295</v>
      </c>
      <c r="L5433" s="549">
        <f t="shared" si="704"/>
        <v>-0.38205128205128203</v>
      </c>
      <c r="M5433" s="401">
        <f>SUM(C5433,C5409,C5385,C5361,C5337,C5313,C5289)/POBLA!$B$8*100000</f>
        <v>116.66994958732604</v>
      </c>
    </row>
    <row r="5434" spans="1:13" s="360" customFormat="1" x14ac:dyDescent="0.25">
      <c r="A5434" s="367" t="s">
        <v>41</v>
      </c>
      <c r="B5434" s="2">
        <v>44119</v>
      </c>
      <c r="C5434" s="1">
        <v>-2</v>
      </c>
      <c r="D5434" s="39">
        <f t="shared" si="711"/>
        <v>138</v>
      </c>
      <c r="E5434" s="1"/>
      <c r="F5434" s="409">
        <f t="shared" si="710"/>
        <v>1</v>
      </c>
      <c r="G5434" s="168">
        <f>SUM(C5434,C5410,C5386,C5362,C5338,C5314,C5290,C5266,C5242,C5218,C5194,C5170,C5146,C5122)/POBLA!$B$9*100000</f>
        <v>5.6180425087534065</v>
      </c>
      <c r="H5434" s="256">
        <f t="shared" si="703"/>
        <v>3.0909090909090908</v>
      </c>
      <c r="I5434" s="297">
        <f t="shared" si="712"/>
        <v>17.364858663419621</v>
      </c>
      <c r="J5434" s="297">
        <f t="shared" si="713"/>
        <v>4</v>
      </c>
      <c r="K5434" s="297">
        <f>J5434/POBLA!$B$9*100000</f>
        <v>0.66094617750040074</v>
      </c>
      <c r="L5434" s="549">
        <f t="shared" si="704"/>
        <v>-3.666666666666667</v>
      </c>
      <c r="M5434" s="401">
        <f>SUM(C5434,C5410,C5386,C5362,C5338,C5314,C5290)/POBLA!$B$9*100000</f>
        <v>4.6266232425028049</v>
      </c>
    </row>
    <row r="5435" spans="1:13" s="360" customFormat="1" x14ac:dyDescent="0.25">
      <c r="A5435" s="367" t="s">
        <v>32</v>
      </c>
      <c r="B5435" s="2">
        <v>44119</v>
      </c>
      <c r="C5435" s="1">
        <v>120</v>
      </c>
      <c r="D5435" s="39">
        <f t="shared" si="711"/>
        <v>17065</v>
      </c>
      <c r="E5435" s="1">
        <v>13</v>
      </c>
      <c r="F5435" s="409">
        <f t="shared" si="710"/>
        <v>643</v>
      </c>
      <c r="G5435" s="168">
        <f>SUM(C5435,C5411,C5387,C5363,C5339,C5315,C5291,C5267,C5243,C5219,C5195,C5171,C5147,C5123)/POBLA!$B$10*100000</f>
        <v>158.26048378413788</v>
      </c>
      <c r="H5435" s="256">
        <f t="shared" si="703"/>
        <v>0.48780487804878048</v>
      </c>
      <c r="I5435" s="297">
        <f t="shared" si="712"/>
        <v>77.200235992262378</v>
      </c>
      <c r="J5435" s="297">
        <f t="shared" si="713"/>
        <v>84.428571428571431</v>
      </c>
      <c r="K5435" s="297">
        <f>J5435/POBLA!$B$10*100000</f>
        <v>10.952218491384718</v>
      </c>
      <c r="L5435" s="549">
        <f t="shared" si="704"/>
        <v>6.0413354531001606E-2</v>
      </c>
      <c r="M5435" s="401">
        <f>SUM(C5435,C5411,C5387,C5363,C5339,C5315,C5291)/POBLA!$B$10*100000</f>
        <v>76.665529439693017</v>
      </c>
    </row>
    <row r="5436" spans="1:13" s="360" customFormat="1" x14ac:dyDescent="0.25">
      <c r="A5436" s="367" t="s">
        <v>33</v>
      </c>
      <c r="B5436" s="2">
        <v>44119</v>
      </c>
      <c r="C5436" s="1">
        <v>82</v>
      </c>
      <c r="D5436" s="39">
        <f t="shared" si="711"/>
        <v>1354</v>
      </c>
      <c r="E5436" s="1"/>
      <c r="F5436" s="409">
        <f t="shared" ref="F5436:F5447" si="714">E5436+F5412</f>
        <v>16</v>
      </c>
      <c r="G5436" s="168">
        <f>SUM(C5436,C5412,C5388,C5364,C5340,C5316,C5292,C5268,C5244,C5220,C5196,C5172,C5148,C5124)/POBLA!$B$11*100000</f>
        <v>157.07478210407669</v>
      </c>
      <c r="H5436" s="256">
        <f t="shared" si="703"/>
        <v>2.0774907749077491</v>
      </c>
      <c r="I5436" s="297">
        <f t="shared" si="712"/>
        <v>326.32141079186414</v>
      </c>
      <c r="J5436" s="297">
        <f t="shared" si="713"/>
        <v>57.142857142857146</v>
      </c>
      <c r="K5436" s="297">
        <f>J5436/POBLA!$B$11*100000</f>
        <v>15.94263203289284</v>
      </c>
      <c r="L5436" s="549">
        <f t="shared" si="704"/>
        <v>-1.4539877300613497</v>
      </c>
      <c r="M5436" s="401">
        <f>SUM(C5436,C5412,C5388,C5364,C5340,C5316,C5292)/POBLA!$B$11*100000</f>
        <v>111.59842423024986</v>
      </c>
    </row>
    <row r="5437" spans="1:13" s="360" customFormat="1" x14ac:dyDescent="0.25">
      <c r="A5437" s="367" t="s">
        <v>21</v>
      </c>
      <c r="B5437" s="2">
        <v>44119</v>
      </c>
      <c r="C5437" s="1">
        <v>107</v>
      </c>
      <c r="D5437" s="39">
        <f t="shared" si="711"/>
        <v>6225</v>
      </c>
      <c r="E5437" s="1">
        <v>5</v>
      </c>
      <c r="F5437" s="409">
        <f t="shared" si="714"/>
        <v>191</v>
      </c>
      <c r="G5437" s="168">
        <f>SUM(C5437,C5413,C5389,C5365,C5341,C5317,C5293,C5269,C5245,C5221,C5197,C5173,C5149,C5125)/POBLA!$B$12*100000</f>
        <v>349.40068253835148</v>
      </c>
      <c r="H5437" s="256">
        <f t="shared" si="703"/>
        <v>0.86045056320400504</v>
      </c>
      <c r="I5437" s="297">
        <f t="shared" si="712"/>
        <v>300.64201407398832</v>
      </c>
      <c r="J5437" s="297">
        <f t="shared" si="713"/>
        <v>96.857142857142861</v>
      </c>
      <c r="K5437" s="297">
        <f>J5437/POBLA!$B$12*100000</f>
        <v>24.612328598545695</v>
      </c>
      <c r="L5437" s="549">
        <f t="shared" si="704"/>
        <v>2.7259684361549463E-2</v>
      </c>
      <c r="M5437" s="401">
        <f>SUM(C5437,C5413,C5389,C5365,C5341,C5317,C5293)/POBLA!$B$12*100000</f>
        <v>172.28630018981985</v>
      </c>
    </row>
    <row r="5438" spans="1:13" s="360" customFormat="1" x14ac:dyDescent="0.25">
      <c r="A5438" s="367" t="s">
        <v>17</v>
      </c>
      <c r="B5438" s="2">
        <v>44119</v>
      </c>
      <c r="C5438" s="1">
        <v>1056</v>
      </c>
      <c r="D5438" s="39">
        <f t="shared" si="711"/>
        <v>35033</v>
      </c>
      <c r="E5438" s="1">
        <v>15</v>
      </c>
      <c r="F5438" s="409">
        <f t="shared" si="714"/>
        <v>468</v>
      </c>
      <c r="G5438" s="168">
        <f>SUM(C5438,C5414,C5390,C5366,C5342,C5318,C5294,C5270,C5246,C5222,C5198,C5174,C5150,C5126)/POBLA!$B$13*100000</f>
        <v>461.47940701529086</v>
      </c>
      <c r="H5438" s="256">
        <f t="shared" si="703"/>
        <v>1.0391446996266547</v>
      </c>
      <c r="I5438" s="297">
        <f t="shared" si="712"/>
        <v>479.54387978679114</v>
      </c>
      <c r="J5438" s="297">
        <f t="shared" si="713"/>
        <v>714.28571428571433</v>
      </c>
      <c r="K5438" s="297">
        <f>J5438/POBLA!$B$13*100000</f>
        <v>35.887658994890032</v>
      </c>
      <c r="L5438" s="549">
        <f t="shared" si="704"/>
        <v>-0.19474313022700129</v>
      </c>
      <c r="M5438" s="401">
        <f>SUM(C5438,C5414,C5390,C5366,C5342,C5318,C5294)/POBLA!$B$13*100000</f>
        <v>251.21361296423021</v>
      </c>
    </row>
    <row r="5439" spans="1:13" s="360" customFormat="1" x14ac:dyDescent="0.25">
      <c r="A5439" s="367" t="s">
        <v>23</v>
      </c>
      <c r="B5439" s="2">
        <v>44119</v>
      </c>
      <c r="C5439" s="1">
        <v>12</v>
      </c>
      <c r="D5439" s="39">
        <f t="shared" si="711"/>
        <v>201</v>
      </c>
      <c r="E5439" s="1"/>
      <c r="F5439" s="409">
        <f t="shared" si="714"/>
        <v>4</v>
      </c>
      <c r="G5439" s="168">
        <f>SUM(C5439,C5415,C5391,C5367,C5343,C5319,C5295,C5271,C5247,C5223,C5199,C5175,C5151,C5127)/POBLA!$B$14*100000</f>
        <v>8.4833512250117735</v>
      </c>
      <c r="H5439" s="256">
        <f t="shared" si="703"/>
        <v>3.6896551724137931</v>
      </c>
      <c r="I5439" s="297">
        <f t="shared" si="712"/>
        <v>31.300640726767579</v>
      </c>
      <c r="J5439" s="297">
        <f t="shared" si="713"/>
        <v>8.7142857142857135</v>
      </c>
      <c r="K5439" s="297">
        <f>J5439/POBLA!$B$14*100000</f>
        <v>0.69090043354568509</v>
      </c>
      <c r="L5439" s="549">
        <f t="shared" si="704"/>
        <v>-0.32608695652173902</v>
      </c>
      <c r="M5439" s="401">
        <f>SUM(C5439,C5415,C5391,C5367,C5343,C5319,C5295)/POBLA!$B$14*100000</f>
        <v>4.8363030348197968</v>
      </c>
    </row>
    <row r="5440" spans="1:13" s="360" customFormat="1" x14ac:dyDescent="0.25">
      <c r="A5440" s="367" t="s">
        <v>19</v>
      </c>
      <c r="B5440" s="2">
        <v>44119</v>
      </c>
      <c r="C5440" s="1">
        <v>424</v>
      </c>
      <c r="D5440" s="39">
        <f>C5440+D5416</f>
        <v>13408</v>
      </c>
      <c r="E5440" s="1"/>
      <c r="F5440" s="409">
        <f t="shared" si="714"/>
        <v>205</v>
      </c>
      <c r="G5440" s="168">
        <f>SUM(C5440,C5416,C5392,C5368,C5344,C5320,C5296,C5272,C5248,C5224,C5200,C5176,C5152,C5128)/POBLA!$B$15*100000</f>
        <v>802.49135239896566</v>
      </c>
      <c r="H5440" s="256">
        <f t="shared" si="703"/>
        <v>2.1205730202944686</v>
      </c>
      <c r="I5440" s="297">
        <f t="shared" si="712"/>
        <v>1701.7415109168674</v>
      </c>
      <c r="J5440" s="297">
        <f t="shared" si="713"/>
        <v>329.85714285714283</v>
      </c>
      <c r="K5440" s="297">
        <f>J5440/POBLA!$B$15*100000</f>
        <v>49.673016451470708</v>
      </c>
      <c r="L5440" s="549">
        <f t="shared" si="704"/>
        <v>0.23543046357615893</v>
      </c>
      <c r="M5440" s="401">
        <f>SUM(C5440,C5416,C5392,C5368,C5344,C5320,C5296)/POBLA!$B$15*100000</f>
        <v>347.71111516029498</v>
      </c>
    </row>
    <row r="5441" spans="1:13" s="360" customFormat="1" x14ac:dyDescent="0.25">
      <c r="A5441" s="367" t="s">
        <v>18</v>
      </c>
      <c r="B5441" s="2">
        <v>44119</v>
      </c>
      <c r="C5441" s="1">
        <v>532</v>
      </c>
      <c r="D5441" s="39">
        <f>C5441+D5417</f>
        <v>18025</v>
      </c>
      <c r="E5441" s="1">
        <v>11</v>
      </c>
      <c r="F5441" s="409">
        <f t="shared" si="714"/>
        <v>399</v>
      </c>
      <c r="G5441" s="168">
        <f>SUM(C5441,C5417,C5393,C5369,C5345,C5321,C5297,C5273,C5249,C5225,C5201,C5177,C5153,C5129)/POBLA!$B$16*100000</f>
        <v>655.28818501625176</v>
      </c>
      <c r="H5441" s="256">
        <f t="shared" si="703"/>
        <v>1.451985773562537</v>
      </c>
      <c r="I5441" s="297">
        <f t="shared" si="712"/>
        <v>951.46912222721312</v>
      </c>
      <c r="J5441" s="297">
        <f t="shared" si="713"/>
        <v>382.57142857142856</v>
      </c>
      <c r="K5441" s="297">
        <f>J5441/POBLA!$B$16*100000</f>
        <v>51.1725938084601</v>
      </c>
      <c r="L5441" s="549">
        <f t="shared" si="704"/>
        <v>-0.20576316974335884</v>
      </c>
      <c r="M5441" s="401">
        <f>SUM(C5441,C5417,C5393,C5369,C5345,C5321,C5297)/POBLA!$B$16*100000</f>
        <v>358.20815665922072</v>
      </c>
    </row>
    <row r="5442" spans="1:13" s="360" customFormat="1" x14ac:dyDescent="0.25">
      <c r="A5442" s="367" t="s">
        <v>34</v>
      </c>
      <c r="B5442" s="2">
        <v>44119</v>
      </c>
      <c r="C5442" s="1">
        <v>257</v>
      </c>
      <c r="D5442" s="39">
        <f>C5442+D5418</f>
        <v>16011</v>
      </c>
      <c r="E5442" s="1">
        <v>12</v>
      </c>
      <c r="F5442" s="409">
        <f>E5442+F5418</f>
        <v>564</v>
      </c>
      <c r="G5442" s="168">
        <f>SUM(C5442,C5418,C5394,C5370,C5346,C5322,C5298,C5274,C5250,C5226,C5202,C5178,C5154,C5130)/POBLA!$B$17*100000</f>
        <v>227.25405908605535</v>
      </c>
      <c r="H5442" s="256">
        <f t="shared" si="703"/>
        <v>0.68392140291569825</v>
      </c>
      <c r="I5442" s="297">
        <f t="shared" si="712"/>
        <v>155.42391490842195</v>
      </c>
      <c r="J5442" s="297">
        <f t="shared" si="713"/>
        <v>213.57142857142858</v>
      </c>
      <c r="K5442" s="297">
        <f>J5442/POBLA!$B$17*100000</f>
        <v>14.993813422201015</v>
      </c>
      <c r="L5442" s="549">
        <f t="shared" si="704"/>
        <v>0.14179104477611937</v>
      </c>
      <c r="M5442" s="401">
        <f>SUM(C5442,C5418,C5394,C5370,C5346,C5322,C5298)/POBLA!$B$17*100000</f>
        <v>104.95669395540709</v>
      </c>
    </row>
    <row r="5443" spans="1:13" s="360" customFormat="1" x14ac:dyDescent="0.25">
      <c r="A5443" s="367" t="s">
        <v>35</v>
      </c>
      <c r="B5443" s="2">
        <v>44119</v>
      </c>
      <c r="C5443" s="1">
        <v>3</v>
      </c>
      <c r="D5443" s="39">
        <f t="shared" ref="D5443:D5449" si="715">C5443+D5419</f>
        <v>1276</v>
      </c>
      <c r="E5443" s="1"/>
      <c r="F5443" s="409">
        <f>E5443+F5419</f>
        <v>51</v>
      </c>
      <c r="G5443" s="168">
        <f>SUM(C5443,C5419,C5395,C5371,C5347,C5323,C5299,C5275,C5251,C5227,C5203,C5179,C5155,C5131)/POBLA!$B$18*100000</f>
        <v>67.202838647904485</v>
      </c>
      <c r="H5443" s="256">
        <f t="shared" si="703"/>
        <v>1.7326732673267327</v>
      </c>
      <c r="I5443" s="297">
        <f t="shared" si="712"/>
        <v>116.4405620136959</v>
      </c>
      <c r="J5443" s="297">
        <f t="shared" si="713"/>
        <v>24.428571428571427</v>
      </c>
      <c r="K5443" s="297">
        <f>J5443/POBLA!$B$18*100000</f>
        <v>3.1269892268820865</v>
      </c>
      <c r="L5443" s="549">
        <f t="shared" si="704"/>
        <v>0.51694915254237284</v>
      </c>
      <c r="M5443" s="401">
        <f>SUM(C5443,C5419,C5395,C5371,C5347,C5323,C5299)/POBLA!$B$18*100000</f>
        <v>21.888924588174604</v>
      </c>
    </row>
    <row r="5444" spans="1:13" s="360" customFormat="1" x14ac:dyDescent="0.25">
      <c r="A5444" s="367" t="s">
        <v>36</v>
      </c>
      <c r="B5444" s="2">
        <v>44119</v>
      </c>
      <c r="C5444" s="1">
        <v>119</v>
      </c>
      <c r="D5444" s="39">
        <f t="shared" si="715"/>
        <v>2686</v>
      </c>
      <c r="E5444" s="1"/>
      <c r="F5444" s="409">
        <f t="shared" si="714"/>
        <v>34</v>
      </c>
      <c r="G5444" s="168">
        <f>SUM(C5444,C5420,C5396,C5372,C5348,C5324,C5300,C5276,C5252,C5228,C5204,C5180,C5156,C5132)/POBLA!$B$19*100000</f>
        <v>220.52690388882769</v>
      </c>
      <c r="H5444" s="256">
        <f t="shared" si="703"/>
        <v>1.1266331658291457</v>
      </c>
      <c r="I5444" s="297">
        <f t="shared" si="712"/>
        <v>248.4529238787697</v>
      </c>
      <c r="J5444" s="297">
        <f t="shared" si="713"/>
        <v>83.428571428571431</v>
      </c>
      <c r="K5444" s="297">
        <f>J5444/POBLA!$B$19*100000</f>
        <v>16.412350181097921</v>
      </c>
      <c r="L5444" s="549">
        <f t="shared" si="704"/>
        <v>-8.7523277467411509E-2</v>
      </c>
      <c r="M5444" s="401">
        <f>SUM(C5444,C5420,C5396,C5372,C5348,C5324,C5300)/POBLA!$B$19*100000</f>
        <v>114.88645126768544</v>
      </c>
    </row>
    <row r="5445" spans="1:13" s="360" customFormat="1" x14ac:dyDescent="0.25">
      <c r="A5445" s="367" t="s">
        <v>37</v>
      </c>
      <c r="B5445" s="2">
        <v>44119</v>
      </c>
      <c r="C5445" s="1">
        <v>123</v>
      </c>
      <c r="D5445" s="39">
        <f t="shared" si="715"/>
        <v>6832</v>
      </c>
      <c r="E5445" s="1">
        <v>3</v>
      </c>
      <c r="F5445" s="409">
        <f>E5445+F5421</f>
        <v>95</v>
      </c>
      <c r="G5445" s="168">
        <f>SUM(C5445,C5421,C5397,C5373,C5349,C5325,C5301,C5277,C5253,C5229,C5205,C5181,C5157,C5133)/POBLA!$B$20*100000</f>
        <v>504.78810384524934</v>
      </c>
      <c r="H5445" s="256">
        <f t="shared" si="703"/>
        <v>1.1366995073891626</v>
      </c>
      <c r="I5445" s="297">
        <f t="shared" si="712"/>
        <v>573.79238897680432</v>
      </c>
      <c r="J5445" s="297">
        <f t="shared" si="713"/>
        <v>137.57142857142858</v>
      </c>
      <c r="K5445" s="297">
        <f>J5445/POBLA!$B$20*100000</f>
        <v>37.618862714980281</v>
      </c>
      <c r="L5445" s="549">
        <f t="shared" si="704"/>
        <v>-9.0600226500566317E-2</v>
      </c>
      <c r="M5445" s="401">
        <f>SUM(C5445,C5421,C5397,C5373,C5349,C5325,C5301)/POBLA!$B$20*100000</f>
        <v>263.33203900486194</v>
      </c>
    </row>
    <row r="5446" spans="1:13" s="360" customFormat="1" x14ac:dyDescent="0.25">
      <c r="A5446" s="367" t="s">
        <v>22</v>
      </c>
      <c r="B5446" s="2">
        <v>44119</v>
      </c>
      <c r="C5446" s="1">
        <v>2659</v>
      </c>
      <c r="D5446" s="39">
        <f t="shared" si="715"/>
        <v>72028</v>
      </c>
      <c r="E5446" s="1">
        <v>44</v>
      </c>
      <c r="F5446" s="409">
        <f>E5446+F5422</f>
        <v>792</v>
      </c>
      <c r="G5446" s="168">
        <f>SUM(C5446,C5422,C5398,C5374,C5350,C5326,C5302,C5278,C5254,C5230,C5206,C5182,C5158,C5134)/POBLA!$B$21*100000</f>
        <v>779.23480765000056</v>
      </c>
      <c r="H5446" s="256">
        <f t="shared" si="703"/>
        <v>1.2854877081681206</v>
      </c>
      <c r="I5446" s="297">
        <f t="shared" si="712"/>
        <v>1001.6967670108255</v>
      </c>
      <c r="J5446" s="297">
        <f t="shared" si="713"/>
        <v>2128.1428571428573</v>
      </c>
      <c r="K5446" s="297">
        <f>J5446/POBLA!$B$21*100000</f>
        <v>60.177921759895391</v>
      </c>
      <c r="L5446" s="549">
        <f t="shared" si="704"/>
        <v>-0.176698262243286</v>
      </c>
      <c r="M5446" s="401">
        <f>SUM(C5446,C5422,C5398,C5374,C5350,C5326,C5302)/POBLA!$B$21*100000</f>
        <v>421.24545231926766</v>
      </c>
    </row>
    <row r="5447" spans="1:13" s="360" customFormat="1" x14ac:dyDescent="0.25">
      <c r="A5447" s="367" t="s">
        <v>38</v>
      </c>
      <c r="B5447" s="2">
        <v>44119</v>
      </c>
      <c r="C5447" s="1">
        <v>275</v>
      </c>
      <c r="D5447" s="39">
        <f t="shared" si="715"/>
        <v>5973</v>
      </c>
      <c r="E5447" s="1">
        <v>-1</v>
      </c>
      <c r="F5447" s="409">
        <f t="shared" si="714"/>
        <v>91</v>
      </c>
      <c r="G5447" s="168">
        <f>SUM(C5447,C5423,C5399,C5375,C5351,C5327,C5303,C5279,C5255,C5231,C5207,C5183,C5159,C5135)/POBLA!$B$22*100000</f>
        <v>248.18233019493763</v>
      </c>
      <c r="H5447" s="256">
        <f t="shared" si="703"/>
        <v>1.6908077994428969</v>
      </c>
      <c r="I5447" s="297">
        <f t="shared" si="712"/>
        <v>419.62861957751295</v>
      </c>
      <c r="J5447" s="297">
        <f t="shared" si="713"/>
        <v>243.57142857142858</v>
      </c>
      <c r="K5447" s="297">
        <f>J5447/POBLA!$B$22*100000</f>
        <v>24.897085960365303</v>
      </c>
      <c r="L5447" s="549">
        <f t="shared" si="704"/>
        <v>-1.3582295988934994</v>
      </c>
      <c r="M5447" s="401">
        <f>SUM(C5447,C5423,C5399,C5375,C5351,C5327,C5303)/POBLA!$B$22*100000</f>
        <v>174.27960172255709</v>
      </c>
    </row>
    <row r="5448" spans="1:13" s="360" customFormat="1" x14ac:dyDescent="0.25">
      <c r="A5448" s="367" t="s">
        <v>39</v>
      </c>
      <c r="B5448" s="2">
        <v>44119</v>
      </c>
      <c r="C5448" s="1">
        <v>313</v>
      </c>
      <c r="D5448" s="39">
        <f t="shared" si="715"/>
        <v>7502</v>
      </c>
      <c r="E5448" s="1"/>
      <c r="F5448" s="409">
        <f>E5448+F5424</f>
        <v>91</v>
      </c>
      <c r="G5448" s="168">
        <f>SUM(C5448,C5424,C5400,C5376,C5352,C5328,C5304,C5280,C5256,C5232,C5208,C5184,C5160,C5136)/POBLA!$B$23*100000</f>
        <v>1682.4068314200081</v>
      </c>
      <c r="H5448" s="256">
        <f t="shared" si="703"/>
        <v>1.8864933417882055</v>
      </c>
      <c r="I5448" s="297">
        <f t="shared" si="712"/>
        <v>3173.8492856528369</v>
      </c>
      <c r="J5448" s="297">
        <f t="shared" si="713"/>
        <v>242.57142857142858</v>
      </c>
      <c r="K5448" s="297">
        <f>J5448/POBLA!$B$23*100000</f>
        <v>137.17775749105277</v>
      </c>
      <c r="L5448" s="549">
        <f t="shared" si="704"/>
        <v>-0.32967893500391532</v>
      </c>
      <c r="M5448" s="401">
        <f>SUM(C5448,C5424,C5400,C5376,C5352,C5328,C5304)/POBLA!$B$23*100000</f>
        <v>960.24430243736924</v>
      </c>
    </row>
    <row r="5449" spans="1:13" s="360" customFormat="1" ht="15.75" thickBot="1" x14ac:dyDescent="0.3">
      <c r="A5449" s="369" t="s">
        <v>40</v>
      </c>
      <c r="B5449" s="266">
        <v>44119</v>
      </c>
      <c r="C5449" s="44">
        <v>1494</v>
      </c>
      <c r="D5449" s="176">
        <f t="shared" si="715"/>
        <v>31528</v>
      </c>
      <c r="E5449" s="44">
        <v>2</v>
      </c>
      <c r="F5449" s="476">
        <f>E5449+F5425</f>
        <v>416</v>
      </c>
      <c r="G5449" s="177">
        <f>SUM(C5449,C5425,C5401,C5377,C5353,C5329,C5305,C5281,C5257,C5233,C5209,C5185,C5161,C5137)/POBLA!$B$24*100000</f>
        <v>943.08225386155061</v>
      </c>
      <c r="H5449" s="402">
        <f t="shared" si="703"/>
        <v>2.3042099192618224</v>
      </c>
      <c r="I5449" s="403">
        <f t="shared" si="712"/>
        <v>2173.0594840275812</v>
      </c>
      <c r="J5449" s="403">
        <f t="shared" si="713"/>
        <v>1184.5714285714287</v>
      </c>
      <c r="K5449" s="403">
        <f>J5449/POBLA!$B$24*100000</f>
        <v>69.900406251854577</v>
      </c>
      <c r="L5449" s="550">
        <f t="shared" si="704"/>
        <v>-7.8283485045513634E-2</v>
      </c>
      <c r="M5449" s="405">
        <f>SUM(C5449,C5425,C5401,C5377,C5353,C5329,C5305)/POBLA!$B$24*100000</f>
        <v>489.30284376298204</v>
      </c>
    </row>
    <row r="5450" spans="1:13" s="360" customFormat="1" x14ac:dyDescent="0.25">
      <c r="A5450" s="363" t="s">
        <v>16</v>
      </c>
      <c r="B5450" s="267">
        <v>44120</v>
      </c>
      <c r="C5450" s="225">
        <v>5199</v>
      </c>
      <c r="D5450" s="174">
        <f>C5450+D5426</f>
        <v>491422</v>
      </c>
      <c r="E5450" s="225">
        <v>136</v>
      </c>
      <c r="F5450" s="475">
        <f t="shared" ref="F5450:F5471" si="716">E5450+F5426</f>
        <v>15509</v>
      </c>
      <c r="G5450" s="175">
        <f>SUM(C5450,C5426,C5402,C5378,C5354,C5330,C5306,C5282,C5258,C5234,C5210,C5186,C5162,C5138)/POBLA!$B$1*100000</f>
        <v>357.12044045481423</v>
      </c>
      <c r="H5450" s="300">
        <f t="shared" si="703"/>
        <v>0.92093618147336853</v>
      </c>
      <c r="I5450" s="301">
        <f>G5450*H5450</f>
        <v>328.8851347585441</v>
      </c>
      <c r="J5450" s="301">
        <f>AVERAGE(C5450,C5426,C5402,C5378,C5354,C5330,C5306)</f>
        <v>4229.4285714285716</v>
      </c>
      <c r="K5450" s="301">
        <f>J5450/POBLA!$B$1*100000</f>
        <v>24.111479244300995</v>
      </c>
      <c r="L5450" s="548">
        <f t="shared" si="704"/>
        <v>0.10385325544086932</v>
      </c>
      <c r="M5450" s="400">
        <f>SUM(C5450,C5426,C5402,C5378,C5354,C5330,C5306)/POBLA!$B$1*100000</f>
        <v>168.78035471010693</v>
      </c>
    </row>
    <row r="5451" spans="1:13" s="360" customFormat="1" x14ac:dyDescent="0.25">
      <c r="A5451" s="367" t="s">
        <v>43</v>
      </c>
      <c r="B5451" s="267">
        <v>44120</v>
      </c>
      <c r="C5451" s="1">
        <v>952</v>
      </c>
      <c r="D5451" s="39">
        <f t="shared" ref="D5451:D5463" si="717">C5451+D5427</f>
        <v>138843</v>
      </c>
      <c r="E5451" s="1">
        <v>46</v>
      </c>
      <c r="F5451" s="409">
        <f t="shared" si="716"/>
        <v>4251</v>
      </c>
      <c r="G5451" s="168">
        <f>SUM(C5451,C5427,C5403,C5379,C5355,C5331,C5307,C5283,C5259,C5235,C5211,C5187,C5163,C5139)/POBLA!$B$2*100000</f>
        <v>354.49463299742558</v>
      </c>
      <c r="H5451" s="256">
        <f t="shared" si="703"/>
        <v>0.90518887505188872</v>
      </c>
      <c r="I5451" s="297">
        <f t="shared" ref="I5451:I5473" si="718">G5451*H5451</f>
        <v>320.88459805487179</v>
      </c>
      <c r="J5451" s="297">
        <f t="shared" ref="J5451:J5473" si="719">AVERAGE(C5451,C5427,C5403,C5379,C5355,C5331,C5307)</f>
        <v>747.85714285714289</v>
      </c>
      <c r="K5451" s="297">
        <f>J5451/POBLA!$B$2*100000</f>
        <v>24.315449270076687</v>
      </c>
      <c r="L5451" s="549">
        <f t="shared" si="704"/>
        <v>7.639378969654198E-2</v>
      </c>
      <c r="M5451" s="401">
        <f>SUM(C5451,C5427,C5403,C5379,C5355,C5331,C5307)/POBLA!$B$2*100000</f>
        <v>170.20814489053683</v>
      </c>
    </row>
    <row r="5452" spans="1:13" s="360" customFormat="1" x14ac:dyDescent="0.25">
      <c r="A5452" s="367" t="s">
        <v>28</v>
      </c>
      <c r="B5452" s="267">
        <v>44120</v>
      </c>
      <c r="C5452" s="1">
        <v>22</v>
      </c>
      <c r="D5452" s="39">
        <f t="shared" si="717"/>
        <v>429</v>
      </c>
      <c r="E5452" s="1"/>
      <c r="F5452" s="409">
        <f t="shared" si="716"/>
        <v>0</v>
      </c>
      <c r="G5452" s="168">
        <f>SUM(C5452,C5428,C5404,C5380,C5356,C5332,C5308,C5284,C5260,C5236,C5212,C5188,C5164,C5140)/POBLA!$B$3*100000</f>
        <v>31.292274659515982</v>
      </c>
      <c r="H5452" s="256">
        <f t="shared" si="703"/>
        <v>1.1206896551724137</v>
      </c>
      <c r="I5452" s="297">
        <f t="shared" si="718"/>
        <v>35.068928497733424</v>
      </c>
      <c r="J5452" s="297">
        <f t="shared" si="719"/>
        <v>9.8571428571428577</v>
      </c>
      <c r="K5452" s="297">
        <f>J5452/POBLA!$B$3*100000</f>
        <v>2.3727109357215417</v>
      </c>
      <c r="L5452" s="549">
        <f t="shared" si="704"/>
        <v>-0.13114754098360648</v>
      </c>
      <c r="M5452" s="401">
        <f>SUM(C5452,C5428,C5404,C5380,C5356,C5332,C5308)/POBLA!$B$3*100000</f>
        <v>16.608976550050787</v>
      </c>
    </row>
    <row r="5453" spans="1:13" s="360" customFormat="1" x14ac:dyDescent="0.25">
      <c r="A5453" s="367" t="s">
        <v>15</v>
      </c>
      <c r="B5453" s="267">
        <v>44120</v>
      </c>
      <c r="C5453" s="1">
        <v>197</v>
      </c>
      <c r="D5453" s="39">
        <f t="shared" si="717"/>
        <v>11264</v>
      </c>
      <c r="E5453" s="1">
        <v>3</v>
      </c>
      <c r="F5453" s="409">
        <f t="shared" si="716"/>
        <v>354</v>
      </c>
      <c r="G5453" s="168">
        <f>SUM(C5453,C5429,C5405,C5381,C5357,C5333,C5309,C5285,C5261,C5237,C5213,C5189,C5165,C5141)/POBLA!$B$4*100000</f>
        <v>192.6875050330375</v>
      </c>
      <c r="H5453" s="256">
        <f t="shared" si="703"/>
        <v>1.3416184971098266</v>
      </c>
      <c r="I5453" s="297">
        <f t="shared" si="718"/>
        <v>258.51312091426593</v>
      </c>
      <c r="J5453" s="297">
        <f t="shared" si="719"/>
        <v>176.85714285714286</v>
      </c>
      <c r="K5453" s="297">
        <f>J5453/POBLA!$B$4*100000</f>
        <v>14.682534082039787</v>
      </c>
      <c r="L5453" s="549">
        <f t="shared" si="704"/>
        <v>-0.1431209602954755</v>
      </c>
      <c r="M5453" s="401">
        <f>SUM(C5453,C5429,C5405,C5381,C5357,C5333,C5309)/POBLA!$B$4*100000</f>
        <v>102.7777385742785</v>
      </c>
    </row>
    <row r="5454" spans="1:13" s="360" customFormat="1" x14ac:dyDescent="0.25">
      <c r="A5454" s="367" t="s">
        <v>29</v>
      </c>
      <c r="B5454" s="267">
        <v>44120</v>
      </c>
      <c r="C5454" s="1">
        <v>288</v>
      </c>
      <c r="D5454" s="39">
        <f t="shared" si="717"/>
        <v>8557</v>
      </c>
      <c r="E5454" s="1">
        <v>2</v>
      </c>
      <c r="F5454" s="409">
        <f t="shared" si="716"/>
        <v>112</v>
      </c>
      <c r="G5454" s="168">
        <f>SUM(C5454,C5430,C5406,C5382,C5358,C5334,C5310,C5286,C5262,C5238,C5214,C5190,C5166,C5142)/POBLA!$B$5*100000</f>
        <v>678.52030875905098</v>
      </c>
      <c r="H5454" s="256">
        <f t="shared" si="703"/>
        <v>1.8608772707133363</v>
      </c>
      <c r="I5454" s="297">
        <f t="shared" si="718"/>
        <v>1262.6430202871131</v>
      </c>
      <c r="J5454" s="297">
        <f t="shared" si="719"/>
        <v>345.14285714285717</v>
      </c>
      <c r="K5454" s="297">
        <f>J5454/POBLA!$B$5*100000</f>
        <v>55.758675712988676</v>
      </c>
      <c r="L5454" s="549">
        <f t="shared" si="704"/>
        <v>-0.35426008968609857</v>
      </c>
      <c r="M5454" s="401">
        <f>SUM(C5454,C5430,C5406,C5382,C5358,C5334,C5310)/POBLA!$B$5*100000</f>
        <v>390.31072999092078</v>
      </c>
    </row>
    <row r="5455" spans="1:13" s="360" customFormat="1" x14ac:dyDescent="0.25">
      <c r="A5455" s="367" t="s">
        <v>20</v>
      </c>
      <c r="B5455" s="267">
        <v>44120</v>
      </c>
      <c r="C5455" s="1">
        <v>2045</v>
      </c>
      <c r="D5455" s="39">
        <f t="shared" si="717"/>
        <v>59828</v>
      </c>
      <c r="E5455" s="1">
        <v>28</v>
      </c>
      <c r="F5455" s="409">
        <f t="shared" si="716"/>
        <v>790</v>
      </c>
      <c r="G5455" s="168">
        <f>SUM(C5455,C5431,C5407,C5383,C5359,C5335,C5311,C5287,C5263,C5239,C5215,C5191,C5167,C5143)/POBLA!$B$6*100000</f>
        <v>1952.4429403614024</v>
      </c>
      <c r="H5455" s="256">
        <f t="shared" si="703"/>
        <v>1.0893568299482277</v>
      </c>
      <c r="I5455" s="297">
        <f t="shared" si="718"/>
        <v>2126.9070521668941</v>
      </c>
      <c r="J5455" s="297">
        <f t="shared" si="719"/>
        <v>1593.2857142857142</v>
      </c>
      <c r="K5455" s="297">
        <f>J5455/POBLA!$B$6*100000</f>
        <v>142.15598614613248</v>
      </c>
      <c r="L5455" s="549">
        <f t="shared" si="704"/>
        <v>-3.942218080149118E-2</v>
      </c>
      <c r="M5455" s="401">
        <f>SUM(C5455,C5431,C5407,C5383,C5359,C5335,C5311)/POBLA!$B$6*100000</f>
        <v>995.09190302292734</v>
      </c>
    </row>
    <row r="5456" spans="1:13" s="360" customFormat="1" x14ac:dyDescent="0.25">
      <c r="A5456" s="367" t="s">
        <v>30</v>
      </c>
      <c r="B5456" s="267">
        <v>44120</v>
      </c>
      <c r="C5456" s="1">
        <v>61</v>
      </c>
      <c r="D5456" s="39">
        <f t="shared" si="717"/>
        <v>1935</v>
      </c>
      <c r="E5456" s="1"/>
      <c r="F5456" s="409">
        <f t="shared" si="716"/>
        <v>32</v>
      </c>
      <c r="G5456" s="168">
        <f>SUM(C5456,C5432,C5408,C5384,C5360,C5336,C5312,C5288,C5264,C5240,C5216,C5192,C5168,C5144)/POBLA!$B$7*100000</f>
        <v>20.42308766238083</v>
      </c>
      <c r="H5456" s="256">
        <f t="shared" si="703"/>
        <v>2.9090909090909092</v>
      </c>
      <c r="I5456" s="297">
        <f t="shared" si="718"/>
        <v>59.412618654198781</v>
      </c>
      <c r="J5456" s="297">
        <f t="shared" si="719"/>
        <v>61.428571428571431</v>
      </c>
      <c r="K5456" s="297">
        <f>J5456/POBLA!$B$7*100000</f>
        <v>1.6335430979954908</v>
      </c>
      <c r="L5456" s="549">
        <f t="shared" si="704"/>
        <v>-0.27218934911242609</v>
      </c>
      <c r="M5456" s="401">
        <f>SUM(C5456,C5432,C5408,C5384,C5360,C5336,C5312)/POBLA!$B$7*100000</f>
        <v>11.434801685968434</v>
      </c>
    </row>
    <row r="5457" spans="1:13" x14ac:dyDescent="0.25">
      <c r="A5457" s="367" t="s">
        <v>31</v>
      </c>
      <c r="B5457" s="267">
        <v>44120</v>
      </c>
      <c r="C5457" s="1">
        <v>349</v>
      </c>
      <c r="D5457" s="39">
        <f t="shared" si="717"/>
        <v>10805</v>
      </c>
      <c r="E5457" s="1">
        <v>2</v>
      </c>
      <c r="F5457" s="409">
        <f t="shared" si="716"/>
        <v>205</v>
      </c>
      <c r="G5457" s="168">
        <f>SUM(C5457,C5433,C5409,C5385,C5361,C5337,C5313,C5289,C5265,C5241,C5217,C5193,C5169,C5145)/POBLA!$B$8*100000</f>
        <v>213.78667942315838</v>
      </c>
      <c r="H5457" s="256">
        <f t="shared" si="703"/>
        <v>1.5702172760996291</v>
      </c>
      <c r="I5457" s="297">
        <f t="shared" si="718"/>
        <v>335.69153743021639</v>
      </c>
      <c r="J5457" s="297">
        <f t="shared" si="719"/>
        <v>251.42857142857142</v>
      </c>
      <c r="K5457" s="297">
        <f>J5457/POBLA!$B$8*100000</f>
        <v>18.141100033014741</v>
      </c>
      <c r="L5457" s="549">
        <f t="shared" si="704"/>
        <v>-0.46300914380714886</v>
      </c>
      <c r="M5457" s="401">
        <f>SUM(C5457,C5433,C5409,C5385,C5361,C5337,C5313)/POBLA!$B$8*100000</f>
        <v>126.98770023110318</v>
      </c>
    </row>
    <row r="5458" spans="1:13" s="360" customFormat="1" x14ac:dyDescent="0.25">
      <c r="A5458" s="367" t="s">
        <v>41</v>
      </c>
      <c r="B5458" s="267">
        <v>44120</v>
      </c>
      <c r="C5458" s="1">
        <v>1</v>
      </c>
      <c r="D5458" s="39">
        <f t="shared" si="717"/>
        <v>139</v>
      </c>
      <c r="E5458" s="1"/>
      <c r="F5458" s="409">
        <f t="shared" si="716"/>
        <v>1</v>
      </c>
      <c r="G5458" s="168">
        <f>SUM(C5458,C5434,C5410,C5386,C5362,C5338,C5314,C5290,C5266,C5242,C5218,C5194,C5170,C5146)/POBLA!$B$9*100000</f>
        <v>5.4528059643783058</v>
      </c>
      <c r="H5458" s="256">
        <f t="shared" si="703"/>
        <v>2.3571428571428572</v>
      </c>
      <c r="I5458" s="297">
        <f t="shared" si="718"/>
        <v>12.853042630320292</v>
      </c>
      <c r="J5458" s="297">
        <f t="shared" si="719"/>
        <v>2.7142857142857144</v>
      </c>
      <c r="K5458" s="297">
        <f>J5458/POBLA!$B$9*100000</f>
        <v>0.44849919187527193</v>
      </c>
      <c r="L5458" s="549">
        <f t="shared" si="704"/>
        <v>-0.35714285714285721</v>
      </c>
      <c r="M5458" s="401">
        <f>SUM(C5458,C5434,C5410,C5386,C5362,C5338,C5314)/POBLA!$B$9*100000</f>
        <v>3.1394943431269033</v>
      </c>
    </row>
    <row r="5459" spans="1:13" s="360" customFormat="1" x14ac:dyDescent="0.25">
      <c r="A5459" s="367" t="s">
        <v>32</v>
      </c>
      <c r="B5459" s="267">
        <v>44120</v>
      </c>
      <c r="C5459" s="1">
        <v>55</v>
      </c>
      <c r="D5459" s="39">
        <f t="shared" si="717"/>
        <v>17120</v>
      </c>
      <c r="E5459" s="1">
        <v>12</v>
      </c>
      <c r="F5459" s="409">
        <f t="shared" si="716"/>
        <v>655</v>
      </c>
      <c r="G5459" s="168">
        <f>SUM(C5459,C5435,C5411,C5387,C5363,C5339,C5315,C5291,C5267,C5243,C5219,C5195,C5171,C5147)/POBLA!$B$10*100000</f>
        <v>150.347459594931</v>
      </c>
      <c r="H5459" s="256">
        <f t="shared" si="703"/>
        <v>0.49089368911478187</v>
      </c>
      <c r="I5459" s="297">
        <f t="shared" si="718"/>
        <v>73.804619089591284</v>
      </c>
      <c r="J5459" s="297">
        <f t="shared" si="719"/>
        <v>82.285714285714292</v>
      </c>
      <c r="K5459" s="297">
        <f>J5459/POBLA!$B$10*100000</f>
        <v>10.674243402770893</v>
      </c>
      <c r="L5459" s="549">
        <f t="shared" si="704"/>
        <v>1.2006861063464824E-2</v>
      </c>
      <c r="M5459" s="401">
        <f>SUM(C5459,C5435,C5411,C5387,C5363,C5339,C5315)/POBLA!$B$10*100000</f>
        <v>74.719703819396258</v>
      </c>
    </row>
    <row r="5460" spans="1:13" s="360" customFormat="1" x14ac:dyDescent="0.25">
      <c r="A5460" s="367" t="s">
        <v>33</v>
      </c>
      <c r="B5460" s="267">
        <v>44120</v>
      </c>
      <c r="C5460" s="1">
        <v>82</v>
      </c>
      <c r="D5460" s="39">
        <f t="shared" si="717"/>
        <v>1436</v>
      </c>
      <c r="E5460" s="1">
        <v>1</v>
      </c>
      <c r="F5460" s="409">
        <f t="shared" si="716"/>
        <v>17</v>
      </c>
      <c r="G5460" s="168">
        <f>SUM(C5460,C5436,C5412,C5388,C5364,C5340,C5316,C5292,C5268,C5244,C5220,C5196,C5172,C5148)/POBLA!$B$11*100000</f>
        <v>176.32551028379478</v>
      </c>
      <c r="H5460" s="256">
        <f t="shared" si="703"/>
        <v>2.3407407407407406</v>
      </c>
      <c r="I5460" s="297">
        <f t="shared" si="718"/>
        <v>412.73230555317889</v>
      </c>
      <c r="J5460" s="297">
        <f t="shared" si="719"/>
        <v>62.857142857142854</v>
      </c>
      <c r="K5460" s="297">
        <f>J5460/POBLA!$B$11*100000</f>
        <v>17.536895236182122</v>
      </c>
      <c r="L5460" s="549">
        <f t="shared" si="704"/>
        <v>-1.2916666666666665</v>
      </c>
      <c r="M5460" s="401">
        <f>SUM(C5460,C5436,C5412,C5388,C5364,C5340,C5316)/POBLA!$B$11*100000</f>
        <v>122.75826665327486</v>
      </c>
    </row>
    <row r="5461" spans="1:13" s="360" customFormat="1" x14ac:dyDescent="0.25">
      <c r="A5461" s="367" t="s">
        <v>21</v>
      </c>
      <c r="B5461" s="267">
        <v>44120</v>
      </c>
      <c r="C5461" s="1">
        <v>98</v>
      </c>
      <c r="D5461" s="39">
        <f t="shared" si="717"/>
        <v>6323</v>
      </c>
      <c r="E5461" s="1">
        <v>11</v>
      </c>
      <c r="F5461" s="409">
        <f t="shared" si="716"/>
        <v>202</v>
      </c>
      <c r="G5461" s="168">
        <f>SUM(C5461,C5437,C5413,C5389,C5365,C5341,C5317,C5293,C5269,C5245,C5221,C5197,C5173,C5149)/POBLA!$B$12*100000</f>
        <v>338.2198606971242</v>
      </c>
      <c r="H5461" s="256">
        <f t="shared" si="703"/>
        <v>0.83816120906801006</v>
      </c>
      <c r="I5461" s="297">
        <f t="shared" si="718"/>
        <v>283.48276737271556</v>
      </c>
      <c r="J5461" s="297">
        <f t="shared" si="719"/>
        <v>99</v>
      </c>
      <c r="K5461" s="297">
        <f>J5461/POBLA!$B$12*100000</f>
        <v>25.15684914276131</v>
      </c>
      <c r="L5461" s="549">
        <f t="shared" si="704"/>
        <v>-8.6206896551724199E-2</v>
      </c>
      <c r="M5461" s="401">
        <f>SUM(C5461,C5437,C5413,C5389,C5365,C5341,C5317)/POBLA!$B$12*100000</f>
        <v>176.09794399932915</v>
      </c>
    </row>
    <row r="5462" spans="1:13" s="360" customFormat="1" x14ac:dyDescent="0.25">
      <c r="A5462" s="367" t="s">
        <v>17</v>
      </c>
      <c r="B5462" s="267">
        <v>44120</v>
      </c>
      <c r="C5462" s="1">
        <v>897</v>
      </c>
      <c r="D5462" s="39">
        <f t="shared" si="717"/>
        <v>35930</v>
      </c>
      <c r="E5462" s="1">
        <v>30</v>
      </c>
      <c r="F5462" s="409">
        <f t="shared" si="716"/>
        <v>498</v>
      </c>
      <c r="G5462" s="168">
        <f>SUM(C5462,C5438,C5414,C5390,C5366,C5342,C5318,C5294,C5270,C5246,C5222,C5198,C5174,C5150)/POBLA!$B$13*100000</f>
        <v>468.41290273310364</v>
      </c>
      <c r="H5462" s="256">
        <f t="shared" si="703"/>
        <v>1.0335920177383593</v>
      </c>
      <c r="I5462" s="297">
        <f t="shared" si="718"/>
        <v>484.1478372705904</v>
      </c>
      <c r="J5462" s="297">
        <f t="shared" si="719"/>
        <v>719.85714285714289</v>
      </c>
      <c r="K5462" s="297">
        <f>J5462/POBLA!$B$13*100000</f>
        <v>36.167582735050175</v>
      </c>
      <c r="L5462" s="549">
        <f t="shared" si="704"/>
        <v>-0.17623716153127922</v>
      </c>
      <c r="M5462" s="401">
        <f>SUM(C5462,C5438,C5414,C5390,C5366,C5342,C5318)/POBLA!$B$13*100000</f>
        <v>253.17307914535118</v>
      </c>
    </row>
    <row r="5463" spans="1:13" s="360" customFormat="1" x14ac:dyDescent="0.25">
      <c r="A5463" s="367" t="s">
        <v>23</v>
      </c>
      <c r="B5463" s="267">
        <v>44120</v>
      </c>
      <c r="C5463" s="1">
        <v>-3</v>
      </c>
      <c r="D5463" s="39">
        <f t="shared" si="717"/>
        <v>198</v>
      </c>
      <c r="E5463" s="1"/>
      <c r="F5463" s="409">
        <f t="shared" si="716"/>
        <v>4</v>
      </c>
      <c r="G5463" s="168">
        <f>SUM(C5463,C5439,C5415,C5391,C5367,C5343,C5319,C5295,C5271,C5247,C5223,C5199,C5175,C5151)/POBLA!$B$14*100000</f>
        <v>7.8490819745436031</v>
      </c>
      <c r="H5463" s="256">
        <f t="shared" si="703"/>
        <v>3.193548387096774</v>
      </c>
      <c r="I5463" s="297">
        <f t="shared" si="718"/>
        <v>25.066423079994085</v>
      </c>
      <c r="J5463" s="297">
        <f t="shared" si="719"/>
        <v>7.7142857142857144</v>
      </c>
      <c r="K5463" s="297">
        <f>J5463/POBLA!$B$14*100000</f>
        <v>0.6116167772371639</v>
      </c>
      <c r="L5463" s="549">
        <f t="shared" si="704"/>
        <v>-0.19999999999999996</v>
      </c>
      <c r="M5463" s="401">
        <f>SUM(C5463,C5439,C5415,C5391,C5367,C5343,C5319)/POBLA!$B$14*100000</f>
        <v>4.281317440660148</v>
      </c>
    </row>
    <row r="5464" spans="1:13" s="360" customFormat="1" x14ac:dyDescent="0.25">
      <c r="A5464" s="367" t="s">
        <v>19</v>
      </c>
      <c r="B5464" s="267">
        <v>44120</v>
      </c>
      <c r="C5464" s="1">
        <v>382</v>
      </c>
      <c r="D5464" s="39">
        <f>C5464+D5440</f>
        <v>13790</v>
      </c>
      <c r="E5464" s="1">
        <v>13</v>
      </c>
      <c r="F5464" s="409">
        <f t="shared" si="716"/>
        <v>218</v>
      </c>
      <c r="G5464" s="168">
        <f>SUM(C5464,C5440,C5416,C5392,C5368,C5344,C5320,C5296,C5272,C5248,C5224,C5200,C5176,C5152)/POBLA!$B$15*100000</f>
        <v>819.35737444225424</v>
      </c>
      <c r="H5464" s="256">
        <f t="shared" si="703"/>
        <v>2.0664641093809344</v>
      </c>
      <c r="I5464" s="297">
        <f t="shared" si="718"/>
        <v>1693.1726070415136</v>
      </c>
      <c r="J5464" s="297">
        <f t="shared" si="719"/>
        <v>343.42857142857144</v>
      </c>
      <c r="K5464" s="297">
        <f>J5464/POBLA!$B$15*100000</f>
        <v>51.716730857226324</v>
      </c>
      <c r="L5464" s="549">
        <f t="shared" si="704"/>
        <v>0.20842937108989135</v>
      </c>
      <c r="M5464" s="401">
        <f>SUM(C5464,C5440,C5416,C5392,C5368,C5344,C5320)/POBLA!$B$15*100000</f>
        <v>362.01711600058428</v>
      </c>
    </row>
    <row r="5465" spans="1:13" s="360" customFormat="1" x14ac:dyDescent="0.25">
      <c r="A5465" s="367" t="s">
        <v>18</v>
      </c>
      <c r="B5465" s="267">
        <v>44120</v>
      </c>
      <c r="C5465" s="1">
        <v>536</v>
      </c>
      <c r="D5465" s="39">
        <f>C5465+D5441</f>
        <v>18561</v>
      </c>
      <c r="E5465" s="1">
        <v>2</v>
      </c>
      <c r="F5465" s="409">
        <f t="shared" si="716"/>
        <v>401</v>
      </c>
      <c r="G5465" s="168">
        <f>SUM(C5465,C5441,C5417,C5393,C5369,C5345,C5321,C5297,C5273,C5249,C5225,C5201,C5177,C5153)/POBLA!$B$16*100000</f>
        <v>677.35851580369444</v>
      </c>
      <c r="H5465" s="256">
        <f t="shared" si="703"/>
        <v>1.435374149659864</v>
      </c>
      <c r="I5465" s="297">
        <f t="shared" si="718"/>
        <v>972.26290363659541</v>
      </c>
      <c r="J5465" s="297">
        <f t="shared" si="719"/>
        <v>393.14285714285717</v>
      </c>
      <c r="K5465" s="297">
        <f>J5465/POBLA!$B$16*100000</f>
        <v>52.586623659776777</v>
      </c>
      <c r="L5465" s="549">
        <f t="shared" si="704"/>
        <v>-0.19031141868512114</v>
      </c>
      <c r="M5465" s="401">
        <f>SUM(C5465,C5441,C5417,C5393,C5369,C5345,C5321)/POBLA!$B$16*100000</f>
        <v>368.10636561843745</v>
      </c>
    </row>
    <row r="5466" spans="1:13" s="360" customFormat="1" x14ac:dyDescent="0.25">
      <c r="A5466" s="367" t="s">
        <v>34</v>
      </c>
      <c r="B5466" s="267">
        <v>44120</v>
      </c>
      <c r="C5466" s="1">
        <v>215</v>
      </c>
      <c r="D5466" s="39">
        <f>C5466+D5442</f>
        <v>16226</v>
      </c>
      <c r="E5466" s="1">
        <v>13</v>
      </c>
      <c r="F5466" s="409">
        <f>E5466+F5442</f>
        <v>577</v>
      </c>
      <c r="G5466" s="168">
        <f>SUM(C5466,C5442,C5418,C5394,C5370,C5346,C5322,C5298,C5274,C5250,C5226,C5202,C5178,C5154)/POBLA!$B$17*100000</f>
        <v>219.39108268270715</v>
      </c>
      <c r="H5466" s="256">
        <f t="shared" ref="H5466:H5497" si="720">SUM(C5466,C5442,C5418,C5394,C5370,C5346,C5322,C5298,C5274,C5250,C5226,C5202,C5178,C5154)/SUM(C5130,C5106,C5082,C5058,C5034,C5010,C4986,C4962,C4938,C4914,C4890,C4866,C4842,C4818)</f>
        <v>0.67787418655097609</v>
      </c>
      <c r="I5466" s="297">
        <f t="shared" si="718"/>
        <v>148.71955171007804</v>
      </c>
      <c r="J5466" s="297">
        <f t="shared" si="719"/>
        <v>206.14285714285714</v>
      </c>
      <c r="K5466" s="297">
        <f>J5466/POBLA!$B$17*100000</f>
        <v>14.472289477080979</v>
      </c>
      <c r="L5466" s="549">
        <f t="shared" ref="L5466:L5497" si="721">1-SUM(C5466,C5442,C5418,C5394,C5370,C5346,C5322)/SUM(C5298,C5274,C5250,C5226,C5202,C5178,C5154)</f>
        <v>0.14209274673008321</v>
      </c>
      <c r="M5466" s="401">
        <f>SUM(C5466,C5442,C5418,C5394,C5370,C5346,C5322)/POBLA!$B$17*100000</f>
        <v>101.30602633956684</v>
      </c>
    </row>
    <row r="5467" spans="1:13" s="360" customFormat="1" x14ac:dyDescent="0.25">
      <c r="A5467" s="367" t="s">
        <v>35</v>
      </c>
      <c r="B5467" s="267">
        <v>44120</v>
      </c>
      <c r="C5467" s="1">
        <v>9</v>
      </c>
      <c r="D5467" s="39">
        <f t="shared" ref="D5467:D5473" si="722">C5467+D5443</f>
        <v>1285</v>
      </c>
      <c r="E5467" s="1"/>
      <c r="F5467" s="409">
        <f>E5467+F5443</f>
        <v>51</v>
      </c>
      <c r="G5467" s="168">
        <f>SUM(C5467,C5443,C5419,C5395,C5371,C5347,C5323,C5299,C5275,C5251,C5227,C5203,C5179,C5155)/POBLA!$B$18*100000</f>
        <v>67.970871089594823</v>
      </c>
      <c r="H5467" s="256">
        <f t="shared" si="720"/>
        <v>1.8247422680412371</v>
      </c>
      <c r="I5467" s="297">
        <f t="shared" si="718"/>
        <v>124.0293214727658</v>
      </c>
      <c r="J5467" s="297">
        <f t="shared" si="719"/>
        <v>20</v>
      </c>
      <c r="K5467" s="297">
        <f>J5467/POBLA!$B$18*100000</f>
        <v>2.5601081389677898</v>
      </c>
      <c r="L5467" s="549">
        <f t="shared" si="721"/>
        <v>0.64194373401534532</v>
      </c>
      <c r="M5467" s="401">
        <f>SUM(C5467,C5443,C5419,C5395,C5371,C5347,C5323)/POBLA!$B$18*100000</f>
        <v>17.92075697277453</v>
      </c>
    </row>
    <row r="5468" spans="1:13" s="360" customFormat="1" x14ac:dyDescent="0.25">
      <c r="A5468" s="367" t="s">
        <v>36</v>
      </c>
      <c r="B5468" s="267">
        <v>44120</v>
      </c>
      <c r="C5468" s="1">
        <v>257</v>
      </c>
      <c r="D5468" s="39">
        <f t="shared" si="722"/>
        <v>2943</v>
      </c>
      <c r="E5468" s="1">
        <v>1</v>
      </c>
      <c r="F5468" s="409">
        <f t="shared" si="716"/>
        <v>35</v>
      </c>
      <c r="G5468" s="168">
        <f>SUM(C5468,C5444,C5420,C5396,C5372,C5348,C5324,C5300,C5276,C5252,C5228,C5204,C5180,C5156)/POBLA!$B$19*100000</f>
        <v>256.72400497316693</v>
      </c>
      <c r="H5468" s="256">
        <f t="shared" si="720"/>
        <v>1.3181818181818181</v>
      </c>
      <c r="I5468" s="297">
        <f t="shared" si="718"/>
        <v>338.40891564644727</v>
      </c>
      <c r="J5468" s="297">
        <f t="shared" si="719"/>
        <v>107.85714285714286</v>
      </c>
      <c r="K5468" s="297">
        <f>J5468/POBLA!$B$19*100000</f>
        <v>21.218021210152276</v>
      </c>
      <c r="L5468" s="549">
        <f t="shared" si="721"/>
        <v>-0.3727272727272728</v>
      </c>
      <c r="M5468" s="401">
        <f>SUM(C5468,C5444,C5420,C5396,C5372,C5348,C5324)/POBLA!$B$19*100000</f>
        <v>148.52614847106594</v>
      </c>
    </row>
    <row r="5469" spans="1:13" s="360" customFormat="1" x14ac:dyDescent="0.25">
      <c r="A5469" s="367" t="s">
        <v>37</v>
      </c>
      <c r="B5469" s="267">
        <v>44120</v>
      </c>
      <c r="C5469" s="1">
        <v>210</v>
      </c>
      <c r="D5469" s="39">
        <f t="shared" si="722"/>
        <v>7042</v>
      </c>
      <c r="E5469" s="1">
        <v>1</v>
      </c>
      <c r="F5469" s="409">
        <f>E5469+F5445</f>
        <v>96</v>
      </c>
      <c r="G5469" s="168">
        <f>SUM(C5469,C5445,C5421,C5397,C5373,C5349,C5325,C5301,C5277,C5253,C5229,C5205,C5181,C5157)/POBLA!$B$20*100000</f>
        <v>524.74993027033236</v>
      </c>
      <c r="H5469" s="256">
        <f t="shared" si="720"/>
        <v>1.1602176541717049</v>
      </c>
      <c r="I5469" s="297">
        <f t="shared" si="718"/>
        <v>608.82413312501069</v>
      </c>
      <c r="J5469" s="297">
        <f t="shared" si="719"/>
        <v>143</v>
      </c>
      <c r="K5469" s="297">
        <f>J5469/POBLA!$B$20*100000</f>
        <v>39.103303818998185</v>
      </c>
      <c r="L5469" s="549">
        <f t="shared" si="721"/>
        <v>-9.0413943355119875E-2</v>
      </c>
      <c r="M5469" s="401">
        <f>SUM(C5469,C5445,C5421,C5397,C5373,C5349,C5325)/POBLA!$B$20*100000</f>
        <v>273.72312673298734</v>
      </c>
    </row>
    <row r="5470" spans="1:13" s="360" customFormat="1" x14ac:dyDescent="0.25">
      <c r="A5470" s="367" t="s">
        <v>22</v>
      </c>
      <c r="B5470" s="267">
        <v>44120</v>
      </c>
      <c r="C5470" s="1">
        <v>2582</v>
      </c>
      <c r="D5470" s="39">
        <f t="shared" si="722"/>
        <v>74610</v>
      </c>
      <c r="E5470" s="1">
        <v>29</v>
      </c>
      <c r="F5470" s="409">
        <f>E5470+F5446</f>
        <v>821</v>
      </c>
      <c r="G5470" s="168">
        <f>SUM(C5470,C5446,C5422,C5398,C5374,C5350,C5326,C5302,C5278,C5254,C5230,C5206,C5182,C5158)/POBLA!$B$21*100000</f>
        <v>788.79250133892538</v>
      </c>
      <c r="H5470" s="256">
        <f t="shared" si="720"/>
        <v>1.2489925673860482</v>
      </c>
      <c r="I5470" s="297">
        <f t="shared" si="718"/>
        <v>985.19597138216727</v>
      </c>
      <c r="J5470" s="297">
        <f t="shared" si="719"/>
        <v>2185.7142857142858</v>
      </c>
      <c r="K5470" s="297">
        <f>J5470/POBLA!$B$21*100000</f>
        <v>61.805880575041918</v>
      </c>
      <c r="L5470" s="549">
        <f t="shared" si="721"/>
        <v>-0.2147677649861055</v>
      </c>
      <c r="M5470" s="401">
        <f>SUM(C5470,C5446,C5422,C5398,C5374,C5350,C5326)/POBLA!$B$21*100000</f>
        <v>432.64116402529334</v>
      </c>
    </row>
    <row r="5471" spans="1:13" s="360" customFormat="1" x14ac:dyDescent="0.25">
      <c r="A5471" s="367" t="s">
        <v>38</v>
      </c>
      <c r="B5471" s="267">
        <v>44120</v>
      </c>
      <c r="C5471" s="1">
        <v>342</v>
      </c>
      <c r="D5471" s="39">
        <f t="shared" si="722"/>
        <v>6315</v>
      </c>
      <c r="E5471" s="1">
        <v>6</v>
      </c>
      <c r="F5471" s="409">
        <f t="shared" si="716"/>
        <v>97</v>
      </c>
      <c r="G5471" s="168">
        <f>SUM(C5471,C5447,C5423,C5399,C5375,C5351,C5327,C5303,C5279,C5255,C5231,C5207,C5183,C5159)/POBLA!$B$22*100000</f>
        <v>265.15031487877604</v>
      </c>
      <c r="H5471" s="256">
        <f t="shared" si="720"/>
        <v>1.7586440677966102</v>
      </c>
      <c r="I5471" s="297">
        <f t="shared" si="718"/>
        <v>466.30502833596273</v>
      </c>
      <c r="J5471" s="297">
        <f t="shared" si="719"/>
        <v>290.28571428571428</v>
      </c>
      <c r="K5471" s="297">
        <f>J5471/POBLA!$B$22*100000</f>
        <v>29.672069602030664</v>
      </c>
      <c r="L5471" s="549">
        <f t="shared" si="721"/>
        <v>-2.6156583629893237</v>
      </c>
      <c r="M5471" s="401">
        <f>SUM(C5471,C5447,C5423,C5399,C5375,C5351,C5327)/POBLA!$B$22*100000</f>
        <v>207.70448721421468</v>
      </c>
    </row>
    <row r="5472" spans="1:13" s="360" customFormat="1" x14ac:dyDescent="0.25">
      <c r="A5472" s="367" t="s">
        <v>39</v>
      </c>
      <c r="B5472" s="267">
        <v>44120</v>
      </c>
      <c r="C5472" s="1">
        <v>256</v>
      </c>
      <c r="D5472" s="39">
        <f t="shared" si="722"/>
        <v>7758</v>
      </c>
      <c r="E5472" s="1">
        <v>5</v>
      </c>
      <c r="F5472" s="409">
        <f>E5472+F5448</f>
        <v>96</v>
      </c>
      <c r="G5472" s="168">
        <f>SUM(C5472,C5448,C5424,C5400,C5376,C5352,C5328,C5304,C5280,C5256,C5232,C5208,C5184,C5160)/POBLA!$B$23*100000</f>
        <v>1718.03427020302</v>
      </c>
      <c r="H5472" s="256">
        <f t="shared" si="720"/>
        <v>1.7870588235294118</v>
      </c>
      <c r="I5472" s="297">
        <f t="shared" si="718"/>
        <v>3070.2283016922206</v>
      </c>
      <c r="J5472" s="297">
        <f t="shared" si="719"/>
        <v>243.57142857142858</v>
      </c>
      <c r="K5472" s="297">
        <f>J5472/POBLA!$B$23*100000</f>
        <v>137.74327239237041</v>
      </c>
      <c r="L5472" s="549">
        <f t="shared" si="721"/>
        <v>-0.27906976744186052</v>
      </c>
      <c r="M5472" s="401">
        <f>SUM(C5472,C5448,C5424,C5400,C5376,C5352,C5328)/POBLA!$B$23*100000</f>
        <v>964.20290674659282</v>
      </c>
    </row>
    <row r="5473" spans="1:13" s="360" customFormat="1" ht="15.75" thickBot="1" x14ac:dyDescent="0.3">
      <c r="A5473" s="369" t="s">
        <v>40</v>
      </c>
      <c r="B5473" s="267">
        <v>44120</v>
      </c>
      <c r="C5473" s="1">
        <v>1514</v>
      </c>
      <c r="D5473" s="176">
        <f t="shared" si="722"/>
        <v>33042</v>
      </c>
      <c r="E5473" s="1">
        <v>38</v>
      </c>
      <c r="F5473" s="476">
        <f>E5473+F5449</f>
        <v>454</v>
      </c>
      <c r="G5473" s="177">
        <f>SUM(C5473,C5449,C5425,C5401,C5377,C5353,C5329,C5305,C5281,C5257,C5233,C5209,C5185,C5161)/POBLA!$B$24*100000</f>
        <v>992.64983571887149</v>
      </c>
      <c r="H5473" s="402">
        <f t="shared" si="720"/>
        <v>2.3646331177958952</v>
      </c>
      <c r="I5473" s="403">
        <f t="shared" si="718"/>
        <v>2347.2526759154985</v>
      </c>
      <c r="J5473" s="403">
        <f t="shared" si="719"/>
        <v>1154.5714285714287</v>
      </c>
      <c r="K5473" s="403">
        <f>J5473/POBLA!$B$24*100000</f>
        <v>68.130135471235974</v>
      </c>
      <c r="L5473" s="550">
        <f t="shared" si="721"/>
        <v>7.5286041189931319E-2</v>
      </c>
      <c r="M5473" s="405">
        <f>SUM(C5473,C5449,C5425,C5401,C5377,C5353,C5329)/POBLA!$B$24*100000</f>
        <v>476.91094829865176</v>
      </c>
    </row>
    <row r="5474" spans="1:13" s="360" customFormat="1" x14ac:dyDescent="0.25">
      <c r="A5474" s="361" t="s">
        <v>16</v>
      </c>
      <c r="B5474" s="267">
        <v>44121</v>
      </c>
      <c r="C5474" s="1">
        <v>4419</v>
      </c>
      <c r="D5474" s="262">
        <f t="shared" ref="D5474:D5494" si="723">C5474+D5450</f>
        <v>495841</v>
      </c>
      <c r="E5474" s="1">
        <v>191</v>
      </c>
      <c r="F5474" s="475">
        <f t="shared" ref="F5474:F5495" si="724">E5474+F5450</f>
        <v>15700</v>
      </c>
      <c r="G5474" s="175">
        <f>SUM(C5474,C5450,C5426,C5402,C5378,C5354,C5330,C5306,C5282,C5258,C5234,C5210,C5186,C5162)/POBLA!$B$1*100000</f>
        <v>356.61876271332636</v>
      </c>
      <c r="H5474" s="300">
        <f t="shared" si="720"/>
        <v>0.91120304147062681</v>
      </c>
      <c r="I5474" s="301">
        <f>G5474*H5474</f>
        <v>324.95210122987476</v>
      </c>
      <c r="J5474" s="301">
        <f>AVERAGE(C5474,C5450,C5426,C5402,C5378,C5354,C5330)</f>
        <v>4282.5714285714284</v>
      </c>
      <c r="K5474" s="301">
        <f>J5474/POBLA!$B$1*100000</f>
        <v>24.414440477796902</v>
      </c>
      <c r="L5474" s="548">
        <f t="shared" si="721"/>
        <v>7.9780213033735503E-2</v>
      </c>
      <c r="M5474" s="400">
        <f>SUM(C5474,C5450,C5426,C5402,C5378,C5354,C5330)/POBLA!$B$1*100000</f>
        <v>170.90108334457832</v>
      </c>
    </row>
    <row r="5475" spans="1:13" s="360" customFormat="1" x14ac:dyDescent="0.25">
      <c r="A5475" s="361" t="s">
        <v>43</v>
      </c>
      <c r="B5475" s="267">
        <v>44121</v>
      </c>
      <c r="C5475" s="1">
        <v>610</v>
      </c>
      <c r="D5475" s="39">
        <f t="shared" si="723"/>
        <v>139453</v>
      </c>
      <c r="E5475" s="1">
        <f>18+32</f>
        <v>50</v>
      </c>
      <c r="F5475" s="409">
        <f t="shared" si="724"/>
        <v>4301</v>
      </c>
      <c r="G5475" s="168">
        <f>SUM(C5475,C5451,C5427,C5403,C5379,C5355,C5331,C5307,C5283,C5259,C5235,C5211,C5187,C5163)/POBLA!$B$2*100000</f>
        <v>348.28455550476224</v>
      </c>
      <c r="H5475" s="256">
        <f t="shared" si="720"/>
        <v>0.88070377374003128</v>
      </c>
      <c r="I5475" s="297">
        <f t="shared" ref="I5475:I5497" si="725">G5475*H5475</f>
        <v>306.73552236841351</v>
      </c>
      <c r="J5475" s="297">
        <f t="shared" ref="J5475:J5497" si="726">AVERAGE(C5475,C5451,C5427,C5403,C5379,C5355,C5331)</f>
        <v>729</v>
      </c>
      <c r="K5475" s="297">
        <f>J5475/POBLA!$B$2*100000</f>
        <v>23.702337655243809</v>
      </c>
      <c r="L5475" s="549">
        <f t="shared" si="721"/>
        <v>9.0212159030130135E-2</v>
      </c>
      <c r="M5475" s="401">
        <f>SUM(C5475,C5451,C5427,C5403,C5379,C5355,C5331)/POBLA!$B$2*100000</f>
        <v>165.91636358670667</v>
      </c>
    </row>
    <row r="5476" spans="1:13" s="360" customFormat="1" x14ac:dyDescent="0.25">
      <c r="A5476" s="361" t="s">
        <v>28</v>
      </c>
      <c r="B5476" s="267">
        <v>44121</v>
      </c>
      <c r="C5476" s="1">
        <v>24</v>
      </c>
      <c r="D5476" s="39">
        <f t="shared" si="723"/>
        <v>453</v>
      </c>
      <c r="E5476" s="1"/>
      <c r="F5476" s="409">
        <f t="shared" si="724"/>
        <v>0</v>
      </c>
      <c r="G5476" s="168">
        <f>SUM(C5476,C5452,C5428,C5404,C5380,C5356,C5332,C5308,C5284,C5260,C5236,C5212,C5188,C5164)/POBLA!$B$3*100000</f>
        <v>35.625051150833578</v>
      </c>
      <c r="H5476" s="256">
        <f t="shared" si="720"/>
        <v>1.2869565217391303</v>
      </c>
      <c r="I5476" s="297">
        <f t="shared" si="725"/>
        <v>45.847891915855385</v>
      </c>
      <c r="J5476" s="297">
        <f t="shared" si="726"/>
        <v>11.857142857142858</v>
      </c>
      <c r="K5476" s="297">
        <f>J5476/POBLA!$B$3*100000</f>
        <v>2.8541305458679411</v>
      </c>
      <c r="L5476" s="549">
        <f t="shared" si="721"/>
        <v>-0.27692307692307683</v>
      </c>
      <c r="M5476" s="401">
        <f>SUM(C5476,C5452,C5428,C5404,C5380,C5356,C5332)/POBLA!$B$3*100000</f>
        <v>19.978913821075587</v>
      </c>
    </row>
    <row r="5477" spans="1:13" s="360" customFormat="1" x14ac:dyDescent="0.25">
      <c r="A5477" s="361" t="s">
        <v>15</v>
      </c>
      <c r="B5477" s="267">
        <v>44121</v>
      </c>
      <c r="C5477" s="1">
        <v>167</v>
      </c>
      <c r="D5477" s="39">
        <f t="shared" si="723"/>
        <v>11431</v>
      </c>
      <c r="E5477" s="1">
        <f>2+1</f>
        <v>3</v>
      </c>
      <c r="F5477" s="409">
        <f t="shared" si="724"/>
        <v>357</v>
      </c>
      <c r="G5477" s="168">
        <f>SUM(C5477,C5453,C5429,C5405,C5381,C5357,C5333,C5309,C5285,C5261,C5237,C5213,C5189,C5165)/POBLA!$B$4*100000</f>
        <v>196.58940625516277</v>
      </c>
      <c r="H5477" s="256">
        <f t="shared" si="720"/>
        <v>1.3783469150174621</v>
      </c>
      <c r="I5477" s="297">
        <f t="shared" si="725"/>
        <v>270.96840163691814</v>
      </c>
      <c r="J5477" s="297">
        <f t="shared" si="726"/>
        <v>179.57142857142858</v>
      </c>
      <c r="K5477" s="297">
        <f>J5477/POBLA!$B$4*100000</f>
        <v>14.907871842588055</v>
      </c>
      <c r="L5477" s="549">
        <f t="shared" si="721"/>
        <v>-0.13141314131413151</v>
      </c>
      <c r="M5477" s="401">
        <f>SUM(C5477,C5453,C5429,C5405,C5381,C5357,C5333)/POBLA!$B$4*100000</f>
        <v>104.35510289811639</v>
      </c>
    </row>
    <row r="5478" spans="1:13" s="360" customFormat="1" x14ac:dyDescent="0.25">
      <c r="A5478" s="361" t="s">
        <v>29</v>
      </c>
      <c r="B5478" s="267">
        <v>44121</v>
      </c>
      <c r="C5478" s="1">
        <v>335</v>
      </c>
      <c r="D5478" s="39">
        <f t="shared" si="723"/>
        <v>8892</v>
      </c>
      <c r="E5478" s="1"/>
      <c r="F5478" s="409">
        <f t="shared" si="724"/>
        <v>112</v>
      </c>
      <c r="G5478" s="168">
        <f>SUM(C5478,C5454,C5430,C5406,C5382,C5358,C5334,C5310,C5286,C5262,C5238,C5214,C5190,C5166)/POBLA!$B$5*100000</f>
        <v>708.56906528980892</v>
      </c>
      <c r="H5478" s="256">
        <f t="shared" si="720"/>
        <v>1.8864516129032258</v>
      </c>
      <c r="I5478" s="297">
        <f t="shared" si="725"/>
        <v>1336.6812560692911</v>
      </c>
      <c r="J5478" s="297">
        <f t="shared" si="726"/>
        <v>324.14285714285717</v>
      </c>
      <c r="K5478" s="297">
        <f>J5478/POBLA!$B$5*100000</f>
        <v>52.366074169193425</v>
      </c>
      <c r="L5478" s="549">
        <f t="shared" si="721"/>
        <v>-7.179971658006612E-2</v>
      </c>
      <c r="M5478" s="401">
        <f>SUM(C5478,C5454,C5430,C5406,C5382,C5358,C5334)/POBLA!$B$5*100000</f>
        <v>366.56251918435396</v>
      </c>
    </row>
    <row r="5479" spans="1:13" s="360" customFormat="1" x14ac:dyDescent="0.25">
      <c r="A5479" s="361" t="s">
        <v>20</v>
      </c>
      <c r="B5479" s="267">
        <v>44121</v>
      </c>
      <c r="C5479" s="1">
        <v>1233</v>
      </c>
      <c r="D5479" s="39">
        <f t="shared" si="723"/>
        <v>61061</v>
      </c>
      <c r="E5479" s="1">
        <v>33</v>
      </c>
      <c r="F5479" s="409">
        <f t="shared" si="724"/>
        <v>823</v>
      </c>
      <c r="G5479" s="168">
        <f>SUM(C5479,C5455,C5431,C5407,C5383,C5359,C5335,C5311,C5287,C5263,C5239,C5215,C5191,C5167)/POBLA!$B$6*100000</f>
        <v>1932.992565138682</v>
      </c>
      <c r="H5479" s="256">
        <f t="shared" si="720"/>
        <v>1.0421878006542236</v>
      </c>
      <c r="I5479" s="297">
        <f t="shared" si="725"/>
        <v>2014.541270142849</v>
      </c>
      <c r="J5479" s="297">
        <f t="shared" si="726"/>
        <v>1540</v>
      </c>
      <c r="K5479" s="297">
        <f>J5479/POBLA!$B$6*100000</f>
        <v>137.40173322472054</v>
      </c>
      <c r="L5479" s="549">
        <f t="shared" si="721"/>
        <v>9.6463022508038732E-3</v>
      </c>
      <c r="M5479" s="401">
        <f>SUM(C5479,C5455,C5431,C5407,C5383,C5359,C5335)/POBLA!$B$6*100000</f>
        <v>961.81213257304375</v>
      </c>
    </row>
    <row r="5480" spans="1:13" s="360" customFormat="1" x14ac:dyDescent="0.25">
      <c r="A5480" s="361" t="s">
        <v>30</v>
      </c>
      <c r="B5480" s="267">
        <v>44121</v>
      </c>
      <c r="C5480" s="1">
        <v>2</v>
      </c>
      <c r="D5480" s="39">
        <f t="shared" si="723"/>
        <v>1937</v>
      </c>
      <c r="E5480" s="1"/>
      <c r="F5480" s="409">
        <f t="shared" si="724"/>
        <v>32</v>
      </c>
      <c r="G5480" s="168">
        <f>SUM(C5480,C5456,C5432,C5408,C5384,C5360,C5336,C5312,C5288,C5264,C5240,C5216,C5192,C5168)/POBLA!$B$7*100000</f>
        <v>20.39649510032044</v>
      </c>
      <c r="H5480" s="256">
        <f t="shared" si="720"/>
        <v>3.3347826086956522</v>
      </c>
      <c r="I5480" s="297">
        <f t="shared" si="725"/>
        <v>68.01787713889469</v>
      </c>
      <c r="J5480" s="297">
        <f t="shared" si="726"/>
        <v>61.428571428571431</v>
      </c>
      <c r="K5480" s="297">
        <f>J5480/POBLA!$B$7*100000</f>
        <v>1.6335430979954908</v>
      </c>
      <c r="L5480" s="549">
        <f t="shared" si="721"/>
        <v>-0.27596439169139475</v>
      </c>
      <c r="M5480" s="401">
        <f>SUM(C5480,C5456,C5432,C5408,C5384,C5360,C5336)/POBLA!$B$7*100000</f>
        <v>11.434801685968434</v>
      </c>
    </row>
    <row r="5481" spans="1:13" x14ac:dyDescent="0.25">
      <c r="A5481" s="361" t="s">
        <v>31</v>
      </c>
      <c r="B5481" s="267">
        <v>44121</v>
      </c>
      <c r="C5481" s="1">
        <v>350</v>
      </c>
      <c r="D5481" s="39">
        <f t="shared" si="723"/>
        <v>11155</v>
      </c>
      <c r="E5481" s="1">
        <f>1</f>
        <v>1</v>
      </c>
      <c r="F5481" s="409">
        <f t="shared" si="724"/>
        <v>206</v>
      </c>
      <c r="G5481" s="168">
        <f>SUM(C5481,C5457,C5433,C5409,C5385,C5361,C5337,C5313,C5289,C5265,C5241,C5217,C5193,C5169)/POBLA!$B$8*100000</f>
        <v>228.07279569915747</v>
      </c>
      <c r="H5481" s="256">
        <f t="shared" si="720"/>
        <v>1.6724867724867725</v>
      </c>
      <c r="I5481" s="297">
        <f t="shared" si="725"/>
        <v>381.44873397091891</v>
      </c>
      <c r="J5481" s="297">
        <f t="shared" si="726"/>
        <v>274.57142857142856</v>
      </c>
      <c r="K5481" s="297">
        <f>J5481/POBLA!$B$8*100000</f>
        <v>19.810905831508141</v>
      </c>
      <c r="L5481" s="549">
        <f t="shared" si="721"/>
        <v>-0.5512510088781275</v>
      </c>
      <c r="M5481" s="401">
        <f>SUM(C5481,C5457,C5433,C5409,C5385,C5361,C5337)/POBLA!$B$8*100000</f>
        <v>138.67634082055702</v>
      </c>
    </row>
    <row r="5482" spans="1:13" s="360" customFormat="1" x14ac:dyDescent="0.25">
      <c r="A5482" s="361" t="s">
        <v>41</v>
      </c>
      <c r="B5482" s="267">
        <v>44121</v>
      </c>
      <c r="C5482" s="1">
        <v>1</v>
      </c>
      <c r="D5482" s="39">
        <f t="shared" si="723"/>
        <v>140</v>
      </c>
      <c r="E5482" s="1"/>
      <c r="F5482" s="409">
        <f t="shared" si="724"/>
        <v>1</v>
      </c>
      <c r="G5482" s="168">
        <f>SUM(C5482,C5458,C5434,C5410,C5386,C5362,C5338,C5314,C5290,C5266,C5242,C5218,C5194,C5170)/POBLA!$B$9*100000</f>
        <v>5.7832790531285063</v>
      </c>
      <c r="H5482" s="256">
        <f t="shared" si="720"/>
        <v>8.75</v>
      </c>
      <c r="I5482" s="297">
        <f t="shared" si="725"/>
        <v>50.603691714874429</v>
      </c>
      <c r="J5482" s="297">
        <f t="shared" si="726"/>
        <v>1.7142857142857142</v>
      </c>
      <c r="K5482" s="297">
        <f>J5482/POBLA!$B$9*100000</f>
        <v>0.28326264750017172</v>
      </c>
      <c r="L5482" s="549">
        <f t="shared" si="721"/>
        <v>0.47826086956521741</v>
      </c>
      <c r="M5482" s="401">
        <f>SUM(C5482,C5458,C5434,C5410,C5386,C5362,C5338)/POBLA!$B$9*100000</f>
        <v>1.9828385325012021</v>
      </c>
    </row>
    <row r="5483" spans="1:13" s="360" customFormat="1" x14ac:dyDescent="0.25">
      <c r="A5483" s="361" t="s">
        <v>32</v>
      </c>
      <c r="B5483" s="267">
        <v>44121</v>
      </c>
      <c r="C5483" s="1">
        <v>69</v>
      </c>
      <c r="D5483" s="39">
        <f t="shared" si="723"/>
        <v>17189</v>
      </c>
      <c r="E5483" s="1">
        <f>12+8</f>
        <v>20</v>
      </c>
      <c r="F5483" s="409">
        <f t="shared" si="724"/>
        <v>675</v>
      </c>
      <c r="G5483" s="168">
        <f>SUM(C5483,C5459,C5435,C5411,C5387,C5363,C5339,C5315,C5291,C5267,C5243,C5219,C5195,C5171)/POBLA!$B$10*100000</f>
        <v>143.47220906988238</v>
      </c>
      <c r="H5483" s="256">
        <f t="shared" si="720"/>
        <v>0.50548446069469832</v>
      </c>
      <c r="I5483" s="297">
        <f t="shared" si="725"/>
        <v>72.522972226366505</v>
      </c>
      <c r="J5483" s="297">
        <f t="shared" si="726"/>
        <v>73.857142857142861</v>
      </c>
      <c r="K5483" s="297">
        <f>J5483/POBLA!$B$10*100000</f>
        <v>9.580874720889847</v>
      </c>
      <c r="L5483" s="549">
        <f t="shared" si="721"/>
        <v>0.12224108658743638</v>
      </c>
      <c r="M5483" s="401">
        <f>SUM(C5483,C5459,C5435,C5411,C5387,C5363,C5339)/POBLA!$B$10*100000</f>
        <v>67.066123046228924</v>
      </c>
    </row>
    <row r="5484" spans="1:13" s="360" customFormat="1" x14ac:dyDescent="0.25">
      <c r="A5484" s="361" t="s">
        <v>33</v>
      </c>
      <c r="B5484" s="267">
        <v>44121</v>
      </c>
      <c r="C5484" s="1">
        <v>95</v>
      </c>
      <c r="D5484" s="39">
        <f t="shared" si="723"/>
        <v>1531</v>
      </c>
      <c r="E5484" s="1"/>
      <c r="F5484" s="409">
        <f t="shared" si="724"/>
        <v>17</v>
      </c>
      <c r="G5484" s="168">
        <f>SUM(C5484,C5460,C5436,C5412,C5388,C5364,C5340,C5316,C5292,C5268,C5244,C5220,C5196,C5172)/POBLA!$B$11*100000</f>
        <v>195.29724240293726</v>
      </c>
      <c r="H5484" s="256">
        <f t="shared" si="720"/>
        <v>2.464788732394366</v>
      </c>
      <c r="I5484" s="297">
        <f t="shared" si="725"/>
        <v>481.36644254245095</v>
      </c>
      <c r="J5484" s="297">
        <f t="shared" si="726"/>
        <v>70.142857142857139</v>
      </c>
      <c r="K5484" s="297">
        <f>J5484/POBLA!$B$11*100000</f>
        <v>19.569580820375958</v>
      </c>
      <c r="L5484" s="549">
        <f t="shared" si="721"/>
        <v>-1.3492822966507179</v>
      </c>
      <c r="M5484" s="401">
        <f>SUM(C5484,C5460,C5436,C5412,C5388,C5364,C5340)/POBLA!$B$11*100000</f>
        <v>136.98706574263173</v>
      </c>
    </row>
    <row r="5485" spans="1:13" s="360" customFormat="1" x14ac:dyDescent="0.25">
      <c r="A5485" s="361" t="s">
        <v>21</v>
      </c>
      <c r="B5485" s="267">
        <v>44121</v>
      </c>
      <c r="C5485" s="1">
        <v>55</v>
      </c>
      <c r="D5485" s="39">
        <f t="shared" si="723"/>
        <v>6378</v>
      </c>
      <c r="E5485" s="1"/>
      <c r="F5485" s="409">
        <f t="shared" si="724"/>
        <v>202</v>
      </c>
      <c r="G5485" s="168">
        <f>SUM(C5485,C5461,C5437,C5413,C5389,C5365,C5341,C5317,C5293,C5269,C5245,C5221,C5197,C5173)/POBLA!$B$12*100000</f>
        <v>336.44109358601992</v>
      </c>
      <c r="H5485" s="256">
        <f t="shared" si="720"/>
        <v>0.84654731457800514</v>
      </c>
      <c r="I5485" s="297">
        <f t="shared" si="725"/>
        <v>284.81330428893244</v>
      </c>
      <c r="J5485" s="297">
        <f t="shared" si="726"/>
        <v>100.28571428571429</v>
      </c>
      <c r="K5485" s="297">
        <f>J5485/POBLA!$B$12*100000</f>
        <v>25.483561469290677</v>
      </c>
      <c r="L5485" s="549">
        <f t="shared" si="721"/>
        <v>-0.12861736334405149</v>
      </c>
      <c r="M5485" s="401">
        <f>SUM(C5485,C5461,C5437,C5413,C5389,C5365,C5341)/POBLA!$B$12*100000</f>
        <v>178.38493028503473</v>
      </c>
    </row>
    <row r="5486" spans="1:13" s="360" customFormat="1" x14ac:dyDescent="0.25">
      <c r="A5486" s="361" t="s">
        <v>17</v>
      </c>
      <c r="B5486" s="267">
        <v>44121</v>
      </c>
      <c r="C5486" s="1">
        <v>659</v>
      </c>
      <c r="D5486" s="39">
        <f t="shared" si="723"/>
        <v>36589</v>
      </c>
      <c r="E5486" s="1">
        <f>23+17</f>
        <v>40</v>
      </c>
      <c r="F5486" s="409">
        <f t="shared" si="724"/>
        <v>538</v>
      </c>
      <c r="G5486" s="168">
        <f>SUM(C5486,C5462,C5438,C5414,C5390,C5366,C5342,C5318,C5294,C5270,C5246,C5222,C5198,C5174)/POBLA!$B$13*100000</f>
        <v>475.54736934128778</v>
      </c>
      <c r="H5486" s="256">
        <f t="shared" si="720"/>
        <v>1.0678023465703972</v>
      </c>
      <c r="I5486" s="297">
        <f t="shared" si="725"/>
        <v>507.79059688800646</v>
      </c>
      <c r="J5486" s="297">
        <f t="shared" si="726"/>
        <v>732.14285714285711</v>
      </c>
      <c r="K5486" s="297">
        <f>J5486/POBLA!$B$13*100000</f>
        <v>36.784850469762276</v>
      </c>
      <c r="L5486" s="549">
        <f t="shared" si="721"/>
        <v>-0.18087557603686633</v>
      </c>
      <c r="M5486" s="401">
        <f>SUM(C5486,C5462,C5438,C5414,C5390,C5366,C5342)/POBLA!$B$13*100000</f>
        <v>257.49395328833594</v>
      </c>
    </row>
    <row r="5487" spans="1:13" s="360" customFormat="1" x14ac:dyDescent="0.25">
      <c r="A5487" s="361" t="s">
        <v>23</v>
      </c>
      <c r="B5487" s="267">
        <v>44121</v>
      </c>
      <c r="C5487" s="1">
        <v>1</v>
      </c>
      <c r="D5487" s="39">
        <f t="shared" si="723"/>
        <v>199</v>
      </c>
      <c r="E5487" s="1"/>
      <c r="F5487" s="409">
        <f t="shared" si="724"/>
        <v>4</v>
      </c>
      <c r="G5487" s="168">
        <f>SUM(C5487,C5463,C5439,C5415,C5391,C5367,C5343,C5319,C5295,C5271,C5247,C5223,C5199,C5175)/POBLA!$B$14*100000</f>
        <v>7.5319473493095188</v>
      </c>
      <c r="H5487" s="256">
        <f t="shared" si="720"/>
        <v>2.7142857142857144</v>
      </c>
      <c r="I5487" s="297">
        <f t="shared" si="725"/>
        <v>20.443857090982981</v>
      </c>
      <c r="J5487" s="297">
        <f t="shared" si="726"/>
        <v>7.1428571428571432</v>
      </c>
      <c r="K5487" s="297">
        <f>J5487/POBLA!$B$14*100000</f>
        <v>0.56631183077515179</v>
      </c>
      <c r="L5487" s="549">
        <f t="shared" si="721"/>
        <v>-0.11111111111111116</v>
      </c>
      <c r="M5487" s="401">
        <f>SUM(C5487,C5463,C5439,C5415,C5391,C5367,C5343)/POBLA!$B$14*100000</f>
        <v>3.9641828154260623</v>
      </c>
    </row>
    <row r="5488" spans="1:13" s="360" customFormat="1" x14ac:dyDescent="0.25">
      <c r="A5488" s="361" t="s">
        <v>19</v>
      </c>
      <c r="B5488" s="267">
        <v>44121</v>
      </c>
      <c r="C5488" s="1">
        <v>1005</v>
      </c>
      <c r="D5488" s="39">
        <f t="shared" si="723"/>
        <v>14795</v>
      </c>
      <c r="E5488" s="1"/>
      <c r="F5488" s="409">
        <f t="shared" si="724"/>
        <v>218</v>
      </c>
      <c r="G5488" s="168">
        <f>SUM(C5488,C5464,C5440,C5416,C5392,C5368,C5344,C5320,C5296,C5272,C5248,C5224,C5200,C5176)/POBLA!$B$15*100000</f>
        <v>930.94418099651091</v>
      </c>
      <c r="H5488" s="256">
        <f t="shared" si="720"/>
        <v>2.2431059506531206</v>
      </c>
      <c r="I5488" s="297">
        <f t="shared" si="725"/>
        <v>2088.2064321191692</v>
      </c>
      <c r="J5488" s="297">
        <f t="shared" si="726"/>
        <v>425.14285714285717</v>
      </c>
      <c r="K5488" s="297">
        <f>J5488/POBLA!$B$15*100000</f>
        <v>64.022042858196983</v>
      </c>
      <c r="L5488" s="549">
        <f t="shared" si="721"/>
        <v>7.17404865876482E-2</v>
      </c>
      <c r="M5488" s="401">
        <f>SUM(C5488,C5464,C5440,C5416,C5392,C5368,C5344)/POBLA!$B$15*100000</f>
        <v>448.15430000737894</v>
      </c>
    </row>
    <row r="5489" spans="1:13" s="360" customFormat="1" x14ac:dyDescent="0.25">
      <c r="A5489" s="361" t="s">
        <v>18</v>
      </c>
      <c r="B5489" s="267">
        <v>44121</v>
      </c>
      <c r="C5489" s="1">
        <v>357</v>
      </c>
      <c r="D5489" s="39">
        <f t="shared" si="723"/>
        <v>18918</v>
      </c>
      <c r="E5489" s="1">
        <f>2</f>
        <v>2</v>
      </c>
      <c r="F5489" s="409">
        <f t="shared" si="724"/>
        <v>403</v>
      </c>
      <c r="G5489" s="168">
        <f>SUM(C5489,C5465,C5441,C5417,C5393,C5369,C5345,C5321,C5297,C5273,C5249,C5225,C5201,C5177)/POBLA!$B$16*100000</f>
        <v>680.97002447800321</v>
      </c>
      <c r="H5489" s="256">
        <f t="shared" si="720"/>
        <v>1.4090783282590644</v>
      </c>
      <c r="I5489" s="297">
        <f t="shared" si="725"/>
        <v>959.54010368599893</v>
      </c>
      <c r="J5489" s="297">
        <f t="shared" si="726"/>
        <v>382.28571428571428</v>
      </c>
      <c r="K5489" s="297">
        <f>J5489/POBLA!$B$16*100000</f>
        <v>51.134376785451551</v>
      </c>
      <c r="L5489" s="549">
        <f t="shared" si="721"/>
        <v>-0.1080745341614906</v>
      </c>
      <c r="M5489" s="401">
        <f>SUM(C5489,C5465,C5441,C5417,C5393,C5369,C5345)/POBLA!$B$16*100000</f>
        <v>357.94063749816081</v>
      </c>
    </row>
    <row r="5490" spans="1:13" s="360" customFormat="1" x14ac:dyDescent="0.25">
      <c r="A5490" s="361" t="s">
        <v>34</v>
      </c>
      <c r="B5490" s="267">
        <v>44121</v>
      </c>
      <c r="C5490" s="1">
        <v>238</v>
      </c>
      <c r="D5490" s="39">
        <f t="shared" si="723"/>
        <v>16464</v>
      </c>
      <c r="E5490" s="1">
        <f>5+1</f>
        <v>6</v>
      </c>
      <c r="F5490" s="409">
        <f>E5490+F5466</f>
        <v>583</v>
      </c>
      <c r="G5490" s="168">
        <f>SUM(C5490,C5466,C5442,C5418,C5394,C5370,C5346,C5322,C5298,C5274,C5250,C5226,C5202,C5178)/POBLA!$B$17*100000</f>
        <v>226.69241791438765</v>
      </c>
      <c r="H5490" s="256">
        <f t="shared" si="720"/>
        <v>0.74988388295401764</v>
      </c>
      <c r="I5490" s="297">
        <f t="shared" si="725"/>
        <v>169.99299058187592</v>
      </c>
      <c r="J5490" s="297">
        <f t="shared" si="726"/>
        <v>175.42857142857142</v>
      </c>
      <c r="K5490" s="297">
        <f>J5490/POBLA!$B$17*100000</f>
        <v>12.31598855014237</v>
      </c>
      <c r="L5490" s="549">
        <f t="shared" si="721"/>
        <v>0.38630684657671166</v>
      </c>
      <c r="M5490" s="401">
        <f>SUM(C5490,C5466,C5442,C5418,C5394,C5370,C5346)/POBLA!$B$17*100000</f>
        <v>86.211919850996594</v>
      </c>
    </row>
    <row r="5491" spans="1:13" s="360" customFormat="1" x14ac:dyDescent="0.25">
      <c r="A5491" s="361" t="s">
        <v>35</v>
      </c>
      <c r="B5491" s="267">
        <v>44121</v>
      </c>
      <c r="C5491" s="1">
        <v>6</v>
      </c>
      <c r="D5491" s="39">
        <f t="shared" si="723"/>
        <v>1291</v>
      </c>
      <c r="E5491" s="1"/>
      <c r="F5491" s="409">
        <f>E5491+F5467</f>
        <v>51</v>
      </c>
      <c r="G5491" s="168">
        <f>SUM(C5491,C5467,C5443,C5419,C5395,C5371,C5347,C5323,C5299,C5275,C5251,C5227,C5203,C5179)/POBLA!$B$18*100000</f>
        <v>59.138498010155949</v>
      </c>
      <c r="H5491" s="256">
        <f t="shared" si="720"/>
        <v>1.2657534246575342</v>
      </c>
      <c r="I5491" s="297">
        <f t="shared" si="725"/>
        <v>74.854756385457662</v>
      </c>
      <c r="J5491" s="297">
        <f t="shared" si="726"/>
        <v>20.714285714285715</v>
      </c>
      <c r="K5491" s="297">
        <f>J5491/POBLA!$B$18*100000</f>
        <v>2.6515405725023542</v>
      </c>
      <c r="L5491" s="549">
        <f t="shared" si="721"/>
        <v>0.54258675078864349</v>
      </c>
      <c r="M5491" s="401">
        <f>SUM(C5491,C5467,C5443,C5419,C5395,C5371,C5347)/POBLA!$B$18*100000</f>
        <v>18.560784007516478</v>
      </c>
    </row>
    <row r="5492" spans="1:13" s="360" customFormat="1" x14ac:dyDescent="0.25">
      <c r="A5492" s="361" t="s">
        <v>36</v>
      </c>
      <c r="B5492" s="267">
        <v>44121</v>
      </c>
      <c r="C5492" s="1">
        <v>201</v>
      </c>
      <c r="D5492" s="39">
        <f t="shared" si="723"/>
        <v>3144</v>
      </c>
      <c r="E5492" s="1"/>
      <c r="F5492" s="409">
        <f t="shared" si="724"/>
        <v>35</v>
      </c>
      <c r="G5492" s="168">
        <f>SUM(C5492,C5468,C5444,C5420,C5396,C5372,C5348,C5324,C5300,C5276,C5252,C5228,C5204,C5180)/POBLA!$B$19*100000</f>
        <v>294.10144631025639</v>
      </c>
      <c r="H5492" s="256">
        <f t="shared" si="720"/>
        <v>1.5301944728761514</v>
      </c>
      <c r="I5492" s="297">
        <f t="shared" si="725"/>
        <v>450.03240760883654</v>
      </c>
      <c r="J5492" s="297">
        <f t="shared" si="726"/>
        <v>134.57142857142858</v>
      </c>
      <c r="K5492" s="297">
        <f>J5492/POBLA!$B$19*100000</f>
        <v>26.473345668825754</v>
      </c>
      <c r="L5492" s="549">
        <f t="shared" si="721"/>
        <v>-0.70343580470162759</v>
      </c>
      <c r="M5492" s="401">
        <f>SUM(C5492,C5468,C5444,C5420,C5396,C5372,C5348)/POBLA!$B$19*100000</f>
        <v>185.31341968178026</v>
      </c>
    </row>
    <row r="5493" spans="1:13" s="360" customFormat="1" x14ac:dyDescent="0.25">
      <c r="A5493" s="361" t="s">
        <v>37</v>
      </c>
      <c r="B5493" s="267">
        <v>44121</v>
      </c>
      <c r="C5493" s="1">
        <v>141</v>
      </c>
      <c r="D5493" s="39">
        <f t="shared" si="723"/>
        <v>7183</v>
      </c>
      <c r="E5493" s="1">
        <f>1</f>
        <v>1</v>
      </c>
      <c r="F5493" s="409">
        <f>E5493+F5469</f>
        <v>97</v>
      </c>
      <c r="G5493" s="168">
        <f>SUM(C5493,C5469,C5445,C5421,C5397,C5373,C5349,C5325,C5301,C5277,C5253,C5229,C5205,C5181)/POBLA!$B$20*100000</f>
        <v>502.87395610585781</v>
      </c>
      <c r="H5493" s="256">
        <f t="shared" si="720"/>
        <v>1.0946428571428573</v>
      </c>
      <c r="I5493" s="297">
        <f t="shared" si="725"/>
        <v>550.46738409444799</v>
      </c>
      <c r="J5493" s="297">
        <f t="shared" si="726"/>
        <v>138.85714285714286</v>
      </c>
      <c r="K5493" s="297">
        <f>J5493/POBLA!$B$20*100000</f>
        <v>37.970440871195045</v>
      </c>
      <c r="L5493" s="549">
        <f t="shared" si="721"/>
        <v>-0.12110726643598624</v>
      </c>
      <c r="M5493" s="401">
        <f>SUM(C5493,C5469,C5445,C5421,C5397,C5373,C5349)/POBLA!$B$20*100000</f>
        <v>265.79308609836528</v>
      </c>
    </row>
    <row r="5494" spans="1:13" s="360" customFormat="1" x14ac:dyDescent="0.25">
      <c r="A5494" s="361" t="s">
        <v>22</v>
      </c>
      <c r="B5494" s="267">
        <v>44121</v>
      </c>
      <c r="C5494" s="1">
        <v>2199</v>
      </c>
      <c r="D5494" s="39">
        <f t="shared" si="723"/>
        <v>76809</v>
      </c>
      <c r="E5494" s="1">
        <f>11+16</f>
        <v>27</v>
      </c>
      <c r="F5494" s="409">
        <f>E5494+F5470</f>
        <v>848</v>
      </c>
      <c r="G5494" s="168">
        <f>SUM(C5494,C5470,C5446,C5422,C5398,C5374,C5350,C5326,C5302,C5278,C5254,C5230,C5206,C5182)/POBLA!$B$21*100000</f>
        <v>809.97212433598065</v>
      </c>
      <c r="H5494" s="256">
        <f t="shared" si="720"/>
        <v>1.2648032852033382</v>
      </c>
      <c r="I5494" s="297">
        <f t="shared" si="725"/>
        <v>1024.455403783275</v>
      </c>
      <c r="J5494" s="297">
        <f t="shared" si="726"/>
        <v>2208</v>
      </c>
      <c r="K5494" s="297">
        <f>J5494/POBLA!$B$21*100000</f>
        <v>62.436058180905086</v>
      </c>
      <c r="L5494" s="549">
        <f t="shared" si="721"/>
        <v>-0.17197452229299359</v>
      </c>
      <c r="M5494" s="401">
        <f>SUM(C5494,C5470,C5446,C5422,C5398,C5374,C5350)/POBLA!$B$21*100000</f>
        <v>437.05240726633559</v>
      </c>
    </row>
    <row r="5495" spans="1:13" s="360" customFormat="1" x14ac:dyDescent="0.25">
      <c r="A5495" s="361" t="s">
        <v>38</v>
      </c>
      <c r="B5495" s="267">
        <v>44121</v>
      </c>
      <c r="C5495" s="1">
        <v>238</v>
      </c>
      <c r="D5495" s="39">
        <f>C5495+D5471</f>
        <v>6553</v>
      </c>
      <c r="E5495" s="1"/>
      <c r="F5495" s="409">
        <f t="shared" si="724"/>
        <v>97</v>
      </c>
      <c r="G5495" s="168">
        <f>SUM(C5495,C5471,C5447,C5423,C5399,C5375,C5351,C5327,C5303,C5279,C5255,C5231,C5207,C5183)/POBLA!$B$22*100000</f>
        <v>276.90524402721832</v>
      </c>
      <c r="H5495" s="256">
        <f t="shared" si="720"/>
        <v>1.7568093385214008</v>
      </c>
      <c r="I5495" s="297">
        <f t="shared" si="725"/>
        <v>486.46971859256445</v>
      </c>
      <c r="J5495" s="297">
        <f t="shared" si="726"/>
        <v>311</v>
      </c>
      <c r="K5495" s="297">
        <f>J5495/POBLA!$B$22*100000</f>
        <v>31.789417088396046</v>
      </c>
      <c r="L5495" s="549">
        <f t="shared" si="721"/>
        <v>-3.0921052631578947</v>
      </c>
      <c r="M5495" s="401">
        <f>SUM(C5495,C5471,C5447,C5423,C5399,C5375,C5351)/POBLA!$B$22*100000</f>
        <v>222.52591961877229</v>
      </c>
    </row>
    <row r="5496" spans="1:13" s="360" customFormat="1" x14ac:dyDescent="0.25">
      <c r="A5496" s="361" t="s">
        <v>39</v>
      </c>
      <c r="B5496" s="267">
        <v>44121</v>
      </c>
      <c r="C5496" s="1">
        <v>182</v>
      </c>
      <c r="D5496" s="39">
        <f>C5496+D5472</f>
        <v>7940</v>
      </c>
      <c r="E5496" s="1">
        <f>3+1</f>
        <v>4</v>
      </c>
      <c r="F5496" s="409">
        <f>E5496+F5472</f>
        <v>100</v>
      </c>
      <c r="G5496" s="168">
        <f>SUM(C5496,C5472,C5448,C5424,C5400,C5376,C5352,C5328,C5304,C5280,C5256,C5232,C5208,C5184)/POBLA!$B$23*100000</f>
        <v>1714.641180795114</v>
      </c>
      <c r="H5496" s="256">
        <f t="shared" si="720"/>
        <v>1.6938547486033519</v>
      </c>
      <c r="I5496" s="297">
        <f t="shared" si="725"/>
        <v>2904.3531062406623</v>
      </c>
      <c r="J5496" s="297">
        <f t="shared" si="726"/>
        <v>249</v>
      </c>
      <c r="K5496" s="297">
        <f>J5496/POBLA!$B$23*100000</f>
        <v>140.81321042809478</v>
      </c>
      <c r="L5496" s="549">
        <f t="shared" si="721"/>
        <v>-0.35221101629169893</v>
      </c>
      <c r="M5496" s="401">
        <f>SUM(C5496,C5472,C5448,C5424,C5400,C5376,C5352)/POBLA!$B$23*100000</f>
        <v>985.69247299666358</v>
      </c>
    </row>
    <row r="5497" spans="1:13" s="360" customFormat="1" ht="15.75" thickBot="1" x14ac:dyDescent="0.3">
      <c r="A5497" s="359" t="s">
        <v>40</v>
      </c>
      <c r="B5497" s="268">
        <v>44121</v>
      </c>
      <c r="C5497" s="232">
        <v>923</v>
      </c>
      <c r="D5497" s="39">
        <f t="shared" ref="D5497:D5518" si="727">C5497+D5473</f>
        <v>33965</v>
      </c>
      <c r="E5497" s="232"/>
      <c r="F5497" s="477">
        <f>E5497+F5473</f>
        <v>454</v>
      </c>
      <c r="G5497" s="177">
        <f>SUM(C5497,C5473,C5449,C5425,C5401,C5377,C5353,C5329,C5305,C5281,C5257,C5233,C5209,C5185)/POBLA!$B$24*100000</f>
        <v>1022.8034480154083</v>
      </c>
      <c r="H5497" s="402">
        <f t="shared" si="720"/>
        <v>2.3489632741563899</v>
      </c>
      <c r="I5497" s="403">
        <f t="shared" si="725"/>
        <v>2402.5277360687187</v>
      </c>
      <c r="J5497" s="403">
        <f t="shared" si="726"/>
        <v>1171.8571428571429</v>
      </c>
      <c r="K5497" s="403">
        <f>J5497/POBLA!$B$24*100000</f>
        <v>69.150148635306678</v>
      </c>
      <c r="L5497" s="550">
        <f t="shared" si="721"/>
        <v>0.10153340635268349</v>
      </c>
      <c r="M5497" s="405">
        <f>SUM(C5497,C5473,C5449,C5425,C5401,C5377,C5353)/POBLA!$B$24*100000</f>
        <v>484.05104044714676</v>
      </c>
    </row>
    <row r="5498" spans="1:13" s="360" customFormat="1" x14ac:dyDescent="0.25">
      <c r="A5498" s="370" t="s">
        <v>16</v>
      </c>
      <c r="B5498" s="270">
        <v>44122</v>
      </c>
      <c r="C5498" s="271">
        <v>2383</v>
      </c>
      <c r="D5498" s="262">
        <f t="shared" si="727"/>
        <v>498224</v>
      </c>
      <c r="E5498" s="271">
        <f>8+7</f>
        <v>15</v>
      </c>
      <c r="F5498" s="478">
        <f t="shared" ref="F5498:F5519" si="728">E5498+F5474</f>
        <v>15715</v>
      </c>
      <c r="G5498" s="175">
        <f>SUM(C5498,C5474,C5450,C5426,C5402,C5378,C5354,C5330,C5306,C5282,C5258,C5234,C5210,C5186)/POBLA!$B$1*100000</f>
        <v>355.1080286054368</v>
      </c>
      <c r="H5498" s="300">
        <f t="shared" ref="H5498:H5561" si="729">SUM(C5498,C5474,C5450,C5426,C5402,C5378,C5354,C5330,C5306,C5282,C5258,C5234,C5210,C5186)/SUM(C5162,C5138,C5114,C5090,C5066,C5042,C5018,C4994,C4970,C4946,C4922,C4898,C4874,C4850)</f>
        <v>0.92071422236674849</v>
      </c>
      <c r="I5498" s="301">
        <f>G5498*H5498</f>
        <v>326.95301241364382</v>
      </c>
      <c r="J5498" s="301">
        <f>AVERAGE(C5498,C5474,C5450,C5426,C5402,C5378,C5354)</f>
        <v>4259.8571428571431</v>
      </c>
      <c r="K5498" s="301">
        <f>J5498/POBLA!$B$1*100000</f>
        <v>24.284948982834944</v>
      </c>
      <c r="L5498" s="548">
        <f t="shared" ref="L5498:L5561" si="730">1-SUM(C5498,C5474,C5450,C5426,C5402,C5378,C5354)/SUM(C5330,C5306,C5282,C5258,C5234,C5210,C5186)</f>
        <v>8.1672877336700478E-2</v>
      </c>
      <c r="M5498" s="400">
        <f>SUM(C5498,C5474,C5450,C5426,C5402,C5378,C5354)/POBLA!$B$1*100000</f>
        <v>169.99464287984458</v>
      </c>
    </row>
    <row r="5499" spans="1:13" s="360" customFormat="1" x14ac:dyDescent="0.25">
      <c r="A5499" s="371" t="s">
        <v>43</v>
      </c>
      <c r="B5499" s="267">
        <v>44122</v>
      </c>
      <c r="C5499" s="1">
        <v>517</v>
      </c>
      <c r="D5499" s="39">
        <f t="shared" si="727"/>
        <v>139970</v>
      </c>
      <c r="E5499" s="1">
        <f>18+20</f>
        <v>38</v>
      </c>
      <c r="F5499" s="410">
        <f t="shared" si="728"/>
        <v>4339</v>
      </c>
      <c r="G5499" s="168">
        <f>SUM(C5499,C5475,C5451,C5427,C5403,C5379,C5355,C5331,C5307,C5283,C5259,C5235,C5211,C5187)/POBLA!$B$2*100000</f>
        <v>347.76433958914652</v>
      </c>
      <c r="H5499" s="256">
        <f t="shared" si="729"/>
        <v>0.89133333333333331</v>
      </c>
      <c r="I5499" s="297">
        <f t="shared" ref="I5499:I5521" si="731">G5499*H5499</f>
        <v>309.97394802045926</v>
      </c>
      <c r="J5499" s="297">
        <f t="shared" ref="J5499:J5521" si="732">AVERAGE(C5499,C5475,C5451,C5427,C5403,C5379,C5355)</f>
        <v>711.14285714285711</v>
      </c>
      <c r="K5499" s="297">
        <f>J5499/POBLA!$B$2*100000</f>
        <v>23.121739535136914</v>
      </c>
      <c r="L5499" s="549">
        <f t="shared" si="730"/>
        <v>0.12941587967820911</v>
      </c>
      <c r="M5499" s="401">
        <f>SUM(C5499,C5475,C5451,C5427,C5403,C5379,C5355)/POBLA!$B$2*100000</f>
        <v>161.85217674595842</v>
      </c>
    </row>
    <row r="5500" spans="1:13" s="360" customFormat="1" x14ac:dyDescent="0.25">
      <c r="A5500" s="371" t="s">
        <v>28</v>
      </c>
      <c r="B5500" s="267">
        <v>44122</v>
      </c>
      <c r="C5500" s="1">
        <v>27</v>
      </c>
      <c r="D5500" s="39">
        <f t="shared" si="727"/>
        <v>480</v>
      </c>
      <c r="E5500" s="1"/>
      <c r="F5500" s="410">
        <f t="shared" si="728"/>
        <v>0</v>
      </c>
      <c r="G5500" s="168">
        <f>SUM(C5500,C5476,C5452,C5428,C5404,C5380,C5356,C5332,C5308,C5284,C5260,C5236,C5212,C5188)/POBLA!$B$3*100000</f>
        <v>38.99498842185838</v>
      </c>
      <c r="H5500" s="256">
        <f t="shared" si="729"/>
        <v>1.2755905511811023</v>
      </c>
      <c r="I5500" s="297">
        <f t="shared" si="731"/>
        <v>49.741638774339037</v>
      </c>
      <c r="J5500" s="297">
        <f t="shared" si="732"/>
        <v>14.857142857142858</v>
      </c>
      <c r="K5500" s="297">
        <f>J5500/POBLA!$B$3*100000</f>
        <v>3.576259961087541</v>
      </c>
      <c r="L5500" s="549">
        <f t="shared" si="730"/>
        <v>-0.7931034482758621</v>
      </c>
      <c r="M5500" s="401">
        <f>SUM(C5500,C5476,C5452,C5428,C5404,C5380,C5356)/POBLA!$B$3*100000</f>
        <v>25.033819727612784</v>
      </c>
    </row>
    <row r="5501" spans="1:13" s="360" customFormat="1" x14ac:dyDescent="0.25">
      <c r="A5501" s="371" t="s">
        <v>15</v>
      </c>
      <c r="B5501" s="267">
        <v>44122</v>
      </c>
      <c r="C5501" s="1">
        <v>232</v>
      </c>
      <c r="D5501" s="39">
        <f t="shared" si="727"/>
        <v>11663</v>
      </c>
      <c r="E5501" s="1">
        <f>1+2</f>
        <v>3</v>
      </c>
      <c r="F5501" s="410">
        <f t="shared" si="728"/>
        <v>360</v>
      </c>
      <c r="G5501" s="168">
        <f>SUM(C5501,C5477,C5453,C5429,C5405,C5381,C5357,C5333,C5309,C5285,C5261,C5237,C5213,C5189)/POBLA!$B$4*100000</f>
        <v>201.15546087679871</v>
      </c>
      <c r="H5501" s="256">
        <f t="shared" si="729"/>
        <v>1.3240437158469944</v>
      </c>
      <c r="I5501" s="297">
        <f t="shared" si="731"/>
        <v>266.33862388223127</v>
      </c>
      <c r="J5501" s="297">
        <f t="shared" si="732"/>
        <v>184.28571428571428</v>
      </c>
      <c r="K5501" s="297">
        <f>J5501/POBLA!$B$4*100000</f>
        <v>15.299247953013992</v>
      </c>
      <c r="L5501" s="549">
        <f t="shared" si="730"/>
        <v>-0.13857016769638131</v>
      </c>
      <c r="M5501" s="401">
        <f>SUM(C5501,C5477,C5453,C5429,C5405,C5381,C5357)/POBLA!$B$4*100000</f>
        <v>107.09473567109796</v>
      </c>
    </row>
    <row r="5502" spans="1:13" s="360" customFormat="1" x14ac:dyDescent="0.25">
      <c r="A5502" s="371" t="s">
        <v>29</v>
      </c>
      <c r="B5502" s="267">
        <v>44122</v>
      </c>
      <c r="C5502" s="1">
        <v>150</v>
      </c>
      <c r="D5502" s="39">
        <f t="shared" si="727"/>
        <v>9042</v>
      </c>
      <c r="E5502" s="1">
        <f>5+4</f>
        <v>9</v>
      </c>
      <c r="F5502" s="410">
        <f t="shared" si="728"/>
        <v>121</v>
      </c>
      <c r="G5502" s="168">
        <f>SUM(C5502,C5478,C5454,C5430,C5406,C5382,C5358,C5334,C5310,C5286,C5262,C5238,C5214,C5190)/POBLA!$B$5*100000</f>
        <v>703.56093920134924</v>
      </c>
      <c r="H5502" s="256">
        <f t="shared" si="729"/>
        <v>1.8298319327731092</v>
      </c>
      <c r="I5502" s="297">
        <f t="shared" si="731"/>
        <v>1287.3982732024688</v>
      </c>
      <c r="J5502" s="297">
        <f t="shared" si="732"/>
        <v>291.42857142857144</v>
      </c>
      <c r="K5502" s="297">
        <f>J5502/POBLA!$B$5*100000</f>
        <v>47.081001015934149</v>
      </c>
      <c r="L5502" s="549">
        <f t="shared" si="730"/>
        <v>0.11879049676025921</v>
      </c>
      <c r="M5502" s="401">
        <f>SUM(C5502,C5478,C5454,C5430,C5406,C5382,C5358)/POBLA!$B$5*100000</f>
        <v>329.56700711153906</v>
      </c>
    </row>
    <row r="5503" spans="1:13" s="360" customFormat="1" x14ac:dyDescent="0.25">
      <c r="A5503" s="371" t="s">
        <v>20</v>
      </c>
      <c r="B5503" s="267">
        <v>44122</v>
      </c>
      <c r="C5503" s="1">
        <v>1850</v>
      </c>
      <c r="D5503" s="39">
        <f t="shared" si="727"/>
        <v>62911</v>
      </c>
      <c r="E5503" s="1">
        <f>15+12</f>
        <v>27</v>
      </c>
      <c r="F5503" s="410">
        <f t="shared" si="728"/>
        <v>850</v>
      </c>
      <c r="G5503" s="168">
        <f>SUM(C5503,C5479,C5455,C5431,C5407,C5383,C5359,C5335,C5311,C5287,C5263,C5239,C5215,C5191)/POBLA!$B$6*100000</f>
        <v>1995.0910108038806</v>
      </c>
      <c r="H5503" s="256">
        <f t="shared" si="729"/>
        <v>1.0477462280948364</v>
      </c>
      <c r="I5503" s="297">
        <f t="shared" si="731"/>
        <v>2090.3490812756804</v>
      </c>
      <c r="J5503" s="297">
        <f t="shared" si="732"/>
        <v>1584.8571428571429</v>
      </c>
      <c r="K5503" s="297">
        <f>J5503/POBLA!$B$6*100000</f>
        <v>141.40397294944802</v>
      </c>
      <c r="L5503" s="549">
        <f t="shared" si="730"/>
        <v>1.535457530842288E-2</v>
      </c>
      <c r="M5503" s="401">
        <f>SUM(C5503,C5479,C5455,C5431,C5407,C5383,C5359)/POBLA!$B$6*100000</f>
        <v>989.82781064613607</v>
      </c>
    </row>
    <row r="5504" spans="1:13" s="360" customFormat="1" x14ac:dyDescent="0.25">
      <c r="A5504" s="371" t="s">
        <v>30</v>
      </c>
      <c r="B5504" s="267">
        <v>44122</v>
      </c>
      <c r="C5504" s="1">
        <v>41</v>
      </c>
      <c r="D5504" s="39">
        <f t="shared" si="727"/>
        <v>1978</v>
      </c>
      <c r="E5504" s="1"/>
      <c r="F5504" s="410">
        <f t="shared" si="728"/>
        <v>32</v>
      </c>
      <c r="G5504" s="168">
        <f>SUM(C5504,C5480,C5456,C5432,C5408,C5384,C5360,C5336,C5312,C5288,C5264,C5240,C5216,C5192)/POBLA!$B$7*100000</f>
        <v>21.380419896554933</v>
      </c>
      <c r="H5504" s="256">
        <f t="shared" si="729"/>
        <v>3.9029126213592233</v>
      </c>
      <c r="I5504" s="297">
        <f t="shared" si="731"/>
        <v>83.445910664224115</v>
      </c>
      <c r="J5504" s="297">
        <f t="shared" si="732"/>
        <v>60.142857142857146</v>
      </c>
      <c r="K5504" s="297">
        <f>J5504/POBLA!$B$7*100000</f>
        <v>1.5993526610607014</v>
      </c>
      <c r="L5504" s="549">
        <f t="shared" si="730"/>
        <v>-9.9216710182767676E-2</v>
      </c>
      <c r="M5504" s="401">
        <f>SUM(C5504,C5480,C5456,C5432,C5408,C5384,C5360)/POBLA!$B$7*100000</f>
        <v>11.195468627424908</v>
      </c>
    </row>
    <row r="5505" spans="1:13" x14ac:dyDescent="0.25">
      <c r="A5505" s="371" t="s">
        <v>31</v>
      </c>
      <c r="B5505" s="267">
        <v>44122</v>
      </c>
      <c r="C5505" s="1">
        <v>279</v>
      </c>
      <c r="D5505" s="39">
        <f t="shared" si="727"/>
        <v>11434</v>
      </c>
      <c r="E5505" s="1">
        <v>1</v>
      </c>
      <c r="F5505" s="410">
        <f t="shared" si="728"/>
        <v>207</v>
      </c>
      <c r="G5505" s="168">
        <f>SUM(C5505,C5481,C5457,C5433,C5409,C5385,C5361,C5337,C5313,C5289,C5265,C5241,C5217,C5193)/POBLA!$B$8*100000</f>
        <v>239.184219469379</v>
      </c>
      <c r="H5505" s="256">
        <f t="shared" si="729"/>
        <v>1.7328802927339257</v>
      </c>
      <c r="I5505" s="297">
        <f t="shared" si="731"/>
        <v>414.47762025143305</v>
      </c>
      <c r="J5505" s="297">
        <f t="shared" si="732"/>
        <v>292</v>
      </c>
      <c r="K5505" s="297">
        <f>J5505/POBLA!$B$8*100000</f>
        <v>21.068413901978481</v>
      </c>
      <c r="L5505" s="549">
        <f t="shared" si="730"/>
        <v>-0.60818253343823758</v>
      </c>
      <c r="M5505" s="401">
        <f>SUM(C5505,C5481,C5457,C5433,C5409,C5385,C5361)/POBLA!$B$8*100000</f>
        <v>147.47889731384936</v>
      </c>
    </row>
    <row r="5506" spans="1:13" s="360" customFormat="1" x14ac:dyDescent="0.25">
      <c r="A5506" s="371" t="s">
        <v>41</v>
      </c>
      <c r="B5506" s="267">
        <v>44122</v>
      </c>
      <c r="C5506" s="1">
        <v>-2</v>
      </c>
      <c r="D5506" s="39">
        <f t="shared" si="727"/>
        <v>138</v>
      </c>
      <c r="E5506" s="1"/>
      <c r="F5506" s="410">
        <f t="shared" si="728"/>
        <v>1</v>
      </c>
      <c r="G5506" s="168">
        <f>SUM(C5506,C5482,C5458,C5434,C5410,C5386,C5362,C5338,C5314,C5290,C5266,C5242,C5218,C5194)/POBLA!$B$9*100000</f>
        <v>5.4528059643783058</v>
      </c>
      <c r="H5506" s="256">
        <f t="shared" si="729"/>
        <v>8.25</v>
      </c>
      <c r="I5506" s="297">
        <f t="shared" si="731"/>
        <v>44.985649206121025</v>
      </c>
      <c r="J5506" s="297">
        <f t="shared" si="732"/>
        <v>1.4285714285714286</v>
      </c>
      <c r="K5506" s="297">
        <f>J5506/POBLA!$B$9*100000</f>
        <v>0.23605220625014312</v>
      </c>
      <c r="L5506" s="549">
        <f t="shared" si="730"/>
        <v>0.56521739130434789</v>
      </c>
      <c r="M5506" s="401">
        <f>SUM(C5506,C5482,C5458,C5434,C5410,C5386,C5362)/POBLA!$B$9*100000</f>
        <v>1.6523654437510016</v>
      </c>
    </row>
    <row r="5507" spans="1:13" s="360" customFormat="1" x14ac:dyDescent="0.25">
      <c r="A5507" s="371" t="s">
        <v>32</v>
      </c>
      <c r="B5507" s="267">
        <v>44122</v>
      </c>
      <c r="C5507" s="1">
        <v>45</v>
      </c>
      <c r="D5507" s="39">
        <f t="shared" si="727"/>
        <v>17234</v>
      </c>
      <c r="E5507" s="1"/>
      <c r="F5507" s="410">
        <f t="shared" si="728"/>
        <v>675</v>
      </c>
      <c r="G5507" s="168">
        <f>SUM(C5507,C5483,C5459,C5435,C5411,C5387,C5363,C5339,C5315,C5291,C5267,C5243,C5219,C5195)/POBLA!$B$10*100000</f>
        <v>144.50998273404068</v>
      </c>
      <c r="H5507" s="256">
        <f t="shared" si="729"/>
        <v>0.56548223350253812</v>
      </c>
      <c r="I5507" s="297">
        <f t="shared" si="731"/>
        <v>81.71782779985854</v>
      </c>
      <c r="J5507" s="297">
        <f t="shared" si="732"/>
        <v>72</v>
      </c>
      <c r="K5507" s="297">
        <f>J5507/POBLA!$B$10*100000</f>
        <v>9.3399629774245323</v>
      </c>
      <c r="L5507" s="549">
        <f t="shared" si="730"/>
        <v>0.17377049180327864</v>
      </c>
      <c r="M5507" s="401">
        <f>SUM(C5507,C5483,C5459,C5435,C5411,C5387,C5363)/POBLA!$B$10*100000</f>
        <v>65.379740841971724</v>
      </c>
    </row>
    <row r="5508" spans="1:13" s="360" customFormat="1" x14ac:dyDescent="0.25">
      <c r="A5508" s="371" t="s">
        <v>33</v>
      </c>
      <c r="B5508" s="267">
        <v>44122</v>
      </c>
      <c r="C5508" s="1">
        <v>87</v>
      </c>
      <c r="D5508" s="39">
        <f t="shared" si="727"/>
        <v>1618</v>
      </c>
      <c r="E5508" s="1"/>
      <c r="F5508" s="410">
        <f t="shared" si="728"/>
        <v>17</v>
      </c>
      <c r="G5508" s="168">
        <f>SUM(C5508,C5484,C5460,C5436,C5412,C5388,C5364,C5340,C5316,C5292,C5268,C5244,C5220,C5196)/POBLA!$B$11*100000</f>
        <v>212.87399421920165</v>
      </c>
      <c r="H5508" s="256">
        <f t="shared" si="729"/>
        <v>2.6585365853658538</v>
      </c>
      <c r="I5508" s="297">
        <f t="shared" si="731"/>
        <v>565.93330170470688</v>
      </c>
      <c r="J5508" s="297">
        <f t="shared" si="732"/>
        <v>78.285714285714292</v>
      </c>
      <c r="K5508" s="297">
        <f>J5508/POBLA!$B$11*100000</f>
        <v>21.841405885063192</v>
      </c>
      <c r="L5508" s="549">
        <f t="shared" si="730"/>
        <v>-1.5488372093023255</v>
      </c>
      <c r="M5508" s="401">
        <f>SUM(C5508,C5484,C5460,C5436,C5412,C5388,C5364)/POBLA!$B$11*100000</f>
        <v>152.88984119544233</v>
      </c>
    </row>
    <row r="5509" spans="1:13" s="360" customFormat="1" x14ac:dyDescent="0.25">
      <c r="A5509" s="371" t="s">
        <v>21</v>
      </c>
      <c r="B5509" s="267">
        <v>44122</v>
      </c>
      <c r="C5509" s="1">
        <v>181</v>
      </c>
      <c r="D5509" s="39">
        <f t="shared" si="727"/>
        <v>6559</v>
      </c>
      <c r="E5509" s="1"/>
      <c r="F5509" s="410">
        <f t="shared" si="728"/>
        <v>202</v>
      </c>
      <c r="G5509" s="168">
        <f>SUM(C5509,C5485,C5461,C5437,C5413,C5389,C5365,C5341,C5317,C5293,C5269,C5245,C5221,C5197)/POBLA!$B$12*100000</f>
        <v>366.68013447479359</v>
      </c>
      <c r="H5509" s="256">
        <f t="shared" si="729"/>
        <v>1.0563689604685211</v>
      </c>
      <c r="I5509" s="297">
        <f t="shared" si="731"/>
        <v>387.34951247959526</v>
      </c>
      <c r="J5509" s="297">
        <f t="shared" si="732"/>
        <v>104.42857142857143</v>
      </c>
      <c r="K5509" s="297">
        <f>J5509/POBLA!$B$12*100000</f>
        <v>26.536301188107529</v>
      </c>
      <c r="L5509" s="549">
        <f t="shared" si="730"/>
        <v>-2.6685393258427004E-2</v>
      </c>
      <c r="M5509" s="401">
        <f>SUM(C5509,C5485,C5461,C5437,C5413,C5389,C5365)/POBLA!$B$12*100000</f>
        <v>185.75410831675268</v>
      </c>
    </row>
    <row r="5510" spans="1:13" s="360" customFormat="1" x14ac:dyDescent="0.25">
      <c r="A5510" s="371" t="s">
        <v>17</v>
      </c>
      <c r="B5510" s="267">
        <v>44122</v>
      </c>
      <c r="C5510" s="1">
        <v>513</v>
      </c>
      <c r="D5510" s="39">
        <f t="shared" si="727"/>
        <v>37102</v>
      </c>
      <c r="E5510" s="1">
        <f>11+6</f>
        <v>17</v>
      </c>
      <c r="F5510" s="410">
        <f t="shared" si="728"/>
        <v>555</v>
      </c>
      <c r="G5510" s="168">
        <f>SUM(C5510,C5486,C5462,C5438,C5414,C5390,C5366,C5342,C5318,C5294,C5270,C5246,C5222,C5198)/POBLA!$B$13*100000</f>
        <v>482.38037961391484</v>
      </c>
      <c r="H5510" s="256">
        <f t="shared" si="729"/>
        <v>1.1098138943474742</v>
      </c>
      <c r="I5510" s="297">
        <f t="shared" si="731"/>
        <v>535.35244765613174</v>
      </c>
      <c r="J5510" s="297">
        <f t="shared" si="732"/>
        <v>723.85714285714289</v>
      </c>
      <c r="K5510" s="297">
        <f>J5510/POBLA!$B$13*100000</f>
        <v>36.368553625421555</v>
      </c>
      <c r="L5510" s="549">
        <f t="shared" si="730"/>
        <v>-0.11755624172915757</v>
      </c>
      <c r="M5510" s="401">
        <f>SUM(C5510,C5486,C5462,C5438,C5414,C5390,C5366)/POBLA!$B$13*100000</f>
        <v>254.57987537795091</v>
      </c>
    </row>
    <row r="5511" spans="1:13" s="360" customFormat="1" x14ac:dyDescent="0.25">
      <c r="A5511" s="371" t="s">
        <v>23</v>
      </c>
      <c r="B5511" s="267">
        <v>44122</v>
      </c>
      <c r="C5511" s="1">
        <v>4</v>
      </c>
      <c r="D5511" s="39">
        <f t="shared" si="727"/>
        <v>203</v>
      </c>
      <c r="E5511" s="1"/>
      <c r="F5511" s="410">
        <f t="shared" si="728"/>
        <v>4</v>
      </c>
      <c r="G5511" s="168">
        <f>SUM(C5511,C5487,C5463,C5439,C5415,C5391,C5367,C5343,C5319,C5295,C5271,C5247,C5223,C5199)/POBLA!$B$14*100000</f>
        <v>7.9283656308521246</v>
      </c>
      <c r="H5511" s="256">
        <f t="shared" si="729"/>
        <v>3.0303030303030303</v>
      </c>
      <c r="I5511" s="297">
        <f t="shared" si="731"/>
        <v>24.025350396521588</v>
      </c>
      <c r="J5511" s="297">
        <f t="shared" si="732"/>
        <v>7</v>
      </c>
      <c r="K5511" s="297">
        <f>J5511/POBLA!$B$14*100000</f>
        <v>0.55498559415964877</v>
      </c>
      <c r="L5511" s="549">
        <f t="shared" si="730"/>
        <v>3.9215686274509776E-2</v>
      </c>
      <c r="M5511" s="401">
        <f>SUM(C5511,C5487,C5463,C5439,C5415,C5391,C5367)/POBLA!$B$14*100000</f>
        <v>3.8848991591175412</v>
      </c>
    </row>
    <row r="5512" spans="1:13" s="360" customFormat="1" x14ac:dyDescent="0.25">
      <c r="A5512" s="371" t="s">
        <v>19</v>
      </c>
      <c r="B5512" s="267">
        <v>44122</v>
      </c>
      <c r="C5512" s="1">
        <v>288</v>
      </c>
      <c r="D5512" s="39">
        <f t="shared" si="727"/>
        <v>15083</v>
      </c>
      <c r="E5512" s="1">
        <f>16+8</f>
        <v>24</v>
      </c>
      <c r="F5512" s="410">
        <f t="shared" si="728"/>
        <v>242</v>
      </c>
      <c r="G5512" s="168">
        <f>SUM(C5512,C5488,C5464,C5440,C5416,C5392,C5368,C5344,C5320,C5296,C5272,C5248,C5224,C5200)/POBLA!$B$15*100000</f>
        <v>934.25714961215681</v>
      </c>
      <c r="H5512" s="256">
        <f t="shared" si="729"/>
        <v>2.1639344262295084</v>
      </c>
      <c r="I5512" s="297">
        <f t="shared" si="731"/>
        <v>2021.6712089967984</v>
      </c>
      <c r="J5512" s="297">
        <f t="shared" si="732"/>
        <v>422.57142857142856</v>
      </c>
      <c r="K5512" s="297">
        <f>J5512/POBLA!$B$15*100000</f>
        <v>63.634812760264339</v>
      </c>
      <c r="L5512" s="549">
        <f t="shared" si="730"/>
        <v>8.8724584103512028E-2</v>
      </c>
      <c r="M5512" s="401">
        <f>SUM(C5512,C5488,C5464,C5440,C5416,C5392,C5368)/POBLA!$B$15*100000</f>
        <v>445.44368932185034</v>
      </c>
    </row>
    <row r="5513" spans="1:13" s="360" customFormat="1" x14ac:dyDescent="0.25">
      <c r="A5513" s="371" t="s">
        <v>18</v>
      </c>
      <c r="B5513" s="267">
        <v>44122</v>
      </c>
      <c r="C5513" s="1">
        <v>273</v>
      </c>
      <c r="D5513" s="39">
        <f t="shared" si="727"/>
        <v>19191</v>
      </c>
      <c r="E5513" s="1">
        <f>1+4</f>
        <v>5</v>
      </c>
      <c r="F5513" s="410">
        <f t="shared" si="728"/>
        <v>408</v>
      </c>
      <c r="G5513" s="168">
        <f>SUM(C5513,C5489,C5465,C5441,C5417,C5393,C5369,C5345,C5321,C5297,C5273,C5249,C5225,C5201)/POBLA!$B$16*100000</f>
        <v>686.72168644079136</v>
      </c>
      <c r="H5513" s="256">
        <f t="shared" si="729"/>
        <v>1.3834545944489356</v>
      </c>
      <c r="I5513" s="297">
        <f t="shared" si="731"/>
        <v>950.04827221423409</v>
      </c>
      <c r="J5513" s="297">
        <f t="shared" si="732"/>
        <v>385.28571428571428</v>
      </c>
      <c r="K5513" s="297">
        <f>J5513/POBLA!$B$16*100000</f>
        <v>51.535655527041406</v>
      </c>
      <c r="L5513" s="549">
        <f t="shared" si="730"/>
        <v>-0.10668855149774314</v>
      </c>
      <c r="M5513" s="401">
        <f>SUM(C5513,C5489,C5465,C5441,C5417,C5393,C5369)/POBLA!$B$16*100000</f>
        <v>360.74958868928985</v>
      </c>
    </row>
    <row r="5514" spans="1:13" s="360" customFormat="1" x14ac:dyDescent="0.25">
      <c r="A5514" s="371" t="s">
        <v>34</v>
      </c>
      <c r="B5514" s="267">
        <v>44122</v>
      </c>
      <c r="C5514" s="1">
        <v>168</v>
      </c>
      <c r="D5514" s="39">
        <f t="shared" si="727"/>
        <v>16632</v>
      </c>
      <c r="E5514" s="1">
        <v>13</v>
      </c>
      <c r="F5514" s="410">
        <f>E5514+F5490</f>
        <v>596</v>
      </c>
      <c r="G5514" s="168">
        <f>SUM(C5514,C5490,C5466,C5442,C5418,C5394,C5370,C5346,C5322,C5298,C5274,C5250,C5226,C5202)/POBLA!$B$17*100000</f>
        <v>218.26780033937166</v>
      </c>
      <c r="H5514" s="256">
        <f t="shared" si="729"/>
        <v>0.7306698002350176</v>
      </c>
      <c r="I5514" s="297">
        <f t="shared" si="731"/>
        <v>159.4816900717054</v>
      </c>
      <c r="J5514" s="297">
        <f t="shared" si="732"/>
        <v>178.28571428571428</v>
      </c>
      <c r="K5514" s="297">
        <f>J5514/POBLA!$B$17*100000</f>
        <v>12.516574682880846</v>
      </c>
      <c r="L5514" s="549">
        <f t="shared" si="730"/>
        <v>0.32939279957012357</v>
      </c>
      <c r="M5514" s="401">
        <f>SUM(C5514,C5490,C5466,C5442,C5418,C5394,C5370)/POBLA!$B$17*100000</f>
        <v>87.61602278016592</v>
      </c>
    </row>
    <row r="5515" spans="1:13" s="360" customFormat="1" x14ac:dyDescent="0.25">
      <c r="A5515" s="371" t="s">
        <v>35</v>
      </c>
      <c r="B5515" s="267">
        <v>44122</v>
      </c>
      <c r="C5515" s="1">
        <v>1</v>
      </c>
      <c r="D5515" s="39">
        <f t="shared" si="727"/>
        <v>1292</v>
      </c>
      <c r="E5515" s="1"/>
      <c r="F5515" s="410">
        <f>E5515+F5491</f>
        <v>51</v>
      </c>
      <c r="G5515" s="168">
        <f>SUM(C5515,C5491,C5467,C5443,C5419,C5395,C5371,C5347,C5323,C5299,C5275,C5251,C5227,C5203)/POBLA!$B$18*100000</f>
        <v>57.98644934762045</v>
      </c>
      <c r="H5515" s="256">
        <f t="shared" si="729"/>
        <v>1.2343324250681198</v>
      </c>
      <c r="I5515" s="297">
        <f t="shared" si="731"/>
        <v>71.57455464433805</v>
      </c>
      <c r="J5515" s="297">
        <f t="shared" si="732"/>
        <v>12.571428571428571</v>
      </c>
      <c r="K5515" s="297">
        <f>J5515/POBLA!$B$18*100000</f>
        <v>1.6092108302083252</v>
      </c>
      <c r="L5515" s="549">
        <f t="shared" si="730"/>
        <v>0.75890410958904109</v>
      </c>
      <c r="M5515" s="401">
        <f>SUM(C5515,C5491,C5467,C5443,C5419,C5395,C5371)/POBLA!$B$18*100000</f>
        <v>11.264475811458276</v>
      </c>
    </row>
    <row r="5516" spans="1:13" s="360" customFormat="1" x14ac:dyDescent="0.25">
      <c r="A5516" s="371" t="s">
        <v>36</v>
      </c>
      <c r="B5516" s="267">
        <v>44122</v>
      </c>
      <c r="C5516" s="1">
        <v>183</v>
      </c>
      <c r="D5516" s="39">
        <f t="shared" si="727"/>
        <v>3327</v>
      </c>
      <c r="E5516" s="1">
        <f>1</f>
        <v>1</v>
      </c>
      <c r="F5516" s="410">
        <f t="shared" si="728"/>
        <v>36</v>
      </c>
      <c r="G5516" s="168">
        <f>SUM(C5516,C5492,C5468,C5444,C5420,C5396,C5372,C5348,C5324,C5300,C5276,C5252,C5228,C5204)/POBLA!$B$19*100000</f>
        <v>320.06893187076059</v>
      </c>
      <c r="H5516" s="256">
        <f t="shared" si="729"/>
        <v>1.62375249500998</v>
      </c>
      <c r="I5516" s="297">
        <f t="shared" si="731"/>
        <v>519.71272670032681</v>
      </c>
      <c r="J5516" s="297">
        <f t="shared" si="732"/>
        <v>157.85714285714286</v>
      </c>
      <c r="K5516" s="297">
        <f>J5516/POBLA!$B$19*100000</f>
        <v>31.05418998307055</v>
      </c>
      <c r="L5516" s="549">
        <f t="shared" si="730"/>
        <v>-1.1168582375478926</v>
      </c>
      <c r="M5516" s="401">
        <f>SUM(C5516,C5492,C5468,C5444,C5420,C5396,C5372)/POBLA!$B$19*100000</f>
        <v>217.37932988149385</v>
      </c>
    </row>
    <row r="5517" spans="1:13" s="360" customFormat="1" x14ac:dyDescent="0.25">
      <c r="A5517" s="371" t="s">
        <v>37</v>
      </c>
      <c r="B5517" s="267">
        <v>44122</v>
      </c>
      <c r="C5517" s="1">
        <v>84</v>
      </c>
      <c r="D5517" s="39">
        <f t="shared" si="727"/>
        <v>7267</v>
      </c>
      <c r="E5517" s="1">
        <f>3</f>
        <v>3</v>
      </c>
      <c r="F5517" s="410">
        <f>E5517+F5493</f>
        <v>100</v>
      </c>
      <c r="G5517" s="168">
        <f>SUM(C5517,C5493,C5469,C5445,C5421,C5397,C5373,C5349,C5325,C5301,C5277,C5253,C5229,C5205)/POBLA!$B$20*100000</f>
        <v>496.03771417945956</v>
      </c>
      <c r="H5517" s="256">
        <f t="shared" si="729"/>
        <v>1.063305978898007</v>
      </c>
      <c r="I5517" s="297">
        <f t="shared" si="731"/>
        <v>527.43986724592003</v>
      </c>
      <c r="J5517" s="297">
        <f t="shared" si="732"/>
        <v>131.71428571428572</v>
      </c>
      <c r="K5517" s="297">
        <f>J5517/POBLA!$B$20*100000</f>
        <v>36.017228892224111</v>
      </c>
      <c r="L5517" s="549">
        <f t="shared" si="730"/>
        <v>-3.3632286995515681E-2</v>
      </c>
      <c r="M5517" s="401">
        <f>SUM(C5517,C5493,C5469,C5445,C5421,C5397,C5373)/POBLA!$B$20*100000</f>
        <v>252.12060224556873</v>
      </c>
    </row>
    <row r="5518" spans="1:13" s="360" customFormat="1" x14ac:dyDescent="0.25">
      <c r="A5518" s="371" t="s">
        <v>22</v>
      </c>
      <c r="B5518" s="267">
        <v>44122</v>
      </c>
      <c r="C5518" s="1">
        <v>2015</v>
      </c>
      <c r="D5518" s="39">
        <f t="shared" si="727"/>
        <v>78824</v>
      </c>
      <c r="E5518" s="1">
        <f>1</f>
        <v>1</v>
      </c>
      <c r="F5518" s="410">
        <f>E5518+F5494</f>
        <v>849</v>
      </c>
      <c r="G5518" s="168">
        <f>SUM(C5518,C5494,C5470,C5446,C5422,C5398,C5374,C5350,C5326,C5302,C5278,C5254,C5230,C5206)/POBLA!$B$21*100000</f>
        <v>842.88678544221875</v>
      </c>
      <c r="H5518" s="256">
        <f t="shared" si="729"/>
        <v>1.3177136289288713</v>
      </c>
      <c r="I5518" s="297">
        <f t="shared" si="731"/>
        <v>1110.683404821257</v>
      </c>
      <c r="J5518" s="297">
        <f t="shared" si="732"/>
        <v>2274.8571428571427</v>
      </c>
      <c r="K5518" s="297">
        <f>J5518/POBLA!$B$21*100000</f>
        <v>64.326590998494595</v>
      </c>
      <c r="L5518" s="549">
        <f t="shared" si="730"/>
        <v>-0.14693171996542786</v>
      </c>
      <c r="M5518" s="401">
        <f>SUM(C5518,C5494,C5470,C5446,C5422,C5398,C5374)/POBLA!$B$21*100000</f>
        <v>450.28613698946225</v>
      </c>
    </row>
    <row r="5519" spans="1:13" s="360" customFormat="1" x14ac:dyDescent="0.25">
      <c r="A5519" s="371" t="s">
        <v>38</v>
      </c>
      <c r="B5519" s="267">
        <v>44122</v>
      </c>
      <c r="C5519" s="1">
        <v>262</v>
      </c>
      <c r="D5519" s="39">
        <f>C5519+D5495</f>
        <v>6815</v>
      </c>
      <c r="E5519" s="1"/>
      <c r="F5519" s="410">
        <f t="shared" si="728"/>
        <v>97</v>
      </c>
      <c r="G5519" s="168">
        <f>SUM(C5519,C5495,C5471,C5447,C5423,C5399,C5375,C5351,C5327,C5303,C5279,C5255,C5231,C5207)/POBLA!$B$22*100000</f>
        <v>297.75746616880281</v>
      </c>
      <c r="H5519" s="256">
        <f t="shared" si="729"/>
        <v>1.9039215686274509</v>
      </c>
      <c r="I5519" s="297">
        <f t="shared" si="731"/>
        <v>566.90686205864222</v>
      </c>
      <c r="J5519" s="297">
        <f t="shared" si="732"/>
        <v>284.14285714285717</v>
      </c>
      <c r="K5519" s="297">
        <f>J5519/POBLA!$B$22*100000</f>
        <v>29.0441665543499</v>
      </c>
      <c r="L5519" s="549">
        <f t="shared" si="730"/>
        <v>-1.1525974025974026</v>
      </c>
      <c r="M5519" s="401">
        <f>SUM(C5519,C5495,C5471,C5447,C5423,C5399,C5375)/POBLA!$B$22*100000</f>
        <v>203.30916588044931</v>
      </c>
    </row>
    <row r="5520" spans="1:13" s="360" customFormat="1" x14ac:dyDescent="0.25">
      <c r="A5520" s="371" t="s">
        <v>39</v>
      </c>
      <c r="B5520" s="267">
        <v>44122</v>
      </c>
      <c r="C5520" s="1">
        <v>208</v>
      </c>
      <c r="D5520" s="39">
        <f>C5520+D5496</f>
        <v>8148</v>
      </c>
      <c r="E5520" s="1">
        <f>2</f>
        <v>2</v>
      </c>
      <c r="F5520" s="410">
        <f>E5520+F5496</f>
        <v>102</v>
      </c>
      <c r="G5520" s="168">
        <f>SUM(C5520,C5496,C5472,C5448,C5424,C5400,C5376,C5352,C5328,C5304,C5280,C5256,C5232,C5208)/POBLA!$B$23*100000</f>
        <v>1755.9237685913022</v>
      </c>
      <c r="H5520" s="256">
        <f t="shared" si="729"/>
        <v>1.682015167930661</v>
      </c>
      <c r="I5520" s="297">
        <f t="shared" si="731"/>
        <v>2953.4904125005382</v>
      </c>
      <c r="J5520" s="297">
        <f t="shared" si="732"/>
        <v>246.28571428571428</v>
      </c>
      <c r="K5520" s="297">
        <f>J5520/POBLA!$B$23*100000</f>
        <v>139.27824141023257</v>
      </c>
      <c r="L5520" s="549">
        <f t="shared" si="730"/>
        <v>-0.24837074583635044</v>
      </c>
      <c r="M5520" s="401">
        <f>SUM(C5520,C5496,C5472,C5448,C5424,C5400,C5376)/POBLA!$B$23*100000</f>
        <v>974.9476898716282</v>
      </c>
    </row>
    <row r="5521" spans="1:13" s="360" customFormat="1" ht="15.75" thickBot="1" x14ac:dyDescent="0.3">
      <c r="A5521" s="372" t="s">
        <v>40</v>
      </c>
      <c r="B5521" s="272">
        <v>44122</v>
      </c>
      <c r="C5521" s="273">
        <v>772</v>
      </c>
      <c r="D5521" s="39">
        <f t="shared" ref="D5521:D5542" si="733">C5521+D5497</f>
        <v>34737</v>
      </c>
      <c r="E5521" s="273"/>
      <c r="F5521" s="479">
        <f>E5521+F5497</f>
        <v>454</v>
      </c>
      <c r="G5521" s="177">
        <f>SUM(C5521,C5497,C5473,C5449,C5425,C5401,C5377,C5353,C5329,C5305,C5281,C5257,C5233,C5209)/POBLA!$B$24*100000</f>
        <v>1048.5313833603986</v>
      </c>
      <c r="H5521" s="402">
        <f t="shared" si="729"/>
        <v>2.3873438129786377</v>
      </c>
      <c r="I5521" s="403">
        <f t="shared" si="731"/>
        <v>2503.20491077938</v>
      </c>
      <c r="J5521" s="403">
        <f t="shared" si="732"/>
        <v>1160</v>
      </c>
      <c r="K5521" s="403">
        <f>J5521/POBLA!$B$24*100000</f>
        <v>68.450470183919336</v>
      </c>
      <c r="L5521" s="550">
        <f t="shared" si="730"/>
        <v>0.1584620167893046</v>
      </c>
      <c r="M5521" s="405">
        <f>SUM(C5521,C5497,C5473,C5449,C5425,C5401,C5377)/POBLA!$B$24*100000</f>
        <v>479.15329128743537</v>
      </c>
    </row>
    <row r="5522" spans="1:13" s="360" customFormat="1" x14ac:dyDescent="0.25">
      <c r="A5522" s="370" t="s">
        <v>16</v>
      </c>
      <c r="B5522" s="270">
        <v>44123</v>
      </c>
      <c r="C5522" s="271">
        <v>4206</v>
      </c>
      <c r="D5522" s="262">
        <f t="shared" si="733"/>
        <v>502430</v>
      </c>
      <c r="E5522" s="271">
        <v>197</v>
      </c>
      <c r="F5522" s="480">
        <v>16032</v>
      </c>
      <c r="G5522" s="175">
        <f>SUM(C5522,C5498,C5474,C5450,C5426,C5402,C5378,C5354,C5330,C5306,C5282,C5258,C5234,C5210)/POBLA!$B$1*100000</f>
        <v>353.59729449754718</v>
      </c>
      <c r="H5522" s="300">
        <f t="shared" si="729"/>
        <v>0.90646693459992689</v>
      </c>
      <c r="I5522" s="301">
        <f>G5522*H5522</f>
        <v>320.52425562601917</v>
      </c>
      <c r="J5522" s="301">
        <f>AVERAGE(C5522,C5498,C5474,C5450,C5426,C5402,C5378)</f>
        <v>4543.4285714285716</v>
      </c>
      <c r="K5522" s="301">
        <f>J5522/POBLA!$B$1*100000</f>
        <v>25.901556640064474</v>
      </c>
      <c r="L5522" s="548">
        <f t="shared" si="730"/>
        <v>-5.2380794811554887E-2</v>
      </c>
      <c r="M5522" s="400">
        <f>SUM(C5522,C5498,C5474,C5450,C5426,C5402,C5378)/POBLA!$B$1*100000</f>
        <v>181.31089648045131</v>
      </c>
    </row>
    <row r="5523" spans="1:13" s="360" customFormat="1" x14ac:dyDescent="0.25">
      <c r="A5523" s="371" t="s">
        <v>43</v>
      </c>
      <c r="B5523" s="267">
        <v>44123</v>
      </c>
      <c r="C5523" s="1">
        <v>557</v>
      </c>
      <c r="D5523" s="39">
        <f t="shared" si="733"/>
        <v>140527</v>
      </c>
      <c r="E5523" s="1">
        <v>47</v>
      </c>
      <c r="F5523" s="411">
        <v>4227</v>
      </c>
      <c r="G5523" s="168">
        <f>SUM(C5523,C5499,C5475,C5451,C5427,C5403,C5379,C5355,C5331,C5307,C5283,C5259,C5235,C5211)/POBLA!$B$2*100000</f>
        <v>343.63512575894629</v>
      </c>
      <c r="H5523" s="256">
        <f t="shared" si="729"/>
        <v>0.88030984507746124</v>
      </c>
      <c r="I5523" s="297">
        <f t="shared" ref="I5523:I5545" si="734">G5523*H5523</f>
        <v>302.50538432003191</v>
      </c>
      <c r="J5523" s="297">
        <f t="shared" ref="J5523:J5545" si="735">AVERAGE(C5523,C5499,C5475,C5451,C5427,C5403,C5379)</f>
        <v>719.42857142857144</v>
      </c>
      <c r="K5523" s="297">
        <f>J5523/POBLA!$B$2*100000</f>
        <v>23.391137062866516</v>
      </c>
      <c r="L5523" s="549">
        <f t="shared" si="730"/>
        <v>8.9824688234230954E-2</v>
      </c>
      <c r="M5523" s="401">
        <f>SUM(C5523,C5499,C5475,C5451,C5427,C5403,C5379)/POBLA!$B$2*100000</f>
        <v>163.73795944006559</v>
      </c>
    </row>
    <row r="5524" spans="1:13" s="360" customFormat="1" x14ac:dyDescent="0.25">
      <c r="A5524" s="371" t="s">
        <v>28</v>
      </c>
      <c r="B5524" s="267">
        <v>44123</v>
      </c>
      <c r="C5524" s="1">
        <v>12</v>
      </c>
      <c r="D5524" s="39">
        <f t="shared" si="733"/>
        <v>492</v>
      </c>
      <c r="E5524" s="1"/>
      <c r="F5524" s="411">
        <f>E5524+F5500</f>
        <v>0</v>
      </c>
      <c r="G5524" s="168">
        <f>SUM(C5524,C5500,C5476,C5452,C5428,C5404,C5380,C5356,C5332,C5308,C5284,C5260,C5236,C5212)/POBLA!$B$3*100000</f>
        <v>41.883506082736773</v>
      </c>
      <c r="H5524" s="256">
        <f t="shared" si="729"/>
        <v>1.3809523809523809</v>
      </c>
      <c r="I5524" s="297">
        <f t="shared" si="734"/>
        <v>57.839127447588872</v>
      </c>
      <c r="J5524" s="297">
        <f t="shared" si="735"/>
        <v>14.571428571428571</v>
      </c>
      <c r="K5524" s="297">
        <f>J5524/POBLA!$B$3*100000</f>
        <v>3.5074857310666263</v>
      </c>
      <c r="L5524" s="549">
        <f t="shared" si="730"/>
        <v>-0.41666666666666674</v>
      </c>
      <c r="M5524" s="401">
        <f>SUM(C5524,C5500,C5476,C5452,C5428,C5404,C5380)/POBLA!$B$3*100000</f>
        <v>24.552400117466384</v>
      </c>
    </row>
    <row r="5525" spans="1:13" s="360" customFormat="1" x14ac:dyDescent="0.25">
      <c r="A5525" s="371" t="s">
        <v>15</v>
      </c>
      <c r="B5525" s="267">
        <v>44123</v>
      </c>
      <c r="C5525" s="1">
        <v>185</v>
      </c>
      <c r="D5525" s="39">
        <f t="shared" si="733"/>
        <v>11848</v>
      </c>
      <c r="E5525" s="1">
        <v>8</v>
      </c>
      <c r="F5525" s="411">
        <v>373</v>
      </c>
      <c r="G5525" s="168">
        <f>SUM(C5525,C5501,C5477,C5453,C5429,C5405,C5381,C5357,C5333,C5309,C5285,C5261,C5237,C5213)/POBLA!$B$4*100000</f>
        <v>208.12907157166092</v>
      </c>
      <c r="H5525" s="256">
        <f t="shared" si="729"/>
        <v>1.3464017185821697</v>
      </c>
      <c r="I5525" s="297">
        <f t="shared" si="734"/>
        <v>280.22533965099564</v>
      </c>
      <c r="J5525" s="297">
        <f t="shared" si="735"/>
        <v>191.71428571428572</v>
      </c>
      <c r="K5525" s="297">
        <f>J5525/POBLA!$B$4*100000</f>
        <v>15.9159618239882</v>
      </c>
      <c r="L5525" s="549">
        <f t="shared" si="730"/>
        <v>-0.15193133047210305</v>
      </c>
      <c r="M5525" s="401">
        <f>SUM(C5525,C5501,C5477,C5453,C5429,C5405,C5381)/POBLA!$B$4*100000</f>
        <v>111.41173276791741</v>
      </c>
    </row>
    <row r="5526" spans="1:13" s="360" customFormat="1" x14ac:dyDescent="0.25">
      <c r="A5526" s="371" t="s">
        <v>29</v>
      </c>
      <c r="B5526" s="267">
        <v>44123</v>
      </c>
      <c r="C5526" s="1">
        <v>220</v>
      </c>
      <c r="D5526" s="39">
        <f t="shared" si="733"/>
        <v>9262</v>
      </c>
      <c r="E5526" s="1">
        <v>1</v>
      </c>
      <c r="F5526" s="411">
        <v>185</v>
      </c>
      <c r="G5526" s="168">
        <f>SUM(C5526,C5502,C5478,C5454,C5430,C5406,C5382,C5358,C5334,C5310,C5286,C5262,C5238,C5214)/POBLA!$B$5*100000</f>
        <v>701.29920483881915</v>
      </c>
      <c r="H5526" s="256">
        <f t="shared" si="729"/>
        <v>1.7377902321857486</v>
      </c>
      <c r="I5526" s="297">
        <f t="shared" si="734"/>
        <v>1218.7109080085324</v>
      </c>
      <c r="J5526" s="297">
        <f t="shared" si="735"/>
        <v>273.14285714285717</v>
      </c>
      <c r="K5526" s="297">
        <f>J5526/POBLA!$B$5*100000</f>
        <v>44.12689899140495</v>
      </c>
      <c r="L5526" s="549">
        <f t="shared" si="730"/>
        <v>0.21284479209551255</v>
      </c>
      <c r="M5526" s="401">
        <f>SUM(C5526,C5502,C5478,C5454,C5430,C5406,C5382)/POBLA!$B$5*100000</f>
        <v>308.88829293983463</v>
      </c>
    </row>
    <row r="5527" spans="1:13" s="360" customFormat="1" x14ac:dyDescent="0.25">
      <c r="A5527" s="371" t="s">
        <v>20</v>
      </c>
      <c r="B5527" s="267">
        <v>44123</v>
      </c>
      <c r="C5527" s="1">
        <v>1668</v>
      </c>
      <c r="D5527" s="39">
        <f t="shared" si="733"/>
        <v>64579</v>
      </c>
      <c r="E5527" s="1">
        <v>44</v>
      </c>
      <c r="F5527" s="411">
        <v>871</v>
      </c>
      <c r="G5527" s="168">
        <f>SUM(C5527,C5503,C5479,C5455,C5431,C5407,C5383,C5359,C5335,C5311,C5287,C5263,C5239,C5215)/POBLA!$B$6*100000</f>
        <v>2037.9175250557414</v>
      </c>
      <c r="H5527" s="256">
        <f t="shared" si="729"/>
        <v>1.0496783088235293</v>
      </c>
      <c r="I5527" s="297">
        <f t="shared" si="734"/>
        <v>2139.157821222343</v>
      </c>
      <c r="J5527" s="297">
        <f t="shared" si="735"/>
        <v>1663.1428571428571</v>
      </c>
      <c r="K5527" s="297">
        <f>J5527/POBLA!$B$6*100000</f>
        <v>148.38877348814438</v>
      </c>
      <c r="L5527" s="549">
        <f t="shared" si="730"/>
        <v>-3.9557103312795716E-2</v>
      </c>
      <c r="M5527" s="401">
        <f>SUM(C5527,C5503,C5479,C5455,C5431,C5407,C5383)/POBLA!$B$6*100000</f>
        <v>1038.7214144170107</v>
      </c>
    </row>
    <row r="5528" spans="1:13" s="360" customFormat="1" x14ac:dyDescent="0.25">
      <c r="A5528" s="371" t="s">
        <v>30</v>
      </c>
      <c r="B5528" s="267">
        <v>44123</v>
      </c>
      <c r="C5528" s="1">
        <v>122</v>
      </c>
      <c r="D5528" s="39">
        <f t="shared" si="733"/>
        <v>2100</v>
      </c>
      <c r="E5528" s="1">
        <v>3</v>
      </c>
      <c r="F5528" s="411">
        <v>36</v>
      </c>
      <c r="G5528" s="168">
        <f>SUM(C5528,C5504,C5480,C5456,C5432,C5408,C5384,C5360,C5336,C5312,C5288,C5264,C5240,C5216)/POBLA!$B$7*100000</f>
        <v>21.699530641279633</v>
      </c>
      <c r="H5528" s="256">
        <f t="shared" si="729"/>
        <v>3.2</v>
      </c>
      <c r="I5528" s="297">
        <f t="shared" si="734"/>
        <v>69.438498052094829</v>
      </c>
      <c r="J5528" s="297">
        <f t="shared" si="735"/>
        <v>66.571428571428569</v>
      </c>
      <c r="K5528" s="297">
        <f>J5528/POBLA!$B$7*100000</f>
        <v>1.770304845734648</v>
      </c>
      <c r="L5528" s="549">
        <f t="shared" si="730"/>
        <v>-0.33142857142857141</v>
      </c>
      <c r="M5528" s="401">
        <f>SUM(C5528,C5504,C5480,C5456,C5432,C5408,C5384)/POBLA!$B$7*100000</f>
        <v>12.392133920142536</v>
      </c>
    </row>
    <row r="5529" spans="1:13" x14ac:dyDescent="0.25">
      <c r="A5529" s="371" t="s">
        <v>31</v>
      </c>
      <c r="B5529" s="267">
        <v>44123</v>
      </c>
      <c r="C5529" s="1">
        <v>258</v>
      </c>
      <c r="D5529" s="39">
        <f t="shared" si="733"/>
        <v>11692</v>
      </c>
      <c r="E5529" s="1">
        <v>5</v>
      </c>
      <c r="F5529" s="411">
        <v>210</v>
      </c>
      <c r="G5529" s="168">
        <f>SUM(C5529,C5505,C5481,C5457,C5433,C5409,C5385,C5361,C5337,C5313,C5289,C5265,C5241,C5217)/POBLA!$B$8*100000</f>
        <v>248.49184067949966</v>
      </c>
      <c r="H5529" s="256">
        <f t="shared" si="729"/>
        <v>1.7598364844149208</v>
      </c>
      <c r="I5529" s="297">
        <f t="shared" si="734"/>
        <v>437.30500730720331</v>
      </c>
      <c r="J5529" s="297">
        <f t="shared" si="735"/>
        <v>303.71428571428572</v>
      </c>
      <c r="K5529" s="297">
        <f>J5529/POBLA!$B$8*100000</f>
        <v>21.913624244425762</v>
      </c>
      <c r="L5529" s="549">
        <f t="shared" si="730"/>
        <v>-0.61305007587253413</v>
      </c>
      <c r="M5529" s="401">
        <f>SUM(C5529,C5505,C5481,C5457,C5433,C5409,C5385)/POBLA!$B$8*100000</f>
        <v>153.39536971098033</v>
      </c>
    </row>
    <row r="5530" spans="1:13" s="360" customFormat="1" x14ac:dyDescent="0.25">
      <c r="A5530" s="371" t="s">
        <v>41</v>
      </c>
      <c r="B5530" s="267">
        <v>44123</v>
      </c>
      <c r="C5530" s="1">
        <v>6</v>
      </c>
      <c r="D5530" s="39">
        <f t="shared" si="733"/>
        <v>144</v>
      </c>
      <c r="E5530" s="1"/>
      <c r="F5530" s="411">
        <f>E5530+F5506</f>
        <v>1</v>
      </c>
      <c r="G5530" s="168">
        <f>SUM(C5530,C5506,C5482,C5458,C5434,C5410,C5386,C5362,C5338,C5314,C5290,C5266,C5242,C5218)/POBLA!$B$9*100000</f>
        <v>6.2789886862538067</v>
      </c>
      <c r="H5530" s="256">
        <f t="shared" si="729"/>
        <v>7.6</v>
      </c>
      <c r="I5530" s="297">
        <f t="shared" si="734"/>
        <v>47.720314015528928</v>
      </c>
      <c r="J5530" s="297">
        <f t="shared" si="735"/>
        <v>1.1428571428571428</v>
      </c>
      <c r="K5530" s="297">
        <f>J5530/POBLA!$B$9*100000</f>
        <v>0.18884176500011449</v>
      </c>
      <c r="L5530" s="549">
        <f t="shared" si="730"/>
        <v>0.73333333333333339</v>
      </c>
      <c r="M5530" s="401">
        <f>SUM(C5530,C5506,C5482,C5458,C5434,C5410,C5386)/POBLA!$B$9*100000</f>
        <v>1.3218923550008015</v>
      </c>
    </row>
    <row r="5531" spans="1:13" s="360" customFormat="1" x14ac:dyDescent="0.25">
      <c r="A5531" s="371" t="s">
        <v>32</v>
      </c>
      <c r="B5531" s="267">
        <v>44123</v>
      </c>
      <c r="C5531" s="1">
        <v>51</v>
      </c>
      <c r="D5531" s="39">
        <f t="shared" si="733"/>
        <v>17285</v>
      </c>
      <c r="E5531" s="1">
        <v>30</v>
      </c>
      <c r="F5531" s="411">
        <v>734</v>
      </c>
      <c r="G5531" s="168">
        <f>SUM(C5531,C5507,C5483,C5459,C5435,C5411,C5387,C5363,C5339,C5315,C5291,C5267,C5243,C5219)/POBLA!$B$10*100000</f>
        <v>143.21276565384281</v>
      </c>
      <c r="H5531" s="256">
        <f t="shared" si="729"/>
        <v>0.57202072538860105</v>
      </c>
      <c r="I5531" s="297">
        <f t="shared" si="734"/>
        <v>81.920670094218892</v>
      </c>
      <c r="J5531" s="297">
        <f t="shared" si="735"/>
        <v>68.428571428571431</v>
      </c>
      <c r="K5531" s="297">
        <f>J5531/POBLA!$B$10*100000</f>
        <v>8.8766711630681563</v>
      </c>
      <c r="L5531" s="549">
        <f t="shared" si="730"/>
        <v>0.23360000000000003</v>
      </c>
      <c r="M5531" s="401">
        <f>SUM(C5531,C5507,C5483,C5459,C5435,C5411,C5387)/POBLA!$B$10*100000</f>
        <v>62.13669814147709</v>
      </c>
    </row>
    <row r="5532" spans="1:13" s="360" customFormat="1" x14ac:dyDescent="0.25">
      <c r="A5532" s="371" t="s">
        <v>33</v>
      </c>
      <c r="B5532" s="267">
        <v>44123</v>
      </c>
      <c r="C5532" s="1">
        <v>92</v>
      </c>
      <c r="D5532" s="39">
        <f t="shared" si="733"/>
        <v>1710</v>
      </c>
      <c r="E5532" s="1"/>
      <c r="F5532" s="411">
        <v>16</v>
      </c>
      <c r="G5532" s="168">
        <f>SUM(C5532,C5508,C5484,C5460,C5436,C5412,C5388,C5364,C5340,C5316,C5292,C5268,C5244,C5220)/POBLA!$B$11*100000</f>
        <v>234.07769482294913</v>
      </c>
      <c r="H5532" s="256">
        <f t="shared" si="729"/>
        <v>2.9438596491228068</v>
      </c>
      <c r="I5532" s="297">
        <f t="shared" si="734"/>
        <v>689.09188054896242</v>
      </c>
      <c r="J5532" s="297">
        <f t="shared" si="735"/>
        <v>83.285714285714292</v>
      </c>
      <c r="K5532" s="297">
        <f>J5532/POBLA!$B$11*100000</f>
        <v>23.236386187941314</v>
      </c>
      <c r="L5532" s="549">
        <f t="shared" si="730"/>
        <v>-1.27734375</v>
      </c>
      <c r="M5532" s="401">
        <f>SUM(C5532,C5508,C5484,C5460,C5436,C5412,C5388)/POBLA!$B$11*100000</f>
        <v>162.65470331558919</v>
      </c>
    </row>
    <row r="5533" spans="1:13" s="360" customFormat="1" x14ac:dyDescent="0.25">
      <c r="A5533" s="371" t="s">
        <v>21</v>
      </c>
      <c r="B5533" s="267">
        <v>44123</v>
      </c>
      <c r="C5533" s="1">
        <v>65</v>
      </c>
      <c r="D5533" s="39">
        <f t="shared" si="733"/>
        <v>6624</v>
      </c>
      <c r="E5533" s="1">
        <v>3</v>
      </c>
      <c r="F5533" s="411">
        <v>226</v>
      </c>
      <c r="G5533" s="168">
        <f>SUM(C5533,C5509,C5485,C5461,C5437,C5413,C5389,C5365,C5341,C5317,C5293,C5269,C5245,C5221)/POBLA!$B$12*100000</f>
        <v>361.59794272878122</v>
      </c>
      <c r="H5533" s="256">
        <f t="shared" si="729"/>
        <v>1.2924613987284288</v>
      </c>
      <c r="I5533" s="297">
        <f t="shared" si="734"/>
        <v>467.35138283656289</v>
      </c>
      <c r="J5533" s="297">
        <f t="shared" si="735"/>
        <v>90.857142857142861</v>
      </c>
      <c r="K5533" s="297">
        <f>J5533/POBLA!$B$12*100000</f>
        <v>23.08767107474198</v>
      </c>
      <c r="L5533" s="549">
        <f t="shared" si="730"/>
        <v>0.19186785260482841</v>
      </c>
      <c r="M5533" s="401">
        <f>SUM(C5533,C5509,C5485,C5461,C5437,C5413,C5389)/POBLA!$B$12*100000</f>
        <v>161.61369752319385</v>
      </c>
    </row>
    <row r="5534" spans="1:13" s="360" customFormat="1" x14ac:dyDescent="0.25">
      <c r="A5534" s="371" t="s">
        <v>17</v>
      </c>
      <c r="B5534" s="267">
        <v>44123</v>
      </c>
      <c r="C5534" s="1">
        <v>744</v>
      </c>
      <c r="D5534" s="39">
        <f t="shared" si="733"/>
        <v>37846</v>
      </c>
      <c r="E5534" s="1">
        <v>28</v>
      </c>
      <c r="F5534" s="411">
        <v>625</v>
      </c>
      <c r="G5534" s="168">
        <f>SUM(C5534,C5510,C5486,C5462,C5438,C5414,C5390,C5366,C5342,C5318,C5294,C5270,C5246,C5222)/POBLA!$B$13*100000</f>
        <v>500.46775974733936</v>
      </c>
      <c r="H5534" s="256">
        <f t="shared" si="729"/>
        <v>1.1807728781412992</v>
      </c>
      <c r="I5534" s="297">
        <f t="shared" si="734"/>
        <v>590.93875709379415</v>
      </c>
      <c r="J5534" s="297">
        <f t="shared" si="735"/>
        <v>778.14285714285711</v>
      </c>
      <c r="K5534" s="297">
        <f>J5534/POBLA!$B$13*100000</f>
        <v>39.096015709033196</v>
      </c>
      <c r="L5534" s="549">
        <f t="shared" si="730"/>
        <v>-0.20669029685423124</v>
      </c>
      <c r="M5534" s="401">
        <f>SUM(C5534,C5510,C5486,C5462,C5438,C5414,C5390)/POBLA!$B$13*100000</f>
        <v>273.6721099632324</v>
      </c>
    </row>
    <row r="5535" spans="1:13" s="360" customFormat="1" x14ac:dyDescent="0.25">
      <c r="A5535" s="371" t="s">
        <v>23</v>
      </c>
      <c r="B5535" s="267">
        <v>44123</v>
      </c>
      <c r="C5535" s="1">
        <v>-6</v>
      </c>
      <c r="D5535" s="39">
        <f t="shared" si="733"/>
        <v>197</v>
      </c>
      <c r="E5535" s="1"/>
      <c r="F5535" s="411">
        <f>E5535+F5511</f>
        <v>4</v>
      </c>
      <c r="G5535" s="168">
        <f>SUM(C5535,C5511,C5487,C5463,C5439,C5415,C5391,C5367,C5343,C5319,C5295,C5271,C5247,C5223)/POBLA!$B$14*100000</f>
        <v>7.1355290677669121</v>
      </c>
      <c r="H5535" s="256">
        <f t="shared" si="729"/>
        <v>2.4324324324324325</v>
      </c>
      <c r="I5535" s="297">
        <f t="shared" si="734"/>
        <v>17.356692327000598</v>
      </c>
      <c r="J5535" s="297">
        <f t="shared" si="735"/>
        <v>5</v>
      </c>
      <c r="K5535" s="297">
        <f>J5535/POBLA!$B$14*100000</f>
        <v>0.39641828154260628</v>
      </c>
      <c r="L5535" s="549">
        <f t="shared" si="730"/>
        <v>0.36363636363636365</v>
      </c>
      <c r="M5535" s="401">
        <f>SUM(C5535,C5511,C5487,C5463,C5439,C5415,C5391)/POBLA!$B$14*100000</f>
        <v>2.7749279707982439</v>
      </c>
    </row>
    <row r="5536" spans="1:13" s="360" customFormat="1" x14ac:dyDescent="0.25">
      <c r="A5536" s="371" t="s">
        <v>19</v>
      </c>
      <c r="B5536" s="267">
        <v>44123</v>
      </c>
      <c r="C5536" s="1">
        <v>271</v>
      </c>
      <c r="D5536" s="39">
        <f t="shared" si="733"/>
        <v>15354</v>
      </c>
      <c r="E5536" s="1">
        <v>4</v>
      </c>
      <c r="F5536" s="411">
        <v>282</v>
      </c>
      <c r="G5536" s="168">
        <f>SUM(C5536,C5512,C5488,C5464,C5440,C5416,C5392,C5368,C5344,C5320,C5296,C5272,C5248,C5224)/POBLA!$B$15*100000</f>
        <v>937.26893926274397</v>
      </c>
      <c r="H5536" s="256">
        <f t="shared" si="729"/>
        <v>2.1410388716890263</v>
      </c>
      <c r="I5536" s="297">
        <f t="shared" si="734"/>
        <v>2006.7292321882758</v>
      </c>
      <c r="J5536" s="297">
        <f t="shared" si="735"/>
        <v>423.57142857142856</v>
      </c>
      <c r="K5536" s="297">
        <f>J5536/POBLA!$B$15*100000</f>
        <v>63.785402242793701</v>
      </c>
      <c r="L5536" s="549">
        <f t="shared" si="730"/>
        <v>9.0211721386928456E-2</v>
      </c>
      <c r="M5536" s="401">
        <f>SUM(C5536,C5512,C5488,C5464,C5440,C5416,C5392)/POBLA!$B$15*100000</f>
        <v>446.49781569955593</v>
      </c>
    </row>
    <row r="5537" spans="1:13" s="360" customFormat="1" x14ac:dyDescent="0.25">
      <c r="A5537" s="371" t="s">
        <v>18</v>
      </c>
      <c r="B5537" s="267">
        <v>44123</v>
      </c>
      <c r="C5537" s="1">
        <v>207</v>
      </c>
      <c r="D5537" s="39">
        <f t="shared" si="733"/>
        <v>19398</v>
      </c>
      <c r="E5537" s="1">
        <v>11</v>
      </c>
      <c r="F5537" s="411">
        <v>505</v>
      </c>
      <c r="G5537" s="168">
        <f>SUM(C5537,C5513,C5489,C5465,C5441,C5417,C5393,C5369,C5345,C5321,C5297,C5273,C5249,C5225)/POBLA!$B$16*100000</f>
        <v>680.03370741429353</v>
      </c>
      <c r="H5537" s="256">
        <f t="shared" si="729"/>
        <v>1.3253388946819604</v>
      </c>
      <c r="I5537" s="297">
        <f t="shared" si="734"/>
        <v>901.27512213093542</v>
      </c>
      <c r="J5537" s="297">
        <f t="shared" si="735"/>
        <v>381.57142857142856</v>
      </c>
      <c r="K5537" s="297">
        <f>J5537/POBLA!$B$16*100000</f>
        <v>51.038834227930145</v>
      </c>
      <c r="L5537" s="549">
        <f t="shared" si="730"/>
        <v>-0.10692084542063829</v>
      </c>
      <c r="M5537" s="401">
        <f>SUM(C5537,C5513,C5489,C5465,C5441,C5417,C5393)/POBLA!$B$16*100000</f>
        <v>357.27183959551104</v>
      </c>
    </row>
    <row r="5538" spans="1:13" s="360" customFormat="1" x14ac:dyDescent="0.25">
      <c r="A5538" s="371" t="s">
        <v>34</v>
      </c>
      <c r="B5538" s="267">
        <v>44123</v>
      </c>
      <c r="C5538" s="1">
        <v>80</v>
      </c>
      <c r="D5538" s="39">
        <f t="shared" si="733"/>
        <v>16712</v>
      </c>
      <c r="E5538" s="1">
        <v>18</v>
      </c>
      <c r="F5538" s="411">
        <v>632</v>
      </c>
      <c r="G5538" s="168">
        <f>SUM(C5538,C5514,C5490,C5466,C5442,C5418,C5394,C5370,C5346,C5322,C5298,C5274,C5250,C5226)/POBLA!$B$17*100000</f>
        <v>208.64969527456179</v>
      </c>
      <c r="H5538" s="256">
        <f t="shared" si="729"/>
        <v>0.68574065528380246</v>
      </c>
      <c r="I5538" s="297">
        <f t="shared" si="734"/>
        <v>143.07957876234371</v>
      </c>
      <c r="J5538" s="297">
        <f t="shared" si="735"/>
        <v>177.71428571428572</v>
      </c>
      <c r="K5538" s="297">
        <f>J5538/POBLA!$B$17*100000</f>
        <v>12.476457456333151</v>
      </c>
      <c r="L5538" s="549">
        <f t="shared" si="730"/>
        <v>0.28009259259259256</v>
      </c>
      <c r="M5538" s="401">
        <f>SUM(C5538,C5514,C5490,C5466,C5442,C5418,C5394)/POBLA!$B$17*100000</f>
        <v>87.335202194332069</v>
      </c>
    </row>
    <row r="5539" spans="1:13" s="360" customFormat="1" x14ac:dyDescent="0.25">
      <c r="A5539" s="371" t="s">
        <v>35</v>
      </c>
      <c r="B5539" s="267">
        <v>44123</v>
      </c>
      <c r="C5539" s="1">
        <v>10</v>
      </c>
      <c r="D5539" s="39">
        <f t="shared" si="733"/>
        <v>1302</v>
      </c>
      <c r="E5539" s="1">
        <v>2</v>
      </c>
      <c r="F5539" s="411">
        <v>75</v>
      </c>
      <c r="G5539" s="168">
        <f>SUM(C5539,C5515,C5491,C5467,C5443,C5419,C5395,C5371,C5347,C5323,C5299,C5275,C5251,C5227)/POBLA!$B$18*100000</f>
        <v>48.514049233439621</v>
      </c>
      <c r="H5539" s="256">
        <f t="shared" si="729"/>
        <v>0.87528868360277134</v>
      </c>
      <c r="I5539" s="297">
        <f t="shared" si="734"/>
        <v>42.463798289777408</v>
      </c>
      <c r="J5539" s="297">
        <f t="shared" si="735"/>
        <v>8.7142857142857135</v>
      </c>
      <c r="K5539" s="297">
        <f>J5539/POBLA!$B$18*100000</f>
        <v>1.1154756891216797</v>
      </c>
      <c r="L5539" s="549">
        <f t="shared" si="730"/>
        <v>0.80817610062893075</v>
      </c>
      <c r="M5539" s="401">
        <f>SUM(C5539,C5515,C5491,C5467,C5443,C5419,C5395)/POBLA!$B$18*100000</f>
        <v>7.8083298238517598</v>
      </c>
    </row>
    <row r="5540" spans="1:13" s="360" customFormat="1" x14ac:dyDescent="0.25">
      <c r="A5540" s="371" t="s">
        <v>36</v>
      </c>
      <c r="B5540" s="267">
        <v>44123</v>
      </c>
      <c r="C5540" s="1">
        <v>277</v>
      </c>
      <c r="D5540" s="39">
        <f t="shared" si="733"/>
        <v>3604</v>
      </c>
      <c r="E5540" s="1"/>
      <c r="F5540" s="411">
        <v>51</v>
      </c>
      <c r="G5540" s="168">
        <f>SUM(C5540,C5516,C5492,C5468,C5444,C5420,C5396,C5372,C5348,C5324,C5300,C5276,C5252,C5228)/POBLA!$B$19*100000</f>
        <v>354.10207582505785</v>
      </c>
      <c r="H5540" s="256">
        <f t="shared" si="729"/>
        <v>1.7595307917888563</v>
      </c>
      <c r="I5540" s="297">
        <f t="shared" si="734"/>
        <v>623.05350585054168</v>
      </c>
      <c r="J5540" s="297">
        <f t="shared" si="735"/>
        <v>187.71428571428572</v>
      </c>
      <c r="K5540" s="297">
        <f>J5540/POBLA!$B$19*100000</f>
        <v>36.927787907470318</v>
      </c>
      <c r="L5540" s="549">
        <f t="shared" si="730"/>
        <v>-1.7037037037037037</v>
      </c>
      <c r="M5540" s="401">
        <f>SUM(C5540,C5516,C5492,C5468,C5444,C5420,C5396)/POBLA!$B$19*100000</f>
        <v>258.49451535229224</v>
      </c>
    </row>
    <row r="5541" spans="1:13" s="360" customFormat="1" x14ac:dyDescent="0.25">
      <c r="A5541" s="371" t="s">
        <v>37</v>
      </c>
      <c r="B5541" s="267">
        <v>44123</v>
      </c>
      <c r="C5541" s="1">
        <v>138</v>
      </c>
      <c r="D5541" s="39">
        <f t="shared" si="733"/>
        <v>7405</v>
      </c>
      <c r="E5541" s="1">
        <v>1</v>
      </c>
      <c r="F5541" s="411">
        <v>99</v>
      </c>
      <c r="G5541" s="168">
        <f>SUM(C5541,C5517,C5493,C5469,C5445,C5421,C5397,C5373,C5349,C5325,C5301,C5277,C5253,C5229)/POBLA!$B$20*100000</f>
        <v>503.69430513702565</v>
      </c>
      <c r="H5541" s="256">
        <f t="shared" si="729"/>
        <v>1.0703079604880883</v>
      </c>
      <c r="I5541" s="297">
        <f t="shared" si="734"/>
        <v>539.10802444067474</v>
      </c>
      <c r="J5541" s="297">
        <f t="shared" si="735"/>
        <v>136.71428571428572</v>
      </c>
      <c r="K5541" s="297">
        <f>J5541/POBLA!$B$20*100000</f>
        <v>37.38447727750377</v>
      </c>
      <c r="L5541" s="549">
        <f t="shared" si="730"/>
        <v>-8.135593220338988E-2</v>
      </c>
      <c r="M5541" s="401">
        <f>SUM(C5541,C5517,C5493,C5469,C5445,C5421,C5397)/POBLA!$B$20*100000</f>
        <v>261.69134094252632</v>
      </c>
    </row>
    <row r="5542" spans="1:13" s="360" customFormat="1" x14ac:dyDescent="0.25">
      <c r="A5542" s="371" t="s">
        <v>22</v>
      </c>
      <c r="B5542" s="267">
        <v>44123</v>
      </c>
      <c r="C5542" s="1">
        <v>2050</v>
      </c>
      <c r="D5542" s="39">
        <f t="shared" si="733"/>
        <v>80874</v>
      </c>
      <c r="E5542" s="1">
        <v>28</v>
      </c>
      <c r="F5542" s="411">
        <v>857</v>
      </c>
      <c r="G5542" s="168">
        <f>SUM(C5542,C5518,C5494,C5470,C5446,C5422,C5398,C5374,C5350,C5326,C5302,C5278,C5254,C5230)/POBLA!$B$21*100000</f>
        <v>853.63212154219332</v>
      </c>
      <c r="H5542" s="256">
        <f t="shared" si="729"/>
        <v>1.3081989946264516</v>
      </c>
      <c r="I5542" s="297">
        <f t="shared" si="734"/>
        <v>1116.7206831823423</v>
      </c>
      <c r="J5542" s="297">
        <f t="shared" si="735"/>
        <v>2323.2857142857142</v>
      </c>
      <c r="K5542" s="297">
        <f>J5542/POBLA!$B$21*100000</f>
        <v>65.69601541123572</v>
      </c>
      <c r="L5542" s="549">
        <f t="shared" si="730"/>
        <v>-0.16789946140035905</v>
      </c>
      <c r="M5542" s="401">
        <f>SUM(C5542,C5518,C5494,C5470,C5446,C5422,C5398)/POBLA!$B$21*100000</f>
        <v>459.87210787865007</v>
      </c>
    </row>
    <row r="5543" spans="1:13" s="360" customFormat="1" x14ac:dyDescent="0.25">
      <c r="A5543" s="371" t="s">
        <v>38</v>
      </c>
      <c r="B5543" s="267">
        <v>44123</v>
      </c>
      <c r="C5543" s="1">
        <v>145</v>
      </c>
      <c r="D5543" s="39">
        <f>C5543+D5519</f>
        <v>6960</v>
      </c>
      <c r="E5543" s="1">
        <v>1</v>
      </c>
      <c r="F5543" s="411">
        <v>100</v>
      </c>
      <c r="G5543" s="168">
        <f>SUM(C5543,C5519,C5495,C5471,C5447,C5423,C5399,C5375,C5351,C5327,C5303,C5279,C5255,C5231)/POBLA!$B$22*100000</f>
        <v>301.13061975052972</v>
      </c>
      <c r="H5543" s="256">
        <f t="shared" si="729"/>
        <v>1.853996224040277</v>
      </c>
      <c r="I5543" s="297">
        <f t="shared" si="734"/>
        <v>558.29503196039059</v>
      </c>
      <c r="J5543" s="297">
        <f t="shared" si="735"/>
        <v>223</v>
      </c>
      <c r="K5543" s="297">
        <f>J5543/POBLA!$B$22*100000</f>
        <v>22.794340870457614</v>
      </c>
      <c r="L5543" s="549">
        <f t="shared" si="730"/>
        <v>-0.12707581227436826</v>
      </c>
      <c r="M5543" s="401">
        <f>SUM(C5543,C5519,C5495,C5471,C5447,C5423,C5399)/POBLA!$B$22*100000</f>
        <v>159.56038609320331</v>
      </c>
    </row>
    <row r="5544" spans="1:13" s="360" customFormat="1" x14ac:dyDescent="0.25">
      <c r="A5544" s="371" t="s">
        <v>39</v>
      </c>
      <c r="B5544" s="267">
        <v>44123</v>
      </c>
      <c r="C5544" s="1">
        <v>238</v>
      </c>
      <c r="D5544" s="39">
        <f>C5544+D5520</f>
        <v>8386</v>
      </c>
      <c r="E5544" s="1"/>
      <c r="F5544" s="411">
        <f>E5544+F5520</f>
        <v>102</v>
      </c>
      <c r="G5544" s="168">
        <f>SUM(C5544,C5520,C5496,C5472,C5448,C5424,C5400,C5376,C5352,C5328,C5304,C5280,C5256,C5232)/POBLA!$B$23*100000</f>
        <v>1815.3028332296556</v>
      </c>
      <c r="H5544" s="256">
        <f t="shared" si="729"/>
        <v>1.6912539515279241</v>
      </c>
      <c r="I5544" s="297">
        <f t="shared" si="734"/>
        <v>3070.138089919491</v>
      </c>
      <c r="J5544" s="297">
        <f t="shared" si="735"/>
        <v>242</v>
      </c>
      <c r="K5544" s="297">
        <f>J5544/POBLA!$B$23*100000</f>
        <v>136.85460611887123</v>
      </c>
      <c r="L5544" s="549">
        <f t="shared" si="730"/>
        <v>-0.11741424802110823</v>
      </c>
      <c r="M5544" s="401">
        <f>SUM(C5544,C5520,C5496,C5472,C5448,C5424,C5400)/POBLA!$B$23*100000</f>
        <v>957.98224283209868</v>
      </c>
    </row>
    <row r="5545" spans="1:13" s="360" customFormat="1" ht="15.75" thickBot="1" x14ac:dyDescent="0.3">
      <c r="A5545" s="373" t="s">
        <v>40</v>
      </c>
      <c r="B5545" s="268">
        <v>44123</v>
      </c>
      <c r="C5545" s="232">
        <v>1386</v>
      </c>
      <c r="D5545" s="39">
        <f t="shared" ref="D5545:D5566" si="736">C5545+D5521</f>
        <v>36123</v>
      </c>
      <c r="E5545" s="232">
        <v>17</v>
      </c>
      <c r="F5545" s="411">
        <v>473</v>
      </c>
      <c r="G5545" s="177">
        <f>SUM(C5545,C5521,C5497,C5473,C5449,C5425,C5401,C5377,C5353,C5329,C5305,C5281,C5257,C5233)/POBLA!$B$24*100000</f>
        <v>1080.9863476717398</v>
      </c>
      <c r="H5545" s="402">
        <f t="shared" si="729"/>
        <v>2.2697311361665222</v>
      </c>
      <c r="I5545" s="403">
        <f t="shared" si="734"/>
        <v>2453.5483710814774</v>
      </c>
      <c r="J5545" s="403">
        <f t="shared" si="735"/>
        <v>1226.2857142857142</v>
      </c>
      <c r="K5545" s="403">
        <f>J5545/POBLA!$B$24*100000</f>
        <v>72.361925623000431</v>
      </c>
      <c r="L5545" s="550">
        <f t="shared" si="730"/>
        <v>0.11823317925012844</v>
      </c>
      <c r="M5545" s="405">
        <f>SUM(C5545,C5521,C5497,C5473,C5449,C5425,C5401)/POBLA!$B$24*100000</f>
        <v>506.53347936100306</v>
      </c>
    </row>
    <row r="5546" spans="1:13" s="360" customFormat="1" x14ac:dyDescent="0.25">
      <c r="A5546" s="363" t="s">
        <v>16</v>
      </c>
      <c r="B5546" s="265">
        <v>44124</v>
      </c>
      <c r="C5546" s="43">
        <v>4981</v>
      </c>
      <c r="D5546" s="262">
        <f t="shared" si="736"/>
        <v>507411</v>
      </c>
      <c r="E5546" s="43">
        <f>83+60</f>
        <v>143</v>
      </c>
      <c r="F5546" s="475">
        <f t="shared" ref="F5546:F5609" si="737">E5546+F5522</f>
        <v>16175</v>
      </c>
      <c r="G5546" s="175">
        <f>SUM(C5546,C5522,C5498,C5474,C5450,C5426,C5402,C5378,C5354,C5330,C5306,C5282,C5258,C5234)/POBLA!$B$1*100000</f>
        <v>349.73209553472037</v>
      </c>
      <c r="H5546" s="300">
        <f t="shared" si="729"/>
        <v>0.89244981088158282</v>
      </c>
      <c r="I5546" s="301">
        <f>G5546*H5546</f>
        <v>312.11834251918083</v>
      </c>
      <c r="J5546" s="301">
        <f>AVERAGE(C5546,C5522,C5498,C5474,C5450,C5426,C5402)</f>
        <v>4588.4285714285716</v>
      </c>
      <c r="K5546" s="301">
        <f>J5546/POBLA!$B$1*100000</f>
        <v>26.158096394234398</v>
      </c>
      <c r="L5546" s="548">
        <f t="shared" si="730"/>
        <v>-9.8912002189681214E-2</v>
      </c>
      <c r="M5546" s="400">
        <f>SUM(C5546,C5522,C5498,C5474,C5450,C5426,C5402)/POBLA!$B$1*100000</f>
        <v>183.10667475964078</v>
      </c>
    </row>
    <row r="5547" spans="1:13" s="360" customFormat="1" x14ac:dyDescent="0.25">
      <c r="A5547" s="367" t="s">
        <v>43</v>
      </c>
      <c r="B5547" s="2">
        <v>44124</v>
      </c>
      <c r="C5547" s="1">
        <v>663</v>
      </c>
      <c r="D5547" s="39">
        <f t="shared" si="736"/>
        <v>141190</v>
      </c>
      <c r="E5547" s="1">
        <f>19+34+1</f>
        <v>54</v>
      </c>
      <c r="F5547" s="409">
        <f t="shared" si="737"/>
        <v>4281</v>
      </c>
      <c r="G5547" s="168">
        <f>SUM(C5547,C5523,C5499,C5475,C5451,C5427,C5403,C5379,C5355,C5331,C5307,C5283,C5259,C5235)/POBLA!$B$2*100000</f>
        <v>336.48215691922934</v>
      </c>
      <c r="H5547" s="256">
        <f t="shared" si="729"/>
        <v>0.86515632837318179</v>
      </c>
      <c r="I5547" s="297">
        <f t="shared" ref="I5547:I5569" si="738">G5547*H5547</f>
        <v>291.10966744332927</v>
      </c>
      <c r="J5547" s="297">
        <f t="shared" ref="J5547:J5569" si="739">AVERAGE(C5547,C5523,C5499,C5475,C5451,C5427,C5403)</f>
        <v>707.71428571428567</v>
      </c>
      <c r="K5547" s="297">
        <f>J5547/POBLA!$B$2*100000</f>
        <v>23.010264696076391</v>
      </c>
      <c r="L5547" s="549">
        <f t="shared" si="730"/>
        <v>8.1742354031510644E-2</v>
      </c>
      <c r="M5547" s="401">
        <f>SUM(C5547,C5523,C5499,C5475,C5451,C5427,C5403)/POBLA!$B$2*100000</f>
        <v>161.07185287253475</v>
      </c>
    </row>
    <row r="5548" spans="1:13" s="360" customFormat="1" x14ac:dyDescent="0.25">
      <c r="A5548" s="367" t="s">
        <v>28</v>
      </c>
      <c r="B5548" s="2">
        <v>44124</v>
      </c>
      <c r="C5548" s="1">
        <v>8</v>
      </c>
      <c r="D5548" s="39">
        <f t="shared" si="736"/>
        <v>500</v>
      </c>
      <c r="E5548" s="1"/>
      <c r="F5548" s="409">
        <f t="shared" si="737"/>
        <v>0</v>
      </c>
      <c r="G5548" s="168">
        <f>SUM(C5548,C5524,C5500,C5476,C5452,C5428,C5404,C5380,C5356,C5332,C5308,C5284,C5260,C5236)/POBLA!$B$3*100000</f>
        <v>41.642796277663571</v>
      </c>
      <c r="H5548" s="256">
        <f t="shared" si="729"/>
        <v>1.2357142857142858</v>
      </c>
      <c r="I5548" s="297">
        <f t="shared" si="738"/>
        <v>51.458598257398556</v>
      </c>
      <c r="J5548" s="297">
        <f t="shared" si="739"/>
        <v>15.285714285714286</v>
      </c>
      <c r="K5548" s="297">
        <f>J5548/POBLA!$B$3*100000</f>
        <v>3.679421306118912</v>
      </c>
      <c r="L5548" s="549">
        <f t="shared" si="730"/>
        <v>-0.6212121212121211</v>
      </c>
      <c r="M5548" s="401">
        <f>SUM(C5548,C5524,C5500,C5476,C5452,C5428,C5404)/POBLA!$B$3*100000</f>
        <v>25.755949142832385</v>
      </c>
    </row>
    <row r="5549" spans="1:13" s="360" customFormat="1" x14ac:dyDescent="0.25">
      <c r="A5549" s="367" t="s">
        <v>15</v>
      </c>
      <c r="B5549" s="2">
        <v>44124</v>
      </c>
      <c r="C5549" s="1">
        <v>193</v>
      </c>
      <c r="D5549" s="39">
        <f t="shared" si="736"/>
        <v>12041</v>
      </c>
      <c r="E5549" s="1">
        <f>3+2</f>
        <v>5</v>
      </c>
      <c r="F5549" s="409">
        <f t="shared" si="737"/>
        <v>378</v>
      </c>
      <c r="G5549" s="168">
        <f>SUM(C5549,C5525,C5501,C5477,C5453,C5429,C5405,C5381,C5357,C5333,C5309,C5285,C5261,C5237)/POBLA!$B$4*100000</f>
        <v>212.113991968725</v>
      </c>
      <c r="H5549" s="256">
        <f t="shared" si="729"/>
        <v>1.3355985363303711</v>
      </c>
      <c r="I5549" s="297">
        <f t="shared" si="738"/>
        <v>283.29913720862118</v>
      </c>
      <c r="J5549" s="297">
        <f t="shared" si="739"/>
        <v>194.71428571428572</v>
      </c>
      <c r="K5549" s="297">
        <f>J5549/POBLA!$B$4*100000</f>
        <v>16.165019348804709</v>
      </c>
      <c r="L5549" s="549">
        <f t="shared" si="730"/>
        <v>-0.14345637583892623</v>
      </c>
      <c r="M5549" s="401">
        <f>SUM(C5549,C5525,C5501,C5477,C5453,C5429,C5405)/POBLA!$B$4*100000</f>
        <v>113.15513544163295</v>
      </c>
    </row>
    <row r="5550" spans="1:13" s="360" customFormat="1" x14ac:dyDescent="0.25">
      <c r="A5550" s="367" t="s">
        <v>29</v>
      </c>
      <c r="B5550" s="2">
        <v>44124</v>
      </c>
      <c r="C5550" s="1">
        <v>465</v>
      </c>
      <c r="D5550" s="39">
        <f t="shared" si="736"/>
        <v>9727</v>
      </c>
      <c r="E5550" s="1">
        <f>5+2</f>
        <v>7</v>
      </c>
      <c r="F5550" s="409">
        <f t="shared" si="737"/>
        <v>192</v>
      </c>
      <c r="G5550" s="168">
        <f>SUM(C5550,C5526,C5502,C5478,C5454,C5430,C5406,C5382,C5358,C5334,C5310,C5286,C5262,C5238)/POBLA!$B$5*100000</f>
        <v>724.40120582752013</v>
      </c>
      <c r="H5550" s="256">
        <f t="shared" si="729"/>
        <v>1.6681547619047619</v>
      </c>
      <c r="I5550" s="297">
        <f t="shared" si="738"/>
        <v>1208.4133210307293</v>
      </c>
      <c r="J5550" s="297">
        <f t="shared" si="739"/>
        <v>277</v>
      </c>
      <c r="K5550" s="297">
        <f>J5550/POBLA!$B$5*100000</f>
        <v>44.750029887204079</v>
      </c>
      <c r="L5550" s="549">
        <f t="shared" si="730"/>
        <v>0.23811394891944992</v>
      </c>
      <c r="M5550" s="401">
        <f>SUM(C5550,C5526,C5502,C5478,C5454,C5430,C5406)/POBLA!$B$5*100000</f>
        <v>313.25020921042852</v>
      </c>
    </row>
    <row r="5551" spans="1:13" s="360" customFormat="1" x14ac:dyDescent="0.25">
      <c r="A5551" s="367" t="s">
        <v>20</v>
      </c>
      <c r="B5551" s="2">
        <v>44124</v>
      </c>
      <c r="C5551" s="1">
        <v>1708</v>
      </c>
      <c r="D5551" s="39">
        <f t="shared" si="736"/>
        <v>66287</v>
      </c>
      <c r="E5551" s="1">
        <f>31+21</f>
        <v>52</v>
      </c>
      <c r="F5551" s="409">
        <f t="shared" si="737"/>
        <v>923</v>
      </c>
      <c r="G5551" s="168">
        <f>SUM(C5551,C5527,C5503,C5479,C5455,C5431,C5407,C5383,C5359,C5335,C5311,C5287,C5263,C5239)/POBLA!$B$6*100000</f>
        <v>2060.4906669426596</v>
      </c>
      <c r="H5551" s="256">
        <f t="shared" si="729"/>
        <v>1.0467298191542402</v>
      </c>
      <c r="I5551" s="297">
        <f t="shared" si="738"/>
        <v>2156.77702317789</v>
      </c>
      <c r="J5551" s="297">
        <f t="shared" si="739"/>
        <v>1741.7142857142858</v>
      </c>
      <c r="K5551" s="297">
        <f>J5551/POBLA!$B$6*100000</f>
        <v>155.39906599960972</v>
      </c>
      <c r="L5551" s="549">
        <f t="shared" si="730"/>
        <v>-0.11832691249312055</v>
      </c>
      <c r="M5551" s="401">
        <f>SUM(C5551,C5527,C5503,C5479,C5455,C5431,C5407)/POBLA!$B$6*100000</f>
        <v>1087.793461997268</v>
      </c>
    </row>
    <row r="5552" spans="1:13" s="360" customFormat="1" x14ac:dyDescent="0.25">
      <c r="A5552" s="367" t="s">
        <v>30</v>
      </c>
      <c r="B5552" s="2">
        <v>44124</v>
      </c>
      <c r="C5552" s="1">
        <v>34</v>
      </c>
      <c r="D5552" s="39">
        <f t="shared" si="736"/>
        <v>2134</v>
      </c>
      <c r="E5552" s="1"/>
      <c r="F5552" s="409">
        <f t="shared" si="737"/>
        <v>36</v>
      </c>
      <c r="G5552" s="168">
        <f>SUM(C5552,C5528,C5504,C5480,C5456,C5432,C5408,C5384,C5360,C5336,C5312,C5288,C5264,C5240)/POBLA!$B$7*100000</f>
        <v>20.68901328298475</v>
      </c>
      <c r="H5552" s="256">
        <f t="shared" si="729"/>
        <v>2.6195286195286194</v>
      </c>
      <c r="I5552" s="297">
        <f t="shared" si="738"/>
        <v>54.195462404586308</v>
      </c>
      <c r="J5552" s="297">
        <f t="shared" si="739"/>
        <v>55.142857142857146</v>
      </c>
      <c r="K5552" s="297">
        <f>J5552/POBLA!$B$7*100000</f>
        <v>1.466389850758743</v>
      </c>
      <c r="L5552" s="549">
        <f t="shared" si="730"/>
        <v>1.5306122448979553E-2</v>
      </c>
      <c r="M5552" s="401">
        <f>SUM(C5552,C5528,C5504,C5480,C5456,C5432,C5408)/POBLA!$B$7*100000</f>
        <v>10.264728955311199</v>
      </c>
    </row>
    <row r="5553" spans="1:13" x14ac:dyDescent="0.25">
      <c r="A5553" s="367" t="s">
        <v>31</v>
      </c>
      <c r="B5553" s="2">
        <v>44124</v>
      </c>
      <c r="C5553" s="1">
        <v>402</v>
      </c>
      <c r="D5553" s="39">
        <f t="shared" si="736"/>
        <v>12094</v>
      </c>
      <c r="E5553" s="1">
        <f>2+3</f>
        <v>5</v>
      </c>
      <c r="F5553" s="409">
        <f t="shared" si="737"/>
        <v>215</v>
      </c>
      <c r="G5553" s="168">
        <f>SUM(C5553,C5529,C5505,C5481,C5457,C5433,C5409,C5385,C5361,C5337,C5313,C5289,C5265,C5241)/POBLA!$B$8*100000</f>
        <v>262.99441326271085</v>
      </c>
      <c r="H5553" s="256">
        <f t="shared" si="729"/>
        <v>1.7893961708394699</v>
      </c>
      <c r="I5553" s="297">
        <f t="shared" si="738"/>
        <v>470.60119604446788</v>
      </c>
      <c r="J5553" s="297">
        <f t="shared" si="739"/>
        <v>324.42857142857144</v>
      </c>
      <c r="K5553" s="297">
        <f>J5553/POBLA!$B$8*100000</f>
        <v>23.408203508509363</v>
      </c>
      <c r="L5553" s="549">
        <f t="shared" si="730"/>
        <v>-0.65283842794759828</v>
      </c>
      <c r="M5553" s="401">
        <f>SUM(C5553,C5529,C5505,C5481,C5457,C5433,C5409)/POBLA!$B$8*100000</f>
        <v>163.85742455956552</v>
      </c>
    </row>
    <row r="5554" spans="1:13" s="360" customFormat="1" x14ac:dyDescent="0.25">
      <c r="A5554" s="367" t="s">
        <v>41</v>
      </c>
      <c r="B5554" s="2">
        <v>44124</v>
      </c>
      <c r="C5554" s="1">
        <v>-4</v>
      </c>
      <c r="D5554" s="39">
        <f t="shared" si="736"/>
        <v>140</v>
      </c>
      <c r="E5554" s="1"/>
      <c r="F5554" s="409">
        <f t="shared" si="737"/>
        <v>1</v>
      </c>
      <c r="G5554" s="168">
        <f>SUM(C5554,C5530,C5506,C5482,C5458,C5434,C5410,C5386,C5362,C5338,C5314,C5290,C5266,C5242)/POBLA!$B$9*100000</f>
        <v>5.6180425087534065</v>
      </c>
      <c r="H5554" s="256">
        <f t="shared" si="729"/>
        <v>6.8</v>
      </c>
      <c r="I5554" s="297">
        <f t="shared" si="738"/>
        <v>38.202689059523166</v>
      </c>
      <c r="J5554" s="297">
        <f t="shared" si="739"/>
        <v>0.14285714285714285</v>
      </c>
      <c r="K5554" s="297">
        <f>J5554/POBLA!$B$9*100000</f>
        <v>2.3605220625014311E-2</v>
      </c>
      <c r="L5554" s="549">
        <f t="shared" si="730"/>
        <v>0.96969696969696972</v>
      </c>
      <c r="M5554" s="401">
        <f>SUM(C5554,C5530,C5506,C5482,C5458,C5434,C5410)/POBLA!$B$9*100000</f>
        <v>0.16523654437510019</v>
      </c>
    </row>
    <row r="5555" spans="1:13" s="360" customFormat="1" x14ac:dyDescent="0.25">
      <c r="A5555" s="367" t="s">
        <v>32</v>
      </c>
      <c r="B5555" s="2">
        <v>44124</v>
      </c>
      <c r="C5555" s="1">
        <v>59</v>
      </c>
      <c r="D5555" s="39">
        <f t="shared" si="736"/>
        <v>17344</v>
      </c>
      <c r="E5555" s="1">
        <f>2+2</f>
        <v>4</v>
      </c>
      <c r="F5555" s="409">
        <f t="shared" si="737"/>
        <v>738</v>
      </c>
      <c r="G5555" s="168">
        <f>SUM(C5555,C5531,C5507,C5483,C5459,C5435,C5411,C5387,C5363,C5339,C5315,C5291,C5267,C5243)/POBLA!$B$10*100000</f>
        <v>136.72668025285355</v>
      </c>
      <c r="H5555" s="256">
        <f t="shared" si="729"/>
        <v>0.54329896907216491</v>
      </c>
      <c r="I5555" s="297">
        <f t="shared" si="738"/>
        <v>74.283464426034868</v>
      </c>
      <c r="J5555" s="297">
        <f t="shared" si="739"/>
        <v>71.714285714285708</v>
      </c>
      <c r="K5555" s="297">
        <f>J5555/POBLA!$B$10*100000</f>
        <v>9.30289963227602</v>
      </c>
      <c r="L5555" s="549">
        <f t="shared" si="730"/>
        <v>9.0579710144927494E-2</v>
      </c>
      <c r="M5555" s="401">
        <f>SUM(C5555,C5531,C5507,C5483,C5459,C5435,C5411)/POBLA!$B$10*100000</f>
        <v>65.120297425932151</v>
      </c>
    </row>
    <row r="5556" spans="1:13" s="360" customFormat="1" x14ac:dyDescent="0.25">
      <c r="A5556" s="367" t="s">
        <v>33</v>
      </c>
      <c r="B5556" s="2">
        <v>44124</v>
      </c>
      <c r="C5556" s="1">
        <v>98</v>
      </c>
      <c r="D5556" s="39">
        <f t="shared" si="736"/>
        <v>1808</v>
      </c>
      <c r="E5556" s="1">
        <f>1+1</f>
        <v>2</v>
      </c>
      <c r="F5556" s="409">
        <f t="shared" si="737"/>
        <v>18</v>
      </c>
      <c r="G5556" s="168">
        <f>SUM(C5556,C5532,C5508,C5484,C5460,C5436,C5412,C5388,C5364,C5340,C5316,C5292,C5268,C5244)/POBLA!$B$11*100000</f>
        <v>254.16541118439409</v>
      </c>
      <c r="H5556" s="256">
        <f t="shared" si="729"/>
        <v>3.152249134948097</v>
      </c>
      <c r="I5556" s="297">
        <f t="shared" si="738"/>
        <v>801.19269753973367</v>
      </c>
      <c r="J5556" s="297">
        <f t="shared" si="739"/>
        <v>91</v>
      </c>
      <c r="K5556" s="297">
        <f>J5556/POBLA!$B$11*100000</f>
        <v>25.388641512381845</v>
      </c>
      <c r="L5556" s="549">
        <f t="shared" si="730"/>
        <v>-1.3248175182481754</v>
      </c>
      <c r="M5556" s="401">
        <f>SUM(C5556,C5532,C5508,C5484,C5460,C5436,C5412)/POBLA!$B$11*100000</f>
        <v>177.72049058667292</v>
      </c>
    </row>
    <row r="5557" spans="1:13" s="360" customFormat="1" x14ac:dyDescent="0.25">
      <c r="A5557" s="367" t="s">
        <v>21</v>
      </c>
      <c r="B5557" s="2">
        <v>44124</v>
      </c>
      <c r="C5557" s="1">
        <v>41</v>
      </c>
      <c r="D5557" s="39">
        <f t="shared" si="736"/>
        <v>6665</v>
      </c>
      <c r="E5557" s="1">
        <f>1+1</f>
        <v>2</v>
      </c>
      <c r="F5557" s="409">
        <f t="shared" si="737"/>
        <v>228</v>
      </c>
      <c r="G5557" s="168">
        <f>SUM(C5557,C5533,C5509,C5485,C5461,C5437,C5413,C5389,C5365,C5341,C5317,C5293,C5269,C5245)/POBLA!$B$12*100000</f>
        <v>344.0643812050385</v>
      </c>
      <c r="H5557" s="256">
        <f t="shared" si="729"/>
        <v>1.2410632447296059</v>
      </c>
      <c r="I5557" s="297">
        <f t="shared" si="738"/>
        <v>427.0056573342091</v>
      </c>
      <c r="J5557" s="297">
        <f t="shared" si="739"/>
        <v>90.571428571428569</v>
      </c>
      <c r="K5557" s="297">
        <f>J5557/POBLA!$B$12*100000</f>
        <v>23.015068335513231</v>
      </c>
      <c r="L5557" s="549">
        <f t="shared" si="730"/>
        <v>0.11944444444444446</v>
      </c>
      <c r="M5557" s="401">
        <f>SUM(C5557,C5533,C5509,C5485,C5461,C5437,C5413)/POBLA!$B$12*100000</f>
        <v>161.10547834859261</v>
      </c>
    </row>
    <row r="5558" spans="1:13" s="360" customFormat="1" x14ac:dyDescent="0.25">
      <c r="A5558" s="367" t="s">
        <v>17</v>
      </c>
      <c r="B5558" s="2">
        <v>44124</v>
      </c>
      <c r="C5558" s="1">
        <v>968</v>
      </c>
      <c r="D5558" s="39">
        <f t="shared" si="736"/>
        <v>38814</v>
      </c>
      <c r="E5558" s="1">
        <f>7+2</f>
        <v>9</v>
      </c>
      <c r="F5558" s="409">
        <f t="shared" si="737"/>
        <v>634</v>
      </c>
      <c r="G5558" s="168">
        <f>SUM(C5558,C5534,C5510,C5486,C5462,C5438,C5414,C5390,C5366,C5342,C5318,C5294,C5270,C5246)/POBLA!$B$13*100000</f>
        <v>514.93766385407901</v>
      </c>
      <c r="H5558" s="256">
        <f t="shared" si="729"/>
        <v>1.1794016110471808</v>
      </c>
      <c r="I5558" s="297">
        <f t="shared" si="738"/>
        <v>607.31831033837238</v>
      </c>
      <c r="J5558" s="297">
        <f t="shared" si="739"/>
        <v>823.14285714285711</v>
      </c>
      <c r="K5558" s="297">
        <f>J5558/POBLA!$B$13*100000</f>
        <v>41.356938225711268</v>
      </c>
      <c r="L5558" s="549">
        <f t="shared" si="730"/>
        <v>-0.28415422331178952</v>
      </c>
      <c r="M5558" s="401">
        <f>SUM(C5558,C5534,C5510,C5486,C5462,C5438,C5414)/POBLA!$B$13*100000</f>
        <v>289.49856757997884</v>
      </c>
    </row>
    <row r="5559" spans="1:13" s="360" customFormat="1" x14ac:dyDescent="0.25">
      <c r="A5559" s="367" t="s">
        <v>23</v>
      </c>
      <c r="B5559" s="2">
        <v>44124</v>
      </c>
      <c r="C5559" s="1">
        <v>-2</v>
      </c>
      <c r="D5559" s="39">
        <f t="shared" si="736"/>
        <v>195</v>
      </c>
      <c r="E5559" s="1"/>
      <c r="F5559" s="409">
        <f t="shared" si="737"/>
        <v>4</v>
      </c>
      <c r="G5559" s="168">
        <f>SUM(C5559,C5535,C5511,C5487,C5463,C5439,C5415,C5391,C5367,C5343,C5319,C5295,C5271,C5247)/POBLA!$B$14*100000</f>
        <v>6.1048415357561359</v>
      </c>
      <c r="H5559" s="256">
        <f t="shared" si="729"/>
        <v>1.925</v>
      </c>
      <c r="I5559" s="297">
        <f t="shared" si="738"/>
        <v>11.751819956330563</v>
      </c>
      <c r="J5559" s="297">
        <f t="shared" si="739"/>
        <v>1.2857142857142858</v>
      </c>
      <c r="K5559" s="297">
        <f>J5559/POBLA!$B$14*100000</f>
        <v>0.10193612953952733</v>
      </c>
      <c r="L5559" s="549">
        <f t="shared" si="730"/>
        <v>0.86764705882352944</v>
      </c>
      <c r="M5559" s="401">
        <f>SUM(C5559,C5535,C5511,C5487,C5463,C5439,C5415)/POBLA!$B$14*100000</f>
        <v>0.71355290677669125</v>
      </c>
    </row>
    <row r="5560" spans="1:13" s="360" customFormat="1" x14ac:dyDescent="0.25">
      <c r="A5560" s="367" t="s">
        <v>19</v>
      </c>
      <c r="B5560" s="2">
        <v>44124</v>
      </c>
      <c r="C5560" s="1">
        <v>1305</v>
      </c>
      <c r="D5560" s="39">
        <f t="shared" si="736"/>
        <v>16659</v>
      </c>
      <c r="E5560" s="1">
        <f>5+2</f>
        <v>7</v>
      </c>
      <c r="F5560" s="409">
        <f t="shared" si="737"/>
        <v>289</v>
      </c>
      <c r="G5560" s="168">
        <f>SUM(C5560,C5536,C5512,C5488,C5464,C5440,C5416,C5392,C5368,C5344,C5320,C5296,C5272,C5248)/POBLA!$B$15*100000</f>
        <v>1080.1783581831078</v>
      </c>
      <c r="H5560" s="256">
        <f t="shared" si="729"/>
        <v>2.3556650246305417</v>
      </c>
      <c r="I5560" s="297">
        <f t="shared" si="738"/>
        <v>2544.5383787347887</v>
      </c>
      <c r="J5560" s="297">
        <f t="shared" si="739"/>
        <v>567.28571428571433</v>
      </c>
      <c r="K5560" s="297">
        <f>J5560/POBLA!$B$15*100000</f>
        <v>85.42726216058476</v>
      </c>
      <c r="L5560" s="549">
        <f t="shared" si="730"/>
        <v>-0.2401623985009369</v>
      </c>
      <c r="M5560" s="401">
        <f>SUM(C5560,C5536,C5512,C5488,C5464,C5440,C5416)/POBLA!$B$15*100000</f>
        <v>597.99083512409334</v>
      </c>
    </row>
    <row r="5561" spans="1:13" s="360" customFormat="1" x14ac:dyDescent="0.25">
      <c r="A5561" s="367" t="s">
        <v>18</v>
      </c>
      <c r="B5561" s="2">
        <v>44124</v>
      </c>
      <c r="C5561" s="1">
        <v>393</v>
      </c>
      <c r="D5561" s="39">
        <f t="shared" si="736"/>
        <v>19791</v>
      </c>
      <c r="E5561" s="1">
        <f>1+1</f>
        <v>2</v>
      </c>
      <c r="F5561" s="409">
        <f t="shared" si="737"/>
        <v>507</v>
      </c>
      <c r="G5561" s="168">
        <f>SUM(C5561,C5537,C5513,C5489,C5465,C5441,C5417,C5393,C5369,C5345,C5321,C5297,C5273,C5249)/POBLA!$B$16*100000</f>
        <v>687.39048434344113</v>
      </c>
      <c r="H5561" s="256">
        <f t="shared" si="729"/>
        <v>1.3099668620953353</v>
      </c>
      <c r="I5561" s="297">
        <f t="shared" si="738"/>
        <v>900.45875580957033</v>
      </c>
      <c r="J5561" s="297">
        <f t="shared" si="739"/>
        <v>379.85714285714283</v>
      </c>
      <c r="K5561" s="297">
        <f>J5561/POBLA!$B$16*100000</f>
        <v>50.809532089878786</v>
      </c>
      <c r="L5561" s="549">
        <f t="shared" si="730"/>
        <v>-7.217741935483879E-2</v>
      </c>
      <c r="M5561" s="401">
        <f>SUM(C5561,C5537,C5513,C5489,C5465,C5441,C5417)/POBLA!$B$16*100000</f>
        <v>355.66672462915159</v>
      </c>
    </row>
    <row r="5562" spans="1:13" s="360" customFormat="1" x14ac:dyDescent="0.25">
      <c r="A5562" s="367" t="s">
        <v>34</v>
      </c>
      <c r="B5562" s="2">
        <v>44124</v>
      </c>
      <c r="C5562" s="1">
        <v>201</v>
      </c>
      <c r="D5562" s="39">
        <f t="shared" si="736"/>
        <v>16913</v>
      </c>
      <c r="E5562" s="1">
        <v>6</v>
      </c>
      <c r="F5562" s="409">
        <f t="shared" si="737"/>
        <v>638</v>
      </c>
      <c r="G5562" s="168">
        <f>SUM(C5562,C5538,C5514,C5490,C5466,C5442,C5418,C5394,C5370,C5346,C5322,C5298,C5274,C5250)/POBLA!$B$17*100000</f>
        <v>207.175387198934</v>
      </c>
      <c r="H5562" s="256">
        <f t="shared" ref="H5562:H5593" si="740">SUM(C5562,C5538,C5514,C5490,C5466,C5442,C5418,C5394,C5370,C5346,C5322,C5298,C5274,C5250)/SUM(C5226,C5202,C5178,C5154,C5130,C5106,C5082,C5058,C5034,C5010,C4986,C4962,C4938,C4914)</f>
        <v>0.71765564202334631</v>
      </c>
      <c r="I5562" s="297">
        <f t="shared" si="738"/>
        <v>148.68058551168633</v>
      </c>
      <c r="J5562" s="297">
        <f t="shared" si="739"/>
        <v>187</v>
      </c>
      <c r="K5562" s="297">
        <f>J5562/POBLA!$B$17*100000</f>
        <v>13.128362387733196</v>
      </c>
      <c r="L5562" s="549">
        <f t="shared" ref="L5562:L5593" si="741">1-SUM(C5562,C5538,C5514,C5490,C5466,C5442,C5418)/SUM(C5394,C5370,C5346,C5322,C5298,C5274,C5250)</f>
        <v>0.20280146163215595</v>
      </c>
      <c r="M5562" s="401">
        <f>SUM(C5562,C5538,C5514,C5490,C5466,C5442,C5418)/POBLA!$B$17*100000</f>
        <v>91.898536714132362</v>
      </c>
    </row>
    <row r="5563" spans="1:13" s="360" customFormat="1" x14ac:dyDescent="0.25">
      <c r="A5563" s="367" t="s">
        <v>35</v>
      </c>
      <c r="B5563" s="2">
        <v>44124</v>
      </c>
      <c r="C5563" s="1">
        <v>5</v>
      </c>
      <c r="D5563" s="39">
        <f t="shared" si="736"/>
        <v>1307</v>
      </c>
      <c r="E5563" s="1">
        <f>1</f>
        <v>1</v>
      </c>
      <c r="F5563" s="409">
        <f t="shared" si="737"/>
        <v>76</v>
      </c>
      <c r="G5563" s="168">
        <f>SUM(C5563,C5539,C5515,C5491,C5467,C5443,C5419,C5395,C5371,C5347,C5323,C5299,C5275,C5251)/POBLA!$B$18*100000</f>
        <v>40.961730223484636</v>
      </c>
      <c r="H5563" s="256">
        <f t="shared" si="740"/>
        <v>0.68085106382978722</v>
      </c>
      <c r="I5563" s="297">
        <f t="shared" si="738"/>
        <v>27.888837598968262</v>
      </c>
      <c r="J5563" s="297">
        <f t="shared" si="739"/>
        <v>5.5714285714285712</v>
      </c>
      <c r="K5563" s="297">
        <f>J5563/POBLA!$B$18*100000</f>
        <v>0.71317298156959863</v>
      </c>
      <c r="L5563" s="549">
        <f t="shared" si="741"/>
        <v>0.86120996441281139</v>
      </c>
      <c r="M5563" s="401">
        <f>SUM(C5563,C5539,C5515,C5491,C5467,C5443,C5419)/POBLA!$B$18*100000</f>
        <v>4.99221087098719</v>
      </c>
    </row>
    <row r="5564" spans="1:13" s="360" customFormat="1" x14ac:dyDescent="0.25">
      <c r="A5564" s="367" t="s">
        <v>36</v>
      </c>
      <c r="B5564" s="2">
        <v>44124</v>
      </c>
      <c r="C5564" s="1">
        <v>266</v>
      </c>
      <c r="D5564" s="39">
        <f t="shared" si="736"/>
        <v>3870</v>
      </c>
      <c r="E5564" s="1"/>
      <c r="F5564" s="409">
        <f t="shared" si="737"/>
        <v>51</v>
      </c>
      <c r="G5564" s="168">
        <f>SUM(C5564,C5540,C5516,C5492,C5468,C5444,C5420,C5396,C5372,C5348,C5324,C5300,C5276,C5252)/POBLA!$B$19*100000</f>
        <v>394.4303677940228</v>
      </c>
      <c r="H5564" s="256">
        <f t="shared" si="740"/>
        <v>1.9910625620655411</v>
      </c>
      <c r="I5564" s="297">
        <f t="shared" si="738"/>
        <v>785.33553865642068</v>
      </c>
      <c r="J5564" s="297">
        <f t="shared" si="739"/>
        <v>207.71428571428572</v>
      </c>
      <c r="K5564" s="297">
        <f>J5564/POBLA!$B$19*100000</f>
        <v>40.86225541663763</v>
      </c>
      <c r="L5564" s="549">
        <f t="shared" si="741"/>
        <v>-1.6388384754990923</v>
      </c>
      <c r="M5564" s="401">
        <f>SUM(C5564,C5540,C5516,C5492,C5468,C5444,C5420)/POBLA!$B$19*100000</f>
        <v>286.03578791646339</v>
      </c>
    </row>
    <row r="5565" spans="1:13" s="360" customFormat="1" x14ac:dyDescent="0.25">
      <c r="A5565" s="367" t="s">
        <v>37</v>
      </c>
      <c r="B5565" s="2">
        <v>44124</v>
      </c>
      <c r="C5565" s="1">
        <v>158</v>
      </c>
      <c r="D5565" s="39">
        <f t="shared" si="736"/>
        <v>7563</v>
      </c>
      <c r="E5565" s="1">
        <v>3</v>
      </c>
      <c r="F5565" s="409">
        <f t="shared" si="737"/>
        <v>102</v>
      </c>
      <c r="G5565" s="168">
        <f>SUM(C5565,C5541,C5517,C5493,C5469,C5445,C5421,C5397,C5373,C5349,C5325,C5301,C5277,C5253)/POBLA!$B$20*100000</f>
        <v>531.85962187378652</v>
      </c>
      <c r="H5565" s="256">
        <f t="shared" si="740"/>
        <v>1.1427732079905992</v>
      </c>
      <c r="I5565" s="297">
        <f t="shared" si="738"/>
        <v>607.79492628937408</v>
      </c>
      <c r="J5565" s="297">
        <f t="shared" si="739"/>
        <v>149.85714285714286</v>
      </c>
      <c r="K5565" s="297">
        <f>J5565/POBLA!$B$20*100000</f>
        <v>40.978387318810292</v>
      </c>
      <c r="L5565" s="549">
        <f t="shared" si="741"/>
        <v>-0.1707589285714286</v>
      </c>
      <c r="M5565" s="401">
        <f>SUM(C5565,C5541,C5517,C5493,C5469,C5445,C5421)/POBLA!$B$20*100000</f>
        <v>286.84871123167204</v>
      </c>
    </row>
    <row r="5566" spans="1:13" s="360" customFormat="1" x14ac:dyDescent="0.25">
      <c r="A5566" s="367" t="s">
        <v>22</v>
      </c>
      <c r="B5566" s="2">
        <v>44124</v>
      </c>
      <c r="C5566" s="1">
        <v>2575</v>
      </c>
      <c r="D5566" s="39">
        <f t="shared" si="736"/>
        <v>83449</v>
      </c>
      <c r="E5566" s="1">
        <f>33+27</f>
        <v>60</v>
      </c>
      <c r="F5566" s="409">
        <f t="shared" si="737"/>
        <v>917</v>
      </c>
      <c r="G5566" s="168">
        <f>SUM(C5566,C5542,C5518,C5494,C5470,C5446,C5422,C5398,C5374,C5350,C5326,C5302,C5278,C5254)/POBLA!$B$21*100000</f>
        <v>863.98157683848456</v>
      </c>
      <c r="H5566" s="256">
        <f t="shared" si="740"/>
        <v>1.2895792006077744</v>
      </c>
      <c r="I5566" s="297">
        <f t="shared" si="738"/>
        <v>1114.1726711992173</v>
      </c>
      <c r="J5566" s="297">
        <f t="shared" si="739"/>
        <v>2364.2857142857142</v>
      </c>
      <c r="K5566" s="297">
        <f>J5566/POBLA!$B$21*100000</f>
        <v>66.855380622022466</v>
      </c>
      <c r="L5566" s="549">
        <f t="shared" si="741"/>
        <v>-0.18180519851471</v>
      </c>
      <c r="M5566" s="401">
        <f>SUM(C5566,C5542,C5518,C5494,C5470,C5446,C5422)/POBLA!$B$21*100000</f>
        <v>467.98766435415718</v>
      </c>
    </row>
    <row r="5567" spans="1:13" s="360" customFormat="1" x14ac:dyDescent="0.25">
      <c r="A5567" s="367" t="s">
        <v>38</v>
      </c>
      <c r="B5567" s="2">
        <v>44124</v>
      </c>
      <c r="C5567" s="1">
        <v>104</v>
      </c>
      <c r="D5567" s="39">
        <f>C5567+D5543</f>
        <v>7064</v>
      </c>
      <c r="E5567" s="1">
        <f>2+1</f>
        <v>3</v>
      </c>
      <c r="F5567" s="409">
        <f t="shared" si="737"/>
        <v>103</v>
      </c>
      <c r="G5567" s="168">
        <f>SUM(C5567,C5543,C5519,C5495,C5471,C5447,C5423,C5399,C5375,C5351,C5327,C5303,C5279,C5255)/POBLA!$B$22*100000</f>
        <v>296.01978099033744</v>
      </c>
      <c r="H5567" s="256">
        <f t="shared" si="740"/>
        <v>1.73621103117506</v>
      </c>
      <c r="I5567" s="297">
        <f t="shared" si="738"/>
        <v>513.95280920144921</v>
      </c>
      <c r="J5567" s="297">
        <f t="shared" si="739"/>
        <v>217</v>
      </c>
      <c r="K5567" s="297">
        <f>J5567/POBLA!$B$22*100000</f>
        <v>22.181040219234539</v>
      </c>
      <c r="L5567" s="549">
        <f t="shared" si="741"/>
        <v>-0.10312273057371102</v>
      </c>
      <c r="M5567" s="401">
        <f>SUM(C5567,C5543,C5519,C5495,C5471,C5447,C5423)/POBLA!$B$22*100000</f>
        <v>155.26728153464177</v>
      </c>
    </row>
    <row r="5568" spans="1:13" s="360" customFormat="1" x14ac:dyDescent="0.25">
      <c r="A5568" s="367" t="s">
        <v>39</v>
      </c>
      <c r="B5568" s="2">
        <v>44124</v>
      </c>
      <c r="C5568" s="1">
        <v>295</v>
      </c>
      <c r="D5568" s="39">
        <f>C5568+D5544</f>
        <v>8681</v>
      </c>
      <c r="E5568" s="1">
        <f>1</f>
        <v>1</v>
      </c>
      <c r="F5568" s="409">
        <f t="shared" si="737"/>
        <v>103</v>
      </c>
      <c r="G5568" s="168">
        <f>SUM(C5568,C5544,C5520,C5496,C5472,C5448,C5424,C5400,C5376,C5352,C5328,C5304,C5280,C5256)/POBLA!$B$23*100000</f>
        <v>1844.1440931968557</v>
      </c>
      <c r="H5568" s="256">
        <f t="shared" si="740"/>
        <v>1.5799418604651163</v>
      </c>
      <c r="I5568" s="297">
        <f t="shared" si="738"/>
        <v>2913.6404495711949</v>
      </c>
      <c r="J5568" s="297">
        <f t="shared" si="739"/>
        <v>255.28571428571428</v>
      </c>
      <c r="K5568" s="297">
        <f>J5568/POBLA!$B$23*100000</f>
        <v>144.36787552209142</v>
      </c>
      <c r="L5568" s="549">
        <f t="shared" si="741"/>
        <v>-0.21234735413839889</v>
      </c>
      <c r="M5568" s="401">
        <f>SUM(C5568,C5544,C5520,C5496,C5472,C5448,C5424)/POBLA!$B$23*100000</f>
        <v>1010.57512865464</v>
      </c>
    </row>
    <row r="5569" spans="1:13" s="360" customFormat="1" ht="15.75" thickBot="1" x14ac:dyDescent="0.3">
      <c r="A5569" s="368" t="s">
        <v>40</v>
      </c>
      <c r="B5569" s="34">
        <v>44124</v>
      </c>
      <c r="C5569" s="232">
        <v>1421</v>
      </c>
      <c r="D5569" s="39">
        <f t="shared" ref="D5569:D5590" si="742">C5569+D5545</f>
        <v>37544</v>
      </c>
      <c r="E5569" s="232">
        <f>9+6</f>
        <v>15</v>
      </c>
      <c r="F5569" s="477">
        <f t="shared" si="737"/>
        <v>488</v>
      </c>
      <c r="G5569" s="177">
        <f>SUM(C5569,C5545,C5521,C5497,C5473,C5449,C5425,C5401,C5377,C5353,C5329,C5305,C5281,C5257)/POBLA!$B$24*100000</f>
        <v>1084.8219343630801</v>
      </c>
      <c r="H5569" s="402">
        <f t="shared" si="740"/>
        <v>2.1116471399035146</v>
      </c>
      <c r="I5569" s="403">
        <f t="shared" si="738"/>
        <v>2290.7611350023963</v>
      </c>
      <c r="J5569" s="403">
        <f t="shared" si="739"/>
        <v>1250.1428571428571</v>
      </c>
      <c r="K5569" s="403">
        <f>J5569/POBLA!$B$24*100000</f>
        <v>73.769712386635234</v>
      </c>
      <c r="L5569" s="550">
        <f t="shared" si="741"/>
        <v>9.1560261600747483E-2</v>
      </c>
      <c r="M5569" s="405">
        <f>SUM(C5569,C5545,C5521,C5497,C5473,C5449,C5425)/POBLA!$B$24*100000</f>
        <v>516.38798670644655</v>
      </c>
    </row>
    <row r="5570" spans="1:13" s="360" customFormat="1" x14ac:dyDescent="0.25">
      <c r="A5570" s="363" t="s">
        <v>16</v>
      </c>
      <c r="B5570" s="265">
        <v>44125</v>
      </c>
      <c r="C5570" s="43">
        <v>5179</v>
      </c>
      <c r="D5570" s="262">
        <f t="shared" si="742"/>
        <v>512590</v>
      </c>
      <c r="E5570" s="43">
        <f>52+54</f>
        <v>106</v>
      </c>
      <c r="F5570" s="475">
        <f t="shared" si="737"/>
        <v>16281</v>
      </c>
      <c r="G5570" s="175">
        <f>SUM(C5570,C5546,C5522,C5498,C5474,C5450,C5426,C5402,C5378,C5354,C5330,C5306,C5282,C5258)/POBLA!$B$1*100000</f>
        <v>349.48695754740243</v>
      </c>
      <c r="H5570" s="300">
        <f t="shared" si="740"/>
        <v>0.89399617925422548</v>
      </c>
      <c r="I5570" s="301">
        <f>G5570*H5570</f>
        <v>312.44000474656144</v>
      </c>
      <c r="J5570" s="301">
        <f>AVERAGE(C5570,C5546,C5522,C5498,C5474,C5450,C5426)</f>
        <v>4589</v>
      </c>
      <c r="K5570" s="301">
        <f>J5570/POBLA!$B$1*100000</f>
        <v>26.161354041906392</v>
      </c>
      <c r="L5570" s="548">
        <f t="shared" si="741"/>
        <v>-0.10081902607861282</v>
      </c>
      <c r="M5570" s="400">
        <f>SUM(C5570,C5546,C5522,C5498,C5474,C5450,C5426)/POBLA!$B$1*100000</f>
        <v>183.12947829334476</v>
      </c>
    </row>
    <row r="5571" spans="1:13" s="360" customFormat="1" x14ac:dyDescent="0.25">
      <c r="A5571" s="367" t="s">
        <v>43</v>
      </c>
      <c r="B5571" s="2">
        <v>44125</v>
      </c>
      <c r="C5571" s="1">
        <v>740</v>
      </c>
      <c r="D5571" s="39">
        <f t="shared" si="742"/>
        <v>141930</v>
      </c>
      <c r="E5571" s="1">
        <f>30+22</f>
        <v>52</v>
      </c>
      <c r="F5571" s="409">
        <f t="shared" si="737"/>
        <v>4333</v>
      </c>
      <c r="G5571" s="168">
        <f>SUM(C5571,C5547,C5523,C5499,C5475,C5451,C5427,C5403,C5379,C5355,C5331,C5307,C5283,C5259)/POBLA!$B$2*100000</f>
        <v>329.45924205841635</v>
      </c>
      <c r="H5571" s="256">
        <f t="shared" si="740"/>
        <v>0.84519142547335058</v>
      </c>
      <c r="I5571" s="297">
        <f t="shared" ref="I5571:I5593" si="743">G5571*H5571</f>
        <v>278.45612643072258</v>
      </c>
      <c r="J5571" s="297">
        <f t="shared" ref="J5571:J5593" si="744">AVERAGE(C5571,C5547,C5523,C5499,C5475,C5451,C5427)</f>
        <v>695.57142857142856</v>
      </c>
      <c r="K5571" s="297">
        <f>J5571/POBLA!$B$2*100000</f>
        <v>22.615457974403704</v>
      </c>
      <c r="L5571" s="549">
        <f t="shared" si="741"/>
        <v>7.5037993920972657E-2</v>
      </c>
      <c r="M5571" s="401">
        <f>SUM(C5571,C5547,C5523,C5499,C5475,C5451,C5427)/POBLA!$B$2*100000</f>
        <v>158.30820582082595</v>
      </c>
    </row>
    <row r="5572" spans="1:13" s="360" customFormat="1" x14ac:dyDescent="0.25">
      <c r="A5572" s="367" t="s">
        <v>28</v>
      </c>
      <c r="B5572" s="2">
        <v>44125</v>
      </c>
      <c r="C5572" s="1">
        <v>25</v>
      </c>
      <c r="D5572" s="39">
        <f t="shared" si="742"/>
        <v>525</v>
      </c>
      <c r="E5572" s="1"/>
      <c r="F5572" s="409">
        <f t="shared" si="737"/>
        <v>0</v>
      </c>
      <c r="G5572" s="168">
        <f>SUM(C5572,C5548,C5524,C5500,C5476,C5452,C5428,C5404,C5380,C5356,C5332,C5308,C5284,C5260)/POBLA!$B$3*100000</f>
        <v>45.734862963907972</v>
      </c>
      <c r="H5572" s="256">
        <f t="shared" si="740"/>
        <v>1.3380281690140845</v>
      </c>
      <c r="I5572" s="297">
        <f t="shared" si="743"/>
        <v>61.194534951707851</v>
      </c>
      <c r="J5572" s="297">
        <f t="shared" si="744"/>
        <v>17.714285714285715</v>
      </c>
      <c r="K5572" s="297">
        <f>J5572/POBLA!$B$3*100000</f>
        <v>4.2640022612966835</v>
      </c>
      <c r="L5572" s="549">
        <f t="shared" si="741"/>
        <v>-0.8787878787878789</v>
      </c>
      <c r="M5572" s="401">
        <f>SUM(C5572,C5548,C5524,C5500,C5476,C5452,C5428)/POBLA!$B$3*100000</f>
        <v>29.848015829076783</v>
      </c>
    </row>
    <row r="5573" spans="1:13" s="360" customFormat="1" x14ac:dyDescent="0.25">
      <c r="A5573" s="367" t="s">
        <v>15</v>
      </c>
      <c r="B5573" s="2">
        <v>44125</v>
      </c>
      <c r="C5573" s="1">
        <v>255</v>
      </c>
      <c r="D5573" s="39">
        <f t="shared" si="742"/>
        <v>12296</v>
      </c>
      <c r="E5573" s="1">
        <f>2+2</f>
        <v>4</v>
      </c>
      <c r="F5573" s="409">
        <f t="shared" si="737"/>
        <v>382</v>
      </c>
      <c r="G5573" s="168">
        <f>SUM(C5573,C5549,C5525,C5501,C5477,C5453,C5429,C5405,C5381,C5357,C5333,C5309,C5285,C5261)/POBLA!$B$4*100000</f>
        <v>216.09891236578912</v>
      </c>
      <c r="H5573" s="256">
        <f t="shared" si="740"/>
        <v>1.2797443461160276</v>
      </c>
      <c r="I5573" s="297">
        <f t="shared" si="743"/>
        <v>276.55136130194154</v>
      </c>
      <c r="J5573" s="297">
        <f t="shared" si="744"/>
        <v>203.71428571428572</v>
      </c>
      <c r="K5573" s="297">
        <f>J5573/POBLA!$B$4*100000</f>
        <v>16.91219192325423</v>
      </c>
      <c r="L5573" s="549">
        <f t="shared" si="741"/>
        <v>-0.21155480033984708</v>
      </c>
      <c r="M5573" s="401">
        <f>SUM(C5573,C5549,C5525,C5501,C5477,C5453,C5429)/POBLA!$B$4*100000</f>
        <v>118.38534346277959</v>
      </c>
    </row>
    <row r="5574" spans="1:13" s="360" customFormat="1" x14ac:dyDescent="0.25">
      <c r="A5574" s="367" t="s">
        <v>29</v>
      </c>
      <c r="B5574" s="2">
        <v>44125</v>
      </c>
      <c r="C5574" s="1">
        <v>531</v>
      </c>
      <c r="D5574" s="39">
        <f t="shared" si="742"/>
        <v>10258</v>
      </c>
      <c r="E5574" s="1">
        <f>2</f>
        <v>2</v>
      </c>
      <c r="F5574" s="409">
        <f t="shared" si="737"/>
        <v>194</v>
      </c>
      <c r="G5574" s="168">
        <f>SUM(C5574,C5550,C5526,C5502,C5478,C5454,C5430,C5406,C5382,C5358,C5334,C5310,C5286,C5262)/POBLA!$B$5*100000</f>
        <v>748.63407399748633</v>
      </c>
      <c r="H5574" s="256">
        <f t="shared" si="740"/>
        <v>1.6168876482903001</v>
      </c>
      <c r="I5574" s="297">
        <f t="shared" si="743"/>
        <v>1210.4571873357822</v>
      </c>
      <c r="J5574" s="297">
        <f t="shared" si="744"/>
        <v>319.14285714285717</v>
      </c>
      <c r="K5574" s="297">
        <f>J5574/POBLA!$B$5*100000</f>
        <v>51.55831189686122</v>
      </c>
      <c r="L5574" s="549">
        <f t="shared" si="741"/>
        <v>6.916666666666671E-2</v>
      </c>
      <c r="M5574" s="401">
        <f>SUM(C5574,C5550,C5526,C5502,C5478,C5454,C5430)/POBLA!$B$5*100000</f>
        <v>360.90818327802856</v>
      </c>
    </row>
    <row r="5575" spans="1:13" s="360" customFormat="1" x14ac:dyDescent="0.25">
      <c r="A5575" s="367" t="s">
        <v>20</v>
      </c>
      <c r="B5575" s="2">
        <v>44125</v>
      </c>
      <c r="C5575" s="1">
        <v>2480</v>
      </c>
      <c r="D5575" s="39">
        <f t="shared" si="742"/>
        <v>68767</v>
      </c>
      <c r="E5575" s="1">
        <f>29+26</f>
        <v>55</v>
      </c>
      <c r="F5575" s="409">
        <f t="shared" si="737"/>
        <v>978</v>
      </c>
      <c r="G5575" s="168">
        <f>SUM(C5575,C5551,C5527,C5503,C5479,C5455,C5431,C5407,C5383,C5359,C5335,C5311,C5287,C5263)/POBLA!$B$6*100000</f>
        <v>2125.7118792720566</v>
      </c>
      <c r="H5575" s="256">
        <f t="shared" si="740"/>
        <v>1.0647092997273986</v>
      </c>
      <c r="I5575" s="297">
        <f t="shared" si="743"/>
        <v>2263.265206401964</v>
      </c>
      <c r="J5575" s="297">
        <f t="shared" si="744"/>
        <v>1866.5714285714287</v>
      </c>
      <c r="K5575" s="297">
        <f>J5575/POBLA!$B$6*100000</f>
        <v>166.53905809964738</v>
      </c>
      <c r="L5575" s="549">
        <f t="shared" si="741"/>
        <v>-0.21442513244725347</v>
      </c>
      <c r="M5575" s="401">
        <f>SUM(C5575,C5551,C5527,C5503,C5479,C5455,C5431)/POBLA!$B$6*100000</f>
        <v>1165.7734066975315</v>
      </c>
    </row>
    <row r="5576" spans="1:13" s="360" customFormat="1" x14ac:dyDescent="0.25">
      <c r="A5576" s="367" t="s">
        <v>30</v>
      </c>
      <c r="B5576" s="2">
        <v>44125</v>
      </c>
      <c r="C5576" s="1">
        <v>20</v>
      </c>
      <c r="D5576" s="39">
        <f t="shared" si="742"/>
        <v>2154</v>
      </c>
      <c r="E5576" s="1"/>
      <c r="F5576" s="409">
        <f t="shared" si="737"/>
        <v>36</v>
      </c>
      <c r="G5576" s="168">
        <f>SUM(C5576,C5552,C5528,C5504,C5480,C5456,C5432,C5408,C5384,C5360,C5336,C5312,C5288,C5264)/POBLA!$B$7*100000</f>
        <v>21.087901713890627</v>
      </c>
      <c r="H5576" s="256">
        <f t="shared" si="740"/>
        <v>2.2853025936599423</v>
      </c>
      <c r="I5576" s="297">
        <f t="shared" si="743"/>
        <v>48.19223648160019</v>
      </c>
      <c r="J5576" s="297">
        <f t="shared" si="744"/>
        <v>50.285714285714285</v>
      </c>
      <c r="K5576" s="297">
        <f>J5576/POBLA!$B$7*100000</f>
        <v>1.337225977893983</v>
      </c>
      <c r="L5576" s="549">
        <f t="shared" si="741"/>
        <v>0.20181405895691606</v>
      </c>
      <c r="M5576" s="401">
        <f>SUM(C5576,C5552,C5528,C5504,C5480,C5456,C5432)/POBLA!$B$7*100000</f>
        <v>9.3605818452578813</v>
      </c>
    </row>
    <row r="5577" spans="1:13" x14ac:dyDescent="0.25">
      <c r="A5577" s="367" t="s">
        <v>31</v>
      </c>
      <c r="B5577" s="2">
        <v>44125</v>
      </c>
      <c r="C5577" s="1">
        <v>467</v>
      </c>
      <c r="D5577" s="39">
        <f t="shared" si="742"/>
        <v>12561</v>
      </c>
      <c r="E5577" s="1">
        <f>1+2</f>
        <v>3</v>
      </c>
      <c r="F5577" s="409">
        <f t="shared" si="737"/>
        <v>218</v>
      </c>
      <c r="G5577" s="168">
        <f>SUM(C5577,C5553,C5529,C5505,C5481,C5457,C5433,C5409,C5385,C5361,C5337,C5313,C5289,C5265)/POBLA!$B$8*100000</f>
        <v>284.42358767670953</v>
      </c>
      <c r="H5577" s="256">
        <f t="shared" si="740"/>
        <v>1.8870272857826711</v>
      </c>
      <c r="I5577" s="297">
        <f t="shared" si="743"/>
        <v>536.71507066615072</v>
      </c>
      <c r="J5577" s="297">
        <f t="shared" si="744"/>
        <v>348.42857142857144</v>
      </c>
      <c r="K5577" s="297">
        <f>J5577/POBLA!$B$8*100000</f>
        <v>25.139853966206221</v>
      </c>
      <c r="L5577" s="549">
        <f t="shared" si="741"/>
        <v>-0.6227544910179641</v>
      </c>
      <c r="M5577" s="401">
        <f>SUM(C5577,C5553,C5529,C5505,C5481,C5457,C5433)/POBLA!$B$8*100000</f>
        <v>175.97897776344357</v>
      </c>
    </row>
    <row r="5578" spans="1:13" s="360" customFormat="1" x14ac:dyDescent="0.25">
      <c r="A5578" s="367" t="s">
        <v>41</v>
      </c>
      <c r="B5578" s="2">
        <v>44125</v>
      </c>
      <c r="C5578" s="1">
        <v>7</v>
      </c>
      <c r="D5578" s="39">
        <f t="shared" si="742"/>
        <v>147</v>
      </c>
      <c r="E5578" s="1"/>
      <c r="F5578" s="409">
        <f t="shared" si="737"/>
        <v>1</v>
      </c>
      <c r="G5578" s="168">
        <f>SUM(C5578,C5554,C5530,C5506,C5482,C5458,C5434,C5410,C5386,C5362,C5338,C5314,C5290,C5266)/POBLA!$B$9*100000</f>
        <v>6.9399348637542069</v>
      </c>
      <c r="H5578" s="256">
        <f t="shared" si="740"/>
        <v>14</v>
      </c>
      <c r="I5578" s="297">
        <f t="shared" si="743"/>
        <v>97.159088092558903</v>
      </c>
      <c r="J5578" s="297">
        <f t="shared" si="744"/>
        <v>1</v>
      </c>
      <c r="K5578" s="297">
        <f>J5578/POBLA!$B$9*100000</f>
        <v>0.16523654437510019</v>
      </c>
      <c r="L5578" s="549">
        <f t="shared" si="741"/>
        <v>0.8</v>
      </c>
      <c r="M5578" s="401">
        <f>SUM(C5578,C5554,C5530,C5506,C5482,C5458,C5434)/POBLA!$B$9*100000</f>
        <v>1.1566558106257012</v>
      </c>
    </row>
    <row r="5579" spans="1:13" s="360" customFormat="1" x14ac:dyDescent="0.25">
      <c r="A5579" s="367" t="s">
        <v>32</v>
      </c>
      <c r="B5579" s="2">
        <v>44125</v>
      </c>
      <c r="C5579" s="1">
        <v>68</v>
      </c>
      <c r="D5579" s="39">
        <f t="shared" si="742"/>
        <v>17412</v>
      </c>
      <c r="E5579" s="1">
        <f>2+1</f>
        <v>3</v>
      </c>
      <c r="F5579" s="409">
        <f t="shared" si="737"/>
        <v>741</v>
      </c>
      <c r="G5579" s="168">
        <f>SUM(C5579,C5555,C5531,C5507,C5483,C5459,C5435,C5411,C5387,C5363,C5339,C5315,C5291,C5267)/POBLA!$B$10*100000</f>
        <v>137.11584537691292</v>
      </c>
      <c r="H5579" s="256">
        <f t="shared" si="740"/>
        <v>0.59549295774647892</v>
      </c>
      <c r="I5579" s="297">
        <f t="shared" si="743"/>
        <v>81.651520317406735</v>
      </c>
      <c r="J5579" s="297">
        <f t="shared" si="744"/>
        <v>66.714285714285708</v>
      </c>
      <c r="K5579" s="297">
        <f>J5579/POBLA!$B$10*100000</f>
        <v>8.654291092177095</v>
      </c>
      <c r="L5579" s="549">
        <f t="shared" si="741"/>
        <v>0.20847457627118648</v>
      </c>
      <c r="M5579" s="401">
        <f>SUM(C5579,C5555,C5531,C5507,C5483,C5459,C5435)/POBLA!$B$10*100000</f>
        <v>60.58003764523967</v>
      </c>
    </row>
    <row r="5580" spans="1:13" s="360" customFormat="1" x14ac:dyDescent="0.25">
      <c r="A5580" s="367" t="s">
        <v>33</v>
      </c>
      <c r="B5580" s="2">
        <v>44125</v>
      </c>
      <c r="C5580" s="1">
        <v>161</v>
      </c>
      <c r="D5580" s="39">
        <f t="shared" si="742"/>
        <v>1969</v>
      </c>
      <c r="E5580" s="1">
        <f>2</f>
        <v>2</v>
      </c>
      <c r="F5580" s="409">
        <f t="shared" si="737"/>
        <v>20</v>
      </c>
      <c r="G5580" s="168">
        <f>SUM(C5580,C5556,C5532,C5508,C5484,C5460,C5436,C5412,C5388,C5364,C5340,C5316,C5292,C5268)/POBLA!$B$11*100000</f>
        <v>289.876906938074</v>
      </c>
      <c r="H5580" s="256">
        <f t="shared" si="740"/>
        <v>3.3843648208469057</v>
      </c>
      <c r="I5580" s="297">
        <f t="shared" si="743"/>
        <v>981.04920621712995</v>
      </c>
      <c r="J5580" s="297">
        <f t="shared" si="744"/>
        <v>99.571428571428569</v>
      </c>
      <c r="K5580" s="297">
        <f>J5580/POBLA!$B$11*100000</f>
        <v>27.780036317315769</v>
      </c>
      <c r="L5580" s="549">
        <f t="shared" si="741"/>
        <v>-1.0380116959064329</v>
      </c>
      <c r="M5580" s="401">
        <f>SUM(C5580,C5556,C5532,C5508,C5484,C5460,C5436)/POBLA!$B$11*100000</f>
        <v>194.46025422121039</v>
      </c>
    </row>
    <row r="5581" spans="1:13" s="360" customFormat="1" x14ac:dyDescent="0.25">
      <c r="A5581" s="367" t="s">
        <v>21</v>
      </c>
      <c r="B5581" s="2">
        <v>44125</v>
      </c>
      <c r="C5581" s="1">
        <v>134</v>
      </c>
      <c r="D5581" s="39">
        <f t="shared" si="742"/>
        <v>6799</v>
      </c>
      <c r="E5581" s="1">
        <f>6</f>
        <v>6</v>
      </c>
      <c r="F5581" s="409">
        <f t="shared" si="737"/>
        <v>234</v>
      </c>
      <c r="G5581" s="168">
        <f>SUM(C5581,C5557,C5533,C5509,C5485,C5461,C5437,C5413,C5389,C5365,C5341,C5317,C5293,C5269)/POBLA!$B$12*100000</f>
        <v>347.87602501454779</v>
      </c>
      <c r="H5581" s="256">
        <f t="shared" si="740"/>
        <v>1.1781411359724612</v>
      </c>
      <c r="I5581" s="297">
        <f t="shared" si="743"/>
        <v>409.84705528822366</v>
      </c>
      <c r="J5581" s="297">
        <f t="shared" si="744"/>
        <v>97.285714285714292</v>
      </c>
      <c r="K5581" s="297">
        <f>J5581/POBLA!$B$12*100000</f>
        <v>24.721232707388818</v>
      </c>
      <c r="L5581" s="549">
        <f t="shared" si="741"/>
        <v>1.0174418604651181E-2</v>
      </c>
      <c r="M5581" s="401">
        <f>SUM(C5581,C5557,C5533,C5509,C5485,C5461,C5437)/POBLA!$B$12*100000</f>
        <v>173.04862895172172</v>
      </c>
    </row>
    <row r="5582" spans="1:13" s="360" customFormat="1" x14ac:dyDescent="0.25">
      <c r="A5582" s="367" t="s">
        <v>17</v>
      </c>
      <c r="B5582" s="2">
        <v>44125</v>
      </c>
      <c r="C5582" s="1">
        <v>1155</v>
      </c>
      <c r="D5582" s="39">
        <f t="shared" si="742"/>
        <v>39969</v>
      </c>
      <c r="E5582" s="1">
        <f>14+7</f>
        <v>21</v>
      </c>
      <c r="F5582" s="409">
        <f t="shared" si="737"/>
        <v>655</v>
      </c>
      <c r="G5582" s="168">
        <f>SUM(C5582,C5558,C5534,C5510,C5486,C5462,C5438,C5414,C5390,C5366,C5342,C5318,C5294,C5270)/POBLA!$B$13*100000</f>
        <v>534.23086932973195</v>
      </c>
      <c r="H5582" s="256">
        <f t="shared" si="740"/>
        <v>1.1903056084182246</v>
      </c>
      <c r="I5582" s="297">
        <f t="shared" si="743"/>
        <v>635.89799995332362</v>
      </c>
      <c r="J5582" s="297">
        <f t="shared" si="744"/>
        <v>856</v>
      </c>
      <c r="K5582" s="297">
        <f>J5582/POBLA!$B$13*100000</f>
        <v>43.007770539476212</v>
      </c>
      <c r="L5582" s="549">
        <f t="shared" si="741"/>
        <v>-0.29110105580693824</v>
      </c>
      <c r="M5582" s="401">
        <f>SUM(C5582,C5558,C5534,C5510,C5486,C5462,C5438)/POBLA!$B$13*100000</f>
        <v>301.05439377633343</v>
      </c>
    </row>
    <row r="5583" spans="1:13" s="360" customFormat="1" x14ac:dyDescent="0.25">
      <c r="A5583" s="367" t="s">
        <v>23</v>
      </c>
      <c r="B5583" s="2">
        <v>44125</v>
      </c>
      <c r="C5583" s="1">
        <v>3</v>
      </c>
      <c r="D5583" s="39">
        <f t="shared" si="742"/>
        <v>198</v>
      </c>
      <c r="E5583" s="1"/>
      <c r="F5583" s="409">
        <f t="shared" si="737"/>
        <v>4</v>
      </c>
      <c r="G5583" s="168">
        <f>SUM(C5583,C5559,C5535,C5511,C5487,C5463,C5439,C5415,C5391,C5367,C5343,C5319,C5295,C5271)/POBLA!$B$14*100000</f>
        <v>5.7877069105220507</v>
      </c>
      <c r="H5583" s="256">
        <f t="shared" si="740"/>
        <v>1.6976744186046511</v>
      </c>
      <c r="I5583" s="297">
        <f t="shared" si="743"/>
        <v>9.8256419643746433</v>
      </c>
      <c r="J5583" s="297">
        <f t="shared" si="744"/>
        <v>1.2857142857142858</v>
      </c>
      <c r="K5583" s="297">
        <f>J5583/POBLA!$B$14*100000</f>
        <v>0.10193612953952733</v>
      </c>
      <c r="L5583" s="549">
        <f t="shared" si="741"/>
        <v>0.859375</v>
      </c>
      <c r="M5583" s="401">
        <f>SUM(C5583,C5559,C5535,C5511,C5487,C5463,C5439)/POBLA!$B$14*100000</f>
        <v>0.71355290677669125</v>
      </c>
    </row>
    <row r="5584" spans="1:13" s="360" customFormat="1" x14ac:dyDescent="0.25">
      <c r="A5584" s="367" t="s">
        <v>19</v>
      </c>
      <c r="B5584" s="2">
        <v>44125</v>
      </c>
      <c r="C5584" s="1">
        <v>976</v>
      </c>
      <c r="D5584" s="39">
        <f t="shared" si="742"/>
        <v>17635</v>
      </c>
      <c r="E5584" s="1">
        <f>21+7</f>
        <v>28</v>
      </c>
      <c r="F5584" s="409">
        <f t="shared" si="737"/>
        <v>317</v>
      </c>
      <c r="G5584" s="168">
        <f>SUM(C5584,C5560,C5536,C5512,C5488,C5464,C5440,C5416,C5392,C5368,C5344,C5320,C5296,C5272)/POBLA!$B$15*100000</f>
        <v>1045.8439561664134</v>
      </c>
      <c r="H5584" s="256">
        <f t="shared" si="740"/>
        <v>1.7051313528111958</v>
      </c>
      <c r="I5584" s="297">
        <f t="shared" si="743"/>
        <v>1783.3013198074493</v>
      </c>
      <c r="J5584" s="297">
        <f t="shared" si="744"/>
        <v>664.42857142857144</v>
      </c>
      <c r="K5584" s="297">
        <f>J5584/POBLA!$B$15*100000</f>
        <v>100.05595474915127</v>
      </c>
      <c r="L5584" s="549">
        <f t="shared" si="741"/>
        <v>-1.0274629468177854</v>
      </c>
      <c r="M5584" s="401">
        <f>SUM(C5584,C5560,C5536,C5512,C5488,C5464,C5440)/POBLA!$B$15*100000</f>
        <v>700.39168324405887</v>
      </c>
    </row>
    <row r="5585" spans="1:13" s="360" customFormat="1" x14ac:dyDescent="0.25">
      <c r="A5585" s="367" t="s">
        <v>18</v>
      </c>
      <c r="B5585" s="2">
        <v>44125</v>
      </c>
      <c r="C5585" s="1">
        <v>536</v>
      </c>
      <c r="D5585" s="39">
        <f t="shared" si="742"/>
        <v>20327</v>
      </c>
      <c r="E5585" s="1">
        <f>7+5</f>
        <v>12</v>
      </c>
      <c r="F5585" s="409">
        <f t="shared" si="737"/>
        <v>519</v>
      </c>
      <c r="G5585" s="168">
        <f>SUM(C5585,C5561,C5537,C5513,C5489,C5465,C5441,C5417,C5393,C5369,C5345,C5321,C5297,C5273)/POBLA!$B$16*100000</f>
        <v>713.74112170784235</v>
      </c>
      <c r="H5585" s="256">
        <f t="shared" si="740"/>
        <v>1.3373433583959899</v>
      </c>
      <c r="I5585" s="297">
        <f t="shared" si="743"/>
        <v>954.51694873008694</v>
      </c>
      <c r="J5585" s="297">
        <f t="shared" si="744"/>
        <v>404.85714285714283</v>
      </c>
      <c r="K5585" s="297">
        <f>J5585/POBLA!$B$16*100000</f>
        <v>54.153521603127672</v>
      </c>
      <c r="L5585" s="549">
        <f t="shared" si="741"/>
        <v>-0.13269384492406067</v>
      </c>
      <c r="M5585" s="401">
        <f>SUM(C5585,C5561,C5537,C5513,C5489,C5465,C5441)/POBLA!$B$16*100000</f>
        <v>379.07465122189376</v>
      </c>
    </row>
    <row r="5586" spans="1:13" s="360" customFormat="1" x14ac:dyDescent="0.25">
      <c r="A5586" s="367" t="s">
        <v>34</v>
      </c>
      <c r="B5586" s="2">
        <v>44125</v>
      </c>
      <c r="C5586" s="1">
        <v>254</v>
      </c>
      <c r="D5586" s="39">
        <f t="shared" si="742"/>
        <v>17167</v>
      </c>
      <c r="E5586" s="1">
        <v>11</v>
      </c>
      <c r="F5586" s="409">
        <f t="shared" si="737"/>
        <v>649</v>
      </c>
      <c r="G5586" s="168">
        <f>SUM(C5586,C5562,C5538,C5514,C5490,C5466,C5442,C5418,C5394,C5370,C5346,C5322,C5298,C5274)/POBLA!$B$17*100000</f>
        <v>204.71820707288771</v>
      </c>
      <c r="H5586" s="256">
        <f t="shared" si="740"/>
        <v>0.71928959052787367</v>
      </c>
      <c r="I5586" s="297">
        <f t="shared" si="743"/>
        <v>147.25167533905784</v>
      </c>
      <c r="J5586" s="297">
        <f t="shared" si="744"/>
        <v>201.85714285714286</v>
      </c>
      <c r="K5586" s="297">
        <f>J5586/POBLA!$B$17*100000</f>
        <v>14.171410277973266</v>
      </c>
      <c r="L5586" s="549">
        <f t="shared" si="741"/>
        <v>5.9880239520958112E-2</v>
      </c>
      <c r="M5586" s="401">
        <f>SUM(C5586,C5562,C5538,C5514,C5490,C5466,C5442)/POBLA!$B$17*100000</f>
        <v>99.199871945812845</v>
      </c>
    </row>
    <row r="5587" spans="1:13" s="360" customFormat="1" x14ac:dyDescent="0.25">
      <c r="A5587" s="367" t="s">
        <v>35</v>
      </c>
      <c r="B5587" s="2">
        <v>44125</v>
      </c>
      <c r="C5587" s="1">
        <v>8</v>
      </c>
      <c r="D5587" s="39">
        <f t="shared" si="742"/>
        <v>1315</v>
      </c>
      <c r="E5587" s="1"/>
      <c r="F5587" s="409">
        <f t="shared" si="737"/>
        <v>76</v>
      </c>
      <c r="G5587" s="168">
        <f>SUM(C5587,C5563,C5539,C5515,C5491,C5467,C5443,C5419,C5395,C5371,C5347,C5323,C5299,C5275)/POBLA!$B$18*100000</f>
        <v>41.217741037381423</v>
      </c>
      <c r="H5587" s="256">
        <f t="shared" si="740"/>
        <v>0.70459518599562365</v>
      </c>
      <c r="I5587" s="297">
        <f t="shared" si="743"/>
        <v>29.041821912553214</v>
      </c>
      <c r="J5587" s="297">
        <f t="shared" si="744"/>
        <v>6</v>
      </c>
      <c r="K5587" s="297">
        <f>J5587/POBLA!$B$18*100000</f>
        <v>0.76803244169033691</v>
      </c>
      <c r="L5587" s="549">
        <f t="shared" si="741"/>
        <v>0.85</v>
      </c>
      <c r="M5587" s="401">
        <f>SUM(C5587,C5563,C5539,C5515,C5491,C5467,C5443)/POBLA!$B$18*100000</f>
        <v>5.3762270918323587</v>
      </c>
    </row>
    <row r="5588" spans="1:13" s="360" customFormat="1" x14ac:dyDescent="0.25">
      <c r="A5588" s="367" t="s">
        <v>36</v>
      </c>
      <c r="B5588" s="2">
        <v>44125</v>
      </c>
      <c r="C5588" s="1">
        <v>507</v>
      </c>
      <c r="D5588" s="39">
        <f t="shared" si="742"/>
        <v>4377</v>
      </c>
      <c r="E5588" s="1"/>
      <c r="F5588" s="409">
        <f t="shared" si="737"/>
        <v>51</v>
      </c>
      <c r="G5588" s="168">
        <f>SUM(C5588,C5564,C5540,C5516,C5492,C5468,C5444,C5420,C5396,C5372,C5348,C5324,C5300,C5276)/POBLA!$B$19*100000</f>
        <v>469.5786972191184</v>
      </c>
      <c r="H5588" s="256">
        <f t="shared" si="740"/>
        <v>2.230841121495327</v>
      </c>
      <c r="I5588" s="297">
        <f t="shared" si="743"/>
        <v>1047.5554675346127</v>
      </c>
      <c r="J5588" s="297">
        <f t="shared" si="744"/>
        <v>258.57142857142856</v>
      </c>
      <c r="K5588" s="297">
        <f>J5588/POBLA!$B$19*100000</f>
        <v>50.867044225663065</v>
      </c>
      <c r="L5588" s="549">
        <f t="shared" si="741"/>
        <v>-2.1369150779896016</v>
      </c>
      <c r="M5588" s="401">
        <f>SUM(C5588,C5564,C5540,C5516,C5492,C5468,C5444)/POBLA!$B$19*100000</f>
        <v>356.06930957964147</v>
      </c>
    </row>
    <row r="5589" spans="1:13" s="360" customFormat="1" x14ac:dyDescent="0.25">
      <c r="A5589" s="367" t="s">
        <v>37</v>
      </c>
      <c r="B5589" s="2">
        <v>44125</v>
      </c>
      <c r="C5589" s="1">
        <v>197</v>
      </c>
      <c r="D5589" s="39">
        <f t="shared" si="742"/>
        <v>7760</v>
      </c>
      <c r="E5589" s="1">
        <f>1</f>
        <v>1</v>
      </c>
      <c r="F5589" s="409">
        <f t="shared" si="737"/>
        <v>103</v>
      </c>
      <c r="G5589" s="168">
        <f>SUM(C5589,C5565,C5541,C5517,C5493,C5469,C5445,C5421,C5397,C5373,C5349,C5325,C5301,C5277)/POBLA!$B$20*100000</f>
        <v>541.43036057074414</v>
      </c>
      <c r="H5589" s="256">
        <f t="shared" si="740"/>
        <v>1.1314285714285715</v>
      </c>
      <c r="I5589" s="297">
        <f t="shared" si="743"/>
        <v>612.58977938861335</v>
      </c>
      <c r="J5589" s="297">
        <f t="shared" si="744"/>
        <v>150.14285714285714</v>
      </c>
      <c r="K5589" s="297">
        <f>J5589/POBLA!$B$20*100000</f>
        <v>41.056515797969126</v>
      </c>
      <c r="L5589" s="549">
        <f t="shared" si="741"/>
        <v>-0.13132400430570512</v>
      </c>
      <c r="M5589" s="401">
        <f>SUM(C5589,C5565,C5541,C5517,C5493,C5469,C5445)/POBLA!$B$20*100000</f>
        <v>287.39561058578391</v>
      </c>
    </row>
    <row r="5590" spans="1:13" s="360" customFormat="1" x14ac:dyDescent="0.25">
      <c r="A5590" s="367" t="s">
        <v>22</v>
      </c>
      <c r="B5590" s="2">
        <v>44125</v>
      </c>
      <c r="C5590" s="1">
        <v>2673</v>
      </c>
      <c r="D5590" s="39">
        <f t="shared" si="742"/>
        <v>86122</v>
      </c>
      <c r="E5590" s="1">
        <f>29+23</f>
        <v>52</v>
      </c>
      <c r="F5590" s="409">
        <f t="shared" si="737"/>
        <v>969</v>
      </c>
      <c r="G5590" s="168">
        <f>SUM(C5590,C5566,C5542,C5518,C5494,C5470,C5446,C5422,C5398,C5374,C5350,C5326,C5302,C5278)/POBLA!$B$21*100000</f>
        <v>879.13815617950138</v>
      </c>
      <c r="H5590" s="256">
        <f t="shared" si="740"/>
        <v>1.287477223786649</v>
      </c>
      <c r="I5590" s="297">
        <f t="shared" si="743"/>
        <v>1131.8703526428978</v>
      </c>
      <c r="J5590" s="297">
        <f t="shared" si="744"/>
        <v>2393.2857142857142</v>
      </c>
      <c r="K5590" s="297">
        <f>J5590/POBLA!$B$21*100000</f>
        <v>67.675419429652109</v>
      </c>
      <c r="L5590" s="549">
        <f t="shared" si="741"/>
        <v>-0.16851503103857146</v>
      </c>
      <c r="M5590" s="401">
        <f>SUM(C5590,C5566,C5542,C5518,C5494,C5470,C5446)/POBLA!$B$21*100000</f>
        <v>473.72793600756467</v>
      </c>
    </row>
    <row r="5591" spans="1:13" s="360" customFormat="1" x14ac:dyDescent="0.25">
      <c r="A5591" s="367" t="s">
        <v>38</v>
      </c>
      <c r="B5591" s="2">
        <v>44125</v>
      </c>
      <c r="C5591" s="1">
        <v>185</v>
      </c>
      <c r="D5591" s="39">
        <f>C5591+D5567</f>
        <v>7249</v>
      </c>
      <c r="E5591" s="1">
        <f>1</f>
        <v>1</v>
      </c>
      <c r="F5591" s="409">
        <f t="shared" si="737"/>
        <v>104</v>
      </c>
      <c r="G5591" s="168">
        <f>SUM(C5591,C5567,C5543,C5519,C5495,C5471,C5447,C5423,C5399,C5375,C5351,C5327,C5303,C5279)/POBLA!$B$22*100000</f>
        <v>308.79687789081817</v>
      </c>
      <c r="H5591" s="256">
        <f t="shared" si="740"/>
        <v>1.8648148148148149</v>
      </c>
      <c r="I5591" s="297">
        <f t="shared" si="743"/>
        <v>575.84899265935906</v>
      </c>
      <c r="J5591" s="297">
        <f t="shared" si="744"/>
        <v>221.57142857142858</v>
      </c>
      <c r="K5591" s="297">
        <f>J5591/POBLA!$B$22*100000</f>
        <v>22.648316905880691</v>
      </c>
      <c r="L5591" s="549">
        <f t="shared" si="741"/>
        <v>-5.5102040816326525E-2</v>
      </c>
      <c r="M5591" s="401">
        <f>SUM(C5591,C5567,C5543,C5519,C5495,C5471,C5447)/POBLA!$B$22*100000</f>
        <v>158.53821834116485</v>
      </c>
    </row>
    <row r="5592" spans="1:13" s="360" customFormat="1" x14ac:dyDescent="0.25">
      <c r="A5592" s="367" t="s">
        <v>39</v>
      </c>
      <c r="B5592" s="2">
        <v>44125</v>
      </c>
      <c r="C5592" s="1">
        <v>205</v>
      </c>
      <c r="D5592" s="39">
        <f>C5592+D5568</f>
        <v>8886</v>
      </c>
      <c r="E5592" s="1">
        <f>4</f>
        <v>4</v>
      </c>
      <c r="F5592" s="409">
        <f t="shared" si="737"/>
        <v>107</v>
      </c>
      <c r="G5592" s="168">
        <f>SUM(C5592,C5568,C5544,C5520,C5496,C5472,C5448,C5424,C5400,C5376,C5352,C5328,C5304,C5280)/POBLA!$B$23*100000</f>
        <v>1837.9234292823617</v>
      </c>
      <c r="H5592" s="256">
        <f t="shared" si="740"/>
        <v>1.4766015447523853</v>
      </c>
      <c r="I5592" s="297">
        <f t="shared" si="743"/>
        <v>2713.8805748149366</v>
      </c>
      <c r="J5592" s="297">
        <f t="shared" si="744"/>
        <v>242.42857142857142</v>
      </c>
      <c r="K5592" s="297">
        <f>J5592/POBLA!$B$23*100000</f>
        <v>137.09696964800736</v>
      </c>
      <c r="L5592" s="549">
        <f t="shared" si="741"/>
        <v>-9.2723760463618854E-2</v>
      </c>
      <c r="M5592" s="401">
        <f>SUM(C5592,C5568,C5544,C5520,C5496,C5472,C5448)/POBLA!$B$23*100000</f>
        <v>959.67878753605157</v>
      </c>
    </row>
    <row r="5593" spans="1:13" s="360" customFormat="1" ht="15.75" thickBot="1" x14ac:dyDescent="0.3">
      <c r="A5593" s="369" t="s">
        <v>40</v>
      </c>
      <c r="B5593" s="266">
        <v>44125</v>
      </c>
      <c r="C5593" s="44">
        <v>1560</v>
      </c>
      <c r="D5593" s="39">
        <f t="shared" ref="D5593:D5614" si="745">C5593+D5569</f>
        <v>39104</v>
      </c>
      <c r="E5593" s="44">
        <f>38+20</f>
        <v>58</v>
      </c>
      <c r="F5593" s="477">
        <f t="shared" si="737"/>
        <v>546</v>
      </c>
      <c r="G5593" s="177">
        <f>SUM(C5593,C5569,C5545,C5521,C5497,C5473,C5449,C5425,C5401,C5377,C5353,C5329,C5305,C5281)/POBLA!$B$24*100000</f>
        <v>1046.0530042675327</v>
      </c>
      <c r="H5593" s="402">
        <f t="shared" si="740"/>
        <v>1.7544536817102139</v>
      </c>
      <c r="I5593" s="403">
        <f t="shared" si="743"/>
        <v>1835.2515446012028</v>
      </c>
      <c r="J5593" s="403">
        <f t="shared" si="744"/>
        <v>1295.7142857142858</v>
      </c>
      <c r="K5593" s="403">
        <f>J5593/POBLA!$B$24*100000</f>
        <v>76.458838001003485</v>
      </c>
      <c r="L5593" s="550">
        <f t="shared" si="741"/>
        <v>-4.7707057872242054E-2</v>
      </c>
      <c r="M5593" s="405">
        <f>SUM(C5593,C5569,C5545,C5521,C5497,C5473,C5449)/POBLA!$B$24*100000</f>
        <v>535.21186600702447</v>
      </c>
    </row>
    <row r="5594" spans="1:13" s="360" customFormat="1" ht="15.75" thickBot="1" x14ac:dyDescent="0.3">
      <c r="A5594" s="363" t="s">
        <v>16</v>
      </c>
      <c r="B5594" s="265">
        <v>44126</v>
      </c>
      <c r="C5594" s="43">
        <v>4854</v>
      </c>
      <c r="D5594" s="262">
        <f t="shared" si="745"/>
        <v>517444</v>
      </c>
      <c r="E5594" s="43">
        <v>193</v>
      </c>
      <c r="F5594" s="475">
        <f t="shared" si="737"/>
        <v>16474</v>
      </c>
      <c r="G5594" s="175">
        <f>SUM(C5594,C5570,C5546,C5522,C5498,C5474,C5450,C5426,C5402,C5378,C5354,C5330,C5306,C5282)/POBLA!$B$1*100000</f>
        <v>347.60566601682297</v>
      </c>
      <c r="H5594" s="300">
        <f t="shared" ref="H5594:H5657" si="746">SUM(C5594,C5570,C5546,C5522,C5498,C5474,C5450,C5426,C5402,C5378,C5354,C5330,C5306,C5282)/SUM(C5258,C5234,C5210,C5186,C5162,C5138,C5114,C5090,C5066,C5042,C5018,C4994,C4970,C4946)</f>
        <v>0.90151548754343169</v>
      </c>
      <c r="I5594" s="301">
        <f>G5594*H5594</f>
        <v>313.37189147201542</v>
      </c>
      <c r="J5594" s="301">
        <f>AVERAGE(C5594,C5570,C5546,C5522,C5498,C5474,C5450)</f>
        <v>4460.1428571428569</v>
      </c>
      <c r="K5594" s="301">
        <f>J5594/POBLA!$B$1*100000</f>
        <v>25.426754491870611</v>
      </c>
      <c r="L5594" s="548">
        <f t="shared" ref="L5594:L5657" si="747">1-SUM(C5594,C5570,C5546,C5522,C5498,C5474,C5450)/SUM(C5426,C5402,C5378,C5354,C5330,C5306,C5282)</f>
        <v>-4.9339562397069159E-2</v>
      </c>
      <c r="M5594" s="400">
        <f>SUM(C5594,C5570,C5546,C5522,C5498,C5474,C5450)/POBLA!$B$1*100000</f>
        <v>177.98728144309428</v>
      </c>
    </row>
    <row r="5595" spans="1:13" s="360" customFormat="1" ht="15.75" thickBot="1" x14ac:dyDescent="0.3">
      <c r="A5595" s="367" t="s">
        <v>43</v>
      </c>
      <c r="B5595" s="265">
        <v>44126</v>
      </c>
      <c r="C5595" s="1">
        <v>566</v>
      </c>
      <c r="D5595" s="39">
        <f t="shared" si="745"/>
        <v>142496</v>
      </c>
      <c r="E5595" s="1">
        <f>31+21</f>
        <v>52</v>
      </c>
      <c r="F5595" s="409">
        <f t="shared" si="737"/>
        <v>4385</v>
      </c>
      <c r="G5595" s="168">
        <f>SUM(C5595,C5571,C5547,C5523,C5499,C5475,C5451,C5427,C5403,C5379,C5355,C5331,C5307,C5283)/POBLA!$B$2*100000</f>
        <v>317.39673551507553</v>
      </c>
      <c r="H5595" s="256">
        <f t="shared" si="746"/>
        <v>0.81916589745741375</v>
      </c>
      <c r="I5595" s="297">
        <f t="shared" ref="I5595:I5617" si="748">G5595*H5595</f>
        <v>260.00058169826025</v>
      </c>
      <c r="J5595" s="297">
        <f t="shared" ref="J5595:J5617" si="749">AVERAGE(C5595,C5571,C5547,C5523,C5499,C5475,C5451)</f>
        <v>657.85714285714289</v>
      </c>
      <c r="K5595" s="297">
        <f>J5595/POBLA!$B$2*100000</f>
        <v>21.389234744737948</v>
      </c>
      <c r="L5595" s="549">
        <f t="shared" si="747"/>
        <v>0.10703897614892377</v>
      </c>
      <c r="M5595" s="401">
        <f>SUM(C5595,C5571,C5547,C5523,C5499,C5475,C5451)/POBLA!$B$2*100000</f>
        <v>149.72464321316562</v>
      </c>
    </row>
    <row r="5596" spans="1:13" s="360" customFormat="1" ht="15.75" thickBot="1" x14ac:dyDescent="0.3">
      <c r="A5596" s="367" t="s">
        <v>28</v>
      </c>
      <c r="B5596" s="265">
        <v>44126</v>
      </c>
      <c r="C5596" s="1">
        <v>27</v>
      </c>
      <c r="D5596" s="39">
        <f t="shared" si="745"/>
        <v>552</v>
      </c>
      <c r="E5596" s="1"/>
      <c r="F5596" s="409">
        <f t="shared" si="737"/>
        <v>0</v>
      </c>
      <c r="G5596" s="168">
        <f>SUM(C5596,C5572,C5548,C5524,C5500,C5476,C5452,C5428,C5404,C5380,C5356,C5332,C5308,C5284)/POBLA!$B$3*100000</f>
        <v>47.901251209566773</v>
      </c>
      <c r="H5596" s="256">
        <f t="shared" si="746"/>
        <v>1.259493670886076</v>
      </c>
      <c r="I5596" s="297">
        <f t="shared" si="748"/>
        <v>60.331322725973344</v>
      </c>
      <c r="J5596" s="297">
        <f t="shared" si="749"/>
        <v>20.714285714285715</v>
      </c>
      <c r="K5596" s="297">
        <f>J5596/POBLA!$B$3*100000</f>
        <v>4.9861316765162833</v>
      </c>
      <c r="L5596" s="549">
        <f t="shared" si="747"/>
        <v>-1.6851851851851851</v>
      </c>
      <c r="M5596" s="401">
        <f>SUM(C5596,C5572,C5548,C5524,C5500,C5476,C5452)/POBLA!$B$3*100000</f>
        <v>34.90292173561398</v>
      </c>
    </row>
    <row r="5597" spans="1:13" s="360" customFormat="1" ht="15.75" thickBot="1" x14ac:dyDescent="0.3">
      <c r="A5597" s="367" t="s">
        <v>15</v>
      </c>
      <c r="B5597" s="265">
        <v>44126</v>
      </c>
      <c r="C5597" s="1">
        <v>254</v>
      </c>
      <c r="D5597" s="39">
        <f t="shared" si="745"/>
        <v>12550</v>
      </c>
      <c r="E5597" s="1">
        <f>5+2</f>
        <v>7</v>
      </c>
      <c r="F5597" s="409">
        <f t="shared" si="737"/>
        <v>389</v>
      </c>
      <c r="G5597" s="168">
        <f>SUM(C5597,C5573,C5549,C5525,C5501,C5477,C5453,C5429,C5405,C5381,C5357,C5333,C5309,C5285)/POBLA!$B$4*100000</f>
        <v>224.234791509795</v>
      </c>
      <c r="H5597" s="256">
        <f t="shared" si="746"/>
        <v>1.3098933074684771</v>
      </c>
      <c r="I5597" s="297">
        <f t="shared" si="748"/>
        <v>293.72365270026978</v>
      </c>
      <c r="J5597" s="297">
        <f t="shared" si="749"/>
        <v>211.85714285714286</v>
      </c>
      <c r="K5597" s="297">
        <f>J5597/POBLA!$B$4*100000</f>
        <v>17.588205204899033</v>
      </c>
      <c r="L5597" s="549">
        <f t="shared" si="747"/>
        <v>-0.21756978653530368</v>
      </c>
      <c r="M5597" s="401">
        <f>SUM(C5597,C5573,C5549,C5525,C5501,C5477,C5453)/POBLA!$B$4*100000</f>
        <v>123.11743643429324</v>
      </c>
    </row>
    <row r="5598" spans="1:13" s="360" customFormat="1" ht="15.75" thickBot="1" x14ac:dyDescent="0.3">
      <c r="A5598" s="367" t="s">
        <v>29</v>
      </c>
      <c r="B5598" s="265">
        <v>44126</v>
      </c>
      <c r="C5598" s="1">
        <v>670</v>
      </c>
      <c r="D5598" s="39">
        <f t="shared" si="745"/>
        <v>10928</v>
      </c>
      <c r="E5598" s="1">
        <f>2+2</f>
        <v>4</v>
      </c>
      <c r="F5598" s="409">
        <f t="shared" si="737"/>
        <v>198</v>
      </c>
      <c r="G5598" s="168">
        <f>SUM(C5598,C5574,C5550,C5526,C5502,C5478,C5454,C5430,C5406,C5382,C5358,C5334,C5310,C5286)/POBLA!$B$5*100000</f>
        <v>806.469852696472</v>
      </c>
      <c r="H5598" s="256">
        <f t="shared" si="746"/>
        <v>1.6551724137931034</v>
      </c>
      <c r="I5598" s="297">
        <f t="shared" si="748"/>
        <v>1334.846652738988</v>
      </c>
      <c r="J5598" s="297">
        <f t="shared" si="749"/>
        <v>379.85714285714283</v>
      </c>
      <c r="K5598" s="297">
        <f>J5598/POBLA!$B$5*100000</f>
        <v>61.366853775180829</v>
      </c>
      <c r="L5598" s="549">
        <f t="shared" si="747"/>
        <v>-0.13973424774967858</v>
      </c>
      <c r="M5598" s="401">
        <f>SUM(C5598,C5574,C5550,C5526,C5502,C5478,C5454)/POBLA!$B$5*100000</f>
        <v>429.56797642626583</v>
      </c>
    </row>
    <row r="5599" spans="1:13" s="360" customFormat="1" ht="15.75" thickBot="1" x14ac:dyDescent="0.3">
      <c r="A5599" s="367" t="s">
        <v>20</v>
      </c>
      <c r="B5599" s="265">
        <v>44126</v>
      </c>
      <c r="C5599" s="1">
        <v>1857</v>
      </c>
      <c r="D5599" s="39">
        <f t="shared" si="745"/>
        <v>70624</v>
      </c>
      <c r="E5599" s="1">
        <f>21+8</f>
        <v>29</v>
      </c>
      <c r="F5599" s="409">
        <f t="shared" si="737"/>
        <v>1007</v>
      </c>
      <c r="G5599" s="168">
        <f>SUM(C5599,C5575,C5551,C5527,C5503,C5479,C5455,C5431,C5407,C5383,C5359,C5335,C5311,C5287)/POBLA!$B$6*100000</f>
        <v>2104.9231754789657</v>
      </c>
      <c r="H5599" s="256">
        <f t="shared" si="746"/>
        <v>1.032879471126483</v>
      </c>
      <c r="I5599" s="297">
        <f t="shared" si="748"/>
        <v>2174.1319362505915</v>
      </c>
      <c r="J5599" s="297">
        <f t="shared" si="749"/>
        <v>1834.4285714285713</v>
      </c>
      <c r="K5599" s="297">
        <f>J5599/POBLA!$B$6*100000</f>
        <v>163.67121116313879</v>
      </c>
      <c r="L5599" s="549">
        <f t="shared" si="747"/>
        <v>-0.1944005208817785</v>
      </c>
      <c r="M5599" s="401">
        <f>SUM(C5599,C5575,C5551,C5527,C5503,C5479,C5455)/POBLA!$B$6*100000</f>
        <v>1145.6984781419717</v>
      </c>
    </row>
    <row r="5600" spans="1:13" s="360" customFormat="1" ht="15.75" thickBot="1" x14ac:dyDescent="0.3">
      <c r="A5600" s="367" t="s">
        <v>30</v>
      </c>
      <c r="B5600" s="265">
        <v>44126</v>
      </c>
      <c r="C5600" s="1">
        <v>34</v>
      </c>
      <c r="D5600" s="39">
        <f t="shared" si="745"/>
        <v>2188</v>
      </c>
      <c r="E5600" s="1"/>
      <c r="F5600" s="409">
        <f t="shared" si="737"/>
        <v>36</v>
      </c>
      <c r="G5600" s="168">
        <f>SUM(C5600,C5576,C5552,C5528,C5504,C5480,C5456,C5432,C5408,C5384,C5360,C5336,C5312,C5288)/POBLA!$B$7*100000</f>
        <v>20.635828158863966</v>
      </c>
      <c r="H5600" s="256">
        <f t="shared" si="746"/>
        <v>1.9303482587064678</v>
      </c>
      <c r="I5600" s="297">
        <f t="shared" si="748"/>
        <v>39.83433495342895</v>
      </c>
      <c r="J5600" s="297">
        <f t="shared" si="749"/>
        <v>44.857142857142854</v>
      </c>
      <c r="K5600" s="297">
        <f>J5600/POBLA!$B$7*100000</f>
        <v>1.1928663552804279</v>
      </c>
      <c r="L5600" s="549">
        <f t="shared" si="747"/>
        <v>0.32034632034632038</v>
      </c>
      <c r="M5600" s="401">
        <f>SUM(C5600,C5576,C5552,C5528,C5504,C5480,C5456)/POBLA!$B$7*100000</f>
        <v>8.3500644869629976</v>
      </c>
    </row>
    <row r="5601" spans="1:13" ht="15.75" thickBot="1" x14ac:dyDescent="0.3">
      <c r="A5601" s="367" t="s">
        <v>31</v>
      </c>
      <c r="B5601" s="265">
        <v>44126</v>
      </c>
      <c r="C5601" s="1">
        <v>393</v>
      </c>
      <c r="D5601" s="39">
        <f t="shared" si="745"/>
        <v>12954</v>
      </c>
      <c r="E5601" s="1">
        <f>2+2</f>
        <v>4</v>
      </c>
      <c r="F5601" s="409">
        <f t="shared" si="737"/>
        <v>222</v>
      </c>
      <c r="G5601" s="168">
        <f>SUM(C5601,C5577,C5553,C5529,C5505,C5481,C5457,C5433,C5409,C5385,C5361,C5337,C5313,C5289)/POBLA!$B$8*100000</f>
        <v>296.90590139260775</v>
      </c>
      <c r="H5601" s="256">
        <f t="shared" si="746"/>
        <v>1.8755697356426617</v>
      </c>
      <c r="I5601" s="297">
        <f t="shared" si="748"/>
        <v>556.86772298567951</v>
      </c>
      <c r="J5601" s="297">
        <f t="shared" si="749"/>
        <v>356.85714285714283</v>
      </c>
      <c r="K5601" s="297">
        <f>J5601/POBLA!$B$8*100000</f>
        <v>25.747993115040234</v>
      </c>
      <c r="L5601" s="549">
        <f t="shared" si="747"/>
        <v>-0.54483611626468775</v>
      </c>
      <c r="M5601" s="401">
        <f>SUM(C5601,C5577,C5553,C5529,C5505,C5481,C5457)/POBLA!$B$8*100000</f>
        <v>180.23595180528167</v>
      </c>
    </row>
    <row r="5602" spans="1:13" s="360" customFormat="1" ht="15.75" thickBot="1" x14ac:dyDescent="0.3">
      <c r="A5602" s="367" t="s">
        <v>41</v>
      </c>
      <c r="B5602" s="265">
        <v>44126</v>
      </c>
      <c r="C5602" s="1">
        <v>-7</v>
      </c>
      <c r="D5602" s="39">
        <f t="shared" si="745"/>
        <v>140</v>
      </c>
      <c r="E5602" s="1"/>
      <c r="F5602" s="409">
        <f t="shared" si="737"/>
        <v>1</v>
      </c>
      <c r="G5602" s="168">
        <f>SUM(C5602,C5578,C5554,C5530,C5506,C5482,C5458,C5434,C5410,C5386,C5362,C5338,C5314,C5290)/POBLA!$B$9*100000</f>
        <v>4.9570963312530054</v>
      </c>
      <c r="H5602" s="256">
        <f t="shared" si="746"/>
        <v>3.75</v>
      </c>
      <c r="I5602" s="297">
        <f t="shared" si="748"/>
        <v>18.589111242198769</v>
      </c>
      <c r="J5602" s="297">
        <f t="shared" si="749"/>
        <v>0.2857142857142857</v>
      </c>
      <c r="K5602" s="297">
        <f>J5602/POBLA!$B$9*100000</f>
        <v>4.7210441250028622E-2</v>
      </c>
      <c r="L5602" s="549">
        <f t="shared" si="747"/>
        <v>0.9285714285714286</v>
      </c>
      <c r="M5602" s="401">
        <f>SUM(C5602,C5578,C5554,C5530,C5506,C5482,C5458)/POBLA!$B$9*100000</f>
        <v>0.33047308875020037</v>
      </c>
    </row>
    <row r="5603" spans="1:13" s="360" customFormat="1" ht="15.75" thickBot="1" x14ac:dyDescent="0.3">
      <c r="A5603" s="367" t="s">
        <v>32</v>
      </c>
      <c r="B5603" s="265">
        <v>44126</v>
      </c>
      <c r="C5603" s="1">
        <v>59</v>
      </c>
      <c r="D5603" s="39">
        <f t="shared" si="745"/>
        <v>17471</v>
      </c>
      <c r="E5603" s="1">
        <f>5+1</f>
        <v>6</v>
      </c>
      <c r="F5603" s="409">
        <f t="shared" si="737"/>
        <v>747</v>
      </c>
      <c r="G5603" s="168">
        <f>SUM(C5603,C5579,C5555,C5531,C5507,C5483,C5459,C5435,C5411,C5387,C5363,C5339,C5315,C5291)/POBLA!$B$10*100000</f>
        <v>129.33254289572579</v>
      </c>
      <c r="H5603" s="256">
        <f t="shared" si="746"/>
        <v>0.59664871334530223</v>
      </c>
      <c r="I5603" s="297">
        <f t="shared" si="748"/>
        <v>77.166095312410903</v>
      </c>
      <c r="J5603" s="297">
        <f t="shared" si="749"/>
        <v>58</v>
      </c>
      <c r="K5603" s="297">
        <f>J5603/POBLA!$B$10*100000</f>
        <v>7.5238590651475388</v>
      </c>
      <c r="L5603" s="549">
        <f t="shared" si="747"/>
        <v>0.31302876480541453</v>
      </c>
      <c r="M5603" s="401">
        <f>SUM(C5603,C5579,C5555,C5531,C5507,C5483,C5459)/POBLA!$B$10*100000</f>
        <v>52.667013456032777</v>
      </c>
    </row>
    <row r="5604" spans="1:13" s="360" customFormat="1" ht="15.75" thickBot="1" x14ac:dyDescent="0.3">
      <c r="A5604" s="367" t="s">
        <v>33</v>
      </c>
      <c r="B5604" s="265">
        <v>44126</v>
      </c>
      <c r="C5604" s="1">
        <v>161</v>
      </c>
      <c r="D5604" s="39">
        <f t="shared" si="745"/>
        <v>2130</v>
      </c>
      <c r="E5604" s="1">
        <f>3</f>
        <v>3</v>
      </c>
      <c r="F5604" s="409">
        <f t="shared" si="737"/>
        <v>23</v>
      </c>
      <c r="G5604" s="168">
        <f>SUM(C5604,C5580,C5556,C5532,C5508,C5484,C5460,C5436,C5412,C5388,C5364,C5340,C5316,C5292)/POBLA!$B$11*100000</f>
        <v>328.0993672369346</v>
      </c>
      <c r="H5604" s="256">
        <f t="shared" si="746"/>
        <v>3.9595959595959598</v>
      </c>
      <c r="I5604" s="297">
        <f t="shared" si="748"/>
        <v>1299.1409288573573</v>
      </c>
      <c r="J5604" s="297">
        <f t="shared" si="749"/>
        <v>110.85714285714286</v>
      </c>
      <c r="K5604" s="297">
        <f>J5604/POBLA!$B$11*100000</f>
        <v>30.928706143812107</v>
      </c>
      <c r="L5604" s="549">
        <f t="shared" si="747"/>
        <v>-0.94</v>
      </c>
      <c r="M5604" s="401">
        <f>SUM(C5604,C5580,C5556,C5532,C5508,C5484,C5460)/POBLA!$B$11*100000</f>
        <v>216.50094300668474</v>
      </c>
    </row>
    <row r="5605" spans="1:13" s="360" customFormat="1" ht="15.75" thickBot="1" x14ac:dyDescent="0.3">
      <c r="A5605" s="367" t="s">
        <v>21</v>
      </c>
      <c r="B5605" s="265">
        <v>44126</v>
      </c>
      <c r="C5605" s="1">
        <v>62</v>
      </c>
      <c r="D5605" s="39">
        <f t="shared" si="745"/>
        <v>6861</v>
      </c>
      <c r="E5605" s="1"/>
      <c r="F5605" s="409">
        <f t="shared" si="737"/>
        <v>234</v>
      </c>
      <c r="G5605" s="168">
        <f>SUM(C5605,C5581,C5557,C5533,C5509,C5485,C5461,C5437,C5413,C5389,C5365,C5341,C5317,C5293)/POBLA!$B$12*100000</f>
        <v>333.8999977130137</v>
      </c>
      <c r="H5605" s="256">
        <f t="shared" si="746"/>
        <v>1.1145038167938932</v>
      </c>
      <c r="I5605" s="297">
        <f t="shared" si="748"/>
        <v>372.13282187862598</v>
      </c>
      <c r="J5605" s="297">
        <f t="shared" si="749"/>
        <v>90.857142857142861</v>
      </c>
      <c r="K5605" s="297">
        <f>J5605/POBLA!$B$12*100000</f>
        <v>23.08767107474198</v>
      </c>
      <c r="L5605" s="549">
        <f t="shared" si="747"/>
        <v>6.1946902654867242E-2</v>
      </c>
      <c r="M5605" s="401">
        <f>SUM(C5605,C5581,C5557,C5533,C5509,C5485,C5461)/POBLA!$B$12*100000</f>
        <v>161.61369752319385</v>
      </c>
    </row>
    <row r="5606" spans="1:13" s="360" customFormat="1" ht="15.75" thickBot="1" x14ac:dyDescent="0.3">
      <c r="A5606" s="367" t="s">
        <v>17</v>
      </c>
      <c r="B5606" s="265">
        <v>44126</v>
      </c>
      <c r="C5606" s="1">
        <v>936</v>
      </c>
      <c r="D5606" s="39">
        <f t="shared" si="745"/>
        <v>40905</v>
      </c>
      <c r="E5606" s="1">
        <f>11+6</f>
        <v>17</v>
      </c>
      <c r="F5606" s="409">
        <f t="shared" si="737"/>
        <v>672</v>
      </c>
      <c r="G5606" s="168">
        <f>SUM(C5606,C5582,C5558,C5534,C5510,C5486,C5462,C5438,C5414,C5390,C5366,C5342,C5318,C5294)/POBLA!$B$13*100000</f>
        <v>546.23888002942215</v>
      </c>
      <c r="H5606" s="256">
        <f t="shared" si="746"/>
        <v>1.2114998885669712</v>
      </c>
      <c r="I5606" s="297">
        <f t="shared" si="748"/>
        <v>661.76834228659209</v>
      </c>
      <c r="J5606" s="297">
        <f t="shared" si="749"/>
        <v>838.85714285714289</v>
      </c>
      <c r="K5606" s="297">
        <f>J5606/POBLA!$B$13*100000</f>
        <v>42.146466723598849</v>
      </c>
      <c r="L5606" s="549">
        <f t="shared" si="747"/>
        <v>-0.17440000000000011</v>
      </c>
      <c r="M5606" s="401">
        <f>SUM(C5606,C5582,C5558,C5534,C5510,C5486,C5462)/POBLA!$B$13*100000</f>
        <v>295.02526706519194</v>
      </c>
    </row>
    <row r="5607" spans="1:13" s="360" customFormat="1" ht="15.75" thickBot="1" x14ac:dyDescent="0.3">
      <c r="A5607" s="367" t="s">
        <v>23</v>
      </c>
      <c r="B5607" s="265">
        <v>44126</v>
      </c>
      <c r="C5607" s="1">
        <v>9</v>
      </c>
      <c r="D5607" s="39">
        <f t="shared" si="745"/>
        <v>207</v>
      </c>
      <c r="E5607" s="1"/>
      <c r="F5607" s="409">
        <f t="shared" si="737"/>
        <v>4</v>
      </c>
      <c r="G5607" s="168">
        <f>SUM(C5607,C5583,C5559,C5535,C5511,C5487,C5463,C5439,C5415,C5391,C5367,C5343,C5319,C5295)/POBLA!$B$14*100000</f>
        <v>5.3120049726709233</v>
      </c>
      <c r="H5607" s="256">
        <f t="shared" si="746"/>
        <v>1.2181818181818183</v>
      </c>
      <c r="I5607" s="297">
        <f t="shared" si="748"/>
        <v>6.4709878757991248</v>
      </c>
      <c r="J5607" s="297">
        <f t="shared" si="749"/>
        <v>0.8571428571428571</v>
      </c>
      <c r="K5607" s="297">
        <f>J5607/POBLA!$B$14*100000</f>
        <v>6.7957419693018203E-2</v>
      </c>
      <c r="L5607" s="549">
        <f t="shared" si="747"/>
        <v>0.90163934426229508</v>
      </c>
      <c r="M5607" s="401">
        <f>SUM(C5607,C5583,C5559,C5535,C5511,C5487,C5463)/POBLA!$B$14*100000</f>
        <v>0.47570193785112752</v>
      </c>
    </row>
    <row r="5608" spans="1:13" s="360" customFormat="1" ht="15.75" thickBot="1" x14ac:dyDescent="0.3">
      <c r="A5608" s="367" t="s">
        <v>19</v>
      </c>
      <c r="B5608" s="265">
        <v>44126</v>
      </c>
      <c r="C5608" s="1">
        <v>567</v>
      </c>
      <c r="D5608" s="39">
        <f t="shared" si="745"/>
        <v>18202</v>
      </c>
      <c r="E5608" s="1">
        <f>1</f>
        <v>1</v>
      </c>
      <c r="F5608" s="409">
        <f t="shared" si="737"/>
        <v>318</v>
      </c>
      <c r="G5608" s="168">
        <f>SUM(C5608,C5584,C5560,C5536,C5512,C5488,C5464,C5440,C5416,C5392,C5368,C5344,C5320,C5296)/POBLA!$B$15*100000</f>
        <v>1069.6370944060525</v>
      </c>
      <c r="H5608" s="256">
        <f t="shared" si="746"/>
        <v>1.6795932844644124</v>
      </c>
      <c r="I5608" s="297">
        <f t="shared" si="748"/>
        <v>1796.5552805784323</v>
      </c>
      <c r="J5608" s="297">
        <f t="shared" si="749"/>
        <v>684.85714285714289</v>
      </c>
      <c r="K5608" s="297">
        <f>J5608/POBLA!$B$15*100000</f>
        <v>103.13228274939394</v>
      </c>
      <c r="L5608" s="549">
        <f t="shared" si="747"/>
        <v>-1.0762234733650931</v>
      </c>
      <c r="M5608" s="401">
        <f>SUM(C5608,C5584,C5560,C5536,C5512,C5488,C5464)/POBLA!$B$15*100000</f>
        <v>721.9259792457575</v>
      </c>
    </row>
    <row r="5609" spans="1:13" s="360" customFormat="1" ht="15.75" thickBot="1" x14ac:dyDescent="0.3">
      <c r="A5609" s="367" t="s">
        <v>18</v>
      </c>
      <c r="B5609" s="265">
        <v>44126</v>
      </c>
      <c r="C5609" s="1">
        <v>511</v>
      </c>
      <c r="D5609" s="39">
        <f t="shared" si="745"/>
        <v>20838</v>
      </c>
      <c r="E5609" s="1">
        <f>6+3</f>
        <v>9</v>
      </c>
      <c r="F5609" s="409">
        <f t="shared" si="737"/>
        <v>528</v>
      </c>
      <c r="G5609" s="168">
        <f>SUM(C5609,C5585,C5561,C5537,C5513,C5489,C5465,C5441,C5417,C5393,C5369,C5345,C5321,C5297)/POBLA!$B$16*100000</f>
        <v>734.47385668998538</v>
      </c>
      <c r="H5609" s="256">
        <f t="shared" si="746"/>
        <v>1.3395950231763845</v>
      </c>
      <c r="I5609" s="297">
        <f t="shared" si="748"/>
        <v>983.89752307506944</v>
      </c>
      <c r="J5609" s="297">
        <f t="shared" si="749"/>
        <v>401.85714285714283</v>
      </c>
      <c r="K5609" s="297">
        <f>J5609/POBLA!$B$16*100000</f>
        <v>53.752242861537816</v>
      </c>
      <c r="L5609" s="549">
        <f t="shared" si="747"/>
        <v>-5.0410754294249349E-2</v>
      </c>
      <c r="M5609" s="401">
        <f>SUM(C5609,C5585,C5561,C5537,C5513,C5489,C5465)/POBLA!$B$16*100000</f>
        <v>376.26570003076472</v>
      </c>
    </row>
    <row r="5610" spans="1:13" s="360" customFormat="1" ht="15.75" thickBot="1" x14ac:dyDescent="0.3">
      <c r="A5610" s="367" t="s">
        <v>34</v>
      </c>
      <c r="B5610" s="265">
        <v>44126</v>
      </c>
      <c r="C5610" s="1">
        <v>287</v>
      </c>
      <c r="D5610" s="39">
        <f t="shared" si="745"/>
        <v>17454</v>
      </c>
      <c r="E5610" s="1">
        <f>14+4</f>
        <v>18</v>
      </c>
      <c r="F5610" s="409">
        <f t="shared" ref="F5610:F5673" si="750">E5610+F5586</f>
        <v>667</v>
      </c>
      <c r="G5610" s="168">
        <f>SUM(C5610,C5586,C5562,C5538,C5514,C5490,C5466,C5442,C5418,C5394,C5370,C5346,C5322,C5298)/POBLA!$B$17*100000</f>
        <v>206.26272029497395</v>
      </c>
      <c r="H5610" s="256">
        <f t="shared" si="746"/>
        <v>0.72848995784775605</v>
      </c>
      <c r="I5610" s="297">
        <f t="shared" si="748"/>
        <v>150.26032041324908</v>
      </c>
      <c r="J5610" s="297">
        <f t="shared" si="749"/>
        <v>206.14285714285714</v>
      </c>
      <c r="K5610" s="297">
        <f>J5610/POBLA!$B$17*100000</f>
        <v>14.472289477080979</v>
      </c>
      <c r="L5610" s="549">
        <f t="shared" si="747"/>
        <v>3.4782608695652195E-2</v>
      </c>
      <c r="M5610" s="401">
        <f>SUM(C5610,C5586,C5562,C5538,C5514,C5490,C5466)/POBLA!$B$17*100000</f>
        <v>101.30602633956684</v>
      </c>
    </row>
    <row r="5611" spans="1:13" s="360" customFormat="1" ht="15.75" thickBot="1" x14ac:dyDescent="0.3">
      <c r="A5611" s="367" t="s">
        <v>35</v>
      </c>
      <c r="B5611" s="265">
        <v>44126</v>
      </c>
      <c r="C5611" s="1">
        <v>7</v>
      </c>
      <c r="D5611" s="39">
        <f t="shared" si="745"/>
        <v>1322</v>
      </c>
      <c r="E5611" s="1"/>
      <c r="F5611" s="409">
        <f t="shared" si="750"/>
        <v>76</v>
      </c>
      <c r="G5611" s="168">
        <f>SUM(C5611,C5587,C5563,C5539,C5515,C5491,C5467,C5443,C5419,C5395,C5371,C5347,C5323,C5299)/POBLA!$B$18*100000</f>
        <v>27.777173307800521</v>
      </c>
      <c r="H5611" s="256">
        <f t="shared" si="746"/>
        <v>0.38958707360861761</v>
      </c>
      <c r="I5611" s="297">
        <f t="shared" si="748"/>
        <v>10.82162766210541</v>
      </c>
      <c r="J5611" s="297">
        <f t="shared" si="749"/>
        <v>6.5714285714285712</v>
      </c>
      <c r="K5611" s="297">
        <f>J5611/POBLA!$B$18*100000</f>
        <v>0.8411783885179881</v>
      </c>
      <c r="L5611" s="549">
        <f t="shared" si="747"/>
        <v>0.73099415204678364</v>
      </c>
      <c r="M5611" s="401">
        <f>SUM(C5611,C5587,C5563,C5539,C5515,C5491,C5467)/POBLA!$B$18*100000</f>
        <v>5.888248719625917</v>
      </c>
    </row>
    <row r="5612" spans="1:13" s="360" customFormat="1" ht="15.75" thickBot="1" x14ac:dyDescent="0.3">
      <c r="A5612" s="367" t="s">
        <v>36</v>
      </c>
      <c r="B5612" s="265">
        <v>44126</v>
      </c>
      <c r="C5612" s="1">
        <v>369</v>
      </c>
      <c r="D5612" s="39">
        <f t="shared" si="745"/>
        <v>4746</v>
      </c>
      <c r="E5612" s="1">
        <f>1</f>
        <v>1</v>
      </c>
      <c r="F5612" s="409">
        <f t="shared" si="750"/>
        <v>52</v>
      </c>
      <c r="G5612" s="168">
        <f>SUM(C5612,C5588,C5564,C5540,C5516,C5492,C5468,C5444,C5420,C5396,C5372,C5348,C5324,C5300)/POBLA!$B$19*100000</f>
        <v>520.13660471191827</v>
      </c>
      <c r="H5612" s="256">
        <f t="shared" si="746"/>
        <v>2.3798379837983799</v>
      </c>
      <c r="I5612" s="297">
        <f t="shared" si="748"/>
        <v>1237.8408486573464</v>
      </c>
      <c r="J5612" s="297">
        <f t="shared" si="749"/>
        <v>294.28571428571428</v>
      </c>
      <c r="K5612" s="297">
        <f>J5612/POBLA!$B$19*100000</f>
        <v>57.892879063461834</v>
      </c>
      <c r="L5612" s="549">
        <f t="shared" si="747"/>
        <v>-2.5273972602739727</v>
      </c>
      <c r="M5612" s="401">
        <f>SUM(C5612,C5588,C5564,C5540,C5516,C5492,C5468)/POBLA!$B$19*100000</f>
        <v>405.25015344423292</v>
      </c>
    </row>
    <row r="5613" spans="1:13" s="360" customFormat="1" ht="15.75" thickBot="1" x14ac:dyDescent="0.3">
      <c r="A5613" s="367" t="s">
        <v>37</v>
      </c>
      <c r="B5613" s="265">
        <v>44126</v>
      </c>
      <c r="C5613" s="1">
        <v>195</v>
      </c>
      <c r="D5613" s="39">
        <f t="shared" si="745"/>
        <v>7955</v>
      </c>
      <c r="E5613" s="1">
        <f>3+2</f>
        <v>5</v>
      </c>
      <c r="F5613" s="409">
        <f t="shared" si="750"/>
        <v>108</v>
      </c>
      <c r="G5613" s="168">
        <f>SUM(C5613,C5589,C5565,C5541,C5517,C5493,C5469,C5445,C5421,C5397,C5373,C5349,C5325,C5301)/POBLA!$B$20*100000</f>
        <v>570.41602633867285</v>
      </c>
      <c r="H5613" s="256">
        <f t="shared" si="746"/>
        <v>1.1899600684540788</v>
      </c>
      <c r="I5613" s="297">
        <f t="shared" si="748"/>
        <v>678.77229374927072</v>
      </c>
      <c r="J5613" s="297">
        <f t="shared" si="749"/>
        <v>160.42857142857142</v>
      </c>
      <c r="K5613" s="297">
        <f>J5613/POBLA!$B$20*100000</f>
        <v>43.869141047687279</v>
      </c>
      <c r="L5613" s="549">
        <f t="shared" si="747"/>
        <v>-0.16614745586708213</v>
      </c>
      <c r="M5613" s="401">
        <f>SUM(C5613,C5589,C5565,C5541,C5517,C5493,C5469)/POBLA!$B$20*100000</f>
        <v>307.08398733381097</v>
      </c>
    </row>
    <row r="5614" spans="1:13" s="360" customFormat="1" ht="15.75" thickBot="1" x14ac:dyDescent="0.3">
      <c r="A5614" s="367" t="s">
        <v>22</v>
      </c>
      <c r="B5614" s="265">
        <v>44126</v>
      </c>
      <c r="C5614" s="1">
        <v>2536</v>
      </c>
      <c r="D5614" s="39">
        <f t="shared" si="745"/>
        <v>88658</v>
      </c>
      <c r="E5614" s="1">
        <f>21+17</f>
        <v>38</v>
      </c>
      <c r="F5614" s="409">
        <f t="shared" si="750"/>
        <v>1007</v>
      </c>
      <c r="G5614" s="168">
        <f>SUM(C5614,C5590,C5566,C5542,C5518,C5494,C5470,C5446,C5422,C5398,C5374,C5350,C5326,C5302)/POBLA!$B$21*100000</f>
        <v>891.49529269447225</v>
      </c>
      <c r="H5614" s="256">
        <f t="shared" si="746"/>
        <v>1.2963937661910441</v>
      </c>
      <c r="I5614" s="297">
        <f t="shared" si="748"/>
        <v>1155.728940037774</v>
      </c>
      <c r="J5614" s="297">
        <f t="shared" si="749"/>
        <v>2375.7142857142858</v>
      </c>
      <c r="K5614" s="297">
        <f>J5614/POBLA!$B$21*100000</f>
        <v>67.178548625029208</v>
      </c>
      <c r="L5614" s="549">
        <f t="shared" si="747"/>
        <v>-0.11633214741223075</v>
      </c>
      <c r="M5614" s="401">
        <f>SUM(C5614,C5590,C5566,C5542,C5518,C5494,C5470)/POBLA!$B$21*100000</f>
        <v>470.24984037520449</v>
      </c>
    </row>
    <row r="5615" spans="1:13" s="360" customFormat="1" ht="15.75" thickBot="1" x14ac:dyDescent="0.3">
      <c r="A5615" s="367" t="s">
        <v>38</v>
      </c>
      <c r="B5615" s="265">
        <v>44126</v>
      </c>
      <c r="C5615" s="1">
        <v>247</v>
      </c>
      <c r="D5615" s="39">
        <f>C5615+D5591</f>
        <v>7496</v>
      </c>
      <c r="E5615" s="1">
        <f>2</f>
        <v>2</v>
      </c>
      <c r="F5615" s="409">
        <f t="shared" si="750"/>
        <v>106</v>
      </c>
      <c r="G5615" s="168">
        <f>SUM(C5615,C5591,C5567,C5543,C5519,C5495,C5471,C5447,C5423,C5399,C5375,C5351,C5327,C5303)/POBLA!$B$22*100000</f>
        <v>329.95575035801426</v>
      </c>
      <c r="H5615" s="256">
        <f t="shared" si="746"/>
        <v>2.0906735751295336</v>
      </c>
      <c r="I5615" s="297">
        <f t="shared" si="748"/>
        <v>689.82976823553759</v>
      </c>
      <c r="J5615" s="297">
        <f t="shared" si="749"/>
        <v>217.57142857142858</v>
      </c>
      <c r="K5615" s="297">
        <f>J5615/POBLA!$B$22*100000</f>
        <v>22.239449805065309</v>
      </c>
      <c r="L5615" s="549">
        <f t="shared" si="747"/>
        <v>0.10674486803519057</v>
      </c>
      <c r="M5615" s="401">
        <f>SUM(C5615,C5591,C5567,C5543,C5519,C5495,C5471)/POBLA!$B$22*100000</f>
        <v>155.67614863545717</v>
      </c>
    </row>
    <row r="5616" spans="1:13" s="360" customFormat="1" ht="15.75" thickBot="1" x14ac:dyDescent="0.3">
      <c r="A5616" s="367" t="s">
        <v>39</v>
      </c>
      <c r="B5616" s="265">
        <v>44126</v>
      </c>
      <c r="C5616" s="1">
        <v>254</v>
      </c>
      <c r="D5616" s="39">
        <f>C5616+D5592</f>
        <v>9140</v>
      </c>
      <c r="E5616" s="1">
        <f>4+1</f>
        <v>5</v>
      </c>
      <c r="F5616" s="409">
        <f t="shared" si="750"/>
        <v>112</v>
      </c>
      <c r="G5616" s="168">
        <f>SUM(C5616,C5592,C5568,C5544,C5520,C5496,C5472,C5448,C5424,C5400,C5376,C5352,C5328,C5304)/POBLA!$B$23*100000</f>
        <v>1886.5577107956794</v>
      </c>
      <c r="H5616" s="256">
        <f t="shared" si="746"/>
        <v>1.4498044328552804</v>
      </c>
      <c r="I5616" s="297">
        <f t="shared" si="748"/>
        <v>2735.139731948886</v>
      </c>
      <c r="J5616" s="297">
        <f t="shared" si="749"/>
        <v>234</v>
      </c>
      <c r="K5616" s="297">
        <f>J5616/POBLA!$B$23*100000</f>
        <v>132.33048690833004</v>
      </c>
      <c r="L5616" s="549">
        <f t="shared" si="747"/>
        <v>3.5335689045936425E-2</v>
      </c>
      <c r="M5616" s="401">
        <f>SUM(C5616,C5592,C5568,C5544,C5520,C5496,C5472)/POBLA!$B$23*100000</f>
        <v>926.31340835831031</v>
      </c>
    </row>
    <row r="5617" spans="1:13" s="360" customFormat="1" ht="15.75" thickBot="1" x14ac:dyDescent="0.3">
      <c r="A5617" s="369" t="s">
        <v>40</v>
      </c>
      <c r="B5617" s="265">
        <v>44126</v>
      </c>
      <c r="C5617" s="44">
        <v>1477</v>
      </c>
      <c r="D5617" s="39">
        <f t="shared" ref="D5617:D5638" si="751">C5617+D5593</f>
        <v>40581</v>
      </c>
      <c r="E5617" s="44">
        <f>26+15</f>
        <v>41</v>
      </c>
      <c r="F5617" s="477">
        <f t="shared" si="750"/>
        <v>587</v>
      </c>
      <c r="G5617" s="177">
        <f>SUM(C5617,C5593,C5569,C5545,C5521,C5497,C5473,C5449,C5425,C5401,C5377,C5353,C5329,C5305)/POBLA!$B$24*100000</f>
        <v>1023.5115563276559</v>
      </c>
      <c r="H5617" s="402">
        <f t="shared" si="746"/>
        <v>1.4775534542976403</v>
      </c>
      <c r="I5617" s="403">
        <f t="shared" si="748"/>
        <v>1512.2930355654817</v>
      </c>
      <c r="J5617" s="403">
        <f t="shared" si="749"/>
        <v>1293.2857142857142</v>
      </c>
      <c r="K5617" s="403">
        <f>J5617/POBLA!$B$24*100000</f>
        <v>76.315530366381978</v>
      </c>
      <c r="L5617" s="550">
        <f t="shared" si="747"/>
        <v>-9.1775205016883854E-2</v>
      </c>
      <c r="M5617" s="405">
        <f>SUM(C5617,C5593,C5569,C5545,C5521,C5497,C5473)/POBLA!$B$24*100000</f>
        <v>534.20871256467387</v>
      </c>
    </row>
    <row r="5618" spans="1:13" s="360" customFormat="1" ht="15.75" thickBot="1" x14ac:dyDescent="0.3">
      <c r="A5618" s="363" t="s">
        <v>16</v>
      </c>
      <c r="B5618" s="265">
        <v>44127</v>
      </c>
      <c r="C5618" s="1">
        <v>4649</v>
      </c>
      <c r="D5618" s="262">
        <f t="shared" si="751"/>
        <v>522093</v>
      </c>
      <c r="E5618" s="1">
        <f>83+56</f>
        <v>139</v>
      </c>
      <c r="F5618" s="475">
        <f t="shared" si="750"/>
        <v>16613</v>
      </c>
      <c r="G5618" s="175">
        <f>SUM(C5618,C5594,C5570,C5546,C5522,C5498,C5474,C5450,C5426,C5402,C5378,C5354,C5330,C5306)/POBLA!$B$1*100000</f>
        <v>343.63215026890208</v>
      </c>
      <c r="H5618" s="300">
        <f t="shared" si="746"/>
        <v>0.89456968581647645</v>
      </c>
      <c r="I5618" s="301">
        <f>G5618*H5618</f>
        <v>307.40290470249198</v>
      </c>
      <c r="J5618" s="301">
        <f>AVERAGE(C5618,C5594,C5570,C5546,C5522,C5498,C5474)</f>
        <v>4381.5714285714284</v>
      </c>
      <c r="K5618" s="301">
        <f>J5618/POBLA!$B$1*100000</f>
        <v>24.978827936970742</v>
      </c>
      <c r="L5618" s="548">
        <f t="shared" si="747"/>
        <v>-3.5972438019320485E-2</v>
      </c>
      <c r="M5618" s="400">
        <f>SUM(C5618,C5594,C5570,C5546,C5522,C5498,C5474)/POBLA!$B$1*100000</f>
        <v>174.85179555879517</v>
      </c>
    </row>
    <row r="5619" spans="1:13" s="360" customFormat="1" ht="15.75" thickBot="1" x14ac:dyDescent="0.3">
      <c r="A5619" s="367" t="s">
        <v>43</v>
      </c>
      <c r="B5619" s="265">
        <v>44127</v>
      </c>
      <c r="C5619" s="1">
        <v>585</v>
      </c>
      <c r="D5619" s="39">
        <f t="shared" si="751"/>
        <v>143081</v>
      </c>
      <c r="E5619" s="1">
        <f>1+28+24</f>
        <v>53</v>
      </c>
      <c r="F5619" s="409">
        <f t="shared" si="750"/>
        <v>4438</v>
      </c>
      <c r="G5619" s="168">
        <f>SUM(C5619,C5595,C5571,C5547,C5523,C5499,C5475,C5451,C5427,C5403,C5379,C5355,C5331,C5307)/POBLA!$B$2*100000</f>
        <v>308.00033553926556</v>
      </c>
      <c r="H5619" s="256">
        <f t="shared" si="746"/>
        <v>0.79839865149599665</v>
      </c>
      <c r="I5619" s="297">
        <f t="shared" ref="I5619:I5641" si="752">G5619*H5619</f>
        <v>245.90705255486412</v>
      </c>
      <c r="J5619" s="297">
        <f t="shared" ref="J5619:J5641" si="753">AVERAGE(C5619,C5595,C5571,C5547,C5523,C5499,C5475)</f>
        <v>605.42857142857144</v>
      </c>
      <c r="K5619" s="297">
        <f>J5619/POBLA!$B$2*100000</f>
        <v>19.684598664104108</v>
      </c>
      <c r="L5619" s="549">
        <f t="shared" si="747"/>
        <v>0.19044890162368677</v>
      </c>
      <c r="M5619" s="401">
        <f>SUM(C5619,C5595,C5571,C5547,C5523,C5499,C5475)/POBLA!$B$2*100000</f>
        <v>137.79219064872876</v>
      </c>
    </row>
    <row r="5620" spans="1:13" s="360" customFormat="1" ht="15.75" thickBot="1" x14ac:dyDescent="0.3">
      <c r="A5620" s="367" t="s">
        <v>28</v>
      </c>
      <c r="B5620" s="265">
        <v>44127</v>
      </c>
      <c r="C5620" s="1">
        <v>11</v>
      </c>
      <c r="D5620" s="39">
        <f t="shared" si="751"/>
        <v>563</v>
      </c>
      <c r="E5620" s="1"/>
      <c r="F5620" s="409">
        <f t="shared" si="750"/>
        <v>0</v>
      </c>
      <c r="G5620" s="168">
        <f>SUM(C5620,C5596,C5572,C5548,C5524,C5500,C5476,C5452,C5428,C5404,C5380,C5356,C5332,C5308)/POBLA!$B$3*100000</f>
        <v>48.864090429859566</v>
      </c>
      <c r="H5620" s="256">
        <f t="shared" si="746"/>
        <v>1.2767295597484276</v>
      </c>
      <c r="I5620" s="297">
        <f t="shared" si="752"/>
        <v>62.386228662021956</v>
      </c>
      <c r="J5620" s="297">
        <f t="shared" si="753"/>
        <v>19.142857142857142</v>
      </c>
      <c r="K5620" s="297">
        <f>J5620/POBLA!$B$3*100000</f>
        <v>4.6078734114012541</v>
      </c>
      <c r="L5620" s="549">
        <f t="shared" si="747"/>
        <v>-0.94202898550724634</v>
      </c>
      <c r="M5620" s="401">
        <f>SUM(C5620,C5596,C5572,C5548,C5524,C5500,C5476)/POBLA!$B$3*100000</f>
        <v>32.255113879808782</v>
      </c>
    </row>
    <row r="5621" spans="1:13" s="360" customFormat="1" ht="15.75" thickBot="1" x14ac:dyDescent="0.3">
      <c r="A5621" s="367" t="s">
        <v>15</v>
      </c>
      <c r="B5621" s="265">
        <v>44127</v>
      </c>
      <c r="C5621" s="1">
        <v>231</v>
      </c>
      <c r="D5621" s="39">
        <f t="shared" si="751"/>
        <v>12781</v>
      </c>
      <c r="E5621" s="1">
        <f>4+1</f>
        <v>5</v>
      </c>
      <c r="F5621" s="409">
        <f t="shared" si="750"/>
        <v>394</v>
      </c>
      <c r="G5621" s="168">
        <f>SUM(C5621,C5597,C5573,C5549,C5525,C5501,C5477,C5453,C5429,C5405,C5381,C5357,C5333,C5309)/POBLA!$B$4*100000</f>
        <v>228.71782695649216</v>
      </c>
      <c r="H5621" s="256">
        <f t="shared" si="746"/>
        <v>1.3001415762151958</v>
      </c>
      <c r="I5621" s="297">
        <f t="shared" si="752"/>
        <v>297.36555604772809</v>
      </c>
      <c r="J5621" s="297">
        <f t="shared" si="753"/>
        <v>216.71428571428572</v>
      </c>
      <c r="K5621" s="297">
        <f>J5621/POBLA!$B$4*100000</f>
        <v>17.991441197459093</v>
      </c>
      <c r="L5621" s="549">
        <f t="shared" si="747"/>
        <v>-0.22536348949919227</v>
      </c>
      <c r="M5621" s="401">
        <f>SUM(C5621,C5597,C5573,C5549,C5525,C5501,C5477)/POBLA!$B$4*100000</f>
        <v>125.94008838221364</v>
      </c>
    </row>
    <row r="5622" spans="1:13" s="360" customFormat="1" ht="15.75" thickBot="1" x14ac:dyDescent="0.3">
      <c r="A5622" s="367" t="s">
        <v>29</v>
      </c>
      <c r="B5622" s="265">
        <v>44127</v>
      </c>
      <c r="C5622" s="1">
        <v>673</v>
      </c>
      <c r="D5622" s="39">
        <f t="shared" si="751"/>
        <v>11601</v>
      </c>
      <c r="E5622" s="1">
        <f>5+3</f>
        <v>8</v>
      </c>
      <c r="F5622" s="409">
        <f t="shared" si="750"/>
        <v>206</v>
      </c>
      <c r="G5622" s="168">
        <f>SUM(C5622,C5598,C5574,C5550,C5526,C5502,C5478,C5454,C5430,C5406,C5382,C5358,C5334,C5310)/POBLA!$B$5*100000</f>
        <v>882.07640138676618</v>
      </c>
      <c r="H5622" s="256">
        <f t="shared" si="746"/>
        <v>1.8115461181154613</v>
      </c>
      <c r="I5622" s="297">
        <f t="shared" si="752"/>
        <v>1597.9220808134517</v>
      </c>
      <c r="J5622" s="297">
        <f t="shared" si="753"/>
        <v>434.85714285714283</v>
      </c>
      <c r="K5622" s="297">
        <f>J5622/POBLA!$B$5*100000</f>
        <v>70.252238770835064</v>
      </c>
      <c r="L5622" s="549">
        <f t="shared" si="747"/>
        <v>-0.25993377483443703</v>
      </c>
      <c r="M5622" s="401">
        <f>SUM(C5622,C5598,C5574,C5550,C5526,C5502,C5478)/POBLA!$B$5*100000</f>
        <v>491.76567139584552</v>
      </c>
    </row>
    <row r="5623" spans="1:13" s="360" customFormat="1" ht="15.75" thickBot="1" x14ac:dyDescent="0.3">
      <c r="A5623" s="367" t="s">
        <v>20</v>
      </c>
      <c r="B5623" s="265">
        <v>44127</v>
      </c>
      <c r="C5623" s="1">
        <v>2134</v>
      </c>
      <c r="D5623" s="39">
        <f t="shared" si="751"/>
        <v>72758</v>
      </c>
      <c r="E5623" s="1">
        <f>26+13</f>
        <v>39</v>
      </c>
      <c r="F5623" s="409">
        <f t="shared" si="750"/>
        <v>1046</v>
      </c>
      <c r="G5623" s="168">
        <f>SUM(C5623,C5599,C5575,C5551,C5527,C5503,C5479,C5455,C5431,C5407,C5383,C5359,C5335,C5311)/POBLA!$B$6*100000</f>
        <v>2148.7311306824313</v>
      </c>
      <c r="H5623" s="256">
        <f t="shared" si="746"/>
        <v>1.0512462351041076</v>
      </c>
      <c r="I5623" s="297">
        <f t="shared" si="752"/>
        <v>2258.8455113808982</v>
      </c>
      <c r="J5623" s="297">
        <f t="shared" si="753"/>
        <v>1847.1428571428571</v>
      </c>
      <c r="K5623" s="297">
        <f>J5623/POBLA!$B$6*100000</f>
        <v>164.80560395135774</v>
      </c>
      <c r="L5623" s="549">
        <f t="shared" si="747"/>
        <v>-0.15932932843181202</v>
      </c>
      <c r="M5623" s="401">
        <f>SUM(C5623,C5599,C5575,C5551,C5527,C5503,C5479)/POBLA!$B$6*100000</f>
        <v>1153.6392276595041</v>
      </c>
    </row>
    <row r="5624" spans="1:13" s="360" customFormat="1" ht="15.75" thickBot="1" x14ac:dyDescent="0.3">
      <c r="A5624" s="367" t="s">
        <v>30</v>
      </c>
      <c r="B5624" s="265">
        <v>44127</v>
      </c>
      <c r="C5624" s="1">
        <v>12</v>
      </c>
      <c r="D5624" s="39">
        <f t="shared" si="751"/>
        <v>2200</v>
      </c>
      <c r="E5624" s="1">
        <f>2+2</f>
        <v>4</v>
      </c>
      <c r="F5624" s="409">
        <f t="shared" si="750"/>
        <v>40</v>
      </c>
      <c r="G5624" s="168">
        <f>SUM(C5624,C5600,C5576,C5552,C5528,C5504,C5480,C5456,C5432,C5408,C5384,C5360,C5336,C5312)/POBLA!$B$7*100000</f>
        <v>18.48183063197224</v>
      </c>
      <c r="H5624" s="256">
        <f t="shared" si="746"/>
        <v>1.3817097415506958</v>
      </c>
      <c r="I5624" s="297">
        <f t="shared" si="752"/>
        <v>25.536525425886097</v>
      </c>
      <c r="J5624" s="297">
        <f t="shared" si="753"/>
        <v>37.857142857142854</v>
      </c>
      <c r="K5624" s="297">
        <f>J5624/POBLA!$B$7*100000</f>
        <v>1.006718420857686</v>
      </c>
      <c r="L5624" s="549">
        <f t="shared" si="747"/>
        <v>0.38372093023255816</v>
      </c>
      <c r="M5624" s="401">
        <f>SUM(C5624,C5600,C5576,C5552,C5528,C5504,C5480)/POBLA!$B$7*100000</f>
        <v>7.0470289460038034</v>
      </c>
    </row>
    <row r="5625" spans="1:13" ht="15.75" thickBot="1" x14ac:dyDescent="0.3">
      <c r="A5625" s="367" t="s">
        <v>31</v>
      </c>
      <c r="B5625" s="265">
        <v>44127</v>
      </c>
      <c r="C5625" s="1">
        <v>475</v>
      </c>
      <c r="D5625" s="39">
        <f t="shared" si="751"/>
        <v>13429</v>
      </c>
      <c r="E5625" s="1">
        <f>3+2</f>
        <v>5</v>
      </c>
      <c r="F5625" s="409">
        <f t="shared" si="750"/>
        <v>227</v>
      </c>
      <c r="G5625" s="168">
        <f>SUM(C5625,C5601,C5577,C5553,C5529,C5505,C5481,C5457,C5433,C5409,C5385,C5361,C5337,C5313)/POBLA!$B$8*100000</f>
        <v>316.31481693929339</v>
      </c>
      <c r="H5625" s="256">
        <f t="shared" si="746"/>
        <v>1.9615212527964205</v>
      </c>
      <c r="I5625" s="297">
        <f t="shared" si="752"/>
        <v>620.45823600083315</v>
      </c>
      <c r="J5625" s="297">
        <f t="shared" si="753"/>
        <v>374.85714285714283</v>
      </c>
      <c r="K5625" s="297">
        <f>J5625/POBLA!$B$8*100000</f>
        <v>27.046730958312885</v>
      </c>
      <c r="L5625" s="549">
        <f t="shared" si="747"/>
        <v>-0.49090909090909096</v>
      </c>
      <c r="M5625" s="401">
        <f>SUM(C5625,C5601,C5577,C5553,C5529,C5505,C5481)/POBLA!$B$8*100000</f>
        <v>189.3271167081902</v>
      </c>
    </row>
    <row r="5626" spans="1:13" s="360" customFormat="1" ht="15.75" thickBot="1" x14ac:dyDescent="0.3">
      <c r="A5626" s="367" t="s">
        <v>41</v>
      </c>
      <c r="B5626" s="265">
        <v>44127</v>
      </c>
      <c r="C5626" s="1">
        <v>2</v>
      </c>
      <c r="D5626" s="39">
        <f t="shared" si="751"/>
        <v>142</v>
      </c>
      <c r="E5626" s="1"/>
      <c r="F5626" s="409">
        <f t="shared" si="750"/>
        <v>1</v>
      </c>
      <c r="G5626" s="168">
        <f>SUM(C5626,C5602,C5578,C5554,C5530,C5506,C5482,C5458,C5434,C5410,C5386,C5362,C5338,C5314)/POBLA!$B$9*100000</f>
        <v>3.6352039762522037</v>
      </c>
      <c r="H5626" s="256">
        <f t="shared" si="746"/>
        <v>1.2222222222222223</v>
      </c>
      <c r="I5626" s="297">
        <f t="shared" si="752"/>
        <v>4.4430270820860267</v>
      </c>
      <c r="J5626" s="297">
        <f t="shared" si="753"/>
        <v>0.42857142857142855</v>
      </c>
      <c r="K5626" s="297">
        <f>J5626/POBLA!$B$9*100000</f>
        <v>7.0815661875042929E-2</v>
      </c>
      <c r="L5626" s="549">
        <f t="shared" si="747"/>
        <v>0.84210526315789469</v>
      </c>
      <c r="M5626" s="401">
        <f>SUM(C5626,C5602,C5578,C5554,C5530,C5506,C5482)/POBLA!$B$9*100000</f>
        <v>0.49570963312530053</v>
      </c>
    </row>
    <row r="5627" spans="1:13" s="360" customFormat="1" ht="15.75" thickBot="1" x14ac:dyDescent="0.3">
      <c r="A5627" s="367" t="s">
        <v>32</v>
      </c>
      <c r="B5627" s="265">
        <v>44127</v>
      </c>
      <c r="C5627" s="1">
        <v>46</v>
      </c>
      <c r="D5627" s="39">
        <f t="shared" si="751"/>
        <v>17517</v>
      </c>
      <c r="E5627" s="1">
        <f>15+6</f>
        <v>21</v>
      </c>
      <c r="F5627" s="409">
        <f t="shared" si="750"/>
        <v>768</v>
      </c>
      <c r="G5627" s="168">
        <f>SUM(C5627,C5603,C5579,C5555,C5531,C5507,C5483,C5459,C5435,C5411,C5387,C5363,C5339,C5315)/POBLA!$B$10*100000</f>
        <v>126.21922190325094</v>
      </c>
      <c r="H5627" s="256">
        <f t="shared" si="746"/>
        <v>0.62855297157622736</v>
      </c>
      <c r="I5627" s="297">
        <f t="shared" si="752"/>
        <v>79.335466997327629</v>
      </c>
      <c r="J5627" s="297">
        <f t="shared" si="753"/>
        <v>56.714285714285715</v>
      </c>
      <c r="K5627" s="297">
        <f>J5627/POBLA!$B$10*100000</f>
        <v>7.3570740119792442</v>
      </c>
      <c r="L5627" s="549">
        <f t="shared" si="747"/>
        <v>0.31076388888888884</v>
      </c>
      <c r="M5627" s="401">
        <f>SUM(C5627,C5603,C5579,C5555,C5531,C5507,C5483)/POBLA!$B$10*100000</f>
        <v>51.499518083854703</v>
      </c>
    </row>
    <row r="5628" spans="1:13" s="360" customFormat="1" ht="15.75" thickBot="1" x14ac:dyDescent="0.3">
      <c r="A5628" s="367" t="s">
        <v>33</v>
      </c>
      <c r="B5628" s="265">
        <v>44127</v>
      </c>
      <c r="C5628" s="1">
        <v>129</v>
      </c>
      <c r="D5628" s="39">
        <f t="shared" si="751"/>
        <v>2259</v>
      </c>
      <c r="E5628" s="1">
        <f>2</f>
        <v>2</v>
      </c>
      <c r="F5628" s="409">
        <f t="shared" si="750"/>
        <v>25</v>
      </c>
      <c r="G5628" s="168">
        <f>SUM(C5628,C5604,C5580,C5556,C5532,C5508,C5484,C5460,C5436,C5412,C5388,C5364,C5340,C5316)/POBLA!$B$11*100000</f>
        <v>352.37202450701398</v>
      </c>
      <c r="H5628" s="256">
        <f t="shared" si="746"/>
        <v>4.0222929936305736</v>
      </c>
      <c r="I5628" s="297">
        <f t="shared" si="752"/>
        <v>1417.3435253259831</v>
      </c>
      <c r="J5628" s="297">
        <f t="shared" si="753"/>
        <v>117.57142857142857</v>
      </c>
      <c r="K5628" s="297">
        <f>J5628/POBLA!$B$11*100000</f>
        <v>32.801965407677017</v>
      </c>
      <c r="L5628" s="549">
        <f t="shared" si="747"/>
        <v>-0.87045454545454537</v>
      </c>
      <c r="M5628" s="401">
        <f>SUM(C5628,C5604,C5580,C5556,C5532,C5508,C5484)/POBLA!$B$11*100000</f>
        <v>229.61375785373909</v>
      </c>
    </row>
    <row r="5629" spans="1:13" s="360" customFormat="1" ht="15.75" thickBot="1" x14ac:dyDescent="0.3">
      <c r="A5629" s="367" t="s">
        <v>21</v>
      </c>
      <c r="B5629" s="265">
        <v>44127</v>
      </c>
      <c r="C5629" s="1">
        <v>109</v>
      </c>
      <c r="D5629" s="39">
        <f t="shared" si="751"/>
        <v>6970</v>
      </c>
      <c r="E5629" s="1">
        <f>5</f>
        <v>5</v>
      </c>
      <c r="F5629" s="409">
        <f t="shared" si="750"/>
        <v>239</v>
      </c>
      <c r="G5629" s="168">
        <f>SUM(C5629,C5605,C5581,C5557,C5533,C5509,C5485,C5461,C5437,C5413,C5389,C5365,C5341,C5317)/POBLA!$B$12*100000</f>
        <v>340.50684698282981</v>
      </c>
      <c r="H5629" s="256">
        <f t="shared" si="746"/>
        <v>1.1591695501730104</v>
      </c>
      <c r="I5629" s="297">
        <f t="shared" si="752"/>
        <v>394.70516864791693</v>
      </c>
      <c r="J5629" s="297">
        <f t="shared" si="753"/>
        <v>92.428571428571431</v>
      </c>
      <c r="K5629" s="297">
        <f>J5629/POBLA!$B$12*100000</f>
        <v>23.486986140500093</v>
      </c>
      <c r="L5629" s="549">
        <f t="shared" si="747"/>
        <v>6.6378066378066425E-2</v>
      </c>
      <c r="M5629" s="401">
        <f>SUM(C5629,C5605,C5581,C5557,C5533,C5509,C5485)/POBLA!$B$12*100000</f>
        <v>164.40890298350067</v>
      </c>
    </row>
    <row r="5630" spans="1:13" s="360" customFormat="1" ht="15.75" thickBot="1" x14ac:dyDescent="0.3">
      <c r="A5630" s="367" t="s">
        <v>17</v>
      </c>
      <c r="B5630" s="265">
        <v>44127</v>
      </c>
      <c r="C5630" s="1">
        <v>830</v>
      </c>
      <c r="D5630" s="39">
        <f t="shared" si="751"/>
        <v>41735</v>
      </c>
      <c r="E5630" s="1">
        <f>7+4</f>
        <v>11</v>
      </c>
      <c r="F5630" s="409">
        <f t="shared" si="750"/>
        <v>683</v>
      </c>
      <c r="G5630" s="168">
        <f>SUM(C5630,C5606,C5582,C5558,C5534,C5510,C5486,C5462,C5438,C5414,C5390,C5366,C5342,C5318)/POBLA!$B$13*100000</f>
        <v>544.83208379682253</v>
      </c>
      <c r="H5630" s="256">
        <f t="shared" si="746"/>
        <v>1.1963812886142984</v>
      </c>
      <c r="I5630" s="297">
        <f t="shared" si="752"/>
        <v>651.82691049125594</v>
      </c>
      <c r="J5630" s="297">
        <f t="shared" si="753"/>
        <v>829.28571428571433</v>
      </c>
      <c r="K5630" s="297">
        <f>J5630/POBLA!$B$13*100000</f>
        <v>41.665572093067325</v>
      </c>
      <c r="L5630" s="549">
        <f t="shared" si="747"/>
        <v>-0.15201428854931542</v>
      </c>
      <c r="M5630" s="401">
        <f>SUM(C5630,C5606,C5582,C5558,C5534,C5510,C5486)/POBLA!$B$13*100000</f>
        <v>291.65900465147126</v>
      </c>
    </row>
    <row r="5631" spans="1:13" s="360" customFormat="1" ht="15.75" thickBot="1" x14ac:dyDescent="0.3">
      <c r="A5631" s="367" t="s">
        <v>23</v>
      </c>
      <c r="B5631" s="265">
        <v>44127</v>
      </c>
      <c r="C5631" s="1">
        <v>2</v>
      </c>
      <c r="D5631" s="39">
        <f t="shared" si="751"/>
        <v>209</v>
      </c>
      <c r="E5631" s="1"/>
      <c r="F5631" s="409">
        <f t="shared" si="750"/>
        <v>4</v>
      </c>
      <c r="G5631" s="168">
        <f>SUM(C5631,C5607,C5583,C5559,C5535,C5511,C5487,C5463,C5439,C5415,C5391,C5367,C5343,C5319)/POBLA!$B$14*100000</f>
        <v>5.1534376600538812</v>
      </c>
      <c r="H5631" s="256">
        <f t="shared" si="746"/>
        <v>1.1403508771929824</v>
      </c>
      <c r="I5631" s="297">
        <f t="shared" si="752"/>
        <v>5.8767271562017944</v>
      </c>
      <c r="J5631" s="297">
        <f t="shared" si="753"/>
        <v>1.5714285714285714</v>
      </c>
      <c r="K5631" s="297">
        <f>J5631/POBLA!$B$14*100000</f>
        <v>0.12458860277053339</v>
      </c>
      <c r="L5631" s="549">
        <f t="shared" si="747"/>
        <v>0.79629629629629628</v>
      </c>
      <c r="M5631" s="401">
        <f>SUM(C5631,C5607,C5583,C5559,C5535,C5511,C5487)/POBLA!$B$14*100000</f>
        <v>0.87212021939373374</v>
      </c>
    </row>
    <row r="5632" spans="1:13" s="360" customFormat="1" ht="15.75" thickBot="1" x14ac:dyDescent="0.3">
      <c r="A5632" s="367" t="s">
        <v>19</v>
      </c>
      <c r="B5632" s="265">
        <v>44127</v>
      </c>
      <c r="C5632" s="1">
        <v>411</v>
      </c>
      <c r="D5632" s="39">
        <f t="shared" si="751"/>
        <v>18613</v>
      </c>
      <c r="E5632" s="1">
        <v>16</v>
      </c>
      <c r="F5632" s="409">
        <f t="shared" si="750"/>
        <v>334</v>
      </c>
      <c r="G5632" s="168">
        <f>SUM(C5632,C5608,C5584,C5560,C5536,C5512,C5488,C5464,C5440,C5416,C5392,C5368,C5344,C5320)/POBLA!$B$15*100000</f>
        <v>1088.3101902396932</v>
      </c>
      <c r="H5632" s="256">
        <f t="shared" si="746"/>
        <v>1.6384039900249376</v>
      </c>
      <c r="I5632" s="297">
        <f t="shared" si="752"/>
        <v>1783.0917580735122</v>
      </c>
      <c r="J5632" s="297">
        <f t="shared" si="753"/>
        <v>689</v>
      </c>
      <c r="K5632" s="297">
        <f>J5632/POBLA!$B$15*100000</f>
        <v>103.75615346272986</v>
      </c>
      <c r="L5632" s="549">
        <f t="shared" si="747"/>
        <v>-1.0062396006655576</v>
      </c>
      <c r="M5632" s="401">
        <f>SUM(C5632,C5608,C5584,C5560,C5536,C5512,C5488)/POBLA!$B$15*100000</f>
        <v>726.29307423910905</v>
      </c>
    </row>
    <row r="5633" spans="1:13" s="360" customFormat="1" ht="15.75" thickBot="1" x14ac:dyDescent="0.3">
      <c r="A5633" s="367" t="s">
        <v>18</v>
      </c>
      <c r="B5633" s="265">
        <v>44127</v>
      </c>
      <c r="C5633" s="1">
        <v>417</v>
      </c>
      <c r="D5633" s="39">
        <f t="shared" si="751"/>
        <v>21255</v>
      </c>
      <c r="E5633" s="1">
        <f>4+7</f>
        <v>11</v>
      </c>
      <c r="F5633" s="409">
        <f t="shared" si="750"/>
        <v>539</v>
      </c>
      <c r="G5633" s="168">
        <f>SUM(C5633,C5609,C5585,C5561,C5537,C5513,C5489,C5465,C5441,C5417,C5393,C5369,C5345,C5321)/POBLA!$B$16*100000</f>
        <v>728.45467556613744</v>
      </c>
      <c r="H5633" s="256">
        <f t="shared" si="746"/>
        <v>1.2565759113982464</v>
      </c>
      <c r="I5633" s="297">
        <f t="shared" si="752"/>
        <v>915.35859786183312</v>
      </c>
      <c r="J5633" s="297">
        <f t="shared" si="753"/>
        <v>384.85714285714283</v>
      </c>
      <c r="K5633" s="297">
        <f>J5633/POBLA!$B$16*100000</f>
        <v>51.478329992528565</v>
      </c>
      <c r="L5633" s="549">
        <f t="shared" si="747"/>
        <v>2.1075581395348819E-2</v>
      </c>
      <c r="M5633" s="401">
        <f>SUM(C5633,C5609,C5585,C5561,C5537,C5513,C5489)/POBLA!$B$16*100000</f>
        <v>360.34830994770005</v>
      </c>
    </row>
    <row r="5634" spans="1:13" s="360" customFormat="1" ht="15.75" thickBot="1" x14ac:dyDescent="0.3">
      <c r="A5634" s="367" t="s">
        <v>34</v>
      </c>
      <c r="B5634" s="265">
        <v>44127</v>
      </c>
      <c r="C5634" s="1">
        <v>238</v>
      </c>
      <c r="D5634" s="39">
        <f t="shared" si="751"/>
        <v>17692</v>
      </c>
      <c r="E5634" s="1">
        <v>12</v>
      </c>
      <c r="F5634" s="409">
        <f t="shared" si="750"/>
        <v>679</v>
      </c>
      <c r="G5634" s="168">
        <f>SUM(C5634,C5610,C5586,C5562,C5538,C5514,C5490,C5466,C5442,C5418,C5394,C5370,C5346,C5322)/POBLA!$B$17*100000</f>
        <v>204.22677104767843</v>
      </c>
      <c r="H5634" s="256">
        <f t="shared" si="746"/>
        <v>0.75933176716262074</v>
      </c>
      <c r="I5634" s="297">
        <f t="shared" si="752"/>
        <v>155.0758749615496</v>
      </c>
      <c r="J5634" s="297">
        <f t="shared" si="753"/>
        <v>209.42857142857142</v>
      </c>
      <c r="K5634" s="297">
        <f>J5634/POBLA!$B$17*100000</f>
        <v>14.702963529730225</v>
      </c>
      <c r="L5634" s="549">
        <f t="shared" si="747"/>
        <v>-1.5939015939016032E-2</v>
      </c>
      <c r="M5634" s="401">
        <f>SUM(C5634,C5610,C5586,C5562,C5538,C5514,C5490)/POBLA!$B$17*100000</f>
        <v>102.92074470811157</v>
      </c>
    </row>
    <row r="5635" spans="1:13" s="360" customFormat="1" ht="15.75" thickBot="1" x14ac:dyDescent="0.3">
      <c r="A5635" s="367" t="s">
        <v>35</v>
      </c>
      <c r="B5635" s="265">
        <v>44127</v>
      </c>
      <c r="C5635" s="1">
        <v>52</v>
      </c>
      <c r="D5635" s="39">
        <f t="shared" si="751"/>
        <v>1374</v>
      </c>
      <c r="E5635" s="1"/>
      <c r="F5635" s="409">
        <f t="shared" si="750"/>
        <v>76</v>
      </c>
      <c r="G5635" s="168">
        <f>SUM(C5635,C5611,C5587,C5563,C5539,C5515,C5491,C5467,C5443,C5419,C5395,C5371,C5347,C5323)/POBLA!$B$18*100000</f>
        <v>29.313238191181195</v>
      </c>
      <c r="H5635" s="256">
        <f t="shared" si="746"/>
        <v>0.38879456706281834</v>
      </c>
      <c r="I5635" s="297">
        <f t="shared" si="752"/>
        <v>11.396827751749566</v>
      </c>
      <c r="J5635" s="297">
        <f t="shared" si="753"/>
        <v>12.714285714285714</v>
      </c>
      <c r="K5635" s="297">
        <f>J5635/POBLA!$B$18*100000</f>
        <v>1.627497316915238</v>
      </c>
      <c r="L5635" s="549">
        <f t="shared" si="747"/>
        <v>0.36428571428571432</v>
      </c>
      <c r="M5635" s="401">
        <f>SUM(C5635,C5611,C5587,C5563,C5539,C5515,C5491)/POBLA!$B$18*100000</f>
        <v>11.392481218406665</v>
      </c>
    </row>
    <row r="5636" spans="1:13" s="360" customFormat="1" ht="15.75" thickBot="1" x14ac:dyDescent="0.3">
      <c r="A5636" s="367" t="s">
        <v>36</v>
      </c>
      <c r="B5636" s="265">
        <v>44127</v>
      </c>
      <c r="C5636" s="1">
        <v>316</v>
      </c>
      <c r="D5636" s="39">
        <f t="shared" si="751"/>
        <v>5062</v>
      </c>
      <c r="E5636" s="1"/>
      <c r="F5636" s="409">
        <f t="shared" si="750"/>
        <v>52</v>
      </c>
      <c r="G5636" s="168">
        <f>SUM(C5636,C5612,C5588,C5564,C5540,C5516,C5492,C5468,C5444,C5420,C5396,C5372,C5348,C5324)/POBLA!$B$19*100000</f>
        <v>565.38298106734237</v>
      </c>
      <c r="H5636" s="256">
        <f t="shared" si="746"/>
        <v>2.6056210335448777</v>
      </c>
      <c r="I5636" s="297">
        <f t="shared" si="752"/>
        <v>1473.1737874773726</v>
      </c>
      <c r="J5636" s="297">
        <f t="shared" si="753"/>
        <v>302.71428571428572</v>
      </c>
      <c r="K5636" s="297">
        <f>J5636/POBLA!$B$19*100000</f>
        <v>59.550976085182342</v>
      </c>
      <c r="L5636" s="549">
        <f t="shared" si="747"/>
        <v>-1.8066225165562915</v>
      </c>
      <c r="M5636" s="401">
        <f>SUM(C5636,C5612,C5588,C5564,C5540,C5516,C5492)/POBLA!$B$19*100000</f>
        <v>416.85683259627638</v>
      </c>
    </row>
    <row r="5637" spans="1:13" s="360" customFormat="1" ht="15.75" thickBot="1" x14ac:dyDescent="0.3">
      <c r="A5637" s="367" t="s">
        <v>37</v>
      </c>
      <c r="B5637" s="265">
        <v>44127</v>
      </c>
      <c r="C5637" s="1">
        <v>200</v>
      </c>
      <c r="D5637" s="39">
        <f t="shared" si="751"/>
        <v>8155</v>
      </c>
      <c r="E5637" s="1">
        <f>4+1</f>
        <v>5</v>
      </c>
      <c r="F5637" s="409">
        <f t="shared" si="750"/>
        <v>113</v>
      </c>
      <c r="G5637" s="168">
        <f>SUM(C5637,C5613,C5589,C5565,C5541,C5517,C5493,C5469,C5445,C5421,C5397,C5373,C5349,C5325)/POBLA!$B$20*100000</f>
        <v>578.07261729623895</v>
      </c>
      <c r="H5637" s="256">
        <f t="shared" si="746"/>
        <v>1.1836506159014557</v>
      </c>
      <c r="I5637" s="297">
        <f t="shared" si="752"/>
        <v>684.23600949845968</v>
      </c>
      <c r="J5637" s="297">
        <f t="shared" si="753"/>
        <v>159</v>
      </c>
      <c r="K5637" s="297">
        <f>J5637/POBLA!$B$20*100000</f>
        <v>43.478498651893091</v>
      </c>
      <c r="L5637" s="549">
        <f t="shared" si="747"/>
        <v>-0.11188811188811187</v>
      </c>
      <c r="M5637" s="401">
        <f>SUM(C5637,C5613,C5589,C5565,C5541,C5517,C5493)/POBLA!$B$20*100000</f>
        <v>304.34949056325161</v>
      </c>
    </row>
    <row r="5638" spans="1:13" s="360" customFormat="1" ht="15.75" thickBot="1" x14ac:dyDescent="0.3">
      <c r="A5638" s="367" t="s">
        <v>22</v>
      </c>
      <c r="B5638" s="265">
        <v>44127</v>
      </c>
      <c r="C5638" s="1">
        <v>2517</v>
      </c>
      <c r="D5638" s="39">
        <f t="shared" si="751"/>
        <v>91175</v>
      </c>
      <c r="E5638" s="1">
        <f>16+11</f>
        <v>27</v>
      </c>
      <c r="F5638" s="409">
        <f t="shared" si="750"/>
        <v>1034</v>
      </c>
      <c r="G5638" s="168">
        <f>SUM(C5638,C5614,C5590,C5566,C5542,C5518,C5494,C5470,C5446,C5422,C5398,C5374,C5350,C5326)/POBLA!$B$21*100000</f>
        <v>901.05298638339696</v>
      </c>
      <c r="H5638" s="256">
        <f t="shared" si="746"/>
        <v>1.2864352038756561</v>
      </c>
      <c r="I5638" s="297">
        <f t="shared" si="752"/>
        <v>1159.1462822408942</v>
      </c>
      <c r="J5638" s="297">
        <f t="shared" si="753"/>
        <v>2366.4285714285716</v>
      </c>
      <c r="K5638" s="297">
        <f>J5638/POBLA!$B$21*100000</f>
        <v>66.915974622586234</v>
      </c>
      <c r="L5638" s="549">
        <f t="shared" si="747"/>
        <v>-8.2679738562091432E-2</v>
      </c>
      <c r="M5638" s="401">
        <f>SUM(C5638,C5614,C5590,C5566,C5542,C5518,C5494)/POBLA!$B$21*100000</f>
        <v>468.41182235810356</v>
      </c>
    </row>
    <row r="5639" spans="1:13" s="360" customFormat="1" ht="15.75" thickBot="1" x14ac:dyDescent="0.3">
      <c r="A5639" s="367" t="s">
        <v>38</v>
      </c>
      <c r="B5639" s="265">
        <v>44127</v>
      </c>
      <c r="C5639" s="1">
        <v>316</v>
      </c>
      <c r="D5639" s="39">
        <f>C5639+D5615</f>
        <v>7812</v>
      </c>
      <c r="E5639" s="1"/>
      <c r="F5639" s="409">
        <f t="shared" si="750"/>
        <v>106</v>
      </c>
      <c r="G5639" s="168">
        <f>SUM(C5639,C5615,C5591,C5567,C5543,C5519,C5495,C5471,C5447,C5423,C5399,C5375,C5351,C5327)/POBLA!$B$22*100000</f>
        <v>360.72299969437188</v>
      </c>
      <c r="H5639" s="256">
        <f t="shared" si="746"/>
        <v>2.4088737201365187</v>
      </c>
      <c r="I5639" s="297">
        <f t="shared" si="752"/>
        <v>868.93615421258585</v>
      </c>
      <c r="J5639" s="297">
        <f t="shared" si="753"/>
        <v>213.85714285714286</v>
      </c>
      <c r="K5639" s="297">
        <f>J5639/POBLA!$B$22*100000</f>
        <v>21.859787497165311</v>
      </c>
      <c r="L5639" s="549">
        <f t="shared" si="747"/>
        <v>0.26328740157480313</v>
      </c>
      <c r="M5639" s="401">
        <f>SUM(C5639,C5615,C5591,C5567,C5543,C5519,C5495)/POBLA!$B$22*100000</f>
        <v>153.01851248015717</v>
      </c>
    </row>
    <row r="5640" spans="1:13" s="360" customFormat="1" ht="15.75" thickBot="1" x14ac:dyDescent="0.3">
      <c r="A5640" s="367" t="s">
        <v>39</v>
      </c>
      <c r="B5640" s="265">
        <v>44127</v>
      </c>
      <c r="C5640" s="1">
        <v>331</v>
      </c>
      <c r="D5640" s="39">
        <f>C5640+D5616</f>
        <v>9471</v>
      </c>
      <c r="E5640" s="1">
        <f>3+4</f>
        <v>7</v>
      </c>
      <c r="F5640" s="409">
        <f t="shared" si="750"/>
        <v>119</v>
      </c>
      <c r="G5640" s="168">
        <f>SUM(C5640,C5616,C5592,C5568,C5544,C5520,C5496,C5472,C5448,C5424,C5400,C5376,C5352,C5328)/POBLA!$B$23*100000</f>
        <v>1932.9299327037268</v>
      </c>
      <c r="H5640" s="256">
        <f t="shared" si="746"/>
        <v>1.3601273378432153</v>
      </c>
      <c r="I5640" s="297">
        <f t="shared" si="752"/>
        <v>2629.0308436057853</v>
      </c>
      <c r="J5640" s="297">
        <f t="shared" si="753"/>
        <v>244.71428571428572</v>
      </c>
      <c r="K5640" s="297">
        <f>J5640/POBLA!$B$23*100000</f>
        <v>138.38957513673341</v>
      </c>
      <c r="L5640" s="549">
        <f t="shared" si="747"/>
        <v>-4.6920821114369016E-3</v>
      </c>
      <c r="M5640" s="401">
        <f>SUM(C5640,C5616,C5592,C5568,C5544,C5520,C5496)/POBLA!$B$23*100000</f>
        <v>968.72702595713395</v>
      </c>
    </row>
    <row r="5641" spans="1:13" s="360" customFormat="1" ht="15.75" thickBot="1" x14ac:dyDescent="0.3">
      <c r="A5641" s="369" t="s">
        <v>40</v>
      </c>
      <c r="B5641" s="265">
        <v>44127</v>
      </c>
      <c r="C5641" s="1">
        <v>1032</v>
      </c>
      <c r="D5641" s="39">
        <f t="shared" ref="D5641:D5662" si="754">C5641+D5617</f>
        <v>41613</v>
      </c>
      <c r="E5641" s="1">
        <f>4+6</f>
        <v>10</v>
      </c>
      <c r="F5641" s="477">
        <f t="shared" si="750"/>
        <v>597</v>
      </c>
      <c r="G5641" s="177">
        <f>SUM(C5641,C5617,C5593,C5569,C5545,C5521,C5497,C5473,C5449,C5425,C5401,C5377,C5353,C5329)/POBLA!$B$24*100000</f>
        <v>982.67731032138681</v>
      </c>
      <c r="H5641" s="402">
        <f t="shared" si="746"/>
        <v>1.2731651376146789</v>
      </c>
      <c r="I5641" s="403">
        <f t="shared" si="752"/>
        <v>1251.1104930261508</v>
      </c>
      <c r="J5641" s="403">
        <f t="shared" si="753"/>
        <v>1224.4285714285713</v>
      </c>
      <c r="K5641" s="403">
        <f>J5641/POBLA!$B$24*100000</f>
        <v>72.252337431819285</v>
      </c>
      <c r="L5641" s="550">
        <f t="shared" si="747"/>
        <v>-6.050482553823322E-2</v>
      </c>
      <c r="M5641" s="405">
        <f>SUM(C5641,C5617,C5593,C5569,C5545,C5521,C5497)/POBLA!$B$24*100000</f>
        <v>505.766362022735</v>
      </c>
    </row>
    <row r="5642" spans="1:13" s="360" customFormat="1" ht="15.75" thickBot="1" x14ac:dyDescent="0.3">
      <c r="A5642" s="363" t="s">
        <v>16</v>
      </c>
      <c r="B5642" s="265">
        <v>44128</v>
      </c>
      <c r="C5642" s="1">
        <v>3030</v>
      </c>
      <c r="D5642" s="262">
        <f t="shared" si="754"/>
        <v>525123</v>
      </c>
      <c r="E5642" s="1">
        <f>55+41</f>
        <v>96</v>
      </c>
      <c r="F5642" s="475">
        <f t="shared" si="750"/>
        <v>16709</v>
      </c>
      <c r="G5642" s="175">
        <f>SUM(C5642,C5618,C5594,C5570,C5546,C5522,C5498,C5474,C5450,C5426,C5402,C5378,C5354,C5330)/POBLA!$B$1*100000</f>
        <v>337.83435182466184</v>
      </c>
      <c r="H5642" s="300">
        <f t="shared" si="746"/>
        <v>0.88516460536535824</v>
      </c>
      <c r="I5642" s="301">
        <f>G5642*H5642</f>
        <v>299.0390107117384</v>
      </c>
      <c r="J5642" s="301">
        <f>AVERAGE(C5642,C5618,C5594,C5570,C5546,C5522,C5498)</f>
        <v>4183.1428571428569</v>
      </c>
      <c r="K5642" s="301">
        <f>J5642/POBLA!$B$1*100000</f>
        <v>23.847609782869068</v>
      </c>
      <c r="L5642" s="548">
        <f t="shared" si="747"/>
        <v>2.3217025818933923E-2</v>
      </c>
      <c r="M5642" s="400">
        <f>SUM(C5642,C5618,C5594,C5570,C5546,C5522,C5498)/POBLA!$B$1*100000</f>
        <v>166.93326848008348</v>
      </c>
    </row>
    <row r="5643" spans="1:13" s="360" customFormat="1" ht="15.75" thickBot="1" x14ac:dyDescent="0.3">
      <c r="A5643" s="367" t="s">
        <v>43</v>
      </c>
      <c r="B5643" s="265">
        <v>44128</v>
      </c>
      <c r="C5643" s="1">
        <v>464</v>
      </c>
      <c r="D5643" s="39">
        <f t="shared" si="754"/>
        <v>143545</v>
      </c>
      <c r="E5643" s="1">
        <f>1+17+23</f>
        <v>41</v>
      </c>
      <c r="F5643" s="409">
        <f t="shared" si="750"/>
        <v>4479</v>
      </c>
      <c r="G5643" s="168">
        <f>SUM(C5643,C5619,C5595,C5571,C5547,C5523,C5499,C5475,C5451,C5427,C5403,C5379,C5355,C5331)/POBLA!$B$2*100000</f>
        <v>298.96158400544147</v>
      </c>
      <c r="H5643" s="256">
        <f t="shared" si="746"/>
        <v>0.78656971770744222</v>
      </c>
      <c r="I5643" s="297">
        <f t="shared" ref="I5643:I5665" si="755">G5643*H5643</f>
        <v>235.15412873652986</v>
      </c>
      <c r="J5643" s="297">
        <f t="shared" ref="J5643:J5665" si="756">AVERAGE(C5643,C5619,C5595,C5571,C5547,C5523,C5499)</f>
        <v>584.57142857142856</v>
      </c>
      <c r="K5643" s="297">
        <f>J5643/POBLA!$B$2*100000</f>
        <v>19.006460059819258</v>
      </c>
      <c r="L5643" s="549">
        <f t="shared" si="747"/>
        <v>0.1981187536743092</v>
      </c>
      <c r="M5643" s="401">
        <f>SUM(C5643,C5619,C5595,C5571,C5547,C5523,C5499)/POBLA!$B$2*100000</f>
        <v>133.0452204187348</v>
      </c>
    </row>
    <row r="5644" spans="1:13" s="360" customFormat="1" ht="15.75" thickBot="1" x14ac:dyDescent="0.3">
      <c r="A5644" s="367" t="s">
        <v>28</v>
      </c>
      <c r="B5644" s="265">
        <v>44128</v>
      </c>
      <c r="C5644" s="1">
        <v>33</v>
      </c>
      <c r="D5644" s="39">
        <f t="shared" si="754"/>
        <v>596</v>
      </c>
      <c r="E5644" s="1"/>
      <c r="F5644" s="409">
        <f t="shared" si="750"/>
        <v>0</v>
      </c>
      <c r="G5644" s="168">
        <f>SUM(C5644,C5620,C5596,C5572,C5548,C5524,C5500,C5476,C5452,C5428,C5404,C5380,C5356,C5332)/POBLA!$B$3*100000</f>
        <v>54.40041594654317</v>
      </c>
      <c r="H5644" s="256">
        <f t="shared" si="746"/>
        <v>1.3696969696969696</v>
      </c>
      <c r="I5644" s="297">
        <f t="shared" si="755"/>
        <v>74.51208487223488</v>
      </c>
      <c r="J5644" s="297">
        <f t="shared" si="756"/>
        <v>20.428571428571427</v>
      </c>
      <c r="K5644" s="297">
        <f>J5644/POBLA!$B$3*100000</f>
        <v>4.9173574464953678</v>
      </c>
      <c r="L5644" s="549">
        <f t="shared" si="747"/>
        <v>-0.72289156626506035</v>
      </c>
      <c r="M5644" s="401">
        <f>SUM(C5644,C5620,C5596,C5572,C5548,C5524,C5500)/POBLA!$B$3*100000</f>
        <v>34.421502125467576</v>
      </c>
    </row>
    <row r="5645" spans="1:13" s="360" customFormat="1" ht="15.75" thickBot="1" x14ac:dyDescent="0.3">
      <c r="A5645" s="367" t="s">
        <v>15</v>
      </c>
      <c r="B5645" s="265">
        <v>44128</v>
      </c>
      <c r="C5645" s="1">
        <v>147</v>
      </c>
      <c r="D5645" s="39">
        <f t="shared" si="754"/>
        <v>12928</v>
      </c>
      <c r="E5645" s="1">
        <f>5+1</f>
        <v>6</v>
      </c>
      <c r="F5645" s="409">
        <f t="shared" si="750"/>
        <v>400</v>
      </c>
      <c r="G5645" s="168">
        <f>SUM(C5645,C5621,C5597,C5573,C5549,C5525,C5501,C5477,C5453,C5429,C5405,C5381,C5357,C5333)/POBLA!$B$4*100000</f>
        <v>228.63480778155332</v>
      </c>
      <c r="H5645" s="256">
        <f t="shared" si="746"/>
        <v>1.3070716658756525</v>
      </c>
      <c r="I5645" s="297">
        <f t="shared" si="755"/>
        <v>298.84207908419449</v>
      </c>
      <c r="J5645" s="297">
        <f t="shared" si="756"/>
        <v>213.85714285714286</v>
      </c>
      <c r="K5645" s="297">
        <f>J5645/POBLA!$B$4*100000</f>
        <v>17.754243554776703</v>
      </c>
      <c r="L5645" s="549">
        <f t="shared" si="747"/>
        <v>-0.19093078758949877</v>
      </c>
      <c r="M5645" s="401">
        <f>SUM(C5645,C5621,C5597,C5573,C5549,C5525,C5501)/POBLA!$B$4*100000</f>
        <v>124.27970488343692</v>
      </c>
    </row>
    <row r="5646" spans="1:13" s="360" customFormat="1" ht="15.75" thickBot="1" x14ac:dyDescent="0.3">
      <c r="A5646" s="367" t="s">
        <v>29</v>
      </c>
      <c r="B5646" s="265">
        <v>44128</v>
      </c>
      <c r="C5646" s="1">
        <v>351</v>
      </c>
      <c r="D5646" s="39">
        <f t="shared" si="754"/>
        <v>11952</v>
      </c>
      <c r="E5646" s="1">
        <f>3+2</f>
        <v>5</v>
      </c>
      <c r="F5646" s="409">
        <f t="shared" si="750"/>
        <v>211</v>
      </c>
      <c r="G5646" s="168">
        <f>SUM(C5646,C5622,C5598,C5574,C5550,C5526,C5502,C5478,C5454,C5430,C5406,C5382,C5358,C5334)/POBLA!$B$5*100000</f>
        <v>860.9130298516626</v>
      </c>
      <c r="H5646" s="256">
        <f t="shared" si="746"/>
        <v>1.608026554013277</v>
      </c>
      <c r="I5646" s="297">
        <f t="shared" si="755"/>
        <v>1384.3710126974984</v>
      </c>
      <c r="J5646" s="297">
        <f t="shared" si="756"/>
        <v>437.14285714285717</v>
      </c>
      <c r="K5646" s="297">
        <f>J5646/POBLA!$B$5*100000</f>
        <v>70.62150152390123</v>
      </c>
      <c r="L5646" s="549">
        <f t="shared" si="747"/>
        <v>-0.3486117232260908</v>
      </c>
      <c r="M5646" s="401">
        <f>SUM(C5646,C5622,C5598,C5574,C5550,C5526,C5502)/POBLA!$B$5*100000</f>
        <v>494.35051066730858</v>
      </c>
    </row>
    <row r="5647" spans="1:13" s="360" customFormat="1" ht="15.75" thickBot="1" x14ac:dyDescent="0.3">
      <c r="A5647" s="367" t="s">
        <v>20</v>
      </c>
      <c r="B5647" s="265">
        <v>44128</v>
      </c>
      <c r="C5647" s="1">
        <v>1847</v>
      </c>
      <c r="D5647" s="39">
        <f t="shared" si="754"/>
        <v>74605</v>
      </c>
      <c r="E5647" s="1">
        <f>17+13</f>
        <v>30</v>
      </c>
      <c r="F5647" s="409">
        <f t="shared" si="750"/>
        <v>1076</v>
      </c>
      <c r="G5647" s="168">
        <f>SUM(C5647,C5623,C5599,C5575,C5551,C5527,C5503,C5479,C5455,C5431,C5407,C5383,C5359,C5335)/POBLA!$B$6*100000</f>
        <v>2170.2336097130537</v>
      </c>
      <c r="H5647" s="256">
        <f t="shared" si="746"/>
        <v>1.0740021193924407</v>
      </c>
      <c r="I5647" s="297">
        <f t="shared" si="755"/>
        <v>2330.8354964085265</v>
      </c>
      <c r="J5647" s="297">
        <f t="shared" si="756"/>
        <v>1934.8571428571429</v>
      </c>
      <c r="K5647" s="297">
        <f>J5647/POBLA!$B$6*100000</f>
        <v>172.63163959142994</v>
      </c>
      <c r="L5647" s="549">
        <f t="shared" si="747"/>
        <v>-0.25640074211502784</v>
      </c>
      <c r="M5647" s="401">
        <f>SUM(C5647,C5623,C5599,C5575,C5551,C5527,C5503)/POBLA!$B$6*100000</f>
        <v>1208.4214771400098</v>
      </c>
    </row>
    <row r="5648" spans="1:13" s="360" customFormat="1" ht="15.75" thickBot="1" x14ac:dyDescent="0.3">
      <c r="A5648" s="367" t="s">
        <v>30</v>
      </c>
      <c r="B5648" s="265">
        <v>44128</v>
      </c>
      <c r="C5648" s="1">
        <v>45</v>
      </c>
      <c r="D5648" s="39">
        <f t="shared" si="754"/>
        <v>2245</v>
      </c>
      <c r="E5648" s="1"/>
      <c r="F5648" s="409">
        <f t="shared" si="750"/>
        <v>40</v>
      </c>
      <c r="G5648" s="168">
        <f>SUM(C5648,C5624,C5600,C5576,C5552,C5528,C5504,C5480,C5456,C5432,C5408,C5384,C5360,C5336)/POBLA!$B$7*100000</f>
        <v>19.625310800569082</v>
      </c>
      <c r="H5648" s="256">
        <f t="shared" si="746"/>
        <v>1.4969574036511155</v>
      </c>
      <c r="I5648" s="297">
        <f t="shared" si="755"/>
        <v>29.37825430186609</v>
      </c>
      <c r="J5648" s="297">
        <f t="shared" si="756"/>
        <v>44</v>
      </c>
      <c r="K5648" s="297">
        <f>J5648/POBLA!$B$7*100000</f>
        <v>1.1700727306572352</v>
      </c>
      <c r="L5648" s="549">
        <f t="shared" si="747"/>
        <v>0.28372093023255818</v>
      </c>
      <c r="M5648" s="401">
        <f>SUM(C5648,C5624,C5600,C5576,C5552,C5528,C5504)/POBLA!$B$7*100000</f>
        <v>8.1905091146006459</v>
      </c>
    </row>
    <row r="5649" spans="1:13" ht="15.75" thickBot="1" x14ac:dyDescent="0.3">
      <c r="A5649" s="367" t="s">
        <v>31</v>
      </c>
      <c r="B5649" s="265">
        <v>44128</v>
      </c>
      <c r="C5649" s="1">
        <v>309</v>
      </c>
      <c r="D5649" s="39">
        <f t="shared" si="754"/>
        <v>13738</v>
      </c>
      <c r="E5649" s="1">
        <f>1+1</f>
        <v>2</v>
      </c>
      <c r="F5649" s="409">
        <f t="shared" si="750"/>
        <v>229</v>
      </c>
      <c r="G5649" s="168">
        <f>SUM(C5649,C5625,C5601,C5577,C5553,C5529,C5505,C5481,C5457,C5433,C5409,C5385,C5361,C5337)/POBLA!$B$8*100000</f>
        <v>325.04522133018173</v>
      </c>
      <c r="H5649" s="256">
        <f t="shared" si="746"/>
        <v>1.9784804567413263</v>
      </c>
      <c r="I5649" s="297">
        <f t="shared" si="755"/>
        <v>643.09561795892341</v>
      </c>
      <c r="J5649" s="297">
        <f t="shared" si="756"/>
        <v>369</v>
      </c>
      <c r="K5649" s="297">
        <f>J5649/POBLA!$B$8*100000</f>
        <v>26.624125787089245</v>
      </c>
      <c r="L5649" s="549">
        <f t="shared" si="747"/>
        <v>-0.34391259105098859</v>
      </c>
      <c r="M5649" s="401">
        <f>SUM(C5649,C5625,C5601,C5577,C5553,C5529,C5505)/POBLA!$B$8*100000</f>
        <v>186.36888050962474</v>
      </c>
    </row>
    <row r="5650" spans="1:13" s="360" customFormat="1" ht="15.75" thickBot="1" x14ac:dyDescent="0.3">
      <c r="A5650" s="367" t="s">
        <v>41</v>
      </c>
      <c r="B5650" s="265">
        <v>44128</v>
      </c>
      <c r="C5650" s="1">
        <v>0</v>
      </c>
      <c r="D5650" s="39">
        <f t="shared" si="754"/>
        <v>142</v>
      </c>
      <c r="E5650" s="1"/>
      <c r="F5650" s="409">
        <f t="shared" si="750"/>
        <v>1</v>
      </c>
      <c r="G5650" s="168">
        <f>SUM(C5650,C5626,C5602,C5578,C5554,C5530,C5506,C5482,C5458,C5434,C5410,C5386,C5362,C5338)/POBLA!$B$9*100000</f>
        <v>2.3133116212514024</v>
      </c>
      <c r="H5650" s="256">
        <f t="shared" si="746"/>
        <v>0.58333333333333337</v>
      </c>
      <c r="I5650" s="297">
        <f t="shared" si="755"/>
        <v>1.3494317790633181</v>
      </c>
      <c r="J5650" s="297">
        <f t="shared" si="756"/>
        <v>0.2857142857142857</v>
      </c>
      <c r="K5650" s="297">
        <f>J5650/POBLA!$B$9*100000</f>
        <v>4.7210441250028622E-2</v>
      </c>
      <c r="L5650" s="549">
        <f t="shared" si="747"/>
        <v>0.83333333333333337</v>
      </c>
      <c r="M5650" s="401">
        <f>SUM(C5650,C5626,C5602,C5578,C5554,C5530,C5506)/POBLA!$B$9*100000</f>
        <v>0.33047308875020037</v>
      </c>
    </row>
    <row r="5651" spans="1:13" s="360" customFormat="1" ht="15.75" thickBot="1" x14ac:dyDescent="0.3">
      <c r="A5651" s="367" t="s">
        <v>32</v>
      </c>
      <c r="B5651" s="265">
        <v>44128</v>
      </c>
      <c r="C5651" s="1">
        <v>62</v>
      </c>
      <c r="D5651" s="39">
        <f t="shared" si="754"/>
        <v>17579</v>
      </c>
      <c r="E5651" s="1">
        <f>3+1</f>
        <v>4</v>
      </c>
      <c r="F5651" s="409">
        <f t="shared" si="750"/>
        <v>772</v>
      </c>
      <c r="G5651" s="168">
        <f>SUM(C5651,C5627,C5603,C5579,C5555,C5531,C5507,C5483,C5459,C5435,C5411,C5387,C5363,C5339)/POBLA!$B$10*100000</f>
        <v>117.65758917394514</v>
      </c>
      <c r="H5651" s="256">
        <f t="shared" si="746"/>
        <v>0.61826857532379009</v>
      </c>
      <c r="I5651" s="297">
        <f t="shared" si="755"/>
        <v>72.743990034606853</v>
      </c>
      <c r="J5651" s="297">
        <f t="shared" si="756"/>
        <v>55.714285714285715</v>
      </c>
      <c r="K5651" s="297">
        <f>J5651/POBLA!$B$10*100000</f>
        <v>7.2273523039594592</v>
      </c>
      <c r="L5651" s="549">
        <f t="shared" si="747"/>
        <v>0.24564796905222441</v>
      </c>
      <c r="M5651" s="401">
        <f>SUM(C5651,C5627,C5603,C5579,C5555,C5531,C5507)/POBLA!$B$10*100000</f>
        <v>50.591466127716217</v>
      </c>
    </row>
    <row r="5652" spans="1:13" s="360" customFormat="1" ht="15.75" thickBot="1" x14ac:dyDescent="0.3">
      <c r="A5652" s="367" t="s">
        <v>33</v>
      </c>
      <c r="B5652" s="265">
        <v>44128</v>
      </c>
      <c r="C5652" s="1">
        <v>77</v>
      </c>
      <c r="D5652" s="39">
        <f t="shared" si="754"/>
        <v>2336</v>
      </c>
      <c r="E5652" s="1"/>
      <c r="F5652" s="409">
        <f t="shared" si="750"/>
        <v>25</v>
      </c>
      <c r="G5652" s="168">
        <f>SUM(C5652,C5628,C5604,C5580,C5556,C5532,C5508,C5484,C5460,C5436,C5412,C5388,C5364,C5340)/POBLA!$B$11*100000</f>
        <v>361.57889450600959</v>
      </c>
      <c r="H5652" s="256">
        <f t="shared" si="746"/>
        <v>3.6404494382022472</v>
      </c>
      <c r="I5652" s="297">
        <f t="shared" si="755"/>
        <v>1316.3096833701923</v>
      </c>
      <c r="J5652" s="297">
        <f t="shared" si="756"/>
        <v>115</v>
      </c>
      <c r="K5652" s="297">
        <f>J5652/POBLA!$B$11*100000</f>
        <v>32.084546966196839</v>
      </c>
      <c r="L5652" s="549">
        <f t="shared" si="747"/>
        <v>-0.63951120162932784</v>
      </c>
      <c r="M5652" s="401">
        <f>SUM(C5652,C5628,C5604,C5580,C5556,C5532,C5508)/POBLA!$B$11*100000</f>
        <v>224.59182876337786</v>
      </c>
    </row>
    <row r="5653" spans="1:13" s="360" customFormat="1" ht="15.75" thickBot="1" x14ac:dyDescent="0.3">
      <c r="A5653" s="367" t="s">
        <v>21</v>
      </c>
      <c r="B5653" s="265">
        <v>44128</v>
      </c>
      <c r="C5653" s="1">
        <v>46</v>
      </c>
      <c r="D5653" s="39">
        <f t="shared" si="754"/>
        <v>7016</v>
      </c>
      <c r="E5653" s="1"/>
      <c r="F5653" s="409">
        <f t="shared" si="750"/>
        <v>239</v>
      </c>
      <c r="G5653" s="168">
        <f>SUM(C5653,C5629,C5605,C5581,C5557,C5533,C5509,C5485,C5461,C5437,C5413,C5389,C5365,C5341)/POBLA!$B$12*100000</f>
        <v>340.50684698282981</v>
      </c>
      <c r="H5653" s="256">
        <f t="shared" si="746"/>
        <v>1.1355932203389831</v>
      </c>
      <c r="I5653" s="297">
        <f t="shared" si="755"/>
        <v>386.67726691270508</v>
      </c>
      <c r="J5653" s="297">
        <f t="shared" si="756"/>
        <v>91.142857142857139</v>
      </c>
      <c r="K5653" s="297">
        <f>J5653/POBLA!$B$12*100000</f>
        <v>23.160273813970726</v>
      </c>
      <c r="L5653" s="549">
        <f t="shared" si="747"/>
        <v>9.1168091168091214E-2</v>
      </c>
      <c r="M5653" s="401">
        <f>SUM(C5653,C5629,C5605,C5581,C5557,C5533,C5509)/POBLA!$B$12*100000</f>
        <v>162.12191669779509</v>
      </c>
    </row>
    <row r="5654" spans="1:13" s="360" customFormat="1" ht="15.75" thickBot="1" x14ac:dyDescent="0.3">
      <c r="A5654" s="367" t="s">
        <v>17</v>
      </c>
      <c r="B5654" s="265">
        <v>44128</v>
      </c>
      <c r="C5654" s="1">
        <v>653</v>
      </c>
      <c r="D5654" s="39">
        <f t="shared" si="754"/>
        <v>42388</v>
      </c>
      <c r="E5654" s="1">
        <f>2+4</f>
        <v>6</v>
      </c>
      <c r="F5654" s="409">
        <f t="shared" si="750"/>
        <v>689</v>
      </c>
      <c r="G5654" s="168">
        <f>SUM(C5654,C5630,C5606,C5582,C5558,C5534,C5510,C5486,C5462,C5438,C5414,C5390,C5366,C5342)/POBLA!$B$13*100000</f>
        <v>548.85150160425007</v>
      </c>
      <c r="H5654" s="256">
        <f t="shared" si="746"/>
        <v>1.2163456185280035</v>
      </c>
      <c r="I5654" s="297">
        <f t="shared" si="755"/>
        <v>667.5931191988451</v>
      </c>
      <c r="J5654" s="297">
        <f t="shared" si="756"/>
        <v>828.42857142857144</v>
      </c>
      <c r="K5654" s="297">
        <f>J5654/POBLA!$B$13*100000</f>
        <v>41.622506902273457</v>
      </c>
      <c r="L5654" s="549">
        <f t="shared" si="747"/>
        <v>-0.13151219512195111</v>
      </c>
      <c r="M5654" s="401">
        <f>SUM(C5654,C5630,C5606,C5582,C5558,C5534,C5510)/POBLA!$B$13*100000</f>
        <v>291.35754831591419</v>
      </c>
    </row>
    <row r="5655" spans="1:13" s="360" customFormat="1" ht="15.75" thickBot="1" x14ac:dyDescent="0.3">
      <c r="A5655" s="367" t="s">
        <v>23</v>
      </c>
      <c r="B5655" s="265">
        <v>44128</v>
      </c>
      <c r="C5655" s="1">
        <v>3</v>
      </c>
      <c r="D5655" s="39">
        <f t="shared" si="754"/>
        <v>212</v>
      </c>
      <c r="E5655" s="1">
        <f>1</f>
        <v>1</v>
      </c>
      <c r="F5655" s="409">
        <f t="shared" si="750"/>
        <v>5</v>
      </c>
      <c r="G5655" s="168">
        <f>SUM(C5655,C5631,C5607,C5583,C5559,C5535,C5511,C5487,C5463,C5439,C5415,C5391,C5367,C5343)/POBLA!$B$14*100000</f>
        <v>4.994870347436839</v>
      </c>
      <c r="H5655" s="256">
        <f t="shared" si="746"/>
        <v>0.94029850746268662</v>
      </c>
      <c r="I5655" s="297">
        <f t="shared" si="755"/>
        <v>4.6966691326644909</v>
      </c>
      <c r="J5655" s="297">
        <f t="shared" si="756"/>
        <v>1.8571428571428572</v>
      </c>
      <c r="K5655" s="297">
        <f>J5655/POBLA!$B$14*100000</f>
        <v>0.14724107600153949</v>
      </c>
      <c r="L5655" s="549">
        <f t="shared" si="747"/>
        <v>0.74</v>
      </c>
      <c r="M5655" s="401">
        <f>SUM(C5655,C5631,C5607,C5583,C5559,C5535,C5511)/POBLA!$B$14*100000</f>
        <v>1.0306875320107762</v>
      </c>
    </row>
    <row r="5656" spans="1:13" s="360" customFormat="1" ht="15.75" thickBot="1" x14ac:dyDescent="0.3">
      <c r="A5656" s="367" t="s">
        <v>19</v>
      </c>
      <c r="B5656" s="265">
        <v>44128</v>
      </c>
      <c r="C5656" s="1">
        <v>534</v>
      </c>
      <c r="D5656" s="39">
        <f t="shared" si="754"/>
        <v>19147</v>
      </c>
      <c r="E5656" s="1"/>
      <c r="F5656" s="409">
        <f t="shared" si="750"/>
        <v>334</v>
      </c>
      <c r="G5656" s="168">
        <f>SUM(C5656,C5632,C5608,C5584,C5560,C5536,C5512,C5488,C5464,C5440,C5416,C5392,C5368,C5344)/POBLA!$B$15*100000</f>
        <v>1103.5197279751587</v>
      </c>
      <c r="H5656" s="256">
        <f t="shared" si="746"/>
        <v>1.5711835334476845</v>
      </c>
      <c r="I5656" s="297">
        <f t="shared" si="755"/>
        <v>1733.8320254292375</v>
      </c>
      <c r="J5656" s="297">
        <f t="shared" si="756"/>
        <v>621.71428571428567</v>
      </c>
      <c r="K5656" s="297">
        <f>J5656/POBLA!$B$15*100000</f>
        <v>93.623632566825691</v>
      </c>
      <c r="L5656" s="549">
        <f t="shared" si="747"/>
        <v>-0.4623655913978495</v>
      </c>
      <c r="M5656" s="401">
        <f>SUM(C5656,C5632,C5608,C5584,C5560,C5536,C5512)/POBLA!$B$15*100000</f>
        <v>655.36542796777985</v>
      </c>
    </row>
    <row r="5657" spans="1:13" s="360" customFormat="1" ht="15.75" thickBot="1" x14ac:dyDescent="0.3">
      <c r="A5657" s="367" t="s">
        <v>18</v>
      </c>
      <c r="B5657" s="265">
        <v>44128</v>
      </c>
      <c r="C5657" s="1">
        <v>267</v>
      </c>
      <c r="D5657" s="39">
        <f t="shared" si="754"/>
        <v>21522</v>
      </c>
      <c r="E5657" s="1">
        <f>4+6</f>
        <v>10</v>
      </c>
      <c r="F5657" s="409">
        <f t="shared" si="750"/>
        <v>549</v>
      </c>
      <c r="G5657" s="168">
        <f>SUM(C5657,C5633,C5609,C5585,C5561,C5537,C5513,C5489,C5465,C5441,C5417,C5393,C5369,C5345)/POBLA!$B$16*100000</f>
        <v>706.25058519816491</v>
      </c>
      <c r="H5657" s="256">
        <f t="shared" si="746"/>
        <v>1.1671087533156499</v>
      </c>
      <c r="I5657" s="297">
        <f t="shared" si="755"/>
        <v>824.27124001907839</v>
      </c>
      <c r="J5657" s="297">
        <f t="shared" si="756"/>
        <v>372</v>
      </c>
      <c r="K5657" s="297">
        <f>J5657/POBLA!$B$16*100000</f>
        <v>49.75856395714343</v>
      </c>
      <c r="L5657" s="549">
        <f t="shared" si="747"/>
        <v>2.6905829596412523E-2</v>
      </c>
      <c r="M5657" s="401">
        <f>SUM(C5657,C5633,C5609,C5585,C5561,C5537,C5513)/POBLA!$B$16*100000</f>
        <v>348.30994770000399</v>
      </c>
    </row>
    <row r="5658" spans="1:13" s="360" customFormat="1" ht="15.75" thickBot="1" x14ac:dyDescent="0.3">
      <c r="A5658" s="367" t="s">
        <v>34</v>
      </c>
      <c r="B5658" s="265">
        <v>44128</v>
      </c>
      <c r="C5658" s="1">
        <v>193</v>
      </c>
      <c r="D5658" s="39">
        <f t="shared" si="754"/>
        <v>17885</v>
      </c>
      <c r="E5658" s="1">
        <v>3</v>
      </c>
      <c r="F5658" s="409">
        <f t="shared" si="750"/>
        <v>682</v>
      </c>
      <c r="G5658" s="168">
        <f>SUM(C5658,C5634,C5610,C5586,C5562,C5538,C5514,C5490,C5466,C5442,C5418,C5394,C5370,C5346)/POBLA!$B$17*100000</f>
        <v>185.9734329684772</v>
      </c>
      <c r="H5658" s="256">
        <f t="shared" ref="H5658:H5689" si="757">SUM(C5658,C5634,C5610,C5586,C5562,C5538,C5514,C5490,C5466,C5442,C5418,C5394,C5370,C5346)/SUM(C5322,C5298,C5274,C5250,C5226,C5202,C5178,C5154,C5130,C5106,C5082,C5058,C5034,C5010)</f>
        <v>0.66507657544564402</v>
      </c>
      <c r="I5658" s="297">
        <f t="shared" si="755"/>
        <v>123.68657392254485</v>
      </c>
      <c r="J5658" s="297">
        <f t="shared" si="756"/>
        <v>203</v>
      </c>
      <c r="K5658" s="297">
        <f>J5658/POBLA!$B$17*100000</f>
        <v>14.251644731068657</v>
      </c>
      <c r="L5658" s="549">
        <f t="shared" ref="L5658:L5689" si="758">1-SUM(C5658,C5634,C5610,C5586,C5562,C5538,C5514)/SUM(C5490,C5466,C5442,C5418,C5394,C5370,C5346)</f>
        <v>-0.15716612377850159</v>
      </c>
      <c r="M5658" s="401">
        <f>SUM(C5658,C5634,C5610,C5586,C5562,C5538,C5514)/POBLA!$B$17*100000</f>
        <v>99.76151311748059</v>
      </c>
    </row>
    <row r="5659" spans="1:13" s="360" customFormat="1" ht="15.75" thickBot="1" x14ac:dyDescent="0.3">
      <c r="A5659" s="367" t="s">
        <v>35</v>
      </c>
      <c r="B5659" s="265">
        <v>44128</v>
      </c>
      <c r="C5659" s="1">
        <v>6</v>
      </c>
      <c r="D5659" s="39">
        <f t="shared" si="754"/>
        <v>1380</v>
      </c>
      <c r="E5659" s="1">
        <f>1</f>
        <v>1</v>
      </c>
      <c r="F5659" s="409">
        <f t="shared" si="750"/>
        <v>77</v>
      </c>
      <c r="G5659" s="168">
        <f>SUM(C5659,C5635,C5611,C5587,C5563,C5539,C5515,C5491,C5467,C5443,C5419,C5395,C5371,C5347)/POBLA!$B$18*100000</f>
        <v>29.95326522592314</v>
      </c>
      <c r="H5659" s="256">
        <f t="shared" si="757"/>
        <v>0.39795918367346939</v>
      </c>
      <c r="I5659" s="297">
        <f t="shared" si="755"/>
        <v>11.92017697766329</v>
      </c>
      <c r="J5659" s="297">
        <f t="shared" si="756"/>
        <v>12.714285714285714</v>
      </c>
      <c r="K5659" s="297">
        <f>J5659/POBLA!$B$18*100000</f>
        <v>1.627497316915238</v>
      </c>
      <c r="L5659" s="549">
        <f t="shared" si="758"/>
        <v>0.38620689655172413</v>
      </c>
      <c r="M5659" s="401">
        <f>SUM(C5659,C5635,C5611,C5587,C5563,C5539,C5515)/POBLA!$B$18*100000</f>
        <v>11.392481218406665</v>
      </c>
    </row>
    <row r="5660" spans="1:13" s="360" customFormat="1" ht="15.75" thickBot="1" x14ac:dyDescent="0.3">
      <c r="A5660" s="367" t="s">
        <v>36</v>
      </c>
      <c r="B5660" s="265">
        <v>44128</v>
      </c>
      <c r="C5660" s="1">
        <v>233</v>
      </c>
      <c r="D5660" s="39">
        <f t="shared" si="754"/>
        <v>5295</v>
      </c>
      <c r="E5660" s="1"/>
      <c r="F5660" s="409">
        <f t="shared" si="750"/>
        <v>52</v>
      </c>
      <c r="G5660" s="168">
        <f>SUM(C5660,C5636,C5612,C5588,C5564,C5540,C5516,C5492,C5468,C5444,C5420,C5396,C5372,C5348)/POBLA!$B$19*100000</f>
        <v>608.46540029272433</v>
      </c>
      <c r="H5660" s="256">
        <f t="shared" si="757"/>
        <v>2.771505376344086</v>
      </c>
      <c r="I5660" s="297">
        <f t="shared" si="755"/>
        <v>1686.3651282306419</v>
      </c>
      <c r="J5660" s="297">
        <f t="shared" si="756"/>
        <v>307.28571428571428</v>
      </c>
      <c r="K5660" s="297">
        <f>J5660/POBLA!$B$19*100000</f>
        <v>60.450282944420586</v>
      </c>
      <c r="L5660" s="549">
        <f t="shared" si="758"/>
        <v>-1.2834394904458599</v>
      </c>
      <c r="M5660" s="401">
        <f>SUM(C5660,C5636,C5612,C5588,C5564,C5540,C5516)/POBLA!$B$19*100000</f>
        <v>423.15198061094407</v>
      </c>
    </row>
    <row r="5661" spans="1:13" s="360" customFormat="1" ht="15.75" thickBot="1" x14ac:dyDescent="0.3">
      <c r="A5661" s="367" t="s">
        <v>37</v>
      </c>
      <c r="B5661" s="265">
        <v>44128</v>
      </c>
      <c r="C5661" s="1">
        <v>136</v>
      </c>
      <c r="D5661" s="39">
        <f t="shared" si="754"/>
        <v>8291</v>
      </c>
      <c r="E5661" s="1"/>
      <c r="F5661" s="409">
        <f t="shared" si="750"/>
        <v>113</v>
      </c>
      <c r="G5661" s="168">
        <f>SUM(C5661,C5637,C5613,C5589,C5565,C5541,C5517,C5493,C5469,C5445,C5421,C5397,C5373,C5349)/POBLA!$B$20*100000</f>
        <v>568.77532827633729</v>
      </c>
      <c r="H5661" s="256">
        <f t="shared" si="757"/>
        <v>1.13599126160568</v>
      </c>
      <c r="I5661" s="297">
        <f t="shared" si="755"/>
        <v>646.12380273882115</v>
      </c>
      <c r="J5661" s="297">
        <f t="shared" si="756"/>
        <v>158.28571428571428</v>
      </c>
      <c r="K5661" s="297">
        <f>J5661/POBLA!$B$20*100000</f>
        <v>43.283177453995997</v>
      </c>
      <c r="L5661" s="549">
        <f t="shared" si="758"/>
        <v>-0.13991769547325106</v>
      </c>
      <c r="M5661" s="401">
        <f>SUM(C5661,C5637,C5613,C5589,C5565,C5541,C5517)/POBLA!$B$20*100000</f>
        <v>302.98224217797195</v>
      </c>
    </row>
    <row r="5662" spans="1:13" s="360" customFormat="1" ht="15.75" thickBot="1" x14ac:dyDescent="0.3">
      <c r="A5662" s="367" t="s">
        <v>22</v>
      </c>
      <c r="B5662" s="265">
        <v>44128</v>
      </c>
      <c r="C5662" s="1">
        <v>1927</v>
      </c>
      <c r="D5662" s="39">
        <f t="shared" si="754"/>
        <v>93102</v>
      </c>
      <c r="E5662" s="1">
        <f>7+10</f>
        <v>17</v>
      </c>
      <c r="F5662" s="409">
        <f t="shared" si="750"/>
        <v>1051</v>
      </c>
      <c r="G5662" s="168">
        <f>SUM(C5662,C5638,C5614,C5590,C5566,C5542,C5518,C5494,C5470,C5446,C5422,C5398,C5374,C5350)/POBLA!$B$21*100000</f>
        <v>897.77283115287844</v>
      </c>
      <c r="H5662" s="256">
        <f t="shared" si="757"/>
        <v>1.2449611795153321</v>
      </c>
      <c r="I5662" s="297">
        <f t="shared" si="755"/>
        <v>1117.6923228089067</v>
      </c>
      <c r="J5662" s="297">
        <f t="shared" si="756"/>
        <v>2327.5714285714284</v>
      </c>
      <c r="K5662" s="297">
        <f>J5662/POBLA!$B$21*100000</f>
        <v>65.817203412363256</v>
      </c>
      <c r="L5662" s="549">
        <f t="shared" si="758"/>
        <v>-5.4153726708074501E-2</v>
      </c>
      <c r="M5662" s="401">
        <f>SUM(C5662,C5638,C5614,C5590,C5566,C5542,C5518)/POBLA!$B$21*100000</f>
        <v>460.72042388654285</v>
      </c>
    </row>
    <row r="5663" spans="1:13" s="360" customFormat="1" ht="15.75" thickBot="1" x14ac:dyDescent="0.3">
      <c r="A5663" s="367" t="s">
        <v>38</v>
      </c>
      <c r="B5663" s="265">
        <v>44128</v>
      </c>
      <c r="C5663" s="1">
        <v>311</v>
      </c>
      <c r="D5663" s="39">
        <f>C5663+D5639</f>
        <v>8123</v>
      </c>
      <c r="E5663" s="1"/>
      <c r="F5663" s="409">
        <f t="shared" si="750"/>
        <v>106</v>
      </c>
      <c r="G5663" s="168">
        <f>SUM(C5663,C5639,C5615,C5591,C5567,C5543,C5519,C5495,C5471,C5447,C5423,C5399,C5375,C5351)/POBLA!$B$22*100000</f>
        <v>383.00625668881025</v>
      </c>
      <c r="H5663" s="256">
        <f t="shared" si="757"/>
        <v>2.5198386012104907</v>
      </c>
      <c r="I5663" s="297">
        <f t="shared" si="755"/>
        <v>965.11395010959779</v>
      </c>
      <c r="J5663" s="297">
        <f t="shared" si="756"/>
        <v>224.28571428571428</v>
      </c>
      <c r="K5663" s="297">
        <f>J5663/POBLA!$B$22*100000</f>
        <v>22.925762438576843</v>
      </c>
      <c r="L5663" s="549">
        <f t="shared" si="758"/>
        <v>0.27882406982085439</v>
      </c>
      <c r="M5663" s="401">
        <f>SUM(C5663,C5639,C5615,C5591,C5567,C5543,C5519)/POBLA!$B$22*100000</f>
        <v>160.4803370700379</v>
      </c>
    </row>
    <row r="5664" spans="1:13" s="360" customFormat="1" ht="15.75" thickBot="1" x14ac:dyDescent="0.3">
      <c r="A5664" s="367" t="s">
        <v>39</v>
      </c>
      <c r="B5664" s="265">
        <v>44128</v>
      </c>
      <c r="C5664" s="1">
        <v>338</v>
      </c>
      <c r="D5664" s="39">
        <f>C5664+D5640</f>
        <v>9809</v>
      </c>
      <c r="E5664" s="1">
        <f>6+1</f>
        <v>7</v>
      </c>
      <c r="F5664" s="409">
        <f t="shared" si="750"/>
        <v>126</v>
      </c>
      <c r="G5664" s="168">
        <f>SUM(C5664,C5640,C5616,C5592,C5568,C5544,C5520,C5496,C5472,C5448,C5424,C5400,C5376,C5352)/POBLA!$B$23*100000</f>
        <v>2042.6398235593508</v>
      </c>
      <c r="H5664" s="256">
        <f t="shared" si="757"/>
        <v>1.4136986301369863</v>
      </c>
      <c r="I5664" s="297">
        <f t="shared" si="755"/>
        <v>2887.6771204291094</v>
      </c>
      <c r="J5664" s="297">
        <f t="shared" si="756"/>
        <v>267</v>
      </c>
      <c r="K5664" s="297">
        <f>J5664/POBLA!$B$23*100000</f>
        <v>150.99247865181246</v>
      </c>
      <c r="L5664" s="549">
        <f t="shared" si="758"/>
        <v>-7.2289156626506035E-2</v>
      </c>
      <c r="M5664" s="401">
        <f>SUM(C5664,C5640,C5616,C5592,C5568,C5544,C5520)/POBLA!$B$23*100000</f>
        <v>1056.9473505626872</v>
      </c>
    </row>
    <row r="5665" spans="1:13" s="360" customFormat="1" ht="15.75" thickBot="1" x14ac:dyDescent="0.3">
      <c r="A5665" s="368" t="s">
        <v>40</v>
      </c>
      <c r="B5665" s="274">
        <v>44128</v>
      </c>
      <c r="C5665" s="232">
        <v>956</v>
      </c>
      <c r="D5665" s="39">
        <f t="shared" ref="D5665:D5686" si="759">C5665+D5641</f>
        <v>42569</v>
      </c>
      <c r="E5665" s="232">
        <f>29+14</f>
        <v>43</v>
      </c>
      <c r="F5665" s="477">
        <f t="shared" si="750"/>
        <v>640</v>
      </c>
      <c r="G5665" s="177">
        <f>SUM(C5665,C5641,C5617,C5593,C5569,C5545,C5521,C5497,C5473,C5449,C5425,C5401,C5377,C5353)/POBLA!$B$24*100000</f>
        <v>991.7647003285623</v>
      </c>
      <c r="H5665" s="402">
        <f t="shared" si="757"/>
        <v>1.2328174282989803</v>
      </c>
      <c r="I5665" s="403">
        <f t="shared" si="755"/>
        <v>1222.6648073367671</v>
      </c>
      <c r="J5665" s="403">
        <f t="shared" si="756"/>
        <v>1229.1428571428571</v>
      </c>
      <c r="K5665" s="403">
        <f>J5665/POBLA!$B$24*100000</f>
        <v>72.53052284020221</v>
      </c>
      <c r="L5665" s="550">
        <f t="shared" si="758"/>
        <v>-4.8884554431305682E-2</v>
      </c>
      <c r="M5665" s="405">
        <f>SUM(C5665,C5641,C5617,C5593,C5569,C5545,C5521)/POBLA!$B$24*100000</f>
        <v>507.71365988141548</v>
      </c>
    </row>
    <row r="5666" spans="1:13" s="360" customFormat="1" x14ac:dyDescent="0.25">
      <c r="A5666" s="363" t="s">
        <v>16</v>
      </c>
      <c r="B5666" s="265">
        <v>44129</v>
      </c>
      <c r="C5666" s="43">
        <v>2170</v>
      </c>
      <c r="D5666" s="262">
        <f t="shared" si="759"/>
        <v>527293</v>
      </c>
      <c r="E5666" s="43">
        <f>40+46</f>
        <v>86</v>
      </c>
      <c r="F5666" s="475">
        <f t="shared" si="750"/>
        <v>16795</v>
      </c>
      <c r="G5666" s="175">
        <f>SUM(C5666,C5642,C5618,C5594,C5570,C5546,C5522,C5498,C5474,C5450,C5426,C5402,C5378,C5354)/POBLA!$B$1*100000</f>
        <v>335.71362319019039</v>
      </c>
      <c r="H5666" s="300">
        <f t="shared" si="757"/>
        <v>0.88496160377500266</v>
      </c>
      <c r="I5666" s="301">
        <f>G5666*H5666</f>
        <v>297.09366638750782</v>
      </c>
      <c r="J5666" s="301">
        <f>AVERAGE(C5666,C5642,C5618,C5594,C5570,C5546,C5522)</f>
        <v>4152.7142857142853</v>
      </c>
      <c r="K5666" s="301">
        <f>J5666/POBLA!$B$1*100000</f>
        <v>23.674140044335118</v>
      </c>
      <c r="L5666" s="548">
        <f t="shared" si="758"/>
        <v>2.5151748884939096E-2</v>
      </c>
      <c r="M5666" s="400">
        <f>SUM(C5666,C5642,C5618,C5594,C5570,C5546,C5522)/POBLA!$B$1*100000</f>
        <v>165.71898031034584</v>
      </c>
    </row>
    <row r="5667" spans="1:13" s="360" customFormat="1" x14ac:dyDescent="0.25">
      <c r="A5667" s="367" t="s">
        <v>43</v>
      </c>
      <c r="B5667" s="2">
        <v>44129</v>
      </c>
      <c r="C5667" s="1">
        <v>445</v>
      </c>
      <c r="D5667" s="39">
        <f t="shared" si="759"/>
        <v>143990</v>
      </c>
      <c r="E5667" s="1">
        <f>22+13</f>
        <v>35</v>
      </c>
      <c r="F5667" s="409">
        <f t="shared" si="750"/>
        <v>4514</v>
      </c>
      <c r="G5667" s="168">
        <f>SUM(C5667,C5643,C5619,C5595,C5571,C5547,C5523,C5499,C5475,C5451,C5427,C5403,C5379,C5355)/POBLA!$B$2*100000</f>
        <v>292.55642554442221</v>
      </c>
      <c r="H5667" s="256">
        <f t="shared" si="757"/>
        <v>0.76879699248120303</v>
      </c>
      <c r="I5667" s="297">
        <f t="shared" ref="I5667:I5689" si="760">G5667*H5667</f>
        <v>224.91650008960281</v>
      </c>
      <c r="J5667" s="297">
        <f t="shared" ref="J5667:J5689" si="761">AVERAGE(C5667,C5643,C5619,C5595,C5571,C5547,C5523)</f>
        <v>574.28571428571433</v>
      </c>
      <c r="K5667" s="297">
        <f>J5667/POBLA!$B$2*100000</f>
        <v>18.67203554263769</v>
      </c>
      <c r="L5667" s="549">
        <f t="shared" si="758"/>
        <v>0.19244676576938524</v>
      </c>
      <c r="M5667" s="401">
        <f>SUM(C5667,C5643,C5619,C5595,C5571,C5547,C5523)/POBLA!$B$2*100000</f>
        <v>130.70424879846379</v>
      </c>
    </row>
    <row r="5668" spans="1:13" s="360" customFormat="1" x14ac:dyDescent="0.25">
      <c r="A5668" s="367" t="s">
        <v>28</v>
      </c>
      <c r="B5668" s="2">
        <v>44129</v>
      </c>
      <c r="C5668" s="1">
        <v>35</v>
      </c>
      <c r="D5668" s="39">
        <f t="shared" si="759"/>
        <v>631</v>
      </c>
      <c r="E5668" s="1"/>
      <c r="F5668" s="409">
        <f t="shared" si="750"/>
        <v>0</v>
      </c>
      <c r="G5668" s="168">
        <f>SUM(C5668,C5644,C5620,C5596,C5572,C5548,C5524,C5500,C5476,C5452,C5428,C5404,C5380,C5356)/POBLA!$B$3*100000</f>
        <v>61.381000293665963</v>
      </c>
      <c r="H5668" s="256">
        <f t="shared" si="757"/>
        <v>2.4519230769230771</v>
      </c>
      <c r="I5668" s="297">
        <f t="shared" si="760"/>
        <v>150.50149110466174</v>
      </c>
      <c r="J5668" s="297">
        <f t="shared" si="761"/>
        <v>21.571428571428573</v>
      </c>
      <c r="K5668" s="297">
        <f>J5668/POBLA!$B$3*100000</f>
        <v>5.1924543665790255</v>
      </c>
      <c r="L5668" s="549">
        <f t="shared" si="758"/>
        <v>-0.45192307692307687</v>
      </c>
      <c r="M5668" s="401">
        <f>SUM(C5668,C5644,C5620,C5596,C5572,C5548,C5524)/POBLA!$B$3*100000</f>
        <v>36.347180566053176</v>
      </c>
    </row>
    <row r="5669" spans="1:13" s="360" customFormat="1" x14ac:dyDescent="0.25">
      <c r="A5669" s="367" t="s">
        <v>15</v>
      </c>
      <c r="B5669" s="2">
        <v>44129</v>
      </c>
      <c r="C5669" s="1">
        <v>162</v>
      </c>
      <c r="D5669" s="39">
        <f t="shared" si="759"/>
        <v>13090</v>
      </c>
      <c r="E5669" s="1">
        <f>4+1</f>
        <v>5</v>
      </c>
      <c r="F5669" s="409">
        <f t="shared" si="750"/>
        <v>405</v>
      </c>
      <c r="G5669" s="168">
        <f>SUM(C5669,C5645,C5621,C5597,C5573,C5549,C5525,C5501,C5477,C5453,C5429,C5405,C5381,C5357)/POBLA!$B$4*100000</f>
        <v>225.56309830881639</v>
      </c>
      <c r="H5669" s="256">
        <f t="shared" si="757"/>
        <v>1.2378132118451024</v>
      </c>
      <c r="I5669" s="297">
        <f t="shared" si="760"/>
        <v>279.20498319136863</v>
      </c>
      <c r="J5669" s="297">
        <f t="shared" si="761"/>
        <v>203.85714285714286</v>
      </c>
      <c r="K5669" s="297">
        <f>J5669/POBLA!$B$4*100000</f>
        <v>16.924051805388348</v>
      </c>
      <c r="L5669" s="549">
        <f t="shared" si="758"/>
        <v>-0.10620155038759682</v>
      </c>
      <c r="M5669" s="401">
        <f>SUM(C5669,C5645,C5621,C5597,C5573,C5549,C5525)/POBLA!$B$4*100000</f>
        <v>118.46836263771843</v>
      </c>
    </row>
    <row r="5670" spans="1:13" s="360" customFormat="1" x14ac:dyDescent="0.25">
      <c r="A5670" s="367" t="s">
        <v>29</v>
      </c>
      <c r="B5670" s="2">
        <v>44129</v>
      </c>
      <c r="C5670" s="1">
        <v>485</v>
      </c>
      <c r="D5670" s="39">
        <f t="shared" si="759"/>
        <v>12437</v>
      </c>
      <c r="E5670" s="1">
        <f>4+1</f>
        <v>5</v>
      </c>
      <c r="F5670" s="409">
        <f t="shared" si="750"/>
        <v>216</v>
      </c>
      <c r="G5670" s="168">
        <f>SUM(C5670,C5646,C5622,C5598,C5574,C5550,C5526,C5502,C5478,C5454,C5430,C5406,C5382,C5358)/POBLA!$B$5*100000</f>
        <v>878.03759002510526</v>
      </c>
      <c r="H5670" s="256">
        <f t="shared" si="757"/>
        <v>1.5126635123851935</v>
      </c>
      <c r="I5670" s="297">
        <f t="shared" si="760"/>
        <v>1328.1754249336063</v>
      </c>
      <c r="J5670" s="297">
        <f t="shared" si="761"/>
        <v>485</v>
      </c>
      <c r="K5670" s="297">
        <f>J5670/POBLA!$B$5*100000</f>
        <v>78.352940416223746</v>
      </c>
      <c r="L5670" s="549">
        <f t="shared" si="758"/>
        <v>-0.66421568627450989</v>
      </c>
      <c r="M5670" s="401">
        <f>SUM(C5670,C5646,C5622,C5598,C5574,C5550,C5526)/POBLA!$B$5*100000</f>
        <v>548.4705829135662</v>
      </c>
    </row>
    <row r="5671" spans="1:13" s="360" customFormat="1" x14ac:dyDescent="0.25">
      <c r="A5671" s="367" t="s">
        <v>20</v>
      </c>
      <c r="B5671" s="2">
        <v>44129</v>
      </c>
      <c r="C5671" s="1">
        <v>1390</v>
      </c>
      <c r="D5671" s="39">
        <f t="shared" si="759"/>
        <v>75995</v>
      </c>
      <c r="E5671" s="1">
        <f>15+14</f>
        <v>29</v>
      </c>
      <c r="F5671" s="409">
        <f t="shared" si="750"/>
        <v>1105</v>
      </c>
      <c r="G5671" s="168">
        <f>SUM(C5671,C5647,C5623,C5599,C5575,C5551,C5527,C5503,C5479,C5455,C5431,C5407,C5383,C5359)/POBLA!$B$6*100000</f>
        <v>2157.2072116281124</v>
      </c>
      <c r="H5671" s="256">
        <f t="shared" si="757"/>
        <v>1.0694917503428141</v>
      </c>
      <c r="I5671" s="297">
        <f t="shared" si="760"/>
        <v>2307.1153166162912</v>
      </c>
      <c r="J5671" s="297">
        <f t="shared" si="761"/>
        <v>1869.1428571428571</v>
      </c>
      <c r="K5671" s="297">
        <f>J5671/POBLA!$B$6*100000</f>
        <v>166.76848585456804</v>
      </c>
      <c r="L5671" s="549">
        <f t="shared" si="758"/>
        <v>-0.1793762394086893</v>
      </c>
      <c r="M5671" s="401">
        <f>SUM(C5671,C5647,C5623,C5599,C5575,C5551,C5527)/POBLA!$B$6*100000</f>
        <v>1167.3794009819762</v>
      </c>
    </row>
    <row r="5672" spans="1:13" s="360" customFormat="1" x14ac:dyDescent="0.25">
      <c r="A5672" s="367" t="s">
        <v>30</v>
      </c>
      <c r="B5672" s="2">
        <v>44129</v>
      </c>
      <c r="C5672" s="1">
        <v>24</v>
      </c>
      <c r="D5672" s="39">
        <f t="shared" si="759"/>
        <v>2269</v>
      </c>
      <c r="E5672" s="1"/>
      <c r="F5672" s="409">
        <f t="shared" si="750"/>
        <v>40</v>
      </c>
      <c r="G5672" s="168">
        <f>SUM(C5672,C5648,C5624,C5600,C5576,C5552,C5528,C5504,C5480,C5456,C5432,C5408,C5384,C5360)/POBLA!$B$7*100000</f>
        <v>18.933904186998895</v>
      </c>
      <c r="H5672" s="256">
        <f t="shared" si="757"/>
        <v>1.4412955465587045</v>
      </c>
      <c r="I5672" s="297">
        <f t="shared" si="760"/>
        <v>27.289351783690716</v>
      </c>
      <c r="J5672" s="297">
        <f t="shared" si="761"/>
        <v>41.571428571428569</v>
      </c>
      <c r="K5672" s="297">
        <f>J5672/POBLA!$B$7*100000</f>
        <v>1.1054907942248553</v>
      </c>
      <c r="L5672" s="549">
        <f t="shared" si="758"/>
        <v>0.30878859857482188</v>
      </c>
      <c r="M5672" s="401">
        <f>SUM(C5672,C5648,C5624,C5600,C5576,C5552,C5528)/POBLA!$B$7*100000</f>
        <v>7.7384355595739871</v>
      </c>
    </row>
    <row r="5673" spans="1:13" x14ac:dyDescent="0.25">
      <c r="A5673" s="367" t="s">
        <v>31</v>
      </c>
      <c r="B5673" s="2">
        <v>44129</v>
      </c>
      <c r="C5673" s="1">
        <v>202</v>
      </c>
      <c r="D5673" s="39">
        <f t="shared" si="759"/>
        <v>13940</v>
      </c>
      <c r="E5673" s="1">
        <f>7+4</f>
        <v>11</v>
      </c>
      <c r="F5673" s="409">
        <f t="shared" si="750"/>
        <v>240</v>
      </c>
      <c r="G5673" s="168">
        <f>SUM(C5673,C5649,C5625,C5601,C5577,C5553,C5529,C5505,C5481,C5457,C5433,C5409,C5385,C5361)/POBLA!$B$8*100000</f>
        <v>328.29206593836335</v>
      </c>
      <c r="H5673" s="256">
        <f t="shared" si="757"/>
        <v>1.9369944657300979</v>
      </c>
      <c r="I5673" s="297">
        <f t="shared" si="760"/>
        <v>635.89991486571023</v>
      </c>
      <c r="J5673" s="297">
        <f t="shared" si="761"/>
        <v>358</v>
      </c>
      <c r="K5673" s="297">
        <f>J5673/POBLA!$B$8*100000</f>
        <v>25.830452660644848</v>
      </c>
      <c r="L5673" s="549">
        <f t="shared" si="758"/>
        <v>-0.22602739726027399</v>
      </c>
      <c r="M5673" s="401">
        <f>SUM(C5673,C5649,C5625,C5601,C5577,C5553,C5529)/POBLA!$B$8*100000</f>
        <v>180.81316862451396</v>
      </c>
    </row>
    <row r="5674" spans="1:13" s="360" customFormat="1" x14ac:dyDescent="0.25">
      <c r="A5674" s="367" t="s">
        <v>41</v>
      </c>
      <c r="B5674" s="2">
        <v>44129</v>
      </c>
      <c r="C5674" s="1">
        <v>1</v>
      </c>
      <c r="D5674" s="39">
        <f t="shared" si="759"/>
        <v>143</v>
      </c>
      <c r="E5674" s="1"/>
      <c r="F5674" s="409">
        <f t="shared" ref="F5674:F5737" si="762">E5674+F5650</f>
        <v>1</v>
      </c>
      <c r="G5674" s="168">
        <f>SUM(C5674,C5650,C5626,C5602,C5578,C5554,C5530,C5506,C5482,C5458,C5434,C5410,C5386,C5362)/POBLA!$B$9*100000</f>
        <v>2.4785481656265027</v>
      </c>
      <c r="H5674" s="256">
        <f t="shared" si="757"/>
        <v>0.65217391304347827</v>
      </c>
      <c r="I5674" s="297">
        <f t="shared" si="760"/>
        <v>1.6164444558433713</v>
      </c>
      <c r="J5674" s="297">
        <f t="shared" si="761"/>
        <v>0.7142857142857143</v>
      </c>
      <c r="K5674" s="297">
        <f>J5674/POBLA!$B$9*100000</f>
        <v>0.11802610312507156</v>
      </c>
      <c r="L5674" s="549">
        <f t="shared" si="758"/>
        <v>0.5</v>
      </c>
      <c r="M5674" s="401">
        <f>SUM(C5674,C5650,C5626,C5602,C5578,C5554,C5530)/POBLA!$B$9*100000</f>
        <v>0.82618272187550079</v>
      </c>
    </row>
    <row r="5675" spans="1:13" s="360" customFormat="1" x14ac:dyDescent="0.25">
      <c r="A5675" s="367" t="s">
        <v>32</v>
      </c>
      <c r="B5675" s="2">
        <v>44129</v>
      </c>
      <c r="C5675" s="1">
        <v>35</v>
      </c>
      <c r="D5675" s="39">
        <f t="shared" si="759"/>
        <v>17614</v>
      </c>
      <c r="E5675" s="1">
        <f>4</f>
        <v>4</v>
      </c>
      <c r="F5675" s="409">
        <f t="shared" si="762"/>
        <v>776</v>
      </c>
      <c r="G5675" s="168">
        <f>SUM(C5675,C5651,C5627,C5603,C5579,C5555,C5531,C5507,C5483,C5459,C5435,C5411,C5387,C5363)/POBLA!$B$10*100000</f>
        <v>114.67398988949007</v>
      </c>
      <c r="H5675" s="256">
        <f t="shared" si="757"/>
        <v>0.61904761904761907</v>
      </c>
      <c r="I5675" s="297">
        <f t="shared" si="760"/>
        <v>70.988660407779577</v>
      </c>
      <c r="J5675" s="297">
        <f t="shared" si="761"/>
        <v>54.285714285714285</v>
      </c>
      <c r="K5675" s="297">
        <f>J5675/POBLA!$B$10*100000</f>
        <v>7.0420355782169084</v>
      </c>
      <c r="L5675" s="549">
        <f t="shared" si="758"/>
        <v>0.24603174603174605</v>
      </c>
      <c r="M5675" s="401">
        <f>SUM(C5675,C5651,C5627,C5603,C5579,C5555,C5531)/POBLA!$B$10*100000</f>
        <v>49.294249047518356</v>
      </c>
    </row>
    <row r="5676" spans="1:13" s="360" customFormat="1" x14ac:dyDescent="0.25">
      <c r="A5676" s="367" t="s">
        <v>33</v>
      </c>
      <c r="B5676" s="2">
        <v>44129</v>
      </c>
      <c r="C5676" s="1">
        <v>120</v>
      </c>
      <c r="D5676" s="39">
        <f t="shared" si="759"/>
        <v>2456</v>
      </c>
      <c r="E5676" s="1"/>
      <c r="F5676" s="409">
        <f t="shared" si="762"/>
        <v>25</v>
      </c>
      <c r="G5676" s="168">
        <f>SUM(C5676,C5652,C5628,C5604,C5580,C5556,C5532,C5508,C5484,C5460,C5436,C5412,C5388,C5364)/POBLA!$B$11*100000</f>
        <v>386.68853995781581</v>
      </c>
      <c r="H5676" s="256">
        <f t="shared" si="757"/>
        <v>3.6861702127659575</v>
      </c>
      <c r="I5676" s="297">
        <f t="shared" si="760"/>
        <v>1425.3997776104593</v>
      </c>
      <c r="J5676" s="297">
        <f t="shared" si="761"/>
        <v>119.71428571428571</v>
      </c>
      <c r="K5676" s="297">
        <f>J5676/POBLA!$B$11*100000</f>
        <v>33.399814108910491</v>
      </c>
      <c r="L5676" s="549">
        <f t="shared" si="758"/>
        <v>-0.52919708029197077</v>
      </c>
      <c r="M5676" s="401">
        <f>SUM(C5676,C5652,C5628,C5604,C5580,C5556,C5532)/POBLA!$B$11*100000</f>
        <v>233.79869876237348</v>
      </c>
    </row>
    <row r="5677" spans="1:13" s="360" customFormat="1" x14ac:dyDescent="0.25">
      <c r="A5677" s="367" t="s">
        <v>21</v>
      </c>
      <c r="B5677" s="2">
        <v>44129</v>
      </c>
      <c r="C5677" s="1">
        <v>108</v>
      </c>
      <c r="D5677" s="39">
        <f t="shared" si="759"/>
        <v>7124</v>
      </c>
      <c r="E5677" s="1"/>
      <c r="F5677" s="409">
        <f t="shared" si="762"/>
        <v>239</v>
      </c>
      <c r="G5677" s="168">
        <f>SUM(C5677,C5653,C5629,C5605,C5581,C5557,C5533,C5509,C5485,C5461,C5437,C5413,C5389,C5365)/POBLA!$B$12*100000</f>
        <v>329.32602514160254</v>
      </c>
      <c r="H5677" s="256">
        <f t="shared" si="757"/>
        <v>1.0401284109149278</v>
      </c>
      <c r="I5677" s="297">
        <f t="shared" si="760"/>
        <v>342.5413552034646</v>
      </c>
      <c r="J5677" s="297">
        <f t="shared" si="761"/>
        <v>80.714285714285708</v>
      </c>
      <c r="K5677" s="297">
        <f>J5677/POBLA!$B$12*100000</f>
        <v>20.510273832121413</v>
      </c>
      <c r="L5677" s="549">
        <f t="shared" si="758"/>
        <v>0.22708618331053354</v>
      </c>
      <c r="M5677" s="401">
        <f>SUM(C5677,C5653,C5629,C5605,C5581,C5557,C5533)/POBLA!$B$12*100000</f>
        <v>143.57191682484989</v>
      </c>
    </row>
    <row r="5678" spans="1:13" s="360" customFormat="1" x14ac:dyDescent="0.25">
      <c r="A5678" s="367" t="s">
        <v>17</v>
      </c>
      <c r="B5678" s="2">
        <v>44129</v>
      </c>
      <c r="C5678" s="1">
        <v>561</v>
      </c>
      <c r="D5678" s="39">
        <f t="shared" si="759"/>
        <v>42949</v>
      </c>
      <c r="E5678" s="1">
        <f>11+5</f>
        <v>16</v>
      </c>
      <c r="F5678" s="409">
        <f t="shared" si="762"/>
        <v>705</v>
      </c>
      <c r="G5678" s="168">
        <f>SUM(C5678,C5654,C5630,C5606,C5582,C5558,C5534,C5510,C5486,C5462,C5438,C5414,C5390,C5366)/POBLA!$B$13*100000</f>
        <v>548.34907437832169</v>
      </c>
      <c r="H5678" s="256">
        <f t="shared" si="757"/>
        <v>1.2134756504336224</v>
      </c>
      <c r="I5678" s="297">
        <f t="shared" si="760"/>
        <v>665.40824969590869</v>
      </c>
      <c r="J5678" s="297">
        <f t="shared" si="761"/>
        <v>835.28571428571433</v>
      </c>
      <c r="K5678" s="297">
        <f>J5678/POBLA!$B$13*100000</f>
        <v>41.967028428624396</v>
      </c>
      <c r="L5678" s="549">
        <f t="shared" si="758"/>
        <v>-0.15393724097098871</v>
      </c>
      <c r="M5678" s="401">
        <f>SUM(C5678,C5654,C5630,C5606,C5582,C5558,C5534)/POBLA!$B$13*100000</f>
        <v>293.7691990003708</v>
      </c>
    </row>
    <row r="5679" spans="1:13" s="360" customFormat="1" x14ac:dyDescent="0.25">
      <c r="A5679" s="367" t="s">
        <v>23</v>
      </c>
      <c r="B5679" s="2">
        <v>44129</v>
      </c>
      <c r="C5679" s="1">
        <v>5</v>
      </c>
      <c r="D5679" s="39">
        <f t="shared" si="759"/>
        <v>217</v>
      </c>
      <c r="E5679" s="1"/>
      <c r="F5679" s="409">
        <f t="shared" si="762"/>
        <v>5</v>
      </c>
      <c r="G5679" s="168">
        <f>SUM(C5679,C5655,C5631,C5607,C5583,C5559,C5535,C5511,C5487,C5463,C5439,C5415,C5391,C5367)/POBLA!$B$14*100000</f>
        <v>4.994870347436839</v>
      </c>
      <c r="H5679" s="256">
        <f t="shared" si="757"/>
        <v>0.91304347826086951</v>
      </c>
      <c r="I5679" s="297">
        <f t="shared" si="760"/>
        <v>4.5605337954858092</v>
      </c>
      <c r="J5679" s="297">
        <f t="shared" si="761"/>
        <v>2</v>
      </c>
      <c r="K5679" s="297">
        <f>J5679/POBLA!$B$14*100000</f>
        <v>0.15856731261704249</v>
      </c>
      <c r="L5679" s="549">
        <f t="shared" si="758"/>
        <v>0.7142857142857143</v>
      </c>
      <c r="M5679" s="401">
        <f>SUM(C5679,C5655,C5631,C5607,C5583,C5559,C5535)/POBLA!$B$14*100000</f>
        <v>1.1099711883192975</v>
      </c>
    </row>
    <row r="5680" spans="1:13" s="360" customFormat="1" x14ac:dyDescent="0.25">
      <c r="A5680" s="367" t="s">
        <v>19</v>
      </c>
      <c r="B5680" s="2">
        <v>44129</v>
      </c>
      <c r="C5680" s="1">
        <v>236</v>
      </c>
      <c r="D5680" s="39">
        <f t="shared" si="759"/>
        <v>19383</v>
      </c>
      <c r="E5680" s="1">
        <f>10+10</f>
        <v>20</v>
      </c>
      <c r="F5680" s="409">
        <f t="shared" si="762"/>
        <v>354</v>
      </c>
      <c r="G5680" s="168">
        <f>SUM(C5680,C5656,C5632,C5608,C5584,C5560,C5536,C5512,C5488,C5464,C5440,C5416,C5392,C5368)/POBLA!$B$15*100000</f>
        <v>1092.9784641981034</v>
      </c>
      <c r="H5680" s="256">
        <f t="shared" si="757"/>
        <v>1.5155564836082689</v>
      </c>
      <c r="I5680" s="297">
        <f t="shared" si="760"/>
        <v>1656.4705978596439</v>
      </c>
      <c r="J5680" s="297">
        <f t="shared" si="761"/>
        <v>614.28571428571433</v>
      </c>
      <c r="K5680" s="297">
        <f>J5680/POBLA!$B$15*100000</f>
        <v>92.50496783946474</v>
      </c>
      <c r="L5680" s="549">
        <f t="shared" si="758"/>
        <v>-0.45368492224475987</v>
      </c>
      <c r="M5680" s="401">
        <f>SUM(C5680,C5656,C5632,C5608,C5584,C5560,C5536)/POBLA!$B$15*100000</f>
        <v>647.5347748762531</v>
      </c>
    </row>
    <row r="5681" spans="1:13" s="360" customFormat="1" x14ac:dyDescent="0.25">
      <c r="A5681" s="367" t="s">
        <v>18</v>
      </c>
      <c r="B5681" s="2">
        <v>44129</v>
      </c>
      <c r="C5681" s="1">
        <v>238</v>
      </c>
      <c r="D5681" s="39">
        <f t="shared" si="759"/>
        <v>21760</v>
      </c>
      <c r="E5681" s="1">
        <f>7+4</f>
        <v>11</v>
      </c>
      <c r="F5681" s="409">
        <f t="shared" si="762"/>
        <v>560</v>
      </c>
      <c r="G5681" s="168">
        <f>SUM(C5681,C5657,C5633,C5609,C5585,C5561,C5537,C5513,C5489,C5465,C5441,C5417,C5393,C5369)/POBLA!$B$16*100000</f>
        <v>704.37795107074544</v>
      </c>
      <c r="H5681" s="256">
        <f t="shared" si="757"/>
        <v>1.1507867132867133</v>
      </c>
      <c r="I5681" s="297">
        <f t="shared" si="760"/>
        <v>810.58878722433258</v>
      </c>
      <c r="J5681" s="297">
        <f t="shared" si="761"/>
        <v>367</v>
      </c>
      <c r="K5681" s="297">
        <f>J5681/POBLA!$B$16*100000</f>
        <v>49.089766054493658</v>
      </c>
      <c r="L5681" s="549">
        <f t="shared" si="758"/>
        <v>4.7460140897293335E-2</v>
      </c>
      <c r="M5681" s="401">
        <f>SUM(C5681,C5657,C5633,C5609,C5585,C5561,C5537)/POBLA!$B$16*100000</f>
        <v>343.62836238145559</v>
      </c>
    </row>
    <row r="5682" spans="1:13" s="360" customFormat="1" x14ac:dyDescent="0.25">
      <c r="A5682" s="367" t="s">
        <v>34</v>
      </c>
      <c r="B5682" s="2">
        <v>44129</v>
      </c>
      <c r="C5682" s="1">
        <v>145</v>
      </c>
      <c r="D5682" s="39">
        <f t="shared" si="759"/>
        <v>18030</v>
      </c>
      <c r="E5682" s="1">
        <v>24</v>
      </c>
      <c r="F5682" s="409">
        <f t="shared" si="762"/>
        <v>706</v>
      </c>
      <c r="G5682" s="168">
        <f>SUM(C5682,C5658,C5634,C5610,C5586,C5562,C5538,C5514,C5490,C5466,C5442,C5418,C5394,C5370)/POBLA!$B$17*100000</f>
        <v>185.7628175291018</v>
      </c>
      <c r="H5682" s="256">
        <f t="shared" si="757"/>
        <v>0.68073064059686128</v>
      </c>
      <c r="I5682" s="297">
        <f t="shared" si="760"/>
        <v>126.45444177566331</v>
      </c>
      <c r="J5682" s="297">
        <f t="shared" si="761"/>
        <v>199.71428571428572</v>
      </c>
      <c r="K5682" s="297">
        <f>J5682/POBLA!$B$17*100000</f>
        <v>14.02097067841941</v>
      </c>
      <c r="L5682" s="549">
        <f t="shared" si="758"/>
        <v>-0.12019230769230771</v>
      </c>
      <c r="M5682" s="401">
        <f>SUM(C5682,C5658,C5634,C5610,C5586,C5562,C5538)/POBLA!$B$17*100000</f>
        <v>98.146794748935861</v>
      </c>
    </row>
    <row r="5683" spans="1:13" s="360" customFormat="1" x14ac:dyDescent="0.25">
      <c r="A5683" s="367" t="s">
        <v>35</v>
      </c>
      <c r="B5683" s="2">
        <v>44129</v>
      </c>
      <c r="C5683" s="1">
        <v>6</v>
      </c>
      <c r="D5683" s="39">
        <f t="shared" si="759"/>
        <v>1386</v>
      </c>
      <c r="E5683" s="1"/>
      <c r="F5683" s="409">
        <f t="shared" si="762"/>
        <v>77</v>
      </c>
      <c r="G5683" s="168">
        <f>SUM(C5683,C5659,C5635,C5611,C5587,C5563,C5539,C5515,C5491,C5467,C5443,C5419,C5395,C5371)/POBLA!$B$18*100000</f>
        <v>23.296984064606889</v>
      </c>
      <c r="H5683" s="256">
        <f t="shared" si="757"/>
        <v>0.31325301204819278</v>
      </c>
      <c r="I5683" s="297">
        <f t="shared" si="760"/>
        <v>7.2978504298768572</v>
      </c>
      <c r="J5683" s="297">
        <f t="shared" si="761"/>
        <v>13.428571428571429</v>
      </c>
      <c r="K5683" s="297">
        <f>J5683/POBLA!$B$18*100000</f>
        <v>1.7189297504498018</v>
      </c>
      <c r="L5683" s="549">
        <f t="shared" si="758"/>
        <v>-6.8181818181818121E-2</v>
      </c>
      <c r="M5683" s="401">
        <f>SUM(C5683,C5659,C5635,C5611,C5587,C5563,C5539)/POBLA!$B$18*100000</f>
        <v>12.032508253148613</v>
      </c>
    </row>
    <row r="5684" spans="1:13" s="360" customFormat="1" x14ac:dyDescent="0.25">
      <c r="A5684" s="367" t="s">
        <v>36</v>
      </c>
      <c r="B5684" s="2">
        <v>44129</v>
      </c>
      <c r="C5684" s="1">
        <v>188</v>
      </c>
      <c r="D5684" s="39">
        <f t="shared" si="759"/>
        <v>5483</v>
      </c>
      <c r="E5684" s="1"/>
      <c r="F5684" s="409">
        <f t="shared" si="762"/>
        <v>52</v>
      </c>
      <c r="G5684" s="168">
        <f>SUM(C5684,C5660,C5636,C5612,C5588,C5564,C5540,C5516,C5492,C5468,C5444,C5420,C5396,C5372)/POBLA!$B$19*100000</f>
        <v>641.51492736972978</v>
      </c>
      <c r="H5684" s="256">
        <f t="shared" si="757"/>
        <v>2.8832891246684351</v>
      </c>
      <c r="I5684" s="297">
        <f t="shared" si="760"/>
        <v>1849.673013397603</v>
      </c>
      <c r="J5684" s="297">
        <f t="shared" si="761"/>
        <v>308</v>
      </c>
      <c r="K5684" s="297">
        <f>J5684/POBLA!$B$19*100000</f>
        <v>60.590799641176567</v>
      </c>
      <c r="L5684" s="549">
        <f t="shared" si="758"/>
        <v>-0.95113122171945697</v>
      </c>
      <c r="M5684" s="401">
        <f>SUM(C5684,C5660,C5636,C5612,C5588,C5564,C5540)/POBLA!$B$19*100000</f>
        <v>424.13559748823593</v>
      </c>
    </row>
    <row r="5685" spans="1:13" s="360" customFormat="1" x14ac:dyDescent="0.25">
      <c r="A5685" s="367" t="s">
        <v>37</v>
      </c>
      <c r="B5685" s="2">
        <v>44129</v>
      </c>
      <c r="C5685" s="1">
        <v>178</v>
      </c>
      <c r="D5685" s="39">
        <f t="shared" si="759"/>
        <v>8469</v>
      </c>
      <c r="E5685" s="1"/>
      <c r="F5685" s="409">
        <f t="shared" si="762"/>
        <v>113</v>
      </c>
      <c r="G5685" s="168">
        <f>SUM(C5685,C5661,C5637,C5613,C5589,C5565,C5541,C5517,C5493,C5469,C5445,C5421,C5397,C5373)/POBLA!$B$20*100000</f>
        <v>580.80711406679825</v>
      </c>
      <c r="H5685" s="256">
        <f t="shared" si="757"/>
        <v>1.125</v>
      </c>
      <c r="I5685" s="297">
        <f t="shared" si="760"/>
        <v>653.408003325148</v>
      </c>
      <c r="J5685" s="297">
        <f t="shared" si="761"/>
        <v>171.71428571428572</v>
      </c>
      <c r="K5685" s="297">
        <f>J5685/POBLA!$B$20*100000</f>
        <v>46.955215974461368</v>
      </c>
      <c r="L5685" s="549">
        <f t="shared" si="758"/>
        <v>-0.30368763557483724</v>
      </c>
      <c r="M5685" s="401">
        <f>SUM(C5685,C5661,C5637,C5613,C5589,C5565,C5541)/POBLA!$B$20*100000</f>
        <v>328.68651182122954</v>
      </c>
    </row>
    <row r="5686" spans="1:13" s="360" customFormat="1" x14ac:dyDescent="0.25">
      <c r="A5686" s="367" t="s">
        <v>22</v>
      </c>
      <c r="B5686" s="2">
        <v>44129</v>
      </c>
      <c r="C5686" s="1">
        <v>1405</v>
      </c>
      <c r="D5686" s="39">
        <f t="shared" si="759"/>
        <v>94507</v>
      </c>
      <c r="E5686" s="1">
        <f>3+3</f>
        <v>6</v>
      </c>
      <c r="F5686" s="409">
        <f t="shared" si="762"/>
        <v>1057</v>
      </c>
      <c r="G5686" s="168">
        <f>SUM(C5686,C5662,C5638,C5614,C5590,C5566,C5542,C5518,C5494,C5470,C5446,C5422,C5398,C5374)/POBLA!$B$21*100000</f>
        <v>893.75746871551939</v>
      </c>
      <c r="H5686" s="256">
        <f t="shared" si="757"/>
        <v>1.2107642214135224</v>
      </c>
      <c r="I5686" s="297">
        <f t="shared" si="760"/>
        <v>1082.1295657418664</v>
      </c>
      <c r="J5686" s="297">
        <f t="shared" si="761"/>
        <v>2240.4285714285716</v>
      </c>
      <c r="K5686" s="297">
        <f>J5686/POBLA!$B$21*100000</f>
        <v>63.353047389436753</v>
      </c>
      <c r="L5686" s="549">
        <f t="shared" si="758"/>
        <v>1.5134388344636984E-2</v>
      </c>
      <c r="M5686" s="401">
        <f>SUM(C5686,C5662,C5638,C5614,C5590,C5566,C5542)/POBLA!$B$21*100000</f>
        <v>443.47133172605726</v>
      </c>
    </row>
    <row r="5687" spans="1:13" s="360" customFormat="1" x14ac:dyDescent="0.25">
      <c r="A5687" s="367" t="s">
        <v>38</v>
      </c>
      <c r="B5687" s="2">
        <v>44129</v>
      </c>
      <c r="C5687" s="1">
        <v>262</v>
      </c>
      <c r="D5687" s="39">
        <f>C5687+D5663</f>
        <v>8385</v>
      </c>
      <c r="E5687" s="1">
        <f>5+3</f>
        <v>8</v>
      </c>
      <c r="F5687" s="409">
        <f t="shared" si="762"/>
        <v>114</v>
      </c>
      <c r="G5687" s="168">
        <f>SUM(C5687,C5663,C5639,C5615,C5591,C5567,C5543,C5519,C5495,C5471,C5447,C5423,C5399,C5375)/POBLA!$B$22*100000</f>
        <v>363.78950295048719</v>
      </c>
      <c r="H5687" s="256">
        <f t="shared" si="757"/>
        <v>2.0118711136235161</v>
      </c>
      <c r="I5687" s="297">
        <f t="shared" si="760"/>
        <v>731.89759242554203</v>
      </c>
      <c r="J5687" s="297">
        <f t="shared" si="761"/>
        <v>224.28571428571428</v>
      </c>
      <c r="K5687" s="297">
        <f>J5687/POBLA!$B$22*100000</f>
        <v>22.925762438576843</v>
      </c>
      <c r="L5687" s="549">
        <f t="shared" si="758"/>
        <v>0.21065862242332833</v>
      </c>
      <c r="M5687" s="401">
        <f>SUM(C5687,C5663,C5639,C5615,C5591,C5567,C5543)/POBLA!$B$22*100000</f>
        <v>160.4803370700379</v>
      </c>
    </row>
    <row r="5688" spans="1:13" s="360" customFormat="1" x14ac:dyDescent="0.25">
      <c r="A5688" s="367" t="s">
        <v>39</v>
      </c>
      <c r="B5688" s="2">
        <v>44129</v>
      </c>
      <c r="C5688" s="1">
        <v>243</v>
      </c>
      <c r="D5688" s="39">
        <f>C5688+D5664</f>
        <v>10052</v>
      </c>
      <c r="E5688" s="1">
        <f>2</f>
        <v>2</v>
      </c>
      <c r="F5688" s="409">
        <f t="shared" si="762"/>
        <v>128</v>
      </c>
      <c r="G5688" s="168">
        <f>SUM(C5688,C5664,C5640,C5616,C5592,C5568,C5544,C5520,C5496,C5472,C5448,C5424,C5400,C5376)/POBLA!$B$23*100000</f>
        <v>2051.6880619804328</v>
      </c>
      <c r="H5688" s="256">
        <f t="shared" si="757"/>
        <v>1.3456973293768546</v>
      </c>
      <c r="I5688" s="297">
        <f t="shared" si="760"/>
        <v>2760.951145721443</v>
      </c>
      <c r="J5688" s="297">
        <f t="shared" si="761"/>
        <v>272</v>
      </c>
      <c r="K5688" s="297">
        <f>J5688/POBLA!$B$23*100000</f>
        <v>153.82005315840073</v>
      </c>
      <c r="L5688" s="549">
        <f t="shared" si="758"/>
        <v>-0.10440835266821336</v>
      </c>
      <c r="M5688" s="401">
        <f>SUM(C5688,C5664,C5640,C5616,C5592,C5568,C5544)/POBLA!$B$23*100000</f>
        <v>1076.7403721088051</v>
      </c>
    </row>
    <row r="5689" spans="1:13" s="360" customFormat="1" ht="15.75" thickBot="1" x14ac:dyDescent="0.3">
      <c r="A5689" s="369" t="s">
        <v>40</v>
      </c>
      <c r="B5689" s="266">
        <v>44129</v>
      </c>
      <c r="C5689" s="44">
        <v>609</v>
      </c>
      <c r="D5689" s="39">
        <f t="shared" ref="D5689:D5710" si="763">C5689+D5665</f>
        <v>43178</v>
      </c>
      <c r="E5689" s="44">
        <f>13+7</f>
        <v>20</v>
      </c>
      <c r="F5689" s="477">
        <f t="shared" si="762"/>
        <v>660</v>
      </c>
      <c r="G5689" s="177">
        <f>SUM(C5689,C5665,C5641,C5617,C5593,C5569,C5545,C5521,C5497,C5473,C5449,C5425,C5401,C5377)/POBLA!$B$24*100000</f>
        <v>977.24847992748983</v>
      </c>
      <c r="H5689" s="402">
        <f t="shared" si="757"/>
        <v>1.1883610792192882</v>
      </c>
      <c r="I5689" s="403">
        <f t="shared" si="760"/>
        <v>1161.3240582720407</v>
      </c>
      <c r="J5689" s="403">
        <f t="shared" si="761"/>
        <v>1205.8571428571429</v>
      </c>
      <c r="K5689" s="403">
        <f>J5689/POBLA!$B$24*100000</f>
        <v>71.156455520007768</v>
      </c>
      <c r="L5689" s="550">
        <f t="shared" si="758"/>
        <v>-3.9532019704433541E-2</v>
      </c>
      <c r="M5689" s="405">
        <f>SUM(C5689,C5665,C5641,C5617,C5593,C5569,C5545)/POBLA!$B$24*100000</f>
        <v>498.0951886400544</v>
      </c>
    </row>
    <row r="5690" spans="1:13" s="360" customFormat="1" x14ac:dyDescent="0.25">
      <c r="A5690" s="374" t="s">
        <v>16</v>
      </c>
      <c r="B5690" s="267">
        <v>44130</v>
      </c>
      <c r="C5690" s="225">
        <v>3694</v>
      </c>
      <c r="D5690" s="262">
        <f t="shared" si="763"/>
        <v>530987</v>
      </c>
      <c r="E5690" s="225">
        <v>146</v>
      </c>
      <c r="F5690" s="475">
        <f t="shared" si="762"/>
        <v>16941</v>
      </c>
      <c r="G5690" s="175">
        <f>SUM(C5690,C5666,C5642,C5618,C5594,C5570,C5546,C5522,C5498,C5474,C5450,C5426,C5402,C5378)/POBLA!$B$1*100000</f>
        <v>344.111024476686</v>
      </c>
      <c r="H5690" s="300">
        <f t="shared" ref="H5690:H5753" si="764">SUM(C5690,C5666,C5642,C5618,C5594,C5570,C5546,C5522,C5498,C5474,C5450,C5426,C5402,C5378)/SUM(C5354,C5330,C5306,C5282,C5258,C5234,C5210,C5186,C5162,C5138,C5114,C5090,C5066,C5042)</f>
        <v>0.9399096854562442</v>
      </c>
      <c r="I5690" s="301">
        <f>G5690*H5690</f>
        <v>323.43328477790789</v>
      </c>
      <c r="J5690" s="301">
        <f>AVERAGE(C5690,C5666,C5642,C5618,C5594,C5570,C5546)</f>
        <v>4079.5714285714284</v>
      </c>
      <c r="K5690" s="301">
        <f>J5690/POBLA!$B$1*100000</f>
        <v>23.257161142319241</v>
      </c>
      <c r="L5690" s="548">
        <f t="shared" ref="L5690:L5753" si="765">1-SUM(C5690,C5666,C5642,C5618,C5594,C5570,C5546)/SUM(C5522,C5498,C5474,C5450,C5426,C5402,C5378)</f>
        <v>0.10209407621682809</v>
      </c>
      <c r="M5690" s="400">
        <f>SUM(C5690,C5666,C5642,C5618,C5594,C5570,C5546)/POBLA!$B$1*100000</f>
        <v>162.80012799623466</v>
      </c>
    </row>
    <row r="5691" spans="1:13" s="360" customFormat="1" x14ac:dyDescent="0.25">
      <c r="A5691" s="367" t="s">
        <v>43</v>
      </c>
      <c r="B5691" s="2">
        <v>44130</v>
      </c>
      <c r="C5691" s="1">
        <v>515</v>
      </c>
      <c r="D5691" s="39">
        <f t="shared" si="763"/>
        <v>144505</v>
      </c>
      <c r="E5691" s="1">
        <v>64</v>
      </c>
      <c r="F5691" s="409">
        <f t="shared" si="762"/>
        <v>4578</v>
      </c>
      <c r="G5691" s="168">
        <f>SUM(C5691,C5667,C5643,C5619,C5595,C5571,C5547,C5523,C5499,C5475,C5451,C5427,C5403,C5379)/POBLA!$B$2*100000</f>
        <v>293.07664146003799</v>
      </c>
      <c r="H5691" s="256">
        <f t="shared" si="764"/>
        <v>0.78959355290819899</v>
      </c>
      <c r="I5691" s="297">
        <f t="shared" ref="I5691:I5713" si="766">G5691*H5691</f>
        <v>231.41142660483376</v>
      </c>
      <c r="J5691" s="297">
        <f t="shared" ref="J5691:J5713" si="767">AVERAGE(C5691,C5667,C5643,C5619,C5595,C5571,C5547)</f>
        <v>568.28571428571433</v>
      </c>
      <c r="K5691" s="297">
        <f>J5691/POBLA!$B$2*100000</f>
        <v>18.47695457428177</v>
      </c>
      <c r="L5691" s="549">
        <f t="shared" si="765"/>
        <v>0.21008737092930896</v>
      </c>
      <c r="M5691" s="401">
        <f>SUM(C5691,C5667,C5643,C5619,C5595,C5571,C5547)/POBLA!$B$2*100000</f>
        <v>129.3386820199724</v>
      </c>
    </row>
    <row r="5692" spans="1:13" s="360" customFormat="1" x14ac:dyDescent="0.25">
      <c r="A5692" s="367" t="s">
        <v>28</v>
      </c>
      <c r="B5692" s="2">
        <v>44130</v>
      </c>
      <c r="C5692" s="1">
        <v>7</v>
      </c>
      <c r="D5692" s="39">
        <f t="shared" si="763"/>
        <v>638</v>
      </c>
      <c r="E5692" s="1"/>
      <c r="F5692" s="409">
        <f t="shared" si="762"/>
        <v>0</v>
      </c>
      <c r="G5692" s="168">
        <f>SUM(C5692,C5668,C5644,C5620,C5596,C5572,C5548,C5524,C5500,C5476,C5452,C5428,C5404,C5380)/POBLA!$B$3*100000</f>
        <v>59.696031658153565</v>
      </c>
      <c r="H5692" s="256">
        <f t="shared" si="764"/>
        <v>2.1565217391304348</v>
      </c>
      <c r="I5692" s="297">
        <f t="shared" si="766"/>
        <v>128.73579001062683</v>
      </c>
      <c r="J5692" s="297">
        <f t="shared" si="767"/>
        <v>20.857142857142858</v>
      </c>
      <c r="K5692" s="297">
        <f>J5692/POBLA!$B$3*100000</f>
        <v>5.0205187915267393</v>
      </c>
      <c r="L5692" s="549">
        <f t="shared" si="765"/>
        <v>-0.43137254901960786</v>
      </c>
      <c r="M5692" s="401">
        <f>SUM(C5692,C5668,C5644,C5620,C5596,C5572,C5548)/POBLA!$B$3*100000</f>
        <v>35.143631540687181</v>
      </c>
    </row>
    <row r="5693" spans="1:13" s="360" customFormat="1" x14ac:dyDescent="0.25">
      <c r="A5693" s="367" t="s">
        <v>15</v>
      </c>
      <c r="B5693" s="2">
        <v>44130</v>
      </c>
      <c r="C5693" s="1">
        <v>137</v>
      </c>
      <c r="D5693" s="39">
        <f t="shared" si="763"/>
        <v>13227</v>
      </c>
      <c r="E5693" s="1">
        <v>1</v>
      </c>
      <c r="F5693" s="409">
        <f t="shared" si="762"/>
        <v>406</v>
      </c>
      <c r="G5693" s="168">
        <f>SUM(C5693,C5669,C5645,C5621,C5597,C5573,C5549,C5525,C5501,C5477,C5453,C5429,C5405,C5381)/POBLA!$B$4*100000</f>
        <v>225.89517500857175</v>
      </c>
      <c r="H5693" s="256">
        <f t="shared" si="764"/>
        <v>1.2023862129916041</v>
      </c>
      <c r="I5693" s="297">
        <f t="shared" si="766"/>
        <v>271.61324401163222</v>
      </c>
      <c r="J5693" s="297">
        <f t="shared" si="767"/>
        <v>197</v>
      </c>
      <c r="K5693" s="297">
        <f>J5693/POBLA!$B$4*100000</f>
        <v>16.354777462950619</v>
      </c>
      <c r="L5693" s="549">
        <f t="shared" si="765"/>
        <v>-2.7570789865871914E-2</v>
      </c>
      <c r="M5693" s="401">
        <f>SUM(C5693,C5669,C5645,C5621,C5597,C5573,C5549)/POBLA!$B$4*100000</f>
        <v>114.48344224065433</v>
      </c>
    </row>
    <row r="5694" spans="1:13" s="360" customFormat="1" x14ac:dyDescent="0.25">
      <c r="A5694" s="367" t="s">
        <v>29</v>
      </c>
      <c r="B5694" s="2">
        <v>44130</v>
      </c>
      <c r="C5694" s="1">
        <v>544</v>
      </c>
      <c r="D5694" s="39">
        <f t="shared" si="763"/>
        <v>12981</v>
      </c>
      <c r="E5694" s="1">
        <v>2</v>
      </c>
      <c r="F5694" s="409">
        <f t="shared" si="762"/>
        <v>218</v>
      </c>
      <c r="G5694" s="168">
        <f>SUM(C5694,C5670,C5646,C5622,C5598,C5574,C5550,C5526,C5502,C5478,C5454,C5430,C5406,C5382)/POBLA!$B$5*100000</f>
        <v>909.70187110052757</v>
      </c>
      <c r="H5694" s="256">
        <f t="shared" si="764"/>
        <v>1.4976063829787234</v>
      </c>
      <c r="I5694" s="297">
        <f t="shared" si="766"/>
        <v>1362.375328767838</v>
      </c>
      <c r="J5694" s="297">
        <f t="shared" si="767"/>
        <v>531.28571428571433</v>
      </c>
      <c r="K5694" s="297">
        <f>J5694/POBLA!$B$5*100000</f>
        <v>85.830511165813292</v>
      </c>
      <c r="L5694" s="549">
        <f t="shared" si="765"/>
        <v>-0.94508368200836812</v>
      </c>
      <c r="M5694" s="401">
        <f>SUM(C5694,C5670,C5646,C5622,C5598,C5574,C5550)/POBLA!$B$5*100000</f>
        <v>600.81357816069294</v>
      </c>
    </row>
    <row r="5695" spans="1:13" s="360" customFormat="1" x14ac:dyDescent="0.25">
      <c r="A5695" s="367" t="s">
        <v>20</v>
      </c>
      <c r="B5695" s="2">
        <v>44130</v>
      </c>
      <c r="C5695" s="1">
        <v>1271</v>
      </c>
      <c r="D5695" s="39">
        <f t="shared" si="763"/>
        <v>77266</v>
      </c>
      <c r="E5695" s="1">
        <v>32</v>
      </c>
      <c r="F5695" s="409">
        <f t="shared" si="762"/>
        <v>1137</v>
      </c>
      <c r="G5695" s="168">
        <f>SUM(C5695,C5671,C5647,C5623,C5599,C5575,C5551,C5527,C5503,C5479,C5455,C5431,C5407,C5383)/POBLA!$B$6*100000</f>
        <v>2170.6797192365102</v>
      </c>
      <c r="H5695" s="256">
        <f t="shared" si="764"/>
        <v>1.0933399245011683</v>
      </c>
      <c r="I5695" s="297">
        <f t="shared" si="766"/>
        <v>2373.2908003462635</v>
      </c>
      <c r="J5695" s="297">
        <f t="shared" si="767"/>
        <v>1812.4285714285713</v>
      </c>
      <c r="K5695" s="297">
        <f>J5695/POBLA!$B$6*100000</f>
        <v>161.70832925992852</v>
      </c>
      <c r="L5695" s="549">
        <f t="shared" si="765"/>
        <v>-8.9761209414189969E-2</v>
      </c>
      <c r="M5695" s="401">
        <f>SUM(C5695,C5671,C5647,C5623,C5599,C5575,C5551)/POBLA!$B$6*100000</f>
        <v>1131.9583048194995</v>
      </c>
    </row>
    <row r="5696" spans="1:13" s="360" customFormat="1" x14ac:dyDescent="0.25">
      <c r="A5696" s="367" t="s">
        <v>30</v>
      </c>
      <c r="B5696" s="2">
        <v>44130</v>
      </c>
      <c r="C5696" s="1">
        <v>114</v>
      </c>
      <c r="D5696" s="39">
        <f t="shared" si="763"/>
        <v>2383</v>
      </c>
      <c r="E5696" s="1">
        <v>3</v>
      </c>
      <c r="F5696" s="409">
        <f t="shared" si="762"/>
        <v>43</v>
      </c>
      <c r="G5696" s="168">
        <f>SUM(C5696,C5672,C5648,C5624,C5600,C5576,C5552,C5528,C5504,C5480,C5456,C5432,C5408,C5384)/POBLA!$B$7*100000</f>
        <v>19.917828983233388</v>
      </c>
      <c r="H5696" s="256">
        <f t="shared" si="764"/>
        <v>1.3642987249544627</v>
      </c>
      <c r="I5696" s="297">
        <f t="shared" si="766"/>
        <v>27.173868685686354</v>
      </c>
      <c r="J5696" s="297">
        <f t="shared" si="767"/>
        <v>40.428571428571431</v>
      </c>
      <c r="K5696" s="297">
        <f>J5696/POBLA!$B$7*100000</f>
        <v>1.0750992947272648</v>
      </c>
      <c r="L5696" s="549">
        <f t="shared" si="765"/>
        <v>0.39270386266094426</v>
      </c>
      <c r="M5696" s="401">
        <f>SUM(C5696,C5672,C5648,C5624,C5600,C5576,C5552)/POBLA!$B$7*100000</f>
        <v>7.5256950630908532</v>
      </c>
    </row>
    <row r="5697" spans="1:13" x14ac:dyDescent="0.25">
      <c r="A5697" s="367" t="s">
        <v>31</v>
      </c>
      <c r="B5697" s="2">
        <v>44130</v>
      </c>
      <c r="C5697" s="1">
        <v>352</v>
      </c>
      <c r="D5697" s="39">
        <f t="shared" si="763"/>
        <v>14292</v>
      </c>
      <c r="E5697" s="1">
        <v>11</v>
      </c>
      <c r="F5697" s="409">
        <f t="shared" si="762"/>
        <v>251</v>
      </c>
      <c r="G5697" s="168">
        <f>SUM(C5697,C5673,C5649,C5625,C5601,C5577,C5553,C5529,C5505,C5481,C5457,C5433,C5409,C5385)/POBLA!$B$8*100000</f>
        <v>340.99083596147364</v>
      </c>
      <c r="H5697" s="256">
        <f t="shared" si="764"/>
        <v>1.9512799339388935</v>
      </c>
      <c r="I5697" s="297">
        <f t="shared" si="766"/>
        <v>665.36857586867234</v>
      </c>
      <c r="J5697" s="297">
        <f t="shared" si="767"/>
        <v>371.42857142857144</v>
      </c>
      <c r="K5697" s="297">
        <f>J5697/POBLA!$B$8*100000</f>
        <v>26.79935232149905</v>
      </c>
      <c r="L5697" s="549">
        <f t="shared" si="765"/>
        <v>-0.22295390404515514</v>
      </c>
      <c r="M5697" s="401">
        <f>SUM(C5697,C5673,C5649,C5625,C5601,C5577,C5553)/POBLA!$B$8*100000</f>
        <v>187.59546625049336</v>
      </c>
    </row>
    <row r="5698" spans="1:13" s="360" customFormat="1" x14ac:dyDescent="0.25">
      <c r="A5698" s="367" t="s">
        <v>41</v>
      </c>
      <c r="B5698" s="2">
        <v>44130</v>
      </c>
      <c r="C5698" s="1">
        <v>2</v>
      </c>
      <c r="D5698" s="39">
        <f t="shared" si="763"/>
        <v>145</v>
      </c>
      <c r="E5698" s="1"/>
      <c r="F5698" s="409">
        <f t="shared" si="762"/>
        <v>1</v>
      </c>
      <c r="G5698" s="168">
        <f>SUM(C5698,C5674,C5650,C5626,C5602,C5578,C5554,C5530,C5506,C5482,C5458,C5434,C5410,C5386)/POBLA!$B$9*100000</f>
        <v>1.4871288993759018</v>
      </c>
      <c r="H5698" s="256">
        <f t="shared" si="764"/>
        <v>0.28125</v>
      </c>
      <c r="I5698" s="297">
        <f t="shared" si="766"/>
        <v>0.41825500294947238</v>
      </c>
      <c r="J5698" s="297">
        <f t="shared" si="767"/>
        <v>0.14285714285714285</v>
      </c>
      <c r="K5698" s="297">
        <f>J5698/POBLA!$B$9*100000</f>
        <v>2.3605220625014311E-2</v>
      </c>
      <c r="L5698" s="549">
        <f t="shared" si="765"/>
        <v>0.875</v>
      </c>
      <c r="M5698" s="401">
        <f>SUM(C5698,C5674,C5650,C5626,C5602,C5578,C5554)/POBLA!$B$9*100000</f>
        <v>0.16523654437510019</v>
      </c>
    </row>
    <row r="5699" spans="1:13" s="360" customFormat="1" x14ac:dyDescent="0.25">
      <c r="A5699" s="367" t="s">
        <v>32</v>
      </c>
      <c r="B5699" s="2">
        <v>44130</v>
      </c>
      <c r="C5699" s="1">
        <v>38</v>
      </c>
      <c r="D5699" s="39">
        <f t="shared" si="763"/>
        <v>17652</v>
      </c>
      <c r="E5699" s="1">
        <v>10</v>
      </c>
      <c r="F5699" s="409">
        <f t="shared" si="762"/>
        <v>786</v>
      </c>
      <c r="G5699" s="168">
        <f>SUM(C5699,C5675,C5651,C5627,C5603,C5579,C5555,C5531,C5507,C5483,C5459,C5435,C5411,C5387)/POBLA!$B$10*100000</f>
        <v>109.74456498473823</v>
      </c>
      <c r="H5699" s="256">
        <f t="shared" si="764"/>
        <v>0.6064516129032258</v>
      </c>
      <c r="I5699" s="297">
        <f t="shared" si="766"/>
        <v>66.554768442357386</v>
      </c>
      <c r="J5699" s="297">
        <f t="shared" si="767"/>
        <v>52.428571428571431</v>
      </c>
      <c r="K5699" s="297">
        <f>J5699/POBLA!$B$10*100000</f>
        <v>6.8011238347515928</v>
      </c>
      <c r="L5699" s="549">
        <f t="shared" si="765"/>
        <v>0.23382045929018791</v>
      </c>
      <c r="M5699" s="401">
        <f>SUM(C5699,C5675,C5651,C5627,C5603,C5579,C5555)/POBLA!$B$10*100000</f>
        <v>47.607866843261149</v>
      </c>
    </row>
    <row r="5700" spans="1:13" s="360" customFormat="1" x14ac:dyDescent="0.25">
      <c r="A5700" s="367" t="s">
        <v>33</v>
      </c>
      <c r="B5700" s="2">
        <v>44130</v>
      </c>
      <c r="C5700" s="1">
        <v>68</v>
      </c>
      <c r="D5700" s="39">
        <f t="shared" si="763"/>
        <v>2524</v>
      </c>
      <c r="E5700" s="1"/>
      <c r="F5700" s="409">
        <f t="shared" si="762"/>
        <v>25</v>
      </c>
      <c r="G5700" s="168">
        <f>SUM(C5700,C5676,C5652,C5628,C5604,C5580,C5556,C5532,C5508,C5484,C5460,C5436,C5412,C5388)/POBLA!$B$11*100000</f>
        <v>389.75749662414768</v>
      </c>
      <c r="H5700" s="256">
        <f t="shared" si="764"/>
        <v>3.4240196078431371</v>
      </c>
      <c r="I5700" s="297">
        <f t="shared" si="766"/>
        <v>1334.537310744937</v>
      </c>
      <c r="J5700" s="297">
        <f t="shared" si="767"/>
        <v>116.28571428571429</v>
      </c>
      <c r="K5700" s="297">
        <f>J5700/POBLA!$B$11*100000</f>
        <v>32.443256186936928</v>
      </c>
      <c r="L5700" s="549">
        <f t="shared" si="765"/>
        <v>-0.39622641509433953</v>
      </c>
      <c r="M5700" s="401">
        <f>SUM(C5700,C5676,C5652,C5628,C5604,C5580,C5556)/POBLA!$B$11*100000</f>
        <v>227.10279330855852</v>
      </c>
    </row>
    <row r="5701" spans="1:13" s="360" customFormat="1" x14ac:dyDescent="0.25">
      <c r="A5701" s="367" t="s">
        <v>21</v>
      </c>
      <c r="B5701" s="2">
        <v>44130</v>
      </c>
      <c r="C5701" s="1">
        <v>49</v>
      </c>
      <c r="D5701" s="39">
        <f t="shared" si="763"/>
        <v>7173</v>
      </c>
      <c r="E5701" s="1">
        <v>13</v>
      </c>
      <c r="F5701" s="409">
        <f t="shared" si="762"/>
        <v>252</v>
      </c>
      <c r="G5701" s="168">
        <f>SUM(C5701,C5677,C5653,C5629,C5605,C5581,C5557,C5533,C5509,C5485,C5461,C5437,C5413,C5389)/POBLA!$B$12*100000</f>
        <v>301.11986095123382</v>
      </c>
      <c r="H5701" s="256">
        <f t="shared" si="764"/>
        <v>0.88631264023934186</v>
      </c>
      <c r="I5701" s="297">
        <f t="shared" si="766"/>
        <v>266.88633898819154</v>
      </c>
      <c r="J5701" s="297">
        <f t="shared" si="767"/>
        <v>78.428571428571431</v>
      </c>
      <c r="K5701" s="297">
        <f>J5701/POBLA!$B$12*100000</f>
        <v>19.929451918291424</v>
      </c>
      <c r="L5701" s="549">
        <f t="shared" si="765"/>
        <v>0.1367924528301887</v>
      </c>
      <c r="M5701" s="401">
        <f>SUM(C5701,C5677,C5653,C5629,C5605,C5581,C5557)/POBLA!$B$12*100000</f>
        <v>139.50616342804</v>
      </c>
    </row>
    <row r="5702" spans="1:13" s="360" customFormat="1" x14ac:dyDescent="0.25">
      <c r="A5702" s="367" t="s">
        <v>17</v>
      </c>
      <c r="B5702" s="2">
        <v>44130</v>
      </c>
      <c r="C5702" s="1">
        <v>652</v>
      </c>
      <c r="D5702" s="39">
        <f t="shared" si="763"/>
        <v>43601</v>
      </c>
      <c r="E5702" s="1">
        <v>11</v>
      </c>
      <c r="F5702" s="409">
        <f t="shared" si="762"/>
        <v>716</v>
      </c>
      <c r="G5702" s="168">
        <f>SUM(C5702,C5678,C5654,C5630,C5606,C5582,C5558,C5534,C5510,C5486,C5462,C5438,C5414,C5390)/POBLA!$B$13*100000</f>
        <v>562.81897848506128</v>
      </c>
      <c r="H5702" s="256">
        <f t="shared" si="764"/>
        <v>1.2862555976575956</v>
      </c>
      <c r="I5702" s="297">
        <f t="shared" si="766"/>
        <v>723.9290615443399</v>
      </c>
      <c r="J5702" s="297">
        <f t="shared" si="767"/>
        <v>822.14285714285711</v>
      </c>
      <c r="K5702" s="297">
        <f>J5702/POBLA!$B$13*100000</f>
        <v>41.306695503118419</v>
      </c>
      <c r="L5702" s="549">
        <f t="shared" si="765"/>
        <v>-5.6544887093813001E-2</v>
      </c>
      <c r="M5702" s="401">
        <f>SUM(C5702,C5678,C5654,C5630,C5606,C5582,C5558)/POBLA!$B$13*100000</f>
        <v>289.14686852182894</v>
      </c>
    </row>
    <row r="5703" spans="1:13" s="360" customFormat="1" x14ac:dyDescent="0.25">
      <c r="A5703" s="367" t="s">
        <v>23</v>
      </c>
      <c r="B5703" s="2">
        <v>44130</v>
      </c>
      <c r="C5703" s="1">
        <v>12</v>
      </c>
      <c r="D5703" s="39">
        <f t="shared" si="763"/>
        <v>229</v>
      </c>
      <c r="E5703" s="1"/>
      <c r="F5703" s="409">
        <f t="shared" si="762"/>
        <v>5</v>
      </c>
      <c r="G5703" s="168">
        <f>SUM(C5703,C5679,C5655,C5631,C5607,C5583,C5559,C5535,C5511,C5487,C5463,C5439,C5415,C5391)/POBLA!$B$14*100000</f>
        <v>5.3120049726709233</v>
      </c>
      <c r="H5703" s="256">
        <f t="shared" si="764"/>
        <v>0.80722891566265065</v>
      </c>
      <c r="I5703" s="297">
        <f t="shared" si="766"/>
        <v>4.2880040140837572</v>
      </c>
      <c r="J5703" s="297">
        <f t="shared" si="767"/>
        <v>4.5714285714285712</v>
      </c>
      <c r="K5703" s="297">
        <f>J5703/POBLA!$B$14*100000</f>
        <v>0.36243957169609714</v>
      </c>
      <c r="L5703" s="549">
        <f t="shared" si="765"/>
        <v>8.5714285714285743E-2</v>
      </c>
      <c r="M5703" s="401">
        <f>SUM(C5703,C5679,C5655,C5631,C5607,C5583,C5559)/POBLA!$B$14*100000</f>
        <v>2.5370770018726798</v>
      </c>
    </row>
    <row r="5704" spans="1:13" s="360" customFormat="1" x14ac:dyDescent="0.25">
      <c r="A5704" s="367" t="s">
        <v>19</v>
      </c>
      <c r="B5704" s="2">
        <v>44130</v>
      </c>
      <c r="C5704" s="1">
        <v>395</v>
      </c>
      <c r="D5704" s="39">
        <f t="shared" si="763"/>
        <v>19778</v>
      </c>
      <c r="E5704" s="1">
        <v>6</v>
      </c>
      <c r="F5704" s="409">
        <f t="shared" si="762"/>
        <v>360</v>
      </c>
      <c r="G5704" s="168">
        <f>SUM(C5704,C5680,C5656,C5632,C5608,C5584,C5560,C5536,C5512,C5488,C5464,C5440,C5416,C5392)/POBLA!$B$15*100000</f>
        <v>1112.7056864094498</v>
      </c>
      <c r="H5704" s="256">
        <f t="shared" si="764"/>
        <v>1.5506820566631689</v>
      </c>
      <c r="I5704" s="297">
        <f t="shared" si="766"/>
        <v>1725.4527422622086</v>
      </c>
      <c r="J5704" s="297">
        <f t="shared" si="767"/>
        <v>632</v>
      </c>
      <c r="K5704" s="297">
        <f>J5704/POBLA!$B$15*100000</f>
        <v>95.172552958556267</v>
      </c>
      <c r="L5704" s="549">
        <f t="shared" si="765"/>
        <v>-0.4920741989881956</v>
      </c>
      <c r="M5704" s="401">
        <f>SUM(C5704,C5680,C5656,C5632,C5608,C5584,C5560)/POBLA!$B$15*100000</f>
        <v>666.20787070989388</v>
      </c>
    </row>
    <row r="5705" spans="1:13" s="360" customFormat="1" x14ac:dyDescent="0.25">
      <c r="A5705" s="367" t="s">
        <v>18</v>
      </c>
      <c r="B5705" s="2">
        <v>44130</v>
      </c>
      <c r="C5705" s="1">
        <v>308</v>
      </c>
      <c r="D5705" s="39">
        <f t="shared" si="763"/>
        <v>22068</v>
      </c>
      <c r="E5705" s="1">
        <v>12</v>
      </c>
      <c r="F5705" s="409">
        <f t="shared" si="762"/>
        <v>572</v>
      </c>
      <c r="G5705" s="168">
        <f>SUM(C5705,C5681,C5657,C5633,C5609,C5585,C5561,C5537,C5513,C5489,C5465,C5441,C5417,C5393)/POBLA!$B$16*100000</f>
        <v>714.40991961049201</v>
      </c>
      <c r="H5705" s="256">
        <f t="shared" si="764"/>
        <v>1.1620974760661444</v>
      </c>
      <c r="I5705" s="297">
        <f t="shared" si="766"/>
        <v>830.21396445596986</v>
      </c>
      <c r="J5705" s="297">
        <f t="shared" si="767"/>
        <v>381.42857142857144</v>
      </c>
      <c r="K5705" s="297">
        <f>J5705/POBLA!$B$16*100000</f>
        <v>51.019725716425874</v>
      </c>
      <c r="L5705" s="549">
        <f t="shared" si="765"/>
        <v>3.7439161362784468E-4</v>
      </c>
      <c r="M5705" s="401">
        <f>SUM(C5705,C5681,C5657,C5633,C5609,C5585,C5561)/POBLA!$B$16*100000</f>
        <v>357.13808001498109</v>
      </c>
    </row>
    <row r="5706" spans="1:13" s="360" customFormat="1" x14ac:dyDescent="0.25">
      <c r="A5706" s="367" t="s">
        <v>34</v>
      </c>
      <c r="B5706" s="2">
        <v>44130</v>
      </c>
      <c r="C5706" s="1">
        <v>95</v>
      </c>
      <c r="D5706" s="39">
        <f t="shared" si="763"/>
        <v>18125</v>
      </c>
      <c r="E5706" s="1">
        <v>24</v>
      </c>
      <c r="F5706" s="409">
        <f t="shared" si="762"/>
        <v>730</v>
      </c>
      <c r="G5706" s="168">
        <f>SUM(C5706,C5682,C5658,C5634,C5610,C5586,C5562,C5538,C5514,C5490,C5466,C5442,C5418,C5394)/POBLA!$B$17*100000</f>
        <v>186.5350741401449</v>
      </c>
      <c r="H5706" s="256">
        <f t="shared" si="764"/>
        <v>0.71099812683971098</v>
      </c>
      <c r="I5706" s="297">
        <f t="shared" si="766"/>
        <v>132.62608830354964</v>
      </c>
      <c r="J5706" s="297">
        <f t="shared" si="767"/>
        <v>201.85714285714286</v>
      </c>
      <c r="K5706" s="297">
        <f>J5706/POBLA!$B$17*100000</f>
        <v>14.171410277973266</v>
      </c>
      <c r="L5706" s="549">
        <f t="shared" si="765"/>
        <v>-0.13585209003215426</v>
      </c>
      <c r="M5706" s="401">
        <f>SUM(C5706,C5682,C5658,C5634,C5610,C5586,C5562)/POBLA!$B$17*100000</f>
        <v>99.199871945812845</v>
      </c>
    </row>
    <row r="5707" spans="1:13" s="360" customFormat="1" x14ac:dyDescent="0.25">
      <c r="A5707" s="367" t="s">
        <v>35</v>
      </c>
      <c r="B5707" s="2">
        <v>44130</v>
      </c>
      <c r="C5707" s="1">
        <v>10</v>
      </c>
      <c r="D5707" s="39">
        <f t="shared" si="763"/>
        <v>1396</v>
      </c>
      <c r="E5707" s="1"/>
      <c r="F5707" s="409">
        <f t="shared" si="762"/>
        <v>77</v>
      </c>
      <c r="G5707" s="168">
        <f>SUM(C5707,C5683,C5659,C5635,C5611,C5587,C5563,C5539,C5515,C5491,C5467,C5443,C5419,C5395)/POBLA!$B$18*100000</f>
        <v>19.840838077000374</v>
      </c>
      <c r="H5707" s="256">
        <f t="shared" si="764"/>
        <v>0.28388278388278387</v>
      </c>
      <c r="I5707" s="297">
        <f t="shared" si="766"/>
        <v>5.6324723478664067</v>
      </c>
      <c r="J5707" s="297">
        <f t="shared" si="767"/>
        <v>13.428571428571429</v>
      </c>
      <c r="K5707" s="297">
        <f>J5707/POBLA!$B$18*100000</f>
        <v>1.7189297504498018</v>
      </c>
      <c r="L5707" s="549">
        <f t="shared" si="765"/>
        <v>-0.54098360655737698</v>
      </c>
      <c r="M5707" s="401">
        <f>SUM(C5707,C5683,C5659,C5635,C5611,C5587,C5563)/POBLA!$B$18*100000</f>
        <v>12.032508253148613</v>
      </c>
    </row>
    <row r="5708" spans="1:13" s="360" customFormat="1" x14ac:dyDescent="0.25">
      <c r="A5708" s="367" t="s">
        <v>36</v>
      </c>
      <c r="B5708" s="2">
        <v>44130</v>
      </c>
      <c r="C5708" s="1">
        <v>136</v>
      </c>
      <c r="D5708" s="39">
        <f t="shared" si="763"/>
        <v>5619</v>
      </c>
      <c r="E5708" s="1"/>
      <c r="F5708" s="409">
        <f t="shared" si="762"/>
        <v>52</v>
      </c>
      <c r="G5708" s="168">
        <f>SUM(C5708,C5684,C5660,C5636,C5612,C5588,C5564,C5540,C5516,C5492,C5468,C5444,C5420,C5396)/POBLA!$B$19*100000</f>
        <v>654.89211690089871</v>
      </c>
      <c r="H5708" s="256">
        <f t="shared" si="764"/>
        <v>3.0291173794358506</v>
      </c>
      <c r="I5708" s="297">
        <f t="shared" si="766"/>
        <v>1983.745092960047</v>
      </c>
      <c r="J5708" s="297">
        <f t="shared" si="767"/>
        <v>287.85714285714283</v>
      </c>
      <c r="K5708" s="297">
        <f>J5708/POBLA!$B$19*100000</f>
        <v>56.628228792658057</v>
      </c>
      <c r="L5708" s="549">
        <f t="shared" si="765"/>
        <v>-0.53348554033485551</v>
      </c>
      <c r="M5708" s="401">
        <f>SUM(C5708,C5684,C5660,C5636,C5612,C5588,C5564)/POBLA!$B$19*100000</f>
        <v>396.39760154860642</v>
      </c>
    </row>
    <row r="5709" spans="1:13" s="360" customFormat="1" x14ac:dyDescent="0.25">
      <c r="A5709" s="367" t="s">
        <v>37</v>
      </c>
      <c r="B5709" s="2">
        <v>44130</v>
      </c>
      <c r="C5709" s="1">
        <v>86</v>
      </c>
      <c r="D5709" s="39">
        <f t="shared" si="763"/>
        <v>8555</v>
      </c>
      <c r="E5709" s="1">
        <v>3</v>
      </c>
      <c r="F5709" s="409">
        <f t="shared" si="762"/>
        <v>116</v>
      </c>
      <c r="G5709" s="168">
        <f>SUM(C5709,C5685,C5661,C5637,C5613,C5589,C5565,C5541,C5517,C5493,C5469,C5445,C5421,C5397)/POBLA!$B$20*100000</f>
        <v>576.15846955684742</v>
      </c>
      <c r="H5709" s="256">
        <f t="shared" si="764"/>
        <v>1.131578947368421</v>
      </c>
      <c r="I5709" s="297">
        <f t="shared" si="766"/>
        <v>651.96879449853782</v>
      </c>
      <c r="J5709" s="297">
        <f t="shared" si="767"/>
        <v>164.28571428571428</v>
      </c>
      <c r="K5709" s="297">
        <f>J5709/POBLA!$B$20*100000</f>
        <v>44.923875516331584</v>
      </c>
      <c r="L5709" s="549">
        <f t="shared" si="765"/>
        <v>-0.20167189132706365</v>
      </c>
      <c r="M5709" s="401">
        <f>SUM(C5709,C5685,C5661,C5637,C5613,C5589,C5565)/POBLA!$B$20*100000</f>
        <v>314.4671286143211</v>
      </c>
    </row>
    <row r="5710" spans="1:13" s="360" customFormat="1" x14ac:dyDescent="0.25">
      <c r="A5710" s="367" t="s">
        <v>22</v>
      </c>
      <c r="B5710" s="2">
        <v>44130</v>
      </c>
      <c r="C5710" s="1">
        <v>1733</v>
      </c>
      <c r="D5710" s="39">
        <f t="shared" si="763"/>
        <v>96240</v>
      </c>
      <c r="E5710" s="1">
        <v>37</v>
      </c>
      <c r="F5710" s="409">
        <f t="shared" si="762"/>
        <v>1094</v>
      </c>
      <c r="G5710" s="168">
        <f>SUM(C5710,C5686,C5662,C5638,C5614,C5590,C5566,C5542,C5518,C5494,C5470,C5446,C5422,C5398)/POBLA!$B$21*100000</f>
        <v>894.37956712130756</v>
      </c>
      <c r="H5710" s="256">
        <f t="shared" si="764"/>
        <v>1.2053275408711559</v>
      </c>
      <c r="I5710" s="297">
        <f t="shared" si="766"/>
        <v>1078.0203242437346</v>
      </c>
      <c r="J5710" s="297">
        <f t="shared" si="767"/>
        <v>2195.1428571428573</v>
      </c>
      <c r="K5710" s="297">
        <f>J5710/POBLA!$B$21*100000</f>
        <v>62.072494177522486</v>
      </c>
      <c r="L5710" s="549">
        <f t="shared" si="765"/>
        <v>5.5155875299760182E-2</v>
      </c>
      <c r="M5710" s="401">
        <f>SUM(C5710,C5686,C5662,C5638,C5614,C5590,C5566)/POBLA!$B$21*100000</f>
        <v>434.50745924265738</v>
      </c>
    </row>
    <row r="5711" spans="1:13" s="360" customFormat="1" x14ac:dyDescent="0.25">
      <c r="A5711" s="367" t="s">
        <v>38</v>
      </c>
      <c r="B5711" s="2">
        <v>44130</v>
      </c>
      <c r="C5711" s="1">
        <v>240</v>
      </c>
      <c r="D5711" s="39">
        <f>C5711+D5687</f>
        <v>8625</v>
      </c>
      <c r="E5711" s="1">
        <v>1</v>
      </c>
      <c r="F5711" s="409">
        <f t="shared" si="762"/>
        <v>115</v>
      </c>
      <c r="G5711" s="168">
        <f>SUM(C5711,C5687,C5663,C5639,C5615,C5591,C5567,C5543,C5519,C5495,C5471,C5447,C5423,C5399)/POBLA!$B$22*100000</f>
        <v>329.7513168076066</v>
      </c>
      <c r="H5711" s="256">
        <f t="shared" si="764"/>
        <v>1.4544634806131651</v>
      </c>
      <c r="I5711" s="297">
        <f t="shared" si="766"/>
        <v>479.611247980766</v>
      </c>
      <c r="J5711" s="297">
        <f t="shared" si="767"/>
        <v>237.85714285714286</v>
      </c>
      <c r="K5711" s="297">
        <f>J5711/POBLA!$B$22*100000</f>
        <v>24.312990102057611</v>
      </c>
      <c r="L5711" s="549">
        <f t="shared" si="765"/>
        <v>-6.6623959000640554E-2</v>
      </c>
      <c r="M5711" s="401">
        <f>SUM(C5711,C5687,C5663,C5639,C5615,C5591,C5567)/POBLA!$B$22*100000</f>
        <v>170.19093071440327</v>
      </c>
    </row>
    <row r="5712" spans="1:13" s="360" customFormat="1" x14ac:dyDescent="0.25">
      <c r="A5712" s="367" t="s">
        <v>39</v>
      </c>
      <c r="B5712" s="2">
        <v>44130</v>
      </c>
      <c r="C5712" s="1">
        <v>305</v>
      </c>
      <c r="D5712" s="39">
        <f>C5712+D5688</f>
        <v>10357</v>
      </c>
      <c r="E5712" s="1">
        <v>4</v>
      </c>
      <c r="F5712" s="409">
        <f t="shared" si="762"/>
        <v>132</v>
      </c>
      <c r="G5712" s="168">
        <f>SUM(C5712,C5688,C5664,C5640,C5616,C5592,C5568,C5544,C5520,C5496,C5472,C5448,C5424,C5400)/POBLA!$B$23*100000</f>
        <v>2072.6121133291863</v>
      </c>
      <c r="H5712" s="256">
        <f t="shared" si="764"/>
        <v>1.3061297220242338</v>
      </c>
      <c r="I5712" s="297">
        <f t="shared" si="766"/>
        <v>2707.1002834467099</v>
      </c>
      <c r="J5712" s="297">
        <f t="shared" si="767"/>
        <v>281.57142857142856</v>
      </c>
      <c r="K5712" s="297">
        <f>J5712/POBLA!$B$23*100000</f>
        <v>159.23283864244107</v>
      </c>
      <c r="L5712" s="549">
        <f t="shared" si="765"/>
        <v>-0.16351829988193622</v>
      </c>
      <c r="M5712" s="401">
        <f>SUM(C5712,C5688,C5664,C5640,C5616,C5592,C5568)/POBLA!$B$23*100000</f>
        <v>1114.6298704970875</v>
      </c>
    </row>
    <row r="5713" spans="1:13" s="360" customFormat="1" ht="15.75" thickBot="1" x14ac:dyDescent="0.3">
      <c r="A5713" s="369" t="s">
        <v>40</v>
      </c>
      <c r="B5713" s="266">
        <v>44130</v>
      </c>
      <c r="C5713" s="44">
        <v>949</v>
      </c>
      <c r="D5713" s="39">
        <f t="shared" ref="D5713:D5734" si="768">C5713+D5689</f>
        <v>44127</v>
      </c>
      <c r="E5713" s="44">
        <v>26</v>
      </c>
      <c r="F5713" s="477">
        <f t="shared" si="762"/>
        <v>686</v>
      </c>
      <c r="G5713" s="177">
        <f>SUM(C5713,C5689,C5665,C5641,C5617,C5593,C5569,C5545,C5521,C5497,C5473,C5449,C5425,C5401)/POBLA!$B$24*100000</f>
        <v>978.84172363004643</v>
      </c>
      <c r="H5713" s="402">
        <f t="shared" si="764"/>
        <v>1.1874865774214332</v>
      </c>
      <c r="I5713" s="403">
        <f t="shared" si="766"/>
        <v>1162.3614082307402</v>
      </c>
      <c r="J5713" s="403">
        <f t="shared" si="767"/>
        <v>1143.4285714285713</v>
      </c>
      <c r="K5713" s="403">
        <f>J5713/POBLA!$B$24*100000</f>
        <v>67.472606324149055</v>
      </c>
      <c r="L5713" s="550">
        <f t="shared" si="765"/>
        <v>6.7567567567567544E-2</v>
      </c>
      <c r="M5713" s="405">
        <f>SUM(C5713,C5689,C5665,C5641,C5617,C5593,C5569)/POBLA!$B$24*100000</f>
        <v>472.30824426904337</v>
      </c>
    </row>
    <row r="5714" spans="1:13" s="360" customFormat="1" x14ac:dyDescent="0.25">
      <c r="A5714" s="374" t="s">
        <v>16</v>
      </c>
      <c r="B5714" s="267">
        <v>44131</v>
      </c>
      <c r="C5714" s="225">
        <v>4221</v>
      </c>
      <c r="D5714" s="262">
        <f t="shared" si="768"/>
        <v>535208</v>
      </c>
      <c r="E5714" s="225">
        <v>179</v>
      </c>
      <c r="F5714" s="475">
        <f t="shared" si="762"/>
        <v>17120</v>
      </c>
      <c r="G5714" s="175">
        <f>SUM(C5714,C5690,C5666,C5642,C5618,C5594,C5570,C5546,C5522,C5498,C5474,C5450,C5426,C5402)/POBLA!$B$1*100000</f>
        <v>341.57413135211675</v>
      </c>
      <c r="H5714" s="300">
        <f t="shared" si="764"/>
        <v>0.94269800811856885</v>
      </c>
      <c r="I5714" s="301">
        <f>G5714*H5714</f>
        <v>322.00125325047088</v>
      </c>
      <c r="J5714" s="301">
        <f>AVERAGE(C5714,C5690,C5666,C5642,C5618,C5594,C5570)</f>
        <v>3971</v>
      </c>
      <c r="K5714" s="301">
        <f>J5714/POBLA!$B$1*100000</f>
        <v>22.63820808463942</v>
      </c>
      <c r="L5714" s="548">
        <f t="shared" si="765"/>
        <v>0.13456209720103363</v>
      </c>
      <c r="M5714" s="400">
        <f>SUM(C5714,C5690,C5666,C5642,C5618,C5594,C5570)/POBLA!$B$1*100000</f>
        <v>158.46745659247594</v>
      </c>
    </row>
    <row r="5715" spans="1:13" s="360" customFormat="1" x14ac:dyDescent="0.25">
      <c r="A5715" s="367" t="s">
        <v>43</v>
      </c>
      <c r="B5715" s="267">
        <v>44131</v>
      </c>
      <c r="C5715" s="1">
        <v>598</v>
      </c>
      <c r="D5715" s="39">
        <f t="shared" si="768"/>
        <v>145103</v>
      </c>
      <c r="E5715" s="1">
        <f>30+17+1</f>
        <v>48</v>
      </c>
      <c r="F5715" s="409">
        <f t="shared" si="762"/>
        <v>4626</v>
      </c>
      <c r="G5715" s="168">
        <f>SUM(C5715,C5691,C5667,C5643,C5619,C5595,C5571,C5547,C5523,C5499,C5475,C5451,C5427,C5403)/POBLA!$B$2*100000</f>
        <v>288.29715773531802</v>
      </c>
      <c r="H5715" s="256">
        <f t="shared" si="764"/>
        <v>0.79396489971346706</v>
      </c>
      <c r="I5715" s="297">
        <f t="shared" ref="I5715:I5737" si="769">G5715*H5715</f>
        <v>228.89782392899937</v>
      </c>
      <c r="J5715" s="297">
        <f t="shared" ref="J5715:J5737" si="770">AVERAGE(C5715,C5691,C5667,C5643,C5619,C5595,C5571)</f>
        <v>559</v>
      </c>
      <c r="K5715" s="297">
        <f>J5715/POBLA!$B$2*100000</f>
        <v>18.175043551826185</v>
      </c>
      <c r="L5715" s="549">
        <f t="shared" si="765"/>
        <v>0.21013322567622128</v>
      </c>
      <c r="M5715" s="401">
        <f>SUM(C5715,C5691,C5667,C5643,C5619,C5595,C5571)/POBLA!$B$2*100000</f>
        <v>127.2253048627833</v>
      </c>
    </row>
    <row r="5716" spans="1:13" s="360" customFormat="1" x14ac:dyDescent="0.25">
      <c r="A5716" s="367" t="s">
        <v>28</v>
      </c>
      <c r="B5716" s="267">
        <v>44131</v>
      </c>
      <c r="C5716" s="1">
        <v>28</v>
      </c>
      <c r="D5716" s="39">
        <f t="shared" si="768"/>
        <v>666</v>
      </c>
      <c r="E5716" s="1"/>
      <c r="F5716" s="409">
        <f t="shared" si="762"/>
        <v>0</v>
      </c>
      <c r="G5716" s="168">
        <f>SUM(C5716,C5692,C5668,C5644,C5620,C5596,C5572,C5548,C5524,C5500,C5476,C5452,C5428,C5404)/POBLA!$B$3*100000</f>
        <v>65.713776784983565</v>
      </c>
      <c r="H5716" s="256">
        <f t="shared" si="764"/>
        <v>2.3947368421052633</v>
      </c>
      <c r="I5716" s="297">
        <f t="shared" si="769"/>
        <v>157.3672023008817</v>
      </c>
      <c r="J5716" s="297">
        <f t="shared" si="770"/>
        <v>23.714285714285715</v>
      </c>
      <c r="K5716" s="297">
        <f>J5716/POBLA!$B$3*100000</f>
        <v>5.7082610917358823</v>
      </c>
      <c r="L5716" s="549">
        <f t="shared" si="765"/>
        <v>-0.55140186915887845</v>
      </c>
      <c r="M5716" s="401">
        <f>SUM(C5716,C5692,C5668,C5644,C5620,C5596,C5572)/POBLA!$B$3*100000</f>
        <v>39.957827642151173</v>
      </c>
    </row>
    <row r="5717" spans="1:13" s="360" customFormat="1" x14ac:dyDescent="0.25">
      <c r="A5717" s="367" t="s">
        <v>15</v>
      </c>
      <c r="B5717" s="267">
        <v>44131</v>
      </c>
      <c r="C5717" s="1">
        <v>167</v>
      </c>
      <c r="D5717" s="39">
        <f t="shared" si="768"/>
        <v>13394</v>
      </c>
      <c r="E5717" s="1">
        <f>4+3</f>
        <v>7</v>
      </c>
      <c r="F5717" s="409">
        <f t="shared" si="762"/>
        <v>413</v>
      </c>
      <c r="G5717" s="168">
        <f>SUM(C5717,C5693,C5669,C5645,C5621,C5597,C5573,C5549,C5525,C5501,C5477,C5453,C5429,C5405)/POBLA!$B$4*100000</f>
        <v>225.48007913387758</v>
      </c>
      <c r="H5717" s="256">
        <f t="shared" si="764"/>
        <v>1.1849912739965096</v>
      </c>
      <c r="I5717" s="297">
        <f t="shared" si="769"/>
        <v>267.19192623368741</v>
      </c>
      <c r="J5717" s="297">
        <f t="shared" si="770"/>
        <v>193.28571428571428</v>
      </c>
      <c r="K5717" s="297">
        <f>J5717/POBLA!$B$4*100000</f>
        <v>16.046420527463514</v>
      </c>
      <c r="L5717" s="549">
        <f t="shared" si="765"/>
        <v>7.3367571533382581E-3</v>
      </c>
      <c r="M5717" s="401">
        <f>SUM(C5717,C5693,C5669,C5645,C5621,C5597,C5573)/POBLA!$B$4*100000</f>
        <v>112.32494369224459</v>
      </c>
    </row>
    <row r="5718" spans="1:13" s="360" customFormat="1" x14ac:dyDescent="0.25">
      <c r="A5718" s="367" t="s">
        <v>29</v>
      </c>
      <c r="B5718" s="267">
        <v>44131</v>
      </c>
      <c r="C5718" s="1">
        <v>318</v>
      </c>
      <c r="D5718" s="39">
        <f t="shared" si="768"/>
        <v>13299</v>
      </c>
      <c r="E5718" s="1">
        <f>13+11</f>
        <v>24</v>
      </c>
      <c r="F5718" s="409">
        <f t="shared" si="762"/>
        <v>242</v>
      </c>
      <c r="G5718" s="168">
        <f>SUM(C5718,C5694,C5670,C5646,C5622,C5598,C5574,C5550,C5526,C5502,C5478,C5454,C5430,C5406)/POBLA!$B$5*100000</f>
        <v>890.31557656455482</v>
      </c>
      <c r="H5718" s="256">
        <f t="shared" si="764"/>
        <v>1.3815492604662822</v>
      </c>
      <c r="I5718" s="297">
        <f t="shared" si="769"/>
        <v>1230.0148263843723</v>
      </c>
      <c r="J5718" s="297">
        <f t="shared" si="770"/>
        <v>510.28571428571428</v>
      </c>
      <c r="K5718" s="297">
        <f>J5718/POBLA!$B$5*100000</f>
        <v>82.437909622018026</v>
      </c>
      <c r="L5718" s="549">
        <f t="shared" si="765"/>
        <v>-0.84218669417225378</v>
      </c>
      <c r="M5718" s="401">
        <f>SUM(C5718,C5694,C5670,C5646,C5622,C5598,C5574)/POBLA!$B$5*100000</f>
        <v>577.06536735412624</v>
      </c>
    </row>
    <row r="5719" spans="1:13" s="360" customFormat="1" x14ac:dyDescent="0.25">
      <c r="A5719" s="367" t="s">
        <v>20</v>
      </c>
      <c r="B5719" s="267">
        <v>44131</v>
      </c>
      <c r="C5719" s="1">
        <v>1819</v>
      </c>
      <c r="D5719" s="39">
        <f t="shared" si="768"/>
        <v>79085</v>
      </c>
      <c r="E5719" s="1">
        <f>19+19</f>
        <v>38</v>
      </c>
      <c r="F5719" s="409">
        <f t="shared" si="762"/>
        <v>1175</v>
      </c>
      <c r="G5719" s="168">
        <f>SUM(C5719,C5695,C5671,C5647,C5623,C5599,C5575,C5551,C5527,C5503,C5479,C5455,C5431,C5407)/POBLA!$B$6*100000</f>
        <v>2229.6553982375103</v>
      </c>
      <c r="H5719" s="256">
        <f t="shared" si="764"/>
        <v>1.1564090698750578</v>
      </c>
      <c r="I5719" s="297">
        <f t="shared" si="769"/>
        <v>2578.3937252177407</v>
      </c>
      <c r="J5719" s="297">
        <f t="shared" si="770"/>
        <v>1828.2857142857142</v>
      </c>
      <c r="K5719" s="297">
        <f>J5719/POBLA!$B$6*100000</f>
        <v>163.12313374860608</v>
      </c>
      <c r="L5719" s="549">
        <f t="shared" si="765"/>
        <v>-4.9704724409448842E-2</v>
      </c>
      <c r="M5719" s="401">
        <f>SUM(C5719,C5695,C5671,C5647,C5623,C5599,C5575)/POBLA!$B$6*100000</f>
        <v>1141.8619362402426</v>
      </c>
    </row>
    <row r="5720" spans="1:13" s="360" customFormat="1" x14ac:dyDescent="0.25">
      <c r="A5720" s="367" t="s">
        <v>30</v>
      </c>
      <c r="B5720" s="267">
        <v>44131</v>
      </c>
      <c r="C5720" s="1">
        <v>17</v>
      </c>
      <c r="D5720" s="39">
        <f t="shared" si="768"/>
        <v>2400</v>
      </c>
      <c r="E5720" s="1"/>
      <c r="F5720" s="409">
        <f t="shared" si="762"/>
        <v>43</v>
      </c>
      <c r="G5720" s="168">
        <f>SUM(C5720,C5696,C5672,C5648,C5624,C5600,C5576,C5552,C5528,C5504,C5480,C5456,C5432,C5408)/POBLA!$B$7*100000</f>
        <v>17.338350463375395</v>
      </c>
      <c r="H5720" s="256">
        <f t="shared" si="764"/>
        <v>0.96592592592592597</v>
      </c>
      <c r="I5720" s="297">
        <f t="shared" si="769"/>
        <v>16.747562225364085</v>
      </c>
      <c r="J5720" s="297">
        <f t="shared" si="770"/>
        <v>38</v>
      </c>
      <c r="K5720" s="297">
        <f>J5720/POBLA!$B$7*100000</f>
        <v>1.010517358294885</v>
      </c>
      <c r="L5720" s="549">
        <f t="shared" si="765"/>
        <v>0.31088082901554404</v>
      </c>
      <c r="M5720" s="401">
        <f>SUM(C5720,C5696,C5672,C5648,C5624,C5600,C5576)/POBLA!$B$7*100000</f>
        <v>7.0736215080641944</v>
      </c>
    </row>
    <row r="5721" spans="1:13" x14ac:dyDescent="0.25">
      <c r="A5721" s="367" t="s">
        <v>31</v>
      </c>
      <c r="B5721" s="267">
        <v>44131</v>
      </c>
      <c r="C5721" s="1">
        <v>395</v>
      </c>
      <c r="D5721" s="39">
        <f t="shared" si="768"/>
        <v>14687</v>
      </c>
      <c r="E5721" s="1">
        <f>4+2</f>
        <v>6</v>
      </c>
      <c r="F5721" s="409">
        <f t="shared" si="762"/>
        <v>257</v>
      </c>
      <c r="G5721" s="168">
        <f>SUM(C5721,C5697,C5673,C5649,C5625,C5601,C5577,C5553,C5529,C5505,C5481,C5457,C5433,C5409)/POBLA!$B$8*100000</f>
        <v>350.94782609323062</v>
      </c>
      <c r="H5721" s="256">
        <f t="shared" si="764"/>
        <v>1.9324592769169646</v>
      </c>
      <c r="I5721" s="297">
        <f t="shared" si="769"/>
        <v>678.19238224770504</v>
      </c>
      <c r="J5721" s="297">
        <f t="shared" si="770"/>
        <v>370.42857142857144</v>
      </c>
      <c r="K5721" s="297">
        <f>J5721/POBLA!$B$8*100000</f>
        <v>26.727200219095014</v>
      </c>
      <c r="L5721" s="549">
        <f t="shared" si="765"/>
        <v>-0.14178775869660942</v>
      </c>
      <c r="M5721" s="401">
        <f>SUM(C5721,C5697,C5673,C5649,C5625,C5601,C5577)/POBLA!$B$8*100000</f>
        <v>187.09040153366507</v>
      </c>
    </row>
    <row r="5722" spans="1:13" s="360" customFormat="1" x14ac:dyDescent="0.25">
      <c r="A5722" s="367" t="s">
        <v>41</v>
      </c>
      <c r="B5722" s="267">
        <v>44131</v>
      </c>
      <c r="C5722" s="1">
        <v>3</v>
      </c>
      <c r="D5722" s="39">
        <f t="shared" si="768"/>
        <v>148</v>
      </c>
      <c r="E5722" s="1"/>
      <c r="F5722" s="409">
        <f t="shared" si="762"/>
        <v>1</v>
      </c>
      <c r="G5722" s="168">
        <f>SUM(C5722,C5698,C5674,C5650,C5626,C5602,C5578,C5554,C5530,C5506,C5482,C5458,C5434,C5410)/POBLA!$B$9*100000</f>
        <v>1.4871288993759018</v>
      </c>
      <c r="H5722" s="256">
        <f t="shared" si="764"/>
        <v>0.25714285714285712</v>
      </c>
      <c r="I5722" s="297">
        <f t="shared" si="769"/>
        <v>0.38240457412523182</v>
      </c>
      <c r="J5722" s="297">
        <f t="shared" si="770"/>
        <v>1.1428571428571428</v>
      </c>
      <c r="K5722" s="297">
        <f>J5722/POBLA!$B$9*100000</f>
        <v>0.18884176500011449</v>
      </c>
      <c r="L5722" s="549">
        <f t="shared" si="765"/>
        <v>-7</v>
      </c>
      <c r="M5722" s="401">
        <f>SUM(C5722,C5698,C5674,C5650,C5626,C5602,C5578)/POBLA!$B$9*100000</f>
        <v>1.3218923550008015</v>
      </c>
    </row>
    <row r="5723" spans="1:13" s="360" customFormat="1" x14ac:dyDescent="0.25">
      <c r="A5723" s="367" t="s">
        <v>32</v>
      </c>
      <c r="B5723" s="267">
        <v>44131</v>
      </c>
      <c r="C5723" s="1">
        <v>35</v>
      </c>
      <c r="D5723" s="39">
        <f t="shared" si="768"/>
        <v>17687</v>
      </c>
      <c r="E5723" s="1">
        <f>9+2</f>
        <v>11</v>
      </c>
      <c r="F5723" s="409">
        <f t="shared" si="762"/>
        <v>797</v>
      </c>
      <c r="G5723" s="168">
        <f>SUM(C5723,C5699,C5675,C5651,C5627,C5603,C5579,C5555,C5531,C5507,C5483,C5459,C5435,C5411)/POBLA!$B$10*100000</f>
        <v>109.61484327671846</v>
      </c>
      <c r="H5723" s="256">
        <f t="shared" si="764"/>
        <v>0.63581640331075995</v>
      </c>
      <c r="I5723" s="297">
        <f t="shared" si="769"/>
        <v>69.694915401675772</v>
      </c>
      <c r="J5723" s="297">
        <f t="shared" si="770"/>
        <v>49</v>
      </c>
      <c r="K5723" s="297">
        <f>J5723/POBLA!$B$10*100000</f>
        <v>6.356363692969472</v>
      </c>
      <c r="L5723" s="549">
        <f t="shared" si="765"/>
        <v>0.31673306772908372</v>
      </c>
      <c r="M5723" s="401">
        <f>SUM(C5723,C5699,C5675,C5651,C5627,C5603,C5579)/POBLA!$B$10*100000</f>
        <v>44.494545850786302</v>
      </c>
    </row>
    <row r="5724" spans="1:13" s="360" customFormat="1" x14ac:dyDescent="0.25">
      <c r="A5724" s="367" t="s">
        <v>33</v>
      </c>
      <c r="B5724" s="267">
        <v>44131</v>
      </c>
      <c r="C5724" s="1">
        <v>144</v>
      </c>
      <c r="D5724" s="39">
        <f t="shared" si="768"/>
        <v>2668</v>
      </c>
      <c r="E5724" s="1">
        <v>4</v>
      </c>
      <c r="F5724" s="409">
        <f t="shared" si="762"/>
        <v>29</v>
      </c>
      <c r="G5724" s="168">
        <f>SUM(C5724,C5700,C5676,C5652,C5628,C5604,C5580,C5556,C5532,C5508,C5484,C5460,C5436,C5412)/POBLA!$B$11*100000</f>
        <v>417.65710268171011</v>
      </c>
      <c r="H5724" s="256">
        <f t="shared" si="764"/>
        <v>3.4572748267898383</v>
      </c>
      <c r="I5724" s="297">
        <f t="shared" si="769"/>
        <v>1443.9553873314551</v>
      </c>
      <c r="J5724" s="297">
        <f t="shared" si="770"/>
        <v>122.85714285714286</v>
      </c>
      <c r="K5724" s="297">
        <f>J5724/POBLA!$B$11*100000</f>
        <v>34.276658870719608</v>
      </c>
      <c r="L5724" s="549">
        <f t="shared" si="765"/>
        <v>-0.35007849293563575</v>
      </c>
      <c r="M5724" s="401">
        <f>SUM(C5724,C5700,C5676,C5652,C5628,C5604,C5580)/POBLA!$B$11*100000</f>
        <v>239.93661209503722</v>
      </c>
    </row>
    <row r="5725" spans="1:13" s="360" customFormat="1" x14ac:dyDescent="0.25">
      <c r="A5725" s="367" t="s">
        <v>21</v>
      </c>
      <c r="B5725" s="267">
        <v>44131</v>
      </c>
      <c r="C5725" s="1">
        <v>123</v>
      </c>
      <c r="D5725" s="39">
        <f t="shared" si="768"/>
        <v>7296</v>
      </c>
      <c r="E5725" s="1">
        <f>5+3</f>
        <v>8</v>
      </c>
      <c r="F5725" s="409">
        <f t="shared" si="762"/>
        <v>260</v>
      </c>
      <c r="G5725" s="168">
        <f>SUM(C5725,C5701,C5677,C5653,C5629,C5605,C5581,C5557,C5533,C5509,C5485,C5461,C5437,C5413)/POBLA!$B$12*100000</f>
        <v>321.44862793528335</v>
      </c>
      <c r="H5725" s="256">
        <f t="shared" si="764"/>
        <v>0.9518434913468774</v>
      </c>
      <c r="I5725" s="297">
        <f t="shared" si="769"/>
        <v>305.96878430258352</v>
      </c>
      <c r="J5725" s="297">
        <f t="shared" si="770"/>
        <v>90.142857142857139</v>
      </c>
      <c r="K5725" s="297">
        <f>J5725/POBLA!$B$12*100000</f>
        <v>22.906164226670107</v>
      </c>
      <c r="L5725" s="549">
        <f t="shared" si="765"/>
        <v>4.7318611987381409E-3</v>
      </c>
      <c r="M5725" s="401">
        <f>SUM(C5725,C5701,C5677,C5653,C5629,C5605,C5581)/POBLA!$B$12*100000</f>
        <v>160.34314958669077</v>
      </c>
    </row>
    <row r="5726" spans="1:13" s="360" customFormat="1" x14ac:dyDescent="0.25">
      <c r="A5726" s="367" t="s">
        <v>17</v>
      </c>
      <c r="B5726" s="267">
        <v>44131</v>
      </c>
      <c r="C5726" s="1">
        <v>771</v>
      </c>
      <c r="D5726" s="39">
        <f t="shared" si="768"/>
        <v>44372</v>
      </c>
      <c r="E5726" s="1">
        <f>8+4</f>
        <v>12</v>
      </c>
      <c r="F5726" s="409">
        <f t="shared" si="762"/>
        <v>728</v>
      </c>
      <c r="G5726" s="168">
        <f>SUM(C5726,C5702,C5678,C5654,C5630,C5606,C5582,C5558,C5534,C5510,C5486,C5462,C5438,C5414)/POBLA!$B$13*100000</f>
        <v>568.74761975101717</v>
      </c>
      <c r="H5726" s="256">
        <f t="shared" si="764"/>
        <v>1.3020473890039108</v>
      </c>
      <c r="I5726" s="297">
        <f t="shared" si="769"/>
        <v>740.53635329900101</v>
      </c>
      <c r="J5726" s="297">
        <f t="shared" si="770"/>
        <v>794</v>
      </c>
      <c r="K5726" s="297">
        <f>J5726/POBLA!$B$13*100000</f>
        <v>39.89272173871975</v>
      </c>
      <c r="L5726" s="549">
        <f t="shared" si="765"/>
        <v>3.5404373481430107E-2</v>
      </c>
      <c r="M5726" s="401">
        <f>SUM(C5726,C5702,C5678,C5654,C5630,C5606,C5582)/POBLA!$B$13*100000</f>
        <v>279.24905217103827</v>
      </c>
    </row>
    <row r="5727" spans="1:13" s="360" customFormat="1" x14ac:dyDescent="0.25">
      <c r="A5727" s="367" t="s">
        <v>23</v>
      </c>
      <c r="B5727" s="267">
        <v>44131</v>
      </c>
      <c r="C5727" s="1">
        <v>11</v>
      </c>
      <c r="D5727" s="39">
        <f t="shared" si="768"/>
        <v>240</v>
      </c>
      <c r="E5727" s="1"/>
      <c r="F5727" s="409">
        <f t="shared" si="762"/>
        <v>5</v>
      </c>
      <c r="G5727" s="168">
        <f>SUM(C5727,C5703,C5679,C5655,C5631,C5607,C5583,C5559,C5535,C5511,C5487,C5463,C5439,C5415)/POBLA!$B$14*100000</f>
        <v>4.281317440660148</v>
      </c>
      <c r="H5727" s="256">
        <f t="shared" si="764"/>
        <v>0.54545454545454541</v>
      </c>
      <c r="I5727" s="297">
        <f t="shared" si="769"/>
        <v>2.3352640585418989</v>
      </c>
      <c r="J5727" s="297">
        <f t="shared" si="770"/>
        <v>6.4285714285714288</v>
      </c>
      <c r="K5727" s="297">
        <f>J5727/POBLA!$B$14*100000</f>
        <v>0.50968064769763655</v>
      </c>
      <c r="L5727" s="549">
        <f t="shared" si="765"/>
        <v>-4</v>
      </c>
      <c r="M5727" s="401">
        <f>SUM(C5727,C5703,C5679,C5655,C5631,C5607,C5583)/POBLA!$B$14*100000</f>
        <v>3.567764533883456</v>
      </c>
    </row>
    <row r="5728" spans="1:13" s="360" customFormat="1" x14ac:dyDescent="0.25">
      <c r="A5728" s="367" t="s">
        <v>19</v>
      </c>
      <c r="B5728" s="267">
        <v>44131</v>
      </c>
      <c r="C5728" s="1">
        <v>414</v>
      </c>
      <c r="D5728" s="39">
        <f t="shared" si="768"/>
        <v>20192</v>
      </c>
      <c r="E5728" s="1">
        <f>5+5</f>
        <v>10</v>
      </c>
      <c r="F5728" s="409">
        <f t="shared" si="762"/>
        <v>370</v>
      </c>
      <c r="G5728" s="168">
        <f>SUM(C5728,C5704,C5680,C5656,C5632,C5608,C5584,C5560,C5536,C5512,C5488,C5464,C5440,C5416)/POBLA!$B$15*100000</f>
        <v>1130.0234769003264</v>
      </c>
      <c r="H5728" s="256">
        <f t="shared" si="764"/>
        <v>1.5047122518548226</v>
      </c>
      <c r="I5728" s="297">
        <f t="shared" si="769"/>
        <v>1700.3601705755061</v>
      </c>
      <c r="J5728" s="297">
        <f t="shared" si="770"/>
        <v>504.71428571428572</v>
      </c>
      <c r="K5728" s="297">
        <f>J5728/POBLA!$B$15*100000</f>
        <v>76.004663110890434</v>
      </c>
      <c r="L5728" s="549">
        <f t="shared" si="765"/>
        <v>0.11029967262654239</v>
      </c>
      <c r="M5728" s="401">
        <f>SUM(C5728,C5704,C5680,C5656,C5632,C5608,C5584)/POBLA!$B$15*100000</f>
        <v>532.03264177623305</v>
      </c>
    </row>
    <row r="5729" spans="1:13" s="360" customFormat="1" x14ac:dyDescent="0.25">
      <c r="A5729" s="367" t="s">
        <v>18</v>
      </c>
      <c r="B5729" s="267">
        <v>44131</v>
      </c>
      <c r="C5729" s="1">
        <v>461</v>
      </c>
      <c r="D5729" s="39">
        <f t="shared" si="768"/>
        <v>22529</v>
      </c>
      <c r="E5729" s="1">
        <f>5+4</f>
        <v>9</v>
      </c>
      <c r="F5729" s="409">
        <f t="shared" si="762"/>
        <v>581</v>
      </c>
      <c r="G5729" s="168">
        <f>SUM(C5729,C5705,C5681,C5657,C5633,C5609,C5585,C5561,C5537,C5513,C5489,C5465,C5441,C5417)/POBLA!$B$16*100000</f>
        <v>721.90045612016968</v>
      </c>
      <c r="H5729" s="256">
        <f t="shared" si="764"/>
        <v>1.1576576576576576</v>
      </c>
      <c r="I5729" s="297">
        <f t="shared" si="769"/>
        <v>835.71359109407024</v>
      </c>
      <c r="J5729" s="297">
        <f t="shared" si="770"/>
        <v>391.14285714285717</v>
      </c>
      <c r="K5729" s="297">
        <f>J5729/POBLA!$B$16*100000</f>
        <v>52.319104498716875</v>
      </c>
      <c r="L5729" s="549">
        <f t="shared" si="765"/>
        <v>-2.9710417450169224E-2</v>
      </c>
      <c r="M5729" s="401">
        <f>SUM(C5729,C5705,C5681,C5657,C5633,C5609,C5585)/POBLA!$B$16*100000</f>
        <v>366.23373149101803</v>
      </c>
    </row>
    <row r="5730" spans="1:13" s="360" customFormat="1" x14ac:dyDescent="0.25">
      <c r="A5730" s="367" t="s">
        <v>34</v>
      </c>
      <c r="B5730" s="267">
        <v>44131</v>
      </c>
      <c r="C5730" s="1">
        <v>156</v>
      </c>
      <c r="D5730" s="39">
        <f t="shared" si="768"/>
        <v>18281</v>
      </c>
      <c r="E5730" s="1">
        <f>5+4</f>
        <v>9</v>
      </c>
      <c r="F5730" s="409">
        <f t="shared" si="762"/>
        <v>739</v>
      </c>
      <c r="G5730" s="168">
        <f>SUM(C5730,C5706,C5682,C5658,C5634,C5610,C5586,C5562,C5538,C5514,C5490,C5466,C5442,C5418)/POBLA!$B$17*100000</f>
        <v>187.93917706931424</v>
      </c>
      <c r="H5730" s="256">
        <f t="shared" si="764"/>
        <v>0.75429698506621579</v>
      </c>
      <c r="I5730" s="297">
        <f t="shared" si="769"/>
        <v>141.76195463920942</v>
      </c>
      <c r="J5730" s="297">
        <f t="shared" si="770"/>
        <v>195.42857142857142</v>
      </c>
      <c r="K5730" s="297">
        <f>J5730/POBLA!$B$17*100000</f>
        <v>13.720091479311696</v>
      </c>
      <c r="L5730" s="549">
        <f t="shared" si="765"/>
        <v>-4.5072574484339212E-2</v>
      </c>
      <c r="M5730" s="401">
        <f>SUM(C5730,C5706,C5682,C5658,C5634,C5610,C5586)/POBLA!$B$17*100000</f>
        <v>96.040640355181878</v>
      </c>
    </row>
    <row r="5731" spans="1:13" s="360" customFormat="1" x14ac:dyDescent="0.25">
      <c r="A5731" s="367" t="s">
        <v>35</v>
      </c>
      <c r="B5731" s="267">
        <v>44131</v>
      </c>
      <c r="C5731" s="1">
        <v>40</v>
      </c>
      <c r="D5731" s="39">
        <f t="shared" si="768"/>
        <v>1436</v>
      </c>
      <c r="E5731" s="1">
        <f>1</f>
        <v>1</v>
      </c>
      <c r="F5731" s="409">
        <f t="shared" si="762"/>
        <v>78</v>
      </c>
      <c r="G5731" s="168">
        <f>SUM(C5731,C5707,C5683,C5659,C5635,C5611,C5587,C5563,C5539,C5515,C5491,C5467,C5443,C5419)/POBLA!$B$18*100000</f>
        <v>21.504908367329435</v>
      </c>
      <c r="H5731" s="256">
        <f t="shared" si="764"/>
        <v>0.30379746835443039</v>
      </c>
      <c r="I5731" s="297">
        <f t="shared" si="769"/>
        <v>6.5331367191886889</v>
      </c>
      <c r="J5731" s="297">
        <f t="shared" si="770"/>
        <v>18.428571428571427</v>
      </c>
      <c r="K5731" s="297">
        <f>J5731/POBLA!$B$18*100000</f>
        <v>2.3589567851917495</v>
      </c>
      <c r="L5731" s="549">
        <f t="shared" si="765"/>
        <v>-2.3076923076923075</v>
      </c>
      <c r="M5731" s="401">
        <f>SUM(C5731,C5707,C5683,C5659,C5635,C5611,C5587)/POBLA!$B$18*100000</f>
        <v>16.512697496342245</v>
      </c>
    </row>
    <row r="5732" spans="1:13" s="360" customFormat="1" x14ac:dyDescent="0.25">
      <c r="A5732" s="367" t="s">
        <v>36</v>
      </c>
      <c r="B5732" s="267">
        <v>44131</v>
      </c>
      <c r="C5732" s="1">
        <v>446</v>
      </c>
      <c r="D5732" s="39">
        <f t="shared" si="768"/>
        <v>6065</v>
      </c>
      <c r="E5732" s="1">
        <f>1</f>
        <v>1</v>
      </c>
      <c r="F5732" s="409">
        <f t="shared" si="762"/>
        <v>53</v>
      </c>
      <c r="G5732" s="168">
        <f>SUM(C5732,C5708,C5684,C5660,C5636,C5612,C5588,C5564,C5540,C5516,C5492,C5468,C5444,C5420)/POBLA!$B$19*100000</f>
        <v>717.8435970475756</v>
      </c>
      <c r="H5732" s="256">
        <f t="shared" si="764"/>
        <v>3.3944186046511629</v>
      </c>
      <c r="I5732" s="297">
        <f t="shared" si="769"/>
        <v>2436.6616610480032</v>
      </c>
      <c r="J5732" s="297">
        <f t="shared" si="770"/>
        <v>313.57142857142856</v>
      </c>
      <c r="K5732" s="297">
        <f>J5732/POBLA!$B$19*100000</f>
        <v>61.686829875873165</v>
      </c>
      <c r="L5732" s="549">
        <f t="shared" si="765"/>
        <v>-0.50962861072902332</v>
      </c>
      <c r="M5732" s="401">
        <f>SUM(C5732,C5708,C5684,C5660,C5636,C5612,C5588)/POBLA!$B$19*100000</f>
        <v>431.80780913111221</v>
      </c>
    </row>
    <row r="5733" spans="1:13" s="360" customFormat="1" x14ac:dyDescent="0.25">
      <c r="A5733" s="367" t="s">
        <v>37</v>
      </c>
      <c r="B5733" s="267">
        <v>44131</v>
      </c>
      <c r="C5733" s="1">
        <v>91</v>
      </c>
      <c r="D5733" s="39">
        <f t="shared" si="768"/>
        <v>8646</v>
      </c>
      <c r="E5733" s="1">
        <f>1</f>
        <v>1</v>
      </c>
      <c r="F5733" s="409">
        <f t="shared" si="762"/>
        <v>117</v>
      </c>
      <c r="G5733" s="168">
        <f>SUM(C5733,C5709,C5685,C5661,C5637,C5613,C5589,C5565,C5541,C5517,C5493,C5469,C5445,C5421)/POBLA!$B$20*100000</f>
        <v>582.99471148324574</v>
      </c>
      <c r="H5733" s="256">
        <f t="shared" si="764"/>
        <v>1.1746556473829202</v>
      </c>
      <c r="I5733" s="297">
        <f t="shared" si="769"/>
        <v>684.81803023817076</v>
      </c>
      <c r="J5733" s="297">
        <f t="shared" si="770"/>
        <v>154.71428571428572</v>
      </c>
      <c r="K5733" s="297">
        <f>J5733/POBLA!$B$20*100000</f>
        <v>42.306571464510533</v>
      </c>
      <c r="L5733" s="549">
        <f t="shared" si="765"/>
        <v>-3.2411820781696798E-2</v>
      </c>
      <c r="M5733" s="401">
        <f>SUM(C5733,C5709,C5685,C5661,C5637,C5613,C5589)/POBLA!$B$20*100000</f>
        <v>296.1460002515737</v>
      </c>
    </row>
    <row r="5734" spans="1:13" s="360" customFormat="1" x14ac:dyDescent="0.25">
      <c r="A5734" s="367" t="s">
        <v>22</v>
      </c>
      <c r="B5734" s="267">
        <v>44131</v>
      </c>
      <c r="C5734" s="1">
        <v>2235</v>
      </c>
      <c r="D5734" s="39">
        <f t="shared" si="768"/>
        <v>98475</v>
      </c>
      <c r="E5734" s="1">
        <f>19+10</f>
        <v>29</v>
      </c>
      <c r="F5734" s="409">
        <f t="shared" si="762"/>
        <v>1123</v>
      </c>
      <c r="G5734" s="168">
        <f>SUM(C5734,C5710,C5686,C5662,C5638,C5614,C5590,C5566,C5542,C5518,C5494,C5470,C5446,C5422)/POBLA!$B$21*100000</f>
        <v>892.88087550736373</v>
      </c>
      <c r="H5734" s="256">
        <f t="shared" si="764"/>
        <v>1.190738366392639</v>
      </c>
      <c r="I5734" s="297">
        <f t="shared" si="769"/>
        <v>1063.1875150848675</v>
      </c>
      <c r="J5734" s="297">
        <f t="shared" si="770"/>
        <v>2146.5714285714284</v>
      </c>
      <c r="K5734" s="297">
        <f>J5734/POBLA!$B$21*100000</f>
        <v>60.699030164743782</v>
      </c>
      <c r="L5734" s="549">
        <f t="shared" si="765"/>
        <v>9.2084592145015076E-2</v>
      </c>
      <c r="M5734" s="401">
        <f>SUM(C5734,C5710,C5686,C5662,C5638,C5614,C5590)/POBLA!$B$21*100000</f>
        <v>424.89321115320644</v>
      </c>
    </row>
    <row r="5735" spans="1:13" s="360" customFormat="1" x14ac:dyDescent="0.25">
      <c r="A5735" s="367" t="s">
        <v>38</v>
      </c>
      <c r="B5735" s="267">
        <v>44131</v>
      </c>
      <c r="C5735" s="1">
        <v>144</v>
      </c>
      <c r="D5735" s="39">
        <f>C5735+D5711</f>
        <v>8769</v>
      </c>
      <c r="E5735" s="1">
        <f>1</f>
        <v>1</v>
      </c>
      <c r="F5735" s="409">
        <f t="shared" si="762"/>
        <v>116</v>
      </c>
      <c r="G5735" s="168">
        <f>SUM(C5735,C5711,C5687,C5663,C5639,C5615,C5591,C5567,C5543,C5519,C5495,C5471,C5447,C5423)/POBLA!$B$22*100000</f>
        <v>329.54688325719883</v>
      </c>
      <c r="H5735" s="256">
        <f t="shared" si="764"/>
        <v>1.4509450945094509</v>
      </c>
      <c r="I5735" s="297">
        <f t="shared" si="769"/>
        <v>478.15443367291135</v>
      </c>
      <c r="J5735" s="297">
        <f t="shared" si="770"/>
        <v>243.57142857142858</v>
      </c>
      <c r="K5735" s="297">
        <f>J5735/POBLA!$B$22*100000</f>
        <v>24.897085960365303</v>
      </c>
      <c r="L5735" s="549">
        <f t="shared" si="765"/>
        <v>-0.12244897959183665</v>
      </c>
      <c r="M5735" s="401">
        <f>SUM(C5735,C5711,C5687,C5663,C5639,C5615,C5591)/POBLA!$B$22*100000</f>
        <v>174.27960172255709</v>
      </c>
    </row>
    <row r="5736" spans="1:13" s="360" customFormat="1" x14ac:dyDescent="0.25">
      <c r="A5736" s="367" t="s">
        <v>39</v>
      </c>
      <c r="B5736" s="267">
        <v>44131</v>
      </c>
      <c r="C5736" s="1">
        <v>231</v>
      </c>
      <c r="D5736" s="39">
        <f>C5736+D5712</f>
        <v>10588</v>
      </c>
      <c r="E5736" s="1">
        <v>5</v>
      </c>
      <c r="F5736" s="409">
        <f t="shared" si="762"/>
        <v>137</v>
      </c>
      <c r="G5736" s="168">
        <f>SUM(C5736,C5712,C5688,C5664,C5640,C5616,C5592,C5568,C5544,C5520,C5496,C5472,C5448,C5424)/POBLA!$B$23*100000</f>
        <v>2089.0120454673979</v>
      </c>
      <c r="H5736" s="256">
        <f t="shared" si="764"/>
        <v>1.3254395407247936</v>
      </c>
      <c r="I5736" s="297">
        <f t="shared" si="769"/>
        <v>2768.8591661128698</v>
      </c>
      <c r="J5736" s="297">
        <f t="shared" si="770"/>
        <v>272.42857142857144</v>
      </c>
      <c r="K5736" s="297">
        <f>J5736/POBLA!$B$23*100000</f>
        <v>154.06241668753688</v>
      </c>
      <c r="L5736" s="549">
        <f t="shared" si="765"/>
        <v>-6.7151650811415831E-2</v>
      </c>
      <c r="M5736" s="401">
        <f>SUM(C5736,C5712,C5688,C5664,C5640,C5616,C5592)/POBLA!$B$23*100000</f>
        <v>1078.436916812758</v>
      </c>
    </row>
    <row r="5737" spans="1:13" s="360" customFormat="1" ht="15.75" thickBot="1" x14ac:dyDescent="0.3">
      <c r="A5737" s="369" t="s">
        <v>40</v>
      </c>
      <c r="B5737" s="267">
        <v>44131</v>
      </c>
      <c r="C5737" s="44">
        <v>1440</v>
      </c>
      <c r="D5737" s="39">
        <f t="shared" ref="D5737:D5758" si="771">C5737+D5713</f>
        <v>45567</v>
      </c>
      <c r="E5737" s="44">
        <f>12+11</f>
        <v>23</v>
      </c>
      <c r="F5737" s="477">
        <f t="shared" si="762"/>
        <v>709</v>
      </c>
      <c r="G5737" s="177">
        <f>SUM(C5737,C5713,C5689,C5665,C5641,C5617,C5593,C5569,C5545,C5521,C5497,C5473,C5449,C5425)/POBLA!$B$24*100000</f>
        <v>989.81740246988181</v>
      </c>
      <c r="H5737" s="402">
        <f t="shared" si="764"/>
        <v>1.1474893966342865</v>
      </c>
      <c r="I5737" s="403">
        <f t="shared" si="769"/>
        <v>1135.8049739382814</v>
      </c>
      <c r="J5737" s="403">
        <f t="shared" si="770"/>
        <v>1146.1428571428571</v>
      </c>
      <c r="K5737" s="403">
        <f>J5737/POBLA!$B$24*100000</f>
        <v>67.632773680490729</v>
      </c>
      <c r="L5737" s="550">
        <f t="shared" si="765"/>
        <v>8.3190492515141101E-2</v>
      </c>
      <c r="M5737" s="405">
        <f>SUM(C5737,C5713,C5689,C5665,C5641,C5617,C5593)/POBLA!$B$24*100000</f>
        <v>473.4294157634352</v>
      </c>
    </row>
    <row r="5738" spans="1:13" s="360" customFormat="1" x14ac:dyDescent="0.25">
      <c r="A5738" s="374" t="s">
        <v>16</v>
      </c>
      <c r="B5738" s="267">
        <v>44132</v>
      </c>
      <c r="C5738" s="1">
        <v>4238</v>
      </c>
      <c r="D5738" s="262">
        <f t="shared" si="771"/>
        <v>539446</v>
      </c>
      <c r="E5738" s="1">
        <f>61+61</f>
        <v>122</v>
      </c>
      <c r="F5738" s="475">
        <f t="shared" ref="F5738:F5801" si="772">E5738+F5714</f>
        <v>17242</v>
      </c>
      <c r="G5738" s="175">
        <f>SUM(C5738,C5714,C5690,C5666,C5642,C5618,C5594,C5570,C5546,C5522,C5498,C5474,C5450,C5426)/POBLA!$B$1*100000</f>
        <v>336.23240358195631</v>
      </c>
      <c r="H5738" s="300">
        <f t="shared" si="764"/>
        <v>0.93930562191431755</v>
      </c>
      <c r="I5738" s="301">
        <f>G5738*H5738</f>
        <v>315.8249869542953</v>
      </c>
      <c r="J5738" s="301">
        <f>AVERAGE(C5738,C5714,C5690,C5666,C5642,C5618,C5594)</f>
        <v>3836.5714285714284</v>
      </c>
      <c r="K5738" s="301">
        <f>J5738/POBLA!$B$1*100000</f>
        <v>21.871846469801643</v>
      </c>
      <c r="L5738" s="548">
        <f t="shared" si="765"/>
        <v>0.16396351523830277</v>
      </c>
      <c r="M5738" s="400">
        <f>SUM(C5738,C5714,C5690,C5666,C5642,C5618,C5594)/POBLA!$B$1*100000</f>
        <v>153.10292528861149</v>
      </c>
    </row>
    <row r="5739" spans="1:13" s="360" customFormat="1" x14ac:dyDescent="0.25">
      <c r="A5739" s="367" t="s">
        <v>43</v>
      </c>
      <c r="B5739" s="267">
        <v>44132</v>
      </c>
      <c r="C5739" s="1">
        <v>641</v>
      </c>
      <c r="D5739" s="39">
        <f t="shared" si="771"/>
        <v>145744</v>
      </c>
      <c r="E5739" s="1">
        <f>20+16</f>
        <v>36</v>
      </c>
      <c r="F5739" s="409">
        <f t="shared" si="772"/>
        <v>4662</v>
      </c>
      <c r="G5739" s="168">
        <f>SUM(C5739,C5715,C5691,C5667,C5643,C5619,C5595,C5571,C5547,C5523,C5499,C5475,C5451,C5427)/POBLA!$B$2*100000</f>
        <v>282.31467470573659</v>
      </c>
      <c r="H5739" s="256">
        <f t="shared" si="764"/>
        <v>0.78260477692654351</v>
      </c>
      <c r="I5739" s="297">
        <f t="shared" ref="I5739:I5761" si="773">G5739*H5739</f>
        <v>220.94081302117269</v>
      </c>
      <c r="J5739" s="297">
        <f t="shared" ref="J5739:J5761" si="774">AVERAGE(C5739,C5715,C5691,C5667,C5643,C5619,C5595)</f>
        <v>544.85714285714289</v>
      </c>
      <c r="K5739" s="297">
        <f>J5739/POBLA!$B$2*100000</f>
        <v>17.715209840701526</v>
      </c>
      <c r="L5739" s="549">
        <f t="shared" si="765"/>
        <v>0.21667693571575275</v>
      </c>
      <c r="M5739" s="401">
        <f>SUM(C5739,C5715,C5691,C5667,C5643,C5619,C5595)/POBLA!$B$2*100000</f>
        <v>124.00646888491067</v>
      </c>
    </row>
    <row r="5740" spans="1:13" s="360" customFormat="1" x14ac:dyDescent="0.25">
      <c r="A5740" s="367" t="s">
        <v>28</v>
      </c>
      <c r="B5740" s="267">
        <v>44132</v>
      </c>
      <c r="C5740" s="1">
        <v>54</v>
      </c>
      <c r="D5740" s="39">
        <f t="shared" si="771"/>
        <v>720</v>
      </c>
      <c r="E5740" s="1"/>
      <c r="F5740" s="409">
        <f t="shared" si="772"/>
        <v>0</v>
      </c>
      <c r="G5740" s="168">
        <f>SUM(C5740,C5716,C5692,C5668,C5644,C5620,C5596,C5572,C5548,C5524,C5500,C5476,C5452,C5428)/POBLA!$B$3*100000</f>
        <v>76.786427818350759</v>
      </c>
      <c r="H5740" s="256">
        <f t="shared" si="764"/>
        <v>2.7982456140350878</v>
      </c>
      <c r="I5740" s="297">
        <f t="shared" si="773"/>
        <v>214.86728486012186</v>
      </c>
      <c r="J5740" s="297">
        <f t="shared" si="774"/>
        <v>27.857142857142858</v>
      </c>
      <c r="K5740" s="297">
        <f>J5740/POBLA!$B$3*100000</f>
        <v>6.7054874270391389</v>
      </c>
      <c r="L5740" s="549">
        <f t="shared" si="765"/>
        <v>-0.57258064516129026</v>
      </c>
      <c r="M5740" s="401">
        <f>SUM(C5740,C5716,C5692,C5668,C5644,C5620,C5596)/POBLA!$B$3*100000</f>
        <v>46.938411989273973</v>
      </c>
    </row>
    <row r="5741" spans="1:13" s="360" customFormat="1" x14ac:dyDescent="0.25">
      <c r="A5741" s="367" t="s">
        <v>15</v>
      </c>
      <c r="B5741" s="267">
        <v>44132</v>
      </c>
      <c r="C5741" s="1">
        <v>186</v>
      </c>
      <c r="D5741" s="39">
        <f t="shared" si="771"/>
        <v>13580</v>
      </c>
      <c r="E5741" s="1">
        <f>1+5</f>
        <v>6</v>
      </c>
      <c r="F5741" s="409">
        <f t="shared" si="772"/>
        <v>419</v>
      </c>
      <c r="G5741" s="168">
        <f>SUM(C5741,C5717,C5693,C5669,C5645,C5621,C5597,C5573,C5549,C5525,C5501,C5477,C5453,C5429)/POBLA!$B$4*100000</f>
        <v>224.98196408424451</v>
      </c>
      <c r="H5741" s="256">
        <f t="shared" si="764"/>
        <v>1.1645896003437903</v>
      </c>
      <c r="I5741" s="297">
        <f t="shared" si="773"/>
        <v>262.01165563743132</v>
      </c>
      <c r="J5741" s="297">
        <f t="shared" si="774"/>
        <v>183.42857142857142</v>
      </c>
      <c r="K5741" s="297">
        <f>J5741/POBLA!$B$4*100000</f>
        <v>15.228088660209277</v>
      </c>
      <c r="L5741" s="549">
        <f t="shared" si="765"/>
        <v>9.9579242636746113E-2</v>
      </c>
      <c r="M5741" s="401">
        <f>SUM(C5741,C5717,C5693,C5669,C5645,C5621,C5597)/POBLA!$B$4*100000</f>
        <v>106.59662062146494</v>
      </c>
    </row>
    <row r="5742" spans="1:13" s="360" customFormat="1" x14ac:dyDescent="0.25">
      <c r="A5742" s="367" t="s">
        <v>29</v>
      </c>
      <c r="B5742" s="267">
        <v>44132</v>
      </c>
      <c r="C5742" s="1">
        <v>295</v>
      </c>
      <c r="D5742" s="39">
        <f t="shared" si="771"/>
        <v>13594</v>
      </c>
      <c r="E5742" s="1"/>
      <c r="F5742" s="409">
        <f t="shared" si="772"/>
        <v>242</v>
      </c>
      <c r="G5742" s="168">
        <f>SUM(C5742,C5718,C5694,C5670,C5646,C5622,C5598,C5574,C5550,C5526,C5502,C5478,C5454,C5430)/POBLA!$B$5*100000</f>
        <v>899.84717137807468</v>
      </c>
      <c r="H5742" s="256">
        <f t="shared" si="764"/>
        <v>1.3688867043499631</v>
      </c>
      <c r="I5742" s="297">
        <f t="shared" si="773"/>
        <v>1231.7888288463691</v>
      </c>
      <c r="J5742" s="297">
        <f t="shared" si="774"/>
        <v>476.57142857142856</v>
      </c>
      <c r="K5742" s="297">
        <f>J5742/POBLA!$B$5*100000</f>
        <v>76.991284014292305</v>
      </c>
      <c r="L5742" s="549">
        <f t="shared" si="765"/>
        <v>-0.49328558639212172</v>
      </c>
      <c r="M5742" s="401">
        <f>SUM(C5742,C5718,C5694,C5670,C5646,C5622,C5598)/POBLA!$B$5*100000</f>
        <v>538.93898810004623</v>
      </c>
    </row>
    <row r="5743" spans="1:13" s="360" customFormat="1" x14ac:dyDescent="0.25">
      <c r="A5743" s="367" t="s">
        <v>20</v>
      </c>
      <c r="B5743" s="267">
        <v>44132</v>
      </c>
      <c r="C5743" s="1">
        <v>1848</v>
      </c>
      <c r="D5743" s="39">
        <f t="shared" si="771"/>
        <v>80933</v>
      </c>
      <c r="E5743" s="1">
        <f>16+17</f>
        <v>33</v>
      </c>
      <c r="F5743" s="409">
        <f t="shared" si="772"/>
        <v>1208</v>
      </c>
      <c r="G5743" s="168">
        <f>SUM(C5743,C5719,C5695,C5671,C5647,C5623,C5599,C5575,C5551,C5527,C5503,C5479,C5455,C5431)/POBLA!$B$6*100000</f>
        <v>2251.2470991728237</v>
      </c>
      <c r="H5743" s="256">
        <f t="shared" si="764"/>
        <v>1.1736905758675225</v>
      </c>
      <c r="I5743" s="297">
        <f t="shared" si="773"/>
        <v>2642.267504248241</v>
      </c>
      <c r="J5743" s="297">
        <f t="shared" si="774"/>
        <v>1738</v>
      </c>
      <c r="K5743" s="297">
        <f>J5743/POBLA!$B$6*100000</f>
        <v>155.06767035361315</v>
      </c>
      <c r="L5743" s="549">
        <f t="shared" si="765"/>
        <v>6.8881065360477556E-2</v>
      </c>
      <c r="M5743" s="401">
        <f>SUM(C5743,C5719,C5695,C5671,C5647,C5623,C5599)/POBLA!$B$6*100000</f>
        <v>1085.4736924752922</v>
      </c>
    </row>
    <row r="5744" spans="1:13" s="360" customFormat="1" x14ac:dyDescent="0.25">
      <c r="A5744" s="367" t="s">
        <v>30</v>
      </c>
      <c r="B5744" s="267">
        <v>44132</v>
      </c>
      <c r="C5744" s="1">
        <v>69</v>
      </c>
      <c r="D5744" s="39">
        <f t="shared" si="771"/>
        <v>2469</v>
      </c>
      <c r="E5744" s="1">
        <f>2+2</f>
        <v>4</v>
      </c>
      <c r="F5744" s="409">
        <f t="shared" si="772"/>
        <v>47</v>
      </c>
      <c r="G5744" s="168">
        <f>SUM(C5744,C5720,C5696,C5672,C5648,C5624,C5600,C5576,C5552,C5528,C5504,C5480,C5456,C5432)/POBLA!$B$7*100000</f>
        <v>17.737238894281269</v>
      </c>
      <c r="H5744" s="256">
        <f t="shared" si="764"/>
        <v>0.94076163610719321</v>
      </c>
      <c r="I5744" s="297">
        <f t="shared" si="773"/>
        <v>16.686513882208189</v>
      </c>
      <c r="J5744" s="297">
        <f t="shared" si="774"/>
        <v>45</v>
      </c>
      <c r="K5744" s="297">
        <f>J5744/POBLA!$B$7*100000</f>
        <v>1.1966652927176269</v>
      </c>
      <c r="L5744" s="549">
        <f t="shared" si="765"/>
        <v>0.10511363636363635</v>
      </c>
      <c r="M5744" s="401">
        <f>SUM(C5744,C5720,C5696,C5672,C5648,C5624,C5600)/POBLA!$B$7*100000</f>
        <v>8.3766570490233878</v>
      </c>
    </row>
    <row r="5745" spans="1:13" x14ac:dyDescent="0.25">
      <c r="A5745" s="367" t="s">
        <v>31</v>
      </c>
      <c r="B5745" s="267">
        <v>44132</v>
      </c>
      <c r="C5745" s="1">
        <v>343</v>
      </c>
      <c r="D5745" s="39">
        <f t="shared" si="771"/>
        <v>15030</v>
      </c>
      <c r="E5745" s="1">
        <v>10</v>
      </c>
      <c r="F5745" s="409">
        <f t="shared" si="772"/>
        <v>267</v>
      </c>
      <c r="G5745" s="168">
        <f>SUM(C5745,C5721,C5697,C5673,C5649,C5625,C5601,C5577,C5553,C5529,C5505,C5481,C5457,C5433)/POBLA!$B$8*100000</f>
        <v>354.12251859900823</v>
      </c>
      <c r="H5745" s="256">
        <f t="shared" si="764"/>
        <v>1.8597953770367563</v>
      </c>
      <c r="I5745" s="297">
        <f t="shared" si="773"/>
        <v>658.59542299504824</v>
      </c>
      <c r="J5745" s="297">
        <f t="shared" si="774"/>
        <v>352.71428571428572</v>
      </c>
      <c r="K5745" s="297">
        <f>J5745/POBLA!$B$8*100000</f>
        <v>25.449077262223518</v>
      </c>
      <c r="L5745" s="549">
        <f t="shared" si="765"/>
        <v>-1.2300123001230068E-2</v>
      </c>
      <c r="M5745" s="401">
        <f>SUM(C5745,C5721,C5697,C5673,C5649,C5625,C5601)/POBLA!$B$8*100000</f>
        <v>178.14354083556464</v>
      </c>
    </row>
    <row r="5746" spans="1:13" s="360" customFormat="1" x14ac:dyDescent="0.25">
      <c r="A5746" s="367" t="s">
        <v>41</v>
      </c>
      <c r="B5746" s="267">
        <v>44132</v>
      </c>
      <c r="C5746" s="1">
        <v>1</v>
      </c>
      <c r="D5746" s="39">
        <f t="shared" si="771"/>
        <v>149</v>
      </c>
      <c r="E5746" s="1"/>
      <c r="F5746" s="409">
        <f t="shared" si="772"/>
        <v>1</v>
      </c>
      <c r="G5746" s="168">
        <f>SUM(C5746,C5722,C5698,C5674,C5650,C5626,C5602,C5578,C5554,C5530,C5506,C5482,C5458,C5434)/POBLA!$B$9*100000</f>
        <v>1.4871288993759018</v>
      </c>
      <c r="H5746" s="256">
        <f t="shared" si="764"/>
        <v>0.25</v>
      </c>
      <c r="I5746" s="297">
        <f t="shared" si="773"/>
        <v>0.37178222484397544</v>
      </c>
      <c r="J5746" s="297">
        <f t="shared" si="774"/>
        <v>0.2857142857142857</v>
      </c>
      <c r="K5746" s="297">
        <f>J5746/POBLA!$B$9*100000</f>
        <v>4.7210441250028622E-2</v>
      </c>
      <c r="L5746" s="549">
        <f t="shared" si="765"/>
        <v>0.7142857142857143</v>
      </c>
      <c r="M5746" s="401">
        <f>SUM(C5746,C5722,C5698,C5674,C5650,C5626,C5602)/POBLA!$B$9*100000</f>
        <v>0.33047308875020037</v>
      </c>
    </row>
    <row r="5747" spans="1:13" s="360" customFormat="1" x14ac:dyDescent="0.25">
      <c r="A5747" s="367" t="s">
        <v>32</v>
      </c>
      <c r="B5747" s="267">
        <v>44132</v>
      </c>
      <c r="C5747" s="1">
        <v>53</v>
      </c>
      <c r="D5747" s="39">
        <f t="shared" si="771"/>
        <v>17740</v>
      </c>
      <c r="E5747" s="1">
        <f>1+1</f>
        <v>2</v>
      </c>
      <c r="F5747" s="409">
        <f t="shared" si="772"/>
        <v>799</v>
      </c>
      <c r="G5747" s="168">
        <f>SUM(C5747,C5723,C5699,C5675,C5651,C5627,C5603,C5579,C5555,C5531,C5507,C5483,C5459,C5435)/POBLA!$B$10*100000</f>
        <v>103.12875787572919</v>
      </c>
      <c r="H5747" s="256">
        <f t="shared" si="764"/>
        <v>0.62352941176470589</v>
      </c>
      <c r="I5747" s="297">
        <f t="shared" si="773"/>
        <v>64.303813734278208</v>
      </c>
      <c r="J5747" s="297">
        <f t="shared" si="774"/>
        <v>46.857142857142854</v>
      </c>
      <c r="K5747" s="297">
        <f>J5747/POBLA!$B$10*100000</f>
        <v>6.0783886043556468</v>
      </c>
      <c r="L5747" s="549">
        <f t="shared" si="765"/>
        <v>0.29764453961456105</v>
      </c>
      <c r="M5747" s="401">
        <f>SUM(C5747,C5723,C5699,C5675,C5651,C5627,C5603)/POBLA!$B$10*100000</f>
        <v>42.548720230489536</v>
      </c>
    </row>
    <row r="5748" spans="1:13" s="360" customFormat="1" x14ac:dyDescent="0.25">
      <c r="A5748" s="367" t="s">
        <v>33</v>
      </c>
      <c r="B5748" s="267">
        <v>44132</v>
      </c>
      <c r="C5748" s="1">
        <v>161</v>
      </c>
      <c r="D5748" s="39">
        <f t="shared" si="771"/>
        <v>2829</v>
      </c>
      <c r="E5748" s="1"/>
      <c r="F5748" s="409">
        <f t="shared" si="772"/>
        <v>29</v>
      </c>
      <c r="G5748" s="168">
        <f>SUM(C5748,C5724,C5700,C5676,C5652,C5628,C5604,C5580,C5556,C5532,C5508,C5484,C5460,C5436)/POBLA!$B$11*100000</f>
        <v>434.39686631624767</v>
      </c>
      <c r="H5748" s="256">
        <f t="shared" si="764"/>
        <v>3.0589390962671907</v>
      </c>
      <c r="I5748" s="297">
        <f t="shared" si="773"/>
        <v>1328.7935576707223</v>
      </c>
      <c r="J5748" s="297">
        <f t="shared" si="774"/>
        <v>122.85714285714286</v>
      </c>
      <c r="K5748" s="297">
        <f>J5748/POBLA!$B$11*100000</f>
        <v>34.276658870719608</v>
      </c>
      <c r="L5748" s="549">
        <f t="shared" si="765"/>
        <v>-0.23385939741750361</v>
      </c>
      <c r="M5748" s="401">
        <f>SUM(C5748,C5724,C5700,C5676,C5652,C5628,C5604)/POBLA!$B$11*100000</f>
        <v>239.93661209503722</v>
      </c>
    </row>
    <row r="5749" spans="1:13" s="360" customFormat="1" x14ac:dyDescent="0.25">
      <c r="A5749" s="367" t="s">
        <v>21</v>
      </c>
      <c r="B5749" s="267">
        <v>44132</v>
      </c>
      <c r="C5749" s="1">
        <v>90</v>
      </c>
      <c r="D5749" s="39">
        <f t="shared" si="771"/>
        <v>7386</v>
      </c>
      <c r="E5749" s="1">
        <f>4</f>
        <v>4</v>
      </c>
      <c r="F5749" s="409">
        <f t="shared" si="772"/>
        <v>264</v>
      </c>
      <c r="G5749" s="168">
        <f>SUM(C5749,C5725,C5701,C5677,C5653,C5629,C5605,C5581,C5557,C5533,C5509,C5485,C5461,C5437)/POBLA!$B$12*100000</f>
        <v>322.21095669718522</v>
      </c>
      <c r="H5749" s="256">
        <f t="shared" si="764"/>
        <v>0.98294573643410854</v>
      </c>
      <c r="I5749" s="297">
        <f t="shared" si="773"/>
        <v>316.71588611785342</v>
      </c>
      <c r="J5749" s="297">
        <f t="shared" si="774"/>
        <v>83.857142857142861</v>
      </c>
      <c r="K5749" s="297">
        <f>J5749/POBLA!$B$12*100000</f>
        <v>21.308903963637643</v>
      </c>
      <c r="L5749" s="549">
        <f t="shared" si="765"/>
        <v>0.13803230543318645</v>
      </c>
      <c r="M5749" s="401">
        <f>SUM(C5749,C5725,C5701,C5677,C5653,C5629,C5605)/POBLA!$B$12*100000</f>
        <v>149.1623277454635</v>
      </c>
    </row>
    <row r="5750" spans="1:13" s="360" customFormat="1" x14ac:dyDescent="0.25">
      <c r="A5750" s="367" t="s">
        <v>17</v>
      </c>
      <c r="B5750" s="267">
        <v>44132</v>
      </c>
      <c r="C5750" s="1">
        <v>675</v>
      </c>
      <c r="D5750" s="39">
        <f t="shared" si="771"/>
        <v>45047</v>
      </c>
      <c r="E5750" s="1">
        <f>7+5</f>
        <v>12</v>
      </c>
      <c r="F5750" s="409">
        <f t="shared" si="772"/>
        <v>740</v>
      </c>
      <c r="G5750" s="168">
        <f>SUM(C5750,C5726,C5702,C5678,C5654,C5630,C5606,C5582,C5558,C5534,C5510,C5486,C5462,C5438)/POBLA!$B$13*100000</f>
        <v>556.1869391028057</v>
      </c>
      <c r="H5750" s="256">
        <f t="shared" si="764"/>
        <v>1.2399193548387097</v>
      </c>
      <c r="I5750" s="297">
        <f t="shared" si="773"/>
        <v>689.62695070206757</v>
      </c>
      <c r="J5750" s="297">
        <f t="shared" si="774"/>
        <v>725.42857142857144</v>
      </c>
      <c r="K5750" s="297">
        <f>J5750/POBLA!$B$13*100000</f>
        <v>36.447506475210318</v>
      </c>
      <c r="L5750" s="549">
        <f t="shared" si="765"/>
        <v>0.15253671562082782</v>
      </c>
      <c r="M5750" s="401">
        <f>SUM(C5750,C5726,C5702,C5678,C5654,C5630,C5606)/POBLA!$B$13*100000</f>
        <v>255.13254532647218</v>
      </c>
    </row>
    <row r="5751" spans="1:13" s="360" customFormat="1" x14ac:dyDescent="0.25">
      <c r="A5751" s="367" t="s">
        <v>23</v>
      </c>
      <c r="B5751" s="267">
        <v>44132</v>
      </c>
      <c r="C5751" s="1">
        <v>9</v>
      </c>
      <c r="D5751" s="39">
        <f t="shared" si="771"/>
        <v>249</v>
      </c>
      <c r="E5751" s="1"/>
      <c r="F5751" s="409">
        <f t="shared" si="772"/>
        <v>5</v>
      </c>
      <c r="G5751" s="168">
        <f>SUM(C5751,C5727,C5703,C5679,C5655,C5631,C5607,C5583,C5559,C5535,C5511,C5487,C5463,C5439)/POBLA!$B$14*100000</f>
        <v>4.7570193785112744</v>
      </c>
      <c r="H5751" s="256">
        <f t="shared" si="764"/>
        <v>0.64516129032258063</v>
      </c>
      <c r="I5751" s="297">
        <f t="shared" si="773"/>
        <v>3.0690447603298545</v>
      </c>
      <c r="J5751" s="297">
        <f t="shared" si="774"/>
        <v>7.2857142857142856</v>
      </c>
      <c r="K5751" s="297">
        <f>J5751/POBLA!$B$14*100000</f>
        <v>0.57763806739065482</v>
      </c>
      <c r="L5751" s="549">
        <f t="shared" si="765"/>
        <v>-4.666666666666667</v>
      </c>
      <c r="M5751" s="401">
        <f>SUM(C5751,C5727,C5703,C5679,C5655,C5631,C5607)/POBLA!$B$14*100000</f>
        <v>4.0434664717345834</v>
      </c>
    </row>
    <row r="5752" spans="1:13" s="360" customFormat="1" x14ac:dyDescent="0.25">
      <c r="A5752" s="367" t="s">
        <v>19</v>
      </c>
      <c r="B5752" s="267">
        <v>44132</v>
      </c>
      <c r="C5752" s="1">
        <v>384</v>
      </c>
      <c r="D5752" s="39">
        <f t="shared" si="771"/>
        <v>20576</v>
      </c>
      <c r="E5752" s="1">
        <f>8+5</f>
        <v>13</v>
      </c>
      <c r="F5752" s="409">
        <f t="shared" si="772"/>
        <v>383</v>
      </c>
      <c r="G5752" s="168">
        <f>SUM(C5752,C5728,C5704,C5680,C5656,C5632,C5608,C5584,C5560,C5536,C5512,C5488,C5464,C5440)/POBLA!$B$15*100000</f>
        <v>1143.2753513629102</v>
      </c>
      <c r="H5752" s="256">
        <f t="shared" si="764"/>
        <v>1.4912590846592024</v>
      </c>
      <c r="I5752" s="297">
        <f t="shared" si="773"/>
        <v>1704.9197539868815</v>
      </c>
      <c r="J5752" s="297">
        <f t="shared" si="774"/>
        <v>420.14285714285717</v>
      </c>
      <c r="K5752" s="297">
        <f>J5752/POBLA!$B$15*100000</f>
        <v>63.269095445550185</v>
      </c>
      <c r="L5752" s="549">
        <f t="shared" si="765"/>
        <v>0.36766286820038696</v>
      </c>
      <c r="M5752" s="401">
        <f>SUM(C5752,C5728,C5704,C5680,C5656,C5632,C5608)/POBLA!$B$15*100000</f>
        <v>442.88366811885123</v>
      </c>
    </row>
    <row r="5753" spans="1:13" s="360" customFormat="1" x14ac:dyDescent="0.25">
      <c r="A5753" s="367" t="s">
        <v>18</v>
      </c>
      <c r="B5753" s="267">
        <v>44132</v>
      </c>
      <c r="C5753" s="1">
        <v>450</v>
      </c>
      <c r="D5753" s="39">
        <f t="shared" si="771"/>
        <v>22979</v>
      </c>
      <c r="E5753" s="1">
        <f>5+5</f>
        <v>10</v>
      </c>
      <c r="F5753" s="409">
        <f t="shared" si="772"/>
        <v>591</v>
      </c>
      <c r="G5753" s="168">
        <f>SUM(C5753,C5729,C5705,C5681,C5657,C5633,C5609,C5585,C5561,C5537,C5513,C5489,C5465,C5441)/POBLA!$B$16*100000</f>
        <v>733.80505878733561</v>
      </c>
      <c r="H5753" s="256">
        <f t="shared" si="764"/>
        <v>1.1787709497206704</v>
      </c>
      <c r="I5753" s="297">
        <f t="shared" si="773"/>
        <v>864.98808605657996</v>
      </c>
      <c r="J5753" s="297">
        <f t="shared" si="774"/>
        <v>378.85714285714283</v>
      </c>
      <c r="K5753" s="297">
        <f>J5753/POBLA!$B$16*100000</f>
        <v>50.675772509348832</v>
      </c>
      <c r="L5753" s="549">
        <f t="shared" si="765"/>
        <v>6.422018348623848E-2</v>
      </c>
      <c r="M5753" s="401">
        <f>SUM(C5753,C5729,C5705,C5681,C5657,C5633,C5609)/POBLA!$B$16*100000</f>
        <v>354.73040756544185</v>
      </c>
    </row>
    <row r="5754" spans="1:13" s="360" customFormat="1" x14ac:dyDescent="0.25">
      <c r="A5754" s="367" t="s">
        <v>34</v>
      </c>
      <c r="B5754" s="267">
        <v>44132</v>
      </c>
      <c r="C5754" s="1">
        <v>219</v>
      </c>
      <c r="D5754" s="39">
        <f t="shared" si="771"/>
        <v>18500</v>
      </c>
      <c r="E5754" s="1">
        <f>7+5</f>
        <v>12</v>
      </c>
      <c r="F5754" s="409">
        <f t="shared" si="772"/>
        <v>751</v>
      </c>
      <c r="G5754" s="168">
        <f>SUM(C5754,C5730,C5706,C5682,C5658,C5634,C5610,C5586,C5562,C5538,C5514,C5490,C5466,C5442)/POBLA!$B$17*100000</f>
        <v>192.78333217494841</v>
      </c>
      <c r="H5754" s="256">
        <f t="shared" ref="H5754:H5785" si="775">SUM(C5754,C5730,C5706,C5682,C5658,C5634,C5610,C5586,C5562,C5538,C5514,C5490,C5466,C5442)/SUM(C5418,C5394,C5370,C5346,C5322,C5298,C5274,C5250,C5226,C5202,C5178,C5154,C5130,C5106)</f>
        <v>0.8224019167415394</v>
      </c>
      <c r="I5754" s="297">
        <f t="shared" si="773"/>
        <v>158.54538189649847</v>
      </c>
      <c r="J5754" s="297">
        <f t="shared" si="774"/>
        <v>190.42857142857142</v>
      </c>
      <c r="K5754" s="297">
        <f>J5754/POBLA!$B$17*100000</f>
        <v>13.369065747019363</v>
      </c>
      <c r="L5754" s="549">
        <f t="shared" ref="L5754:L5785" si="776">1-SUM(C5754,C5730,C5706,C5682,C5658,C5634,C5610)/SUM(C5586,C5562,C5538,C5514,C5490,C5466,C5442)</f>
        <v>5.6617126680820973E-2</v>
      </c>
      <c r="M5754" s="401">
        <f>SUM(C5754,C5730,C5706,C5682,C5658,C5634,C5610)/POBLA!$B$17*100000</f>
        <v>93.583460229135554</v>
      </c>
    </row>
    <row r="5755" spans="1:13" s="360" customFormat="1" x14ac:dyDescent="0.25">
      <c r="A5755" s="367" t="s">
        <v>35</v>
      </c>
      <c r="B5755" s="267">
        <v>44132</v>
      </c>
      <c r="C5755" s="1">
        <v>144</v>
      </c>
      <c r="D5755" s="39">
        <f t="shared" si="771"/>
        <v>1580</v>
      </c>
      <c r="E5755" s="1">
        <f>2+3</f>
        <v>5</v>
      </c>
      <c r="F5755" s="409">
        <f t="shared" si="772"/>
        <v>83</v>
      </c>
      <c r="G5755" s="168">
        <f>SUM(C5755,C5731,C5707,C5683,C5659,C5635,C5611,C5587,C5563,C5539,C5515,C5491,C5467,C5443)/POBLA!$B$18*100000</f>
        <v>39.297659933155572</v>
      </c>
      <c r="H5755" s="256">
        <f t="shared" si="775"/>
        <v>0.55215827338129497</v>
      </c>
      <c r="I5755" s="297">
        <f t="shared" si="773"/>
        <v>21.698528056616475</v>
      </c>
      <c r="J5755" s="297">
        <f t="shared" si="774"/>
        <v>37.857142857142854</v>
      </c>
      <c r="K5755" s="297">
        <f>J5755/POBLA!$B$18*100000</f>
        <v>4.8459189773318876</v>
      </c>
      <c r="L5755" s="549">
        <f t="shared" si="776"/>
        <v>-5.3095238095238093</v>
      </c>
      <c r="M5755" s="401">
        <f>SUM(C5755,C5731,C5707,C5683,C5659,C5635,C5611)/POBLA!$B$18*100000</f>
        <v>33.921432841323217</v>
      </c>
    </row>
    <row r="5756" spans="1:13" s="360" customFormat="1" x14ac:dyDescent="0.25">
      <c r="A5756" s="367" t="s">
        <v>36</v>
      </c>
      <c r="B5756" s="267">
        <v>44132</v>
      </c>
      <c r="C5756" s="1">
        <v>167</v>
      </c>
      <c r="D5756" s="39">
        <f t="shared" si="771"/>
        <v>6232</v>
      </c>
      <c r="E5756" s="1"/>
      <c r="F5756" s="409">
        <f t="shared" si="772"/>
        <v>53</v>
      </c>
      <c r="G5756" s="168">
        <f>SUM(C5756,C5732,C5708,C5684,C5660,C5636,C5612,C5588,C5564,C5540,C5516,C5492,C5468,C5444)/POBLA!$B$19*100000</f>
        <v>720.9911710549095</v>
      </c>
      <c r="H5756" s="256">
        <f t="shared" si="775"/>
        <v>3.3470319634703198</v>
      </c>
      <c r="I5756" s="297">
        <f t="shared" si="773"/>
        <v>2413.1804949006792</v>
      </c>
      <c r="J5756" s="297">
        <f t="shared" si="774"/>
        <v>265</v>
      </c>
      <c r="K5756" s="297">
        <f>J5756/POBLA!$B$19*100000</f>
        <v>52.131694496466842</v>
      </c>
      <c r="L5756" s="549">
        <f t="shared" si="776"/>
        <v>-2.4861878453038777E-2</v>
      </c>
      <c r="M5756" s="401">
        <f>SUM(C5756,C5732,C5708,C5684,C5660,C5636,C5612)/POBLA!$B$19*100000</f>
        <v>364.92186147526792</v>
      </c>
    </row>
    <row r="5757" spans="1:13" s="360" customFormat="1" x14ac:dyDescent="0.25">
      <c r="A5757" s="367" t="s">
        <v>37</v>
      </c>
      <c r="B5757" s="267">
        <v>44132</v>
      </c>
      <c r="C5757" s="1">
        <v>239</v>
      </c>
      <c r="D5757" s="39">
        <f t="shared" si="771"/>
        <v>8885</v>
      </c>
      <c r="E5757" s="1"/>
      <c r="F5757" s="409">
        <f t="shared" si="772"/>
        <v>117</v>
      </c>
      <c r="G5757" s="168">
        <f>SUM(C5757,C5733,C5709,C5685,C5661,C5637,C5613,C5589,C5565,C5541,C5517,C5493,C5469,C5445)/POBLA!$B$20*100000</f>
        <v>595.0264972737067</v>
      </c>
      <c r="H5757" s="256">
        <f t="shared" si="775"/>
        <v>1.1667560321715817</v>
      </c>
      <c r="I5757" s="297">
        <f t="shared" si="773"/>
        <v>694.25075499602451</v>
      </c>
      <c r="J5757" s="297">
        <f t="shared" si="774"/>
        <v>160.71428571428572</v>
      </c>
      <c r="K5757" s="297">
        <f>J5757/POBLA!$B$20*100000</f>
        <v>43.947269526846121</v>
      </c>
      <c r="L5757" s="549">
        <f t="shared" si="776"/>
        <v>-7.0409134157944919E-2</v>
      </c>
      <c r="M5757" s="401">
        <f>SUM(C5757,C5733,C5709,C5685,C5661,C5637,C5613)/POBLA!$B$20*100000</f>
        <v>307.63088668792284</v>
      </c>
    </row>
    <row r="5758" spans="1:13" s="360" customFormat="1" x14ac:dyDescent="0.25">
      <c r="A5758" s="367" t="s">
        <v>22</v>
      </c>
      <c r="B5758" s="267">
        <v>44132</v>
      </c>
      <c r="C5758" s="1">
        <v>2003</v>
      </c>
      <c r="D5758" s="39">
        <f t="shared" si="771"/>
        <v>100478</v>
      </c>
      <c r="E5758" s="1">
        <f>24+19</f>
        <v>43</v>
      </c>
      <c r="F5758" s="409">
        <f t="shared" si="772"/>
        <v>1166</v>
      </c>
      <c r="G5758" s="168">
        <f>SUM(C5758,C5734,C5710,C5686,C5662,C5638,C5614,C5590,C5566,C5542,C5518,C5494,C5470,C5446)/POBLA!$B$21*100000</f>
        <v>879.67542298450007</v>
      </c>
      <c r="H5758" s="256">
        <f t="shared" si="775"/>
        <v>1.1534240480516109</v>
      </c>
      <c r="I5758" s="297">
        <f t="shared" si="773"/>
        <v>1014.6387873502952</v>
      </c>
      <c r="J5758" s="297">
        <f t="shared" si="774"/>
        <v>2050.8571428571427</v>
      </c>
      <c r="K5758" s="297">
        <f>J5758/POBLA!$B$21*100000</f>
        <v>57.992498139562201</v>
      </c>
      <c r="L5758" s="549">
        <f t="shared" si="776"/>
        <v>0.14307885154897626</v>
      </c>
      <c r="M5758" s="401">
        <f>SUM(C5758,C5734,C5710,C5686,C5662,C5638,C5614)/POBLA!$B$21*100000</f>
        <v>405.94748697693541</v>
      </c>
    </row>
    <row r="5759" spans="1:13" s="360" customFormat="1" x14ac:dyDescent="0.25">
      <c r="A5759" s="367" t="s">
        <v>38</v>
      </c>
      <c r="B5759" s="267">
        <v>44132</v>
      </c>
      <c r="C5759" s="1">
        <v>292</v>
      </c>
      <c r="D5759" s="39">
        <f>C5759+D5735</f>
        <v>9061</v>
      </c>
      <c r="E5759" s="1">
        <f>2+2</f>
        <v>4</v>
      </c>
      <c r="F5759" s="409">
        <f t="shared" si="772"/>
        <v>120</v>
      </c>
      <c r="G5759" s="168">
        <f>SUM(C5759,C5735,C5711,C5687,C5663,C5639,C5615,C5591,C5567,C5543,C5519,C5495,C5471,C5447)/POBLA!$B$22*100000</f>
        <v>343.75501501053344</v>
      </c>
      <c r="H5759" s="256">
        <f t="shared" si="775"/>
        <v>1.475647213690215</v>
      </c>
      <c r="I5759" s="297">
        <f t="shared" si="773"/>
        <v>507.26113009233171</v>
      </c>
      <c r="J5759" s="297">
        <f t="shared" si="774"/>
        <v>258.85714285714283</v>
      </c>
      <c r="K5759" s="297">
        <f>J5759/POBLA!$B$22*100000</f>
        <v>26.45954238133837</v>
      </c>
      <c r="L5759" s="549">
        <f t="shared" si="776"/>
        <v>-0.16827852998065773</v>
      </c>
      <c r="M5759" s="401">
        <f>SUM(C5759,C5735,C5711,C5687,C5663,C5639,C5615)/POBLA!$B$22*100000</f>
        <v>185.21679666936859</v>
      </c>
    </row>
    <row r="5760" spans="1:13" s="360" customFormat="1" x14ac:dyDescent="0.25">
      <c r="A5760" s="367" t="s">
        <v>39</v>
      </c>
      <c r="B5760" s="267">
        <v>44132</v>
      </c>
      <c r="C5760" s="1">
        <v>236</v>
      </c>
      <c r="D5760" s="39">
        <f>C5760+D5736</f>
        <v>10824</v>
      </c>
      <c r="E5760" s="1">
        <f>3+1</f>
        <v>4</v>
      </c>
      <c r="F5760" s="409">
        <f t="shared" si="772"/>
        <v>141</v>
      </c>
      <c r="G5760" s="168">
        <f>SUM(C5760,C5736,C5712,C5688,C5664,C5640,C5616,C5592,C5568,C5544,C5520,C5496,C5472,C5448)/POBLA!$B$23*100000</f>
        <v>2055.6466662896564</v>
      </c>
      <c r="H5760" s="256">
        <f t="shared" si="775"/>
        <v>1.2862703467799008</v>
      </c>
      <c r="I5760" s="297">
        <f t="shared" si="773"/>
        <v>2644.1173503053433</v>
      </c>
      <c r="J5760" s="297">
        <f t="shared" si="774"/>
        <v>276.85714285714283</v>
      </c>
      <c r="K5760" s="297">
        <f>J5760/POBLA!$B$23*100000</f>
        <v>156.56683982194357</v>
      </c>
      <c r="L5760" s="549">
        <f t="shared" si="776"/>
        <v>-0.14201532115497928</v>
      </c>
      <c r="M5760" s="401">
        <f>SUM(C5760,C5736,C5712,C5688,C5664,C5640,C5616)/POBLA!$B$23*100000</f>
        <v>1095.967878753605</v>
      </c>
    </row>
    <row r="5761" spans="1:13" s="360" customFormat="1" ht="15.75" thickBot="1" x14ac:dyDescent="0.3">
      <c r="A5761" s="369" t="s">
        <v>40</v>
      </c>
      <c r="B5761" s="267">
        <v>44132</v>
      </c>
      <c r="C5761" s="1">
        <v>1127</v>
      </c>
      <c r="D5761" s="39">
        <f>C5761+D5737</f>
        <v>46694</v>
      </c>
      <c r="E5761" s="1">
        <f>17+7</f>
        <v>24</v>
      </c>
      <c r="F5761" s="477">
        <f t="shared" si="772"/>
        <v>733</v>
      </c>
      <c r="G5761" s="177">
        <f>SUM(C5761,C5737,C5713,C5689,C5665,C5641,C5617,C5593,C5569,C5545,C5521,C5497,C5473,C5449)/POBLA!$B$24*100000</f>
        <v>983.09037350353105</v>
      </c>
      <c r="H5761" s="402">
        <f t="shared" si="775"/>
        <v>1.1018518518518519</v>
      </c>
      <c r="I5761" s="403">
        <f t="shared" si="773"/>
        <v>1083.2199485825945</v>
      </c>
      <c r="J5761" s="403">
        <f t="shared" si="774"/>
        <v>1084.2857142857142</v>
      </c>
      <c r="K5761" s="403">
        <f>J5761/POBLA!$B$24*100000</f>
        <v>63.982643928072378</v>
      </c>
      <c r="L5761" s="550">
        <f t="shared" si="776"/>
        <v>0.16317530319735396</v>
      </c>
      <c r="M5761" s="405">
        <f>SUM(C5761,C5737,C5713,C5689,C5665,C5641,C5617)/POBLA!$B$24*100000</f>
        <v>447.8785074965067</v>
      </c>
    </row>
    <row r="5762" spans="1:13" s="360" customFormat="1" x14ac:dyDescent="0.25">
      <c r="A5762" s="374" t="s">
        <v>16</v>
      </c>
      <c r="B5762" s="267">
        <v>44133</v>
      </c>
      <c r="C5762" s="1">
        <v>3708</v>
      </c>
      <c r="D5762" s="262">
        <f>543181</f>
        <v>543181</v>
      </c>
      <c r="E5762" s="1">
        <f>78+60</f>
        <v>138</v>
      </c>
      <c r="F5762" s="475">
        <f t="shared" si="772"/>
        <v>17380</v>
      </c>
      <c r="G5762" s="175">
        <f>SUM(C5762,C5738,C5714,C5690,C5666,C5642,C5618,C5594,C5570,C5546,C5522,C5498,C5474,C5450)/POBLA!$B$1*100000</f>
        <v>324.55699432551165</v>
      </c>
      <c r="H5762" s="300">
        <f t="shared" si="775"/>
        <v>0.90167725177782354</v>
      </c>
      <c r="I5762" s="301">
        <f>G5762*H5762</f>
        <v>292.64565868869801</v>
      </c>
      <c r="J5762" s="301">
        <f>AVERAGE(C5762,C5738,C5714,C5690,C5666,C5642,C5618)</f>
        <v>3672.8571428571427</v>
      </c>
      <c r="K5762" s="301">
        <f>J5762/POBLA!$B$1*100000</f>
        <v>20.938530411773915</v>
      </c>
      <c r="L5762" s="548">
        <f t="shared" si="776"/>
        <v>0.17651580666858846</v>
      </c>
      <c r="M5762" s="400">
        <f>SUM(C5762,C5738,C5714,C5690,C5666,C5642,C5618)/POBLA!$B$1*100000</f>
        <v>146.56971288241741</v>
      </c>
    </row>
    <row r="5763" spans="1:13" s="360" customFormat="1" x14ac:dyDescent="0.25">
      <c r="A5763" s="367" t="s">
        <v>43</v>
      </c>
      <c r="B5763" s="267">
        <v>44133</v>
      </c>
      <c r="C5763" s="1">
        <v>512</v>
      </c>
      <c r="D5763" s="39">
        <f t="shared" ref="D5763:D5825" si="777">C5763+D5739</f>
        <v>146256</v>
      </c>
      <c r="E5763" s="1">
        <v>39</v>
      </c>
      <c r="F5763" s="409">
        <f t="shared" si="772"/>
        <v>4701</v>
      </c>
      <c r="G5763" s="168">
        <f>SUM(C5763,C5739,C5715,C5691,C5667,C5643,C5619,C5595,C5571,C5547,C5523,C5499,C5475,C5451)/POBLA!$B$2*100000</f>
        <v>271.97538338287308</v>
      </c>
      <c r="H5763" s="256">
        <f t="shared" si="775"/>
        <v>0.76038541950731753</v>
      </c>
      <c r="I5763" s="297">
        <f t="shared" ref="I5763:I5785" si="778">G5763*H5763</f>
        <v>206.80611598924946</v>
      </c>
      <c r="J5763" s="297">
        <f t="shared" ref="J5763:J5785" si="779">AVERAGE(C5763,C5739,C5715,C5691,C5667,C5643,C5619)</f>
        <v>537.14285714285711</v>
      </c>
      <c r="K5763" s="297">
        <f>J5763/POBLA!$B$2*100000</f>
        <v>17.464391452815349</v>
      </c>
      <c r="L5763" s="549">
        <f t="shared" si="776"/>
        <v>0.1834961997828447</v>
      </c>
      <c r="M5763" s="401">
        <f>SUM(C5763,C5739,C5715,C5691,C5667,C5643,C5619)/POBLA!$B$2*100000</f>
        <v>122.25074016970743</v>
      </c>
    </row>
    <row r="5764" spans="1:13" s="360" customFormat="1" x14ac:dyDescent="0.25">
      <c r="A5764" s="367" t="s">
        <v>28</v>
      </c>
      <c r="B5764" s="267">
        <v>44133</v>
      </c>
      <c r="C5764" s="1">
        <v>16</v>
      </c>
      <c r="D5764" s="39">
        <f t="shared" si="777"/>
        <v>736</v>
      </c>
      <c r="E5764" s="1"/>
      <c r="F5764" s="409">
        <f t="shared" si="772"/>
        <v>0</v>
      </c>
      <c r="G5764" s="168">
        <f>SUM(C5764,C5740,C5716,C5692,C5668,C5644,C5620,C5596,C5572,C5548,C5524,C5500,C5476,C5452)/POBLA!$B$3*100000</f>
        <v>79.193525869082762</v>
      </c>
      <c r="H5764" s="256">
        <f t="shared" si="775"/>
        <v>2.8608695652173912</v>
      </c>
      <c r="I5764" s="297">
        <f t="shared" si="778"/>
        <v>226.56234792111502</v>
      </c>
      <c r="J5764" s="297">
        <f t="shared" si="779"/>
        <v>26.285714285714285</v>
      </c>
      <c r="K5764" s="297">
        <f>J5764/POBLA!$B$3*100000</f>
        <v>6.3272291619241097</v>
      </c>
      <c r="L5764" s="549">
        <f t="shared" si="776"/>
        <v>-0.2689655172413794</v>
      </c>
      <c r="M5764" s="401">
        <f>SUM(C5764,C5740,C5716,C5692,C5668,C5644,C5620)/POBLA!$B$3*100000</f>
        <v>44.290604133468776</v>
      </c>
    </row>
    <row r="5765" spans="1:13" s="360" customFormat="1" x14ac:dyDescent="0.25">
      <c r="A5765" s="367" t="s">
        <v>15</v>
      </c>
      <c r="B5765" s="267">
        <v>44133</v>
      </c>
      <c r="C5765" s="1">
        <v>130</v>
      </c>
      <c r="D5765" s="39">
        <f t="shared" si="777"/>
        <v>13710</v>
      </c>
      <c r="E5765" s="1">
        <f>2+2</f>
        <v>4</v>
      </c>
      <c r="F5765" s="409">
        <f t="shared" si="772"/>
        <v>423</v>
      </c>
      <c r="G5765" s="168">
        <f>SUM(C5765,C5741,C5717,C5693,C5669,C5645,C5621,C5597,C5573,C5549,C5525,C5501,C5477,C5453)/POBLA!$B$4*100000</f>
        <v>219.41967936334257</v>
      </c>
      <c r="H5765" s="256">
        <f t="shared" si="775"/>
        <v>1.137263339070568</v>
      </c>
      <c r="I5765" s="297">
        <f t="shared" si="778"/>
        <v>249.53795721054837</v>
      </c>
      <c r="J5765" s="297">
        <f t="shared" si="779"/>
        <v>165.71428571428572</v>
      </c>
      <c r="K5765" s="297">
        <f>J5765/POBLA!$B$4*100000</f>
        <v>13.757463275578477</v>
      </c>
      <c r="L5765" s="549">
        <f t="shared" si="776"/>
        <v>0.21780175320296691</v>
      </c>
      <c r="M5765" s="401">
        <f>SUM(C5765,C5741,C5717,C5693,C5669,C5645,C5621)/POBLA!$B$4*100000</f>
        <v>96.302242929049328</v>
      </c>
    </row>
    <row r="5766" spans="1:13" s="360" customFormat="1" x14ac:dyDescent="0.25">
      <c r="A5766" s="367" t="s">
        <v>29</v>
      </c>
      <c r="B5766" s="267">
        <v>44133</v>
      </c>
      <c r="C5766" s="1">
        <v>284</v>
      </c>
      <c r="D5766" s="39">
        <f t="shared" si="777"/>
        <v>13878</v>
      </c>
      <c r="E5766" s="1">
        <f>2</f>
        <v>2</v>
      </c>
      <c r="F5766" s="409">
        <f t="shared" si="772"/>
        <v>244</v>
      </c>
      <c r="G5766" s="168">
        <f>SUM(C5766,C5742,C5718,C5694,C5670,C5646,C5622,C5598,C5574,C5550,C5526,C5502,C5478,C5454)/POBLA!$B$5*100000</f>
        <v>906.14771710226591</v>
      </c>
      <c r="H5766" s="256">
        <f t="shared" si="775"/>
        <v>1.3594280174503151</v>
      </c>
      <c r="I5766" s="297">
        <f t="shared" si="778"/>
        <v>1231.8425945774623</v>
      </c>
      <c r="J5766" s="297">
        <f t="shared" si="779"/>
        <v>421.42857142857144</v>
      </c>
      <c r="K5766" s="297">
        <f>J5766/POBLA!$B$5*100000</f>
        <v>68.082820096571439</v>
      </c>
      <c r="L5766" s="549">
        <f t="shared" si="776"/>
        <v>-0.10943963896201581</v>
      </c>
      <c r="M5766" s="401">
        <f>SUM(C5766,C5742,C5718,C5694,C5670,C5646,C5622)/POBLA!$B$5*100000</f>
        <v>476.57974067600009</v>
      </c>
    </row>
    <row r="5767" spans="1:13" s="360" customFormat="1" x14ac:dyDescent="0.25">
      <c r="A5767" s="367" t="s">
        <v>20</v>
      </c>
      <c r="B5767" s="267">
        <v>44133</v>
      </c>
      <c r="C5767" s="1">
        <v>1457</v>
      </c>
      <c r="D5767" s="39">
        <f t="shared" si="777"/>
        <v>82390</v>
      </c>
      <c r="E5767" s="1">
        <f>19+16</f>
        <v>35</v>
      </c>
      <c r="F5767" s="409">
        <f t="shared" si="772"/>
        <v>1243</v>
      </c>
      <c r="G5767" s="168">
        <f>SUM(C5767,C5743,C5719,C5695,C5671,C5647,C5623,C5599,C5575,C5551,C5527,C5503,C5479,C5455)/POBLA!$B$6*100000</f>
        <v>2195.483408740713</v>
      </c>
      <c r="H5767" s="256">
        <f t="shared" si="775"/>
        <v>1.138475062459517</v>
      </c>
      <c r="I5767" s="297">
        <f t="shared" si="778"/>
        <v>2499.5031108949165</v>
      </c>
      <c r="J5767" s="297">
        <f t="shared" si="779"/>
        <v>1680.8571428571429</v>
      </c>
      <c r="K5767" s="297">
        <f>J5767/POBLA!$B$6*100000</f>
        <v>149.96927579982022</v>
      </c>
      <c r="L5767" s="549">
        <f t="shared" si="776"/>
        <v>8.3716221478078001E-2</v>
      </c>
      <c r="M5767" s="401">
        <f>SUM(C5767,C5743,C5719,C5695,C5671,C5647,C5623)/POBLA!$B$6*100000</f>
        <v>1049.7849305987415</v>
      </c>
    </row>
    <row r="5768" spans="1:13" s="360" customFormat="1" x14ac:dyDescent="0.25">
      <c r="A5768" s="367" t="s">
        <v>30</v>
      </c>
      <c r="B5768" s="267">
        <v>44133</v>
      </c>
      <c r="C5768" s="1">
        <v>61</v>
      </c>
      <c r="D5768" s="39">
        <f t="shared" si="777"/>
        <v>2530</v>
      </c>
      <c r="E5768" s="1"/>
      <c r="F5768" s="409">
        <f t="shared" si="772"/>
        <v>47</v>
      </c>
      <c r="G5768" s="168">
        <f>SUM(C5768,C5744,C5720,C5696,C5672,C5648,C5624,C5600,C5576,C5552,C5528,C5504,C5480,C5456)/POBLA!$B$7*100000</f>
        <v>17.444720711616963</v>
      </c>
      <c r="H5768" s="256">
        <f t="shared" si="775"/>
        <v>0.84754521963824292</v>
      </c>
      <c r="I5768" s="297">
        <f t="shared" si="778"/>
        <v>14.785189647055205</v>
      </c>
      <c r="J5768" s="297">
        <f t="shared" si="779"/>
        <v>48.857142857142854</v>
      </c>
      <c r="K5768" s="297">
        <f>J5768/POBLA!$B$7*100000</f>
        <v>1.2992366035219949</v>
      </c>
      <c r="L5768" s="549">
        <f t="shared" si="776"/>
        <v>-8.9171974522292974E-2</v>
      </c>
      <c r="M5768" s="401">
        <f>SUM(C5768,C5744,C5720,C5696,C5672,C5648,C5624)/POBLA!$B$7*100000</f>
        <v>9.0946562246539635</v>
      </c>
    </row>
    <row r="5769" spans="1:13" x14ac:dyDescent="0.25">
      <c r="A5769" s="367" t="s">
        <v>31</v>
      </c>
      <c r="B5769" s="267">
        <v>44133</v>
      </c>
      <c r="C5769" s="1">
        <v>360</v>
      </c>
      <c r="D5769" s="39">
        <f t="shared" si="777"/>
        <v>15390</v>
      </c>
      <c r="E5769" s="1">
        <f>2+2</f>
        <v>4</v>
      </c>
      <c r="F5769" s="409">
        <f t="shared" si="772"/>
        <v>271</v>
      </c>
      <c r="G5769" s="168">
        <f>SUM(C5769,C5745,C5721,C5697,C5673,C5649,C5625,C5601,C5577,C5553,C5529,C5505,C5481,C5457)/POBLA!$B$8*100000</f>
        <v>355.99847326151314</v>
      </c>
      <c r="H5769" s="256">
        <f t="shared" si="775"/>
        <v>1.7703623968424829</v>
      </c>
      <c r="I5769" s="297">
        <f t="shared" si="778"/>
        <v>630.24631039551696</v>
      </c>
      <c r="J5769" s="297">
        <f t="shared" si="779"/>
        <v>348</v>
      </c>
      <c r="K5769" s="297">
        <f>J5769/POBLA!$B$8*100000</f>
        <v>25.108931636604492</v>
      </c>
      <c r="L5769" s="549">
        <f t="shared" si="776"/>
        <v>2.4819855884707809E-2</v>
      </c>
      <c r="M5769" s="401">
        <f>SUM(C5769,C5745,C5721,C5697,C5673,C5649,C5625)/POBLA!$B$8*100000</f>
        <v>175.76252145623147</v>
      </c>
    </row>
    <row r="5770" spans="1:13" s="360" customFormat="1" x14ac:dyDescent="0.25">
      <c r="A5770" s="367" t="s">
        <v>41</v>
      </c>
      <c r="B5770" s="267">
        <v>44133</v>
      </c>
      <c r="C5770" s="1">
        <v>1</v>
      </c>
      <c r="D5770" s="39">
        <f t="shared" si="777"/>
        <v>150</v>
      </c>
      <c r="E5770" s="1"/>
      <c r="F5770" s="409">
        <f t="shared" si="772"/>
        <v>1</v>
      </c>
      <c r="G5770" s="168">
        <f>SUM(C5770,C5746,C5722,C5698,C5674,C5650,C5626,C5602,C5578,C5554,C5530,C5506,C5482,C5458)/POBLA!$B$9*100000</f>
        <v>1.9828385325012021</v>
      </c>
      <c r="H5770" s="256">
        <f t="shared" si="775"/>
        <v>0.35294117647058826</v>
      </c>
      <c r="I5770" s="297">
        <f t="shared" si="778"/>
        <v>0.69982536441218901</v>
      </c>
      <c r="J5770" s="297">
        <f t="shared" si="779"/>
        <v>1.4285714285714286</v>
      </c>
      <c r="K5770" s="297">
        <f>J5770/POBLA!$B$9*100000</f>
        <v>0.23605220625014312</v>
      </c>
      <c r="L5770" s="549">
        <f t="shared" si="776"/>
        <v>-4</v>
      </c>
      <c r="M5770" s="401">
        <f>SUM(C5770,C5746,C5722,C5698,C5674,C5650,C5626)/POBLA!$B$9*100000</f>
        <v>1.6523654437510016</v>
      </c>
    </row>
    <row r="5771" spans="1:13" s="360" customFormat="1" x14ac:dyDescent="0.25">
      <c r="A5771" s="367" t="s">
        <v>32</v>
      </c>
      <c r="B5771" s="267">
        <v>44133</v>
      </c>
      <c r="C5771" s="1">
        <v>46</v>
      </c>
      <c r="D5771" s="39">
        <f t="shared" si="777"/>
        <v>17786</v>
      </c>
      <c r="E5771" s="1">
        <f>2+2</f>
        <v>4</v>
      </c>
      <c r="F5771" s="409">
        <f t="shared" si="772"/>
        <v>803</v>
      </c>
      <c r="G5771" s="168">
        <f>SUM(C5771,C5747,C5723,C5699,C5675,C5651,C5627,C5603,C5579,C5555,C5531,C5507,C5483,C5459)/POBLA!$B$10*100000</f>
        <v>93.529351482265099</v>
      </c>
      <c r="H5771" s="256">
        <f t="shared" si="775"/>
        <v>0.59098360655737703</v>
      </c>
      <c r="I5771" s="297">
        <f t="shared" si="778"/>
        <v>55.274313457961583</v>
      </c>
      <c r="J5771" s="297">
        <f t="shared" si="779"/>
        <v>45</v>
      </c>
      <c r="K5771" s="297">
        <f>J5771/POBLA!$B$10*100000</f>
        <v>5.837476860890332</v>
      </c>
      <c r="L5771" s="549">
        <f t="shared" si="776"/>
        <v>0.22413793103448276</v>
      </c>
      <c r="M5771" s="401">
        <f>SUM(C5771,C5747,C5723,C5699,C5675,C5651,C5627)/POBLA!$B$10*100000</f>
        <v>40.862338026232322</v>
      </c>
    </row>
    <row r="5772" spans="1:13" s="360" customFormat="1" x14ac:dyDescent="0.25">
      <c r="A5772" s="367" t="s">
        <v>33</v>
      </c>
      <c r="B5772" s="267">
        <v>44133</v>
      </c>
      <c r="C5772" s="1">
        <v>231</v>
      </c>
      <c r="D5772" s="39">
        <f t="shared" si="777"/>
        <v>3060</v>
      </c>
      <c r="E5772" s="1">
        <f>3</f>
        <v>3</v>
      </c>
      <c r="F5772" s="409">
        <f t="shared" si="772"/>
        <v>32</v>
      </c>
      <c r="G5772" s="168">
        <f>SUM(C5772,C5748,C5724,C5700,C5676,C5652,C5628,C5604,C5580,C5556,C5532,C5508,C5484,C5460)/POBLA!$B$11*100000</f>
        <v>475.96727934201573</v>
      </c>
      <c r="H5772" s="256">
        <f t="shared" si="775"/>
        <v>3.0301953818827707</v>
      </c>
      <c r="I5772" s="297">
        <f t="shared" si="778"/>
        <v>1442.2738517894827</v>
      </c>
      <c r="J5772" s="297">
        <f t="shared" si="779"/>
        <v>132.85714285714286</v>
      </c>
      <c r="K5772" s="297">
        <f>J5772/POBLA!$B$11*100000</f>
        <v>37.06661947647585</v>
      </c>
      <c r="L5772" s="549">
        <f t="shared" si="776"/>
        <v>-0.19845360824742264</v>
      </c>
      <c r="M5772" s="401">
        <f>SUM(C5772,C5748,C5724,C5700,C5676,C5652,C5628)/POBLA!$B$11*100000</f>
        <v>259.46633633533094</v>
      </c>
    </row>
    <row r="5773" spans="1:13" s="360" customFormat="1" x14ac:dyDescent="0.25">
      <c r="A5773" s="367" t="s">
        <v>21</v>
      </c>
      <c r="B5773" s="267">
        <v>44133</v>
      </c>
      <c r="C5773" s="1">
        <v>55</v>
      </c>
      <c r="D5773" s="39">
        <f t="shared" si="777"/>
        <v>7441</v>
      </c>
      <c r="E5773" s="1"/>
      <c r="F5773" s="409">
        <f t="shared" si="772"/>
        <v>264</v>
      </c>
      <c r="G5773" s="168">
        <f>SUM(C5773,C5749,C5725,C5701,C5677,C5653,C5629,C5605,C5581,C5557,C5533,C5509,C5485,C5461)/POBLA!$B$12*100000</f>
        <v>308.99725815755301</v>
      </c>
      <c r="H5773" s="256">
        <f t="shared" si="775"/>
        <v>0.88436363636363635</v>
      </c>
      <c r="I5773" s="297">
        <f t="shared" si="778"/>
        <v>273.26593885060686</v>
      </c>
      <c r="J5773" s="297">
        <f t="shared" si="779"/>
        <v>82.857142857142861</v>
      </c>
      <c r="K5773" s="297">
        <f>J5773/POBLA!$B$12*100000</f>
        <v>21.054794376337028</v>
      </c>
      <c r="L5773" s="549">
        <f t="shared" si="776"/>
        <v>8.8050314465408785E-2</v>
      </c>
      <c r="M5773" s="401">
        <f>SUM(C5773,C5749,C5725,C5701,C5677,C5653,C5629)/POBLA!$B$12*100000</f>
        <v>147.38356063435918</v>
      </c>
    </row>
    <row r="5774" spans="1:13" s="360" customFormat="1" x14ac:dyDescent="0.25">
      <c r="A5774" s="367" t="s">
        <v>17</v>
      </c>
      <c r="B5774" s="267">
        <v>44133</v>
      </c>
      <c r="C5774" s="1">
        <v>813</v>
      </c>
      <c r="D5774" s="39">
        <f t="shared" si="777"/>
        <v>45860</v>
      </c>
      <c r="E5774" s="1">
        <f>13+3</f>
        <v>16</v>
      </c>
      <c r="F5774" s="409">
        <f t="shared" si="772"/>
        <v>756</v>
      </c>
      <c r="G5774" s="168">
        <f>SUM(C5774,C5750,C5726,C5702,C5678,C5654,C5630,C5606,C5582,C5558,C5534,C5510,C5486,C5462)/POBLA!$B$13*100000</f>
        <v>543.97795751274407</v>
      </c>
      <c r="H5774" s="256">
        <f t="shared" si="775"/>
        <v>1.1787697332607512</v>
      </c>
      <c r="I5774" s="297">
        <f t="shared" si="778"/>
        <v>641.2247518770256</v>
      </c>
      <c r="J5774" s="297">
        <f t="shared" si="779"/>
        <v>707.85714285714289</v>
      </c>
      <c r="K5774" s="297">
        <f>J5774/POBLA!$B$13*100000</f>
        <v>35.56467006393602</v>
      </c>
      <c r="L5774" s="549">
        <f t="shared" si="776"/>
        <v>0.15616485013623982</v>
      </c>
      <c r="M5774" s="401">
        <f>SUM(C5774,C5750,C5726,C5702,C5678,C5654,C5630)/POBLA!$B$13*100000</f>
        <v>248.9526904475521</v>
      </c>
    </row>
    <row r="5775" spans="1:13" s="360" customFormat="1" x14ac:dyDescent="0.25">
      <c r="A5775" s="367" t="s">
        <v>23</v>
      </c>
      <c r="B5775" s="267">
        <v>44133</v>
      </c>
      <c r="C5775" s="1">
        <v>11</v>
      </c>
      <c r="D5775" s="39">
        <f t="shared" si="777"/>
        <v>260</v>
      </c>
      <c r="E5775" s="1"/>
      <c r="F5775" s="409">
        <f t="shared" si="772"/>
        <v>5</v>
      </c>
      <c r="G5775" s="168">
        <f>SUM(C5775,C5751,C5727,C5703,C5679,C5655,C5631,C5607,C5583,C5559,C5535,C5511,C5487,C5463)/POBLA!$B$14*100000</f>
        <v>4.6777357222027538</v>
      </c>
      <c r="H5775" s="256">
        <f t="shared" si="775"/>
        <v>0.55140186915887845</v>
      </c>
      <c r="I5775" s="297">
        <f t="shared" si="778"/>
        <v>2.5793122206538546</v>
      </c>
      <c r="J5775" s="297">
        <f t="shared" si="779"/>
        <v>7.5714285714285712</v>
      </c>
      <c r="K5775" s="297">
        <f>J5775/POBLA!$B$14*100000</f>
        <v>0.60029054062166087</v>
      </c>
      <c r="L5775" s="549">
        <f t="shared" si="776"/>
        <v>-7.8333333333333339</v>
      </c>
      <c r="M5775" s="401">
        <f>SUM(C5775,C5751,C5727,C5703,C5679,C5655,C5631)/POBLA!$B$14*100000</f>
        <v>4.2020337843516256</v>
      </c>
    </row>
    <row r="5776" spans="1:13" s="360" customFormat="1" x14ac:dyDescent="0.25">
      <c r="A5776" s="367" t="s">
        <v>19</v>
      </c>
      <c r="B5776" s="267">
        <v>44133</v>
      </c>
      <c r="C5776" s="1">
        <v>499</v>
      </c>
      <c r="D5776" s="39">
        <f t="shared" si="777"/>
        <v>21075</v>
      </c>
      <c r="E5776" s="1">
        <f>2</f>
        <v>2</v>
      </c>
      <c r="F5776" s="409">
        <f t="shared" si="772"/>
        <v>385</v>
      </c>
      <c r="G5776" s="168">
        <f>SUM(C5776,C5752,C5728,C5704,C5680,C5656,C5632,C5608,C5584,C5560,C5536,C5512,C5488,C5464)/POBLA!$B$15*100000</f>
        <v>1154.5695625526123</v>
      </c>
      <c r="H5776" s="256">
        <f t="shared" si="775"/>
        <v>1.4387314693188216</v>
      </c>
      <c r="I5776" s="297">
        <f t="shared" si="778"/>
        <v>1661.1155631621089</v>
      </c>
      <c r="J5776" s="297">
        <f t="shared" si="779"/>
        <v>410.42857142857144</v>
      </c>
      <c r="K5776" s="297">
        <f>J5776/POBLA!$B$15*100000</f>
        <v>61.806226186693529</v>
      </c>
      <c r="L5776" s="549">
        <f t="shared" si="776"/>
        <v>0.400709219858156</v>
      </c>
      <c r="M5776" s="401">
        <f>SUM(C5776,C5752,C5728,C5704,C5680,C5656,C5632)/POBLA!$B$15*100000</f>
        <v>432.64358330685462</v>
      </c>
    </row>
    <row r="5777" spans="1:13" s="360" customFormat="1" x14ac:dyDescent="0.25">
      <c r="A5777" s="367" t="s">
        <v>18</v>
      </c>
      <c r="B5777" s="267">
        <v>44133</v>
      </c>
      <c r="C5777" s="1">
        <v>451</v>
      </c>
      <c r="D5777" s="39">
        <v>23450</v>
      </c>
      <c r="E5777" s="1">
        <f>7+6</f>
        <v>13</v>
      </c>
      <c r="F5777" s="409">
        <f t="shared" si="772"/>
        <v>604</v>
      </c>
      <c r="G5777" s="168">
        <f>SUM(C5777,C5753,C5729,C5705,C5681,C5657,C5633,C5609,C5585,C5561,C5537,C5513,C5489,C5465)/POBLA!$B$16*100000</f>
        <v>722.97053276440931</v>
      </c>
      <c r="H5777" s="256">
        <f t="shared" si="775"/>
        <v>1.1032863849765258</v>
      </c>
      <c r="I5777" s="297">
        <f t="shared" si="778"/>
        <v>797.64354553819805</v>
      </c>
      <c r="J5777" s="297">
        <f t="shared" si="779"/>
        <v>370.28571428571428</v>
      </c>
      <c r="K5777" s="297">
        <f>J5777/POBLA!$B$16*100000</f>
        <v>49.529261819092078</v>
      </c>
      <c r="L5777" s="549">
        <f t="shared" si="776"/>
        <v>7.8563810878066076E-2</v>
      </c>
      <c r="M5777" s="401">
        <f>SUM(C5777,C5753,C5729,C5705,C5681,C5657,C5633)/POBLA!$B$16*100000</f>
        <v>346.70483273364454</v>
      </c>
    </row>
    <row r="5778" spans="1:13" s="360" customFormat="1" x14ac:dyDescent="0.25">
      <c r="A5778" s="367" t="s">
        <v>34</v>
      </c>
      <c r="B5778" s="267">
        <v>44133</v>
      </c>
      <c r="C5778" s="1">
        <v>157</v>
      </c>
      <c r="D5778" s="39">
        <v>18409</v>
      </c>
      <c r="E5778" s="1">
        <v>11</v>
      </c>
      <c r="F5778" s="409">
        <f t="shared" si="772"/>
        <v>762</v>
      </c>
      <c r="G5778" s="168">
        <f>SUM(C5778,C5754,C5730,C5706,C5682,C5658,C5634,C5610,C5586,C5562,C5538,C5514,C5490,C5466)/POBLA!$B$17*100000</f>
        <v>185.7628175291018</v>
      </c>
      <c r="H5778" s="256">
        <f t="shared" si="775"/>
        <v>0.81742354031510656</v>
      </c>
      <c r="I5778" s="297">
        <f t="shared" si="778"/>
        <v>151.84689996354751</v>
      </c>
      <c r="J5778" s="297">
        <f t="shared" si="779"/>
        <v>171.85714285714286</v>
      </c>
      <c r="K5778" s="297">
        <f>J5778/POBLA!$B$17*100000</f>
        <v>12.065255884219278</v>
      </c>
      <c r="L5778" s="549">
        <f t="shared" si="776"/>
        <v>0.16632016632016633</v>
      </c>
      <c r="M5778" s="401">
        <f>SUM(C5778,C5754,C5730,C5706,C5682,C5658,C5634)/POBLA!$B$17*100000</f>
        <v>84.45679118953494</v>
      </c>
    </row>
    <row r="5779" spans="1:13" s="360" customFormat="1" x14ac:dyDescent="0.25">
      <c r="A5779" s="367" t="s">
        <v>35</v>
      </c>
      <c r="B5779" s="267">
        <v>44133</v>
      </c>
      <c r="C5779" s="1">
        <v>297</v>
      </c>
      <c r="D5779" s="39">
        <f t="shared" si="777"/>
        <v>1877</v>
      </c>
      <c r="E5779" s="1">
        <f>1</f>
        <v>1</v>
      </c>
      <c r="F5779" s="409">
        <f t="shared" si="772"/>
        <v>84</v>
      </c>
      <c r="G5779" s="168">
        <f>SUM(C5779,C5755,C5731,C5707,C5683,C5659,C5635,C5611,C5587,C5563,C5539,C5515,C5491,C5467)/POBLA!$B$18*100000</f>
        <v>76.931249575982079</v>
      </c>
      <c r="H5779" s="256">
        <f t="shared" si="775"/>
        <v>1.1447619047619049</v>
      </c>
      <c r="I5779" s="297">
        <f t="shared" si="778"/>
        <v>88.067963800314729</v>
      </c>
      <c r="J5779" s="297">
        <f t="shared" si="779"/>
        <v>79.285714285714292</v>
      </c>
      <c r="K5779" s="297">
        <f>J5779/POBLA!$B$18*100000</f>
        <v>10.149000122336597</v>
      </c>
      <c r="L5779" s="549">
        <f t="shared" si="776"/>
        <v>-11.065217391304348</v>
      </c>
      <c r="M5779" s="401">
        <f>SUM(C5779,C5755,C5731,C5707,C5683,C5659,C5635)/POBLA!$B$18*100000</f>
        <v>71.043000856356173</v>
      </c>
    </row>
    <row r="5780" spans="1:13" s="360" customFormat="1" x14ac:dyDescent="0.25">
      <c r="A5780" s="367" t="s">
        <v>36</v>
      </c>
      <c r="B5780" s="267">
        <v>44133</v>
      </c>
      <c r="C5780" s="1">
        <v>314</v>
      </c>
      <c r="D5780" s="39">
        <v>6556</v>
      </c>
      <c r="E5780" s="1">
        <f>1</f>
        <v>1</v>
      </c>
      <c r="F5780" s="409">
        <f t="shared" si="772"/>
        <v>54</v>
      </c>
      <c r="G5780" s="168">
        <f>SUM(C5780,C5756,C5732,C5708,C5684,C5660,C5636,C5612,C5588,C5564,C5540,C5516,C5492,C5468)/POBLA!$B$19*100000</f>
        <v>759.35222926929077</v>
      </c>
      <c r="H5780" s="256">
        <f t="shared" si="775"/>
        <v>3.4433541480820695</v>
      </c>
      <c r="I5780" s="297">
        <f t="shared" si="778"/>
        <v>2614.7186485097791</v>
      </c>
      <c r="J5780" s="297">
        <f t="shared" si="779"/>
        <v>257.14285714285717</v>
      </c>
      <c r="K5780" s="297">
        <f>J5780/POBLA!$B$19*100000</f>
        <v>50.586010832151125</v>
      </c>
      <c r="L5780" s="549">
        <f t="shared" si="776"/>
        <v>0.12621359223300976</v>
      </c>
      <c r="M5780" s="401">
        <f>SUM(C5780,C5756,C5732,C5708,C5684,C5660,C5636)/POBLA!$B$19*100000</f>
        <v>354.10207582505785</v>
      </c>
    </row>
    <row r="5781" spans="1:13" s="360" customFormat="1" x14ac:dyDescent="0.25">
      <c r="A5781" s="367" t="s">
        <v>37</v>
      </c>
      <c r="B5781" s="267">
        <v>44133</v>
      </c>
      <c r="C5781" s="1">
        <v>250</v>
      </c>
      <c r="D5781" s="39">
        <f t="shared" si="777"/>
        <v>9135</v>
      </c>
      <c r="E5781" s="1">
        <f>6+5</f>
        <v>11</v>
      </c>
      <c r="F5781" s="409">
        <f t="shared" si="772"/>
        <v>128</v>
      </c>
      <c r="G5781" s="168">
        <f>SUM(C5781,C5757,C5733,C5709,C5685,C5661,C5637,C5613,C5589,C5565,C5541,C5517,C5493,C5469)/POBLA!$B$20*100000</f>
        <v>629.75460625980998</v>
      </c>
      <c r="H5781" s="256">
        <f t="shared" si="775"/>
        <v>1.2475622968580715</v>
      </c>
      <c r="I5781" s="297">
        <f t="shared" si="778"/>
        <v>785.65810304243905</v>
      </c>
      <c r="J5781" s="297">
        <f t="shared" si="779"/>
        <v>168.57142857142858</v>
      </c>
      <c r="K5781" s="297">
        <f>J5781/POBLA!$B$20*100000</f>
        <v>46.095802703714156</v>
      </c>
      <c r="L5781" s="549">
        <f t="shared" si="776"/>
        <v>-5.0756901157613443E-2</v>
      </c>
      <c r="M5781" s="401">
        <f>SUM(C5781,C5757,C5733,C5709,C5685,C5661,C5637)/POBLA!$B$20*100000</f>
        <v>322.67061892599907</v>
      </c>
    </row>
    <row r="5782" spans="1:13" s="360" customFormat="1" x14ac:dyDescent="0.25">
      <c r="A5782" s="367" t="s">
        <v>22</v>
      </c>
      <c r="B5782" s="267">
        <v>44133</v>
      </c>
      <c r="C5782" s="1">
        <v>2013</v>
      </c>
      <c r="D5782" s="39">
        <v>102490</v>
      </c>
      <c r="E5782" s="1">
        <f>42+24</f>
        <v>66</v>
      </c>
      <c r="F5782" s="409">
        <f t="shared" si="772"/>
        <v>1232</v>
      </c>
      <c r="G5782" s="168">
        <f>SUM(C5782,C5758,C5734,C5710,C5686,C5662,C5638,C5614,C5590,C5566,C5542,C5518,C5494,C5470)/POBLA!$B$21*100000</f>
        <v>861.40835161454334</v>
      </c>
      <c r="H5782" s="256">
        <f t="shared" si="775"/>
        <v>1.1054541495808687</v>
      </c>
      <c r="I5782" s="297">
        <f t="shared" si="778"/>
        <v>952.247436775913</v>
      </c>
      <c r="J5782" s="297">
        <f t="shared" si="779"/>
        <v>1976.1428571428571</v>
      </c>
      <c r="K5782" s="297">
        <f>J5782/POBLA!$B$21*100000</f>
        <v>55.879787319905539</v>
      </c>
      <c r="L5782" s="549">
        <f t="shared" si="776"/>
        <v>0.16819001803968736</v>
      </c>
      <c r="M5782" s="401">
        <f>SUM(C5782,C5758,C5734,C5710,C5686,C5662,C5638)/POBLA!$B$21*100000</f>
        <v>391.15851123933874</v>
      </c>
    </row>
    <row r="5783" spans="1:13" s="360" customFormat="1" x14ac:dyDescent="0.25">
      <c r="A5783" s="367" t="s">
        <v>38</v>
      </c>
      <c r="B5783" s="267">
        <v>44133</v>
      </c>
      <c r="C5783" s="1">
        <v>308</v>
      </c>
      <c r="D5783" s="39">
        <v>9369</v>
      </c>
      <c r="E5783" s="1">
        <f>1</f>
        <v>1</v>
      </c>
      <c r="F5783" s="409">
        <f t="shared" si="772"/>
        <v>121</v>
      </c>
      <c r="G5783" s="168">
        <f>SUM(C5783,C5759,C5735,C5711,C5687,C5663,C5639,C5615,C5591,C5567,C5543,C5519,C5495,C5471)/POBLA!$B$22*100000</f>
        <v>347.12816859226035</v>
      </c>
      <c r="H5783" s="256">
        <f t="shared" si="775"/>
        <v>1.398682042833608</v>
      </c>
      <c r="I5783" s="297">
        <f t="shared" si="778"/>
        <v>485.5219359717118</v>
      </c>
      <c r="J5783" s="297">
        <f t="shared" si="779"/>
        <v>267.57142857142856</v>
      </c>
      <c r="K5783" s="297">
        <f>J5783/POBLA!$B$22*100000</f>
        <v>27.350288565257596</v>
      </c>
      <c r="L5783" s="549">
        <f t="shared" si="776"/>
        <v>-0.22980958634274451</v>
      </c>
      <c r="M5783" s="401">
        <f>SUM(C5783,C5759,C5735,C5711,C5687,C5663,C5639)/POBLA!$B$22*100000</f>
        <v>191.45201995680318</v>
      </c>
    </row>
    <row r="5784" spans="1:13" s="360" customFormat="1" x14ac:dyDescent="0.25">
      <c r="A5784" s="367" t="s">
        <v>39</v>
      </c>
      <c r="B5784" s="267">
        <v>44133</v>
      </c>
      <c r="C5784" s="1">
        <v>204</v>
      </c>
      <c r="D5784" s="39">
        <f t="shared" si="777"/>
        <v>11028</v>
      </c>
      <c r="E5784" s="1">
        <f>3+1</f>
        <v>4</v>
      </c>
      <c r="F5784" s="409">
        <f t="shared" si="772"/>
        <v>145</v>
      </c>
      <c r="G5784" s="168">
        <f>SUM(C5784,C5760,C5736,C5712,C5688,C5664,C5640,C5616,C5592,C5568,C5544,C5520,C5496,C5472)/POBLA!$B$23*100000</f>
        <v>1994.0055420460328</v>
      </c>
      <c r="H5784" s="256">
        <f t="shared" si="775"/>
        <v>1.1852100840336135</v>
      </c>
      <c r="I5784" s="297">
        <f t="shared" si="778"/>
        <v>2363.3154760518696</v>
      </c>
      <c r="J5784" s="297">
        <f t="shared" si="779"/>
        <v>269.71428571428572</v>
      </c>
      <c r="K5784" s="297">
        <f>J5784/POBLA!$B$23*100000</f>
        <v>152.52744766967467</v>
      </c>
      <c r="L5784" s="549">
        <f t="shared" si="776"/>
        <v>-0.15262515262515253</v>
      </c>
      <c r="M5784" s="401">
        <f>SUM(C5784,C5760,C5736,C5712,C5688,C5664,C5640)/POBLA!$B$23*100000</f>
        <v>1067.6921336877226</v>
      </c>
    </row>
    <row r="5785" spans="1:13" s="360" customFormat="1" ht="15.75" thickBot="1" x14ac:dyDescent="0.3">
      <c r="A5785" s="369" t="s">
        <v>40</v>
      </c>
      <c r="B5785" s="267">
        <v>44133</v>
      </c>
      <c r="C5785" s="1">
        <v>1089</v>
      </c>
      <c r="D5785" s="39">
        <f>C5785+D5761</f>
        <v>47783</v>
      </c>
      <c r="E5785" s="1">
        <f>10+5</f>
        <v>15</v>
      </c>
      <c r="F5785" s="477">
        <f t="shared" si="772"/>
        <v>748</v>
      </c>
      <c r="G5785" s="177">
        <f>SUM(C5785,C5761,C5737,C5713,C5689,C5665,C5641,C5617,C5593,C5569,C5545,C5521,C5497,C5473)/POBLA!$B$24*100000</f>
        <v>959.19171796517992</v>
      </c>
      <c r="H5785" s="402">
        <f t="shared" si="775"/>
        <v>1.017081716931548</v>
      </c>
      <c r="I5785" s="403">
        <f t="shared" si="778"/>
        <v>975.57635937454643</v>
      </c>
      <c r="J5785" s="403">
        <f t="shared" si="779"/>
        <v>1028.8571428571429</v>
      </c>
      <c r="K5785" s="403">
        <f>J5785/POBLA!$B$24*100000</f>
        <v>60.711857914358013</v>
      </c>
      <c r="L5785" s="550">
        <f t="shared" si="776"/>
        <v>0.20446260907986302</v>
      </c>
      <c r="M5785" s="405">
        <f>SUM(C5785,C5761,C5737,C5713,C5689,C5665,C5641)/POBLA!$B$24*100000</f>
        <v>424.98300540050604</v>
      </c>
    </row>
    <row r="5786" spans="1:13" s="360" customFormat="1" x14ac:dyDescent="0.25">
      <c r="A5786" s="374" t="s">
        <v>16</v>
      </c>
      <c r="B5786" s="267">
        <v>44134</v>
      </c>
      <c r="C5786" s="1">
        <v>3830</v>
      </c>
      <c r="D5786" s="262">
        <f t="shared" si="777"/>
        <v>547011</v>
      </c>
      <c r="E5786" s="1">
        <f>70+47</f>
        <v>117</v>
      </c>
      <c r="F5786" s="475">
        <f t="shared" si="772"/>
        <v>17497</v>
      </c>
      <c r="G5786" s="175">
        <f>SUM(C5786,C5762,C5738,C5714,C5690,C5666,C5642,C5618,C5594,C5570,C5546,C5522,C5498,C5474)/POBLA!$B$1*100000</f>
        <v>316.75248491531994</v>
      </c>
      <c r="H5786" s="300">
        <f t="shared" ref="H5786:H5849" si="780">SUM(C5786,C5762,C5738,C5714,C5690,C5666,C5642,C5618,C5594,C5570,C5546,C5522,C5498,C5474)/SUM(C5450,C5426,C5402,C5378,C5354,C5330,C5306,C5282,C5258,C5234,C5210,C5186,C5162,C5138)</f>
        <v>0.88696262950369553</v>
      </c>
      <c r="I5786" s="301">
        <f>G5786*H5786</f>
        <v>280.9476169223218</v>
      </c>
      <c r="J5786" s="301">
        <f>AVERAGE(C5786,C5762,C5738,C5714,C5690,C5666,C5642)</f>
        <v>3555.8571428571427</v>
      </c>
      <c r="K5786" s="301">
        <f>J5786/POBLA!$B$1*100000</f>
        <v>20.271527050932107</v>
      </c>
      <c r="L5786" s="548">
        <f t="shared" ref="L5786:L5849" si="781">1-SUM(C5786,C5762,C5738,C5714,C5690,C5666,C5642)/SUM(C5618,C5594,C5570,C5546,C5522,C5498,C5474)</f>
        <v>0.18845163183463209</v>
      </c>
      <c r="M5786" s="400">
        <f>SUM(C5786,C5762,C5738,C5714,C5690,C5666,C5642)/POBLA!$B$1*100000</f>
        <v>141.90068935652477</v>
      </c>
    </row>
    <row r="5787" spans="1:13" s="360" customFormat="1" x14ac:dyDescent="0.25">
      <c r="A5787" s="367" t="s">
        <v>43</v>
      </c>
      <c r="B5787" s="267">
        <v>44134</v>
      </c>
      <c r="C5787" s="1">
        <v>504</v>
      </c>
      <c r="D5787" s="39">
        <f t="shared" si="777"/>
        <v>146760</v>
      </c>
      <c r="E5787" s="1">
        <f>14+22</f>
        <v>36</v>
      </c>
      <c r="F5787" s="409">
        <f t="shared" si="772"/>
        <v>4737</v>
      </c>
      <c r="G5787" s="168">
        <f>SUM(C5787,C5763,C5739,C5715,C5691,C5667,C5643,C5619,C5595,C5571,C5547,C5523,C5499,C5475)/POBLA!$B$2*100000</f>
        <v>257.40933774563132</v>
      </c>
      <c r="H5787" s="256">
        <f t="shared" si="780"/>
        <v>0.72613042281940754</v>
      </c>
      <c r="I5787" s="297">
        <f t="shared" ref="I5787:I5809" si="782">G5787*H5787</f>
        <v>186.91275125489895</v>
      </c>
      <c r="J5787" s="297">
        <f t="shared" ref="J5787:J5809" si="783">AVERAGE(C5787,C5763,C5739,C5715,C5691,C5667,C5643)</f>
        <v>525.57142857142856</v>
      </c>
      <c r="K5787" s="297">
        <f>J5787/POBLA!$B$2*100000</f>
        <v>17.088163870986079</v>
      </c>
      <c r="L5787" s="549">
        <f t="shared" si="781"/>
        <v>0.13190184049079756</v>
      </c>
      <c r="M5787" s="401">
        <f>SUM(C5787,C5763,C5739,C5715,C5691,C5667,C5643)/POBLA!$B$2*100000</f>
        <v>119.61714709690257</v>
      </c>
    </row>
    <row r="5788" spans="1:13" s="360" customFormat="1" x14ac:dyDescent="0.25">
      <c r="A5788" s="367" t="s">
        <v>28</v>
      </c>
      <c r="B5788" s="267">
        <v>44134</v>
      </c>
      <c r="C5788" s="1">
        <v>83</v>
      </c>
      <c r="D5788" s="39">
        <f t="shared" si="777"/>
        <v>819</v>
      </c>
      <c r="E5788" s="1"/>
      <c r="F5788" s="409">
        <f t="shared" si="772"/>
        <v>0</v>
      </c>
      <c r="G5788" s="168">
        <f>SUM(C5788,C5764,C5740,C5716,C5692,C5668,C5644,C5620,C5596,C5572,C5548,C5524,C5500,C5476)/POBLA!$B$3*100000</f>
        <v>93.876823978547947</v>
      </c>
      <c r="H5788" s="256">
        <f t="shared" si="780"/>
        <v>3</v>
      </c>
      <c r="I5788" s="297">
        <f t="shared" si="782"/>
        <v>281.63047193564387</v>
      </c>
      <c r="J5788" s="297">
        <f t="shared" si="783"/>
        <v>36.571428571428569</v>
      </c>
      <c r="K5788" s="297">
        <f>J5788/POBLA!$B$3*100000</f>
        <v>8.803101442677022</v>
      </c>
      <c r="L5788" s="549">
        <f t="shared" si="781"/>
        <v>-0.91044776119402981</v>
      </c>
      <c r="M5788" s="401">
        <f>SUM(C5788,C5764,C5740,C5716,C5692,C5668,C5644)/POBLA!$B$3*100000</f>
        <v>61.621710098739158</v>
      </c>
    </row>
    <row r="5789" spans="1:13" s="360" customFormat="1" x14ac:dyDescent="0.25">
      <c r="A5789" s="367" t="s">
        <v>15</v>
      </c>
      <c r="B5789" s="267">
        <v>44134</v>
      </c>
      <c r="C5789" s="1">
        <v>203</v>
      </c>
      <c r="D5789" s="39">
        <f t="shared" si="777"/>
        <v>13913</v>
      </c>
      <c r="E5789" s="1">
        <f>1</f>
        <v>1</v>
      </c>
      <c r="F5789" s="409">
        <f t="shared" si="772"/>
        <v>424</v>
      </c>
      <c r="G5789" s="168">
        <f>SUM(C5789,C5765,C5741,C5717,C5693,C5669,C5645,C5621,C5597,C5573,C5549,C5525,C5501,C5477)/POBLA!$B$4*100000</f>
        <v>219.91779441297558</v>
      </c>
      <c r="H5789" s="256">
        <f t="shared" si="780"/>
        <v>1.1413183972425678</v>
      </c>
      <c r="I5789" s="297">
        <f t="shared" si="782"/>
        <v>250.99622464453782</v>
      </c>
      <c r="J5789" s="297">
        <f t="shared" si="783"/>
        <v>161.71428571428572</v>
      </c>
      <c r="K5789" s="297">
        <f>J5789/POBLA!$B$4*100000</f>
        <v>13.425386575823133</v>
      </c>
      <c r="L5789" s="549">
        <f t="shared" si="781"/>
        <v>0.25379037574159524</v>
      </c>
      <c r="M5789" s="401">
        <f>SUM(C5789,C5765,C5741,C5717,C5693,C5669,C5645)/POBLA!$B$4*100000</f>
        <v>93.977706030761922</v>
      </c>
    </row>
    <row r="5790" spans="1:13" s="360" customFormat="1" x14ac:dyDescent="0.25">
      <c r="A5790" s="367" t="s">
        <v>29</v>
      </c>
      <c r="B5790" s="267">
        <v>44134</v>
      </c>
      <c r="C5790" s="1">
        <v>309</v>
      </c>
      <c r="D5790" s="39">
        <f t="shared" si="777"/>
        <v>14187</v>
      </c>
      <c r="E5790" s="1">
        <f>1+1</f>
        <v>2</v>
      </c>
      <c r="F5790" s="409">
        <f t="shared" si="772"/>
        <v>246</v>
      </c>
      <c r="G5790" s="168">
        <f>SUM(C5790,C5766,C5742,C5718,C5694,C5670,C5646,C5622,C5598,C5574,C5550,C5526,C5502,C5478)/POBLA!$B$5*100000</f>
        <v>909.54031864606122</v>
      </c>
      <c r="H5790" s="256">
        <f t="shared" si="780"/>
        <v>1.3404761904761904</v>
      </c>
      <c r="I5790" s="297">
        <f t="shared" si="782"/>
        <v>1219.2171414231725</v>
      </c>
      <c r="J5790" s="297">
        <f t="shared" si="783"/>
        <v>369.42857142857144</v>
      </c>
      <c r="K5790" s="297">
        <f>J5790/POBLA!$B$5*100000</f>
        <v>59.682092464316526</v>
      </c>
      <c r="L5790" s="549">
        <f t="shared" si="781"/>
        <v>0.15045992115637319</v>
      </c>
      <c r="M5790" s="401">
        <f>SUM(C5790,C5766,C5742,C5718,C5694,C5670,C5646)/POBLA!$B$5*100000</f>
        <v>417.77464725021565</v>
      </c>
    </row>
    <row r="5791" spans="1:13" s="360" customFormat="1" x14ac:dyDescent="0.25">
      <c r="A5791" s="367" t="s">
        <v>20</v>
      </c>
      <c r="B5791" s="267">
        <v>44134</v>
      </c>
      <c r="C5791" s="1">
        <v>1601</v>
      </c>
      <c r="D5791" s="39">
        <f t="shared" si="777"/>
        <v>83991</v>
      </c>
      <c r="E5791" s="1">
        <f>15+12</f>
        <v>27</v>
      </c>
      <c r="F5791" s="409">
        <f t="shared" si="772"/>
        <v>1270</v>
      </c>
      <c r="G5791" s="168">
        <f>SUM(C5791,C5767,C5743,C5719,C5695,C5671,C5647,C5623,C5599,C5575,C5551,C5527,C5503,C5479)/POBLA!$B$6*100000</f>
        <v>2155.8688830577421</v>
      </c>
      <c r="H5791" s="256">
        <f t="shared" si="780"/>
        <v>1.1041904674861764</v>
      </c>
      <c r="I5791" s="297">
        <f t="shared" si="782"/>
        <v>2380.4898698224292</v>
      </c>
      <c r="J5791" s="297">
        <f t="shared" si="783"/>
        <v>1604.7142857142858</v>
      </c>
      <c r="K5791" s="297">
        <f>J5791/POBLA!$B$6*100000</f>
        <v>143.17566505689106</v>
      </c>
      <c r="L5791" s="549">
        <f t="shared" si="781"/>
        <v>0.13124516627996907</v>
      </c>
      <c r="M5791" s="401">
        <f>SUM(C5791,C5767,C5743,C5719,C5695,C5671,C5647)/POBLA!$B$6*100000</f>
        <v>1002.2296553982376</v>
      </c>
    </row>
    <row r="5792" spans="1:13" s="360" customFormat="1" x14ac:dyDescent="0.25">
      <c r="A5792" s="367" t="s">
        <v>30</v>
      </c>
      <c r="B5792" s="267">
        <v>44134</v>
      </c>
      <c r="C5792" s="1">
        <v>9</v>
      </c>
      <c r="D5792" s="39">
        <f t="shared" si="777"/>
        <v>2539</v>
      </c>
      <c r="E5792" s="1"/>
      <c r="F5792" s="409">
        <f t="shared" si="772"/>
        <v>47</v>
      </c>
      <c r="G5792" s="168">
        <f>SUM(C5792,C5768,C5744,C5720,C5696,C5672,C5648,C5624,C5600,C5576,C5552,C5528,C5504,C5480)/POBLA!$B$7*100000</f>
        <v>16.061907484476592</v>
      </c>
      <c r="H5792" s="256">
        <f t="shared" si="780"/>
        <v>0.78645833333333337</v>
      </c>
      <c r="I5792" s="297">
        <f t="shared" si="782"/>
        <v>12.632020990395654</v>
      </c>
      <c r="J5792" s="297">
        <f t="shared" si="783"/>
        <v>48.428571428571431</v>
      </c>
      <c r="K5792" s="297">
        <f>J5792/POBLA!$B$7*100000</f>
        <v>1.2878397912103985</v>
      </c>
      <c r="L5792" s="549">
        <f t="shared" si="781"/>
        <v>-0.27924528301886786</v>
      </c>
      <c r="M5792" s="401">
        <f>SUM(C5792,C5768,C5744,C5720,C5696,C5672,C5648)/POBLA!$B$7*100000</f>
        <v>9.0148785384727894</v>
      </c>
    </row>
    <row r="5793" spans="1:13" x14ac:dyDescent="0.25">
      <c r="A5793" s="367" t="s">
        <v>31</v>
      </c>
      <c r="B5793" s="267">
        <v>44134</v>
      </c>
      <c r="C5793" s="1">
        <v>343</v>
      </c>
      <c r="D5793" s="39">
        <f t="shared" si="777"/>
        <v>15733</v>
      </c>
      <c r="E5793" s="1">
        <f>2+3</f>
        <v>5</v>
      </c>
      <c r="F5793" s="409">
        <f t="shared" si="772"/>
        <v>276</v>
      </c>
      <c r="G5793" s="168">
        <f>SUM(C5793,C5769,C5745,C5721,C5697,C5673,C5649,C5625,C5601,C5577,C5553,C5529,C5505,C5481)/POBLA!$B$8*100000</f>
        <v>355.56556064708889</v>
      </c>
      <c r="H5793" s="256">
        <f t="shared" si="780"/>
        <v>1.6631792102598717</v>
      </c>
      <c r="I5793" s="297">
        <f t="shared" si="782"/>
        <v>591.3692483526338</v>
      </c>
      <c r="J5793" s="297">
        <f t="shared" si="783"/>
        <v>329.14285714285717</v>
      </c>
      <c r="K5793" s="297">
        <f>J5793/POBLA!$B$8*100000</f>
        <v>23.748349134128389</v>
      </c>
      <c r="L5793" s="549">
        <f t="shared" si="781"/>
        <v>0.12195121951219512</v>
      </c>
      <c r="M5793" s="401">
        <f>SUM(C5793,C5769,C5745,C5721,C5697,C5673,C5649)/POBLA!$B$8*100000</f>
        <v>166.23844393889871</v>
      </c>
    </row>
    <row r="5794" spans="1:13" s="360" customFormat="1" x14ac:dyDescent="0.25">
      <c r="A5794" s="367" t="s">
        <v>41</v>
      </c>
      <c r="B5794" s="267">
        <v>44134</v>
      </c>
      <c r="C5794" s="1">
        <v>-1</v>
      </c>
      <c r="D5794" s="39">
        <f t="shared" si="777"/>
        <v>149</v>
      </c>
      <c r="E5794" s="1"/>
      <c r="F5794" s="409">
        <f t="shared" si="772"/>
        <v>1</v>
      </c>
      <c r="G5794" s="168">
        <f>SUM(C5794,C5770,C5746,C5722,C5698,C5674,C5650,C5626,C5602,C5578,C5554,C5530,C5506,C5482)/POBLA!$B$9*100000</f>
        <v>1.6523654437510016</v>
      </c>
      <c r="H5794" s="256">
        <f t="shared" si="780"/>
        <v>0.30303030303030304</v>
      </c>
      <c r="I5794" s="297">
        <f t="shared" si="782"/>
        <v>0.50071680113666717</v>
      </c>
      <c r="J5794" s="297">
        <f t="shared" si="783"/>
        <v>1</v>
      </c>
      <c r="K5794" s="297">
        <f>J5794/POBLA!$B$9*100000</f>
        <v>0.16523654437510019</v>
      </c>
      <c r="L5794" s="549">
        <f t="shared" si="781"/>
        <v>-1.3333333333333335</v>
      </c>
      <c r="M5794" s="401">
        <f>SUM(C5794,C5770,C5746,C5722,C5698,C5674,C5650)/POBLA!$B$9*100000</f>
        <v>1.1566558106257012</v>
      </c>
    </row>
    <row r="5795" spans="1:13" s="360" customFormat="1" x14ac:dyDescent="0.25">
      <c r="A5795" s="367" t="s">
        <v>32</v>
      </c>
      <c r="B5795" s="267">
        <v>44134</v>
      </c>
      <c r="C5795" s="1">
        <v>37</v>
      </c>
      <c r="D5795" s="39">
        <f t="shared" si="777"/>
        <v>17823</v>
      </c>
      <c r="E5795" s="1">
        <f>1+3</f>
        <v>4</v>
      </c>
      <c r="F5795" s="409">
        <f t="shared" si="772"/>
        <v>807</v>
      </c>
      <c r="G5795" s="168">
        <f>SUM(C5795,C5771,C5747,C5723,C5699,C5675,C5651,C5627,C5603,C5579,C5555,C5531,C5507,C5483)/POBLA!$B$10*100000</f>
        <v>91.194360737908966</v>
      </c>
      <c r="H5795" s="256">
        <f t="shared" si="780"/>
        <v>0.60655737704918034</v>
      </c>
      <c r="I5795" s="297">
        <f t="shared" si="782"/>
        <v>55.314612250862815</v>
      </c>
      <c r="J5795" s="297">
        <f t="shared" si="783"/>
        <v>43.714285714285715</v>
      </c>
      <c r="K5795" s="297">
        <f>J5795/POBLA!$B$10*100000</f>
        <v>5.6706918077220365</v>
      </c>
      <c r="L5795" s="549">
        <f t="shared" si="781"/>
        <v>0.22921914357682616</v>
      </c>
      <c r="M5795" s="401">
        <f>SUM(C5795,C5771,C5747,C5723,C5699,C5675,C5651)/POBLA!$B$10*100000</f>
        <v>39.694842654054256</v>
      </c>
    </row>
    <row r="5796" spans="1:13" s="360" customFormat="1" x14ac:dyDescent="0.25">
      <c r="A5796" s="367" t="s">
        <v>33</v>
      </c>
      <c r="B5796" s="267">
        <v>44134</v>
      </c>
      <c r="C5796" s="1">
        <v>129</v>
      </c>
      <c r="D5796" s="39">
        <f t="shared" si="777"/>
        <v>3189</v>
      </c>
      <c r="E5796" s="1"/>
      <c r="F5796" s="409">
        <f t="shared" si="772"/>
        <v>32</v>
      </c>
      <c r="G5796" s="168">
        <f>SUM(C5796,C5772,C5748,C5724,C5700,C5676,C5652,C5628,C5604,C5580,C5556,C5532,C5508,C5484)/POBLA!$B$11*100000</f>
        <v>489.08009418907005</v>
      </c>
      <c r="H5796" s="256">
        <f t="shared" si="780"/>
        <v>2.7737341772151898</v>
      </c>
      <c r="I5796" s="297">
        <f t="shared" si="782"/>
        <v>1356.5781726478479</v>
      </c>
      <c r="J5796" s="297">
        <f t="shared" si="783"/>
        <v>132.85714285714286</v>
      </c>
      <c r="K5796" s="297">
        <f>J5796/POBLA!$B$11*100000</f>
        <v>37.06661947647585</v>
      </c>
      <c r="L5796" s="549">
        <f t="shared" si="781"/>
        <v>-0.13001215066828675</v>
      </c>
      <c r="M5796" s="401">
        <f>SUM(C5796,C5772,C5748,C5724,C5700,C5676,C5652)/POBLA!$B$11*100000</f>
        <v>259.46633633533094</v>
      </c>
    </row>
    <row r="5797" spans="1:13" s="360" customFormat="1" x14ac:dyDescent="0.25">
      <c r="A5797" s="367" t="s">
        <v>21</v>
      </c>
      <c r="B5797" s="267">
        <v>44134</v>
      </c>
      <c r="C5797" s="1">
        <v>73</v>
      </c>
      <c r="D5797" s="39">
        <f t="shared" si="777"/>
        <v>7514</v>
      </c>
      <c r="E5797" s="1">
        <f>3+3</f>
        <v>6</v>
      </c>
      <c r="F5797" s="409">
        <f t="shared" si="772"/>
        <v>270</v>
      </c>
      <c r="G5797" s="168">
        <f>SUM(C5797,C5773,C5749,C5725,C5701,C5677,C5653,C5629,C5605,C5581,C5557,C5533,C5509,C5485)/POBLA!$B$12*100000</f>
        <v>302.64451847503756</v>
      </c>
      <c r="H5797" s="256">
        <f t="shared" si="780"/>
        <v>0.89481592787377906</v>
      </c>
      <c r="I5797" s="297">
        <f t="shared" si="782"/>
        <v>270.81113561515377</v>
      </c>
      <c r="J5797" s="297">
        <f t="shared" si="783"/>
        <v>77.714285714285708</v>
      </c>
      <c r="K5797" s="297">
        <f>J5797/POBLA!$B$12*100000</f>
        <v>19.747945070219554</v>
      </c>
      <c r="L5797" s="549">
        <f t="shared" si="781"/>
        <v>0.15919629057187012</v>
      </c>
      <c r="M5797" s="401">
        <f>SUM(C5797,C5773,C5749,C5725,C5701,C5677,C5653)/POBLA!$B$12*100000</f>
        <v>138.23561549153689</v>
      </c>
    </row>
    <row r="5798" spans="1:13" s="360" customFormat="1" x14ac:dyDescent="0.25">
      <c r="A5798" s="367" t="s">
        <v>17</v>
      </c>
      <c r="B5798" s="267">
        <v>44134</v>
      </c>
      <c r="C5798" s="1">
        <v>704</v>
      </c>
      <c r="D5798" s="39">
        <f t="shared" si="777"/>
        <v>46564</v>
      </c>
      <c r="E5798" s="1">
        <f>14+3</f>
        <v>17</v>
      </c>
      <c r="F5798" s="409">
        <f t="shared" si="772"/>
        <v>773</v>
      </c>
      <c r="G5798" s="168">
        <f>SUM(C5798,C5774,C5750,C5726,C5702,C5678,C5654,C5630,C5606,C5582,C5558,C5534,C5510,C5486)/POBLA!$B$13*100000</f>
        <v>534.28111205232483</v>
      </c>
      <c r="H5798" s="256">
        <f t="shared" si="780"/>
        <v>1.1406199721119812</v>
      </c>
      <c r="I5798" s="297">
        <f t="shared" si="782"/>
        <v>609.41170712908104</v>
      </c>
      <c r="J5798" s="297">
        <f t="shared" si="783"/>
        <v>689.85714285714289</v>
      </c>
      <c r="K5798" s="297">
        <f>J5798/POBLA!$B$13*100000</f>
        <v>34.660301057264789</v>
      </c>
      <c r="L5798" s="549">
        <f t="shared" si="781"/>
        <v>0.16813092161929366</v>
      </c>
      <c r="M5798" s="401">
        <f>SUM(C5798,C5774,C5750,C5726,C5702,C5678,C5654)/POBLA!$B$13*100000</f>
        <v>242.62210740085351</v>
      </c>
    </row>
    <row r="5799" spans="1:13" s="360" customFormat="1" x14ac:dyDescent="0.25">
      <c r="A5799" s="367" t="s">
        <v>23</v>
      </c>
      <c r="B5799" s="267">
        <v>44134</v>
      </c>
      <c r="C5799" s="1">
        <v>10</v>
      </c>
      <c r="D5799" s="39">
        <f t="shared" si="777"/>
        <v>270</v>
      </c>
      <c r="E5799" s="1"/>
      <c r="F5799" s="409">
        <f t="shared" si="772"/>
        <v>5</v>
      </c>
      <c r="G5799" s="168">
        <f>SUM(C5799,C5775,C5751,C5727,C5703,C5679,C5655,C5631,C5607,C5583,C5559,C5535,C5511,C5487)/POBLA!$B$14*100000</f>
        <v>5.70842325421353</v>
      </c>
      <c r="H5799" s="256">
        <f t="shared" si="780"/>
        <v>0.72727272727272729</v>
      </c>
      <c r="I5799" s="297">
        <f t="shared" si="782"/>
        <v>4.1515805485189308</v>
      </c>
      <c r="J5799" s="297">
        <f t="shared" si="783"/>
        <v>8.7142857142857135</v>
      </c>
      <c r="K5799" s="297">
        <f>J5799/POBLA!$B$14*100000</f>
        <v>0.69090043354568509</v>
      </c>
      <c r="L5799" s="549">
        <f t="shared" si="781"/>
        <v>-4.5454545454545459</v>
      </c>
      <c r="M5799" s="401">
        <f>SUM(C5799,C5775,C5751,C5727,C5703,C5679,C5655)/POBLA!$B$14*100000</f>
        <v>4.8363030348197968</v>
      </c>
    </row>
    <row r="5800" spans="1:13" s="360" customFormat="1" x14ac:dyDescent="0.25">
      <c r="A5800" s="367" t="s">
        <v>19</v>
      </c>
      <c r="B5800" s="267">
        <v>44134</v>
      </c>
      <c r="C5800" s="1">
        <v>696</v>
      </c>
      <c r="D5800" s="39">
        <f t="shared" si="777"/>
        <v>21771</v>
      </c>
      <c r="E5800" s="1">
        <f>12+8</f>
        <v>20</v>
      </c>
      <c r="F5800" s="409">
        <f t="shared" si="772"/>
        <v>405</v>
      </c>
      <c r="G5800" s="168">
        <f>SUM(C5800,C5776,C5752,C5728,C5704,C5680,C5656,C5632,C5608,C5584,C5560,C5536,C5512,C5488)/POBLA!$B$15*100000</f>
        <v>1201.8546600668317</v>
      </c>
      <c r="H5800" s="256">
        <f t="shared" si="780"/>
        <v>1.4668259511119279</v>
      </c>
      <c r="I5800" s="297">
        <f t="shared" si="782"/>
        <v>1762.9116048508331</v>
      </c>
      <c r="J5800" s="297">
        <f t="shared" si="783"/>
        <v>451.14285714285717</v>
      </c>
      <c r="K5800" s="297">
        <f>J5800/POBLA!$B$15*100000</f>
        <v>67.937369403960389</v>
      </c>
      <c r="L5800" s="549">
        <f t="shared" si="781"/>
        <v>0.34522081691893014</v>
      </c>
      <c r="M5800" s="401">
        <f>SUM(C5800,C5776,C5752,C5728,C5704,C5680,C5656)/POBLA!$B$15*100000</f>
        <v>475.56158582772264</v>
      </c>
    </row>
    <row r="5801" spans="1:13" s="360" customFormat="1" x14ac:dyDescent="0.25">
      <c r="A5801" s="367" t="s">
        <v>18</v>
      </c>
      <c r="B5801" s="267">
        <v>44134</v>
      </c>
      <c r="C5801" s="1">
        <v>288</v>
      </c>
      <c r="D5801" s="39">
        <f t="shared" si="777"/>
        <v>23738</v>
      </c>
      <c r="E5801" s="1">
        <f>4+1</f>
        <v>5</v>
      </c>
      <c r="F5801" s="409">
        <f t="shared" si="772"/>
        <v>609</v>
      </c>
      <c r="G5801" s="168">
        <f>SUM(C5801,C5777,C5753,C5729,C5705,C5681,C5657,C5633,C5609,C5585,C5561,C5537,C5513,C5489)/POBLA!$B$16*100000</f>
        <v>689.79815679298031</v>
      </c>
      <c r="H5801" s="256">
        <f t="shared" si="780"/>
        <v>1.0183649289099526</v>
      </c>
      <c r="I5801" s="297">
        <f t="shared" si="782"/>
        <v>702.46625090469968</v>
      </c>
      <c r="J5801" s="297">
        <f t="shared" si="783"/>
        <v>351.85714285714283</v>
      </c>
      <c r="K5801" s="297">
        <f>J5801/POBLA!$B$16*100000</f>
        <v>47.064263835040038</v>
      </c>
      <c r="L5801" s="549">
        <f t="shared" si="781"/>
        <v>8.5746102449888673E-2</v>
      </c>
      <c r="M5801" s="401">
        <f>SUM(C5801,C5777,C5753,C5729,C5705,C5681,C5657)/POBLA!$B$16*100000</f>
        <v>329.44984684528026</v>
      </c>
    </row>
    <row r="5802" spans="1:13" s="360" customFormat="1" x14ac:dyDescent="0.25">
      <c r="A5802" s="367" t="s">
        <v>34</v>
      </c>
      <c r="B5802" s="267">
        <v>44134</v>
      </c>
      <c r="C5802" s="1">
        <v>191</v>
      </c>
      <c r="D5802" s="39">
        <f t="shared" si="777"/>
        <v>18600</v>
      </c>
      <c r="E5802" s="1">
        <f>8+6</f>
        <v>14</v>
      </c>
      <c r="F5802" s="409">
        <f t="shared" ref="F5802:F5865" si="784">E5802+F5778</f>
        <v>776</v>
      </c>
      <c r="G5802" s="168">
        <f>SUM(C5802,C5778,C5754,C5730,C5706,C5682,C5658,C5634,C5610,C5586,C5562,C5538,C5514,C5490)/POBLA!$B$17*100000</f>
        <v>184.0778940140986</v>
      </c>
      <c r="H5802" s="256">
        <f t="shared" si="780"/>
        <v>0.83904000000000001</v>
      </c>
      <c r="I5802" s="297">
        <f t="shared" si="782"/>
        <v>154.44871619358929</v>
      </c>
      <c r="J5802" s="297">
        <f t="shared" si="783"/>
        <v>165.14285714285714</v>
      </c>
      <c r="K5802" s="297">
        <f>J5802/POBLA!$B$17*100000</f>
        <v>11.59387847228386</v>
      </c>
      <c r="L5802" s="549">
        <f t="shared" si="781"/>
        <v>0.21145975443383358</v>
      </c>
      <c r="M5802" s="401">
        <f>SUM(C5802,C5778,C5754,C5730,C5706,C5682,C5658)/POBLA!$B$17*100000</f>
        <v>81.157149305987019</v>
      </c>
    </row>
    <row r="5803" spans="1:13" s="360" customFormat="1" x14ac:dyDescent="0.25">
      <c r="A5803" s="367" t="s">
        <v>35</v>
      </c>
      <c r="B5803" s="267">
        <v>44134</v>
      </c>
      <c r="C5803" s="1">
        <v>379</v>
      </c>
      <c r="D5803" s="39">
        <f t="shared" si="777"/>
        <v>2256</v>
      </c>
      <c r="E5803" s="1">
        <f>7+10</f>
        <v>17</v>
      </c>
      <c r="F5803" s="409">
        <f t="shared" si="784"/>
        <v>101</v>
      </c>
      <c r="G5803" s="168">
        <f>SUM(C5803,C5779,C5755,C5731,C5707,C5683,C5659,C5635,C5611,C5587,C5563,C5539,C5515,C5491)/POBLA!$B$18*100000</f>
        <v>124.29325014688621</v>
      </c>
      <c r="H5803" s="256">
        <f t="shared" si="780"/>
        <v>1.8286252354048964</v>
      </c>
      <c r="I5803" s="297">
        <f t="shared" si="782"/>
        <v>227.28577380908948</v>
      </c>
      <c r="J5803" s="297">
        <f t="shared" si="783"/>
        <v>126</v>
      </c>
      <c r="K5803" s="297">
        <f>J5803/POBLA!$B$18*100000</f>
        <v>16.128681275497076</v>
      </c>
      <c r="L5803" s="549">
        <f t="shared" si="781"/>
        <v>-8.9101123595505616</v>
      </c>
      <c r="M5803" s="401">
        <f>SUM(C5803,C5779,C5755,C5731,C5707,C5683,C5659)/POBLA!$B$18*100000</f>
        <v>112.90076892847955</v>
      </c>
    </row>
    <row r="5804" spans="1:13" s="360" customFormat="1" x14ac:dyDescent="0.25">
      <c r="A5804" s="367" t="s">
        <v>36</v>
      </c>
      <c r="B5804" s="267">
        <v>44134</v>
      </c>
      <c r="C5804" s="1">
        <v>258</v>
      </c>
      <c r="D5804" s="39">
        <f t="shared" si="777"/>
        <v>6814</v>
      </c>
      <c r="E5804" s="1"/>
      <c r="F5804" s="409">
        <f t="shared" si="784"/>
        <v>54</v>
      </c>
      <c r="G5804" s="168">
        <f>SUM(C5804,C5780,C5756,C5732,C5708,C5684,C5660,C5636,C5612,C5588,C5564,C5540,C5516,C5492)/POBLA!$B$19*100000</f>
        <v>759.54895264474897</v>
      </c>
      <c r="H5804" s="256">
        <f t="shared" si="780"/>
        <v>2.9586206896551723</v>
      </c>
      <c r="I5804" s="297">
        <f t="shared" si="782"/>
        <v>2247.2172461006712</v>
      </c>
      <c r="J5804" s="297">
        <f t="shared" si="783"/>
        <v>248.85714285714286</v>
      </c>
      <c r="K5804" s="297">
        <f>J5804/POBLA!$B$19*100000</f>
        <v>48.956017149781815</v>
      </c>
      <c r="L5804" s="549">
        <f t="shared" si="781"/>
        <v>0.17791411042944782</v>
      </c>
      <c r="M5804" s="401">
        <f>SUM(C5804,C5780,C5756,C5732,C5708,C5684,C5660)/POBLA!$B$19*100000</f>
        <v>342.69212004847265</v>
      </c>
    </row>
    <row r="5805" spans="1:13" s="360" customFormat="1" x14ac:dyDescent="0.25">
      <c r="A5805" s="367" t="s">
        <v>37</v>
      </c>
      <c r="B5805" s="267">
        <v>44134</v>
      </c>
      <c r="C5805" s="1">
        <v>214</v>
      </c>
      <c r="D5805" s="39">
        <f t="shared" si="777"/>
        <v>9349</v>
      </c>
      <c r="E5805" s="1">
        <f>1+1</f>
        <v>2</v>
      </c>
      <c r="F5805" s="409">
        <f t="shared" si="784"/>
        <v>130</v>
      </c>
      <c r="G5805" s="168">
        <f>SUM(C5805,C5781,C5757,C5733,C5709,C5685,C5661,C5637,C5613,C5589,C5565,C5541,C5517,C5493)/POBLA!$B$20*100000</f>
        <v>630.84840496803372</v>
      </c>
      <c r="H5805" s="256">
        <f t="shared" si="780"/>
        <v>1.2021886399166233</v>
      </c>
      <c r="I5805" s="297">
        <f t="shared" si="782"/>
        <v>758.39878596209167</v>
      </c>
      <c r="J5805" s="297">
        <f t="shared" si="783"/>
        <v>170.57142857142858</v>
      </c>
      <c r="K5805" s="297">
        <f>J5805/POBLA!$B$20*100000</f>
        <v>46.642702057826021</v>
      </c>
      <c r="L5805" s="549">
        <f t="shared" si="781"/>
        <v>-7.2776280323450182E-2</v>
      </c>
      <c r="M5805" s="401">
        <f>SUM(C5805,C5781,C5757,C5733,C5709,C5685,C5661)/POBLA!$B$20*100000</f>
        <v>326.49891440478206</v>
      </c>
    </row>
    <row r="5806" spans="1:13" s="360" customFormat="1" x14ac:dyDescent="0.25">
      <c r="A5806" s="367" t="s">
        <v>22</v>
      </c>
      <c r="B5806" s="267">
        <v>44134</v>
      </c>
      <c r="C5806" s="1">
        <v>2140</v>
      </c>
      <c r="D5806" s="39">
        <f t="shared" si="777"/>
        <v>104630</v>
      </c>
      <c r="E5806" s="1">
        <f>29+20</f>
        <v>49</v>
      </c>
      <c r="F5806" s="409">
        <f t="shared" si="784"/>
        <v>1281</v>
      </c>
      <c r="G5806" s="168">
        <f>SUM(C5806,C5782,C5758,C5734,C5710,C5686,C5662,C5638,C5614,C5590,C5566,C5542,C5518,C5494)/POBLA!$B$21*100000</f>
        <v>848.90982909825698</v>
      </c>
      <c r="H5806" s="256">
        <f t="shared" si="780"/>
        <v>1.0762143753360818</v>
      </c>
      <c r="I5806" s="297">
        <f t="shared" si="782"/>
        <v>913.60896143964055</v>
      </c>
      <c r="J5806" s="297">
        <f t="shared" si="783"/>
        <v>1922.2857142857142</v>
      </c>
      <c r="K5806" s="297">
        <f>J5806/POBLA!$B$21*100000</f>
        <v>54.356858105736208</v>
      </c>
      <c r="L5806" s="549">
        <f t="shared" si="781"/>
        <v>0.1876848777543012</v>
      </c>
      <c r="M5806" s="401">
        <f>SUM(C5806,C5782,C5758,C5734,C5710,C5686,C5662)/POBLA!$B$21*100000</f>
        <v>380.49800674015341</v>
      </c>
    </row>
    <row r="5807" spans="1:13" s="360" customFormat="1" x14ac:dyDescent="0.25">
      <c r="A5807" s="367" t="s">
        <v>38</v>
      </c>
      <c r="B5807" s="267">
        <v>44134</v>
      </c>
      <c r="C5807" s="1">
        <v>209</v>
      </c>
      <c r="D5807" s="39">
        <f t="shared" si="777"/>
        <v>9578</v>
      </c>
      <c r="E5807" s="1">
        <f>4+4</f>
        <v>8</v>
      </c>
      <c r="F5807" s="409">
        <f t="shared" si="784"/>
        <v>129</v>
      </c>
      <c r="G5807" s="168">
        <f>SUM(C5807,C5783,C5759,C5735,C5711,C5687,C5663,C5639,C5615,C5591,C5567,C5543,C5519,C5495)/POBLA!$B$22*100000</f>
        <v>333.53333749014888</v>
      </c>
      <c r="H5807" s="256">
        <f t="shared" si="780"/>
        <v>1.2579028527370857</v>
      </c>
      <c r="I5807" s="297">
        <f t="shared" si="782"/>
        <v>419.55253671177945</v>
      </c>
      <c r="J5807" s="297">
        <f t="shared" si="783"/>
        <v>252.28571428571428</v>
      </c>
      <c r="K5807" s="297">
        <f>J5807/POBLA!$B$22*100000</f>
        <v>25.787832144284529</v>
      </c>
      <c r="L5807" s="549">
        <f t="shared" si="781"/>
        <v>-0.179692718770875</v>
      </c>
      <c r="M5807" s="401">
        <f>SUM(C5807,C5783,C5759,C5735,C5711,C5687,C5663)/POBLA!$B$22*100000</f>
        <v>180.51482500999168</v>
      </c>
    </row>
    <row r="5808" spans="1:13" s="360" customFormat="1" x14ac:dyDescent="0.25">
      <c r="A5808" s="367" t="s">
        <v>39</v>
      </c>
      <c r="B5808" s="267">
        <v>44134</v>
      </c>
      <c r="C5808" s="1">
        <v>159</v>
      </c>
      <c r="D5808" s="39">
        <f t="shared" si="777"/>
        <v>11187</v>
      </c>
      <c r="E5808" s="1">
        <f>2</f>
        <v>2</v>
      </c>
      <c r="F5808" s="409">
        <f t="shared" si="784"/>
        <v>147</v>
      </c>
      <c r="G5808" s="168">
        <f>SUM(C5808,C5784,C5760,C5736,C5712,C5688,C5664,C5640,C5616,C5592,C5568,C5544,C5520,C5496)/POBLA!$B$23*100000</f>
        <v>1939.150596618221</v>
      </c>
      <c r="H5808" s="256">
        <f t="shared" si="780"/>
        <v>1.1287030941408822</v>
      </c>
      <c r="I5808" s="297">
        <f t="shared" si="782"/>
        <v>2188.7252784081238</v>
      </c>
      <c r="J5808" s="297">
        <f t="shared" si="783"/>
        <v>245.14285714285714</v>
      </c>
      <c r="K5808" s="297">
        <f>J5808/POBLA!$B$23*100000</f>
        <v>138.63193866586954</v>
      </c>
      <c r="L5808" s="549">
        <f t="shared" si="781"/>
        <v>-1.7513134851139256E-3</v>
      </c>
      <c r="M5808" s="401">
        <f>SUM(C5808,C5784,C5760,C5736,C5712,C5688,C5664)/POBLA!$B$23*100000</f>
        <v>970.42357066108696</v>
      </c>
    </row>
    <row r="5809" spans="1:13" s="360" customFormat="1" ht="15.75" thickBot="1" x14ac:dyDescent="0.3">
      <c r="A5809" s="368" t="s">
        <v>40</v>
      </c>
      <c r="B5809" s="268">
        <v>44134</v>
      </c>
      <c r="C5809" s="232">
        <v>1011</v>
      </c>
      <c r="D5809" s="67">
        <f>C5809+D5785</f>
        <v>48794</v>
      </c>
      <c r="E5809" s="232">
        <f>9+9</f>
        <v>18</v>
      </c>
      <c r="F5809" s="477">
        <f t="shared" si="784"/>
        <v>766</v>
      </c>
      <c r="G5809" s="177">
        <f>SUM(C5809,C5785,C5761,C5737,C5713,C5689,C5665,C5641,C5617,C5593,C5569,C5545,C5521,C5497)/POBLA!$B$24*100000</f>
        <v>929.51017787680792</v>
      </c>
      <c r="H5809" s="402">
        <f t="shared" si="780"/>
        <v>0.93639281892759485</v>
      </c>
      <c r="I5809" s="403">
        <f t="shared" si="782"/>
        <v>870.38665568395425</v>
      </c>
      <c r="J5809" s="403">
        <f t="shared" si="783"/>
        <v>1025.8571428571429</v>
      </c>
      <c r="K5809" s="403">
        <f>J5809/POBLA!$B$24*100000</f>
        <v>60.534830836296152</v>
      </c>
      <c r="L5809" s="550">
        <f t="shared" si="781"/>
        <v>0.1621747754054369</v>
      </c>
      <c r="M5809" s="405">
        <f>SUM(C5809,C5785,C5761,C5737,C5713,C5689,C5665)/POBLA!$B$24*100000</f>
        <v>423.74381585407303</v>
      </c>
    </row>
    <row r="5810" spans="1:13" s="360" customFormat="1" x14ac:dyDescent="0.25">
      <c r="A5810" s="363" t="s">
        <v>16</v>
      </c>
      <c r="B5810" s="265">
        <v>44135</v>
      </c>
      <c r="C5810" s="43">
        <v>2354</v>
      </c>
      <c r="D5810" s="174">
        <f t="shared" si="777"/>
        <v>549365</v>
      </c>
      <c r="E5810" s="43">
        <f>69+44+1</f>
        <v>114</v>
      </c>
      <c r="F5810" s="475">
        <f t="shared" si="784"/>
        <v>17611</v>
      </c>
      <c r="G5810" s="175">
        <f>SUM(C5810,C5786,C5762,C5738,C5714,C5690,C5666,C5642,C5618,C5594,C5570,C5546,C5522,C5498)/POBLA!$B$1*100000</f>
        <v>304.98016064063336</v>
      </c>
      <c r="H5810" s="300">
        <f t="shared" si="780"/>
        <v>0.85519942450643438</v>
      </c>
      <c r="I5810" s="301">
        <f>G5810*H5810</f>
        <v>260.81885786574958</v>
      </c>
      <c r="J5810" s="301">
        <f>AVERAGE(C5810,C5786,C5762,C5738,C5714,C5690,C5666)</f>
        <v>3459.2857142857142</v>
      </c>
      <c r="K5810" s="301">
        <f>J5810/POBLA!$B$1*100000</f>
        <v>19.720984594364268</v>
      </c>
      <c r="L5810" s="548">
        <f t="shared" si="781"/>
        <v>0.17304145891674061</v>
      </c>
      <c r="M5810" s="400">
        <f>SUM(C5810,C5786,C5762,C5738,C5714,C5690,C5666)/POBLA!$B$1*100000</f>
        <v>138.04689216054987</v>
      </c>
    </row>
    <row r="5811" spans="1:13" s="360" customFormat="1" x14ac:dyDescent="0.25">
      <c r="A5811" s="367" t="s">
        <v>43</v>
      </c>
      <c r="B5811" s="267">
        <v>44135</v>
      </c>
      <c r="C5811" s="1">
        <v>441</v>
      </c>
      <c r="D5811" s="39">
        <f t="shared" si="777"/>
        <v>147201</v>
      </c>
      <c r="E5811" s="1">
        <f>4+14</f>
        <v>18</v>
      </c>
      <c r="F5811" s="409">
        <f t="shared" si="784"/>
        <v>4755</v>
      </c>
      <c r="G5811" s="168">
        <f>SUM(C5811,C5787,C5763,C5739,C5715,C5691,C5667,C5643,C5619,C5595,C5571,C5547,C5523,C5499)/POBLA!$B$2*100000</f>
        <v>251.91455713693966</v>
      </c>
      <c r="H5811" s="256">
        <f t="shared" si="780"/>
        <v>0.72330097087378642</v>
      </c>
      <c r="I5811" s="297">
        <f t="shared" ref="I5811:I5833" si="785">G5811*H5811</f>
        <v>182.21004375438841</v>
      </c>
      <c r="J5811" s="297">
        <f t="shared" ref="J5811:J5833" si="786">AVERAGE(C5811,C5787,C5763,C5739,C5715,C5691,C5667)</f>
        <v>522.28571428571433</v>
      </c>
      <c r="K5811" s="297">
        <f>J5811/POBLA!$B$2*100000</f>
        <v>16.981333816886412</v>
      </c>
      <c r="L5811" s="549">
        <f t="shared" si="781"/>
        <v>0.10654936461388076</v>
      </c>
      <c r="M5811" s="401">
        <f>SUM(C5811,C5787,C5763,C5739,C5715,C5691,C5667)/POBLA!$B$2*100000</f>
        <v>118.86933671820489</v>
      </c>
    </row>
    <row r="5812" spans="1:13" s="360" customFormat="1" x14ac:dyDescent="0.25">
      <c r="A5812" s="367" t="s">
        <v>28</v>
      </c>
      <c r="B5812" s="267">
        <v>44135</v>
      </c>
      <c r="C5812" s="1">
        <v>77</v>
      </c>
      <c r="D5812" s="39">
        <f t="shared" si="777"/>
        <v>896</v>
      </c>
      <c r="E5812" s="1"/>
      <c r="F5812" s="409">
        <f t="shared" si="784"/>
        <v>0</v>
      </c>
      <c r="G5812" s="168">
        <f>SUM(C5812,C5788,C5764,C5740,C5716,C5692,C5668,C5644,C5620,C5596,C5572,C5548,C5524,C5500)/POBLA!$B$3*100000</f>
        <v>106.63444364742755</v>
      </c>
      <c r="H5812" s="256">
        <f t="shared" si="780"/>
        <v>2.9932432432432434</v>
      </c>
      <c r="I5812" s="297">
        <f t="shared" si="785"/>
        <v>319.18282794466489</v>
      </c>
      <c r="J5812" s="297">
        <f t="shared" si="786"/>
        <v>42.857142857142854</v>
      </c>
      <c r="K5812" s="297">
        <f>J5812/POBLA!$B$3*100000</f>
        <v>10.316134503137137</v>
      </c>
      <c r="L5812" s="549">
        <f t="shared" si="781"/>
        <v>-1.0979020979020979</v>
      </c>
      <c r="M5812" s="401">
        <f>SUM(C5812,C5788,C5764,C5740,C5716,C5692,C5668)/POBLA!$B$3*100000</f>
        <v>72.212941521959948</v>
      </c>
    </row>
    <row r="5813" spans="1:13" s="360" customFormat="1" x14ac:dyDescent="0.25">
      <c r="A5813" s="367" t="s">
        <v>15</v>
      </c>
      <c r="B5813" s="267">
        <v>44135</v>
      </c>
      <c r="C5813" s="1">
        <v>137</v>
      </c>
      <c r="D5813" s="39">
        <f t="shared" si="777"/>
        <v>14050</v>
      </c>
      <c r="E5813" s="1">
        <f>2+1</f>
        <v>3</v>
      </c>
      <c r="F5813" s="409">
        <f t="shared" si="784"/>
        <v>427</v>
      </c>
      <c r="G5813" s="168">
        <f>SUM(C5813,C5789,C5765,C5741,C5717,C5693,C5669,C5645,C5621,C5597,C5573,C5549,C5525,C5501)/POBLA!$B$4*100000</f>
        <v>217.42721916481051</v>
      </c>
      <c r="H5813" s="256">
        <f t="shared" si="780"/>
        <v>1.1059966216216217</v>
      </c>
      <c r="I5813" s="297">
        <f t="shared" si="785"/>
        <v>240.47376984486434</v>
      </c>
      <c r="J5813" s="297">
        <f t="shared" si="786"/>
        <v>160.28571428571428</v>
      </c>
      <c r="K5813" s="297">
        <f>J5813/POBLA!$B$4*100000</f>
        <v>13.306787754481936</v>
      </c>
      <c r="L5813" s="549">
        <f t="shared" si="781"/>
        <v>0.25050100200400804</v>
      </c>
      <c r="M5813" s="401">
        <f>SUM(C5813,C5789,C5765,C5741,C5717,C5693,C5669)/POBLA!$B$4*100000</f>
        <v>93.147514281373574</v>
      </c>
    </row>
    <row r="5814" spans="1:13" s="360" customFormat="1" x14ac:dyDescent="0.25">
      <c r="A5814" s="367" t="s">
        <v>29</v>
      </c>
      <c r="B5814" s="267">
        <v>44135</v>
      </c>
      <c r="C5814" s="1">
        <v>195</v>
      </c>
      <c r="D5814" s="39">
        <f t="shared" si="777"/>
        <v>14382</v>
      </c>
      <c r="E5814" s="1">
        <f>1+1</f>
        <v>2</v>
      </c>
      <c r="F5814" s="409">
        <f t="shared" si="784"/>
        <v>248</v>
      </c>
      <c r="G5814" s="168">
        <f>SUM(C5814,C5790,C5766,C5742,C5718,C5694,C5670,C5646,C5622,C5598,C5574,C5550,C5526,C5502)/POBLA!$B$5*100000</f>
        <v>886.92297502075951</v>
      </c>
      <c r="H5814" s="256">
        <f t="shared" si="780"/>
        <v>1.2517099863201095</v>
      </c>
      <c r="I5814" s="297">
        <f t="shared" si="785"/>
        <v>1110.1703449302258</v>
      </c>
      <c r="J5814" s="297">
        <f t="shared" si="786"/>
        <v>347.14285714285717</v>
      </c>
      <c r="K5814" s="297">
        <f>J5814/POBLA!$B$5*100000</f>
        <v>56.081780621921567</v>
      </c>
      <c r="L5814" s="549">
        <f t="shared" si="781"/>
        <v>0.20588235294117652</v>
      </c>
      <c r="M5814" s="401">
        <f>SUM(C5814,C5790,C5766,C5742,C5718,C5694,C5670)/POBLA!$B$5*100000</f>
        <v>392.57246435345087</v>
      </c>
    </row>
    <row r="5815" spans="1:13" s="360" customFormat="1" x14ac:dyDescent="0.25">
      <c r="A5815" s="367" t="s">
        <v>20</v>
      </c>
      <c r="B5815" s="267">
        <v>44135</v>
      </c>
      <c r="C5815" s="1">
        <v>1424</v>
      </c>
      <c r="D5815" s="39">
        <f t="shared" si="777"/>
        <v>85415</v>
      </c>
      <c r="E5815" s="1">
        <f>12+9</f>
        <v>21</v>
      </c>
      <c r="F5815" s="409">
        <f t="shared" si="784"/>
        <v>1291</v>
      </c>
      <c r="G5815" s="168">
        <f>SUM(C5815,C5791,C5767,C5743,C5719,C5695,C5671,C5647,C5623,C5599,C5575,C5551,C5527,C5503)/POBLA!$B$6*100000</f>
        <v>2172.9102668537948</v>
      </c>
      <c r="H5815" s="256">
        <f t="shared" si="780"/>
        <v>1.124117239787676</v>
      </c>
      <c r="I5815" s="297">
        <f t="shared" si="785"/>
        <v>2442.6058914819901</v>
      </c>
      <c r="J5815" s="297">
        <f t="shared" si="786"/>
        <v>1544.2857142857142</v>
      </c>
      <c r="K5815" s="297">
        <f>J5815/POBLA!$B$6*100000</f>
        <v>137.784112816255</v>
      </c>
      <c r="L5815" s="549">
        <f t="shared" si="781"/>
        <v>0.20186060248080329</v>
      </c>
      <c r="M5815" s="401">
        <f>SUM(C5815,C5791,C5767,C5743,C5719,C5695,C5671)/POBLA!$B$6*100000</f>
        <v>964.48878971378497</v>
      </c>
    </row>
    <row r="5816" spans="1:13" s="360" customFormat="1" x14ac:dyDescent="0.25">
      <c r="A5816" s="367" t="s">
        <v>30</v>
      </c>
      <c r="B5816" s="267">
        <v>44135</v>
      </c>
      <c r="C5816" s="1">
        <v>10</v>
      </c>
      <c r="D5816" s="39">
        <f t="shared" si="777"/>
        <v>2549</v>
      </c>
      <c r="E5816" s="1"/>
      <c r="F5816" s="409">
        <f t="shared" si="784"/>
        <v>47</v>
      </c>
      <c r="G5816" s="168">
        <f>SUM(C5816,C5792,C5768,C5744,C5720,C5696,C5672,C5648,C5624,C5600,C5576,C5552,C5528,C5504)/POBLA!$B$7*100000</f>
        <v>16.274647980959728</v>
      </c>
      <c r="H5816" s="256">
        <f t="shared" si="780"/>
        <v>0.7979139504563233</v>
      </c>
      <c r="I5816" s="297">
        <f t="shared" si="785"/>
        <v>12.985768662773602</v>
      </c>
      <c r="J5816" s="297">
        <f t="shared" si="786"/>
        <v>43.428571428571431</v>
      </c>
      <c r="K5816" s="297">
        <f>J5816/POBLA!$B$7*100000</f>
        <v>1.15487698090844</v>
      </c>
      <c r="L5816" s="549">
        <f t="shared" si="781"/>
        <v>1.2987012987012991E-2</v>
      </c>
      <c r="M5816" s="401">
        <f>SUM(C5816,C5792,C5768,C5744,C5720,C5696,C5672)/POBLA!$B$7*100000</f>
        <v>8.0841388663590799</v>
      </c>
    </row>
    <row r="5817" spans="1:13" x14ac:dyDescent="0.25">
      <c r="A5817" s="367" t="s">
        <v>31</v>
      </c>
      <c r="B5817" s="267">
        <v>44135</v>
      </c>
      <c r="C5817" s="1">
        <v>264</v>
      </c>
      <c r="D5817" s="39">
        <f t="shared" si="777"/>
        <v>15997</v>
      </c>
      <c r="E5817" s="1">
        <f>1</f>
        <v>1</v>
      </c>
      <c r="F5817" s="409">
        <f t="shared" si="784"/>
        <v>277</v>
      </c>
      <c r="G5817" s="168">
        <f>SUM(C5817,C5793,C5769,C5745,C5721,C5697,C5673,C5649,C5625,C5601,C5577,C5553,C5529,C5505)/POBLA!$B$8*100000</f>
        <v>349.36047984034184</v>
      </c>
      <c r="H5817" s="256">
        <f t="shared" si="780"/>
        <v>1.5317937361594431</v>
      </c>
      <c r="I5817" s="297">
        <f t="shared" si="785"/>
        <v>535.14819468109306</v>
      </c>
      <c r="J5817" s="297">
        <f t="shared" si="786"/>
        <v>322.71428571428572</v>
      </c>
      <c r="K5817" s="297">
        <f>J5817/POBLA!$B$8*100000</f>
        <v>23.284514190102442</v>
      </c>
      <c r="L5817" s="549">
        <f t="shared" si="781"/>
        <v>0.12543554006968638</v>
      </c>
      <c r="M5817" s="401">
        <f>SUM(C5817,C5793,C5769,C5745,C5721,C5697,C5673)/POBLA!$B$8*100000</f>
        <v>162.99159933071709</v>
      </c>
    </row>
    <row r="5818" spans="1:13" s="360" customFormat="1" x14ac:dyDescent="0.25">
      <c r="A5818" s="367" t="s">
        <v>41</v>
      </c>
      <c r="B5818" s="267">
        <v>44135</v>
      </c>
      <c r="C5818" s="1">
        <v>4</v>
      </c>
      <c r="D5818" s="39">
        <f t="shared" si="777"/>
        <v>153</v>
      </c>
      <c r="E5818" s="1"/>
      <c r="F5818" s="409">
        <f t="shared" si="784"/>
        <v>1</v>
      </c>
      <c r="G5818" s="168">
        <f>SUM(C5818,C5794,C5770,C5746,C5722,C5698,C5674,C5650,C5626,C5602,C5578,C5554,C5530,C5506)/POBLA!$B$9*100000</f>
        <v>2.1480750768763022</v>
      </c>
      <c r="H5818" s="256">
        <f t="shared" si="780"/>
        <v>0.37142857142857144</v>
      </c>
      <c r="I5818" s="297">
        <f t="shared" si="785"/>
        <v>0.7978564571254837</v>
      </c>
      <c r="J5818" s="297">
        <f t="shared" si="786"/>
        <v>1.5714285714285714</v>
      </c>
      <c r="K5818" s="297">
        <f>J5818/POBLA!$B$9*100000</f>
        <v>0.25965742687515742</v>
      </c>
      <c r="L5818" s="549">
        <f t="shared" si="781"/>
        <v>-4.5</v>
      </c>
      <c r="M5818" s="401">
        <f>SUM(C5818,C5794,C5770,C5746,C5722,C5698,C5674)/POBLA!$B$9*100000</f>
        <v>1.8176019881261019</v>
      </c>
    </row>
    <row r="5819" spans="1:13" s="360" customFormat="1" x14ac:dyDescent="0.25">
      <c r="A5819" s="367" t="s">
        <v>32</v>
      </c>
      <c r="B5819" s="267">
        <v>44135</v>
      </c>
      <c r="C5819" s="1">
        <v>33</v>
      </c>
      <c r="D5819" s="39">
        <f t="shared" si="777"/>
        <v>17856</v>
      </c>
      <c r="E5819" s="1">
        <f>3+1</f>
        <v>4</v>
      </c>
      <c r="F5819" s="409">
        <f t="shared" si="784"/>
        <v>811</v>
      </c>
      <c r="G5819" s="168">
        <f>SUM(C5819,C5795,C5771,C5747,C5723,C5699,C5675,C5651,C5627,C5603,C5579,C5555,C5531,C5507)/POBLA!$B$10*100000</f>
        <v>86.524379249196699</v>
      </c>
      <c r="H5819" s="256">
        <f t="shared" si="780"/>
        <v>0.60307414104882462</v>
      </c>
      <c r="I5819" s="297">
        <f t="shared" si="785"/>
        <v>52.180615695492044</v>
      </c>
      <c r="J5819" s="297">
        <f t="shared" si="786"/>
        <v>39.571428571428569</v>
      </c>
      <c r="K5819" s="297">
        <f>J5819/POBLA!$B$10*100000</f>
        <v>5.1332733030686404</v>
      </c>
      <c r="L5819" s="549">
        <f t="shared" si="781"/>
        <v>0.28974358974358971</v>
      </c>
      <c r="M5819" s="401">
        <f>SUM(C5819,C5795,C5771,C5747,C5723,C5699,C5675)/POBLA!$B$10*100000</f>
        <v>35.932913121480489</v>
      </c>
    </row>
    <row r="5820" spans="1:13" s="360" customFormat="1" x14ac:dyDescent="0.25">
      <c r="A5820" s="367" t="s">
        <v>33</v>
      </c>
      <c r="B5820" s="267">
        <v>44135</v>
      </c>
      <c r="C5820" s="1">
        <v>90</v>
      </c>
      <c r="D5820" s="39">
        <f t="shared" si="777"/>
        <v>3279</v>
      </c>
      <c r="E5820" s="1">
        <f>1</f>
        <v>1</v>
      </c>
      <c r="F5820" s="409">
        <f t="shared" si="784"/>
        <v>33</v>
      </c>
      <c r="G5820" s="168">
        <f>SUM(C5820,C5796,C5772,C5748,C5724,C5700,C5676,C5652,C5628,C5604,C5580,C5556,C5532,C5508)/POBLA!$B$11*100000</f>
        <v>487.68511388619191</v>
      </c>
      <c r="H5820" s="256">
        <f t="shared" si="780"/>
        <v>2.4971428571428573</v>
      </c>
      <c r="I5820" s="297">
        <f t="shared" si="785"/>
        <v>1217.8193986758051</v>
      </c>
      <c r="J5820" s="297">
        <f t="shared" si="786"/>
        <v>134.71428571428572</v>
      </c>
      <c r="K5820" s="297">
        <f>J5820/POBLA!$B$11*100000</f>
        <v>37.584755017544865</v>
      </c>
      <c r="L5820" s="549">
        <f t="shared" si="781"/>
        <v>-0.17142857142857149</v>
      </c>
      <c r="M5820" s="401">
        <f>SUM(C5820,C5796,C5772,C5748,C5724,C5700,C5676)/POBLA!$B$11*100000</f>
        <v>263.09328512281411</v>
      </c>
    </row>
    <row r="5821" spans="1:13" s="360" customFormat="1" x14ac:dyDescent="0.25">
      <c r="A5821" s="367" t="s">
        <v>21</v>
      </c>
      <c r="B5821" s="267">
        <v>44135</v>
      </c>
      <c r="C5821" s="1">
        <v>55</v>
      </c>
      <c r="D5821" s="39">
        <f t="shared" si="777"/>
        <v>7569</v>
      </c>
      <c r="E5821" s="1">
        <f>2</f>
        <v>2</v>
      </c>
      <c r="F5821" s="409">
        <f t="shared" si="784"/>
        <v>272</v>
      </c>
      <c r="G5821" s="168">
        <f>SUM(C5821,C5797,C5773,C5749,C5725,C5701,C5677,C5653,C5629,C5605,C5581,C5557,C5533,C5509)/POBLA!$B$12*100000</f>
        <v>302.64451847503756</v>
      </c>
      <c r="H5821" s="256">
        <f t="shared" si="780"/>
        <v>0.89954682779456197</v>
      </c>
      <c r="I5821" s="297">
        <f t="shared" si="785"/>
        <v>272.24291654363276</v>
      </c>
      <c r="J5821" s="297">
        <f t="shared" si="786"/>
        <v>79</v>
      </c>
      <c r="K5821" s="297">
        <f>J5821/POBLA!$B$12*100000</f>
        <v>20.074657396748922</v>
      </c>
      <c r="L5821" s="549">
        <f t="shared" si="781"/>
        <v>0.13322884012539182</v>
      </c>
      <c r="M5821" s="401">
        <f>SUM(C5821,C5797,C5773,C5749,C5725,C5701,C5677)/POBLA!$B$12*100000</f>
        <v>140.52260177724244</v>
      </c>
    </row>
    <row r="5822" spans="1:13" s="360" customFormat="1" x14ac:dyDescent="0.25">
      <c r="A5822" s="367" t="s">
        <v>17</v>
      </c>
      <c r="B5822" s="267">
        <v>44135</v>
      </c>
      <c r="C5822" s="1">
        <v>509</v>
      </c>
      <c r="D5822" s="39">
        <f t="shared" si="777"/>
        <v>47073</v>
      </c>
      <c r="E5822" s="1">
        <f>4+1</f>
        <v>5</v>
      </c>
      <c r="F5822" s="409">
        <f t="shared" si="784"/>
        <v>778</v>
      </c>
      <c r="G5822" s="168">
        <f>SUM(C5822,C5798,C5774,C5750,C5726,C5702,C5678,C5654,C5630,C5606,C5582,C5558,C5534,C5510)/POBLA!$B$13*100000</f>
        <v>526.7447036633979</v>
      </c>
      <c r="H5822" s="256">
        <f t="shared" si="780"/>
        <v>1.1076597992604331</v>
      </c>
      <c r="I5822" s="297">
        <f t="shared" si="785"/>
        <v>583.4539327212957</v>
      </c>
      <c r="J5822" s="297">
        <f t="shared" si="786"/>
        <v>669.28571428571433</v>
      </c>
      <c r="K5822" s="297">
        <f>J5822/POBLA!$B$13*100000</f>
        <v>33.626736478211953</v>
      </c>
      <c r="L5822" s="549">
        <f t="shared" si="781"/>
        <v>0.1921020865666494</v>
      </c>
      <c r="M5822" s="401">
        <f>SUM(C5822,C5798,C5774,C5750,C5726,C5702,C5678)/POBLA!$B$13*100000</f>
        <v>235.38715534748371</v>
      </c>
    </row>
    <row r="5823" spans="1:13" s="360" customFormat="1" x14ac:dyDescent="0.25">
      <c r="A5823" s="367" t="s">
        <v>23</v>
      </c>
      <c r="B5823" s="267">
        <v>44135</v>
      </c>
      <c r="C5823" s="1">
        <v>-9</v>
      </c>
      <c r="D5823" s="39">
        <f t="shared" si="777"/>
        <v>261</v>
      </c>
      <c r="E5823" s="1"/>
      <c r="F5823" s="409">
        <f t="shared" si="784"/>
        <v>5</v>
      </c>
      <c r="G5823" s="168">
        <f>SUM(C5823,C5799,C5775,C5751,C5727,C5703,C5679,C5655,C5631,C5607,C5583,C5559,C5535,C5511)/POBLA!$B$14*100000</f>
        <v>4.9155866911283175</v>
      </c>
      <c r="H5823" s="256">
        <f t="shared" si="780"/>
        <v>0.65263157894736845</v>
      </c>
      <c r="I5823" s="297">
        <f t="shared" si="785"/>
        <v>3.208067103683744</v>
      </c>
      <c r="J5823" s="297">
        <f t="shared" si="786"/>
        <v>7</v>
      </c>
      <c r="K5823" s="297">
        <f>J5823/POBLA!$B$14*100000</f>
        <v>0.55498559415964877</v>
      </c>
      <c r="L5823" s="549">
        <f t="shared" si="781"/>
        <v>-2.7692307692307692</v>
      </c>
      <c r="M5823" s="401">
        <f>SUM(C5823,C5799,C5775,C5751,C5727,C5703,C5679)/POBLA!$B$14*100000</f>
        <v>3.8848991591175412</v>
      </c>
    </row>
    <row r="5824" spans="1:13" s="360" customFormat="1" x14ac:dyDescent="0.25">
      <c r="A5824" s="367" t="s">
        <v>19</v>
      </c>
      <c r="B5824" s="267">
        <v>44135</v>
      </c>
      <c r="C5824" s="1">
        <v>467</v>
      </c>
      <c r="D5824" s="39">
        <f t="shared" si="777"/>
        <v>22238</v>
      </c>
      <c r="E5824" s="1"/>
      <c r="F5824" s="409">
        <f t="shared" si="784"/>
        <v>405</v>
      </c>
      <c r="G5824" s="168">
        <f>SUM(C5824,C5800,C5776,C5752,C5728,C5704,C5680,C5656,C5632,C5608,C5584,C5560,C5536,C5512)/POBLA!$B$15*100000</f>
        <v>1120.8375184660354</v>
      </c>
      <c r="H5824" s="256">
        <f t="shared" si="780"/>
        <v>1.2039792947266257</v>
      </c>
      <c r="I5824" s="297">
        <f t="shared" si="785"/>
        <v>1349.4651649858786</v>
      </c>
      <c r="J5824" s="297">
        <f t="shared" si="786"/>
        <v>441.57142857142856</v>
      </c>
      <c r="K5824" s="297">
        <f>J5824/POBLA!$B$15*100000</f>
        <v>66.496012928322202</v>
      </c>
      <c r="L5824" s="549">
        <f t="shared" si="781"/>
        <v>0.28975183823529416</v>
      </c>
      <c r="M5824" s="401">
        <f>SUM(C5824,C5800,C5776,C5752,C5728,C5704,C5680)/POBLA!$B$15*100000</f>
        <v>465.47209049825545</v>
      </c>
    </row>
    <row r="5825" spans="1:13" s="360" customFormat="1" x14ac:dyDescent="0.25">
      <c r="A5825" s="367" t="s">
        <v>18</v>
      </c>
      <c r="B5825" s="267">
        <v>44135</v>
      </c>
      <c r="C5825" s="1">
        <v>255</v>
      </c>
      <c r="D5825" s="39">
        <f t="shared" si="777"/>
        <v>23993</v>
      </c>
      <c r="E5825" s="1">
        <f>1+2</f>
        <v>3</v>
      </c>
      <c r="F5825" s="409">
        <f t="shared" si="784"/>
        <v>612</v>
      </c>
      <c r="G5825" s="168">
        <f>SUM(C5825,C5801,C5777,C5753,C5729,C5705,C5681,C5657,C5633,C5609,C5585,C5561,C5537,C5513)/POBLA!$B$16*100000</f>
        <v>676.15467957892486</v>
      </c>
      <c r="H5825" s="256">
        <f t="shared" si="780"/>
        <v>0.99292869770182679</v>
      </c>
      <c r="I5825" s="297">
        <f t="shared" si="785"/>
        <v>671.37338543929786</v>
      </c>
      <c r="J5825" s="297">
        <f t="shared" si="786"/>
        <v>350.14285714285717</v>
      </c>
      <c r="K5825" s="297">
        <f>J5825/POBLA!$B$16*100000</f>
        <v>46.834961696988692</v>
      </c>
      <c r="L5825" s="549">
        <f t="shared" si="781"/>
        <v>5.875576036866359E-2</v>
      </c>
      <c r="M5825" s="401">
        <f>SUM(C5825,C5801,C5777,C5753,C5729,C5705,C5681)/POBLA!$B$16*100000</f>
        <v>327.84473187892087</v>
      </c>
    </row>
    <row r="5826" spans="1:13" s="360" customFormat="1" x14ac:dyDescent="0.25">
      <c r="A5826" s="367" t="s">
        <v>34</v>
      </c>
      <c r="B5826" s="267">
        <v>44135</v>
      </c>
      <c r="C5826" s="1">
        <v>146</v>
      </c>
      <c r="D5826" s="39">
        <f t="shared" ref="D5826:D5832" si="787">C5826+D5802</f>
        <v>18746</v>
      </c>
      <c r="E5826" s="1">
        <f>4+3</f>
        <v>7</v>
      </c>
      <c r="F5826" s="409">
        <f t="shared" si="784"/>
        <v>783</v>
      </c>
      <c r="G5826" s="168">
        <f>SUM(C5826,C5802,C5778,C5754,C5730,C5706,C5682,C5658,C5634,C5610,C5586,C5562,C5538,C5514)/POBLA!$B$17*100000</f>
        <v>177.61902053991969</v>
      </c>
      <c r="H5826" s="256">
        <f t="shared" si="780"/>
        <v>0.78352431093217711</v>
      </c>
      <c r="I5826" s="297">
        <f t="shared" si="785"/>
        <v>139.16882067698879</v>
      </c>
      <c r="J5826" s="297">
        <f t="shared" si="786"/>
        <v>158.42857142857142</v>
      </c>
      <c r="K5826" s="297">
        <f>J5826/POBLA!$B$17*100000</f>
        <v>11.122501060348442</v>
      </c>
      <c r="L5826" s="549">
        <f t="shared" si="781"/>
        <v>0.21956368754398314</v>
      </c>
      <c r="M5826" s="401">
        <f>SUM(C5826,C5802,C5778,C5754,C5730,C5706,C5682)/POBLA!$B$17*100000</f>
        <v>77.857507422439099</v>
      </c>
    </row>
    <row r="5827" spans="1:13" s="360" customFormat="1" x14ac:dyDescent="0.25">
      <c r="A5827" s="367" t="s">
        <v>35</v>
      </c>
      <c r="B5827" s="267">
        <v>44135</v>
      </c>
      <c r="C5827" s="1">
        <v>110</v>
      </c>
      <c r="D5827" s="39">
        <f t="shared" si="787"/>
        <v>2366</v>
      </c>
      <c r="E5827" s="1"/>
      <c r="F5827" s="409">
        <f t="shared" si="784"/>
        <v>101</v>
      </c>
      <c r="G5827" s="168">
        <f>SUM(C5827,C5803,C5779,C5755,C5731,C5707,C5683,C5659,C5635,C5611,C5587,C5563,C5539,C5515)/POBLA!$B$18*100000</f>
        <v>137.60581246951872</v>
      </c>
      <c r="H5827" s="256">
        <f t="shared" si="780"/>
        <v>2.3268398268398269</v>
      </c>
      <c r="I5827" s="297">
        <f t="shared" si="785"/>
        <v>320.18668485872865</v>
      </c>
      <c r="J5827" s="297">
        <f t="shared" si="786"/>
        <v>140.85714285714286</v>
      </c>
      <c r="K5827" s="297">
        <f>J5827/POBLA!$B$18*100000</f>
        <v>18.030475893016007</v>
      </c>
      <c r="L5827" s="549">
        <f t="shared" si="781"/>
        <v>-10.078651685393259</v>
      </c>
      <c r="M5827" s="401">
        <f>SUM(C5827,C5803,C5779,C5755,C5731,C5707,C5683)/POBLA!$B$18*100000</f>
        <v>126.21333125111204</v>
      </c>
    </row>
    <row r="5828" spans="1:13" s="360" customFormat="1" x14ac:dyDescent="0.25">
      <c r="A5828" s="367" t="s">
        <v>36</v>
      </c>
      <c r="B5828" s="267">
        <v>44135</v>
      </c>
      <c r="C5828" s="1">
        <v>167</v>
      </c>
      <c r="D5828" s="39">
        <f t="shared" si="787"/>
        <v>6981</v>
      </c>
      <c r="E5828" s="1"/>
      <c r="F5828" s="409">
        <f t="shared" si="784"/>
        <v>54</v>
      </c>
      <c r="G5828" s="168">
        <f>SUM(C5828,C5804,C5780,C5756,C5732,C5708,C5684,C5660,C5636,C5612,C5588,C5564,C5540,C5516)/POBLA!$B$19*100000</f>
        <v>752.86035787916467</v>
      </c>
      <c r="H5828" s="256">
        <f t="shared" si="780"/>
        <v>2.5598662207357861</v>
      </c>
      <c r="I5828" s="297">
        <f t="shared" si="785"/>
        <v>1927.2217990659287</v>
      </c>
      <c r="J5828" s="297">
        <f t="shared" si="786"/>
        <v>239.42857142857142</v>
      </c>
      <c r="K5828" s="297">
        <f>J5828/POBLA!$B$19*100000</f>
        <v>47.101196752602931</v>
      </c>
      <c r="L5828" s="549">
        <f t="shared" si="781"/>
        <v>0.22082752208275225</v>
      </c>
      <c r="M5828" s="401">
        <f>SUM(C5828,C5804,C5780,C5756,C5732,C5708,C5684)/POBLA!$B$19*100000</f>
        <v>329.70837726822054</v>
      </c>
    </row>
    <row r="5829" spans="1:13" s="360" customFormat="1" x14ac:dyDescent="0.25">
      <c r="A5829" s="367" t="s">
        <v>37</v>
      </c>
      <c r="B5829" s="267">
        <v>44135</v>
      </c>
      <c r="C5829" s="1">
        <v>159</v>
      </c>
      <c r="D5829" s="39">
        <f t="shared" si="787"/>
        <v>9508</v>
      </c>
      <c r="E5829" s="1">
        <f>3</f>
        <v>3</v>
      </c>
      <c r="F5829" s="409">
        <f t="shared" si="784"/>
        <v>133</v>
      </c>
      <c r="G5829" s="168">
        <f>SUM(C5829,C5805,C5781,C5757,C5733,C5709,C5685,C5661,C5637,C5613,C5589,C5565,C5541,C5517)/POBLA!$B$20*100000</f>
        <v>635.77049915504051</v>
      </c>
      <c r="H5829" s="256">
        <f t="shared" si="780"/>
        <v>1.264274061990212</v>
      </c>
      <c r="I5829" s="297">
        <f t="shared" si="785"/>
        <v>803.78815146028774</v>
      </c>
      <c r="J5829" s="297">
        <f t="shared" si="786"/>
        <v>173.85714285714286</v>
      </c>
      <c r="K5829" s="297">
        <f>J5829/POBLA!$B$20*100000</f>
        <v>47.541179568152643</v>
      </c>
      <c r="L5829" s="549">
        <f t="shared" si="781"/>
        <v>-9.8375451263537972E-2</v>
      </c>
      <c r="M5829" s="401">
        <f>SUM(C5829,C5805,C5781,C5757,C5733,C5709,C5685)/POBLA!$B$20*100000</f>
        <v>332.7882569770685</v>
      </c>
    </row>
    <row r="5830" spans="1:13" s="360" customFormat="1" x14ac:dyDescent="0.25">
      <c r="A5830" s="367" t="s">
        <v>22</v>
      </c>
      <c r="B5830" s="267">
        <v>44135</v>
      </c>
      <c r="C5830" s="1">
        <v>1718</v>
      </c>
      <c r="D5830" s="39">
        <f t="shared" si="787"/>
        <v>106348</v>
      </c>
      <c r="E5830" s="1">
        <f>5+11</f>
        <v>16</v>
      </c>
      <c r="F5830" s="409">
        <f t="shared" si="784"/>
        <v>1297</v>
      </c>
      <c r="G5830" s="168">
        <f>SUM(C5830,C5806,C5782,C5758,C5734,C5710,C5686,C5662,C5638,C5614,C5590,C5566,C5542,C5518)/POBLA!$B$21*100000</f>
        <v>835.30849577171023</v>
      </c>
      <c r="H5830" s="256">
        <f t="shared" si="780"/>
        <v>1.0312805474095796</v>
      </c>
      <c r="I5830" s="297">
        <f t="shared" si="785"/>
        <v>861.43740277532186</v>
      </c>
      <c r="J5830" s="297">
        <f t="shared" si="786"/>
        <v>1892.4285714285713</v>
      </c>
      <c r="K5830" s="297">
        <f>J5830/POBLA!$B$21*100000</f>
        <v>53.512581697881053</v>
      </c>
      <c r="L5830" s="549">
        <f t="shared" si="781"/>
        <v>0.18695145154360771</v>
      </c>
      <c r="M5830" s="401">
        <f>SUM(C5830,C5806,C5782,C5758,C5734,C5710,C5686)/POBLA!$B$21*100000</f>
        <v>374.58807188516744</v>
      </c>
    </row>
    <row r="5831" spans="1:13" s="360" customFormat="1" x14ac:dyDescent="0.25">
      <c r="A5831" s="367" t="s">
        <v>38</v>
      </c>
      <c r="B5831" s="267">
        <v>44135</v>
      </c>
      <c r="C5831" s="1">
        <v>221</v>
      </c>
      <c r="D5831" s="39">
        <f t="shared" si="787"/>
        <v>9799</v>
      </c>
      <c r="E5831" s="1">
        <f>3</f>
        <v>3</v>
      </c>
      <c r="F5831" s="409">
        <f t="shared" si="784"/>
        <v>132</v>
      </c>
      <c r="G5831" s="168">
        <f>SUM(C5831,C5807,C5783,C5759,C5735,C5711,C5687,C5663,C5639,C5615,C5591,C5567,C5543,C5519)/POBLA!$B$22*100000</f>
        <v>331.79565231168351</v>
      </c>
      <c r="H5831" s="256">
        <f t="shared" si="780"/>
        <v>1.1982281284606866</v>
      </c>
      <c r="I5831" s="297">
        <f t="shared" si="785"/>
        <v>397.56688350082123</v>
      </c>
      <c r="J5831" s="297">
        <f t="shared" si="786"/>
        <v>239.42857142857142</v>
      </c>
      <c r="K5831" s="297">
        <f>J5831/POBLA!$B$22*100000</f>
        <v>24.473616463092224</v>
      </c>
      <c r="L5831" s="549">
        <f t="shared" si="781"/>
        <v>-6.7515923566878966E-2</v>
      </c>
      <c r="M5831" s="401">
        <f>SUM(C5831,C5807,C5783,C5759,C5735,C5711,C5687)/POBLA!$B$22*100000</f>
        <v>171.31531524164555</v>
      </c>
    </row>
    <row r="5832" spans="1:13" s="360" customFormat="1" x14ac:dyDescent="0.25">
      <c r="A5832" s="367" t="s">
        <v>39</v>
      </c>
      <c r="B5832" s="267">
        <v>44135</v>
      </c>
      <c r="C5832" s="1">
        <v>189</v>
      </c>
      <c r="D5832" s="39">
        <f t="shared" si="787"/>
        <v>11376</v>
      </c>
      <c r="E5832" s="1">
        <f>1</f>
        <v>1</v>
      </c>
      <c r="F5832" s="409">
        <f t="shared" si="784"/>
        <v>148</v>
      </c>
      <c r="G5832" s="168">
        <f>SUM(C5832,C5808,C5784,C5760,C5736,C5712,C5688,C5664,C5640,C5616,C5592,C5568,C5544,C5520)/POBLA!$B$23*100000</f>
        <v>1943.1092009274444</v>
      </c>
      <c r="H5832" s="256">
        <f t="shared" si="780"/>
        <v>1.133245382585752</v>
      </c>
      <c r="I5832" s="297">
        <f t="shared" si="785"/>
        <v>2202.0195298109165</v>
      </c>
      <c r="J5832" s="297">
        <f t="shared" si="786"/>
        <v>223.85714285714286</v>
      </c>
      <c r="K5832" s="297">
        <f>J5832/POBLA!$B$23*100000</f>
        <v>126.59455005210818</v>
      </c>
      <c r="L5832" s="549">
        <f t="shared" si="781"/>
        <v>0.16158373461744246</v>
      </c>
      <c r="M5832" s="401">
        <f>SUM(C5832,C5808,C5784,C5760,C5736,C5712,C5688)/POBLA!$B$23*100000</f>
        <v>886.16185036475713</v>
      </c>
    </row>
    <row r="5833" spans="1:13" s="360" customFormat="1" ht="15.75" thickBot="1" x14ac:dyDescent="0.3">
      <c r="A5833" s="369" t="s">
        <v>40</v>
      </c>
      <c r="B5833" s="269">
        <v>44135</v>
      </c>
      <c r="C5833" s="44">
        <v>729</v>
      </c>
      <c r="D5833" s="176">
        <f>C5833+D5809</f>
        <v>49523</v>
      </c>
      <c r="E5833" s="44">
        <f>3+3</f>
        <v>6</v>
      </c>
      <c r="F5833" s="476">
        <f t="shared" si="784"/>
        <v>772</v>
      </c>
      <c r="G5833" s="177">
        <f>SUM(C5833,C5809,C5785,C5761,C5737,C5713,C5689,C5665,C5641,C5617,C5593,C5569,C5545,C5521)/POBLA!$B$24*100000</f>
        <v>918.06242682880782</v>
      </c>
      <c r="H5833" s="402">
        <f t="shared" si="780"/>
        <v>0.89759418450354811</v>
      </c>
      <c r="I5833" s="403">
        <f t="shared" si="785"/>
        <v>824.04749533275208</v>
      </c>
      <c r="J5833" s="403">
        <f t="shared" si="786"/>
        <v>993.42857142857144</v>
      </c>
      <c r="K5833" s="403">
        <f>J5833/POBLA!$B$24*100000</f>
        <v>58.621252421056042</v>
      </c>
      <c r="L5833" s="550">
        <f t="shared" si="781"/>
        <v>0.19177126917712695</v>
      </c>
      <c r="M5833" s="405">
        <f>SUM(C5833,C5809,C5785,C5761,C5737,C5713,C5689)/POBLA!$B$24*100000</f>
        <v>410.34876694739228</v>
      </c>
    </row>
    <row r="5834" spans="1:13" s="360" customFormat="1" x14ac:dyDescent="0.25">
      <c r="A5834" s="363" t="s">
        <v>16</v>
      </c>
      <c r="B5834" s="267">
        <v>44136</v>
      </c>
      <c r="C5834" s="225">
        <v>1574</v>
      </c>
      <c r="D5834" s="174">
        <f t="shared" ref="D5834:D5897" si="788">C5834+D5810</f>
        <v>550939</v>
      </c>
      <c r="E5834" s="225">
        <v>41</v>
      </c>
      <c r="F5834" s="475">
        <f t="shared" si="784"/>
        <v>17652</v>
      </c>
      <c r="G5834" s="175">
        <f>SUM(C5834,C5810,C5786,C5762,C5738,C5714,C5690,C5666,C5642,C5618,C5594,C5570,C5546,C5522)/POBLA!$B$1*100000</f>
        <v>300.36814594900068</v>
      </c>
      <c r="H5834" s="300">
        <f t="shared" si="780"/>
        <v>0.84585005618879439</v>
      </c>
      <c r="I5834" s="301">
        <f>G5834*H5834</f>
        <v>254.06641312828623</v>
      </c>
      <c r="J5834" s="301">
        <f>AVERAGE(C5834,C5810,C5786,C5762,C5738,C5714,C5690)</f>
        <v>3374.1428571428573</v>
      </c>
      <c r="K5834" s="301">
        <f>J5834/POBLA!$B$1*100000</f>
        <v>19.235595091236412</v>
      </c>
      <c r="L5834" s="548">
        <f t="shared" si="781"/>
        <v>0.18748494960266948</v>
      </c>
      <c r="M5834" s="400">
        <f>SUM(C5834,C5810,C5786,C5762,C5738,C5714,C5690)/POBLA!$B$1*100000</f>
        <v>134.64916563865486</v>
      </c>
    </row>
    <row r="5835" spans="1:13" s="360" customFormat="1" x14ac:dyDescent="0.25">
      <c r="A5835" s="367" t="s">
        <v>43</v>
      </c>
      <c r="B5835" s="267">
        <v>44136</v>
      </c>
      <c r="C5835" s="1">
        <v>258</v>
      </c>
      <c r="D5835" s="39">
        <f t="shared" si="788"/>
        <v>147459</v>
      </c>
      <c r="E5835" s="1">
        <v>41</v>
      </c>
      <c r="F5835" s="409">
        <f t="shared" si="784"/>
        <v>4796</v>
      </c>
      <c r="G5835" s="168">
        <f>SUM(C5835,C5811,C5787,C5763,C5739,C5715,C5691,C5667,C5643,C5619,C5595,C5571,C5547,C5523)/POBLA!$B$2*100000</f>
        <v>243.49356200290933</v>
      </c>
      <c r="H5835" s="256">
        <f t="shared" si="780"/>
        <v>0.70016828721017199</v>
      </c>
      <c r="I5835" s="297">
        <f t="shared" ref="I5835:I5857" si="789">G5835*H5835</f>
        <v>170.48647025428085</v>
      </c>
      <c r="J5835" s="297">
        <f t="shared" ref="J5835:J5857" si="790">AVERAGE(C5835,C5811,C5787,C5763,C5739,C5715,C5691)</f>
        <v>495.57142857142856</v>
      </c>
      <c r="K5835" s="297">
        <f>J5835/POBLA!$B$2*100000</f>
        <v>16.112759029206501</v>
      </c>
      <c r="L5835" s="549">
        <f t="shared" si="781"/>
        <v>0.13706467661691546</v>
      </c>
      <c r="M5835" s="401">
        <f>SUM(C5835,C5811,C5787,C5763,C5739,C5715,C5691)/POBLA!$B$2*100000</f>
        <v>112.78931320444551</v>
      </c>
    </row>
    <row r="5836" spans="1:13" s="360" customFormat="1" x14ac:dyDescent="0.25">
      <c r="A5836" s="367" t="s">
        <v>28</v>
      </c>
      <c r="B5836" s="267">
        <v>44136</v>
      </c>
      <c r="C5836" s="1">
        <v>39</v>
      </c>
      <c r="D5836" s="39">
        <f t="shared" si="788"/>
        <v>935</v>
      </c>
      <c r="E5836" s="1"/>
      <c r="F5836" s="409">
        <f t="shared" si="784"/>
        <v>0</v>
      </c>
      <c r="G5836" s="168">
        <f>SUM(C5836,C5812,C5788,C5764,C5740,C5716,C5692,C5668,C5644,C5620,C5596,C5572,C5548,C5524)/POBLA!$B$3*100000</f>
        <v>109.52296130830592</v>
      </c>
      <c r="H5836" s="256">
        <f t="shared" si="780"/>
        <v>2.808641975308642</v>
      </c>
      <c r="I5836" s="297">
        <f t="shared" si="789"/>
        <v>307.6107863906123</v>
      </c>
      <c r="J5836" s="297">
        <f t="shared" si="790"/>
        <v>43.428571428571431</v>
      </c>
      <c r="K5836" s="297">
        <f>J5836/POBLA!$B$3*100000</f>
        <v>10.453682963178965</v>
      </c>
      <c r="L5836" s="549">
        <f t="shared" si="781"/>
        <v>-1.0132450331125828</v>
      </c>
      <c r="M5836" s="401">
        <f>SUM(C5836,C5812,C5788,C5764,C5740,C5716,C5692)/POBLA!$B$3*100000</f>
        <v>73.175780742252755</v>
      </c>
    </row>
    <row r="5837" spans="1:13" s="360" customFormat="1" x14ac:dyDescent="0.25">
      <c r="A5837" s="367" t="s">
        <v>15</v>
      </c>
      <c r="B5837" s="267">
        <v>44136</v>
      </c>
      <c r="C5837" s="1">
        <v>141</v>
      </c>
      <c r="D5837" s="39">
        <f t="shared" si="788"/>
        <v>14191</v>
      </c>
      <c r="E5837" s="1">
        <v>5</v>
      </c>
      <c r="F5837" s="409">
        <f t="shared" si="784"/>
        <v>432</v>
      </c>
      <c r="G5837" s="168">
        <f>SUM(C5837,C5813,C5789,C5765,C5741,C5717,C5693,C5669,C5645,C5621,C5597,C5573,C5549,C5525)/POBLA!$B$4*100000</f>
        <v>209.87247424537645</v>
      </c>
      <c r="H5837" s="256">
        <f t="shared" si="780"/>
        <v>1.0433347090383822</v>
      </c>
      <c r="I5837" s="297">
        <f t="shared" si="789"/>
        <v>218.9672368519652</v>
      </c>
      <c r="J5837" s="297">
        <f t="shared" si="790"/>
        <v>157.28571428571428</v>
      </c>
      <c r="K5837" s="297">
        <f>J5837/POBLA!$B$4*100000</f>
        <v>13.057730229665431</v>
      </c>
      <c r="L5837" s="549">
        <f t="shared" si="781"/>
        <v>0.22845129642606865</v>
      </c>
      <c r="M5837" s="401">
        <f>SUM(C5837,C5813,C5789,C5765,C5741,C5717,C5693)/POBLA!$B$4*100000</f>
        <v>91.404111607658024</v>
      </c>
    </row>
    <row r="5838" spans="1:13" s="360" customFormat="1" x14ac:dyDescent="0.25">
      <c r="A5838" s="367" t="s">
        <v>29</v>
      </c>
      <c r="B5838" s="267">
        <v>44136</v>
      </c>
      <c r="C5838" s="1">
        <v>93</v>
      </c>
      <c r="D5838" s="39">
        <f t="shared" si="788"/>
        <v>14475</v>
      </c>
      <c r="E5838" s="1">
        <v>1</v>
      </c>
      <c r="F5838" s="409">
        <f t="shared" si="784"/>
        <v>249</v>
      </c>
      <c r="G5838" s="168">
        <f>SUM(C5838,C5814,C5790,C5766,C5742,C5718,C5694,C5670,C5646,C5622,C5598,C5574,C5550,C5526)/POBLA!$B$5*100000</f>
        <v>877.71448511617234</v>
      </c>
      <c r="H5838" s="256">
        <f t="shared" si="780"/>
        <v>1.2475315729047072</v>
      </c>
      <c r="I5838" s="297">
        <f t="shared" si="789"/>
        <v>1094.9765321782236</v>
      </c>
      <c r="J5838" s="297">
        <f t="shared" si="790"/>
        <v>291.14285714285717</v>
      </c>
      <c r="K5838" s="297">
        <f>J5838/POBLA!$B$5*100000</f>
        <v>47.03484317180088</v>
      </c>
      <c r="L5838" s="549">
        <f t="shared" si="781"/>
        <v>0.3997054491899853</v>
      </c>
      <c r="M5838" s="401">
        <f>SUM(C5838,C5814,C5790,C5766,C5742,C5718,C5694)/POBLA!$B$5*100000</f>
        <v>329.24390220260619</v>
      </c>
    </row>
    <row r="5839" spans="1:13" s="360" customFormat="1" x14ac:dyDescent="0.25">
      <c r="A5839" s="367" t="s">
        <v>20</v>
      </c>
      <c r="B5839" s="267">
        <v>44136</v>
      </c>
      <c r="C5839" s="1">
        <v>903</v>
      </c>
      <c r="D5839" s="39">
        <f t="shared" si="788"/>
        <v>86318</v>
      </c>
      <c r="E5839" s="1">
        <v>18</v>
      </c>
      <c r="F5839" s="409">
        <f t="shared" si="784"/>
        <v>1309</v>
      </c>
      <c r="G5839" s="168">
        <f>SUM(C5839,C5815,C5791,C5767,C5743,C5719,C5695,C5671,C5647,C5623,C5599,C5575,C5551,C5527)/POBLA!$B$6*100000</f>
        <v>2088.4171231110608</v>
      </c>
      <c r="H5839" s="256">
        <f t="shared" si="780"/>
        <v>1.0467778721881849</v>
      </c>
      <c r="I5839" s="297">
        <f t="shared" si="789"/>
        <v>2186.1088323715667</v>
      </c>
      <c r="J5839" s="297">
        <f t="shared" si="790"/>
        <v>1474.7142857142858</v>
      </c>
      <c r="K5839" s="297">
        <f>J5839/POBLA!$B$6*100000</f>
        <v>131.57681744701208</v>
      </c>
      <c r="L5839" s="549">
        <f t="shared" si="781"/>
        <v>0.21102109446652395</v>
      </c>
      <c r="M5839" s="401">
        <f>SUM(C5839,C5815,C5791,C5767,C5743,C5719,C5695)/POBLA!$B$6*100000</f>
        <v>921.0377221290845</v>
      </c>
    </row>
    <row r="5840" spans="1:13" s="360" customFormat="1" x14ac:dyDescent="0.25">
      <c r="A5840" s="367" t="s">
        <v>30</v>
      </c>
      <c r="B5840" s="267">
        <v>44136</v>
      </c>
      <c r="C5840" s="1">
        <v>4</v>
      </c>
      <c r="D5840" s="39">
        <f t="shared" si="788"/>
        <v>2553</v>
      </c>
      <c r="E5840" s="1"/>
      <c r="F5840" s="409">
        <f t="shared" si="784"/>
        <v>47</v>
      </c>
      <c r="G5840" s="168">
        <f>SUM(C5840,C5816,C5792,C5768,C5744,C5720,C5696,C5672,C5648,C5624,C5600,C5576,C5552,C5528)/POBLA!$B$7*100000</f>
        <v>15.290723184725231</v>
      </c>
      <c r="H5840" s="256">
        <f t="shared" si="780"/>
        <v>0.71517412935323388</v>
      </c>
      <c r="I5840" s="297">
        <f t="shared" si="789"/>
        <v>10.935529640817174</v>
      </c>
      <c r="J5840" s="297">
        <f t="shared" si="790"/>
        <v>40.571428571428569</v>
      </c>
      <c r="K5840" s="297">
        <f>J5840/POBLA!$B$7*100000</f>
        <v>1.0788982321644636</v>
      </c>
      <c r="L5840" s="549">
        <f t="shared" si="781"/>
        <v>2.4054982817869441E-2</v>
      </c>
      <c r="M5840" s="401">
        <f>SUM(C5840,C5816,C5792,C5768,C5744,C5720,C5696)/POBLA!$B$7*100000</f>
        <v>7.5522876251512461</v>
      </c>
    </row>
    <row r="5841" spans="1:13" x14ac:dyDescent="0.25">
      <c r="A5841" s="367" t="s">
        <v>31</v>
      </c>
      <c r="B5841" s="267">
        <v>44136</v>
      </c>
      <c r="C5841" s="1">
        <v>198</v>
      </c>
      <c r="D5841" s="39">
        <f t="shared" si="788"/>
        <v>16195</v>
      </c>
      <c r="E5841" s="1">
        <v>1</v>
      </c>
      <c r="F5841" s="409">
        <f t="shared" si="784"/>
        <v>278</v>
      </c>
      <c r="G5841" s="168">
        <f>SUM(C5841,C5817,C5793,C5769,C5745,C5721,C5697,C5673,C5649,C5625,C5601,C5577,C5553,C5529)/POBLA!$B$8*100000</f>
        <v>343.51615954561493</v>
      </c>
      <c r="H5841" s="256">
        <f t="shared" si="780"/>
        <v>1.4361990950226244</v>
      </c>
      <c r="I5841" s="297">
        <f t="shared" si="789"/>
        <v>493.35759746505965</v>
      </c>
      <c r="J5841" s="297">
        <f t="shared" si="790"/>
        <v>322.14285714285717</v>
      </c>
      <c r="K5841" s="297">
        <f>J5841/POBLA!$B$8*100000</f>
        <v>23.243284417300139</v>
      </c>
      <c r="L5841" s="549">
        <f t="shared" si="781"/>
        <v>0.10015961691939346</v>
      </c>
      <c r="M5841" s="401">
        <f>SUM(C5841,C5817,C5793,C5769,C5745,C5721,C5697)/POBLA!$B$8*100000</f>
        <v>162.70299092110096</v>
      </c>
    </row>
    <row r="5842" spans="1:13" s="360" customFormat="1" x14ac:dyDescent="0.25">
      <c r="A5842" s="367" t="s">
        <v>41</v>
      </c>
      <c r="B5842" s="267">
        <v>44136</v>
      </c>
      <c r="C5842" s="1">
        <v>-2</v>
      </c>
      <c r="D5842" s="39">
        <f t="shared" si="788"/>
        <v>151</v>
      </c>
      <c r="E5842" s="1">
        <v>1</v>
      </c>
      <c r="F5842" s="409">
        <f t="shared" si="784"/>
        <v>2</v>
      </c>
      <c r="G5842" s="168">
        <f>SUM(C5842,C5818,C5794,C5770,C5746,C5722,C5698,C5674,C5650,C5626,C5602,C5578,C5554,C5530)/POBLA!$B$9*100000</f>
        <v>2.1480750768763022</v>
      </c>
      <c r="H5842" s="256">
        <f t="shared" si="780"/>
        <v>0.39393939393939392</v>
      </c>
      <c r="I5842" s="297">
        <f t="shared" si="789"/>
        <v>0.84621139392096745</v>
      </c>
      <c r="J5842" s="297">
        <f t="shared" si="790"/>
        <v>1.1428571428571428</v>
      </c>
      <c r="K5842" s="297">
        <f>J5842/POBLA!$B$9*100000</f>
        <v>0.18884176500011449</v>
      </c>
      <c r="L5842" s="549">
        <f t="shared" si="781"/>
        <v>-0.60000000000000009</v>
      </c>
      <c r="M5842" s="401">
        <f>SUM(C5842,C5818,C5794,C5770,C5746,C5722,C5698)/POBLA!$B$9*100000</f>
        <v>1.3218923550008015</v>
      </c>
    </row>
    <row r="5843" spans="1:13" s="360" customFormat="1" x14ac:dyDescent="0.25">
      <c r="A5843" s="367" t="s">
        <v>32</v>
      </c>
      <c r="B5843" s="267">
        <v>44136</v>
      </c>
      <c r="C5843" s="1">
        <v>28</v>
      </c>
      <c r="D5843" s="39">
        <f t="shared" si="788"/>
        <v>17884</v>
      </c>
      <c r="E5843" s="1">
        <v>1</v>
      </c>
      <c r="F5843" s="409">
        <f t="shared" si="784"/>
        <v>812</v>
      </c>
      <c r="G5843" s="168">
        <f>SUM(C5843,C5819,C5795,C5771,C5747,C5723,C5699,C5675,C5651,C5627,C5603,C5579,C5555,C5531)/POBLA!$B$10*100000</f>
        <v>84.319110212860352</v>
      </c>
      <c r="H5843" s="256">
        <f t="shared" si="780"/>
        <v>0.58348294434470382</v>
      </c>
      <c r="I5843" s="297">
        <f t="shared" si="789"/>
        <v>49.198762691525346</v>
      </c>
      <c r="J5843" s="297">
        <f t="shared" si="790"/>
        <v>38.571428571428569</v>
      </c>
      <c r="K5843" s="297">
        <f>J5843/POBLA!$B$10*100000</f>
        <v>5.0035515950488554</v>
      </c>
      <c r="L5843" s="549">
        <f t="shared" si="781"/>
        <v>0.28947368421052633</v>
      </c>
      <c r="M5843" s="401">
        <f>SUM(C5843,C5819,C5795,C5771,C5747,C5723,C5699)/POBLA!$B$10*100000</f>
        <v>35.024861165341989</v>
      </c>
    </row>
    <row r="5844" spans="1:13" s="360" customFormat="1" x14ac:dyDescent="0.25">
      <c r="A5844" s="367" t="s">
        <v>33</v>
      </c>
      <c r="B5844" s="267">
        <v>44136</v>
      </c>
      <c r="C5844" s="1">
        <v>82</v>
      </c>
      <c r="D5844" s="39">
        <f t="shared" si="788"/>
        <v>3361</v>
      </c>
      <c r="E5844" s="1"/>
      <c r="F5844" s="409">
        <f t="shared" si="784"/>
        <v>33</v>
      </c>
      <c r="G5844" s="168">
        <f>SUM(C5844,C5820,C5796,C5772,C5748,C5724,C5700,C5676,C5652,C5628,C5604,C5580,C5556,C5532)/POBLA!$B$11*100000</f>
        <v>486.29013358331383</v>
      </c>
      <c r="H5844" s="256">
        <f t="shared" si="780"/>
        <v>2.2844036697247705</v>
      </c>
      <c r="I5844" s="297">
        <f t="shared" si="789"/>
        <v>1110.882965708671</v>
      </c>
      <c r="J5844" s="297">
        <f t="shared" si="790"/>
        <v>129.28571428571428</v>
      </c>
      <c r="K5844" s="297">
        <f>J5844/POBLA!$B$11*100000</f>
        <v>36.070204974420044</v>
      </c>
      <c r="L5844" s="549">
        <f t="shared" si="781"/>
        <v>-7.9952267303102564E-2</v>
      </c>
      <c r="M5844" s="401">
        <f>SUM(C5844,C5820,C5796,C5772,C5748,C5724,C5700)/POBLA!$B$11*100000</f>
        <v>252.49143482094033</v>
      </c>
    </row>
    <row r="5845" spans="1:13" s="360" customFormat="1" x14ac:dyDescent="0.25">
      <c r="A5845" s="367" t="s">
        <v>21</v>
      </c>
      <c r="B5845" s="267">
        <v>44136</v>
      </c>
      <c r="C5845" s="1">
        <v>35</v>
      </c>
      <c r="D5845" s="39">
        <f t="shared" si="788"/>
        <v>7604</v>
      </c>
      <c r="E5845" s="1"/>
      <c r="F5845" s="409">
        <f t="shared" si="784"/>
        <v>272</v>
      </c>
      <c r="G5845" s="168">
        <f>SUM(C5845,C5821,C5797,C5773,C5749,C5725,C5701,C5677,C5653,C5629,C5605,C5581,C5557,C5533)/POBLA!$B$12*100000</f>
        <v>265.54451872914711</v>
      </c>
      <c r="H5845" s="256">
        <f t="shared" si="780"/>
        <v>0.72418572418572413</v>
      </c>
      <c r="I5845" s="297">
        <f t="shared" si="789"/>
        <v>192.30354959941698</v>
      </c>
      <c r="J5845" s="297">
        <f t="shared" si="790"/>
        <v>68.571428571428569</v>
      </c>
      <c r="K5845" s="297">
        <f>J5845/POBLA!$B$12*100000</f>
        <v>17.424657414899606</v>
      </c>
      <c r="L5845" s="549">
        <f t="shared" si="781"/>
        <v>0.15044247787610621</v>
      </c>
      <c r="M5845" s="401">
        <f>SUM(C5845,C5821,C5797,C5773,C5749,C5725,C5701)/POBLA!$B$12*100000</f>
        <v>121.97260190429725</v>
      </c>
    </row>
    <row r="5846" spans="1:13" s="360" customFormat="1" x14ac:dyDescent="0.25">
      <c r="A5846" s="367" t="s">
        <v>17</v>
      </c>
      <c r="B5846" s="267">
        <v>44136</v>
      </c>
      <c r="C5846" s="1">
        <v>207</v>
      </c>
      <c r="D5846" s="39">
        <f t="shared" si="788"/>
        <v>47280</v>
      </c>
      <c r="E5846" s="1">
        <v>1</v>
      </c>
      <c r="F5846" s="409">
        <f t="shared" si="784"/>
        <v>779</v>
      </c>
      <c r="G5846" s="168">
        <f>SUM(C5846,C5822,C5798,C5774,C5750,C5726,C5702,C5678,C5654,C5630,C5606,C5582,C5558,C5534)/POBLA!$B$13*100000</f>
        <v>511.37043054998696</v>
      </c>
      <c r="H5846" s="256">
        <f t="shared" si="780"/>
        <v>1.0600979064680762</v>
      </c>
      <c r="I5846" s="297">
        <f t="shared" si="789"/>
        <v>542.10272285572</v>
      </c>
      <c r="J5846" s="297">
        <f t="shared" si="790"/>
        <v>618.71428571428567</v>
      </c>
      <c r="K5846" s="297">
        <f>J5846/POBLA!$B$13*100000</f>
        <v>31.085890221373738</v>
      </c>
      <c r="L5846" s="549">
        <f t="shared" si="781"/>
        <v>0.2592782623567641</v>
      </c>
      <c r="M5846" s="401">
        <f>SUM(C5846,C5822,C5798,C5774,C5750,C5726,C5702)/POBLA!$B$13*100000</f>
        <v>217.60123154961619</v>
      </c>
    </row>
    <row r="5847" spans="1:13" s="360" customFormat="1" x14ac:dyDescent="0.25">
      <c r="A5847" s="367" t="s">
        <v>23</v>
      </c>
      <c r="B5847" s="267">
        <v>44136</v>
      </c>
      <c r="C5847" s="1">
        <v>17</v>
      </c>
      <c r="D5847" s="39">
        <f t="shared" si="788"/>
        <v>278</v>
      </c>
      <c r="E5847" s="1"/>
      <c r="F5847" s="409">
        <f t="shared" si="784"/>
        <v>5</v>
      </c>
      <c r="G5847" s="168">
        <f>SUM(C5847,C5823,C5799,C5775,C5751,C5727,C5703,C5679,C5655,C5631,C5607,C5583,C5559,C5535)/POBLA!$B$14*100000</f>
        <v>5.9462742231390937</v>
      </c>
      <c r="H5847" s="256">
        <f t="shared" si="780"/>
        <v>0.75</v>
      </c>
      <c r="I5847" s="297">
        <f t="shared" si="789"/>
        <v>4.4597056673543207</v>
      </c>
      <c r="J5847" s="297">
        <f t="shared" si="790"/>
        <v>8.7142857142857135</v>
      </c>
      <c r="K5847" s="297">
        <f>J5847/POBLA!$B$14*100000</f>
        <v>0.69090043354568509</v>
      </c>
      <c r="L5847" s="549">
        <f t="shared" si="781"/>
        <v>-3.3571428571428568</v>
      </c>
      <c r="M5847" s="401">
        <f>SUM(C5847,C5823,C5799,C5775,C5751,C5727,C5703)/POBLA!$B$14*100000</f>
        <v>4.8363030348197968</v>
      </c>
    </row>
    <row r="5848" spans="1:13" s="360" customFormat="1" x14ac:dyDescent="0.25">
      <c r="A5848" s="367" t="s">
        <v>19</v>
      </c>
      <c r="B5848" s="267">
        <v>44136</v>
      </c>
      <c r="C5848" s="1">
        <v>256</v>
      </c>
      <c r="D5848" s="39">
        <f t="shared" si="788"/>
        <v>22494</v>
      </c>
      <c r="E5848" s="1">
        <v>1</v>
      </c>
      <c r="F5848" s="409">
        <f t="shared" si="784"/>
        <v>406</v>
      </c>
      <c r="G5848" s="168">
        <f>SUM(C5848,C5824,C5800,C5776,C5752,C5728,C5704,C5680,C5656,C5632,C5608,C5584,C5560,C5536)/POBLA!$B$15*100000</f>
        <v>1116.0186550250958</v>
      </c>
      <c r="H5848" s="256">
        <f t="shared" si="780"/>
        <v>1.1945519019987105</v>
      </c>
      <c r="I5848" s="297">
        <f t="shared" si="789"/>
        <v>1333.1422070262709</v>
      </c>
      <c r="J5848" s="297">
        <f t="shared" si="790"/>
        <v>444.42857142857144</v>
      </c>
      <c r="K5848" s="297">
        <f>J5848/POBLA!$B$15*100000</f>
        <v>66.926268592691812</v>
      </c>
      <c r="L5848" s="549">
        <f t="shared" si="781"/>
        <v>0.2765116279069767</v>
      </c>
      <c r="M5848" s="401">
        <f>SUM(C5848,C5824,C5800,C5776,C5752,C5728,C5704)/POBLA!$B$15*100000</f>
        <v>468.48388014884262</v>
      </c>
    </row>
    <row r="5849" spans="1:13" s="360" customFormat="1" x14ac:dyDescent="0.25">
      <c r="A5849" s="367" t="s">
        <v>18</v>
      </c>
      <c r="B5849" s="267">
        <v>44136</v>
      </c>
      <c r="C5849" s="1">
        <v>144</v>
      </c>
      <c r="D5849" s="39">
        <f t="shared" si="788"/>
        <v>24137</v>
      </c>
      <c r="E5849" s="1">
        <v>2</v>
      </c>
      <c r="F5849" s="409">
        <f t="shared" si="784"/>
        <v>614</v>
      </c>
      <c r="G5849" s="168">
        <f>SUM(C5849,C5825,C5801,C5777,C5753,C5729,C5705,C5681,C5657,C5633,C5609,C5585,C5561,C5537)/POBLA!$B$16*100000</f>
        <v>658.89969369056053</v>
      </c>
      <c r="H5849" s="256">
        <f t="shared" si="780"/>
        <v>0.95948578106739379</v>
      </c>
      <c r="I5849" s="297">
        <f t="shared" si="789"/>
        <v>632.20488724575398</v>
      </c>
      <c r="J5849" s="297">
        <f t="shared" si="790"/>
        <v>336.71428571428572</v>
      </c>
      <c r="K5849" s="297">
        <f>J5849/POBLA!$B$16*100000</f>
        <v>45.038761615586431</v>
      </c>
      <c r="L5849" s="549">
        <f t="shared" si="781"/>
        <v>8.2522382249902715E-2</v>
      </c>
      <c r="M5849" s="401">
        <f>SUM(C5849,C5825,C5801,C5777,C5753,C5729,C5705)/POBLA!$B$16*100000</f>
        <v>315.27133130910499</v>
      </c>
    </row>
    <row r="5850" spans="1:13" s="360" customFormat="1" x14ac:dyDescent="0.25">
      <c r="A5850" s="367" t="s">
        <v>34</v>
      </c>
      <c r="B5850" s="267">
        <v>44136</v>
      </c>
      <c r="C5850" s="1">
        <v>139</v>
      </c>
      <c r="D5850" s="39">
        <f t="shared" si="788"/>
        <v>18885</v>
      </c>
      <c r="E5850" s="1">
        <v>6</v>
      </c>
      <c r="F5850" s="409">
        <f t="shared" si="784"/>
        <v>789</v>
      </c>
      <c r="G5850" s="168">
        <f>SUM(C5850,C5826,C5802,C5778,C5754,C5730,C5706,C5682,C5658,C5634,C5610,C5586,C5562,C5538)/POBLA!$B$17*100000</f>
        <v>175.58307129262417</v>
      </c>
      <c r="H5850" s="256">
        <f t="shared" ref="H5850:H5881" si="791">SUM(C5850,C5826,C5802,C5778,C5754,C5730,C5706,C5682,C5658,C5634,C5610,C5586,C5562,C5538)/SUM(C5514,C5490,C5466,C5442,C5418,C5394,C5370,C5346,C5322,C5298,C5274,C5250,C5226,C5202)</f>
        <v>0.80443872627854618</v>
      </c>
      <c r="I5850" s="297">
        <f t="shared" si="789"/>
        <v>141.24582222671376</v>
      </c>
      <c r="J5850" s="297">
        <f t="shared" si="790"/>
        <v>157.57142857142858</v>
      </c>
      <c r="K5850" s="297">
        <f>J5850/POBLA!$B$17*100000</f>
        <v>11.062325220526903</v>
      </c>
      <c r="L5850" s="549">
        <f t="shared" ref="L5850:L5881" si="792">1-SUM(C5850,C5826,C5802,C5778,C5754,C5730,C5706)/SUM(C5682,C5658,C5634,C5610,C5586,C5562,C5538)</f>
        <v>0.21101573676680974</v>
      </c>
      <c r="M5850" s="401">
        <f>SUM(C5850,C5826,C5802,C5778,C5754,C5730,C5706)/POBLA!$B$17*100000</f>
        <v>77.436276543688322</v>
      </c>
    </row>
    <row r="5851" spans="1:13" s="360" customFormat="1" x14ac:dyDescent="0.25">
      <c r="A5851" s="367" t="s">
        <v>35</v>
      </c>
      <c r="B5851" s="267">
        <v>44136</v>
      </c>
      <c r="C5851" s="1">
        <v>59</v>
      </c>
      <c r="D5851" s="39">
        <f t="shared" si="788"/>
        <v>2425</v>
      </c>
      <c r="E5851" s="1"/>
      <c r="F5851" s="409">
        <f t="shared" si="784"/>
        <v>101</v>
      </c>
      <c r="G5851" s="168">
        <f>SUM(C5851,C5827,C5803,C5779,C5755,C5731,C5707,C5683,C5659,C5635,C5611,C5587,C5563,C5539)/POBLA!$B$18*100000</f>
        <v>145.03012607252529</v>
      </c>
      <c r="H5851" s="256">
        <f t="shared" si="791"/>
        <v>2.501103752759382</v>
      </c>
      <c r="I5851" s="297">
        <f t="shared" si="789"/>
        <v>362.7353925831593</v>
      </c>
      <c r="J5851" s="297">
        <f t="shared" si="790"/>
        <v>148.42857142857142</v>
      </c>
      <c r="K5851" s="297">
        <f>J5851/POBLA!$B$18*100000</f>
        <v>18.999659688482382</v>
      </c>
      <c r="L5851" s="549">
        <f t="shared" si="792"/>
        <v>-10.053191489361701</v>
      </c>
      <c r="M5851" s="401">
        <f>SUM(C5851,C5827,C5803,C5779,C5755,C5731,C5707)/POBLA!$B$18*100000</f>
        <v>132.9976178193767</v>
      </c>
    </row>
    <row r="5852" spans="1:13" s="360" customFormat="1" x14ac:dyDescent="0.25">
      <c r="A5852" s="367" t="s">
        <v>36</v>
      </c>
      <c r="B5852" s="267">
        <v>44136</v>
      </c>
      <c r="C5852" s="1">
        <v>248</v>
      </c>
      <c r="D5852" s="39">
        <f t="shared" si="788"/>
        <v>7229</v>
      </c>
      <c r="E5852" s="1"/>
      <c r="F5852" s="409">
        <f t="shared" si="784"/>
        <v>54</v>
      </c>
      <c r="G5852" s="168">
        <f>SUM(C5852,C5828,C5804,C5780,C5756,C5732,C5708,C5684,C5660,C5636,C5612,C5588,C5564,C5540)/POBLA!$B$19*100000</f>
        <v>765.64737728395835</v>
      </c>
      <c r="H5852" s="256">
        <f t="shared" si="791"/>
        <v>2.3921327596803934</v>
      </c>
      <c r="I5852" s="297">
        <f t="shared" si="789"/>
        <v>1831.5301735643307</v>
      </c>
      <c r="J5852" s="297">
        <f t="shared" si="790"/>
        <v>248</v>
      </c>
      <c r="K5852" s="297">
        <f>J5852/POBLA!$B$19*100000</f>
        <v>48.787397113674636</v>
      </c>
      <c r="L5852" s="549">
        <f t="shared" si="792"/>
        <v>0.19480519480519476</v>
      </c>
      <c r="M5852" s="401">
        <f>SUM(C5852,C5828,C5804,C5780,C5756,C5732,C5708)/POBLA!$B$19*100000</f>
        <v>341.51177979572248</v>
      </c>
    </row>
    <row r="5853" spans="1:13" s="360" customFormat="1" x14ac:dyDescent="0.25">
      <c r="A5853" s="367" t="s">
        <v>37</v>
      </c>
      <c r="B5853" s="267">
        <v>44136</v>
      </c>
      <c r="C5853" s="1">
        <v>176</v>
      </c>
      <c r="D5853" s="39">
        <f t="shared" si="788"/>
        <v>9684</v>
      </c>
      <c r="E5853" s="1">
        <v>2</v>
      </c>
      <c r="F5853" s="409">
        <f t="shared" si="784"/>
        <v>135</v>
      </c>
      <c r="G5853" s="168">
        <f>SUM(C5853,C5829,C5805,C5781,C5757,C5733,C5709,C5685,C5661,C5637,C5613,C5589,C5565,C5541)/POBLA!$B$20*100000</f>
        <v>660.92786944418617</v>
      </c>
      <c r="H5853" s="256">
        <f t="shared" si="791"/>
        <v>1.3324145534729879</v>
      </c>
      <c r="I5853" s="297">
        <f t="shared" si="789"/>
        <v>880.62991204332855</v>
      </c>
      <c r="J5853" s="297">
        <f t="shared" si="790"/>
        <v>173.57142857142858</v>
      </c>
      <c r="K5853" s="297">
        <f>J5853/POBLA!$B$20*100000</f>
        <v>47.463051088993808</v>
      </c>
      <c r="L5853" s="549">
        <f t="shared" si="792"/>
        <v>-1.0815307820299491E-2</v>
      </c>
      <c r="M5853" s="401">
        <f>SUM(C5853,C5829,C5805,C5781,C5757,C5733,C5709)/POBLA!$B$20*100000</f>
        <v>332.24135762295663</v>
      </c>
    </row>
    <row r="5854" spans="1:13" s="360" customFormat="1" x14ac:dyDescent="0.25">
      <c r="A5854" s="367" t="s">
        <v>22</v>
      </c>
      <c r="B5854" s="267">
        <v>44136</v>
      </c>
      <c r="C5854" s="1">
        <v>1170</v>
      </c>
      <c r="D5854" s="39">
        <f t="shared" si="788"/>
        <v>107518</v>
      </c>
      <c r="E5854" s="1">
        <v>17</v>
      </c>
      <c r="F5854" s="409">
        <f t="shared" si="784"/>
        <v>1314</v>
      </c>
      <c r="G5854" s="168">
        <f>SUM(C5854,C5830,C5806,C5782,C5758,C5734,C5710,C5686,C5662,C5638,C5614,C5590,C5566,C5542)/POBLA!$B$21*100000</f>
        <v>811.41426154939836</v>
      </c>
      <c r="H5854" s="256">
        <f t="shared" si="791"/>
        <v>0.96266103059581321</v>
      </c>
      <c r="I5854" s="297">
        <f t="shared" si="789"/>
        <v>781.11688926328452</v>
      </c>
      <c r="J5854" s="297">
        <f t="shared" si="790"/>
        <v>1858.8571428571429</v>
      </c>
      <c r="K5854" s="297">
        <f>J5854/POBLA!$B$21*100000</f>
        <v>52.563275689048716</v>
      </c>
      <c r="L5854" s="549">
        <f t="shared" si="792"/>
        <v>0.17031180258879042</v>
      </c>
      <c r="M5854" s="401">
        <f>SUM(C5854,C5830,C5806,C5782,C5758,C5734,C5710)/POBLA!$B$21*100000</f>
        <v>367.94292982334105</v>
      </c>
    </row>
    <row r="5855" spans="1:13" s="360" customFormat="1" x14ac:dyDescent="0.25">
      <c r="A5855" s="367" t="s">
        <v>38</v>
      </c>
      <c r="B5855" s="267">
        <v>44136</v>
      </c>
      <c r="C5855" s="1">
        <v>182</v>
      </c>
      <c r="D5855" s="39">
        <f t="shared" si="788"/>
        <v>9981</v>
      </c>
      <c r="E5855" s="1">
        <v>1</v>
      </c>
      <c r="F5855" s="409">
        <f t="shared" si="784"/>
        <v>133</v>
      </c>
      <c r="G5855" s="168">
        <f>SUM(C5855,C5831,C5807,C5783,C5759,C5735,C5711,C5687,C5663,C5639,C5615,C5591,C5567,C5543)/POBLA!$B$22*100000</f>
        <v>323.61831029537581</v>
      </c>
      <c r="H5855" s="256">
        <f t="shared" si="791"/>
        <v>1.0868520425677994</v>
      </c>
      <c r="I5855" s="297">
        <f t="shared" si="789"/>
        <v>351.72522155686909</v>
      </c>
      <c r="J5855" s="297">
        <f t="shared" si="790"/>
        <v>228</v>
      </c>
      <c r="K5855" s="297">
        <f>J5855/POBLA!$B$22*100000</f>
        <v>23.305424746476845</v>
      </c>
      <c r="L5855" s="549">
        <f t="shared" si="792"/>
        <v>-1.6560509554140124E-2</v>
      </c>
      <c r="M5855" s="401">
        <f>SUM(C5855,C5831,C5807,C5783,C5759,C5735,C5711)/POBLA!$B$22*100000</f>
        <v>163.1379732253379</v>
      </c>
    </row>
    <row r="5856" spans="1:13" s="360" customFormat="1" x14ac:dyDescent="0.25">
      <c r="A5856" s="367" t="s">
        <v>39</v>
      </c>
      <c r="B5856" s="267">
        <v>44136</v>
      </c>
      <c r="C5856" s="1">
        <v>205</v>
      </c>
      <c r="D5856" s="39">
        <f t="shared" si="788"/>
        <v>11581</v>
      </c>
      <c r="E5856" s="1">
        <v>2</v>
      </c>
      <c r="F5856" s="409">
        <f t="shared" si="784"/>
        <v>150</v>
      </c>
      <c r="G5856" s="168">
        <f>SUM(C5856,C5832,C5808,C5784,C5760,C5736,C5712,C5688,C5664,C5640,C5616,C5592,C5568,C5544)/POBLA!$B$23*100000</f>
        <v>1941.4126562234915</v>
      </c>
      <c r="H5856" s="256">
        <f t="shared" si="791"/>
        <v>1.105636070853462</v>
      </c>
      <c r="I5856" s="297">
        <f t="shared" si="789"/>
        <v>2146.495861132124</v>
      </c>
      <c r="J5856" s="297">
        <f t="shared" si="790"/>
        <v>218.42857142857142</v>
      </c>
      <c r="K5856" s="297">
        <f>J5856/POBLA!$B$23*100000</f>
        <v>123.52461201638376</v>
      </c>
      <c r="L5856" s="549">
        <f t="shared" si="792"/>
        <v>0.19695378151260501</v>
      </c>
      <c r="M5856" s="401">
        <f>SUM(C5856,C5832,C5808,C5784,C5760,C5736,C5712)/POBLA!$B$23*100000</f>
        <v>864.67228411468648</v>
      </c>
    </row>
    <row r="5857" spans="1:13" s="360" customFormat="1" ht="15.75" thickBot="1" x14ac:dyDescent="0.3">
      <c r="A5857" s="369" t="s">
        <v>40</v>
      </c>
      <c r="B5857" s="267">
        <v>44136</v>
      </c>
      <c r="C5857" s="1">
        <v>453</v>
      </c>
      <c r="D5857" s="176">
        <f>C5857+D5833</f>
        <v>49976</v>
      </c>
      <c r="E5857" s="1"/>
      <c r="F5857" s="476">
        <f t="shared" si="784"/>
        <v>772</v>
      </c>
      <c r="G5857" s="177">
        <f>SUM(C5857,C5833,C5809,C5785,C5761,C5737,C5713,C5689,C5665,C5641,C5617,C5593,C5569,C5545)/POBLA!$B$24*100000</f>
        <v>899.23854752823001</v>
      </c>
      <c r="H5857" s="402">
        <f t="shared" si="791"/>
        <v>0.85761719849175533</v>
      </c>
      <c r="I5857" s="403">
        <f t="shared" si="789"/>
        <v>771.20244390695575</v>
      </c>
      <c r="J5857" s="403">
        <f t="shared" si="790"/>
        <v>971.14285714285711</v>
      </c>
      <c r="K5857" s="403">
        <f>J5857/POBLA!$B$24*100000</f>
        <v>57.306194126882211</v>
      </c>
      <c r="L5857" s="550">
        <f t="shared" si="792"/>
        <v>0.1946451842198792</v>
      </c>
      <c r="M5857" s="405">
        <f>SUM(C5857,C5833,C5809,C5785,C5761,C5737,C5713)/POBLA!$B$24*100000</f>
        <v>401.1433588881755</v>
      </c>
    </row>
    <row r="5858" spans="1:13" s="360" customFormat="1" x14ac:dyDescent="0.25">
      <c r="A5858" s="363" t="s">
        <v>16</v>
      </c>
      <c r="B5858" s="267">
        <v>44137</v>
      </c>
      <c r="C5858" s="1">
        <v>3022</v>
      </c>
      <c r="D5858" s="174">
        <f t="shared" si="788"/>
        <v>553961</v>
      </c>
      <c r="E5858" s="1">
        <v>203</v>
      </c>
      <c r="F5858" s="475">
        <f t="shared" si="784"/>
        <v>17855</v>
      </c>
      <c r="G5858" s="175">
        <f>SUM(C5858,C5834,C5810,C5786,C5762,C5738,C5714,C5690,C5666,C5642,C5618,C5594,C5570,C5546)/POBLA!$B$1*100000</f>
        <v>293.61829997261867</v>
      </c>
      <c r="H5858" s="300">
        <f t="shared" si="791"/>
        <v>0.83037484885126966</v>
      </c>
      <c r="I5858" s="301">
        <f>G5858*H5858</f>
        <v>243.81325145973</v>
      </c>
      <c r="J5858" s="301">
        <f>AVERAGE(C5858,C5834,C5810,C5786,C5762,C5738,C5714)</f>
        <v>3278.1428571428573</v>
      </c>
      <c r="K5858" s="301">
        <f>J5858/POBLA!$B$1*100000</f>
        <v>18.688310282340566</v>
      </c>
      <c r="L5858" s="548">
        <f t="shared" si="792"/>
        <v>0.19644920684945899</v>
      </c>
      <c r="M5858" s="400">
        <f>SUM(C5858,C5834,C5810,C5786,C5762,C5738,C5714)/POBLA!$B$1*100000</f>
        <v>130.81817197638398</v>
      </c>
    </row>
    <row r="5859" spans="1:13" s="360" customFormat="1" x14ac:dyDescent="0.25">
      <c r="A5859" s="367" t="s">
        <v>43</v>
      </c>
      <c r="B5859" s="267">
        <v>44137</v>
      </c>
      <c r="C5859" s="1">
        <v>425</v>
      </c>
      <c r="D5859" s="39">
        <f t="shared" si="788"/>
        <v>147884</v>
      </c>
      <c r="E5859" s="1">
        <v>35</v>
      </c>
      <c r="F5859" s="409">
        <f t="shared" si="784"/>
        <v>4831</v>
      </c>
      <c r="G5859" s="168">
        <f>SUM(C5859,C5835,C5811,C5787,C5763,C5739,C5715,C5691,C5667,C5643,C5619,C5595,C5571,C5547)/POBLA!$B$2*100000</f>
        <v>239.20178069907917</v>
      </c>
      <c r="H5859" s="256">
        <f t="shared" si="791"/>
        <v>0.69609234553884003</v>
      </c>
      <c r="I5859" s="297">
        <f t="shared" ref="I5859:I5881" si="793">G5859*H5859</f>
        <v>166.50652858388926</v>
      </c>
      <c r="J5859" s="297">
        <f t="shared" ref="J5859:J5881" si="794">AVERAGE(C5859,C5835,C5811,C5787,C5763,C5739,C5715)</f>
        <v>482.71428571428572</v>
      </c>
      <c r="K5859" s="297">
        <f>J5859/POBLA!$B$2*100000</f>
        <v>15.694728382729538</v>
      </c>
      <c r="L5859" s="549">
        <f t="shared" si="792"/>
        <v>0.15057817998994472</v>
      </c>
      <c r="M5859" s="401">
        <f>SUM(C5859,C5835,C5811,C5787,C5763,C5739,C5715)/POBLA!$B$2*100000</f>
        <v>109.86309867910677</v>
      </c>
    </row>
    <row r="5860" spans="1:13" s="360" customFormat="1" x14ac:dyDescent="0.25">
      <c r="A5860" s="367" t="s">
        <v>28</v>
      </c>
      <c r="B5860" s="267">
        <v>44137</v>
      </c>
      <c r="C5860" s="1">
        <v>45</v>
      </c>
      <c r="D5860" s="39">
        <f t="shared" si="788"/>
        <v>980</v>
      </c>
      <c r="E5860" s="1"/>
      <c r="F5860" s="409">
        <f t="shared" si="784"/>
        <v>0</v>
      </c>
      <c r="G5860" s="168">
        <f>SUM(C5860,C5836,C5812,C5788,C5764,C5740,C5716,C5692,C5668,C5644,C5620,C5596,C5572,C5548)/POBLA!$B$3*100000</f>
        <v>117.46638487572152</v>
      </c>
      <c r="H5860" s="256">
        <f t="shared" si="791"/>
        <v>2.8045977011494254</v>
      </c>
      <c r="I5860" s="297">
        <f t="shared" si="793"/>
        <v>329.4459529847822</v>
      </c>
      <c r="J5860" s="297">
        <f t="shared" si="794"/>
        <v>48.857142857142854</v>
      </c>
      <c r="K5860" s="297">
        <f>J5860/POBLA!$B$3*100000</f>
        <v>11.760393333576335</v>
      </c>
      <c r="L5860" s="549">
        <f t="shared" si="792"/>
        <v>-1.3424657534246576</v>
      </c>
      <c r="M5860" s="401">
        <f>SUM(C5860,C5836,C5812,C5788,C5764,C5740,C5716)/POBLA!$B$3*100000</f>
        <v>82.322753335034349</v>
      </c>
    </row>
    <row r="5861" spans="1:13" s="360" customFormat="1" x14ac:dyDescent="0.25">
      <c r="A5861" s="367" t="s">
        <v>15</v>
      </c>
      <c r="B5861" s="267">
        <v>44137</v>
      </c>
      <c r="C5861" s="1">
        <v>73</v>
      </c>
      <c r="D5861" s="39">
        <f t="shared" si="788"/>
        <v>14264</v>
      </c>
      <c r="E5861" s="1">
        <v>2</v>
      </c>
      <c r="F5861" s="409">
        <f t="shared" si="784"/>
        <v>434</v>
      </c>
      <c r="G5861" s="168">
        <f>SUM(C5861,C5837,C5813,C5789,C5765,C5741,C5717,C5693,C5669,C5645,C5621,C5597,C5573,C5549)/POBLA!$B$4*100000</f>
        <v>200.57432665222686</v>
      </c>
      <c r="H5861" s="256">
        <f t="shared" si="791"/>
        <v>0.96370163542082166</v>
      </c>
      <c r="I5861" s="297">
        <f t="shared" si="793"/>
        <v>193.29380661818112</v>
      </c>
      <c r="J5861" s="297">
        <f t="shared" si="794"/>
        <v>148.14285714285714</v>
      </c>
      <c r="K5861" s="297">
        <f>J5861/POBLA!$B$4*100000</f>
        <v>12.298697773081791</v>
      </c>
      <c r="L5861" s="549">
        <f t="shared" si="792"/>
        <v>0.2480058013052937</v>
      </c>
      <c r="M5861" s="401">
        <f>SUM(C5861,C5837,C5813,C5789,C5765,C5741,C5717)/POBLA!$B$4*100000</f>
        <v>86.090884411572546</v>
      </c>
    </row>
    <row r="5862" spans="1:13" s="360" customFormat="1" x14ac:dyDescent="0.25">
      <c r="A5862" s="367" t="s">
        <v>29</v>
      </c>
      <c r="B5862" s="267">
        <v>44137</v>
      </c>
      <c r="C5862" s="1">
        <v>316</v>
      </c>
      <c r="D5862" s="39">
        <f t="shared" si="788"/>
        <v>14791</v>
      </c>
      <c r="E5862" s="1">
        <v>5</v>
      </c>
      <c r="F5862" s="409">
        <f t="shared" si="784"/>
        <v>254</v>
      </c>
      <c r="G5862" s="168">
        <f>SUM(C5862,C5838,C5814,C5790,C5766,C5742,C5718,C5694,C5670,C5646,C5622,C5598,C5574,C5550)/POBLA!$B$5*100000</f>
        <v>893.22352074495075</v>
      </c>
      <c r="H5862" s="256">
        <f t="shared" si="791"/>
        <v>1.2736696613683482</v>
      </c>
      <c r="I5862" s="297">
        <f t="shared" si="793"/>
        <v>1137.6716991934652</v>
      </c>
      <c r="J5862" s="297">
        <f t="shared" si="794"/>
        <v>258.57142857142856</v>
      </c>
      <c r="K5862" s="297">
        <f>J5862/POBLA!$B$5*100000</f>
        <v>41.772848940608235</v>
      </c>
      <c r="L5862" s="549">
        <f t="shared" si="792"/>
        <v>0.51331002957784344</v>
      </c>
      <c r="M5862" s="401">
        <f>SUM(C5862,C5838,C5814,C5790,C5766,C5742,C5718)/POBLA!$B$5*100000</f>
        <v>292.40994258425769</v>
      </c>
    </row>
    <row r="5863" spans="1:13" s="360" customFormat="1" x14ac:dyDescent="0.25">
      <c r="A5863" s="367" t="s">
        <v>20</v>
      </c>
      <c r="B5863" s="267">
        <v>44137</v>
      </c>
      <c r="C5863" s="1">
        <v>633</v>
      </c>
      <c r="D5863" s="39">
        <f t="shared" si="788"/>
        <v>86951</v>
      </c>
      <c r="E5863" s="1">
        <v>27</v>
      </c>
      <c r="F5863" s="409">
        <f t="shared" si="784"/>
        <v>1336</v>
      </c>
      <c r="G5863" s="168">
        <f>SUM(C5863,C5839,C5815,C5791,C5767,C5743,C5719,C5695,C5671,C5647,C5623,C5599,C5575,C5551)/POBLA!$B$6*100000</f>
        <v>1996.0724517554856</v>
      </c>
      <c r="H5863" s="256">
        <f t="shared" si="791"/>
        <v>0.97946674839105119</v>
      </c>
      <c r="I5863" s="297">
        <f t="shared" si="793"/>
        <v>1955.0865938738989</v>
      </c>
      <c r="J5863" s="297">
        <f t="shared" si="794"/>
        <v>1383.5714285714287</v>
      </c>
      <c r="K5863" s="297">
        <f>J5863/POBLA!$B$6*100000</f>
        <v>123.44487813371228</v>
      </c>
      <c r="L5863" s="549">
        <f t="shared" si="792"/>
        <v>0.23662016237093086</v>
      </c>
      <c r="M5863" s="401">
        <f>SUM(C5863,C5839,C5815,C5791,C5767,C5743,C5719)/POBLA!$B$6*100000</f>
        <v>864.11414693598601</v>
      </c>
    </row>
    <row r="5864" spans="1:13" s="360" customFormat="1" x14ac:dyDescent="0.25">
      <c r="A5864" s="367" t="s">
        <v>30</v>
      </c>
      <c r="B5864" s="267">
        <v>44137</v>
      </c>
      <c r="C5864" s="1">
        <v>40</v>
      </c>
      <c r="D5864" s="39">
        <f t="shared" si="788"/>
        <v>2593</v>
      </c>
      <c r="E5864" s="1"/>
      <c r="F5864" s="409">
        <f t="shared" si="784"/>
        <v>47</v>
      </c>
      <c r="G5864" s="168">
        <f>SUM(C5864,C5840,C5816,C5792,C5768,C5744,C5720,C5696,C5672,C5648,C5624,C5600,C5576,C5552)/POBLA!$B$7*100000</f>
        <v>13.110133095773111</v>
      </c>
      <c r="H5864" s="256">
        <f t="shared" si="791"/>
        <v>0.60416666666666663</v>
      </c>
      <c r="I5864" s="297">
        <f t="shared" si="793"/>
        <v>7.9207054120295881</v>
      </c>
      <c r="J5864" s="297">
        <f t="shared" si="794"/>
        <v>30</v>
      </c>
      <c r="K5864" s="297">
        <f>J5864/POBLA!$B$7*100000</f>
        <v>0.79777686181175123</v>
      </c>
      <c r="L5864" s="549">
        <f t="shared" si="792"/>
        <v>0.25795053003533563</v>
      </c>
      <c r="M5864" s="401">
        <f>SUM(C5864,C5840,C5816,C5792,C5768,C5744,C5720)/POBLA!$B$7*100000</f>
        <v>5.5844380326822591</v>
      </c>
    </row>
    <row r="5865" spans="1:13" x14ac:dyDescent="0.25">
      <c r="A5865" s="367" t="s">
        <v>31</v>
      </c>
      <c r="B5865" s="267">
        <v>44137</v>
      </c>
      <c r="C5865" s="1">
        <v>231</v>
      </c>
      <c r="D5865" s="39">
        <f t="shared" si="788"/>
        <v>16426</v>
      </c>
      <c r="E5865" s="1">
        <v>9</v>
      </c>
      <c r="F5865" s="409">
        <f t="shared" si="784"/>
        <v>287</v>
      </c>
      <c r="G5865" s="168">
        <f>SUM(C5865,C5841,C5817,C5793,C5769,C5745,C5721,C5697,C5673,C5649,C5625,C5601,C5577,C5553)/POBLA!$B$8*100000</f>
        <v>341.56805278070595</v>
      </c>
      <c r="H5865" s="256">
        <f t="shared" si="791"/>
        <v>1.3745644599303135</v>
      </c>
      <c r="I5865" s="297">
        <f t="shared" si="793"/>
        <v>469.5073059999599</v>
      </c>
      <c r="J5865" s="297">
        <f t="shared" si="794"/>
        <v>304.85714285714283</v>
      </c>
      <c r="K5865" s="297">
        <f>J5865/POBLA!$B$8*100000</f>
        <v>21.996083790030372</v>
      </c>
      <c r="L5865" s="549">
        <f t="shared" si="792"/>
        <v>0.17923076923076919</v>
      </c>
      <c r="M5865" s="401">
        <f>SUM(C5865,C5841,C5817,C5793,C5769,C5745,C5721)/POBLA!$B$8*100000</f>
        <v>153.97258653021262</v>
      </c>
    </row>
    <row r="5866" spans="1:13" s="360" customFormat="1" x14ac:dyDescent="0.25">
      <c r="A5866" s="367" t="s">
        <v>41</v>
      </c>
      <c r="B5866" s="267">
        <v>44137</v>
      </c>
      <c r="C5866" s="1">
        <v>7</v>
      </c>
      <c r="D5866" s="39">
        <f t="shared" si="788"/>
        <v>158</v>
      </c>
      <c r="E5866" s="1"/>
      <c r="F5866" s="409">
        <f t="shared" ref="F5866:F5930" si="795">E5866+F5842</f>
        <v>2</v>
      </c>
      <c r="G5866" s="168">
        <f>SUM(C5866,C5842,C5818,C5794,C5770,C5746,C5722,C5698,C5674,C5650,C5626,C5602,C5578,C5554)/POBLA!$B$9*100000</f>
        <v>2.3133116212514024</v>
      </c>
      <c r="H5866" s="256">
        <f t="shared" si="791"/>
        <v>0.36842105263157893</v>
      </c>
      <c r="I5866" s="297">
        <f t="shared" si="793"/>
        <v>0.85227270256630616</v>
      </c>
      <c r="J5866" s="297">
        <f t="shared" si="794"/>
        <v>1.8571428571428572</v>
      </c>
      <c r="K5866" s="297">
        <f>J5866/POBLA!$B$9*100000</f>
        <v>0.30686786812518607</v>
      </c>
      <c r="L5866" s="549">
        <f t="shared" si="792"/>
        <v>-12</v>
      </c>
      <c r="M5866" s="401">
        <f>SUM(C5866,C5842,C5818,C5794,C5770,C5746,C5722)/POBLA!$B$9*100000</f>
        <v>2.1480750768763022</v>
      </c>
    </row>
    <row r="5867" spans="1:13" s="360" customFormat="1" x14ac:dyDescent="0.25">
      <c r="A5867" s="367" t="s">
        <v>32</v>
      </c>
      <c r="B5867" s="267">
        <v>44137</v>
      </c>
      <c r="C5867" s="1">
        <v>34</v>
      </c>
      <c r="D5867" s="39">
        <f t="shared" si="788"/>
        <v>17918</v>
      </c>
      <c r="E5867" s="1">
        <v>3</v>
      </c>
      <c r="F5867" s="409">
        <f t="shared" si="795"/>
        <v>815</v>
      </c>
      <c r="G5867" s="168">
        <f>SUM(C5867,C5843,C5819,C5795,C5771,C5747,C5723,C5699,C5675,C5651,C5627,C5603,C5579,C5555)/POBLA!$B$10*100000</f>
        <v>82.113841176524005</v>
      </c>
      <c r="H5867" s="256">
        <f t="shared" si="791"/>
        <v>0.57336956521739135</v>
      </c>
      <c r="I5867" s="297">
        <f t="shared" si="793"/>
        <v>47.081577413713497</v>
      </c>
      <c r="J5867" s="297">
        <f t="shared" si="794"/>
        <v>38</v>
      </c>
      <c r="K5867" s="297">
        <f>J5867/POBLA!$B$10*100000</f>
        <v>4.9294249047518361</v>
      </c>
      <c r="L5867" s="549">
        <f t="shared" si="792"/>
        <v>0.27520435967302448</v>
      </c>
      <c r="M5867" s="401">
        <f>SUM(C5867,C5843,C5819,C5795,C5771,C5747,C5723)/POBLA!$B$10*100000</f>
        <v>34.505974333262849</v>
      </c>
    </row>
    <row r="5868" spans="1:13" s="360" customFormat="1" x14ac:dyDescent="0.25">
      <c r="A5868" s="367" t="s">
        <v>33</v>
      </c>
      <c r="B5868" s="267">
        <v>44137</v>
      </c>
      <c r="C5868" s="1">
        <v>119</v>
      </c>
      <c r="D5868" s="39">
        <f t="shared" si="788"/>
        <v>3480</v>
      </c>
      <c r="E5868" s="1">
        <v>3</v>
      </c>
      <c r="F5868" s="409">
        <f t="shared" si="795"/>
        <v>36</v>
      </c>
      <c r="G5868" s="168">
        <f>SUM(C5868,C5844,C5820,C5796,C5772,C5748,C5724,C5700,C5676,C5652,C5628,C5604,C5580,C5556)/POBLA!$B$11*100000</f>
        <v>493.82302721885566</v>
      </c>
      <c r="H5868" s="256">
        <f t="shared" si="791"/>
        <v>2.1096543504171632</v>
      </c>
      <c r="I5868" s="297">
        <f t="shared" si="793"/>
        <v>1041.795897708432</v>
      </c>
      <c r="J5868" s="297">
        <f t="shared" si="794"/>
        <v>136.57142857142858</v>
      </c>
      <c r="K5868" s="297">
        <f>J5868/POBLA!$B$11*100000</f>
        <v>38.102890558613893</v>
      </c>
      <c r="L5868" s="549">
        <f t="shared" si="792"/>
        <v>-0.1744471744471745</v>
      </c>
      <c r="M5868" s="401">
        <f>SUM(C5868,C5844,C5820,C5796,C5772,C5748,C5724)/POBLA!$B$11*100000</f>
        <v>266.72023391029717</v>
      </c>
    </row>
    <row r="5869" spans="1:13" s="360" customFormat="1" x14ac:dyDescent="0.25">
      <c r="A5869" s="367" t="s">
        <v>21</v>
      </c>
      <c r="B5869" s="267">
        <v>44137</v>
      </c>
      <c r="C5869" s="1">
        <v>36</v>
      </c>
      <c r="D5869" s="39">
        <f t="shared" si="788"/>
        <v>7640</v>
      </c>
      <c r="E5869" s="1">
        <v>2</v>
      </c>
      <c r="F5869" s="409">
        <f t="shared" si="795"/>
        <v>274</v>
      </c>
      <c r="G5869" s="168">
        <f>SUM(C5869,C5845,C5821,C5797,C5773,C5749,C5725,C5701,C5677,C5653,C5629,C5605,C5581,C5557)/POBLA!$B$12*100000</f>
        <v>258.17534069742919</v>
      </c>
      <c r="H5869" s="256">
        <f t="shared" si="791"/>
        <v>0.71398453970484888</v>
      </c>
      <c r="I5869" s="297">
        <f t="shared" si="793"/>
        <v>184.33320179099653</v>
      </c>
      <c r="J5869" s="297">
        <f t="shared" si="794"/>
        <v>66.714285714285708</v>
      </c>
      <c r="K5869" s="297">
        <f>J5869/POBLA!$B$12*100000</f>
        <v>16.952739609912744</v>
      </c>
      <c r="L5869" s="549">
        <f t="shared" si="792"/>
        <v>0.14936247723132967</v>
      </c>
      <c r="M5869" s="401">
        <f>SUM(C5869,C5845,C5821,C5797,C5773,C5749,C5725)/POBLA!$B$12*100000</f>
        <v>118.66917726938918</v>
      </c>
    </row>
    <row r="5870" spans="1:13" s="360" customFormat="1" x14ac:dyDescent="0.25">
      <c r="A5870" s="367" t="s">
        <v>17</v>
      </c>
      <c r="B5870" s="267">
        <v>44137</v>
      </c>
      <c r="C5870" s="1">
        <v>513</v>
      </c>
      <c r="D5870" s="39">
        <f t="shared" si="788"/>
        <v>47793</v>
      </c>
      <c r="E5870" s="1">
        <v>19</v>
      </c>
      <c r="F5870" s="409">
        <f t="shared" si="795"/>
        <v>798</v>
      </c>
      <c r="G5870" s="168">
        <f>SUM(C5870,C5846,C5822,C5798,C5774,C5750,C5726,C5702,C5678,C5654,C5630,C5606,C5582,C5558)/POBLA!$B$13*100000</f>
        <v>499.76436163103955</v>
      </c>
      <c r="H5870" s="256">
        <f t="shared" si="791"/>
        <v>0.99859451862262827</v>
      </c>
      <c r="I5870" s="297">
        <f t="shared" si="793"/>
        <v>499.06195212769308</v>
      </c>
      <c r="J5870" s="297">
        <f t="shared" si="794"/>
        <v>598.85714285714289</v>
      </c>
      <c r="K5870" s="297">
        <f>J5870/POBLA!$B$13*100000</f>
        <v>30.088213301315804</v>
      </c>
      <c r="L5870" s="549">
        <f t="shared" si="792"/>
        <v>0.27158992180712427</v>
      </c>
      <c r="M5870" s="401">
        <f>SUM(C5870,C5846,C5822,C5798,C5774,C5750,C5726)/POBLA!$B$13*100000</f>
        <v>210.61749310921059</v>
      </c>
    </row>
    <row r="5871" spans="1:13" s="360" customFormat="1" x14ac:dyDescent="0.25">
      <c r="A5871" s="367" t="s">
        <v>23</v>
      </c>
      <c r="B5871" s="267">
        <v>44137</v>
      </c>
      <c r="C5871" s="1">
        <v>4</v>
      </c>
      <c r="D5871" s="39">
        <f t="shared" si="788"/>
        <v>282</v>
      </c>
      <c r="E5871" s="1"/>
      <c r="F5871" s="409">
        <f t="shared" si="795"/>
        <v>5</v>
      </c>
      <c r="G5871" s="168">
        <f>SUM(C5871,C5847,C5823,C5799,C5775,C5751,C5727,C5703,C5679,C5655,C5631,C5607,C5583,C5559)/POBLA!$B$14*100000</f>
        <v>6.7391107862243054</v>
      </c>
      <c r="H5871" s="256">
        <f t="shared" si="791"/>
        <v>0.94444444444444442</v>
      </c>
      <c r="I5871" s="297">
        <f t="shared" si="793"/>
        <v>6.3647157425451768</v>
      </c>
      <c r="J5871" s="297">
        <f t="shared" si="794"/>
        <v>7.5714285714285712</v>
      </c>
      <c r="K5871" s="297">
        <f>J5871/POBLA!$B$14*100000</f>
        <v>0.60029054062166087</v>
      </c>
      <c r="L5871" s="549">
        <f t="shared" si="792"/>
        <v>-0.65625</v>
      </c>
      <c r="M5871" s="401">
        <f>SUM(C5871,C5847,C5823,C5799,C5775,C5751,C5727)/POBLA!$B$14*100000</f>
        <v>4.2020337843516256</v>
      </c>
    </row>
    <row r="5872" spans="1:13" s="360" customFormat="1" x14ac:dyDescent="0.25">
      <c r="A5872" s="367" t="s">
        <v>19</v>
      </c>
      <c r="B5872" s="267">
        <v>44137</v>
      </c>
      <c r="C5872" s="1">
        <v>250</v>
      </c>
      <c r="D5872" s="39">
        <f t="shared" si="788"/>
        <v>22744</v>
      </c>
      <c r="E5872" s="1">
        <v>2</v>
      </c>
      <c r="F5872" s="409">
        <f t="shared" si="795"/>
        <v>408</v>
      </c>
      <c r="G5872" s="168">
        <f>SUM(C5872,C5848,C5824,C5800,C5776,C5752,C5728,C5704,C5680,C5656,C5632,C5608,C5584,C5560)/POBLA!$B$15*100000</f>
        <v>1112.8562758919791</v>
      </c>
      <c r="H5872" s="256">
        <f t="shared" si="791"/>
        <v>1.1873393316195373</v>
      </c>
      <c r="I5872" s="297">
        <f t="shared" si="793"/>
        <v>1321.3380268061899</v>
      </c>
      <c r="J5872" s="297">
        <f t="shared" si="794"/>
        <v>423.71428571428572</v>
      </c>
      <c r="K5872" s="297">
        <f>J5872/POBLA!$B$15*100000</f>
        <v>63.806915026012184</v>
      </c>
      <c r="L5872" s="549">
        <f t="shared" si="792"/>
        <v>0.32956600361663657</v>
      </c>
      <c r="M5872" s="401">
        <f>SUM(C5872,C5848,C5824,C5800,C5776,C5752,C5728)/POBLA!$B$15*100000</f>
        <v>446.6484051820853</v>
      </c>
    </row>
    <row r="5873" spans="1:13" s="360" customFormat="1" x14ac:dyDescent="0.25">
      <c r="A5873" s="367" t="s">
        <v>18</v>
      </c>
      <c r="B5873" s="267">
        <v>44137</v>
      </c>
      <c r="C5873" s="1">
        <v>275</v>
      </c>
      <c r="D5873" s="39">
        <f t="shared" si="788"/>
        <v>24412</v>
      </c>
      <c r="E5873" s="1">
        <v>17</v>
      </c>
      <c r="F5873" s="409">
        <f t="shared" si="795"/>
        <v>631</v>
      </c>
      <c r="G5873" s="168">
        <f>SUM(C5873,C5849,C5825,C5801,C5777,C5753,C5729,C5705,C5681,C5657,C5633,C5609,C5585,C5561)/POBLA!$B$16*100000</f>
        <v>667.99534516659753</v>
      </c>
      <c r="H5873" s="256">
        <f t="shared" si="791"/>
        <v>0.98229740361919748</v>
      </c>
      <c r="I5873" s="297">
        <f t="shared" si="793"/>
        <v>656.17009318685837</v>
      </c>
      <c r="J5873" s="297">
        <f t="shared" si="794"/>
        <v>332</v>
      </c>
      <c r="K5873" s="297">
        <f>J5873/POBLA!$B$16*100000</f>
        <v>44.408180735945209</v>
      </c>
      <c r="L5873" s="549">
        <f t="shared" si="792"/>
        <v>0.12958801498127337</v>
      </c>
      <c r="M5873" s="401">
        <f>SUM(C5873,C5849,C5825,C5801,C5777,C5753,C5729)/POBLA!$B$16*100000</f>
        <v>310.8572651516165</v>
      </c>
    </row>
    <row r="5874" spans="1:13" s="360" customFormat="1" x14ac:dyDescent="0.25">
      <c r="A5874" s="367" t="s">
        <v>34</v>
      </c>
      <c r="B5874" s="267">
        <v>44137</v>
      </c>
      <c r="C5874" s="1">
        <v>64</v>
      </c>
      <c r="D5874" s="39">
        <f t="shared" si="788"/>
        <v>18949</v>
      </c>
      <c r="E5874" s="1">
        <v>4</v>
      </c>
      <c r="F5874" s="409">
        <f t="shared" si="795"/>
        <v>793</v>
      </c>
      <c r="G5874" s="168">
        <f>SUM(C5874,C5850,C5826,C5802,C5778,C5754,C5730,C5706,C5682,C5658,C5634,C5610,C5586,C5562)/POBLA!$B$17*100000</f>
        <v>174.45978894928871</v>
      </c>
      <c r="H5874" s="256">
        <f t="shared" si="791"/>
        <v>0.83613728129205922</v>
      </c>
      <c r="I5874" s="297">
        <f t="shared" si="793"/>
        <v>145.87233362684469</v>
      </c>
      <c r="J5874" s="297">
        <f t="shared" si="794"/>
        <v>153.14285714285714</v>
      </c>
      <c r="K5874" s="297">
        <f>J5874/POBLA!$B$17*100000</f>
        <v>10.751416714782266</v>
      </c>
      <c r="L5874" s="549">
        <f t="shared" si="792"/>
        <v>0.24133050247699928</v>
      </c>
      <c r="M5874" s="401">
        <f>SUM(C5874,C5850,C5826,C5802,C5778,C5754,C5730)/POBLA!$B$17*100000</f>
        <v>75.259917003475863</v>
      </c>
    </row>
    <row r="5875" spans="1:13" s="360" customFormat="1" x14ac:dyDescent="0.25">
      <c r="A5875" s="367" t="s">
        <v>35</v>
      </c>
      <c r="B5875" s="267">
        <v>44137</v>
      </c>
      <c r="C5875" s="1">
        <v>304</v>
      </c>
      <c r="D5875" s="39">
        <f t="shared" si="788"/>
        <v>2729</v>
      </c>
      <c r="E5875" s="1"/>
      <c r="F5875" s="409">
        <f t="shared" si="795"/>
        <v>101</v>
      </c>
      <c r="G5875" s="168">
        <f>SUM(C5875,C5851,C5827,C5803,C5779,C5755,C5731,C5707,C5683,C5659,C5635,C5611,C5587,C5563)/POBLA!$B$18*100000</f>
        <v>182.66371571535183</v>
      </c>
      <c r="H5875" s="256">
        <f t="shared" si="791"/>
        <v>3.7651715039577835</v>
      </c>
      <c r="I5875" s="297">
        <f t="shared" si="793"/>
        <v>687.76021721848826</v>
      </c>
      <c r="J5875" s="297">
        <f t="shared" si="794"/>
        <v>190.42857142857142</v>
      </c>
      <c r="K5875" s="297">
        <f>J5875/POBLA!$B$18*100000</f>
        <v>24.37588678031474</v>
      </c>
      <c r="L5875" s="549">
        <f t="shared" si="792"/>
        <v>-13.180851063829786</v>
      </c>
      <c r="M5875" s="401">
        <f>SUM(C5875,C5851,C5827,C5803,C5779,C5755,C5731)/POBLA!$B$18*100000</f>
        <v>170.63120746220321</v>
      </c>
    </row>
    <row r="5876" spans="1:13" s="360" customFormat="1" x14ac:dyDescent="0.25">
      <c r="A5876" s="367" t="s">
        <v>36</v>
      </c>
      <c r="B5876" s="267">
        <v>44137</v>
      </c>
      <c r="C5876" s="1">
        <v>380</v>
      </c>
      <c r="D5876" s="39">
        <f t="shared" si="788"/>
        <v>7609</v>
      </c>
      <c r="E5876" s="1">
        <v>17</v>
      </c>
      <c r="F5876" s="409">
        <f t="shared" si="795"/>
        <v>71</v>
      </c>
      <c r="G5876" s="168">
        <f>SUM(C5876,C5852,C5828,C5804,C5780,C5756,C5732,C5708,C5684,C5660,C5636,C5612,C5588,C5564)/POBLA!$B$19*100000</f>
        <v>785.90988495617012</v>
      </c>
      <c r="H5876" s="256">
        <f t="shared" si="791"/>
        <v>2.2194444444444446</v>
      </c>
      <c r="I5876" s="297">
        <f t="shared" si="793"/>
        <v>1744.2833279999443</v>
      </c>
      <c r="J5876" s="297">
        <f t="shared" si="794"/>
        <v>282.85714285714283</v>
      </c>
      <c r="K5876" s="297">
        <f>J5876/POBLA!$B$19*100000</f>
        <v>55.644611915366227</v>
      </c>
      <c r="L5876" s="549">
        <f t="shared" si="792"/>
        <v>1.7369727047146455E-2</v>
      </c>
      <c r="M5876" s="401">
        <f>SUM(C5876,C5852,C5828,C5804,C5780,C5756,C5732)/POBLA!$B$19*100000</f>
        <v>389.51228340756364</v>
      </c>
    </row>
    <row r="5877" spans="1:13" s="360" customFormat="1" x14ac:dyDescent="0.25">
      <c r="A5877" s="367" t="s">
        <v>37</v>
      </c>
      <c r="B5877" s="267">
        <v>44137</v>
      </c>
      <c r="C5877" s="1">
        <v>131</v>
      </c>
      <c r="D5877" s="39">
        <f t="shared" si="788"/>
        <v>9815</v>
      </c>
      <c r="E5877" s="1">
        <v>6</v>
      </c>
      <c r="F5877" s="409">
        <f t="shared" si="795"/>
        <v>141</v>
      </c>
      <c r="G5877" s="168">
        <f>SUM(C5877,C5853,C5829,C5805,C5781,C5757,C5733,C5709,C5685,C5661,C5637,C5613,C5589,C5565)/POBLA!$B$20*100000</f>
        <v>659.01372170479465</v>
      </c>
      <c r="H5877" s="256">
        <f t="shared" si="791"/>
        <v>1.3083604777415851</v>
      </c>
      <c r="I5877" s="297">
        <f t="shared" si="793"/>
        <v>862.22750776794521</v>
      </c>
      <c r="J5877" s="297">
        <f t="shared" si="794"/>
        <v>180</v>
      </c>
      <c r="K5877" s="297">
        <f>J5877/POBLA!$B$20*100000</f>
        <v>49.220941870067655</v>
      </c>
      <c r="L5877" s="549">
        <f t="shared" si="792"/>
        <v>-9.565217391304337E-2</v>
      </c>
      <c r="M5877" s="401">
        <f>SUM(C5877,C5853,C5829,C5805,C5781,C5757,C5733)/POBLA!$B$20*100000</f>
        <v>344.54659309047355</v>
      </c>
    </row>
    <row r="5878" spans="1:13" s="360" customFormat="1" x14ac:dyDescent="0.25">
      <c r="A5878" s="367" t="s">
        <v>22</v>
      </c>
      <c r="B5878" s="267">
        <v>44137</v>
      </c>
      <c r="C5878" s="1">
        <v>1793</v>
      </c>
      <c r="D5878" s="39">
        <f t="shared" si="788"/>
        <v>109311</v>
      </c>
      <c r="E5878" s="1">
        <v>75</v>
      </c>
      <c r="F5878" s="409">
        <f t="shared" si="795"/>
        <v>1389</v>
      </c>
      <c r="G5878" s="168">
        <f>SUM(C5878,C5854,C5830,C5806,C5782,C5758,C5734,C5710,C5686,C5662,C5638,C5614,C5590,C5566)/POBLA!$B$21*100000</f>
        <v>804.14702108178392</v>
      </c>
      <c r="H5878" s="256">
        <f t="shared" si="791"/>
        <v>0.94202994567377762</v>
      </c>
      <c r="I5878" s="297">
        <f t="shared" si="793"/>
        <v>757.53057458340299</v>
      </c>
      <c r="J5878" s="297">
        <f t="shared" si="794"/>
        <v>1867.4285714285713</v>
      </c>
      <c r="K5878" s="297">
        <f>J5878/POBLA!$B$21*100000</f>
        <v>52.80565169130378</v>
      </c>
      <c r="L5878" s="549">
        <f t="shared" si="792"/>
        <v>0.14929064167642847</v>
      </c>
      <c r="M5878" s="401">
        <f>SUM(C5878,C5854,C5830,C5806,C5782,C5758,C5734)/POBLA!$B$21*100000</f>
        <v>369.63956183912649</v>
      </c>
    </row>
    <row r="5879" spans="1:13" s="360" customFormat="1" x14ac:dyDescent="0.25">
      <c r="A5879" s="367" t="s">
        <v>38</v>
      </c>
      <c r="B5879" s="267">
        <v>44137</v>
      </c>
      <c r="C5879" s="1">
        <v>111</v>
      </c>
      <c r="D5879" s="39">
        <f t="shared" si="788"/>
        <v>10092</v>
      </c>
      <c r="E5879" s="1">
        <v>1</v>
      </c>
      <c r="F5879" s="409">
        <f t="shared" si="795"/>
        <v>134</v>
      </c>
      <c r="G5879" s="168">
        <f>SUM(C5879,C5855,C5831,C5807,C5783,C5759,C5735,C5711,C5687,C5663,C5639,C5615,C5591,C5567)/POBLA!$B$22*100000</f>
        <v>320.14293993844507</v>
      </c>
      <c r="H5879" s="256">
        <f t="shared" si="791"/>
        <v>1.0631364562118126</v>
      </c>
      <c r="I5879" s="297">
        <f t="shared" si="793"/>
        <v>340.35563064738966</v>
      </c>
      <c r="J5879" s="297">
        <f t="shared" si="794"/>
        <v>209.57142857142858</v>
      </c>
      <c r="K5879" s="297">
        <f>J5879/POBLA!$B$22*100000</f>
        <v>21.421715603434542</v>
      </c>
      <c r="L5879" s="549">
        <f t="shared" si="792"/>
        <v>0.11891891891891893</v>
      </c>
      <c r="M5879" s="401">
        <f>SUM(C5879,C5855,C5831,C5807,C5783,C5759,C5735)/POBLA!$B$22*100000</f>
        <v>149.95200922404177</v>
      </c>
    </row>
    <row r="5880" spans="1:13" s="360" customFormat="1" x14ac:dyDescent="0.25">
      <c r="A5880" s="367" t="s">
        <v>39</v>
      </c>
      <c r="B5880" s="267">
        <v>44137</v>
      </c>
      <c r="C5880" s="1">
        <v>127</v>
      </c>
      <c r="D5880" s="39">
        <f t="shared" si="788"/>
        <v>11708</v>
      </c>
      <c r="E5880" s="1">
        <v>7</v>
      </c>
      <c r="F5880" s="409">
        <f t="shared" si="795"/>
        <v>157</v>
      </c>
      <c r="G5880" s="168">
        <f>SUM(C5880,C5856,C5832,C5808,C5784,C5760,C5736,C5712,C5688,C5664,C5640,C5616,C5592,C5568)/POBLA!$B$23*100000</f>
        <v>1878.6405021772323</v>
      </c>
      <c r="H5880" s="256">
        <f t="shared" si="791"/>
        <v>1.0348909657320873</v>
      </c>
      <c r="I5880" s="297">
        <f t="shared" si="793"/>
        <v>1944.1880835616093</v>
      </c>
      <c r="J5880" s="297">
        <f t="shared" si="794"/>
        <v>193</v>
      </c>
      <c r="K5880" s="297">
        <f>J5880/POBLA!$B$23*100000</f>
        <v>109.1443759543064</v>
      </c>
      <c r="L5880" s="549">
        <f t="shared" si="792"/>
        <v>0.31456113647894468</v>
      </c>
      <c r="M5880" s="401">
        <f>SUM(C5880,C5856,C5832,C5808,C5784,C5760,C5736)/POBLA!$B$23*100000</f>
        <v>764.0106316801448</v>
      </c>
    </row>
    <row r="5881" spans="1:13" s="360" customFormat="1" ht="15.75" thickBot="1" x14ac:dyDescent="0.3">
      <c r="A5881" s="369" t="s">
        <v>40</v>
      </c>
      <c r="B5881" s="267">
        <v>44137</v>
      </c>
      <c r="C5881" s="1">
        <v>666</v>
      </c>
      <c r="D5881" s="176">
        <f>C5881+D5857</f>
        <v>50642</v>
      </c>
      <c r="E5881" s="1">
        <v>41</v>
      </c>
      <c r="F5881" s="476">
        <f t="shared" si="795"/>
        <v>813</v>
      </c>
      <c r="G5881" s="177">
        <f>SUM(C5881,C5857,C5833,C5809,C5785,C5761,C5737,C5713,C5689,C5665,C5641,C5617,C5593,C5569)/POBLA!$B$24*100000</f>
        <v>856.75204879338344</v>
      </c>
      <c r="H5881" s="402">
        <f t="shared" si="791"/>
        <v>0.79256509634805394</v>
      </c>
      <c r="I5881" s="403">
        <f t="shared" si="793"/>
        <v>679.03177009832052</v>
      </c>
      <c r="J5881" s="403">
        <f t="shared" si="794"/>
        <v>930.71428571428567</v>
      </c>
      <c r="K5881" s="403">
        <f>J5881/POBLA!$B$24*100000</f>
        <v>54.920543503477141</v>
      </c>
      <c r="L5881" s="550">
        <f t="shared" si="792"/>
        <v>0.18603198400799603</v>
      </c>
      <c r="M5881" s="405">
        <f>SUM(C5881,C5857,C5833,C5809,C5785,C5761,C5737)/POBLA!$B$24*100000</f>
        <v>384.44380452434007</v>
      </c>
    </row>
    <row r="5882" spans="1:13" s="360" customFormat="1" x14ac:dyDescent="0.25">
      <c r="A5882" s="363" t="s">
        <v>16</v>
      </c>
      <c r="B5882" s="267">
        <v>44138</v>
      </c>
      <c r="C5882" s="1">
        <v>3615</v>
      </c>
      <c r="D5882" s="174">
        <f t="shared" si="788"/>
        <v>557576</v>
      </c>
      <c r="E5882" s="1">
        <v>188</v>
      </c>
      <c r="F5882" s="475">
        <f t="shared" si="795"/>
        <v>18043</v>
      </c>
      <c r="G5882" s="175">
        <f>SUM(C5882,C5858,C5834,C5810,C5786,C5762,C5738,C5714,C5690,C5666,C5642,C5618,C5594,C5570)/POBLA!$B$1*100000</f>
        <v>285.83089321270489</v>
      </c>
      <c r="H5882" s="300">
        <f t="shared" ref="H5882:H5945" si="796">SUM(C5882,C5858,C5834,C5810,C5786,C5762,C5738,C5714,C5690,C5666,C5642,C5618,C5594,C5570)/SUM(C5546,C5522,C5498,C5474,C5450,C5426,C5402,C5378,C5354,C5330,C5306,C5282,C5258,C5234)</f>
        <v>0.81728527882374036</v>
      </c>
      <c r="I5882" s="301">
        <f>G5882*H5882</f>
        <v>233.60538125578427</v>
      </c>
      <c r="J5882" s="301">
        <f>AVERAGE(C5882,C5858,C5834,C5810,C5786,C5762,C5738)</f>
        <v>3191.5714285714284</v>
      </c>
      <c r="K5882" s="301">
        <f>J5882/POBLA!$B$1*100000</f>
        <v>18.194776660032712</v>
      </c>
      <c r="L5882" s="548">
        <f t="shared" ref="L5882:L5945" si="797">1-SUM(C5882,C5858,C5834,C5810,C5786,C5762,C5738)/SUM(C5714,C5690,C5666,C5642,C5618,C5594,C5570)</f>
        <v>0.19628017411950927</v>
      </c>
      <c r="M5882" s="400">
        <f>SUM(C5882,C5858,C5834,C5810,C5786,C5762,C5738)/POBLA!$B$1*100000</f>
        <v>127.363436620229</v>
      </c>
    </row>
    <row r="5883" spans="1:13" s="360" customFormat="1" x14ac:dyDescent="0.25">
      <c r="A5883" s="367" t="s">
        <v>43</v>
      </c>
      <c r="B5883" s="267">
        <v>44138</v>
      </c>
      <c r="C5883" s="1">
        <v>460</v>
      </c>
      <c r="D5883" s="39">
        <f t="shared" si="788"/>
        <v>148344</v>
      </c>
      <c r="E5883" s="1">
        <v>25</v>
      </c>
      <c r="F5883" s="409">
        <f t="shared" si="795"/>
        <v>4856</v>
      </c>
      <c r="G5883" s="168">
        <f>SUM(C5883,C5859,C5835,C5811,C5787,C5763,C5739,C5715,C5691,C5667,C5643,C5619,C5595,C5571)/POBLA!$B$2*100000</f>
        <v>232.601541269704</v>
      </c>
      <c r="H5883" s="256">
        <f t="shared" si="796"/>
        <v>0.69127451927722483</v>
      </c>
      <c r="I5883" s="297">
        <f t="shared" ref="I5883:I5905" si="798">G5883*H5883</f>
        <v>160.7915186243562</v>
      </c>
      <c r="J5883" s="297">
        <f t="shared" ref="J5883:J5905" si="799">AVERAGE(C5883,C5859,C5835,C5811,C5787,C5763,C5739)</f>
        <v>463</v>
      </c>
      <c r="K5883" s="297">
        <f>J5883/POBLA!$B$2*100000</f>
        <v>15.053748058131529</v>
      </c>
      <c r="L5883" s="549">
        <f t="shared" si="797"/>
        <v>0.17173524150268338</v>
      </c>
      <c r="M5883" s="401">
        <f>SUM(C5883,C5859,C5835,C5811,C5787,C5763,C5739)/POBLA!$B$2*100000</f>
        <v>105.37623640692068</v>
      </c>
    </row>
    <row r="5884" spans="1:13" s="360" customFormat="1" x14ac:dyDescent="0.25">
      <c r="A5884" s="367" t="s">
        <v>28</v>
      </c>
      <c r="B5884" s="267">
        <v>44138</v>
      </c>
      <c r="C5884" s="1">
        <v>31</v>
      </c>
      <c r="D5884" s="39">
        <f t="shared" si="788"/>
        <v>1011</v>
      </c>
      <c r="E5884" s="1"/>
      <c r="F5884" s="409">
        <f t="shared" si="795"/>
        <v>0</v>
      </c>
      <c r="G5884" s="168">
        <f>SUM(C5884,C5860,C5836,C5812,C5788,C5764,C5740,C5716,C5692,C5668,C5644,C5620,C5596,C5572)/POBLA!$B$3*100000</f>
        <v>123.00271039240513</v>
      </c>
      <c r="H5884" s="256">
        <f t="shared" si="796"/>
        <v>2.953757225433526</v>
      </c>
      <c r="I5884" s="297">
        <f t="shared" si="798"/>
        <v>363.32014456947411</v>
      </c>
      <c r="J5884" s="297">
        <f t="shared" si="799"/>
        <v>49.285714285714285</v>
      </c>
      <c r="K5884" s="297">
        <f>J5884/POBLA!$B$3*100000</f>
        <v>11.863554678607708</v>
      </c>
      <c r="L5884" s="549">
        <f t="shared" si="797"/>
        <v>-1.0783132530120483</v>
      </c>
      <c r="M5884" s="401">
        <f>SUM(C5884,C5860,C5836,C5812,C5788,C5764,C5740)/POBLA!$B$3*100000</f>
        <v>83.044882750253947</v>
      </c>
    </row>
    <row r="5885" spans="1:13" s="360" customFormat="1" x14ac:dyDescent="0.25">
      <c r="A5885" s="367" t="s">
        <v>15</v>
      </c>
      <c r="B5885" s="267">
        <v>44138</v>
      </c>
      <c r="C5885" s="1">
        <v>131</v>
      </c>
      <c r="D5885" s="39">
        <f t="shared" si="788"/>
        <v>14395</v>
      </c>
      <c r="E5885" s="1">
        <v>7</v>
      </c>
      <c r="F5885" s="409">
        <f t="shared" si="795"/>
        <v>441</v>
      </c>
      <c r="G5885" s="168">
        <f>SUM(C5885,C5861,C5837,C5813,C5789,C5765,C5741,C5717,C5693,C5669,C5645,C5621,C5597,C5573)/POBLA!$B$4*100000</f>
        <v>195.42713780601903</v>
      </c>
      <c r="H5885" s="256">
        <f t="shared" si="796"/>
        <v>0.92133072407045014</v>
      </c>
      <c r="I5885" s="297">
        <f t="shared" si="798"/>
        <v>180.05302637783515</v>
      </c>
      <c r="J5885" s="297">
        <f t="shared" si="799"/>
        <v>143</v>
      </c>
      <c r="K5885" s="297">
        <f>J5885/POBLA!$B$4*100000</f>
        <v>11.871742016253494</v>
      </c>
      <c r="L5885" s="549">
        <f t="shared" si="797"/>
        <v>0.26016260162601623</v>
      </c>
      <c r="M5885" s="401">
        <f>SUM(C5885,C5861,C5837,C5813,C5789,C5765,C5741)/POBLA!$B$4*100000</f>
        <v>83.102194113774459</v>
      </c>
    </row>
    <row r="5886" spans="1:13" s="360" customFormat="1" x14ac:dyDescent="0.25">
      <c r="A5886" s="367" t="s">
        <v>29</v>
      </c>
      <c r="B5886" s="267">
        <v>44138</v>
      </c>
      <c r="C5886" s="1">
        <v>421</v>
      </c>
      <c r="D5886" s="39">
        <f t="shared" si="788"/>
        <v>15212</v>
      </c>
      <c r="E5886" s="1"/>
      <c r="F5886" s="409">
        <f t="shared" si="795"/>
        <v>254</v>
      </c>
      <c r="G5886" s="168">
        <f>SUM(C5886,C5862,C5838,C5814,C5790,C5766,C5742,C5718,C5694,C5670,C5646,C5622,C5598,C5574)/POBLA!$B$5*100000</f>
        <v>886.11521274842721</v>
      </c>
      <c r="H5886" s="256">
        <f t="shared" si="796"/>
        <v>1.2232381801962533</v>
      </c>
      <c r="I5886" s="297">
        <f t="shared" si="798"/>
        <v>1083.929960286602</v>
      </c>
      <c r="J5886" s="297">
        <f t="shared" si="799"/>
        <v>273.28571428571428</v>
      </c>
      <c r="K5886" s="297">
        <f>J5886/POBLA!$B$5*100000</f>
        <v>44.149977913471581</v>
      </c>
      <c r="L5886" s="549">
        <f t="shared" si="797"/>
        <v>0.46444568868980962</v>
      </c>
      <c r="M5886" s="401">
        <f>SUM(C5886,C5862,C5838,C5814,C5790,C5766,C5742)/POBLA!$B$5*100000</f>
        <v>309.04984539430109</v>
      </c>
    </row>
    <row r="5887" spans="1:13" s="360" customFormat="1" x14ac:dyDescent="0.25">
      <c r="A5887" s="367" t="s">
        <v>20</v>
      </c>
      <c r="B5887" s="267">
        <v>44138</v>
      </c>
      <c r="C5887" s="1">
        <v>1339</v>
      </c>
      <c r="D5887" s="39">
        <f t="shared" si="788"/>
        <v>88290</v>
      </c>
      <c r="E5887" s="1">
        <v>22</v>
      </c>
      <c r="F5887" s="409">
        <f t="shared" si="795"/>
        <v>1358</v>
      </c>
      <c r="G5887" s="168">
        <f>SUM(C5887,C5863,C5839,C5815,C5791,C5767,C5743,C5719,C5695,C5671,C5647,C5623,C5599,C5575)/POBLA!$B$6*100000</f>
        <v>1963.1495689243675</v>
      </c>
      <c r="H5887" s="256">
        <f t="shared" si="796"/>
        <v>0.9527582921971075</v>
      </c>
      <c r="I5887" s="297">
        <f t="shared" si="798"/>
        <v>1870.4070306158681</v>
      </c>
      <c r="J5887" s="297">
        <f t="shared" si="799"/>
        <v>1315</v>
      </c>
      <c r="K5887" s="297">
        <f>J5887/POBLA!$B$6*100000</f>
        <v>117.32680466916071</v>
      </c>
      <c r="L5887" s="549">
        <f t="shared" si="797"/>
        <v>0.28074699171745587</v>
      </c>
      <c r="M5887" s="401">
        <f>SUM(C5887,C5863,C5839,C5815,C5791,C5767,C5743)/POBLA!$B$6*100000</f>
        <v>821.2876326841249</v>
      </c>
    </row>
    <row r="5888" spans="1:13" s="360" customFormat="1" x14ac:dyDescent="0.25">
      <c r="A5888" s="367" t="s">
        <v>30</v>
      </c>
      <c r="B5888" s="267">
        <v>44138</v>
      </c>
      <c r="C5888" s="1">
        <v>26</v>
      </c>
      <c r="D5888" s="39">
        <f t="shared" si="788"/>
        <v>2619</v>
      </c>
      <c r="E5888" s="1"/>
      <c r="F5888" s="409">
        <f t="shared" si="795"/>
        <v>47</v>
      </c>
      <c r="G5888" s="168">
        <f>SUM(C5888,C5864,C5840,C5816,C5792,C5768,C5744,C5720,C5696,C5672,C5648,C5624,C5600,C5576)/POBLA!$B$7*100000</f>
        <v>12.897392599289979</v>
      </c>
      <c r="H5888" s="256">
        <f t="shared" si="796"/>
        <v>0.62339331619537275</v>
      </c>
      <c r="I5888" s="297">
        <f t="shared" si="798"/>
        <v>8.040148342745038</v>
      </c>
      <c r="J5888" s="297">
        <f t="shared" si="799"/>
        <v>31.285714285714285</v>
      </c>
      <c r="K5888" s="297">
        <f>J5888/POBLA!$B$7*100000</f>
        <v>0.83196729874654052</v>
      </c>
      <c r="L5888" s="549">
        <f t="shared" si="797"/>
        <v>0.17669172932330823</v>
      </c>
      <c r="M5888" s="401">
        <f>SUM(C5888,C5864,C5840,C5816,C5792,C5768,C5744)/POBLA!$B$7*100000</f>
        <v>5.8237710912257841</v>
      </c>
    </row>
    <row r="5889" spans="1:13" x14ac:dyDescent="0.25">
      <c r="A5889" s="367" t="s">
        <v>31</v>
      </c>
      <c r="B5889" s="267">
        <v>44138</v>
      </c>
      <c r="C5889" s="1">
        <v>258</v>
      </c>
      <c r="D5889" s="39">
        <f t="shared" si="788"/>
        <v>16684</v>
      </c>
      <c r="E5889" s="1">
        <v>7</v>
      </c>
      <c r="F5889" s="409">
        <f t="shared" si="795"/>
        <v>294</v>
      </c>
      <c r="G5889" s="168">
        <f>SUM(C5889,C5865,C5841,C5817,C5793,C5769,C5745,C5721,C5697,C5673,C5649,C5625,C5601,C5577)/POBLA!$B$8*100000</f>
        <v>331.17815003452478</v>
      </c>
      <c r="H5889" s="256">
        <f t="shared" si="796"/>
        <v>1.2592592592592593</v>
      </c>
      <c r="I5889" s="297">
        <f t="shared" si="798"/>
        <v>417.03915189532751</v>
      </c>
      <c r="J5889" s="297">
        <f t="shared" si="799"/>
        <v>285.28571428571428</v>
      </c>
      <c r="K5889" s="297">
        <f>J5889/POBLA!$B$8*100000</f>
        <v>20.583964071551385</v>
      </c>
      <c r="L5889" s="549">
        <f t="shared" si="797"/>
        <v>0.22984959506363289</v>
      </c>
      <c r="M5889" s="401">
        <f>SUM(C5889,C5865,C5841,C5817,C5793,C5769,C5745)/POBLA!$B$8*100000</f>
        <v>144.0877485008597</v>
      </c>
    </row>
    <row r="5890" spans="1:13" s="360" customFormat="1" x14ac:dyDescent="0.25">
      <c r="A5890" s="367" t="s">
        <v>41</v>
      </c>
      <c r="B5890" s="267">
        <v>44138</v>
      </c>
      <c r="C5890" s="1">
        <v>0</v>
      </c>
      <c r="D5890" s="39">
        <f t="shared" si="788"/>
        <v>158</v>
      </c>
      <c r="E5890" s="1"/>
      <c r="F5890" s="409">
        <f t="shared" si="795"/>
        <v>2</v>
      </c>
      <c r="G5890" s="168">
        <f>SUM(C5890,C5866,C5842,C5818,C5794,C5770,C5746,C5722,C5698,C5674,C5650,C5626,C5602,C5578)/POBLA!$B$9*100000</f>
        <v>2.9742577987518035</v>
      </c>
      <c r="H5890" s="256">
        <f t="shared" si="796"/>
        <v>0.52941176470588236</v>
      </c>
      <c r="I5890" s="297">
        <f t="shared" si="798"/>
        <v>1.5746070699274255</v>
      </c>
      <c r="J5890" s="297">
        <f t="shared" si="799"/>
        <v>1.4285714285714286</v>
      </c>
      <c r="K5890" s="297">
        <f>J5890/POBLA!$B$9*100000</f>
        <v>0.23605220625014312</v>
      </c>
      <c r="L5890" s="549">
        <f t="shared" si="797"/>
        <v>-0.25</v>
      </c>
      <c r="M5890" s="401">
        <f>SUM(C5890,C5866,C5842,C5818,C5794,C5770,C5746)/POBLA!$B$9*100000</f>
        <v>1.6523654437510016</v>
      </c>
    </row>
    <row r="5891" spans="1:13" s="360" customFormat="1" x14ac:dyDescent="0.25">
      <c r="A5891" s="367" t="s">
        <v>32</v>
      </c>
      <c r="B5891" s="267">
        <v>44138</v>
      </c>
      <c r="C5891" s="1">
        <v>22</v>
      </c>
      <c r="D5891" s="39">
        <f t="shared" si="788"/>
        <v>17940</v>
      </c>
      <c r="E5891" s="1">
        <v>2</v>
      </c>
      <c r="F5891" s="409">
        <f t="shared" si="795"/>
        <v>817</v>
      </c>
      <c r="G5891" s="168">
        <f>SUM(C5891,C5867,C5843,C5819,C5795,C5771,C5747,C5723,C5699,C5675,C5651,C5627,C5603,C5579)/POBLA!$B$10*100000</f>
        <v>77.314137979791951</v>
      </c>
      <c r="H5891" s="256">
        <f t="shared" si="796"/>
        <v>0.56546489563567359</v>
      </c>
      <c r="I5891" s="297">
        <f t="shared" si="798"/>
        <v>43.718430963905121</v>
      </c>
      <c r="J5891" s="297">
        <f t="shared" si="799"/>
        <v>36.142857142857146</v>
      </c>
      <c r="K5891" s="297">
        <f>J5891/POBLA!$B$10*100000</f>
        <v>4.6885131612865205</v>
      </c>
      <c r="L5891" s="549">
        <f t="shared" si="797"/>
        <v>0.26239067055393583</v>
      </c>
      <c r="M5891" s="401">
        <f>SUM(C5891,C5867,C5843,C5819,C5795,C5771,C5747)/POBLA!$B$10*100000</f>
        <v>32.819592129005642</v>
      </c>
    </row>
    <row r="5892" spans="1:13" s="360" customFormat="1" x14ac:dyDescent="0.25">
      <c r="A5892" s="367" t="s">
        <v>33</v>
      </c>
      <c r="B5892" s="267">
        <v>44138</v>
      </c>
      <c r="C5892" s="1">
        <v>84</v>
      </c>
      <c r="D5892" s="39">
        <f t="shared" si="788"/>
        <v>3564</v>
      </c>
      <c r="E5892" s="1"/>
      <c r="F5892" s="409">
        <f t="shared" si="795"/>
        <v>36</v>
      </c>
      <c r="G5892" s="168">
        <f>SUM(C5892,C5868,C5844,C5820,C5796,C5772,C5748,C5724,C5700,C5676,C5652,C5628,C5604,C5580)/POBLA!$B$11*100000</f>
        <v>489.91708237079695</v>
      </c>
      <c r="H5892" s="256">
        <f t="shared" si="796"/>
        <v>1.9275521405049396</v>
      </c>
      <c r="I5892" s="297">
        <f t="shared" si="798"/>
        <v>944.34072079376449</v>
      </c>
      <c r="J5892" s="297">
        <f t="shared" si="799"/>
        <v>128</v>
      </c>
      <c r="K5892" s="297">
        <f>J5892/POBLA!$B$11*100000</f>
        <v>35.711495753679962</v>
      </c>
      <c r="L5892" s="549">
        <f t="shared" si="797"/>
        <v>-4.1860465116279055E-2</v>
      </c>
      <c r="M5892" s="401">
        <f>SUM(C5892,C5868,C5844,C5820,C5796,C5772,C5748)/POBLA!$B$11*100000</f>
        <v>249.9804702757597</v>
      </c>
    </row>
    <row r="5893" spans="1:13" s="360" customFormat="1" x14ac:dyDescent="0.25">
      <c r="A5893" s="367" t="s">
        <v>21</v>
      </c>
      <c r="B5893" s="267">
        <v>44138</v>
      </c>
      <c r="C5893" s="1">
        <v>42</v>
      </c>
      <c r="D5893" s="39">
        <f t="shared" si="788"/>
        <v>7682</v>
      </c>
      <c r="E5893" s="1">
        <v>9</v>
      </c>
      <c r="F5893" s="409">
        <f t="shared" si="795"/>
        <v>283</v>
      </c>
      <c r="G5893" s="168">
        <f>SUM(C5893,C5869,C5845,C5821,C5797,C5773,C5749,C5725,C5701,C5677,C5653,C5629,C5605,C5581)/POBLA!$B$12*100000</f>
        <v>258.4294502847298</v>
      </c>
      <c r="H5893" s="256">
        <f t="shared" si="796"/>
        <v>0.75110782865583459</v>
      </c>
      <c r="I5893" s="297">
        <f t="shared" si="798"/>
        <v>194.10838326408435</v>
      </c>
      <c r="J5893" s="297">
        <f t="shared" si="799"/>
        <v>55.142857142857146</v>
      </c>
      <c r="K5893" s="297">
        <f>J5893/POBLA!$B$12*100000</f>
        <v>14.012328671148433</v>
      </c>
      <c r="L5893" s="549">
        <f t="shared" si="797"/>
        <v>0.38827258320126778</v>
      </c>
      <c r="M5893" s="401">
        <f>SUM(C5893,C5869,C5845,C5821,C5797,C5773,C5749)/POBLA!$B$12*100000</f>
        <v>98.08630069803904</v>
      </c>
    </row>
    <row r="5894" spans="1:13" s="360" customFormat="1" x14ac:dyDescent="0.25">
      <c r="A5894" s="367" t="s">
        <v>17</v>
      </c>
      <c r="B5894" s="267">
        <v>44138</v>
      </c>
      <c r="C5894" s="1">
        <v>515</v>
      </c>
      <c r="D5894" s="39">
        <f t="shared" si="788"/>
        <v>48308</v>
      </c>
      <c r="E5894" s="1">
        <v>15</v>
      </c>
      <c r="F5894" s="409">
        <f t="shared" si="795"/>
        <v>813</v>
      </c>
      <c r="G5894" s="168">
        <f>SUM(C5894,C5870,C5846,C5822,C5798,C5774,C5750,C5726,C5702,C5678,C5654,C5630,C5606,C5582)/POBLA!$B$13*100000</f>
        <v>477.00440829648028</v>
      </c>
      <c r="H5894" s="256">
        <f t="shared" si="796"/>
        <v>0.92633427651478195</v>
      </c>
      <c r="I5894" s="297">
        <f t="shared" si="798"/>
        <v>441.86553345368173</v>
      </c>
      <c r="J5894" s="297">
        <f t="shared" si="799"/>
        <v>562.28571428571433</v>
      </c>
      <c r="K5894" s="297">
        <f>J5894/POBLA!$B$13*100000</f>
        <v>28.250765160777433</v>
      </c>
      <c r="L5894" s="549">
        <f t="shared" si="797"/>
        <v>0.2918315940985966</v>
      </c>
      <c r="M5894" s="401">
        <f>SUM(C5894,C5870,C5846,C5822,C5798,C5774,C5750)/POBLA!$B$13*100000</f>
        <v>197.75535612544201</v>
      </c>
    </row>
    <row r="5895" spans="1:13" s="360" customFormat="1" x14ac:dyDescent="0.25">
      <c r="A5895" s="367" t="s">
        <v>23</v>
      </c>
      <c r="B5895" s="267">
        <v>44138</v>
      </c>
      <c r="C5895" s="1">
        <v>16</v>
      </c>
      <c r="D5895" s="39">
        <f t="shared" si="788"/>
        <v>298</v>
      </c>
      <c r="E5895" s="1">
        <v>1</v>
      </c>
      <c r="F5895" s="409">
        <f t="shared" si="795"/>
        <v>6</v>
      </c>
      <c r="G5895" s="168">
        <f>SUM(C5895,C5871,C5847,C5823,C5799,C5775,C5751,C5727,C5703,C5679,C5655,C5631,C5607,C5583)/POBLA!$B$14*100000</f>
        <v>8.1662165997776892</v>
      </c>
      <c r="H5895" s="256">
        <f t="shared" si="796"/>
        <v>1.3376623376623376</v>
      </c>
      <c r="I5895" s="297">
        <f t="shared" si="798"/>
        <v>10.92364038671561</v>
      </c>
      <c r="J5895" s="297">
        <f t="shared" si="799"/>
        <v>8.2857142857142865</v>
      </c>
      <c r="K5895" s="297">
        <f>J5895/POBLA!$B$14*100000</f>
        <v>0.65692172369917612</v>
      </c>
      <c r="L5895" s="549">
        <f t="shared" si="797"/>
        <v>-0.28888888888888897</v>
      </c>
      <c r="M5895" s="401">
        <f>SUM(C5895,C5871,C5847,C5823,C5799,C5775,C5751)/POBLA!$B$14*100000</f>
        <v>4.5984520658942323</v>
      </c>
    </row>
    <row r="5896" spans="1:13" s="360" customFormat="1" x14ac:dyDescent="0.25">
      <c r="A5896" s="367" t="s">
        <v>19</v>
      </c>
      <c r="B5896" s="267">
        <v>44138</v>
      </c>
      <c r="C5896" s="1">
        <v>934</v>
      </c>
      <c r="D5896" s="39">
        <f t="shared" si="788"/>
        <v>23678</v>
      </c>
      <c r="E5896" s="1">
        <v>5</v>
      </c>
      <c r="F5896" s="409">
        <f t="shared" si="795"/>
        <v>413</v>
      </c>
      <c r="G5896" s="168">
        <f>SUM(C5896,C5872,C5848,C5824,C5800,C5776,C5752,C5728,C5704,C5680,C5656,C5632,C5608,C5584)/POBLA!$B$15*100000</f>
        <v>1056.9875778735861</v>
      </c>
      <c r="H5896" s="256">
        <f t="shared" si="796"/>
        <v>0.9785306008643524</v>
      </c>
      <c r="I5896" s="297">
        <f t="shared" si="798"/>
        <v>1034.2946896827966</v>
      </c>
      <c r="J5896" s="297">
        <f t="shared" si="799"/>
        <v>498</v>
      </c>
      <c r="K5896" s="297">
        <f>J5896/POBLA!$B$15*100000</f>
        <v>74.993562299621871</v>
      </c>
      <c r="L5896" s="549">
        <f t="shared" si="797"/>
        <v>1.3303141805830698E-2</v>
      </c>
      <c r="M5896" s="401">
        <f>SUM(C5896,C5872,C5848,C5824,C5800,C5776,C5752)/POBLA!$B$15*100000</f>
        <v>524.95493609735308</v>
      </c>
    </row>
    <row r="5897" spans="1:13" s="360" customFormat="1" x14ac:dyDescent="0.25">
      <c r="A5897" s="367" t="s">
        <v>18</v>
      </c>
      <c r="B5897" s="267">
        <v>44138</v>
      </c>
      <c r="C5897" s="1">
        <v>395</v>
      </c>
      <c r="D5897" s="39">
        <f t="shared" si="788"/>
        <v>24807</v>
      </c>
      <c r="E5897" s="1">
        <v>3</v>
      </c>
      <c r="F5897" s="409">
        <f t="shared" si="795"/>
        <v>634</v>
      </c>
      <c r="G5897" s="168">
        <f>SUM(C5897,C5873,C5849,C5825,C5801,C5777,C5753,C5729,C5705,C5681,C5657,C5633,C5609,C5585)/POBLA!$B$16*100000</f>
        <v>668.26286432765744</v>
      </c>
      <c r="H5897" s="256">
        <f t="shared" si="796"/>
        <v>0.97217357462541354</v>
      </c>
      <c r="I5897" s="297">
        <f t="shared" si="798"/>
        <v>649.66749760283653</v>
      </c>
      <c r="J5897" s="297">
        <f t="shared" si="799"/>
        <v>322.57142857142856</v>
      </c>
      <c r="K5897" s="297">
        <f>J5897/POBLA!$B$16*100000</f>
        <v>43.147018976662771</v>
      </c>
      <c r="L5897" s="549">
        <f t="shared" si="797"/>
        <v>0.17531044558071585</v>
      </c>
      <c r="M5897" s="401">
        <f>SUM(C5897,C5873,C5849,C5825,C5801,C5777,C5753)/POBLA!$B$16*100000</f>
        <v>302.02913283663946</v>
      </c>
    </row>
    <row r="5898" spans="1:13" s="360" customFormat="1" x14ac:dyDescent="0.25">
      <c r="A5898" s="367" t="s">
        <v>34</v>
      </c>
      <c r="B5898" s="267">
        <v>44138</v>
      </c>
      <c r="C5898" s="1">
        <v>110</v>
      </c>
      <c r="D5898" s="39">
        <f t="shared" ref="D5898:D5904" si="800">C5898+D5874</f>
        <v>19059</v>
      </c>
      <c r="E5898" s="1">
        <v>7</v>
      </c>
      <c r="F5898" s="409">
        <f t="shared" si="795"/>
        <v>800</v>
      </c>
      <c r="G5898" s="168">
        <f>SUM(C5898,C5874,C5850,C5826,C5802,C5778,C5754,C5730,C5706,C5682,C5658,C5634,C5610,C5586)/POBLA!$B$17*100000</f>
        <v>168.0711206215683</v>
      </c>
      <c r="H5898" s="256">
        <f t="shared" si="796"/>
        <v>0.81125042358522537</v>
      </c>
      <c r="I5898" s="297">
        <f t="shared" si="798"/>
        <v>136.34776779669079</v>
      </c>
      <c r="J5898" s="297">
        <f t="shared" si="799"/>
        <v>146.57142857142858</v>
      </c>
      <c r="K5898" s="297">
        <f>J5898/POBLA!$B$17*100000</f>
        <v>10.290068609483773</v>
      </c>
      <c r="L5898" s="549">
        <f t="shared" si="797"/>
        <v>0.25</v>
      </c>
      <c r="M5898" s="401">
        <f>SUM(C5898,C5874,C5850,C5826,C5802,C5778,C5754)/POBLA!$B$17*100000</f>
        <v>72.030480266386405</v>
      </c>
    </row>
    <row r="5899" spans="1:13" s="360" customFormat="1" x14ac:dyDescent="0.25">
      <c r="A5899" s="367" t="s">
        <v>35</v>
      </c>
      <c r="B5899" s="267">
        <v>44138</v>
      </c>
      <c r="C5899" s="1">
        <v>164</v>
      </c>
      <c r="D5899" s="39">
        <f t="shared" si="800"/>
        <v>2893</v>
      </c>
      <c r="E5899" s="1">
        <v>1</v>
      </c>
      <c r="F5899" s="409">
        <f t="shared" si="795"/>
        <v>102</v>
      </c>
      <c r="G5899" s="168">
        <f>SUM(C5899,C5875,C5851,C5827,C5803,C5779,C5755,C5731,C5707,C5683,C5659,C5635,C5611,C5587)/POBLA!$B$18*100000</f>
        <v>203.01657542014573</v>
      </c>
      <c r="H5899" s="256">
        <f t="shared" si="796"/>
        <v>4.9562499999999998</v>
      </c>
      <c r="I5899" s="297">
        <f t="shared" si="798"/>
        <v>1006.2009019260972</v>
      </c>
      <c r="J5899" s="297">
        <f t="shared" si="799"/>
        <v>208.14285714285714</v>
      </c>
      <c r="K5899" s="297">
        <f>J5899/POBLA!$B$18*100000</f>
        <v>26.643411131971931</v>
      </c>
      <c r="L5899" s="549">
        <f t="shared" si="797"/>
        <v>-10.294573643410853</v>
      </c>
      <c r="M5899" s="401">
        <f>SUM(C5899,C5875,C5851,C5827,C5803,C5779,C5755)/POBLA!$B$18*100000</f>
        <v>186.50387792380351</v>
      </c>
    </row>
    <row r="5900" spans="1:13" s="360" customFormat="1" x14ac:dyDescent="0.25">
      <c r="A5900" s="367" t="s">
        <v>36</v>
      </c>
      <c r="B5900" s="267">
        <v>44138</v>
      </c>
      <c r="C5900" s="1">
        <v>247</v>
      </c>
      <c r="D5900" s="39">
        <f t="shared" si="800"/>
        <v>7856</v>
      </c>
      <c r="E5900" s="1">
        <v>21</v>
      </c>
      <c r="F5900" s="409">
        <f t="shared" si="795"/>
        <v>92</v>
      </c>
      <c r="G5900" s="168">
        <f>SUM(C5900,C5876,C5852,C5828,C5804,C5780,C5756,C5732,C5708,C5684,C5660,C5636,C5612,C5588)/POBLA!$B$19*100000</f>
        <v>782.17214082246107</v>
      </c>
      <c r="H5900" s="256">
        <f t="shared" si="796"/>
        <v>1.9830423940149626</v>
      </c>
      <c r="I5900" s="297">
        <f t="shared" si="798"/>
        <v>1551.0805146683817</v>
      </c>
      <c r="J5900" s="297">
        <f t="shared" si="799"/>
        <v>254.42857142857142</v>
      </c>
      <c r="K5900" s="297">
        <f>J5900/POBLA!$B$19*100000</f>
        <v>50.052047384478414</v>
      </c>
      <c r="L5900" s="549">
        <f t="shared" si="797"/>
        <v>0.18861047835990885</v>
      </c>
      <c r="M5900" s="401">
        <f>SUM(C5900,C5876,C5852,C5828,C5804,C5780,C5756)/POBLA!$B$19*100000</f>
        <v>350.36433169134887</v>
      </c>
    </row>
    <row r="5901" spans="1:13" s="360" customFormat="1" x14ac:dyDescent="0.25">
      <c r="A5901" s="367" t="s">
        <v>37</v>
      </c>
      <c r="B5901" s="267">
        <v>44138</v>
      </c>
      <c r="C5901" s="1">
        <v>250</v>
      </c>
      <c r="D5901" s="39">
        <f t="shared" si="800"/>
        <v>10065</v>
      </c>
      <c r="E5901" s="1">
        <v>6</v>
      </c>
      <c r="F5901" s="409">
        <f t="shared" si="795"/>
        <v>147</v>
      </c>
      <c r="G5901" s="168">
        <f>SUM(C5901,C5877,C5853,C5829,C5805,C5781,C5757,C5733,C5709,C5685,C5661,C5637,C5613,C5589)/POBLA!$B$20*100000</f>
        <v>684.17109199394031</v>
      </c>
      <c r="H5901" s="256">
        <f t="shared" si="796"/>
        <v>1.286375321336761</v>
      </c>
      <c r="I5901" s="297">
        <f t="shared" si="798"/>
        <v>880.10080831302764</v>
      </c>
      <c r="J5901" s="297">
        <f t="shared" si="799"/>
        <v>202.71428571428572</v>
      </c>
      <c r="K5901" s="297">
        <f>J5901/POBLA!$B$20*100000</f>
        <v>55.432155963195243</v>
      </c>
      <c r="L5901" s="549">
        <f t="shared" si="797"/>
        <v>-0.3102493074792243</v>
      </c>
      <c r="M5901" s="401">
        <f>SUM(C5901,C5877,C5853,C5829,C5805,C5781,C5757)/POBLA!$B$20*100000</f>
        <v>388.02509174236667</v>
      </c>
    </row>
    <row r="5902" spans="1:13" s="360" customFormat="1" x14ac:dyDescent="0.25">
      <c r="A5902" s="367" t="s">
        <v>22</v>
      </c>
      <c r="B5902" s="267">
        <v>44138</v>
      </c>
      <c r="C5902" s="1">
        <v>1764</v>
      </c>
      <c r="D5902" s="39">
        <f t="shared" si="800"/>
        <v>111075</v>
      </c>
      <c r="E5902" s="1">
        <v>85</v>
      </c>
      <c r="F5902" s="409">
        <f t="shared" si="795"/>
        <v>1474</v>
      </c>
      <c r="G5902" s="168">
        <f>SUM(C5902,C5878,C5854,C5830,C5806,C5782,C5758,C5734,C5710,C5686,C5662,C5638,C5614,C5590)/POBLA!$B$21*100000</f>
        <v>781.21421166841708</v>
      </c>
      <c r="H5902" s="256">
        <f t="shared" si="796"/>
        <v>0.9042023957583295</v>
      </c>
      <c r="I5902" s="297">
        <f t="shared" si="798"/>
        <v>706.37576179103746</v>
      </c>
      <c r="J5902" s="297">
        <f t="shared" si="799"/>
        <v>1800.1428571428571</v>
      </c>
      <c r="K5902" s="297">
        <f>J5902/POBLA!$B$21*100000</f>
        <v>50.903000073601511</v>
      </c>
      <c r="L5902" s="549">
        <f t="shared" si="797"/>
        <v>0.16138692932250764</v>
      </c>
      <c r="M5902" s="401">
        <f>SUM(C5902,C5878,C5854,C5830,C5806,C5782,C5758)/POBLA!$B$21*100000</f>
        <v>356.32100051521059</v>
      </c>
    </row>
    <row r="5903" spans="1:13" s="360" customFormat="1" x14ac:dyDescent="0.25">
      <c r="A5903" s="367" t="s">
        <v>38</v>
      </c>
      <c r="B5903" s="267">
        <v>44138</v>
      </c>
      <c r="C5903" s="1">
        <v>82</v>
      </c>
      <c r="D5903" s="39">
        <f t="shared" si="800"/>
        <v>10174</v>
      </c>
      <c r="E5903" s="1">
        <v>1</v>
      </c>
      <c r="F5903" s="409">
        <f t="shared" si="795"/>
        <v>135</v>
      </c>
      <c r="G5903" s="168">
        <f>SUM(C5903,C5879,C5855,C5831,C5807,C5783,C5759,C5735,C5711,C5687,C5663,C5639,C5615,C5591)/POBLA!$B$22*100000</f>
        <v>317.89417088396044</v>
      </c>
      <c r="H5903" s="256">
        <f t="shared" si="796"/>
        <v>1.0738950276243093</v>
      </c>
      <c r="I5903" s="297">
        <f t="shared" si="798"/>
        <v>341.3849694230376</v>
      </c>
      <c r="J5903" s="297">
        <f t="shared" si="799"/>
        <v>200.71428571428572</v>
      </c>
      <c r="K5903" s="297">
        <f>J5903/POBLA!$B$22*100000</f>
        <v>20.516367023057622</v>
      </c>
      <c r="L5903" s="549">
        <f t="shared" si="797"/>
        <v>0.17595307917888559</v>
      </c>
      <c r="M5903" s="401">
        <f>SUM(C5903,C5879,C5855,C5831,C5807,C5783,C5759)/POBLA!$B$22*100000</f>
        <v>143.61456916140335</v>
      </c>
    </row>
    <row r="5904" spans="1:13" s="360" customFormat="1" x14ac:dyDescent="0.25">
      <c r="A5904" s="367" t="s">
        <v>39</v>
      </c>
      <c r="B5904" s="267">
        <v>44138</v>
      </c>
      <c r="C5904" s="1">
        <v>266</v>
      </c>
      <c r="D5904" s="39">
        <f t="shared" si="800"/>
        <v>11974</v>
      </c>
      <c r="E5904" s="1">
        <v>2</v>
      </c>
      <c r="F5904" s="409">
        <f t="shared" si="795"/>
        <v>159</v>
      </c>
      <c r="G5904" s="168">
        <f>SUM(C5904,C5880,C5856,C5832,C5808,C5784,C5760,C5736,C5712,C5688,C5664,C5640,C5616,C5592)/POBLA!$B$23*100000</f>
        <v>1862.2405700390207</v>
      </c>
      <c r="H5904" s="256">
        <f t="shared" si="796"/>
        <v>1.0098129408157006</v>
      </c>
      <c r="I5904" s="297">
        <f t="shared" si="798"/>
        <v>1880.5146265374101</v>
      </c>
      <c r="J5904" s="297">
        <f t="shared" si="799"/>
        <v>198</v>
      </c>
      <c r="K5904" s="297">
        <f>J5904/POBLA!$B$23*100000</f>
        <v>111.97195046089463</v>
      </c>
      <c r="L5904" s="549">
        <f t="shared" si="797"/>
        <v>0.27320398531725221</v>
      </c>
      <c r="M5904" s="401">
        <f>SUM(C5904,C5880,C5856,C5832,C5808,C5784,C5760)/POBLA!$B$23*100000</f>
        <v>783.80365322626255</v>
      </c>
    </row>
    <row r="5905" spans="1:13" s="360" customFormat="1" ht="15.75" thickBot="1" x14ac:dyDescent="0.3">
      <c r="A5905" s="368" t="s">
        <v>40</v>
      </c>
      <c r="B5905" s="268">
        <v>44138</v>
      </c>
      <c r="C5905" s="232">
        <v>973</v>
      </c>
      <c r="D5905" s="67">
        <f>C5905+D5881</f>
        <v>51615</v>
      </c>
      <c r="E5905" s="232">
        <v>21</v>
      </c>
      <c r="F5905" s="477">
        <f t="shared" si="795"/>
        <v>834</v>
      </c>
      <c r="G5905" s="177">
        <f>SUM(C5905,C5881,C5857,C5833,C5809,C5785,C5761,C5737,C5713,C5689,C5665,C5641,C5617,C5593)/POBLA!$B$24*100000</f>
        <v>830.31600513614558</v>
      </c>
      <c r="H5905" s="402">
        <f t="shared" si="796"/>
        <v>0.76539382071366402</v>
      </c>
      <c r="I5905" s="403">
        <f t="shared" si="798"/>
        <v>635.5187395708607</v>
      </c>
      <c r="J5905" s="403">
        <f t="shared" si="799"/>
        <v>864</v>
      </c>
      <c r="K5905" s="403">
        <f>J5905/POBLA!$B$24*100000</f>
        <v>50.983798481815775</v>
      </c>
      <c r="L5905" s="550">
        <f t="shared" si="797"/>
        <v>0.24616726910133369</v>
      </c>
      <c r="M5905" s="405">
        <f>SUM(C5905,C5881,C5857,C5833,C5809,C5785,C5761)/POBLA!$B$24*100000</f>
        <v>356.88658937271043</v>
      </c>
    </row>
    <row r="5906" spans="1:13" s="360" customFormat="1" x14ac:dyDescent="0.25">
      <c r="A5906" s="363" t="s">
        <v>16</v>
      </c>
      <c r="B5906" s="265">
        <v>44139</v>
      </c>
      <c r="C5906" s="17">
        <v>3123</v>
      </c>
      <c r="D5906" s="174">
        <f t="shared" ref="D5906:D5969" si="801">C5906+D5882</f>
        <v>560699</v>
      </c>
      <c r="E5906" s="464">
        <v>226</v>
      </c>
      <c r="F5906" s="475">
        <f t="shared" si="795"/>
        <v>18269</v>
      </c>
      <c r="G5906" s="175">
        <f>SUM(C5906,C5882,C5858,C5834,C5810,C5786,C5762,C5738,C5714,C5690,C5666,C5642,C5618,C5594)/POBLA!$B$1*100000</f>
        <v>274.10987688885234</v>
      </c>
      <c r="H5906" s="300">
        <f t="shared" si="796"/>
        <v>0.78432076210361479</v>
      </c>
      <c r="I5906" s="301">
        <f>G5906*H5906</f>
        <v>214.99006754159271</v>
      </c>
      <c r="J5906" s="301">
        <f>AVERAGE(C5906,C5882,C5858,C5834,C5810,C5786,C5762)</f>
        <v>3032.2857142857142</v>
      </c>
      <c r="K5906" s="301">
        <f>J5906/POBLA!$B$1*100000</f>
        <v>17.286707371462974</v>
      </c>
      <c r="L5906" s="548">
        <f t="shared" si="797"/>
        <v>0.20963658028001186</v>
      </c>
      <c r="M5906" s="400">
        <f>SUM(C5906,C5882,C5858,C5834,C5810,C5786,C5762)/POBLA!$B$1*100000</f>
        <v>121.00695160024084</v>
      </c>
    </row>
    <row r="5907" spans="1:13" s="360" customFormat="1" x14ac:dyDescent="0.25">
      <c r="A5907" s="367" t="s">
        <v>43</v>
      </c>
      <c r="B5907" s="267">
        <v>44139</v>
      </c>
      <c r="C5907" s="17">
        <v>476</v>
      </c>
      <c r="D5907" s="39">
        <f t="shared" si="801"/>
        <v>148820</v>
      </c>
      <c r="E5907" s="464">
        <v>20</v>
      </c>
      <c r="F5907" s="409">
        <f t="shared" si="795"/>
        <v>4876</v>
      </c>
      <c r="G5907" s="168">
        <f>SUM(C5907,C5883,C5859,C5835,C5811,C5787,C5763,C5739,C5715,C5691,C5667,C5643,C5619,C5595)/POBLA!$B$2*100000</f>
        <v>224.01797866204367</v>
      </c>
      <c r="H5907" s="256">
        <f t="shared" si="796"/>
        <v>0.6799565775189973</v>
      </c>
      <c r="I5907" s="297">
        <f t="shared" ref="I5907:I5929" si="802">G5907*H5907</f>
        <v>152.32249807376698</v>
      </c>
      <c r="J5907" s="297">
        <f t="shared" ref="J5907:J5929" si="803">AVERAGE(C5907,C5883,C5859,C5835,C5811,C5787,C5763)</f>
        <v>439.42857142857144</v>
      </c>
      <c r="K5907" s="297">
        <f>J5907/POBLA!$B$2*100000</f>
        <v>14.287358539590429</v>
      </c>
      <c r="L5907" s="549">
        <f t="shared" si="797"/>
        <v>0.19349764027267957</v>
      </c>
      <c r="M5907" s="401">
        <f>SUM(C5907,C5883,C5859,C5835,C5811,C5787,C5763)/POBLA!$B$2*100000</f>
        <v>100.01150977713301</v>
      </c>
    </row>
    <row r="5908" spans="1:13" s="360" customFormat="1" x14ac:dyDescent="0.25">
      <c r="A5908" s="367" t="s">
        <v>28</v>
      </c>
      <c r="B5908" s="267">
        <v>44139</v>
      </c>
      <c r="C5908" s="17">
        <v>62</v>
      </c>
      <c r="D5908" s="39">
        <f t="shared" si="801"/>
        <v>1073</v>
      </c>
      <c r="E5908" s="464"/>
      <c r="F5908" s="409">
        <f t="shared" si="795"/>
        <v>0</v>
      </c>
      <c r="G5908" s="168">
        <f>SUM(C5908,C5884,C5860,C5836,C5812,C5788,C5764,C5740,C5716,C5692,C5668,C5644,C5620,C5596)/POBLA!$B$3*100000</f>
        <v>131.90897318011352</v>
      </c>
      <c r="H5908" s="256">
        <f t="shared" si="796"/>
        <v>2.8842105263157896</v>
      </c>
      <c r="I5908" s="297">
        <f t="shared" si="802"/>
        <v>380.45324896159059</v>
      </c>
      <c r="J5908" s="297">
        <f t="shared" si="803"/>
        <v>50.428571428571431</v>
      </c>
      <c r="K5908" s="297">
        <f>J5908/POBLA!$B$3*100000</f>
        <v>12.138651598691364</v>
      </c>
      <c r="L5908" s="549">
        <f t="shared" si="797"/>
        <v>-0.81025641025641026</v>
      </c>
      <c r="M5908" s="401">
        <f>SUM(C5908,C5884,C5860,C5836,C5812,C5788,C5764)/POBLA!$B$3*100000</f>
        <v>84.970561190839547</v>
      </c>
    </row>
    <row r="5909" spans="1:13" s="360" customFormat="1" x14ac:dyDescent="0.25">
      <c r="A5909" s="367" t="s">
        <v>15</v>
      </c>
      <c r="B5909" s="267">
        <v>44139</v>
      </c>
      <c r="C5909" s="17">
        <v>98</v>
      </c>
      <c r="D5909" s="39">
        <f t="shared" si="801"/>
        <v>14493</v>
      </c>
      <c r="E5909" s="464">
        <v>7</v>
      </c>
      <c r="F5909" s="409">
        <f t="shared" si="795"/>
        <v>448</v>
      </c>
      <c r="G5909" s="168">
        <f>SUM(C5909,C5885,C5861,C5837,C5813,C5789,C5765,C5741,C5717,C5693,C5669,C5645,C5621,C5597)/POBLA!$B$4*100000</f>
        <v>182.39312734062187</v>
      </c>
      <c r="H5909" s="256">
        <f t="shared" si="796"/>
        <v>0.84402612370341912</v>
      </c>
      <c r="I5909" s="297">
        <f t="shared" si="802"/>
        <v>153.94456425944918</v>
      </c>
      <c r="J5909" s="297">
        <f t="shared" si="803"/>
        <v>130.42857142857142</v>
      </c>
      <c r="K5909" s="297">
        <f>J5909/POBLA!$B$4*100000</f>
        <v>10.828072388450988</v>
      </c>
      <c r="L5909" s="549">
        <f t="shared" si="797"/>
        <v>0.2889408099688473</v>
      </c>
      <c r="M5909" s="401">
        <f>SUM(C5909,C5885,C5861,C5837,C5813,C5789,C5765)/POBLA!$B$4*100000</f>
        <v>75.796506719156923</v>
      </c>
    </row>
    <row r="5910" spans="1:13" s="360" customFormat="1" x14ac:dyDescent="0.25">
      <c r="A5910" s="367" t="s">
        <v>29</v>
      </c>
      <c r="B5910" s="267">
        <v>44139</v>
      </c>
      <c r="C5910" s="17">
        <v>500</v>
      </c>
      <c r="D5910" s="39">
        <f t="shared" si="801"/>
        <v>15712</v>
      </c>
      <c r="E5910" s="464">
        <v>6</v>
      </c>
      <c r="F5910" s="409">
        <f t="shared" si="795"/>
        <v>260</v>
      </c>
      <c r="G5910" s="168">
        <f>SUM(C5910,C5886,C5862,C5838,C5814,C5790,C5766,C5742,C5718,C5694,C5670,C5646,C5622,C5598)/POBLA!$B$5*100000</f>
        <v>881.10708665996765</v>
      </c>
      <c r="H5910" s="256">
        <f t="shared" si="796"/>
        <v>1.1769529564091497</v>
      </c>
      <c r="I5910" s="297">
        <f t="shared" si="802"/>
        <v>1037.0215905575017</v>
      </c>
      <c r="J5910" s="297">
        <f t="shared" si="803"/>
        <v>302.57142857142856</v>
      </c>
      <c r="K5910" s="297">
        <f>J5910/POBLA!$B$5*100000</f>
        <v>48.881156937131628</v>
      </c>
      <c r="L5910" s="549">
        <f t="shared" si="797"/>
        <v>0.3651079136690647</v>
      </c>
      <c r="M5910" s="401">
        <f>SUM(C5910,C5886,C5862,C5838,C5814,C5790,C5766)/POBLA!$B$5*100000</f>
        <v>342.16809855992142</v>
      </c>
    </row>
    <row r="5911" spans="1:13" s="360" customFormat="1" x14ac:dyDescent="0.25">
      <c r="A5911" s="367" t="s">
        <v>20</v>
      </c>
      <c r="B5911" s="267">
        <v>44139</v>
      </c>
      <c r="C5911" s="17">
        <v>1196</v>
      </c>
      <c r="D5911" s="39">
        <f t="shared" si="801"/>
        <v>89486</v>
      </c>
      <c r="E5911" s="464">
        <v>37</v>
      </c>
      <c r="F5911" s="409">
        <f t="shared" si="795"/>
        <v>1395</v>
      </c>
      <c r="G5911" s="168">
        <f>SUM(C5911,C5887,C5863,C5839,C5815,C5791,C5767,C5743,C5719,C5695,C5671,C5647,C5623,C5599)/POBLA!$B$6*100000</f>
        <v>1848.5886433006394</v>
      </c>
      <c r="H5911" s="256">
        <f t="shared" si="796"/>
        <v>0.86963273871983215</v>
      </c>
      <c r="I5911" s="297">
        <f t="shared" si="802"/>
        <v>1607.5932046399139</v>
      </c>
      <c r="J5911" s="297">
        <f t="shared" si="803"/>
        <v>1221.8571428571429</v>
      </c>
      <c r="K5911" s="297">
        <f>J5911/POBLA!$B$6*100000</f>
        <v>109.01642154647818</v>
      </c>
      <c r="L5911" s="549">
        <f t="shared" si="797"/>
        <v>0.29697517672201212</v>
      </c>
      <c r="M5911" s="401">
        <f>SUM(C5911,C5887,C5863,C5839,C5815,C5791,C5767)/POBLA!$B$6*100000</f>
        <v>763.11495082534725</v>
      </c>
    </row>
    <row r="5912" spans="1:13" s="360" customFormat="1" x14ac:dyDescent="0.25">
      <c r="A5912" s="367" t="s">
        <v>30</v>
      </c>
      <c r="B5912" s="267">
        <v>44139</v>
      </c>
      <c r="C5912" s="17">
        <v>14</v>
      </c>
      <c r="D5912" s="39">
        <f t="shared" si="801"/>
        <v>2633</v>
      </c>
      <c r="E5912" s="464">
        <v>2</v>
      </c>
      <c r="F5912" s="409">
        <f t="shared" si="795"/>
        <v>49</v>
      </c>
      <c r="G5912" s="168">
        <f>SUM(C5912,C5888,C5864,C5840,C5816,C5792,C5768,C5744,C5720,C5696,C5672,C5648,C5624,C5600)/POBLA!$B$7*100000</f>
        <v>12.737837226927629</v>
      </c>
      <c r="H5912" s="256">
        <f t="shared" si="796"/>
        <v>0.60403530895334179</v>
      </c>
      <c r="I5912" s="297">
        <f t="shared" si="802"/>
        <v>7.6941034447646093</v>
      </c>
      <c r="J5912" s="297">
        <f t="shared" si="803"/>
        <v>23.428571428571427</v>
      </c>
      <c r="K5912" s="297">
        <f>J5912/POBLA!$B$7*100000</f>
        <v>0.62302573970060571</v>
      </c>
      <c r="L5912" s="549">
        <f t="shared" si="797"/>
        <v>0.47936507936507933</v>
      </c>
      <c r="M5912" s="401">
        <f>SUM(C5912,C5888,C5864,C5840,C5816,C5792,C5768)/POBLA!$B$7*100000</f>
        <v>4.3611801779042407</v>
      </c>
    </row>
    <row r="5913" spans="1:13" x14ac:dyDescent="0.25">
      <c r="A5913" s="367" t="s">
        <v>31</v>
      </c>
      <c r="B5913" s="267">
        <v>44139</v>
      </c>
      <c r="C5913" s="17">
        <v>325</v>
      </c>
      <c r="D5913" s="39">
        <f t="shared" si="801"/>
        <v>17009</v>
      </c>
      <c r="E5913" s="464">
        <v>7</v>
      </c>
      <c r="F5913" s="409">
        <f t="shared" si="795"/>
        <v>301</v>
      </c>
      <c r="G5913" s="168">
        <f>SUM(C5913,C5889,C5865,C5841,C5817,C5793,C5769,C5745,C5721,C5697,C5673,C5649,C5625,C5601)/POBLA!$B$8*100000</f>
        <v>320.93255149315172</v>
      </c>
      <c r="H5913" s="256">
        <f t="shared" si="796"/>
        <v>1.128361237950279</v>
      </c>
      <c r="I5913" s="297">
        <f t="shared" si="802"/>
        <v>362.12785110135434</v>
      </c>
      <c r="J5913" s="297">
        <f t="shared" si="803"/>
        <v>282.71428571428572</v>
      </c>
      <c r="K5913" s="297">
        <f>J5913/POBLA!$B$8*100000</f>
        <v>20.398430093941009</v>
      </c>
      <c r="L5913" s="549">
        <f t="shared" si="797"/>
        <v>0.19846091535034427</v>
      </c>
      <c r="M5913" s="401">
        <f>SUM(C5913,C5889,C5865,C5841,C5817,C5793,C5769)/POBLA!$B$8*100000</f>
        <v>142.78901065758706</v>
      </c>
    </row>
    <row r="5914" spans="1:13" s="360" customFormat="1" x14ac:dyDescent="0.25">
      <c r="A5914" s="367" t="s">
        <v>41</v>
      </c>
      <c r="B5914" s="267">
        <v>44139</v>
      </c>
      <c r="C5914" s="17">
        <v>5</v>
      </c>
      <c r="D5914" s="39">
        <f t="shared" si="801"/>
        <v>163</v>
      </c>
      <c r="E5914" s="464">
        <v>1</v>
      </c>
      <c r="F5914" s="409">
        <f t="shared" si="795"/>
        <v>3</v>
      </c>
      <c r="G5914" s="168">
        <f>SUM(C5914,C5890,C5866,C5842,C5818,C5794,C5770,C5746,C5722,C5698,C5674,C5650,C5626,C5602)/POBLA!$B$9*100000</f>
        <v>2.643784710001603</v>
      </c>
      <c r="H5914" s="256">
        <f t="shared" si="796"/>
        <v>0.38095238095238093</v>
      </c>
      <c r="I5914" s="297">
        <f t="shared" si="802"/>
        <v>1.0071560800006105</v>
      </c>
      <c r="J5914" s="297">
        <f t="shared" si="803"/>
        <v>2</v>
      </c>
      <c r="K5914" s="297">
        <f>J5914/POBLA!$B$9*100000</f>
        <v>0.33047308875020037</v>
      </c>
      <c r="L5914" s="549">
        <f t="shared" si="797"/>
        <v>-6</v>
      </c>
      <c r="M5914" s="401">
        <f>SUM(C5914,C5890,C5866,C5842,C5818,C5794,C5770)/POBLA!$B$9*100000</f>
        <v>2.3133116212514024</v>
      </c>
    </row>
    <row r="5915" spans="1:13" s="360" customFormat="1" x14ac:dyDescent="0.25">
      <c r="A5915" s="367" t="s">
        <v>32</v>
      </c>
      <c r="B5915" s="267">
        <v>44139</v>
      </c>
      <c r="C5915" s="17">
        <v>22</v>
      </c>
      <c r="D5915" s="39">
        <f t="shared" si="801"/>
        <v>17962</v>
      </c>
      <c r="E5915" s="464"/>
      <c r="F5915" s="409">
        <f t="shared" si="795"/>
        <v>817</v>
      </c>
      <c r="G5915" s="168">
        <f>SUM(C5915,C5891,C5867,C5843,C5819,C5795,C5771,C5747,C5723,C5699,C5675,C5651,C5627,C5603)/POBLA!$B$10*100000</f>
        <v>71.346939410881845</v>
      </c>
      <c r="H5915" s="256">
        <f t="shared" si="796"/>
        <v>0.52034058656575211</v>
      </c>
      <c r="I5915" s="297">
        <f t="shared" si="802"/>
        <v>37.124708302729438</v>
      </c>
      <c r="J5915" s="297">
        <f t="shared" si="803"/>
        <v>31.714285714285715</v>
      </c>
      <c r="K5915" s="297">
        <f>J5915/POBLA!$B$10*100000</f>
        <v>4.1140313114846156</v>
      </c>
      <c r="L5915" s="549">
        <f t="shared" si="797"/>
        <v>0.32317073170731703</v>
      </c>
      <c r="M5915" s="401">
        <f>SUM(C5915,C5891,C5867,C5843,C5819,C5795,C5771)/POBLA!$B$10*100000</f>
        <v>28.798219180392305</v>
      </c>
    </row>
    <row r="5916" spans="1:13" s="360" customFormat="1" x14ac:dyDescent="0.25">
      <c r="A5916" s="367" t="s">
        <v>33</v>
      </c>
      <c r="B5916" s="267">
        <v>44139</v>
      </c>
      <c r="C5916" s="17">
        <v>137</v>
      </c>
      <c r="D5916" s="39">
        <f t="shared" si="801"/>
        <v>3701</v>
      </c>
      <c r="E5916" s="464"/>
      <c r="F5916" s="409">
        <f t="shared" si="795"/>
        <v>36</v>
      </c>
      <c r="G5916" s="168">
        <f>SUM(C5916,C5892,C5868,C5844,C5820,C5796,C5772,C5748,C5724,C5700,C5676,C5652,C5628,C5604)/POBLA!$B$11*100000</f>
        <v>483.2211769169819</v>
      </c>
      <c r="H5916" s="256">
        <f t="shared" si="796"/>
        <v>1.6669874879692013</v>
      </c>
      <c r="I5916" s="297">
        <f t="shared" si="802"/>
        <v>805.52365584236065</v>
      </c>
      <c r="J5916" s="297">
        <f t="shared" si="803"/>
        <v>124.57142857142857</v>
      </c>
      <c r="K5916" s="297">
        <f>J5916/POBLA!$B$11*100000</f>
        <v>34.754937831706386</v>
      </c>
      <c r="L5916" s="549">
        <f t="shared" si="797"/>
        <v>-1.3953488372093092E-2</v>
      </c>
      <c r="M5916" s="401">
        <f>SUM(C5916,C5892,C5868,C5844,C5820,C5796,C5772)/POBLA!$B$11*100000</f>
        <v>243.28456482194471</v>
      </c>
    </row>
    <row r="5917" spans="1:13" s="360" customFormat="1" x14ac:dyDescent="0.25">
      <c r="A5917" s="367" t="s">
        <v>21</v>
      </c>
      <c r="B5917" s="267">
        <v>44139</v>
      </c>
      <c r="C5917" s="17">
        <v>61</v>
      </c>
      <c r="D5917" s="39">
        <f t="shared" si="801"/>
        <v>7743</v>
      </c>
      <c r="E5917" s="464"/>
      <c r="F5917" s="409">
        <f t="shared" si="795"/>
        <v>283</v>
      </c>
      <c r="G5917" s="168">
        <f>SUM(C5917,C5893,C5869,C5845,C5821,C5797,C5773,C5749,C5725,C5701,C5677,C5653,C5629,C5605)/POBLA!$B$12*100000</f>
        <v>239.87945041178457</v>
      </c>
      <c r="H5917" s="256">
        <f t="shared" si="796"/>
        <v>0.68955441928414907</v>
      </c>
      <c r="I5917" s="297">
        <f t="shared" si="802"/>
        <v>165.40993512689894</v>
      </c>
      <c r="J5917" s="297">
        <f t="shared" si="803"/>
        <v>51</v>
      </c>
      <c r="K5917" s="297">
        <f>J5917/POBLA!$B$12*100000</f>
        <v>12.959588952331583</v>
      </c>
      <c r="L5917" s="549">
        <f t="shared" si="797"/>
        <v>0.39182282793867118</v>
      </c>
      <c r="M5917" s="401">
        <f>SUM(C5917,C5893,C5869,C5845,C5821,C5797,C5773)/POBLA!$B$12*100000</f>
        <v>90.717122666321075</v>
      </c>
    </row>
    <row r="5918" spans="1:13" s="360" customFormat="1" x14ac:dyDescent="0.25">
      <c r="A5918" s="367" t="s">
        <v>17</v>
      </c>
      <c r="B5918" s="267">
        <v>44139</v>
      </c>
      <c r="C5918" s="17">
        <v>518</v>
      </c>
      <c r="D5918" s="39">
        <f t="shared" si="801"/>
        <v>48826</v>
      </c>
      <c r="E5918" s="464">
        <v>41</v>
      </c>
      <c r="F5918" s="409">
        <f t="shared" si="795"/>
        <v>854</v>
      </c>
      <c r="G5918" s="168">
        <f>SUM(C5918,C5894,C5870,C5846,C5822,C5798,C5774,C5750,C5726,C5702,C5678,C5654,C5630,C5606)/POBLA!$B$13*100000</f>
        <v>444.99979400483738</v>
      </c>
      <c r="H5918" s="256">
        <f t="shared" si="796"/>
        <v>0.83297282046459131</v>
      </c>
      <c r="I5918" s="297">
        <f t="shared" si="802"/>
        <v>370.6727335183715</v>
      </c>
      <c r="J5918" s="297">
        <f t="shared" si="803"/>
        <v>539.85714285714289</v>
      </c>
      <c r="K5918" s="297">
        <f>J5918/POBLA!$B$13*100000</f>
        <v>27.123892668337884</v>
      </c>
      <c r="L5918" s="549">
        <f t="shared" si="797"/>
        <v>0.25580937376920043</v>
      </c>
      <c r="M5918" s="401">
        <f>SUM(C5918,C5894,C5870,C5846,C5822,C5798,C5774)/POBLA!$B$13*100000</f>
        <v>189.8672486783652</v>
      </c>
    </row>
    <row r="5919" spans="1:13" s="360" customFormat="1" x14ac:dyDescent="0.25">
      <c r="A5919" s="367" t="s">
        <v>23</v>
      </c>
      <c r="B5919" s="267">
        <v>44139</v>
      </c>
      <c r="C5919" s="17">
        <v>-11</v>
      </c>
      <c r="D5919" s="39">
        <f t="shared" si="801"/>
        <v>287</v>
      </c>
      <c r="E5919" s="464"/>
      <c r="F5919" s="409">
        <f t="shared" si="795"/>
        <v>6</v>
      </c>
      <c r="G5919" s="168">
        <f>SUM(C5919,C5895,C5871,C5847,C5823,C5799,C5775,C5751,C5727,C5703,C5679,C5655,C5631,C5607)/POBLA!$B$14*100000</f>
        <v>7.0562454114583915</v>
      </c>
      <c r="H5919" s="256">
        <f t="shared" si="796"/>
        <v>1.2191780821917808</v>
      </c>
      <c r="I5919" s="297">
        <f t="shared" si="802"/>
        <v>8.6028197482163957</v>
      </c>
      <c r="J5919" s="297">
        <f t="shared" si="803"/>
        <v>5.4285714285714288</v>
      </c>
      <c r="K5919" s="297">
        <f>J5919/POBLA!$B$14*100000</f>
        <v>0.43039699138911536</v>
      </c>
      <c r="L5919" s="549">
        <f t="shared" si="797"/>
        <v>0.25490196078431371</v>
      </c>
      <c r="M5919" s="401">
        <f>SUM(C5919,C5895,C5871,C5847,C5823,C5799,C5775)/POBLA!$B$14*100000</f>
        <v>3.0127789397238076</v>
      </c>
    </row>
    <row r="5920" spans="1:13" s="360" customFormat="1" x14ac:dyDescent="0.25">
      <c r="A5920" s="367" t="s">
        <v>19</v>
      </c>
      <c r="B5920" s="267">
        <v>44139</v>
      </c>
      <c r="C5920" s="17">
        <v>298</v>
      </c>
      <c r="D5920" s="39">
        <f t="shared" si="801"/>
        <v>23976</v>
      </c>
      <c r="E5920" s="464">
        <v>1</v>
      </c>
      <c r="F5920" s="409">
        <f t="shared" si="795"/>
        <v>414</v>
      </c>
      <c r="G5920" s="168">
        <f>SUM(C5920,C5896,C5872,C5848,C5824,C5800,C5776,C5752,C5728,C5704,C5680,C5656,C5632,C5608)/POBLA!$B$15*100000</f>
        <v>954.88790871867923</v>
      </c>
      <c r="H5920" s="256">
        <f t="shared" si="796"/>
        <v>0.91303095752339813</v>
      </c>
      <c r="I5920" s="297">
        <f t="shared" si="802"/>
        <v>871.84222162493086</v>
      </c>
      <c r="J5920" s="297">
        <f t="shared" si="803"/>
        <v>485.71428571428572</v>
      </c>
      <c r="K5920" s="297">
        <f>J5920/POBLA!$B$15*100000</f>
        <v>73.143462942832571</v>
      </c>
      <c r="L5920" s="549">
        <f t="shared" si="797"/>
        <v>-0.1560693641618498</v>
      </c>
      <c r="M5920" s="401">
        <f>SUM(C5920,C5896,C5872,C5848,C5824,C5800,C5776)/POBLA!$B$15*100000</f>
        <v>512.00424059982799</v>
      </c>
    </row>
    <row r="5921" spans="1:13" s="360" customFormat="1" x14ac:dyDescent="0.25">
      <c r="A5921" s="367" t="s">
        <v>18</v>
      </c>
      <c r="B5921" s="267">
        <v>44139</v>
      </c>
      <c r="C5921" s="17">
        <v>371</v>
      </c>
      <c r="D5921" s="39">
        <f t="shared" si="801"/>
        <v>25178</v>
      </c>
      <c r="E5921" s="464">
        <v>8</v>
      </c>
      <c r="F5921" s="409">
        <f t="shared" si="795"/>
        <v>642</v>
      </c>
      <c r="G5921" s="168">
        <f>SUM(C5921,C5897,C5873,C5849,C5825,C5801,C5777,C5753,C5729,C5705,C5681,C5657,C5633,C5609)/POBLA!$B$16*100000</f>
        <v>646.19253354021487</v>
      </c>
      <c r="H5921" s="256">
        <f t="shared" si="796"/>
        <v>0.90535982008995497</v>
      </c>
      <c r="I5921" s="297">
        <f t="shared" si="802"/>
        <v>585.03675590944113</v>
      </c>
      <c r="J5921" s="297">
        <f t="shared" si="803"/>
        <v>311.28571428571428</v>
      </c>
      <c r="K5921" s="297">
        <f>J5921/POBLA!$B$16*100000</f>
        <v>41.637446567824703</v>
      </c>
      <c r="L5921" s="549">
        <f t="shared" si="797"/>
        <v>0.17835595776772251</v>
      </c>
      <c r="M5921" s="401">
        <f>SUM(C5921,C5897,C5873,C5849,C5825,C5801,C5777)/POBLA!$B$16*100000</f>
        <v>291.46212597477296</v>
      </c>
    </row>
    <row r="5922" spans="1:13" s="360" customFormat="1" x14ac:dyDescent="0.25">
      <c r="A5922" s="367" t="s">
        <v>34</v>
      </c>
      <c r="B5922" s="267">
        <v>44139</v>
      </c>
      <c r="C5922" s="17">
        <v>134</v>
      </c>
      <c r="D5922" s="39">
        <f t="shared" si="801"/>
        <v>19193</v>
      </c>
      <c r="E5922" s="464">
        <v>22</v>
      </c>
      <c r="F5922" s="409">
        <f t="shared" si="795"/>
        <v>822</v>
      </c>
      <c r="G5922" s="168">
        <f>SUM(C5922,C5898,C5874,C5850,C5826,C5802,C5778,C5754,C5730,C5706,C5682,C5658,C5634,C5610)/POBLA!$B$17*100000</f>
        <v>159.64650304655234</v>
      </c>
      <c r="H5922" s="256">
        <f t="shared" si="796"/>
        <v>0.77983539094650201</v>
      </c>
      <c r="I5922" s="297">
        <f t="shared" si="802"/>
        <v>124.49799311655006</v>
      </c>
      <c r="J5922" s="297">
        <f t="shared" si="803"/>
        <v>134.42857142857142</v>
      </c>
      <c r="K5922" s="297">
        <f>J5922/POBLA!$B$17*100000</f>
        <v>9.4375775453452526</v>
      </c>
      <c r="L5922" s="549">
        <f t="shared" si="797"/>
        <v>0.29407351837959494</v>
      </c>
      <c r="M5922" s="401">
        <f>SUM(C5922,C5898,C5874,C5850,C5826,C5802,C5778)/POBLA!$B$17*100000</f>
        <v>66.063042817416772</v>
      </c>
    </row>
    <row r="5923" spans="1:13" s="360" customFormat="1" x14ac:dyDescent="0.25">
      <c r="A5923" s="367" t="s">
        <v>35</v>
      </c>
      <c r="B5923" s="267">
        <v>44139</v>
      </c>
      <c r="C5923" s="17">
        <v>180</v>
      </c>
      <c r="D5923" s="39">
        <f t="shared" si="801"/>
        <v>3073</v>
      </c>
      <c r="E5923" s="464"/>
      <c r="F5923" s="409">
        <f t="shared" si="795"/>
        <v>102</v>
      </c>
      <c r="G5923" s="168">
        <f>SUM(C5923,C5899,C5875,C5851,C5827,C5803,C5779,C5755,C5731,C5707,C5683,C5659,C5635,C5611)/POBLA!$B$18*100000</f>
        <v>225.03350541526876</v>
      </c>
      <c r="H5923" s="256">
        <f t="shared" si="796"/>
        <v>5.4596273291925463</v>
      </c>
      <c r="I5923" s="297">
        <f t="shared" si="802"/>
        <v>1228.5990761492003</v>
      </c>
      <c r="J5923" s="297">
        <f t="shared" si="803"/>
        <v>213.28571428571428</v>
      </c>
      <c r="K5923" s="297">
        <f>J5923/POBLA!$B$18*100000</f>
        <v>27.301724653420788</v>
      </c>
      <c r="L5923" s="549">
        <f t="shared" si="797"/>
        <v>-4.6339622641509433</v>
      </c>
      <c r="M5923" s="401">
        <f>SUM(C5923,C5899,C5875,C5851,C5827,C5803,C5779)/POBLA!$B$18*100000</f>
        <v>191.11207257394551</v>
      </c>
    </row>
    <row r="5924" spans="1:13" s="360" customFormat="1" x14ac:dyDescent="0.25">
      <c r="A5924" s="367" t="s">
        <v>36</v>
      </c>
      <c r="B5924" s="267">
        <v>44139</v>
      </c>
      <c r="C5924" s="17">
        <v>247</v>
      </c>
      <c r="D5924" s="39">
        <f t="shared" si="801"/>
        <v>8103</v>
      </c>
      <c r="E5924" s="464">
        <v>10</v>
      </c>
      <c r="F5924" s="409">
        <f t="shared" si="795"/>
        <v>102</v>
      </c>
      <c r="G5924" s="168">
        <f>SUM(C5924,C5900,C5876,C5852,C5828,C5804,C5780,C5756,C5732,C5708,C5684,C5660,C5636,C5612)/POBLA!$B$19*100000</f>
        <v>731.02406320328612</v>
      </c>
      <c r="H5924" s="256">
        <f t="shared" si="796"/>
        <v>1.5567658148303309</v>
      </c>
      <c r="I5924" s="297">
        <f t="shared" si="802"/>
        <v>1138.033271413243</v>
      </c>
      <c r="J5924" s="297">
        <f t="shared" si="803"/>
        <v>265.85714285714283</v>
      </c>
      <c r="K5924" s="297">
        <f>J5924/POBLA!$B$19*100000</f>
        <v>52.300314532574014</v>
      </c>
      <c r="L5924" s="549">
        <f t="shared" si="797"/>
        <v>-3.2345013477088624E-3</v>
      </c>
      <c r="M5924" s="401">
        <f>SUM(C5924,C5900,C5876,C5852,C5828,C5804,C5780)/POBLA!$B$19*100000</f>
        <v>366.10220172801814</v>
      </c>
    </row>
    <row r="5925" spans="1:13" s="360" customFormat="1" x14ac:dyDescent="0.25">
      <c r="A5925" s="367" t="s">
        <v>37</v>
      </c>
      <c r="B5925" s="267">
        <v>44139</v>
      </c>
      <c r="C5925" s="17">
        <v>185</v>
      </c>
      <c r="D5925" s="39">
        <f t="shared" si="801"/>
        <v>10250</v>
      </c>
      <c r="E5925" s="464">
        <v>2</v>
      </c>
      <c r="F5925" s="409">
        <f t="shared" si="795"/>
        <v>149</v>
      </c>
      <c r="G5925" s="168">
        <f>SUM(C5925,C5901,C5877,C5853,C5829,C5805,C5781,C5757,C5733,C5709,C5685,C5661,C5637,C5613)/POBLA!$B$20*100000</f>
        <v>680.88969586926919</v>
      </c>
      <c r="H5925" s="256">
        <f t="shared" si="796"/>
        <v>1.2575757575757576</v>
      </c>
      <c r="I5925" s="297">
        <f t="shared" si="802"/>
        <v>856.27037510832338</v>
      </c>
      <c r="J5925" s="297">
        <f t="shared" si="803"/>
        <v>195</v>
      </c>
      <c r="K5925" s="297">
        <f>J5925/POBLA!$B$20*100000</f>
        <v>53.322687025906625</v>
      </c>
      <c r="L5925" s="549">
        <f t="shared" si="797"/>
        <v>-0.21333333333333337</v>
      </c>
      <c r="M5925" s="401">
        <f>SUM(C5925,C5901,C5877,C5853,C5829,C5805,C5781)/POBLA!$B$20*100000</f>
        <v>373.25880918134635</v>
      </c>
    </row>
    <row r="5926" spans="1:13" s="360" customFormat="1" x14ac:dyDescent="0.25">
      <c r="A5926" s="367" t="s">
        <v>22</v>
      </c>
      <c r="B5926" s="267">
        <v>44139</v>
      </c>
      <c r="C5926" s="17">
        <v>1543</v>
      </c>
      <c r="D5926" s="39">
        <f t="shared" si="801"/>
        <v>112618</v>
      </c>
      <c r="E5926" s="464">
        <v>56</v>
      </c>
      <c r="F5926" s="409">
        <f t="shared" si="795"/>
        <v>1530</v>
      </c>
      <c r="G5926" s="168">
        <f>SUM(C5926,C5902,C5878,C5854,C5830,C5806,C5782,C5758,C5734,C5710,C5686,C5662,C5638,C5614)/POBLA!$B$21*100000</f>
        <v>749.26097537112412</v>
      </c>
      <c r="H5926" s="256">
        <f t="shared" si="796"/>
        <v>0.85226761016403985</v>
      </c>
      <c r="I5926" s="297">
        <f t="shared" si="802"/>
        <v>638.5708608687255</v>
      </c>
      <c r="J5926" s="297">
        <f t="shared" si="803"/>
        <v>1734.4285714285713</v>
      </c>
      <c r="K5926" s="297">
        <f>J5926/POBLA!$B$21*100000</f>
        <v>49.044784056312665</v>
      </c>
      <c r="L5926" s="549">
        <f t="shared" si="797"/>
        <v>0.15429088882697128</v>
      </c>
      <c r="M5926" s="401">
        <f>SUM(C5926,C5902,C5878,C5854,C5830,C5806,C5782)/POBLA!$B$21*100000</f>
        <v>343.31348839418871</v>
      </c>
    </row>
    <row r="5927" spans="1:13" s="360" customFormat="1" x14ac:dyDescent="0.25">
      <c r="A5927" s="367" t="s">
        <v>38</v>
      </c>
      <c r="B5927" s="267">
        <v>44139</v>
      </c>
      <c r="C5927" s="17">
        <v>213</v>
      </c>
      <c r="D5927" s="39">
        <f t="shared" si="801"/>
        <v>10387</v>
      </c>
      <c r="E5927" s="464"/>
      <c r="F5927" s="409">
        <f t="shared" si="795"/>
        <v>135</v>
      </c>
      <c r="G5927" s="168">
        <f>SUM(C5927,C5903,C5879,C5855,C5831,C5807,C5783,C5759,C5735,C5711,C5687,C5663,C5639,C5615)/POBLA!$B$22*100000</f>
        <v>320.75624058966815</v>
      </c>
      <c r="H5927" s="256">
        <f t="shared" si="796"/>
        <v>1.0387288977159881</v>
      </c>
      <c r="I5927" s="297">
        <f t="shared" si="802"/>
        <v>333.17877622323027</v>
      </c>
      <c r="J5927" s="297">
        <f t="shared" si="803"/>
        <v>189.42857142857142</v>
      </c>
      <c r="K5927" s="297">
        <f>J5927/POBLA!$B$22*100000</f>
        <v>19.36277770289993</v>
      </c>
      <c r="L5927" s="549">
        <f t="shared" si="797"/>
        <v>0.26821192052980136</v>
      </c>
      <c r="M5927" s="401">
        <f>SUM(C5927,C5903,C5879,C5855,C5831,C5807,C5783)/POBLA!$B$22*100000</f>
        <v>135.53944392029953</v>
      </c>
    </row>
    <row r="5928" spans="1:13" s="360" customFormat="1" x14ac:dyDescent="0.25">
      <c r="A5928" s="367" t="s">
        <v>39</v>
      </c>
      <c r="B5928" s="267">
        <v>44139</v>
      </c>
      <c r="C5928" s="17">
        <v>205</v>
      </c>
      <c r="D5928" s="39">
        <f t="shared" si="801"/>
        <v>12179</v>
      </c>
      <c r="E5928" s="464">
        <v>2</v>
      </c>
      <c r="F5928" s="409">
        <f t="shared" si="795"/>
        <v>161</v>
      </c>
      <c r="G5928" s="168">
        <f>SUM(C5928,C5904,C5880,C5856,C5832,C5808,C5784,C5760,C5736,C5712,C5688,C5664,C5640,C5616)/POBLA!$B$23*100000</f>
        <v>1862.2405700390207</v>
      </c>
      <c r="H5928" s="256">
        <f t="shared" si="796"/>
        <v>1.0132307692307692</v>
      </c>
      <c r="I5928" s="297">
        <f t="shared" si="802"/>
        <v>1886.879445273383</v>
      </c>
      <c r="J5928" s="297">
        <f t="shared" si="803"/>
        <v>193.57142857142858</v>
      </c>
      <c r="K5928" s="297">
        <f>J5928/POBLA!$B$23*100000</f>
        <v>109.46752732648791</v>
      </c>
      <c r="L5928" s="549">
        <f t="shared" si="797"/>
        <v>0.30082559339525283</v>
      </c>
      <c r="M5928" s="401">
        <f>SUM(C5928,C5904,C5880,C5856,C5832,C5808,C5784)/POBLA!$B$23*100000</f>
        <v>766.27269128541536</v>
      </c>
    </row>
    <row r="5929" spans="1:13" s="360" customFormat="1" ht="15.75" thickBot="1" x14ac:dyDescent="0.3">
      <c r="A5929" s="369" t="s">
        <v>40</v>
      </c>
      <c r="B5929" s="269">
        <v>44139</v>
      </c>
      <c r="C5929" s="17">
        <v>750</v>
      </c>
      <c r="D5929" s="176">
        <f>C5929+D5905</f>
        <v>52365</v>
      </c>
      <c r="E5929" s="464">
        <v>17</v>
      </c>
      <c r="F5929" s="476">
        <f t="shared" si="795"/>
        <v>851</v>
      </c>
      <c r="G5929" s="177">
        <f>SUM(C5929,C5905,C5881,C5857,C5833,C5809,C5785,C5761,C5737,C5713,C5689,C5665,C5641,C5617)/POBLA!$B$24*100000</f>
        <v>782.51869405944331</v>
      </c>
      <c r="H5929" s="402">
        <f t="shared" si="796"/>
        <v>0.74806791899362557</v>
      </c>
      <c r="I5929" s="403">
        <f t="shared" si="802"/>
        <v>585.37713103865735</v>
      </c>
      <c r="J5929" s="403">
        <f t="shared" si="803"/>
        <v>810.14285714285711</v>
      </c>
      <c r="K5929" s="403">
        <f>J5929/POBLA!$B$24*100000</f>
        <v>47.805740937562376</v>
      </c>
      <c r="L5929" s="550">
        <f t="shared" si="797"/>
        <v>0.25283267457180503</v>
      </c>
      <c r="M5929" s="405">
        <f>SUM(C5929,C5905,C5881,C5857,C5833,C5809,C5785)/POBLA!$B$24*100000</f>
        <v>334.64018656293666</v>
      </c>
    </row>
    <row r="5930" spans="1:13" s="360" customFormat="1" x14ac:dyDescent="0.25">
      <c r="A5930" s="363" t="s">
        <v>16</v>
      </c>
      <c r="B5930" s="268">
        <v>44140</v>
      </c>
      <c r="C5930" s="225">
        <v>3239</v>
      </c>
      <c r="D5930" s="174">
        <f t="shared" si="801"/>
        <v>563938</v>
      </c>
      <c r="E5930" s="225">
        <f>43+38</f>
        <v>81</v>
      </c>
      <c r="F5930" s="475">
        <f t="shared" si="795"/>
        <v>18350</v>
      </c>
      <c r="G5930" s="175">
        <f>SUM(C5930,C5906,C5882,C5858,C5834,C5810,C5786,C5762,C5738,C5714,C5690,C5666,C5642,C5618)/POBLA!$B$1*100000</f>
        <v>264.90295015586497</v>
      </c>
      <c r="H5930" s="300">
        <f t="shared" si="796"/>
        <v>0.76207891888345858</v>
      </c>
      <c r="I5930" s="301">
        <f>G5930*H5930</f>
        <v>201.87695386382029</v>
      </c>
      <c r="J5930" s="301">
        <f>AVERAGE(C5930,C5906,C5882,C5858,C5834,C5810,C5786)</f>
        <v>2965.2857142857142</v>
      </c>
      <c r="K5930" s="301">
        <f>J5930/POBLA!$B$1*100000</f>
        <v>16.904748181921086</v>
      </c>
      <c r="L5930" s="548">
        <f t="shared" si="797"/>
        <v>0.19264877479579934</v>
      </c>
      <c r="M5930" s="400">
        <f>SUM(C5930,C5906,C5882,C5858,C5834,C5810,C5786)/POBLA!$B$1*100000</f>
        <v>118.33323727344761</v>
      </c>
    </row>
    <row r="5931" spans="1:13" s="360" customFormat="1" x14ac:dyDescent="0.25">
      <c r="A5931" s="367" t="s">
        <v>43</v>
      </c>
      <c r="B5931" s="2">
        <v>44140</v>
      </c>
      <c r="C5931" s="1">
        <v>476</v>
      </c>
      <c r="D5931" s="39">
        <f t="shared" si="801"/>
        <v>149296</v>
      </c>
      <c r="E5931" s="1">
        <f>12+1+14</f>
        <v>27</v>
      </c>
      <c r="F5931" s="409">
        <f t="shared" ref="F5931:F5994" si="804">E5931+F5907</f>
        <v>4903</v>
      </c>
      <c r="G5931" s="168">
        <f>SUM(C5931,C5907,C5883,C5859,C5835,C5811,C5787,C5763,C5739,C5715,C5691,C5667,C5643,C5619)/POBLA!$B$2*100000</f>
        <v>221.09176413670494</v>
      </c>
      <c r="H5931" s="256">
        <f t="shared" si="796"/>
        <v>0.69657856996517109</v>
      </c>
      <c r="I5931" s="297">
        <f t="shared" ref="I5931:I5953" si="805">G5931*H5931</f>
        <v>154.00778489342284</v>
      </c>
      <c r="J5931" s="297">
        <f t="shared" ref="J5931:J5953" si="806">AVERAGE(C5931,C5907,C5883,C5859,C5835,C5811,C5787)</f>
        <v>434.28571428571428</v>
      </c>
      <c r="K5931" s="297">
        <f>J5931/POBLA!$B$2*100000</f>
        <v>14.120146280999645</v>
      </c>
      <c r="L5931" s="549">
        <f t="shared" si="797"/>
        <v>0.19148936170212771</v>
      </c>
      <c r="M5931" s="401">
        <f>SUM(C5931,C5907,C5883,C5859,C5835,C5811,C5787)/POBLA!$B$2*100000</f>
        <v>98.841023966997497</v>
      </c>
    </row>
    <row r="5932" spans="1:13" s="360" customFormat="1" x14ac:dyDescent="0.25">
      <c r="A5932" s="367" t="s">
        <v>28</v>
      </c>
      <c r="B5932" s="2">
        <v>44140</v>
      </c>
      <c r="C5932" s="1">
        <v>47</v>
      </c>
      <c r="D5932" s="39">
        <f t="shared" si="801"/>
        <v>1120</v>
      </c>
      <c r="E5932" s="1"/>
      <c r="F5932" s="409">
        <f t="shared" si="804"/>
        <v>0</v>
      </c>
      <c r="G5932" s="168">
        <f>SUM(C5932,C5908,C5884,C5860,C5836,C5812,C5788,C5764,C5740,C5716,C5692,C5668,C5644,C5620)/POBLA!$B$3*100000</f>
        <v>136.72316928157753</v>
      </c>
      <c r="H5932" s="256">
        <f t="shared" si="796"/>
        <v>2.8542713567839195</v>
      </c>
      <c r="I5932" s="297">
        <f t="shared" si="805"/>
        <v>390.24502588912577</v>
      </c>
      <c r="J5932" s="297">
        <f t="shared" si="806"/>
        <v>54.857142857142854</v>
      </c>
      <c r="K5932" s="297">
        <f>J5932/POBLA!$B$3*100000</f>
        <v>13.204652164015533</v>
      </c>
      <c r="L5932" s="549">
        <f t="shared" si="797"/>
        <v>-1.0869565217391304</v>
      </c>
      <c r="M5932" s="401">
        <f>SUM(C5932,C5908,C5884,C5860,C5836,C5812,C5788)/POBLA!$B$3*100000</f>
        <v>92.432565148108736</v>
      </c>
    </row>
    <row r="5933" spans="1:13" s="360" customFormat="1" x14ac:dyDescent="0.25">
      <c r="A5933" s="367" t="s">
        <v>15</v>
      </c>
      <c r="B5933" s="2">
        <v>44140</v>
      </c>
      <c r="C5933" s="1">
        <v>145</v>
      </c>
      <c r="D5933" s="39">
        <f t="shared" si="801"/>
        <v>14638</v>
      </c>
      <c r="E5933" s="1">
        <f>4+1</f>
        <v>5</v>
      </c>
      <c r="F5933" s="409">
        <f t="shared" si="804"/>
        <v>453</v>
      </c>
      <c r="G5933" s="168">
        <f>SUM(C5933,C5909,C5885,C5861,C5837,C5813,C5789,C5765,C5741,C5717,C5693,C5669,C5645,C5621)/POBLA!$B$4*100000</f>
        <v>173.34403727228877</v>
      </c>
      <c r="H5933" s="256">
        <f t="shared" si="796"/>
        <v>0.77304701962236211</v>
      </c>
      <c r="I5933" s="297">
        <f t="shared" si="805"/>
        <v>134.0030913826505</v>
      </c>
      <c r="J5933" s="297">
        <f t="shared" si="806"/>
        <v>132.57142857142858</v>
      </c>
      <c r="K5933" s="297">
        <f>J5933/POBLA!$B$4*100000</f>
        <v>11.005970620462779</v>
      </c>
      <c r="L5933" s="549">
        <f t="shared" si="797"/>
        <v>0.19999999999999996</v>
      </c>
      <c r="M5933" s="401">
        <f>SUM(C5933,C5909,C5885,C5861,C5837,C5813,C5789)/POBLA!$B$4*100000</f>
        <v>77.041794343239459</v>
      </c>
    </row>
    <row r="5934" spans="1:13" s="360" customFormat="1" x14ac:dyDescent="0.25">
      <c r="A5934" s="367" t="s">
        <v>29</v>
      </c>
      <c r="B5934" s="2">
        <v>44140</v>
      </c>
      <c r="C5934" s="1">
        <v>441</v>
      </c>
      <c r="D5934" s="39">
        <f t="shared" si="801"/>
        <v>16153</v>
      </c>
      <c r="E5934" s="1">
        <f>9+5</f>
        <v>14</v>
      </c>
      <c r="F5934" s="409">
        <f t="shared" si="804"/>
        <v>274</v>
      </c>
      <c r="G5934" s="168">
        <f>SUM(C5934,C5910,C5886,C5862,C5838,C5814,C5790,C5766,C5742,C5718,C5694,C5670,C5646,C5622)/POBLA!$B$5*100000</f>
        <v>844.11157458715263</v>
      </c>
      <c r="H5934" s="256">
        <f t="shared" si="796"/>
        <v>1.0466746794871795</v>
      </c>
      <c r="I5934" s="297">
        <f t="shared" si="805"/>
        <v>883.51021178242638</v>
      </c>
      <c r="J5934" s="297">
        <f t="shared" si="806"/>
        <v>325</v>
      </c>
      <c r="K5934" s="297">
        <f>J5934/POBLA!$B$5*100000</f>
        <v>52.504547701593232</v>
      </c>
      <c r="L5934" s="549">
        <f t="shared" si="797"/>
        <v>0.22881355932203384</v>
      </c>
      <c r="M5934" s="401">
        <f>SUM(C5934,C5910,C5886,C5862,C5838,C5814,C5790)/POBLA!$B$5*100000</f>
        <v>367.5318339111526</v>
      </c>
    </row>
    <row r="5935" spans="1:13" s="360" customFormat="1" x14ac:dyDescent="0.25">
      <c r="A5935" s="367" t="s">
        <v>20</v>
      </c>
      <c r="B5935" s="2">
        <v>44140</v>
      </c>
      <c r="C5935" s="1">
        <v>1054</v>
      </c>
      <c r="D5935" s="39">
        <f t="shared" si="801"/>
        <v>90540</v>
      </c>
      <c r="E5935" s="1">
        <f>13+6</f>
        <v>19</v>
      </c>
      <c r="F5935" s="409">
        <f t="shared" si="804"/>
        <v>1414</v>
      </c>
      <c r="G5935" s="168">
        <f>SUM(C5935,C5911,C5887,C5863,C5839,C5815,C5791,C5767,C5743,C5719,C5695,C5671,C5647,C5623)/POBLA!$B$6*100000</f>
        <v>1776.9434538334638</v>
      </c>
      <c r="H5935" s="256">
        <f t="shared" si="796"/>
        <v>0.84418446931163105</v>
      </c>
      <c r="I5935" s="297">
        <f t="shared" si="805"/>
        <v>1500.0680665711793</v>
      </c>
      <c r="J5935" s="297">
        <f t="shared" si="806"/>
        <v>1164.2857142857142</v>
      </c>
      <c r="K5935" s="297">
        <f>J5935/POBLA!$B$6*100000</f>
        <v>103.87978903353175</v>
      </c>
      <c r="L5935" s="549">
        <f t="shared" si="797"/>
        <v>0.30732619411864692</v>
      </c>
      <c r="M5935" s="401">
        <f>SUM(C5935,C5911,C5887,C5863,C5839,C5815,C5791)/POBLA!$B$6*100000</f>
        <v>727.15852323472222</v>
      </c>
    </row>
    <row r="5936" spans="1:13" s="360" customFormat="1" x14ac:dyDescent="0.25">
      <c r="A5936" s="367" t="s">
        <v>30</v>
      </c>
      <c r="B5936" s="2">
        <v>44140</v>
      </c>
      <c r="C5936" s="1">
        <v>18</v>
      </c>
      <c r="D5936" s="39">
        <f t="shared" si="801"/>
        <v>2651</v>
      </c>
      <c r="E5936" s="1"/>
      <c r="F5936" s="409">
        <f t="shared" si="804"/>
        <v>49</v>
      </c>
      <c r="G5936" s="168">
        <f>SUM(C5936,C5912,C5888,C5864,C5840,C5816,C5792,C5768,C5744,C5720,C5696,C5672,C5648,C5624)/POBLA!$B$7*100000</f>
        <v>12.312356233961362</v>
      </c>
      <c r="H5936" s="256">
        <f t="shared" si="796"/>
        <v>0.59664948453608246</v>
      </c>
      <c r="I5936" s="297">
        <f t="shared" si="805"/>
        <v>7.3461610004176681</v>
      </c>
      <c r="J5936" s="297">
        <f t="shared" si="806"/>
        <v>17.285714285714285</v>
      </c>
      <c r="K5936" s="297">
        <f>J5936/POBLA!$B$7*100000</f>
        <v>0.45967142990105664</v>
      </c>
      <c r="L5936" s="549">
        <f t="shared" si="797"/>
        <v>0.64619883040935666</v>
      </c>
      <c r="M5936" s="401">
        <f>SUM(C5936,C5912,C5888,C5864,C5840,C5816,C5792)/POBLA!$B$7*100000</f>
        <v>3.2177000093073964</v>
      </c>
    </row>
    <row r="5937" spans="1:13" x14ac:dyDescent="0.25">
      <c r="A5937" s="367" t="s">
        <v>31</v>
      </c>
      <c r="B5937" s="2">
        <v>44140</v>
      </c>
      <c r="C5937" s="1">
        <v>336</v>
      </c>
      <c r="D5937" s="39">
        <f t="shared" si="801"/>
        <v>17345</v>
      </c>
      <c r="E5937" s="1">
        <f>5</f>
        <v>5</v>
      </c>
      <c r="F5937" s="409">
        <f t="shared" si="804"/>
        <v>306</v>
      </c>
      <c r="G5937" s="168">
        <f>SUM(C5937,C5913,C5889,C5865,C5841,C5817,C5793,C5769,C5745,C5721,C5697,C5673,C5649,C5625)/POBLA!$B$8*100000</f>
        <v>316.81988165612165</v>
      </c>
      <c r="H5937" s="256">
        <f t="shared" si="796"/>
        <v>1.0670716889428919</v>
      </c>
      <c r="I5937" s="297">
        <f t="shared" si="805"/>
        <v>338.06952620948488</v>
      </c>
      <c r="J5937" s="297">
        <f t="shared" si="806"/>
        <v>279.28571428571428</v>
      </c>
      <c r="K5937" s="297">
        <f>J5937/POBLA!$B$8*100000</f>
        <v>20.151051457127167</v>
      </c>
      <c r="L5937" s="549">
        <f t="shared" si="797"/>
        <v>0.1974548440065681</v>
      </c>
      <c r="M5937" s="401">
        <f>SUM(C5937,C5913,C5889,C5865,C5841,C5817,C5793)/POBLA!$B$8*100000</f>
        <v>141.05736019989018</v>
      </c>
    </row>
    <row r="5938" spans="1:13" s="360" customFormat="1" x14ac:dyDescent="0.25">
      <c r="A5938" s="367" t="s">
        <v>41</v>
      </c>
      <c r="B5938" s="2">
        <v>44140</v>
      </c>
      <c r="C5938" s="1">
        <v>-3</v>
      </c>
      <c r="D5938" s="39">
        <f t="shared" si="801"/>
        <v>160</v>
      </c>
      <c r="E5938" s="1"/>
      <c r="F5938" s="409">
        <f t="shared" si="804"/>
        <v>3</v>
      </c>
      <c r="G5938" s="168">
        <f>SUM(C5938,C5914,C5890,C5866,C5842,C5818,C5794,C5770,C5746,C5722,C5698,C5674,C5650,C5626)/POBLA!$B$9*100000</f>
        <v>3.3047308875020032</v>
      </c>
      <c r="H5938" s="256">
        <f t="shared" si="796"/>
        <v>0.66666666666666663</v>
      </c>
      <c r="I5938" s="297">
        <f t="shared" si="805"/>
        <v>2.2031539250013354</v>
      </c>
      <c r="J5938" s="297">
        <f t="shared" si="806"/>
        <v>1.4285714285714286</v>
      </c>
      <c r="K5938" s="297">
        <f>J5938/POBLA!$B$9*100000</f>
        <v>0.23605220625014312</v>
      </c>
      <c r="L5938" s="549">
        <f t="shared" si="797"/>
        <v>0</v>
      </c>
      <c r="M5938" s="401">
        <f>SUM(C5938,C5914,C5890,C5866,C5842,C5818,C5794)/POBLA!$B$9*100000</f>
        <v>1.6523654437510016</v>
      </c>
    </row>
    <row r="5939" spans="1:13" s="360" customFormat="1" x14ac:dyDescent="0.25">
      <c r="A5939" s="367" t="s">
        <v>32</v>
      </c>
      <c r="B5939" s="2">
        <v>44140</v>
      </c>
      <c r="C5939" s="1">
        <v>13</v>
      </c>
      <c r="D5939" s="39">
        <f t="shared" si="801"/>
        <v>17975</v>
      </c>
      <c r="E5939" s="1">
        <f>4</f>
        <v>4</v>
      </c>
      <c r="F5939" s="409">
        <f t="shared" si="804"/>
        <v>821</v>
      </c>
      <c r="G5939" s="168">
        <f>SUM(C5939,C5915,C5891,C5867,C5843,C5819,C5795,C5771,C5747,C5723,C5699,C5675,C5651,C5627)/POBLA!$B$10*100000</f>
        <v>65.379740841971724</v>
      </c>
      <c r="H5939" s="256">
        <f t="shared" si="796"/>
        <v>0.50551654964894688</v>
      </c>
      <c r="I5939" s="297">
        <f t="shared" si="805"/>
        <v>33.050541007375877</v>
      </c>
      <c r="J5939" s="297">
        <f t="shared" si="806"/>
        <v>27</v>
      </c>
      <c r="K5939" s="297">
        <f>J5939/POBLA!$B$10*100000</f>
        <v>3.5024861165341994</v>
      </c>
      <c r="L5939" s="549">
        <f t="shared" si="797"/>
        <v>0.4</v>
      </c>
      <c r="M5939" s="401">
        <f>SUM(C5939,C5915,C5891,C5867,C5843,C5819,C5795)/POBLA!$B$10*100000</f>
        <v>24.517402815739391</v>
      </c>
    </row>
    <row r="5940" spans="1:13" s="360" customFormat="1" x14ac:dyDescent="0.25">
      <c r="A5940" s="367" t="s">
        <v>33</v>
      </c>
      <c r="B5940" s="2">
        <v>44140</v>
      </c>
      <c r="C5940" s="1">
        <v>111</v>
      </c>
      <c r="D5940" s="39">
        <f t="shared" si="801"/>
        <v>3812</v>
      </c>
      <c r="E5940" s="1"/>
      <c r="F5940" s="409">
        <f t="shared" si="804"/>
        <v>36</v>
      </c>
      <c r="G5940" s="168">
        <f>SUM(C5940,C5916,C5892,C5868,C5844,C5820,C5796,C5772,C5748,C5724,C5700,C5676,C5652,C5628)/POBLA!$B$11*100000</f>
        <v>469.27137388820069</v>
      </c>
      <c r="H5940" s="256">
        <f t="shared" si="796"/>
        <v>1.4302721088435375</v>
      </c>
      <c r="I5940" s="297">
        <f t="shared" si="805"/>
        <v>671.18575755098095</v>
      </c>
      <c r="J5940" s="297">
        <f t="shared" si="806"/>
        <v>107.42857142857143</v>
      </c>
      <c r="K5940" s="297">
        <f>J5940/POBLA!$B$11*100000</f>
        <v>29.972148221838538</v>
      </c>
      <c r="L5940" s="549">
        <f t="shared" si="797"/>
        <v>0.1913978494623656</v>
      </c>
      <c r="M5940" s="401">
        <f>SUM(C5940,C5916,C5892,C5868,C5844,C5820,C5796)/POBLA!$B$11*100000</f>
        <v>209.80503755286978</v>
      </c>
    </row>
    <row r="5941" spans="1:13" s="360" customFormat="1" x14ac:dyDescent="0.25">
      <c r="A5941" s="367" t="s">
        <v>21</v>
      </c>
      <c r="B5941" s="2">
        <v>44140</v>
      </c>
      <c r="C5941" s="1">
        <v>20</v>
      </c>
      <c r="D5941" s="39">
        <f t="shared" si="801"/>
        <v>7763</v>
      </c>
      <c r="E5941" s="1">
        <f>3+2</f>
        <v>5</v>
      </c>
      <c r="F5941" s="409">
        <f t="shared" si="804"/>
        <v>288</v>
      </c>
      <c r="G5941" s="168">
        <f>SUM(C5941,C5917,C5893,C5869,C5845,C5821,C5797,C5773,C5749,C5725,C5701,C5677,C5653,C5629)/POBLA!$B$12*100000</f>
        <v>229.20684774515857</v>
      </c>
      <c r="H5941" s="256">
        <f t="shared" si="796"/>
        <v>0.68645357686453579</v>
      </c>
      <c r="I5941" s="297">
        <f t="shared" si="805"/>
        <v>157.33986047650916</v>
      </c>
      <c r="J5941" s="297">
        <f t="shared" si="806"/>
        <v>46</v>
      </c>
      <c r="K5941" s="297">
        <f>J5941/POBLA!$B$12*100000</f>
        <v>11.689041015828487</v>
      </c>
      <c r="L5941" s="549">
        <f t="shared" si="797"/>
        <v>0.44482758620689655</v>
      </c>
      <c r="M5941" s="401">
        <f>SUM(C5941,C5917,C5893,C5869,C5845,C5821,C5797)/POBLA!$B$12*100000</f>
        <v>81.823287110799399</v>
      </c>
    </row>
    <row r="5942" spans="1:13" s="360" customFormat="1" x14ac:dyDescent="0.25">
      <c r="A5942" s="367" t="s">
        <v>17</v>
      </c>
      <c r="B5942" s="2">
        <v>44140</v>
      </c>
      <c r="C5942" s="1">
        <v>628</v>
      </c>
      <c r="D5942" s="39">
        <f t="shared" si="801"/>
        <v>49454</v>
      </c>
      <c r="E5942" s="1">
        <f>8+5</f>
        <v>13</v>
      </c>
      <c r="F5942" s="409">
        <f t="shared" si="804"/>
        <v>867</v>
      </c>
      <c r="G5942" s="168">
        <f>SUM(C5942,C5918,C5894,C5870,C5846,C5822,C5798,C5774,C5750,C5726,C5702,C5678,C5654,C5630)/POBLA!$B$13*100000</f>
        <v>429.52503544624079</v>
      </c>
      <c r="H5942" s="256">
        <f t="shared" si="796"/>
        <v>0.78633186166298752</v>
      </c>
      <c r="I5942" s="297">
        <f t="shared" si="805"/>
        <v>337.74922075330323</v>
      </c>
      <c r="J5942" s="297">
        <f t="shared" si="806"/>
        <v>513.42857142857144</v>
      </c>
      <c r="K5942" s="297">
        <f>J5942/POBLA!$B$13*100000</f>
        <v>25.796049285526951</v>
      </c>
      <c r="L5942" s="549">
        <f t="shared" si="797"/>
        <v>0.2746720484359233</v>
      </c>
      <c r="M5942" s="401">
        <f>SUM(C5942,C5918,C5894,C5870,C5846,C5822,C5798)/POBLA!$B$13*100000</f>
        <v>180.57234499868866</v>
      </c>
    </row>
    <row r="5943" spans="1:13" s="360" customFormat="1" x14ac:dyDescent="0.25">
      <c r="A5943" s="367" t="s">
        <v>23</v>
      </c>
      <c r="B5943" s="2">
        <v>44140</v>
      </c>
      <c r="C5943" s="1">
        <v>18</v>
      </c>
      <c r="D5943" s="39">
        <f t="shared" si="801"/>
        <v>305</v>
      </c>
      <c r="E5943" s="1"/>
      <c r="F5943" s="409">
        <f t="shared" si="804"/>
        <v>6</v>
      </c>
      <c r="G5943" s="168">
        <f>SUM(C5943,C5919,C5895,C5871,C5847,C5823,C5799,C5775,C5751,C5727,C5703,C5679,C5655,C5631)/POBLA!$B$14*100000</f>
        <v>7.7697983182350825</v>
      </c>
      <c r="H5943" s="256">
        <f t="shared" si="796"/>
        <v>1.4626865671641791</v>
      </c>
      <c r="I5943" s="297">
        <f t="shared" si="805"/>
        <v>11.364779629657285</v>
      </c>
      <c r="J5943" s="297">
        <f t="shared" si="806"/>
        <v>6.4285714285714288</v>
      </c>
      <c r="K5943" s="297">
        <f>J5943/POBLA!$B$14*100000</f>
        <v>0.50968064769763655</v>
      </c>
      <c r="L5943" s="549">
        <f t="shared" si="797"/>
        <v>0.15094339622641506</v>
      </c>
      <c r="M5943" s="401">
        <f>SUM(C5943,C5919,C5895,C5871,C5847,C5823,C5799)/POBLA!$B$14*100000</f>
        <v>3.567764533883456</v>
      </c>
    </row>
    <row r="5944" spans="1:13" s="360" customFormat="1" x14ac:dyDescent="0.25">
      <c r="A5944" s="367" t="s">
        <v>19</v>
      </c>
      <c r="B5944" s="2">
        <v>44140</v>
      </c>
      <c r="C5944" s="1">
        <v>462</v>
      </c>
      <c r="D5944" s="39">
        <f t="shared" si="801"/>
        <v>24438</v>
      </c>
      <c r="E5944" s="1"/>
      <c r="F5944" s="409">
        <f t="shared" si="804"/>
        <v>414</v>
      </c>
      <c r="G5944" s="168">
        <f>SUM(C5944,C5920,C5896,C5872,C5848,C5824,C5800,C5776,C5752,C5728,C5704,C5680,C5656,C5632)/POBLA!$B$15*100000</f>
        <v>939.0760130530964</v>
      </c>
      <c r="H5944" s="256">
        <f t="shared" si="796"/>
        <v>0.87793889905673661</v>
      </c>
      <c r="I5944" s="297">
        <f t="shared" si="805"/>
        <v>824.45136103042512</v>
      </c>
      <c r="J5944" s="297">
        <f t="shared" si="806"/>
        <v>480.42857142857144</v>
      </c>
      <c r="K5944" s="297">
        <f>J5944/POBLA!$B$15*100000</f>
        <v>72.347489963748814</v>
      </c>
      <c r="L5944" s="549">
        <f t="shared" si="797"/>
        <v>-0.17055342847198052</v>
      </c>
      <c r="M5944" s="401">
        <f>SUM(C5944,C5920,C5896,C5872,C5848,C5824,C5800)/POBLA!$B$15*100000</f>
        <v>506.43242974624167</v>
      </c>
    </row>
    <row r="5945" spans="1:13" s="360" customFormat="1" x14ac:dyDescent="0.25">
      <c r="A5945" s="367" t="s">
        <v>18</v>
      </c>
      <c r="B5945" s="2">
        <v>44140</v>
      </c>
      <c r="C5945" s="1">
        <v>355</v>
      </c>
      <c r="D5945" s="39">
        <f t="shared" si="801"/>
        <v>25533</v>
      </c>
      <c r="E5945" s="1">
        <f>4+1</f>
        <v>5</v>
      </c>
      <c r="F5945" s="409">
        <f t="shared" si="804"/>
        <v>647</v>
      </c>
      <c r="G5945" s="168">
        <f>SUM(C5945,C5921,C5897,C5873,C5849,C5825,C5801,C5777,C5753,C5729,C5705,C5681,C5657,C5633)/POBLA!$B$16*100000</f>
        <v>625.32603897754177</v>
      </c>
      <c r="H5945" s="256">
        <f t="shared" si="796"/>
        <v>0.85139318885448911</v>
      </c>
      <c r="I5945" s="297">
        <f t="shared" si="805"/>
        <v>532.39833039883581</v>
      </c>
      <c r="J5945" s="297">
        <f t="shared" si="806"/>
        <v>297.57142857142856</v>
      </c>
      <c r="K5945" s="297">
        <f>J5945/POBLA!$B$16*100000</f>
        <v>39.803029463413885</v>
      </c>
      <c r="L5945" s="549">
        <f t="shared" si="797"/>
        <v>0.19637345679012341</v>
      </c>
      <c r="M5945" s="401">
        <f>SUM(C5945,C5921,C5897,C5873,C5849,C5825,C5801)/POBLA!$B$16*100000</f>
        <v>278.62120624389723</v>
      </c>
    </row>
    <row r="5946" spans="1:13" s="360" customFormat="1" x14ac:dyDescent="0.25">
      <c r="A5946" s="367" t="s">
        <v>34</v>
      </c>
      <c r="B5946" s="2">
        <v>44140</v>
      </c>
      <c r="C5946" s="1">
        <v>112</v>
      </c>
      <c r="D5946" s="39">
        <f t="shared" si="801"/>
        <v>19305</v>
      </c>
      <c r="E5946" s="1">
        <v>7</v>
      </c>
      <c r="F5946" s="409">
        <f t="shared" si="804"/>
        <v>829</v>
      </c>
      <c r="G5946" s="168">
        <f>SUM(C5946,C5922,C5898,C5874,C5850,C5826,C5802,C5778,C5754,C5730,C5706,C5682,C5658,C5634)/POBLA!$B$17*100000</f>
        <v>147.36060241632075</v>
      </c>
      <c r="H5946" s="256">
        <f t="shared" ref="H5946:H5977" si="807">SUM(C5946,C5922,C5898,C5874,C5850,C5826,C5802,C5778,C5754,C5730,C5706,C5682,C5658,C5634)/SUM(C5610,C5586,C5562,C5538,C5514,C5490,C5466,C5442,C5418,C5394,C5370,C5346,C5322,C5298)</f>
        <v>0.71443158611300206</v>
      </c>
      <c r="I5946" s="297">
        <f t="shared" si="805"/>
        <v>105.27906891485951</v>
      </c>
      <c r="J5946" s="297">
        <f t="shared" si="806"/>
        <v>128</v>
      </c>
      <c r="K5946" s="297">
        <f>J5946/POBLA!$B$17*100000</f>
        <v>8.986258746683685</v>
      </c>
      <c r="L5946" s="549">
        <f t="shared" ref="L5946:L5977" si="808">1-SUM(C5946,C5922,C5898,C5874,C5850,C5826,C5802)/SUM(C5778,C5754,C5730,C5706,C5682,C5658,C5634)</f>
        <v>0.25519534497090601</v>
      </c>
      <c r="M5946" s="401">
        <f>SUM(C5946,C5922,C5898,C5874,C5850,C5826,C5802)/POBLA!$B$17*100000</f>
        <v>62.903811226785791</v>
      </c>
    </row>
    <row r="5947" spans="1:13" s="360" customFormat="1" x14ac:dyDescent="0.25">
      <c r="A5947" s="367" t="s">
        <v>35</v>
      </c>
      <c r="B5947" s="2">
        <v>44140</v>
      </c>
      <c r="C5947" s="1">
        <v>134</v>
      </c>
      <c r="D5947" s="39">
        <f t="shared" si="801"/>
        <v>3207</v>
      </c>
      <c r="E5947" s="1"/>
      <c r="F5947" s="409">
        <f t="shared" si="804"/>
        <v>102</v>
      </c>
      <c r="G5947" s="168">
        <f>SUM(C5947,C5923,C5899,C5875,C5851,C5827,C5803,C5779,C5755,C5731,C5707,C5683,C5659,C5635)/POBLA!$B$18*100000</f>
        <v>241.2901920977142</v>
      </c>
      <c r="H5947" s="256">
        <f t="shared" si="807"/>
        <v>8.6866359447004609</v>
      </c>
      <c r="I5947" s="297">
        <f t="shared" si="805"/>
        <v>2096.0000557796834</v>
      </c>
      <c r="J5947" s="297">
        <f t="shared" si="806"/>
        <v>190</v>
      </c>
      <c r="K5947" s="297">
        <f>J5947/POBLA!$B$18*100000</f>
        <v>24.321027320194005</v>
      </c>
      <c r="L5947" s="549">
        <f t="shared" si="808"/>
        <v>-1.3963963963963963</v>
      </c>
      <c r="M5947" s="401">
        <f>SUM(C5947,C5923,C5899,C5875,C5851,C5827,C5803)/POBLA!$B$18*100000</f>
        <v>170.24719124135802</v>
      </c>
    </row>
    <row r="5948" spans="1:13" s="360" customFormat="1" x14ac:dyDescent="0.25">
      <c r="A5948" s="367" t="s">
        <v>36</v>
      </c>
      <c r="B5948" s="2">
        <v>44140</v>
      </c>
      <c r="C5948" s="1">
        <v>293</v>
      </c>
      <c r="D5948" s="39">
        <f t="shared" si="801"/>
        <v>8396</v>
      </c>
      <c r="E5948" s="1">
        <f>3+6</f>
        <v>9</v>
      </c>
      <c r="F5948" s="409">
        <f t="shared" si="804"/>
        <v>111</v>
      </c>
      <c r="G5948" s="168">
        <f>SUM(C5948,C5924,C5900,C5876,C5852,C5828,C5804,C5780,C5756,C5732,C5708,C5684,C5660,C5636)/POBLA!$B$19*100000</f>
        <v>716.07308666845029</v>
      </c>
      <c r="H5948" s="256">
        <f t="shared" si="807"/>
        <v>1.3767019667170952</v>
      </c>
      <c r="I5948" s="297">
        <f t="shared" si="805"/>
        <v>985.81922672963651</v>
      </c>
      <c r="J5948" s="297">
        <f t="shared" si="806"/>
        <v>262.85714285714283</v>
      </c>
      <c r="K5948" s="297">
        <f>J5948/POBLA!$B$19*100000</f>
        <v>51.710144406198914</v>
      </c>
      <c r="L5948" s="549">
        <f t="shared" si="808"/>
        <v>-2.2222222222222143E-2</v>
      </c>
      <c r="M5948" s="401">
        <f>SUM(C5948,C5924,C5900,C5876,C5852,C5828,C5804)/POBLA!$B$19*100000</f>
        <v>361.97101084339243</v>
      </c>
    </row>
    <row r="5949" spans="1:13" s="360" customFormat="1" x14ac:dyDescent="0.25">
      <c r="A5949" s="367" t="s">
        <v>37</v>
      </c>
      <c r="B5949" s="2">
        <v>44140</v>
      </c>
      <c r="C5949" s="1">
        <v>269</v>
      </c>
      <c r="D5949" s="39">
        <f t="shared" si="801"/>
        <v>10519</v>
      </c>
      <c r="E5949" s="1">
        <f>5+5</f>
        <v>10</v>
      </c>
      <c r="F5949" s="409">
        <f t="shared" si="804"/>
        <v>159</v>
      </c>
      <c r="G5949" s="168">
        <f>SUM(C5949,C5925,C5901,C5877,C5853,C5829,C5805,C5781,C5757,C5733,C5709,C5685,C5661,C5637)/POBLA!$B$20*100000</f>
        <v>701.12497197140806</v>
      </c>
      <c r="H5949" s="256">
        <f t="shared" si="807"/>
        <v>1.2291466922339405</v>
      </c>
      <c r="I5949" s="297">
        <f t="shared" si="805"/>
        <v>861.78544014127044</v>
      </c>
      <c r="J5949" s="297">
        <f t="shared" si="806"/>
        <v>197.71428571428572</v>
      </c>
      <c r="K5949" s="297">
        <f>J5949/POBLA!$B$20*100000</f>
        <v>54.064907577915577</v>
      </c>
      <c r="L5949" s="549">
        <f t="shared" si="808"/>
        <v>-0.17288135593220333</v>
      </c>
      <c r="M5949" s="401">
        <f>SUM(C5949,C5925,C5901,C5877,C5853,C5829,C5805)/POBLA!$B$20*100000</f>
        <v>378.45435304540905</v>
      </c>
    </row>
    <row r="5950" spans="1:13" s="360" customFormat="1" x14ac:dyDescent="0.25">
      <c r="A5950" s="367" t="s">
        <v>22</v>
      </c>
      <c r="B5950" s="2">
        <v>44140</v>
      </c>
      <c r="C5950" s="1">
        <v>1741</v>
      </c>
      <c r="D5950" s="39">
        <f t="shared" si="801"/>
        <v>114359</v>
      </c>
      <c r="E5950" s="1">
        <f>11+8</f>
        <v>19</v>
      </c>
      <c r="F5950" s="409">
        <f t="shared" si="804"/>
        <v>1549</v>
      </c>
      <c r="G5950" s="168">
        <f>SUM(C5950,C5926,C5902,C5878,C5854,C5830,C5806,C5782,C5758,C5734,C5710,C5686,C5662,C5638)/POBLA!$B$21*100000</f>
        <v>726.78060116196673</v>
      </c>
      <c r="H5950" s="256">
        <f t="shared" si="807"/>
        <v>0.81523773273701905</v>
      </c>
      <c r="I5950" s="297">
        <f t="shared" si="805"/>
        <v>592.4989694885295</v>
      </c>
      <c r="J5950" s="297">
        <f t="shared" si="806"/>
        <v>1695.5714285714287</v>
      </c>
      <c r="K5950" s="297">
        <f>J5950/POBLA!$B$21*100000</f>
        <v>47.946012846089708</v>
      </c>
      <c r="L5950" s="549">
        <f t="shared" si="808"/>
        <v>0.14197932480300735</v>
      </c>
      <c r="M5950" s="401">
        <f>SUM(C5950,C5926,C5902,C5878,C5854,C5830,C5806)/POBLA!$B$21*100000</f>
        <v>335.62208992262794</v>
      </c>
    </row>
    <row r="5951" spans="1:13" s="360" customFormat="1" x14ac:dyDescent="0.25">
      <c r="A5951" s="367" t="s">
        <v>38</v>
      </c>
      <c r="B5951" s="2">
        <v>44140</v>
      </c>
      <c r="C5951" s="1">
        <v>320</v>
      </c>
      <c r="D5951" s="39">
        <f t="shared" si="801"/>
        <v>10707</v>
      </c>
      <c r="E5951" s="1">
        <v>3</v>
      </c>
      <c r="F5951" s="409">
        <f t="shared" si="804"/>
        <v>138</v>
      </c>
      <c r="G5951" s="168">
        <f>SUM(C5951,C5927,C5903,C5879,C5855,C5831,C5807,C5783,C5759,C5735,C5711,C5687,C5663,C5639)/POBLA!$B$22*100000</f>
        <v>328.21806517954889</v>
      </c>
      <c r="H5951" s="256">
        <f t="shared" si="807"/>
        <v>0.99473358116480792</v>
      </c>
      <c r="I5951" s="297">
        <f t="shared" si="805"/>
        <v>326.48953137903703</v>
      </c>
      <c r="J5951" s="297">
        <f t="shared" si="806"/>
        <v>191.14285714285714</v>
      </c>
      <c r="K5951" s="297">
        <f>J5951/POBLA!$B$22*100000</f>
        <v>19.538006460392239</v>
      </c>
      <c r="L5951" s="549">
        <f t="shared" si="808"/>
        <v>0.28563801388147358</v>
      </c>
      <c r="M5951" s="401">
        <f>SUM(C5951,C5927,C5903,C5879,C5855,C5831,C5807)/POBLA!$B$22*100000</f>
        <v>136.76604522274567</v>
      </c>
    </row>
    <row r="5952" spans="1:13" s="360" customFormat="1" x14ac:dyDescent="0.25">
      <c r="A5952" s="367" t="s">
        <v>39</v>
      </c>
      <c r="B5952" s="2">
        <v>44140</v>
      </c>
      <c r="C5952" s="1">
        <v>267</v>
      </c>
      <c r="D5952" s="39">
        <f t="shared" si="801"/>
        <v>12446</v>
      </c>
      <c r="E5952" s="1">
        <f>2</f>
        <v>2</v>
      </c>
      <c r="F5952" s="409">
        <f t="shared" si="804"/>
        <v>163</v>
      </c>
      <c r="G5952" s="168">
        <f>SUM(C5952,C5928,C5904,C5880,C5856,C5832,C5808,C5784,C5760,C5736,C5712,C5688,C5664,C5640)/POBLA!$B$23*100000</f>
        <v>1869.59226375615</v>
      </c>
      <c r="H5952" s="256">
        <f t="shared" si="807"/>
        <v>0.99100719424460426</v>
      </c>
      <c r="I5952" s="297">
        <f t="shared" si="805"/>
        <v>1852.7793836864005</v>
      </c>
      <c r="J5952" s="297">
        <f t="shared" si="806"/>
        <v>202.57142857142858</v>
      </c>
      <c r="K5952" s="297">
        <f>J5952/POBLA!$B$23*100000</f>
        <v>114.55716143834677</v>
      </c>
      <c r="L5952" s="549">
        <f t="shared" si="808"/>
        <v>0.24894067796610164</v>
      </c>
      <c r="M5952" s="401">
        <f>SUM(C5952,C5928,C5904,C5880,C5856,C5832,C5808)/POBLA!$B$23*100000</f>
        <v>801.90013006842719</v>
      </c>
    </row>
    <row r="5953" spans="1:13" s="360" customFormat="1" ht="15.75" thickBot="1" x14ac:dyDescent="0.3">
      <c r="A5953" s="368" t="s">
        <v>40</v>
      </c>
      <c r="B5953" s="34">
        <v>44140</v>
      </c>
      <c r="C5953" s="232">
        <v>603</v>
      </c>
      <c r="D5953" s="67">
        <f>C5953+D5929</f>
        <v>52968</v>
      </c>
      <c r="E5953" s="232">
        <f>7+11</f>
        <v>18</v>
      </c>
      <c r="F5953" s="477">
        <f t="shared" si="804"/>
        <v>869</v>
      </c>
      <c r="G5953" s="177">
        <f>SUM(C5953,C5929,C5905,C5881,C5857,C5833,C5809,C5785,C5761,C5737,C5713,C5689,C5665,C5641)/POBLA!$B$24*100000</f>
        <v>730.94480531742136</v>
      </c>
      <c r="H5953" s="402">
        <f t="shared" si="807"/>
        <v>0.71415393485154222</v>
      </c>
      <c r="I5953" s="403">
        <f t="shared" si="805"/>
        <v>522.00710887673097</v>
      </c>
      <c r="J5953" s="403">
        <f t="shared" si="806"/>
        <v>740.71428571428567</v>
      </c>
      <c r="K5953" s="403">
        <f>J5953/POBLA!$B$24*100000</f>
        <v>43.708828559559329</v>
      </c>
      <c r="L5953" s="550">
        <f t="shared" si="808"/>
        <v>0.2800610941405165</v>
      </c>
      <c r="M5953" s="405">
        <f>SUM(C5953,C5929,C5905,C5881,C5857,C5833,C5809)/POBLA!$B$24*100000</f>
        <v>305.96179991691531</v>
      </c>
    </row>
    <row r="5954" spans="1:13" s="360" customFormat="1" x14ac:dyDescent="0.25">
      <c r="A5954" s="363" t="s">
        <v>16</v>
      </c>
      <c r="B5954" s="265">
        <v>44141</v>
      </c>
      <c r="C5954" s="43">
        <v>3089</v>
      </c>
      <c r="D5954" s="174">
        <f t="shared" si="801"/>
        <v>567027</v>
      </c>
      <c r="E5954" s="43">
        <f>1+74+81</f>
        <v>156</v>
      </c>
      <c r="F5954" s="475">
        <f t="shared" si="804"/>
        <v>18506</v>
      </c>
      <c r="G5954" s="175">
        <f>SUM(C5954,C5930,C5906,C5882,C5858,C5834,C5810,C5786,C5762,C5738,C5714,C5690,C5666,C5642)/POBLA!$B$1*100000</f>
        <v>256.00957201130763</v>
      </c>
      <c r="H5954" s="300">
        <f t="shared" si="807"/>
        <v>0.7450105346981436</v>
      </c>
      <c r="I5954" s="301">
        <f>G5954*H5954</f>
        <v>190.7298281319872</v>
      </c>
      <c r="J5954" s="301">
        <f>AVERAGE(C5954,C5930,C5906,C5882,C5858,C5834,C5810)</f>
        <v>2859.4285714285716</v>
      </c>
      <c r="K5954" s="301">
        <f>J5954/POBLA!$B$1*100000</f>
        <v>16.301268950683262</v>
      </c>
      <c r="L5954" s="548">
        <f t="shared" si="808"/>
        <v>0.1958539231047367</v>
      </c>
      <c r="M5954" s="400">
        <f>SUM(C5954,C5930,C5906,C5882,C5858,C5834,C5810)/POBLA!$B$1*100000</f>
        <v>114.10888265478285</v>
      </c>
    </row>
    <row r="5955" spans="1:13" s="360" customFormat="1" x14ac:dyDescent="0.25">
      <c r="A5955" s="367" t="s">
        <v>43</v>
      </c>
      <c r="B5955" s="2">
        <v>44141</v>
      </c>
      <c r="C5955" s="1">
        <v>641</v>
      </c>
      <c r="D5955" s="39">
        <f t="shared" si="801"/>
        <v>149937</v>
      </c>
      <c r="E5955" s="1">
        <f>1+22+17</f>
        <v>40</v>
      </c>
      <c r="F5955" s="409">
        <f t="shared" si="804"/>
        <v>4943</v>
      </c>
      <c r="G5955" s="168">
        <f>SUM(C5955,C5931,C5907,C5883,C5859,C5835,C5811,C5787,C5763,C5739,C5715,C5691,C5667,C5643)/POBLA!$B$2*100000</f>
        <v>222.91251984136017</v>
      </c>
      <c r="H5955" s="256">
        <f t="shared" si="807"/>
        <v>0.72374115908371162</v>
      </c>
      <c r="I5955" s="297">
        <f t="shared" ref="I5955:I5977" si="809">G5955*H5955</f>
        <v>161.33096548425686</v>
      </c>
      <c r="J5955" s="297">
        <f t="shared" ref="J5955:J5977" si="810">AVERAGE(C5955,C5931,C5907,C5883,C5859,C5835,C5811)</f>
        <v>453.85714285714283</v>
      </c>
      <c r="K5955" s="297">
        <f>J5955/POBLA!$B$2*100000</f>
        <v>14.756481820636798</v>
      </c>
      <c r="L5955" s="549">
        <f t="shared" si="808"/>
        <v>0.13645012231584674</v>
      </c>
      <c r="M5955" s="401">
        <f>SUM(C5955,C5931,C5907,C5883,C5859,C5835,C5811)/POBLA!$B$2*100000</f>
        <v>103.29537274445758</v>
      </c>
    </row>
    <row r="5956" spans="1:13" s="360" customFormat="1" x14ac:dyDescent="0.25">
      <c r="A5956" s="367" t="s">
        <v>28</v>
      </c>
      <c r="B5956" s="2">
        <v>44141</v>
      </c>
      <c r="C5956" s="1">
        <v>3</v>
      </c>
      <c r="D5956" s="39">
        <f t="shared" si="801"/>
        <v>1123</v>
      </c>
      <c r="E5956" s="1"/>
      <c r="F5956" s="409">
        <f t="shared" si="804"/>
        <v>0</v>
      </c>
      <c r="G5956" s="168">
        <f>SUM(C5956,C5932,C5908,C5884,C5860,C5836,C5812,C5788,C5764,C5740,C5716,C5692,C5668,C5644)/POBLA!$B$3*100000</f>
        <v>134.79749084099191</v>
      </c>
      <c r="H5956" s="256">
        <f t="shared" si="807"/>
        <v>2.7586206896551726</v>
      </c>
      <c r="I5956" s="297">
        <f t="shared" si="809"/>
        <v>371.85514714756391</v>
      </c>
      <c r="J5956" s="297">
        <f t="shared" si="810"/>
        <v>43.428571428571431</v>
      </c>
      <c r="K5956" s="297">
        <f>J5956/POBLA!$B$3*100000</f>
        <v>10.453682963178965</v>
      </c>
      <c r="L5956" s="549">
        <f t="shared" si="808"/>
        <v>-0.1875</v>
      </c>
      <c r="M5956" s="401">
        <f>SUM(C5956,C5932,C5908,C5884,C5860,C5836,C5812)/POBLA!$B$3*100000</f>
        <v>73.175780742252755</v>
      </c>
    </row>
    <row r="5957" spans="1:13" s="360" customFormat="1" x14ac:dyDescent="0.25">
      <c r="A5957" s="367" t="s">
        <v>15</v>
      </c>
      <c r="B5957" s="2">
        <v>44141</v>
      </c>
      <c r="C5957" s="1">
        <v>121</v>
      </c>
      <c r="D5957" s="39">
        <f t="shared" si="801"/>
        <v>14759</v>
      </c>
      <c r="E5957" s="1">
        <f>3+2</f>
        <v>5</v>
      </c>
      <c r="F5957" s="409">
        <f t="shared" si="804"/>
        <v>458</v>
      </c>
      <c r="G5957" s="168">
        <f>SUM(C5957,C5933,C5909,C5885,C5861,C5837,C5813,C5789,C5765,C5741,C5717,C5693,C5669,C5645)/POBLA!$B$4*100000</f>
        <v>164.21192802901686</v>
      </c>
      <c r="H5957" s="256">
        <f t="shared" si="807"/>
        <v>0.71796733212341202</v>
      </c>
      <c r="I5957" s="297">
        <f t="shared" si="809"/>
        <v>117.89879986983497</v>
      </c>
      <c r="J5957" s="297">
        <f t="shared" si="810"/>
        <v>120.85714285714286</v>
      </c>
      <c r="K5957" s="297">
        <f>J5957/POBLA!$B$4*100000</f>
        <v>10.033460285464992</v>
      </c>
      <c r="L5957" s="549">
        <f t="shared" si="808"/>
        <v>0.25265017667844525</v>
      </c>
      <c r="M5957" s="401">
        <f>SUM(C5957,C5933,C5909,C5885,C5861,C5837,C5813)/POBLA!$B$4*100000</f>
        <v>70.234221998254938</v>
      </c>
    </row>
    <row r="5958" spans="1:13" s="360" customFormat="1" x14ac:dyDescent="0.25">
      <c r="A5958" s="367" t="s">
        <v>29</v>
      </c>
      <c r="B5958" s="2">
        <v>44141</v>
      </c>
      <c r="C5958" s="1">
        <v>392</v>
      </c>
      <c r="D5958" s="39">
        <f t="shared" si="801"/>
        <v>16545</v>
      </c>
      <c r="E5958" s="1">
        <f>1+1</f>
        <v>2</v>
      </c>
      <c r="F5958" s="409">
        <f t="shared" si="804"/>
        <v>276</v>
      </c>
      <c r="G5958" s="168">
        <f>SUM(C5958,C5934,C5910,C5886,C5862,C5838,C5814,C5790,C5766,C5742,C5718,C5694,C5670,C5646)/POBLA!$B$5*100000</f>
        <v>798.71533488208286</v>
      </c>
      <c r="H5958" s="256">
        <f t="shared" si="807"/>
        <v>0.9054945054945055</v>
      </c>
      <c r="I5958" s="297">
        <f t="shared" si="809"/>
        <v>723.23234718993001</v>
      </c>
      <c r="J5958" s="297">
        <f t="shared" si="810"/>
        <v>336.85714285714283</v>
      </c>
      <c r="K5958" s="297">
        <f>J5958/POBLA!$B$5*100000</f>
        <v>54.420098233123881</v>
      </c>
      <c r="L5958" s="549">
        <f t="shared" si="808"/>
        <v>8.816705336426911E-2</v>
      </c>
      <c r="M5958" s="401">
        <f>SUM(C5958,C5934,C5910,C5886,C5862,C5838,C5814)/POBLA!$B$5*100000</f>
        <v>380.94068763186715</v>
      </c>
    </row>
    <row r="5959" spans="1:13" s="360" customFormat="1" x14ac:dyDescent="0.25">
      <c r="A5959" s="367" t="s">
        <v>20</v>
      </c>
      <c r="B5959" s="2">
        <v>44141</v>
      </c>
      <c r="C5959" s="1">
        <v>1258</v>
      </c>
      <c r="D5959" s="39">
        <f t="shared" si="801"/>
        <v>91798</v>
      </c>
      <c r="E5959" s="1">
        <f>21+7</f>
        <v>28</v>
      </c>
      <c r="F5959" s="409">
        <f t="shared" si="804"/>
        <v>1442</v>
      </c>
      <c r="G5959" s="168">
        <f>SUM(C5959,C5935,C5911,C5887,C5863,C5839,C5815,C5791,C5767,C5743,C5719,C5695,C5671,C5647)/POBLA!$B$6*100000</f>
        <v>1698.7850653238174</v>
      </c>
      <c r="H5959" s="256">
        <f t="shared" si="807"/>
        <v>0.79059917784329192</v>
      </c>
      <c r="I5959" s="297">
        <f t="shared" si="809"/>
        <v>1343.058075977473</v>
      </c>
      <c r="J5959" s="297">
        <f t="shared" si="810"/>
        <v>1115.2857142857142</v>
      </c>
      <c r="K5959" s="297">
        <f>J5959/POBLA!$B$6*100000</f>
        <v>99.507915703654291</v>
      </c>
      <c r="L5959" s="549">
        <f t="shared" si="808"/>
        <v>0.3049942134781447</v>
      </c>
      <c r="M5959" s="401">
        <f>SUM(C5959,C5935,C5911,C5887,C5863,C5839,C5815)/POBLA!$B$6*100000</f>
        <v>696.55540992558008</v>
      </c>
    </row>
    <row r="5960" spans="1:13" s="360" customFormat="1" x14ac:dyDescent="0.25">
      <c r="A5960" s="367" t="s">
        <v>30</v>
      </c>
      <c r="B5960" s="2">
        <v>44141</v>
      </c>
      <c r="C5960" s="1">
        <v>106</v>
      </c>
      <c r="D5960" s="39">
        <f t="shared" si="801"/>
        <v>2757</v>
      </c>
      <c r="E5960" s="1">
        <f>5+2</f>
        <v>7</v>
      </c>
      <c r="F5960" s="409">
        <f t="shared" si="804"/>
        <v>56</v>
      </c>
      <c r="G5960" s="168">
        <f>SUM(C5960,C5936,C5912,C5888,C5864,C5840,C5816,C5792,C5768,C5744,C5720,C5696,C5672,C5648)/POBLA!$B$7*100000</f>
        <v>14.812057067638181</v>
      </c>
      <c r="H5960" s="256">
        <f t="shared" si="807"/>
        <v>0.80143884892086326</v>
      </c>
      <c r="I5960" s="297">
        <f t="shared" si="809"/>
        <v>11.87095796643808</v>
      </c>
      <c r="J5960" s="297">
        <f t="shared" si="810"/>
        <v>31.142857142857142</v>
      </c>
      <c r="K5960" s="297">
        <f>J5960/POBLA!$B$7*100000</f>
        <v>0.82816836130934168</v>
      </c>
      <c r="L5960" s="549">
        <f t="shared" si="808"/>
        <v>0.35693215339233042</v>
      </c>
      <c r="M5960" s="401">
        <f>SUM(C5960,C5936,C5912,C5888,C5864,C5840,C5816)/POBLA!$B$7*100000</f>
        <v>5.797178529165393</v>
      </c>
    </row>
    <row r="5961" spans="1:13" x14ac:dyDescent="0.25">
      <c r="A5961" s="367" t="s">
        <v>31</v>
      </c>
      <c r="B5961" s="2">
        <v>44141</v>
      </c>
      <c r="C5961" s="1">
        <v>338</v>
      </c>
      <c r="D5961" s="39">
        <f t="shared" si="801"/>
        <v>17683</v>
      </c>
      <c r="E5961" s="1">
        <f>7+4</f>
        <v>11</v>
      </c>
      <c r="F5961" s="409">
        <f t="shared" si="804"/>
        <v>317</v>
      </c>
      <c r="G5961" s="168">
        <f>SUM(C5961,C5937,C5913,C5889,C5865,C5841,C5817,C5793,C5769,C5745,C5721,C5697,C5673,C5649)/POBLA!$B$8*100000</f>
        <v>306.93504362676873</v>
      </c>
      <c r="H5961" s="256">
        <f t="shared" si="807"/>
        <v>0.97034671532846717</v>
      </c>
      <c r="I5961" s="297">
        <f t="shared" si="809"/>
        <v>297.83341140243482</v>
      </c>
      <c r="J5961" s="297">
        <f t="shared" si="810"/>
        <v>278.57142857142856</v>
      </c>
      <c r="K5961" s="297">
        <f>J5961/POBLA!$B$8*100000</f>
        <v>20.099514241124286</v>
      </c>
      <c r="L5961" s="549">
        <f t="shared" si="808"/>
        <v>0.15364583333333337</v>
      </c>
      <c r="M5961" s="401">
        <f>SUM(C5961,C5937,C5913,C5889,C5865,C5841,C5817)/POBLA!$B$8*100000</f>
        <v>140.69659968787002</v>
      </c>
    </row>
    <row r="5962" spans="1:13" s="360" customFormat="1" x14ac:dyDescent="0.25">
      <c r="A5962" s="367" t="s">
        <v>41</v>
      </c>
      <c r="B5962" s="2">
        <v>44141</v>
      </c>
      <c r="C5962" s="1">
        <v>2</v>
      </c>
      <c r="D5962" s="39">
        <f t="shared" si="801"/>
        <v>162</v>
      </c>
      <c r="E5962" s="1"/>
      <c r="F5962" s="409">
        <f t="shared" si="804"/>
        <v>3</v>
      </c>
      <c r="G5962" s="168">
        <f>SUM(C5962,C5938,C5914,C5890,C5866,C5842,C5818,C5794,C5770,C5746,C5722,C5698,C5674,C5650)/POBLA!$B$9*100000</f>
        <v>3.3047308875020032</v>
      </c>
      <c r="H5962" s="256">
        <f t="shared" si="807"/>
        <v>0.90909090909090906</v>
      </c>
      <c r="I5962" s="297">
        <f t="shared" si="809"/>
        <v>3.004300806820003</v>
      </c>
      <c r="J5962" s="297">
        <f t="shared" si="810"/>
        <v>1.8571428571428572</v>
      </c>
      <c r="K5962" s="297">
        <f>J5962/POBLA!$B$9*100000</f>
        <v>0.30686786812518607</v>
      </c>
      <c r="L5962" s="549">
        <f t="shared" si="808"/>
        <v>-0.85714285714285721</v>
      </c>
      <c r="M5962" s="401">
        <f>SUM(C5962,C5938,C5914,C5890,C5866,C5842,C5818)/POBLA!$B$9*100000</f>
        <v>2.1480750768763022</v>
      </c>
    </row>
    <row r="5963" spans="1:13" s="360" customFormat="1" x14ac:dyDescent="0.25">
      <c r="A5963" s="367" t="s">
        <v>32</v>
      </c>
      <c r="B5963" s="2">
        <v>44141</v>
      </c>
      <c r="C5963" s="1">
        <v>14</v>
      </c>
      <c r="D5963" s="39">
        <f t="shared" si="801"/>
        <v>17989</v>
      </c>
      <c r="E5963" s="1"/>
      <c r="F5963" s="409">
        <f t="shared" si="804"/>
        <v>821</v>
      </c>
      <c r="G5963" s="168">
        <f>SUM(C5963,C5939,C5915,C5891,C5867,C5843,C5819,C5795,C5771,C5747,C5723,C5699,C5675,C5651)/POBLA!$B$10*100000</f>
        <v>61.22864618533859</v>
      </c>
      <c r="H5963" s="256">
        <f t="shared" si="807"/>
        <v>0.48509763617677287</v>
      </c>
      <c r="I5963" s="297">
        <f t="shared" si="809"/>
        <v>29.701871530811733</v>
      </c>
      <c r="J5963" s="297">
        <f t="shared" si="810"/>
        <v>23.714285714285715</v>
      </c>
      <c r="K5963" s="297">
        <f>J5963/POBLA!$B$10*100000</f>
        <v>3.0762576473263339</v>
      </c>
      <c r="L5963" s="549">
        <f t="shared" si="808"/>
        <v>0.45751633986928109</v>
      </c>
      <c r="M5963" s="401">
        <f>SUM(C5963,C5939,C5915,C5891,C5867,C5843,C5819)/POBLA!$B$10*100000</f>
        <v>21.533803531284338</v>
      </c>
    </row>
    <row r="5964" spans="1:13" s="360" customFormat="1" x14ac:dyDescent="0.25">
      <c r="A5964" s="367" t="s">
        <v>33</v>
      </c>
      <c r="B5964" s="2">
        <v>44141</v>
      </c>
      <c r="C5964" s="1">
        <v>104</v>
      </c>
      <c r="D5964" s="39">
        <f t="shared" si="801"/>
        <v>3916</v>
      </c>
      <c r="E5964" s="1"/>
      <c r="F5964" s="409">
        <f t="shared" si="804"/>
        <v>36</v>
      </c>
      <c r="G5964" s="168">
        <f>SUM(C5964,C5940,C5916,C5892,C5868,C5844,C5820,C5796,C5772,C5748,C5724,C5700,C5676,C5652)/POBLA!$B$11*100000</f>
        <v>462.2964723738101</v>
      </c>
      <c r="H5964" s="256">
        <f t="shared" si="807"/>
        <v>1.3119556611243073</v>
      </c>
      <c r="I5964" s="297">
        <f t="shared" si="809"/>
        <v>606.51247404861704</v>
      </c>
      <c r="J5964" s="297">
        <f t="shared" si="810"/>
        <v>103.85714285714286</v>
      </c>
      <c r="K5964" s="297">
        <f>J5964/POBLA!$B$11*100000</f>
        <v>28.975733719782735</v>
      </c>
      <c r="L5964" s="549">
        <f t="shared" si="808"/>
        <v>0.2182795698924731</v>
      </c>
      <c r="M5964" s="401">
        <f>SUM(C5964,C5940,C5916,C5892,C5868,C5844,C5820)/POBLA!$B$11*100000</f>
        <v>202.83013603847911</v>
      </c>
    </row>
    <row r="5965" spans="1:13" s="360" customFormat="1" x14ac:dyDescent="0.25">
      <c r="A5965" s="367" t="s">
        <v>21</v>
      </c>
      <c r="B5965" s="2">
        <v>44141</v>
      </c>
      <c r="C5965" s="1">
        <v>18</v>
      </c>
      <c r="D5965" s="39">
        <f t="shared" si="801"/>
        <v>7781</v>
      </c>
      <c r="E5965" s="1">
        <v>1</v>
      </c>
      <c r="F5965" s="409">
        <f t="shared" si="804"/>
        <v>289</v>
      </c>
      <c r="G5965" s="168">
        <f>SUM(C5965,C5941,C5917,C5893,C5869,C5845,C5821,C5797,C5773,C5749,C5725,C5701,C5677,C5653)/POBLA!$B$12*100000</f>
        <v>206.08287530080221</v>
      </c>
      <c r="H5965" s="256">
        <f t="shared" si="807"/>
        <v>0.60522388059701493</v>
      </c>
      <c r="I5965" s="297">
        <f t="shared" si="809"/>
        <v>124.72627751414224</v>
      </c>
      <c r="J5965" s="297">
        <f t="shared" si="810"/>
        <v>38.142857142857146</v>
      </c>
      <c r="K5965" s="297">
        <f>J5965/POBLA!$B$12*100000</f>
        <v>9.6924656870379078</v>
      </c>
      <c r="L5965" s="549">
        <f t="shared" si="808"/>
        <v>0.50919117647058831</v>
      </c>
      <c r="M5965" s="401">
        <f>SUM(C5965,C5941,C5917,C5893,C5869,C5845,C5821)/POBLA!$B$12*100000</f>
        <v>67.847259809265353</v>
      </c>
    </row>
    <row r="5966" spans="1:13" s="360" customFormat="1" x14ac:dyDescent="0.25">
      <c r="A5966" s="367" t="s">
        <v>17</v>
      </c>
      <c r="B5966" s="2">
        <v>44141</v>
      </c>
      <c r="C5966" s="1">
        <v>626</v>
      </c>
      <c r="D5966" s="39">
        <f t="shared" si="801"/>
        <v>50080</v>
      </c>
      <c r="E5966" s="1">
        <f>15+7</f>
        <v>22</v>
      </c>
      <c r="F5966" s="409">
        <f t="shared" si="804"/>
        <v>889</v>
      </c>
      <c r="G5966" s="168">
        <f>SUM(C5966,C5942,C5918,C5894,C5870,C5846,C5822,C5798,C5774,C5750,C5726,C5702,C5678,C5654)/POBLA!$B$13*100000</f>
        <v>419.27552003730023</v>
      </c>
      <c r="H5966" s="256">
        <f t="shared" si="807"/>
        <v>0.76954998155662113</v>
      </c>
      <c r="I5966" s="297">
        <f t="shared" si="809"/>
        <v>322.6534687118471</v>
      </c>
      <c r="J5966" s="297">
        <f t="shared" si="810"/>
        <v>502.28571428571428</v>
      </c>
      <c r="K5966" s="297">
        <f>J5966/POBLA!$B$13*100000</f>
        <v>25.236201805206669</v>
      </c>
      <c r="L5966" s="549">
        <f t="shared" si="808"/>
        <v>0.27189894388072067</v>
      </c>
      <c r="M5966" s="401">
        <f>SUM(C5966,C5942,C5918,C5894,C5870,C5846,C5822)/POBLA!$B$13*100000</f>
        <v>176.65341263644669</v>
      </c>
    </row>
    <row r="5967" spans="1:13" s="360" customFormat="1" x14ac:dyDescent="0.25">
      <c r="A5967" s="367" t="s">
        <v>23</v>
      </c>
      <c r="B5967" s="2">
        <v>44141</v>
      </c>
      <c r="C5967" s="1">
        <v>15</v>
      </c>
      <c r="D5967" s="39">
        <f t="shared" si="801"/>
        <v>320</v>
      </c>
      <c r="E5967" s="1"/>
      <c r="F5967" s="409">
        <f t="shared" si="804"/>
        <v>6</v>
      </c>
      <c r="G5967" s="168">
        <f>SUM(C5967,C5943,C5919,C5895,C5871,C5847,C5823,C5799,C5775,C5751,C5727,C5703,C5679,C5655)/POBLA!$B$14*100000</f>
        <v>8.8004858502458578</v>
      </c>
      <c r="H5967" s="256">
        <f t="shared" si="807"/>
        <v>1.7076923076923076</v>
      </c>
      <c r="I5967" s="297">
        <f t="shared" si="809"/>
        <v>15.028521990419849</v>
      </c>
      <c r="J5967" s="297">
        <f t="shared" si="810"/>
        <v>7.1428571428571432</v>
      </c>
      <c r="K5967" s="297">
        <f>J5967/POBLA!$B$14*100000</f>
        <v>0.56631183077515179</v>
      </c>
      <c r="L5967" s="549">
        <f t="shared" si="808"/>
        <v>0.18032786885245899</v>
      </c>
      <c r="M5967" s="401">
        <f>SUM(C5967,C5943,C5919,C5895,C5871,C5847,C5823)/POBLA!$B$14*100000</f>
        <v>3.9641828154260623</v>
      </c>
    </row>
    <row r="5968" spans="1:13" s="360" customFormat="1" x14ac:dyDescent="0.25">
      <c r="A5968" s="367" t="s">
        <v>19</v>
      </c>
      <c r="B5968" s="2">
        <v>44141</v>
      </c>
      <c r="C5968" s="1">
        <v>310</v>
      </c>
      <c r="D5968" s="39">
        <f t="shared" si="801"/>
        <v>24748</v>
      </c>
      <c r="E5968" s="1">
        <f>4+4</f>
        <v>8</v>
      </c>
      <c r="F5968" s="409">
        <f t="shared" si="804"/>
        <v>422</v>
      </c>
      <c r="G5968" s="168">
        <f>SUM(C5968,C5944,C5920,C5896,C5872,C5848,C5824,C5800,C5776,C5752,C5728,C5704,C5680,C5656)/POBLA!$B$15*100000</f>
        <v>923.86647531763083</v>
      </c>
      <c r="H5968" s="256">
        <f t="shared" si="807"/>
        <v>0.84889995848899957</v>
      </c>
      <c r="I5968" s="297">
        <f t="shared" si="809"/>
        <v>784.27021254651515</v>
      </c>
      <c r="J5968" s="297">
        <f t="shared" si="810"/>
        <v>425.28571428571428</v>
      </c>
      <c r="K5968" s="297">
        <f>J5968/POBLA!$B$15*100000</f>
        <v>64.043555641415466</v>
      </c>
      <c r="L5968" s="549">
        <f t="shared" si="808"/>
        <v>5.7314756174794201E-2</v>
      </c>
      <c r="M5968" s="401">
        <f>SUM(C5968,C5944,C5920,C5896,C5872,C5848,C5824)/POBLA!$B$15*100000</f>
        <v>448.30488948990825</v>
      </c>
    </row>
    <row r="5969" spans="1:13" s="360" customFormat="1" x14ac:dyDescent="0.25">
      <c r="A5969" s="367" t="s">
        <v>18</v>
      </c>
      <c r="B5969" s="2">
        <v>44141</v>
      </c>
      <c r="C5969" s="1">
        <v>383</v>
      </c>
      <c r="D5969" s="39">
        <f t="shared" si="801"/>
        <v>25916</v>
      </c>
      <c r="E5969" s="1">
        <f>3+2</f>
        <v>5</v>
      </c>
      <c r="F5969" s="409">
        <f t="shared" si="804"/>
        <v>652</v>
      </c>
      <c r="G5969" s="168">
        <f>SUM(C5969,C5945,C5921,C5897,C5873,C5849,C5825,C5801,C5777,C5753,C5729,C5705,C5681,C5657)/POBLA!$B$16*100000</f>
        <v>620.77821323952332</v>
      </c>
      <c r="H5969" s="256">
        <f t="shared" si="807"/>
        <v>0.8521850899742931</v>
      </c>
      <c r="I5969" s="297">
        <f t="shared" si="809"/>
        <v>529.01793750360412</v>
      </c>
      <c r="J5969" s="297">
        <f t="shared" si="810"/>
        <v>311.14285714285717</v>
      </c>
      <c r="K5969" s="297">
        <f>J5969/POBLA!$B$16*100000</f>
        <v>41.618338056320432</v>
      </c>
      <c r="L5969" s="549">
        <f t="shared" si="808"/>
        <v>0.11571254567600486</v>
      </c>
      <c r="M5969" s="401">
        <f>SUM(C5969,C5945,C5921,C5897,C5873,C5849,C5825)/POBLA!$B$16*100000</f>
        <v>291.32836639424295</v>
      </c>
    </row>
    <row r="5970" spans="1:13" s="360" customFormat="1" x14ac:dyDescent="0.25">
      <c r="A5970" s="367" t="s">
        <v>34</v>
      </c>
      <c r="B5970" s="2">
        <v>44141</v>
      </c>
      <c r="C5970" s="1">
        <v>93</v>
      </c>
      <c r="D5970" s="39">
        <f t="shared" ref="D5970:D5976" si="811">C5970+D5946</f>
        <v>19398</v>
      </c>
      <c r="E5970" s="1">
        <v>9</v>
      </c>
      <c r="F5970" s="409">
        <f t="shared" si="804"/>
        <v>838</v>
      </c>
      <c r="G5970" s="168">
        <f>SUM(C5970,C5946,C5922,C5898,C5874,C5850,C5826,C5802,C5778,C5754,C5730,C5706,C5682,C5658)/POBLA!$B$17*100000</f>
        <v>137.18085617984312</v>
      </c>
      <c r="H5970" s="256">
        <f t="shared" si="807"/>
        <v>0.67170849089034035</v>
      </c>
      <c r="I5970" s="297">
        <f t="shared" si="809"/>
        <v>92.145545883607241</v>
      </c>
      <c r="J5970" s="297">
        <f t="shared" si="810"/>
        <v>114</v>
      </c>
      <c r="K5970" s="297">
        <f>J5970/POBLA!$B$17*100000</f>
        <v>8.0033866962651565</v>
      </c>
      <c r="L5970" s="549">
        <f t="shared" si="808"/>
        <v>0.30968858131487886</v>
      </c>
      <c r="M5970" s="401">
        <f>SUM(C5970,C5946,C5922,C5898,C5874,C5850,C5826)/POBLA!$B$17*100000</f>
        <v>56.023706873856092</v>
      </c>
    </row>
    <row r="5971" spans="1:13" s="360" customFormat="1" x14ac:dyDescent="0.25">
      <c r="A5971" s="367" t="s">
        <v>35</v>
      </c>
      <c r="B5971" s="2">
        <v>44141</v>
      </c>
      <c r="C5971" s="1">
        <v>191</v>
      </c>
      <c r="D5971" s="39">
        <f t="shared" si="811"/>
        <v>3398</v>
      </c>
      <c r="E5971" s="1"/>
      <c r="F5971" s="409">
        <f t="shared" si="804"/>
        <v>102</v>
      </c>
      <c r="G5971" s="168">
        <f>SUM(C5971,C5947,C5923,C5899,C5875,C5851,C5827,C5803,C5779,C5755,C5731,C5707,C5683,C5659)/POBLA!$B$18*100000</f>
        <v>259.08294366354033</v>
      </c>
      <c r="H5971" s="256">
        <f t="shared" si="807"/>
        <v>8.8384279475982535</v>
      </c>
      <c r="I5971" s="297">
        <f t="shared" si="809"/>
        <v>2289.8859300218587</v>
      </c>
      <c r="J5971" s="297">
        <f t="shared" si="810"/>
        <v>163.14285714285714</v>
      </c>
      <c r="K5971" s="297">
        <f>J5971/POBLA!$B$18*100000</f>
        <v>20.8831678192944</v>
      </c>
      <c r="L5971" s="549">
        <f t="shared" si="808"/>
        <v>-0.29478458049886624</v>
      </c>
      <c r="M5971" s="401">
        <f>SUM(C5971,C5947,C5923,C5899,C5875,C5851,C5827)/POBLA!$B$18*100000</f>
        <v>146.18217473506081</v>
      </c>
    </row>
    <row r="5972" spans="1:13" s="360" customFormat="1" x14ac:dyDescent="0.25">
      <c r="A5972" s="367" t="s">
        <v>36</v>
      </c>
      <c r="B5972" s="2">
        <v>44141</v>
      </c>
      <c r="C5972" s="1">
        <v>468</v>
      </c>
      <c r="D5972" s="39">
        <f t="shared" si="811"/>
        <v>8864</v>
      </c>
      <c r="E5972" s="1">
        <f>9+1</f>
        <v>10</v>
      </c>
      <c r="F5972" s="409">
        <f t="shared" si="804"/>
        <v>121</v>
      </c>
      <c r="G5972" s="168">
        <f>SUM(C5972,C5948,C5924,C5900,C5876,C5852,C5828,C5804,C5780,C5756,C5732,C5708,C5684,C5660)/POBLA!$B$19*100000</f>
        <v>745.97503973812184</v>
      </c>
      <c r="H5972" s="256">
        <f t="shared" si="807"/>
        <v>1.3194154488517744</v>
      </c>
      <c r="I5972" s="297">
        <f t="shared" si="809"/>
        <v>984.25099188829427</v>
      </c>
      <c r="J5972" s="297">
        <f t="shared" si="810"/>
        <v>292.85714285714283</v>
      </c>
      <c r="K5972" s="297">
        <f>J5972/POBLA!$B$19*100000</f>
        <v>57.611845669949879</v>
      </c>
      <c r="L5972" s="549">
        <f t="shared" si="808"/>
        <v>-0.17680826636050506</v>
      </c>
      <c r="M5972" s="401">
        <f>SUM(C5972,C5948,C5924,C5900,C5876,C5852,C5828)/POBLA!$B$19*100000</f>
        <v>403.28291968964919</v>
      </c>
    </row>
    <row r="5973" spans="1:13" s="360" customFormat="1" x14ac:dyDescent="0.25">
      <c r="A5973" s="367" t="s">
        <v>37</v>
      </c>
      <c r="B5973" s="2">
        <v>44141</v>
      </c>
      <c r="C5973" s="1">
        <v>222</v>
      </c>
      <c r="D5973" s="39">
        <f t="shared" si="811"/>
        <v>10741</v>
      </c>
      <c r="E5973" s="1">
        <f>2+2</f>
        <v>4</v>
      </c>
      <c r="F5973" s="409">
        <f t="shared" si="804"/>
        <v>163</v>
      </c>
      <c r="G5973" s="168">
        <f>SUM(C5973,C5949,C5925,C5901,C5877,C5853,C5829,C5805,C5781,C5757,C5733,C5709,C5685,C5661)/POBLA!$B$20*100000</f>
        <v>707.14086486663859</v>
      </c>
      <c r="H5973" s="256">
        <f t="shared" si="807"/>
        <v>1.2232734153263956</v>
      </c>
      <c r="I5973" s="297">
        <f t="shared" si="809"/>
        <v>865.02662088227419</v>
      </c>
      <c r="J5973" s="297">
        <f t="shared" si="810"/>
        <v>198.85714285714286</v>
      </c>
      <c r="K5973" s="297">
        <f>J5973/POBLA!$B$20*100000</f>
        <v>54.37742149455093</v>
      </c>
      <c r="L5973" s="549">
        <f t="shared" si="808"/>
        <v>-0.16582914572864316</v>
      </c>
      <c r="M5973" s="401">
        <f>SUM(C5973,C5949,C5925,C5901,C5877,C5853,C5829)/POBLA!$B$20*100000</f>
        <v>380.64195046185648</v>
      </c>
    </row>
    <row r="5974" spans="1:13" s="360" customFormat="1" x14ac:dyDescent="0.25">
      <c r="A5974" s="367" t="s">
        <v>22</v>
      </c>
      <c r="B5974" s="2">
        <v>44141</v>
      </c>
      <c r="C5974" s="1">
        <v>1736</v>
      </c>
      <c r="D5974" s="39">
        <f t="shared" si="811"/>
        <v>116095</v>
      </c>
      <c r="E5974" s="1">
        <f>1+30+22</f>
        <v>53</v>
      </c>
      <c r="F5974" s="409">
        <f t="shared" si="804"/>
        <v>1602</v>
      </c>
      <c r="G5974" s="168">
        <f>SUM(C5974,C5950,C5926,C5902,C5878,C5854,C5830,C5806,C5782,C5758,C5734,C5710,C5686,C5662)/POBLA!$B$21*100000</f>
        <v>704.69610775649255</v>
      </c>
      <c r="H5974" s="256">
        <f t="shared" si="807"/>
        <v>0.78208065275380512</v>
      </c>
      <c r="I5974" s="297">
        <f t="shared" si="809"/>
        <v>551.12919194726351</v>
      </c>
      <c r="J5974" s="297">
        <f t="shared" si="810"/>
        <v>1637.8571428571429</v>
      </c>
      <c r="K5974" s="297">
        <f>J5974/POBLA!$B$21*100000</f>
        <v>46.314014430905594</v>
      </c>
      <c r="L5974" s="549">
        <f t="shared" si="808"/>
        <v>0.14796373365041615</v>
      </c>
      <c r="M5974" s="401">
        <f>SUM(C5974,C5950,C5926,C5902,C5878,C5854,C5830)/POBLA!$B$21*100000</f>
        <v>324.19810101633914</v>
      </c>
    </row>
    <row r="5975" spans="1:13" s="360" customFormat="1" x14ac:dyDescent="0.25">
      <c r="A5975" s="367" t="s">
        <v>38</v>
      </c>
      <c r="B5975" s="2">
        <v>44141</v>
      </c>
      <c r="C5975" s="1">
        <v>223</v>
      </c>
      <c r="D5975" s="39">
        <f t="shared" si="811"/>
        <v>10930</v>
      </c>
      <c r="E5975" s="1">
        <f>3</f>
        <v>3</v>
      </c>
      <c r="F5975" s="409">
        <f t="shared" si="804"/>
        <v>141</v>
      </c>
      <c r="G5975" s="168">
        <f>SUM(C5975,C5951,C5927,C5903,C5879,C5855,C5831,C5807,C5783,C5759,C5735,C5711,C5687,C5663)/POBLA!$B$22*100000</f>
        <v>318.71190508559124</v>
      </c>
      <c r="H5975" s="256">
        <f t="shared" si="807"/>
        <v>0.88353641258146787</v>
      </c>
      <c r="I5975" s="297">
        <f t="shared" si="809"/>
        <v>281.59357326632858</v>
      </c>
      <c r="J5975" s="297">
        <f t="shared" si="810"/>
        <v>193.14285714285714</v>
      </c>
      <c r="K5975" s="297">
        <f>J5975/POBLA!$B$22*100000</f>
        <v>19.742440010799932</v>
      </c>
      <c r="L5975" s="549">
        <f t="shared" si="808"/>
        <v>0.23442808607021515</v>
      </c>
      <c r="M5975" s="401">
        <f>SUM(C5975,C5951,C5927,C5903,C5879,C5855,C5831)/POBLA!$B$22*100000</f>
        <v>138.19708007559953</v>
      </c>
    </row>
    <row r="5976" spans="1:13" s="360" customFormat="1" x14ac:dyDescent="0.25">
      <c r="A5976" s="367" t="s">
        <v>39</v>
      </c>
      <c r="B5976" s="2">
        <v>44141</v>
      </c>
      <c r="C5976" s="1">
        <v>311</v>
      </c>
      <c r="D5976" s="39">
        <f t="shared" si="811"/>
        <v>12757</v>
      </c>
      <c r="E5976" s="1"/>
      <c r="F5976" s="409">
        <f t="shared" si="804"/>
        <v>163</v>
      </c>
      <c r="G5976" s="168">
        <f>SUM(C5976,C5952,C5928,C5904,C5880,C5856,C5832,C5808,C5784,C5760,C5736,C5712,C5688,C5664)/POBLA!$B$23*100000</f>
        <v>1858.2819657297971</v>
      </c>
      <c r="H5976" s="256">
        <f t="shared" si="807"/>
        <v>0.96138092451726154</v>
      </c>
      <c r="I5976" s="297">
        <f t="shared" si="809"/>
        <v>1786.5168342270665</v>
      </c>
      <c r="J5976" s="297">
        <f t="shared" si="810"/>
        <v>224.28571428571428</v>
      </c>
      <c r="K5976" s="297">
        <f>J5976/POBLA!$B$23*100000</f>
        <v>126.8369135812443</v>
      </c>
      <c r="L5976" s="549">
        <f t="shared" si="808"/>
        <v>8.5081585081585032E-2</v>
      </c>
      <c r="M5976" s="401">
        <f>SUM(C5976,C5952,C5928,C5904,C5880,C5856,C5832)/POBLA!$B$23*100000</f>
        <v>887.85839506871014</v>
      </c>
    </row>
    <row r="5977" spans="1:13" s="360" customFormat="1" ht="15.75" thickBot="1" x14ac:dyDescent="0.3">
      <c r="A5977" s="368" t="s">
        <v>40</v>
      </c>
      <c r="B5977" s="34">
        <v>44141</v>
      </c>
      <c r="C5977" s="232">
        <v>1122</v>
      </c>
      <c r="D5977" s="67">
        <f>C5977+D5953</f>
        <v>54090</v>
      </c>
      <c r="E5977" s="232">
        <f>3+3</f>
        <v>6</v>
      </c>
      <c r="F5977" s="477">
        <f t="shared" si="804"/>
        <v>875</v>
      </c>
      <c r="G5977" s="177">
        <f>SUM(C5977,C5953,C5929,C5905,C5881,C5857,C5833,C5809,C5785,C5761,C5737,C5713,C5689,C5665)/POBLA!$B$24*100000</f>
        <v>736.25561765927716</v>
      </c>
      <c r="H5977" s="402">
        <f t="shared" si="807"/>
        <v>0.74923437218519184</v>
      </c>
      <c r="I5977" s="403">
        <f t="shared" si="809"/>
        <v>551.62801546476919</v>
      </c>
      <c r="J5977" s="403">
        <f t="shared" si="810"/>
        <v>756.57142857142856</v>
      </c>
      <c r="K5977" s="403">
        <f>J5977/POBLA!$B$24*100000</f>
        <v>44.644543115029158</v>
      </c>
      <c r="L5977" s="550">
        <f t="shared" si="808"/>
        <v>0.26249825929536275</v>
      </c>
      <c r="M5977" s="405">
        <f>SUM(C5977,C5953,C5929,C5905,C5881,C5857,C5833)/POBLA!$B$24*100000</f>
        <v>312.51180180520413</v>
      </c>
    </row>
    <row r="5978" spans="1:13" s="360" customFormat="1" x14ac:dyDescent="0.25">
      <c r="A5978" s="363" t="s">
        <v>16</v>
      </c>
      <c r="B5978" s="34">
        <v>44142</v>
      </c>
      <c r="C5978" s="1">
        <v>2161</v>
      </c>
      <c r="D5978" s="174">
        <f t="shared" ref="D5978:D6041" si="812">C5978+D5954</f>
        <v>569188</v>
      </c>
      <c r="E5978" s="1">
        <f>42+33</f>
        <v>75</v>
      </c>
      <c r="F5978" s="475">
        <f t="shared" si="804"/>
        <v>18581</v>
      </c>
      <c r="G5978" s="175">
        <f>SUM(C5978,C5954,C5930,C5906,C5882,C5858,C5834,C5810,C5786,C5762,C5738,C5714,C5690,C5666)/POBLA!$B$1*100000</f>
        <v>251.05550431411501</v>
      </c>
      <c r="H5978" s="300">
        <f t="shared" ref="H5978:H6041" si="813">SUM(C5978,C5954,C5930,C5906,C5882,C5858,C5834,C5810,C5786,C5762,C5738,C5714,C5690,C5666)/SUM(C5642,C5618,C5594,C5570,C5546,C5522,C5498,C5474,C5450,C5426,C5402,C5378,C5354,C5330)</f>
        <v>0.74313196085048938</v>
      </c>
      <c r="I5978" s="301">
        <f>G5978*H5978</f>
        <v>186.56736920325679</v>
      </c>
      <c r="J5978" s="301">
        <f>AVERAGE(C5978,C5954,C5930,C5906,C5882,C5858,C5834)</f>
        <v>2831.8571428571427</v>
      </c>
      <c r="K5978" s="301">
        <f>J5978/POBLA!$B$1*100000</f>
        <v>16.144087450509307</v>
      </c>
      <c r="L5978" s="548">
        <f t="shared" ref="L5978:L6041" si="814">1-SUM(C5978,C5954,C5930,C5906,C5882,C5858,C5834)/SUM(C5810,C5786,C5762,C5738,C5714,C5690,C5666)</f>
        <v>0.18137518067313652</v>
      </c>
      <c r="M5978" s="400">
        <f>SUM(C5978,C5954,C5930,C5906,C5882,C5858,C5834)/POBLA!$B$1*100000</f>
        <v>113.00861215356515</v>
      </c>
    </row>
    <row r="5979" spans="1:13" s="360" customFormat="1" x14ac:dyDescent="0.25">
      <c r="A5979" s="367" t="s">
        <v>43</v>
      </c>
      <c r="B5979" s="34">
        <v>44142</v>
      </c>
      <c r="C5979" s="1">
        <v>394</v>
      </c>
      <c r="D5979" s="39">
        <f t="shared" si="812"/>
        <v>150331</v>
      </c>
      <c r="E5979" s="1">
        <f>13+11</f>
        <v>24</v>
      </c>
      <c r="F5979" s="409">
        <f t="shared" si="804"/>
        <v>4967</v>
      </c>
      <c r="G5979" s="168">
        <f>SUM(C5979,C5955,C5931,C5907,C5883,C5859,C5835,C5811,C5787,C5763,C5739,C5715,C5691,C5667)/POBLA!$B$2*100000</f>
        <v>220.63657521054114</v>
      </c>
      <c r="H5979" s="256">
        <f t="shared" si="813"/>
        <v>0.73800978792822181</v>
      </c>
      <c r="I5979" s="297">
        <f t="shared" ref="I5979:I6001" si="815">G5979*H5979</f>
        <v>162.83195208034061</v>
      </c>
      <c r="J5979" s="297">
        <f t="shared" ref="J5979:J6001" si="816">AVERAGE(C5979,C5955,C5931,C5907,C5883,C5859,C5835)</f>
        <v>447.14285714285717</v>
      </c>
      <c r="K5979" s="297">
        <f>J5979/POBLA!$B$2*100000</f>
        <v>14.538176927476608</v>
      </c>
      <c r="L5979" s="549">
        <f t="shared" si="814"/>
        <v>0.14387308533916854</v>
      </c>
      <c r="M5979" s="401">
        <f>SUM(C5979,C5955,C5931,C5907,C5883,C5859,C5835)/POBLA!$B$2*100000</f>
        <v>101.76723849233623</v>
      </c>
    </row>
    <row r="5980" spans="1:13" s="360" customFormat="1" x14ac:dyDescent="0.25">
      <c r="A5980" s="367" t="s">
        <v>28</v>
      </c>
      <c r="B5980" s="34">
        <v>44142</v>
      </c>
      <c r="C5980" s="1">
        <v>41</v>
      </c>
      <c r="D5980" s="39">
        <f t="shared" si="812"/>
        <v>1164</v>
      </c>
      <c r="E5980" s="1">
        <f>2</f>
        <v>2</v>
      </c>
      <c r="F5980" s="409">
        <f t="shared" si="804"/>
        <v>2</v>
      </c>
      <c r="G5980" s="168">
        <f>SUM(C5980,C5956,C5932,C5908,C5884,C5860,C5836,C5812,C5788,C5764,C5740,C5716,C5692,C5668)/POBLA!$B$3*100000</f>
        <v>136.72316928157753</v>
      </c>
      <c r="H5980" s="256">
        <f t="shared" si="813"/>
        <v>2.5132743362831858</v>
      </c>
      <c r="I5980" s="297">
        <f t="shared" si="815"/>
        <v>343.6228325306904</v>
      </c>
      <c r="J5980" s="297">
        <f t="shared" si="816"/>
        <v>38.285714285714285</v>
      </c>
      <c r="K5980" s="297">
        <f>J5980/POBLA!$B$3*100000</f>
        <v>9.2157468228025081</v>
      </c>
      <c r="L5980" s="549">
        <f t="shared" si="814"/>
        <v>0.10666666666666669</v>
      </c>
      <c r="M5980" s="401">
        <f>SUM(C5980,C5956,C5932,C5908,C5884,C5860,C5836)/POBLA!$B$3*100000</f>
        <v>64.510227759617564</v>
      </c>
    </row>
    <row r="5981" spans="1:13" s="360" customFormat="1" x14ac:dyDescent="0.25">
      <c r="A5981" s="367" t="s">
        <v>15</v>
      </c>
      <c r="B5981" s="34">
        <v>44142</v>
      </c>
      <c r="C5981" s="1">
        <v>157</v>
      </c>
      <c r="D5981" s="39">
        <f t="shared" si="812"/>
        <v>14916</v>
      </c>
      <c r="E5981" s="1">
        <f>2+4</f>
        <v>6</v>
      </c>
      <c r="F5981" s="409">
        <f t="shared" si="804"/>
        <v>464</v>
      </c>
      <c r="G5981" s="168">
        <f>SUM(C5981,C5957,C5933,C5909,C5885,C5861,C5837,C5813,C5789,C5765,C5741,C5717,C5693,C5669)/POBLA!$B$4*100000</f>
        <v>165.04211977840521</v>
      </c>
      <c r="H5981" s="256">
        <f t="shared" si="813"/>
        <v>0.7218591140159768</v>
      </c>
      <c r="I5981" s="297">
        <f t="shared" si="815"/>
        <v>119.13715835855831</v>
      </c>
      <c r="J5981" s="297">
        <f t="shared" si="816"/>
        <v>123.71428571428571</v>
      </c>
      <c r="K5981" s="297">
        <f>J5981/POBLA!$B$4*100000</f>
        <v>10.270657928147379</v>
      </c>
      <c r="L5981" s="549">
        <f t="shared" si="814"/>
        <v>0.22816399286987521</v>
      </c>
      <c r="M5981" s="401">
        <f>SUM(C5981,C5957,C5933,C5909,C5885,C5861,C5837)/POBLA!$B$4*100000</f>
        <v>71.894605497031648</v>
      </c>
    </row>
    <row r="5982" spans="1:13" s="360" customFormat="1" x14ac:dyDescent="0.25">
      <c r="A5982" s="367" t="s">
        <v>29</v>
      </c>
      <c r="B5982" s="34">
        <v>44142</v>
      </c>
      <c r="C5982" s="1">
        <v>231</v>
      </c>
      <c r="D5982" s="39">
        <f t="shared" si="812"/>
        <v>16776</v>
      </c>
      <c r="E5982" s="1"/>
      <c r="F5982" s="409">
        <f t="shared" si="804"/>
        <v>276</v>
      </c>
      <c r="G5982" s="168">
        <f>SUM(C5982,C5958,C5934,C5910,C5886,C5862,C5838,C5814,C5790,C5766,C5742,C5718,C5694,C5670)/POBLA!$B$5*100000</f>
        <v>779.32904034610999</v>
      </c>
      <c r="H5982" s="256">
        <f t="shared" si="813"/>
        <v>0.90523550384687557</v>
      </c>
      <c r="I5982" s="297">
        <f t="shared" si="815"/>
        <v>705.47631650021287</v>
      </c>
      <c r="J5982" s="297">
        <f t="shared" si="816"/>
        <v>342</v>
      </c>
      <c r="K5982" s="297">
        <f>J5982/POBLA!$B$5*100000</f>
        <v>55.250939427522724</v>
      </c>
      <c r="L5982" s="549">
        <f t="shared" si="814"/>
        <v>1.4814814814814836E-2</v>
      </c>
      <c r="M5982" s="401">
        <f>SUM(C5982,C5958,C5934,C5910,C5886,C5862,C5838)/POBLA!$B$5*100000</f>
        <v>386.75657599265907</v>
      </c>
    </row>
    <row r="5983" spans="1:13" s="360" customFormat="1" x14ac:dyDescent="0.25">
      <c r="A5983" s="367" t="s">
        <v>20</v>
      </c>
      <c r="B5983" s="34">
        <v>44142</v>
      </c>
      <c r="C5983" s="1">
        <v>1006</v>
      </c>
      <c r="D5983" s="39">
        <f t="shared" si="812"/>
        <v>92804</v>
      </c>
      <c r="E5983" s="1">
        <f>6+5</f>
        <v>11</v>
      </c>
      <c r="F5983" s="409">
        <f t="shared" si="804"/>
        <v>1453</v>
      </c>
      <c r="G5983" s="168">
        <f>SUM(C5983,C5959,C5935,C5911,C5887,C5863,C5839,C5815,C5791,C5767,C5743,C5719,C5695,C5671)/POBLA!$B$6*100000</f>
        <v>1623.7494434783694</v>
      </c>
      <c r="H5983" s="256">
        <f t="shared" si="813"/>
        <v>0.74819108699227099</v>
      </c>
      <c r="I5983" s="297">
        <f t="shared" si="815"/>
        <v>1214.8748611191763</v>
      </c>
      <c r="J5983" s="297">
        <f t="shared" si="816"/>
        <v>1055.5714285714287</v>
      </c>
      <c r="K5983" s="297">
        <f>J5983/POBLA!$B$6*100000</f>
        <v>94.180093394940641</v>
      </c>
      <c r="L5983" s="549">
        <f t="shared" si="814"/>
        <v>0.31646623496762261</v>
      </c>
      <c r="M5983" s="401">
        <f>SUM(C5983,C5959,C5935,C5911,C5887,C5863,C5839)/POBLA!$B$6*100000</f>
        <v>659.2606537645845</v>
      </c>
    </row>
    <row r="5984" spans="1:13" s="360" customFormat="1" x14ac:dyDescent="0.25">
      <c r="A5984" s="367" t="s">
        <v>30</v>
      </c>
      <c r="B5984" s="34">
        <v>44142</v>
      </c>
      <c r="C5984" s="1">
        <v>76</v>
      </c>
      <c r="D5984" s="39">
        <f t="shared" si="812"/>
        <v>2833</v>
      </c>
      <c r="E5984" s="1"/>
      <c r="F5984" s="409">
        <f t="shared" si="804"/>
        <v>56</v>
      </c>
      <c r="G5984" s="168">
        <f>SUM(C5984,C5960,C5936,C5912,C5888,C5864,C5840,C5816,C5792,C5768,C5744,C5720,C5696,C5672)/POBLA!$B$7*100000</f>
        <v>15.636426491510324</v>
      </c>
      <c r="H5984" s="256">
        <f t="shared" si="813"/>
        <v>0.7967479674796748</v>
      </c>
      <c r="I5984" s="297">
        <f t="shared" si="815"/>
        <v>12.458291025756193</v>
      </c>
      <c r="J5984" s="297">
        <f t="shared" si="816"/>
        <v>40.571428571428569</v>
      </c>
      <c r="K5984" s="297">
        <f>J5984/POBLA!$B$7*100000</f>
        <v>1.0788982321644636</v>
      </c>
      <c r="L5984" s="549">
        <f t="shared" si="814"/>
        <v>6.5789473684210509E-2</v>
      </c>
      <c r="M5984" s="401">
        <f>SUM(C5984,C5960,C5936,C5912,C5888,C5864,C5840)/POBLA!$B$7*100000</f>
        <v>7.5522876251512461</v>
      </c>
    </row>
    <row r="5985" spans="1:13" x14ac:dyDescent="0.25">
      <c r="A5985" s="367" t="s">
        <v>31</v>
      </c>
      <c r="B5985" s="34">
        <v>44142</v>
      </c>
      <c r="C5985" s="1">
        <v>234</v>
      </c>
      <c r="D5985" s="39">
        <f t="shared" si="812"/>
        <v>17917</v>
      </c>
      <c r="E5985" s="1">
        <f>6+2</f>
        <v>8</v>
      </c>
      <c r="F5985" s="409">
        <f t="shared" si="804"/>
        <v>325</v>
      </c>
      <c r="G5985" s="168">
        <f>SUM(C5985,C5961,C5937,C5913,C5889,C5865,C5841,C5817,C5793,C5769,C5745,C5721,C5697,C5673)/POBLA!$B$8*100000</f>
        <v>301.52363594646602</v>
      </c>
      <c r="H5985" s="256">
        <f t="shared" si="813"/>
        <v>0.92763596004439508</v>
      </c>
      <c r="I5985" s="297">
        <f t="shared" si="815"/>
        <v>279.70416750727668</v>
      </c>
      <c r="J5985" s="297">
        <f t="shared" si="816"/>
        <v>274.28571428571428</v>
      </c>
      <c r="K5985" s="297">
        <f>J5985/POBLA!$B$8*100000</f>
        <v>19.790290945106989</v>
      </c>
      <c r="L5985" s="549">
        <f t="shared" si="814"/>
        <v>0.15006640106241698</v>
      </c>
      <c r="M5985" s="401">
        <f>SUM(C5985,C5961,C5937,C5913,C5889,C5865,C5841)/POBLA!$B$8*100000</f>
        <v>138.53203661574892</v>
      </c>
    </row>
    <row r="5986" spans="1:13" s="360" customFormat="1" x14ac:dyDescent="0.25">
      <c r="A5986" s="367" t="s">
        <v>41</v>
      </c>
      <c r="B5986" s="34">
        <v>44142</v>
      </c>
      <c r="C5986" s="1">
        <v>0</v>
      </c>
      <c r="D5986" s="39">
        <f t="shared" si="812"/>
        <v>162</v>
      </c>
      <c r="E5986" s="1"/>
      <c r="F5986" s="409">
        <f t="shared" si="804"/>
        <v>3</v>
      </c>
      <c r="G5986" s="168">
        <f>SUM(C5986,C5962,C5938,C5914,C5890,C5866,C5842,C5818,C5794,C5770,C5746,C5722,C5698,C5674)/POBLA!$B$9*100000</f>
        <v>3.3047308875020032</v>
      </c>
      <c r="H5986" s="256">
        <f t="shared" si="813"/>
        <v>1.4285714285714286</v>
      </c>
      <c r="I5986" s="297">
        <f t="shared" si="815"/>
        <v>4.7210441250028614</v>
      </c>
      <c r="J5986" s="297">
        <f t="shared" si="816"/>
        <v>1.2857142857142858</v>
      </c>
      <c r="K5986" s="297">
        <f>J5986/POBLA!$B$9*100000</f>
        <v>0.21244698562512881</v>
      </c>
      <c r="L5986" s="549">
        <f t="shared" si="814"/>
        <v>0.18181818181818177</v>
      </c>
      <c r="M5986" s="401">
        <f>SUM(C5986,C5962,C5938,C5914,C5890,C5866,C5842)/POBLA!$B$9*100000</f>
        <v>1.4871288993759018</v>
      </c>
    </row>
    <row r="5987" spans="1:13" s="360" customFormat="1" x14ac:dyDescent="0.25">
      <c r="A5987" s="367" t="s">
        <v>32</v>
      </c>
      <c r="B5987" s="34">
        <v>44142</v>
      </c>
      <c r="C5987" s="1">
        <v>24</v>
      </c>
      <c r="D5987" s="39">
        <f t="shared" si="812"/>
        <v>18013</v>
      </c>
      <c r="E5987" s="1">
        <f>4</f>
        <v>4</v>
      </c>
      <c r="F5987" s="409">
        <f t="shared" si="804"/>
        <v>825</v>
      </c>
      <c r="G5987" s="168">
        <f>SUM(C5987,C5963,C5939,C5915,C5891,C5867,C5843,C5819,C5795,C5771,C5747,C5723,C5699,C5675)/POBLA!$B$10*100000</f>
        <v>56.299221280586757</v>
      </c>
      <c r="H5987" s="256">
        <f t="shared" si="813"/>
        <v>0.47850055126791619</v>
      </c>
      <c r="I5987" s="297">
        <f t="shared" si="815"/>
        <v>26.939208418715161</v>
      </c>
      <c r="J5987" s="297">
        <f t="shared" si="816"/>
        <v>22.428571428571427</v>
      </c>
      <c r="K5987" s="297">
        <f>J5987/POBLA!$B$10*100000</f>
        <v>2.9094725941580384</v>
      </c>
      <c r="L5987" s="549">
        <f t="shared" si="814"/>
        <v>0.43321299638989175</v>
      </c>
      <c r="M5987" s="401">
        <f>SUM(C5987,C5963,C5939,C5915,C5891,C5867,C5843)/POBLA!$B$10*100000</f>
        <v>20.366308159106268</v>
      </c>
    </row>
    <row r="5988" spans="1:13" s="360" customFormat="1" x14ac:dyDescent="0.25">
      <c r="A5988" s="367" t="s">
        <v>33</v>
      </c>
      <c r="B5988" s="34">
        <v>44142</v>
      </c>
      <c r="C5988" s="1">
        <v>106</v>
      </c>
      <c r="D5988" s="39">
        <f t="shared" si="812"/>
        <v>4022</v>
      </c>
      <c r="E5988" s="1"/>
      <c r="F5988" s="409">
        <f t="shared" si="804"/>
        <v>36</v>
      </c>
      <c r="G5988" s="168">
        <f>SUM(C5988,C5964,C5940,C5916,C5892,C5868,C5844,C5820,C5796,C5772,C5748,C5724,C5700,C5676)/POBLA!$B$11*100000</f>
        <v>470.38735813050317</v>
      </c>
      <c r="H5988" s="256">
        <f t="shared" si="813"/>
        <v>1.3009259259259258</v>
      </c>
      <c r="I5988" s="297">
        <f t="shared" si="815"/>
        <v>611.93910941977492</v>
      </c>
      <c r="J5988" s="297">
        <f t="shared" si="816"/>
        <v>106.14285714285714</v>
      </c>
      <c r="K5988" s="297">
        <f>J5988/POBLA!$B$11*100000</f>
        <v>29.613439001098449</v>
      </c>
      <c r="L5988" s="549">
        <f t="shared" si="814"/>
        <v>0.21208907741251326</v>
      </c>
      <c r="M5988" s="401">
        <f>SUM(C5988,C5964,C5940,C5916,C5892,C5868,C5844)/POBLA!$B$11*100000</f>
        <v>207.29407300768915</v>
      </c>
    </row>
    <row r="5989" spans="1:13" s="360" customFormat="1" x14ac:dyDescent="0.25">
      <c r="A5989" s="367" t="s">
        <v>21</v>
      </c>
      <c r="B5989" s="34">
        <v>44142</v>
      </c>
      <c r="C5989" s="1">
        <v>13</v>
      </c>
      <c r="D5989" s="39">
        <f t="shared" si="812"/>
        <v>7794</v>
      </c>
      <c r="E5989" s="1"/>
      <c r="F5989" s="409">
        <f t="shared" si="804"/>
        <v>289</v>
      </c>
      <c r="G5989" s="168">
        <f>SUM(C5989,C5965,C5941,C5917,C5893,C5869,C5845,C5821,C5797,C5773,C5749,C5725,C5701,C5677)/POBLA!$B$12*100000</f>
        <v>197.69725891988179</v>
      </c>
      <c r="H5989" s="256">
        <f t="shared" si="813"/>
        <v>0.58059701492537319</v>
      </c>
      <c r="I5989" s="297">
        <f t="shared" si="815"/>
        <v>114.78243838781198</v>
      </c>
      <c r="J5989" s="297">
        <f t="shared" si="816"/>
        <v>32.142857142857146</v>
      </c>
      <c r="K5989" s="297">
        <f>J5989/POBLA!$B$12*100000</f>
        <v>8.1678081632341915</v>
      </c>
      <c r="L5989" s="549">
        <f t="shared" si="814"/>
        <v>0.59312839059674505</v>
      </c>
      <c r="M5989" s="401">
        <f>SUM(C5989,C5965,C5941,C5917,C5893,C5869,C5845)/POBLA!$B$12*100000</f>
        <v>57.174657142639333</v>
      </c>
    </row>
    <row r="5990" spans="1:13" s="360" customFormat="1" x14ac:dyDescent="0.25">
      <c r="A5990" s="367" t="s">
        <v>17</v>
      </c>
      <c r="B5990" s="34">
        <v>44142</v>
      </c>
      <c r="C5990" s="1">
        <v>354</v>
      </c>
      <c r="D5990" s="39">
        <f t="shared" si="812"/>
        <v>50434</v>
      </c>
      <c r="E5990" s="1">
        <f>14+5</f>
        <v>19</v>
      </c>
      <c r="F5990" s="409">
        <f t="shared" si="804"/>
        <v>908</v>
      </c>
      <c r="G5990" s="168">
        <f>SUM(C5990,C5966,C5942,C5918,C5894,C5870,C5846,C5822,C5798,C5774,C5750,C5726,C5702,C5678)/POBLA!$B$13*100000</f>
        <v>404.25294598203925</v>
      </c>
      <c r="H5990" s="256">
        <f t="shared" si="813"/>
        <v>0.73654339069937746</v>
      </c>
      <c r="I5990" s="297">
        <f t="shared" si="815"/>
        <v>297.74983553382344</v>
      </c>
      <c r="J5990" s="297">
        <f t="shared" si="816"/>
        <v>480.14285714285717</v>
      </c>
      <c r="K5990" s="297">
        <f>J5990/POBLA!$B$13*100000</f>
        <v>24.123684376365077</v>
      </c>
      <c r="L5990" s="549">
        <f t="shared" si="814"/>
        <v>0.28260405549626466</v>
      </c>
      <c r="M5990" s="401">
        <f>SUM(C5990,C5966,C5942,C5918,C5894,C5870,C5846)/POBLA!$B$13*100000</f>
        <v>168.86579063455554</v>
      </c>
    </row>
    <row r="5991" spans="1:13" s="360" customFormat="1" x14ac:dyDescent="0.25">
      <c r="A5991" s="367" t="s">
        <v>23</v>
      </c>
      <c r="B5991" s="34">
        <v>44142</v>
      </c>
      <c r="C5991" s="1">
        <v>10</v>
      </c>
      <c r="D5991" s="39">
        <f t="shared" si="812"/>
        <v>330</v>
      </c>
      <c r="E5991" s="1"/>
      <c r="F5991" s="409">
        <f t="shared" si="804"/>
        <v>6</v>
      </c>
      <c r="G5991" s="168">
        <f>SUM(C5991,C5967,C5943,C5919,C5895,C5871,C5847,C5823,C5799,C5775,C5751,C5727,C5703,C5679)/POBLA!$B$14*100000</f>
        <v>9.3554714444055076</v>
      </c>
      <c r="H5991" s="256">
        <f t="shared" si="813"/>
        <v>1.873015873015873</v>
      </c>
      <c r="I5991" s="297">
        <f t="shared" si="815"/>
        <v>17.522946514918253</v>
      </c>
      <c r="J5991" s="297">
        <f t="shared" si="816"/>
        <v>9.8571428571428577</v>
      </c>
      <c r="K5991" s="297">
        <f>J5991/POBLA!$B$14*100000</f>
        <v>0.78151032646970953</v>
      </c>
      <c r="L5991" s="549">
        <f t="shared" si="814"/>
        <v>-0.40816326530612246</v>
      </c>
      <c r="M5991" s="401">
        <f>SUM(C5991,C5967,C5943,C5919,C5895,C5871,C5847)/POBLA!$B$14*100000</f>
        <v>5.4705722852879664</v>
      </c>
    </row>
    <row r="5992" spans="1:13" s="360" customFormat="1" x14ac:dyDescent="0.25">
      <c r="A5992" s="367" t="s">
        <v>19</v>
      </c>
      <c r="B5992" s="34">
        <v>44142</v>
      </c>
      <c r="C5992" s="1">
        <v>352</v>
      </c>
      <c r="D5992" s="39">
        <f t="shared" si="812"/>
        <v>25100</v>
      </c>
      <c r="E5992" s="1"/>
      <c r="F5992" s="409">
        <f t="shared" si="804"/>
        <v>422</v>
      </c>
      <c r="G5992" s="168">
        <f>SUM(C5992,C5968,C5944,C5920,C5896,C5872,C5848,C5824,C5800,C5776,C5752,C5728,C5704,C5680)/POBLA!$B$15*100000</f>
        <v>896.45918949728707</v>
      </c>
      <c r="H5992" s="256">
        <f t="shared" si="813"/>
        <v>0.81236353711790388</v>
      </c>
      <c r="I5992" s="297">
        <f t="shared" si="815"/>
        <v>728.25075806186544</v>
      </c>
      <c r="J5992" s="297">
        <f t="shared" si="816"/>
        <v>408.85714285714283</v>
      </c>
      <c r="K5992" s="297">
        <f>J5992/POBLA!$B$15*100000</f>
        <v>61.56958557129024</v>
      </c>
      <c r="L5992" s="549">
        <f t="shared" si="814"/>
        <v>7.408605629246201E-2</v>
      </c>
      <c r="M5992" s="401">
        <f>SUM(C5992,C5968,C5944,C5920,C5896,C5872,C5848)/POBLA!$B$15*100000</f>
        <v>430.98709899903173</v>
      </c>
    </row>
    <row r="5993" spans="1:13" s="360" customFormat="1" x14ac:dyDescent="0.25">
      <c r="A5993" s="367" t="s">
        <v>18</v>
      </c>
      <c r="B5993" s="34">
        <v>44142</v>
      </c>
      <c r="C5993" s="1">
        <v>187</v>
      </c>
      <c r="D5993" s="39">
        <f t="shared" si="812"/>
        <v>26103</v>
      </c>
      <c r="E5993" s="1">
        <f>7+3</f>
        <v>10</v>
      </c>
      <c r="F5993" s="409">
        <f t="shared" si="804"/>
        <v>662</v>
      </c>
      <c r="G5993" s="168">
        <f>SUM(C5993,C5969,C5945,C5921,C5897,C5873,C5849,C5825,C5801,C5777,C5753,C5729,C5705,C5681)/POBLA!$B$16*100000</f>
        <v>610.07744679712687</v>
      </c>
      <c r="H5993" s="256">
        <f t="shared" si="813"/>
        <v>0.86382575757575752</v>
      </c>
      <c r="I5993" s="297">
        <f t="shared" si="815"/>
        <v>527.00061265941201</v>
      </c>
      <c r="J5993" s="297">
        <f t="shared" si="816"/>
        <v>301.42857142857144</v>
      </c>
      <c r="K5993" s="297">
        <f>J5993/POBLA!$B$16*100000</f>
        <v>40.318959274029432</v>
      </c>
      <c r="L5993" s="549">
        <f t="shared" si="814"/>
        <v>0.13912688698490416</v>
      </c>
      <c r="M5993" s="401">
        <f>SUM(C5993,C5969,C5945,C5921,C5897,C5873,C5849)/POBLA!$B$16*100000</f>
        <v>282.232714918206</v>
      </c>
    </row>
    <row r="5994" spans="1:13" s="360" customFormat="1" x14ac:dyDescent="0.25">
      <c r="A5994" s="367" t="s">
        <v>34</v>
      </c>
      <c r="B5994" s="34">
        <v>44142</v>
      </c>
      <c r="C5994" s="1">
        <v>112</v>
      </c>
      <c r="D5994" s="39">
        <f t="shared" si="812"/>
        <v>19510</v>
      </c>
      <c r="E5994" s="1">
        <f>6+7</f>
        <v>13</v>
      </c>
      <c r="F5994" s="409">
        <f t="shared" si="804"/>
        <v>851</v>
      </c>
      <c r="G5994" s="168">
        <f>SUM(C5994,C5970,C5946,C5922,C5898,C5874,C5850,C5826,C5802,C5778,C5754,C5730,C5706,C5682)/POBLA!$B$17*100000</f>
        <v>131.49423931670734</v>
      </c>
      <c r="H5994" s="256">
        <f t="shared" si="813"/>
        <v>0.70705926764816907</v>
      </c>
      <c r="I5994" s="297">
        <f t="shared" si="815"/>
        <v>92.974220551224164</v>
      </c>
      <c r="J5994" s="297">
        <f t="shared" si="816"/>
        <v>109.14285714285714</v>
      </c>
      <c r="K5994" s="297">
        <f>J5994/POBLA!$B$17*100000</f>
        <v>7.6623902706097482</v>
      </c>
      <c r="L5994" s="549">
        <f t="shared" si="814"/>
        <v>0.3110910730387737</v>
      </c>
      <c r="M5994" s="401">
        <f>SUM(C5994,C5970,C5946,C5922,C5898,C5874,C5850)/POBLA!$B$17*100000</f>
        <v>53.636731894268245</v>
      </c>
    </row>
    <row r="5995" spans="1:13" s="360" customFormat="1" x14ac:dyDescent="0.25">
      <c r="A5995" s="367" t="s">
        <v>35</v>
      </c>
      <c r="B5995" s="34">
        <v>44142</v>
      </c>
      <c r="C5995" s="1">
        <v>138</v>
      </c>
      <c r="D5995" s="39">
        <f t="shared" si="812"/>
        <v>3536</v>
      </c>
      <c r="E5995" s="1"/>
      <c r="F5995" s="409">
        <f t="shared" ref="F5995:F6058" si="817">E5995+F5971</f>
        <v>102</v>
      </c>
      <c r="G5995" s="168">
        <f>SUM(C5995,C5971,C5947,C5923,C5899,C5875,C5851,C5827,C5803,C5779,C5755,C5731,C5707,C5683)/POBLA!$B$18*100000</f>
        <v>275.97965738072776</v>
      </c>
      <c r="H5995" s="256">
        <f t="shared" si="813"/>
        <v>9.2136752136752129</v>
      </c>
      <c r="I5995" s="297">
        <f t="shared" si="815"/>
        <v>2542.7869286873888</v>
      </c>
      <c r="J5995" s="297">
        <f t="shared" si="816"/>
        <v>167.14285714285714</v>
      </c>
      <c r="K5995" s="297">
        <f>J5995/POBLA!$B$18*100000</f>
        <v>21.395189447087958</v>
      </c>
      <c r="L5995" s="549">
        <f t="shared" si="814"/>
        <v>-0.18661257606490866</v>
      </c>
      <c r="M5995" s="401">
        <f>SUM(C5995,C5971,C5947,C5923,C5899,C5875,C5851)/POBLA!$B$18*100000</f>
        <v>149.76632612961572</v>
      </c>
    </row>
    <row r="5996" spans="1:13" s="360" customFormat="1" x14ac:dyDescent="0.25">
      <c r="A5996" s="367" t="s">
        <v>36</v>
      </c>
      <c r="B5996" s="34">
        <v>44142</v>
      </c>
      <c r="C5996" s="1">
        <v>153</v>
      </c>
      <c r="D5996" s="39">
        <f t="shared" si="812"/>
        <v>9017</v>
      </c>
      <c r="E5996" s="1"/>
      <c r="F5996" s="409">
        <f t="shared" si="817"/>
        <v>121</v>
      </c>
      <c r="G5996" s="168">
        <f>SUM(C5996,C5972,C5948,C5924,C5900,C5876,C5852,C5828,C5804,C5780,C5756,C5732,C5708,C5684)/POBLA!$B$19*100000</f>
        <v>730.23716970145267</v>
      </c>
      <c r="H5996" s="256">
        <f t="shared" si="813"/>
        <v>1.2001293242806337</v>
      </c>
      <c r="I5996" s="297">
        <f t="shared" si="815"/>
        <v>876.37904103840685</v>
      </c>
      <c r="J5996" s="297">
        <f t="shared" si="816"/>
        <v>290.85714285714283</v>
      </c>
      <c r="K5996" s="297">
        <f>J5996/POBLA!$B$19*100000</f>
        <v>57.218398919033149</v>
      </c>
      <c r="L5996" s="549">
        <f t="shared" si="814"/>
        <v>-0.21479713603818618</v>
      </c>
      <c r="M5996" s="401">
        <f>SUM(C5996,C5972,C5948,C5924,C5900,C5876,C5852)/POBLA!$B$19*100000</f>
        <v>400.52879243323207</v>
      </c>
    </row>
    <row r="5997" spans="1:13" s="360" customFormat="1" x14ac:dyDescent="0.25">
      <c r="A5997" s="367" t="s">
        <v>37</v>
      </c>
      <c r="B5997" s="34">
        <v>44142</v>
      </c>
      <c r="C5997" s="1">
        <v>169</v>
      </c>
      <c r="D5997" s="39">
        <f t="shared" si="812"/>
        <v>10910</v>
      </c>
      <c r="E5997" s="1">
        <f>1</f>
        <v>1</v>
      </c>
      <c r="F5997" s="409">
        <f t="shared" si="817"/>
        <v>164</v>
      </c>
      <c r="G5997" s="168">
        <f>SUM(C5997,C5973,C5949,C5925,C5901,C5877,C5853,C5829,C5805,C5781,C5757,C5733,C5709,C5685)/POBLA!$B$20*100000</f>
        <v>716.16470420948428</v>
      </c>
      <c r="H5997" s="256">
        <f t="shared" si="813"/>
        <v>1.2591346153846155</v>
      </c>
      <c r="I5997" s="297">
        <f t="shared" si="815"/>
        <v>901.7477693868459</v>
      </c>
      <c r="J5997" s="297">
        <f t="shared" si="816"/>
        <v>200.28571428571428</v>
      </c>
      <c r="K5997" s="297">
        <f>J5997/POBLA!$B$20*100000</f>
        <v>54.768063890345111</v>
      </c>
      <c r="L5997" s="549">
        <f t="shared" si="814"/>
        <v>-0.15201314708299085</v>
      </c>
      <c r="M5997" s="401">
        <f>SUM(C5997,C5973,C5949,C5925,C5901,C5877,C5853)/POBLA!$B$20*100000</f>
        <v>383.37644723241579</v>
      </c>
    </row>
    <row r="5998" spans="1:13" s="360" customFormat="1" x14ac:dyDescent="0.25">
      <c r="A5998" s="367" t="s">
        <v>22</v>
      </c>
      <c r="B5998" s="34">
        <v>44142</v>
      </c>
      <c r="C5998" s="1">
        <v>1328</v>
      </c>
      <c r="D5998" s="39">
        <f t="shared" si="812"/>
        <v>117423</v>
      </c>
      <c r="E5998" s="1">
        <f>20+6</f>
        <v>26</v>
      </c>
      <c r="F5998" s="409">
        <f t="shared" si="817"/>
        <v>1628</v>
      </c>
      <c r="G5998" s="168">
        <f>SUM(C5998,C5974,C5950,C5926,C5902,C5878,C5854,C5830,C5806,C5782,C5758,C5734,C5710,C5686)/POBLA!$B$21*100000</f>
        <v>687.75806479890105</v>
      </c>
      <c r="H5998" s="256">
        <f t="shared" si="813"/>
        <v>0.76607137232668743</v>
      </c>
      <c r="I5998" s="297">
        <f t="shared" si="815"/>
        <v>526.87176452924098</v>
      </c>
      <c r="J5998" s="297">
        <f t="shared" si="816"/>
        <v>1582.1428571428571</v>
      </c>
      <c r="K5998" s="297">
        <f>J5998/POBLA!$B$21*100000</f>
        <v>44.738570416247661</v>
      </c>
      <c r="L5998" s="549">
        <f t="shared" si="814"/>
        <v>0.16396165169472332</v>
      </c>
      <c r="M5998" s="401">
        <f>SUM(C5998,C5974,C5950,C5926,C5902,C5878,C5854)/POBLA!$B$21*100000</f>
        <v>313.16999291373361</v>
      </c>
    </row>
    <row r="5999" spans="1:13" s="360" customFormat="1" x14ac:dyDescent="0.25">
      <c r="A5999" s="367" t="s">
        <v>38</v>
      </c>
      <c r="B5999" s="34">
        <v>44142</v>
      </c>
      <c r="C5999" s="1">
        <v>226</v>
      </c>
      <c r="D5999" s="39">
        <f t="shared" si="812"/>
        <v>11156</v>
      </c>
      <c r="E5999" s="1">
        <f>1</f>
        <v>1</v>
      </c>
      <c r="F5999" s="409">
        <f t="shared" si="817"/>
        <v>142</v>
      </c>
      <c r="G5999" s="168">
        <f>SUM(C5999,C5975,C5951,C5927,C5903,C5879,C5855,C5831,C5807,C5783,C5759,C5735,C5711,C5687)/POBLA!$B$22*100000</f>
        <v>310.02347919326428</v>
      </c>
      <c r="H5999" s="256">
        <f t="shared" si="813"/>
        <v>0.8094475580464372</v>
      </c>
      <c r="I5999" s="297">
        <f t="shared" si="815"/>
        <v>250.94774817004821</v>
      </c>
      <c r="J5999" s="297">
        <f t="shared" si="816"/>
        <v>193.85714285714286</v>
      </c>
      <c r="K5999" s="297">
        <f>J5999/POBLA!$B$22*100000</f>
        <v>19.815451993088395</v>
      </c>
      <c r="L5999" s="549">
        <f t="shared" si="814"/>
        <v>0.19033412887828161</v>
      </c>
      <c r="M5999" s="401">
        <f>SUM(C5999,C5975,C5951,C5927,C5903,C5879,C5855)/POBLA!$B$22*100000</f>
        <v>138.70816395161876</v>
      </c>
    </row>
    <row r="6000" spans="1:13" s="360" customFormat="1" x14ac:dyDescent="0.25">
      <c r="A6000" s="367" t="s">
        <v>39</v>
      </c>
      <c r="B6000" s="34">
        <v>44142</v>
      </c>
      <c r="C6000" s="1">
        <v>201</v>
      </c>
      <c r="D6000" s="39">
        <f t="shared" si="812"/>
        <v>12958</v>
      </c>
      <c r="E6000" s="1">
        <f>3</f>
        <v>3</v>
      </c>
      <c r="F6000" s="409">
        <f t="shared" si="817"/>
        <v>166</v>
      </c>
      <c r="G6000" s="168">
        <f>SUM(C6000,C5976,C5952,C5928,C5904,C5880,C5856,C5832,C5808,C5784,C5760,C5736,C5712,C5688)/POBLA!$B$23*100000</f>
        <v>1780.8064242492787</v>
      </c>
      <c r="H6000" s="256">
        <f t="shared" si="813"/>
        <v>0.87181616832779618</v>
      </c>
      <c r="I6000" s="297">
        <f t="shared" si="815"/>
        <v>1552.5358333225299</v>
      </c>
      <c r="J6000" s="297">
        <f t="shared" si="816"/>
        <v>226</v>
      </c>
      <c r="K6000" s="297">
        <f>J6000/POBLA!$B$23*100000</f>
        <v>127.80636769778883</v>
      </c>
      <c r="L6000" s="549">
        <f t="shared" si="814"/>
        <v>-9.5724313975749098E-3</v>
      </c>
      <c r="M6000" s="401">
        <f>SUM(C6000,C5976,C5952,C5928,C5904,C5880,C5856)/POBLA!$B$23*100000</f>
        <v>894.64457388452183</v>
      </c>
    </row>
    <row r="6001" spans="1:13" s="360" customFormat="1" ht="15.75" thickBot="1" x14ac:dyDescent="0.3">
      <c r="A6001" s="368" t="s">
        <v>40</v>
      </c>
      <c r="B6001" s="34">
        <v>44142</v>
      </c>
      <c r="C6001" s="1">
        <v>364</v>
      </c>
      <c r="D6001" s="67">
        <f>C6001+D5977</f>
        <v>54454</v>
      </c>
      <c r="E6001" s="1">
        <f>7+3</f>
        <v>10</v>
      </c>
      <c r="F6001" s="477">
        <f t="shared" si="817"/>
        <v>885</v>
      </c>
      <c r="G6001" s="177">
        <f>SUM(C6001,C5977,C5953,C5929,C5905,C5881,C5857,C5833,C5809,C5785,C5761,C5737,C5713,C5689)/POBLA!$B$24*100000</f>
        <v>701.32227425507006</v>
      </c>
      <c r="H6001" s="402">
        <f t="shared" si="813"/>
        <v>0.70714583209377047</v>
      </c>
      <c r="I6001" s="403">
        <f t="shared" si="815"/>
        <v>495.93712319399702</v>
      </c>
      <c r="J6001" s="403">
        <f t="shared" si="816"/>
        <v>704.42857142857144</v>
      </c>
      <c r="K6001" s="403">
        <f>J6001/POBLA!$B$24*100000</f>
        <v>41.567643901096829</v>
      </c>
      <c r="L6001" s="550">
        <f t="shared" si="814"/>
        <v>0.2909117054932413</v>
      </c>
      <c r="M6001" s="405">
        <f>SUM(C6001,C5977,C5953,C5929,C5905,C5881,C5857)/POBLA!$B$24*100000</f>
        <v>290.97350730767778</v>
      </c>
    </row>
    <row r="6002" spans="1:13" s="360" customFormat="1" x14ac:dyDescent="0.25">
      <c r="A6002" s="363" t="s">
        <v>16</v>
      </c>
      <c r="B6002" s="34">
        <v>44143</v>
      </c>
      <c r="C6002" s="1">
        <v>1309</v>
      </c>
      <c r="D6002" s="174">
        <f t="shared" si="812"/>
        <v>570497</v>
      </c>
      <c r="E6002" s="1">
        <v>72</v>
      </c>
      <c r="F6002" s="475">
        <f t="shared" si="817"/>
        <v>18653</v>
      </c>
      <c r="G6002" s="175">
        <f>SUM(C6002,C5978,C5954,C5930,C5906,C5882,C5858,C5834,C5810,C5786,C5762,C5738,C5714,C5690)/POBLA!$B$1*100000</f>
        <v>246.14704368433044</v>
      </c>
      <c r="H6002" s="300">
        <f t="shared" si="813"/>
        <v>0.73320540687406599</v>
      </c>
      <c r="I6002" s="301">
        <f>G6002*H6002</f>
        <v>180.47634331541801</v>
      </c>
      <c r="J6002" s="301">
        <f>AVERAGE(C6002,C5978,C5954,C5930,C5906,C5882,C5858)</f>
        <v>2794</v>
      </c>
      <c r="K6002" s="301">
        <f>J6002/POBLA!$B$1*100000</f>
        <v>15.92826829223937</v>
      </c>
      <c r="L6002" s="548">
        <f t="shared" si="814"/>
        <v>0.17193784664888434</v>
      </c>
      <c r="M6002" s="400">
        <f>SUM(C6002,C5978,C5954,C5930,C5906,C5882,C5858)/POBLA!$B$1*100000</f>
        <v>111.49787804567558</v>
      </c>
    </row>
    <row r="6003" spans="1:13" s="360" customFormat="1" x14ac:dyDescent="0.25">
      <c r="A6003" s="367" t="s">
        <v>43</v>
      </c>
      <c r="B6003" s="34">
        <v>44143</v>
      </c>
      <c r="C6003" s="1">
        <v>245</v>
      </c>
      <c r="D6003" s="39">
        <f t="shared" si="812"/>
        <v>150576</v>
      </c>
      <c r="E6003" s="1">
        <f>11+4</f>
        <v>15</v>
      </c>
      <c r="F6003" s="409">
        <f t="shared" si="817"/>
        <v>4982</v>
      </c>
      <c r="G6003" s="168">
        <f>SUM(C6003,C5979,C5955,C5931,C5907,C5883,C5859,C5835,C5811,C5787,C5763,C5739,C5715,C5691)/POBLA!$B$2*100000</f>
        <v>214.1338762653439</v>
      </c>
      <c r="H6003" s="256">
        <f t="shared" si="813"/>
        <v>0.73194043120693486</v>
      </c>
      <c r="I6003" s="297">
        <f t="shared" ref="I6003:I6025" si="818">G6003*H6003</f>
        <v>156.73324172966824</v>
      </c>
      <c r="J6003" s="297">
        <f t="shared" ref="J6003:J6025" si="819">AVERAGE(C6003,C5979,C5955,C5931,C5907,C5883,C5859)</f>
        <v>445.28571428571428</v>
      </c>
      <c r="K6003" s="297">
        <f>J6003/POBLA!$B$2*100000</f>
        <v>14.47779472298549</v>
      </c>
      <c r="L6003" s="549">
        <f t="shared" si="814"/>
        <v>0.10147016431248201</v>
      </c>
      <c r="M6003" s="401">
        <f>SUM(C6003,C5979,C5955,C5931,C5907,C5883,C5859)/POBLA!$B$2*100000</f>
        <v>101.34456306089842</v>
      </c>
    </row>
    <row r="6004" spans="1:13" s="360" customFormat="1" x14ac:dyDescent="0.25">
      <c r="A6004" s="367" t="s">
        <v>28</v>
      </c>
      <c r="B6004" s="34">
        <v>44143</v>
      </c>
      <c r="C6004" s="1">
        <v>15</v>
      </c>
      <c r="D6004" s="39">
        <f t="shared" si="812"/>
        <v>1179</v>
      </c>
      <c r="E6004" s="1"/>
      <c r="F6004" s="409">
        <f t="shared" si="817"/>
        <v>2</v>
      </c>
      <c r="G6004" s="168">
        <f>SUM(C6004,C5980,C5956,C5932,C5908,C5884,C5860,C5836,C5812,C5788,C5764,C5740,C5716,C5692)/POBLA!$B$3*100000</f>
        <v>131.90897318011352</v>
      </c>
      <c r="H6004" s="256">
        <f t="shared" si="813"/>
        <v>2.1490196078431372</v>
      </c>
      <c r="I6004" s="297">
        <f t="shared" si="818"/>
        <v>283.47496981451843</v>
      </c>
      <c r="J6004" s="297">
        <f t="shared" si="819"/>
        <v>34.857142857142854</v>
      </c>
      <c r="K6004" s="297">
        <f>J6004/POBLA!$B$3*100000</f>
        <v>8.3904560625515376</v>
      </c>
      <c r="L6004" s="549">
        <f t="shared" si="814"/>
        <v>0.19736842105263153</v>
      </c>
      <c r="M6004" s="401">
        <f>SUM(C6004,C5980,C5956,C5932,C5908,C5884,C5860)/POBLA!$B$3*100000</f>
        <v>58.733192437860758</v>
      </c>
    </row>
    <row r="6005" spans="1:13" s="360" customFormat="1" x14ac:dyDescent="0.25">
      <c r="A6005" s="367" t="s">
        <v>15</v>
      </c>
      <c r="B6005" s="34">
        <v>44143</v>
      </c>
      <c r="C6005" s="1">
        <v>122</v>
      </c>
      <c r="D6005" s="39">
        <f t="shared" si="812"/>
        <v>15038</v>
      </c>
      <c r="E6005" s="1">
        <f>1</f>
        <v>1</v>
      </c>
      <c r="F6005" s="409">
        <f t="shared" si="817"/>
        <v>465</v>
      </c>
      <c r="G6005" s="168">
        <f>SUM(C6005,C5981,C5957,C5933,C5909,C5885,C5861,C5837,C5813,C5789,C5765,C5741,C5717,C5693)/POBLA!$B$4*100000</f>
        <v>161.72135278085179</v>
      </c>
      <c r="H6005" s="256">
        <f t="shared" si="813"/>
        <v>0.71696724328303274</v>
      </c>
      <c r="I6005" s="297">
        <f t="shared" si="818"/>
        <v>115.94891248329013</v>
      </c>
      <c r="J6005" s="297">
        <f t="shared" si="819"/>
        <v>121</v>
      </c>
      <c r="K6005" s="297">
        <f>J6005/POBLA!$B$4*100000</f>
        <v>10.04532016759911</v>
      </c>
      <c r="L6005" s="549">
        <f t="shared" si="814"/>
        <v>0.23069936421435056</v>
      </c>
      <c r="M6005" s="401">
        <f>SUM(C6005,C5981,C5957,C5933,C5909,C5885,C5861)/POBLA!$B$4*100000</f>
        <v>70.317241173193779</v>
      </c>
    </row>
    <row r="6006" spans="1:13" s="360" customFormat="1" x14ac:dyDescent="0.25">
      <c r="A6006" s="367" t="s">
        <v>29</v>
      </c>
      <c r="B6006" s="34">
        <v>44143</v>
      </c>
      <c r="C6006" s="1">
        <v>119</v>
      </c>
      <c r="D6006" s="39">
        <f t="shared" si="812"/>
        <v>16895</v>
      </c>
      <c r="E6006" s="1"/>
      <c r="F6006" s="409">
        <f t="shared" si="817"/>
        <v>276</v>
      </c>
      <c r="G6006" s="168">
        <f>SUM(C6006,C5982,C5958,C5934,C5910,C5886,C5862,C5838,C5814,C5790,C5766,C5742,C5718,C5694)/POBLA!$B$5*100000</f>
        <v>720.20084201139264</v>
      </c>
      <c r="H6006" s="256">
        <f t="shared" si="813"/>
        <v>0.82023919043238269</v>
      </c>
      <c r="I6006" s="297">
        <f t="shared" si="818"/>
        <v>590.73695560014505</v>
      </c>
      <c r="J6006" s="297">
        <f t="shared" si="819"/>
        <v>345.71428571428572</v>
      </c>
      <c r="K6006" s="297">
        <f>J6006/POBLA!$B$5*100000</f>
        <v>55.850991401255214</v>
      </c>
      <c r="L6006" s="549">
        <f t="shared" si="814"/>
        <v>-0.18743866535819431</v>
      </c>
      <c r="M6006" s="401">
        <f>SUM(C6006,C5982,C5958,C5934,C5910,C5886,C5862)/POBLA!$B$5*100000</f>
        <v>390.95693980878656</v>
      </c>
    </row>
    <row r="6007" spans="1:13" s="360" customFormat="1" x14ac:dyDescent="0.25">
      <c r="A6007" s="367" t="s">
        <v>20</v>
      </c>
      <c r="B6007" s="34">
        <v>44143</v>
      </c>
      <c r="C6007" s="1">
        <v>775</v>
      </c>
      <c r="D6007" s="39">
        <f t="shared" si="812"/>
        <v>93579</v>
      </c>
      <c r="E6007" s="1">
        <f>18+5</f>
        <v>23</v>
      </c>
      <c r="F6007" s="409">
        <f t="shared" si="817"/>
        <v>1476</v>
      </c>
      <c r="G6007" s="168">
        <f>SUM(C6007,C5983,C5959,C5935,C5911,C5887,C5863,C5839,C5815,C5791,C5767,C5743,C5719,C5695)/POBLA!$B$6*100000</f>
        <v>1568.8779720931727</v>
      </c>
      <c r="H6007" s="256">
        <f t="shared" si="813"/>
        <v>0.72727272727272729</v>
      </c>
      <c r="I6007" s="297">
        <f t="shared" si="818"/>
        <v>1141.0021615223075</v>
      </c>
      <c r="J6007" s="297">
        <f t="shared" si="819"/>
        <v>1037.2857142857142</v>
      </c>
      <c r="K6007" s="297">
        <f>J6007/POBLA!$B$6*100000</f>
        <v>92.548607137726876</v>
      </c>
      <c r="L6007" s="549">
        <f t="shared" si="814"/>
        <v>0.29661919984500629</v>
      </c>
      <c r="M6007" s="401">
        <f>SUM(C6007,C5983,C5959,C5935,C5911,C5887,C5863)/POBLA!$B$6*100000</f>
        <v>647.84024996408823</v>
      </c>
    </row>
    <row r="6008" spans="1:13" s="360" customFormat="1" x14ac:dyDescent="0.25">
      <c r="A6008" s="367" t="s">
        <v>30</v>
      </c>
      <c r="B6008" s="34">
        <v>44143</v>
      </c>
      <c r="C6008" s="1">
        <v>77</v>
      </c>
      <c r="D6008" s="39">
        <f t="shared" si="812"/>
        <v>2910</v>
      </c>
      <c r="E6008" s="1">
        <f>1</f>
        <v>1</v>
      </c>
      <c r="F6008" s="409">
        <f t="shared" si="817"/>
        <v>57</v>
      </c>
      <c r="G6008" s="168">
        <f>SUM(C6008,C5984,C5960,C5936,C5912,C5888,C5864,C5840,C5816,C5792,C5768,C5744,C5720,C5696)/POBLA!$B$7*100000</f>
        <v>17.045832280711085</v>
      </c>
      <c r="H6008" s="256">
        <f t="shared" si="813"/>
        <v>0.9002808988764045</v>
      </c>
      <c r="I6008" s="297">
        <f t="shared" si="818"/>
        <v>15.346037207775009</v>
      </c>
      <c r="J6008" s="297">
        <f t="shared" si="819"/>
        <v>51</v>
      </c>
      <c r="K6008" s="297">
        <f>J6008/POBLA!$B$7*100000</f>
        <v>1.3562206650799771</v>
      </c>
      <c r="L6008" s="549">
        <f t="shared" si="814"/>
        <v>-0.25704225352112675</v>
      </c>
      <c r="M6008" s="401">
        <f>SUM(C6008,C5984,C5960,C5936,C5912,C5888,C5864)/POBLA!$B$7*100000</f>
        <v>9.4935446555598411</v>
      </c>
    </row>
    <row r="6009" spans="1:13" x14ac:dyDescent="0.25">
      <c r="A6009" s="367" t="s">
        <v>31</v>
      </c>
      <c r="B6009" s="34">
        <v>44143</v>
      </c>
      <c r="C6009" s="1">
        <v>187</v>
      </c>
      <c r="D6009" s="39">
        <f t="shared" si="812"/>
        <v>18104</v>
      </c>
      <c r="E6009" s="1">
        <f>2+1</f>
        <v>3</v>
      </c>
      <c r="F6009" s="409">
        <f t="shared" si="817"/>
        <v>328</v>
      </c>
      <c r="G6009" s="168">
        <f>SUM(C6009,C5985,C5961,C5937,C5913,C5889,C5865,C5841,C5817,C5793,C5769,C5745,C5721,C5697)/POBLA!$B$8*100000</f>
        <v>300.44135441040549</v>
      </c>
      <c r="H6009" s="256">
        <f t="shared" si="813"/>
        <v>0.91516483516483516</v>
      </c>
      <c r="I6009" s="297">
        <f t="shared" si="818"/>
        <v>274.95336258569859</v>
      </c>
      <c r="J6009" s="297">
        <f t="shared" si="819"/>
        <v>272.71428571428572</v>
      </c>
      <c r="K6009" s="297">
        <f>J6009/POBLA!$B$8*100000</f>
        <v>19.676909069900649</v>
      </c>
      <c r="L6009" s="549">
        <f t="shared" si="814"/>
        <v>0.15343680709534369</v>
      </c>
      <c r="M6009" s="401">
        <f>SUM(C6009,C5985,C5961,C5937,C5913,C5889,C5865)/POBLA!$B$8*100000</f>
        <v>137.73836348930453</v>
      </c>
    </row>
    <row r="6010" spans="1:13" s="360" customFormat="1" x14ac:dyDescent="0.25">
      <c r="A6010" s="367" t="s">
        <v>41</v>
      </c>
      <c r="B6010" s="34">
        <v>44143</v>
      </c>
      <c r="C6010" s="1">
        <v>0</v>
      </c>
      <c r="D6010" s="39">
        <f t="shared" si="812"/>
        <v>162</v>
      </c>
      <c r="E6010" s="1"/>
      <c r="F6010" s="409">
        <f t="shared" si="817"/>
        <v>3</v>
      </c>
      <c r="G6010" s="168">
        <f>SUM(C6010,C5986,C5962,C5938,C5914,C5890,C5866,C5842,C5818,C5794,C5770,C5746,C5722,C5698)/POBLA!$B$9*100000</f>
        <v>3.1394943431269033</v>
      </c>
      <c r="H6010" s="256">
        <f t="shared" si="813"/>
        <v>1.2666666666666666</v>
      </c>
      <c r="I6010" s="297">
        <f t="shared" si="818"/>
        <v>3.9766928346274106</v>
      </c>
      <c r="J6010" s="297">
        <f t="shared" si="819"/>
        <v>1.5714285714285714</v>
      </c>
      <c r="K6010" s="297">
        <f>J6010/POBLA!$B$9*100000</f>
        <v>0.25965742687515742</v>
      </c>
      <c r="L6010" s="549">
        <f t="shared" si="814"/>
        <v>-0.375</v>
      </c>
      <c r="M6010" s="401">
        <f>SUM(C6010,C5986,C5962,C5938,C5914,C5890,C5866)/POBLA!$B$9*100000</f>
        <v>1.8176019881261019</v>
      </c>
    </row>
    <row r="6011" spans="1:13" s="360" customFormat="1" x14ac:dyDescent="0.25">
      <c r="A6011" s="367" t="s">
        <v>32</v>
      </c>
      <c r="B6011" s="34">
        <v>44143</v>
      </c>
      <c r="C6011" s="1">
        <v>12</v>
      </c>
      <c r="D6011" s="39">
        <f t="shared" si="812"/>
        <v>18025</v>
      </c>
      <c r="E6011" s="1"/>
      <c r="F6011" s="409">
        <f t="shared" si="817"/>
        <v>825</v>
      </c>
      <c r="G6011" s="168">
        <f>SUM(C6011,C5987,C5963,C5939,C5915,C5891,C5867,C5843,C5819,C5795,C5771,C5747,C5723,C5699)/POBLA!$B$10*100000</f>
        <v>53.315621996131696</v>
      </c>
      <c r="H6011" s="256">
        <f t="shared" si="813"/>
        <v>0.46493212669683259</v>
      </c>
      <c r="I6011" s="297">
        <f t="shared" si="818"/>
        <v>24.788145520825935</v>
      </c>
      <c r="J6011" s="297">
        <f t="shared" si="819"/>
        <v>20.142857142857142</v>
      </c>
      <c r="K6011" s="297">
        <f>J6011/POBLA!$B$10*100000</f>
        <v>2.6129658329699583</v>
      </c>
      <c r="L6011" s="549">
        <f t="shared" si="814"/>
        <v>0.47777777777777775</v>
      </c>
      <c r="M6011" s="401">
        <f>SUM(C6011,C5987,C5963,C5939,C5915,C5891,C5867)/POBLA!$B$10*100000</f>
        <v>18.290760830789704</v>
      </c>
    </row>
    <row r="6012" spans="1:13" s="360" customFormat="1" x14ac:dyDescent="0.25">
      <c r="A6012" s="367" t="s">
        <v>33</v>
      </c>
      <c r="B6012" s="34">
        <v>44143</v>
      </c>
      <c r="C6012" s="1">
        <v>99</v>
      </c>
      <c r="D6012" s="39">
        <f t="shared" si="812"/>
        <v>4121</v>
      </c>
      <c r="E6012" s="1">
        <f>3+2</f>
        <v>5</v>
      </c>
      <c r="F6012" s="409">
        <f t="shared" si="817"/>
        <v>41</v>
      </c>
      <c r="G6012" s="168">
        <f>SUM(C6012,C5988,C5964,C5940,C5916,C5892,C5868,C5844,C5820,C5796,C5772,C5748,C5724,C5700)/POBLA!$B$11*100000</f>
        <v>464.52844085841502</v>
      </c>
      <c r="H6012" s="256">
        <f t="shared" si="813"/>
        <v>1.2012987012987013</v>
      </c>
      <c r="I6012" s="297">
        <f t="shared" si="818"/>
        <v>558.03741271952458</v>
      </c>
      <c r="J6012" s="297">
        <f t="shared" si="819"/>
        <v>108.57142857142857</v>
      </c>
      <c r="K6012" s="297">
        <f>J6012/POBLA!$B$11*100000</f>
        <v>30.291000862496389</v>
      </c>
      <c r="L6012" s="549">
        <f t="shared" si="814"/>
        <v>0.16022099447513816</v>
      </c>
      <c r="M6012" s="401">
        <f>SUM(C6012,C5988,C5964,C5940,C5916,C5892,C5868)/POBLA!$B$11*100000</f>
        <v>212.03700603747475</v>
      </c>
    </row>
    <row r="6013" spans="1:13" s="360" customFormat="1" x14ac:dyDescent="0.25">
      <c r="A6013" s="367" t="s">
        <v>21</v>
      </c>
      <c r="B6013" s="34">
        <v>44143</v>
      </c>
      <c r="C6013" s="1">
        <v>55</v>
      </c>
      <c r="D6013" s="39">
        <f t="shared" si="812"/>
        <v>7849</v>
      </c>
      <c r="E6013" s="1">
        <f>3</f>
        <v>3</v>
      </c>
      <c r="F6013" s="409">
        <f t="shared" si="817"/>
        <v>292</v>
      </c>
      <c r="G6013" s="168">
        <f>SUM(C6013,C5989,C5965,C5941,C5917,C5893,C5869,C5845,C5821,C5797,C5773,C5749,C5725,C5701)/POBLA!$B$12*100000</f>
        <v>184.22945079294897</v>
      </c>
      <c r="H6013" s="256">
        <f t="shared" si="813"/>
        <v>0.55941358024691357</v>
      </c>
      <c r="I6013" s="297">
        <f t="shared" si="818"/>
        <v>103.06045665500618</v>
      </c>
      <c r="J6013" s="297">
        <f t="shared" si="819"/>
        <v>35</v>
      </c>
      <c r="K6013" s="297">
        <f>J6013/POBLA!$B$12*100000</f>
        <v>8.8938355555216742</v>
      </c>
      <c r="L6013" s="549">
        <f t="shared" si="814"/>
        <v>0.48958333333333337</v>
      </c>
      <c r="M6013" s="401">
        <f>SUM(C6013,C5989,C5965,C5941,C5917,C5893,C5869)/POBLA!$B$12*100000</f>
        <v>62.256848888651717</v>
      </c>
    </row>
    <row r="6014" spans="1:13" s="360" customFormat="1" x14ac:dyDescent="0.25">
      <c r="A6014" s="367" t="s">
        <v>17</v>
      </c>
      <c r="B6014" s="34">
        <v>44143</v>
      </c>
      <c r="C6014" s="1">
        <v>140</v>
      </c>
      <c r="D6014" s="39">
        <f t="shared" si="812"/>
        <v>50574</v>
      </c>
      <c r="E6014" s="1">
        <f>12+4</f>
        <v>16</v>
      </c>
      <c r="F6014" s="409">
        <f t="shared" si="817"/>
        <v>924</v>
      </c>
      <c r="G6014" s="168">
        <f>SUM(C6014,C5990,C5966,C5942,C5918,C5894,C5870,C5846,C5822,C5798,C5774,C5750,C5726,C5702)/POBLA!$B$13*100000</f>
        <v>383.10075977045102</v>
      </c>
      <c r="H6014" s="256">
        <f t="shared" si="813"/>
        <v>0.69864394355873194</v>
      </c>
      <c r="I6014" s="297">
        <f t="shared" si="818"/>
        <v>267.65102558637432</v>
      </c>
      <c r="J6014" s="297">
        <f t="shared" si="819"/>
        <v>470.57142857142856</v>
      </c>
      <c r="K6014" s="297">
        <f>J6014/POBLA!$B$13*100000</f>
        <v>23.64278974583355</v>
      </c>
      <c r="L6014" s="549">
        <f t="shared" si="814"/>
        <v>0.23943661971830987</v>
      </c>
      <c r="M6014" s="401">
        <f>SUM(C6014,C5990,C5966,C5942,C5918,C5894,C5870)/POBLA!$B$13*100000</f>
        <v>165.49952822083486</v>
      </c>
    </row>
    <row r="6015" spans="1:13" s="360" customFormat="1" x14ac:dyDescent="0.25">
      <c r="A6015" s="367" t="s">
        <v>23</v>
      </c>
      <c r="B6015" s="34">
        <v>44143</v>
      </c>
      <c r="C6015" s="1">
        <v>3</v>
      </c>
      <c r="D6015" s="39">
        <f t="shared" si="812"/>
        <v>333</v>
      </c>
      <c r="E6015" s="1"/>
      <c r="F6015" s="409">
        <f t="shared" si="817"/>
        <v>6</v>
      </c>
      <c r="G6015" s="168">
        <f>SUM(C6015,C5991,C5967,C5943,C5919,C5895,C5871,C5847,C5823,C5799,C5775,C5751,C5727,C5703)/POBLA!$B$14*100000</f>
        <v>9.1969041317884646</v>
      </c>
      <c r="H6015" s="256">
        <f t="shared" si="813"/>
        <v>1.8412698412698412</v>
      </c>
      <c r="I6015" s="297">
        <f t="shared" si="818"/>
        <v>16.933982210912092</v>
      </c>
      <c r="J6015" s="297">
        <f t="shared" si="819"/>
        <v>7.8571428571428568</v>
      </c>
      <c r="K6015" s="297">
        <f>J6015/POBLA!$B$14*100000</f>
        <v>0.62294301385266693</v>
      </c>
      <c r="L6015" s="549">
        <f t="shared" si="814"/>
        <v>9.8360655737704916E-2</v>
      </c>
      <c r="M6015" s="401">
        <f>SUM(C6015,C5991,C5967,C5943,C5919,C5895,C5871)/POBLA!$B$14*100000</f>
        <v>4.3606010969686686</v>
      </c>
    </row>
    <row r="6016" spans="1:13" s="360" customFormat="1" x14ac:dyDescent="0.25">
      <c r="A6016" s="367" t="s">
        <v>19</v>
      </c>
      <c r="B6016" s="34">
        <v>44143</v>
      </c>
      <c r="C6016" s="1">
        <v>154</v>
      </c>
      <c r="D6016" s="39">
        <f t="shared" si="812"/>
        <v>25254</v>
      </c>
      <c r="E6016" s="1"/>
      <c r="F6016" s="409">
        <f t="shared" si="817"/>
        <v>422</v>
      </c>
      <c r="G6016" s="168">
        <f>SUM(C6016,C5992,C5968,C5944,C5920,C5896,C5872,C5848,C5824,C5800,C5776,C5752,C5728,C5704)/POBLA!$B$15*100000</f>
        <v>884.11085192987957</v>
      </c>
      <c r="H6016" s="256">
        <f t="shared" si="813"/>
        <v>0.80890052356020947</v>
      </c>
      <c r="I6016" s="297">
        <f t="shared" si="818"/>
        <v>715.15773101134243</v>
      </c>
      <c r="J6016" s="297">
        <f t="shared" si="819"/>
        <v>394.28571428571428</v>
      </c>
      <c r="K6016" s="297">
        <f>J6016/POBLA!$B$15*100000</f>
        <v>59.375281683005262</v>
      </c>
      <c r="L6016" s="549">
        <f t="shared" si="814"/>
        <v>0.11282545805207334</v>
      </c>
      <c r="M6016" s="401">
        <f>SUM(C6016,C5992,C5968,C5944,C5920,C5896,C5872)/POBLA!$B$15*100000</f>
        <v>415.6269717810369</v>
      </c>
    </row>
    <row r="6017" spans="1:13" s="360" customFormat="1" x14ac:dyDescent="0.25">
      <c r="A6017" s="367" t="s">
        <v>18</v>
      </c>
      <c r="B6017" s="34">
        <v>44143</v>
      </c>
      <c r="C6017" s="1">
        <v>126</v>
      </c>
      <c r="D6017" s="39">
        <f t="shared" si="812"/>
        <v>26229</v>
      </c>
      <c r="E6017" s="1">
        <f>1+1</f>
        <v>2</v>
      </c>
      <c r="F6017" s="409">
        <f t="shared" si="817"/>
        <v>664</v>
      </c>
      <c r="G6017" s="168">
        <f>SUM(C6017,C5993,C5969,C5945,C5921,C5897,C5873,C5849,C5825,C5801,C5777,C5753,C5729,C5705)/POBLA!$B$16*100000</f>
        <v>595.09637377777187</v>
      </c>
      <c r="H6017" s="256">
        <f t="shared" si="813"/>
        <v>0.84485377895936198</v>
      </c>
      <c r="I6017" s="297">
        <f t="shared" si="818"/>
        <v>502.76942023116351</v>
      </c>
      <c r="J6017" s="297">
        <f t="shared" si="819"/>
        <v>298.85714285714283</v>
      </c>
      <c r="K6017" s="297">
        <f>J6017/POBLA!$B$16*100000</f>
        <v>39.975006066952396</v>
      </c>
      <c r="L6017" s="549">
        <f t="shared" si="814"/>
        <v>0.11243105642766227</v>
      </c>
      <c r="M6017" s="401">
        <f>SUM(C6017,C5993,C5969,C5945,C5921,C5897,C5873)/POBLA!$B$16*100000</f>
        <v>279.82504246866682</v>
      </c>
    </row>
    <row r="6018" spans="1:13" s="360" customFormat="1" x14ac:dyDescent="0.25">
      <c r="A6018" s="367" t="s">
        <v>34</v>
      </c>
      <c r="B6018" s="34">
        <v>44143</v>
      </c>
      <c r="C6018" s="1">
        <v>36</v>
      </c>
      <c r="D6018" s="39">
        <f t="shared" si="812"/>
        <v>19546</v>
      </c>
      <c r="E6018" s="1">
        <f>25+5</f>
        <v>30</v>
      </c>
      <c r="F6018" s="409">
        <f t="shared" si="817"/>
        <v>881</v>
      </c>
      <c r="G6018" s="168">
        <f>SUM(C6018,C5994,C5970,C5946,C5922,C5898,C5874,C5850,C5826,C5802,C5778,C5754,C5730,C5706)/POBLA!$B$17*100000</f>
        <v>123.84187835273453</v>
      </c>
      <c r="H6018" s="256">
        <f t="shared" si="813"/>
        <v>0.66666666666666663</v>
      </c>
      <c r="I6018" s="297">
        <f t="shared" si="818"/>
        <v>82.561252235156346</v>
      </c>
      <c r="J6018" s="297">
        <f t="shared" si="819"/>
        <v>94.428571428571431</v>
      </c>
      <c r="K6018" s="297">
        <f>J6018/POBLA!$B$17*100000</f>
        <v>6.6293716870066017</v>
      </c>
      <c r="L6018" s="549">
        <f t="shared" si="814"/>
        <v>0.40072529465095197</v>
      </c>
      <c r="M6018" s="401">
        <f>SUM(C6018,C5994,C5970,C5946,C5922,C5898,C5874)/POBLA!$B$17*100000</f>
        <v>46.405601809046217</v>
      </c>
    </row>
    <row r="6019" spans="1:13" s="360" customFormat="1" x14ac:dyDescent="0.25">
      <c r="A6019" s="367" t="s">
        <v>35</v>
      </c>
      <c r="B6019" s="34">
        <v>44143</v>
      </c>
      <c r="C6019" s="1">
        <v>127</v>
      </c>
      <c r="D6019" s="39">
        <f t="shared" si="812"/>
        <v>3663</v>
      </c>
      <c r="E6019" s="1"/>
      <c r="F6019" s="409">
        <f t="shared" si="817"/>
        <v>102</v>
      </c>
      <c r="G6019" s="168">
        <f>SUM(C6019,C5995,C5971,C5947,C5923,C5899,C5875,C5851,C5827,C5803,C5779,C5755,C5731,C5707)/POBLA!$B$18*100000</f>
        <v>291.46831162148288</v>
      </c>
      <c r="H6019" s="256">
        <f t="shared" si="813"/>
        <v>12.510989010989011</v>
      </c>
      <c r="I6019" s="297">
        <f t="shared" si="818"/>
        <v>3646.5568437478928</v>
      </c>
      <c r="J6019" s="297">
        <f t="shared" si="819"/>
        <v>176.85714285714286</v>
      </c>
      <c r="K6019" s="297">
        <f>J6019/POBLA!$B$18*100000</f>
        <v>22.638670543158028</v>
      </c>
      <c r="L6019" s="549">
        <f t="shared" si="814"/>
        <v>-0.19153031761308958</v>
      </c>
      <c r="M6019" s="401">
        <f>SUM(C6019,C5995,C5971,C5947,C5923,C5899,C5875)/POBLA!$B$18*100000</f>
        <v>158.47069380210621</v>
      </c>
    </row>
    <row r="6020" spans="1:13" s="360" customFormat="1" x14ac:dyDescent="0.25">
      <c r="A6020" s="367" t="s">
        <v>36</v>
      </c>
      <c r="B6020" s="34">
        <v>44143</v>
      </c>
      <c r="C6020" s="1">
        <v>54</v>
      </c>
      <c r="D6020" s="39">
        <f t="shared" si="812"/>
        <v>9071</v>
      </c>
      <c r="E6020" s="1">
        <f>1</f>
        <v>1</v>
      </c>
      <c r="F6020" s="409">
        <f t="shared" si="817"/>
        <v>122</v>
      </c>
      <c r="G6020" s="168">
        <f>SUM(C6020,C5996,C5972,C5948,C5924,C5900,C5876,C5852,C5828,C5804,C5780,C5756,C5732,C5708)/POBLA!$B$19*100000</f>
        <v>703.87623739003163</v>
      </c>
      <c r="H6020" s="256">
        <f t="shared" si="813"/>
        <v>1.0972094449555352</v>
      </c>
      <c r="I6020" s="297">
        <f t="shared" si="818"/>
        <v>772.2996557441071</v>
      </c>
      <c r="J6020" s="297">
        <f t="shared" si="819"/>
        <v>263.14285714285717</v>
      </c>
      <c r="K6020" s="297">
        <f>J6020/POBLA!$B$19*100000</f>
        <v>51.766351084901316</v>
      </c>
      <c r="L6020" s="549">
        <f t="shared" si="814"/>
        <v>-6.1059907834101423E-2</v>
      </c>
      <c r="M6020" s="401">
        <f>SUM(C6020,C5996,C5972,C5948,C5924,C5900,C5876)/POBLA!$B$19*100000</f>
        <v>362.36445759430921</v>
      </c>
    </row>
    <row r="6021" spans="1:13" s="360" customFormat="1" x14ac:dyDescent="0.25">
      <c r="A6021" s="367" t="s">
        <v>37</v>
      </c>
      <c r="B6021" s="34">
        <v>44143</v>
      </c>
      <c r="C6021" s="1">
        <v>176</v>
      </c>
      <c r="D6021" s="39">
        <f t="shared" si="812"/>
        <v>11086</v>
      </c>
      <c r="E6021" s="1">
        <v>1</v>
      </c>
      <c r="F6021" s="409">
        <f t="shared" si="817"/>
        <v>165</v>
      </c>
      <c r="G6021" s="168">
        <f>SUM(C6021,C5997,C5973,C5949,C5925,C5901,C5877,C5853,C5829,C5805,C5781,C5757,C5733,C5709)/POBLA!$B$20*100000</f>
        <v>715.61780485537247</v>
      </c>
      <c r="H6021" s="256">
        <f t="shared" si="813"/>
        <v>1.2321092278719397</v>
      </c>
      <c r="I6021" s="297">
        <f t="shared" si="818"/>
        <v>881.71930099176541</v>
      </c>
      <c r="J6021" s="297">
        <f t="shared" si="819"/>
        <v>200.28571428571428</v>
      </c>
      <c r="K6021" s="297">
        <f>J6021/POBLA!$B$20*100000</f>
        <v>54.768063890345111</v>
      </c>
      <c r="L6021" s="549">
        <f t="shared" si="814"/>
        <v>-0.15390946502057612</v>
      </c>
      <c r="M6021" s="401">
        <f>SUM(C6021,C5997,C5973,C5949,C5925,C5901,C5877)/POBLA!$B$20*100000</f>
        <v>383.37644723241579</v>
      </c>
    </row>
    <row r="6022" spans="1:13" s="360" customFormat="1" x14ac:dyDescent="0.25">
      <c r="A6022" s="367" t="s">
        <v>22</v>
      </c>
      <c r="B6022" s="34">
        <v>44143</v>
      </c>
      <c r="C6022" s="1">
        <v>879</v>
      </c>
      <c r="D6022" s="39">
        <f t="shared" si="812"/>
        <v>118302</v>
      </c>
      <c r="E6022" s="1">
        <f>17+20</f>
        <v>37</v>
      </c>
      <c r="F6022" s="409">
        <f t="shared" si="817"/>
        <v>1665</v>
      </c>
      <c r="G6022" s="168">
        <f>SUM(C6022,C5998,C5974,C5950,C5926,C5902,C5878,C5854,C5830,C5806,C5782,C5758,C5734,C5710)/POBLA!$B$21*100000</f>
        <v>672.88425746051507</v>
      </c>
      <c r="H6022" s="256">
        <f t="shared" si="813"/>
        <v>0.75287119941785052</v>
      </c>
      <c r="I6022" s="297">
        <f t="shared" si="818"/>
        <v>506.59517798368773</v>
      </c>
      <c r="J6022" s="297">
        <f t="shared" si="819"/>
        <v>1540.5714285714287</v>
      </c>
      <c r="K6022" s="297">
        <f>J6022/POBLA!$B$21*100000</f>
        <v>43.563046805310584</v>
      </c>
      <c r="L6022" s="549">
        <f t="shared" si="814"/>
        <v>0.17122656009837078</v>
      </c>
      <c r="M6022" s="401">
        <f>SUM(C6022,C5998,C5974,C5950,C5926,C5902,C5878)/POBLA!$B$21*100000</f>
        <v>304.94132763717408</v>
      </c>
    </row>
    <row r="6023" spans="1:13" s="360" customFormat="1" x14ac:dyDescent="0.25">
      <c r="A6023" s="367" t="s">
        <v>38</v>
      </c>
      <c r="B6023" s="34">
        <v>44143</v>
      </c>
      <c r="C6023" s="1">
        <v>170</v>
      </c>
      <c r="D6023" s="39">
        <f t="shared" si="812"/>
        <v>11326</v>
      </c>
      <c r="E6023" s="1"/>
      <c r="F6023" s="409">
        <f t="shared" si="817"/>
        <v>142</v>
      </c>
      <c r="G6023" s="168">
        <f>SUM(C6023,C5999,C5975,C5951,C5927,C5903,C5879,C5855,C5831,C5807,C5783,C5759,C5735,C5711)/POBLA!$B$22*100000</f>
        <v>300.61953587451052</v>
      </c>
      <c r="H6023" s="256">
        <f t="shared" si="813"/>
        <v>0.82635571789828599</v>
      </c>
      <c r="I6023" s="297">
        <f t="shared" si="818"/>
        <v>248.41867238183067</v>
      </c>
      <c r="J6023" s="297">
        <f t="shared" si="819"/>
        <v>192.14285714285714</v>
      </c>
      <c r="K6023" s="297">
        <f>J6023/POBLA!$B$22*100000</f>
        <v>19.640223235596086</v>
      </c>
      <c r="L6023" s="549">
        <f t="shared" si="814"/>
        <v>0.15726817042606511</v>
      </c>
      <c r="M6023" s="401">
        <f>SUM(C6023,C5999,C5975,C5951,C5927,C5903,C5879)/POBLA!$B$22*100000</f>
        <v>137.48156264917262</v>
      </c>
    </row>
    <row r="6024" spans="1:13" s="360" customFormat="1" x14ac:dyDescent="0.25">
      <c r="A6024" s="367" t="s">
        <v>39</v>
      </c>
      <c r="B6024" s="34">
        <v>44143</v>
      </c>
      <c r="C6024" s="1">
        <v>178</v>
      </c>
      <c r="D6024" s="39">
        <f t="shared" si="812"/>
        <v>13136</v>
      </c>
      <c r="E6024" s="1"/>
      <c r="F6024" s="409">
        <f t="shared" si="817"/>
        <v>166</v>
      </c>
      <c r="G6024" s="168">
        <f>SUM(C6024,C6000,C5976,C5952,C5928,C5904,C5880,C5856,C5832,C5808,C5784,C5760,C5736,C5712)/POBLA!$B$23*100000</f>
        <v>1744.0479556636319</v>
      </c>
      <c r="H6024" s="256">
        <f t="shared" si="813"/>
        <v>0.85005512679162076</v>
      </c>
      <c r="I6024" s="297">
        <f t="shared" si="818"/>
        <v>1482.5369060823157</v>
      </c>
      <c r="J6024" s="297">
        <f t="shared" si="819"/>
        <v>222.14285714285714</v>
      </c>
      <c r="K6024" s="297">
        <f>J6024/POBLA!$B$23*100000</f>
        <v>125.62509593556362</v>
      </c>
      <c r="L6024" s="549">
        <f t="shared" si="814"/>
        <v>-1.7004578155657368E-2</v>
      </c>
      <c r="M6024" s="401">
        <f>SUM(C6024,C6000,C5976,C5952,C5928,C5904,C5880)/POBLA!$B$23*100000</f>
        <v>879.37567154894543</v>
      </c>
    </row>
    <row r="6025" spans="1:13" s="360" customFormat="1" ht="15.75" thickBot="1" x14ac:dyDescent="0.3">
      <c r="A6025" s="368" t="s">
        <v>40</v>
      </c>
      <c r="B6025" s="34">
        <v>44143</v>
      </c>
      <c r="C6025" s="1">
        <v>273</v>
      </c>
      <c r="D6025" s="67">
        <f>C6025+D6001</f>
        <v>54727</v>
      </c>
      <c r="E6025" s="1">
        <v>1</v>
      </c>
      <c r="F6025" s="477">
        <f t="shared" si="817"/>
        <v>886</v>
      </c>
      <c r="G6025" s="177">
        <f>SUM(C6025,C6001,C5977,C5953,C5929,C5905,C5881,C5857,C5833,C5809,C5785,C5761,C5737,C5713)/POBLA!$B$24*100000</f>
        <v>681.49524151214177</v>
      </c>
      <c r="H6025" s="402">
        <f t="shared" si="813"/>
        <v>0.69736127045468266</v>
      </c>
      <c r="I6025" s="403">
        <f t="shared" si="818"/>
        <v>475.24838742972798</v>
      </c>
      <c r="J6025" s="403">
        <f t="shared" si="819"/>
        <v>678.71428571428567</v>
      </c>
      <c r="K6025" s="403">
        <f>J6025/POBLA!$B$24*100000</f>
        <v>40.05026894628088</v>
      </c>
      <c r="L6025" s="550">
        <f t="shared" si="814"/>
        <v>0.30111797587525746</v>
      </c>
      <c r="M6025" s="405">
        <f>SUM(C6025,C6001,C5977,C5953,C5929,C5905,C5881)/POBLA!$B$24*100000</f>
        <v>280.35188262396616</v>
      </c>
    </row>
    <row r="6026" spans="1:13" s="360" customFormat="1" x14ac:dyDescent="0.25">
      <c r="A6026" s="363" t="s">
        <v>16</v>
      </c>
      <c r="B6026" s="34">
        <v>44144</v>
      </c>
      <c r="C6026" s="1">
        <v>2391</v>
      </c>
      <c r="D6026" s="174">
        <f t="shared" si="812"/>
        <v>572888</v>
      </c>
      <c r="E6026" s="1">
        <v>114</v>
      </c>
      <c r="F6026" s="475">
        <f t="shared" si="817"/>
        <v>18767</v>
      </c>
      <c r="G6026" s="175">
        <f>SUM(C6026,C6002,C5978,C5954,C5930,C5906,C5882,C5858,C5834,C5810,C5786,C5762,C5738,C5714)/POBLA!$B$1*100000</f>
        <v>238.71879258025459</v>
      </c>
      <c r="H6026" s="300">
        <f t="shared" si="813"/>
        <v>0.6937260814101821</v>
      </c>
      <c r="I6026" s="301">
        <f>G6026*H6026</f>
        <v>165.60545253567008</v>
      </c>
      <c r="J6026" s="301">
        <f>AVERAGE(C6026,C6002,C5978,C5954,C5930,C5906,C5882)</f>
        <v>2703.8571428571427</v>
      </c>
      <c r="K6026" s="301">
        <f>J6026/POBLA!$B$1*100000</f>
        <v>15.414374371981518</v>
      </c>
      <c r="L6026" s="548">
        <f t="shared" si="814"/>
        <v>0.1751862988625964</v>
      </c>
      <c r="M6026" s="400">
        <f>SUM(C6026,C6002,C5978,C5954,C5930,C5906,C5882)/POBLA!$B$1*100000</f>
        <v>107.90062060387065</v>
      </c>
    </row>
    <row r="6027" spans="1:13" s="360" customFormat="1" x14ac:dyDescent="0.25">
      <c r="A6027" s="367" t="s">
        <v>43</v>
      </c>
      <c r="B6027" s="34">
        <v>44144</v>
      </c>
      <c r="C6027" s="1">
        <v>401</v>
      </c>
      <c r="D6027" s="39">
        <f t="shared" si="812"/>
        <v>150977</v>
      </c>
      <c r="E6027" s="1">
        <v>14</v>
      </c>
      <c r="F6027" s="409">
        <f t="shared" si="817"/>
        <v>4996</v>
      </c>
      <c r="G6027" s="168">
        <f>SUM(C6027,C6003,C5979,C5955,C5931,C5907,C5883,C5859,C5835,C5811,C5787,C5763,C5739,C5715)/POBLA!$B$2*100000</f>
        <v>210.42733786658152</v>
      </c>
      <c r="H6027" s="256">
        <f t="shared" si="813"/>
        <v>0.71799423119591743</v>
      </c>
      <c r="I6027" s="297">
        <f t="shared" ref="I6027:I6049" si="820">G6027*H6027</f>
        <v>151.08561467411977</v>
      </c>
      <c r="J6027" s="297">
        <f t="shared" ref="J6027:J6049" si="821">AVERAGE(C6027,C6003,C5979,C5955,C5931,C5907,C5883)</f>
        <v>441.85714285714283</v>
      </c>
      <c r="K6027" s="297">
        <f>J6027/POBLA!$B$2*100000</f>
        <v>14.366319883924966</v>
      </c>
      <c r="L6027" s="549">
        <f t="shared" si="814"/>
        <v>8.4640426161586291E-2</v>
      </c>
      <c r="M6027" s="401">
        <f>SUM(C6027,C6003,C5979,C5955,C5931,C5907,C5883)/POBLA!$B$2*100000</f>
        <v>100.56423918747477</v>
      </c>
    </row>
    <row r="6028" spans="1:13" s="360" customFormat="1" x14ac:dyDescent="0.25">
      <c r="A6028" s="367" t="s">
        <v>28</v>
      </c>
      <c r="B6028" s="34">
        <v>44144</v>
      </c>
      <c r="C6028" s="1">
        <v>45</v>
      </c>
      <c r="D6028" s="39">
        <f t="shared" si="812"/>
        <v>1224</v>
      </c>
      <c r="E6028" s="1"/>
      <c r="F6028" s="409">
        <f t="shared" si="817"/>
        <v>2</v>
      </c>
      <c r="G6028" s="168">
        <f>SUM(C6028,C6004,C5980,C5956,C5932,C5908,C5884,C5860,C5836,C5812,C5788,C5764,C5740,C5716)/POBLA!$B$3*100000</f>
        <v>141.05594577289511</v>
      </c>
      <c r="H6028" s="256">
        <f t="shared" si="813"/>
        <v>2.3629032258064515</v>
      </c>
      <c r="I6028" s="297">
        <f t="shared" si="820"/>
        <v>333.30154928595374</v>
      </c>
      <c r="J6028" s="297">
        <f t="shared" si="821"/>
        <v>34.857142857142854</v>
      </c>
      <c r="K6028" s="297">
        <f>J6028/POBLA!$B$3*100000</f>
        <v>8.3904560625515376</v>
      </c>
      <c r="L6028" s="549">
        <f t="shared" si="814"/>
        <v>0.28654970760233922</v>
      </c>
      <c r="M6028" s="401">
        <f>SUM(C6028,C6004,C5980,C5956,C5932,C5908,C5884)/POBLA!$B$3*100000</f>
        <v>58.733192437860758</v>
      </c>
    </row>
    <row r="6029" spans="1:13" s="360" customFormat="1" x14ac:dyDescent="0.25">
      <c r="A6029" s="367" t="s">
        <v>15</v>
      </c>
      <c r="B6029" s="34">
        <v>44144</v>
      </c>
      <c r="C6029" s="1">
        <v>125</v>
      </c>
      <c r="D6029" s="39">
        <f t="shared" si="812"/>
        <v>15163</v>
      </c>
      <c r="E6029" s="1">
        <v>4</v>
      </c>
      <c r="F6029" s="409">
        <f t="shared" si="817"/>
        <v>469</v>
      </c>
      <c r="G6029" s="168">
        <f>SUM(C6029,C6005,C5981,C5957,C5933,C5909,C5885,C5861,C5837,C5813,C5789,C5765,C5741,C5717)/POBLA!$B$4*100000</f>
        <v>160.72512268158576</v>
      </c>
      <c r="H6029" s="256">
        <f t="shared" si="813"/>
        <v>0.71150312385152514</v>
      </c>
      <c r="I6029" s="297">
        <f t="shared" si="820"/>
        <v>114.35642686936788</v>
      </c>
      <c r="J6029" s="297">
        <f t="shared" si="821"/>
        <v>128.42857142857142</v>
      </c>
      <c r="K6029" s="297">
        <f>J6029/POBLA!$B$4*100000</f>
        <v>10.662034038573317</v>
      </c>
      <c r="L6029" s="549">
        <f t="shared" si="814"/>
        <v>0.13307618129218901</v>
      </c>
      <c r="M6029" s="401">
        <f>SUM(C6029,C6005,C5981,C5957,C5933,C5909,C5885)/POBLA!$B$4*100000</f>
        <v>74.634238270013228</v>
      </c>
    </row>
    <row r="6030" spans="1:13" s="360" customFormat="1" x14ac:dyDescent="0.25">
      <c r="A6030" s="367" t="s">
        <v>29</v>
      </c>
      <c r="B6030" s="34">
        <v>44144</v>
      </c>
      <c r="C6030" s="1">
        <v>288</v>
      </c>
      <c r="D6030" s="39">
        <f t="shared" si="812"/>
        <v>17183</v>
      </c>
      <c r="E6030" s="1">
        <v>1</v>
      </c>
      <c r="F6030" s="409">
        <f t="shared" si="817"/>
        <v>277</v>
      </c>
      <c r="G6030" s="168">
        <f>SUM(C6030,C6006,C5982,C5958,C5934,C5910,C5886,C5862,C5838,C5814,C5790,C5766,C5742,C5718)/POBLA!$B$5*100000</f>
        <v>678.8434136679839</v>
      </c>
      <c r="H6030" s="256">
        <f t="shared" si="813"/>
        <v>0.74622624755816014</v>
      </c>
      <c r="I6030" s="297">
        <f t="shared" si="820"/>
        <v>506.57077326103143</v>
      </c>
      <c r="J6030" s="297">
        <f t="shared" si="821"/>
        <v>341.71428571428572</v>
      </c>
      <c r="K6030" s="297">
        <f>J6030/POBLA!$B$5*100000</f>
        <v>55.204781583389455</v>
      </c>
      <c r="L6030" s="549">
        <f t="shared" si="814"/>
        <v>-0.32154696132596694</v>
      </c>
      <c r="M6030" s="401">
        <f>SUM(C6030,C6006,C5982,C5958,C5934,C5910,C5886)/POBLA!$B$5*100000</f>
        <v>386.4334710837262</v>
      </c>
    </row>
    <row r="6031" spans="1:13" s="360" customFormat="1" x14ac:dyDescent="0.25">
      <c r="A6031" s="367" t="s">
        <v>20</v>
      </c>
      <c r="B6031" s="34">
        <v>44144</v>
      </c>
      <c r="C6031" s="1">
        <v>866</v>
      </c>
      <c r="D6031" s="39">
        <f t="shared" si="812"/>
        <v>94445</v>
      </c>
      <c r="E6031" s="1">
        <v>26</v>
      </c>
      <c r="F6031" s="409">
        <f t="shared" si="817"/>
        <v>1502</v>
      </c>
      <c r="G6031" s="168">
        <f>SUM(C6031,C6007,C5983,C5959,C5935,C5911,C5887,C5863,C5839,C5815,C5791,C5767,C5743,C5719)/POBLA!$B$6*100000</f>
        <v>1532.7431006931649</v>
      </c>
      <c r="H6031" s="256">
        <f t="shared" si="813"/>
        <v>0.70611204735089805</v>
      </c>
      <c r="I6031" s="297">
        <f t="shared" si="820"/>
        <v>1082.2883688934144</v>
      </c>
      <c r="J6031" s="297">
        <f t="shared" si="821"/>
        <v>1070.5714285714287</v>
      </c>
      <c r="K6031" s="297">
        <f>J6031/POBLA!$B$6*100000</f>
        <v>95.51842196531129</v>
      </c>
      <c r="L6031" s="549">
        <f t="shared" si="814"/>
        <v>0.22622612287041821</v>
      </c>
      <c r="M6031" s="401">
        <f>SUM(C6031,C6007,C5983,C5959,C5935,C5911,C5887)/POBLA!$B$6*100000</f>
        <v>668.62895375717903</v>
      </c>
    </row>
    <row r="6032" spans="1:13" s="360" customFormat="1" x14ac:dyDescent="0.25">
      <c r="A6032" s="367" t="s">
        <v>30</v>
      </c>
      <c r="B6032" s="34">
        <v>44144</v>
      </c>
      <c r="C6032" s="1">
        <v>137</v>
      </c>
      <c r="D6032" s="39">
        <f t="shared" si="812"/>
        <v>3047</v>
      </c>
      <c r="E6032" s="1">
        <v>4</v>
      </c>
      <c r="F6032" s="409">
        <f t="shared" si="817"/>
        <v>61</v>
      </c>
      <c r="G6032" s="168">
        <f>SUM(C6032,C6008,C5984,C5960,C5936,C5912,C5888,C5864,C5840,C5816,C5792,C5768,C5744,C5720)/POBLA!$B$7*100000</f>
        <v>17.657461208100095</v>
      </c>
      <c r="H6032" s="256">
        <f t="shared" si="813"/>
        <v>0.8865153538050734</v>
      </c>
      <c r="I6032" s="297">
        <f t="shared" si="820"/>
        <v>15.653610470198215</v>
      </c>
      <c r="J6032" s="297">
        <f t="shared" si="821"/>
        <v>64.857142857142861</v>
      </c>
      <c r="K6032" s="297">
        <f>J6032/POBLA!$B$7*100000</f>
        <v>1.7247175964882624</v>
      </c>
      <c r="L6032" s="549">
        <f t="shared" si="814"/>
        <v>-1.1619047619047618</v>
      </c>
      <c r="M6032" s="401">
        <f>SUM(C6032,C6008,C5984,C5960,C5936,C5912,C5888)/POBLA!$B$7*100000</f>
        <v>12.073023175417836</v>
      </c>
    </row>
    <row r="6033" spans="1:13" x14ac:dyDescent="0.25">
      <c r="A6033" s="367" t="s">
        <v>31</v>
      </c>
      <c r="B6033" s="34">
        <v>44144</v>
      </c>
      <c r="C6033" s="1">
        <v>156</v>
      </c>
      <c r="D6033" s="39">
        <f t="shared" si="812"/>
        <v>18260</v>
      </c>
      <c r="E6033" s="1">
        <v>8</v>
      </c>
      <c r="F6033" s="409">
        <f t="shared" si="817"/>
        <v>336</v>
      </c>
      <c r="G6033" s="168">
        <f>SUM(C6033,C6009,C5985,C5961,C5937,C5913,C5889,C5865,C5841,C5817,C5793,C5769,C5745,C5721)/POBLA!$B$8*100000</f>
        <v>286.29954233921444</v>
      </c>
      <c r="H6033" s="256">
        <f t="shared" si="813"/>
        <v>0.83961066440964871</v>
      </c>
      <c r="I6033" s="297">
        <f t="shared" si="820"/>
        <v>240.38014896360619</v>
      </c>
      <c r="J6033" s="297">
        <f t="shared" si="821"/>
        <v>262</v>
      </c>
      <c r="K6033" s="297">
        <f>J6033/POBLA!$B$8*100000</f>
        <v>18.903850829857408</v>
      </c>
      <c r="L6033" s="549">
        <f t="shared" si="814"/>
        <v>0.14058106841611995</v>
      </c>
      <c r="M6033" s="401">
        <f>SUM(C6033,C6009,C5985,C5961,C5937,C5913,C5889)/POBLA!$B$8*100000</f>
        <v>132.32695580900184</v>
      </c>
    </row>
    <row r="6034" spans="1:13" s="360" customFormat="1" x14ac:dyDescent="0.25">
      <c r="A6034" s="367" t="s">
        <v>41</v>
      </c>
      <c r="B6034" s="34">
        <v>44144</v>
      </c>
      <c r="C6034" s="1">
        <v>-1</v>
      </c>
      <c r="D6034" s="39">
        <f t="shared" si="812"/>
        <v>161</v>
      </c>
      <c r="E6034" s="1"/>
      <c r="F6034" s="409">
        <f t="shared" si="817"/>
        <v>3</v>
      </c>
      <c r="G6034" s="168">
        <f>SUM(C6034,C6010,C5986,C5962,C5938,C5914,C5890,C5866,C5842,C5818,C5794,C5770,C5746,C5722)/POBLA!$B$9*100000</f>
        <v>2.643784710001603</v>
      </c>
      <c r="H6034" s="256">
        <f t="shared" si="813"/>
        <v>1.7777777777777777</v>
      </c>
      <c r="I6034" s="297">
        <f t="shared" si="820"/>
        <v>4.7000617066695165</v>
      </c>
      <c r="J6034" s="297">
        <f t="shared" si="821"/>
        <v>0.42857142857142855</v>
      </c>
      <c r="K6034" s="297">
        <f>J6034/POBLA!$B$9*100000</f>
        <v>7.0815661875042929E-2</v>
      </c>
      <c r="L6034" s="549">
        <f t="shared" si="814"/>
        <v>0.76923076923076916</v>
      </c>
      <c r="M6034" s="401">
        <f>SUM(C6034,C6010,C5986,C5962,C5938,C5914,C5890)/POBLA!$B$9*100000</f>
        <v>0.49570963312530053</v>
      </c>
    </row>
    <row r="6035" spans="1:13" s="360" customFormat="1" x14ac:dyDescent="0.25">
      <c r="A6035" s="367" t="s">
        <v>32</v>
      </c>
      <c r="B6035" s="34">
        <v>44144</v>
      </c>
      <c r="C6035" s="1">
        <v>16</v>
      </c>
      <c r="D6035" s="39">
        <f t="shared" si="812"/>
        <v>18041</v>
      </c>
      <c r="E6035" s="1"/>
      <c r="F6035" s="409">
        <f t="shared" si="817"/>
        <v>825</v>
      </c>
      <c r="G6035" s="168">
        <f>SUM(C6035,C6011,C5987,C5963,C5939,C5915,C5891,C5867,C5843,C5819,C5795,C5771,C5747,C5723)/POBLA!$B$10*100000</f>
        <v>50.461744419696423</v>
      </c>
      <c r="H6035" s="256">
        <f t="shared" si="813"/>
        <v>0.45981087470449172</v>
      </c>
      <c r="I6035" s="297">
        <f t="shared" si="820"/>
        <v>23.202858840735118</v>
      </c>
      <c r="J6035" s="297">
        <f t="shared" si="821"/>
        <v>17.571428571428573</v>
      </c>
      <c r="K6035" s="297">
        <f>J6035/POBLA!$B$10*100000</f>
        <v>2.2793957266333678</v>
      </c>
      <c r="L6035" s="549">
        <f t="shared" si="814"/>
        <v>0.53759398496240607</v>
      </c>
      <c r="M6035" s="401">
        <f>SUM(C6035,C6011,C5987,C5963,C5939,C5915,C5891)/POBLA!$B$10*100000</f>
        <v>15.955770086433573</v>
      </c>
    </row>
    <row r="6036" spans="1:13" s="360" customFormat="1" x14ac:dyDescent="0.25">
      <c r="A6036" s="367" t="s">
        <v>33</v>
      </c>
      <c r="B6036" s="34">
        <v>44144</v>
      </c>
      <c r="C6036" s="1">
        <v>71</v>
      </c>
      <c r="D6036" s="39">
        <f t="shared" si="812"/>
        <v>4192</v>
      </c>
      <c r="E6036" s="1"/>
      <c r="F6036" s="409">
        <f t="shared" si="817"/>
        <v>41</v>
      </c>
      <c r="G6036" s="168">
        <f>SUM(C6036,C6012,C5988,C5964,C5940,C5916,C5892,C5868,C5844,C5820,C5796,C5772,C5748,C5724)/POBLA!$B$11*100000</f>
        <v>465.36542904014192</v>
      </c>
      <c r="H6036" s="256">
        <f t="shared" si="813"/>
        <v>1.1939871152469577</v>
      </c>
      <c r="I6036" s="297">
        <f t="shared" si="820"/>
        <v>555.64032615530186</v>
      </c>
      <c r="J6036" s="297">
        <f t="shared" si="821"/>
        <v>101.71428571428571</v>
      </c>
      <c r="K6036" s="297">
        <f>J6036/POBLA!$B$11*100000</f>
        <v>28.377885018549254</v>
      </c>
      <c r="L6036" s="549">
        <f t="shared" si="814"/>
        <v>0.25523012552301261</v>
      </c>
      <c r="M6036" s="401">
        <f>SUM(C6036,C6012,C5988,C5964,C5940,C5916,C5892)/POBLA!$B$11*100000</f>
        <v>198.64519512984478</v>
      </c>
    </row>
    <row r="6037" spans="1:13" s="360" customFormat="1" x14ac:dyDescent="0.25">
      <c r="A6037" s="367" t="s">
        <v>21</v>
      </c>
      <c r="B6037" s="34">
        <v>44144</v>
      </c>
      <c r="C6037" s="1">
        <v>21</v>
      </c>
      <c r="D6037" s="39">
        <f t="shared" si="812"/>
        <v>7870</v>
      </c>
      <c r="E6037" s="1"/>
      <c r="F6037" s="409">
        <f t="shared" si="817"/>
        <v>292</v>
      </c>
      <c r="G6037" s="168">
        <f>SUM(C6037,C6013,C5989,C5965,C5941,C5917,C5893,C5869,C5845,C5821,C5797,C5773,C5749,C5725)/POBLA!$B$12*100000</f>
        <v>177.11438234853165</v>
      </c>
      <c r="H6037" s="256">
        <f t="shared" si="813"/>
        <v>0.58818565400843881</v>
      </c>
      <c r="I6037" s="297">
        <f t="shared" si="820"/>
        <v>104.17613881597178</v>
      </c>
      <c r="J6037" s="297">
        <f t="shared" si="821"/>
        <v>32.857142857142854</v>
      </c>
      <c r="K6037" s="297">
        <f>J6037/POBLA!$B$12*100000</f>
        <v>8.3493150113060608</v>
      </c>
      <c r="L6037" s="549">
        <f t="shared" si="814"/>
        <v>0.50749464668094224</v>
      </c>
      <c r="M6037" s="401">
        <f>SUM(C6037,C6013,C5989,C5965,C5941,C5917,C5893)/POBLA!$B$12*100000</f>
        <v>58.445205079142433</v>
      </c>
    </row>
    <row r="6038" spans="1:13" s="360" customFormat="1" x14ac:dyDescent="0.25">
      <c r="A6038" s="367" t="s">
        <v>17</v>
      </c>
      <c r="B6038" s="34">
        <v>44144</v>
      </c>
      <c r="C6038" s="1">
        <v>326</v>
      </c>
      <c r="D6038" s="39">
        <f t="shared" si="812"/>
        <v>50900</v>
      </c>
      <c r="E6038" s="1">
        <v>11</v>
      </c>
      <c r="F6038" s="409">
        <f t="shared" si="817"/>
        <v>935</v>
      </c>
      <c r="G6038" s="168">
        <f>SUM(C6038,C6014,C5990,C5966,C5942,C5918,C5894,C5870,C5846,C5822,C5798,C5774,C5750,C5726)/POBLA!$B$13*100000</f>
        <v>366.72163220518325</v>
      </c>
      <c r="H6038" s="256">
        <f t="shared" si="813"/>
        <v>0.65158007498660953</v>
      </c>
      <c r="I6038" s="297">
        <f t="shared" si="820"/>
        <v>238.94850861146514</v>
      </c>
      <c r="J6038" s="297">
        <f t="shared" si="821"/>
        <v>443.85714285714283</v>
      </c>
      <c r="K6038" s="297">
        <f>J6038/POBLA!$B$13*100000</f>
        <v>22.300591299424664</v>
      </c>
      <c r="L6038" s="549">
        <f t="shared" si="814"/>
        <v>0.25882633587786263</v>
      </c>
      <c r="M6038" s="401">
        <f>SUM(C6038,C6014,C5990,C5966,C5942,C5918,C5894)/POBLA!$B$13*100000</f>
        <v>156.10413909597264</v>
      </c>
    </row>
    <row r="6039" spans="1:13" s="360" customFormat="1" x14ac:dyDescent="0.25">
      <c r="A6039" s="367" t="s">
        <v>23</v>
      </c>
      <c r="B6039" s="34">
        <v>44144</v>
      </c>
      <c r="C6039" s="1">
        <v>7</v>
      </c>
      <c r="D6039" s="39">
        <f t="shared" si="812"/>
        <v>340</v>
      </c>
      <c r="E6039" s="1">
        <v>1</v>
      </c>
      <c r="F6039" s="409">
        <f t="shared" si="817"/>
        <v>7</v>
      </c>
      <c r="G6039" s="168">
        <f>SUM(C6039,C6015,C5991,C5967,C5943,C5919,C5895,C5871,C5847,C5823,C5799,C5775,C5751,C5727)/POBLA!$B$14*100000</f>
        <v>8.8004858502458578</v>
      </c>
      <c r="H6039" s="256">
        <f t="shared" si="813"/>
        <v>1.6567164179104477</v>
      </c>
      <c r="I6039" s="297">
        <f t="shared" si="820"/>
        <v>14.579909393690897</v>
      </c>
      <c r="J6039" s="297">
        <f t="shared" si="821"/>
        <v>8.2857142857142865</v>
      </c>
      <c r="K6039" s="297">
        <f>J6039/POBLA!$B$14*100000</f>
        <v>0.65692172369917612</v>
      </c>
      <c r="L6039" s="549">
        <f t="shared" si="814"/>
        <v>-9.4339622641509413E-2</v>
      </c>
      <c r="M6039" s="401">
        <f>SUM(C6039,C6015,C5991,C5967,C5943,C5919,C5895)/POBLA!$B$14*100000</f>
        <v>4.5984520658942323</v>
      </c>
    </row>
    <row r="6040" spans="1:13" s="360" customFormat="1" x14ac:dyDescent="0.25">
      <c r="A6040" s="367" t="s">
        <v>19</v>
      </c>
      <c r="B6040" s="34">
        <v>44144</v>
      </c>
      <c r="C6040" s="1">
        <v>149</v>
      </c>
      <c r="D6040" s="39">
        <f t="shared" si="812"/>
        <v>25403</v>
      </c>
      <c r="E6040" s="1">
        <v>1</v>
      </c>
      <c r="F6040" s="409">
        <f t="shared" si="817"/>
        <v>423</v>
      </c>
      <c r="G6040" s="168">
        <f>SUM(C6040,C6016,C5992,C5968,C5944,C5920,C5896,C5872,C5848,C5824,C5800,C5776,C5752,C5728)/POBLA!$B$15*100000</f>
        <v>847.06583922765662</v>
      </c>
      <c r="H6040" s="256">
        <f t="shared" si="813"/>
        <v>0.76126674786845305</v>
      </c>
      <c r="I6040" s="297">
        <f t="shared" si="820"/>
        <v>644.84305665930003</v>
      </c>
      <c r="J6040" s="297">
        <f t="shared" si="821"/>
        <v>379.85714285714283</v>
      </c>
      <c r="K6040" s="297">
        <f>J6040/POBLA!$B$15*100000</f>
        <v>57.202490577938768</v>
      </c>
      <c r="L6040" s="549">
        <f t="shared" si="814"/>
        <v>0.10350640593391769</v>
      </c>
      <c r="M6040" s="401">
        <f>SUM(C6040,C6016,C5992,C5968,C5944,C5920,C5896)/POBLA!$B$15*100000</f>
        <v>400.41743404557138</v>
      </c>
    </row>
    <row r="6041" spans="1:13" s="360" customFormat="1" x14ac:dyDescent="0.25">
      <c r="A6041" s="367" t="s">
        <v>18</v>
      </c>
      <c r="B6041" s="34">
        <v>44144</v>
      </c>
      <c r="C6041" s="1">
        <v>356</v>
      </c>
      <c r="D6041" s="39">
        <f t="shared" si="812"/>
        <v>26585</v>
      </c>
      <c r="E6041" s="1">
        <v>7</v>
      </c>
      <c r="F6041" s="409">
        <f t="shared" si="817"/>
        <v>671</v>
      </c>
      <c r="G6041" s="168">
        <f>SUM(C6041,C6017,C5993,C5969,C5945,C5921,C5897,C5873,C5849,C5825,C5801,C5777,C5753,C5729)/POBLA!$B$16*100000</f>
        <v>601.51683364320968</v>
      </c>
      <c r="H6041" s="256">
        <f t="shared" si="813"/>
        <v>0.84197715783561133</v>
      </c>
      <c r="I6041" s="297">
        <f t="shared" si="820"/>
        <v>506.46343398118591</v>
      </c>
      <c r="J6041" s="297">
        <f t="shared" si="821"/>
        <v>310.42857142857144</v>
      </c>
      <c r="K6041" s="297">
        <f>J6041/POBLA!$B$16*100000</f>
        <v>41.522795498799034</v>
      </c>
      <c r="L6041" s="549">
        <f t="shared" si="814"/>
        <v>6.4974182444061945E-2</v>
      </c>
      <c r="M6041" s="401">
        <f>SUM(C6041,C6017,C5993,C5969,C5945,C5921,C5897)/POBLA!$B$16*100000</f>
        <v>290.65956849159323</v>
      </c>
    </row>
    <row r="6042" spans="1:13" s="360" customFormat="1" x14ac:dyDescent="0.25">
      <c r="A6042" s="367" t="s">
        <v>34</v>
      </c>
      <c r="B6042" s="34">
        <v>44144</v>
      </c>
      <c r="C6042" s="1">
        <v>65</v>
      </c>
      <c r="D6042" s="39">
        <f t="shared" ref="D6042:D6048" si="822">C6042+D6018</f>
        <v>19611</v>
      </c>
      <c r="E6042" s="1">
        <v>17</v>
      </c>
      <c r="F6042" s="409">
        <f t="shared" si="817"/>
        <v>898</v>
      </c>
      <c r="G6042" s="168">
        <f>SUM(C6042,C6018,C5994,C5970,C5946,C5922,C5898,C5874,C5850,C5826,C5802,C5778,C5754,C5730)/POBLA!$B$17*100000</f>
        <v>121.73572395898053</v>
      </c>
      <c r="H6042" s="256">
        <f t="shared" ref="H6042:H6073" si="823">SUM(C6042,C6018,C5994,C5970,C5946,C5922,C5898,C5874,C5850,C5826,C5802,C5778,C5754,C5730)/SUM(C5706,C5682,C5658,C5634,C5610,C5586,C5562,C5538,C5514,C5490,C5466,C5442,C5418,C5394)</f>
        <v>0.65261573202860368</v>
      </c>
      <c r="I6042" s="297">
        <f t="shared" si="820"/>
        <v>79.4466486055221</v>
      </c>
      <c r="J6042" s="297">
        <f t="shared" si="821"/>
        <v>94.571428571428569</v>
      </c>
      <c r="K6042" s="297">
        <f>J6042/POBLA!$B$17*100000</f>
        <v>6.6394009936435259</v>
      </c>
      <c r="L6042" s="549">
        <f t="shared" ref="L6042:L6073" si="824">1-SUM(C6042,C6018,C5994,C5970,C5946,C5922,C5898)/SUM(C5874,C5850,C5826,C5802,C5778,C5754,C5730)</f>
        <v>0.3824626865671642</v>
      </c>
      <c r="M6042" s="401">
        <f>SUM(C6042,C6018,C5994,C5970,C5946,C5922,C5898)/POBLA!$B$17*100000</f>
        <v>46.47580695550468</v>
      </c>
    </row>
    <row r="6043" spans="1:13" s="360" customFormat="1" x14ac:dyDescent="0.25">
      <c r="A6043" s="367" t="s">
        <v>35</v>
      </c>
      <c r="B6043" s="34">
        <v>44144</v>
      </c>
      <c r="C6043" s="1">
        <v>154</v>
      </c>
      <c r="D6043" s="39">
        <f t="shared" si="822"/>
        <v>3817</v>
      </c>
      <c r="E6043" s="1">
        <v>21</v>
      </c>
      <c r="F6043" s="409">
        <f t="shared" si="817"/>
        <v>123</v>
      </c>
      <c r="G6043" s="168">
        <f>SUM(C6043,C6019,C5995,C5971,C5947,C5923,C5899,C5875,C5851,C5827,C5803,C5779,C5755,C5731)/POBLA!$B$18*100000</f>
        <v>309.90109022205098</v>
      </c>
      <c r="H6043" s="256">
        <f t="shared" si="823"/>
        <v>15.619354838709677</v>
      </c>
      <c r="I6043" s="297">
        <f t="shared" si="820"/>
        <v>4840.4550930811965</v>
      </c>
      <c r="J6043" s="297">
        <f t="shared" si="821"/>
        <v>155.42857142857142</v>
      </c>
      <c r="K6043" s="297">
        <f>J6043/POBLA!$B$18*100000</f>
        <v>19.895697537121109</v>
      </c>
      <c r="L6043" s="549">
        <f t="shared" si="824"/>
        <v>0.18379594898724683</v>
      </c>
      <c r="M6043" s="401">
        <f>SUM(C6043,C6019,C5995,C5971,C5947,C5923,C5899)/POBLA!$B$18*100000</f>
        <v>139.26988275984777</v>
      </c>
    </row>
    <row r="6044" spans="1:13" s="360" customFormat="1" x14ac:dyDescent="0.25">
      <c r="A6044" s="367" t="s">
        <v>36</v>
      </c>
      <c r="B6044" s="34">
        <v>44144</v>
      </c>
      <c r="C6044" s="1">
        <v>298</v>
      </c>
      <c r="D6044" s="39">
        <f t="shared" si="822"/>
        <v>9369</v>
      </c>
      <c r="E6044" s="1">
        <v>10</v>
      </c>
      <c r="F6044" s="409">
        <f t="shared" si="817"/>
        <v>132</v>
      </c>
      <c r="G6044" s="168">
        <f>SUM(C6044,C6020,C5996,C5972,C5948,C5924,C5900,C5876,C5852,C5828,C5804,C5780,C5756,C5732)/POBLA!$B$19*100000</f>
        <v>735.7454242142868</v>
      </c>
      <c r="H6044" s="256">
        <f t="shared" si="823"/>
        <v>1.1234604986482428</v>
      </c>
      <c r="I6044" s="297">
        <f t="shared" si="820"/>
        <v>826.5809211659456</v>
      </c>
      <c r="J6044" s="297">
        <f t="shared" si="821"/>
        <v>251.42857142857142</v>
      </c>
      <c r="K6044" s="297">
        <f>J6044/POBLA!$B$19*100000</f>
        <v>49.461877258103314</v>
      </c>
      <c r="L6044" s="549">
        <f t="shared" si="824"/>
        <v>0.11111111111111116</v>
      </c>
      <c r="M6044" s="401">
        <f>SUM(C6044,C6020,C5996,C5972,C5948,C5924,C5900)/POBLA!$B$19*100000</f>
        <v>346.23314080672321</v>
      </c>
    </row>
    <row r="6045" spans="1:13" s="360" customFormat="1" x14ac:dyDescent="0.25">
      <c r="A6045" s="367" t="s">
        <v>37</v>
      </c>
      <c r="B6045" s="34">
        <v>44144</v>
      </c>
      <c r="C6045" s="1">
        <v>136</v>
      </c>
      <c r="D6045" s="39">
        <f t="shared" si="822"/>
        <v>11222</v>
      </c>
      <c r="E6045" s="1">
        <v>10</v>
      </c>
      <c r="F6045" s="409">
        <f t="shared" si="817"/>
        <v>175</v>
      </c>
      <c r="G6045" s="168">
        <f>SUM(C6045,C6021,C5997,C5973,C5949,C5925,C5901,C5877,C5853,C5829,C5805,C5781,C5757,C5733)/POBLA!$B$20*100000</f>
        <v>729.2902887081691</v>
      </c>
      <c r="H6045" s="256">
        <f t="shared" si="823"/>
        <v>1.2657807308970099</v>
      </c>
      <c r="I6045" s="297">
        <f t="shared" si="820"/>
        <v>923.12159467711763</v>
      </c>
      <c r="J6045" s="297">
        <f t="shared" si="821"/>
        <v>201</v>
      </c>
      <c r="K6045" s="297">
        <f>J6045/POBLA!$B$20*100000</f>
        <v>54.963385088242212</v>
      </c>
      <c r="L6045" s="549">
        <f t="shared" si="824"/>
        <v>-0.1166666666666667</v>
      </c>
      <c r="M6045" s="401">
        <f>SUM(C6045,C6021,C5997,C5973,C5949,C5925,C5901)/POBLA!$B$20*100000</f>
        <v>384.74369561769544</v>
      </c>
    </row>
    <row r="6046" spans="1:13" s="360" customFormat="1" x14ac:dyDescent="0.25">
      <c r="A6046" s="367" t="s">
        <v>22</v>
      </c>
      <c r="B6046" s="34">
        <v>44144</v>
      </c>
      <c r="C6046" s="1">
        <v>1291</v>
      </c>
      <c r="D6046" s="39">
        <f t="shared" si="822"/>
        <v>119593</v>
      </c>
      <c r="E6046" s="1">
        <v>60</v>
      </c>
      <c r="F6046" s="409">
        <f t="shared" si="817"/>
        <v>1725</v>
      </c>
      <c r="G6046" s="168">
        <f>SUM(C6046,C6022,C5998,C5974,C5950,C5926,C5902,C5878,C5854,C5830,C5806,C5782,C5758,C5734)/POBLA!$B$21*100000</f>
        <v>660.38573494422883</v>
      </c>
      <c r="H6046" s="256">
        <f t="shared" si="823"/>
        <v>0.7383730121091403</v>
      </c>
      <c r="I6046" s="297">
        <f t="shared" si="820"/>
        <v>487.61100426467857</v>
      </c>
      <c r="J6046" s="297">
        <f t="shared" si="821"/>
        <v>1468.8571428571429</v>
      </c>
      <c r="K6046" s="297">
        <f>J6046/POBLA!$B$21*100000</f>
        <v>41.535167586443201</v>
      </c>
      <c r="L6046" s="549">
        <f t="shared" si="824"/>
        <v>0.21343329253365972</v>
      </c>
      <c r="M6046" s="401">
        <f>SUM(C6046,C6022,C5998,C5974,C5950,C5926,C5902)/POBLA!$B$21*100000</f>
        <v>290.7461731051024</v>
      </c>
    </row>
    <row r="6047" spans="1:13" s="360" customFormat="1" x14ac:dyDescent="0.25">
      <c r="A6047" s="367" t="s">
        <v>38</v>
      </c>
      <c r="B6047" s="34">
        <v>44144</v>
      </c>
      <c r="C6047" s="1">
        <v>205</v>
      </c>
      <c r="D6047" s="39">
        <f t="shared" si="822"/>
        <v>11531</v>
      </c>
      <c r="E6047" s="1">
        <v>4</v>
      </c>
      <c r="F6047" s="409">
        <f t="shared" si="817"/>
        <v>146</v>
      </c>
      <c r="G6047" s="168">
        <f>SUM(C6047,C6023,C5999,C5975,C5951,C5927,C5903,C5879,C5855,C5831,C5807,C5783,C5759,C5735)/POBLA!$B$22*100000</f>
        <v>297.04194874237589</v>
      </c>
      <c r="H6047" s="256">
        <f t="shared" si="823"/>
        <v>0.90080595164290145</v>
      </c>
      <c r="I6047" s="297">
        <f t="shared" si="820"/>
        <v>267.57715531473787</v>
      </c>
      <c r="J6047" s="297">
        <f t="shared" si="821"/>
        <v>205.57142857142858</v>
      </c>
      <c r="K6047" s="297">
        <f>J6047/POBLA!$B$22*100000</f>
        <v>21.01284850261916</v>
      </c>
      <c r="L6047" s="549">
        <f t="shared" si="824"/>
        <v>1.9086571233810523E-2</v>
      </c>
      <c r="M6047" s="401">
        <f>SUM(C6047,C6023,C5999,C5975,C5951,C5927,C5903)/POBLA!$B$22*100000</f>
        <v>147.08993951833409</v>
      </c>
    </row>
    <row r="6048" spans="1:13" s="360" customFormat="1" x14ac:dyDescent="0.25">
      <c r="A6048" s="367" t="s">
        <v>39</v>
      </c>
      <c r="B6048" s="34">
        <v>44144</v>
      </c>
      <c r="C6048" s="1">
        <v>173</v>
      </c>
      <c r="D6048" s="39">
        <f t="shared" si="822"/>
        <v>13309</v>
      </c>
      <c r="E6048" s="1">
        <v>2</v>
      </c>
      <c r="F6048" s="409">
        <f t="shared" si="817"/>
        <v>168</v>
      </c>
      <c r="G6048" s="168">
        <f>SUM(C6048,C6024,C6000,C5976,C5952,C5928,C5904,C5880,C5856,C5832,C5808,C5784,C5760,C5736)/POBLA!$B$23*100000</f>
        <v>1669.3999886897018</v>
      </c>
      <c r="H6048" s="256">
        <f t="shared" si="823"/>
        <v>0.80545702592087309</v>
      </c>
      <c r="I6048" s="297">
        <f t="shared" si="820"/>
        <v>1344.6299499623465</v>
      </c>
      <c r="J6048" s="297">
        <f t="shared" si="821"/>
        <v>228.71428571428572</v>
      </c>
      <c r="K6048" s="297">
        <f>J6048/POBLA!$B$23*100000</f>
        <v>129.34133671565104</v>
      </c>
      <c r="L6048" s="549">
        <f t="shared" si="824"/>
        <v>-0.18504811250925246</v>
      </c>
      <c r="M6048" s="401">
        <f>SUM(C6048,C6024,C6000,C5976,C5952,C5928,C5904)/POBLA!$B$23*100000</f>
        <v>905.38935700955722</v>
      </c>
    </row>
    <row r="6049" spans="1:13" s="360" customFormat="1" ht="15.75" thickBot="1" x14ac:dyDescent="0.3">
      <c r="A6049" s="368" t="s">
        <v>40</v>
      </c>
      <c r="B6049" s="34">
        <v>44144</v>
      </c>
      <c r="C6049" s="1">
        <v>641</v>
      </c>
      <c r="D6049" s="67">
        <f>C6049+D6025</f>
        <v>55368</v>
      </c>
      <c r="E6049" s="1">
        <v>33</v>
      </c>
      <c r="F6049" s="477">
        <f t="shared" si="817"/>
        <v>919</v>
      </c>
      <c r="G6049" s="177">
        <f>SUM(C6049,C6025,C6001,C5977,C5953,C5929,C5905,C5881,C5857,C5833,C5809,C5785,C5761,C5737)/POBLA!$B$24*100000</f>
        <v>663.32046149779069</v>
      </c>
      <c r="H6049" s="402">
        <f t="shared" si="823"/>
        <v>0.67765854834820349</v>
      </c>
      <c r="I6049" s="403">
        <f t="shared" si="820"/>
        <v>449.50478102825326</v>
      </c>
      <c r="J6049" s="403">
        <f t="shared" si="821"/>
        <v>675.14285714285711</v>
      </c>
      <c r="K6049" s="403">
        <f>J6049/POBLA!$B$24*100000</f>
        <v>39.839522424778664</v>
      </c>
      <c r="L6049" s="550">
        <f t="shared" si="824"/>
        <v>0.2745970836531082</v>
      </c>
      <c r="M6049" s="405">
        <f>SUM(C6049,C6025,C6001,C5977,C5953,C5929,C5905)/POBLA!$B$24*100000</f>
        <v>278.87665697345068</v>
      </c>
    </row>
    <row r="6050" spans="1:13" s="360" customFormat="1" x14ac:dyDescent="0.25">
      <c r="A6050" s="363" t="s">
        <v>16</v>
      </c>
      <c r="B6050" s="34">
        <v>44145</v>
      </c>
      <c r="C6050" s="1">
        <v>3428</v>
      </c>
      <c r="D6050" s="174">
        <f t="shared" ref="D6050:D6113" si="825">C6050+D6026</f>
        <v>576316</v>
      </c>
      <c r="E6050" s="1">
        <v>81</v>
      </c>
      <c r="F6050" s="475">
        <f t="shared" si="817"/>
        <v>18848</v>
      </c>
      <c r="G6050" s="175">
        <f>SUM(C6050,C6026,C6002,C5978,C5954,C5930,C5906,C5882,C5858,C5834,C5810,C5786,C5762,C5738)/POBLA!$B$1*100000</f>
        <v>234.19799202343793</v>
      </c>
      <c r="H6050" s="300">
        <f t="shared" si="823"/>
        <v>0.68564323386073833</v>
      </c>
      <c r="I6050" s="301">
        <f>G6050*H6050</f>
        <v>160.57626861464138</v>
      </c>
      <c r="J6050" s="301">
        <f>AVERAGE(C6050,C6026,C6002,C5978,C5954,C5930,C5906)</f>
        <v>2677.1428571428573</v>
      </c>
      <c r="K6050" s="301">
        <f>J6050/POBLA!$B$1*100000</f>
        <v>15.262079343315564</v>
      </c>
      <c r="L6050" s="548">
        <f t="shared" si="824"/>
        <v>0.1611834743297077</v>
      </c>
      <c r="M6050" s="400">
        <f>SUM(C6050,C6026,C6002,C5978,C5954,C5930,C5906)/POBLA!$B$1*100000</f>
        <v>106.83455540320895</v>
      </c>
    </row>
    <row r="6051" spans="1:13" s="360" customFormat="1" x14ac:dyDescent="0.25">
      <c r="A6051" s="367" t="s">
        <v>43</v>
      </c>
      <c r="B6051" s="34">
        <v>44145</v>
      </c>
      <c r="C6051" s="1">
        <v>560</v>
      </c>
      <c r="D6051" s="39">
        <f t="shared" si="825"/>
        <v>151537</v>
      </c>
      <c r="E6051" s="1">
        <v>16</v>
      </c>
      <c r="F6051" s="409">
        <f t="shared" si="817"/>
        <v>5012</v>
      </c>
      <c r="G6051" s="168">
        <f>SUM(C6051,C6027,C6003,C5979,C5955,C5931,C5907,C5883,C5859,C5835,C5811,C5787,C5763,C5739)/POBLA!$B$2*100000</f>
        <v>209.19182506699406</v>
      </c>
      <c r="H6051" s="256">
        <f t="shared" si="823"/>
        <v>0.72561181910454498</v>
      </c>
      <c r="I6051" s="297">
        <f t="shared" ref="I6051:I6073" si="826">G6051*H6051</f>
        <v>151.79206072866131</v>
      </c>
      <c r="J6051" s="297">
        <f t="shared" ref="J6051:J6073" si="827">AVERAGE(C6051,C6027,C6003,C5979,C5955,C5931,C5907)</f>
        <v>456.14285714285717</v>
      </c>
      <c r="K6051" s="297">
        <f>J6051/POBLA!$B$2*100000</f>
        <v>14.83079838001048</v>
      </c>
      <c r="L6051" s="549">
        <f t="shared" si="824"/>
        <v>1.4810243751928409E-2</v>
      </c>
      <c r="M6051" s="401">
        <f>SUM(C6051,C6027,C6003,C5979,C5955,C5931,C5907)/POBLA!$B$2*100000</f>
        <v>103.81558866007336</v>
      </c>
    </row>
    <row r="6052" spans="1:13" s="360" customFormat="1" x14ac:dyDescent="0.25">
      <c r="A6052" s="367" t="s">
        <v>28</v>
      </c>
      <c r="B6052" s="34">
        <v>44145</v>
      </c>
      <c r="C6052" s="1">
        <v>27</v>
      </c>
      <c r="D6052" s="39">
        <f t="shared" si="825"/>
        <v>1251</v>
      </c>
      <c r="E6052" s="1"/>
      <c r="F6052" s="409">
        <f t="shared" si="817"/>
        <v>2</v>
      </c>
      <c r="G6052" s="168">
        <f>SUM(C6052,C6028,C6004,C5980,C5956,C5932,C5908,C5884,C5860,C5836,C5812,C5788,C5764,C5740)/POBLA!$B$3*100000</f>
        <v>140.81523596782191</v>
      </c>
      <c r="H6052" s="256">
        <f t="shared" si="823"/>
        <v>2.1428571428571428</v>
      </c>
      <c r="I6052" s="297">
        <f t="shared" si="826"/>
        <v>301.74693421676119</v>
      </c>
      <c r="J6052" s="297">
        <f t="shared" si="827"/>
        <v>34.285714285714285</v>
      </c>
      <c r="K6052" s="297">
        <f>J6052/POBLA!$B$3*100000</f>
        <v>8.2529076025097083</v>
      </c>
      <c r="L6052" s="549">
        <f t="shared" si="824"/>
        <v>0.30434782608695654</v>
      </c>
      <c r="M6052" s="401">
        <f>SUM(C6052,C6028,C6004,C5980,C5956,C5932,C5908)/POBLA!$B$3*100000</f>
        <v>57.770353217567965</v>
      </c>
    </row>
    <row r="6053" spans="1:13" s="360" customFormat="1" x14ac:dyDescent="0.25">
      <c r="A6053" s="367" t="s">
        <v>15</v>
      </c>
      <c r="B6053" s="34">
        <v>44145</v>
      </c>
      <c r="C6053" s="1">
        <v>144</v>
      </c>
      <c r="D6053" s="39">
        <f t="shared" si="825"/>
        <v>15307</v>
      </c>
      <c r="E6053" s="1">
        <v>6</v>
      </c>
      <c r="F6053" s="409">
        <f t="shared" si="817"/>
        <v>475</v>
      </c>
      <c r="G6053" s="168">
        <f>SUM(C6053,C6029,C6005,C5981,C5957,C5933,C5909,C5885,C5861,C5837,C5813,C5789,C5765,C5741)/POBLA!$B$4*100000</f>
        <v>158.81568165799254</v>
      </c>
      <c r="H6053" s="256">
        <f t="shared" si="823"/>
        <v>0.70434462444771728</v>
      </c>
      <c r="I6053" s="297">
        <f t="shared" si="826"/>
        <v>111.86097165380698</v>
      </c>
      <c r="J6053" s="297">
        <f t="shared" si="827"/>
        <v>130.28571428571428</v>
      </c>
      <c r="K6053" s="297">
        <f>J6053/POBLA!$B$4*100000</f>
        <v>10.816212506316869</v>
      </c>
      <c r="L6053" s="549">
        <f t="shared" si="824"/>
        <v>8.8911088911088898E-2</v>
      </c>
      <c r="M6053" s="401">
        <f>SUM(C6053,C6029,C6005,C5981,C5957,C5933,C5909)/POBLA!$B$4*100000</f>
        <v>75.713487544218083</v>
      </c>
    </row>
    <row r="6054" spans="1:13" s="360" customFormat="1" x14ac:dyDescent="0.25">
      <c r="A6054" s="367" t="s">
        <v>29</v>
      </c>
      <c r="B6054" s="34">
        <v>44145</v>
      </c>
      <c r="C6054" s="1">
        <v>511</v>
      </c>
      <c r="D6054" s="39">
        <f t="shared" si="825"/>
        <v>17694</v>
      </c>
      <c r="E6054" s="1">
        <v>13</v>
      </c>
      <c r="F6054" s="409">
        <f t="shared" si="817"/>
        <v>290</v>
      </c>
      <c r="G6054" s="168">
        <f>SUM(C6054,C6030,C6006,C5982,C5958,C5934,C5910,C5886,C5862,C5838,C5814,C5790,C5766,C5742)/POBLA!$B$5*100000</f>
        <v>710.02303738000694</v>
      </c>
      <c r="H6054" s="256">
        <f t="shared" si="823"/>
        <v>0.79749591725639635</v>
      </c>
      <c r="I6054" s="297">
        <f t="shared" si="826"/>
        <v>566.24047346854127</v>
      </c>
      <c r="J6054" s="297">
        <f t="shared" si="827"/>
        <v>354.57142857142856</v>
      </c>
      <c r="K6054" s="297">
        <f>J6054/POBLA!$B$5*100000</f>
        <v>57.281884569386541</v>
      </c>
      <c r="L6054" s="549">
        <f t="shared" si="824"/>
        <v>-0.29743857814950347</v>
      </c>
      <c r="M6054" s="401">
        <f>SUM(C6054,C6030,C6006,C5982,C5958,C5934,C5910)/POBLA!$B$5*100000</f>
        <v>400.97319198570585</v>
      </c>
    </row>
    <row r="6055" spans="1:13" s="360" customFormat="1" x14ac:dyDescent="0.25">
      <c r="A6055" s="367" t="s">
        <v>20</v>
      </c>
      <c r="B6055" s="34">
        <v>44145</v>
      </c>
      <c r="C6055" s="1">
        <v>1622</v>
      </c>
      <c r="D6055" s="39">
        <f t="shared" si="825"/>
        <v>96067</v>
      </c>
      <c r="E6055" s="1">
        <v>27</v>
      </c>
      <c r="F6055" s="409">
        <f t="shared" si="817"/>
        <v>1529</v>
      </c>
      <c r="G6055" s="168">
        <f>SUM(C6055,C6031,C6007,C5983,C5959,C5935,C5911,C5887,C5863,C5839,C5815,C5791,C5767,C5743)/POBLA!$B$6*100000</f>
        <v>1515.1663854689639</v>
      </c>
      <c r="H6055" s="256">
        <f t="shared" si="823"/>
        <v>0.67955182072829134</v>
      </c>
      <c r="I6055" s="297">
        <f t="shared" si="826"/>
        <v>1029.6340759517386</v>
      </c>
      <c r="J6055" s="297">
        <f t="shared" si="827"/>
        <v>1111</v>
      </c>
      <c r="K6055" s="297">
        <f>J6055/POBLA!$B$6*100000</f>
        <v>99.125536112119818</v>
      </c>
      <c r="L6055" s="549">
        <f t="shared" si="824"/>
        <v>0.15513307984790869</v>
      </c>
      <c r="M6055" s="401">
        <f>SUM(C6055,C6031,C6007,C5983,C5959,C5935,C5911)/POBLA!$B$6*100000</f>
        <v>693.87875278483864</v>
      </c>
    </row>
    <row r="6056" spans="1:13" s="360" customFormat="1" x14ac:dyDescent="0.25">
      <c r="A6056" s="367" t="s">
        <v>30</v>
      </c>
      <c r="B6056" s="34">
        <v>44145</v>
      </c>
      <c r="C6056" s="1">
        <v>62</v>
      </c>
      <c r="D6056" s="39">
        <f t="shared" si="825"/>
        <v>3109</v>
      </c>
      <c r="E6056" s="1">
        <v>2</v>
      </c>
      <c r="F6056" s="409">
        <f t="shared" si="817"/>
        <v>63</v>
      </c>
      <c r="G6056" s="168">
        <f>SUM(C6056,C6032,C6008,C5984,C5960,C5936,C5912,C5888,C5864,C5840,C5816,C5792,C5768,C5744)/POBLA!$B$7*100000</f>
        <v>18.854126500817721</v>
      </c>
      <c r="H6056" s="256">
        <f t="shared" si="823"/>
        <v>1.0874233128834356</v>
      </c>
      <c r="I6056" s="297">
        <f t="shared" si="826"/>
        <v>20.502416701042584</v>
      </c>
      <c r="J6056" s="297">
        <f t="shared" si="827"/>
        <v>70</v>
      </c>
      <c r="K6056" s="297">
        <f>J6056/POBLA!$B$7*100000</f>
        <v>1.8614793442274196</v>
      </c>
      <c r="L6056" s="549">
        <f t="shared" si="824"/>
        <v>-1.2374429223744294</v>
      </c>
      <c r="M6056" s="401">
        <f>SUM(C6056,C6032,C6008,C5984,C5960,C5936,C5912)/POBLA!$B$7*100000</f>
        <v>13.030355409591936</v>
      </c>
    </row>
    <row r="6057" spans="1:13" x14ac:dyDescent="0.25">
      <c r="A6057" s="367" t="s">
        <v>31</v>
      </c>
      <c r="B6057" s="34">
        <v>44145</v>
      </c>
      <c r="C6057" s="1">
        <v>338</v>
      </c>
      <c r="D6057" s="39">
        <f t="shared" si="825"/>
        <v>18598</v>
      </c>
      <c r="E6057" s="1">
        <v>9</v>
      </c>
      <c r="F6057" s="409">
        <f t="shared" si="817"/>
        <v>345</v>
      </c>
      <c r="G6057" s="168">
        <f>SUM(C6057,C6033,C6009,C5985,C5961,C5937,C5913,C5889,C5865,C5841,C5817,C5793,C5769,C5745)/POBLA!$B$8*100000</f>
        <v>282.18687250218443</v>
      </c>
      <c r="H6057" s="256">
        <f t="shared" si="823"/>
        <v>0.80407072368421051</v>
      </c>
      <c r="I6057" s="297">
        <f t="shared" si="826"/>
        <v>226.89820278701546</v>
      </c>
      <c r="J6057" s="297">
        <f t="shared" si="827"/>
        <v>273.42857142857144</v>
      </c>
      <c r="K6057" s="297">
        <f>J6057/POBLA!$B$8*100000</f>
        <v>19.728446285903534</v>
      </c>
      <c r="L6057" s="549">
        <f t="shared" si="824"/>
        <v>4.1562343515272882E-2</v>
      </c>
      <c r="M6057" s="401">
        <f>SUM(C6057,C6033,C6009,C5985,C5961,C5937,C5913)/POBLA!$B$8*100000</f>
        <v>138.09912400132472</v>
      </c>
    </row>
    <row r="6058" spans="1:13" s="360" customFormat="1" x14ac:dyDescent="0.25">
      <c r="A6058" s="367" t="s">
        <v>41</v>
      </c>
      <c r="B6058" s="34">
        <v>44145</v>
      </c>
      <c r="C6058" s="1">
        <v>2</v>
      </c>
      <c r="D6058" s="39">
        <f t="shared" si="825"/>
        <v>163</v>
      </c>
      <c r="E6058" s="1"/>
      <c r="F6058" s="409">
        <f t="shared" si="817"/>
        <v>3</v>
      </c>
      <c r="G6058" s="168">
        <f>SUM(C6058,C6034,C6010,C5986,C5962,C5938,C5914,C5890,C5866,C5842,C5818,C5794,C5770,C5746)/POBLA!$B$9*100000</f>
        <v>2.4785481656265027</v>
      </c>
      <c r="H6058" s="256">
        <f t="shared" si="823"/>
        <v>1.6666666666666667</v>
      </c>
      <c r="I6058" s="297">
        <f t="shared" si="826"/>
        <v>4.1309136093775045</v>
      </c>
      <c r="J6058" s="297">
        <f t="shared" si="827"/>
        <v>0.7142857142857143</v>
      </c>
      <c r="K6058" s="297">
        <f>J6058/POBLA!$B$9*100000</f>
        <v>0.11802610312507156</v>
      </c>
      <c r="L6058" s="549">
        <f t="shared" si="824"/>
        <v>0.5</v>
      </c>
      <c r="M6058" s="401">
        <f>SUM(C6058,C6034,C6010,C5986,C5962,C5938,C5914)/POBLA!$B$9*100000</f>
        <v>0.82618272187550079</v>
      </c>
    </row>
    <row r="6059" spans="1:13" s="360" customFormat="1" x14ac:dyDescent="0.25">
      <c r="A6059" s="367" t="s">
        <v>32</v>
      </c>
      <c r="B6059" s="34">
        <v>44145</v>
      </c>
      <c r="C6059" s="1">
        <v>24</v>
      </c>
      <c r="D6059" s="39">
        <f t="shared" si="825"/>
        <v>18065</v>
      </c>
      <c r="E6059" s="1">
        <v>7</v>
      </c>
      <c r="F6059" s="409">
        <f t="shared" ref="F6059:F6122" si="828">E6059+F6035</f>
        <v>832</v>
      </c>
      <c r="G6059" s="168">
        <f>SUM(C6059,C6035,C6011,C5987,C5963,C5939,C5915,C5891,C5867,C5843,C5819,C5795,C5771,C5747)/POBLA!$B$10*100000</f>
        <v>49.034805631478783</v>
      </c>
      <c r="H6059" s="256">
        <f t="shared" si="823"/>
        <v>0.44733727810650886</v>
      </c>
      <c r="I6059" s="297">
        <f t="shared" si="826"/>
        <v>21.935096483667429</v>
      </c>
      <c r="J6059" s="297">
        <f t="shared" si="827"/>
        <v>17.857142857142858</v>
      </c>
      <c r="K6059" s="297">
        <f>J6059/POBLA!$B$10*100000</f>
        <v>2.3164590717818778</v>
      </c>
      <c r="L6059" s="549">
        <f t="shared" si="824"/>
        <v>0.50592885375494068</v>
      </c>
      <c r="M6059" s="401">
        <f>SUM(C6059,C6035,C6011,C5987,C5963,C5939,C5915)/POBLA!$B$10*100000</f>
        <v>16.215213502473144</v>
      </c>
    </row>
    <row r="6060" spans="1:13" s="360" customFormat="1" x14ac:dyDescent="0.25">
      <c r="A6060" s="367" t="s">
        <v>33</v>
      </c>
      <c r="B6060" s="34">
        <v>44145</v>
      </c>
      <c r="C6060" s="1">
        <v>96</v>
      </c>
      <c r="D6060" s="39">
        <f t="shared" si="825"/>
        <v>4288</v>
      </c>
      <c r="E6060" s="1">
        <v>1</v>
      </c>
      <c r="F6060" s="409">
        <f t="shared" si="828"/>
        <v>42</v>
      </c>
      <c r="G6060" s="168">
        <f>SUM(C6060,C6036,C6012,C5988,C5964,C5940,C5916,C5892,C5868,C5844,C5820,C5796,C5772,C5748)/POBLA!$B$11*100000</f>
        <v>451.973618132512</v>
      </c>
      <c r="H6060" s="256">
        <f t="shared" si="823"/>
        <v>1.0821643286573146</v>
      </c>
      <c r="I6060" s="297">
        <f t="shared" si="826"/>
        <v>489.10972703718733</v>
      </c>
      <c r="J6060" s="297">
        <f t="shared" si="827"/>
        <v>103.42857142857143</v>
      </c>
      <c r="K6060" s="297">
        <f>J6060/POBLA!$B$11*100000</f>
        <v>28.856163979536035</v>
      </c>
      <c r="L6060" s="549">
        <f t="shared" si="824"/>
        <v>0.1919642857142857</v>
      </c>
      <c r="M6060" s="401">
        <f>SUM(C6060,C6036,C6012,C5988,C5964,C5940,C5916)/POBLA!$B$11*100000</f>
        <v>201.99314785675227</v>
      </c>
    </row>
    <row r="6061" spans="1:13" s="360" customFormat="1" x14ac:dyDescent="0.25">
      <c r="A6061" s="367" t="s">
        <v>21</v>
      </c>
      <c r="B6061" s="34">
        <v>44145</v>
      </c>
      <c r="C6061" s="1">
        <v>48</v>
      </c>
      <c r="D6061" s="39">
        <f t="shared" si="825"/>
        <v>7918</v>
      </c>
      <c r="E6061" s="1"/>
      <c r="F6061" s="409">
        <f t="shared" si="828"/>
        <v>292</v>
      </c>
      <c r="G6061" s="168">
        <f>SUM(C6061,C6037,C6013,C5989,C5965,C5941,C5917,C5893,C5869,C5845,C5821,C5797,C5773,C5749)/POBLA!$B$12*100000</f>
        <v>158.05616330098519</v>
      </c>
      <c r="H6061" s="256">
        <f t="shared" si="823"/>
        <v>0.491699604743083</v>
      </c>
      <c r="I6061" s="297">
        <f t="shared" si="826"/>
        <v>77.716153022302592</v>
      </c>
      <c r="J6061" s="297">
        <f t="shared" si="827"/>
        <v>33.714285714285715</v>
      </c>
      <c r="K6061" s="297">
        <f>J6061/POBLA!$B$12*100000</f>
        <v>8.5671232289923065</v>
      </c>
      <c r="L6061" s="549">
        <f t="shared" si="824"/>
        <v>0.3886010362694301</v>
      </c>
      <c r="M6061" s="401">
        <f>SUM(C6061,C6037,C6013,C5989,C5965,C5941,C5917)/POBLA!$B$12*100000</f>
        <v>59.969862602946144</v>
      </c>
    </row>
    <row r="6062" spans="1:13" s="360" customFormat="1" x14ac:dyDescent="0.25">
      <c r="A6062" s="367" t="s">
        <v>17</v>
      </c>
      <c r="B6062" s="34">
        <v>44145</v>
      </c>
      <c r="C6062" s="1">
        <v>520</v>
      </c>
      <c r="D6062" s="39">
        <f t="shared" si="825"/>
        <v>51420</v>
      </c>
      <c r="E6062" s="1">
        <v>16</v>
      </c>
      <c r="F6062" s="409">
        <f t="shared" si="828"/>
        <v>951</v>
      </c>
      <c r="G6062" s="168">
        <f>SUM(C6062,C6038,C6014,C5990,C5966,C5942,C5918,C5894,C5870,C5846,C5822,C5798,C5774,C5750)/POBLA!$B$13*100000</f>
        <v>354.1107088343789</v>
      </c>
      <c r="H6062" s="256">
        <f t="shared" si="823"/>
        <v>0.62261484098939934</v>
      </c>
      <c r="I6062" s="297">
        <f t="shared" si="826"/>
        <v>220.47458267356032</v>
      </c>
      <c r="J6062" s="297">
        <f t="shared" si="827"/>
        <v>444.57142857142856</v>
      </c>
      <c r="K6062" s="297">
        <f>J6062/POBLA!$B$13*100000</f>
        <v>22.336478958419555</v>
      </c>
      <c r="L6062" s="549">
        <f t="shared" si="824"/>
        <v>0.20934959349593496</v>
      </c>
      <c r="M6062" s="401">
        <f>SUM(C6062,C6038,C6014,C5990,C5966,C5942,C5918)/POBLA!$B$13*100000</f>
        <v>156.35535270893686</v>
      </c>
    </row>
    <row r="6063" spans="1:13" s="360" customFormat="1" x14ac:dyDescent="0.25">
      <c r="A6063" s="367" t="s">
        <v>23</v>
      </c>
      <c r="B6063" s="34">
        <v>44145</v>
      </c>
      <c r="C6063" s="1">
        <v>21</v>
      </c>
      <c r="D6063" s="39">
        <f t="shared" si="825"/>
        <v>361</v>
      </c>
      <c r="E6063" s="1"/>
      <c r="F6063" s="409">
        <f t="shared" si="828"/>
        <v>7</v>
      </c>
      <c r="G6063" s="168">
        <f>SUM(C6063,C6039,C6015,C5991,C5967,C5943,C5919,C5895,C5871,C5847,C5823,C5799,C5775,C5751)/POBLA!$B$14*100000</f>
        <v>9.5933224133310713</v>
      </c>
      <c r="H6063" s="256">
        <f t="shared" si="823"/>
        <v>2.2407407407407409</v>
      </c>
      <c r="I6063" s="297">
        <f t="shared" si="826"/>
        <v>21.496148370612218</v>
      </c>
      <c r="J6063" s="297">
        <f t="shared" si="827"/>
        <v>9</v>
      </c>
      <c r="K6063" s="297">
        <f>J6063/POBLA!$B$14*100000</f>
        <v>0.71355290677669125</v>
      </c>
      <c r="L6063" s="549">
        <f t="shared" si="824"/>
        <v>-8.6206896551724199E-2</v>
      </c>
      <c r="M6063" s="401">
        <f>SUM(C6063,C6039,C6015,C5991,C5967,C5943,C5919)/POBLA!$B$14*100000</f>
        <v>4.994870347436839</v>
      </c>
    </row>
    <row r="6064" spans="1:13" s="360" customFormat="1" x14ac:dyDescent="0.25">
      <c r="A6064" s="367" t="s">
        <v>19</v>
      </c>
      <c r="B6064" s="34">
        <v>44145</v>
      </c>
      <c r="C6064" s="1">
        <v>351</v>
      </c>
      <c r="D6064" s="39">
        <f t="shared" si="825"/>
        <v>25754</v>
      </c>
      <c r="E6064" s="1">
        <v>1</v>
      </c>
      <c r="F6064" s="409">
        <f t="shared" si="828"/>
        <v>424</v>
      </c>
      <c r="G6064" s="168">
        <f>SUM(C6064,C6040,C6016,C5992,C5968,C5944,C5920,C5896,C5872,C5848,C5824,C5800,C5776,C5752)/POBLA!$B$15*100000</f>
        <v>837.57870182830686</v>
      </c>
      <c r="H6064" s="256">
        <f t="shared" si="823"/>
        <v>0.74120469083155649</v>
      </c>
      <c r="I6064" s="297">
        <f t="shared" si="826"/>
        <v>620.81726273574668</v>
      </c>
      <c r="J6064" s="297">
        <f t="shared" si="827"/>
        <v>296.57142857142856</v>
      </c>
      <c r="K6064" s="297">
        <f>J6064/POBLA!$B$15*100000</f>
        <v>44.660537961564827</v>
      </c>
      <c r="L6064" s="549">
        <f t="shared" si="824"/>
        <v>0.40447504302925985</v>
      </c>
      <c r="M6064" s="401">
        <f>SUM(C6064,C6040,C6016,C5992,C5968,C5944,C5920)/POBLA!$B$15*100000</f>
        <v>312.62376573095378</v>
      </c>
    </row>
    <row r="6065" spans="1:13" s="360" customFormat="1" x14ac:dyDescent="0.25">
      <c r="A6065" s="367" t="s">
        <v>18</v>
      </c>
      <c r="B6065" s="34">
        <v>44145</v>
      </c>
      <c r="C6065" s="1">
        <v>539</v>
      </c>
      <c r="D6065" s="39">
        <f t="shared" si="825"/>
        <v>27124</v>
      </c>
      <c r="E6065" s="1">
        <v>11</v>
      </c>
      <c r="F6065" s="409">
        <f t="shared" si="828"/>
        <v>682</v>
      </c>
      <c r="G6065" s="168">
        <f>SUM(C6065,C6041,C6017,C5993,C5969,C5945,C5921,C5897,C5873,C5849,C5825,C5801,C5777,C5753)/POBLA!$B$16*100000</f>
        <v>611.95008092454623</v>
      </c>
      <c r="H6065" s="256">
        <f t="shared" si="823"/>
        <v>0.84769316286826013</v>
      </c>
      <c r="I6065" s="297">
        <f t="shared" si="826"/>
        <v>518.7458996164163</v>
      </c>
      <c r="J6065" s="297">
        <f t="shared" si="827"/>
        <v>331</v>
      </c>
      <c r="K6065" s="297">
        <f>J6065/POBLA!$B$16*100000</f>
        <v>44.274421155415254</v>
      </c>
      <c r="L6065" s="549">
        <f t="shared" si="824"/>
        <v>-2.6129317980513767E-2</v>
      </c>
      <c r="M6065" s="401">
        <f>SUM(C6065,C6041,C6017,C5993,C5969,C5945,C5921)/POBLA!$B$16*100000</f>
        <v>309.92094808790677</v>
      </c>
    </row>
    <row r="6066" spans="1:13" s="360" customFormat="1" x14ac:dyDescent="0.25">
      <c r="A6066" s="367" t="s">
        <v>34</v>
      </c>
      <c r="B6066" s="34">
        <v>44145</v>
      </c>
      <c r="C6066" s="1">
        <v>89</v>
      </c>
      <c r="D6066" s="39">
        <f t="shared" si="825"/>
        <v>19700</v>
      </c>
      <c r="E6066" s="1">
        <v>5</v>
      </c>
      <c r="F6066" s="409">
        <f t="shared" si="828"/>
        <v>903</v>
      </c>
      <c r="G6066" s="168">
        <f>SUM(C6066,C6042,C6018,C5994,C5970,C5946,C5922,C5898,C5874,C5850,C5826,C5802,C5778,C5754)/POBLA!$B$17*100000</f>
        <v>117.0319791462633</v>
      </c>
      <c r="H6066" s="256">
        <f t="shared" si="823"/>
        <v>0.6227119910347404</v>
      </c>
      <c r="I6066" s="297">
        <f t="shared" si="826"/>
        <v>72.877216748905838</v>
      </c>
      <c r="J6066" s="297">
        <f t="shared" si="827"/>
        <v>91.571428571428569</v>
      </c>
      <c r="K6066" s="297">
        <f>J6066/POBLA!$B$17*100000</f>
        <v>6.4287855542681269</v>
      </c>
      <c r="L6066" s="549">
        <f t="shared" si="824"/>
        <v>0.37524366471734893</v>
      </c>
      <c r="M6066" s="401">
        <f>SUM(C6066,C6042,C6018,C5994,C5970,C5946,C5922)/POBLA!$B$17*100000</f>
        <v>45.001498879876884</v>
      </c>
    </row>
    <row r="6067" spans="1:13" s="360" customFormat="1" x14ac:dyDescent="0.25">
      <c r="A6067" s="367" t="s">
        <v>35</v>
      </c>
      <c r="B6067" s="34">
        <v>44145</v>
      </c>
      <c r="C6067" s="1">
        <v>142</v>
      </c>
      <c r="D6067" s="39">
        <f t="shared" si="825"/>
        <v>3959</v>
      </c>
      <c r="E6067" s="1"/>
      <c r="F6067" s="409">
        <f t="shared" si="828"/>
        <v>123</v>
      </c>
      <c r="G6067" s="168">
        <f>SUM(C6067,C6043,C6019,C5995,C5971,C5947,C5923,C5899,C5875,C5851,C5827,C5803,C5779,C5755)/POBLA!$B$18*100000</f>
        <v>322.95764173078669</v>
      </c>
      <c r="H6067" s="256">
        <f t="shared" si="823"/>
        <v>15.017857142857142</v>
      </c>
      <c r="I6067" s="297">
        <f t="shared" si="826"/>
        <v>4850.1317267069926</v>
      </c>
      <c r="J6067" s="297">
        <f t="shared" si="827"/>
        <v>152.28571428571428</v>
      </c>
      <c r="K6067" s="297">
        <f>J6067/POBLA!$B$18*100000</f>
        <v>19.493394829569031</v>
      </c>
      <c r="L6067" s="549">
        <f t="shared" si="824"/>
        <v>0.2683596431022649</v>
      </c>
      <c r="M6067" s="401">
        <f>SUM(C6067,C6043,C6019,C5995,C5971,C5947,C5923)/POBLA!$B$18*100000</f>
        <v>136.4537638069832</v>
      </c>
    </row>
    <row r="6068" spans="1:13" s="360" customFormat="1" x14ac:dyDescent="0.25">
      <c r="A6068" s="367" t="s">
        <v>36</v>
      </c>
      <c r="B6068" s="34">
        <v>44145</v>
      </c>
      <c r="C6068" s="1">
        <v>452</v>
      </c>
      <c r="D6068" s="39">
        <f t="shared" si="825"/>
        <v>9821</v>
      </c>
      <c r="E6068" s="1">
        <v>2</v>
      </c>
      <c r="F6068" s="409">
        <f t="shared" si="828"/>
        <v>134</v>
      </c>
      <c r="G6068" s="168">
        <f>SUM(C6068,C6044,C6020,C5996,C5972,C5948,C5924,C5900,C5876,C5852,C5828,C5804,C5780,C5756)/POBLA!$B$19*100000</f>
        <v>736.92576446703708</v>
      </c>
      <c r="H6068" s="256">
        <f t="shared" si="823"/>
        <v>1.0265826253768155</v>
      </c>
      <c r="I6068" s="297">
        <f t="shared" si="826"/>
        <v>756.51518599438771</v>
      </c>
      <c r="J6068" s="297">
        <f t="shared" si="827"/>
        <v>280.71428571428572</v>
      </c>
      <c r="K6068" s="297">
        <f>J6068/POBLA!$B$19*100000</f>
        <v>55.223061825098306</v>
      </c>
      <c r="L6068" s="549">
        <f t="shared" si="824"/>
        <v>-0.10331274564851212</v>
      </c>
      <c r="M6068" s="401">
        <f>SUM(C6068,C6044,C6020,C5996,C5972,C5948,C5924)/POBLA!$B$19*100000</f>
        <v>386.56143277568816</v>
      </c>
    </row>
    <row r="6069" spans="1:13" s="360" customFormat="1" x14ac:dyDescent="0.25">
      <c r="A6069" s="367" t="s">
        <v>37</v>
      </c>
      <c r="B6069" s="34">
        <v>44145</v>
      </c>
      <c r="C6069" s="1">
        <v>257</v>
      </c>
      <c r="D6069" s="39">
        <f t="shared" si="825"/>
        <v>11479</v>
      </c>
      <c r="E6069" s="1">
        <v>5</v>
      </c>
      <c r="F6069" s="409">
        <f t="shared" si="828"/>
        <v>180</v>
      </c>
      <c r="G6069" s="168">
        <f>SUM(C6069,C6045,C6021,C5997,C5973,C5949,C5925,C5901,C5877,C5853,C5829,C5805,C5781,C5757)/POBLA!$B$20*100000</f>
        <v>774.68293509945363</v>
      </c>
      <c r="H6069" s="256">
        <f t="shared" si="823"/>
        <v>1.3287992495309568</v>
      </c>
      <c r="I6069" s="297">
        <f t="shared" si="826"/>
        <v>1029.398102784593</v>
      </c>
      <c r="J6069" s="297">
        <f t="shared" si="827"/>
        <v>202</v>
      </c>
      <c r="K6069" s="297">
        <f>J6069/POBLA!$B$20*100000</f>
        <v>55.236834765298141</v>
      </c>
      <c r="L6069" s="549">
        <f t="shared" si="824"/>
        <v>3.5236081747709314E-3</v>
      </c>
      <c r="M6069" s="401">
        <f>SUM(C6069,C6045,C6021,C5997,C5973,C5949,C5925)/POBLA!$B$20*100000</f>
        <v>386.65784335708702</v>
      </c>
    </row>
    <row r="6070" spans="1:13" s="360" customFormat="1" x14ac:dyDescent="0.25">
      <c r="A6070" s="367" t="s">
        <v>22</v>
      </c>
      <c r="B6070" s="34">
        <v>44145</v>
      </c>
      <c r="C6070" s="1">
        <v>1691</v>
      </c>
      <c r="D6070" s="39">
        <f t="shared" si="825"/>
        <v>121284</v>
      </c>
      <c r="E6070" s="1">
        <v>44</v>
      </c>
      <c r="F6070" s="409">
        <f t="shared" si="828"/>
        <v>1769</v>
      </c>
      <c r="G6070" s="168">
        <f>SUM(C6070,C6046,C6022,C5998,C5974,C5950,C5926,C5902,C5878,C5854,C5830,C5806,C5782,C5758)/POBLA!$B$21*100000</f>
        <v>645.00293800110728</v>
      </c>
      <c r="H6070" s="256">
        <f t="shared" si="823"/>
        <v>0.72238408918165697</v>
      </c>
      <c r="I6070" s="297">
        <f t="shared" si="826"/>
        <v>465.93985988742264</v>
      </c>
      <c r="J6070" s="297">
        <f t="shared" si="827"/>
        <v>1458.4285714285713</v>
      </c>
      <c r="K6070" s="297">
        <f>J6070/POBLA!$B$21*100000</f>
        <v>41.240276783699535</v>
      </c>
      <c r="L6070" s="549">
        <f t="shared" si="824"/>
        <v>0.18982620426950247</v>
      </c>
      <c r="M6070" s="401">
        <f>SUM(C6070,C6046,C6022,C5998,C5974,C5950,C5926)/POBLA!$B$21*100000</f>
        <v>288.68193748589675</v>
      </c>
    </row>
    <row r="6071" spans="1:13" s="360" customFormat="1" x14ac:dyDescent="0.25">
      <c r="A6071" s="367" t="s">
        <v>38</v>
      </c>
      <c r="B6071" s="34">
        <v>44145</v>
      </c>
      <c r="C6071" s="1">
        <v>129</v>
      </c>
      <c r="D6071" s="39">
        <f t="shared" si="825"/>
        <v>11660</v>
      </c>
      <c r="E6071" s="1">
        <v>5</v>
      </c>
      <c r="F6071" s="409">
        <f t="shared" si="828"/>
        <v>151</v>
      </c>
      <c r="G6071" s="168">
        <f>SUM(C6071,C6047,C6023,C5999,C5975,C5951,C5927,C5903,C5879,C5855,C5831,C5807,C5783,C5759)/POBLA!$B$22*100000</f>
        <v>295.50869711431824</v>
      </c>
      <c r="H6071" s="256">
        <f t="shared" si="823"/>
        <v>0.89671215880893296</v>
      </c>
      <c r="I6071" s="297">
        <f t="shared" si="826"/>
        <v>264.98624173619538</v>
      </c>
      <c r="J6071" s="297">
        <f t="shared" si="827"/>
        <v>212.28571428571428</v>
      </c>
      <c r="K6071" s="297">
        <f>J6071/POBLA!$B$22*100000</f>
        <v>21.699161136130694</v>
      </c>
      <c r="L6071" s="549">
        <f t="shared" si="824"/>
        <v>-5.7651245551601393E-2</v>
      </c>
      <c r="M6071" s="401">
        <f>SUM(C6071,C6047,C6023,C5999,C5975,C5951,C5927)/POBLA!$B$22*100000</f>
        <v>151.89412795291489</v>
      </c>
    </row>
    <row r="6072" spans="1:13" s="360" customFormat="1" x14ac:dyDescent="0.25">
      <c r="A6072" s="367" t="s">
        <v>39</v>
      </c>
      <c r="B6072" s="34">
        <v>44145</v>
      </c>
      <c r="C6072" s="1">
        <v>235</v>
      </c>
      <c r="D6072" s="39">
        <f t="shared" si="825"/>
        <v>13544</v>
      </c>
      <c r="E6072" s="1">
        <v>1</v>
      </c>
      <c r="F6072" s="409">
        <f t="shared" si="828"/>
        <v>169</v>
      </c>
      <c r="G6072" s="168">
        <f>SUM(C6072,C6048,C6024,C6000,C5976,C5952,C5928,C5904,C5880,C5856,C5832,C5808,C5784,C5760)/POBLA!$B$23*100000</f>
        <v>1671.6620482949727</v>
      </c>
      <c r="H6072" s="256">
        <f t="shared" si="823"/>
        <v>0.80021656740660529</v>
      </c>
      <c r="I6072" s="297">
        <f t="shared" si="826"/>
        <v>1337.6916661504979</v>
      </c>
      <c r="J6072" s="297">
        <f t="shared" si="827"/>
        <v>224.28571428571428</v>
      </c>
      <c r="K6072" s="297">
        <f>J6072/POBLA!$B$23*100000</f>
        <v>126.8369135812443</v>
      </c>
      <c r="L6072" s="549">
        <f t="shared" si="824"/>
        <v>-0.13275613275613285</v>
      </c>
      <c r="M6072" s="401">
        <f>SUM(C6072,C6048,C6024,C6000,C5976,C5952,C5928)/POBLA!$B$23*100000</f>
        <v>887.85839506871014</v>
      </c>
    </row>
    <row r="6073" spans="1:13" s="360" customFormat="1" ht="15.75" thickBot="1" x14ac:dyDescent="0.3">
      <c r="A6073" s="368" t="s">
        <v>40</v>
      </c>
      <c r="B6073" s="34">
        <v>44145</v>
      </c>
      <c r="C6073" s="1">
        <v>689</v>
      </c>
      <c r="D6073" s="67">
        <f>C6073+D6049</f>
        <v>56057</v>
      </c>
      <c r="E6073" s="1">
        <v>27</v>
      </c>
      <c r="F6073" s="477">
        <f t="shared" si="828"/>
        <v>946</v>
      </c>
      <c r="G6073" s="177">
        <f>SUM(C6073,C6049,C6025,C6001,C5977,C5953,C5929,C5905,C5881,C5857,C5833,C5809,C5785,C5761)/POBLA!$B$24*100000</f>
        <v>619.00468295630492</v>
      </c>
      <c r="H6073" s="402">
        <f t="shared" si="823"/>
        <v>0.62537260045308218</v>
      </c>
      <c r="I6073" s="403">
        <f t="shared" si="826"/>
        <v>387.10856827302007</v>
      </c>
      <c r="J6073" s="403">
        <f t="shared" si="827"/>
        <v>634.57142857142856</v>
      </c>
      <c r="K6073" s="403">
        <f>J6073/POBLA!$B$24*100000</f>
        <v>37.445441940513504</v>
      </c>
      <c r="L6073" s="550">
        <f t="shared" si="824"/>
        <v>0.26554232804232802</v>
      </c>
      <c r="M6073" s="405">
        <f>SUM(C6073,C6049,C6025,C6001,C5977,C5953,C5929)/POBLA!$B$24*100000</f>
        <v>262.11809358359454</v>
      </c>
    </row>
    <row r="6074" spans="1:13" s="360" customFormat="1" x14ac:dyDescent="0.25">
      <c r="A6074" s="363" t="s">
        <v>16</v>
      </c>
      <c r="B6074" s="34">
        <v>44146</v>
      </c>
      <c r="C6074" s="1">
        <v>3040</v>
      </c>
      <c r="D6074" s="174">
        <f t="shared" si="825"/>
        <v>579356</v>
      </c>
      <c r="E6074" s="1">
        <v>128</v>
      </c>
      <c r="F6074" s="475">
        <f t="shared" si="828"/>
        <v>18976</v>
      </c>
      <c r="G6074" s="175">
        <f>SUM(C6074,C6050,C6026,C6002,C5978,C5954,C5930,C5906,C5882,C5858,C5834,C5810,C5786,C5762)/POBLA!$B$1*100000</f>
        <v>227.36833367909193</v>
      </c>
      <c r="H6074" s="300">
        <f t="shared" ref="H6074:H6137" si="829">SUM(C6074,C6050,C6026,C6002,C5978,C5954,C5930,C5906,C5882,C5858,C5834,C5810,C5786,C5762)/SUM(C5738,C5714,C5690,C5666,C5642,C5618,C5594,C5570,C5546,C5522,C5498,C5474,C5450,C5426)</f>
        <v>0.67622374065345292</v>
      </c>
      <c r="I6074" s="301">
        <f>G6074*H6074</f>
        <v>153.751865106618</v>
      </c>
      <c r="J6074" s="301">
        <f>AVERAGE(C6074,C6050,C6026,C6002,C5978,C5954,C5930)</f>
        <v>2665.2857142857142</v>
      </c>
      <c r="K6074" s="301">
        <f>J6074/POBLA!$B$1*100000</f>
        <v>15.194483154121585</v>
      </c>
      <c r="L6074" s="548">
        <f t="shared" ref="L6074:L6137" si="830">1-SUM(C6074,C6050,C6026,C6002,C5978,C5954,C5930)/SUM(C5906,C5882,C5858,C5834,C5810,C5786,C5762)</f>
        <v>0.12103081126919812</v>
      </c>
      <c r="M6074" s="400">
        <f>SUM(C6074,C6050,C6026,C6002,C5978,C5954,C5930)/POBLA!$B$1*100000</f>
        <v>106.36138207885109</v>
      </c>
    </row>
    <row r="6075" spans="1:13" s="360" customFormat="1" x14ac:dyDescent="0.25">
      <c r="A6075" s="367" t="s">
        <v>43</v>
      </c>
      <c r="B6075" s="34">
        <v>44146</v>
      </c>
      <c r="C6075" s="1">
        <v>549</v>
      </c>
      <c r="D6075" s="39">
        <f t="shared" si="825"/>
        <v>152086</v>
      </c>
      <c r="E6075" s="1">
        <v>10</v>
      </c>
      <c r="F6075" s="409">
        <f t="shared" si="828"/>
        <v>5022</v>
      </c>
      <c r="G6075" s="168">
        <f>SUM(C6075,C6051,C6027,C6003,C5979,C5955,C5931,C5907,C5883,C5859,C5835,C5811,C5787,C5763)/POBLA!$B$2*100000</f>
        <v>206.20058355220334</v>
      </c>
      <c r="H6075" s="256">
        <f t="shared" si="829"/>
        <v>0.73039272140965106</v>
      </c>
      <c r="I6075" s="297">
        <f t="shared" ref="I6075:I6097" si="831">G6075*H6075</f>
        <v>150.60740537695193</v>
      </c>
      <c r="J6075" s="297">
        <f t="shared" ref="J6075:J6097" si="832">AVERAGE(C6075,C6051,C6027,C6003,C5979,C5955,C5931)</f>
        <v>466.57142857142856</v>
      </c>
      <c r="K6075" s="297">
        <f>J6075/POBLA!$B$2*100000</f>
        <v>15.169867682152905</v>
      </c>
      <c r="L6075" s="549">
        <f t="shared" si="830"/>
        <v>-6.1768530559167756E-2</v>
      </c>
      <c r="M6075" s="401">
        <f>SUM(C6075,C6051,C6027,C6003,C5979,C5955,C5931)/POBLA!$B$2*100000</f>
        <v>106.18907377507034</v>
      </c>
    </row>
    <row r="6076" spans="1:13" s="360" customFormat="1" x14ac:dyDescent="0.25">
      <c r="A6076" s="367" t="s">
        <v>28</v>
      </c>
      <c r="B6076" s="34">
        <v>44146</v>
      </c>
      <c r="C6076" s="1">
        <v>51</v>
      </c>
      <c r="D6076" s="39">
        <f t="shared" si="825"/>
        <v>1302</v>
      </c>
      <c r="E6076" s="1"/>
      <c r="F6076" s="409">
        <f t="shared" si="828"/>
        <v>2</v>
      </c>
      <c r="G6076" s="168">
        <f>SUM(C6076,C6052,C6028,C6004,C5980,C5956,C5932,C5908,C5884,C5860,C5836,C5812,C5788,C5764)/POBLA!$B$3*100000</f>
        <v>140.09310655260231</v>
      </c>
      <c r="H6076" s="256">
        <f t="shared" si="829"/>
        <v>1.8244514106583072</v>
      </c>
      <c r="I6076" s="297">
        <f t="shared" si="831"/>
        <v>255.59306587339981</v>
      </c>
      <c r="J6076" s="297">
        <f t="shared" si="832"/>
        <v>32.714285714285715</v>
      </c>
      <c r="K6076" s="297">
        <f>J6076/POBLA!$B$3*100000</f>
        <v>7.8746493373946809</v>
      </c>
      <c r="L6076" s="549">
        <f t="shared" si="830"/>
        <v>0.35127478753541075</v>
      </c>
      <c r="M6076" s="401">
        <f>SUM(C6076,C6052,C6028,C6004,C5980,C5956,C5932)/POBLA!$B$3*100000</f>
        <v>55.122545361762761</v>
      </c>
    </row>
    <row r="6077" spans="1:13" s="360" customFormat="1" x14ac:dyDescent="0.25">
      <c r="A6077" s="367" t="s">
        <v>15</v>
      </c>
      <c r="B6077" s="34">
        <v>44146</v>
      </c>
      <c r="C6077" s="1">
        <v>205</v>
      </c>
      <c r="D6077" s="39">
        <f t="shared" si="825"/>
        <v>15512</v>
      </c>
      <c r="E6077" s="1">
        <v>2</v>
      </c>
      <c r="F6077" s="409">
        <f t="shared" si="828"/>
        <v>477</v>
      </c>
      <c r="G6077" s="168">
        <f>SUM(C6077,C6053,C6029,C6005,C5981,C5957,C5933,C5909,C5885,C5861,C5837,C5813,C5789,C5765)/POBLA!$B$4*100000</f>
        <v>160.39304598183043</v>
      </c>
      <c r="H6077" s="256">
        <f t="shared" si="829"/>
        <v>0.71291512915129152</v>
      </c>
      <c r="I6077" s="297">
        <f t="shared" si="831"/>
        <v>114.34662909110568</v>
      </c>
      <c r="J6077" s="297">
        <f t="shared" si="832"/>
        <v>145.57142857142858</v>
      </c>
      <c r="K6077" s="297">
        <f>J6077/POBLA!$B$4*100000</f>
        <v>12.085219894667643</v>
      </c>
      <c r="L6077" s="549">
        <f t="shared" si="830"/>
        <v>-0.11610076670317637</v>
      </c>
      <c r="M6077" s="401">
        <f>SUM(C6077,C6053,C6029,C6005,C5981,C5957,C5933)/POBLA!$B$4*100000</f>
        <v>84.596539262673502</v>
      </c>
    </row>
    <row r="6078" spans="1:13" s="360" customFormat="1" x14ac:dyDescent="0.25">
      <c r="A6078" s="367" t="s">
        <v>29</v>
      </c>
      <c r="B6078" s="34">
        <v>44146</v>
      </c>
      <c r="C6078" s="1">
        <v>354</v>
      </c>
      <c r="D6078" s="39">
        <f t="shared" si="825"/>
        <v>18048</v>
      </c>
      <c r="E6078" s="1">
        <v>7</v>
      </c>
      <c r="F6078" s="409">
        <f t="shared" si="828"/>
        <v>297</v>
      </c>
      <c r="G6078" s="168">
        <f>SUM(C6078,C6054,C6030,C6006,C5982,C5958,C5934,C5910,C5886,C5862,C5838,C5814,C5790,C5766)/POBLA!$B$5*100000</f>
        <v>719.55463219352691</v>
      </c>
      <c r="H6078" s="256">
        <f t="shared" si="829"/>
        <v>0.79964093357271093</v>
      </c>
      <c r="I6078" s="297">
        <f t="shared" si="831"/>
        <v>575.38533784380047</v>
      </c>
      <c r="J6078" s="297">
        <f t="shared" si="832"/>
        <v>333.71428571428572</v>
      </c>
      <c r="K6078" s="297">
        <f>J6078/POBLA!$B$5*100000</f>
        <v>53.912361947657928</v>
      </c>
      <c r="L6078" s="549">
        <f t="shared" si="830"/>
        <v>-0.10292728989612843</v>
      </c>
      <c r="M6078" s="401">
        <f>SUM(C6078,C6054,C6030,C6006,C5982,C5958,C5934)/POBLA!$B$5*100000</f>
        <v>377.3865336336055</v>
      </c>
    </row>
    <row r="6079" spans="1:13" s="360" customFormat="1" x14ac:dyDescent="0.25">
      <c r="A6079" s="367" t="s">
        <v>20</v>
      </c>
      <c r="B6079" s="34">
        <v>44146</v>
      </c>
      <c r="C6079" s="1">
        <v>1361</v>
      </c>
      <c r="D6079" s="39">
        <f t="shared" si="825"/>
        <v>97428</v>
      </c>
      <c r="E6079" s="1">
        <v>28</v>
      </c>
      <c r="F6079" s="409">
        <f t="shared" si="828"/>
        <v>1557</v>
      </c>
      <c r="G6079" s="168">
        <f>SUM(C6079,C6055,C6031,C6007,C5983,C5959,C5935,C5911,C5887,C5863,C5839,C5815,C5791,C5767)/POBLA!$B$6*100000</f>
        <v>1471.7153178842632</v>
      </c>
      <c r="H6079" s="256">
        <f t="shared" si="829"/>
        <v>0.65373335447051362</v>
      </c>
      <c r="I6079" s="297">
        <f t="shared" si="831"/>
        <v>962.10939158611768</v>
      </c>
      <c r="J6079" s="297">
        <f t="shared" si="832"/>
        <v>1134.5714285714287</v>
      </c>
      <c r="K6079" s="297">
        <f>J6079/POBLA!$B$6*100000</f>
        <v>101.22862386555943</v>
      </c>
      <c r="L6079" s="549">
        <f t="shared" si="830"/>
        <v>7.1436922717175277E-2</v>
      </c>
      <c r="M6079" s="401">
        <f>SUM(C6079,C6055,C6031,C6007,C5983,C5959,C5935)/POBLA!$B$6*100000</f>
        <v>708.60036705891594</v>
      </c>
    </row>
    <row r="6080" spans="1:13" s="360" customFormat="1" x14ac:dyDescent="0.25">
      <c r="A6080" s="367" t="s">
        <v>30</v>
      </c>
      <c r="B6080" s="34">
        <v>44146</v>
      </c>
      <c r="C6080" s="1">
        <v>135</v>
      </c>
      <c r="D6080" s="39">
        <f t="shared" si="825"/>
        <v>3244</v>
      </c>
      <c r="E6080" s="1"/>
      <c r="F6080" s="409">
        <f t="shared" si="828"/>
        <v>63</v>
      </c>
      <c r="G6080" s="168">
        <f>SUM(C6080,C6056,C6032,C6008,C5984,C5960,C5936,C5912,C5888,C5864,C5840,C5816,C5792,C5768)/POBLA!$B$7*100000</f>
        <v>20.609235596803572</v>
      </c>
      <c r="H6080" s="256">
        <f t="shared" si="829"/>
        <v>1.1619190404797601</v>
      </c>
      <c r="I6080" s="297">
        <f t="shared" si="831"/>
        <v>23.946263249659324</v>
      </c>
      <c r="J6080" s="297">
        <f t="shared" si="832"/>
        <v>87.285714285714292</v>
      </c>
      <c r="K6080" s="297">
        <f>J6080/POBLA!$B$7*100000</f>
        <v>2.3211507741284767</v>
      </c>
      <c r="L6080" s="549">
        <f t="shared" si="830"/>
        <v>-2.725609756097561</v>
      </c>
      <c r="M6080" s="401">
        <f>SUM(C6080,C6056,C6032,C6008,C5984,C5960,C5936)/POBLA!$B$7*100000</f>
        <v>16.248055418899334</v>
      </c>
    </row>
    <row r="6081" spans="1:13" x14ac:dyDescent="0.25">
      <c r="A6081" s="367" t="s">
        <v>31</v>
      </c>
      <c r="B6081" s="34">
        <v>44146</v>
      </c>
      <c r="C6081" s="1">
        <v>357</v>
      </c>
      <c r="D6081" s="39">
        <f t="shared" si="825"/>
        <v>18955</v>
      </c>
      <c r="E6081" s="1">
        <v>4</v>
      </c>
      <c r="F6081" s="409">
        <f t="shared" si="828"/>
        <v>349</v>
      </c>
      <c r="G6081" s="168">
        <f>SUM(C6081,C6057,C6033,C6009,C5985,C5961,C5937,C5913,C5889,C5865,C5841,C5817,C5793,C5769)/POBLA!$B$8*100000</f>
        <v>283.19700193584089</v>
      </c>
      <c r="H6081" s="256">
        <f t="shared" si="829"/>
        <v>0.79971475142624282</v>
      </c>
      <c r="I6081" s="297">
        <f t="shared" si="831"/>
        <v>226.4768200077782</v>
      </c>
      <c r="J6081" s="297">
        <f t="shared" si="832"/>
        <v>278</v>
      </c>
      <c r="K6081" s="297">
        <f>J6081/POBLA!$B$8*100000</f>
        <v>20.058284468321983</v>
      </c>
      <c r="L6081" s="549">
        <f t="shared" si="830"/>
        <v>1.6675088428499296E-2</v>
      </c>
      <c r="M6081" s="401">
        <f>SUM(C6081,C6057,C6033,C6009,C5985,C5961,C5937)/POBLA!$B$8*100000</f>
        <v>140.40799127825386</v>
      </c>
    </row>
    <row r="6082" spans="1:13" s="360" customFormat="1" x14ac:dyDescent="0.25">
      <c r="A6082" s="367" t="s">
        <v>41</v>
      </c>
      <c r="B6082" s="34">
        <v>44146</v>
      </c>
      <c r="C6082" s="1">
        <v>2</v>
      </c>
      <c r="D6082" s="39">
        <f t="shared" si="825"/>
        <v>165</v>
      </c>
      <c r="E6082" s="1"/>
      <c r="F6082" s="409">
        <f t="shared" si="828"/>
        <v>3</v>
      </c>
      <c r="G6082" s="168">
        <f>SUM(C6082,C6058,C6034,C6010,C5986,C5962,C5938,C5914,C5890,C5866,C5842,C5818,C5794,C5770)/POBLA!$B$9*100000</f>
        <v>2.643784710001603</v>
      </c>
      <c r="H6082" s="256">
        <f t="shared" si="829"/>
        <v>1.7777777777777777</v>
      </c>
      <c r="I6082" s="297">
        <f t="shared" si="831"/>
        <v>4.7000617066695165</v>
      </c>
      <c r="J6082" s="297">
        <f t="shared" si="832"/>
        <v>0.2857142857142857</v>
      </c>
      <c r="K6082" s="297">
        <f>J6082/POBLA!$B$9*100000</f>
        <v>4.7210441250028622E-2</v>
      </c>
      <c r="L6082" s="549">
        <f t="shared" si="830"/>
        <v>0.85714285714285721</v>
      </c>
      <c r="M6082" s="401">
        <f>SUM(C6082,C6058,C6034,C6010,C5986,C5962,C5938)/POBLA!$B$9*100000</f>
        <v>0.33047308875020037</v>
      </c>
    </row>
    <row r="6083" spans="1:13" s="360" customFormat="1" x14ac:dyDescent="0.25">
      <c r="A6083" s="367" t="s">
        <v>32</v>
      </c>
      <c r="B6083" s="34">
        <v>44146</v>
      </c>
      <c r="C6083" s="1">
        <v>10</v>
      </c>
      <c r="D6083" s="39">
        <f t="shared" si="825"/>
        <v>18075</v>
      </c>
      <c r="E6083" s="1"/>
      <c r="F6083" s="409">
        <f t="shared" si="828"/>
        <v>832</v>
      </c>
      <c r="G6083" s="168">
        <f>SUM(C6083,C6059,C6035,C6011,C5987,C5963,C5939,C5915,C5891,C5867,C5843,C5819,C5795,C5771)/POBLA!$B$10*100000</f>
        <v>43.456772186628022</v>
      </c>
      <c r="H6083" s="256">
        <f t="shared" si="829"/>
        <v>0.42138364779874216</v>
      </c>
      <c r="I6083" s="297">
        <f t="shared" si="831"/>
        <v>18.311973185560237</v>
      </c>
      <c r="J6083" s="297">
        <f t="shared" si="832"/>
        <v>16.142857142857142</v>
      </c>
      <c r="K6083" s="297">
        <f>J6083/POBLA!$B$10*100000</f>
        <v>2.0940790008908174</v>
      </c>
      <c r="L6083" s="549">
        <f t="shared" si="830"/>
        <v>0.49099099099099097</v>
      </c>
      <c r="M6083" s="401">
        <f>SUM(C6083,C6059,C6035,C6011,C5987,C5963,C5939)/POBLA!$B$10*100000</f>
        <v>14.658553006235723</v>
      </c>
    </row>
    <row r="6084" spans="1:13" s="360" customFormat="1" x14ac:dyDescent="0.25">
      <c r="A6084" s="367" t="s">
        <v>33</v>
      </c>
      <c r="B6084" s="34">
        <v>44146</v>
      </c>
      <c r="C6084" s="1">
        <v>92</v>
      </c>
      <c r="D6084" s="39">
        <f t="shared" si="825"/>
        <v>4380</v>
      </c>
      <c r="E6084" s="1">
        <v>4</v>
      </c>
      <c r="F6084" s="409">
        <f t="shared" si="828"/>
        <v>46</v>
      </c>
      <c r="G6084" s="168">
        <f>SUM(C6084,C6060,C6036,C6012,C5988,C5964,C5940,C5916,C5892,C5868,C5844,C5820,C5796,C5772)/POBLA!$B$11*100000</f>
        <v>432.72288995279388</v>
      </c>
      <c r="H6084" s="256">
        <f t="shared" si="829"/>
        <v>0.9961464354527938</v>
      </c>
      <c r="I6084" s="297">
        <f t="shared" si="831"/>
        <v>431.05536436530718</v>
      </c>
      <c r="J6084" s="297">
        <f t="shared" si="832"/>
        <v>97</v>
      </c>
      <c r="K6084" s="297">
        <f>J6084/POBLA!$B$11*100000</f>
        <v>27.062617875835592</v>
      </c>
      <c r="L6084" s="549">
        <f t="shared" si="830"/>
        <v>0.22133027522935778</v>
      </c>
      <c r="M6084" s="401">
        <f>SUM(C6084,C6060,C6036,C6012,C5988,C5964,C5940)/POBLA!$B$11*100000</f>
        <v>189.43832513084917</v>
      </c>
    </row>
    <row r="6085" spans="1:13" s="360" customFormat="1" x14ac:dyDescent="0.25">
      <c r="A6085" s="367" t="s">
        <v>21</v>
      </c>
      <c r="B6085" s="34">
        <v>44146</v>
      </c>
      <c r="C6085" s="1">
        <v>41</v>
      </c>
      <c r="D6085" s="39">
        <f t="shared" si="825"/>
        <v>7959</v>
      </c>
      <c r="E6085" s="1"/>
      <c r="F6085" s="409">
        <f t="shared" si="828"/>
        <v>292</v>
      </c>
      <c r="G6085" s="168">
        <f>SUM(C6085,C6061,C6037,C6013,C5989,C5965,C5941,C5917,C5893,C5869,C5845,C5821,C5797,C5773)/POBLA!$B$12*100000</f>
        <v>145.60479352325484</v>
      </c>
      <c r="H6085" s="256">
        <f t="shared" si="829"/>
        <v>0.45189274447949529</v>
      </c>
      <c r="I6085" s="297">
        <f t="shared" si="831"/>
        <v>65.797749754593866</v>
      </c>
      <c r="J6085" s="297">
        <f t="shared" si="832"/>
        <v>30.857142857142858</v>
      </c>
      <c r="K6085" s="297">
        <f>J6085/POBLA!$B$12*100000</f>
        <v>7.8410958367048229</v>
      </c>
      <c r="L6085" s="549">
        <f t="shared" si="830"/>
        <v>0.39495798319327735</v>
      </c>
      <c r="M6085" s="401">
        <f>SUM(C6085,C6061,C6037,C6013,C5989,C5965,C5941)/POBLA!$B$12*100000</f>
        <v>54.887670856933767</v>
      </c>
    </row>
    <row r="6086" spans="1:13" s="360" customFormat="1" x14ac:dyDescent="0.25">
      <c r="A6086" s="367" t="s">
        <v>17</v>
      </c>
      <c r="B6086" s="34">
        <v>44146</v>
      </c>
      <c r="C6086" s="1">
        <v>474</v>
      </c>
      <c r="D6086" s="39">
        <f t="shared" si="825"/>
        <v>51894</v>
      </c>
      <c r="E6086" s="1">
        <v>41</v>
      </c>
      <c r="F6086" s="409">
        <f t="shared" si="828"/>
        <v>992</v>
      </c>
      <c r="G6086" s="168">
        <f>SUM(C6086,C6062,C6038,C6014,C5990,C5966,C5942,C5918,C5894,C5870,C5846,C5822,C5798,C5774)/POBLA!$B$13*100000</f>
        <v>344.01192159321681</v>
      </c>
      <c r="H6086" s="256">
        <f t="shared" si="829"/>
        <v>0.61851851851851847</v>
      </c>
      <c r="I6086" s="297">
        <f t="shared" si="831"/>
        <v>212.77774409654521</v>
      </c>
      <c r="J6086" s="297">
        <f t="shared" si="832"/>
        <v>438.28571428571428</v>
      </c>
      <c r="K6086" s="297">
        <f>J6086/POBLA!$B$13*100000</f>
        <v>22.02066755926452</v>
      </c>
      <c r="L6086" s="549">
        <f t="shared" si="830"/>
        <v>0.18814501190791211</v>
      </c>
      <c r="M6086" s="401">
        <f>SUM(C6086,C6062,C6038,C6014,C5990,C5966,C5942)/POBLA!$B$13*100000</f>
        <v>154.14467291485164</v>
      </c>
    </row>
    <row r="6087" spans="1:13" s="360" customFormat="1" x14ac:dyDescent="0.25">
      <c r="A6087" s="367" t="s">
        <v>23</v>
      </c>
      <c r="B6087" s="34">
        <v>44146</v>
      </c>
      <c r="C6087" s="1">
        <v>-2</v>
      </c>
      <c r="D6087" s="39">
        <f t="shared" si="825"/>
        <v>359</v>
      </c>
      <c r="E6087" s="1"/>
      <c r="F6087" s="409">
        <f t="shared" si="828"/>
        <v>7</v>
      </c>
      <c r="G6087" s="168">
        <f>SUM(C6087,C6063,C6039,C6015,C5991,C5967,C5943,C5919,C5895,C5871,C5847,C5823,C5799,C5775)/POBLA!$B$14*100000</f>
        <v>8.7212021939373372</v>
      </c>
      <c r="H6087" s="256">
        <f t="shared" si="829"/>
        <v>1.8333333333333333</v>
      </c>
      <c r="I6087" s="297">
        <f t="shared" si="831"/>
        <v>15.988870688885118</v>
      </c>
      <c r="J6087" s="297">
        <f t="shared" si="832"/>
        <v>10.285714285714286</v>
      </c>
      <c r="K6087" s="297">
        <f>J6087/POBLA!$B$14*100000</f>
        <v>0.81548903631621861</v>
      </c>
      <c r="L6087" s="549">
        <f t="shared" si="830"/>
        <v>-0.89473684210526305</v>
      </c>
      <c r="M6087" s="401">
        <f>SUM(C6087,C6063,C6039,C6015,C5991,C5967,C5943)/POBLA!$B$14*100000</f>
        <v>5.70842325421353</v>
      </c>
    </row>
    <row r="6088" spans="1:13" s="360" customFormat="1" x14ac:dyDescent="0.25">
      <c r="A6088" s="367" t="s">
        <v>19</v>
      </c>
      <c r="B6088" s="34">
        <v>44146</v>
      </c>
      <c r="C6088" s="1">
        <v>129</v>
      </c>
      <c r="D6088" s="39">
        <f t="shared" si="825"/>
        <v>25883</v>
      </c>
      <c r="E6088" s="1">
        <v>42</v>
      </c>
      <c r="F6088" s="409">
        <f t="shared" si="828"/>
        <v>466</v>
      </c>
      <c r="G6088" s="168">
        <f>SUM(C6088,C6064,C6040,C6016,C5992,C5968,C5944,C5920,C5896,C5872,C5848,C5824,C5800,C5776)/POBLA!$B$15*100000</f>
        <v>799.17838378331976</v>
      </c>
      <c r="H6088" s="256">
        <f t="shared" si="829"/>
        <v>0.69902528977871448</v>
      </c>
      <c r="I6088" s="297">
        <f t="shared" si="831"/>
        <v>558.64590130901979</v>
      </c>
      <c r="J6088" s="297">
        <f t="shared" si="832"/>
        <v>272.42857142857144</v>
      </c>
      <c r="K6088" s="297">
        <f>J6088/POBLA!$B$15*100000</f>
        <v>41.024877597641684</v>
      </c>
      <c r="L6088" s="549">
        <f t="shared" si="830"/>
        <v>0.4391176470588235</v>
      </c>
      <c r="M6088" s="401">
        <f>SUM(C6088,C6064,C6040,C6016,C5992,C5968,C5944)/POBLA!$B$15*100000</f>
        <v>287.17414318349176</v>
      </c>
    </row>
    <row r="6089" spans="1:13" s="360" customFormat="1" x14ac:dyDescent="0.25">
      <c r="A6089" s="367" t="s">
        <v>18</v>
      </c>
      <c r="B6089" s="34">
        <v>44146</v>
      </c>
      <c r="C6089" s="1">
        <v>207</v>
      </c>
      <c r="D6089" s="39">
        <f t="shared" si="825"/>
        <v>27331</v>
      </c>
      <c r="E6089" s="1">
        <v>6</v>
      </c>
      <c r="F6089" s="409">
        <f t="shared" si="828"/>
        <v>688</v>
      </c>
      <c r="G6089" s="168">
        <f>SUM(C6089,C6065,C6041,C6017,C5993,C5969,C5945,C5921,C5897,C5873,C5849,C5825,C5801,C5777)/POBLA!$B$16*100000</f>
        <v>579.44650285576699</v>
      </c>
      <c r="H6089" s="256">
        <f t="shared" si="829"/>
        <v>0.78964637258476122</v>
      </c>
      <c r="I6089" s="297">
        <f t="shared" si="831"/>
        <v>457.55782908698188</v>
      </c>
      <c r="J6089" s="297">
        <f t="shared" si="832"/>
        <v>307.57142857142856</v>
      </c>
      <c r="K6089" s="297">
        <f>J6089/POBLA!$B$16*100000</f>
        <v>41.140625268713443</v>
      </c>
      <c r="L6089" s="549">
        <f t="shared" si="830"/>
        <v>1.1932078935291468E-2</v>
      </c>
      <c r="M6089" s="401">
        <f>SUM(C6089,C6065,C6041,C6017,C5993,C5969,C5945)/POBLA!$B$16*100000</f>
        <v>287.98437688099409</v>
      </c>
    </row>
    <row r="6090" spans="1:13" s="360" customFormat="1" x14ac:dyDescent="0.25">
      <c r="A6090" s="367" t="s">
        <v>34</v>
      </c>
      <c r="B6090" s="34">
        <v>44146</v>
      </c>
      <c r="C6090" s="1">
        <v>93</v>
      </c>
      <c r="D6090" s="39">
        <f t="shared" si="825"/>
        <v>19793</v>
      </c>
      <c r="E6090" s="1">
        <v>7</v>
      </c>
      <c r="F6090" s="409">
        <f t="shared" si="828"/>
        <v>910</v>
      </c>
      <c r="G6090" s="168">
        <f>SUM(C6090,C6066,C6042,C6018,C5994,C5970,C5946,C5922,C5898,C5874,C5850,C5826,C5802,C5778)/POBLA!$B$17*100000</f>
        <v>108.18613069249655</v>
      </c>
      <c r="H6090" s="256">
        <f t="shared" si="829"/>
        <v>0.56117989803350332</v>
      </c>
      <c r="I6090" s="297">
        <f t="shared" si="831"/>
        <v>60.711881790654473</v>
      </c>
      <c r="J6090" s="297">
        <f t="shared" si="832"/>
        <v>85.714285714285708</v>
      </c>
      <c r="K6090" s="297">
        <f>J6090/POBLA!$B$17*100000</f>
        <v>6.0175839821542532</v>
      </c>
      <c r="L6090" s="549">
        <f t="shared" si="830"/>
        <v>0.3623804463336876</v>
      </c>
      <c r="M6090" s="401">
        <f>SUM(C6090,C6066,C6042,C6018,C5994,C5970,C5946)/POBLA!$B$17*100000</f>
        <v>42.123087875079769</v>
      </c>
    </row>
    <row r="6091" spans="1:13" s="360" customFormat="1" x14ac:dyDescent="0.25">
      <c r="A6091" s="367" t="s">
        <v>35</v>
      </c>
      <c r="B6091" s="34">
        <v>44146</v>
      </c>
      <c r="C6091" s="1">
        <v>157</v>
      </c>
      <c r="D6091" s="39">
        <f t="shared" si="825"/>
        <v>4116</v>
      </c>
      <c r="E6091" s="1"/>
      <c r="F6091" s="409">
        <f t="shared" si="828"/>
        <v>123</v>
      </c>
      <c r="G6091" s="168">
        <f>SUM(C6091,C6067,C6043,C6019,C5995,C5971,C5947,C5923,C5899,C5875,C5851,C5827,C5803,C5779)/POBLA!$B$18*100000</f>
        <v>324.6217120211158</v>
      </c>
      <c r="H6091" s="256">
        <f t="shared" si="829"/>
        <v>8.2605863192182412</v>
      </c>
      <c r="I6091" s="297">
        <f t="shared" si="831"/>
        <v>2681.5656732428329</v>
      </c>
      <c r="J6091" s="297">
        <f t="shared" si="832"/>
        <v>149</v>
      </c>
      <c r="K6091" s="297">
        <f>J6091/POBLA!$B$18*100000</f>
        <v>19.072805635310036</v>
      </c>
      <c r="L6091" s="549">
        <f t="shared" si="830"/>
        <v>0.30140656396517085</v>
      </c>
      <c r="M6091" s="401">
        <f>SUM(C6091,C6067,C6043,C6019,C5995,C5971,C5947)/POBLA!$B$18*100000</f>
        <v>133.50963944717026</v>
      </c>
    </row>
    <row r="6092" spans="1:13" s="360" customFormat="1" x14ac:dyDescent="0.25">
      <c r="A6092" s="367" t="s">
        <v>36</v>
      </c>
      <c r="B6092" s="34">
        <v>44146</v>
      </c>
      <c r="C6092" s="1">
        <v>363</v>
      </c>
      <c r="D6092" s="39">
        <f t="shared" si="825"/>
        <v>10184</v>
      </c>
      <c r="E6092" s="1">
        <v>5</v>
      </c>
      <c r="F6092" s="409">
        <f t="shared" si="828"/>
        <v>139</v>
      </c>
      <c r="G6092" s="168">
        <f>SUM(C6092,C6068,C6044,C6020,C5996,C5972,C5948,C5924,C5900,C5876,C5852,C5828,C5804,C5780)/POBLA!$B$19*100000</f>
        <v>775.48354605687666</v>
      </c>
      <c r="H6092" s="256">
        <f t="shared" si="829"/>
        <v>1.0755798090040927</v>
      </c>
      <c r="I6092" s="297">
        <f t="shared" si="831"/>
        <v>834.09444435367186</v>
      </c>
      <c r="J6092" s="297">
        <f t="shared" si="832"/>
        <v>297.28571428571428</v>
      </c>
      <c r="K6092" s="297">
        <f>J6092/POBLA!$B$19*100000</f>
        <v>58.483049189836933</v>
      </c>
      <c r="L6092" s="549">
        <f t="shared" si="830"/>
        <v>-0.11821601289629236</v>
      </c>
      <c r="M6092" s="401">
        <f>SUM(C6092,C6068,C6044,C6020,C5996,C5972,C5948)/POBLA!$B$19*100000</f>
        <v>409.38134432885857</v>
      </c>
    </row>
    <row r="6093" spans="1:13" s="360" customFormat="1" x14ac:dyDescent="0.25">
      <c r="A6093" s="367" t="s">
        <v>37</v>
      </c>
      <c r="B6093" s="34">
        <v>44146</v>
      </c>
      <c r="C6093" s="1">
        <v>305</v>
      </c>
      <c r="D6093" s="39">
        <f t="shared" si="825"/>
        <v>11784</v>
      </c>
      <c r="E6093" s="1">
        <v>2</v>
      </c>
      <c r="F6093" s="409">
        <f t="shared" si="828"/>
        <v>182</v>
      </c>
      <c r="G6093" s="168">
        <f>SUM(C6093,C6069,C6045,C6021,C5997,C5973,C5949,C5925,C5901,C5877,C5853,C5829,C5805,C5781)/POBLA!$B$20*100000</f>
        <v>792.73061378514512</v>
      </c>
      <c r="H6093" s="256">
        <f t="shared" si="829"/>
        <v>1.3322610294117647</v>
      </c>
      <c r="I6093" s="297">
        <f t="shared" si="831"/>
        <v>1056.1241035676176</v>
      </c>
      <c r="J6093" s="297">
        <f t="shared" si="832"/>
        <v>219.14285714285714</v>
      </c>
      <c r="K6093" s="297">
        <f>J6093/POBLA!$B$20*100000</f>
        <v>59.924543514828393</v>
      </c>
      <c r="L6093" s="549">
        <f t="shared" si="830"/>
        <v>-0.12380952380952381</v>
      </c>
      <c r="M6093" s="401">
        <f>SUM(C6093,C6069,C6045,C6021,C5997,C5973,C5949)/POBLA!$B$20*100000</f>
        <v>419.47180460379877</v>
      </c>
    </row>
    <row r="6094" spans="1:13" s="360" customFormat="1" x14ac:dyDescent="0.25">
      <c r="A6094" s="367" t="s">
        <v>22</v>
      </c>
      <c r="B6094" s="34">
        <v>44146</v>
      </c>
      <c r="C6094" s="1">
        <v>1545</v>
      </c>
      <c r="D6094" s="39">
        <f t="shared" si="825"/>
        <v>122829</v>
      </c>
      <c r="E6094" s="1">
        <v>47</v>
      </c>
      <c r="F6094" s="409">
        <f t="shared" si="828"/>
        <v>1816</v>
      </c>
      <c r="G6094" s="168">
        <f>SUM(C6094,C6070,C6046,C6022,C5998,C5974,C5950,C5926,C5902,C5878,C5854,C5830,C5806,C5782)/POBLA!$B$21*100000</f>
        <v>632.05198028061159</v>
      </c>
      <c r="H6094" s="256">
        <f t="shared" si="829"/>
        <v>0.71850589861454883</v>
      </c>
      <c r="I6094" s="297">
        <f t="shared" si="831"/>
        <v>454.13307606262595</v>
      </c>
      <c r="J6094" s="297">
        <f t="shared" si="832"/>
        <v>1458.7142857142858</v>
      </c>
      <c r="K6094" s="297">
        <f>J6094/POBLA!$B$21*100000</f>
        <v>41.248355983774708</v>
      </c>
      <c r="L6094" s="549">
        <f t="shared" si="830"/>
        <v>0.15896548883946959</v>
      </c>
      <c r="M6094" s="401">
        <f>SUM(C6094,C6070,C6046,C6022,C5998,C5974,C5950)/POBLA!$B$21*100000</f>
        <v>288.73849188642293</v>
      </c>
    </row>
    <row r="6095" spans="1:13" s="360" customFormat="1" x14ac:dyDescent="0.25">
      <c r="A6095" s="367" t="s">
        <v>38</v>
      </c>
      <c r="B6095" s="34">
        <v>44146</v>
      </c>
      <c r="C6095" s="1">
        <v>252</v>
      </c>
      <c r="D6095" s="39">
        <f t="shared" si="825"/>
        <v>11912</v>
      </c>
      <c r="E6095" s="1"/>
      <c r="F6095" s="409">
        <f t="shared" si="828"/>
        <v>151</v>
      </c>
      <c r="G6095" s="168">
        <f>SUM(C6095,C6071,C6047,C6023,C5999,C5975,C5951,C5927,C5903,C5879,C5855,C5831,C5807,C5783)/POBLA!$B$22*100000</f>
        <v>291.42002610616436</v>
      </c>
      <c r="H6095" s="256">
        <f t="shared" si="829"/>
        <v>0.84775498067201904</v>
      </c>
      <c r="I6095" s="297">
        <f t="shared" si="831"/>
        <v>247.05277859907065</v>
      </c>
      <c r="J6095" s="297">
        <f t="shared" si="832"/>
        <v>217.85714285714286</v>
      </c>
      <c r="K6095" s="297">
        <f>J6095/POBLA!$B$22*100000</f>
        <v>22.268654597980692</v>
      </c>
      <c r="L6095" s="549">
        <f t="shared" si="830"/>
        <v>-0.15007541478129705</v>
      </c>
      <c r="M6095" s="401">
        <f>SUM(C6095,C6071,C6047,C6023,C5999,C5975,C5951)/POBLA!$B$22*100000</f>
        <v>155.88058218586485</v>
      </c>
    </row>
    <row r="6096" spans="1:13" s="360" customFormat="1" x14ac:dyDescent="0.25">
      <c r="A6096" s="367" t="s">
        <v>39</v>
      </c>
      <c r="B6096" s="34">
        <v>44146</v>
      </c>
      <c r="C6096" s="1">
        <v>123</v>
      </c>
      <c r="D6096" s="39">
        <f t="shared" si="825"/>
        <v>13667</v>
      </c>
      <c r="E6096" s="1">
        <v>3</v>
      </c>
      <c r="F6096" s="409">
        <f t="shared" si="828"/>
        <v>172</v>
      </c>
      <c r="G6096" s="168">
        <f>SUM(C6096,C6072,C6048,C6024,C6000,C5976,C5952,C5928,C5904,C5880,C5856,C5832,C5808,C5784)/POBLA!$B$23*100000</f>
        <v>1607.758864446078</v>
      </c>
      <c r="H6096" s="256">
        <f t="shared" si="829"/>
        <v>0.78211829436038516</v>
      </c>
      <c r="I6096" s="297">
        <f t="shared" si="831"/>
        <v>1257.4576208033561</v>
      </c>
      <c r="J6096" s="297">
        <f t="shared" si="832"/>
        <v>212.57142857142858</v>
      </c>
      <c r="K6096" s="297">
        <f>J6096/POBLA!$B$23*100000</f>
        <v>120.21231045152327</v>
      </c>
      <c r="L6096" s="549">
        <f t="shared" si="830"/>
        <v>-9.8154981549815501E-2</v>
      </c>
      <c r="M6096" s="401">
        <f>SUM(C6096,C6072,C6048,C6024,C6000,C5976,C5952)/POBLA!$B$23*100000</f>
        <v>841.48617316066282</v>
      </c>
    </row>
    <row r="6097" spans="1:13" s="360" customFormat="1" ht="15.75" thickBot="1" x14ac:dyDescent="0.3">
      <c r="A6097" s="368" t="s">
        <v>40</v>
      </c>
      <c r="B6097" s="34">
        <v>44146</v>
      </c>
      <c r="C6097" s="1">
        <v>1037</v>
      </c>
      <c r="D6097" s="67">
        <f>C6097+D6073</f>
        <v>57094</v>
      </c>
      <c r="E6097" s="1">
        <v>12</v>
      </c>
      <c r="F6097" s="477">
        <f t="shared" si="828"/>
        <v>958</v>
      </c>
      <c r="G6097" s="177">
        <f>SUM(C6097,C6073,C6049,C6025,C6001,C5977,C5953,C5929,C5905,C5881,C5857,C5833,C5809,C5785)/POBLA!$B$24*100000</f>
        <v>613.69387061444911</v>
      </c>
      <c r="H6097" s="402">
        <f t="shared" si="829"/>
        <v>0.62424969987995194</v>
      </c>
      <c r="I6097" s="403">
        <f t="shared" si="831"/>
        <v>383.09821454923593</v>
      </c>
      <c r="J6097" s="403">
        <f t="shared" si="832"/>
        <v>675.57142857142856</v>
      </c>
      <c r="K6097" s="403">
        <f>J6097/POBLA!$B$24*100000</f>
        <v>39.864812007358928</v>
      </c>
      <c r="L6097" s="550">
        <f t="shared" si="830"/>
        <v>0.16610827014635865</v>
      </c>
      <c r="M6097" s="405">
        <f>SUM(C6097,C6073,C6049,C6025,C6001,C5977,C5953)/POBLA!$B$24*100000</f>
        <v>279.0536840515125</v>
      </c>
    </row>
    <row r="6098" spans="1:13" s="360" customFormat="1" x14ac:dyDescent="0.25">
      <c r="A6098" s="363" t="s">
        <v>16</v>
      </c>
      <c r="B6098" s="34">
        <v>44147</v>
      </c>
      <c r="C6098" s="1">
        <v>3391</v>
      </c>
      <c r="D6098" s="174">
        <f t="shared" si="825"/>
        <v>582747</v>
      </c>
      <c r="E6098" s="1">
        <v>67</v>
      </c>
      <c r="F6098" s="475">
        <f t="shared" si="828"/>
        <v>19043</v>
      </c>
      <c r="G6098" s="175">
        <f>SUM(C6098,C6074,C6050,C6026,C6002,C5978,C5954,C5930,C5906,C5882,C5858,C5834,C5810,C5786)/POBLA!$B$1*100000</f>
        <v>225.56115363305045</v>
      </c>
      <c r="H6098" s="300">
        <f t="shared" si="829"/>
        <v>0.69498164444678645</v>
      </c>
      <c r="I6098" s="301">
        <f>G6098*H6098</f>
        <v>156.76086147521164</v>
      </c>
      <c r="J6098" s="301">
        <f>AVERAGE(C6098,C6074,C6050,C6026,C6002,C5978,C5954)</f>
        <v>2687</v>
      </c>
      <c r="K6098" s="301">
        <f>J6098/POBLA!$B$1*100000</f>
        <v>15.318273765657548</v>
      </c>
      <c r="L6098" s="548">
        <f t="shared" si="830"/>
        <v>9.3847858553740893E-2</v>
      </c>
      <c r="M6098" s="400">
        <f>SUM(C6098,C6074,C6050,C6026,C6002,C5978,C5954)/POBLA!$B$1*100000</f>
        <v>107.22791635960284</v>
      </c>
    </row>
    <row r="6099" spans="1:13" s="360" customFormat="1" x14ac:dyDescent="0.25">
      <c r="A6099" s="367" t="s">
        <v>43</v>
      </c>
      <c r="B6099" s="34">
        <v>44147</v>
      </c>
      <c r="C6099" s="1">
        <v>499</v>
      </c>
      <c r="D6099" s="39">
        <f t="shared" si="825"/>
        <v>152585</v>
      </c>
      <c r="E6099" s="1">
        <v>19</v>
      </c>
      <c r="F6099" s="409">
        <f t="shared" si="828"/>
        <v>5041</v>
      </c>
      <c r="G6099" s="168">
        <f>SUM(C6099,C6075,C6051,C6027,C6003,C5979,C5955,C5931,C5907,C5883,C5859,C5835,C5811,C5787)/POBLA!$B$2*100000</f>
        <v>205.77790812076552</v>
      </c>
      <c r="H6099" s="256">
        <f t="shared" si="829"/>
        <v>0.75660490137477587</v>
      </c>
      <c r="I6099" s="297">
        <f t="shared" ref="I6099:I6121" si="833">G6099*H6099</f>
        <v>155.69257387881947</v>
      </c>
      <c r="J6099" s="297">
        <f t="shared" ref="J6099:J6121" si="834">AVERAGE(C6099,C6075,C6051,C6027,C6003,C5979,C5955)</f>
        <v>469.85714285714283</v>
      </c>
      <c r="K6099" s="297">
        <f>J6099/POBLA!$B$2*100000</f>
        <v>15.276697736252574</v>
      </c>
      <c r="L6099" s="549">
        <f t="shared" si="830"/>
        <v>-8.1907894736842124E-2</v>
      </c>
      <c r="M6099" s="401">
        <f>SUM(C6099,C6075,C6051,C6027,C6003,C5979,C5955)/POBLA!$B$2*100000</f>
        <v>106.93688415376802</v>
      </c>
    </row>
    <row r="6100" spans="1:13" s="360" customFormat="1" x14ac:dyDescent="0.25">
      <c r="A6100" s="367" t="s">
        <v>28</v>
      </c>
      <c r="B6100" s="34">
        <v>44147</v>
      </c>
      <c r="C6100" s="1">
        <v>26</v>
      </c>
      <c r="D6100" s="39">
        <f t="shared" si="825"/>
        <v>1328</v>
      </c>
      <c r="E6100" s="1">
        <v>2</v>
      </c>
      <c r="F6100" s="409">
        <f t="shared" si="828"/>
        <v>4</v>
      </c>
      <c r="G6100" s="168">
        <f>SUM(C6100,C6076,C6052,C6028,C6004,C5980,C5956,C5932,C5908,C5884,C5860,C5836,C5812,C5788)/POBLA!$B$3*100000</f>
        <v>142.50020460333431</v>
      </c>
      <c r="H6100" s="256">
        <f t="shared" si="829"/>
        <v>1.7993920972644377</v>
      </c>
      <c r="I6100" s="297">
        <f t="shared" si="833"/>
        <v>256.41374202180521</v>
      </c>
      <c r="J6100" s="297">
        <f t="shared" si="834"/>
        <v>29.714285714285715</v>
      </c>
      <c r="K6100" s="297">
        <f>J6100/POBLA!$B$3*100000</f>
        <v>7.1525199221750819</v>
      </c>
      <c r="L6100" s="549">
        <f t="shared" si="830"/>
        <v>0.45833333333333337</v>
      </c>
      <c r="M6100" s="401">
        <f>SUM(C6100,C6076,C6052,C6028,C6004,C5980,C5956)/POBLA!$B$3*100000</f>
        <v>50.067639455225567</v>
      </c>
    </row>
    <row r="6101" spans="1:13" s="360" customFormat="1" x14ac:dyDescent="0.25">
      <c r="A6101" s="367" t="s">
        <v>15</v>
      </c>
      <c r="B6101" s="34">
        <v>44147</v>
      </c>
      <c r="C6101" s="1">
        <v>203</v>
      </c>
      <c r="D6101" s="39">
        <f t="shared" si="825"/>
        <v>15715</v>
      </c>
      <c r="E6101" s="1">
        <v>5</v>
      </c>
      <c r="F6101" s="409">
        <f t="shared" si="828"/>
        <v>482</v>
      </c>
      <c r="G6101" s="168">
        <f>SUM(C6101,C6077,C6053,C6029,C6005,C5981,C5957,C5933,C5909,C5885,C5861,C5837,C5813,C5789)/POBLA!$B$4*100000</f>
        <v>166.45344575236541</v>
      </c>
      <c r="H6101" s="256">
        <f t="shared" si="829"/>
        <v>0.75860764283011728</v>
      </c>
      <c r="I6101" s="297">
        <f t="shared" si="833"/>
        <v>126.27285612315272</v>
      </c>
      <c r="J6101" s="297">
        <f t="shared" si="834"/>
        <v>153.85714285714286</v>
      </c>
      <c r="K6101" s="297">
        <f>J6101/POBLA!$B$4*100000</f>
        <v>12.773093058446566</v>
      </c>
      <c r="L6101" s="549">
        <f t="shared" si="830"/>
        <v>-0.1605603448275863</v>
      </c>
      <c r="M6101" s="401">
        <f>SUM(C6101,C6077,C6053,C6029,C6005,C5981,C5957)/POBLA!$B$4*100000</f>
        <v>89.411651409125966</v>
      </c>
    </row>
    <row r="6102" spans="1:13" s="360" customFormat="1" x14ac:dyDescent="0.25">
      <c r="A6102" s="367" t="s">
        <v>29</v>
      </c>
      <c r="B6102" s="34">
        <v>44147</v>
      </c>
      <c r="C6102" s="1">
        <v>342</v>
      </c>
      <c r="D6102" s="39">
        <f t="shared" si="825"/>
        <v>18390</v>
      </c>
      <c r="E6102" s="1">
        <v>13</v>
      </c>
      <c r="F6102" s="409">
        <f t="shared" si="828"/>
        <v>310</v>
      </c>
      <c r="G6102" s="168">
        <f>SUM(C6102,C6078,C6054,C6030,C6006,C5982,C5958,C5934,C5910,C5886,C5862,C5838,C5814,C5790)/POBLA!$B$5*100000</f>
        <v>728.92467455258043</v>
      </c>
      <c r="H6102" s="256">
        <f t="shared" si="829"/>
        <v>0.80442146550187199</v>
      </c>
      <c r="I6102" s="297">
        <f t="shared" si="833"/>
        <v>586.36265494406189</v>
      </c>
      <c r="J6102" s="297">
        <f t="shared" si="834"/>
        <v>319.57142857142856</v>
      </c>
      <c r="K6102" s="297">
        <f>J6102/POBLA!$B$5*100000</f>
        <v>51.62754866306112</v>
      </c>
      <c r="L6102" s="549">
        <f t="shared" si="830"/>
        <v>1.6703296703296733E-2</v>
      </c>
      <c r="M6102" s="401">
        <f>SUM(C6102,C6078,C6054,C6030,C6006,C5982,C5958)/POBLA!$B$5*100000</f>
        <v>361.39284064142788</v>
      </c>
    </row>
    <row r="6103" spans="1:13" s="360" customFormat="1" x14ac:dyDescent="0.25">
      <c r="A6103" s="367" t="s">
        <v>20</v>
      </c>
      <c r="B6103" s="34">
        <v>44147</v>
      </c>
      <c r="C6103" s="1">
        <v>1432</v>
      </c>
      <c r="D6103" s="39">
        <f t="shared" si="825"/>
        <v>98860</v>
      </c>
      <c r="E6103" s="1">
        <v>26</v>
      </c>
      <c r="F6103" s="409">
        <f t="shared" si="828"/>
        <v>1583</v>
      </c>
      <c r="G6103" s="168">
        <f>SUM(C6103,C6079,C6055,C6031,C6007,C5983,C5959,C5935,C5911,C5887,C5863,C5839,C5815,C5791)/POBLA!$B$6*100000</f>
        <v>1469.4847702669788</v>
      </c>
      <c r="H6103" s="256">
        <f t="shared" si="829"/>
        <v>0.66932173771690984</v>
      </c>
      <c r="I6103" s="297">
        <f t="shared" si="833"/>
        <v>983.55809998362827</v>
      </c>
      <c r="J6103" s="297">
        <f t="shared" si="834"/>
        <v>1188.5714285714287</v>
      </c>
      <c r="K6103" s="297">
        <f>J6103/POBLA!$B$6*100000</f>
        <v>106.04660671889377</v>
      </c>
      <c r="L6103" s="549">
        <f t="shared" si="830"/>
        <v>-2.0858895705521574E-2</v>
      </c>
      <c r="M6103" s="401">
        <f>SUM(C6103,C6079,C6055,C6031,C6007,C5983,C5959)/POBLA!$B$6*100000</f>
        <v>742.32624703225633</v>
      </c>
    </row>
    <row r="6104" spans="1:13" s="360" customFormat="1" x14ac:dyDescent="0.25">
      <c r="A6104" s="367" t="s">
        <v>30</v>
      </c>
      <c r="B6104" s="34">
        <v>44147</v>
      </c>
      <c r="C6104" s="1">
        <v>171</v>
      </c>
      <c r="D6104" s="39">
        <f t="shared" si="825"/>
        <v>3415</v>
      </c>
      <c r="E6104" s="1">
        <v>2</v>
      </c>
      <c r="F6104" s="409">
        <f t="shared" si="828"/>
        <v>65</v>
      </c>
      <c r="G6104" s="168">
        <f>SUM(C6104,C6080,C6056,C6032,C6008,C5984,C5960,C5936,C5912,C5888,C5864,C5840,C5816,C5792)/POBLA!$B$7*100000</f>
        <v>23.534417423446662</v>
      </c>
      <c r="H6104" s="256">
        <f t="shared" si="829"/>
        <v>1.3490853658536586</v>
      </c>
      <c r="I6104" s="297">
        <f t="shared" si="833"/>
        <v>31.749938139863257</v>
      </c>
      <c r="J6104" s="297">
        <f t="shared" si="834"/>
        <v>109.14285714285714</v>
      </c>
      <c r="K6104" s="297">
        <f>J6104/POBLA!$B$7*100000</f>
        <v>2.9023882020198948</v>
      </c>
      <c r="L6104" s="549">
        <f t="shared" si="830"/>
        <v>-5.3140495867768598</v>
      </c>
      <c r="M6104" s="401">
        <f>SUM(C6104,C6080,C6056,C6032,C6008,C5984,C5960)/POBLA!$B$7*100000</f>
        <v>20.316717414139266</v>
      </c>
    </row>
    <row r="6105" spans="1:13" x14ac:dyDescent="0.25">
      <c r="A6105" s="367" t="s">
        <v>31</v>
      </c>
      <c r="B6105" s="34">
        <v>44147</v>
      </c>
      <c r="C6105" s="1">
        <v>308</v>
      </c>
      <c r="D6105" s="39">
        <f t="shared" si="825"/>
        <v>19263</v>
      </c>
      <c r="E6105" s="1">
        <v>9</v>
      </c>
      <c r="F6105" s="409">
        <f t="shared" si="828"/>
        <v>358</v>
      </c>
      <c r="G6105" s="168">
        <f>SUM(C6105,C6081,C6057,C6033,C6009,C5985,C5961,C5937,C5913,C5889,C5865,C5841,C5817,C5793)/POBLA!$B$8*100000</f>
        <v>279.44509261083101</v>
      </c>
      <c r="H6105" s="256">
        <f t="shared" si="829"/>
        <v>0.78496149169031215</v>
      </c>
      <c r="I6105" s="297">
        <f t="shared" si="833"/>
        <v>219.35363674133535</v>
      </c>
      <c r="J6105" s="297">
        <f t="shared" si="834"/>
        <v>274</v>
      </c>
      <c r="K6105" s="297">
        <f>J6105/POBLA!$B$8*100000</f>
        <v>19.769676058705837</v>
      </c>
      <c r="L6105" s="549">
        <f t="shared" si="830"/>
        <v>1.8925831202046051E-2</v>
      </c>
      <c r="M6105" s="401">
        <f>SUM(C6105,C6081,C6057,C6033,C6009,C5985,C5961)/POBLA!$B$8*100000</f>
        <v>138.38773241094086</v>
      </c>
    </row>
    <row r="6106" spans="1:13" s="360" customFormat="1" x14ac:dyDescent="0.25">
      <c r="A6106" s="367" t="s">
        <v>41</v>
      </c>
      <c r="B6106" s="34">
        <v>44147</v>
      </c>
      <c r="C6106" s="1">
        <v>1</v>
      </c>
      <c r="D6106" s="39">
        <f t="shared" si="825"/>
        <v>166</v>
      </c>
      <c r="E6106" s="1"/>
      <c r="F6106" s="409">
        <f t="shared" si="828"/>
        <v>3</v>
      </c>
      <c r="G6106" s="168">
        <f>SUM(C6106,C6082,C6058,C6034,C6010,C5986,C5962,C5938,C5914,C5890,C5866,C5842,C5818,C5794)/POBLA!$B$9*100000</f>
        <v>2.643784710001603</v>
      </c>
      <c r="H6106" s="256">
        <f t="shared" si="829"/>
        <v>1.3333333333333333</v>
      </c>
      <c r="I6106" s="297">
        <f t="shared" si="833"/>
        <v>3.5250462800021372</v>
      </c>
      <c r="J6106" s="297">
        <f t="shared" si="834"/>
        <v>0.8571428571428571</v>
      </c>
      <c r="K6106" s="297">
        <f>J6106/POBLA!$B$9*100000</f>
        <v>0.14163132375008586</v>
      </c>
      <c r="L6106" s="549">
        <f t="shared" si="830"/>
        <v>0.4</v>
      </c>
      <c r="M6106" s="401">
        <f>SUM(C6106,C6082,C6058,C6034,C6010,C5986,C5962)/POBLA!$B$9*100000</f>
        <v>0.99141926625060106</v>
      </c>
    </row>
    <row r="6107" spans="1:13" s="360" customFormat="1" x14ac:dyDescent="0.25">
      <c r="A6107" s="367" t="s">
        <v>32</v>
      </c>
      <c r="B6107" s="34">
        <v>44147</v>
      </c>
      <c r="C6107" s="1">
        <v>20</v>
      </c>
      <c r="D6107" s="39">
        <f t="shared" si="825"/>
        <v>18095</v>
      </c>
      <c r="E6107" s="1">
        <v>4</v>
      </c>
      <c r="F6107" s="409">
        <f t="shared" si="828"/>
        <v>836</v>
      </c>
      <c r="G6107" s="168">
        <f>SUM(C6107,C6083,C6059,C6035,C6011,C5987,C5963,C5939,C5915,C5891,C5867,C5843,C5819,C5795)/POBLA!$B$10*100000</f>
        <v>40.084007778113616</v>
      </c>
      <c r="H6107" s="256">
        <f t="shared" si="829"/>
        <v>0.42857142857142855</v>
      </c>
      <c r="I6107" s="297">
        <f t="shared" si="833"/>
        <v>17.178860476334407</v>
      </c>
      <c r="J6107" s="297">
        <f t="shared" si="834"/>
        <v>17.142857142857142</v>
      </c>
      <c r="K6107" s="297">
        <f>J6107/POBLA!$B$10*100000</f>
        <v>2.2238007089106024</v>
      </c>
      <c r="L6107" s="549">
        <f t="shared" si="830"/>
        <v>0.36507936507936511</v>
      </c>
      <c r="M6107" s="401">
        <f>SUM(C6107,C6083,C6059,C6035,C6011,C5987,C5963)/POBLA!$B$10*100000</f>
        <v>15.566604962374218</v>
      </c>
    </row>
    <row r="6108" spans="1:13" s="360" customFormat="1" x14ac:dyDescent="0.25">
      <c r="A6108" s="367" t="s">
        <v>33</v>
      </c>
      <c r="B6108" s="34">
        <v>44147</v>
      </c>
      <c r="C6108" s="1">
        <v>86</v>
      </c>
      <c r="D6108" s="39">
        <f t="shared" si="825"/>
        <v>4466</v>
      </c>
      <c r="E6108" s="1">
        <v>2</v>
      </c>
      <c r="F6108" s="409">
        <f t="shared" si="828"/>
        <v>48</v>
      </c>
      <c r="G6108" s="168">
        <f>SUM(C6108,C6084,C6060,C6036,C6012,C5988,C5964,C5940,C5916,C5892,C5868,C5844,C5820,C5796)/POBLA!$B$11*100000</f>
        <v>392.2684611693283</v>
      </c>
      <c r="H6108" s="256">
        <f t="shared" si="829"/>
        <v>0.82415005861664714</v>
      </c>
      <c r="I6108" s="297">
        <f t="shared" si="833"/>
        <v>323.2880752661639</v>
      </c>
      <c r="J6108" s="297">
        <f t="shared" si="834"/>
        <v>93.428571428571431</v>
      </c>
      <c r="K6108" s="297">
        <f>J6108/POBLA!$B$11*100000</f>
        <v>26.066203373779793</v>
      </c>
      <c r="L6108" s="549">
        <f t="shared" si="830"/>
        <v>0.13031914893617025</v>
      </c>
      <c r="M6108" s="401">
        <f>SUM(C6108,C6084,C6060,C6036,C6012,C5988,C5964)/POBLA!$B$11*100000</f>
        <v>182.46342361645853</v>
      </c>
    </row>
    <row r="6109" spans="1:13" s="360" customFormat="1" x14ac:dyDescent="0.25">
      <c r="A6109" s="367" t="s">
        <v>21</v>
      </c>
      <c r="B6109" s="34">
        <v>44147</v>
      </c>
      <c r="C6109" s="1">
        <v>48</v>
      </c>
      <c r="D6109" s="39">
        <f t="shared" si="825"/>
        <v>8007</v>
      </c>
      <c r="E6109" s="1">
        <v>6</v>
      </c>
      <c r="F6109" s="409">
        <f t="shared" si="828"/>
        <v>298</v>
      </c>
      <c r="G6109" s="168">
        <f>SUM(C6109,C6085,C6061,C6037,C6013,C5989,C5965,C5941,C5917,C5893,C5869,C5845,C5821,C5797)/POBLA!$B$12*100000</f>
        <v>143.8260264121505</v>
      </c>
      <c r="H6109" s="256">
        <f t="shared" si="829"/>
        <v>0.46546052631578949</v>
      </c>
      <c r="I6109" s="297">
        <f t="shared" si="833"/>
        <v>66.945337951708211</v>
      </c>
      <c r="J6109" s="297">
        <f t="shared" si="834"/>
        <v>34.857142857142854</v>
      </c>
      <c r="K6109" s="297">
        <f>J6109/POBLA!$B$12*100000</f>
        <v>8.8575341859072996</v>
      </c>
      <c r="L6109" s="549">
        <f t="shared" si="830"/>
        <v>0.24223602484472051</v>
      </c>
      <c r="M6109" s="401">
        <f>SUM(C6109,C6085,C6061,C6037,C6013,C5989,C5965)/POBLA!$B$12*100000</f>
        <v>62.002739301351106</v>
      </c>
    </row>
    <row r="6110" spans="1:13" s="360" customFormat="1" x14ac:dyDescent="0.25">
      <c r="A6110" s="367" t="s">
        <v>17</v>
      </c>
      <c r="B6110" s="34">
        <v>44147</v>
      </c>
      <c r="C6110" s="1">
        <v>380</v>
      </c>
      <c r="D6110" s="39">
        <f t="shared" si="825"/>
        <v>52274</v>
      </c>
      <c r="E6110" s="1">
        <v>7</v>
      </c>
      <c r="F6110" s="409">
        <f t="shared" si="828"/>
        <v>999</v>
      </c>
      <c r="G6110" s="168">
        <f>SUM(C6110,C6086,C6062,C6038,C6014,C5990,C5966,C5942,C5918,C5894,C5870,C5846,C5822,C5798)/POBLA!$B$13*100000</f>
        <v>322.25682271051448</v>
      </c>
      <c r="H6110" s="256">
        <f t="shared" si="829"/>
        <v>0.59240786921584931</v>
      </c>
      <c r="I6110" s="297">
        <f t="shared" si="833"/>
        <v>190.90747768220561</v>
      </c>
      <c r="J6110" s="297">
        <f t="shared" si="834"/>
        <v>402.85714285714283</v>
      </c>
      <c r="K6110" s="297">
        <f>J6110/POBLA!$B$13*100000</f>
        <v>20.240639673117975</v>
      </c>
      <c r="L6110" s="549">
        <f t="shared" si="830"/>
        <v>0.21535893155258767</v>
      </c>
      <c r="M6110" s="401">
        <f>SUM(C6110,C6086,C6062,C6038,C6014,C5990,C5966)/POBLA!$B$13*100000</f>
        <v>141.68447771182582</v>
      </c>
    </row>
    <row r="6111" spans="1:13" s="360" customFormat="1" x14ac:dyDescent="0.25">
      <c r="A6111" s="367" t="s">
        <v>23</v>
      </c>
      <c r="B6111" s="34">
        <v>44147</v>
      </c>
      <c r="C6111" s="1">
        <v>0</v>
      </c>
      <c r="D6111" s="39">
        <f t="shared" si="825"/>
        <v>359</v>
      </c>
      <c r="E6111" s="1"/>
      <c r="F6111" s="409">
        <f t="shared" si="828"/>
        <v>7</v>
      </c>
      <c r="G6111" s="168">
        <f>SUM(C6111,C6087,C6063,C6039,C6015,C5991,C5967,C5943,C5919,C5895,C5871,C5847,C5823,C5799)/POBLA!$B$14*100000</f>
        <v>7.8490819745436031</v>
      </c>
      <c r="H6111" s="256">
        <f t="shared" si="829"/>
        <v>1.6779661016949152</v>
      </c>
      <c r="I6111" s="297">
        <f t="shared" si="833"/>
        <v>13.170493482708757</v>
      </c>
      <c r="J6111" s="297">
        <f t="shared" si="834"/>
        <v>7.7142857142857144</v>
      </c>
      <c r="K6111" s="297">
        <f>J6111/POBLA!$B$14*100000</f>
        <v>0.6116167772371639</v>
      </c>
      <c r="L6111" s="549">
        <f t="shared" si="830"/>
        <v>-0.19999999999999996</v>
      </c>
      <c r="M6111" s="401">
        <f>SUM(C6111,C6087,C6063,C6039,C6015,C5991,C5967)/POBLA!$B$14*100000</f>
        <v>4.281317440660148</v>
      </c>
    </row>
    <row r="6112" spans="1:13" s="360" customFormat="1" x14ac:dyDescent="0.25">
      <c r="A6112" s="367" t="s">
        <v>19</v>
      </c>
      <c r="B6112" s="34">
        <v>44147</v>
      </c>
      <c r="C6112" s="1">
        <v>355</v>
      </c>
      <c r="D6112" s="39">
        <f t="shared" si="825"/>
        <v>26238</v>
      </c>
      <c r="E6112" s="1">
        <v>17</v>
      </c>
      <c r="F6112" s="409">
        <f t="shared" si="828"/>
        <v>483</v>
      </c>
      <c r="G6112" s="168">
        <f>SUM(C6112,C6088,C6064,C6040,C6016,C5992,C5968,C5944,C5920,C5896,C5872,C5848,C5824,C5800)/POBLA!$B$15*100000</f>
        <v>777.49349829909181</v>
      </c>
      <c r="H6112" s="256">
        <f t="shared" si="829"/>
        <v>0.67340550410851707</v>
      </c>
      <c r="I6112" s="297">
        <f t="shared" si="833"/>
        <v>523.56840116319438</v>
      </c>
      <c r="J6112" s="297">
        <f t="shared" si="834"/>
        <v>257.14285714285717</v>
      </c>
      <c r="K6112" s="297">
        <f>J6112/POBLA!$B$15*100000</f>
        <v>38.72300979326431</v>
      </c>
      <c r="L6112" s="549">
        <f t="shared" si="830"/>
        <v>0.46476360392506688</v>
      </c>
      <c r="M6112" s="401">
        <f>SUM(C6112,C6088,C6064,C6040,C6016,C5992,C5968)/POBLA!$B$15*100000</f>
        <v>271.06106855285014</v>
      </c>
    </row>
    <row r="6113" spans="1:13" s="360" customFormat="1" x14ac:dyDescent="0.25">
      <c r="A6113" s="367" t="s">
        <v>18</v>
      </c>
      <c r="B6113" s="34">
        <v>44147</v>
      </c>
      <c r="C6113" s="1">
        <v>429</v>
      </c>
      <c r="D6113" s="39">
        <f t="shared" si="825"/>
        <v>27760</v>
      </c>
      <c r="E6113" s="1">
        <v>8</v>
      </c>
      <c r="F6113" s="409">
        <f t="shared" si="828"/>
        <v>696</v>
      </c>
      <c r="G6113" s="168">
        <f>SUM(C6113,C6089,C6065,C6041,C6017,C5993,C5969,C5945,C5921,C5897,C5873,C5849,C5825,C5801)/POBLA!$B$16*100000</f>
        <v>576.503792084108</v>
      </c>
      <c r="H6113" s="256">
        <f t="shared" si="829"/>
        <v>0.79740980573543019</v>
      </c>
      <c r="I6113" s="297">
        <f t="shared" si="833"/>
        <v>459.70977685152741</v>
      </c>
      <c r="J6113" s="297">
        <f t="shared" si="834"/>
        <v>318.14285714285717</v>
      </c>
      <c r="K6113" s="297">
        <f>J6113/POBLA!$B$16*100000</f>
        <v>42.55465512003012</v>
      </c>
      <c r="L6113" s="549">
        <f t="shared" si="830"/>
        <v>-6.9131060969755076E-2</v>
      </c>
      <c r="M6113" s="401">
        <f>SUM(C6113,C6089,C6065,C6041,C6017,C5993,C5969)/POBLA!$B$16*100000</f>
        <v>297.88258584021082</v>
      </c>
    </row>
    <row r="6114" spans="1:13" s="360" customFormat="1" x14ac:dyDescent="0.25">
      <c r="A6114" s="367" t="s">
        <v>34</v>
      </c>
      <c r="B6114" s="34">
        <v>44147</v>
      </c>
      <c r="C6114" s="1">
        <v>116</v>
      </c>
      <c r="D6114" s="39">
        <f t="shared" ref="D6114:D6120" si="835">C6114+D6090</f>
        <v>19909</v>
      </c>
      <c r="E6114" s="1">
        <v>1</v>
      </c>
      <c r="F6114" s="409">
        <f t="shared" si="828"/>
        <v>911</v>
      </c>
      <c r="G6114" s="168">
        <f>SUM(C6114,C6090,C6066,C6042,C6018,C5994,C5970,C5946,C5922,C5898,C5874,C5850,C5826,C5802)/POBLA!$B$17*100000</f>
        <v>105.30771968769942</v>
      </c>
      <c r="H6114" s="256">
        <f t="shared" si="829"/>
        <v>0.56689342403628118</v>
      </c>
      <c r="I6114" s="297">
        <f t="shared" si="833"/>
        <v>59.698253791212821</v>
      </c>
      <c r="J6114" s="297">
        <f t="shared" si="834"/>
        <v>86.285714285714292</v>
      </c>
      <c r="K6114" s="297">
        <f>J6114/POBLA!$B$17*100000</f>
        <v>6.0577012087019479</v>
      </c>
      <c r="L6114" s="549">
        <f t="shared" si="830"/>
        <v>0.3258928571428571</v>
      </c>
      <c r="M6114" s="401">
        <f>SUM(C6114,C6090,C6066,C6042,C6018,C5994,C5970)/POBLA!$B$17*100000</f>
        <v>42.403908460913634</v>
      </c>
    </row>
    <row r="6115" spans="1:13" s="360" customFormat="1" x14ac:dyDescent="0.25">
      <c r="A6115" s="367" t="s">
        <v>35</v>
      </c>
      <c r="B6115" s="34">
        <v>44147</v>
      </c>
      <c r="C6115" s="1">
        <v>118</v>
      </c>
      <c r="D6115" s="39">
        <f t="shared" si="835"/>
        <v>4234</v>
      </c>
      <c r="E6115" s="1"/>
      <c r="F6115" s="409">
        <f t="shared" si="828"/>
        <v>123</v>
      </c>
      <c r="G6115" s="168">
        <f>SUM(C6115,C6091,C6067,C6043,C6019,C5995,C5971,C5947,C5923,C5899,C5875,C5851,C5827,C5803)/POBLA!$B$18*100000</f>
        <v>301.70874417735405</v>
      </c>
      <c r="H6115" s="256">
        <f t="shared" si="829"/>
        <v>3.9217970049916806</v>
      </c>
      <c r="I6115" s="297">
        <f t="shared" si="833"/>
        <v>1183.2404492945482</v>
      </c>
      <c r="J6115" s="297">
        <f t="shared" si="834"/>
        <v>146.71428571428572</v>
      </c>
      <c r="K6115" s="297">
        <f>J6115/POBLA!$B$18*100000</f>
        <v>18.780221847999432</v>
      </c>
      <c r="L6115" s="549">
        <f t="shared" si="830"/>
        <v>0.22781954887218048</v>
      </c>
      <c r="M6115" s="401">
        <f>SUM(C6115,C6091,C6067,C6043,C6019,C5995,C5971)/POBLA!$B$18*100000</f>
        <v>131.46155293599602</v>
      </c>
    </row>
    <row r="6116" spans="1:13" s="360" customFormat="1" x14ac:dyDescent="0.25">
      <c r="A6116" s="367" t="s">
        <v>36</v>
      </c>
      <c r="B6116" s="34">
        <v>44147</v>
      </c>
      <c r="C6116" s="1">
        <v>346</v>
      </c>
      <c r="D6116" s="39">
        <f t="shared" si="835"/>
        <v>10530</v>
      </c>
      <c r="E6116" s="1">
        <v>6</v>
      </c>
      <c r="F6116" s="409">
        <f t="shared" si="828"/>
        <v>145</v>
      </c>
      <c r="G6116" s="168">
        <f>SUM(C6116,C6092,C6068,C6044,C6020,C5996,C5972,C5948,C5924,C5900,C5876,C5852,C5828,C5804)/POBLA!$B$19*100000</f>
        <v>781.77869407154435</v>
      </c>
      <c r="H6116" s="256">
        <f t="shared" si="829"/>
        <v>1.0295336787564766</v>
      </c>
      <c r="I6116" s="297">
        <f t="shared" si="833"/>
        <v>804.86749488091118</v>
      </c>
      <c r="J6116" s="297">
        <f t="shared" si="834"/>
        <v>304.85714285714283</v>
      </c>
      <c r="K6116" s="297">
        <f>J6116/POBLA!$B$19*100000</f>
        <v>59.97252617545027</v>
      </c>
      <c r="L6116" s="549">
        <f t="shared" si="830"/>
        <v>-0.1597826086956522</v>
      </c>
      <c r="M6116" s="401">
        <f>SUM(C6116,C6092,C6068,C6044,C6020,C5996,C5972)/POBLA!$B$19*100000</f>
        <v>419.80768322815192</v>
      </c>
    </row>
    <row r="6117" spans="1:13" s="360" customFormat="1" x14ac:dyDescent="0.25">
      <c r="A6117" s="367" t="s">
        <v>37</v>
      </c>
      <c r="B6117" s="34">
        <v>44147</v>
      </c>
      <c r="C6117" s="1">
        <v>260</v>
      </c>
      <c r="D6117" s="39">
        <f t="shared" si="835"/>
        <v>12044</v>
      </c>
      <c r="E6117" s="1">
        <v>3</v>
      </c>
      <c r="F6117" s="409">
        <f t="shared" si="828"/>
        <v>185</v>
      </c>
      <c r="G6117" s="168">
        <f>SUM(C6117,C6093,C6069,C6045,C6021,C5997,C5973,C5949,C5925,C5901,C5877,C5853,C5829,C5805)/POBLA!$B$20*100000</f>
        <v>795.46511055570443</v>
      </c>
      <c r="H6117" s="256">
        <f t="shared" si="829"/>
        <v>1.2631350412505429</v>
      </c>
      <c r="I6117" s="297">
        <f t="shared" si="833"/>
        <v>1004.7798552351474</v>
      </c>
      <c r="J6117" s="297">
        <f t="shared" si="834"/>
        <v>217.85714285714286</v>
      </c>
      <c r="K6117" s="297">
        <f>J6117/POBLA!$B$20*100000</f>
        <v>59.572965358613629</v>
      </c>
      <c r="L6117" s="549">
        <f t="shared" si="830"/>
        <v>-0.10187861271676302</v>
      </c>
      <c r="M6117" s="401">
        <f>SUM(C6117,C6093,C6069,C6045,C6021,C5997,C5973)/POBLA!$B$20*100000</f>
        <v>417.01075751029543</v>
      </c>
    </row>
    <row r="6118" spans="1:13" s="360" customFormat="1" x14ac:dyDescent="0.25">
      <c r="A6118" s="367" t="s">
        <v>22</v>
      </c>
      <c r="B6118" s="34">
        <v>44147</v>
      </c>
      <c r="C6118" s="1">
        <v>1597</v>
      </c>
      <c r="D6118" s="39">
        <f t="shared" si="835"/>
        <v>124426</v>
      </c>
      <c r="E6118" s="1">
        <v>33</v>
      </c>
      <c r="F6118" s="409">
        <f t="shared" si="828"/>
        <v>1849</v>
      </c>
      <c r="G6118" s="168">
        <f>SUM(C6118,C6094,C6070,C6046,C6022,C5998,C5974,C5950,C5926,C5902,C5878,C5854,C5830,C5806)/POBLA!$B$21*100000</f>
        <v>620.28866497116576</v>
      </c>
      <c r="H6118" s="256">
        <f t="shared" si="829"/>
        <v>0.72008666250861697</v>
      </c>
      <c r="I6118" s="297">
        <f t="shared" si="833"/>
        <v>446.6615945510124</v>
      </c>
      <c r="J6118" s="297">
        <f t="shared" si="834"/>
        <v>1438.1428571428571</v>
      </c>
      <c r="K6118" s="297">
        <f>J6118/POBLA!$B$21*100000</f>
        <v>40.666653578362542</v>
      </c>
      <c r="L6118" s="549">
        <f t="shared" si="830"/>
        <v>0.15182407953492294</v>
      </c>
      <c r="M6118" s="401">
        <f>SUM(C6118,C6094,C6070,C6046,C6022,C5998,C5974)/POBLA!$B$21*100000</f>
        <v>284.66657504853782</v>
      </c>
    </row>
    <row r="6119" spans="1:13" s="360" customFormat="1" x14ac:dyDescent="0.25">
      <c r="A6119" s="367" t="s">
        <v>38</v>
      </c>
      <c r="B6119" s="34">
        <v>44147</v>
      </c>
      <c r="C6119" s="1">
        <v>188</v>
      </c>
      <c r="D6119" s="39">
        <f t="shared" si="835"/>
        <v>12100</v>
      </c>
      <c r="E6119" s="1">
        <v>1</v>
      </c>
      <c r="F6119" s="409">
        <f t="shared" si="828"/>
        <v>152</v>
      </c>
      <c r="G6119" s="168">
        <f>SUM(C6119,C6095,C6071,C6047,C6023,C5999,C5975,C5951,C5927,C5903,C5879,C5855,C5831,C5807)/POBLA!$B$22*100000</f>
        <v>279.15401308170289</v>
      </c>
      <c r="H6119" s="256">
        <f t="shared" si="829"/>
        <v>0.80418138987043586</v>
      </c>
      <c r="I6119" s="297">
        <f t="shared" si="833"/>
        <v>224.49046222795366</v>
      </c>
      <c r="J6119" s="297">
        <f t="shared" si="834"/>
        <v>199</v>
      </c>
      <c r="K6119" s="297">
        <f>J6119/POBLA!$B$22*100000</f>
        <v>20.341138265565313</v>
      </c>
      <c r="L6119" s="549">
        <f t="shared" si="830"/>
        <v>-4.1106128550074672E-2</v>
      </c>
      <c r="M6119" s="401">
        <f>SUM(C6119,C6095,C6071,C6047,C6023,C5999,C5975)/POBLA!$B$22*100000</f>
        <v>142.38796785895721</v>
      </c>
    </row>
    <row r="6120" spans="1:13" s="360" customFormat="1" x14ac:dyDescent="0.25">
      <c r="A6120" s="367" t="s">
        <v>39</v>
      </c>
      <c r="B6120" s="34">
        <v>44147</v>
      </c>
      <c r="C6120" s="1">
        <v>214</v>
      </c>
      <c r="D6120" s="39">
        <f t="shared" si="835"/>
        <v>13881</v>
      </c>
      <c r="E6120" s="1">
        <v>16</v>
      </c>
      <c r="F6120" s="409">
        <f t="shared" si="828"/>
        <v>188</v>
      </c>
      <c r="G6120" s="168">
        <f>SUM(C6120,C6096,C6072,C6048,C6024,C6000,C5976,C5952,C5928,C5904,C5880,C5856,C5832,C5808)/POBLA!$B$23*100000</f>
        <v>1613.4140134592546</v>
      </c>
      <c r="H6120" s="256">
        <f t="shared" si="829"/>
        <v>0.80913216108905273</v>
      </c>
      <c r="I6120" s="297">
        <f t="shared" si="833"/>
        <v>1305.4651674416486</v>
      </c>
      <c r="J6120" s="297">
        <f t="shared" si="834"/>
        <v>205</v>
      </c>
      <c r="K6120" s="297">
        <f>J6120/POBLA!$B$23*100000</f>
        <v>115.93055477011819</v>
      </c>
      <c r="L6120" s="549">
        <f t="shared" si="830"/>
        <v>-1.1988716502115748E-2</v>
      </c>
      <c r="M6120" s="401">
        <f>SUM(C6120,C6096,C6072,C6048,C6024,C6000,C5976)/POBLA!$B$23*100000</f>
        <v>811.51388339082735</v>
      </c>
    </row>
    <row r="6121" spans="1:13" s="360" customFormat="1" ht="15.75" thickBot="1" x14ac:dyDescent="0.3">
      <c r="A6121" s="368" t="s">
        <v>40</v>
      </c>
      <c r="B6121" s="34">
        <v>44147</v>
      </c>
      <c r="C6121" s="1">
        <v>633</v>
      </c>
      <c r="D6121" s="67">
        <f>C6121+D6097</f>
        <v>57727</v>
      </c>
      <c r="E6121" s="1">
        <v>2</v>
      </c>
      <c r="F6121" s="477">
        <f t="shared" si="828"/>
        <v>960</v>
      </c>
      <c r="G6121" s="177">
        <f>SUM(C6121,C6097,C6073,C6049,C6025,C6001,C5977,C5953,C5929,C5905,C5881,C5857,C5833,C5809)/POBLA!$B$24*100000</f>
        <v>586.78575474904642</v>
      </c>
      <c r="H6121" s="402">
        <f t="shared" si="829"/>
        <v>0.61175023069824674</v>
      </c>
      <c r="I6121" s="403">
        <f t="shared" si="833"/>
        <v>358.966320838174</v>
      </c>
      <c r="J6121" s="403">
        <f t="shared" si="834"/>
        <v>679.85714285714289</v>
      </c>
      <c r="K6121" s="403">
        <f>J6121/POBLA!$B$24*100000</f>
        <v>40.117707833161589</v>
      </c>
      <c r="L6121" s="550">
        <f t="shared" si="830"/>
        <v>8.2160077145612354E-2</v>
      </c>
      <c r="M6121" s="405">
        <f>SUM(C6121,C6097,C6073,C6049,C6025,C6001,C5977)/POBLA!$B$24*100000</f>
        <v>280.82395483213111</v>
      </c>
    </row>
    <row r="6122" spans="1:13" s="360" customFormat="1" x14ac:dyDescent="0.25">
      <c r="A6122" s="363" t="s">
        <v>16</v>
      </c>
      <c r="B6122" s="34">
        <v>44148</v>
      </c>
      <c r="C6122" s="1">
        <v>2761</v>
      </c>
      <c r="D6122" s="174">
        <f t="shared" ref="D6122:D6185" si="836">C6122+D6098</f>
        <v>585508</v>
      </c>
      <c r="E6122" s="1">
        <f>53+34</f>
        <v>87</v>
      </c>
      <c r="F6122" s="475">
        <f t="shared" si="828"/>
        <v>19130</v>
      </c>
      <c r="G6122" s="175">
        <f>SUM(C6122,C6098,C6074,C6050,C6026,C6002,C5978,C5954,C5930,C5906,C5882,C5858,C5834,C5810)/POBLA!$B$1*100000</f>
        <v>219.4669092506582</v>
      </c>
      <c r="H6122" s="300">
        <f t="shared" si="829"/>
        <v>0.69286562758719994</v>
      </c>
      <c r="I6122" s="301">
        <f>G6122*H6122</f>
        <v>152.06107781258035</v>
      </c>
      <c r="J6122" s="301">
        <f>AVERAGE(C6122,C6098,C6074,C6050,C6026,C6002,C5978)</f>
        <v>2640.1428571428573</v>
      </c>
      <c r="K6122" s="301">
        <f>J6122/POBLA!$B$1*100000</f>
        <v>15.051146656553627</v>
      </c>
      <c r="L6122" s="548">
        <f t="shared" si="830"/>
        <v>7.668864908073536E-2</v>
      </c>
      <c r="M6122" s="400">
        <f>SUM(C6122,C6098,C6074,C6050,C6026,C6002,C5978)/POBLA!$B$1*100000</f>
        <v>105.35802659587539</v>
      </c>
    </row>
    <row r="6123" spans="1:13" s="360" customFormat="1" x14ac:dyDescent="0.25">
      <c r="A6123" s="367" t="s">
        <v>43</v>
      </c>
      <c r="B6123" s="34">
        <v>44148</v>
      </c>
      <c r="C6123" s="1">
        <v>397</v>
      </c>
      <c r="D6123" s="39">
        <f t="shared" si="836"/>
        <v>152982</v>
      </c>
      <c r="E6123" s="1">
        <f>13+3</f>
        <v>16</v>
      </c>
      <c r="F6123" s="409">
        <f t="shared" ref="F6123:F6186" si="837">E6123+F6099</f>
        <v>5057</v>
      </c>
      <c r="G6123" s="168">
        <f>SUM(C6123,C6099,C6075,C6051,C6027,C6003,C5979,C5955,C5931,C5907,C5883,C5859,C5835,C5811)/POBLA!$B$2*100000</f>
        <v>202.298964185085</v>
      </c>
      <c r="H6123" s="256">
        <f t="shared" si="829"/>
        <v>0.78590375142099278</v>
      </c>
      <c r="I6123" s="297">
        <f t="shared" ref="I6123:I6145" si="838">G6123*H6123</f>
        <v>158.98751486163937</v>
      </c>
      <c r="J6123" s="297">
        <f t="shared" ref="J6123:J6145" si="839">AVERAGE(C6123,C6099,C6075,C6051,C6027,C6003,C5979)</f>
        <v>435</v>
      </c>
      <c r="K6123" s="297">
        <f>J6123/POBLA!$B$2*100000</f>
        <v>14.143370205803921</v>
      </c>
      <c r="L6123" s="549">
        <f t="shared" si="830"/>
        <v>4.1548630783758256E-2</v>
      </c>
      <c r="M6123" s="401">
        <f>SUM(C6123,C6099,C6075,C6051,C6027,C6003,C5979)/POBLA!$B$2*100000</f>
        <v>99.003591440627417</v>
      </c>
    </row>
    <row r="6124" spans="1:13" s="360" customFormat="1" x14ac:dyDescent="0.25">
      <c r="A6124" s="367" t="s">
        <v>28</v>
      </c>
      <c r="B6124" s="34">
        <v>44148</v>
      </c>
      <c r="C6124" s="1">
        <v>59</v>
      </c>
      <c r="D6124" s="39">
        <f t="shared" si="836"/>
        <v>1387</v>
      </c>
      <c r="E6124" s="1">
        <f>1+2</f>
        <v>3</v>
      </c>
      <c r="F6124" s="409">
        <f t="shared" si="837"/>
        <v>7</v>
      </c>
      <c r="G6124" s="168">
        <f>SUM(C6124,C6100,C6076,C6052,C6028,C6004,C5980,C5956,C5932,C5908,C5884,C5860,C5836,C5812)/POBLA!$B$3*100000</f>
        <v>136.72316928157753</v>
      </c>
      <c r="H6124" s="256">
        <f t="shared" si="829"/>
        <v>1.4564102564102563</v>
      </c>
      <c r="I6124" s="297">
        <f t="shared" si="838"/>
        <v>199.1250260306052</v>
      </c>
      <c r="J6124" s="297">
        <f t="shared" si="839"/>
        <v>37.714285714285715</v>
      </c>
      <c r="K6124" s="297">
        <f>J6124/POBLA!$B$3*100000</f>
        <v>9.0781983627606806</v>
      </c>
      <c r="L6124" s="549">
        <f t="shared" si="830"/>
        <v>0.13157894736842102</v>
      </c>
      <c r="M6124" s="401">
        <f>SUM(C6124,C6100,C6076,C6052,C6028,C6004,C5980)/POBLA!$B$3*100000</f>
        <v>63.547388539324764</v>
      </c>
    </row>
    <row r="6125" spans="1:13" s="360" customFormat="1" x14ac:dyDescent="0.25">
      <c r="A6125" s="367" t="s">
        <v>15</v>
      </c>
      <c r="B6125" s="34">
        <v>44148</v>
      </c>
      <c r="C6125" s="1">
        <v>258</v>
      </c>
      <c r="D6125" s="39">
        <f t="shared" si="836"/>
        <v>15973</v>
      </c>
      <c r="E6125" s="1">
        <f>2</f>
        <v>2</v>
      </c>
      <c r="F6125" s="409">
        <f t="shared" si="837"/>
        <v>484</v>
      </c>
      <c r="G6125" s="168">
        <f>SUM(C6125,C6101,C6077,C6053,C6029,C6005,C5981,C5957,C5933,C5909,C5885,C5861,C5837,C5813)/POBLA!$B$4*100000</f>
        <v>171.01950037400138</v>
      </c>
      <c r="H6125" s="256">
        <f t="shared" si="829"/>
        <v>0.77765194412986027</v>
      </c>
      <c r="I6125" s="297">
        <f t="shared" si="838"/>
        <v>132.99364694995955</v>
      </c>
      <c r="J6125" s="297">
        <f t="shared" si="839"/>
        <v>173.42857142857142</v>
      </c>
      <c r="K6125" s="297">
        <f>J6125/POBLA!$B$4*100000</f>
        <v>14.397896910820918</v>
      </c>
      <c r="L6125" s="549">
        <f t="shared" si="830"/>
        <v>-0.43498817966903069</v>
      </c>
      <c r="M6125" s="401">
        <f>SUM(C6125,C6101,C6077,C6053,C6029,C6005,C5981)/POBLA!$B$4*100000</f>
        <v>100.78527837574643</v>
      </c>
    </row>
    <row r="6126" spans="1:13" s="360" customFormat="1" x14ac:dyDescent="0.25">
      <c r="A6126" s="367" t="s">
        <v>29</v>
      </c>
      <c r="B6126" s="34">
        <v>44148</v>
      </c>
      <c r="C6126" s="1">
        <v>367</v>
      </c>
      <c r="D6126" s="39">
        <f t="shared" si="836"/>
        <v>18757</v>
      </c>
      <c r="E6126" s="1">
        <v>8</v>
      </c>
      <c r="F6126" s="409">
        <f t="shared" si="837"/>
        <v>318</v>
      </c>
      <c r="G6126" s="168">
        <f>SUM(C6126,C6102,C6078,C6054,C6030,C6006,C5982,C5958,C5934,C5910,C5886,C5862,C5838,C5814)/POBLA!$B$5*100000</f>
        <v>738.29471691163405</v>
      </c>
      <c r="H6126" s="256">
        <f t="shared" si="829"/>
        <v>0.81172291296625221</v>
      </c>
      <c r="I6126" s="297">
        <f t="shared" si="838"/>
        <v>599.29073823910619</v>
      </c>
      <c r="J6126" s="297">
        <f t="shared" si="839"/>
        <v>316</v>
      </c>
      <c r="K6126" s="297">
        <f>J6126/POBLA!$B$5*100000</f>
        <v>51.050575611395267</v>
      </c>
      <c r="L6126" s="549">
        <f t="shared" si="830"/>
        <v>6.1916878710771894E-2</v>
      </c>
      <c r="M6126" s="401">
        <f>SUM(C6126,C6102,C6078,C6054,C6030,C6006,C5982)/POBLA!$B$5*100000</f>
        <v>357.35402927976685</v>
      </c>
    </row>
    <row r="6127" spans="1:13" s="360" customFormat="1" x14ac:dyDescent="0.25">
      <c r="A6127" s="367" t="s">
        <v>20</v>
      </c>
      <c r="B6127" s="34">
        <v>44148</v>
      </c>
      <c r="C6127" s="1">
        <v>1631</v>
      </c>
      <c r="D6127" s="39">
        <f t="shared" si="836"/>
        <v>100491</v>
      </c>
      <c r="E6127" s="1">
        <f>15+14</f>
        <v>29</v>
      </c>
      <c r="F6127" s="409">
        <f t="shared" si="837"/>
        <v>1612</v>
      </c>
      <c r="G6127" s="168">
        <f>SUM(C6127,C6103,C6079,C6055,C6031,C6007,C5983,C5959,C5935,C5911,C5887,C5863,C5839,C5815)/POBLA!$B$6*100000</f>
        <v>1472.1614274077199</v>
      </c>
      <c r="H6127" s="256">
        <f t="shared" si="829"/>
        <v>0.68286222737242896</v>
      </c>
      <c r="I6127" s="297">
        <f t="shared" si="838"/>
        <v>1005.28343137141</v>
      </c>
      <c r="J6127" s="297">
        <f t="shared" si="839"/>
        <v>1241.8571428571429</v>
      </c>
      <c r="K6127" s="297">
        <f>J6127/POBLA!$B$6*100000</f>
        <v>110.80085964030572</v>
      </c>
      <c r="L6127" s="549">
        <f t="shared" si="830"/>
        <v>-0.11348789547841687</v>
      </c>
      <c r="M6127" s="401">
        <f>SUM(C6127,C6103,C6079,C6055,C6031,C6007,C5983)/POBLA!$B$6*100000</f>
        <v>775.60601748214003</v>
      </c>
    </row>
    <row r="6128" spans="1:13" s="360" customFormat="1" x14ac:dyDescent="0.25">
      <c r="A6128" s="367" t="s">
        <v>30</v>
      </c>
      <c r="B6128" s="34">
        <v>44148</v>
      </c>
      <c r="C6128" s="1">
        <v>64</v>
      </c>
      <c r="D6128" s="39">
        <f t="shared" si="836"/>
        <v>3479</v>
      </c>
      <c r="E6128" s="1">
        <f>3</f>
        <v>3</v>
      </c>
      <c r="F6128" s="409">
        <f t="shared" si="837"/>
        <v>68</v>
      </c>
      <c r="G6128" s="168">
        <f>SUM(C6128,C6104,C6080,C6056,C6032,C6008,C5984,C5960,C5936,C5912,C5888,C5864,C5840,C5816)/POBLA!$B$7*100000</f>
        <v>24.997008336768207</v>
      </c>
      <c r="H6128" s="256">
        <f t="shared" si="829"/>
        <v>1.5562913907284768</v>
      </c>
      <c r="I6128" s="297">
        <f t="shared" si="838"/>
        <v>38.902628868480321</v>
      </c>
      <c r="J6128" s="297">
        <f t="shared" si="839"/>
        <v>103.14285714285714</v>
      </c>
      <c r="K6128" s="297">
        <f>J6128/POBLA!$B$7*100000</f>
        <v>2.7428328296575448</v>
      </c>
      <c r="L6128" s="549">
        <f t="shared" si="830"/>
        <v>-2.3119266055045871</v>
      </c>
      <c r="M6128" s="401">
        <f>SUM(C6128,C6104,C6080,C6056,C6032,C6008,C5984)/POBLA!$B$7*100000</f>
        <v>19.199829807602814</v>
      </c>
    </row>
    <row r="6129" spans="1:13" x14ac:dyDescent="0.25">
      <c r="A6129" s="367" t="s">
        <v>31</v>
      </c>
      <c r="B6129" s="34">
        <v>44148</v>
      </c>
      <c r="C6129" s="1">
        <v>297</v>
      </c>
      <c r="D6129" s="39">
        <f t="shared" si="836"/>
        <v>19560</v>
      </c>
      <c r="E6129" s="1">
        <f>2+3</f>
        <v>5</v>
      </c>
      <c r="F6129" s="409">
        <f t="shared" si="837"/>
        <v>363</v>
      </c>
      <c r="G6129" s="168">
        <f>SUM(C6129,C6105,C6081,C6057,C6033,C6009,C5985,C5961,C5937,C5913,C5889,C5865,C5841,C5817)/POBLA!$B$8*100000</f>
        <v>276.12609590024539</v>
      </c>
      <c r="H6129" s="256">
        <f t="shared" si="829"/>
        <v>0.77658279220779225</v>
      </c>
      <c r="I6129" s="297">
        <f t="shared" si="838"/>
        <v>214.43477455564917</v>
      </c>
      <c r="J6129" s="297">
        <f t="shared" si="839"/>
        <v>268.14285714285717</v>
      </c>
      <c r="K6129" s="297">
        <f>J6129/POBLA!$B$8*100000</f>
        <v>19.3470708874822</v>
      </c>
      <c r="L6129" s="549">
        <f t="shared" si="830"/>
        <v>3.7435897435897481E-2</v>
      </c>
      <c r="M6129" s="401">
        <f>SUM(C6129,C6105,C6081,C6057,C6033,C6009,C5985)/POBLA!$B$8*100000</f>
        <v>135.42949621237537</v>
      </c>
    </row>
    <row r="6130" spans="1:13" s="360" customFormat="1" x14ac:dyDescent="0.25">
      <c r="A6130" s="367" t="s">
        <v>41</v>
      </c>
      <c r="B6130" s="34">
        <v>44148</v>
      </c>
      <c r="C6130" s="1">
        <v>1</v>
      </c>
      <c r="D6130" s="39">
        <f t="shared" si="836"/>
        <v>167</v>
      </c>
      <c r="E6130" s="1"/>
      <c r="F6130" s="409">
        <f t="shared" si="837"/>
        <v>3</v>
      </c>
      <c r="G6130" s="168">
        <f>SUM(C6130,C6106,C6082,C6058,C6034,C6010,C5986,C5962,C5938,C5914,C5890,C5866,C5842,C5818)/POBLA!$B$9*100000</f>
        <v>2.9742577987518035</v>
      </c>
      <c r="H6130" s="256">
        <f t="shared" si="829"/>
        <v>1.8</v>
      </c>
      <c r="I6130" s="297">
        <f t="shared" si="838"/>
        <v>5.3536640377532461</v>
      </c>
      <c r="J6130" s="297">
        <f t="shared" si="839"/>
        <v>0.7142857142857143</v>
      </c>
      <c r="K6130" s="297">
        <f>J6130/POBLA!$B$9*100000</f>
        <v>0.11802610312507156</v>
      </c>
      <c r="L6130" s="549">
        <f t="shared" si="830"/>
        <v>0.61538461538461542</v>
      </c>
      <c r="M6130" s="401">
        <f>SUM(C6130,C6106,C6082,C6058,C6034,C6010,C5986)/POBLA!$B$9*100000</f>
        <v>0.82618272187550079</v>
      </c>
    </row>
    <row r="6131" spans="1:13" s="360" customFormat="1" x14ac:dyDescent="0.25">
      <c r="A6131" s="367" t="s">
        <v>32</v>
      </c>
      <c r="B6131" s="34">
        <v>44148</v>
      </c>
      <c r="C6131" s="1">
        <v>30</v>
      </c>
      <c r="D6131" s="39">
        <f t="shared" si="836"/>
        <v>18125</v>
      </c>
      <c r="E6131" s="1">
        <f>1</f>
        <v>1</v>
      </c>
      <c r="F6131" s="409">
        <f t="shared" si="837"/>
        <v>837</v>
      </c>
      <c r="G6131" s="168">
        <f>SUM(C6131,C6107,C6083,C6059,C6035,C6011,C5987,C5963,C5939,C5915,C5891,C5867,C5843,C5819)/POBLA!$B$10*100000</f>
        <v>39.175955821975116</v>
      </c>
      <c r="H6131" s="256">
        <f t="shared" si="829"/>
        <v>0.42958748221906118</v>
      </c>
      <c r="I6131" s="297">
        <f t="shared" si="838"/>
        <v>16.829500225087461</v>
      </c>
      <c r="J6131" s="297">
        <f t="shared" si="839"/>
        <v>19.428571428571427</v>
      </c>
      <c r="K6131" s="297">
        <f>J6131/POBLA!$B$10*100000</f>
        <v>2.5203074700986825</v>
      </c>
      <c r="L6131" s="549">
        <f t="shared" si="830"/>
        <v>0.18072289156626509</v>
      </c>
      <c r="M6131" s="401">
        <f>SUM(C6131,C6107,C6083,C6059,C6035,C6011,C5987)/POBLA!$B$10*100000</f>
        <v>17.642152290690781</v>
      </c>
    </row>
    <row r="6132" spans="1:13" s="360" customFormat="1" x14ac:dyDescent="0.25">
      <c r="A6132" s="367" t="s">
        <v>33</v>
      </c>
      <c r="B6132" s="34">
        <v>44148</v>
      </c>
      <c r="C6132" s="1">
        <v>82</v>
      </c>
      <c r="D6132" s="39">
        <f t="shared" si="836"/>
        <v>4548</v>
      </c>
      <c r="E6132" s="1">
        <f>1</f>
        <v>1</v>
      </c>
      <c r="F6132" s="409">
        <f t="shared" si="837"/>
        <v>49</v>
      </c>
      <c r="G6132" s="168">
        <f>SUM(C6132,C6108,C6084,C6060,C6036,C6012,C5988,C5964,C5940,C5916,C5892,C5868,C5844,C5820)/POBLA!$B$11*100000</f>
        <v>379.15564632227392</v>
      </c>
      <c r="H6132" s="256">
        <f t="shared" si="829"/>
        <v>0.77524244152880772</v>
      </c>
      <c r="I6132" s="297">
        <f t="shared" si="838"/>
        <v>293.93754897431273</v>
      </c>
      <c r="J6132" s="297">
        <f t="shared" si="839"/>
        <v>90.285714285714292</v>
      </c>
      <c r="K6132" s="297">
        <f>J6132/POBLA!$B$11*100000</f>
        <v>25.189358611970686</v>
      </c>
      <c r="L6132" s="549">
        <f t="shared" si="830"/>
        <v>0.13067400275103158</v>
      </c>
      <c r="M6132" s="401">
        <f>SUM(C6132,C6108,C6084,C6060,C6036,C6012,C5988)/POBLA!$B$11*100000</f>
        <v>176.32551028379478</v>
      </c>
    </row>
    <row r="6133" spans="1:13" s="360" customFormat="1" x14ac:dyDescent="0.25">
      <c r="A6133" s="367" t="s">
        <v>21</v>
      </c>
      <c r="B6133" s="34">
        <v>44148</v>
      </c>
      <c r="C6133" s="1">
        <v>69</v>
      </c>
      <c r="D6133" s="39">
        <f t="shared" si="836"/>
        <v>8076</v>
      </c>
      <c r="E6133" s="1"/>
      <c r="F6133" s="409">
        <f t="shared" si="837"/>
        <v>298</v>
      </c>
      <c r="G6133" s="168">
        <f>SUM(C6133,C6109,C6085,C6061,C6037,C6013,C5989,C5965,C5941,C5917,C5893,C5869,C5845,C5821)/POBLA!$B$12*100000</f>
        <v>142.80958806294802</v>
      </c>
      <c r="H6133" s="256">
        <f t="shared" si="829"/>
        <v>0.47187237615449201</v>
      </c>
      <c r="I6133" s="297">
        <f t="shared" si="838"/>
        <v>67.387899656907464</v>
      </c>
      <c r="J6133" s="297">
        <f t="shared" si="839"/>
        <v>42.142857142857146</v>
      </c>
      <c r="K6133" s="297">
        <f>J6133/POBLA!$B$12*100000</f>
        <v>10.708904036240384</v>
      </c>
      <c r="L6133" s="549">
        <f t="shared" si="830"/>
        <v>-0.10486891385767794</v>
      </c>
      <c r="M6133" s="401">
        <f>SUM(C6133,C6109,C6085,C6061,C6037,C6013,C5989)/POBLA!$B$12*100000</f>
        <v>74.962328253682685</v>
      </c>
    </row>
    <row r="6134" spans="1:13" s="360" customFormat="1" x14ac:dyDescent="0.25">
      <c r="A6134" s="367" t="s">
        <v>17</v>
      </c>
      <c r="B6134" s="34">
        <v>44148</v>
      </c>
      <c r="C6134" s="1">
        <v>425</v>
      </c>
      <c r="D6134" s="39">
        <f t="shared" si="836"/>
        <v>52699</v>
      </c>
      <c r="E6134" s="1">
        <f>6+2</f>
        <v>8</v>
      </c>
      <c r="F6134" s="409">
        <f t="shared" si="837"/>
        <v>1007</v>
      </c>
      <c r="G6134" s="168">
        <f>SUM(C6134,C6110,C6086,C6062,C6038,C6014,C5990,C5966,C5942,C5918,C5894,C5870,C5846,C5822)/POBLA!$B$13*100000</f>
        <v>308.23910310711045</v>
      </c>
      <c r="H6134" s="256">
        <f t="shared" si="829"/>
        <v>0.57692307692307687</v>
      </c>
      <c r="I6134" s="297">
        <f t="shared" si="838"/>
        <v>177.8302517925637</v>
      </c>
      <c r="J6134" s="297">
        <f t="shared" si="839"/>
        <v>374.14285714285717</v>
      </c>
      <c r="K6134" s="297">
        <f>J6134/POBLA!$B$13*100000</f>
        <v>18.797955781523399</v>
      </c>
      <c r="L6134" s="549">
        <f t="shared" si="830"/>
        <v>0.25511945392491464</v>
      </c>
      <c r="M6134" s="401">
        <f>SUM(C6134,C6110,C6086,C6062,C6038,C6014,C5990)/POBLA!$B$13*100000</f>
        <v>131.58569047066376</v>
      </c>
    </row>
    <row r="6135" spans="1:13" s="360" customFormat="1" x14ac:dyDescent="0.25">
      <c r="A6135" s="367" t="s">
        <v>23</v>
      </c>
      <c r="B6135" s="34">
        <v>44148</v>
      </c>
      <c r="C6135" s="1">
        <v>9</v>
      </c>
      <c r="D6135" s="39">
        <f t="shared" si="836"/>
        <v>368</v>
      </c>
      <c r="E6135" s="1"/>
      <c r="F6135" s="409">
        <f t="shared" si="837"/>
        <v>7</v>
      </c>
      <c r="G6135" s="168">
        <f>SUM(C6135,C6111,C6087,C6063,C6039,C6015,C5991,C5967,C5943,C5919,C5895,C5871,C5847,C5823)/POBLA!$B$14*100000</f>
        <v>7.7697983182350825</v>
      </c>
      <c r="H6135" s="256">
        <f t="shared" si="829"/>
        <v>1.3611111111111112</v>
      </c>
      <c r="I6135" s="297">
        <f t="shared" si="838"/>
        <v>10.575558822042195</v>
      </c>
      <c r="J6135" s="297">
        <f t="shared" si="839"/>
        <v>6.8571428571428568</v>
      </c>
      <c r="K6135" s="297">
        <f>J6135/POBLA!$B$14*100000</f>
        <v>0.54365935754414563</v>
      </c>
      <c r="L6135" s="549">
        <f t="shared" si="830"/>
        <v>4.0000000000000036E-2</v>
      </c>
      <c r="M6135" s="401">
        <f>SUM(C6135,C6111,C6087,C6063,C6039,C6015,C5991)/POBLA!$B$14*100000</f>
        <v>3.8056155028090202</v>
      </c>
    </row>
    <row r="6136" spans="1:13" s="360" customFormat="1" x14ac:dyDescent="0.25">
      <c r="A6136" s="367" t="s">
        <v>19</v>
      </c>
      <c r="B6136" s="34">
        <v>44148</v>
      </c>
      <c r="C6136" s="1">
        <v>255</v>
      </c>
      <c r="D6136" s="39">
        <f t="shared" si="836"/>
        <v>26493</v>
      </c>
      <c r="E6136" s="1">
        <f>24+8</f>
        <v>32</v>
      </c>
      <c r="F6136" s="409">
        <f t="shared" si="837"/>
        <v>515</v>
      </c>
      <c r="G6136" s="168">
        <f>SUM(C6136,C6112,C6088,C6064,C6040,C6016,C5992,C5968,C5944,C5920,C5896,C5872,C5848,C5824)/POBLA!$B$15*100000</f>
        <v>711.08353650364359</v>
      </c>
      <c r="H6136" s="256">
        <f t="shared" si="829"/>
        <v>0.59165518105500559</v>
      </c>
      <c r="I6136" s="297">
        <f t="shared" si="838"/>
        <v>420.7162585352969</v>
      </c>
      <c r="J6136" s="297">
        <f t="shared" si="839"/>
        <v>249.28571428571428</v>
      </c>
      <c r="K6136" s="297">
        <f>J6136/POBLA!$B$15*100000</f>
        <v>37.539806716247895</v>
      </c>
      <c r="L6136" s="549">
        <f t="shared" si="830"/>
        <v>0.41383943567349679</v>
      </c>
      <c r="M6136" s="401">
        <f>SUM(C6136,C6112,C6088,C6064,C6040,C6016,C5992)/POBLA!$B$15*100000</f>
        <v>262.77864701373528</v>
      </c>
    </row>
    <row r="6137" spans="1:13" s="360" customFormat="1" x14ac:dyDescent="0.25">
      <c r="A6137" s="367" t="s">
        <v>18</v>
      </c>
      <c r="B6137" s="34">
        <v>44148</v>
      </c>
      <c r="C6137" s="1">
        <v>335</v>
      </c>
      <c r="D6137" s="39">
        <f t="shared" si="836"/>
        <v>28095</v>
      </c>
      <c r="E6137" s="1">
        <f>5+3</f>
        <v>8</v>
      </c>
      <c r="F6137" s="409">
        <f t="shared" si="837"/>
        <v>704</v>
      </c>
      <c r="G6137" s="168">
        <f>SUM(C6137,C6113,C6089,C6065,C6041,C6017,C5993,C5969,C5945,C5921,C5897,C5873,C5849,C5825)/POBLA!$B$16*100000</f>
        <v>582.79049236901596</v>
      </c>
      <c r="H6137" s="256">
        <f t="shared" si="829"/>
        <v>0.8448710490595307</v>
      </c>
      <c r="I6137" s="297">
        <f t="shared" si="838"/>
        <v>492.38281466973092</v>
      </c>
      <c r="J6137" s="297">
        <f t="shared" si="839"/>
        <v>311.28571428571428</v>
      </c>
      <c r="K6137" s="297">
        <f>J6137/POBLA!$B$16*100000</f>
        <v>41.637446567824703</v>
      </c>
      <c r="L6137" s="549">
        <f t="shared" si="830"/>
        <v>-4.5913682277309853E-4</v>
      </c>
      <c r="M6137" s="401">
        <f>SUM(C6137,C6113,C6089,C6065,C6041,C6017,C5993)/POBLA!$B$16*100000</f>
        <v>291.46212597477296</v>
      </c>
    </row>
    <row r="6138" spans="1:13" s="360" customFormat="1" x14ac:dyDescent="0.25">
      <c r="A6138" s="367" t="s">
        <v>34</v>
      </c>
      <c r="B6138" s="34">
        <v>44148</v>
      </c>
      <c r="C6138" s="1">
        <v>157</v>
      </c>
      <c r="D6138" s="39">
        <f t="shared" si="836"/>
        <v>20066</v>
      </c>
      <c r="E6138" s="1">
        <f>1+2</f>
        <v>3</v>
      </c>
      <c r="F6138" s="409">
        <f t="shared" si="837"/>
        <v>914</v>
      </c>
      <c r="G6138" s="168">
        <f>SUM(C6138,C6114,C6090,C6066,C6042,C6018,C5994,C5970,C5946,C5922,C5898,C5874,C5850,C5826)/POBLA!$B$17*100000</f>
        <v>102.92074470811157</v>
      </c>
      <c r="H6138" s="256">
        <f t="shared" ref="H6138:H6169" si="840">SUM(C6138,C6114,C6090,C6066,C6042,C6018,C5994,C5970,C5946,C5922,C5898,C5874,C5850,C5826)/SUM(C5802,C5778,C5754,C5730,C5706,C5682,C5658,C5634,C5610,C5586,C5562,C5538,C5514,C5490)</f>
        <v>0.559115179252479</v>
      </c>
      <c r="I6138" s="297">
        <f t="shared" si="838"/>
        <v>57.544550626274429</v>
      </c>
      <c r="J6138" s="297">
        <f t="shared" si="839"/>
        <v>95.428571428571431</v>
      </c>
      <c r="K6138" s="297">
        <f>J6138/POBLA!$B$17*100000</f>
        <v>6.699576833465068</v>
      </c>
      <c r="L6138" s="549">
        <f t="shared" ref="L6138:L6169" si="841">1-SUM(C6138,C6114,C6090,C6066,C6042,C6018,C5994)/SUM(C5970,C5946,C5922,C5898,C5874,C5850,C5826)</f>
        <v>0.16290726817042611</v>
      </c>
      <c r="M6138" s="401">
        <f>SUM(C6138,C6114,C6090,C6066,C6042,C6018,C5994)/POBLA!$B$17*100000</f>
        <v>46.897037834255478</v>
      </c>
    </row>
    <row r="6139" spans="1:13" s="360" customFormat="1" x14ac:dyDescent="0.25">
      <c r="A6139" s="367" t="s">
        <v>35</v>
      </c>
      <c r="B6139" s="34">
        <v>44148</v>
      </c>
      <c r="C6139" s="1">
        <v>98</v>
      </c>
      <c r="D6139" s="39">
        <f t="shared" si="836"/>
        <v>4332</v>
      </c>
      <c r="E6139" s="1">
        <f>10+3</f>
        <v>13</v>
      </c>
      <c r="F6139" s="409">
        <f t="shared" si="837"/>
        <v>136</v>
      </c>
      <c r="G6139" s="168">
        <f>SUM(C6139,C6115,C6091,C6067,C6043,C6019,C5995,C5971,C5947,C5923,C5899,C5875,C5851,C5827)/POBLA!$B$18*100000</f>
        <v>265.73922482485659</v>
      </c>
      <c r="H6139" s="256">
        <f t="shared" si="840"/>
        <v>2.1380020597322349</v>
      </c>
      <c r="I6139" s="297">
        <f t="shared" si="838"/>
        <v>568.15101002719086</v>
      </c>
      <c r="J6139" s="297">
        <f t="shared" si="839"/>
        <v>133.42857142857142</v>
      </c>
      <c r="K6139" s="297">
        <f>J6139/POBLA!$B$18*100000</f>
        <v>17.079578584256542</v>
      </c>
      <c r="L6139" s="549">
        <f t="shared" si="841"/>
        <v>0.18213660245183882</v>
      </c>
      <c r="M6139" s="401">
        <f>SUM(C6139,C6115,C6091,C6067,C6043,C6019,C5995)/POBLA!$B$18*100000</f>
        <v>119.55705008979578</v>
      </c>
    </row>
    <row r="6140" spans="1:13" s="360" customFormat="1" x14ac:dyDescent="0.25">
      <c r="A6140" s="367" t="s">
        <v>36</v>
      </c>
      <c r="B6140" s="34">
        <v>44148</v>
      </c>
      <c r="C6140" s="1">
        <v>465</v>
      </c>
      <c r="D6140" s="39">
        <f t="shared" si="836"/>
        <v>10995</v>
      </c>
      <c r="E6140" s="1">
        <f>4+3</f>
        <v>7</v>
      </c>
      <c r="F6140" s="409">
        <f t="shared" si="837"/>
        <v>152</v>
      </c>
      <c r="G6140" s="168">
        <f>SUM(C6140,C6116,C6092,C6068,C6044,C6020,C5996,C5972,C5948,C5924,C5900,C5876,C5852,C5828)/POBLA!$B$19*100000</f>
        <v>822.50043279142596</v>
      </c>
      <c r="H6140" s="256">
        <f t="shared" si="840"/>
        <v>1.0828800828800829</v>
      </c>
      <c r="I6140" s="297">
        <f t="shared" si="838"/>
        <v>890.66933683008335</v>
      </c>
      <c r="J6140" s="297">
        <f t="shared" si="839"/>
        <v>304.42857142857144</v>
      </c>
      <c r="K6140" s="297">
        <f>J6140/POBLA!$B$19*100000</f>
        <v>59.888216157396691</v>
      </c>
      <c r="L6140" s="549">
        <f t="shared" si="841"/>
        <v>-3.9512195121951255E-2</v>
      </c>
      <c r="M6140" s="401">
        <f>SUM(C6140,C6116,C6092,C6068,C6044,C6020,C5996)/POBLA!$B$19*100000</f>
        <v>419.21751310177683</v>
      </c>
    </row>
    <row r="6141" spans="1:13" s="360" customFormat="1" x14ac:dyDescent="0.25">
      <c r="A6141" s="367" t="s">
        <v>37</v>
      </c>
      <c r="B6141" s="34">
        <v>44148</v>
      </c>
      <c r="C6141" s="1">
        <v>265</v>
      </c>
      <c r="D6141" s="39">
        <f t="shared" si="836"/>
        <v>12309</v>
      </c>
      <c r="E6141" s="1">
        <f>1</f>
        <v>1</v>
      </c>
      <c r="F6141" s="409">
        <f t="shared" si="837"/>
        <v>186</v>
      </c>
      <c r="G6141" s="168">
        <f>SUM(C6141,C6117,C6093,C6069,C6045,C6021,C5997,C5973,C5949,C5925,C5901,C5877,C5853,C5829)/POBLA!$B$20*100000</f>
        <v>809.41104408555691</v>
      </c>
      <c r="H6141" s="256">
        <f t="shared" si="840"/>
        <v>1.2830515821413091</v>
      </c>
      <c r="I6141" s="297">
        <f t="shared" si="838"/>
        <v>1038.5161207166227</v>
      </c>
      <c r="J6141" s="297">
        <f t="shared" si="839"/>
        <v>224</v>
      </c>
      <c r="K6141" s="297">
        <f>J6141/POBLA!$B$20*100000</f>
        <v>61.252727660528627</v>
      </c>
      <c r="L6141" s="549">
        <f t="shared" si="841"/>
        <v>-0.12643678160919536</v>
      </c>
      <c r="M6141" s="401">
        <f>SUM(C6141,C6117,C6093,C6069,C6045,C6021,C5997)/POBLA!$B$20*100000</f>
        <v>428.76909362370037</v>
      </c>
    </row>
    <row r="6142" spans="1:13" s="360" customFormat="1" x14ac:dyDescent="0.25">
      <c r="A6142" s="367" t="s">
        <v>22</v>
      </c>
      <c r="B6142" s="34">
        <v>44148</v>
      </c>
      <c r="C6142" s="1">
        <v>1683</v>
      </c>
      <c r="D6142" s="39">
        <f t="shared" si="836"/>
        <v>126109</v>
      </c>
      <c r="E6142" s="1">
        <f>6+2</f>
        <v>8</v>
      </c>
      <c r="F6142" s="409">
        <f t="shared" si="837"/>
        <v>1857</v>
      </c>
      <c r="G6142" s="168">
        <f>SUM(C6142,C6118,C6094,C6070,C6046,C6022,C5998,C5974,C5950,C5926,C5902,C5878,C5854,C5830)/POBLA!$B$21*100000</f>
        <v>607.36598445093307</v>
      </c>
      <c r="H6142" s="256">
        <f t="shared" si="840"/>
        <v>0.7154658405782619</v>
      </c>
      <c r="I6142" s="297">
        <f t="shared" si="838"/>
        <v>434.54961460383038</v>
      </c>
      <c r="J6142" s="297">
        <f t="shared" si="839"/>
        <v>1430.5714285714287</v>
      </c>
      <c r="K6142" s="297">
        <f>J6142/POBLA!$B$21*100000</f>
        <v>40.452554776370576</v>
      </c>
      <c r="L6142" s="549">
        <f t="shared" si="841"/>
        <v>0.12655909289140865</v>
      </c>
      <c r="M6142" s="401">
        <f>SUM(C6142,C6118,C6094,C6070,C6046,C6022,C5998)/POBLA!$B$21*100000</f>
        <v>283.16788343459399</v>
      </c>
    </row>
    <row r="6143" spans="1:13" s="360" customFormat="1" x14ac:dyDescent="0.25">
      <c r="A6143" s="367" t="s">
        <v>38</v>
      </c>
      <c r="B6143" s="34">
        <v>44148</v>
      </c>
      <c r="C6143" s="1">
        <v>504</v>
      </c>
      <c r="D6143" s="39">
        <f t="shared" si="836"/>
        <v>12604</v>
      </c>
      <c r="E6143" s="1">
        <f>3</f>
        <v>3</v>
      </c>
      <c r="F6143" s="409">
        <f t="shared" si="837"/>
        <v>155</v>
      </c>
      <c r="G6143" s="168">
        <f>SUM(C6143,C6119,C6095,C6071,C6047,C6023,C5999,C5975,C5951,C5927,C5903,C5879,C5855,C5831)/POBLA!$B$22*100000</f>
        <v>309.30796176683742</v>
      </c>
      <c r="H6143" s="256">
        <f t="shared" si="840"/>
        <v>0.9273674532638676</v>
      </c>
      <c r="I6143" s="297">
        <f t="shared" si="838"/>
        <v>286.84213677794975</v>
      </c>
      <c r="J6143" s="297">
        <f t="shared" si="839"/>
        <v>239.14285714285714</v>
      </c>
      <c r="K6143" s="297">
        <f>J6143/POBLA!$B$22*100000</f>
        <v>24.444411670176837</v>
      </c>
      <c r="L6143" s="549">
        <f t="shared" si="841"/>
        <v>-0.23816568047337272</v>
      </c>
      <c r="M6143" s="401">
        <f>SUM(C6143,C6119,C6095,C6071,C6047,C6023,C5999)/POBLA!$B$22*100000</f>
        <v>171.11088169123786</v>
      </c>
    </row>
    <row r="6144" spans="1:13" s="360" customFormat="1" x14ac:dyDescent="0.25">
      <c r="A6144" s="367" t="s">
        <v>39</v>
      </c>
      <c r="B6144" s="34">
        <v>44148</v>
      </c>
      <c r="C6144" s="1">
        <v>171</v>
      </c>
      <c r="D6144" s="39">
        <f t="shared" si="836"/>
        <v>14052</v>
      </c>
      <c r="E6144" s="1">
        <f>5+1</f>
        <v>6</v>
      </c>
      <c r="F6144" s="409">
        <f t="shared" si="837"/>
        <v>194</v>
      </c>
      <c r="G6144" s="168">
        <f>SUM(C6144,C6120,C6096,C6072,C6048,C6024,C6000,C5976,C5952,C5928,C5904,C5880,C5856,C5832)/POBLA!$B$23*100000</f>
        <v>1620.2001922750665</v>
      </c>
      <c r="H6144" s="256">
        <f t="shared" si="840"/>
        <v>0.83552055993000873</v>
      </c>
      <c r="I6144" s="297">
        <f t="shared" si="838"/>
        <v>1353.7105718483713</v>
      </c>
      <c r="J6144" s="297">
        <f t="shared" si="839"/>
        <v>185</v>
      </c>
      <c r="K6144" s="297">
        <f>J6144/POBLA!$B$23*100000</f>
        <v>104.6202567437652</v>
      </c>
      <c r="L6144" s="549">
        <f t="shared" si="841"/>
        <v>0.17515923566878977</v>
      </c>
      <c r="M6144" s="401">
        <f>SUM(C6144,C6120,C6096,C6072,C6048,C6024,C6000)/POBLA!$B$23*100000</f>
        <v>732.34179720635643</v>
      </c>
    </row>
    <row r="6145" spans="1:13" s="360" customFormat="1" ht="15.75" thickBot="1" x14ac:dyDescent="0.3">
      <c r="A6145" s="368" t="s">
        <v>40</v>
      </c>
      <c r="B6145" s="34">
        <v>44148</v>
      </c>
      <c r="C6145" s="1">
        <v>1476</v>
      </c>
      <c r="D6145" s="67">
        <f>C6145+D6121</f>
        <v>59203</v>
      </c>
      <c r="E6145" s="1">
        <f>7+4</f>
        <v>11</v>
      </c>
      <c r="F6145" s="477">
        <f t="shared" si="837"/>
        <v>971</v>
      </c>
      <c r="G6145" s="177">
        <f>SUM(C6145,C6121,C6097,C6073,C6049,C6025,C6001,C5977,C5953,C5929,C5905,C5881,C5857,C5833)/POBLA!$B$24*100000</f>
        <v>614.22495184863476</v>
      </c>
      <c r="H6145" s="402">
        <f t="shared" si="840"/>
        <v>0.66080497714575925</v>
      </c>
      <c r="I6145" s="403">
        <f t="shared" si="838"/>
        <v>405.88290526869218</v>
      </c>
      <c r="J6145" s="403">
        <f t="shared" si="839"/>
        <v>730.42857142857144</v>
      </c>
      <c r="K6145" s="403">
        <f>J6145/POBLA!$B$24*100000</f>
        <v>43.101878577632952</v>
      </c>
      <c r="L6145" s="550">
        <f t="shared" si="841"/>
        <v>3.4554380664652551E-2</v>
      </c>
      <c r="M6145" s="405">
        <f>SUM(C6145,C6121,C6097,C6073,C6049,C6025,C6001)/POBLA!$B$24*100000</f>
        <v>301.71315004343063</v>
      </c>
    </row>
    <row r="6146" spans="1:13" s="360" customFormat="1" x14ac:dyDescent="0.25">
      <c r="A6146" s="363" t="s">
        <v>16</v>
      </c>
      <c r="B6146" s="34">
        <v>44149</v>
      </c>
      <c r="C6146" s="1">
        <v>2300</v>
      </c>
      <c r="D6146" s="174">
        <f t="shared" si="836"/>
        <v>587808</v>
      </c>
      <c r="E6146" s="1">
        <f>105+72</f>
        <v>177</v>
      </c>
      <c r="F6146" s="475">
        <f t="shared" si="837"/>
        <v>19307</v>
      </c>
      <c r="G6146" s="175">
        <f>SUM(C6146,C6122,C6098,C6074,C6050,C6026,C6002,C5978,C5954,C5930,C5906,C5882,C5858,C5834)/POBLA!$B$1*100000</f>
        <v>219.15906154565431</v>
      </c>
      <c r="H6146" s="300">
        <f t="shared" si="840"/>
        <v>0.71860104304914296</v>
      </c>
      <c r="I6146" s="301">
        <f>G6146*H6146</f>
        <v>157.4879302203785</v>
      </c>
      <c r="J6146" s="301">
        <f>AVERAGE(C6146,C6122,C6098,C6074,C6050,C6026,C6002)</f>
        <v>2660</v>
      </c>
      <c r="K6146" s="301">
        <f>J6146/POBLA!$B$1*100000</f>
        <v>15.164349913155593</v>
      </c>
      <c r="L6146" s="548">
        <f t="shared" si="841"/>
        <v>6.0687080663875292E-2</v>
      </c>
      <c r="M6146" s="400">
        <f>SUM(C6146,C6122,C6098,C6074,C6050,C6026,C6002)/POBLA!$B$1*100000</f>
        <v>106.15044939208914</v>
      </c>
    </row>
    <row r="6147" spans="1:13" s="360" customFormat="1" x14ac:dyDescent="0.25">
      <c r="A6147" s="367" t="s">
        <v>43</v>
      </c>
      <c r="B6147" s="34">
        <v>44149</v>
      </c>
      <c r="C6147" s="1">
        <v>506</v>
      </c>
      <c r="D6147" s="39">
        <f t="shared" si="836"/>
        <v>153488</v>
      </c>
      <c r="E6147" s="1">
        <f>6+8</f>
        <v>14</v>
      </c>
      <c r="F6147" s="409">
        <f t="shared" si="837"/>
        <v>5071</v>
      </c>
      <c r="G6147" s="168">
        <f>SUM(C6147,C6123,C6099,C6075,C6051,C6027,C6003,C5979,C5955,C5931,C5907,C5883,C5859,C5835)/POBLA!$B$2*100000</f>
        <v>204.41234134227412</v>
      </c>
      <c r="H6147" s="256">
        <f t="shared" si="840"/>
        <v>0.8114352090862158</v>
      </c>
      <c r="I6147" s="297">
        <f t="shared" ref="I6147:I6169" si="842">G6147*H6147</f>
        <v>165.86737093687111</v>
      </c>
      <c r="J6147" s="297">
        <f t="shared" ref="J6147:J6169" si="843">AVERAGE(C6147,C6123,C6099,C6075,C6051,C6027,C6003)</f>
        <v>451</v>
      </c>
      <c r="K6147" s="297">
        <f>J6147/POBLA!$B$2*100000</f>
        <v>14.663586121419696</v>
      </c>
      <c r="L6147" s="549">
        <f t="shared" si="841"/>
        <v>-8.6261980830670826E-3</v>
      </c>
      <c r="M6147" s="401">
        <f>SUM(C6147,C6123,C6099,C6075,C6051,C6027,C6003)/POBLA!$B$2*100000</f>
        <v>102.64510284993787</v>
      </c>
    </row>
    <row r="6148" spans="1:13" s="360" customFormat="1" x14ac:dyDescent="0.25">
      <c r="A6148" s="367" t="s">
        <v>28</v>
      </c>
      <c r="B6148" s="34">
        <v>44149</v>
      </c>
      <c r="C6148" s="1">
        <v>34</v>
      </c>
      <c r="D6148" s="39">
        <f t="shared" si="836"/>
        <v>1421</v>
      </c>
      <c r="E6148" s="1"/>
      <c r="F6148" s="409">
        <f t="shared" si="837"/>
        <v>7</v>
      </c>
      <c r="G6148" s="168">
        <f>SUM(C6148,C6124,C6100,C6076,C6052,C6028,C6004,C5980,C5956,C5932,C5908,C5884,C5860,C5836)/POBLA!$B$3*100000</f>
        <v>126.37264766342993</v>
      </c>
      <c r="H6148" s="256">
        <f t="shared" si="840"/>
        <v>1.1851015801354401</v>
      </c>
      <c r="I6148" s="297">
        <f t="shared" si="842"/>
        <v>149.76442443183004</v>
      </c>
      <c r="J6148" s="297">
        <f t="shared" si="843"/>
        <v>36.714285714285715</v>
      </c>
      <c r="K6148" s="297">
        <f>J6148/POBLA!$B$3*100000</f>
        <v>8.8374885576874807</v>
      </c>
      <c r="L6148" s="549">
        <f t="shared" si="841"/>
        <v>4.1044776119402937E-2</v>
      </c>
      <c r="M6148" s="401">
        <f>SUM(C6148,C6124,C6100,C6076,C6052,C6028,C6004)/POBLA!$B$3*100000</f>
        <v>61.862419903812359</v>
      </c>
    </row>
    <row r="6149" spans="1:13" s="360" customFormat="1" x14ac:dyDescent="0.25">
      <c r="A6149" s="367" t="s">
        <v>15</v>
      </c>
      <c r="B6149" s="34">
        <v>44149</v>
      </c>
      <c r="C6149" s="1">
        <v>215</v>
      </c>
      <c r="D6149" s="39">
        <f t="shared" si="836"/>
        <v>16188</v>
      </c>
      <c r="E6149" s="1">
        <f>2</f>
        <v>2</v>
      </c>
      <c r="F6149" s="409">
        <f t="shared" si="837"/>
        <v>486</v>
      </c>
      <c r="G6149" s="168">
        <f>SUM(C6149,C6125,C6101,C6077,C6053,C6029,C6005,C5981,C5957,C5933,C5909,C5885,C5861,C5837)/POBLA!$B$4*100000</f>
        <v>177.49499601923057</v>
      </c>
      <c r="H6149" s="256">
        <f t="shared" si="840"/>
        <v>0.8163421153111875</v>
      </c>
      <c r="I6149" s="297">
        <f t="shared" si="842"/>
        <v>144.89664050748948</v>
      </c>
      <c r="J6149" s="297">
        <f t="shared" si="843"/>
        <v>181.71428571428572</v>
      </c>
      <c r="K6149" s="297">
        <f>J6149/POBLA!$B$4*100000</f>
        <v>15.085770074599845</v>
      </c>
      <c r="L6149" s="549">
        <f t="shared" si="841"/>
        <v>-0.46882217090069278</v>
      </c>
      <c r="M6149" s="401">
        <f>SUM(C6149,C6125,C6101,C6077,C6053,C6029,C6005)/POBLA!$B$4*100000</f>
        <v>105.60039052219892</v>
      </c>
    </row>
    <row r="6150" spans="1:13" s="360" customFormat="1" x14ac:dyDescent="0.25">
      <c r="A6150" s="367" t="s">
        <v>29</v>
      </c>
      <c r="B6150" s="34">
        <v>44149</v>
      </c>
      <c r="C6150" s="1">
        <v>275</v>
      </c>
      <c r="D6150" s="39">
        <f t="shared" si="836"/>
        <v>19032</v>
      </c>
      <c r="E6150" s="1">
        <f>1+1</f>
        <v>2</v>
      </c>
      <c r="F6150" s="409">
        <f t="shared" si="837"/>
        <v>320</v>
      </c>
      <c r="G6150" s="168">
        <f>SUM(C6150,C6126,C6102,C6078,C6054,C6030,C6006,C5982,C5958,C5934,C5910,C5886,C5862,C5838)/POBLA!$B$5*100000</f>
        <v>751.21891326894934</v>
      </c>
      <c r="H6150" s="256">
        <f t="shared" si="840"/>
        <v>0.84699453551912574</v>
      </c>
      <c r="I6150" s="297">
        <f t="shared" si="842"/>
        <v>636.27831451741611</v>
      </c>
      <c r="J6150" s="297">
        <f t="shared" si="843"/>
        <v>322.28571428571428</v>
      </c>
      <c r="K6150" s="297">
        <f>J6150/POBLA!$B$5*100000</f>
        <v>52.066048182327172</v>
      </c>
      <c r="L6150" s="549">
        <f t="shared" si="841"/>
        <v>5.7644110275689275E-2</v>
      </c>
      <c r="M6150" s="401">
        <f>SUM(C6150,C6126,C6102,C6078,C6054,C6030,C6006)/POBLA!$B$5*100000</f>
        <v>364.46233727629021</v>
      </c>
    </row>
    <row r="6151" spans="1:13" s="360" customFormat="1" x14ac:dyDescent="0.25">
      <c r="A6151" s="367" t="s">
        <v>20</v>
      </c>
      <c r="B6151" s="34">
        <v>44149</v>
      </c>
      <c r="C6151" s="1">
        <v>1139</v>
      </c>
      <c r="D6151" s="39">
        <f t="shared" si="836"/>
        <v>101630</v>
      </c>
      <c r="E6151" s="1">
        <f>8+11</f>
        <v>19</v>
      </c>
      <c r="F6151" s="409">
        <f t="shared" si="837"/>
        <v>1631</v>
      </c>
      <c r="G6151" s="168">
        <f>SUM(C6151,C6127,C6103,C6079,C6055,C6031,C6007,C5983,C5959,C5935,C5911,C5887,C5863,C5839)/POBLA!$B$6*100000</f>
        <v>1446.7331845706776</v>
      </c>
      <c r="H6151" s="256">
        <f t="shared" si="840"/>
        <v>0.66580438531658048</v>
      </c>
      <c r="I6151" s="297">
        <f t="shared" si="842"/>
        <v>963.24129867017905</v>
      </c>
      <c r="J6151" s="297">
        <f t="shared" si="843"/>
        <v>1260.8571428571429</v>
      </c>
      <c r="K6151" s="297">
        <f>J6151/POBLA!$B$6*100000</f>
        <v>112.49607582944188</v>
      </c>
      <c r="L6151" s="549">
        <f t="shared" si="841"/>
        <v>-0.19447827852212751</v>
      </c>
      <c r="M6151" s="401">
        <f>SUM(C6151,C6127,C6103,C6079,C6055,C6031,C6007)/POBLA!$B$6*100000</f>
        <v>787.47253080609323</v>
      </c>
    </row>
    <row r="6152" spans="1:13" s="360" customFormat="1" x14ac:dyDescent="0.25">
      <c r="A6152" s="367" t="s">
        <v>30</v>
      </c>
      <c r="B6152" s="34">
        <v>44149</v>
      </c>
      <c r="C6152" s="1">
        <v>144</v>
      </c>
      <c r="D6152" s="39">
        <f t="shared" si="836"/>
        <v>3623</v>
      </c>
      <c r="E6152" s="1">
        <f>1</f>
        <v>1</v>
      </c>
      <c r="F6152" s="409">
        <f t="shared" si="837"/>
        <v>69</v>
      </c>
      <c r="G6152" s="168">
        <f>SUM(C6152,C6128,C6104,C6080,C6056,C6032,C6008,C5984,C5960,C5936,C5912,C5888,C5864,C5840)/POBLA!$B$7*100000</f>
        <v>28.560411652860694</v>
      </c>
      <c r="H6152" s="256">
        <f t="shared" si="840"/>
        <v>1.7549019607843137</v>
      </c>
      <c r="I6152" s="297">
        <f t="shared" si="842"/>
        <v>50.120722410412391</v>
      </c>
      <c r="J6152" s="297">
        <f t="shared" si="843"/>
        <v>112.85714285714286</v>
      </c>
      <c r="K6152" s="297">
        <f>J6152/POBLA!$B$7*100000</f>
        <v>3.0011605753870643</v>
      </c>
      <c r="L6152" s="549">
        <f t="shared" si="841"/>
        <v>-1.7816901408450705</v>
      </c>
      <c r="M6152" s="401">
        <f>SUM(C6152,C6128,C6104,C6080,C6056,C6032,C6008)/POBLA!$B$7*100000</f>
        <v>21.008124027709449</v>
      </c>
    </row>
    <row r="6153" spans="1:13" x14ac:dyDescent="0.25">
      <c r="A6153" s="367" t="s">
        <v>31</v>
      </c>
      <c r="B6153" s="34">
        <v>44149</v>
      </c>
      <c r="C6153" s="1">
        <v>306</v>
      </c>
      <c r="D6153" s="39">
        <f t="shared" si="836"/>
        <v>19866</v>
      </c>
      <c r="E6153" s="1">
        <f>5+2</f>
        <v>7</v>
      </c>
      <c r="F6153" s="409">
        <f t="shared" si="837"/>
        <v>370</v>
      </c>
      <c r="G6153" s="168">
        <f>SUM(C6153,C6129,C6105,C6081,C6057,C6033,C6009,C5985,C5961,C5937,C5913,C5889,C5865,C5841)/POBLA!$B$8*100000</f>
        <v>279.15648420121494</v>
      </c>
      <c r="H6153" s="256">
        <f t="shared" si="840"/>
        <v>0.79904997934737709</v>
      </c>
      <c r="I6153" s="297">
        <f t="shared" si="842"/>
        <v>223.05998293566719</v>
      </c>
      <c r="J6153" s="297">
        <f t="shared" si="843"/>
        <v>278.42857142857144</v>
      </c>
      <c r="K6153" s="297">
        <f>J6153/POBLA!$B$8*100000</f>
        <v>20.089206797923712</v>
      </c>
      <c r="L6153" s="549">
        <f t="shared" si="841"/>
        <v>-1.5104166666666696E-2</v>
      </c>
      <c r="M6153" s="401">
        <f>SUM(C6153,C6129,C6105,C6081,C6057,C6033,C6009)/POBLA!$B$8*100000</f>
        <v>140.62444758546599</v>
      </c>
    </row>
    <row r="6154" spans="1:13" s="360" customFormat="1" x14ac:dyDescent="0.25">
      <c r="A6154" s="367" t="s">
        <v>41</v>
      </c>
      <c r="B6154" s="34">
        <v>44149</v>
      </c>
      <c r="C6154" s="1">
        <v>1</v>
      </c>
      <c r="D6154" s="39">
        <f t="shared" si="836"/>
        <v>168</v>
      </c>
      <c r="E6154" s="1"/>
      <c r="F6154" s="409">
        <f t="shared" si="837"/>
        <v>3</v>
      </c>
      <c r="G6154" s="168">
        <f>SUM(C6154,C6130,C6106,C6082,C6058,C6034,C6010,C5986,C5962,C5938,C5914,C5890,C5866,C5842)/POBLA!$B$9*100000</f>
        <v>2.4785481656265027</v>
      </c>
      <c r="H6154" s="256">
        <f t="shared" si="840"/>
        <v>1.1538461538461537</v>
      </c>
      <c r="I6154" s="297">
        <f t="shared" si="842"/>
        <v>2.8598632680305798</v>
      </c>
      <c r="J6154" s="297">
        <f t="shared" si="843"/>
        <v>0.8571428571428571</v>
      </c>
      <c r="K6154" s="297">
        <f>J6154/POBLA!$B$9*100000</f>
        <v>0.14163132375008586</v>
      </c>
      <c r="L6154" s="549">
        <f t="shared" si="841"/>
        <v>0.33333333333333337</v>
      </c>
      <c r="M6154" s="401">
        <f>SUM(C6154,C6130,C6106,C6082,C6058,C6034,C6010)/POBLA!$B$9*100000</f>
        <v>0.99141926625060106</v>
      </c>
    </row>
    <row r="6155" spans="1:13" s="360" customFormat="1" x14ac:dyDescent="0.25">
      <c r="A6155" s="367" t="s">
        <v>32</v>
      </c>
      <c r="B6155" s="34">
        <v>44149</v>
      </c>
      <c r="C6155" s="1">
        <v>22</v>
      </c>
      <c r="D6155" s="39">
        <f t="shared" si="836"/>
        <v>18147</v>
      </c>
      <c r="E6155" s="1">
        <f>1</f>
        <v>1</v>
      </c>
      <c r="F6155" s="409">
        <f t="shared" si="837"/>
        <v>838</v>
      </c>
      <c r="G6155" s="168">
        <f>SUM(C6155,C6131,C6107,C6083,C6059,C6035,C6011,C5987,C5963,C5939,C5915,C5891,C5867,C5843)/POBLA!$B$10*100000</f>
        <v>37.749017033757482</v>
      </c>
      <c r="H6155" s="256">
        <f t="shared" si="840"/>
        <v>0.43628185907046479</v>
      </c>
      <c r="I6155" s="297">
        <f t="shared" si="842"/>
        <v>16.469211329570356</v>
      </c>
      <c r="J6155" s="297">
        <f t="shared" si="843"/>
        <v>19.142857142857142</v>
      </c>
      <c r="K6155" s="297">
        <f>J6155/POBLA!$B$10*100000</f>
        <v>2.4832441249501729</v>
      </c>
      <c r="L6155" s="549">
        <f t="shared" si="841"/>
        <v>0.14649681528662417</v>
      </c>
      <c r="M6155" s="401">
        <f>SUM(C6155,C6131,C6107,C6083,C6059,C6035,C6011)/POBLA!$B$10*100000</f>
        <v>17.382708874651211</v>
      </c>
    </row>
    <row r="6156" spans="1:13" s="360" customFormat="1" x14ac:dyDescent="0.25">
      <c r="A6156" s="367" t="s">
        <v>33</v>
      </c>
      <c r="B6156" s="34">
        <v>44149</v>
      </c>
      <c r="C6156" s="1">
        <v>95</v>
      </c>
      <c r="D6156" s="39">
        <f t="shared" si="836"/>
        <v>4643</v>
      </c>
      <c r="E6156" s="1"/>
      <c r="F6156" s="409">
        <f t="shared" si="837"/>
        <v>49</v>
      </c>
      <c r="G6156" s="168">
        <f>SUM(C6156,C6132,C6108,C6084,C6060,C6036,C6012,C5988,C5964,C5940,C5916,C5892,C5868,C5844)/POBLA!$B$11*100000</f>
        <v>380.55062662515206</v>
      </c>
      <c r="H6156" s="256">
        <f t="shared" si="840"/>
        <v>0.78032036613272315</v>
      </c>
      <c r="I6156" s="297">
        <f t="shared" si="842"/>
        <v>296.95140430017591</v>
      </c>
      <c r="J6156" s="297">
        <f t="shared" si="843"/>
        <v>88.714285714285708</v>
      </c>
      <c r="K6156" s="297">
        <f>J6156/POBLA!$B$11*100000</f>
        <v>24.750936231066131</v>
      </c>
      <c r="L6156" s="549">
        <f t="shared" si="841"/>
        <v>0.16419919246298786</v>
      </c>
      <c r="M6156" s="401">
        <f>SUM(C6156,C6132,C6108,C6084,C6060,C6036,C6012)/POBLA!$B$11*100000</f>
        <v>173.25655361746291</v>
      </c>
    </row>
    <row r="6157" spans="1:13" s="360" customFormat="1" x14ac:dyDescent="0.25">
      <c r="A6157" s="367" t="s">
        <v>21</v>
      </c>
      <c r="B6157" s="34">
        <v>44149</v>
      </c>
      <c r="C6157" s="1">
        <v>80</v>
      </c>
      <c r="D6157" s="39">
        <f t="shared" si="836"/>
        <v>8156</v>
      </c>
      <c r="E6157" s="1"/>
      <c r="F6157" s="409">
        <f t="shared" si="837"/>
        <v>298</v>
      </c>
      <c r="G6157" s="168">
        <f>SUM(C6157,C6133,C6109,C6085,C6061,C6037,C6013,C5989,C5965,C5941,C5917,C5893,C5869,C5845)/POBLA!$B$12*100000</f>
        <v>149.1623277454635</v>
      </c>
      <c r="H6157" s="256">
        <f t="shared" si="840"/>
        <v>0.49286314021830396</v>
      </c>
      <c r="I6157" s="297">
        <f t="shared" si="842"/>
        <v>73.516613254900989</v>
      </c>
      <c r="J6157" s="297">
        <f t="shared" si="843"/>
        <v>51.714285714285715</v>
      </c>
      <c r="K6157" s="297">
        <f>J6157/POBLA!$B$12*100000</f>
        <v>13.141095800403454</v>
      </c>
      <c r="L6157" s="549">
        <f t="shared" si="841"/>
        <v>-0.60888888888888881</v>
      </c>
      <c r="M6157" s="401">
        <f>SUM(C6157,C6133,C6109,C6085,C6061,C6037,C6013)/POBLA!$B$12*100000</f>
        <v>91.987670602824181</v>
      </c>
    </row>
    <row r="6158" spans="1:13" s="360" customFormat="1" x14ac:dyDescent="0.25">
      <c r="A6158" s="367" t="s">
        <v>17</v>
      </c>
      <c r="B6158" s="34">
        <v>44149</v>
      </c>
      <c r="C6158" s="1">
        <v>294</v>
      </c>
      <c r="D6158" s="39">
        <f t="shared" si="836"/>
        <v>52993</v>
      </c>
      <c r="E6158" s="1">
        <f>1+2</f>
        <v>3</v>
      </c>
      <c r="F6158" s="409">
        <f t="shared" si="837"/>
        <v>1010</v>
      </c>
      <c r="G6158" s="168">
        <f>SUM(C6158,C6134,C6110,C6086,C6062,C6038,C6014,C5990,C5966,C5942,C5918,C5894,C5870,C5846)/POBLA!$B$13*100000</f>
        <v>297.43691774964856</v>
      </c>
      <c r="H6158" s="256">
        <f t="shared" si="840"/>
        <v>0.56466997329263635</v>
      </c>
      <c r="I6158" s="297">
        <f t="shared" si="842"/>
        <v>167.95369640193812</v>
      </c>
      <c r="J6158" s="297">
        <f t="shared" si="843"/>
        <v>365.57142857142856</v>
      </c>
      <c r="K6158" s="297">
        <f>J6158/POBLA!$B$13*100000</f>
        <v>18.367303873584717</v>
      </c>
      <c r="L6158" s="549">
        <f t="shared" si="841"/>
        <v>0.23861945849449573</v>
      </c>
      <c r="M6158" s="401">
        <f>SUM(C6158,C6134,C6110,C6086,C6062,C6038,C6014)/POBLA!$B$13*100000</f>
        <v>128.57112711509302</v>
      </c>
    </row>
    <row r="6159" spans="1:13" s="360" customFormat="1" x14ac:dyDescent="0.25">
      <c r="A6159" s="367" t="s">
        <v>23</v>
      </c>
      <c r="B6159" s="34">
        <v>44149</v>
      </c>
      <c r="C6159" s="1">
        <v>4</v>
      </c>
      <c r="D6159" s="39">
        <f t="shared" si="836"/>
        <v>372</v>
      </c>
      <c r="E6159" s="1"/>
      <c r="F6159" s="409">
        <f t="shared" si="837"/>
        <v>7</v>
      </c>
      <c r="G6159" s="168">
        <f>SUM(C6159,C6135,C6111,C6087,C6063,C6039,C6015,C5991,C5967,C5943,C5919,C5895,C5871,C5847)/POBLA!$B$14*100000</f>
        <v>8.8004858502458578</v>
      </c>
      <c r="H6159" s="256">
        <f t="shared" si="840"/>
        <v>1.7903225806451613</v>
      </c>
      <c r="I6159" s="297">
        <f t="shared" si="842"/>
        <v>15.75570853834339</v>
      </c>
      <c r="J6159" s="297">
        <f t="shared" si="843"/>
        <v>6</v>
      </c>
      <c r="K6159" s="297">
        <f>J6159/POBLA!$B$14*100000</f>
        <v>0.47570193785112752</v>
      </c>
      <c r="L6159" s="549">
        <f t="shared" si="841"/>
        <v>0.39130434782608692</v>
      </c>
      <c r="M6159" s="401">
        <f>SUM(C6159,C6135,C6111,C6087,C6063,C6039,C6015)/POBLA!$B$14*100000</f>
        <v>3.3299135649578924</v>
      </c>
    </row>
    <row r="6160" spans="1:13" s="360" customFormat="1" x14ac:dyDescent="0.25">
      <c r="A6160" s="367" t="s">
        <v>19</v>
      </c>
      <c r="B6160" s="34">
        <v>44149</v>
      </c>
      <c r="C6160" s="1">
        <v>181</v>
      </c>
      <c r="D6160" s="39">
        <f t="shared" si="836"/>
        <v>26674</v>
      </c>
      <c r="E6160" s="1"/>
      <c r="F6160" s="409">
        <f t="shared" si="837"/>
        <v>515</v>
      </c>
      <c r="G6160" s="168">
        <f>SUM(C6160,C6136,C6112,C6088,C6064,C6040,C6016,C5992,C5968,C5944,C5920,C5896,C5872,C5848)/POBLA!$B$15*100000</f>
        <v>668.0149445002462</v>
      </c>
      <c r="H6160" s="256">
        <f t="shared" si="840"/>
        <v>0.59599623807604463</v>
      </c>
      <c r="I6160" s="297">
        <f t="shared" si="842"/>
        <v>398.13439390072449</v>
      </c>
      <c r="J6160" s="297">
        <f t="shared" si="843"/>
        <v>224.85714285714286</v>
      </c>
      <c r="K6160" s="297">
        <f>J6160/POBLA!$B$15*100000</f>
        <v>33.861120785887785</v>
      </c>
      <c r="L6160" s="549">
        <f t="shared" si="841"/>
        <v>0.45003494060097837</v>
      </c>
      <c r="M6160" s="401">
        <f>SUM(C6160,C6136,C6112,C6088,C6064,C6040,C6016)/POBLA!$B$15*100000</f>
        <v>237.0278455012145</v>
      </c>
    </row>
    <row r="6161" spans="1:13" s="360" customFormat="1" x14ac:dyDescent="0.25">
      <c r="A6161" s="367" t="s">
        <v>18</v>
      </c>
      <c r="B6161" s="34">
        <v>44149</v>
      </c>
      <c r="C6161" s="1">
        <v>217</v>
      </c>
      <c r="D6161" s="39">
        <f t="shared" si="836"/>
        <v>28312</v>
      </c>
      <c r="E6161" s="1">
        <f>4+3</f>
        <v>7</v>
      </c>
      <c r="F6161" s="409">
        <f t="shared" si="837"/>
        <v>711</v>
      </c>
      <c r="G6161" s="168">
        <f>SUM(C6161,C6137,C6113,C6089,C6065,C6041,C6017,C5993,C5969,C5945,C5921,C5897,C5873,C5849)/POBLA!$B$16*100000</f>
        <v>577.70762830887759</v>
      </c>
      <c r="H6161" s="256">
        <f t="shared" si="840"/>
        <v>0.85440158259149357</v>
      </c>
      <c r="I6161" s="297">
        <f t="shared" si="842"/>
        <v>493.59431190228332</v>
      </c>
      <c r="J6161" s="297">
        <f t="shared" si="843"/>
        <v>315.57142857142856</v>
      </c>
      <c r="K6161" s="297">
        <f>J6161/POBLA!$B$16*100000</f>
        <v>42.210701912953084</v>
      </c>
      <c r="L6161" s="549">
        <f t="shared" si="841"/>
        <v>-4.6919431279620838E-2</v>
      </c>
      <c r="M6161" s="401">
        <f>SUM(C6161,C6137,C6113,C6089,C6065,C6041,C6017)/POBLA!$B$16*100000</f>
        <v>295.47491339067159</v>
      </c>
    </row>
    <row r="6162" spans="1:13" s="360" customFormat="1" x14ac:dyDescent="0.25">
      <c r="A6162" s="367" t="s">
        <v>34</v>
      </c>
      <c r="B6162" s="34">
        <v>44149</v>
      </c>
      <c r="C6162" s="1">
        <v>59</v>
      </c>
      <c r="D6162" s="39">
        <f t="shared" si="836"/>
        <v>20125</v>
      </c>
      <c r="E6162" s="1">
        <f>3+2</f>
        <v>5</v>
      </c>
      <c r="F6162" s="409">
        <f t="shared" si="837"/>
        <v>919</v>
      </c>
      <c r="G6162" s="168">
        <f>SUM(C6162,C6138,C6114,C6090,C6066,C6042,C6018,C5994,C5970,C5946,C5922,C5898,C5874,C5850)/POBLA!$B$17*100000</f>
        <v>96.812896966225011</v>
      </c>
      <c r="H6162" s="256">
        <f t="shared" si="840"/>
        <v>0.54505928853754937</v>
      </c>
      <c r="I6162" s="297">
        <f t="shared" si="842"/>
        <v>52.768768741669675</v>
      </c>
      <c r="J6162" s="297">
        <f t="shared" si="843"/>
        <v>87.857142857142861</v>
      </c>
      <c r="K6162" s="297">
        <f>J6162/POBLA!$B$17*100000</f>
        <v>6.168023581708109</v>
      </c>
      <c r="L6162" s="549">
        <f t="shared" si="841"/>
        <v>0.19502617801047117</v>
      </c>
      <c r="M6162" s="401">
        <f>SUM(C6162,C6138,C6114,C6090,C6066,C6042,C6018)/POBLA!$B$17*100000</f>
        <v>43.176165071956767</v>
      </c>
    </row>
    <row r="6163" spans="1:13" s="360" customFormat="1" x14ac:dyDescent="0.25">
      <c r="A6163" s="367" t="s">
        <v>35</v>
      </c>
      <c r="B6163" s="34">
        <v>44149</v>
      </c>
      <c r="C6163" s="1">
        <v>88</v>
      </c>
      <c r="D6163" s="39">
        <f t="shared" si="836"/>
        <v>4420</v>
      </c>
      <c r="E6163" s="1"/>
      <c r="F6163" s="409">
        <f t="shared" si="837"/>
        <v>136</v>
      </c>
      <c r="G6163" s="168">
        <f>SUM(C6163,C6139,C6115,C6091,C6067,C6043,C6019,C5995,C5971,C5947,C5923,C5899,C5875,C5851)/POBLA!$B$18*100000</f>
        <v>262.92310587199205</v>
      </c>
      <c r="H6163" s="256">
        <f t="shared" si="840"/>
        <v>1.9106976744186046</v>
      </c>
      <c r="I6163" s="297">
        <f t="shared" si="842"/>
        <v>502.36656694053175</v>
      </c>
      <c r="J6163" s="297">
        <f t="shared" si="843"/>
        <v>126.28571428571429</v>
      </c>
      <c r="K6163" s="297">
        <f>J6163/POBLA!$B$18*100000</f>
        <v>16.165254248910902</v>
      </c>
      <c r="L6163" s="549">
        <f t="shared" si="841"/>
        <v>0.24444444444444446</v>
      </c>
      <c r="M6163" s="401">
        <f>SUM(C6163,C6139,C6115,C6091,C6067,C6043,C6019)/POBLA!$B$18*100000</f>
        <v>113.1567797423763</v>
      </c>
    </row>
    <row r="6164" spans="1:13" s="360" customFormat="1" x14ac:dyDescent="0.25">
      <c r="A6164" s="367" t="s">
        <v>36</v>
      </c>
      <c r="B6164" s="34">
        <v>44149</v>
      </c>
      <c r="C6164" s="1">
        <v>199</v>
      </c>
      <c r="D6164" s="39">
        <f t="shared" si="836"/>
        <v>11194</v>
      </c>
      <c r="E6164" s="1"/>
      <c r="F6164" s="409">
        <f t="shared" si="837"/>
        <v>152</v>
      </c>
      <c r="G6164" s="168">
        <f>SUM(C6164,C6140,C6116,C6092,C6068,C6044,C6020,C5996,C5972,C5948,C5924,C5900,C5876,C5852)/POBLA!$B$19*100000</f>
        <v>828.79558080609377</v>
      </c>
      <c r="H6164" s="256">
        <f t="shared" si="840"/>
        <v>1.1008622942252417</v>
      </c>
      <c r="I6164" s="297">
        <f t="shared" si="842"/>
        <v>912.38980452993815</v>
      </c>
      <c r="J6164" s="297">
        <f t="shared" si="843"/>
        <v>311</v>
      </c>
      <c r="K6164" s="297">
        <f>J6164/POBLA!$B$19*100000</f>
        <v>61.180969767551659</v>
      </c>
      <c r="L6164" s="549">
        <f t="shared" si="841"/>
        <v>-6.9253438113948906E-2</v>
      </c>
      <c r="M6164" s="401">
        <f>SUM(C6164,C6140,C6116,C6092,C6068,C6044,C6020)/POBLA!$B$19*100000</f>
        <v>428.26678837286158</v>
      </c>
    </row>
    <row r="6165" spans="1:13" s="360" customFormat="1" x14ac:dyDescent="0.25">
      <c r="A6165" s="367" t="s">
        <v>37</v>
      </c>
      <c r="B6165" s="34">
        <v>44149</v>
      </c>
      <c r="C6165" s="1">
        <v>160</v>
      </c>
      <c r="D6165" s="39">
        <f t="shared" si="836"/>
        <v>12469</v>
      </c>
      <c r="E6165" s="1">
        <f>1</f>
        <v>1</v>
      </c>
      <c r="F6165" s="409">
        <f t="shared" si="837"/>
        <v>187</v>
      </c>
      <c r="G6165" s="168">
        <f>SUM(C6165,C6141,C6117,C6093,C6069,C6045,C6021,C5997,C5973,C5949,C5925,C5901,C5877,C5853)/POBLA!$B$20*100000</f>
        <v>809.68449376261287</v>
      </c>
      <c r="H6165" s="256">
        <f t="shared" si="840"/>
        <v>1.2735483870967741</v>
      </c>
      <c r="I6165" s="297">
        <f t="shared" si="842"/>
        <v>1031.1723810886438</v>
      </c>
      <c r="J6165" s="297">
        <f t="shared" si="843"/>
        <v>222.71428571428572</v>
      </c>
      <c r="K6165" s="297">
        <f>J6165/POBLA!$B$20*100000</f>
        <v>60.901149504313864</v>
      </c>
      <c r="L6165" s="549">
        <f t="shared" si="841"/>
        <v>-0.11198288159771752</v>
      </c>
      <c r="M6165" s="401">
        <f>SUM(C6165,C6141,C6117,C6093,C6069,C6045,C6021)/POBLA!$B$20*100000</f>
        <v>426.30804653019703</v>
      </c>
    </row>
    <row r="6166" spans="1:13" s="360" customFormat="1" x14ac:dyDescent="0.25">
      <c r="A6166" s="367" t="s">
        <v>22</v>
      </c>
      <c r="B6166" s="34">
        <v>44149</v>
      </c>
      <c r="C6166" s="1">
        <v>1339</v>
      </c>
      <c r="D6166" s="39">
        <f t="shared" si="836"/>
        <v>127448</v>
      </c>
      <c r="E6166" s="1">
        <f>7+5</f>
        <v>12</v>
      </c>
      <c r="F6166" s="409">
        <f t="shared" si="837"/>
        <v>1869</v>
      </c>
      <c r="G6166" s="168">
        <f>SUM(C6166,C6142,C6118,C6094,C6070,C6046,C6022,C5998,C5974,C5950,C5926,C5902,C5878,C5854)/POBLA!$B$21*100000</f>
        <v>596.64892555122162</v>
      </c>
      <c r="H6166" s="256">
        <f t="shared" si="840"/>
        <v>0.7142857142857143</v>
      </c>
      <c r="I6166" s="297">
        <f t="shared" si="842"/>
        <v>426.17780396515832</v>
      </c>
      <c r="J6166" s="297">
        <f t="shared" si="843"/>
        <v>1432.1428571428571</v>
      </c>
      <c r="K6166" s="297">
        <f>J6166/POBLA!$B$21*100000</f>
        <v>40.496990376783998</v>
      </c>
      <c r="L6166" s="549">
        <f t="shared" si="841"/>
        <v>9.4808126410835247E-2</v>
      </c>
      <c r="M6166" s="401">
        <f>SUM(C6166,C6142,C6118,C6094,C6070,C6046,C6022)/POBLA!$B$21*100000</f>
        <v>283.47893263748796</v>
      </c>
    </row>
    <row r="6167" spans="1:13" s="360" customFormat="1" x14ac:dyDescent="0.25">
      <c r="A6167" s="367" t="s">
        <v>38</v>
      </c>
      <c r="B6167" s="34">
        <v>44149</v>
      </c>
      <c r="C6167" s="1">
        <v>264</v>
      </c>
      <c r="D6167" s="39">
        <f t="shared" si="836"/>
        <v>12868</v>
      </c>
      <c r="E6167" s="1">
        <f>2</f>
        <v>2</v>
      </c>
      <c r="F6167" s="409">
        <f t="shared" si="837"/>
        <v>157</v>
      </c>
      <c r="G6167" s="168">
        <f>SUM(C6167,C6143,C6119,C6095,C6071,C6047,C6023,C5999,C5975,C5951,C5927,C5903,C5879,C5855)/POBLA!$B$22*100000</f>
        <v>313.70328310060273</v>
      </c>
      <c r="H6167" s="256">
        <f t="shared" si="840"/>
        <v>0.94547134935304988</v>
      </c>
      <c r="I6167" s="297">
        <f t="shared" si="842"/>
        <v>296.5974663696087</v>
      </c>
      <c r="J6167" s="297">
        <f t="shared" si="843"/>
        <v>244.57142857142858</v>
      </c>
      <c r="K6167" s="297">
        <f>J6167/POBLA!$B$22*100000</f>
        <v>24.999302735569145</v>
      </c>
      <c r="L6167" s="549">
        <f t="shared" si="841"/>
        <v>-0.26160648489314675</v>
      </c>
      <c r="M6167" s="401">
        <f>SUM(C6167,C6143,C6119,C6095,C6071,C6047,C6023)/POBLA!$B$22*100000</f>
        <v>174.995119148984</v>
      </c>
    </row>
    <row r="6168" spans="1:13" s="360" customFormat="1" x14ac:dyDescent="0.25">
      <c r="A6168" s="367" t="s">
        <v>39</v>
      </c>
      <c r="B6168" s="34">
        <v>44149</v>
      </c>
      <c r="C6168" s="1">
        <v>120</v>
      </c>
      <c r="D6168" s="39">
        <f t="shared" si="836"/>
        <v>14172</v>
      </c>
      <c r="E6168" s="1">
        <f>1</f>
        <v>1</v>
      </c>
      <c r="F6168" s="409">
        <f t="shared" si="837"/>
        <v>195</v>
      </c>
      <c r="G6168" s="168">
        <f>SUM(C6168,C6144,C6120,C6096,C6072,C6048,C6024,C6000,C5976,C5952,C5928,C5904,C5880,C5856)/POBLA!$B$23*100000</f>
        <v>1581.1796640841487</v>
      </c>
      <c r="H6168" s="256">
        <f t="shared" si="840"/>
        <v>0.81373690337601867</v>
      </c>
      <c r="I6168" s="297">
        <f t="shared" si="842"/>
        <v>1286.6642435329686</v>
      </c>
      <c r="J6168" s="297">
        <f t="shared" si="843"/>
        <v>173.42857142857142</v>
      </c>
      <c r="K6168" s="297">
        <f>J6168/POBLA!$B$23*100000</f>
        <v>98.07644145708953</v>
      </c>
      <c r="L6168" s="549">
        <f t="shared" si="841"/>
        <v>0.23261694058154236</v>
      </c>
      <c r="M6168" s="401">
        <f>SUM(C6168,C6144,C6120,C6096,C6072,C6048,C6024)/POBLA!$B$23*100000</f>
        <v>686.53509019962678</v>
      </c>
    </row>
    <row r="6169" spans="1:13" s="360" customFormat="1" ht="15.75" thickBot="1" x14ac:dyDescent="0.3">
      <c r="A6169" s="368" t="s">
        <v>40</v>
      </c>
      <c r="B6169" s="34">
        <v>44149</v>
      </c>
      <c r="C6169" s="1">
        <v>426</v>
      </c>
      <c r="D6169" s="67">
        <f>C6169+D6145</f>
        <v>59629</v>
      </c>
      <c r="E6169" s="1">
        <f>3+5</f>
        <v>8</v>
      </c>
      <c r="F6169" s="477">
        <f t="shared" si="837"/>
        <v>979</v>
      </c>
      <c r="G6169" s="177">
        <f>SUM(C6169,C6145,C6121,C6097,C6073,C6049,C6025,C6001,C5977,C5953,C5929,C5905,C5881,C5857)/POBLA!$B$24*100000</f>
        <v>596.34521696438685</v>
      </c>
      <c r="H6169" s="402">
        <f t="shared" si="840"/>
        <v>0.6495693533873248</v>
      </c>
      <c r="I6169" s="403">
        <f t="shared" si="842"/>
        <v>387.36757697918068</v>
      </c>
      <c r="J6169" s="403">
        <f t="shared" si="843"/>
        <v>739.28571428571433</v>
      </c>
      <c r="K6169" s="403">
        <f>J6169/POBLA!$B$24*100000</f>
        <v>43.62452995095844</v>
      </c>
      <c r="L6169" s="550">
        <f t="shared" si="841"/>
        <v>-4.9482863516528086E-2</v>
      </c>
      <c r="M6169" s="405">
        <f>SUM(C6169,C6145,C6121,C6097,C6073,C6049,C6025)/POBLA!$B$24*100000</f>
        <v>305.37170965670907</v>
      </c>
    </row>
    <row r="6170" spans="1:13" s="360" customFormat="1" x14ac:dyDescent="0.25">
      <c r="A6170" s="363" t="s">
        <v>16</v>
      </c>
      <c r="B6170" s="34">
        <v>44150</v>
      </c>
      <c r="C6170" s="1">
        <v>1446</v>
      </c>
      <c r="D6170" s="174">
        <f t="shared" si="836"/>
        <v>589254</v>
      </c>
      <c r="E6170" s="1">
        <f>37+32</f>
        <v>69</v>
      </c>
      <c r="F6170" s="475">
        <f t="shared" si="837"/>
        <v>19376</v>
      </c>
      <c r="G6170" s="175">
        <f>SUM(C6170,C6146,C6122,C6098,C6074,C6050,C6026,C6002,C5978,C5954,C5930,C5906,C5882,C5858)/POBLA!$B$1*100000</f>
        <v>218.42934846712652</v>
      </c>
      <c r="H6170" s="300">
        <f t="shared" ref="H6170:H6233" si="844">SUM(C6170,C6146,C6122,C6098,C6074,C6050,C6026,C6002,C5978,C5954,C5930,C5906,C5882,C5858)/SUM(C5834,C5810,C5786,C5762,C5738,C5714,C5690,C5666,C5642,C5618,C5594,C5570,C5546,C5522)</f>
        <v>0.72720543577285146</v>
      </c>
      <c r="I6170" s="301">
        <f>G6170*H6170</f>
        <v>158.84300953761675</v>
      </c>
      <c r="J6170" s="301">
        <f>AVERAGE(C6170,C6146,C6122,C6098,C6074,C6050,C6026)</f>
        <v>2679.5714285714284</v>
      </c>
      <c r="K6170" s="301">
        <f>J6170/POBLA!$B$1*100000</f>
        <v>15.27592434592156</v>
      </c>
      <c r="L6170" s="548">
        <f t="shared" ref="L6170:L6233" si="845">1-SUM(C6170,C6146,C6122,C6098,C6074,C6050,C6026)/SUM(C6002,C5978,C5954,C5930,C5906,C5882,C5858)</f>
        <v>4.0955107884241726E-2</v>
      </c>
      <c r="M6170" s="400">
        <f>SUM(C6170,C6146,C6122,C6098,C6074,C6050,C6026)/POBLA!$B$1*100000</f>
        <v>106.93147042145092</v>
      </c>
    </row>
    <row r="6171" spans="1:13" s="360" customFormat="1" x14ac:dyDescent="0.25">
      <c r="A6171" s="367" t="s">
        <v>43</v>
      </c>
      <c r="B6171" s="34">
        <v>44150</v>
      </c>
      <c r="C6171" s="1">
        <v>297</v>
      </c>
      <c r="D6171" s="39">
        <f t="shared" si="836"/>
        <v>153785</v>
      </c>
      <c r="E6171" s="1">
        <f>3+2</f>
        <v>5</v>
      </c>
      <c r="F6171" s="409">
        <f t="shared" si="837"/>
        <v>5076</v>
      </c>
      <c r="G6171" s="168">
        <f>SUM(C6171,C6147,C6123,C6099,C6075,C6051,C6027,C6003,C5979,C5955,C5931,C5907,C5883,C5859)/POBLA!$B$2*100000</f>
        <v>205.68036763658756</v>
      </c>
      <c r="H6171" s="256">
        <f t="shared" si="844"/>
        <v>0.84470556816664444</v>
      </c>
      <c r="I6171" s="297">
        <f t="shared" ref="I6171:I6193" si="846">G6171*H6171</f>
        <v>173.73935180518799</v>
      </c>
      <c r="J6171" s="297">
        <f t="shared" ref="J6171:J6193" si="847">AVERAGE(C6171,C6147,C6123,C6099,C6075,C6051,C6027)</f>
        <v>458.42857142857144</v>
      </c>
      <c r="K6171" s="297">
        <f>J6171/POBLA!$B$2*100000</f>
        <v>14.905114939384163</v>
      </c>
      <c r="L6171" s="549">
        <f t="shared" si="845"/>
        <v>-2.9515559833172889E-2</v>
      </c>
      <c r="M6171" s="401">
        <f>SUM(C6171,C6147,C6123,C6099,C6075,C6051,C6027)/POBLA!$B$2*100000</f>
        <v>104.33580457568914</v>
      </c>
    </row>
    <row r="6172" spans="1:13" s="360" customFormat="1" x14ac:dyDescent="0.25">
      <c r="A6172" s="367" t="s">
        <v>28</v>
      </c>
      <c r="B6172" s="34">
        <v>44150</v>
      </c>
      <c r="C6172" s="1">
        <v>45</v>
      </c>
      <c r="D6172" s="39">
        <f t="shared" si="836"/>
        <v>1466</v>
      </c>
      <c r="E6172" s="1"/>
      <c r="F6172" s="409">
        <f t="shared" si="837"/>
        <v>7</v>
      </c>
      <c r="G6172" s="168">
        <f>SUM(C6172,C6148,C6124,C6100,C6076,C6052,C6028,C6004,C5980,C5956,C5932,C5908,C5884,C5860)/POBLA!$B$3*100000</f>
        <v>127.81690649386911</v>
      </c>
      <c r="H6172" s="256">
        <f t="shared" si="844"/>
        <v>1.1670329670329671</v>
      </c>
      <c r="I6172" s="297">
        <f t="shared" si="846"/>
        <v>149.16654362251538</v>
      </c>
      <c r="J6172" s="297">
        <f t="shared" si="847"/>
        <v>41</v>
      </c>
      <c r="K6172" s="297">
        <f>J6172/POBLA!$B$3*100000</f>
        <v>9.8691020080011942</v>
      </c>
      <c r="L6172" s="549">
        <f t="shared" si="845"/>
        <v>-0.17622950819672134</v>
      </c>
      <c r="M6172" s="401">
        <f>SUM(C6172,C6148,C6124,C6100,C6076,C6052,C6028)/POBLA!$B$3*100000</f>
        <v>69.083714056008361</v>
      </c>
    </row>
    <row r="6173" spans="1:13" s="360" customFormat="1" x14ac:dyDescent="0.25">
      <c r="A6173" s="367" t="s">
        <v>15</v>
      </c>
      <c r="B6173" s="34">
        <v>44150</v>
      </c>
      <c r="C6173" s="1">
        <v>130</v>
      </c>
      <c r="D6173" s="39">
        <f t="shared" si="836"/>
        <v>16318</v>
      </c>
      <c r="E6173" s="1">
        <f>2+2</f>
        <v>4</v>
      </c>
      <c r="F6173" s="409">
        <f t="shared" si="837"/>
        <v>490</v>
      </c>
      <c r="G6173" s="168">
        <f>SUM(C6173,C6149,C6125,C6101,C6077,C6053,C6029,C6005,C5981,C5957,C5933,C5909,C5885,C5861)/POBLA!$B$4*100000</f>
        <v>176.58178509490338</v>
      </c>
      <c r="H6173" s="256">
        <f t="shared" si="844"/>
        <v>0.841376582278481</v>
      </c>
      <c r="I6173" s="297">
        <f t="shared" si="846"/>
        <v>148.57177883578302</v>
      </c>
      <c r="J6173" s="297">
        <f t="shared" si="847"/>
        <v>182.85714285714286</v>
      </c>
      <c r="K6173" s="297">
        <f>J6173/POBLA!$B$4*100000</f>
        <v>15.180649131672798</v>
      </c>
      <c r="L6173" s="549">
        <f t="shared" si="845"/>
        <v>-0.5112160566706021</v>
      </c>
      <c r="M6173" s="401">
        <f>SUM(C6173,C6149,C6125,C6101,C6077,C6053,C6029)/POBLA!$B$4*100000</f>
        <v>106.26454392170959</v>
      </c>
    </row>
    <row r="6174" spans="1:13" s="360" customFormat="1" x14ac:dyDescent="0.25">
      <c r="A6174" s="367" t="s">
        <v>29</v>
      </c>
      <c r="B6174" s="34">
        <v>44150</v>
      </c>
      <c r="C6174" s="1">
        <v>159</v>
      </c>
      <c r="D6174" s="39">
        <f t="shared" si="836"/>
        <v>19191</v>
      </c>
      <c r="E6174" s="1">
        <v>2</v>
      </c>
      <c r="F6174" s="409">
        <f t="shared" si="837"/>
        <v>322</v>
      </c>
      <c r="G6174" s="168">
        <f>SUM(C6174,C6150,C6126,C6102,C6078,C6054,C6030,C6006,C5982,C5958,C5934,C5910,C5886,C5862)/POBLA!$B$5*100000</f>
        <v>761.8813752637343</v>
      </c>
      <c r="H6174" s="256">
        <f t="shared" si="844"/>
        <v>0.86802871341800114</v>
      </c>
      <c r="I6174" s="297">
        <f t="shared" si="846"/>
        <v>661.33490994731665</v>
      </c>
      <c r="J6174" s="297">
        <f t="shared" si="847"/>
        <v>328</v>
      </c>
      <c r="K6174" s="297">
        <f>J6174/POBLA!$B$5*100000</f>
        <v>52.989205064992554</v>
      </c>
      <c r="L6174" s="549">
        <f t="shared" si="845"/>
        <v>5.123966942148761E-2</v>
      </c>
      <c r="M6174" s="401">
        <f>SUM(C6174,C6150,C6126,C6102,C6078,C6054,C6030)/POBLA!$B$5*100000</f>
        <v>370.92443545494785</v>
      </c>
    </row>
    <row r="6175" spans="1:13" s="360" customFormat="1" x14ac:dyDescent="0.25">
      <c r="A6175" s="367" t="s">
        <v>20</v>
      </c>
      <c r="B6175" s="34">
        <v>44150</v>
      </c>
      <c r="C6175" s="1">
        <v>832</v>
      </c>
      <c r="D6175" s="39">
        <f t="shared" si="836"/>
        <v>102462</v>
      </c>
      <c r="E6175" s="1">
        <f>9+5</f>
        <v>14</v>
      </c>
      <c r="F6175" s="409">
        <f t="shared" si="837"/>
        <v>1645</v>
      </c>
      <c r="G6175" s="168">
        <f>SUM(C6175,C6151,C6127,C6103,C6079,C6055,C6031,C6007,C5983,C5959,C5935,C5911,C5887,C5863)/POBLA!$B$6*100000</f>
        <v>1440.3984293375897</v>
      </c>
      <c r="H6175" s="256">
        <f t="shared" si="844"/>
        <v>0.68970820694663992</v>
      </c>
      <c r="I6175" s="297">
        <f t="shared" si="846"/>
        <v>993.45461798718543</v>
      </c>
      <c r="J6175" s="297">
        <f t="shared" si="847"/>
        <v>1269</v>
      </c>
      <c r="K6175" s="297">
        <f>J6175/POBLA!$B$6*100000</f>
        <v>113.22259705335738</v>
      </c>
      <c r="L6175" s="549">
        <f t="shared" si="845"/>
        <v>-0.22338520864894651</v>
      </c>
      <c r="M6175" s="401">
        <f>SUM(C6175,C6151,C6127,C6103,C6079,C6055,C6031)/POBLA!$B$6*100000</f>
        <v>792.55817937350162</v>
      </c>
    </row>
    <row r="6176" spans="1:13" s="360" customFormat="1" x14ac:dyDescent="0.25">
      <c r="A6176" s="367" t="s">
        <v>30</v>
      </c>
      <c r="B6176" s="34">
        <v>44150</v>
      </c>
      <c r="C6176" s="1">
        <v>93</v>
      </c>
      <c r="D6176" s="39">
        <f t="shared" si="836"/>
        <v>3716</v>
      </c>
      <c r="E6176" s="1"/>
      <c r="F6176" s="409">
        <f t="shared" si="837"/>
        <v>69</v>
      </c>
      <c r="G6176" s="168">
        <f>SUM(C6176,C6152,C6128,C6104,C6080,C6056,C6032,C6008,C5984,C5960,C5936,C5912,C5888,C5864)/POBLA!$B$7*100000</f>
        <v>30.927149676235555</v>
      </c>
      <c r="H6176" s="256">
        <f t="shared" si="844"/>
        <v>2.022608695652174</v>
      </c>
      <c r="I6176" s="297">
        <f t="shared" si="846"/>
        <v>62.55352186689035</v>
      </c>
      <c r="J6176" s="297">
        <f t="shared" si="847"/>
        <v>115.14285714285714</v>
      </c>
      <c r="K6176" s="297">
        <f>J6176/POBLA!$B$7*100000</f>
        <v>3.0619435743822452</v>
      </c>
      <c r="L6176" s="549">
        <f t="shared" si="845"/>
        <v>-1.257703081232493</v>
      </c>
      <c r="M6176" s="401">
        <f>SUM(C6176,C6152,C6128,C6104,C6080,C6056,C6032)/POBLA!$B$7*100000</f>
        <v>21.433605020675717</v>
      </c>
    </row>
    <row r="6177" spans="1:13" x14ac:dyDescent="0.25">
      <c r="A6177" s="367" t="s">
        <v>31</v>
      </c>
      <c r="B6177" s="34">
        <v>44150</v>
      </c>
      <c r="C6177" s="1">
        <v>180</v>
      </c>
      <c r="D6177" s="39">
        <f t="shared" si="836"/>
        <v>20046</v>
      </c>
      <c r="E6177" s="1">
        <f>1+2</f>
        <v>3</v>
      </c>
      <c r="F6177" s="409">
        <f t="shared" si="837"/>
        <v>373</v>
      </c>
      <c r="G6177" s="168">
        <f>SUM(C6177,C6153,C6129,C6105,C6081,C6057,C6033,C6009,C5985,C5961,C5937,C5913,C5889,C5865)/POBLA!$B$8*100000</f>
        <v>277.85774635794229</v>
      </c>
      <c r="H6177" s="256">
        <f t="shared" si="844"/>
        <v>0.808863684099979</v>
      </c>
      <c r="I6177" s="297">
        <f t="shared" si="846"/>
        <v>224.74904037480272</v>
      </c>
      <c r="J6177" s="297">
        <f t="shared" si="847"/>
        <v>277.42857142857144</v>
      </c>
      <c r="K6177" s="297">
        <f>J6177/POBLA!$B$8*100000</f>
        <v>20.017054695519676</v>
      </c>
      <c r="L6177" s="549">
        <f t="shared" si="845"/>
        <v>-1.7286537454164419E-2</v>
      </c>
      <c r="M6177" s="401">
        <f>SUM(C6177,C6153,C6129,C6105,C6081,C6057,C6033)/POBLA!$B$8*100000</f>
        <v>140.1193828686377</v>
      </c>
    </row>
    <row r="6178" spans="1:13" s="360" customFormat="1" x14ac:dyDescent="0.25">
      <c r="A6178" s="367" t="s">
        <v>41</v>
      </c>
      <c r="B6178" s="34">
        <v>44150</v>
      </c>
      <c r="C6178" s="1">
        <v>0</v>
      </c>
      <c r="D6178" s="39">
        <f t="shared" si="836"/>
        <v>168</v>
      </c>
      <c r="E6178" s="1"/>
      <c r="F6178" s="409">
        <f t="shared" si="837"/>
        <v>3</v>
      </c>
      <c r="G6178" s="168">
        <f>SUM(C6178,C6154,C6130,C6106,C6082,C6058,C6034,C6010,C5986,C5962,C5938,C5914,C5890,C5866)/POBLA!$B$9*100000</f>
        <v>2.8090212543767032</v>
      </c>
      <c r="H6178" s="256">
        <f t="shared" si="844"/>
        <v>1.3076923076923077</v>
      </c>
      <c r="I6178" s="297">
        <f t="shared" si="846"/>
        <v>3.6733354864926118</v>
      </c>
      <c r="J6178" s="297">
        <f t="shared" si="847"/>
        <v>0.8571428571428571</v>
      </c>
      <c r="K6178" s="297">
        <f>J6178/POBLA!$B$9*100000</f>
        <v>0.14163132375008586</v>
      </c>
      <c r="L6178" s="549">
        <f t="shared" si="845"/>
        <v>0.45454545454545459</v>
      </c>
      <c r="M6178" s="401">
        <f>SUM(C6178,C6154,C6130,C6106,C6082,C6058,C6034)/POBLA!$B$9*100000</f>
        <v>0.99141926625060106</v>
      </c>
    </row>
    <row r="6179" spans="1:13" s="360" customFormat="1" x14ac:dyDescent="0.25">
      <c r="A6179" s="367" t="s">
        <v>32</v>
      </c>
      <c r="B6179" s="34">
        <v>44150</v>
      </c>
      <c r="C6179" s="1">
        <v>21</v>
      </c>
      <c r="D6179" s="39">
        <f t="shared" si="836"/>
        <v>18168</v>
      </c>
      <c r="E6179" s="1"/>
      <c r="F6179" s="409">
        <f t="shared" si="837"/>
        <v>838</v>
      </c>
      <c r="G6179" s="168">
        <f>SUM(C6179,C6155,C6131,C6107,C6083,C6059,C6035,C6011,C5987,C5963,C5939,C5915,C5891,C5867)/POBLA!$B$10*100000</f>
        <v>36.840965077618982</v>
      </c>
      <c r="H6179" s="256">
        <f t="shared" si="844"/>
        <v>0.43692307692307691</v>
      </c>
      <c r="I6179" s="297">
        <f t="shared" si="846"/>
        <v>16.09666781852891</v>
      </c>
      <c r="J6179" s="297">
        <f t="shared" si="847"/>
        <v>20.428571428571427</v>
      </c>
      <c r="K6179" s="297">
        <f>J6179/POBLA!$B$10*100000</f>
        <v>2.6500291781184679</v>
      </c>
      <c r="L6179" s="549">
        <f t="shared" si="845"/>
        <v>-1.4184397163120588E-2</v>
      </c>
      <c r="M6179" s="401">
        <f>SUM(C6179,C6155,C6131,C6107,C6083,C6059,C6035)/POBLA!$B$10*100000</f>
        <v>18.550204246829274</v>
      </c>
    </row>
    <row r="6180" spans="1:13" s="360" customFormat="1" x14ac:dyDescent="0.25">
      <c r="A6180" s="367" t="s">
        <v>33</v>
      </c>
      <c r="B6180" s="34">
        <v>44150</v>
      </c>
      <c r="C6180" s="1">
        <v>65</v>
      </c>
      <c r="D6180" s="39">
        <f t="shared" si="836"/>
        <v>4708</v>
      </c>
      <c r="E6180" s="1"/>
      <c r="F6180" s="409">
        <f t="shared" si="837"/>
        <v>49</v>
      </c>
      <c r="G6180" s="168">
        <f>SUM(C6180,C6156,C6132,C6108,C6084,C6060,C6036,C6012,C5988,C5964,C5940,C5916,C5892,C5868)/POBLA!$B$11*100000</f>
        <v>375.80769359536646</v>
      </c>
      <c r="H6180" s="256">
        <f t="shared" si="844"/>
        <v>0.7728055077452668</v>
      </c>
      <c r="I6180" s="297">
        <f t="shared" si="846"/>
        <v>290.42625546354481</v>
      </c>
      <c r="J6180" s="297">
        <f t="shared" si="847"/>
        <v>83.857142857142861</v>
      </c>
      <c r="K6180" s="297">
        <f>J6180/POBLA!$B$11*100000</f>
        <v>23.395812508270243</v>
      </c>
      <c r="L6180" s="549">
        <f t="shared" si="845"/>
        <v>0.22763157894736841</v>
      </c>
      <c r="M6180" s="401">
        <f>SUM(C6180,C6156,C6132,C6108,C6084,C6060,C6036)/POBLA!$B$11*100000</f>
        <v>163.77068755789168</v>
      </c>
    </row>
    <row r="6181" spans="1:13" s="360" customFormat="1" x14ac:dyDescent="0.25">
      <c r="A6181" s="367" t="s">
        <v>21</v>
      </c>
      <c r="B6181" s="34">
        <v>44150</v>
      </c>
      <c r="C6181" s="1">
        <v>24</v>
      </c>
      <c r="D6181" s="39">
        <f t="shared" si="836"/>
        <v>8180</v>
      </c>
      <c r="E6181" s="1"/>
      <c r="F6181" s="409">
        <f t="shared" si="837"/>
        <v>298</v>
      </c>
      <c r="G6181" s="168">
        <f>SUM(C6181,C6157,C6133,C6109,C6085,C6061,C6037,C6013,C5989,C5965,C5941,C5917,C5893,C5869)/POBLA!$B$12*100000</f>
        <v>146.36712228515671</v>
      </c>
      <c r="H6181" s="256">
        <f t="shared" si="844"/>
        <v>0.5511961722488038</v>
      </c>
      <c r="I6181" s="297">
        <f t="shared" si="846"/>
        <v>80.676997546650966</v>
      </c>
      <c r="J6181" s="297">
        <f t="shared" si="847"/>
        <v>47.285714285714285</v>
      </c>
      <c r="K6181" s="297">
        <f>J6181/POBLA!$B$12*100000</f>
        <v>12.015753342357854</v>
      </c>
      <c r="L6181" s="549">
        <f t="shared" si="845"/>
        <v>-0.3510204081632653</v>
      </c>
      <c r="M6181" s="401">
        <f>SUM(C6181,C6157,C6133,C6109,C6085,C6061,C6037)/POBLA!$B$12*100000</f>
        <v>84.110273396504979</v>
      </c>
    </row>
    <row r="6182" spans="1:13" s="360" customFormat="1" x14ac:dyDescent="0.25">
      <c r="A6182" s="367" t="s">
        <v>17</v>
      </c>
      <c r="B6182" s="34">
        <v>44150</v>
      </c>
      <c r="C6182" s="1">
        <v>94</v>
      </c>
      <c r="D6182" s="39">
        <f t="shared" si="836"/>
        <v>53087</v>
      </c>
      <c r="E6182" s="1">
        <f>2</f>
        <v>2</v>
      </c>
      <c r="F6182" s="409">
        <f t="shared" si="837"/>
        <v>1012</v>
      </c>
      <c r="G6182" s="168">
        <f>SUM(C6182,C6158,C6134,C6110,C6086,C6062,C6038,C6014,C5990,C5966,C5942,C5918,C5894,C5870)/POBLA!$B$13*100000</f>
        <v>291.75949009665698</v>
      </c>
      <c r="H6182" s="256">
        <f t="shared" si="844"/>
        <v>0.5705443112595795</v>
      </c>
      <c r="I6182" s="297">
        <f t="shared" si="846"/>
        <v>166.46171733064327</v>
      </c>
      <c r="J6182" s="297">
        <f t="shared" si="847"/>
        <v>359</v>
      </c>
      <c r="K6182" s="297">
        <f>J6182/POBLA!$B$13*100000</f>
        <v>18.037137410831729</v>
      </c>
      <c r="L6182" s="549">
        <f t="shared" si="845"/>
        <v>0.23709775349119611</v>
      </c>
      <c r="M6182" s="401">
        <f>SUM(C6182,C6158,C6134,C6110,C6086,C6062,C6038)/POBLA!$B$13*100000</f>
        <v>126.2599618758221</v>
      </c>
    </row>
    <row r="6183" spans="1:13" s="360" customFormat="1" x14ac:dyDescent="0.25">
      <c r="A6183" s="367" t="s">
        <v>23</v>
      </c>
      <c r="B6183" s="34">
        <v>44150</v>
      </c>
      <c r="C6183" s="1">
        <v>3</v>
      </c>
      <c r="D6183" s="39">
        <f t="shared" si="836"/>
        <v>375</v>
      </c>
      <c r="E6183" s="1"/>
      <c r="F6183" s="409">
        <f t="shared" si="837"/>
        <v>7</v>
      </c>
      <c r="G6183" s="168">
        <f>SUM(C6183,C6159,C6135,C6111,C6087,C6063,C6039,C6015,C5991,C5967,C5943,C5919,C5895,C5871)/POBLA!$B$14*100000</f>
        <v>7.690514661926561</v>
      </c>
      <c r="H6183" s="256">
        <f t="shared" si="844"/>
        <v>1.2933333333333332</v>
      </c>
      <c r="I6183" s="297">
        <f t="shared" si="846"/>
        <v>9.9463989627583516</v>
      </c>
      <c r="J6183" s="297">
        <f t="shared" si="847"/>
        <v>6</v>
      </c>
      <c r="K6183" s="297">
        <f>J6183/POBLA!$B$14*100000</f>
        <v>0.47570193785112752</v>
      </c>
      <c r="L6183" s="549">
        <f t="shared" si="845"/>
        <v>0.23636363636363633</v>
      </c>
      <c r="M6183" s="401">
        <f>SUM(C6183,C6159,C6135,C6111,C6087,C6063,C6039)/POBLA!$B$14*100000</f>
        <v>3.3299135649578924</v>
      </c>
    </row>
    <row r="6184" spans="1:13" s="360" customFormat="1" x14ac:dyDescent="0.25">
      <c r="A6184" s="367" t="s">
        <v>19</v>
      </c>
      <c r="B6184" s="34">
        <v>44150</v>
      </c>
      <c r="C6184" s="1">
        <v>234</v>
      </c>
      <c r="D6184" s="39">
        <f t="shared" si="836"/>
        <v>26908</v>
      </c>
      <c r="E6184" s="1">
        <v>2</v>
      </c>
      <c r="F6184" s="409">
        <f t="shared" si="837"/>
        <v>517</v>
      </c>
      <c r="G6184" s="168">
        <f>SUM(C6184,C6160,C6136,C6112,C6088,C6064,C6040,C6016,C5992,C5968,C5944,C5920,C5896,C5872)/POBLA!$B$15*100000</f>
        <v>664.7019758846003</v>
      </c>
      <c r="H6184" s="256">
        <f t="shared" si="844"/>
        <v>0.59560113345027665</v>
      </c>
      <c r="I6184" s="297">
        <f t="shared" si="846"/>
        <v>395.89725024350639</v>
      </c>
      <c r="J6184" s="297">
        <f t="shared" si="847"/>
        <v>236.28571428571428</v>
      </c>
      <c r="K6184" s="297">
        <f>J6184/POBLA!$B$15*100000</f>
        <v>35.582143443366199</v>
      </c>
      <c r="L6184" s="549">
        <f t="shared" si="845"/>
        <v>0.4007246376811594</v>
      </c>
      <c r="M6184" s="401">
        <f>SUM(C6184,C6160,C6136,C6112,C6088,C6064,C6040)/POBLA!$B$15*100000</f>
        <v>249.0750041035634</v>
      </c>
    </row>
    <row r="6185" spans="1:13" s="360" customFormat="1" x14ac:dyDescent="0.25">
      <c r="A6185" s="367" t="s">
        <v>18</v>
      </c>
      <c r="B6185" s="34">
        <v>44150</v>
      </c>
      <c r="C6185" s="1">
        <v>132</v>
      </c>
      <c r="D6185" s="39">
        <f t="shared" si="836"/>
        <v>28444</v>
      </c>
      <c r="E6185" s="1">
        <f>4+2</f>
        <v>6</v>
      </c>
      <c r="F6185" s="409">
        <f t="shared" si="837"/>
        <v>717</v>
      </c>
      <c r="G6185" s="168">
        <f>SUM(C6185,C6161,C6137,C6113,C6089,C6065,C6041,C6017,C5993,C5969,C5945,C5921,C5897,C5873)/POBLA!$B$16*100000</f>
        <v>576.10251334251814</v>
      </c>
      <c r="H6185" s="256">
        <f t="shared" si="844"/>
        <v>0.87434023548518069</v>
      </c>
      <c r="I6185" s="297">
        <f t="shared" si="846"/>
        <v>503.70960717950175</v>
      </c>
      <c r="J6185" s="297">
        <f t="shared" si="847"/>
        <v>316.42857142857144</v>
      </c>
      <c r="K6185" s="297">
        <f>J6185/POBLA!$B$16*100000</f>
        <v>42.325352981978767</v>
      </c>
      <c r="L6185" s="549">
        <f t="shared" si="845"/>
        <v>-5.8795411089866079E-2</v>
      </c>
      <c r="M6185" s="401">
        <f>SUM(C6185,C6161,C6137,C6113,C6089,C6065,C6041)/POBLA!$B$16*100000</f>
        <v>296.27747087385131</v>
      </c>
    </row>
    <row r="6186" spans="1:13" s="360" customFormat="1" x14ac:dyDescent="0.25">
      <c r="A6186" s="367" t="s">
        <v>34</v>
      </c>
      <c r="B6186" s="34">
        <v>44150</v>
      </c>
      <c r="C6186" s="1">
        <v>67</v>
      </c>
      <c r="D6186" s="39">
        <f t="shared" ref="D6186:D6192" si="848">C6186+D6162</f>
        <v>20192</v>
      </c>
      <c r="E6186" s="1"/>
      <c r="F6186" s="409">
        <f t="shared" si="837"/>
        <v>919</v>
      </c>
      <c r="G6186" s="168">
        <f>SUM(C6186,C6162,C6138,C6114,C6090,C6066,C6042,C6018,C5994,C5970,C5946,C5922,C5898,C5874)/POBLA!$B$17*100000</f>
        <v>91.758126421215437</v>
      </c>
      <c r="H6186" s="256">
        <f t="shared" si="844"/>
        <v>0.52259096361455415</v>
      </c>
      <c r="I6186" s="297">
        <f t="shared" si="846"/>
        <v>47.951967705929057</v>
      </c>
      <c r="J6186" s="297">
        <f t="shared" si="847"/>
        <v>92.285714285714292</v>
      </c>
      <c r="K6186" s="297">
        <f>J6186/POBLA!$B$17*100000</f>
        <v>6.4789320874527458</v>
      </c>
      <c r="L6186" s="549">
        <f t="shared" si="845"/>
        <v>2.2692889561270801E-2</v>
      </c>
      <c r="M6186" s="401">
        <f>SUM(C6186,C6162,C6138,C6114,C6090,C6066,C6042)/POBLA!$B$17*100000</f>
        <v>45.352524612169219</v>
      </c>
    </row>
    <row r="6187" spans="1:13" s="360" customFormat="1" x14ac:dyDescent="0.25">
      <c r="A6187" s="367" t="s">
        <v>35</v>
      </c>
      <c r="B6187" s="34">
        <v>44150</v>
      </c>
      <c r="C6187" s="1">
        <v>29</v>
      </c>
      <c r="D6187" s="39">
        <f t="shared" si="848"/>
        <v>4449</v>
      </c>
      <c r="E6187" s="1"/>
      <c r="F6187" s="409">
        <f t="shared" ref="F6187:F6250" si="849">E6187+F6163</f>
        <v>136</v>
      </c>
      <c r="G6187" s="168">
        <f>SUM(C6187,C6163,C6139,C6115,C6091,C6067,C6043,C6019,C5995,C5971,C5947,C5923,C5899,C5875)/POBLA!$B$18*100000</f>
        <v>259.08294366354033</v>
      </c>
      <c r="H6187" s="256">
        <f t="shared" si="844"/>
        <v>1.7864077669902914</v>
      </c>
      <c r="I6187" s="297">
        <f t="shared" si="846"/>
        <v>462.82778285525654</v>
      </c>
      <c r="J6187" s="297">
        <f t="shared" si="847"/>
        <v>112.28571428571429</v>
      </c>
      <c r="K6187" s="297">
        <f>J6187/POBLA!$B$18*100000</f>
        <v>14.373178551633451</v>
      </c>
      <c r="L6187" s="549">
        <f t="shared" si="845"/>
        <v>0.36510500807754442</v>
      </c>
      <c r="M6187" s="401">
        <f>SUM(C6187,C6163,C6139,C6115,C6091,C6067,C6043)/POBLA!$B$18*100000</f>
        <v>100.61224986143415</v>
      </c>
    </row>
    <row r="6188" spans="1:13" s="360" customFormat="1" x14ac:dyDescent="0.25">
      <c r="A6188" s="367" t="s">
        <v>36</v>
      </c>
      <c r="B6188" s="34">
        <v>44150</v>
      </c>
      <c r="C6188" s="1">
        <v>180</v>
      </c>
      <c r="D6188" s="39">
        <f t="shared" si="848"/>
        <v>11374</v>
      </c>
      <c r="E6188" s="1"/>
      <c r="F6188" s="409">
        <f t="shared" si="849"/>
        <v>152</v>
      </c>
      <c r="G6188" s="168">
        <f>SUM(C6188,C6164,C6140,C6116,C6092,C6068,C6044,C6020,C5996,C5972,C5948,C5924,C5900,C5876)/POBLA!$B$19*100000</f>
        <v>815.41839127492483</v>
      </c>
      <c r="H6188" s="256">
        <f t="shared" si="844"/>
        <v>1.0650051387461459</v>
      </c>
      <c r="I6188" s="297">
        <f t="shared" si="846"/>
        <v>868.42477693591036</v>
      </c>
      <c r="J6188" s="297">
        <f t="shared" si="847"/>
        <v>329</v>
      </c>
      <c r="K6188" s="297">
        <f>J6188/POBLA!$B$19*100000</f>
        <v>64.721990525802241</v>
      </c>
      <c r="L6188" s="549">
        <f t="shared" si="845"/>
        <v>-0.25027144408251889</v>
      </c>
      <c r="M6188" s="401">
        <f>SUM(C6188,C6164,C6140,C6116,C6092,C6068,C6044)/POBLA!$B$19*100000</f>
        <v>453.05393368061567</v>
      </c>
    </row>
    <row r="6189" spans="1:13" s="360" customFormat="1" x14ac:dyDescent="0.25">
      <c r="A6189" s="367" t="s">
        <v>37</v>
      </c>
      <c r="B6189" s="34">
        <v>44150</v>
      </c>
      <c r="C6189" s="1">
        <v>186</v>
      </c>
      <c r="D6189" s="39">
        <f t="shared" si="848"/>
        <v>12655</v>
      </c>
      <c r="E6189" s="1">
        <f>3+1</f>
        <v>4</v>
      </c>
      <c r="F6189" s="409">
        <f t="shared" si="849"/>
        <v>191</v>
      </c>
      <c r="G6189" s="168">
        <f>SUM(C6189,C6165,C6141,C6117,C6093,C6069,C6045,C6021,C5997,C5973,C5949,C5925,C5901,C5877)/POBLA!$B$20*100000</f>
        <v>812.41899053317218</v>
      </c>
      <c r="H6189" s="256">
        <f t="shared" si="844"/>
        <v>1.2292097641704594</v>
      </c>
      <c r="I6189" s="297">
        <f t="shared" si="846"/>
        <v>998.63335576088321</v>
      </c>
      <c r="J6189" s="297">
        <f t="shared" si="847"/>
        <v>224.14285714285714</v>
      </c>
      <c r="K6189" s="297">
        <f>J6189/POBLA!$B$20*100000</f>
        <v>61.291791900108045</v>
      </c>
      <c r="L6189" s="549">
        <f t="shared" si="845"/>
        <v>-0.11911554921540657</v>
      </c>
      <c r="M6189" s="401">
        <f>SUM(C6189,C6165,C6141,C6117,C6093,C6069,C6045)/POBLA!$B$20*100000</f>
        <v>429.04254330075634</v>
      </c>
    </row>
    <row r="6190" spans="1:13" s="360" customFormat="1" x14ac:dyDescent="0.25">
      <c r="A6190" s="367" t="s">
        <v>22</v>
      </c>
      <c r="B6190" s="34">
        <v>44150</v>
      </c>
      <c r="C6190" s="1">
        <v>685</v>
      </c>
      <c r="D6190" s="39">
        <f t="shared" si="848"/>
        <v>128133</v>
      </c>
      <c r="E6190" s="1">
        <f>4+5</f>
        <v>9</v>
      </c>
      <c r="F6190" s="409">
        <f t="shared" si="849"/>
        <v>1878</v>
      </c>
      <c r="G6190" s="168">
        <f>SUM(C6190,C6166,C6142,C6118,C6094,C6070,C6046,C6022,C5998,C5974,C5950,C5926,C5902,C5878)/POBLA!$B$21*100000</f>
        <v>582.93448342362251</v>
      </c>
      <c r="H6190" s="256">
        <f t="shared" si="844"/>
        <v>0.71841784282976129</v>
      </c>
      <c r="I6190" s="297">
        <f t="shared" si="846"/>
        <v>418.7905340922801</v>
      </c>
      <c r="J6190" s="297">
        <f t="shared" si="847"/>
        <v>1404.4285714285713</v>
      </c>
      <c r="K6190" s="297">
        <f>J6190/POBLA!$B$21*100000</f>
        <v>39.713307969492618</v>
      </c>
      <c r="L6190" s="549">
        <f t="shared" si="845"/>
        <v>8.8371661721068251E-2</v>
      </c>
      <c r="M6190" s="401">
        <f>SUM(C6190,C6166,C6142,C6118,C6094,C6070,C6046)/POBLA!$B$21*100000</f>
        <v>277.99315578644831</v>
      </c>
    </row>
    <row r="6191" spans="1:13" s="360" customFormat="1" x14ac:dyDescent="0.25">
      <c r="A6191" s="367" t="s">
        <v>38</v>
      </c>
      <c r="B6191" s="34">
        <v>44150</v>
      </c>
      <c r="C6191" s="1">
        <v>251</v>
      </c>
      <c r="D6191" s="39">
        <f t="shared" si="848"/>
        <v>13119</v>
      </c>
      <c r="E6191" s="1"/>
      <c r="F6191" s="409">
        <f t="shared" si="849"/>
        <v>157</v>
      </c>
      <c r="G6191" s="168">
        <f>SUM(C6191,C6167,C6143,C6119,C6095,C6071,C6047,C6023,C5999,C5975,C5951,C5927,C5903,C5879)/POBLA!$B$22*100000</f>
        <v>320.75624058966815</v>
      </c>
      <c r="H6191" s="256">
        <f t="shared" si="844"/>
        <v>0.99115603284902087</v>
      </c>
      <c r="I6191" s="297">
        <f t="shared" si="846"/>
        <v>317.91948293442158</v>
      </c>
      <c r="J6191" s="297">
        <f t="shared" si="847"/>
        <v>256.14285714285717</v>
      </c>
      <c r="K6191" s="297">
        <f>J6191/POBLA!$B$22*100000</f>
        <v>26.182096848642221</v>
      </c>
      <c r="L6191" s="549">
        <f t="shared" si="845"/>
        <v>-0.33308550185873598</v>
      </c>
      <c r="M6191" s="401">
        <f>SUM(C6191,C6167,C6143,C6119,C6095,C6071,C6047)/POBLA!$B$22*100000</f>
        <v>183.27467794049551</v>
      </c>
    </row>
    <row r="6192" spans="1:13" s="360" customFormat="1" x14ac:dyDescent="0.25">
      <c r="A6192" s="367" t="s">
        <v>39</v>
      </c>
      <c r="B6192" s="34">
        <v>44150</v>
      </c>
      <c r="C6192" s="1">
        <v>89</v>
      </c>
      <c r="D6192" s="39">
        <f t="shared" si="848"/>
        <v>14261</v>
      </c>
      <c r="E6192" s="1">
        <f>1</f>
        <v>1</v>
      </c>
      <c r="F6192" s="409">
        <f t="shared" si="849"/>
        <v>196</v>
      </c>
      <c r="G6192" s="168">
        <f>SUM(C6192,C6168,C6144,C6120,C6096,C6072,C6048,C6024,C6000,C5976,C5952,C5928,C5904,C5880)/POBLA!$B$23*100000</f>
        <v>1515.5799355313013</v>
      </c>
      <c r="H6192" s="256">
        <f t="shared" si="844"/>
        <v>0.78065831634139238</v>
      </c>
      <c r="I6192" s="297">
        <f t="shared" si="846"/>
        <v>1183.1500807526618</v>
      </c>
      <c r="J6192" s="297">
        <f t="shared" si="847"/>
        <v>160.71428571428572</v>
      </c>
      <c r="K6192" s="297">
        <f>J6192/POBLA!$B$23*100000</f>
        <v>90.886323426050851</v>
      </c>
      <c r="L6192" s="549">
        <f t="shared" si="845"/>
        <v>0.27652733118971062</v>
      </c>
      <c r="M6192" s="401">
        <f>SUM(C6192,C6168,C6144,C6120,C6096,C6072,C6048)/POBLA!$B$23*100000</f>
        <v>636.204263982356</v>
      </c>
    </row>
    <row r="6193" spans="1:13" s="360" customFormat="1" ht="15.75" thickBot="1" x14ac:dyDescent="0.3">
      <c r="A6193" s="368" t="s">
        <v>40</v>
      </c>
      <c r="B6193" s="34">
        <v>44150</v>
      </c>
      <c r="C6193" s="1">
        <v>403</v>
      </c>
      <c r="D6193" s="67">
        <f>C6193+D6169</f>
        <v>60032</v>
      </c>
      <c r="E6193" s="1"/>
      <c r="F6193" s="477">
        <f t="shared" si="849"/>
        <v>979</v>
      </c>
      <c r="G6193" s="177">
        <f>SUM(C6193,C6169,C6145,C6121,C6097,C6073,C6049,C6025,C6001,C5977,C5953,C5929,C5905,C5881)/POBLA!$B$24*100000</f>
        <v>593.39476566335588</v>
      </c>
      <c r="H6193" s="402">
        <f t="shared" si="844"/>
        <v>0.65988581927948031</v>
      </c>
      <c r="I6193" s="403">
        <f t="shared" si="846"/>
        <v>391.57279109591883</v>
      </c>
      <c r="J6193" s="403">
        <f t="shared" si="847"/>
        <v>757.85714285714289</v>
      </c>
      <c r="K6193" s="403">
        <f>J6193/POBLA!$B$24*100000</f>
        <v>44.720411862769957</v>
      </c>
      <c r="L6193" s="550">
        <f t="shared" si="845"/>
        <v>-0.11660703009892659</v>
      </c>
      <c r="M6193" s="405">
        <f>SUM(C6193,C6169,C6145,C6121,C6097,C6073,C6049)/POBLA!$B$24*100000</f>
        <v>313.04288303938972</v>
      </c>
    </row>
    <row r="6194" spans="1:13" s="360" customFormat="1" x14ac:dyDescent="0.25">
      <c r="A6194" s="363" t="s">
        <v>16</v>
      </c>
      <c r="B6194" s="34">
        <v>44151</v>
      </c>
      <c r="C6194" s="1">
        <v>2190</v>
      </c>
      <c r="D6194" s="174">
        <f t="shared" ref="D6194:D6257" si="850">C6194+D6170</f>
        <v>591444</v>
      </c>
      <c r="E6194" s="1">
        <f>65+40</f>
        <v>105</v>
      </c>
      <c r="F6194" s="475">
        <f t="shared" si="849"/>
        <v>19481</v>
      </c>
      <c r="G6194" s="175">
        <f>SUM(C6194,C6170,C6146,C6122,C6098,C6074,C6050,C6026,C6002,C5978,C5954,C5930,C5906,C5882)/POBLA!$B$1*100000</f>
        <v>213.6862134566959</v>
      </c>
      <c r="H6194" s="300">
        <f t="shared" si="844"/>
        <v>0.72776871699285495</v>
      </c>
      <c r="I6194" s="301">
        <f>G6194*H6194</f>
        <v>155.5141414064409</v>
      </c>
      <c r="J6194" s="301">
        <f>AVERAGE(C6194,C6170,C6146,C6122,C6098,C6074,C6050)</f>
        <v>2650.8571428571427</v>
      </c>
      <c r="K6194" s="301">
        <f>J6194/POBLA!$B$1*100000</f>
        <v>15.112227550403606</v>
      </c>
      <c r="L6194" s="548">
        <f t="shared" si="845"/>
        <v>1.9601627304908331E-2</v>
      </c>
      <c r="M6194" s="400">
        <f>SUM(C6194,C6170,C6146,C6122,C6098,C6074,C6050)/POBLA!$B$1*100000</f>
        <v>105.78559285282525</v>
      </c>
    </row>
    <row r="6195" spans="1:13" s="360" customFormat="1" x14ac:dyDescent="0.25">
      <c r="A6195" s="367" t="s">
        <v>43</v>
      </c>
      <c r="B6195" s="34">
        <v>44151</v>
      </c>
      <c r="C6195" s="1">
        <v>383</v>
      </c>
      <c r="D6195" s="39">
        <f t="shared" si="850"/>
        <v>154168</v>
      </c>
      <c r="E6195" s="1">
        <f>11+8</f>
        <v>19</v>
      </c>
      <c r="F6195" s="409">
        <f t="shared" si="849"/>
        <v>5095</v>
      </c>
      <c r="G6195" s="168">
        <f>SUM(C6195,C6171,C6147,C6123,C6099,C6075,C6051,C6027,C6003,C5979,C5955,C5931,C5907,C5883)/POBLA!$B$2*100000</f>
        <v>204.31480085809616</v>
      </c>
      <c r="H6195" s="256">
        <f t="shared" si="844"/>
        <v>0.85415250781568575</v>
      </c>
      <c r="I6195" s="297">
        <f t="shared" ref="I6195:I6217" si="851">G6195*H6195</f>
        <v>174.51599953680525</v>
      </c>
      <c r="J6195" s="297">
        <f t="shared" ref="J6195:J6217" si="852">AVERAGE(C6195,C6171,C6147,C6123,C6099,C6075,C6051)</f>
        <v>455.85714285714283</v>
      </c>
      <c r="K6195" s="297">
        <f>J6195/POBLA!$B$2*100000</f>
        <v>14.821508810088769</v>
      </c>
      <c r="L6195" s="549">
        <f t="shared" si="845"/>
        <v>-3.1684448755253891E-2</v>
      </c>
      <c r="M6195" s="401">
        <f>SUM(C6195,C6171,C6147,C6123,C6099,C6075,C6051)/POBLA!$B$2*100000</f>
        <v>103.75056167062138</v>
      </c>
    </row>
    <row r="6196" spans="1:13" s="360" customFormat="1" x14ac:dyDescent="0.25">
      <c r="A6196" s="367" t="s">
        <v>28</v>
      </c>
      <c r="B6196" s="34">
        <v>44151</v>
      </c>
      <c r="C6196" s="1">
        <v>98</v>
      </c>
      <c r="D6196" s="39">
        <f t="shared" si="850"/>
        <v>1564</v>
      </c>
      <c r="E6196" s="1"/>
      <c r="F6196" s="409">
        <f t="shared" si="849"/>
        <v>7</v>
      </c>
      <c r="G6196" s="168">
        <f>SUM(C6196,C6172,C6148,C6124,C6100,C6076,C6052,C6028,C6004,C5980,C5956,C5932,C5908,C5884)/POBLA!$B$3*100000</f>
        <v>140.57452616274873</v>
      </c>
      <c r="H6196" s="256">
        <f t="shared" si="844"/>
        <v>1.1967213114754098</v>
      </c>
      <c r="I6196" s="297">
        <f t="shared" si="851"/>
        <v>168.22853130951896</v>
      </c>
      <c r="J6196" s="297">
        <f t="shared" si="852"/>
        <v>48.571428571428569</v>
      </c>
      <c r="K6196" s="297">
        <f>J6196/POBLA!$B$3*100000</f>
        <v>11.691619103555421</v>
      </c>
      <c r="L6196" s="549">
        <f t="shared" si="845"/>
        <v>-0.39344262295081966</v>
      </c>
      <c r="M6196" s="401">
        <f>SUM(C6196,C6172,C6148,C6124,C6100,C6076,C6052)/POBLA!$B$3*100000</f>
        <v>81.841333724887946</v>
      </c>
    </row>
    <row r="6197" spans="1:13" s="360" customFormat="1" x14ac:dyDescent="0.25">
      <c r="A6197" s="367" t="s">
        <v>15</v>
      </c>
      <c r="B6197" s="34">
        <v>44151</v>
      </c>
      <c r="C6197" s="1">
        <v>150</v>
      </c>
      <c r="D6197" s="39">
        <f t="shared" si="850"/>
        <v>16468</v>
      </c>
      <c r="E6197" s="1">
        <f>10+3</f>
        <v>13</v>
      </c>
      <c r="F6197" s="409">
        <f t="shared" si="849"/>
        <v>503</v>
      </c>
      <c r="G6197" s="168">
        <f>SUM(C6197,C6173,C6149,C6125,C6101,C6077,C6053,C6029,C6005,C5981,C5957,C5933,C5909,C5885)/POBLA!$B$4*100000</f>
        <v>182.9742615651937</v>
      </c>
      <c r="H6197" s="256">
        <f t="shared" si="844"/>
        <v>0.91225165562913912</v>
      </c>
      <c r="I6197" s="297">
        <f t="shared" si="851"/>
        <v>166.91857305036712</v>
      </c>
      <c r="J6197" s="297">
        <f t="shared" si="852"/>
        <v>186.42857142857142</v>
      </c>
      <c r="K6197" s="297">
        <f>J6197/POBLA!$B$4*100000</f>
        <v>15.477146185025783</v>
      </c>
      <c r="L6197" s="549">
        <f t="shared" si="845"/>
        <v>-0.45161290322580649</v>
      </c>
      <c r="M6197" s="401">
        <f>SUM(C6197,C6173,C6149,C6125,C6101,C6077,C6053)/POBLA!$B$4*100000</f>
        <v>108.3400232951805</v>
      </c>
    </row>
    <row r="6198" spans="1:13" s="360" customFormat="1" x14ac:dyDescent="0.25">
      <c r="A6198" s="367" t="s">
        <v>29</v>
      </c>
      <c r="B6198" s="34">
        <v>44151</v>
      </c>
      <c r="C6198" s="1">
        <v>212</v>
      </c>
      <c r="D6198" s="39">
        <f t="shared" si="850"/>
        <v>19403</v>
      </c>
      <c r="E6198" s="1">
        <f>1+1</f>
        <v>2</v>
      </c>
      <c r="F6198" s="409">
        <f t="shared" si="849"/>
        <v>324</v>
      </c>
      <c r="G6198" s="168">
        <f>SUM(C6198,C6174,C6150,C6126,C6102,C6078,C6054,C6030,C6006,C5982,C5958,C5934,C5910,C5886)/POBLA!$B$5*100000</f>
        <v>745.07991999922456</v>
      </c>
      <c r="H6198" s="256">
        <f t="shared" si="844"/>
        <v>0.83414722372942662</v>
      </c>
      <c r="I6198" s="297">
        <f t="shared" si="851"/>
        <v>621.50634672389651</v>
      </c>
      <c r="J6198" s="297">
        <f t="shared" si="852"/>
        <v>317.14285714285717</v>
      </c>
      <c r="K6198" s="297">
        <f>J6198/POBLA!$B$5*100000</f>
        <v>51.235206987928343</v>
      </c>
      <c r="L6198" s="549">
        <f t="shared" si="845"/>
        <v>7.1906354515050119E-2</v>
      </c>
      <c r="M6198" s="401">
        <f>SUM(C6198,C6174,C6150,C6126,C6102,C6078,C6054)/POBLA!$B$5*100000</f>
        <v>358.64644891549835</v>
      </c>
    </row>
    <row r="6199" spans="1:13" s="360" customFormat="1" x14ac:dyDescent="0.25">
      <c r="A6199" s="367" t="s">
        <v>20</v>
      </c>
      <c r="B6199" s="34">
        <v>44151</v>
      </c>
      <c r="C6199" s="1">
        <v>701</v>
      </c>
      <c r="D6199" s="39">
        <f t="shared" si="850"/>
        <v>103163</v>
      </c>
      <c r="E6199" s="1">
        <f>19+8</f>
        <v>27</v>
      </c>
      <c r="F6199" s="409">
        <f t="shared" si="849"/>
        <v>1672</v>
      </c>
      <c r="G6199" s="168">
        <f>SUM(C6199,C6175,C6151,C6127,C6103,C6079,C6055,C6031,C6007,C5983,C5959,C5935,C5911,C5887)/POBLA!$B$6*100000</f>
        <v>1446.4655188566035</v>
      </c>
      <c r="H6199" s="256">
        <f t="shared" si="844"/>
        <v>0.72465581977471838</v>
      </c>
      <c r="I6199" s="297">
        <f t="shared" si="851"/>
        <v>1048.1896563428954</v>
      </c>
      <c r="J6199" s="297">
        <f t="shared" si="852"/>
        <v>1245.4285714285713</v>
      </c>
      <c r="K6199" s="297">
        <f>J6199/POBLA!$B$6*100000</f>
        <v>111.11950929991778</v>
      </c>
      <c r="L6199" s="549">
        <f t="shared" si="845"/>
        <v>-0.16333066453162526</v>
      </c>
      <c r="M6199" s="401">
        <f>SUM(C6199,C6175,C6151,C6127,C6103,C6079,C6055)/POBLA!$B$6*100000</f>
        <v>777.83656509942443</v>
      </c>
    </row>
    <row r="6200" spans="1:13" s="360" customFormat="1" x14ac:dyDescent="0.25">
      <c r="A6200" s="367" t="s">
        <v>30</v>
      </c>
      <c r="B6200" s="34">
        <v>44151</v>
      </c>
      <c r="C6200" s="1">
        <v>122</v>
      </c>
      <c r="D6200" s="39">
        <f t="shared" si="850"/>
        <v>3838</v>
      </c>
      <c r="E6200" s="1"/>
      <c r="F6200" s="409">
        <f t="shared" si="849"/>
        <v>69</v>
      </c>
      <c r="G6200" s="168">
        <f>SUM(C6200,C6176,C6152,C6128,C6104,C6080,C6056,C6032,C6008,C5984,C5960,C5936,C5912,C5888)/POBLA!$B$7*100000</f>
        <v>33.107739765187674</v>
      </c>
      <c r="H6200" s="256">
        <f t="shared" si="844"/>
        <v>2.5253549695740367</v>
      </c>
      <c r="I6200" s="297">
        <f t="shared" si="851"/>
        <v>83.608795147380647</v>
      </c>
      <c r="J6200" s="297">
        <f t="shared" si="852"/>
        <v>113</v>
      </c>
      <c r="K6200" s="297">
        <f>J6200/POBLA!$B$7*100000</f>
        <v>3.004959512824263</v>
      </c>
      <c r="L6200" s="549">
        <f t="shared" si="845"/>
        <v>-0.74229074889867852</v>
      </c>
      <c r="M6200" s="401">
        <f>SUM(C6200,C6176,C6152,C6128,C6104,C6080,C6056)/POBLA!$B$7*100000</f>
        <v>21.03471658976984</v>
      </c>
    </row>
    <row r="6201" spans="1:13" x14ac:dyDescent="0.25">
      <c r="A6201" s="367" t="s">
        <v>31</v>
      </c>
      <c r="B6201" s="34">
        <v>44151</v>
      </c>
      <c r="C6201" s="1">
        <v>157</v>
      </c>
      <c r="D6201" s="39">
        <f t="shared" si="850"/>
        <v>20203</v>
      </c>
      <c r="E6201" s="1">
        <f>6+5</f>
        <v>11</v>
      </c>
      <c r="F6201" s="409">
        <f t="shared" si="849"/>
        <v>384</v>
      </c>
      <c r="G6201" s="168">
        <f>SUM(C6201,C6177,C6153,C6129,C6105,C6081,C6057,C6033,C6009,C5985,C5961,C5937,C5913,C5889)/POBLA!$B$8*100000</f>
        <v>272.51849078004358</v>
      </c>
      <c r="H6201" s="256">
        <f t="shared" si="844"/>
        <v>0.7978453738910013</v>
      </c>
      <c r="I6201" s="297">
        <f t="shared" si="851"/>
        <v>217.42761716861526</v>
      </c>
      <c r="J6201" s="297">
        <f t="shared" si="852"/>
        <v>277.57142857142856</v>
      </c>
      <c r="K6201" s="297">
        <f>J6201/POBLA!$B$8*100000</f>
        <v>20.02736213872025</v>
      </c>
      <c r="L6201" s="549">
        <f t="shared" si="845"/>
        <v>-5.9432933478734906E-2</v>
      </c>
      <c r="M6201" s="401">
        <f>SUM(C6201,C6177,C6153,C6129,C6105,C6081,C6057)/POBLA!$B$8*100000</f>
        <v>140.19153497104176</v>
      </c>
    </row>
    <row r="6202" spans="1:13" s="360" customFormat="1" x14ac:dyDescent="0.25">
      <c r="A6202" s="367" t="s">
        <v>41</v>
      </c>
      <c r="B6202" s="34">
        <v>44151</v>
      </c>
      <c r="C6202" s="1">
        <v>2</v>
      </c>
      <c r="D6202" s="39">
        <f t="shared" si="850"/>
        <v>170</v>
      </c>
      <c r="E6202" s="1"/>
      <c r="F6202" s="409">
        <f t="shared" si="849"/>
        <v>3</v>
      </c>
      <c r="G6202" s="168">
        <f>SUM(C6202,C6178,C6154,C6130,C6106,C6082,C6058,C6034,C6010,C5986,C5962,C5938,C5914,C5890)/POBLA!$B$9*100000</f>
        <v>1.9828385325012021</v>
      </c>
      <c r="H6202" s="256">
        <f t="shared" si="844"/>
        <v>0.8571428571428571</v>
      </c>
      <c r="I6202" s="297">
        <f t="shared" si="851"/>
        <v>1.6995758850010303</v>
      </c>
      <c r="J6202" s="297">
        <f t="shared" si="852"/>
        <v>1.2857142857142858</v>
      </c>
      <c r="K6202" s="297">
        <f>J6202/POBLA!$B$9*100000</f>
        <v>0.21244698562512881</v>
      </c>
      <c r="L6202" s="549">
        <f t="shared" si="845"/>
        <v>-2</v>
      </c>
      <c r="M6202" s="401">
        <f>SUM(C6202,C6178,C6154,C6130,C6106,C6082,C6058)/POBLA!$B$9*100000</f>
        <v>1.4871288993759018</v>
      </c>
    </row>
    <row r="6203" spans="1:13" s="360" customFormat="1" x14ac:dyDescent="0.25">
      <c r="A6203" s="367" t="s">
        <v>32</v>
      </c>
      <c r="B6203" s="34">
        <v>44151</v>
      </c>
      <c r="C6203" s="1">
        <v>24</v>
      </c>
      <c r="D6203" s="39">
        <f t="shared" si="850"/>
        <v>18192</v>
      </c>
      <c r="E6203" s="1"/>
      <c r="F6203" s="409">
        <f t="shared" si="849"/>
        <v>838</v>
      </c>
      <c r="G6203" s="168">
        <f>SUM(C6203,C6179,C6155,C6131,C6107,C6083,C6059,C6035,C6011,C5987,C5963,C5939,C5915,C5891)/POBLA!$B$10*100000</f>
        <v>35.543747997421129</v>
      </c>
      <c r="H6203" s="256">
        <f t="shared" si="844"/>
        <v>0.43285939968404424</v>
      </c>
      <c r="I6203" s="297">
        <f t="shared" si="851"/>
        <v>15.385445420684659</v>
      </c>
      <c r="J6203" s="297">
        <f t="shared" si="852"/>
        <v>21.571428571428573</v>
      </c>
      <c r="K6203" s="297">
        <f>J6203/POBLA!$B$10*100000</f>
        <v>2.7982825587125086</v>
      </c>
      <c r="L6203" s="549">
        <f t="shared" si="845"/>
        <v>-0.22764227642276413</v>
      </c>
      <c r="M6203" s="401">
        <f>SUM(C6203,C6179,C6155,C6131,C6107,C6083,C6059)/POBLA!$B$10*100000</f>
        <v>19.587977910987558</v>
      </c>
    </row>
    <row r="6204" spans="1:13" s="360" customFormat="1" x14ac:dyDescent="0.25">
      <c r="A6204" s="367" t="s">
        <v>33</v>
      </c>
      <c r="B6204" s="34">
        <v>44151</v>
      </c>
      <c r="C6204" s="1">
        <v>61</v>
      </c>
      <c r="D6204" s="39">
        <f t="shared" si="850"/>
        <v>4769</v>
      </c>
      <c r="E6204" s="1">
        <f>1+1</f>
        <v>2</v>
      </c>
      <c r="F6204" s="409">
        <f t="shared" si="849"/>
        <v>51</v>
      </c>
      <c r="G6204" s="168">
        <f>SUM(C6204,C6180,C6156,C6132,C6108,C6084,C6060,C6036,C6012,C5988,C5964,C5940,C5916,C5892)/POBLA!$B$11*100000</f>
        <v>359.62592208198021</v>
      </c>
      <c r="H6204" s="256">
        <f t="shared" si="844"/>
        <v>0.7282485875706215</v>
      </c>
      <c r="I6204" s="297">
        <f t="shared" si="851"/>
        <v>261.89706980998449</v>
      </c>
      <c r="J6204" s="297">
        <f t="shared" si="852"/>
        <v>82.428571428571431</v>
      </c>
      <c r="K6204" s="297">
        <f>J6204/POBLA!$B$11*100000</f>
        <v>22.997246707447918</v>
      </c>
      <c r="L6204" s="549">
        <f t="shared" si="845"/>
        <v>0.1896067415730337</v>
      </c>
      <c r="M6204" s="401">
        <f>SUM(C6204,C6180,C6156,C6132,C6108,C6084,C6060)/POBLA!$B$11*100000</f>
        <v>160.98072695213546</v>
      </c>
    </row>
    <row r="6205" spans="1:13" s="360" customFormat="1" x14ac:dyDescent="0.25">
      <c r="A6205" s="367" t="s">
        <v>21</v>
      </c>
      <c r="B6205" s="34">
        <v>44151</v>
      </c>
      <c r="C6205" s="1">
        <v>45</v>
      </c>
      <c r="D6205" s="39">
        <f t="shared" si="850"/>
        <v>8225</v>
      </c>
      <c r="E6205" s="1">
        <f>1</f>
        <v>1</v>
      </c>
      <c r="F6205" s="409">
        <f t="shared" si="849"/>
        <v>299</v>
      </c>
      <c r="G6205" s="168">
        <f>SUM(C6205,C6181,C6157,C6133,C6109,C6085,C6061,C6037,C6013,C5989,C5965,C5941,C5917,C5893)/POBLA!$B$12*100000</f>
        <v>148.65410857086229</v>
      </c>
      <c r="H6205" s="256">
        <f t="shared" si="844"/>
        <v>0.57578740157480313</v>
      </c>
      <c r="I6205" s="297">
        <f t="shared" si="851"/>
        <v>85.59316290743547</v>
      </c>
      <c r="J6205" s="297">
        <f t="shared" si="852"/>
        <v>50.714285714285715</v>
      </c>
      <c r="K6205" s="297">
        <f>J6205/POBLA!$B$12*100000</f>
        <v>12.886986213102833</v>
      </c>
      <c r="L6205" s="549">
        <f t="shared" si="845"/>
        <v>-0.54347826086956519</v>
      </c>
      <c r="M6205" s="401">
        <f>SUM(C6205,C6181,C6157,C6133,C6109,C6085,C6061)/POBLA!$B$12*100000</f>
        <v>90.208903491719838</v>
      </c>
    </row>
    <row r="6206" spans="1:13" s="360" customFormat="1" x14ac:dyDescent="0.25">
      <c r="A6206" s="367" t="s">
        <v>17</v>
      </c>
      <c r="B6206" s="34">
        <v>44151</v>
      </c>
      <c r="C6206" s="1">
        <v>429</v>
      </c>
      <c r="D6206" s="39">
        <f t="shared" si="850"/>
        <v>53516</v>
      </c>
      <c r="E6206" s="1">
        <f>1+3+6</f>
        <v>10</v>
      </c>
      <c r="F6206" s="409">
        <f t="shared" si="849"/>
        <v>1022</v>
      </c>
      <c r="G6206" s="168">
        <f>SUM(C6206,C6182,C6158,C6134,C6110,C6086,C6062,C6038,C6014,C5990,C5966,C5942,C5918,C5894)/POBLA!$B$13*100000</f>
        <v>287.53910139885789</v>
      </c>
      <c r="H6206" s="256">
        <f t="shared" si="844"/>
        <v>0.57534935156328537</v>
      </c>
      <c r="I6206" s="297">
        <f t="shared" si="851"/>
        <v>165.43543553892266</v>
      </c>
      <c r="J6206" s="297">
        <f t="shared" si="852"/>
        <v>373.71428571428572</v>
      </c>
      <c r="K6206" s="297">
        <f>J6206/POBLA!$B$13*100000</f>
        <v>18.776423186126465</v>
      </c>
      <c r="L6206" s="549">
        <f t="shared" si="845"/>
        <v>0.15803025426456385</v>
      </c>
      <c r="M6206" s="401">
        <f>SUM(C6206,C6182,C6158,C6134,C6110,C6086,C6062)/POBLA!$B$13*100000</f>
        <v>131.43496230288522</v>
      </c>
    </row>
    <row r="6207" spans="1:13" s="360" customFormat="1" x14ac:dyDescent="0.25">
      <c r="A6207" s="367" t="s">
        <v>23</v>
      </c>
      <c r="B6207" s="34">
        <v>44151</v>
      </c>
      <c r="C6207" s="1">
        <v>16</v>
      </c>
      <c r="D6207" s="39">
        <f t="shared" si="850"/>
        <v>391</v>
      </c>
      <c r="E6207" s="1"/>
      <c r="F6207" s="409">
        <f t="shared" si="849"/>
        <v>7</v>
      </c>
      <c r="G6207" s="168">
        <f>SUM(C6207,C6183,C6159,C6135,C6111,C6087,C6063,C6039,C6015,C5991,C5967,C5943,C5919,C5895)/POBLA!$B$14*100000</f>
        <v>8.6419185376288166</v>
      </c>
      <c r="H6207" s="256">
        <f t="shared" si="844"/>
        <v>1.2823529411764707</v>
      </c>
      <c r="I6207" s="297">
        <f t="shared" si="851"/>
        <v>11.081989654135777</v>
      </c>
      <c r="J6207" s="297">
        <f t="shared" si="852"/>
        <v>7.2857142857142856</v>
      </c>
      <c r="K6207" s="297">
        <f>J6207/POBLA!$B$14*100000</f>
        <v>0.57763806739065482</v>
      </c>
      <c r="L6207" s="549">
        <f t="shared" si="845"/>
        <v>0.12068965517241381</v>
      </c>
      <c r="M6207" s="401">
        <f>SUM(C6207,C6183,C6159,C6135,C6111,C6087,C6063)/POBLA!$B$14*100000</f>
        <v>4.0434664717345834</v>
      </c>
    </row>
    <row r="6208" spans="1:13" s="360" customFormat="1" x14ac:dyDescent="0.25">
      <c r="A6208" s="367" t="s">
        <v>19</v>
      </c>
      <c r="B6208" s="34">
        <v>44151</v>
      </c>
      <c r="C6208" s="1">
        <v>403</v>
      </c>
      <c r="D6208" s="39">
        <f t="shared" si="850"/>
        <v>27311</v>
      </c>
      <c r="E6208" s="1">
        <f>4+1</f>
        <v>5</v>
      </c>
      <c r="F6208" s="409">
        <f t="shared" si="849"/>
        <v>522</v>
      </c>
      <c r="G6208" s="168">
        <f>SUM(C6208,C6184,C6160,C6136,C6112,C6088,C6064,C6040,C6016,C5992,C5968,C5944,C5920,C5896)/POBLA!$B$15*100000</f>
        <v>687.74216671159252</v>
      </c>
      <c r="H6208" s="256">
        <f t="shared" si="844"/>
        <v>0.61799729364005418</v>
      </c>
      <c r="I6208" s="297">
        <f t="shared" si="851"/>
        <v>425.02279774991115</v>
      </c>
      <c r="J6208" s="297">
        <f t="shared" si="852"/>
        <v>272.57142857142856</v>
      </c>
      <c r="K6208" s="297">
        <f>J6208/POBLA!$B$15*100000</f>
        <v>41.04639038086016</v>
      </c>
      <c r="L6208" s="549">
        <f t="shared" si="845"/>
        <v>0.28243700639338098</v>
      </c>
      <c r="M6208" s="401">
        <f>SUM(C6208,C6184,C6160,C6136,C6112,C6088,C6064)/POBLA!$B$15*100000</f>
        <v>287.32473266602113</v>
      </c>
    </row>
    <row r="6209" spans="1:13" s="360" customFormat="1" x14ac:dyDescent="0.25">
      <c r="A6209" s="367" t="s">
        <v>18</v>
      </c>
      <c r="B6209" s="34">
        <v>44151</v>
      </c>
      <c r="C6209" s="1">
        <v>198</v>
      </c>
      <c r="D6209" s="39">
        <f t="shared" si="850"/>
        <v>28642</v>
      </c>
      <c r="E6209" s="1">
        <f>2+7</f>
        <v>9</v>
      </c>
      <c r="F6209" s="409">
        <f t="shared" si="849"/>
        <v>726</v>
      </c>
      <c r="G6209" s="168">
        <f>SUM(C6209,C6185,C6161,C6137,C6113,C6089,C6065,C6041,C6017,C5993,C5969,C5945,C5921,C5897)/POBLA!$B$16*100000</f>
        <v>565.80302564171154</v>
      </c>
      <c r="H6209" s="256">
        <f t="shared" si="844"/>
        <v>0.84701641970364439</v>
      </c>
      <c r="I6209" s="297">
        <f t="shared" si="851"/>
        <v>479.24445303653181</v>
      </c>
      <c r="J6209" s="297">
        <f t="shared" si="852"/>
        <v>293.85714285714283</v>
      </c>
      <c r="K6209" s="297">
        <f>J6209/POBLA!$B$16*100000</f>
        <v>39.306208164302625</v>
      </c>
      <c r="L6209" s="549">
        <f t="shared" si="845"/>
        <v>5.3382420616658988E-2</v>
      </c>
      <c r="M6209" s="401">
        <f>SUM(C6209,C6185,C6161,C6137,C6113,C6089,C6065)/POBLA!$B$16*100000</f>
        <v>275.14345715011837</v>
      </c>
    </row>
    <row r="6210" spans="1:13" s="360" customFormat="1" x14ac:dyDescent="0.25">
      <c r="A6210" s="367" t="s">
        <v>34</v>
      </c>
      <c r="B6210" s="34">
        <v>44151</v>
      </c>
      <c r="C6210" s="1">
        <v>43</v>
      </c>
      <c r="D6210" s="39">
        <f t="shared" si="850"/>
        <v>20235</v>
      </c>
      <c r="E6210" s="1">
        <f>3+2</f>
        <v>5</v>
      </c>
      <c r="F6210" s="409">
        <f t="shared" si="849"/>
        <v>924</v>
      </c>
      <c r="G6210" s="168">
        <f>SUM(C6210,C6186,C6162,C6138,C6114,C6090,C6066,C6042,C6018,C5994,C5970,C5946,C5922,C5898)/POBLA!$B$17*100000</f>
        <v>90.283818345587648</v>
      </c>
      <c r="H6210" s="256">
        <f t="shared" si="844"/>
        <v>0.51750503018108651</v>
      </c>
      <c r="I6210" s="297">
        <f t="shared" si="851"/>
        <v>46.722330137797066</v>
      </c>
      <c r="J6210" s="297">
        <f t="shared" si="852"/>
        <v>89.142857142857139</v>
      </c>
      <c r="K6210" s="297">
        <f>J6210/POBLA!$B$17*100000</f>
        <v>6.2582873414404228</v>
      </c>
      <c r="L6210" s="549">
        <f t="shared" si="845"/>
        <v>5.7401812688821718E-2</v>
      </c>
      <c r="M6210" s="401">
        <f>SUM(C6210,C6186,C6162,C6138,C6114,C6090,C6066)/POBLA!$B$17*100000</f>
        <v>43.80801139008296</v>
      </c>
    </row>
    <row r="6211" spans="1:13" s="360" customFormat="1" x14ac:dyDescent="0.25">
      <c r="A6211" s="367" t="s">
        <v>35</v>
      </c>
      <c r="B6211" s="34">
        <v>44151</v>
      </c>
      <c r="C6211" s="1">
        <v>67</v>
      </c>
      <c r="D6211" s="39">
        <f t="shared" si="850"/>
        <v>4516</v>
      </c>
      <c r="E6211" s="1">
        <f>4+3</f>
        <v>7</v>
      </c>
      <c r="F6211" s="409">
        <f t="shared" si="849"/>
        <v>143</v>
      </c>
      <c r="G6211" s="168">
        <f>SUM(C6211,C6187,C6163,C6139,C6115,C6091,C6067,C6043,C6019,C5995,C5971,C5947,C5923,C5899)/POBLA!$B$18*100000</f>
        <v>228.74566221677205</v>
      </c>
      <c r="H6211" s="256">
        <f t="shared" si="844"/>
        <v>1.2522775052557813</v>
      </c>
      <c r="I6211" s="297">
        <f t="shared" si="851"/>
        <v>286.45304721890091</v>
      </c>
      <c r="J6211" s="297">
        <f t="shared" si="852"/>
        <v>99.857142857142861</v>
      </c>
      <c r="K6211" s="297">
        <f>J6211/POBLA!$B$18*100000</f>
        <v>12.782254208132038</v>
      </c>
      <c r="L6211" s="549">
        <f t="shared" si="845"/>
        <v>0.35753676470588236</v>
      </c>
      <c r="M6211" s="401">
        <f>SUM(C6211,C6187,C6163,C6139,C6115,C6091,C6067)/POBLA!$B$18*100000</f>
        <v>89.475779456924258</v>
      </c>
    </row>
    <row r="6212" spans="1:13" s="360" customFormat="1" x14ac:dyDescent="0.25">
      <c r="A6212" s="367" t="s">
        <v>36</v>
      </c>
      <c r="B6212" s="34">
        <v>44151</v>
      </c>
      <c r="C6212" s="1">
        <v>234</v>
      </c>
      <c r="D6212" s="39">
        <f t="shared" si="850"/>
        <v>11608</v>
      </c>
      <c r="E6212" s="1"/>
      <c r="F6212" s="409">
        <f t="shared" si="849"/>
        <v>152</v>
      </c>
      <c r="G6212" s="168">
        <f>SUM(C6212,C6188,C6164,C6140,C6116,C6092,C6068,C6044,C6020,C5996,C5972,C5948,C5924,C5900)/POBLA!$B$19*100000</f>
        <v>786.69677845800356</v>
      </c>
      <c r="H6212" s="256">
        <f t="shared" si="844"/>
        <v>1.0010012515644555</v>
      </c>
      <c r="I6212" s="297">
        <f t="shared" si="851"/>
        <v>787.48445983818681</v>
      </c>
      <c r="J6212" s="297">
        <f t="shared" si="852"/>
        <v>319.85714285714283</v>
      </c>
      <c r="K6212" s="297">
        <f>J6212/POBLA!$B$19*100000</f>
        <v>62.923376807325752</v>
      </c>
      <c r="L6212" s="549">
        <f t="shared" si="845"/>
        <v>-0.27215909090909096</v>
      </c>
      <c r="M6212" s="401">
        <f>SUM(C6212,C6188,C6164,C6140,C6116,C6092,C6068)/POBLA!$B$19*100000</f>
        <v>440.46363765128029</v>
      </c>
    </row>
    <row r="6213" spans="1:13" s="360" customFormat="1" x14ac:dyDescent="0.25">
      <c r="A6213" s="367" t="s">
        <v>37</v>
      </c>
      <c r="B6213" s="34">
        <v>44151</v>
      </c>
      <c r="C6213" s="1">
        <v>123</v>
      </c>
      <c r="D6213" s="39">
        <f t="shared" si="850"/>
        <v>12778</v>
      </c>
      <c r="E6213" s="1">
        <f>1+1</f>
        <v>2</v>
      </c>
      <c r="F6213" s="409">
        <f t="shared" si="849"/>
        <v>193</v>
      </c>
      <c r="G6213" s="168">
        <f>SUM(C6213,C6189,C6165,C6141,C6117,C6093,C6069,C6045,C6021,C5997,C5973,C5949,C5925,C5901)/POBLA!$B$20*100000</f>
        <v>810.23139311672469</v>
      </c>
      <c r="H6213" s="256">
        <f t="shared" si="844"/>
        <v>1.2294605809128631</v>
      </c>
      <c r="I6213" s="297">
        <f t="shared" si="851"/>
        <v>996.14755925512668</v>
      </c>
      <c r="J6213" s="297">
        <f t="shared" si="852"/>
        <v>222.28571428571428</v>
      </c>
      <c r="K6213" s="297">
        <f>J6213/POBLA!$B$20*100000</f>
        <v>60.783956785575597</v>
      </c>
      <c r="L6213" s="549">
        <f t="shared" si="845"/>
        <v>-0.10589907604832982</v>
      </c>
      <c r="M6213" s="401">
        <f>SUM(C6213,C6189,C6165,C6141,C6117,C6093,C6069)/POBLA!$B$20*100000</f>
        <v>425.48769749902931</v>
      </c>
    </row>
    <row r="6214" spans="1:13" s="360" customFormat="1" x14ac:dyDescent="0.25">
      <c r="A6214" s="367" t="s">
        <v>22</v>
      </c>
      <c r="B6214" s="34">
        <v>44151</v>
      </c>
      <c r="C6214" s="1">
        <v>1319</v>
      </c>
      <c r="D6214" s="39">
        <f t="shared" si="850"/>
        <v>129452</v>
      </c>
      <c r="E6214" s="1">
        <f>11+25</f>
        <v>36</v>
      </c>
      <c r="F6214" s="409">
        <f t="shared" si="849"/>
        <v>1914</v>
      </c>
      <c r="G6214" s="168">
        <f>SUM(C6214,C6190,C6166,C6142,C6118,C6094,C6070,C6046,C6022,C5998,C5974,C5950,C5926,C5902)/POBLA!$B$21*100000</f>
        <v>569.53109049891725</v>
      </c>
      <c r="H6214" s="256">
        <f t="shared" si="844"/>
        <v>0.70824249243969339</v>
      </c>
      <c r="I6214" s="297">
        <f t="shared" si="851"/>
        <v>403.36611905684975</v>
      </c>
      <c r="J6214" s="297">
        <f t="shared" si="852"/>
        <v>1408.4285714285713</v>
      </c>
      <c r="K6214" s="297">
        <f>J6214/POBLA!$B$21*100000</f>
        <v>39.826416770544981</v>
      </c>
      <c r="L6214" s="549">
        <f t="shared" si="845"/>
        <v>4.1139856059132507E-2</v>
      </c>
      <c r="M6214" s="401">
        <f>SUM(C6214,C6190,C6166,C6142,C6118,C6094,C6070)/POBLA!$B$21*100000</f>
        <v>278.78491739381491</v>
      </c>
    </row>
    <row r="6215" spans="1:13" s="360" customFormat="1" x14ac:dyDescent="0.25">
      <c r="A6215" s="367" t="s">
        <v>38</v>
      </c>
      <c r="B6215" s="34">
        <v>44151</v>
      </c>
      <c r="C6215" s="1">
        <v>192</v>
      </c>
      <c r="D6215" s="39">
        <f t="shared" si="850"/>
        <v>13311</v>
      </c>
      <c r="E6215" s="1">
        <f>2+1</f>
        <v>3</v>
      </c>
      <c r="F6215" s="409">
        <f t="shared" si="849"/>
        <v>160</v>
      </c>
      <c r="G6215" s="168">
        <f>SUM(C6215,C6191,C6167,C6143,C6119,C6095,C6071,C6047,C6023,C5999,C5975,C5951,C5927,C5903)/POBLA!$B$22*100000</f>
        <v>329.03579938117969</v>
      </c>
      <c r="H6215" s="256">
        <f t="shared" si="844"/>
        <v>1.0277777777777777</v>
      </c>
      <c r="I6215" s="297">
        <f t="shared" si="851"/>
        <v>338.17568269732351</v>
      </c>
      <c r="J6215" s="297">
        <f t="shared" si="852"/>
        <v>254.28571428571428</v>
      </c>
      <c r="K6215" s="297">
        <f>J6215/POBLA!$B$22*100000</f>
        <v>25.992265694692222</v>
      </c>
      <c r="L6215" s="549">
        <f t="shared" si="845"/>
        <v>-0.23697011813759561</v>
      </c>
      <c r="M6215" s="401">
        <f>SUM(C6215,C6191,C6167,C6143,C6119,C6095,C6071)/POBLA!$B$22*100000</f>
        <v>181.94585986284554</v>
      </c>
    </row>
    <row r="6216" spans="1:13" s="360" customFormat="1" x14ac:dyDescent="0.25">
      <c r="A6216" s="367" t="s">
        <v>39</v>
      </c>
      <c r="B6216" s="34">
        <v>44151</v>
      </c>
      <c r="C6216" s="1">
        <v>144</v>
      </c>
      <c r="D6216" s="39">
        <f t="shared" si="850"/>
        <v>14405</v>
      </c>
      <c r="E6216" s="1">
        <f>3+6</f>
        <v>9</v>
      </c>
      <c r="F6216" s="409">
        <f t="shared" si="849"/>
        <v>205</v>
      </c>
      <c r="G6216" s="168">
        <f>SUM(C6216,C6192,C6168,C6144,C6120,C6096,C6072,C6048,C6024,C6000,C5976,C5952,C5928,C5904)/POBLA!$B$23*100000</f>
        <v>1525.1936888537014</v>
      </c>
      <c r="H6216" s="256">
        <f t="shared" si="844"/>
        <v>0.81186032510535822</v>
      </c>
      <c r="I6216" s="297">
        <f t="shared" si="851"/>
        <v>1238.2442440814066</v>
      </c>
      <c r="J6216" s="297">
        <f t="shared" si="852"/>
        <v>156.57142857142858</v>
      </c>
      <c r="K6216" s="297">
        <f>J6216/POBLA!$B$23*100000</f>
        <v>88.543475977734872</v>
      </c>
      <c r="L6216" s="549">
        <f t="shared" si="845"/>
        <v>0.31542785758900682</v>
      </c>
      <c r="M6216" s="401">
        <f>SUM(C6216,C6192,C6168,C6144,C6120,C6096,C6072)/POBLA!$B$23*100000</f>
        <v>619.80433184414414</v>
      </c>
    </row>
    <row r="6217" spans="1:13" s="360" customFormat="1" ht="15.75" thickBot="1" x14ac:dyDescent="0.3">
      <c r="A6217" s="368" t="s">
        <v>40</v>
      </c>
      <c r="B6217" s="34">
        <v>44151</v>
      </c>
      <c r="C6217" s="1">
        <v>580</v>
      </c>
      <c r="D6217" s="67">
        <f>C6217+D6193</f>
        <v>60612</v>
      </c>
      <c r="E6217" s="1">
        <f>17+9</f>
        <v>26</v>
      </c>
      <c r="F6217" s="477">
        <f t="shared" si="849"/>
        <v>1005</v>
      </c>
      <c r="G6217" s="177">
        <f>SUM(C6217,C6193,C6169,C6145,C6121,C6097,C6073,C6049,C6025,C6001,C5977,C5953,C5929,C5905)/POBLA!$B$24*100000</f>
        <v>588.31998942558255</v>
      </c>
      <c r="H6217" s="402">
        <f t="shared" si="844"/>
        <v>0.68668641090984228</v>
      </c>
      <c r="I6217" s="403">
        <f t="shared" si="851"/>
        <v>403.99134200516966</v>
      </c>
      <c r="J6217" s="403">
        <f t="shared" si="852"/>
        <v>749.14285714285711</v>
      </c>
      <c r="K6217" s="403">
        <f>J6217/POBLA!$B$24*100000</f>
        <v>44.206190350304553</v>
      </c>
      <c r="L6217" s="550">
        <f t="shared" si="845"/>
        <v>-0.10960643250105795</v>
      </c>
      <c r="M6217" s="405">
        <f>SUM(C6217,C6193,C6169,C6145,C6121,C6097,C6073)/POBLA!$B$24*100000</f>
        <v>309.44333245213187</v>
      </c>
    </row>
    <row r="6218" spans="1:13" s="360" customFormat="1" x14ac:dyDescent="0.25">
      <c r="A6218" s="363" t="s">
        <v>16</v>
      </c>
      <c r="B6218" s="34">
        <v>44152</v>
      </c>
      <c r="C6218" s="1">
        <v>2804</v>
      </c>
      <c r="D6218" s="174">
        <f t="shared" si="850"/>
        <v>594248</v>
      </c>
      <c r="E6218" s="1">
        <f>3+91+73</f>
        <v>167</v>
      </c>
      <c r="F6218" s="475">
        <f t="shared" si="849"/>
        <v>19648</v>
      </c>
      <c r="G6218" s="175">
        <f>SUM(C6218,C6194,C6170,C6146,C6122,C6098,C6074,C6050,C6026,C6002,C5978,C5954,C5930,C5906)/POBLA!$B$1*100000</f>
        <v>209.06279699821124</v>
      </c>
      <c r="H6218" s="300">
        <f t="shared" si="844"/>
        <v>0.73142127727472173</v>
      </c>
      <c r="I6218" s="301">
        <f>G6218*H6218</f>
        <v>152.91297801105753</v>
      </c>
      <c r="J6218" s="301">
        <f>AVERAGE(C6218,C6194,C6170,C6146,C6122,C6098,C6074)</f>
        <v>2561.7142857142858</v>
      </c>
      <c r="K6218" s="301">
        <f>J6218/POBLA!$B$1*100000</f>
        <v>14.604034513571756</v>
      </c>
      <c r="L6218" s="548">
        <f t="shared" si="845"/>
        <v>4.3116328708644569E-2</v>
      </c>
      <c r="M6218" s="400">
        <f>SUM(C6218,C6194,C6170,C6146,C6122,C6098,C6074)/POBLA!$B$1*100000</f>
        <v>102.22824159500229</v>
      </c>
    </row>
    <row r="6219" spans="1:13" s="360" customFormat="1" x14ac:dyDescent="0.25">
      <c r="A6219" s="367" t="s">
        <v>43</v>
      </c>
      <c r="B6219" s="34">
        <v>44152</v>
      </c>
      <c r="C6219" s="1">
        <v>428</v>
      </c>
      <c r="D6219" s="39">
        <f t="shared" si="850"/>
        <v>154596</v>
      </c>
      <c r="E6219" s="1">
        <f>5+6</f>
        <v>11</v>
      </c>
      <c r="F6219" s="409">
        <f t="shared" si="849"/>
        <v>5106</v>
      </c>
      <c r="G6219" s="168">
        <f>SUM(C6219,C6195,C6171,C6147,C6123,C6099,C6075,C6051,C6027,C6003,C5979,C5955,C5931,C5907)/POBLA!$B$2*100000</f>
        <v>203.2743690268646</v>
      </c>
      <c r="H6219" s="256">
        <f t="shared" si="844"/>
        <v>0.87391668996365668</v>
      </c>
      <c r="I6219" s="297">
        <f t="shared" ref="I6219:I6241" si="853">G6219*H6219</f>
        <v>177.64486373440837</v>
      </c>
      <c r="J6219" s="297">
        <f t="shared" ref="J6219:J6241" si="854">AVERAGE(C6219,C6195,C6171,C6147,C6123,C6099,C6075)</f>
        <v>437</v>
      </c>
      <c r="K6219" s="297">
        <f>J6219/POBLA!$B$2*100000</f>
        <v>14.208397195255889</v>
      </c>
      <c r="L6219" s="549">
        <f t="shared" si="845"/>
        <v>4.1966802380206669E-2</v>
      </c>
      <c r="M6219" s="401">
        <f>SUM(C6219,C6195,C6171,C6147,C6123,C6099,C6075)/POBLA!$B$2*100000</f>
        <v>99.458780366791231</v>
      </c>
    </row>
    <row r="6220" spans="1:13" s="360" customFormat="1" x14ac:dyDescent="0.25">
      <c r="A6220" s="367" t="s">
        <v>28</v>
      </c>
      <c r="B6220" s="34">
        <v>44152</v>
      </c>
      <c r="C6220" s="1">
        <v>17</v>
      </c>
      <c r="D6220" s="39">
        <f t="shared" si="850"/>
        <v>1581</v>
      </c>
      <c r="E6220" s="1"/>
      <c r="F6220" s="409">
        <f t="shared" si="849"/>
        <v>7</v>
      </c>
      <c r="G6220" s="168">
        <f>SUM(C6220,C6196,C6172,C6148,C6124,C6100,C6076,C6052,C6028,C6004,C5980,C5956,C5932,C5908)/POBLA!$B$3*100000</f>
        <v>137.20458889172392</v>
      </c>
      <c r="H6220" s="256">
        <f t="shared" si="844"/>
        <v>1.1154598825831703</v>
      </c>
      <c r="I6220" s="297">
        <f t="shared" si="853"/>
        <v>153.0462146150345</v>
      </c>
      <c r="J6220" s="297">
        <f t="shared" si="854"/>
        <v>47.142857142857146</v>
      </c>
      <c r="K6220" s="297">
        <f>J6220/POBLA!$B$3*100000</f>
        <v>11.347747953450851</v>
      </c>
      <c r="L6220" s="549">
        <f t="shared" si="845"/>
        <v>-0.375</v>
      </c>
      <c r="M6220" s="401">
        <f>SUM(C6220,C6196,C6172,C6148,C6124,C6100,C6076)/POBLA!$B$3*100000</f>
        <v>79.434235674155957</v>
      </c>
    </row>
    <row r="6221" spans="1:13" s="360" customFormat="1" x14ac:dyDescent="0.25">
      <c r="A6221" s="367" t="s">
        <v>15</v>
      </c>
      <c r="B6221" s="34">
        <v>44152</v>
      </c>
      <c r="C6221" s="1">
        <v>259</v>
      </c>
      <c r="D6221" s="39">
        <f t="shared" si="850"/>
        <v>16727</v>
      </c>
      <c r="E6221" s="1">
        <f>8+5</f>
        <v>13</v>
      </c>
      <c r="F6221" s="409">
        <f t="shared" si="849"/>
        <v>516</v>
      </c>
      <c r="G6221" s="168">
        <f>SUM(C6221,C6197,C6173,C6149,C6125,C6101,C6077,C6053,C6029,C6005,C5981,C5957,C5933,C5909)/POBLA!$B$4*100000</f>
        <v>193.60071595736466</v>
      </c>
      <c r="H6221" s="256">
        <f t="shared" si="844"/>
        <v>0.99065420560747663</v>
      </c>
      <c r="I6221" s="297">
        <f t="shared" si="853"/>
        <v>191.79136347178181</v>
      </c>
      <c r="J6221" s="297">
        <f t="shared" si="854"/>
        <v>202.85714285714286</v>
      </c>
      <c r="K6221" s="297">
        <f>J6221/POBLA!$B$4*100000</f>
        <v>16.841032630449511</v>
      </c>
      <c r="L6221" s="549">
        <f t="shared" si="845"/>
        <v>-0.55701754385964919</v>
      </c>
      <c r="M6221" s="401">
        <f>SUM(C6221,C6197,C6173,C6149,C6125,C6101,C6077)/POBLA!$B$4*100000</f>
        <v>117.88722841314659</v>
      </c>
    </row>
    <row r="6222" spans="1:13" s="360" customFormat="1" x14ac:dyDescent="0.25">
      <c r="A6222" s="367" t="s">
        <v>29</v>
      </c>
      <c r="B6222" s="34">
        <v>44152</v>
      </c>
      <c r="C6222" s="1">
        <v>344</v>
      </c>
      <c r="D6222" s="39">
        <f t="shared" si="850"/>
        <v>19747</v>
      </c>
      <c r="E6222" s="1">
        <f>6+2</f>
        <v>8</v>
      </c>
      <c r="F6222" s="409">
        <f t="shared" si="849"/>
        <v>332</v>
      </c>
      <c r="G6222" s="168">
        <f>SUM(C6222,C6198,C6174,C6150,C6126,C6102,C6078,C6054,C6030,C6006,C5982,C5958,C5934,C5910)/POBLA!$B$5*100000</f>
        <v>732.64038100530854</v>
      </c>
      <c r="H6222" s="256">
        <f t="shared" si="844"/>
        <v>0.8268003646308113</v>
      </c>
      <c r="I6222" s="297">
        <f t="shared" si="853"/>
        <v>605.7473341584456</v>
      </c>
      <c r="J6222" s="297">
        <f t="shared" si="854"/>
        <v>293.28571428571428</v>
      </c>
      <c r="K6222" s="297">
        <f>J6222/POBLA!$B$5*100000</f>
        <v>47.381027002800394</v>
      </c>
      <c r="L6222" s="549">
        <f t="shared" si="845"/>
        <v>0.17284448025785659</v>
      </c>
      <c r="M6222" s="401">
        <f>SUM(C6222,C6198,C6174,C6150,C6126,C6102,C6078)/POBLA!$B$5*100000</f>
        <v>331.6671890196028</v>
      </c>
    </row>
    <row r="6223" spans="1:13" s="360" customFormat="1" x14ac:dyDescent="0.25">
      <c r="A6223" s="367" t="s">
        <v>20</v>
      </c>
      <c r="B6223" s="34">
        <v>44152</v>
      </c>
      <c r="C6223" s="1">
        <v>1309</v>
      </c>
      <c r="D6223" s="39">
        <f t="shared" si="850"/>
        <v>104472</v>
      </c>
      <c r="E6223" s="1">
        <f>21+6</f>
        <v>27</v>
      </c>
      <c r="F6223" s="409">
        <f t="shared" si="849"/>
        <v>1699</v>
      </c>
      <c r="G6223" s="168">
        <f>SUM(C6223,C6199,C6175,C6151,C6127,C6103,C6079,C6055,C6031,C6007,C5983,C5959,C5935,C5911)/POBLA!$B$6*100000</f>
        <v>1443.7888617158621</v>
      </c>
      <c r="H6223" s="256">
        <f t="shared" si="844"/>
        <v>0.73544516656819525</v>
      </c>
      <c r="I6223" s="297">
        <f t="shared" si="853"/>
        <v>1061.8275398939272</v>
      </c>
      <c r="J6223" s="297">
        <f t="shared" si="854"/>
        <v>1200.7142857142858</v>
      </c>
      <c r="K6223" s="297">
        <f>J6223/POBLA!$B$6*100000</f>
        <v>107.13001556157478</v>
      </c>
      <c r="L6223" s="549">
        <f t="shared" si="845"/>
        <v>-8.0750932236080653E-2</v>
      </c>
      <c r="M6223" s="401">
        <f>SUM(C6223,C6199,C6175,C6151,C6127,C6103,C6079)/POBLA!$B$6*100000</f>
        <v>749.9101089310235</v>
      </c>
    </row>
    <row r="6224" spans="1:13" s="360" customFormat="1" x14ac:dyDescent="0.25">
      <c r="A6224" s="367" t="s">
        <v>30</v>
      </c>
      <c r="B6224" s="34">
        <v>44152</v>
      </c>
      <c r="C6224" s="1">
        <v>138</v>
      </c>
      <c r="D6224" s="39">
        <f t="shared" si="850"/>
        <v>3976</v>
      </c>
      <c r="E6224" s="1">
        <f>8+3</f>
        <v>11</v>
      </c>
      <c r="F6224" s="409">
        <f t="shared" si="849"/>
        <v>80</v>
      </c>
      <c r="G6224" s="168">
        <f>SUM(C6224,C6200,C6176,C6152,C6128,C6104,C6080,C6056,C6032,C6008,C5984,C5960,C5936,C5912)/POBLA!$B$7*100000</f>
        <v>36.086106715951551</v>
      </c>
      <c r="H6224" s="256">
        <f t="shared" si="844"/>
        <v>2.7979381443298967</v>
      </c>
      <c r="I6224" s="297">
        <f t="shared" si="853"/>
        <v>100.96669446092011</v>
      </c>
      <c r="J6224" s="297">
        <f t="shared" si="854"/>
        <v>123.85714285714286</v>
      </c>
      <c r="K6224" s="297">
        <f>J6224/POBLA!$B$7*100000</f>
        <v>3.2936787580513731</v>
      </c>
      <c r="L6224" s="549">
        <f t="shared" si="845"/>
        <v>-0.76938775510204072</v>
      </c>
      <c r="M6224" s="401">
        <f>SUM(C6224,C6200,C6176,C6152,C6128,C6104,C6080)/POBLA!$B$7*100000</f>
        <v>23.05575130635961</v>
      </c>
    </row>
    <row r="6225" spans="1:13" x14ac:dyDescent="0.25">
      <c r="A6225" s="367" t="s">
        <v>31</v>
      </c>
      <c r="B6225" s="34">
        <v>44152</v>
      </c>
      <c r="C6225" s="1">
        <v>348</v>
      </c>
      <c r="D6225" s="39">
        <f t="shared" si="850"/>
        <v>20551</v>
      </c>
      <c r="E6225" s="1">
        <f>4+4</f>
        <v>8</v>
      </c>
      <c r="F6225" s="409">
        <f t="shared" si="849"/>
        <v>392</v>
      </c>
      <c r="G6225" s="168">
        <f>SUM(C6225,C6201,C6177,C6153,C6129,C6105,C6081,C6057,C6033,C6009,C5985,C5961,C5937,C5913)/POBLA!$B$8*100000</f>
        <v>279.01217999640681</v>
      </c>
      <c r="H6225" s="256">
        <f t="shared" si="844"/>
        <v>0.84248366013071896</v>
      </c>
      <c r="I6225" s="297">
        <f t="shared" si="853"/>
        <v>235.06320262442378</v>
      </c>
      <c r="J6225" s="297">
        <f t="shared" si="854"/>
        <v>279</v>
      </c>
      <c r="K6225" s="297">
        <f>J6225/POBLA!$B$8*100000</f>
        <v>20.130436570726015</v>
      </c>
      <c r="L6225" s="549">
        <f t="shared" si="845"/>
        <v>-2.0376175548589393E-2</v>
      </c>
      <c r="M6225" s="401">
        <f>SUM(C6225,C6201,C6177,C6153,C6129,C6105,C6081)/POBLA!$B$8*100000</f>
        <v>140.91305599508212</v>
      </c>
    </row>
    <row r="6226" spans="1:13" s="360" customFormat="1" x14ac:dyDescent="0.25">
      <c r="A6226" s="367" t="s">
        <v>41</v>
      </c>
      <c r="B6226" s="34">
        <v>44152</v>
      </c>
      <c r="C6226" s="1">
        <v>0</v>
      </c>
      <c r="D6226" s="39">
        <f t="shared" si="850"/>
        <v>170</v>
      </c>
      <c r="E6226" s="1"/>
      <c r="F6226" s="409">
        <f t="shared" si="849"/>
        <v>3</v>
      </c>
      <c r="G6226" s="168">
        <f>SUM(C6226,C6202,C6178,C6154,C6130,C6106,C6082,C6058,C6034,C6010,C5986,C5962,C5938,C5914)/POBLA!$B$9*100000</f>
        <v>1.9828385325012021</v>
      </c>
      <c r="H6226" s="256">
        <f t="shared" si="844"/>
        <v>0.66666666666666663</v>
      </c>
      <c r="I6226" s="297">
        <f t="shared" si="853"/>
        <v>1.3218923550008013</v>
      </c>
      <c r="J6226" s="297">
        <f t="shared" si="854"/>
        <v>1</v>
      </c>
      <c r="K6226" s="297">
        <f>J6226/POBLA!$B$9*100000</f>
        <v>0.16523654437510019</v>
      </c>
      <c r="L6226" s="549">
        <f t="shared" si="845"/>
        <v>-0.39999999999999991</v>
      </c>
      <c r="M6226" s="401">
        <f>SUM(C6226,C6202,C6178,C6154,C6130,C6106,C6082)/POBLA!$B$9*100000</f>
        <v>1.1566558106257012</v>
      </c>
    </row>
    <row r="6227" spans="1:13" s="360" customFormat="1" x14ac:dyDescent="0.25">
      <c r="A6227" s="367" t="s">
        <v>32</v>
      </c>
      <c r="B6227" s="34">
        <v>44152</v>
      </c>
      <c r="C6227" s="1">
        <v>21</v>
      </c>
      <c r="D6227" s="39">
        <f t="shared" si="850"/>
        <v>18213</v>
      </c>
      <c r="E6227" s="1">
        <f>1</f>
        <v>1</v>
      </c>
      <c r="F6227" s="409">
        <f t="shared" si="849"/>
        <v>839</v>
      </c>
      <c r="G6227" s="168">
        <f>SUM(C6227,C6203,C6179,C6155,C6131,C6107,C6083,C6059,C6035,C6011,C5987,C5963,C5939,C5915)/POBLA!$B$10*100000</f>
        <v>35.414026289401349</v>
      </c>
      <c r="H6227" s="256">
        <f t="shared" si="844"/>
        <v>0.45805369127516776</v>
      </c>
      <c r="I6227" s="297">
        <f t="shared" si="853"/>
        <v>16.221525464776121</v>
      </c>
      <c r="J6227" s="297">
        <f t="shared" si="854"/>
        <v>21.142857142857142</v>
      </c>
      <c r="K6227" s="297">
        <f>J6227/POBLA!$B$10*100000</f>
        <v>2.7426875409897433</v>
      </c>
      <c r="L6227" s="549">
        <f t="shared" si="845"/>
        <v>-0.18399999999999994</v>
      </c>
      <c r="M6227" s="401">
        <f>SUM(C6227,C6203,C6179,C6155,C6131,C6107,C6083)/POBLA!$B$10*100000</f>
        <v>19.198812786928205</v>
      </c>
    </row>
    <row r="6228" spans="1:13" s="360" customFormat="1" x14ac:dyDescent="0.25">
      <c r="A6228" s="367" t="s">
        <v>33</v>
      </c>
      <c r="B6228" s="34">
        <v>44152</v>
      </c>
      <c r="C6228" s="1">
        <v>65</v>
      </c>
      <c r="D6228" s="39">
        <f t="shared" si="850"/>
        <v>4834</v>
      </c>
      <c r="E6228" s="1">
        <f>5+6</f>
        <v>11</v>
      </c>
      <c r="F6228" s="409">
        <f t="shared" si="849"/>
        <v>62</v>
      </c>
      <c r="G6228" s="168">
        <f>SUM(C6228,C6204,C6180,C6156,C6132,C6108,C6084,C6060,C6036,C6012,C5988,C5964,C5940,C5916)/POBLA!$B$11*100000</f>
        <v>354.3249969310433</v>
      </c>
      <c r="H6228" s="256">
        <f t="shared" si="844"/>
        <v>0.72323462414578588</v>
      </c>
      <c r="I6228" s="297">
        <f t="shared" si="853"/>
        <v>256.26010598087981</v>
      </c>
      <c r="J6228" s="297">
        <f t="shared" si="854"/>
        <v>78</v>
      </c>
      <c r="K6228" s="297">
        <f>J6228/POBLA!$B$11*100000</f>
        <v>21.761692724898722</v>
      </c>
      <c r="L6228" s="549">
        <f t="shared" si="845"/>
        <v>0.2458563535911602</v>
      </c>
      <c r="M6228" s="401">
        <f>SUM(C6228,C6204,C6180,C6156,C6132,C6108,C6084)/POBLA!$B$11*100000</f>
        <v>152.33184907429109</v>
      </c>
    </row>
    <row r="6229" spans="1:13" s="360" customFormat="1" x14ac:dyDescent="0.25">
      <c r="A6229" s="367" t="s">
        <v>21</v>
      </c>
      <c r="B6229" s="34">
        <v>44152</v>
      </c>
      <c r="C6229" s="1">
        <v>18</v>
      </c>
      <c r="D6229" s="39">
        <f t="shared" si="850"/>
        <v>8243</v>
      </c>
      <c r="E6229" s="1">
        <f>1</f>
        <v>1</v>
      </c>
      <c r="F6229" s="409">
        <f t="shared" si="849"/>
        <v>300</v>
      </c>
      <c r="G6229" s="168">
        <f>SUM(C6229,C6205,C6181,C6157,C6133,C6109,C6085,C6061,C6037,C6013,C5989,C5965,C5941,C5917)/POBLA!$B$12*100000</f>
        <v>142.55547847564742</v>
      </c>
      <c r="H6229" s="256">
        <f t="shared" si="844"/>
        <v>0.55162241887905605</v>
      </c>
      <c r="I6229" s="297">
        <f t="shared" si="853"/>
        <v>78.636797861197834</v>
      </c>
      <c r="J6229" s="297">
        <f t="shared" si="854"/>
        <v>46.428571428571431</v>
      </c>
      <c r="K6229" s="297">
        <f>J6229/POBLA!$B$12*100000</f>
        <v>11.797945124671608</v>
      </c>
      <c r="L6229" s="549">
        <f t="shared" si="845"/>
        <v>-0.37711864406779672</v>
      </c>
      <c r="M6229" s="401">
        <f>SUM(C6229,C6205,C6181,C6157,C6133,C6109,C6085)/POBLA!$B$12*100000</f>
        <v>82.585615872701254</v>
      </c>
    </row>
    <row r="6230" spans="1:13" s="360" customFormat="1" x14ac:dyDescent="0.25">
      <c r="A6230" s="367" t="s">
        <v>17</v>
      </c>
      <c r="B6230" s="34">
        <v>44152</v>
      </c>
      <c r="C6230" s="1">
        <v>396</v>
      </c>
      <c r="D6230" s="39">
        <f t="shared" si="850"/>
        <v>53912</v>
      </c>
      <c r="E6230" s="1">
        <f>4+3</f>
        <v>7</v>
      </c>
      <c r="F6230" s="409">
        <f t="shared" si="849"/>
        <v>1029</v>
      </c>
      <c r="G6230" s="168">
        <f>SUM(C6230,C6206,C6182,C6158,C6134,C6110,C6086,C6062,C6038,C6014,C5990,C5966,C5942,C5918)/POBLA!$B$13*100000</f>
        <v>281.56021741030924</v>
      </c>
      <c r="H6230" s="256">
        <f t="shared" si="844"/>
        <v>0.59026753739203708</v>
      </c>
      <c r="I6230" s="297">
        <f t="shared" si="853"/>
        <v>166.19585615834978</v>
      </c>
      <c r="J6230" s="297">
        <f t="shared" si="854"/>
        <v>356</v>
      </c>
      <c r="K6230" s="297">
        <f>J6230/POBLA!$B$13*100000</f>
        <v>17.88640924305319</v>
      </c>
      <c r="L6230" s="549">
        <f t="shared" si="845"/>
        <v>0.19922879177377895</v>
      </c>
      <c r="M6230" s="401">
        <f>SUM(C6230,C6206,C6182,C6158,C6134,C6110,C6086)/POBLA!$B$13*100000</f>
        <v>125.20486470137234</v>
      </c>
    </row>
    <row r="6231" spans="1:13" s="360" customFormat="1" x14ac:dyDescent="0.25">
      <c r="A6231" s="367" t="s">
        <v>23</v>
      </c>
      <c r="B6231" s="34">
        <v>44152</v>
      </c>
      <c r="C6231" s="1">
        <v>6</v>
      </c>
      <c r="D6231" s="39">
        <f t="shared" si="850"/>
        <v>397</v>
      </c>
      <c r="E6231" s="1"/>
      <c r="F6231" s="409">
        <f t="shared" si="849"/>
        <v>7</v>
      </c>
      <c r="G6231" s="168">
        <f>SUM(C6231,C6207,C6183,C6159,C6135,C6111,C6087,C6063,C6039,C6015,C5991,C5967,C5943,C5919)/POBLA!$B$14*100000</f>
        <v>7.8490819745436031</v>
      </c>
      <c r="H6231" s="256">
        <f t="shared" si="844"/>
        <v>0.96116504854368934</v>
      </c>
      <c r="I6231" s="297">
        <f t="shared" si="853"/>
        <v>7.544263257085599</v>
      </c>
      <c r="J6231" s="297">
        <f t="shared" si="854"/>
        <v>5.1428571428571432</v>
      </c>
      <c r="K6231" s="297">
        <f>J6231/POBLA!$B$14*100000</f>
        <v>0.4077445181581093</v>
      </c>
      <c r="L6231" s="549">
        <f t="shared" si="845"/>
        <v>0.4285714285714286</v>
      </c>
      <c r="M6231" s="401">
        <f>SUM(C6231,C6207,C6183,C6159,C6135,C6111,C6087)/POBLA!$B$14*100000</f>
        <v>2.854211627106765</v>
      </c>
    </row>
    <row r="6232" spans="1:13" s="360" customFormat="1" x14ac:dyDescent="0.25">
      <c r="A6232" s="367" t="s">
        <v>19</v>
      </c>
      <c r="B6232" s="34">
        <v>44152</v>
      </c>
      <c r="C6232" s="1">
        <v>999</v>
      </c>
      <c r="D6232" s="39">
        <f t="shared" si="850"/>
        <v>28310</v>
      </c>
      <c r="E6232" s="1">
        <f>18+11</f>
        <v>29</v>
      </c>
      <c r="F6232" s="409">
        <f t="shared" si="849"/>
        <v>551</v>
      </c>
      <c r="G6232" s="168">
        <f>SUM(C6232,C6208,C6184,C6160,C6136,C6112,C6088,C6064,C6040,C6016,C5992,C5968,C5944,C5920)/POBLA!$B$15*100000</f>
        <v>697.53048307600102</v>
      </c>
      <c r="H6232" s="256">
        <f t="shared" si="844"/>
        <v>0.65992306596381256</v>
      </c>
      <c r="I6232" s="297">
        <f t="shared" si="853"/>
        <v>460.31645499473387</v>
      </c>
      <c r="J6232" s="297">
        <f t="shared" si="854"/>
        <v>365.14285714285717</v>
      </c>
      <c r="K6232" s="297">
        <f>J6232/POBLA!$B$15*100000</f>
        <v>54.986673906435321</v>
      </c>
      <c r="L6232" s="549">
        <f t="shared" si="845"/>
        <v>-0.23121387283237005</v>
      </c>
      <c r="M6232" s="401">
        <f>SUM(C6232,C6208,C6184,C6160,C6136,C6112,C6088)/POBLA!$B$15*100000</f>
        <v>384.90671734504718</v>
      </c>
    </row>
    <row r="6233" spans="1:13" s="360" customFormat="1" x14ac:dyDescent="0.25">
      <c r="A6233" s="367" t="s">
        <v>18</v>
      </c>
      <c r="B6233" s="34">
        <v>44152</v>
      </c>
      <c r="C6233" s="1">
        <v>295</v>
      </c>
      <c r="D6233" s="39">
        <f t="shared" si="850"/>
        <v>28937</v>
      </c>
      <c r="E6233" s="1">
        <f>2+3</f>
        <v>5</v>
      </c>
      <c r="F6233" s="409">
        <f t="shared" si="849"/>
        <v>731</v>
      </c>
      <c r="G6233" s="168">
        <f>SUM(C6233,C6209,C6185,C6161,C6137,C6113,C6089,C6065,C6041,C6017,C5993,C5969,C5945,C5921)/POBLA!$B$16*100000</f>
        <v>552.427067588716</v>
      </c>
      <c r="H6233" s="256">
        <f t="shared" si="844"/>
        <v>0.82666132906325063</v>
      </c>
      <c r="I6233" s="297">
        <f t="shared" si="853"/>
        <v>456.67009390340218</v>
      </c>
      <c r="J6233" s="297">
        <f t="shared" si="854"/>
        <v>259</v>
      </c>
      <c r="K6233" s="297">
        <f>J6233/POBLA!$B$16*100000</f>
        <v>34.64373135725846</v>
      </c>
      <c r="L6233" s="549">
        <f t="shared" si="845"/>
        <v>0.21752265861027187</v>
      </c>
      <c r="M6233" s="401">
        <f>SUM(C6233,C6209,C6185,C6161,C6137,C6113,C6089)/POBLA!$B$16*100000</f>
        <v>242.50611950080926</v>
      </c>
    </row>
    <row r="6234" spans="1:13" s="360" customFormat="1" x14ac:dyDescent="0.25">
      <c r="A6234" s="367" t="s">
        <v>34</v>
      </c>
      <c r="B6234" s="34">
        <v>44152</v>
      </c>
      <c r="C6234" s="1">
        <v>92</v>
      </c>
      <c r="D6234" s="39">
        <f t="shared" si="850"/>
        <v>20327</v>
      </c>
      <c r="E6234" s="1">
        <f>3+1</f>
        <v>4</v>
      </c>
      <c r="F6234" s="409">
        <f t="shared" si="849"/>
        <v>928</v>
      </c>
      <c r="G6234" s="168">
        <f>SUM(C6234,C6210,C6186,C6162,C6138,C6114,C6090,C6066,C6042,C6018,C5994,C5970,C5946,C5922)/POBLA!$B$17*100000</f>
        <v>89.020125709335247</v>
      </c>
      <c r="H6234" s="256">
        <f t="shared" ref="H6234:H6265" si="855">SUM(C6234,C6210,C6186,C6162,C6138,C6114,C6090,C6066,C6042,C6018,C5994,C5970,C5946,C5922)/SUM(C5898,C5874,C5850,C5826,C5802,C5778,C5754,C5730,C5706,C5682,C5658,C5634,C5610,C5586)</f>
        <v>0.52965747702589805</v>
      </c>
      <c r="I6234" s="297">
        <f t="shared" si="853"/>
        <v>47.150175187734789</v>
      </c>
      <c r="J6234" s="297">
        <f t="shared" si="854"/>
        <v>89.571428571428569</v>
      </c>
      <c r="K6234" s="297">
        <f>J6234/POBLA!$B$17*100000</f>
        <v>6.2883752613511943</v>
      </c>
      <c r="L6234" s="549">
        <f t="shared" ref="L6234:L6265" si="856">1-SUM(C6234,C6210,C6186,C6162,C6138,C6114,C6090)/SUM(C6066,C6042,C6018,C5994,C5970,C5946,C5922)</f>
        <v>2.1840873634945357E-2</v>
      </c>
      <c r="M6234" s="401">
        <f>SUM(C6234,C6210,C6186,C6162,C6138,C6114,C6090)/POBLA!$B$17*100000</f>
        <v>44.018626829458363</v>
      </c>
    </row>
    <row r="6235" spans="1:13" s="360" customFormat="1" x14ac:dyDescent="0.25">
      <c r="A6235" s="367" t="s">
        <v>35</v>
      </c>
      <c r="B6235" s="34">
        <v>44152</v>
      </c>
      <c r="C6235" s="1">
        <v>172</v>
      </c>
      <c r="D6235" s="39">
        <f t="shared" si="850"/>
        <v>4688</v>
      </c>
      <c r="E6235" s="1"/>
      <c r="F6235" s="409">
        <f t="shared" si="849"/>
        <v>143</v>
      </c>
      <c r="G6235" s="168">
        <f>SUM(C6235,C6211,C6187,C6163,C6139,C6115,C6091,C6067,C6043,C6019,C5995,C5971,C5947,C5923)/POBLA!$B$18*100000</f>
        <v>229.76970547235916</v>
      </c>
      <c r="H6235" s="256">
        <f t="shared" si="855"/>
        <v>1.1317780580075663</v>
      </c>
      <c r="I6235" s="297">
        <f t="shared" si="853"/>
        <v>260.0483110484771</v>
      </c>
      <c r="J6235" s="297">
        <f t="shared" si="854"/>
        <v>104.14285714285714</v>
      </c>
      <c r="K6235" s="297">
        <f>J6235/POBLA!$B$18*100000</f>
        <v>13.330848809339422</v>
      </c>
      <c r="L6235" s="549">
        <f t="shared" si="856"/>
        <v>0.31613508442776739</v>
      </c>
      <c r="M6235" s="401">
        <f>SUM(C6235,C6211,C6187,C6163,C6139,C6115,C6091)/POBLA!$B$18*100000</f>
        <v>93.315941665375945</v>
      </c>
    </row>
    <row r="6236" spans="1:13" s="360" customFormat="1" x14ac:dyDescent="0.25">
      <c r="A6236" s="367" t="s">
        <v>36</v>
      </c>
      <c r="B6236" s="34">
        <v>44152</v>
      </c>
      <c r="C6236" s="1">
        <v>233</v>
      </c>
      <c r="D6236" s="39">
        <f t="shared" si="850"/>
        <v>11841</v>
      </c>
      <c r="E6236" s="1">
        <f>3+2</f>
        <v>5</v>
      </c>
      <c r="F6236" s="409">
        <f t="shared" si="849"/>
        <v>157</v>
      </c>
      <c r="G6236" s="168">
        <f>SUM(C6236,C6212,C6188,C6164,C6140,C6116,C6092,C6068,C6044,C6020,C5996,C5972,C5948,C5924)/POBLA!$B$19*100000</f>
        <v>783.94265120158639</v>
      </c>
      <c r="H6236" s="256">
        <f t="shared" si="855"/>
        <v>1.0022635814889336</v>
      </c>
      <c r="I6236" s="297">
        <f t="shared" si="853"/>
        <v>785.71716927523175</v>
      </c>
      <c r="J6236" s="297">
        <f t="shared" si="854"/>
        <v>288.57142857142856</v>
      </c>
      <c r="K6236" s="297">
        <f>J6236/POBLA!$B$19*100000</f>
        <v>56.768745489414037</v>
      </c>
      <c r="L6236" s="549">
        <f t="shared" si="856"/>
        <v>-2.7989821882951738E-2</v>
      </c>
      <c r="M6236" s="401">
        <f>SUM(C6236,C6212,C6188,C6164,C6140,C6116,C6092)/POBLA!$B$19*100000</f>
        <v>397.38121842589823</v>
      </c>
    </row>
    <row r="6237" spans="1:13" s="360" customFormat="1" x14ac:dyDescent="0.25">
      <c r="A6237" s="367" t="s">
        <v>37</v>
      </c>
      <c r="B6237" s="34">
        <v>44152</v>
      </c>
      <c r="C6237" s="1">
        <v>267</v>
      </c>
      <c r="D6237" s="39">
        <f t="shared" si="850"/>
        <v>13045</v>
      </c>
      <c r="E6237" s="1">
        <v>17</v>
      </c>
      <c r="F6237" s="409">
        <f t="shared" si="849"/>
        <v>210</v>
      </c>
      <c r="G6237" s="168">
        <f>SUM(C6237,C6213,C6189,C6165,C6141,C6117,C6093,C6069,C6045,C6021,C5997,C5973,C5949,C5925)/POBLA!$B$20*100000</f>
        <v>814.88003762667552</v>
      </c>
      <c r="H6237" s="256">
        <f t="shared" si="855"/>
        <v>1.1910471622701839</v>
      </c>
      <c r="I6237" s="297">
        <f t="shared" si="853"/>
        <v>970.5605564058726</v>
      </c>
      <c r="J6237" s="297">
        <f t="shared" si="854"/>
        <v>223.71428571428572</v>
      </c>
      <c r="K6237" s="297">
        <f>J6237/POBLA!$B$20*100000</f>
        <v>61.1745991813698</v>
      </c>
      <c r="L6237" s="549">
        <f t="shared" si="856"/>
        <v>-0.10749646393210743</v>
      </c>
      <c r="M6237" s="401">
        <f>SUM(C6237,C6213,C6189,C6165,C6141,C6117,C6093)/POBLA!$B$20*100000</f>
        <v>428.22219426958861</v>
      </c>
    </row>
    <row r="6238" spans="1:13" s="360" customFormat="1" x14ac:dyDescent="0.25">
      <c r="A6238" s="367" t="s">
        <v>22</v>
      </c>
      <c r="B6238" s="34">
        <v>44152</v>
      </c>
      <c r="C6238" s="1">
        <v>1477</v>
      </c>
      <c r="D6238" s="39">
        <f t="shared" si="850"/>
        <v>130929</v>
      </c>
      <c r="E6238" s="1">
        <f>14+19</f>
        <v>33</v>
      </c>
      <c r="F6238" s="409">
        <f t="shared" si="849"/>
        <v>1947</v>
      </c>
      <c r="G6238" s="168">
        <f>SUM(C6238,C6214,C6190,C6166,C6142,C6118,C6094,C6070,C6046,C6022,C5998,C5974,C5950,C5926)/POBLA!$B$21*100000</f>
        <v>561.41553402341015</v>
      </c>
      <c r="H6238" s="256">
        <f t="shared" si="855"/>
        <v>0.71864480399609076</v>
      </c>
      <c r="I6238" s="297">
        <f t="shared" si="853"/>
        <v>403.45835640861424</v>
      </c>
      <c r="J6238" s="297">
        <f t="shared" si="854"/>
        <v>1377.8571428571429</v>
      </c>
      <c r="K6238" s="297">
        <f>J6238/POBLA!$B$21*100000</f>
        <v>38.961942362501915</v>
      </c>
      <c r="L6238" s="549">
        <f t="shared" si="856"/>
        <v>5.5245371730825776E-2</v>
      </c>
      <c r="M6238" s="401">
        <f>SUM(C6238,C6214,C6190,C6166,C6142,C6118,C6094)/POBLA!$B$21*100000</f>
        <v>272.73359653751339</v>
      </c>
    </row>
    <row r="6239" spans="1:13" s="360" customFormat="1" x14ac:dyDescent="0.25">
      <c r="A6239" s="367" t="s">
        <v>38</v>
      </c>
      <c r="B6239" s="34">
        <v>44152</v>
      </c>
      <c r="C6239" s="1">
        <v>113</v>
      </c>
      <c r="D6239" s="39">
        <f t="shared" si="850"/>
        <v>13424</v>
      </c>
      <c r="E6239" s="1">
        <f>3</f>
        <v>3</v>
      </c>
      <c r="F6239" s="409">
        <f t="shared" si="849"/>
        <v>163</v>
      </c>
      <c r="G6239" s="168">
        <f>SUM(C6239,C6215,C6191,C6167,C6143,C6119,C6095,C6071,C6047,C6023,C5999,C5975,C5951,C5927)/POBLA!$B$22*100000</f>
        <v>332.20451941249888</v>
      </c>
      <c r="H6239" s="256">
        <f t="shared" si="855"/>
        <v>1.045016077170418</v>
      </c>
      <c r="I6239" s="297">
        <f t="shared" si="853"/>
        <v>347.15906369473356</v>
      </c>
      <c r="J6239" s="297">
        <f t="shared" si="854"/>
        <v>252</v>
      </c>
      <c r="K6239" s="297">
        <f>J6239/POBLA!$B$22*100000</f>
        <v>25.758627351369142</v>
      </c>
      <c r="L6239" s="549">
        <f t="shared" si="856"/>
        <v>-0.18707940780619103</v>
      </c>
      <c r="M6239" s="401">
        <f>SUM(C6239,C6215,C6191,C6167,C6143,C6119,C6095)/POBLA!$B$22*100000</f>
        <v>180.310391459584</v>
      </c>
    </row>
    <row r="6240" spans="1:13" s="360" customFormat="1" x14ac:dyDescent="0.25">
      <c r="A6240" s="367" t="s">
        <v>39</v>
      </c>
      <c r="B6240" s="34">
        <v>44152</v>
      </c>
      <c r="C6240" s="1">
        <v>132</v>
      </c>
      <c r="D6240" s="39">
        <f t="shared" si="850"/>
        <v>14537</v>
      </c>
      <c r="E6240" s="1">
        <f>2</f>
        <v>2</v>
      </c>
      <c r="F6240" s="409">
        <f t="shared" si="849"/>
        <v>207</v>
      </c>
      <c r="G6240" s="168">
        <f>SUM(C6240,C6216,C6192,C6168,C6144,C6120,C6096,C6072,C6048,C6024,C6000,C5976,C5952,C5928)/POBLA!$B$23*100000</f>
        <v>1449.4146920771364</v>
      </c>
      <c r="H6240" s="256">
        <f t="shared" si="855"/>
        <v>0.77831764348618282</v>
      </c>
      <c r="I6240" s="297">
        <f t="shared" si="853"/>
        <v>1128.105027571728</v>
      </c>
      <c r="J6240" s="297">
        <f t="shared" si="854"/>
        <v>141.85714285714286</v>
      </c>
      <c r="K6240" s="297">
        <f>J6240/POBLA!$B$23*100000</f>
        <v>80.222328144060882</v>
      </c>
      <c r="L6240" s="549">
        <f t="shared" si="856"/>
        <v>0.36751592356687901</v>
      </c>
      <c r="M6240" s="401">
        <f>SUM(C6240,C6216,C6192,C6168,C6144,C6120,C6096)/POBLA!$B$23*100000</f>
        <v>561.5562970084261</v>
      </c>
    </row>
    <row r="6241" spans="1:13" s="360" customFormat="1" ht="15.75" thickBot="1" x14ac:dyDescent="0.3">
      <c r="A6241" s="368" t="s">
        <v>40</v>
      </c>
      <c r="B6241" s="34">
        <v>44152</v>
      </c>
      <c r="C6241" s="1">
        <v>688</v>
      </c>
      <c r="D6241" s="67">
        <f>C6241+D6217</f>
        <v>61300</v>
      </c>
      <c r="E6241" s="1">
        <f>9+6</f>
        <v>15</v>
      </c>
      <c r="F6241" s="477">
        <f t="shared" si="849"/>
        <v>1020</v>
      </c>
      <c r="G6241" s="177">
        <f>SUM(C6241,C6217,C6193,C6169,C6145,C6121,C6097,C6073,C6049,C6025,C6001,C5977,C5953,C5929)/POBLA!$B$24*100000</f>
        <v>571.50241700970582</v>
      </c>
      <c r="H6241" s="402">
        <f t="shared" si="855"/>
        <v>0.6882950749769029</v>
      </c>
      <c r="I6241" s="403">
        <f t="shared" si="853"/>
        <v>393.36229896517671</v>
      </c>
      <c r="J6241" s="403">
        <f t="shared" si="854"/>
        <v>749</v>
      </c>
      <c r="K6241" s="403">
        <f>J6241/POBLA!$B$24*100000</f>
        <v>44.19776048944447</v>
      </c>
      <c r="L6241" s="550">
        <f t="shared" si="856"/>
        <v>-0.18032417829806402</v>
      </c>
      <c r="M6241" s="405">
        <f>SUM(C6241,C6217,C6193,C6169,C6145,C6121,C6097)/POBLA!$B$24*100000</f>
        <v>309.38432342611122</v>
      </c>
    </row>
    <row r="6242" spans="1:13" s="360" customFormat="1" x14ac:dyDescent="0.25">
      <c r="A6242" s="363" t="s">
        <v>16</v>
      </c>
      <c r="B6242" s="34">
        <v>44153</v>
      </c>
      <c r="C6242" s="1">
        <v>2826</v>
      </c>
      <c r="D6242" s="174">
        <f t="shared" si="850"/>
        <v>597074</v>
      </c>
      <c r="E6242" s="1">
        <f>39+29</f>
        <v>68</v>
      </c>
      <c r="F6242" s="475">
        <f t="shared" si="849"/>
        <v>19716</v>
      </c>
      <c r="G6242" s="175">
        <f>SUM(C6242,C6218,C6194,C6170,C6146,C6122,C6098,C6074,C6050,C6026,C6002,C5978,C5954,C5930)/POBLA!$B$1*100000</f>
        <v>207.36963462068971</v>
      </c>
      <c r="H6242" s="300">
        <f t="shared" si="855"/>
        <v>0.75652011147622811</v>
      </c>
      <c r="I6242" s="301">
        <f>G6242*H6242</f>
        <v>156.87929910002887</v>
      </c>
      <c r="J6242" s="301">
        <f>AVERAGE(C6242,C6218,C6194,C6170,C6146,C6122,C6098)</f>
        <v>2531.1428571428573</v>
      </c>
      <c r="K6242" s="301">
        <f>J6242/POBLA!$B$1*100000</f>
        <v>14.429750363119807</v>
      </c>
      <c r="L6242" s="548">
        <f t="shared" si="856"/>
        <v>5.0329634989548122E-2</v>
      </c>
      <c r="M6242" s="400">
        <f>SUM(C6242,C6218,C6194,C6170,C6146,C6122,C6098)/POBLA!$B$1*100000</f>
        <v>101.00825254183863</v>
      </c>
    </row>
    <row r="6243" spans="1:13" s="360" customFormat="1" x14ac:dyDescent="0.25">
      <c r="A6243" s="367" t="s">
        <v>43</v>
      </c>
      <c r="B6243" s="34">
        <v>44153</v>
      </c>
      <c r="C6243" s="1">
        <v>384</v>
      </c>
      <c r="D6243" s="39">
        <f t="shared" si="850"/>
        <v>154980</v>
      </c>
      <c r="E6243" s="1">
        <f>8+13</f>
        <v>21</v>
      </c>
      <c r="F6243" s="409">
        <f t="shared" si="849"/>
        <v>5127</v>
      </c>
      <c r="G6243" s="168">
        <f>SUM(C6243,C6219,C6195,C6171,C6147,C6123,C6099,C6075,C6051,C6027,C6003,C5979,C5955,C5931)/POBLA!$B$2*100000</f>
        <v>200.28312751207386</v>
      </c>
      <c r="H6243" s="256">
        <f t="shared" si="855"/>
        <v>0.89404934687953552</v>
      </c>
      <c r="I6243" s="297">
        <f t="shared" ref="I6243:I6265" si="857">G6243*H6243</f>
        <v>179.06299934316036</v>
      </c>
      <c r="J6243" s="297">
        <f t="shared" ref="J6243:J6265" si="858">AVERAGE(C6243,C6219,C6195,C6171,C6147,C6123,C6099)</f>
        <v>413.42857142857144</v>
      </c>
      <c r="K6243" s="297">
        <f>J6243/POBLA!$B$2*100000</f>
        <v>13.442007676714793</v>
      </c>
      <c r="L6243" s="549">
        <f t="shared" si="856"/>
        <v>0.11390079608083281</v>
      </c>
      <c r="M6243" s="401">
        <f>SUM(C6243,C6219,C6195,C6171,C6147,C6123,C6099)/POBLA!$B$2*100000</f>
        <v>94.094053737003549</v>
      </c>
    </row>
    <row r="6244" spans="1:13" s="360" customFormat="1" x14ac:dyDescent="0.25">
      <c r="A6244" s="367" t="s">
        <v>28</v>
      </c>
      <c r="B6244" s="34">
        <v>44153</v>
      </c>
      <c r="C6244" s="1">
        <v>23</v>
      </c>
      <c r="D6244" s="39">
        <f t="shared" si="850"/>
        <v>1604</v>
      </c>
      <c r="E6244" s="1">
        <v>1</v>
      </c>
      <c r="F6244" s="409">
        <f t="shared" si="849"/>
        <v>8</v>
      </c>
      <c r="G6244" s="168">
        <f>SUM(C6244,C6220,C6196,C6172,C6148,C6124,C6100,C6076,C6052,C6028,C6004,C5980,C5956,C5932)/POBLA!$B$3*100000</f>
        <v>127.81690649386911</v>
      </c>
      <c r="H6244" s="256">
        <f t="shared" si="855"/>
        <v>0.96897810218978098</v>
      </c>
      <c r="I6244" s="297">
        <f t="shared" si="857"/>
        <v>123.85178348219799</v>
      </c>
      <c r="J6244" s="297">
        <f t="shared" si="858"/>
        <v>43.142857142857146</v>
      </c>
      <c r="K6244" s="297">
        <f>J6244/POBLA!$B$3*100000</f>
        <v>10.384908733158051</v>
      </c>
      <c r="L6244" s="549">
        <f t="shared" si="856"/>
        <v>-0.31877729257641918</v>
      </c>
      <c r="M6244" s="401">
        <f>SUM(C6244,C6220,C6196,C6172,C6148,C6124,C6100)/POBLA!$B$3*100000</f>
        <v>72.694361132106351</v>
      </c>
    </row>
    <row r="6245" spans="1:13" s="360" customFormat="1" x14ac:dyDescent="0.25">
      <c r="A6245" s="367" t="s">
        <v>15</v>
      </c>
      <c r="B6245" s="34">
        <v>44153</v>
      </c>
      <c r="C6245" s="1">
        <v>230</v>
      </c>
      <c r="D6245" s="39">
        <f t="shared" si="850"/>
        <v>16957</v>
      </c>
      <c r="E6245" s="1">
        <f>2+1</f>
        <v>3</v>
      </c>
      <c r="F6245" s="409">
        <f t="shared" si="849"/>
        <v>519</v>
      </c>
      <c r="G6245" s="168">
        <f>SUM(C6245,C6221,C6197,C6173,C6149,C6125,C6101,C6077,C6053,C6029,C6005,C5981,C5957,C5933)/POBLA!$B$4*100000</f>
        <v>204.55924704929095</v>
      </c>
      <c r="H6245" s="256">
        <f t="shared" si="855"/>
        <v>1.1215293582157488</v>
      </c>
      <c r="I6245" s="297">
        <f t="shared" si="857"/>
        <v>229.41920106028809</v>
      </c>
      <c r="J6245" s="297">
        <f t="shared" si="858"/>
        <v>206.42857142857142</v>
      </c>
      <c r="K6245" s="297">
        <f>J6245/POBLA!$B$4*100000</f>
        <v>17.137529683802494</v>
      </c>
      <c r="L6245" s="549">
        <f t="shared" si="856"/>
        <v>-0.41805691854759575</v>
      </c>
      <c r="M6245" s="401">
        <f>SUM(C6245,C6221,C6197,C6173,C6149,C6125,C6101)/POBLA!$B$4*100000</f>
        <v>119.96270778661747</v>
      </c>
    </row>
    <row r="6246" spans="1:13" s="360" customFormat="1" x14ac:dyDescent="0.25">
      <c r="A6246" s="367" t="s">
        <v>29</v>
      </c>
      <c r="B6246" s="34">
        <v>44153</v>
      </c>
      <c r="C6246" s="1">
        <v>366</v>
      </c>
      <c r="D6246" s="39">
        <f t="shared" si="850"/>
        <v>20113</v>
      </c>
      <c r="E6246" s="1">
        <f>5+2</f>
        <v>7</v>
      </c>
      <c r="F6246" s="409">
        <f t="shared" si="849"/>
        <v>339</v>
      </c>
      <c r="G6246" s="168">
        <f>SUM(C6246,C6222,C6198,C6174,C6150,C6126,C6102,C6078,C6054,C6030,C6006,C5982,C5958,C5934)/POBLA!$B$5*100000</f>
        <v>710.99235210680558</v>
      </c>
      <c r="H6246" s="256">
        <f t="shared" si="855"/>
        <v>0.80693069306930698</v>
      </c>
      <c r="I6246" s="297">
        <f t="shared" si="857"/>
        <v>573.72155145252134</v>
      </c>
      <c r="J6246" s="297">
        <f t="shared" si="858"/>
        <v>295</v>
      </c>
      <c r="K6246" s="297">
        <f>J6246/POBLA!$B$5*100000</f>
        <v>47.657974067600009</v>
      </c>
      <c r="L6246" s="549">
        <f t="shared" si="856"/>
        <v>0.11601027397260277</v>
      </c>
      <c r="M6246" s="401">
        <f>SUM(C6246,C6222,C6198,C6174,C6150,C6126,C6102)/POBLA!$B$5*100000</f>
        <v>333.60581847320009</v>
      </c>
    </row>
    <row r="6247" spans="1:13" s="360" customFormat="1" x14ac:dyDescent="0.25">
      <c r="A6247" s="367" t="s">
        <v>20</v>
      </c>
      <c r="B6247" s="34">
        <v>44153</v>
      </c>
      <c r="C6247" s="1">
        <v>1381</v>
      </c>
      <c r="D6247" s="39">
        <f t="shared" si="850"/>
        <v>105853</v>
      </c>
      <c r="E6247" s="1">
        <f>19+12</f>
        <v>31</v>
      </c>
      <c r="F6247" s="409">
        <f t="shared" si="849"/>
        <v>1730</v>
      </c>
      <c r="G6247" s="168">
        <f>SUM(C6247,C6223,C6199,C6175,C6151,C6127,C6103,C6079,C6055,C6031,C6007,C5983,C5959,C5935)/POBLA!$B$6*100000</f>
        <v>1460.2949140837668</v>
      </c>
      <c r="H6247" s="256">
        <f t="shared" si="855"/>
        <v>0.78995125247357501</v>
      </c>
      <c r="I6247" s="297">
        <f t="shared" si="857"/>
        <v>1153.5617963612631</v>
      </c>
      <c r="J6247" s="297">
        <f t="shared" si="858"/>
        <v>1203.5714285714287</v>
      </c>
      <c r="K6247" s="297">
        <f>J6247/POBLA!$B$6*100000</f>
        <v>107.38493528926443</v>
      </c>
      <c r="L6247" s="549">
        <f t="shared" si="856"/>
        <v>-6.0815915386552399E-2</v>
      </c>
      <c r="M6247" s="401">
        <f>SUM(C6247,C6223,C6199,C6175,C6151,C6127,C6103)/POBLA!$B$6*100000</f>
        <v>751.69454702485098</v>
      </c>
    </row>
    <row r="6248" spans="1:13" s="360" customFormat="1" x14ac:dyDescent="0.25">
      <c r="A6248" s="367" t="s">
        <v>30</v>
      </c>
      <c r="B6248" s="34">
        <v>44153</v>
      </c>
      <c r="C6248" s="1">
        <v>272</v>
      </c>
      <c r="D6248" s="39">
        <f t="shared" si="850"/>
        <v>4248</v>
      </c>
      <c r="E6248" s="1">
        <f>3+3</f>
        <v>6</v>
      </c>
      <c r="F6248" s="409">
        <f t="shared" si="849"/>
        <v>86</v>
      </c>
      <c r="G6248" s="168">
        <f>SUM(C6248,C6224,C6200,C6176,C6152,C6128,C6104,C6080,C6056,C6032,C6008,C5984,C5960,C5936)/POBLA!$B$7*100000</f>
        <v>42.946987727532608</v>
      </c>
      <c r="H6248" s="256">
        <f t="shared" si="855"/>
        <v>3.3716075156576202</v>
      </c>
      <c r="I6248" s="297">
        <f t="shared" si="857"/>
        <v>144.80038659700452</v>
      </c>
      <c r="J6248" s="297">
        <f t="shared" si="858"/>
        <v>143.42857142857142</v>
      </c>
      <c r="K6248" s="297">
        <f>J6248/POBLA!$B$7*100000</f>
        <v>3.8141331869476107</v>
      </c>
      <c r="L6248" s="549">
        <f t="shared" si="856"/>
        <v>-0.64320785597381347</v>
      </c>
      <c r="M6248" s="401">
        <f>SUM(C6248,C6224,C6200,C6176,C6152,C6128,C6104)/POBLA!$B$7*100000</f>
        <v>26.698932308633271</v>
      </c>
    </row>
    <row r="6249" spans="1:13" x14ac:dyDescent="0.25">
      <c r="A6249" s="367" t="s">
        <v>31</v>
      </c>
      <c r="B6249" s="34">
        <v>44153</v>
      </c>
      <c r="C6249" s="1">
        <v>374</v>
      </c>
      <c r="D6249" s="39">
        <f t="shared" si="850"/>
        <v>20925</v>
      </c>
      <c r="E6249" s="1">
        <v>4</v>
      </c>
      <c r="F6249" s="409">
        <f t="shared" si="849"/>
        <v>396</v>
      </c>
      <c r="G6249" s="168">
        <f>SUM(C6249,C6225,C6201,C6177,C6153,C6129,C6105,C6081,C6057,C6033,C6009,C5985,C5961,C5937)/POBLA!$B$8*100000</f>
        <v>282.54763301420462</v>
      </c>
      <c r="H6249" s="256">
        <f t="shared" si="855"/>
        <v>0.88039568345323738</v>
      </c>
      <c r="I6249" s="297">
        <f t="shared" si="857"/>
        <v>248.75371647563517</v>
      </c>
      <c r="J6249" s="297">
        <f t="shared" si="858"/>
        <v>281.42857142857144</v>
      </c>
      <c r="K6249" s="297">
        <f>J6249/POBLA!$B$8*100000</f>
        <v>20.305663105135817</v>
      </c>
      <c r="L6249" s="549">
        <f t="shared" si="856"/>
        <v>-1.2332990750256956E-2</v>
      </c>
      <c r="M6249" s="401">
        <f>SUM(C6249,C6225,C6201,C6177,C6153,C6129,C6105)/POBLA!$B$8*100000</f>
        <v>142.13964173595073</v>
      </c>
    </row>
    <row r="6250" spans="1:13" s="360" customFormat="1" x14ac:dyDescent="0.25">
      <c r="A6250" s="367" t="s">
        <v>41</v>
      </c>
      <c r="B6250" s="34">
        <v>44153</v>
      </c>
      <c r="C6250" s="1">
        <v>3</v>
      </c>
      <c r="D6250" s="39">
        <f t="shared" si="850"/>
        <v>173</v>
      </c>
      <c r="E6250" s="1"/>
      <c r="F6250" s="409">
        <f t="shared" si="849"/>
        <v>3</v>
      </c>
      <c r="G6250" s="168">
        <f>SUM(C6250,C6226,C6202,C6178,C6154,C6130,C6106,C6082,C6058,C6034,C6010,C5986,C5962,C5938)/POBLA!$B$9*100000</f>
        <v>1.6523654437510016</v>
      </c>
      <c r="H6250" s="256">
        <f t="shared" si="855"/>
        <v>0.625</v>
      </c>
      <c r="I6250" s="297">
        <f t="shared" si="857"/>
        <v>1.0327284023443759</v>
      </c>
      <c r="J6250" s="297">
        <f t="shared" si="858"/>
        <v>1.1428571428571428</v>
      </c>
      <c r="K6250" s="297">
        <f>J6250/POBLA!$B$9*100000</f>
        <v>0.18884176500011449</v>
      </c>
      <c r="L6250" s="549">
        <f t="shared" si="856"/>
        <v>-3</v>
      </c>
      <c r="M6250" s="401">
        <f>SUM(C6250,C6226,C6202,C6178,C6154,C6130,C6106)/POBLA!$B$9*100000</f>
        <v>1.3218923550008015</v>
      </c>
    </row>
    <row r="6251" spans="1:13" s="360" customFormat="1" x14ac:dyDescent="0.25">
      <c r="A6251" s="367" t="s">
        <v>32</v>
      </c>
      <c r="B6251" s="34">
        <v>44153</v>
      </c>
      <c r="C6251" s="1">
        <v>27</v>
      </c>
      <c r="D6251" s="39">
        <f t="shared" si="850"/>
        <v>18240</v>
      </c>
      <c r="E6251" s="1">
        <f>1</f>
        <v>1</v>
      </c>
      <c r="F6251" s="409">
        <f t="shared" ref="F6251:F6314" si="859">E6251+F6227</f>
        <v>840</v>
      </c>
      <c r="G6251" s="168">
        <f>SUM(C6251,C6227,C6203,C6179,C6155,C6131,C6107,C6083,C6059,C6035,C6011,C5987,C5963,C5939)/POBLA!$B$10*100000</f>
        <v>36.062634829500269</v>
      </c>
      <c r="H6251" s="256">
        <f t="shared" si="855"/>
        <v>0.50545454545454549</v>
      </c>
      <c r="I6251" s="297">
        <f t="shared" si="857"/>
        <v>18.22802269563832</v>
      </c>
      <c r="J6251" s="297">
        <f t="shared" si="858"/>
        <v>23.571428571428573</v>
      </c>
      <c r="K6251" s="297">
        <f>J6251/POBLA!$B$10*100000</f>
        <v>3.0577259747520791</v>
      </c>
      <c r="L6251" s="549">
        <f t="shared" si="856"/>
        <v>-0.46017699115044253</v>
      </c>
      <c r="M6251" s="401">
        <f>SUM(C6251,C6227,C6203,C6179,C6155,C6131,C6107)/POBLA!$B$10*100000</f>
        <v>21.404081823264551</v>
      </c>
    </row>
    <row r="6252" spans="1:13" s="360" customFormat="1" x14ac:dyDescent="0.25">
      <c r="A6252" s="367" t="s">
        <v>33</v>
      </c>
      <c r="B6252" s="34">
        <v>44153</v>
      </c>
      <c r="C6252" s="1">
        <v>75</v>
      </c>
      <c r="D6252" s="39">
        <f t="shared" si="850"/>
        <v>4909</v>
      </c>
      <c r="E6252" s="1">
        <f>2</f>
        <v>2</v>
      </c>
      <c r="F6252" s="409">
        <f t="shared" si="859"/>
        <v>64</v>
      </c>
      <c r="G6252" s="168">
        <f>SUM(C6252,C6228,C6204,C6180,C6156,C6132,C6108,C6084,C6060,C6036,C6012,C5988,C5964,C5940)/POBLA!$B$11*100000</f>
        <v>337.02724117535456</v>
      </c>
      <c r="H6252" s="256">
        <f t="shared" si="855"/>
        <v>0.69745958429561206</v>
      </c>
      <c r="I6252" s="297">
        <f t="shared" si="857"/>
        <v>235.06287952645977</v>
      </c>
      <c r="J6252" s="297">
        <f t="shared" si="858"/>
        <v>75.571428571428569</v>
      </c>
      <c r="K6252" s="297">
        <f>J6252/POBLA!$B$11*100000</f>
        <v>21.084130863500778</v>
      </c>
      <c r="L6252" s="549">
        <f t="shared" si="856"/>
        <v>0.22091310751104565</v>
      </c>
      <c r="M6252" s="401">
        <f>SUM(C6252,C6228,C6204,C6180,C6156,C6132,C6108)/POBLA!$B$11*100000</f>
        <v>147.58891604450545</v>
      </c>
    </row>
    <row r="6253" spans="1:13" s="360" customFormat="1" x14ac:dyDescent="0.25">
      <c r="A6253" s="367" t="s">
        <v>21</v>
      </c>
      <c r="B6253" s="34">
        <v>44153</v>
      </c>
      <c r="C6253" s="1">
        <v>51</v>
      </c>
      <c r="D6253" s="39">
        <f t="shared" si="850"/>
        <v>8294</v>
      </c>
      <c r="E6253" s="1">
        <f>1</f>
        <v>1</v>
      </c>
      <c r="F6253" s="409">
        <f t="shared" si="859"/>
        <v>301</v>
      </c>
      <c r="G6253" s="168">
        <f>SUM(C6253,C6229,C6205,C6181,C6157,C6133,C6109,C6085,C6061,C6037,C6013,C5989,C5965,C5941)/POBLA!$B$12*100000</f>
        <v>140.01438260264121</v>
      </c>
      <c r="H6253" s="256">
        <f t="shared" si="855"/>
        <v>0.58368644067796616</v>
      </c>
      <c r="I6253" s="297">
        <f t="shared" si="857"/>
        <v>81.724496625058592</v>
      </c>
      <c r="J6253" s="297">
        <f t="shared" si="858"/>
        <v>47.857142857142854</v>
      </c>
      <c r="K6253" s="297">
        <f>J6253/POBLA!$B$12*100000</f>
        <v>12.160958820815349</v>
      </c>
      <c r="L6253" s="549">
        <f t="shared" si="856"/>
        <v>-0.55092592592592582</v>
      </c>
      <c r="M6253" s="401">
        <f>SUM(C6253,C6229,C6205,C6181,C6157,C6133,C6109)/POBLA!$B$12*100000</f>
        <v>85.126711745707453</v>
      </c>
    </row>
    <row r="6254" spans="1:13" s="360" customFormat="1" x14ac:dyDescent="0.25">
      <c r="A6254" s="367" t="s">
        <v>17</v>
      </c>
      <c r="B6254" s="34">
        <v>44153</v>
      </c>
      <c r="C6254" s="1">
        <v>339</v>
      </c>
      <c r="D6254" s="39">
        <f t="shared" si="850"/>
        <v>54251</v>
      </c>
      <c r="E6254" s="1">
        <f>15+9</f>
        <v>24</v>
      </c>
      <c r="F6254" s="409">
        <f t="shared" si="859"/>
        <v>1053</v>
      </c>
      <c r="G6254" s="168">
        <f>SUM(C6254,C6230,C6206,C6182,C6158,C6134,C6110,C6086,C6062,C6038,C6014,C5990,C5966,C5942)/POBLA!$B$13*100000</f>
        <v>272.56677006618975</v>
      </c>
      <c r="H6254" s="256">
        <f t="shared" si="855"/>
        <v>0.61250987919159983</v>
      </c>
      <c r="I6254" s="297">
        <f t="shared" si="857"/>
        <v>166.94983940488646</v>
      </c>
      <c r="J6254" s="297">
        <f t="shared" si="858"/>
        <v>336.71428571428572</v>
      </c>
      <c r="K6254" s="297">
        <f>J6254/POBLA!$B$13*100000</f>
        <v>16.91744245019116</v>
      </c>
      <c r="L6254" s="549">
        <f t="shared" si="856"/>
        <v>0.23174706649282917</v>
      </c>
      <c r="M6254" s="401">
        <f>SUM(C6254,C6230,C6206,C6182,C6158,C6134,C6110)/POBLA!$B$13*100000</f>
        <v>118.42209715133812</v>
      </c>
    </row>
    <row r="6255" spans="1:13" s="360" customFormat="1" x14ac:dyDescent="0.25">
      <c r="A6255" s="367" t="s">
        <v>23</v>
      </c>
      <c r="B6255" s="34">
        <v>44153</v>
      </c>
      <c r="C6255" s="1">
        <v>10</v>
      </c>
      <c r="D6255" s="39">
        <f t="shared" si="850"/>
        <v>407</v>
      </c>
      <c r="E6255" s="1"/>
      <c r="F6255" s="409">
        <f t="shared" si="859"/>
        <v>7</v>
      </c>
      <c r="G6255" s="168">
        <f>SUM(C6255,C6231,C6207,C6183,C6159,C6135,C6111,C6087,C6063,C6039,C6015,C5991,C5967,C5943)/POBLA!$B$14*100000</f>
        <v>9.5140387570225489</v>
      </c>
      <c r="H6255" s="256">
        <f t="shared" si="855"/>
        <v>1.348314606741573</v>
      </c>
      <c r="I6255" s="297">
        <f t="shared" si="857"/>
        <v>12.827917425198942</v>
      </c>
      <c r="J6255" s="297">
        <f t="shared" si="858"/>
        <v>6.8571428571428568</v>
      </c>
      <c r="K6255" s="297">
        <f>J6255/POBLA!$B$14*100000</f>
        <v>0.54365935754414563</v>
      </c>
      <c r="L6255" s="549">
        <f t="shared" si="856"/>
        <v>0.33333333333333337</v>
      </c>
      <c r="M6255" s="401">
        <f>SUM(C6255,C6231,C6207,C6183,C6159,C6135,C6111)/POBLA!$B$14*100000</f>
        <v>3.8056155028090202</v>
      </c>
    </row>
    <row r="6256" spans="1:13" s="360" customFormat="1" x14ac:dyDescent="0.25">
      <c r="A6256" s="367" t="s">
        <v>19</v>
      </c>
      <c r="B6256" s="34">
        <v>44153</v>
      </c>
      <c r="C6256" s="1">
        <v>348</v>
      </c>
      <c r="D6256" s="39">
        <f t="shared" si="850"/>
        <v>28658</v>
      </c>
      <c r="E6256" s="1">
        <v>13</v>
      </c>
      <c r="F6256" s="409">
        <f t="shared" si="859"/>
        <v>564</v>
      </c>
      <c r="G6256" s="168">
        <f>SUM(C6256,C6232,C6208,C6184,C6160,C6136,C6112,C6088,C6064,C6040,C6016,C5992,C5968,C5944)/POBLA!$B$15*100000</f>
        <v>705.05995720246904</v>
      </c>
      <c r="H6256" s="256">
        <f t="shared" si="855"/>
        <v>0.73836934237501972</v>
      </c>
      <c r="I6256" s="297">
        <f t="shared" si="857"/>
        <v>520.59465693454661</v>
      </c>
      <c r="J6256" s="297">
        <f t="shared" si="858"/>
        <v>396.42857142857144</v>
      </c>
      <c r="K6256" s="297">
        <f>J6256/POBLA!$B$15*100000</f>
        <v>59.69797343128247</v>
      </c>
      <c r="L6256" s="549">
        <f t="shared" si="856"/>
        <v>-0.45516518091242797</v>
      </c>
      <c r="M6256" s="401">
        <f>SUM(C6256,C6232,C6208,C6184,C6160,C6136,C6112)/POBLA!$B$15*100000</f>
        <v>417.88581401897727</v>
      </c>
    </row>
    <row r="6257" spans="1:13" s="360" customFormat="1" x14ac:dyDescent="0.25">
      <c r="A6257" s="367" t="s">
        <v>18</v>
      </c>
      <c r="B6257" s="34">
        <v>44153</v>
      </c>
      <c r="C6257" s="1">
        <v>299</v>
      </c>
      <c r="D6257" s="39">
        <f t="shared" si="850"/>
        <v>29236</v>
      </c>
      <c r="E6257" s="1">
        <f>4+4</f>
        <v>8</v>
      </c>
      <c r="F6257" s="409">
        <f t="shared" si="859"/>
        <v>739</v>
      </c>
      <c r="G6257" s="168">
        <f>SUM(C6257,C6233,C6209,C6185,C6161,C6137,C6113,C6089,C6065,C6041,C6017,C5993,C5969,C5945)/POBLA!$B$16*100000</f>
        <v>542.79637779055929</v>
      </c>
      <c r="H6257" s="256">
        <f t="shared" si="855"/>
        <v>0.83999172014075763</v>
      </c>
      <c r="I6257" s="297">
        <f t="shared" si="857"/>
        <v>455.94446306646444</v>
      </c>
      <c r="J6257" s="297">
        <f t="shared" si="858"/>
        <v>272.14285714285717</v>
      </c>
      <c r="K6257" s="297">
        <f>J6257/POBLA!$B$16*100000</f>
        <v>36.401714415652172</v>
      </c>
      <c r="L6257" s="549">
        <f t="shared" si="856"/>
        <v>0.11518810961449144</v>
      </c>
      <c r="M6257" s="401">
        <f>SUM(C6257,C6233,C6209,C6185,C6161,C6137,C6113)/POBLA!$B$16*100000</f>
        <v>254.81200090956514</v>
      </c>
    </row>
    <row r="6258" spans="1:13" s="360" customFormat="1" x14ac:dyDescent="0.25">
      <c r="A6258" s="367" t="s">
        <v>34</v>
      </c>
      <c r="B6258" s="34">
        <v>44153</v>
      </c>
      <c r="C6258" s="1">
        <v>112</v>
      </c>
      <c r="D6258" s="39">
        <f t="shared" ref="D6258:D6264" si="860">C6258+D6234</f>
        <v>20439</v>
      </c>
      <c r="E6258" s="1">
        <f>5+4</f>
        <v>9</v>
      </c>
      <c r="F6258" s="409">
        <f t="shared" si="859"/>
        <v>937</v>
      </c>
      <c r="G6258" s="168">
        <f>SUM(C6258,C6234,C6210,C6186,C6162,C6138,C6114,C6090,C6066,C6042,C6018,C5994,C5970,C5946)/POBLA!$B$17*100000</f>
        <v>87.475612487248995</v>
      </c>
      <c r="H6258" s="256">
        <f t="shared" si="855"/>
        <v>0.54793315743183812</v>
      </c>
      <c r="I6258" s="297">
        <f t="shared" si="857"/>
        <v>47.930788548422271</v>
      </c>
      <c r="J6258" s="297">
        <f t="shared" si="858"/>
        <v>92.285714285714292</v>
      </c>
      <c r="K6258" s="297">
        <f>J6258/POBLA!$B$17*100000</f>
        <v>6.4789320874527458</v>
      </c>
      <c r="L6258" s="549">
        <f t="shared" si="856"/>
        <v>-7.6666666666666661E-2</v>
      </c>
      <c r="M6258" s="401">
        <f>SUM(C6258,C6234,C6210,C6186,C6162,C6138,C6114)/POBLA!$B$17*100000</f>
        <v>45.352524612169219</v>
      </c>
    </row>
    <row r="6259" spans="1:13" s="360" customFormat="1" x14ac:dyDescent="0.25">
      <c r="A6259" s="367" t="s">
        <v>35</v>
      </c>
      <c r="B6259" s="34">
        <v>44153</v>
      </c>
      <c r="C6259" s="1">
        <v>174</v>
      </c>
      <c r="D6259" s="39">
        <f t="shared" si="860"/>
        <v>4862</v>
      </c>
      <c r="E6259" s="1"/>
      <c r="F6259" s="409">
        <f t="shared" si="859"/>
        <v>143</v>
      </c>
      <c r="G6259" s="168">
        <f>SUM(C6259,C6235,C6211,C6187,C6163,C6139,C6115,C6091,C6067,C6043,C6019,C5995,C5971,C5947)/POBLA!$B$18*100000</f>
        <v>229.00167303066883</v>
      </c>
      <c r="H6259" s="256">
        <f t="shared" si="855"/>
        <v>1.0176336746302617</v>
      </c>
      <c r="I6259" s="297">
        <f t="shared" si="857"/>
        <v>233.03981402267721</v>
      </c>
      <c r="J6259" s="297">
        <f t="shared" si="858"/>
        <v>106.57142857142857</v>
      </c>
      <c r="K6259" s="297">
        <f>J6259/POBLA!$B$18*100000</f>
        <v>13.641719083356938</v>
      </c>
      <c r="L6259" s="549">
        <f t="shared" si="856"/>
        <v>0.28475551294343238</v>
      </c>
      <c r="M6259" s="401">
        <f>SUM(C6259,C6235,C6211,C6187,C6163,C6139,C6115)/POBLA!$B$18*100000</f>
        <v>95.492033583498568</v>
      </c>
    </row>
    <row r="6260" spans="1:13" s="360" customFormat="1" x14ac:dyDescent="0.25">
      <c r="A6260" s="367" t="s">
        <v>36</v>
      </c>
      <c r="B6260" s="34">
        <v>44153</v>
      </c>
      <c r="C6260" s="1">
        <v>219</v>
      </c>
      <c r="D6260" s="39">
        <f t="shared" si="860"/>
        <v>12060</v>
      </c>
      <c r="E6260" s="1">
        <f>4+2</f>
        <v>6</v>
      </c>
      <c r="F6260" s="409">
        <f t="shared" si="859"/>
        <v>163</v>
      </c>
      <c r="G6260" s="168">
        <f>SUM(C6260,C6236,C6212,C6188,C6164,C6140,C6116,C6092,C6068,C6044,C6020,C5996,C5972,C5948)/POBLA!$B$19*100000</f>
        <v>778.43439668875214</v>
      </c>
      <c r="H6260" s="256">
        <f t="shared" si="855"/>
        <v>1.064854682454252</v>
      </c>
      <c r="I6260" s="297">
        <f t="shared" si="857"/>
        <v>828.91951229746837</v>
      </c>
      <c r="J6260" s="297">
        <f t="shared" si="858"/>
        <v>268</v>
      </c>
      <c r="K6260" s="297">
        <f>J6260/POBLA!$B$19*100000</f>
        <v>52.721864622841949</v>
      </c>
      <c r="L6260" s="549">
        <f t="shared" si="856"/>
        <v>9.851033157135991E-2</v>
      </c>
      <c r="M6260" s="401">
        <f>SUM(C6260,C6236,C6212,C6188,C6164,C6140,C6116)/POBLA!$B$19*100000</f>
        <v>369.05305235989357</v>
      </c>
    </row>
    <row r="6261" spans="1:13" s="360" customFormat="1" x14ac:dyDescent="0.25">
      <c r="A6261" s="367" t="s">
        <v>37</v>
      </c>
      <c r="B6261" s="34">
        <v>44153</v>
      </c>
      <c r="C6261" s="1">
        <v>268</v>
      </c>
      <c r="D6261" s="39">
        <f t="shared" si="860"/>
        <v>13313</v>
      </c>
      <c r="E6261" s="1">
        <f>4+2</f>
        <v>6</v>
      </c>
      <c r="F6261" s="409">
        <f t="shared" si="859"/>
        <v>216</v>
      </c>
      <c r="G6261" s="168">
        <f>SUM(C6261,C6237,C6213,C6189,C6165,C6141,C6117,C6093,C6069,C6045,C6021,C5997,C5973,C5949)/POBLA!$B$20*100000</f>
        <v>837.57636082231784</v>
      </c>
      <c r="H6261" s="256">
        <f t="shared" si="855"/>
        <v>1.230120481927711</v>
      </c>
      <c r="I6261" s="297">
        <f t="shared" si="857"/>
        <v>1030.3198366260078</v>
      </c>
      <c r="J6261" s="297">
        <f t="shared" si="858"/>
        <v>218.42857142857142</v>
      </c>
      <c r="K6261" s="297">
        <f>J6261/POBLA!$B$20*100000</f>
        <v>59.729222316931306</v>
      </c>
      <c r="L6261" s="549">
        <f t="shared" si="856"/>
        <v>3.2594524119947677E-3</v>
      </c>
      <c r="M6261" s="401">
        <f>SUM(C6261,C6237,C6213,C6189,C6165,C6141,C6117)/POBLA!$B$20*100000</f>
        <v>418.10455621851912</v>
      </c>
    </row>
    <row r="6262" spans="1:13" s="360" customFormat="1" x14ac:dyDescent="0.25">
      <c r="A6262" s="367" t="s">
        <v>22</v>
      </c>
      <c r="B6262" s="34">
        <v>44153</v>
      </c>
      <c r="C6262" s="1">
        <v>1657</v>
      </c>
      <c r="D6262" s="39">
        <f t="shared" si="860"/>
        <v>132586</v>
      </c>
      <c r="E6262" s="1">
        <f>13+10</f>
        <v>23</v>
      </c>
      <c r="F6262" s="409">
        <f t="shared" si="859"/>
        <v>1970</v>
      </c>
      <c r="G6262" s="168">
        <f>SUM(C6262,C6238,C6214,C6190,C6166,C6142,C6118,C6094,C6070,C6046,C6022,C5998,C5974,C5950)/POBLA!$B$21*100000</f>
        <v>564.63913485340254</v>
      </c>
      <c r="H6262" s="256">
        <f t="shared" si="855"/>
        <v>0.75359474657508396</v>
      </c>
      <c r="I6262" s="297">
        <f t="shared" si="857"/>
        <v>425.50908573622456</v>
      </c>
      <c r="J6262" s="297">
        <f t="shared" si="858"/>
        <v>1393.8571428571429</v>
      </c>
      <c r="K6262" s="297">
        <f>J6262/POBLA!$B$21*100000</f>
        <v>39.414377566711373</v>
      </c>
      <c r="L6262" s="549">
        <f t="shared" si="856"/>
        <v>4.4461854862403283E-2</v>
      </c>
      <c r="M6262" s="401">
        <f>SUM(C6262,C6238,C6214,C6190,C6166,C6142,C6118)/POBLA!$B$21*100000</f>
        <v>275.9006429669796</v>
      </c>
    </row>
    <row r="6263" spans="1:13" s="360" customFormat="1" x14ac:dyDescent="0.25">
      <c r="A6263" s="367" t="s">
        <v>38</v>
      </c>
      <c r="B6263" s="34">
        <v>44153</v>
      </c>
      <c r="C6263" s="1">
        <v>229</v>
      </c>
      <c r="D6263" s="39">
        <f t="shared" si="860"/>
        <v>13653</v>
      </c>
      <c r="E6263" s="1"/>
      <c r="F6263" s="409">
        <f t="shared" si="859"/>
        <v>163</v>
      </c>
      <c r="G6263" s="168">
        <f>SUM(C6263,C6239,C6215,C6191,C6167,C6143,C6119,C6095,C6071,C6047,C6023,C5999,C5975,C5951)/POBLA!$B$22*100000</f>
        <v>333.83998781576042</v>
      </c>
      <c r="H6263" s="256">
        <f t="shared" si="855"/>
        <v>1.0407903123008286</v>
      </c>
      <c r="I6263" s="297">
        <f t="shared" si="857"/>
        <v>347.45742517727012</v>
      </c>
      <c r="J6263" s="297">
        <f t="shared" si="858"/>
        <v>248.71428571428572</v>
      </c>
      <c r="K6263" s="297">
        <f>J6263/POBLA!$B$22*100000</f>
        <v>25.42277223284222</v>
      </c>
      <c r="L6263" s="549">
        <f t="shared" si="856"/>
        <v>-0.14163934426229519</v>
      </c>
      <c r="M6263" s="401">
        <f>SUM(C6263,C6239,C6215,C6191,C6167,C6143,C6119)/POBLA!$B$22*100000</f>
        <v>177.95940562989554</v>
      </c>
    </row>
    <row r="6264" spans="1:13" s="360" customFormat="1" x14ac:dyDescent="0.25">
      <c r="A6264" s="367" t="s">
        <v>39</v>
      </c>
      <c r="B6264" s="34">
        <v>44153</v>
      </c>
      <c r="C6264" s="1">
        <v>132</v>
      </c>
      <c r="D6264" s="39">
        <f t="shared" si="860"/>
        <v>14669</v>
      </c>
      <c r="E6264" s="1">
        <f>2+2</f>
        <v>4</v>
      </c>
      <c r="F6264" s="409">
        <f t="shared" si="859"/>
        <v>211</v>
      </c>
      <c r="G6264" s="168">
        <f>SUM(C6264,C6240,C6216,C6192,C6168,C6144,C6120,C6096,C6072,C6048,C6024,C6000,C5976,C5952)/POBLA!$B$23*100000</f>
        <v>1408.1321042809477</v>
      </c>
      <c r="H6264" s="256">
        <f t="shared" si="855"/>
        <v>0.75614940783480111</v>
      </c>
      <c r="I6264" s="297">
        <f t="shared" si="857"/>
        <v>1064.758256805211</v>
      </c>
      <c r="J6264" s="297">
        <f t="shared" si="858"/>
        <v>143.14285714285714</v>
      </c>
      <c r="K6264" s="297">
        <f>J6264/POBLA!$B$23*100000</f>
        <v>80.949418731469279</v>
      </c>
      <c r="L6264" s="549">
        <f t="shared" si="856"/>
        <v>0.32661290322580649</v>
      </c>
      <c r="M6264" s="401">
        <f>SUM(C6264,C6240,C6216,C6192,C6168,C6144,C6120)/POBLA!$B$23*100000</f>
        <v>566.64593112028501</v>
      </c>
    </row>
    <row r="6265" spans="1:13" s="360" customFormat="1" ht="15.75" thickBot="1" x14ac:dyDescent="0.3">
      <c r="A6265" s="368" t="s">
        <v>40</v>
      </c>
      <c r="B6265" s="34">
        <v>44153</v>
      </c>
      <c r="C6265" s="232">
        <v>533</v>
      </c>
      <c r="D6265" s="67">
        <f>C6265+D6241</f>
        <v>61833</v>
      </c>
      <c r="E6265" s="232">
        <v>1</v>
      </c>
      <c r="F6265" s="477">
        <f t="shared" si="859"/>
        <v>1021</v>
      </c>
      <c r="G6265" s="177">
        <f>SUM(C6265,C6241,C6217,C6193,C6169,C6145,C6121,C6097,C6073,C6049,C6025,C6001,C5977,C5953)/POBLA!$B$24*100000</f>
        <v>558.69745836323125</v>
      </c>
      <c r="H6265" s="402">
        <f t="shared" si="855"/>
        <v>0.71397330518060476</v>
      </c>
      <c r="I6265" s="403">
        <f t="shared" si="857"/>
        <v>398.89507094359953</v>
      </c>
      <c r="J6265" s="403">
        <f t="shared" si="858"/>
        <v>677</v>
      </c>
      <c r="K6265" s="403">
        <f>J6265/POBLA!$B$24*100000</f>
        <v>39.949110615959817</v>
      </c>
      <c r="L6265" s="550">
        <f t="shared" si="856"/>
        <v>-2.1146119687036613E-3</v>
      </c>
      <c r="M6265" s="405">
        <f>SUM(C6265,C6241,C6217,C6193,C6169,C6145,C6121)/POBLA!$B$24*100000</f>
        <v>279.64377431171874</v>
      </c>
    </row>
    <row r="6266" spans="1:13" s="360" customFormat="1" x14ac:dyDescent="0.25">
      <c r="A6266" s="363" t="s">
        <v>16</v>
      </c>
      <c r="B6266" s="274">
        <v>44154</v>
      </c>
      <c r="C6266" s="43">
        <v>2743</v>
      </c>
      <c r="D6266" s="174">
        <f t="shared" ref="D6266:D6329" si="861">C6266+D6242</f>
        <v>599817</v>
      </c>
      <c r="E6266" s="43">
        <f>29+18</f>
        <v>47</v>
      </c>
      <c r="F6266" s="475">
        <f t="shared" si="859"/>
        <v>19763</v>
      </c>
      <c r="G6266" s="175">
        <f>SUM(C6266,C6242,C6218,C6194,C6170,C6146,C6122,C6098,C6074,C6050,C6026,C6002,C5978,C5954)/POBLA!$B$1*100000</f>
        <v>204.54199644139456</v>
      </c>
      <c r="H6266" s="300">
        <f t="shared" ref="H6266:H6329" si="862">SUM(C6266,C6242,C6218,C6194,C6170,C6146,C6122,C6098,C6074,C6050,C6026,C6002,C5978,C5954)/SUM(C5930,C5906,C5882,C5858,C5834,C5810,C5786,C5762,C5738,C5714,C5690,C5666,C5642,C5618)</f>
        <v>0.77213936772333058</v>
      </c>
      <c r="I6266" s="301">
        <f>G6266*H6266</f>
        <v>157.93492780512614</v>
      </c>
      <c r="J6266" s="301">
        <f>AVERAGE(C6266,C6242,C6218,C6194,C6170,C6146,C6122)</f>
        <v>2438.5714285714284</v>
      </c>
      <c r="K6266" s="301">
        <f>J6266/POBLA!$B$1*100000</f>
        <v>13.90201144025596</v>
      </c>
      <c r="L6266" s="548">
        <f t="shared" ref="L6266:L6329" si="863">1-SUM(C6266,C6242,C6218,C6194,C6170,C6146,C6122)/SUM(C6098,C6074,C6050,C6026,C6002,C5978,C5954)</f>
        <v>9.2455739273751947E-2</v>
      </c>
      <c r="M6266" s="400">
        <f>SUM(C6266,C6242,C6218,C6194,C6170,C6146,C6122)/POBLA!$B$1*100000</f>
        <v>97.314080081791715</v>
      </c>
    </row>
    <row r="6267" spans="1:13" s="360" customFormat="1" x14ac:dyDescent="0.25">
      <c r="A6267" s="367" t="s">
        <v>43</v>
      </c>
      <c r="B6267" s="34">
        <v>44154</v>
      </c>
      <c r="C6267" s="1">
        <v>479</v>
      </c>
      <c r="D6267" s="39">
        <f t="shared" si="861"/>
        <v>155459</v>
      </c>
      <c r="E6267" s="1">
        <f>1+3</f>
        <v>4</v>
      </c>
      <c r="F6267" s="409">
        <f t="shared" si="859"/>
        <v>5131</v>
      </c>
      <c r="G6267" s="168">
        <f>SUM(C6267,C6243,C6219,C6195,C6171,C6147,C6123,C6099,C6075,C6051,C6027,C6003,C5979,C5955)/POBLA!$B$2*100000</f>
        <v>200.38066799625184</v>
      </c>
      <c r="H6267" s="256">
        <f t="shared" si="862"/>
        <v>0.90632352941176475</v>
      </c>
      <c r="I6267" s="297">
        <f t="shared" ref="I6267:I6289" si="864">G6267*H6267</f>
        <v>181.60971424425003</v>
      </c>
      <c r="J6267" s="297">
        <f t="shared" ref="J6267:J6289" si="865">AVERAGE(C6267,C6243,C6219,C6195,C6171,C6147,C6123)</f>
        <v>410.57142857142856</v>
      </c>
      <c r="K6267" s="297">
        <f>J6267/POBLA!$B$2*100000</f>
        <v>13.349111977497691</v>
      </c>
      <c r="L6267" s="549">
        <f t="shared" si="863"/>
        <v>0.12617816965643047</v>
      </c>
      <c r="M6267" s="401">
        <f>SUM(C6267,C6243,C6219,C6195,C6171,C6147,C6123)/POBLA!$B$2*100000</f>
        <v>93.443783842483825</v>
      </c>
    </row>
    <row r="6268" spans="1:13" s="360" customFormat="1" x14ac:dyDescent="0.25">
      <c r="A6268" s="367" t="s">
        <v>28</v>
      </c>
      <c r="B6268" s="34">
        <v>44154</v>
      </c>
      <c r="C6268" s="1">
        <v>30</v>
      </c>
      <c r="D6268" s="39">
        <f t="shared" si="861"/>
        <v>1634</v>
      </c>
      <c r="E6268" s="1"/>
      <c r="F6268" s="409">
        <f t="shared" si="859"/>
        <v>8</v>
      </c>
      <c r="G6268" s="168">
        <f>SUM(C6268,C6244,C6220,C6196,C6172,C6148,C6124,C6100,C6076,C6052,C6028,C6004,C5980,C5956)/POBLA!$B$3*100000</f>
        <v>123.72483980762472</v>
      </c>
      <c r="H6268" s="256">
        <f t="shared" si="862"/>
        <v>0.90492957746478875</v>
      </c>
      <c r="I6268" s="297">
        <f t="shared" si="864"/>
        <v>111.96226700901251</v>
      </c>
      <c r="J6268" s="297">
        <f t="shared" si="865"/>
        <v>43.714285714285715</v>
      </c>
      <c r="K6268" s="297">
        <f>J6268/POBLA!$B$3*100000</f>
        <v>10.52245719319988</v>
      </c>
      <c r="L6268" s="549">
        <f t="shared" si="863"/>
        <v>-0.47115384615384626</v>
      </c>
      <c r="M6268" s="401">
        <f>SUM(C6268,C6244,C6220,C6196,C6172,C6148,C6124)/POBLA!$B$3*100000</f>
        <v>73.657200352399158</v>
      </c>
    </row>
    <row r="6269" spans="1:13" s="360" customFormat="1" x14ac:dyDescent="0.25">
      <c r="A6269" s="367" t="s">
        <v>15</v>
      </c>
      <c r="B6269" s="34">
        <v>44154</v>
      </c>
      <c r="C6269" s="1">
        <v>290</v>
      </c>
      <c r="D6269" s="39">
        <f t="shared" si="861"/>
        <v>17247</v>
      </c>
      <c r="E6269" s="1">
        <v>1</v>
      </c>
      <c r="F6269" s="409">
        <f t="shared" si="859"/>
        <v>520</v>
      </c>
      <c r="G6269" s="168">
        <f>SUM(C6269,C6245,C6221,C6197,C6173,C6149,C6125,C6101,C6077,C6053,C6029,C6005,C5981,C5957)/POBLA!$B$4*100000</f>
        <v>216.59702741542216</v>
      </c>
      <c r="H6269" s="256">
        <f t="shared" si="862"/>
        <v>1.2495210727969348</v>
      </c>
      <c r="I6269" s="297">
        <f t="shared" si="864"/>
        <v>270.64255006074541</v>
      </c>
      <c r="J6269" s="297">
        <f t="shared" si="865"/>
        <v>218.85714285714286</v>
      </c>
      <c r="K6269" s="297">
        <f>J6269/POBLA!$B$4*100000</f>
        <v>18.169339429470885</v>
      </c>
      <c r="L6269" s="549">
        <f t="shared" si="863"/>
        <v>-0.42246982358402962</v>
      </c>
      <c r="M6269" s="401">
        <f>SUM(C6269,C6245,C6221,C6197,C6173,C6149,C6125)/POBLA!$B$4*100000</f>
        <v>127.18537600629617</v>
      </c>
    </row>
    <row r="6270" spans="1:13" s="360" customFormat="1" x14ac:dyDescent="0.25">
      <c r="A6270" s="367" t="s">
        <v>29</v>
      </c>
      <c r="B6270" s="34">
        <v>44154</v>
      </c>
      <c r="C6270" s="1">
        <v>324</v>
      </c>
      <c r="D6270" s="39">
        <f t="shared" si="861"/>
        <v>20437</v>
      </c>
      <c r="E6270" s="1">
        <f>7+5</f>
        <v>12</v>
      </c>
      <c r="F6270" s="409">
        <f t="shared" si="859"/>
        <v>351</v>
      </c>
      <c r="G6270" s="168">
        <f>SUM(C6270,C6246,C6222,C6198,C6174,C6150,C6126,C6102,C6078,C6054,C6030,C6006,C5982,C5958)/POBLA!$B$5*100000</f>
        <v>692.09071493423198</v>
      </c>
      <c r="H6270" s="256">
        <f t="shared" si="862"/>
        <v>0.81990430622009569</v>
      </c>
      <c r="I6270" s="297">
        <f t="shared" si="864"/>
        <v>567.44815746952145</v>
      </c>
      <c r="J6270" s="297">
        <f t="shared" si="865"/>
        <v>292.42857142857144</v>
      </c>
      <c r="K6270" s="297">
        <f>J6270/POBLA!$B$5*100000</f>
        <v>47.242553470400587</v>
      </c>
      <c r="L6270" s="549">
        <f t="shared" si="863"/>
        <v>8.4935181046043806E-2</v>
      </c>
      <c r="M6270" s="401">
        <f>SUM(C6270,C6246,C6222,C6198,C6174,C6150,C6126)/POBLA!$B$5*100000</f>
        <v>330.69787429280416</v>
      </c>
    </row>
    <row r="6271" spans="1:13" s="360" customFormat="1" x14ac:dyDescent="0.25">
      <c r="A6271" s="367" t="s">
        <v>20</v>
      </c>
      <c r="B6271" s="34">
        <v>44154</v>
      </c>
      <c r="C6271" s="1">
        <v>1051</v>
      </c>
      <c r="D6271" s="39">
        <f t="shared" si="861"/>
        <v>106904</v>
      </c>
      <c r="E6271" s="1">
        <f>10+6</f>
        <v>16</v>
      </c>
      <c r="F6271" s="409">
        <f t="shared" si="859"/>
        <v>1746</v>
      </c>
      <c r="G6271" s="168">
        <f>SUM(C6271,C6247,C6223,C6199,C6175,C6151,C6127,C6103,C6079,C6055,C6031,C6007,C5983,C5959)/POBLA!$B$6*100000</f>
        <v>1460.0272483696926</v>
      </c>
      <c r="H6271" s="256">
        <f t="shared" si="862"/>
        <v>0.82165093392247435</v>
      </c>
      <c r="I6271" s="297">
        <f t="shared" si="864"/>
        <v>1199.6327521752185</v>
      </c>
      <c r="J6271" s="297">
        <f t="shared" si="865"/>
        <v>1149.1428571428571</v>
      </c>
      <c r="K6271" s="297">
        <f>J6271/POBLA!$B$6*100000</f>
        <v>102.52871447677663</v>
      </c>
      <c r="L6271" s="549">
        <f t="shared" si="863"/>
        <v>3.3173076923076916E-2</v>
      </c>
      <c r="M6271" s="401">
        <f>SUM(C6271,C6247,C6223,C6199,C6175,C6151,C6127)/POBLA!$B$6*100000</f>
        <v>717.70100133743631</v>
      </c>
    </row>
    <row r="6272" spans="1:13" s="360" customFormat="1" x14ac:dyDescent="0.25">
      <c r="A6272" s="367" t="s">
        <v>30</v>
      </c>
      <c r="B6272" s="34">
        <v>44154</v>
      </c>
      <c r="C6272" s="1">
        <v>261</v>
      </c>
      <c r="D6272" s="39">
        <f t="shared" si="861"/>
        <v>4509</v>
      </c>
      <c r="E6272" s="1"/>
      <c r="F6272" s="409">
        <f t="shared" si="859"/>
        <v>86</v>
      </c>
      <c r="G6272" s="168">
        <f>SUM(C6272,C6248,C6224,C6200,C6176,C6152,C6128,C6104,C6080,C6056,C6032,C6008,C5984,C5960)/POBLA!$B$7*100000</f>
        <v>49.408980308207788</v>
      </c>
      <c r="H6272" s="256">
        <f t="shared" si="862"/>
        <v>4.0129589632829372</v>
      </c>
      <c r="I6272" s="297">
        <f t="shared" si="864"/>
        <v>198.27621039449258</v>
      </c>
      <c r="J6272" s="297">
        <f t="shared" si="865"/>
        <v>156.28571428571428</v>
      </c>
      <c r="K6272" s="297">
        <f>J6272/POBLA!$B$7*100000</f>
        <v>4.1560375562955034</v>
      </c>
      <c r="L6272" s="549">
        <f t="shared" si="863"/>
        <v>-0.43193717277486909</v>
      </c>
      <c r="M6272" s="401">
        <f>SUM(C6272,C6248,C6224,C6200,C6176,C6152,C6128)/POBLA!$B$7*100000</f>
        <v>29.092262894068529</v>
      </c>
    </row>
    <row r="6273" spans="1:13" x14ac:dyDescent="0.25">
      <c r="A6273" s="367" t="s">
        <v>31</v>
      </c>
      <c r="B6273" s="34">
        <v>44154</v>
      </c>
      <c r="C6273" s="1">
        <v>324</v>
      </c>
      <c r="D6273" s="39">
        <f t="shared" si="861"/>
        <v>21249</v>
      </c>
      <c r="E6273" s="1">
        <f>5+1</f>
        <v>6</v>
      </c>
      <c r="F6273" s="409">
        <f t="shared" si="859"/>
        <v>402</v>
      </c>
      <c r="G6273" s="168">
        <f>SUM(C6273,C6249,C6225,C6201,C6177,C6153,C6129,C6105,C6081,C6057,C6033,C6009,C5985,C5961)/POBLA!$B$8*100000</f>
        <v>281.68180778535617</v>
      </c>
      <c r="H6273" s="256">
        <f t="shared" si="862"/>
        <v>0.88909132316101114</v>
      </c>
      <c r="I6273" s="297">
        <f t="shared" si="864"/>
        <v>250.44085119426794</v>
      </c>
      <c r="J6273" s="297">
        <f t="shared" si="865"/>
        <v>283.71428571428572</v>
      </c>
      <c r="K6273" s="297">
        <f>J6273/POBLA!$B$8*100000</f>
        <v>20.470582196345045</v>
      </c>
      <c r="L6273" s="549">
        <f t="shared" si="863"/>
        <v>-3.5453597497393075E-2</v>
      </c>
      <c r="M6273" s="401">
        <f>SUM(C6273,C6249,C6225,C6201,C6177,C6153,C6129)/POBLA!$B$8*100000</f>
        <v>143.29407537441529</v>
      </c>
    </row>
    <row r="6274" spans="1:13" s="360" customFormat="1" x14ac:dyDescent="0.25">
      <c r="A6274" s="367" t="s">
        <v>41</v>
      </c>
      <c r="B6274" s="34">
        <v>44154</v>
      </c>
      <c r="C6274" s="1">
        <v>1</v>
      </c>
      <c r="D6274" s="39">
        <f t="shared" si="861"/>
        <v>174</v>
      </c>
      <c r="E6274" s="1"/>
      <c r="F6274" s="409">
        <f t="shared" si="859"/>
        <v>3</v>
      </c>
      <c r="G6274" s="168">
        <f>SUM(C6274,C6250,C6226,C6202,C6178,C6154,C6130,C6106,C6082,C6058,C6034,C6010,C5986,C5962)/POBLA!$B$9*100000</f>
        <v>2.3133116212514024</v>
      </c>
      <c r="H6274" s="256">
        <f t="shared" si="862"/>
        <v>0.7</v>
      </c>
      <c r="I6274" s="297">
        <f t="shared" si="864"/>
        <v>1.6193181348759815</v>
      </c>
      <c r="J6274" s="297">
        <f t="shared" si="865"/>
        <v>1.1428571428571428</v>
      </c>
      <c r="K6274" s="297">
        <f>J6274/POBLA!$B$9*100000</f>
        <v>0.18884176500011449</v>
      </c>
      <c r="L6274" s="549">
        <f t="shared" si="863"/>
        <v>-0.33333333333333326</v>
      </c>
      <c r="M6274" s="401">
        <f>SUM(C6274,C6250,C6226,C6202,C6178,C6154,C6130)/POBLA!$B$9*100000</f>
        <v>1.3218923550008015</v>
      </c>
    </row>
    <row r="6275" spans="1:13" s="360" customFormat="1" x14ac:dyDescent="0.25">
      <c r="A6275" s="367" t="s">
        <v>32</v>
      </c>
      <c r="B6275" s="34">
        <v>44154</v>
      </c>
      <c r="C6275" s="1">
        <v>12</v>
      </c>
      <c r="D6275" s="39">
        <f t="shared" si="861"/>
        <v>18252</v>
      </c>
      <c r="E6275" s="1"/>
      <c r="F6275" s="409">
        <f t="shared" si="859"/>
        <v>840</v>
      </c>
      <c r="G6275" s="168">
        <f>SUM(C6275,C6251,C6227,C6203,C6179,C6155,C6131,C6107,C6083,C6059,C6035,C6011,C5987,C5963)/POBLA!$B$10*100000</f>
        <v>35.932913121480489</v>
      </c>
      <c r="H6275" s="256">
        <f t="shared" si="862"/>
        <v>0.54960317460317465</v>
      </c>
      <c r="I6275" s="297">
        <f t="shared" si="864"/>
        <v>19.748843124305747</v>
      </c>
      <c r="J6275" s="297">
        <f t="shared" si="865"/>
        <v>22.428571428571427</v>
      </c>
      <c r="K6275" s="297">
        <f>J6275/POBLA!$B$10*100000</f>
        <v>2.9094725941580384</v>
      </c>
      <c r="L6275" s="549">
        <f t="shared" si="863"/>
        <v>-0.30833333333333335</v>
      </c>
      <c r="M6275" s="401">
        <f>SUM(C6275,C6251,C6227,C6203,C6179,C6155,C6131)/POBLA!$B$10*100000</f>
        <v>20.366308159106268</v>
      </c>
    </row>
    <row r="6276" spans="1:13" s="360" customFormat="1" x14ac:dyDescent="0.25">
      <c r="A6276" s="367" t="s">
        <v>33</v>
      </c>
      <c r="B6276" s="34">
        <v>44154</v>
      </c>
      <c r="C6276" s="1">
        <v>63</v>
      </c>
      <c r="D6276" s="39">
        <f t="shared" si="861"/>
        <v>4972</v>
      </c>
      <c r="E6276" s="1"/>
      <c r="F6276" s="409">
        <f t="shared" si="859"/>
        <v>64</v>
      </c>
      <c r="G6276" s="168">
        <f>SUM(C6276,C6252,C6228,C6204,C6180,C6156,C6132,C6108,C6084,C6060,C6036,C6012,C5988,C5964)/POBLA!$B$11*100000</f>
        <v>323.63543026772459</v>
      </c>
      <c r="H6276" s="256">
        <f t="shared" si="862"/>
        <v>0.68965517241379315</v>
      </c>
      <c r="I6276" s="297">
        <f t="shared" si="864"/>
        <v>223.19684846049972</v>
      </c>
      <c r="J6276" s="297">
        <f t="shared" si="865"/>
        <v>72.285714285714292</v>
      </c>
      <c r="K6276" s="297">
        <f>J6276/POBLA!$B$11*100000</f>
        <v>20.167429521609442</v>
      </c>
      <c r="L6276" s="549">
        <f t="shared" si="863"/>
        <v>0.2262996941896025</v>
      </c>
      <c r="M6276" s="401">
        <f>SUM(C6276,C6252,C6228,C6204,C6180,C6156,C6132)/POBLA!$B$11*100000</f>
        <v>141.17200665126609</v>
      </c>
    </row>
    <row r="6277" spans="1:13" s="360" customFormat="1" x14ac:dyDescent="0.25">
      <c r="A6277" s="367" t="s">
        <v>21</v>
      </c>
      <c r="B6277" s="34">
        <v>44154</v>
      </c>
      <c r="C6277" s="1">
        <v>68</v>
      </c>
      <c r="D6277" s="39">
        <f t="shared" si="861"/>
        <v>8362</v>
      </c>
      <c r="E6277" s="1">
        <f>2+1</f>
        <v>3</v>
      </c>
      <c r="F6277" s="409">
        <f t="shared" si="859"/>
        <v>304</v>
      </c>
      <c r="G6277" s="168">
        <f>SUM(C6277,C6253,C6229,C6205,C6181,C6157,C6133,C6109,C6085,C6061,C6037,C6013,C5989,C5965)/POBLA!$B$12*100000</f>
        <v>152.21164279307092</v>
      </c>
      <c r="H6277" s="256">
        <f t="shared" si="862"/>
        <v>0.66407982261640797</v>
      </c>
      <c r="I6277" s="297">
        <f t="shared" si="864"/>
        <v>101.08068074617459</v>
      </c>
      <c r="J6277" s="297">
        <f t="shared" si="865"/>
        <v>50.714285714285715</v>
      </c>
      <c r="K6277" s="297">
        <f>J6277/POBLA!$B$12*100000</f>
        <v>12.886986213102833</v>
      </c>
      <c r="L6277" s="549">
        <f t="shared" si="863"/>
        <v>-0.45491803278688514</v>
      </c>
      <c r="M6277" s="401">
        <f>SUM(C6277,C6253,C6229,C6205,C6181,C6157,C6133)/POBLA!$B$12*100000</f>
        <v>90.208903491719838</v>
      </c>
    </row>
    <row r="6278" spans="1:13" s="360" customFormat="1" x14ac:dyDescent="0.25">
      <c r="A6278" s="367" t="s">
        <v>17</v>
      </c>
      <c r="B6278" s="34">
        <v>44154</v>
      </c>
      <c r="C6278" s="1">
        <v>243</v>
      </c>
      <c r="D6278" s="39">
        <f t="shared" si="861"/>
        <v>54494</v>
      </c>
      <c r="E6278" s="1">
        <f>3+2</f>
        <v>5</v>
      </c>
      <c r="F6278" s="409">
        <f t="shared" si="859"/>
        <v>1058</v>
      </c>
      <c r="G6278" s="168">
        <f>SUM(C6278,C6254,C6230,C6206,C6182,C6158,C6134,C6110,C6086,C6062,C6038,C6014,C5990,C5966)/POBLA!$B$13*100000</f>
        <v>253.22332186794404</v>
      </c>
      <c r="H6278" s="256">
        <f t="shared" si="862"/>
        <v>0.58954263656568018</v>
      </c>
      <c r="I6278" s="297">
        <f t="shared" si="864"/>
        <v>149.28594481394759</v>
      </c>
      <c r="J6278" s="297">
        <f t="shared" si="865"/>
        <v>317.14285714285717</v>
      </c>
      <c r="K6278" s="297">
        <f>J6278/POBLA!$B$13*100000</f>
        <v>15.934120593731175</v>
      </c>
      <c r="L6278" s="549">
        <f t="shared" si="863"/>
        <v>0.21276595744680848</v>
      </c>
      <c r="M6278" s="401">
        <f>SUM(C6278,C6254,C6230,C6206,C6182,C6158,C6134)/POBLA!$B$13*100000</f>
        <v>111.5388441561182</v>
      </c>
    </row>
    <row r="6279" spans="1:13" s="360" customFormat="1" x14ac:dyDescent="0.25">
      <c r="A6279" s="367" t="s">
        <v>23</v>
      </c>
      <c r="B6279" s="34">
        <v>44154</v>
      </c>
      <c r="C6279" s="1">
        <v>24</v>
      </c>
      <c r="D6279" s="39">
        <f t="shared" si="861"/>
        <v>431</v>
      </c>
      <c r="E6279" s="1"/>
      <c r="F6279" s="409">
        <f t="shared" si="859"/>
        <v>7</v>
      </c>
      <c r="G6279" s="168">
        <f>SUM(C6279,C6255,C6231,C6207,C6183,C6159,C6135,C6111,C6087,C6063,C6039,C6015,C5991,C5967)/POBLA!$B$14*100000</f>
        <v>9.989740694873678</v>
      </c>
      <c r="H6279" s="256">
        <f t="shared" si="862"/>
        <v>1.2857142857142858</v>
      </c>
      <c r="I6279" s="297">
        <f t="shared" si="864"/>
        <v>12.843952321980444</v>
      </c>
      <c r="J6279" s="297">
        <f t="shared" si="865"/>
        <v>10.285714285714286</v>
      </c>
      <c r="K6279" s="297">
        <f>J6279/POBLA!$B$14*100000</f>
        <v>0.81548903631621861</v>
      </c>
      <c r="L6279" s="549">
        <f t="shared" si="863"/>
        <v>-0.33333333333333326</v>
      </c>
      <c r="M6279" s="401">
        <f>SUM(C6279,C6255,C6231,C6207,C6183,C6159,C6135)/POBLA!$B$14*100000</f>
        <v>5.70842325421353</v>
      </c>
    </row>
    <row r="6280" spans="1:13" s="360" customFormat="1" x14ac:dyDescent="0.25">
      <c r="A6280" s="367" t="s">
        <v>19</v>
      </c>
      <c r="B6280" s="34">
        <v>44154</v>
      </c>
      <c r="C6280" s="1">
        <v>280</v>
      </c>
      <c r="D6280" s="39">
        <f t="shared" si="861"/>
        <v>28938</v>
      </c>
      <c r="E6280" s="1">
        <f>6+1</f>
        <v>7</v>
      </c>
      <c r="F6280" s="409">
        <f t="shared" si="859"/>
        <v>571</v>
      </c>
      <c r="G6280" s="168">
        <f>SUM(C6280,C6256,C6232,C6208,C6184,C6160,C6136,C6112,C6088,C6064,C6040,C6016,C5992,C5968)/POBLA!$B$15*100000</f>
        <v>677.65267138212539</v>
      </c>
      <c r="H6280" s="256">
        <f t="shared" si="862"/>
        <v>0.72161642078255295</v>
      </c>
      <c r="I6280" s="297">
        <f t="shared" si="864"/>
        <v>489.00529525650489</v>
      </c>
      <c r="J6280" s="297">
        <f t="shared" si="865"/>
        <v>385.71428571428572</v>
      </c>
      <c r="K6280" s="297">
        <f>J6280/POBLA!$B$15*100000</f>
        <v>58.084514689896452</v>
      </c>
      <c r="L6280" s="549">
        <f t="shared" si="863"/>
        <v>-0.5</v>
      </c>
      <c r="M6280" s="401">
        <f>SUM(C6280,C6256,C6232,C6208,C6184,C6160,C6136)/POBLA!$B$15*100000</f>
        <v>406.59160282927519</v>
      </c>
    </row>
    <row r="6281" spans="1:13" s="360" customFormat="1" x14ac:dyDescent="0.25">
      <c r="A6281" s="367" t="s">
        <v>18</v>
      </c>
      <c r="B6281" s="34">
        <v>44154</v>
      </c>
      <c r="C6281" s="1">
        <v>309</v>
      </c>
      <c r="D6281" s="39">
        <f t="shared" si="861"/>
        <v>29545</v>
      </c>
      <c r="E6281" s="1">
        <f>7+3</f>
        <v>10</v>
      </c>
      <c r="F6281" s="409">
        <f t="shared" si="859"/>
        <v>749</v>
      </c>
      <c r="G6281" s="168">
        <f>SUM(C6281,C6257,C6233,C6209,C6185,C6161,C6137,C6113,C6089,C6065,C6041,C6017,C5993,C5969)/POBLA!$B$16*100000</f>
        <v>536.64343708618128</v>
      </c>
      <c r="H6281" s="256">
        <f t="shared" si="862"/>
        <v>0.85818181818181816</v>
      </c>
      <c r="I6281" s="297">
        <f t="shared" si="864"/>
        <v>460.53764055395919</v>
      </c>
      <c r="J6281" s="297">
        <f t="shared" si="865"/>
        <v>255</v>
      </c>
      <c r="K6281" s="297">
        <f>J6281/POBLA!$B$16*100000</f>
        <v>34.108693035138643</v>
      </c>
      <c r="L6281" s="549">
        <f t="shared" si="863"/>
        <v>0.19847328244274809</v>
      </c>
      <c r="M6281" s="401">
        <f>SUM(C6281,C6257,C6233,C6209,C6185,C6161,C6137)/POBLA!$B$16*100000</f>
        <v>238.76085124597046</v>
      </c>
    </row>
    <row r="6282" spans="1:13" s="360" customFormat="1" x14ac:dyDescent="0.25">
      <c r="A6282" s="367" t="s">
        <v>34</v>
      </c>
      <c r="B6282" s="34">
        <v>44154</v>
      </c>
      <c r="C6282" s="1">
        <v>73</v>
      </c>
      <c r="D6282" s="39">
        <f t="shared" si="861"/>
        <v>20512</v>
      </c>
      <c r="E6282" s="1">
        <f>5+1</f>
        <v>6</v>
      </c>
      <c r="F6282" s="409">
        <f t="shared" si="859"/>
        <v>943</v>
      </c>
      <c r="G6282" s="168">
        <f>SUM(C6282,C6258,C6234,C6210,C6186,C6162,C6138,C6114,C6090,C6066,C6042,C6018,C5994,C5970)/POBLA!$B$17*100000</f>
        <v>84.737611775368805</v>
      </c>
      <c r="H6282" s="256">
        <f t="shared" si="862"/>
        <v>0.57503573130061936</v>
      </c>
      <c r="I6282" s="297">
        <f t="shared" si="864"/>
        <v>48.727154555917174</v>
      </c>
      <c r="J6282" s="297">
        <f t="shared" si="865"/>
        <v>86.142857142857139</v>
      </c>
      <c r="K6282" s="297">
        <f>J6282/POBLA!$B$17*100000</f>
        <v>6.0476719020650238</v>
      </c>
      <c r="L6282" s="549">
        <f t="shared" si="863"/>
        <v>1.6556291390728006E-3</v>
      </c>
      <c r="M6282" s="401">
        <f>SUM(C6282,C6258,C6234,C6210,C6186,C6162,C6138)/POBLA!$B$17*100000</f>
        <v>42.333703314455171</v>
      </c>
    </row>
    <row r="6283" spans="1:13" s="360" customFormat="1" x14ac:dyDescent="0.25">
      <c r="A6283" s="367" t="s">
        <v>35</v>
      </c>
      <c r="B6283" s="34">
        <v>44154</v>
      </c>
      <c r="C6283" s="1">
        <v>220</v>
      </c>
      <c r="D6283" s="39">
        <f t="shared" si="861"/>
        <v>5082</v>
      </c>
      <c r="E6283" s="1"/>
      <c r="F6283" s="409">
        <f t="shared" si="859"/>
        <v>143</v>
      </c>
      <c r="G6283" s="168">
        <f>SUM(C6283,C6259,C6235,C6211,C6187,C6163,C6139,C6115,C6091,C6067,C6043,C6019,C5995,C5971)/POBLA!$B$18*100000</f>
        <v>240.0101380282303</v>
      </c>
      <c r="H6283" s="256">
        <f t="shared" si="862"/>
        <v>0.99469496021220161</v>
      </c>
      <c r="I6283" s="297">
        <f t="shared" si="864"/>
        <v>238.73687469651554</v>
      </c>
      <c r="J6283" s="297">
        <f t="shared" si="865"/>
        <v>121.14285714285714</v>
      </c>
      <c r="K6283" s="297">
        <f>J6283/POBLA!$B$18*100000</f>
        <v>15.506940727462041</v>
      </c>
      <c r="L6283" s="549">
        <f t="shared" si="863"/>
        <v>0.17429406037000972</v>
      </c>
      <c r="M6283" s="401">
        <f>SUM(C6283,C6259,C6235,C6211,C6187,C6163,C6139)/POBLA!$B$18*100000</f>
        <v>108.54858509223429</v>
      </c>
    </row>
    <row r="6284" spans="1:13" s="360" customFormat="1" x14ac:dyDescent="0.25">
      <c r="A6284" s="367" t="s">
        <v>36</v>
      </c>
      <c r="B6284" s="34">
        <v>44154</v>
      </c>
      <c r="C6284" s="1">
        <v>349</v>
      </c>
      <c r="D6284" s="39">
        <f t="shared" si="861"/>
        <v>12409</v>
      </c>
      <c r="E6284" s="1">
        <f>3+3</f>
        <v>6</v>
      </c>
      <c r="F6284" s="409">
        <f t="shared" si="859"/>
        <v>169</v>
      </c>
      <c r="G6284" s="168">
        <f>SUM(C6284,C6260,C6236,C6212,C6188,C6164,C6140,C6116,C6092,C6068,C6044,C6020,C5996,C5972)/POBLA!$B$19*100000</f>
        <v>789.45090571442051</v>
      </c>
      <c r="H6284" s="256">
        <f t="shared" si="862"/>
        <v>1.1024725274725276</v>
      </c>
      <c r="I6284" s="297">
        <f t="shared" si="864"/>
        <v>870.34793533845323</v>
      </c>
      <c r="J6284" s="297">
        <f t="shared" si="865"/>
        <v>268.42857142857144</v>
      </c>
      <c r="K6284" s="297">
        <f>J6284/POBLA!$B$19*100000</f>
        <v>52.806174640895527</v>
      </c>
      <c r="L6284" s="549">
        <f t="shared" si="863"/>
        <v>0.11949390815370198</v>
      </c>
      <c r="M6284" s="401">
        <f>SUM(C6284,C6260,C6236,C6212,C6188,C6164,C6140)/POBLA!$B$19*100000</f>
        <v>369.64322248626871</v>
      </c>
    </row>
    <row r="6285" spans="1:13" s="360" customFormat="1" x14ac:dyDescent="0.25">
      <c r="A6285" s="367" t="s">
        <v>37</v>
      </c>
      <c r="B6285" s="34">
        <v>44154</v>
      </c>
      <c r="C6285" s="1">
        <v>286</v>
      </c>
      <c r="D6285" s="39">
        <f t="shared" si="861"/>
        <v>13599</v>
      </c>
      <c r="E6285" s="1">
        <f>4+1</f>
        <v>5</v>
      </c>
      <c r="F6285" s="409">
        <f t="shared" si="859"/>
        <v>221</v>
      </c>
      <c r="G6285" s="168">
        <f>SUM(C6285,C6261,C6237,C6213,C6189,C6165,C6141,C6117,C6093,C6069,C6045,C6021,C5997,C5973)/POBLA!$B$20*100000</f>
        <v>842.22500533226878</v>
      </c>
      <c r="H6285" s="256">
        <f t="shared" si="862"/>
        <v>1.2012480499219969</v>
      </c>
      <c r="I6285" s="297">
        <f t="shared" si="864"/>
        <v>1011.7211452509313</v>
      </c>
      <c r="J6285" s="297">
        <f t="shared" si="865"/>
        <v>222.14285714285714</v>
      </c>
      <c r="K6285" s="297">
        <f>J6285/POBLA!$B$20*100000</f>
        <v>60.74489254599618</v>
      </c>
      <c r="L6285" s="549">
        <f t="shared" si="863"/>
        <v>-1.9672131147540961E-2</v>
      </c>
      <c r="M6285" s="401">
        <f>SUM(C6285,C6261,C6237,C6213,C6189,C6165,C6141)/POBLA!$B$20*100000</f>
        <v>425.21424782197334</v>
      </c>
    </row>
    <row r="6286" spans="1:13" s="360" customFormat="1" x14ac:dyDescent="0.25">
      <c r="A6286" s="367" t="s">
        <v>22</v>
      </c>
      <c r="B6286" s="34">
        <v>44154</v>
      </c>
      <c r="C6286" s="1">
        <v>1666</v>
      </c>
      <c r="D6286" s="39">
        <f t="shared" si="861"/>
        <v>134252</v>
      </c>
      <c r="E6286" s="1">
        <f>21+13</f>
        <v>34</v>
      </c>
      <c r="F6286" s="409">
        <f t="shared" si="859"/>
        <v>2004</v>
      </c>
      <c r="G6286" s="168">
        <f>SUM(C6286,C6262,C6238,C6214,C6190,C6166,C6142,C6118,C6094,C6070,C6046,C6022,C5998,C5974)/POBLA!$B$21*100000</f>
        <v>562.51834483367065</v>
      </c>
      <c r="H6286" s="256">
        <f t="shared" si="862"/>
        <v>0.77398646019764994</v>
      </c>
      <c r="I6286" s="297">
        <f t="shared" si="864"/>
        <v>435.38158251405378</v>
      </c>
      <c r="J6286" s="297">
        <f t="shared" si="865"/>
        <v>1403.7142857142858</v>
      </c>
      <c r="K6286" s="297">
        <f>J6286/POBLA!$B$21*100000</f>
        <v>39.693109969304693</v>
      </c>
      <c r="L6286" s="549">
        <f t="shared" si="863"/>
        <v>2.3939604648852697E-2</v>
      </c>
      <c r="M6286" s="401">
        <f>SUM(C6286,C6262,C6238,C6214,C6190,C6166,C6142)/POBLA!$B$21*100000</f>
        <v>277.85176978513289</v>
      </c>
    </row>
    <row r="6287" spans="1:13" s="360" customFormat="1" x14ac:dyDescent="0.25">
      <c r="A6287" s="367" t="s">
        <v>38</v>
      </c>
      <c r="B6287" s="34">
        <v>44154</v>
      </c>
      <c r="C6287" s="1">
        <v>258</v>
      </c>
      <c r="D6287" s="39">
        <f t="shared" si="861"/>
        <v>13911</v>
      </c>
      <c r="E6287" s="1">
        <f>5+5</f>
        <v>10</v>
      </c>
      <c r="F6287" s="409">
        <f t="shared" si="859"/>
        <v>173</v>
      </c>
      <c r="G6287" s="168">
        <f>SUM(C6287,C6263,C6239,C6215,C6191,C6167,C6143,C6119,C6095,C6071,C6047,C6023,C5999,C5975)/POBLA!$B$22*100000</f>
        <v>327.50254775312192</v>
      </c>
      <c r="H6287" s="256">
        <f t="shared" si="862"/>
        <v>0.99781999377141073</v>
      </c>
      <c r="I6287" s="297">
        <f t="shared" si="864"/>
        <v>326.78859015914128</v>
      </c>
      <c r="J6287" s="297">
        <f t="shared" si="865"/>
        <v>258.71428571428572</v>
      </c>
      <c r="K6287" s="297">
        <f>J6287/POBLA!$B$22*100000</f>
        <v>26.444939984880676</v>
      </c>
      <c r="L6287" s="549">
        <f t="shared" si="863"/>
        <v>-0.30007178750897334</v>
      </c>
      <c r="M6287" s="401">
        <f>SUM(C6287,C6263,C6239,C6215,C6191,C6167,C6143)/POBLA!$B$22*100000</f>
        <v>185.11457989416473</v>
      </c>
    </row>
    <row r="6288" spans="1:13" s="360" customFormat="1" x14ac:dyDescent="0.25">
      <c r="A6288" s="367" t="s">
        <v>39</v>
      </c>
      <c r="B6288" s="34">
        <v>44154</v>
      </c>
      <c r="C6288" s="1">
        <v>169</v>
      </c>
      <c r="D6288" s="39">
        <f t="shared" si="861"/>
        <v>14838</v>
      </c>
      <c r="E6288" s="1">
        <f>2+2</f>
        <v>4</v>
      </c>
      <c r="F6288" s="409">
        <f t="shared" si="859"/>
        <v>215</v>
      </c>
      <c r="G6288" s="168">
        <f>SUM(C6288,C6264,C6240,C6216,C6192,C6168,C6144,C6120,C6096,C6072,C6048,C6024,C6000,C5976)/POBLA!$B$23*100000</f>
        <v>1352.7116439518181</v>
      </c>
      <c r="H6288" s="256">
        <f t="shared" si="862"/>
        <v>0.72353297035692676</v>
      </c>
      <c r="I6288" s="297">
        <f t="shared" si="864"/>
        <v>978.73147378486055</v>
      </c>
      <c r="J6288" s="297">
        <f t="shared" si="865"/>
        <v>136.71428571428572</v>
      </c>
      <c r="K6288" s="297">
        <f>J6288/POBLA!$B$23*100000</f>
        <v>77.313965794427261</v>
      </c>
      <c r="L6288" s="549">
        <f t="shared" si="863"/>
        <v>0.33310104529616724</v>
      </c>
      <c r="M6288" s="401">
        <f>SUM(C6288,C6264,C6240,C6216,C6192,C6168,C6144)/POBLA!$B$23*100000</f>
        <v>541.19776056099079</v>
      </c>
    </row>
    <row r="6289" spans="1:13" s="360" customFormat="1" ht="15.75" thickBot="1" x14ac:dyDescent="0.3">
      <c r="A6289" s="369" t="s">
        <v>40</v>
      </c>
      <c r="B6289" s="266">
        <v>44154</v>
      </c>
      <c r="C6289" s="44">
        <v>574</v>
      </c>
      <c r="D6289" s="176">
        <f>C6289+D6265</f>
        <v>62407</v>
      </c>
      <c r="E6289" s="44">
        <f>7+4</f>
        <v>11</v>
      </c>
      <c r="F6289" s="476">
        <f t="shared" si="859"/>
        <v>1032</v>
      </c>
      <c r="G6289" s="177">
        <f>SUM(C6289,C6265,C6241,C6217,C6193,C6169,C6145,C6121,C6097,C6073,C6049,C6025,C6001,C5977)/POBLA!$B$24*100000</f>
        <v>556.98619660863324</v>
      </c>
      <c r="H6289" s="402">
        <f t="shared" si="862"/>
        <v>0.76200855735852102</v>
      </c>
      <c r="I6289" s="403">
        <f t="shared" si="864"/>
        <v>424.42824814635418</v>
      </c>
      <c r="J6289" s="403">
        <f t="shared" si="865"/>
        <v>668.57142857142856</v>
      </c>
      <c r="K6289" s="403">
        <f>J6289/POBLA!$B$24*100000</f>
        <v>39.451748825214587</v>
      </c>
      <c r="L6289" s="550">
        <f t="shared" si="863"/>
        <v>1.6600126076906863E-2</v>
      </c>
      <c r="M6289" s="405">
        <f>SUM(C6289,C6265,C6241,C6217,C6193,C6169,C6145)/POBLA!$B$24*100000</f>
        <v>276.16224177650213</v>
      </c>
    </row>
    <row r="6290" spans="1:13" s="360" customFormat="1" x14ac:dyDescent="0.25">
      <c r="A6290" s="363" t="s">
        <v>16</v>
      </c>
      <c r="B6290" s="267">
        <v>44155</v>
      </c>
      <c r="C6290" s="225">
        <v>2305</v>
      </c>
      <c r="D6290" s="174">
        <f t="shared" si="861"/>
        <v>602122</v>
      </c>
      <c r="E6290" s="225">
        <v>132</v>
      </c>
      <c r="F6290" s="475">
        <f t="shared" si="859"/>
        <v>19895</v>
      </c>
      <c r="G6290" s="175">
        <f>SUM(C6290,C6266,C6242,C6218,C6194,C6170,C6146,C6122,C6098,C6074,C6050,C6026,C6002,C5978)/POBLA!$B$1*100000</f>
        <v>200.07250383541185</v>
      </c>
      <c r="H6290" s="300">
        <f t="shared" si="862"/>
        <v>0.7815039971496649</v>
      </c>
      <c r="I6290" s="301">
        <f>G6290*H6290</f>
        <v>156.35746146711602</v>
      </c>
      <c r="J6290" s="301">
        <f>AVERAGE(C6290,C6266,C6242,C6218,C6194,C6170,C6146)</f>
        <v>2373.4285714285716</v>
      </c>
      <c r="K6290" s="301">
        <f>J6290/POBLA!$B$1*100000</f>
        <v>13.530639605648068</v>
      </c>
      <c r="L6290" s="548">
        <f t="shared" si="863"/>
        <v>0.10102267193333692</v>
      </c>
      <c r="M6290" s="400">
        <f>SUM(C6290,C6266,C6242,C6218,C6194,C6170,C6146)/POBLA!$B$1*100000</f>
        <v>94.714477239536464</v>
      </c>
    </row>
    <row r="6291" spans="1:13" s="360" customFormat="1" x14ac:dyDescent="0.25">
      <c r="A6291" s="367" t="s">
        <v>43</v>
      </c>
      <c r="B6291" s="267">
        <v>44155</v>
      </c>
      <c r="C6291" s="1">
        <v>410</v>
      </c>
      <c r="D6291" s="39">
        <f t="shared" si="861"/>
        <v>155869</v>
      </c>
      <c r="E6291" s="1">
        <v>23</v>
      </c>
      <c r="F6291" s="409">
        <f t="shared" si="859"/>
        <v>5154</v>
      </c>
      <c r="G6291" s="168">
        <f>SUM(C6291,C6267,C6243,C6219,C6195,C6171,C6147,C6123,C6099,C6075,C6051,C6027,C6003,C5979)/POBLA!$B$2*100000</f>
        <v>192.87005071454908</v>
      </c>
      <c r="H6291" s="256">
        <f t="shared" si="862"/>
        <v>0.86522753792298712</v>
      </c>
      <c r="I6291" s="297">
        <f t="shared" ref="I6291:I6313" si="866">G6291*H6291</f>
        <v>166.87647911883096</v>
      </c>
      <c r="J6291" s="297">
        <f t="shared" ref="J6291:J6313" si="867">AVERAGE(C6291,C6267,C6243,C6219,C6195,C6171,C6147)</f>
        <v>412.42857142857144</v>
      </c>
      <c r="K6291" s="297">
        <f>J6291/POBLA!$B$2*100000</f>
        <v>13.409494181988808</v>
      </c>
      <c r="L6291" s="549">
        <f t="shared" si="863"/>
        <v>5.1888341543513961E-2</v>
      </c>
      <c r="M6291" s="401">
        <f>SUM(C6291,C6267,C6243,C6219,C6195,C6171,C6147)/POBLA!$B$2*100000</f>
        <v>93.866459273921635</v>
      </c>
    </row>
    <row r="6292" spans="1:13" s="360" customFormat="1" x14ac:dyDescent="0.25">
      <c r="A6292" s="367" t="s">
        <v>28</v>
      </c>
      <c r="B6292" s="267">
        <v>44155</v>
      </c>
      <c r="C6292" s="1">
        <v>12</v>
      </c>
      <c r="D6292" s="39">
        <f t="shared" si="861"/>
        <v>1646</v>
      </c>
      <c r="E6292" s="1"/>
      <c r="F6292" s="409">
        <f t="shared" si="859"/>
        <v>8</v>
      </c>
      <c r="G6292" s="168">
        <f>SUM(C6292,C6268,C6244,C6220,C6196,C6172,C6148,C6124,C6100,C6076,C6052,C6028,C6004,C5980)/POBLA!$B$3*100000</f>
        <v>125.89122805328353</v>
      </c>
      <c r="H6292" s="256">
        <f t="shared" si="862"/>
        <v>0.93392857142857144</v>
      </c>
      <c r="I6292" s="297">
        <f t="shared" si="866"/>
        <v>117.57341477119158</v>
      </c>
      <c r="J6292" s="297">
        <f t="shared" si="867"/>
        <v>37</v>
      </c>
      <c r="K6292" s="297">
        <f>J6292/POBLA!$B$3*100000</f>
        <v>8.9062627877083944</v>
      </c>
      <c r="L6292" s="549">
        <f t="shared" si="863"/>
        <v>1.8939393939393923E-2</v>
      </c>
      <c r="M6292" s="401">
        <f>SUM(C6292,C6268,C6244,C6220,C6196,C6172,C6148)/POBLA!$B$3*100000</f>
        <v>62.343839513958763</v>
      </c>
    </row>
    <row r="6293" spans="1:13" s="360" customFormat="1" x14ac:dyDescent="0.25">
      <c r="A6293" s="367" t="s">
        <v>15</v>
      </c>
      <c r="B6293" s="267">
        <v>44155</v>
      </c>
      <c r="C6293" s="1">
        <v>256</v>
      </c>
      <c r="D6293" s="39">
        <f t="shared" si="861"/>
        <v>17503</v>
      </c>
      <c r="E6293" s="1">
        <v>5</v>
      </c>
      <c r="F6293" s="409">
        <f t="shared" si="859"/>
        <v>525</v>
      </c>
      <c r="G6293" s="168">
        <f>SUM(C6293,C6269,C6245,C6221,C6197,C6173,C6149,C6125,C6101,C6077,C6053,C6029,C6005,C5981)/POBLA!$B$4*100000</f>
        <v>227.80461603216494</v>
      </c>
      <c r="H6293" s="256">
        <f t="shared" si="862"/>
        <v>1.3872598584428717</v>
      </c>
      <c r="I6293" s="297">
        <f t="shared" si="866"/>
        <v>316.02419938941387</v>
      </c>
      <c r="J6293" s="297">
        <f t="shared" si="867"/>
        <v>218.57142857142858</v>
      </c>
      <c r="K6293" s="297">
        <f>J6293/POBLA!$B$4*100000</f>
        <v>18.145619665202645</v>
      </c>
      <c r="L6293" s="549">
        <f t="shared" si="863"/>
        <v>-0.26029654036243821</v>
      </c>
      <c r="M6293" s="401">
        <f>SUM(C6293,C6269,C6245,C6221,C6197,C6173,C6149)/POBLA!$B$4*100000</f>
        <v>127.0193376564185</v>
      </c>
    </row>
    <row r="6294" spans="1:13" s="360" customFormat="1" x14ac:dyDescent="0.25">
      <c r="A6294" s="367" t="s">
        <v>29</v>
      </c>
      <c r="B6294" s="267">
        <v>44155</v>
      </c>
      <c r="C6294" s="1">
        <v>343</v>
      </c>
      <c r="D6294" s="39">
        <f t="shared" si="861"/>
        <v>20780</v>
      </c>
      <c r="E6294" s="1">
        <v>5</v>
      </c>
      <c r="F6294" s="409">
        <f t="shared" si="859"/>
        <v>356</v>
      </c>
      <c r="G6294" s="168">
        <f>SUM(C6294,C6270,C6246,C6222,C6198,C6174,C6150,C6126,C6102,C6078,C6054,C6030,C6006,C5982)/POBLA!$B$5*100000</f>
        <v>684.17464466537649</v>
      </c>
      <c r="H6294" s="256">
        <f t="shared" si="862"/>
        <v>0.85659385113268605</v>
      </c>
      <c r="I6294" s="297">
        <f t="shared" si="866"/>
        <v>586.05979372125194</v>
      </c>
      <c r="J6294" s="297">
        <f t="shared" si="867"/>
        <v>289</v>
      </c>
      <c r="K6294" s="297">
        <f>J6294/POBLA!$B$5*100000</f>
        <v>46.688659340801365</v>
      </c>
      <c r="L6294" s="549">
        <f t="shared" si="863"/>
        <v>8.5443037974683556E-2</v>
      </c>
      <c r="M6294" s="401">
        <f>SUM(C6294,C6270,C6246,C6222,C6198,C6174,C6150)/POBLA!$B$5*100000</f>
        <v>326.82061538560953</v>
      </c>
    </row>
    <row r="6295" spans="1:13" s="360" customFormat="1" x14ac:dyDescent="0.25">
      <c r="A6295" s="367" t="s">
        <v>20</v>
      </c>
      <c r="B6295" s="267">
        <v>44155</v>
      </c>
      <c r="C6295" s="1">
        <v>982</v>
      </c>
      <c r="D6295" s="39">
        <f t="shared" si="861"/>
        <v>107886</v>
      </c>
      <c r="E6295" s="1">
        <v>15</v>
      </c>
      <c r="F6295" s="409">
        <f t="shared" si="859"/>
        <v>1761</v>
      </c>
      <c r="G6295" s="168">
        <f>SUM(C6295,C6271,C6247,C6223,C6199,C6175,C6151,C6127,C6103,C6079,C6055,C6031,C6007,C5983)/POBLA!$B$6*100000</f>
        <v>1435.4020026748726</v>
      </c>
      <c r="H6295" s="256">
        <f t="shared" si="862"/>
        <v>0.84495798319327731</v>
      </c>
      <c r="I6295" s="297">
        <f t="shared" si="866"/>
        <v>1212.8543812517516</v>
      </c>
      <c r="J6295" s="297">
        <f t="shared" si="867"/>
        <v>1056.4285714285713</v>
      </c>
      <c r="K6295" s="297">
        <f>J6295/POBLA!$B$6*100000</f>
        <v>94.25656931324751</v>
      </c>
      <c r="L6295" s="549">
        <f t="shared" si="863"/>
        <v>0.14931554124007818</v>
      </c>
      <c r="M6295" s="401">
        <f>SUM(C6295,C6271,C6247,C6223,C6199,C6175,C6151)/POBLA!$B$6*100000</f>
        <v>659.7959851927327</v>
      </c>
    </row>
    <row r="6296" spans="1:13" s="360" customFormat="1" x14ac:dyDescent="0.25">
      <c r="A6296" s="367" t="s">
        <v>30</v>
      </c>
      <c r="B6296" s="267">
        <v>44155</v>
      </c>
      <c r="C6296" s="1">
        <v>164</v>
      </c>
      <c r="D6296" s="39">
        <f t="shared" si="861"/>
        <v>4673</v>
      </c>
      <c r="E6296" s="1"/>
      <c r="F6296" s="409">
        <f t="shared" si="859"/>
        <v>86</v>
      </c>
      <c r="G6296" s="168">
        <f>SUM(C6296,C6272,C6248,C6224,C6200,C6176,C6152,C6128,C6104,C6080,C6056,C6032,C6008,C5984)/POBLA!$B$7*100000</f>
        <v>50.951348907710518</v>
      </c>
      <c r="H6296" s="256">
        <f t="shared" si="862"/>
        <v>3.4398563734290843</v>
      </c>
      <c r="I6296" s="297">
        <f t="shared" si="866"/>
        <v>175.26532227499703</v>
      </c>
      <c r="J6296" s="297">
        <f t="shared" si="867"/>
        <v>170.57142857142858</v>
      </c>
      <c r="K6296" s="297">
        <f>J6296/POBLA!$B$7*100000</f>
        <v>4.5359313000153865</v>
      </c>
      <c r="L6296" s="549">
        <f t="shared" si="863"/>
        <v>-0.65373961218836563</v>
      </c>
      <c r="M6296" s="401">
        <f>SUM(C6296,C6272,C6248,C6224,C6200,C6176,C6152)/POBLA!$B$7*100000</f>
        <v>31.751519100107696</v>
      </c>
    </row>
    <row r="6297" spans="1:13" x14ac:dyDescent="0.25">
      <c r="A6297" s="367" t="s">
        <v>31</v>
      </c>
      <c r="B6297" s="267">
        <v>44155</v>
      </c>
      <c r="C6297" s="1">
        <v>253</v>
      </c>
      <c r="D6297" s="39">
        <f t="shared" si="861"/>
        <v>21502</v>
      </c>
      <c r="E6297" s="1">
        <v>9</v>
      </c>
      <c r="F6297" s="409">
        <f t="shared" si="859"/>
        <v>411</v>
      </c>
      <c r="G6297" s="168">
        <f>SUM(C6297,C6273,C6249,C6225,C6201,C6177,C6153,C6129,C6105,C6081,C6057,C6033,C6009,C5985)/POBLA!$B$8*100000</f>
        <v>275.54887908101307</v>
      </c>
      <c r="H6297" s="256">
        <f t="shared" si="862"/>
        <v>0.89774330042313122</v>
      </c>
      <c r="I6297" s="297">
        <f t="shared" si="866"/>
        <v>247.37216013408297</v>
      </c>
      <c r="J6297" s="297">
        <f t="shared" si="867"/>
        <v>277.42857142857144</v>
      </c>
      <c r="K6297" s="297">
        <f>J6297/POBLA!$B$8*100000</f>
        <v>20.017054695519676</v>
      </c>
      <c r="L6297" s="549">
        <f t="shared" si="863"/>
        <v>-3.4629728289824246E-2</v>
      </c>
      <c r="M6297" s="401">
        <f>SUM(C6297,C6273,C6249,C6225,C6201,C6177,C6153)/POBLA!$B$8*100000</f>
        <v>140.1193828686377</v>
      </c>
    </row>
    <row r="6298" spans="1:13" s="360" customFormat="1" x14ac:dyDescent="0.25">
      <c r="A6298" s="367" t="s">
        <v>41</v>
      </c>
      <c r="B6298" s="267">
        <v>44155</v>
      </c>
      <c r="C6298" s="1">
        <v>3</v>
      </c>
      <c r="D6298" s="39">
        <f t="shared" si="861"/>
        <v>177</v>
      </c>
      <c r="E6298" s="1"/>
      <c r="F6298" s="409">
        <f t="shared" si="859"/>
        <v>3</v>
      </c>
      <c r="G6298" s="168">
        <f>SUM(C6298,C6274,C6250,C6226,C6202,C6178,C6154,C6130,C6106,C6082,C6058,C6034,C6010,C5986)/POBLA!$B$9*100000</f>
        <v>2.4785481656265027</v>
      </c>
      <c r="H6298" s="256">
        <f t="shared" si="862"/>
        <v>0.75</v>
      </c>
      <c r="I6298" s="297">
        <f t="shared" si="866"/>
        <v>1.858911124219877</v>
      </c>
      <c r="J6298" s="297">
        <f t="shared" si="867"/>
        <v>1.4285714285714286</v>
      </c>
      <c r="K6298" s="297">
        <f>J6298/POBLA!$B$9*100000</f>
        <v>0.23605220625014312</v>
      </c>
      <c r="L6298" s="549">
        <f t="shared" si="863"/>
        <v>-1</v>
      </c>
      <c r="M6298" s="401">
        <f>SUM(C6298,C6274,C6250,C6226,C6202,C6178,C6154)/POBLA!$B$9*100000</f>
        <v>1.6523654437510016</v>
      </c>
    </row>
    <row r="6299" spans="1:13" s="360" customFormat="1" x14ac:dyDescent="0.25">
      <c r="A6299" s="367" t="s">
        <v>32</v>
      </c>
      <c r="B6299" s="267">
        <v>44155</v>
      </c>
      <c r="C6299" s="1">
        <v>21</v>
      </c>
      <c r="D6299" s="39">
        <f t="shared" si="861"/>
        <v>18273</v>
      </c>
      <c r="E6299" s="1">
        <v>1</v>
      </c>
      <c r="F6299" s="409">
        <f t="shared" si="859"/>
        <v>841</v>
      </c>
      <c r="G6299" s="168">
        <f>SUM(C6299,C6275,C6251,C6227,C6203,C6179,C6155,C6131,C6107,C6083,C6059,C6035,C6011,C5987)/POBLA!$B$10*100000</f>
        <v>36.840965077618982</v>
      </c>
      <c r="H6299" s="256">
        <f t="shared" si="862"/>
        <v>0.60169491525423724</v>
      </c>
      <c r="I6299" s="297">
        <f t="shared" si="866"/>
        <v>22.167021360262268</v>
      </c>
      <c r="J6299" s="297">
        <f t="shared" si="867"/>
        <v>21.142857142857142</v>
      </c>
      <c r="K6299" s="297">
        <f>J6299/POBLA!$B$10*100000</f>
        <v>2.7426875409897433</v>
      </c>
      <c r="L6299" s="549">
        <f t="shared" si="863"/>
        <v>-8.8235294117646967E-2</v>
      </c>
      <c r="M6299" s="401">
        <f>SUM(C6299,C6275,C6251,C6227,C6203,C6179,C6155)/POBLA!$B$10*100000</f>
        <v>19.198812786928205</v>
      </c>
    </row>
    <row r="6300" spans="1:13" s="360" customFormat="1" x14ac:dyDescent="0.25">
      <c r="A6300" s="367" t="s">
        <v>33</v>
      </c>
      <c r="B6300" s="267">
        <v>44155</v>
      </c>
      <c r="C6300" s="1">
        <v>88</v>
      </c>
      <c r="D6300" s="39">
        <f t="shared" si="861"/>
        <v>5060</v>
      </c>
      <c r="E6300" s="1">
        <v>4</v>
      </c>
      <c r="F6300" s="409">
        <f t="shared" si="859"/>
        <v>68</v>
      </c>
      <c r="G6300" s="168">
        <f>SUM(C6300,C6276,C6252,C6228,C6204,C6180,C6156,C6132,C6108,C6084,C6060,C6036,C6012,C5988)/POBLA!$B$11*100000</f>
        <v>319.17149329851463</v>
      </c>
      <c r="H6300" s="256">
        <f t="shared" si="862"/>
        <v>0.69040434520217264</v>
      </c>
      <c r="I6300" s="297">
        <f t="shared" si="866"/>
        <v>220.35738583796063</v>
      </c>
      <c r="J6300" s="297">
        <f t="shared" si="867"/>
        <v>73.142857142857139</v>
      </c>
      <c r="K6300" s="297">
        <f>J6300/POBLA!$B$11*100000</f>
        <v>20.406569002102831</v>
      </c>
      <c r="L6300" s="549">
        <f t="shared" si="863"/>
        <v>0.189873417721519</v>
      </c>
      <c r="M6300" s="401">
        <f>SUM(C6300,C6276,C6252,C6228,C6204,C6180,C6156)/POBLA!$B$11*100000</f>
        <v>142.84598301471985</v>
      </c>
    </row>
    <row r="6301" spans="1:13" s="360" customFormat="1" x14ac:dyDescent="0.25">
      <c r="A6301" s="367" t="s">
        <v>21</v>
      </c>
      <c r="B6301" s="267">
        <v>44155</v>
      </c>
      <c r="C6301" s="1">
        <v>58</v>
      </c>
      <c r="D6301" s="39">
        <f t="shared" si="861"/>
        <v>8420</v>
      </c>
      <c r="E6301" s="1"/>
      <c r="F6301" s="409">
        <f t="shared" si="859"/>
        <v>304</v>
      </c>
      <c r="G6301" s="168">
        <f>SUM(C6301,C6277,C6253,C6229,C6205,C6181,C6157,C6133,C6109,C6085,C6061,C6037,C6013,C5989)/POBLA!$B$12*100000</f>
        <v>162.37602628509572</v>
      </c>
      <c r="H6301" s="256">
        <f t="shared" si="862"/>
        <v>0.78791615289765726</v>
      </c>
      <c r="I6301" s="297">
        <f t="shared" si="866"/>
        <v>127.93869395336149</v>
      </c>
      <c r="J6301" s="297">
        <f t="shared" si="867"/>
        <v>49.142857142857146</v>
      </c>
      <c r="K6301" s="297">
        <f>J6301/POBLA!$B$12*100000</f>
        <v>12.487671147344718</v>
      </c>
      <c r="L6301" s="549">
        <f t="shared" si="863"/>
        <v>-0.16610169491525428</v>
      </c>
      <c r="M6301" s="401">
        <f>SUM(C6301,C6277,C6253,C6229,C6205,C6181,C6157)/POBLA!$B$12*100000</f>
        <v>87.413698031413034</v>
      </c>
    </row>
    <row r="6302" spans="1:13" s="360" customFormat="1" x14ac:dyDescent="0.25">
      <c r="A6302" s="367" t="s">
        <v>17</v>
      </c>
      <c r="B6302" s="267">
        <v>44155</v>
      </c>
      <c r="C6302" s="1">
        <v>317</v>
      </c>
      <c r="D6302" s="39">
        <f t="shared" si="861"/>
        <v>54811</v>
      </c>
      <c r="E6302" s="1">
        <v>6</v>
      </c>
      <c r="F6302" s="409">
        <f t="shared" si="859"/>
        <v>1064</v>
      </c>
      <c r="G6302" s="168">
        <f>SUM(C6302,C6278,C6254,C6230,C6206,C6182,C6158,C6134,C6110,C6086,C6062,C6038,C6014,C5990)/POBLA!$B$13*100000</f>
        <v>237.69832058675462</v>
      </c>
      <c r="H6302" s="256">
        <f t="shared" si="862"/>
        <v>0.56692630317555426</v>
      </c>
      <c r="I6302" s="297">
        <f t="shared" si="866"/>
        <v>134.75743016128655</v>
      </c>
      <c r="J6302" s="297">
        <f t="shared" si="867"/>
        <v>301.71428571428572</v>
      </c>
      <c r="K6302" s="297">
        <f>J6302/POBLA!$B$13*100000</f>
        <v>15.158947159441547</v>
      </c>
      <c r="L6302" s="549">
        <f t="shared" si="863"/>
        <v>0.1935853379152348</v>
      </c>
      <c r="M6302" s="401">
        <f>SUM(C6302,C6278,C6254,C6230,C6206,C6182,C6158)/POBLA!$B$13*100000</f>
        <v>106.11263011609084</v>
      </c>
    </row>
    <row r="6303" spans="1:13" s="360" customFormat="1" x14ac:dyDescent="0.25">
      <c r="A6303" s="367" t="s">
        <v>23</v>
      </c>
      <c r="B6303" s="267">
        <v>44155</v>
      </c>
      <c r="C6303" s="1">
        <v>3</v>
      </c>
      <c r="D6303" s="39">
        <f t="shared" si="861"/>
        <v>434</v>
      </c>
      <c r="E6303" s="1"/>
      <c r="F6303" s="409">
        <f t="shared" si="859"/>
        <v>7</v>
      </c>
      <c r="G6303" s="168">
        <f>SUM(C6303,C6279,C6255,C6231,C6207,C6183,C6159,C6135,C6111,C6087,C6063,C6039,C6015,C5991)/POBLA!$B$14*100000</f>
        <v>9.0383368191714215</v>
      </c>
      <c r="H6303" s="256">
        <f t="shared" si="862"/>
        <v>1.027027027027027</v>
      </c>
      <c r="I6303" s="297">
        <f t="shared" si="866"/>
        <v>9.282616192662541</v>
      </c>
      <c r="J6303" s="297">
        <f t="shared" si="867"/>
        <v>9.4285714285714288</v>
      </c>
      <c r="K6303" s="297">
        <f>J6303/POBLA!$B$14*100000</f>
        <v>0.74753161662320033</v>
      </c>
      <c r="L6303" s="549">
        <f t="shared" si="863"/>
        <v>-0.375</v>
      </c>
      <c r="M6303" s="401">
        <f>SUM(C6303,C6279,C6255,C6231,C6207,C6183,C6159)/POBLA!$B$14*100000</f>
        <v>5.2327213163624027</v>
      </c>
    </row>
    <row r="6304" spans="1:13" s="360" customFormat="1" x14ac:dyDescent="0.25">
      <c r="A6304" s="367" t="s">
        <v>19</v>
      </c>
      <c r="B6304" s="267">
        <v>44155</v>
      </c>
      <c r="C6304" s="1">
        <v>321</v>
      </c>
      <c r="D6304" s="39">
        <f t="shared" si="861"/>
        <v>29259</v>
      </c>
      <c r="E6304" s="1">
        <v>1</v>
      </c>
      <c r="F6304" s="409">
        <f t="shared" si="859"/>
        <v>572</v>
      </c>
      <c r="G6304" s="168">
        <f>SUM(C6304,C6280,C6256,C6232,C6208,C6184,C6160,C6136,C6112,C6088,C6064,C6040,C6016,C5992)/POBLA!$B$15*100000</f>
        <v>679.30915568994828</v>
      </c>
      <c r="H6304" s="256">
        <f t="shared" si="862"/>
        <v>0.73528932355338228</v>
      </c>
      <c r="I6304" s="297">
        <f t="shared" si="866"/>
        <v>499.48876957088135</v>
      </c>
      <c r="J6304" s="297">
        <f t="shared" si="867"/>
        <v>395.14285714285717</v>
      </c>
      <c r="K6304" s="297">
        <f>J6304/POBLA!$B$15*100000</f>
        <v>59.504358382316155</v>
      </c>
      <c r="L6304" s="549">
        <f t="shared" si="863"/>
        <v>-0.58510028653295132</v>
      </c>
      <c r="M6304" s="401">
        <f>SUM(C6304,C6280,C6256,C6232,C6208,C6184,C6160)/POBLA!$B$15*100000</f>
        <v>416.53050867621306</v>
      </c>
    </row>
    <row r="6305" spans="1:13" s="360" customFormat="1" x14ac:dyDescent="0.25">
      <c r="A6305" s="367" t="s">
        <v>18</v>
      </c>
      <c r="B6305" s="267">
        <v>44155</v>
      </c>
      <c r="C6305" s="1">
        <v>201</v>
      </c>
      <c r="D6305" s="39">
        <f t="shared" si="861"/>
        <v>29746</v>
      </c>
      <c r="E6305" s="1">
        <v>1</v>
      </c>
      <c r="F6305" s="409">
        <f t="shared" si="859"/>
        <v>750</v>
      </c>
      <c r="G6305" s="168">
        <f>SUM(C6305,C6281,C6257,C6233,C6209,C6185,C6161,C6137,C6113,C6089,C6065,C6041,C6017,C5993)/POBLA!$B$16*100000</f>
        <v>512.29919342972948</v>
      </c>
      <c r="H6305" s="256">
        <f t="shared" si="862"/>
        <v>0.82525317819435462</v>
      </c>
      <c r="I6305" s="297">
        <f t="shared" si="866"/>
        <v>422.77653756428867</v>
      </c>
      <c r="J6305" s="297">
        <f t="shared" si="867"/>
        <v>235.85714285714286</v>
      </c>
      <c r="K6305" s="297">
        <f>J6305/POBLA!$B$16*100000</f>
        <v>31.548152493565208</v>
      </c>
      <c r="L6305" s="549">
        <f t="shared" si="863"/>
        <v>0.242312987608995</v>
      </c>
      <c r="M6305" s="401">
        <f>SUM(C6305,C6281,C6257,C6233,C6209,C6185,C6161)/POBLA!$B$16*100000</f>
        <v>220.83706745495644</v>
      </c>
    </row>
    <row r="6306" spans="1:13" s="360" customFormat="1" x14ac:dyDescent="0.25">
      <c r="A6306" s="367" t="s">
        <v>34</v>
      </c>
      <c r="B6306" s="267">
        <v>44155</v>
      </c>
      <c r="C6306" s="1">
        <v>166</v>
      </c>
      <c r="D6306" s="39">
        <f t="shared" si="861"/>
        <v>20678</v>
      </c>
      <c r="E6306" s="1">
        <v>3</v>
      </c>
      <c r="F6306" s="409">
        <f t="shared" si="859"/>
        <v>946</v>
      </c>
      <c r="G6306" s="168">
        <f>SUM(C6306,C6282,C6258,C6234,C6210,C6186,C6162,C6138,C6114,C6090,C6066,C6042,C6018,C5994)/POBLA!$B$17*100000</f>
        <v>89.862587466836843</v>
      </c>
      <c r="H6306" s="256">
        <f t="shared" si="862"/>
        <v>0.65506653019447292</v>
      </c>
      <c r="I6306" s="297">
        <f t="shared" si="866"/>
        <v>58.865973366198141</v>
      </c>
      <c r="J6306" s="297">
        <f t="shared" si="867"/>
        <v>87.428571428571431</v>
      </c>
      <c r="K6306" s="297">
        <f>J6306/POBLA!$B$17*100000</f>
        <v>6.1379356617973375</v>
      </c>
      <c r="L6306" s="549">
        <f t="shared" si="863"/>
        <v>8.3832335329341312E-2</v>
      </c>
      <c r="M6306" s="401">
        <f>SUM(C6306,C6282,C6258,C6234,C6210,C6186,C6162)/POBLA!$B$17*100000</f>
        <v>42.965549632581364</v>
      </c>
    </row>
    <row r="6307" spans="1:13" s="360" customFormat="1" x14ac:dyDescent="0.25">
      <c r="A6307" s="367" t="s">
        <v>35</v>
      </c>
      <c r="B6307" s="267">
        <v>44155</v>
      </c>
      <c r="C6307" s="1">
        <v>471</v>
      </c>
      <c r="D6307" s="39">
        <f t="shared" si="861"/>
        <v>5553</v>
      </c>
      <c r="E6307" s="1"/>
      <c r="F6307" s="409">
        <f t="shared" si="859"/>
        <v>143</v>
      </c>
      <c r="G6307" s="168">
        <f>SUM(C6307,C6283,C6259,C6235,C6211,C6187,C6163,C6139,C6115,C6091,C6067,C6043,C6019,C5995)/POBLA!$B$18*100000</f>
        <v>275.85165197377933</v>
      </c>
      <c r="H6307" s="256">
        <f t="shared" si="862"/>
        <v>1.0647233201581028</v>
      </c>
      <c r="I6307" s="297">
        <f t="shared" si="866"/>
        <v>293.70568676061981</v>
      </c>
      <c r="J6307" s="297">
        <f t="shared" si="867"/>
        <v>174.42857142857142</v>
      </c>
      <c r="K6307" s="297">
        <f>J6307/POBLA!$B$18*100000</f>
        <v>22.327800269140511</v>
      </c>
      <c r="L6307" s="549">
        <f t="shared" si="863"/>
        <v>-0.30728051391862965</v>
      </c>
      <c r="M6307" s="401">
        <f>SUM(C6307,C6283,C6259,C6235,C6211,C6187,C6163)/POBLA!$B$18*100000</f>
        <v>156.2946018839836</v>
      </c>
    </row>
    <row r="6308" spans="1:13" s="360" customFormat="1" x14ac:dyDescent="0.25">
      <c r="A6308" s="367" t="s">
        <v>36</v>
      </c>
      <c r="B6308" s="267">
        <v>44155</v>
      </c>
      <c r="C6308" s="1">
        <v>378</v>
      </c>
      <c r="D6308" s="39">
        <f t="shared" si="861"/>
        <v>12787</v>
      </c>
      <c r="E6308" s="1">
        <v>8</v>
      </c>
      <c r="F6308" s="409">
        <f t="shared" si="859"/>
        <v>177</v>
      </c>
      <c r="G6308" s="168">
        <f>SUM(C6308,C6284,C6260,C6236,C6212,C6188,C6164,C6140,C6116,C6092,C6068,C6044,C6020,C5996)/POBLA!$B$19*100000</f>
        <v>771.74580192316773</v>
      </c>
      <c r="H6308" s="256">
        <f t="shared" si="862"/>
        <v>1.0345464135021096</v>
      </c>
      <c r="I6308" s="297">
        <f t="shared" si="866"/>
        <v>798.40685151492266</v>
      </c>
      <c r="J6308" s="297">
        <f t="shared" si="867"/>
        <v>256</v>
      </c>
      <c r="K6308" s="297">
        <f>J6308/POBLA!$B$19*100000</f>
        <v>50.361184117341558</v>
      </c>
      <c r="L6308" s="549">
        <f t="shared" si="863"/>
        <v>0.15908024401689347</v>
      </c>
      <c r="M6308" s="401">
        <f>SUM(C6308,C6284,C6260,C6236,C6212,C6188,C6164)/POBLA!$B$19*100000</f>
        <v>352.5282888213909</v>
      </c>
    </row>
    <row r="6309" spans="1:13" s="360" customFormat="1" x14ac:dyDescent="0.25">
      <c r="A6309" s="367" t="s">
        <v>37</v>
      </c>
      <c r="B6309" s="267">
        <v>44155</v>
      </c>
      <c r="C6309" s="1">
        <v>248</v>
      </c>
      <c r="D6309" s="39">
        <f t="shared" si="861"/>
        <v>13847</v>
      </c>
      <c r="E6309" s="1">
        <v>3</v>
      </c>
      <c r="F6309" s="409">
        <f t="shared" si="859"/>
        <v>224</v>
      </c>
      <c r="G6309" s="168">
        <f>SUM(C6309,C6285,C6261,C6237,C6213,C6189,C6165,C6141,C6117,C6093,C6069,C6045,C6021,C5997)/POBLA!$B$20*100000</f>
        <v>849.33469693572283</v>
      </c>
      <c r="H6309" s="256">
        <f t="shared" si="862"/>
        <v>1.2010827532869297</v>
      </c>
      <c r="I6309" s="297">
        <f t="shared" si="866"/>
        <v>1020.1212562576779</v>
      </c>
      <c r="J6309" s="297">
        <f t="shared" si="867"/>
        <v>219.71428571428572</v>
      </c>
      <c r="K6309" s="297">
        <f>J6309/POBLA!$B$20*100000</f>
        <v>60.080800473146077</v>
      </c>
      <c r="L6309" s="549">
        <f t="shared" si="863"/>
        <v>1.9132653061224469E-2</v>
      </c>
      <c r="M6309" s="401">
        <f>SUM(C6309,C6285,C6261,C6237,C6213,C6189,C6165)/POBLA!$B$20*100000</f>
        <v>420.56560331202246</v>
      </c>
    </row>
    <row r="6310" spans="1:13" s="360" customFormat="1" x14ac:dyDescent="0.25">
      <c r="A6310" s="367" t="s">
        <v>22</v>
      </c>
      <c r="B6310" s="267">
        <v>44155</v>
      </c>
      <c r="C6310" s="1">
        <v>1757</v>
      </c>
      <c r="D6310" s="39">
        <f t="shared" si="861"/>
        <v>136009</v>
      </c>
      <c r="E6310" s="1">
        <v>18</v>
      </c>
      <c r="F6310" s="409">
        <f t="shared" si="859"/>
        <v>2022</v>
      </c>
      <c r="G6310" s="168">
        <f>SUM(C6310,C6286,C6262,C6238,C6214,C6190,C6166,C6142,C6118,C6094,C6070,C6046,C6022,C5998)/POBLA!$B$21*100000</f>
        <v>563.11216603919559</v>
      </c>
      <c r="H6310" s="256">
        <f t="shared" si="862"/>
        <v>0.79908510894426388</v>
      </c>
      <c r="I6310" s="297">
        <f t="shared" si="866"/>
        <v>449.97454654727102</v>
      </c>
      <c r="J6310" s="297">
        <f t="shared" si="867"/>
        <v>1414.2857142857142</v>
      </c>
      <c r="K6310" s="297">
        <f>J6310/POBLA!$B$21*100000</f>
        <v>39.992040372085945</v>
      </c>
      <c r="L6310" s="549">
        <f t="shared" si="863"/>
        <v>1.1384062312762122E-2</v>
      </c>
      <c r="M6310" s="401">
        <f>SUM(C6310,C6286,C6262,C6238,C6214,C6190,C6166)/POBLA!$B$21*100000</f>
        <v>279.9442826046016</v>
      </c>
    </row>
    <row r="6311" spans="1:13" s="360" customFormat="1" x14ac:dyDescent="0.25">
      <c r="A6311" s="367" t="s">
        <v>38</v>
      </c>
      <c r="B6311" s="267">
        <v>44155</v>
      </c>
      <c r="C6311" s="1">
        <v>252</v>
      </c>
      <c r="D6311" s="39">
        <f t="shared" si="861"/>
        <v>14163</v>
      </c>
      <c r="E6311" s="1"/>
      <c r="F6311" s="409">
        <f t="shared" si="859"/>
        <v>173</v>
      </c>
      <c r="G6311" s="168">
        <f>SUM(C6311,C6287,C6263,C6239,C6215,C6191,C6167,C6143,C6119,C6095,C6071,C6047,C6023,C5999)/POBLA!$B$22*100000</f>
        <v>330.46683423403346</v>
      </c>
      <c r="H6311" s="256">
        <f t="shared" si="862"/>
        <v>1.0368826170622194</v>
      </c>
      <c r="I6311" s="297">
        <f t="shared" si="866"/>
        <v>342.65531593285124</v>
      </c>
      <c r="J6311" s="297">
        <f t="shared" si="867"/>
        <v>222.71428571428572</v>
      </c>
      <c r="K6311" s="297">
        <f>J6311/POBLA!$B$22*100000</f>
        <v>22.76513607754223</v>
      </c>
      <c r="L6311" s="549">
        <f t="shared" si="863"/>
        <v>6.8697729988052569E-2</v>
      </c>
      <c r="M6311" s="401">
        <f>SUM(C6311,C6287,C6263,C6239,C6215,C6191,C6167)/POBLA!$B$22*100000</f>
        <v>159.35595254279562</v>
      </c>
    </row>
    <row r="6312" spans="1:13" s="360" customFormat="1" x14ac:dyDescent="0.25">
      <c r="A6312" s="367" t="s">
        <v>39</v>
      </c>
      <c r="B6312" s="267">
        <v>44155</v>
      </c>
      <c r="C6312" s="1">
        <v>127</v>
      </c>
      <c r="D6312" s="39">
        <f t="shared" si="861"/>
        <v>14965</v>
      </c>
      <c r="E6312" s="1">
        <v>2</v>
      </c>
      <c r="F6312" s="409">
        <f t="shared" si="859"/>
        <v>217</v>
      </c>
      <c r="G6312" s="168">
        <f>SUM(C6312,C6288,C6264,C6240,C6216,C6192,C6168,C6144,C6120,C6096,C6072,C6048,C6024,C6000)/POBLA!$B$23*100000</f>
        <v>1248.6569021093705</v>
      </c>
      <c r="H6312" s="256">
        <f t="shared" si="862"/>
        <v>0.67194157029823498</v>
      </c>
      <c r="I6312" s="297">
        <f t="shared" si="866"/>
        <v>839.02447956709989</v>
      </c>
      <c r="J6312" s="297">
        <f t="shared" si="867"/>
        <v>130.42857142857142</v>
      </c>
      <c r="K6312" s="297">
        <f>J6312/POBLA!$B$23*100000</f>
        <v>73.759300700430586</v>
      </c>
      <c r="L6312" s="549">
        <f t="shared" si="863"/>
        <v>0.29498069498069501</v>
      </c>
      <c r="M6312" s="401">
        <f>SUM(C6312,C6288,C6264,C6240,C6216,C6192,C6168)/POBLA!$B$23*100000</f>
        <v>516.31510490301423</v>
      </c>
    </row>
    <row r="6313" spans="1:13" s="360" customFormat="1" ht="15.75" thickBot="1" x14ac:dyDescent="0.3">
      <c r="A6313" s="369" t="s">
        <v>40</v>
      </c>
      <c r="B6313" s="267">
        <v>44155</v>
      </c>
      <c r="C6313" s="1">
        <v>472</v>
      </c>
      <c r="D6313" s="176">
        <f>C6313+D6289</f>
        <v>62879</v>
      </c>
      <c r="E6313" s="1">
        <v>24</v>
      </c>
      <c r="F6313" s="476">
        <f t="shared" si="859"/>
        <v>1056</v>
      </c>
      <c r="G6313" s="177">
        <f>SUM(C6313,C6289,C6265,C6241,C6217,C6193,C6169,C6145,C6121,C6097,C6073,C6049,C6025,C6001)/POBLA!$B$24*100000</f>
        <v>518.63032969523022</v>
      </c>
      <c r="H6313" s="402">
        <f t="shared" si="862"/>
        <v>0.70441612567123513</v>
      </c>
      <c r="I6313" s="403">
        <f t="shared" si="866"/>
        <v>365.33156749950939</v>
      </c>
      <c r="J6313" s="403">
        <f t="shared" si="867"/>
        <v>525.14285714285711</v>
      </c>
      <c r="K6313" s="403">
        <f>J6313/POBLA!$B$24*100000</f>
        <v>30.988168521685648</v>
      </c>
      <c r="L6313" s="550">
        <f t="shared" si="863"/>
        <v>0.28104830823391358</v>
      </c>
      <c r="M6313" s="405">
        <f>SUM(C6313,C6289,C6265,C6241,C6217,C6193,C6169)/POBLA!$B$24*100000</f>
        <v>216.91717965179953</v>
      </c>
    </row>
    <row r="6314" spans="1:13" s="360" customFormat="1" x14ac:dyDescent="0.25">
      <c r="A6314" s="363" t="s">
        <v>16</v>
      </c>
      <c r="B6314" s="267">
        <v>44156</v>
      </c>
      <c r="C6314" s="1">
        <v>1894</v>
      </c>
      <c r="D6314" s="174">
        <f t="shared" si="861"/>
        <v>604016</v>
      </c>
      <c r="E6314" s="1">
        <f>24+17</f>
        <v>41</v>
      </c>
      <c r="F6314" s="475">
        <f t="shared" si="859"/>
        <v>19936</v>
      </c>
      <c r="G6314" s="175">
        <f>SUM(C6314,C6290,C6266,C6242,C6218,C6194,C6170,C6146,C6122,C6098,C6074,C6050,C6026,C6002)/POBLA!$B$1*100000</f>
        <v>198.55036796067029</v>
      </c>
      <c r="H6314" s="300">
        <f t="shared" si="862"/>
        <v>0.79086243698623915</v>
      </c>
      <c r="I6314" s="301">
        <f>G6314*H6314</f>
        <v>157.02602786989021</v>
      </c>
      <c r="J6314" s="301">
        <f>AVERAGE(C6314,C6290,C6266,C6242,C6218,C6194,C6170)</f>
        <v>2315.4285714285716</v>
      </c>
      <c r="K6314" s="301">
        <f>J6314/POBLA!$B$1*100000</f>
        <v>13.199988366940165</v>
      </c>
      <c r="L6314" s="548">
        <f t="shared" si="863"/>
        <v>0.12953813104189049</v>
      </c>
      <c r="M6314" s="400">
        <f>SUM(C6314,C6290,C6266,C6242,C6218,C6194,C6170)/POBLA!$B$1*100000</f>
        <v>92.399918568581143</v>
      </c>
    </row>
    <row r="6315" spans="1:13" s="360" customFormat="1" x14ac:dyDescent="0.25">
      <c r="A6315" s="367" t="s">
        <v>43</v>
      </c>
      <c r="B6315" s="267">
        <v>44156</v>
      </c>
      <c r="C6315" s="1">
        <v>350</v>
      </c>
      <c r="D6315" s="39">
        <f t="shared" si="861"/>
        <v>156219</v>
      </c>
      <c r="E6315" s="1">
        <f>3+1</f>
        <v>4</v>
      </c>
      <c r="F6315" s="409">
        <f t="shared" ref="F6315:F6378" si="868">E6315+F6291</f>
        <v>5158</v>
      </c>
      <c r="G6315" s="168">
        <f>SUM(C6315,C6291,C6267,C6243,C6219,C6195,C6171,C6147,C6123,C6099,C6075,C6051,C6027,C6003)/POBLA!$B$2*100000</f>
        <v>191.43945694660567</v>
      </c>
      <c r="H6315" s="256">
        <f t="shared" si="862"/>
        <v>0.86766872973769527</v>
      </c>
      <c r="I6315" s="297">
        <f t="shared" ref="I6315:I6337" si="869">G6315*H6315</f>
        <v>166.10603043053555</v>
      </c>
      <c r="J6315" s="297">
        <f t="shared" ref="J6315:J6337" si="870">AVERAGE(C6315,C6291,C6267,C6243,C6219,C6195,C6171)</f>
        <v>390.14285714285717</v>
      </c>
      <c r="K6315" s="297">
        <f>J6315/POBLA!$B$2*100000</f>
        <v>12.684907728095405</v>
      </c>
      <c r="L6315" s="549">
        <f t="shared" si="863"/>
        <v>0.13493823249920811</v>
      </c>
      <c r="M6315" s="401">
        <f>SUM(C6315,C6291,C6267,C6243,C6219,C6195,C6171)/POBLA!$B$2*100000</f>
        <v>88.794354096667817</v>
      </c>
    </row>
    <row r="6316" spans="1:13" s="360" customFormat="1" x14ac:dyDescent="0.25">
      <c r="A6316" s="367" t="s">
        <v>28</v>
      </c>
      <c r="B6316" s="267">
        <v>44156</v>
      </c>
      <c r="C6316" s="1">
        <v>25</v>
      </c>
      <c r="D6316" s="39">
        <f t="shared" si="861"/>
        <v>1671</v>
      </c>
      <c r="E6316" s="1">
        <f>5</f>
        <v>5</v>
      </c>
      <c r="F6316" s="409">
        <f t="shared" si="868"/>
        <v>13</v>
      </c>
      <c r="G6316" s="168">
        <f>SUM(C6316,C6292,C6268,C6244,C6220,C6196,C6172,C6148,C6124,C6100,C6076,C6052,C6028,C6004)/POBLA!$B$3*100000</f>
        <v>122.03987117211231</v>
      </c>
      <c r="H6316" s="256">
        <f t="shared" si="862"/>
        <v>0.89260563380281688</v>
      </c>
      <c r="I6316" s="297">
        <f t="shared" si="869"/>
        <v>108.93347655679743</v>
      </c>
      <c r="J6316" s="297">
        <f t="shared" si="870"/>
        <v>35.714285714285715</v>
      </c>
      <c r="K6316" s="297">
        <f>J6316/POBLA!$B$3*100000</f>
        <v>8.5967787526142807</v>
      </c>
      <c r="L6316" s="549">
        <f t="shared" si="863"/>
        <v>2.7237354085603127E-2</v>
      </c>
      <c r="M6316" s="401">
        <f>SUM(C6316,C6292,C6268,C6244,C6220,C6196,C6172)/POBLA!$B$3*100000</f>
        <v>60.177451268299961</v>
      </c>
    </row>
    <row r="6317" spans="1:13" s="360" customFormat="1" x14ac:dyDescent="0.25">
      <c r="A6317" s="367" t="s">
        <v>15</v>
      </c>
      <c r="B6317" s="267">
        <v>44156</v>
      </c>
      <c r="C6317" s="1">
        <v>156</v>
      </c>
      <c r="D6317" s="39">
        <f t="shared" si="861"/>
        <v>17659</v>
      </c>
      <c r="E6317" s="1"/>
      <c r="F6317" s="409">
        <f t="shared" si="868"/>
        <v>525</v>
      </c>
      <c r="G6317" s="168">
        <f>SUM(C6317,C6293,C6269,C6245,C6221,C6197,C6173,C6149,C6125,C6101,C6077,C6053,C6029,C6005)/POBLA!$B$4*100000</f>
        <v>227.7215968572261</v>
      </c>
      <c r="H6317" s="256">
        <f t="shared" si="862"/>
        <v>1.3797786720321932</v>
      </c>
      <c r="I6317" s="297">
        <f t="shared" si="869"/>
        <v>314.2054025047139</v>
      </c>
      <c r="J6317" s="297">
        <f t="shared" si="870"/>
        <v>210.14285714285714</v>
      </c>
      <c r="K6317" s="297">
        <f>J6317/POBLA!$B$4*100000</f>
        <v>17.445886619289599</v>
      </c>
      <c r="L6317" s="549">
        <f t="shared" si="863"/>
        <v>-0.15644654088050314</v>
      </c>
      <c r="M6317" s="401">
        <f>SUM(C6317,C6293,C6269,C6245,C6221,C6197,C6173)/POBLA!$B$4*100000</f>
        <v>122.1212063350272</v>
      </c>
    </row>
    <row r="6318" spans="1:13" s="360" customFormat="1" x14ac:dyDescent="0.25">
      <c r="A6318" s="367" t="s">
        <v>29</v>
      </c>
      <c r="B6318" s="267">
        <v>44156</v>
      </c>
      <c r="C6318" s="1">
        <v>241</v>
      </c>
      <c r="D6318" s="39">
        <f t="shared" si="861"/>
        <v>21021</v>
      </c>
      <c r="E6318" s="1">
        <f>1</f>
        <v>1</v>
      </c>
      <c r="F6318" s="409">
        <f t="shared" si="868"/>
        <v>357</v>
      </c>
      <c r="G6318" s="168">
        <f>SUM(C6318,C6294,C6270,C6246,C6222,C6198,C6174,C6150,C6126,C6102,C6078,C6054,C6030,C6006)/POBLA!$B$5*100000</f>
        <v>685.79016921004074</v>
      </c>
      <c r="H6318" s="256">
        <f t="shared" si="862"/>
        <v>0.87997512437810943</v>
      </c>
      <c r="I6318" s="297">
        <f t="shared" si="869"/>
        <v>603.47828944789035</v>
      </c>
      <c r="J6318" s="297">
        <f t="shared" si="870"/>
        <v>284.14285714285717</v>
      </c>
      <c r="K6318" s="297">
        <f>J6318/POBLA!$B$5*100000</f>
        <v>45.903975990535798</v>
      </c>
      <c r="L6318" s="549">
        <f t="shared" si="863"/>
        <v>0.11835106382978722</v>
      </c>
      <c r="M6318" s="401">
        <f>SUM(C6318,C6294,C6270,C6246,C6222,C6198,C6174)/POBLA!$B$5*100000</f>
        <v>321.32783193375059</v>
      </c>
    </row>
    <row r="6319" spans="1:13" s="360" customFormat="1" x14ac:dyDescent="0.25">
      <c r="A6319" s="367" t="s">
        <v>20</v>
      </c>
      <c r="B6319" s="267">
        <v>44156</v>
      </c>
      <c r="C6319" s="1">
        <v>888</v>
      </c>
      <c r="D6319" s="39">
        <f t="shared" si="861"/>
        <v>108774</v>
      </c>
      <c r="E6319" s="1">
        <f>6+4</f>
        <v>10</v>
      </c>
      <c r="F6319" s="409">
        <f t="shared" si="868"/>
        <v>1771</v>
      </c>
      <c r="G6319" s="168">
        <f>SUM(C6319,C6295,C6271,C6247,C6223,C6199,C6175,C6151,C6127,C6103,C6079,C6055,C6031,C6007)/POBLA!$B$6*100000</f>
        <v>1424.8738179212901</v>
      </c>
      <c r="H6319" s="256">
        <f t="shared" si="862"/>
        <v>0.87752074289796145</v>
      </c>
      <c r="I6319" s="297">
        <f t="shared" si="869"/>
        <v>1250.3563312381452</v>
      </c>
      <c r="J6319" s="297">
        <f t="shared" si="870"/>
        <v>1020.5714285714286</v>
      </c>
      <c r="K6319" s="297">
        <f>J6319/POBLA!$B$6*100000</f>
        <v>91.057326730742432</v>
      </c>
      <c r="L6319" s="549">
        <f t="shared" si="863"/>
        <v>0.19057330614094725</v>
      </c>
      <c r="M6319" s="401">
        <f>SUM(C6319,C6295,C6271,C6247,C6223,C6199,C6175)/POBLA!$B$6*100000</f>
        <v>637.40128711519708</v>
      </c>
    </row>
    <row r="6320" spans="1:13" s="360" customFormat="1" x14ac:dyDescent="0.25">
      <c r="A6320" s="367" t="s">
        <v>30</v>
      </c>
      <c r="B6320" s="267">
        <v>44156</v>
      </c>
      <c r="C6320" s="1">
        <v>96</v>
      </c>
      <c r="D6320" s="39">
        <f t="shared" si="861"/>
        <v>4769</v>
      </c>
      <c r="E6320" s="1"/>
      <c r="F6320" s="409">
        <f t="shared" si="868"/>
        <v>86</v>
      </c>
      <c r="G6320" s="168">
        <f>SUM(C6320,C6296,C6272,C6248,C6224,C6200,C6176,C6152,C6128,C6104,C6080,C6056,C6032,C6008)/POBLA!$B$7*100000</f>
        <v>51.483200148918343</v>
      </c>
      <c r="H6320" s="256">
        <f t="shared" si="862"/>
        <v>3.2925170068027212</v>
      </c>
      <c r="I6320" s="297">
        <f t="shared" si="869"/>
        <v>169.50931205494203</v>
      </c>
      <c r="J6320" s="297">
        <f t="shared" si="870"/>
        <v>163.71428571428572</v>
      </c>
      <c r="K6320" s="297">
        <f>J6320/POBLA!$B$7*100000</f>
        <v>4.3535823030298433</v>
      </c>
      <c r="L6320" s="549">
        <f t="shared" si="863"/>
        <v>-0.45063291139240502</v>
      </c>
      <c r="M6320" s="401">
        <f>SUM(C6320,C6296,C6272,C6248,C6224,C6200,C6176)/POBLA!$B$7*100000</f>
        <v>30.475076121208897</v>
      </c>
    </row>
    <row r="6321" spans="1:13" x14ac:dyDescent="0.25">
      <c r="A6321" s="367" t="s">
        <v>31</v>
      </c>
      <c r="B6321" s="267">
        <v>44156</v>
      </c>
      <c r="C6321" s="1">
        <v>216</v>
      </c>
      <c r="D6321" s="39">
        <f t="shared" si="861"/>
        <v>21718</v>
      </c>
      <c r="E6321" s="1">
        <f>4+1</f>
        <v>5</v>
      </c>
      <c r="F6321" s="409">
        <f t="shared" si="868"/>
        <v>416</v>
      </c>
      <c r="G6321" s="168">
        <f>SUM(C6321,C6297,C6273,C6249,C6225,C6201,C6177,C6153,C6129,C6105,C6081,C6057,C6033,C6009)/POBLA!$B$8*100000</f>
        <v>274.25014123774042</v>
      </c>
      <c r="H6321" s="256">
        <f t="shared" si="862"/>
        <v>0.90954773869346739</v>
      </c>
      <c r="I6321" s="297">
        <f t="shared" si="869"/>
        <v>249.44359579915084</v>
      </c>
      <c r="J6321" s="297">
        <f t="shared" si="870"/>
        <v>264.57142857142856</v>
      </c>
      <c r="K6321" s="297">
        <f>J6321/POBLA!$B$8*100000</f>
        <v>19.089384807467781</v>
      </c>
      <c r="L6321" s="549">
        <f t="shared" si="863"/>
        <v>4.976911236531556E-2</v>
      </c>
      <c r="M6321" s="401">
        <f>SUM(C6321,C6297,C6273,C6249,C6225,C6201,C6177)/POBLA!$B$8*100000</f>
        <v>133.62569365227449</v>
      </c>
    </row>
    <row r="6322" spans="1:13" s="360" customFormat="1" x14ac:dyDescent="0.25">
      <c r="A6322" s="367" t="s">
        <v>41</v>
      </c>
      <c r="B6322" s="267">
        <v>44156</v>
      </c>
      <c r="C6322" s="1">
        <v>2</v>
      </c>
      <c r="D6322" s="39">
        <f t="shared" si="861"/>
        <v>179</v>
      </c>
      <c r="E6322" s="1"/>
      <c r="F6322" s="409">
        <f t="shared" si="868"/>
        <v>3</v>
      </c>
      <c r="G6322" s="168">
        <f>SUM(C6322,C6298,C6274,C6250,C6226,C6202,C6178,C6154,C6130,C6106,C6082,C6058,C6034,C6010)/POBLA!$B$9*100000</f>
        <v>2.8090212543767032</v>
      </c>
      <c r="H6322" s="256">
        <f t="shared" si="862"/>
        <v>0.85</v>
      </c>
      <c r="I6322" s="297">
        <f t="shared" si="869"/>
        <v>2.3876680662201979</v>
      </c>
      <c r="J6322" s="297">
        <f t="shared" si="870"/>
        <v>1.5714285714285714</v>
      </c>
      <c r="K6322" s="297">
        <f>J6322/POBLA!$B$9*100000</f>
        <v>0.25965742687515742</v>
      </c>
      <c r="L6322" s="549">
        <f t="shared" si="863"/>
        <v>-0.83333333333333326</v>
      </c>
      <c r="M6322" s="401">
        <f>SUM(C6322,C6298,C6274,C6250,C6226,C6202,C6178)/POBLA!$B$9*100000</f>
        <v>1.8176019881261019</v>
      </c>
    </row>
    <row r="6323" spans="1:13" s="360" customFormat="1" x14ac:dyDescent="0.25">
      <c r="A6323" s="367" t="s">
        <v>32</v>
      </c>
      <c r="B6323" s="267">
        <v>44156</v>
      </c>
      <c r="C6323" s="1">
        <v>12</v>
      </c>
      <c r="D6323" s="39">
        <f t="shared" si="861"/>
        <v>18285</v>
      </c>
      <c r="E6323" s="1">
        <f>1</f>
        <v>1</v>
      </c>
      <c r="F6323" s="409">
        <f t="shared" si="868"/>
        <v>842</v>
      </c>
      <c r="G6323" s="168">
        <f>SUM(C6323,C6299,C6275,C6251,C6227,C6203,C6179,C6155,C6131,C6107,C6083,C6059,C6035,C6011)/POBLA!$B$10*100000</f>
        <v>35.284304581381562</v>
      </c>
      <c r="H6323" s="256">
        <f t="shared" si="862"/>
        <v>0.62672811059907829</v>
      </c>
      <c r="I6323" s="297">
        <f t="shared" si="869"/>
        <v>22.113665544091667</v>
      </c>
      <c r="J6323" s="297">
        <f t="shared" si="870"/>
        <v>19.714285714285715</v>
      </c>
      <c r="K6323" s="297">
        <f>J6323/POBLA!$B$10*100000</f>
        <v>2.557370815247193</v>
      </c>
      <c r="L6323" s="549">
        <f t="shared" si="863"/>
        <v>-2.9850746268656803E-2</v>
      </c>
      <c r="M6323" s="401">
        <f>SUM(C6323,C6299,C6275,C6251,C6227,C6203,C6179)/POBLA!$B$10*100000</f>
        <v>17.901595706730351</v>
      </c>
    </row>
    <row r="6324" spans="1:13" s="360" customFormat="1" x14ac:dyDescent="0.25">
      <c r="A6324" s="367" t="s">
        <v>33</v>
      </c>
      <c r="B6324" s="267">
        <v>44156</v>
      </c>
      <c r="C6324" s="1">
        <v>57</v>
      </c>
      <c r="D6324" s="39">
        <f t="shared" si="861"/>
        <v>5117</v>
      </c>
      <c r="E6324" s="1">
        <v>2</v>
      </c>
      <c r="F6324" s="409">
        <f t="shared" si="868"/>
        <v>70</v>
      </c>
      <c r="G6324" s="168">
        <f>SUM(C6324,C6300,C6276,C6252,C6228,C6204,C6180,C6156,C6132,C6108,C6084,C6060,C6036,C6012)/POBLA!$B$11*100000</f>
        <v>305.50068633030901</v>
      </c>
      <c r="H6324" s="256">
        <f t="shared" si="862"/>
        <v>0.64946619217081847</v>
      </c>
      <c r="I6324" s="297">
        <f t="shared" si="869"/>
        <v>198.41236745651742</v>
      </c>
      <c r="J6324" s="297">
        <f t="shared" si="870"/>
        <v>67.714285714285708</v>
      </c>
      <c r="K6324" s="297">
        <f>J6324/POBLA!$B$11*100000</f>
        <v>18.892018958978014</v>
      </c>
      <c r="L6324" s="549">
        <f t="shared" si="863"/>
        <v>0.23671497584541068</v>
      </c>
      <c r="M6324" s="401">
        <f>SUM(C6324,C6300,C6276,C6252,C6228,C6204,C6180)/POBLA!$B$11*100000</f>
        <v>132.2441327128461</v>
      </c>
    </row>
    <row r="6325" spans="1:13" s="360" customFormat="1" x14ac:dyDescent="0.25">
      <c r="A6325" s="367" t="s">
        <v>21</v>
      </c>
      <c r="B6325" s="267">
        <v>44156</v>
      </c>
      <c r="C6325" s="1">
        <v>63</v>
      </c>
      <c r="D6325" s="39">
        <f t="shared" si="861"/>
        <v>8483</v>
      </c>
      <c r="E6325" s="1">
        <v>5</v>
      </c>
      <c r="F6325" s="409">
        <f t="shared" si="868"/>
        <v>309</v>
      </c>
      <c r="G6325" s="168">
        <f>SUM(C6325,C6301,C6277,C6253,C6229,C6205,C6181,C6157,C6133,C6109,C6085,C6061,C6037,C6013)/POBLA!$B$12*100000</f>
        <v>175.08150565012667</v>
      </c>
      <c r="H6325" s="256">
        <f t="shared" si="862"/>
        <v>0.88560411311053988</v>
      </c>
      <c r="I6325" s="297">
        <f t="shared" si="869"/>
        <v>155.0529015333384</v>
      </c>
      <c r="J6325" s="297">
        <f t="shared" si="870"/>
        <v>46.714285714285715</v>
      </c>
      <c r="K6325" s="297">
        <f>J6325/POBLA!$B$12*100000</f>
        <v>11.870547863900358</v>
      </c>
      <c r="L6325" s="549">
        <f t="shared" si="863"/>
        <v>9.6685082872928207E-2</v>
      </c>
      <c r="M6325" s="401">
        <f>SUM(C6325,C6301,C6277,C6253,C6229,C6205,C6181)/POBLA!$B$12*100000</f>
        <v>83.093835047302505</v>
      </c>
    </row>
    <row r="6326" spans="1:13" s="360" customFormat="1" x14ac:dyDescent="0.25">
      <c r="A6326" s="367" t="s">
        <v>17</v>
      </c>
      <c r="B6326" s="267">
        <v>44156</v>
      </c>
      <c r="C6326" s="1">
        <v>226</v>
      </c>
      <c r="D6326" s="39">
        <f t="shared" si="861"/>
        <v>55037</v>
      </c>
      <c r="E6326" s="1">
        <v>2</v>
      </c>
      <c r="F6326" s="409">
        <f t="shared" si="868"/>
        <v>1066</v>
      </c>
      <c r="G6326" s="168">
        <f>SUM(C6326,C6302,C6278,C6254,C6230,C6206,C6182,C6158,C6134,C6110,C6086,C6062,C6038,C6014)/POBLA!$B$13*100000</f>
        <v>231.26725209487029</v>
      </c>
      <c r="H6326" s="256">
        <f t="shared" si="862"/>
        <v>0.57208550832711902</v>
      </c>
      <c r="I6326" s="297">
        <f t="shared" si="869"/>
        <v>132.30464347410984</v>
      </c>
      <c r="J6326" s="297">
        <f t="shared" si="870"/>
        <v>292</v>
      </c>
      <c r="K6326" s="297">
        <f>J6326/POBLA!$B$13*100000</f>
        <v>14.670874997111044</v>
      </c>
      <c r="L6326" s="549">
        <f t="shared" si="863"/>
        <v>0.2012504884720594</v>
      </c>
      <c r="M6326" s="401">
        <f>SUM(C6326,C6302,C6278,C6254,C6230,C6206,C6182)/POBLA!$B$13*100000</f>
        <v>102.69612497977731</v>
      </c>
    </row>
    <row r="6327" spans="1:13" s="360" customFormat="1" x14ac:dyDescent="0.25">
      <c r="A6327" s="367" t="s">
        <v>23</v>
      </c>
      <c r="B6327" s="267">
        <v>44156</v>
      </c>
      <c r="C6327" s="1">
        <v>1</v>
      </c>
      <c r="D6327" s="39">
        <f t="shared" si="861"/>
        <v>435</v>
      </c>
      <c r="E6327" s="1">
        <f>1</f>
        <v>1</v>
      </c>
      <c r="F6327" s="409">
        <f t="shared" si="868"/>
        <v>8</v>
      </c>
      <c r="G6327" s="168">
        <f>SUM(C6327,C6303,C6279,C6255,C6231,C6207,C6183,C6159,C6135,C6111,C6087,C6063,C6039,C6015)/POBLA!$B$14*100000</f>
        <v>8.3247839123947305</v>
      </c>
      <c r="H6327" s="256">
        <f t="shared" si="862"/>
        <v>0.88983050847457623</v>
      </c>
      <c r="I6327" s="297">
        <f t="shared" si="869"/>
        <v>7.4076467017071748</v>
      </c>
      <c r="J6327" s="297">
        <f t="shared" si="870"/>
        <v>9</v>
      </c>
      <c r="K6327" s="297">
        <f>J6327/POBLA!$B$14*100000</f>
        <v>0.71355290677669125</v>
      </c>
      <c r="L6327" s="549">
        <f t="shared" si="863"/>
        <v>-0.5</v>
      </c>
      <c r="M6327" s="401">
        <f>SUM(C6327,C6303,C6279,C6255,C6231,C6207,C6183)/POBLA!$B$14*100000</f>
        <v>4.994870347436839</v>
      </c>
    </row>
    <row r="6328" spans="1:13" s="360" customFormat="1" x14ac:dyDescent="0.25">
      <c r="A6328" s="367" t="s">
        <v>19</v>
      </c>
      <c r="B6328" s="267">
        <v>44156</v>
      </c>
      <c r="C6328" s="1">
        <v>235</v>
      </c>
      <c r="D6328" s="39">
        <f t="shared" si="861"/>
        <v>29494</v>
      </c>
      <c r="E6328" s="1"/>
      <c r="F6328" s="409">
        <f t="shared" si="868"/>
        <v>572</v>
      </c>
      <c r="G6328" s="168">
        <f>SUM(C6328,C6304,C6280,C6256,C6232,C6208,C6184,C6160,C6136,C6112,C6088,C6064,C6040,C6016)/POBLA!$B$15*100000</f>
        <v>661.69018623401303</v>
      </c>
      <c r="H6328" s="256">
        <f t="shared" si="862"/>
        <v>0.73811523601545437</v>
      </c>
      <c r="I6328" s="297">
        <f t="shared" si="869"/>
        <v>488.4036079812285</v>
      </c>
      <c r="J6328" s="297">
        <f t="shared" si="870"/>
        <v>402.85714285714283</v>
      </c>
      <c r="K6328" s="297">
        <f>J6328/POBLA!$B$15*100000</f>
        <v>60.666048676114066</v>
      </c>
      <c r="L6328" s="549">
        <f t="shared" si="863"/>
        <v>-0.79161372299872945</v>
      </c>
      <c r="M6328" s="401">
        <f>SUM(C6328,C6304,C6280,C6256,C6232,C6208,C6184)/POBLA!$B$15*100000</f>
        <v>424.66234073279855</v>
      </c>
    </row>
    <row r="6329" spans="1:13" s="360" customFormat="1" x14ac:dyDescent="0.25">
      <c r="A6329" s="367" t="s">
        <v>18</v>
      </c>
      <c r="B6329" s="267">
        <v>44156</v>
      </c>
      <c r="C6329" s="1">
        <v>169</v>
      </c>
      <c r="D6329" s="39">
        <f t="shared" si="861"/>
        <v>29915</v>
      </c>
      <c r="E6329" s="1">
        <v>1</v>
      </c>
      <c r="F6329" s="409">
        <f t="shared" si="868"/>
        <v>751</v>
      </c>
      <c r="G6329" s="168">
        <f>SUM(C6329,C6305,C6281,C6257,C6233,C6209,C6185,C6161,C6137,C6113,C6089,C6065,C6041,C6017)/POBLA!$B$16*100000</f>
        <v>509.89152098019025</v>
      </c>
      <c r="H6329" s="256">
        <f t="shared" si="862"/>
        <v>0.83578162683622015</v>
      </c>
      <c r="I6329" s="297">
        <f t="shared" si="869"/>
        <v>426.15796491481808</v>
      </c>
      <c r="J6329" s="297">
        <f t="shared" si="870"/>
        <v>229</v>
      </c>
      <c r="K6329" s="297">
        <f>J6329/POBLA!$B$16*100000</f>
        <v>30.630943941359799</v>
      </c>
      <c r="L6329" s="549">
        <f t="shared" si="863"/>
        <v>0.27433227704843821</v>
      </c>
      <c r="M6329" s="401">
        <f>SUM(C6329,C6305,C6281,C6257,C6233,C6209,C6185)/POBLA!$B$16*100000</f>
        <v>214.41660758951858</v>
      </c>
    </row>
    <row r="6330" spans="1:13" s="360" customFormat="1" x14ac:dyDescent="0.25">
      <c r="A6330" s="367" t="s">
        <v>34</v>
      </c>
      <c r="B6330" s="267">
        <v>44156</v>
      </c>
      <c r="C6330" s="1">
        <v>48</v>
      </c>
      <c r="D6330" s="39">
        <f t="shared" ref="D6330:D6336" si="871">C6330+D6306</f>
        <v>20726</v>
      </c>
      <c r="E6330" s="1">
        <f>1</f>
        <v>1</v>
      </c>
      <c r="F6330" s="409">
        <f t="shared" si="868"/>
        <v>947</v>
      </c>
      <c r="G6330" s="168">
        <f>SUM(C6330,C6306,C6282,C6258,C6234,C6210,C6186,C6162,C6138,C6114,C6090,C6066,C6042,C6018)/POBLA!$B$17*100000</f>
        <v>85.369458093494998</v>
      </c>
      <c r="H6330" s="256">
        <f t="shared" ref="H6330:H6361" si="872">SUM(C6330,C6306,C6282,C6258,C6234,C6210,C6186,C6162,C6138,C6114,C6090,C6066,C6042,C6018)/SUM(C5994,C5970,C5946,C5922,C5898,C5874,C5850,C5826,C5802,C5778,C5754,C5730,C5706,C5682)</f>
        <v>0.64922584089695679</v>
      </c>
      <c r="I6330" s="297">
        <f t="shared" si="869"/>
        <v>55.424058217666804</v>
      </c>
      <c r="J6330" s="297">
        <f t="shared" si="870"/>
        <v>85.857142857142861</v>
      </c>
      <c r="K6330" s="297">
        <f>J6330/POBLA!$B$17*100000</f>
        <v>6.0276132887911773</v>
      </c>
      <c r="L6330" s="549">
        <f t="shared" ref="L6330:L6361" si="873">1-SUM(C6330,C6306,C6282,C6258,C6234,C6210,C6186)/SUM(C6162,C6138,C6114,C6090,C6066,C6042,C6018)</f>
        <v>2.2764227642276369E-2</v>
      </c>
      <c r="M6330" s="401">
        <f>SUM(C6330,C6306,C6282,C6258,C6234,C6210,C6186)/POBLA!$B$17*100000</f>
        <v>42.193293021538238</v>
      </c>
    </row>
    <row r="6331" spans="1:13" s="360" customFormat="1" x14ac:dyDescent="0.25">
      <c r="A6331" s="367" t="s">
        <v>35</v>
      </c>
      <c r="B6331" s="267">
        <v>44156</v>
      </c>
      <c r="C6331" s="1">
        <v>115</v>
      </c>
      <c r="D6331" s="39">
        <f t="shared" si="871"/>
        <v>5668</v>
      </c>
      <c r="E6331" s="1"/>
      <c r="F6331" s="409">
        <f t="shared" si="868"/>
        <v>143</v>
      </c>
      <c r="G6331" s="168">
        <f>SUM(C6331,C6307,C6283,C6259,C6235,C6211,C6187,C6163,C6139,C6115,C6091,C6067,C6043,C6019)/POBLA!$B$18*100000</f>
        <v>272.90752761396641</v>
      </c>
      <c r="H6331" s="256">
        <f t="shared" si="872"/>
        <v>0.98886827458256032</v>
      </c>
      <c r="I6331" s="297">
        <f t="shared" si="869"/>
        <v>269.86959595221538</v>
      </c>
      <c r="J6331" s="297">
        <f t="shared" si="870"/>
        <v>178.28571428571428</v>
      </c>
      <c r="K6331" s="297">
        <f>J6331/POBLA!$B$18*100000</f>
        <v>22.821535410227156</v>
      </c>
      <c r="L6331" s="549">
        <f t="shared" si="873"/>
        <v>-0.41176470588235303</v>
      </c>
      <c r="M6331" s="401">
        <f>SUM(C6331,C6307,C6283,C6259,C6235,C6211,C6187)/POBLA!$B$18*100000</f>
        <v>159.75074787159008</v>
      </c>
    </row>
    <row r="6332" spans="1:13" s="360" customFormat="1" x14ac:dyDescent="0.25">
      <c r="A6332" s="367" t="s">
        <v>36</v>
      </c>
      <c r="B6332" s="267">
        <v>44156</v>
      </c>
      <c r="C6332" s="1">
        <v>250</v>
      </c>
      <c r="D6332" s="39">
        <f t="shared" si="871"/>
        <v>13037</v>
      </c>
      <c r="E6332" s="1">
        <f>1</f>
        <v>1</v>
      </c>
      <c r="F6332" s="409">
        <f t="shared" si="868"/>
        <v>178</v>
      </c>
      <c r="G6332" s="168">
        <f>SUM(C6332,C6308,C6284,C6260,C6236,C6212,C6188,C6164,C6140,C6116,C6092,C6068,C6044,C6020)/POBLA!$B$19*100000</f>
        <v>790.8279693426291</v>
      </c>
      <c r="H6332" s="256">
        <f t="shared" si="872"/>
        <v>1.0829741379310345</v>
      </c>
      <c r="I6332" s="297">
        <f t="shared" si="869"/>
        <v>856.44623835058428</v>
      </c>
      <c r="J6332" s="297">
        <f t="shared" si="870"/>
        <v>263.28571428571428</v>
      </c>
      <c r="K6332" s="297">
        <f>J6332/POBLA!$B$19*100000</f>
        <v>51.794454424252507</v>
      </c>
      <c r="L6332" s="549">
        <f t="shared" si="873"/>
        <v>0.15342214056040426</v>
      </c>
      <c r="M6332" s="401">
        <f>SUM(C6332,C6308,C6284,C6260,C6236,C6212,C6188)/POBLA!$B$19*100000</f>
        <v>362.56118096976758</v>
      </c>
    </row>
    <row r="6333" spans="1:13" s="360" customFormat="1" x14ac:dyDescent="0.25">
      <c r="A6333" s="367" t="s">
        <v>37</v>
      </c>
      <c r="B6333" s="267">
        <v>44156</v>
      </c>
      <c r="C6333" s="1">
        <v>163</v>
      </c>
      <c r="D6333" s="39">
        <f t="shared" si="871"/>
        <v>14010</v>
      </c>
      <c r="E6333" s="1">
        <v>7</v>
      </c>
      <c r="F6333" s="409">
        <f t="shared" si="868"/>
        <v>231</v>
      </c>
      <c r="G6333" s="168">
        <f>SUM(C6333,C6309,C6285,C6261,C6237,C6213,C6189,C6165,C6141,C6117,C6093,C6069,C6045,C6021)/POBLA!$B$20*100000</f>
        <v>847.69399887338739</v>
      </c>
      <c r="H6333" s="256">
        <f t="shared" si="872"/>
        <v>1.1836578846888126</v>
      </c>
      <c r="I6333" s="297">
        <f t="shared" si="869"/>
        <v>1003.3796855698744</v>
      </c>
      <c r="J6333" s="297">
        <f t="shared" si="870"/>
        <v>220.14285714285714</v>
      </c>
      <c r="K6333" s="297">
        <f>J6333/POBLA!$B$20*100000</f>
        <v>60.197993191884329</v>
      </c>
      <c r="L6333" s="549">
        <f t="shared" si="873"/>
        <v>1.1545862732520895E-2</v>
      </c>
      <c r="M6333" s="401">
        <f>SUM(C6333,C6309,C6285,C6261,C6237,C6213,C6189)/POBLA!$B$20*100000</f>
        <v>421.3859523431903</v>
      </c>
    </row>
    <row r="6334" spans="1:13" s="360" customFormat="1" x14ac:dyDescent="0.25">
      <c r="A6334" s="367" t="s">
        <v>22</v>
      </c>
      <c r="B6334" s="267">
        <v>44156</v>
      </c>
      <c r="C6334" s="1">
        <v>1254</v>
      </c>
      <c r="D6334" s="39">
        <f t="shared" si="871"/>
        <v>137263</v>
      </c>
      <c r="E6334" s="1">
        <f>12+9</f>
        <v>21</v>
      </c>
      <c r="F6334" s="409">
        <f t="shared" si="868"/>
        <v>2043</v>
      </c>
      <c r="G6334" s="168">
        <f>SUM(C6334,C6310,C6286,C6262,C6238,C6214,C6190,C6166,C6142,C6118,C6094,C6070,C6046,C6022)/POBLA!$B$21*100000</f>
        <v>561.01965321972682</v>
      </c>
      <c r="H6334" s="256">
        <f t="shared" si="872"/>
        <v>0.81572239125071955</v>
      </c>
      <c r="I6334" s="297">
        <f t="shared" si="869"/>
        <v>457.636293063045</v>
      </c>
      <c r="J6334" s="297">
        <f t="shared" si="870"/>
        <v>1402.1428571428571</v>
      </c>
      <c r="K6334" s="297">
        <f>J6334/POBLA!$B$21*100000</f>
        <v>39.648674368891264</v>
      </c>
      <c r="L6334" s="549">
        <f t="shared" si="873"/>
        <v>2.094763092269325E-2</v>
      </c>
      <c r="M6334" s="401">
        <f>SUM(C6334,C6310,C6286,C6262,C6238,C6214,C6190)/POBLA!$B$21*100000</f>
        <v>277.54072058223886</v>
      </c>
    </row>
    <row r="6335" spans="1:13" s="360" customFormat="1" x14ac:dyDescent="0.25">
      <c r="A6335" s="367" t="s">
        <v>38</v>
      </c>
      <c r="B6335" s="267">
        <v>44156</v>
      </c>
      <c r="C6335" s="1">
        <v>201</v>
      </c>
      <c r="D6335" s="39">
        <f t="shared" si="871"/>
        <v>14364</v>
      </c>
      <c r="E6335" s="1"/>
      <c r="F6335" s="409">
        <f t="shared" si="868"/>
        <v>173</v>
      </c>
      <c r="G6335" s="168">
        <f>SUM(C6335,C6311,C6287,C6263,C6239,C6215,C6191,C6167,C6143,C6119,C6095,C6071,C6047,C6023)/POBLA!$B$22*100000</f>
        <v>327.91141485393734</v>
      </c>
      <c r="H6335" s="256">
        <f t="shared" si="872"/>
        <v>1.0576986482030992</v>
      </c>
      <c r="I6335" s="297">
        <f t="shared" si="869"/>
        <v>346.83146022137521</v>
      </c>
      <c r="J6335" s="297">
        <f t="shared" si="870"/>
        <v>213.71428571428572</v>
      </c>
      <c r="K6335" s="297">
        <f>J6335/POBLA!$B$22*100000</f>
        <v>21.845185100707617</v>
      </c>
      <c r="L6335" s="549">
        <f t="shared" si="873"/>
        <v>0.12616822429906538</v>
      </c>
      <c r="M6335" s="401">
        <f>SUM(C6335,C6311,C6287,C6263,C6239,C6215,C6191)/POBLA!$B$22*100000</f>
        <v>152.91629570495334</v>
      </c>
    </row>
    <row r="6336" spans="1:13" s="360" customFormat="1" x14ac:dyDescent="0.25">
      <c r="A6336" s="367" t="s">
        <v>39</v>
      </c>
      <c r="B6336" s="267">
        <v>44156</v>
      </c>
      <c r="C6336" s="1">
        <v>221</v>
      </c>
      <c r="D6336" s="39">
        <f t="shared" si="871"/>
        <v>15186</v>
      </c>
      <c r="E6336" s="1">
        <f>2</f>
        <v>2</v>
      </c>
      <c r="F6336" s="409">
        <f t="shared" si="868"/>
        <v>219</v>
      </c>
      <c r="G6336" s="168">
        <f>SUM(C6336,C6312,C6288,C6264,C6240,C6216,C6192,C6168,C6144,C6120,C6096,C6072,C6048,C6024)/POBLA!$B$23*100000</f>
        <v>1259.9672001357237</v>
      </c>
      <c r="H6336" s="256">
        <f t="shared" si="872"/>
        <v>0.70752619879326772</v>
      </c>
      <c r="I6336" s="297">
        <f t="shared" si="869"/>
        <v>891.459803716225</v>
      </c>
      <c r="J6336" s="297">
        <f t="shared" si="870"/>
        <v>144.85714285714286</v>
      </c>
      <c r="K6336" s="297">
        <f>J6336/POBLA!$B$23*100000</f>
        <v>81.918872848013834</v>
      </c>
      <c r="L6336" s="549">
        <f t="shared" si="873"/>
        <v>0.16474464579901149</v>
      </c>
      <c r="M6336" s="401">
        <f>SUM(C6336,C6312,C6288,C6264,C6240,C6216,C6192)/POBLA!$B$23*100000</f>
        <v>573.43210993609682</v>
      </c>
    </row>
    <row r="6337" spans="1:13" s="360" customFormat="1" ht="15.75" thickBot="1" x14ac:dyDescent="0.3">
      <c r="A6337" s="369" t="s">
        <v>40</v>
      </c>
      <c r="B6337" s="267">
        <v>44156</v>
      </c>
      <c r="C6337" s="1">
        <v>257</v>
      </c>
      <c r="D6337" s="176">
        <f>C6337+D6313</f>
        <v>63136</v>
      </c>
      <c r="E6337" s="1">
        <v>2</v>
      </c>
      <c r="F6337" s="476">
        <f t="shared" si="868"/>
        <v>1058</v>
      </c>
      <c r="G6337" s="177">
        <f>SUM(C6337,C6313,C6289,C6265,C6241,C6217,C6193,C6169,C6145,C6121,C6097,C6073,C6049,C6025)/POBLA!$B$24*100000</f>
        <v>512.31636391102393</v>
      </c>
      <c r="H6337" s="402">
        <f t="shared" si="872"/>
        <v>0.73050063104753893</v>
      </c>
      <c r="I6337" s="403">
        <f t="shared" si="869"/>
        <v>374.2474271329836</v>
      </c>
      <c r="J6337" s="403">
        <f t="shared" si="870"/>
        <v>501</v>
      </c>
      <c r="K6337" s="403">
        <f>J6337/POBLA!$B$24*100000</f>
        <v>29.563522036330678</v>
      </c>
      <c r="L6337" s="550">
        <f t="shared" si="873"/>
        <v>0.32231884057971016</v>
      </c>
      <c r="M6337" s="405">
        <f>SUM(C6337,C6313,C6289,C6265,C6241,C6217,C6193)/POBLA!$B$24*100000</f>
        <v>206.94465425431474</v>
      </c>
    </row>
    <row r="6338" spans="1:13" s="360" customFormat="1" x14ac:dyDescent="0.25">
      <c r="A6338" s="363" t="s">
        <v>16</v>
      </c>
      <c r="B6338" s="267">
        <v>44157</v>
      </c>
      <c r="C6338" s="1">
        <v>998</v>
      </c>
      <c r="D6338" s="174">
        <f t="shared" ref="D6338:D6401" si="874">C6338+D6314</f>
        <v>605014</v>
      </c>
      <c r="E6338" s="1">
        <f>17+16</f>
        <v>33</v>
      </c>
      <c r="F6338" s="475">
        <f t="shared" si="868"/>
        <v>19969</v>
      </c>
      <c r="G6338" s="175">
        <f>SUM(C6338,C6314,C6290,C6266,C6242,C6218,C6194,C6170,C6146,C6122,C6098,C6074,C6050,C6026)/POBLA!$B$1*100000</f>
        <v>196.77739321518482</v>
      </c>
      <c r="H6338" s="300">
        <f t="shared" si="872"/>
        <v>0.79943025221761588</v>
      </c>
      <c r="I6338" s="301">
        <f>G6338*H6338</f>
        <v>157.30980108874016</v>
      </c>
      <c r="J6338" s="301">
        <f>AVERAGE(C6338,C6314,C6290,C6266,C6242,C6218,C6194)</f>
        <v>2251.4285714285716</v>
      </c>
      <c r="K6338" s="301">
        <f>J6338/POBLA!$B$1*100000</f>
        <v>12.835131827676271</v>
      </c>
      <c r="L6338" s="548">
        <f t="shared" si="873"/>
        <v>0.15978034866982993</v>
      </c>
      <c r="M6338" s="400">
        <f>SUM(C6338,C6314,C6290,C6266,C6242,C6218,C6194)/POBLA!$B$1*100000</f>
        <v>89.845922793733877</v>
      </c>
    </row>
    <row r="6339" spans="1:13" s="360" customFormat="1" x14ac:dyDescent="0.25">
      <c r="A6339" s="367" t="s">
        <v>43</v>
      </c>
      <c r="B6339" s="267">
        <v>44157</v>
      </c>
      <c r="C6339" s="1">
        <v>195</v>
      </c>
      <c r="D6339" s="39">
        <f t="shared" si="874"/>
        <v>156414</v>
      </c>
      <c r="E6339" s="1">
        <f>3+1</f>
        <v>4</v>
      </c>
      <c r="F6339" s="409">
        <f t="shared" si="868"/>
        <v>5162</v>
      </c>
      <c r="G6339" s="168">
        <f>SUM(C6339,C6315,C6291,C6267,C6243,C6219,C6195,C6171,C6147,C6123,C6099,C6075,C6051,C6027)/POBLA!$B$2*100000</f>
        <v>189.81378221030639</v>
      </c>
      <c r="H6339" s="256">
        <f t="shared" si="872"/>
        <v>0.88642575159429093</v>
      </c>
      <c r="I6339" s="297">
        <f t="shared" ref="I6339:I6361" si="875">G6339*H6339</f>
        <v>168.25582455872589</v>
      </c>
      <c r="J6339" s="297">
        <f t="shared" ref="J6339:J6361" si="876">AVERAGE(C6339,C6315,C6291,C6267,C6243,C6219,C6195)</f>
        <v>375.57142857142856</v>
      </c>
      <c r="K6339" s="297">
        <f>J6339/POBLA!$B$2*100000</f>
        <v>12.211139662088177</v>
      </c>
      <c r="L6339" s="549">
        <f t="shared" si="873"/>
        <v>0.18074166406980363</v>
      </c>
      <c r="M6339" s="401">
        <f>SUM(C6339,C6315,C6291,C6267,C6243,C6219,C6195)/POBLA!$B$2*100000</f>
        <v>85.477977634617247</v>
      </c>
    </row>
    <row r="6340" spans="1:13" s="360" customFormat="1" x14ac:dyDescent="0.25">
      <c r="A6340" s="367" t="s">
        <v>28</v>
      </c>
      <c r="B6340" s="267">
        <v>44157</v>
      </c>
      <c r="C6340" s="1">
        <v>37</v>
      </c>
      <c r="D6340" s="39">
        <f t="shared" si="874"/>
        <v>1708</v>
      </c>
      <c r="E6340" s="1"/>
      <c r="F6340" s="409">
        <f t="shared" si="868"/>
        <v>13</v>
      </c>
      <c r="G6340" s="168">
        <f>SUM(C6340,C6316,C6292,C6268,C6244,C6220,C6196,C6172,C6148,C6124,C6100,C6076,C6052,C6028)/POBLA!$B$3*100000</f>
        <v>127.33548688372272</v>
      </c>
      <c r="H6340" s="256">
        <f t="shared" si="872"/>
        <v>0.96532846715328469</v>
      </c>
      <c r="I6340" s="297">
        <f t="shared" si="875"/>
        <v>122.92057036768125</v>
      </c>
      <c r="J6340" s="297">
        <f t="shared" si="876"/>
        <v>34.571428571428569</v>
      </c>
      <c r="K6340" s="297">
        <f>J6340/POBLA!$B$3*100000</f>
        <v>8.3216818325306221</v>
      </c>
      <c r="L6340" s="549">
        <f t="shared" si="873"/>
        <v>0.15679442508710806</v>
      </c>
      <c r="M6340" s="401">
        <f>SUM(C6340,C6316,C6292,C6268,C6244,C6220,C6196)/POBLA!$B$3*100000</f>
        <v>58.251772827714362</v>
      </c>
    </row>
    <row r="6341" spans="1:13" s="360" customFormat="1" x14ac:dyDescent="0.25">
      <c r="A6341" s="367" t="s">
        <v>15</v>
      </c>
      <c r="B6341" s="267">
        <v>44157</v>
      </c>
      <c r="C6341" s="1">
        <v>119</v>
      </c>
      <c r="D6341" s="39">
        <f t="shared" si="874"/>
        <v>17778</v>
      </c>
      <c r="E6341" s="1">
        <f>1+1</f>
        <v>2</v>
      </c>
      <c r="F6341" s="409">
        <f t="shared" si="868"/>
        <v>527</v>
      </c>
      <c r="G6341" s="168">
        <f>SUM(C6341,C6317,C6293,C6269,C6245,C6221,C6197,C6173,C6149,C6125,C6101,C6077,C6053,C6029)/POBLA!$B$4*100000</f>
        <v>227.47253933240958</v>
      </c>
      <c r="H6341" s="256">
        <f t="shared" si="872"/>
        <v>1.406570841889117</v>
      </c>
      <c r="I6341" s="297">
        <f t="shared" si="875"/>
        <v>319.95624115544263</v>
      </c>
      <c r="J6341" s="297">
        <f t="shared" si="876"/>
        <v>208.57142857142858</v>
      </c>
      <c r="K6341" s="297">
        <f>J6341/POBLA!$B$4*100000</f>
        <v>17.315427915814286</v>
      </c>
      <c r="L6341" s="549">
        <f t="shared" si="873"/>
        <v>-0.140625</v>
      </c>
      <c r="M6341" s="401">
        <f>SUM(C6341,C6317,C6293,C6269,C6245,C6221,C6197)/POBLA!$B$4*100000</f>
        <v>121.20799541070001</v>
      </c>
    </row>
    <row r="6342" spans="1:13" s="360" customFormat="1" x14ac:dyDescent="0.25">
      <c r="A6342" s="367" t="s">
        <v>29</v>
      </c>
      <c r="B6342" s="267">
        <v>44157</v>
      </c>
      <c r="C6342" s="1">
        <v>146</v>
      </c>
      <c r="D6342" s="39">
        <f t="shared" si="874"/>
        <v>21167</v>
      </c>
      <c r="E6342" s="1"/>
      <c r="F6342" s="409">
        <f t="shared" si="868"/>
        <v>357</v>
      </c>
      <c r="G6342" s="168">
        <f>SUM(C6342,C6318,C6294,C6270,C6246,C6222,C6198,C6174,C6150,C6126,C6102,C6078,C6054,C6030)/POBLA!$B$5*100000</f>
        <v>690.1520854806347</v>
      </c>
      <c r="H6342" s="256">
        <f t="shared" si="872"/>
        <v>0.95827725437415878</v>
      </c>
      <c r="I6342" s="297">
        <f t="shared" si="875"/>
        <v>661.35704557498229</v>
      </c>
      <c r="J6342" s="297">
        <f t="shared" si="876"/>
        <v>282.28571428571428</v>
      </c>
      <c r="K6342" s="297">
        <f>J6342/POBLA!$B$5*100000</f>
        <v>45.603950003669546</v>
      </c>
      <c r="L6342" s="549">
        <f t="shared" si="873"/>
        <v>0.13937282229965153</v>
      </c>
      <c r="M6342" s="401">
        <f>SUM(C6342,C6318,C6294,C6270,C6246,C6222,C6198)/POBLA!$B$5*100000</f>
        <v>319.22765002568684</v>
      </c>
    </row>
    <row r="6343" spans="1:13" s="360" customFormat="1" x14ac:dyDescent="0.25">
      <c r="A6343" s="367" t="s">
        <v>20</v>
      </c>
      <c r="B6343" s="267">
        <v>44157</v>
      </c>
      <c r="C6343" s="1">
        <v>452</v>
      </c>
      <c r="D6343" s="39">
        <f t="shared" si="874"/>
        <v>109226</v>
      </c>
      <c r="E6343" s="1">
        <f>3+2</f>
        <v>5</v>
      </c>
      <c r="F6343" s="409">
        <f t="shared" si="868"/>
        <v>1776</v>
      </c>
      <c r="G6343" s="168">
        <f>SUM(C6343,C6319,C6295,C6271,C6247,C6223,C6199,C6175,C6151,C6127,C6103,C6079,C6055,C6031)/POBLA!$B$6*100000</f>
        <v>1396.0551427059754</v>
      </c>
      <c r="H6343" s="256">
        <f t="shared" si="872"/>
        <v>0.88984303912647866</v>
      </c>
      <c r="I6343" s="297">
        <f t="shared" si="875"/>
        <v>1242.2699509736351</v>
      </c>
      <c r="J6343" s="297">
        <f t="shared" si="876"/>
        <v>966.28571428571433</v>
      </c>
      <c r="K6343" s="297">
        <f>J6343/POBLA!$B$6*100000</f>
        <v>86.213851904639114</v>
      </c>
      <c r="L6343" s="549">
        <f t="shared" si="873"/>
        <v>0.23854553641787679</v>
      </c>
      <c r="M6343" s="401">
        <f>SUM(C6343,C6319,C6295,C6271,C6247,C6223,C6199)/POBLA!$B$6*100000</f>
        <v>603.4969633324738</v>
      </c>
    </row>
    <row r="6344" spans="1:13" s="360" customFormat="1" x14ac:dyDescent="0.25">
      <c r="A6344" s="367" t="s">
        <v>30</v>
      </c>
      <c r="B6344" s="267">
        <v>44157</v>
      </c>
      <c r="C6344" s="1">
        <v>27</v>
      </c>
      <c r="D6344" s="39">
        <f t="shared" si="874"/>
        <v>4796</v>
      </c>
      <c r="E6344" s="1"/>
      <c r="F6344" s="409">
        <f t="shared" si="868"/>
        <v>86</v>
      </c>
      <c r="G6344" s="168">
        <f>SUM(C6344,C6320,C6296,C6272,C6248,C6224,C6200,C6176,C6152,C6128,C6104,C6080,C6056,C6032)/POBLA!$B$7*100000</f>
        <v>50.153572045898763</v>
      </c>
      <c r="H6344" s="256">
        <f t="shared" si="872"/>
        <v>2.9422776911076443</v>
      </c>
      <c r="I6344" s="297">
        <f t="shared" si="875"/>
        <v>147.5657361600079</v>
      </c>
      <c r="J6344" s="297">
        <f t="shared" si="876"/>
        <v>154.28571428571428</v>
      </c>
      <c r="K6344" s="297">
        <f>J6344/POBLA!$B$7*100000</f>
        <v>4.1028524321747204</v>
      </c>
      <c r="L6344" s="549">
        <f t="shared" si="873"/>
        <v>-0.33995037220843671</v>
      </c>
      <c r="M6344" s="401">
        <f>SUM(C6344,C6320,C6296,C6272,C6248,C6224,C6200)/POBLA!$B$7*100000</f>
        <v>28.719967025223042</v>
      </c>
    </row>
    <row r="6345" spans="1:13" x14ac:dyDescent="0.25">
      <c r="A6345" s="367" t="s">
        <v>31</v>
      </c>
      <c r="B6345" s="267">
        <v>44157</v>
      </c>
      <c r="C6345" s="1">
        <v>159</v>
      </c>
      <c r="D6345" s="39">
        <f t="shared" si="874"/>
        <v>21877</v>
      </c>
      <c r="E6345" s="1">
        <f>2</f>
        <v>2</v>
      </c>
      <c r="F6345" s="409">
        <f t="shared" si="868"/>
        <v>418</v>
      </c>
      <c r="G6345" s="168">
        <f>SUM(C6345,C6321,C6297,C6273,C6249,C6225,C6201,C6177,C6153,C6129,C6105,C6081,C6057,C6033)/POBLA!$B$8*100000</f>
        <v>272.22988237042745</v>
      </c>
      <c r="H6345" s="256">
        <f t="shared" si="872"/>
        <v>0.90609990393852069</v>
      </c>
      <c r="I6345" s="297">
        <f t="shared" si="875"/>
        <v>246.6674702650391</v>
      </c>
      <c r="J6345" s="297">
        <f t="shared" si="876"/>
        <v>261.57142857142856</v>
      </c>
      <c r="K6345" s="297">
        <f>J6345/POBLA!$B$8*100000</f>
        <v>18.872928500255675</v>
      </c>
      <c r="L6345" s="549">
        <f t="shared" si="873"/>
        <v>5.7157569515962958E-2</v>
      </c>
      <c r="M6345" s="401">
        <f>SUM(C6345,C6321,C6297,C6273,C6249,C6225,C6201)/POBLA!$B$8*100000</f>
        <v>132.11049950178972</v>
      </c>
    </row>
    <row r="6346" spans="1:13" s="360" customFormat="1" x14ac:dyDescent="0.25">
      <c r="A6346" s="367" t="s">
        <v>41</v>
      </c>
      <c r="B6346" s="267">
        <v>44157</v>
      </c>
      <c r="C6346" s="1">
        <v>1</v>
      </c>
      <c r="D6346" s="39">
        <f t="shared" si="874"/>
        <v>180</v>
      </c>
      <c r="E6346" s="1"/>
      <c r="F6346" s="409">
        <f t="shared" si="868"/>
        <v>3</v>
      </c>
      <c r="G6346" s="168">
        <f>SUM(C6346,C6322,C6298,C6274,C6250,C6226,C6202,C6178,C6154,C6130,C6106,C6082,C6058,C6034)/POBLA!$B$9*100000</f>
        <v>2.9742577987518035</v>
      </c>
      <c r="H6346" s="256">
        <f t="shared" si="872"/>
        <v>0.94736842105263153</v>
      </c>
      <c r="I6346" s="297">
        <f t="shared" si="875"/>
        <v>2.8177179146069715</v>
      </c>
      <c r="J6346" s="297">
        <f t="shared" si="876"/>
        <v>1.7142857142857142</v>
      </c>
      <c r="K6346" s="297">
        <f>J6346/POBLA!$B$9*100000</f>
        <v>0.28326264750017172</v>
      </c>
      <c r="L6346" s="549">
        <f t="shared" si="873"/>
        <v>-1</v>
      </c>
      <c r="M6346" s="401">
        <f>SUM(C6346,C6322,C6298,C6274,C6250,C6226,C6202)/POBLA!$B$9*100000</f>
        <v>1.9828385325012021</v>
      </c>
    </row>
    <row r="6347" spans="1:13" s="360" customFormat="1" x14ac:dyDescent="0.25">
      <c r="A6347" s="367" t="s">
        <v>32</v>
      </c>
      <c r="B6347" s="267">
        <v>44157</v>
      </c>
      <c r="C6347" s="1">
        <v>9</v>
      </c>
      <c r="D6347" s="39">
        <f t="shared" si="874"/>
        <v>18294</v>
      </c>
      <c r="E6347" s="1"/>
      <c r="F6347" s="409">
        <f t="shared" si="868"/>
        <v>842</v>
      </c>
      <c r="G6347" s="168">
        <f>SUM(C6347,C6323,C6299,C6275,C6251,C6227,C6203,C6179,C6155,C6131,C6107,C6083,C6059,C6035)/POBLA!$B$10*100000</f>
        <v>34.895139457322209</v>
      </c>
      <c r="H6347" s="256">
        <f t="shared" si="872"/>
        <v>0.65450121654501214</v>
      </c>
      <c r="I6347" s="297">
        <f t="shared" si="875"/>
        <v>22.838911226325241</v>
      </c>
      <c r="J6347" s="297">
        <f t="shared" si="876"/>
        <v>18</v>
      </c>
      <c r="K6347" s="297">
        <f>J6347/POBLA!$B$10*100000</f>
        <v>2.3349907443561331</v>
      </c>
      <c r="L6347" s="549">
        <f t="shared" si="873"/>
        <v>0.11888111888111885</v>
      </c>
      <c r="M6347" s="401">
        <f>SUM(C6347,C6323,C6299,C6275,C6251,C6227,C6203)/POBLA!$B$10*100000</f>
        <v>16.344935210492931</v>
      </c>
    </row>
    <row r="6348" spans="1:13" s="360" customFormat="1" x14ac:dyDescent="0.25">
      <c r="A6348" s="367" t="s">
        <v>33</v>
      </c>
      <c r="B6348" s="267">
        <v>44157</v>
      </c>
      <c r="C6348" s="1">
        <v>82</v>
      </c>
      <c r="D6348" s="39">
        <f t="shared" si="874"/>
        <v>5199</v>
      </c>
      <c r="E6348" s="1"/>
      <c r="F6348" s="409">
        <f t="shared" si="868"/>
        <v>70</v>
      </c>
      <c r="G6348" s="168">
        <f>SUM(C6348,C6324,C6300,C6276,C6252,C6228,C6204,C6180,C6156,C6132,C6108,C6084,C6060,C6036)/POBLA!$B$11*100000</f>
        <v>300.7577533005234</v>
      </c>
      <c r="H6348" s="256">
        <f t="shared" si="872"/>
        <v>0.64744744744744742</v>
      </c>
      <c r="I6348" s="297">
        <f t="shared" si="875"/>
        <v>194.72483967445299</v>
      </c>
      <c r="J6348" s="297">
        <f t="shared" si="876"/>
        <v>70.142857142857139</v>
      </c>
      <c r="K6348" s="297">
        <f>J6348/POBLA!$B$11*100000</f>
        <v>19.569580820375958</v>
      </c>
      <c r="L6348" s="549">
        <f t="shared" si="873"/>
        <v>0.16354344122657583</v>
      </c>
      <c r="M6348" s="401">
        <f>SUM(C6348,C6324,C6300,C6276,C6252,C6228,C6204)/POBLA!$B$11*100000</f>
        <v>136.98706574263173</v>
      </c>
    </row>
    <row r="6349" spans="1:13" s="360" customFormat="1" x14ac:dyDescent="0.25">
      <c r="A6349" s="367" t="s">
        <v>21</v>
      </c>
      <c r="B6349" s="267">
        <v>44157</v>
      </c>
      <c r="C6349" s="1">
        <v>28</v>
      </c>
      <c r="D6349" s="39">
        <f t="shared" si="874"/>
        <v>8511</v>
      </c>
      <c r="E6349" s="1">
        <f>1</f>
        <v>1</v>
      </c>
      <c r="F6349" s="409">
        <f t="shared" si="868"/>
        <v>310</v>
      </c>
      <c r="G6349" s="168">
        <f>SUM(C6349,C6325,C6301,C6277,C6253,C6229,C6205,C6181,C6157,C6133,C6109,C6085,C6061,C6037)/POBLA!$B$12*100000</f>
        <v>168.22054679300996</v>
      </c>
      <c r="H6349" s="256">
        <f t="shared" si="872"/>
        <v>0.9131034482758621</v>
      </c>
      <c r="I6349" s="297">
        <f t="shared" si="875"/>
        <v>153.60276134754841</v>
      </c>
      <c r="J6349" s="297">
        <f t="shared" si="876"/>
        <v>47.285714285714285</v>
      </c>
      <c r="K6349" s="297">
        <f>J6349/POBLA!$B$12*100000</f>
        <v>12.015753342357854</v>
      </c>
      <c r="L6349" s="549">
        <f t="shared" si="873"/>
        <v>0</v>
      </c>
      <c r="M6349" s="401">
        <f>SUM(C6349,C6325,C6301,C6277,C6253,C6229,C6205)/POBLA!$B$12*100000</f>
        <v>84.110273396504979</v>
      </c>
    </row>
    <row r="6350" spans="1:13" s="360" customFormat="1" x14ac:dyDescent="0.25">
      <c r="A6350" s="367" t="s">
        <v>17</v>
      </c>
      <c r="B6350" s="267">
        <v>44157</v>
      </c>
      <c r="C6350" s="1">
        <v>152</v>
      </c>
      <c r="D6350" s="39">
        <f t="shared" si="874"/>
        <v>55189</v>
      </c>
      <c r="E6350" s="1">
        <f>2</f>
        <v>2</v>
      </c>
      <c r="F6350" s="409">
        <f t="shared" si="868"/>
        <v>1068</v>
      </c>
      <c r="G6350" s="168">
        <f>SUM(C6350,C6326,C6302,C6278,C6254,C6230,C6206,C6182,C6158,C6134,C6110,C6086,C6062,C6038)/POBLA!$B$13*100000</f>
        <v>231.8701647659845</v>
      </c>
      <c r="H6350" s="256">
        <f t="shared" si="872"/>
        <v>0.60524590163934422</v>
      </c>
      <c r="I6350" s="297">
        <f t="shared" si="875"/>
        <v>140.33846693705158</v>
      </c>
      <c r="J6350" s="297">
        <f t="shared" si="876"/>
        <v>300.28571428571428</v>
      </c>
      <c r="K6350" s="297">
        <f>J6350/POBLA!$B$13*100000</f>
        <v>15.087171841451767</v>
      </c>
      <c r="L6350" s="549">
        <f t="shared" si="873"/>
        <v>0.16354954237962593</v>
      </c>
      <c r="M6350" s="401">
        <f>SUM(C6350,C6326,C6302,C6278,C6254,C6230,C6206)/POBLA!$B$13*100000</f>
        <v>105.61020289016237</v>
      </c>
    </row>
    <row r="6351" spans="1:13" s="360" customFormat="1" x14ac:dyDescent="0.25">
      <c r="A6351" s="367" t="s">
        <v>23</v>
      </c>
      <c r="B6351" s="267">
        <v>44157</v>
      </c>
      <c r="C6351" s="1">
        <v>1</v>
      </c>
      <c r="D6351" s="39">
        <f t="shared" si="874"/>
        <v>436</v>
      </c>
      <c r="E6351" s="1"/>
      <c r="F6351" s="409">
        <f t="shared" si="868"/>
        <v>8</v>
      </c>
      <c r="G6351" s="168">
        <f>SUM(C6351,C6327,C6303,C6279,C6255,C6231,C6207,C6183,C6159,C6135,C6111,C6087,C6063,C6039)/POBLA!$B$14*100000</f>
        <v>8.1662165997776892</v>
      </c>
      <c r="H6351" s="256">
        <f t="shared" si="872"/>
        <v>0.88793103448275867</v>
      </c>
      <c r="I6351" s="297">
        <f t="shared" si="875"/>
        <v>7.2510371532508797</v>
      </c>
      <c r="J6351" s="297">
        <f t="shared" si="876"/>
        <v>8.7142857142857135</v>
      </c>
      <c r="K6351" s="297">
        <f>J6351/POBLA!$B$14*100000</f>
        <v>0.69090043354568509</v>
      </c>
      <c r="L6351" s="549">
        <f t="shared" si="873"/>
        <v>-0.45238095238095233</v>
      </c>
      <c r="M6351" s="401">
        <f>SUM(C6351,C6327,C6303,C6279,C6255,C6231,C6207)/POBLA!$B$14*100000</f>
        <v>4.8363030348197968</v>
      </c>
    </row>
    <row r="6352" spans="1:13" s="360" customFormat="1" x14ac:dyDescent="0.25">
      <c r="A6352" s="367" t="s">
        <v>19</v>
      </c>
      <c r="B6352" s="267">
        <v>44157</v>
      </c>
      <c r="C6352" s="1">
        <v>169</v>
      </c>
      <c r="D6352" s="39">
        <f t="shared" si="874"/>
        <v>29663</v>
      </c>
      <c r="E6352" s="1">
        <f>9+8</f>
        <v>17</v>
      </c>
      <c r="F6352" s="409">
        <f t="shared" si="868"/>
        <v>589</v>
      </c>
      <c r="G6352" s="168">
        <f>SUM(C6352,C6328,C6304,C6280,C6256,C6232,C6208,C6184,C6160,C6136,C6112,C6088,C6064,C6040)/POBLA!$B$15*100000</f>
        <v>663.94902847195351</v>
      </c>
      <c r="H6352" s="256">
        <f t="shared" si="872"/>
        <v>0.75097939022313065</v>
      </c>
      <c r="I6352" s="297">
        <f t="shared" si="875"/>
        <v>498.61203654110767</v>
      </c>
      <c r="J6352" s="297">
        <f t="shared" si="876"/>
        <v>393.57142857142856</v>
      </c>
      <c r="K6352" s="297">
        <f>J6352/POBLA!$B$15*100000</f>
        <v>59.267717766912867</v>
      </c>
      <c r="L6352" s="549">
        <f t="shared" si="873"/>
        <v>-0.66565900846432879</v>
      </c>
      <c r="M6352" s="401">
        <f>SUM(C6352,C6328,C6304,C6280,C6256,C6232,C6208)/POBLA!$B$15*100000</f>
        <v>414.87402436839011</v>
      </c>
    </row>
    <row r="6353" spans="1:13" s="360" customFormat="1" x14ac:dyDescent="0.25">
      <c r="A6353" s="367" t="s">
        <v>18</v>
      </c>
      <c r="B6353" s="267">
        <v>44157</v>
      </c>
      <c r="C6353" s="1">
        <v>141</v>
      </c>
      <c r="D6353" s="39">
        <f t="shared" si="874"/>
        <v>30056</v>
      </c>
      <c r="E6353" s="1"/>
      <c r="F6353" s="409">
        <f t="shared" si="868"/>
        <v>751</v>
      </c>
      <c r="G6353" s="168">
        <f>SUM(C6353,C6329,C6305,C6281,C6257,C6233,C6209,C6185,C6161,C6137,C6113,C6089,C6065,C6041)/POBLA!$B$16*100000</f>
        <v>511.89791468813951</v>
      </c>
      <c r="H6353" s="256">
        <f t="shared" si="872"/>
        <v>0.86019330186558773</v>
      </c>
      <c r="I6353" s="297">
        <f t="shared" si="875"/>
        <v>440.33115745369969</v>
      </c>
      <c r="J6353" s="297">
        <f t="shared" si="876"/>
        <v>230.28571428571428</v>
      </c>
      <c r="K6353" s="297">
        <f>J6353/POBLA!$B$16*100000</f>
        <v>30.80292054489831</v>
      </c>
      <c r="L6353" s="549">
        <f t="shared" si="873"/>
        <v>0.27223476297968396</v>
      </c>
      <c r="M6353" s="401">
        <f>SUM(C6353,C6329,C6305,C6281,C6257,C6233,C6209)/POBLA!$B$16*100000</f>
        <v>215.62044381428819</v>
      </c>
    </row>
    <row r="6354" spans="1:13" s="360" customFormat="1" x14ac:dyDescent="0.25">
      <c r="A6354" s="367" t="s">
        <v>34</v>
      </c>
      <c r="B6354" s="267">
        <v>44157</v>
      </c>
      <c r="C6354" s="1">
        <v>28</v>
      </c>
      <c r="D6354" s="39">
        <f t="shared" si="874"/>
        <v>20754</v>
      </c>
      <c r="E6354" s="1">
        <f>1</f>
        <v>1</v>
      </c>
      <c r="F6354" s="409">
        <f t="shared" si="868"/>
        <v>948</v>
      </c>
      <c r="G6354" s="168">
        <f>SUM(C6354,C6330,C6306,C6282,C6258,C6234,C6210,C6186,C6162,C6138,C6114,C6090,C6066,C6042)/POBLA!$B$17*100000</f>
        <v>84.807816921827268</v>
      </c>
      <c r="H6354" s="256">
        <f t="shared" si="872"/>
        <v>0.68480725623582761</v>
      </c>
      <c r="I6354" s="297">
        <f t="shared" si="875"/>
        <v>58.077008413586924</v>
      </c>
      <c r="J6354" s="297">
        <f t="shared" si="876"/>
        <v>80.285714285714292</v>
      </c>
      <c r="K6354" s="297">
        <f>J6354/POBLA!$B$17*100000</f>
        <v>5.6364703299511509</v>
      </c>
      <c r="L6354" s="549">
        <f t="shared" si="873"/>
        <v>0.13003095975232193</v>
      </c>
      <c r="M6354" s="401">
        <f>SUM(C6354,C6330,C6306,C6282,C6258,C6234,C6210)/POBLA!$B$17*100000</f>
        <v>39.455292309658049</v>
      </c>
    </row>
    <row r="6355" spans="1:13" s="360" customFormat="1" x14ac:dyDescent="0.25">
      <c r="A6355" s="367" t="s">
        <v>35</v>
      </c>
      <c r="B6355" s="267">
        <v>44157</v>
      </c>
      <c r="C6355" s="1">
        <v>62</v>
      </c>
      <c r="D6355" s="39">
        <f t="shared" si="874"/>
        <v>5730</v>
      </c>
      <c r="E6355" s="1"/>
      <c r="F6355" s="409">
        <f t="shared" si="868"/>
        <v>143</v>
      </c>
      <c r="G6355" s="168">
        <f>SUM(C6355,C6331,C6307,C6283,C6259,C6235,C6211,C6187,C6163,C6139,C6115,C6091,C6067,C6043)/POBLA!$B$18*100000</f>
        <v>264.5871761623211</v>
      </c>
      <c r="H6355" s="256">
        <f t="shared" si="872"/>
        <v>0.90777338603425561</v>
      </c>
      <c r="I6355" s="297">
        <f t="shared" si="875"/>
        <v>240.18519680611232</v>
      </c>
      <c r="J6355" s="297">
        <f t="shared" si="876"/>
        <v>183</v>
      </c>
      <c r="K6355" s="297">
        <f>J6355/POBLA!$B$18*100000</f>
        <v>23.424989471555278</v>
      </c>
      <c r="L6355" s="549">
        <f t="shared" si="873"/>
        <v>-0.62977099236641232</v>
      </c>
      <c r="M6355" s="401">
        <f>SUM(C6355,C6331,C6307,C6283,C6259,C6235,C6211)/POBLA!$B$18*100000</f>
        <v>163.97492630088695</v>
      </c>
    </row>
    <row r="6356" spans="1:13" s="360" customFormat="1" x14ac:dyDescent="0.25">
      <c r="A6356" s="367" t="s">
        <v>36</v>
      </c>
      <c r="B6356" s="267">
        <v>44157</v>
      </c>
      <c r="C6356" s="1">
        <v>126</v>
      </c>
      <c r="D6356" s="39">
        <f t="shared" si="874"/>
        <v>13163</v>
      </c>
      <c r="E6356" s="1">
        <v>1</v>
      </c>
      <c r="F6356" s="409">
        <f t="shared" si="868"/>
        <v>179</v>
      </c>
      <c r="G6356" s="168">
        <f>SUM(C6356,C6332,C6308,C6284,C6260,C6236,C6212,C6188,C6164,C6140,C6116,C6092,C6068,C6044)/POBLA!$B$19*100000</f>
        <v>804.99205237563149</v>
      </c>
      <c r="H6356" s="256">
        <f t="shared" si="872"/>
        <v>1.1436556735606485</v>
      </c>
      <c r="I6356" s="297">
        <f t="shared" si="875"/>
        <v>920.63372787062167</v>
      </c>
      <c r="J6356" s="297">
        <f t="shared" si="876"/>
        <v>255.57142857142858</v>
      </c>
      <c r="K6356" s="297">
        <f>J6356/POBLA!$B$19*100000</f>
        <v>50.27687409928798</v>
      </c>
      <c r="L6356" s="549">
        <f t="shared" si="873"/>
        <v>0.22318714719930521</v>
      </c>
      <c r="M6356" s="401">
        <f>SUM(C6356,C6332,C6308,C6284,C6260,C6236,C6212)/POBLA!$B$19*100000</f>
        <v>351.93811869501582</v>
      </c>
    </row>
    <row r="6357" spans="1:13" s="360" customFormat="1" x14ac:dyDescent="0.25">
      <c r="A6357" s="367" t="s">
        <v>37</v>
      </c>
      <c r="B6357" s="267">
        <v>44157</v>
      </c>
      <c r="C6357" s="1">
        <v>189</v>
      </c>
      <c r="D6357" s="39">
        <f t="shared" si="874"/>
        <v>14199</v>
      </c>
      <c r="E6357" s="1"/>
      <c r="F6357" s="409">
        <f t="shared" si="868"/>
        <v>231</v>
      </c>
      <c r="G6357" s="168">
        <f>SUM(C6357,C6333,C6309,C6285,C6261,C6237,C6213,C6189,C6165,C6141,C6117,C6093,C6069,C6045)/POBLA!$B$20*100000</f>
        <v>851.24884467511447</v>
      </c>
      <c r="H6357" s="256">
        <f t="shared" si="872"/>
        <v>1.1895299961788308</v>
      </c>
      <c r="I6357" s="297">
        <f t="shared" si="875"/>
        <v>1012.5860349536231</v>
      </c>
      <c r="J6357" s="297">
        <f t="shared" si="876"/>
        <v>220.57142857142858</v>
      </c>
      <c r="K6357" s="297">
        <f>J6357/POBLA!$B$20*100000</f>
        <v>60.315185910622581</v>
      </c>
      <c r="L6357" s="549">
        <f t="shared" si="873"/>
        <v>1.5933715742511123E-2</v>
      </c>
      <c r="M6357" s="401">
        <f>SUM(C6357,C6333,C6309,C6285,C6261,C6237,C6213)/POBLA!$B$20*100000</f>
        <v>422.20630137435808</v>
      </c>
    </row>
    <row r="6358" spans="1:13" s="360" customFormat="1" x14ac:dyDescent="0.25">
      <c r="A6358" s="367" t="s">
        <v>22</v>
      </c>
      <c r="B6358" s="267">
        <v>44157</v>
      </c>
      <c r="C6358" s="1">
        <v>634</v>
      </c>
      <c r="D6358" s="39">
        <f t="shared" si="874"/>
        <v>137897</v>
      </c>
      <c r="E6358" s="1">
        <f>19+12</f>
        <v>31</v>
      </c>
      <c r="F6358" s="409">
        <f t="shared" si="868"/>
        <v>2074</v>
      </c>
      <c r="G6358" s="168">
        <f>SUM(C6358,C6334,C6310,C6286,C6262,C6238,C6214,C6190,C6166,C6142,C6118,C6094,C6070,C6046)/POBLA!$B$21*100000</f>
        <v>554.09173915526947</v>
      </c>
      <c r="H6358" s="256">
        <f t="shared" si="872"/>
        <v>0.82345772398722472</v>
      </c>
      <c r="I6358" s="297">
        <f t="shared" si="875"/>
        <v>456.27112240492119</v>
      </c>
      <c r="J6358" s="297">
        <f t="shared" si="876"/>
        <v>1394.8571428571429</v>
      </c>
      <c r="K6358" s="297">
        <f>J6358/POBLA!$B$21*100000</f>
        <v>39.442654766974456</v>
      </c>
      <c r="L6358" s="549">
        <f t="shared" si="873"/>
        <v>6.8151764825551409E-3</v>
      </c>
      <c r="M6358" s="401">
        <f>SUM(C6358,C6334,C6310,C6286,C6262,C6238,C6214)/POBLA!$B$21*100000</f>
        <v>276.09858336882121</v>
      </c>
    </row>
    <row r="6359" spans="1:13" s="360" customFormat="1" x14ac:dyDescent="0.25">
      <c r="A6359" s="367" t="s">
        <v>38</v>
      </c>
      <c r="B6359" s="267">
        <v>44157</v>
      </c>
      <c r="C6359" s="1">
        <v>194</v>
      </c>
      <c r="D6359" s="39">
        <f t="shared" si="874"/>
        <v>14558</v>
      </c>
      <c r="E6359" s="1"/>
      <c r="F6359" s="409">
        <f t="shared" si="868"/>
        <v>173</v>
      </c>
      <c r="G6359" s="168">
        <f>SUM(C6359,C6335,C6311,C6287,C6263,C6239,C6215,C6191,C6167,C6143,C6119,C6095,C6071,C6047)/POBLA!$B$22*100000</f>
        <v>330.36461745882963</v>
      </c>
      <c r="H6359" s="256">
        <f t="shared" si="872"/>
        <v>1.0989459367562053</v>
      </c>
      <c r="I6359" s="297">
        <f t="shared" si="875"/>
        <v>363.05285400439897</v>
      </c>
      <c r="J6359" s="297">
        <f t="shared" si="876"/>
        <v>205.57142857142858</v>
      </c>
      <c r="K6359" s="297">
        <f>J6359/POBLA!$B$22*100000</f>
        <v>21.01284850261916</v>
      </c>
      <c r="L6359" s="549">
        <f t="shared" si="873"/>
        <v>0.19743446737311765</v>
      </c>
      <c r="M6359" s="401">
        <f>SUM(C6359,C6335,C6311,C6287,C6263,C6239,C6215)/POBLA!$B$22*100000</f>
        <v>147.08993951833409</v>
      </c>
    </row>
    <row r="6360" spans="1:13" s="360" customFormat="1" x14ac:dyDescent="0.25">
      <c r="A6360" s="367" t="s">
        <v>39</v>
      </c>
      <c r="B6360" s="267">
        <v>44157</v>
      </c>
      <c r="C6360" s="1">
        <v>77</v>
      </c>
      <c r="D6360" s="39">
        <f t="shared" si="874"/>
        <v>15263</v>
      </c>
      <c r="E6360" s="1">
        <v>1</v>
      </c>
      <c r="F6360" s="409">
        <f t="shared" si="868"/>
        <v>220</v>
      </c>
      <c r="G6360" s="168">
        <f>SUM(C6360,C6336,C6312,C6288,C6264,C6240,C6216,C6192,C6168,C6144,C6120,C6096,C6072,C6048)/POBLA!$B$23*100000</f>
        <v>1202.850195102641</v>
      </c>
      <c r="H6360" s="256">
        <f t="shared" si="872"/>
        <v>0.68968871595330739</v>
      </c>
      <c r="I6360" s="297">
        <f t="shared" si="875"/>
        <v>829.59220654452577</v>
      </c>
      <c r="J6360" s="297">
        <f t="shared" si="876"/>
        <v>143.14285714285714</v>
      </c>
      <c r="K6360" s="297">
        <f>J6360/POBLA!$B$23*100000</f>
        <v>80.949418731469279</v>
      </c>
      <c r="L6360" s="549">
        <f t="shared" si="873"/>
        <v>0.10933333333333328</v>
      </c>
      <c r="M6360" s="401">
        <f>SUM(C6360,C6336,C6312,C6288,C6264,C6240,C6216)/POBLA!$B$23*100000</f>
        <v>566.64593112028501</v>
      </c>
    </row>
    <row r="6361" spans="1:13" s="360" customFormat="1" ht="15.75" thickBot="1" x14ac:dyDescent="0.3">
      <c r="A6361" s="369" t="s">
        <v>40</v>
      </c>
      <c r="B6361" s="267">
        <v>44157</v>
      </c>
      <c r="C6361" s="1">
        <v>158</v>
      </c>
      <c r="D6361" s="176">
        <f>C6361+D6337</f>
        <v>63294</v>
      </c>
      <c r="E6361" s="1"/>
      <c r="F6361" s="476">
        <f t="shared" si="868"/>
        <v>1058</v>
      </c>
      <c r="G6361" s="177">
        <f>SUM(C6361,C6337,C6313,C6289,C6265,C6241,C6217,C6193,C6169,C6145,C6121,C6097,C6073,C6049)/POBLA!$B$24*100000</f>
        <v>505.53032591865252</v>
      </c>
      <c r="H6361" s="402">
        <f t="shared" si="872"/>
        <v>0.74179582647848297</v>
      </c>
      <c r="I6361" s="403">
        <f t="shared" si="875"/>
        <v>375.00028592476372</v>
      </c>
      <c r="J6361" s="403">
        <f t="shared" si="876"/>
        <v>466</v>
      </c>
      <c r="K6361" s="403">
        <f>J6361/POBLA!$B$24*100000</f>
        <v>27.498206125608974</v>
      </c>
      <c r="L6361" s="550">
        <f t="shared" si="873"/>
        <v>0.38510838831291239</v>
      </c>
      <c r="M6361" s="405">
        <f>SUM(C6361,C6337,C6313,C6289,C6265,C6241,C6217)/POBLA!$B$24*100000</f>
        <v>192.48744287926283</v>
      </c>
    </row>
    <row r="6362" spans="1:13" s="360" customFormat="1" x14ac:dyDescent="0.25">
      <c r="A6362" s="363" t="s">
        <v>16</v>
      </c>
      <c r="B6362" s="267">
        <v>44158</v>
      </c>
      <c r="C6362" s="1">
        <v>954</v>
      </c>
      <c r="D6362" s="174">
        <f t="shared" si="874"/>
        <v>605968</v>
      </c>
      <c r="E6362" s="1">
        <f>18+16</f>
        <v>34</v>
      </c>
      <c r="F6362" s="475">
        <f t="shared" si="868"/>
        <v>20003</v>
      </c>
      <c r="G6362" s="175">
        <f>SUM(C6362,C6338,C6314,C6290,C6266,C6242,C6218,C6194,C6170,C6146,C6122,C6098,C6074,C6050)/POBLA!$B$1*100000</f>
        <v>188.58522373202518</v>
      </c>
      <c r="H6362" s="300">
        <f t="shared" ref="H6362:H6425" si="877">SUM(C6362,C6338,C6314,C6290,C6266,C6242,C6218,C6194,C6170,C6146,C6122,C6098,C6074,C6050)/SUM(C6026,C6002,C5978,C5954,C5930,C5906,C5882,C5858,C5834,C5810,C5786,C5762,C5738,C5714)</f>
        <v>0.78998901466303673</v>
      </c>
      <c r="I6362" s="301">
        <f>G6362*H6362</f>
        <v>148.9802550760709</v>
      </c>
      <c r="J6362" s="301">
        <f>AVERAGE(C6362,C6338,C6314,C6290,C6266,C6242,C6218)</f>
        <v>2074.8571428571427</v>
      </c>
      <c r="K6362" s="301">
        <f>J6362/POBLA!$B$1*100000</f>
        <v>11.82851869702856</v>
      </c>
      <c r="L6362" s="548">
        <f t="shared" ref="L6362:L6425" si="878">1-SUM(C6362,C6338,C6314,C6290,C6266,C6242,C6218)/SUM(C6194,C6170,C6146,C6122,C6098,C6074,C6050)</f>
        <v>0.21728820866566068</v>
      </c>
      <c r="M6362" s="400">
        <f>SUM(C6362,C6338,C6314,C6290,C6266,C6242,C6218)/POBLA!$B$1*100000</f>
        <v>82.799630879199938</v>
      </c>
    </row>
    <row r="6363" spans="1:13" s="360" customFormat="1" x14ac:dyDescent="0.25">
      <c r="A6363" s="367" t="s">
        <v>43</v>
      </c>
      <c r="B6363" s="267">
        <v>44158</v>
      </c>
      <c r="C6363" s="1">
        <v>239</v>
      </c>
      <c r="D6363" s="39">
        <f t="shared" si="874"/>
        <v>156653</v>
      </c>
      <c r="E6363" s="1">
        <f>2+1</f>
        <v>3</v>
      </c>
      <c r="F6363" s="409">
        <f t="shared" si="868"/>
        <v>5165</v>
      </c>
      <c r="G6363" s="168">
        <f>SUM(C6363,C6339,C6315,C6291,C6267,C6243,C6219,C6195,C6171,C6147,C6123,C6099,C6075,C6051)/POBLA!$B$2*100000</f>
        <v>184.54659606469667</v>
      </c>
      <c r="H6363" s="256">
        <f t="shared" si="877"/>
        <v>0.87700865265760197</v>
      </c>
      <c r="I6363" s="297">
        <f t="shared" ref="I6363:I6385" si="879">G6363*H6363</f>
        <v>161.84896156724633</v>
      </c>
      <c r="J6363" s="297">
        <f t="shared" ref="J6363:J6385" si="880">AVERAGE(C6363,C6339,C6315,C6291,C6267,C6243,C6219)</f>
        <v>355</v>
      </c>
      <c r="K6363" s="297">
        <f>J6363/POBLA!$B$2*100000</f>
        <v>11.542290627725038</v>
      </c>
      <c r="L6363" s="549">
        <f t="shared" si="878"/>
        <v>0.22124725791288002</v>
      </c>
      <c r="M6363" s="401">
        <f>SUM(C6363,C6339,C6315,C6291,C6267,C6243,C6219)/POBLA!$B$2*100000</f>
        <v>80.796034394075264</v>
      </c>
    </row>
    <row r="6364" spans="1:13" s="360" customFormat="1" x14ac:dyDescent="0.25">
      <c r="A6364" s="367" t="s">
        <v>28</v>
      </c>
      <c r="B6364" s="267">
        <v>44158</v>
      </c>
      <c r="C6364" s="1">
        <v>4</v>
      </c>
      <c r="D6364" s="39">
        <f t="shared" si="874"/>
        <v>1712</v>
      </c>
      <c r="E6364" s="1"/>
      <c r="F6364" s="409">
        <f t="shared" si="868"/>
        <v>13</v>
      </c>
      <c r="G6364" s="168">
        <f>SUM(C6364,C6340,C6316,C6292,C6268,C6244,C6220,C6196,C6172,C6148,C6124,C6100,C6076,C6052)/POBLA!$B$3*100000</f>
        <v>117.46638487572152</v>
      </c>
      <c r="H6364" s="256">
        <f t="shared" si="877"/>
        <v>0.83276450511945388</v>
      </c>
      <c r="I6364" s="297">
        <f t="shared" si="879"/>
        <v>97.821835869201536</v>
      </c>
      <c r="J6364" s="297">
        <f t="shared" si="880"/>
        <v>21.142857142857142</v>
      </c>
      <c r="K6364" s="297">
        <f>J6364/POBLA!$B$3*100000</f>
        <v>5.089293021547654</v>
      </c>
      <c r="L6364" s="549">
        <f t="shared" si="878"/>
        <v>0.56470588235294117</v>
      </c>
      <c r="M6364" s="401">
        <f>SUM(C6364,C6340,C6316,C6292,C6268,C6244,C6220)/POBLA!$B$3*100000</f>
        <v>35.625051150833578</v>
      </c>
    </row>
    <row r="6365" spans="1:13" s="360" customFormat="1" x14ac:dyDescent="0.25">
      <c r="A6365" s="367" t="s">
        <v>15</v>
      </c>
      <c r="B6365" s="267">
        <v>44158</v>
      </c>
      <c r="C6365" s="1">
        <v>127</v>
      </c>
      <c r="D6365" s="39">
        <f t="shared" si="874"/>
        <v>17905</v>
      </c>
      <c r="E6365" s="1">
        <f>1</f>
        <v>1</v>
      </c>
      <c r="F6365" s="409">
        <f t="shared" si="868"/>
        <v>528</v>
      </c>
      <c r="G6365" s="168">
        <f>SUM(C6365,C6341,C6317,C6293,C6269,C6245,C6221,C6197,C6173,C6149,C6125,C6101,C6077,C6053)/POBLA!$B$4*100000</f>
        <v>227.63857768228726</v>
      </c>
      <c r="H6365" s="256">
        <f t="shared" si="877"/>
        <v>1.4163223140495869</v>
      </c>
      <c r="I6365" s="297">
        <f t="shared" si="879"/>
        <v>322.40959710993371</v>
      </c>
      <c r="J6365" s="297">
        <f t="shared" si="880"/>
        <v>205.28571428571428</v>
      </c>
      <c r="K6365" s="297">
        <f>J6365/POBLA!$B$4*100000</f>
        <v>17.042650626729543</v>
      </c>
      <c r="L6365" s="549">
        <f t="shared" si="878"/>
        <v>-0.10114942528735638</v>
      </c>
      <c r="M6365" s="401">
        <f>SUM(C6365,C6341,C6317,C6293,C6269,C6245,C6221)/POBLA!$B$4*100000</f>
        <v>119.29855438710679</v>
      </c>
    </row>
    <row r="6366" spans="1:13" s="360" customFormat="1" x14ac:dyDescent="0.25">
      <c r="A6366" s="367" t="s">
        <v>29</v>
      </c>
      <c r="B6366" s="267">
        <v>44158</v>
      </c>
      <c r="C6366" s="1">
        <v>104</v>
      </c>
      <c r="D6366" s="39">
        <f t="shared" si="874"/>
        <v>21271</v>
      </c>
      <c r="E6366" s="1">
        <f>1+1</f>
        <v>2</v>
      </c>
      <c r="F6366" s="409">
        <f t="shared" si="868"/>
        <v>359</v>
      </c>
      <c r="G6366" s="168">
        <f>SUM(C6366,C6342,C6318,C6294,C6270,C6246,C6222,C6198,C6174,C6150,C6126,C6102,C6078,C6054)/POBLA!$B$5*100000</f>
        <v>660.42643385880967</v>
      </c>
      <c r="H6366" s="256">
        <f t="shared" si="877"/>
        <v>0.97287006187529745</v>
      </c>
      <c r="I6366" s="297">
        <f t="shared" si="879"/>
        <v>642.50910557230225</v>
      </c>
      <c r="J6366" s="297">
        <f t="shared" si="880"/>
        <v>266.85714285714283</v>
      </c>
      <c r="K6366" s="297">
        <f>J6366/POBLA!$B$5*100000</f>
        <v>43.11142642047303</v>
      </c>
      <c r="L6366" s="549">
        <f t="shared" si="878"/>
        <v>0.1585585585585586</v>
      </c>
      <c r="M6366" s="401">
        <f>SUM(C6366,C6342,C6318,C6294,C6270,C6246,C6222)/POBLA!$B$5*100000</f>
        <v>301.77998494331126</v>
      </c>
    </row>
    <row r="6367" spans="1:13" s="360" customFormat="1" x14ac:dyDescent="0.25">
      <c r="A6367" s="367" t="s">
        <v>20</v>
      </c>
      <c r="B6367" s="267">
        <v>44158</v>
      </c>
      <c r="C6367" s="1">
        <v>365</v>
      </c>
      <c r="D6367" s="39">
        <f t="shared" si="874"/>
        <v>109591</v>
      </c>
      <c r="E6367" s="1">
        <f>9+4</f>
        <v>13</v>
      </c>
      <c r="F6367" s="409">
        <f t="shared" si="868"/>
        <v>1789</v>
      </c>
      <c r="G6367" s="168">
        <f>SUM(C6367,C6343,C6319,C6295,C6271,C6247,C6223,C6199,C6175,C6151,C6127,C6103,C6079,C6055)/POBLA!$B$6*100000</f>
        <v>1351.3549684555958</v>
      </c>
      <c r="H6367" s="256">
        <f t="shared" si="877"/>
        <v>0.88165783805809417</v>
      </c>
      <c r="I6367" s="297">
        <f t="shared" si="879"/>
        <v>1191.4326999376246</v>
      </c>
      <c r="J6367" s="297">
        <f t="shared" si="880"/>
        <v>918.28571428571433</v>
      </c>
      <c r="K6367" s="297">
        <f>J6367/POBLA!$B$6*100000</f>
        <v>81.93120047945304</v>
      </c>
      <c r="L6367" s="549">
        <f t="shared" si="878"/>
        <v>0.26267492544161508</v>
      </c>
      <c r="M6367" s="401">
        <f>SUM(C6367,C6343,C6319,C6295,C6271,C6247,C6223)/POBLA!$B$6*100000</f>
        <v>573.51840335617112</v>
      </c>
    </row>
    <row r="6368" spans="1:13" s="360" customFormat="1" x14ac:dyDescent="0.25">
      <c r="A6368" s="367" t="s">
        <v>30</v>
      </c>
      <c r="B6368" s="267">
        <v>44158</v>
      </c>
      <c r="C6368" s="1">
        <v>121</v>
      </c>
      <c r="D6368" s="39">
        <f t="shared" si="874"/>
        <v>4917</v>
      </c>
      <c r="E6368" s="1"/>
      <c r="F6368" s="409">
        <f t="shared" si="868"/>
        <v>86</v>
      </c>
      <c r="G6368" s="168">
        <f>SUM(C6368,C6344,C6320,C6296,C6272,C6248,C6224,C6200,C6176,C6152,C6128,C6104,C6080,C6056)/POBLA!$B$7*100000</f>
        <v>49.728091052932491</v>
      </c>
      <c r="H6368" s="256">
        <f t="shared" si="877"/>
        <v>2.8162650602409638</v>
      </c>
      <c r="I6368" s="297">
        <f t="shared" si="879"/>
        <v>140.04748534485506</v>
      </c>
      <c r="J6368" s="297">
        <f t="shared" si="880"/>
        <v>154.14285714285714</v>
      </c>
      <c r="K6368" s="297">
        <f>J6368/POBLA!$B$7*100000</f>
        <v>4.0990534947375217</v>
      </c>
      <c r="L6368" s="549">
        <f t="shared" si="878"/>
        <v>-0.36409608091024026</v>
      </c>
      <c r="M6368" s="401">
        <f>SUM(C6368,C6344,C6320,C6296,C6272,C6248,C6224)/POBLA!$B$7*100000</f>
        <v>28.693374463162655</v>
      </c>
    </row>
    <row r="6369" spans="1:13" x14ac:dyDescent="0.25">
      <c r="A6369" s="367" t="s">
        <v>31</v>
      </c>
      <c r="B6369" s="267">
        <v>44158</v>
      </c>
      <c r="C6369" s="1">
        <v>22</v>
      </c>
      <c r="D6369" s="39">
        <f t="shared" si="874"/>
        <v>21899</v>
      </c>
      <c r="E6369" s="1">
        <f>2</f>
        <v>2</v>
      </c>
      <c r="F6369" s="409">
        <f t="shared" si="868"/>
        <v>420</v>
      </c>
      <c r="G6369" s="168">
        <f>SUM(C6369,C6345,C6321,C6297,C6273,C6249,C6225,C6201,C6177,C6153,C6129,C6105,C6081,C6057)/POBLA!$B$8*100000</f>
        <v>262.56150064828665</v>
      </c>
      <c r="H6369" s="256">
        <f t="shared" si="877"/>
        <v>0.91708669354838712</v>
      </c>
      <c r="I6369" s="297">
        <f t="shared" si="879"/>
        <v>240.79165848263992</v>
      </c>
      <c r="J6369" s="297">
        <f t="shared" si="880"/>
        <v>242.28571428571428</v>
      </c>
      <c r="K6369" s="297">
        <f>J6369/POBLA!$B$8*100000</f>
        <v>17.48142366817784</v>
      </c>
      <c r="L6369" s="549">
        <f t="shared" si="878"/>
        <v>0.12712300566134838</v>
      </c>
      <c r="M6369" s="401">
        <f>SUM(C6369,C6345,C6321,C6297,C6273,C6249,C6225)/POBLA!$B$8*100000</f>
        <v>122.36996567724489</v>
      </c>
    </row>
    <row r="6370" spans="1:13" s="360" customFormat="1" x14ac:dyDescent="0.25">
      <c r="A6370" s="367" t="s">
        <v>41</v>
      </c>
      <c r="B6370" s="267">
        <v>44158</v>
      </c>
      <c r="C6370" s="1">
        <v>9</v>
      </c>
      <c r="D6370" s="39">
        <f t="shared" si="874"/>
        <v>189</v>
      </c>
      <c r="E6370" s="1"/>
      <c r="F6370" s="409">
        <f t="shared" si="868"/>
        <v>3</v>
      </c>
      <c r="G6370" s="168">
        <f>SUM(C6370,C6346,C6322,C6298,C6274,C6250,C6226,C6202,C6178,C6154,C6130,C6106,C6082,C6058)/POBLA!$B$9*100000</f>
        <v>4.6266232425028049</v>
      </c>
      <c r="H6370" s="256">
        <f t="shared" si="877"/>
        <v>1.75</v>
      </c>
      <c r="I6370" s="297">
        <f t="shared" si="879"/>
        <v>8.0965906743799092</v>
      </c>
      <c r="J6370" s="297">
        <f t="shared" si="880"/>
        <v>2.7142857142857144</v>
      </c>
      <c r="K6370" s="297">
        <f>J6370/POBLA!$B$9*100000</f>
        <v>0.44849919187527193</v>
      </c>
      <c r="L6370" s="549">
        <f t="shared" si="878"/>
        <v>-1.1111111111111112</v>
      </c>
      <c r="M6370" s="401">
        <f>SUM(C6370,C6346,C6322,C6298,C6274,C6250,C6226)/POBLA!$B$9*100000</f>
        <v>3.1394943431269033</v>
      </c>
    </row>
    <row r="6371" spans="1:13" s="360" customFormat="1" x14ac:dyDescent="0.25">
      <c r="A6371" s="367" t="s">
        <v>32</v>
      </c>
      <c r="B6371" s="267">
        <v>44158</v>
      </c>
      <c r="C6371" s="1">
        <v>3</v>
      </c>
      <c r="D6371" s="39">
        <f t="shared" si="874"/>
        <v>18297</v>
      </c>
      <c r="E6371" s="1">
        <f>2+1</f>
        <v>3</v>
      </c>
      <c r="F6371" s="409">
        <f t="shared" si="868"/>
        <v>845</v>
      </c>
      <c r="G6371" s="168">
        <f>SUM(C6371,C6347,C6323,C6299,C6275,C6251,C6227,C6203,C6179,C6155,C6131,C6107,C6083,C6059)/POBLA!$B$10*100000</f>
        <v>33.208757253065002</v>
      </c>
      <c r="H6371" s="256">
        <f t="shared" si="877"/>
        <v>0.65809768637532129</v>
      </c>
      <c r="I6371" s="297">
        <f t="shared" si="879"/>
        <v>21.85460631564175</v>
      </c>
      <c r="J6371" s="297">
        <f t="shared" si="880"/>
        <v>15</v>
      </c>
      <c r="K6371" s="297">
        <f>J6371/POBLA!$B$10*100000</f>
        <v>1.9458256202967772</v>
      </c>
      <c r="L6371" s="549">
        <f t="shared" si="878"/>
        <v>0.30463576158940397</v>
      </c>
      <c r="M6371" s="401">
        <f>SUM(C6371,C6347,C6323,C6299,C6275,C6251,C6227)/POBLA!$B$10*100000</f>
        <v>13.620779342077443</v>
      </c>
    </row>
    <row r="6372" spans="1:13" s="360" customFormat="1" x14ac:dyDescent="0.25">
      <c r="A6372" s="367" t="s">
        <v>33</v>
      </c>
      <c r="B6372" s="267">
        <v>44158</v>
      </c>
      <c r="C6372" s="1">
        <v>38</v>
      </c>
      <c r="D6372" s="39">
        <f t="shared" si="874"/>
        <v>5237</v>
      </c>
      <c r="E6372" s="1">
        <f>2</f>
        <v>2</v>
      </c>
      <c r="F6372" s="409">
        <f t="shared" si="868"/>
        <v>72</v>
      </c>
      <c r="G6372" s="168">
        <f>SUM(C6372,C6348,C6324,C6300,C6276,C6252,C6228,C6204,C6180,C6156,C6132,C6108,C6084,C6060)/POBLA!$B$11*100000</f>
        <v>291.55088330152779</v>
      </c>
      <c r="H6372" s="256">
        <f t="shared" si="877"/>
        <v>0.6264988009592326</v>
      </c>
      <c r="I6372" s="297">
        <f t="shared" si="879"/>
        <v>182.65627880701231</v>
      </c>
      <c r="J6372" s="297">
        <f t="shared" si="880"/>
        <v>66.857142857142861</v>
      </c>
      <c r="K6372" s="297">
        <f>J6372/POBLA!$B$11*100000</f>
        <v>18.652879478484621</v>
      </c>
      <c r="L6372" s="549">
        <f t="shared" si="878"/>
        <v>0.18890814558058922</v>
      </c>
      <c r="M6372" s="401">
        <f>SUM(C6372,C6348,C6324,C6300,C6276,C6252,C6228)/POBLA!$B$11*100000</f>
        <v>130.57015634939233</v>
      </c>
    </row>
    <row r="6373" spans="1:13" s="360" customFormat="1" x14ac:dyDescent="0.25">
      <c r="A6373" s="367" t="s">
        <v>21</v>
      </c>
      <c r="B6373" s="267">
        <v>44158</v>
      </c>
      <c r="C6373" s="1">
        <v>43</v>
      </c>
      <c r="D6373" s="39">
        <f t="shared" si="874"/>
        <v>8554</v>
      </c>
      <c r="E6373" s="1"/>
      <c r="F6373" s="409">
        <f t="shared" si="868"/>
        <v>310</v>
      </c>
      <c r="G6373" s="168">
        <f>SUM(C6373,C6349,C6325,C6301,C6277,C6253,C6229,C6205,C6181,C6157,C6133,C6109,C6085,C6061)/POBLA!$B$12*100000</f>
        <v>173.81095771362357</v>
      </c>
      <c r="H6373" s="256">
        <f t="shared" si="877"/>
        <v>0.9813486370157819</v>
      </c>
      <c r="I6373" s="297">
        <f t="shared" si="879"/>
        <v>170.56914645067218</v>
      </c>
      <c r="J6373" s="297">
        <f t="shared" si="880"/>
        <v>47</v>
      </c>
      <c r="K6373" s="297">
        <f>J6373/POBLA!$B$12*100000</f>
        <v>11.943150603129105</v>
      </c>
      <c r="L6373" s="549">
        <f t="shared" si="878"/>
        <v>7.3239436619718323E-2</v>
      </c>
      <c r="M6373" s="401">
        <f>SUM(C6373,C6349,C6325,C6301,C6277,C6253,C6229)/POBLA!$B$12*100000</f>
        <v>83.602054221903742</v>
      </c>
    </row>
    <row r="6374" spans="1:13" s="360" customFormat="1" x14ac:dyDescent="0.25">
      <c r="A6374" s="367" t="s">
        <v>17</v>
      </c>
      <c r="B6374" s="267">
        <v>44158</v>
      </c>
      <c r="C6374" s="1">
        <v>113</v>
      </c>
      <c r="D6374" s="39">
        <f t="shared" si="874"/>
        <v>55302</v>
      </c>
      <c r="E6374" s="1">
        <f>4+1</f>
        <v>5</v>
      </c>
      <c r="F6374" s="409">
        <f t="shared" si="868"/>
        <v>1073</v>
      </c>
      <c r="G6374" s="168">
        <f>SUM(C6374,C6350,C6326,C6302,C6278,C6254,C6230,C6206,C6182,C6158,C6134,C6110,C6086,C6062)/POBLA!$B$13*100000</f>
        <v>221.16846485370829</v>
      </c>
      <c r="H6374" s="256">
        <f t="shared" si="877"/>
        <v>0.60309631456363888</v>
      </c>
      <c r="I6374" s="297">
        <f t="shared" si="879"/>
        <v>133.38588605096916</v>
      </c>
      <c r="J6374" s="297">
        <f t="shared" si="880"/>
        <v>255.14285714285714</v>
      </c>
      <c r="K6374" s="297">
        <f>J6374/POBLA!$B$13*100000</f>
        <v>12.819071792974718</v>
      </c>
      <c r="L6374" s="549">
        <f t="shared" si="878"/>
        <v>0.31727828746177367</v>
      </c>
      <c r="M6374" s="401">
        <f>SUM(C6374,C6350,C6326,C6302,C6278,C6254,C6230)/POBLA!$B$13*100000</f>
        <v>89.733502550823033</v>
      </c>
    </row>
    <row r="6375" spans="1:13" s="360" customFormat="1" x14ac:dyDescent="0.25">
      <c r="A6375" s="367" t="s">
        <v>23</v>
      </c>
      <c r="B6375" s="267">
        <v>44158</v>
      </c>
      <c r="C6375" s="1">
        <v>12</v>
      </c>
      <c r="D6375" s="39">
        <f t="shared" si="874"/>
        <v>448</v>
      </c>
      <c r="E6375" s="1"/>
      <c r="F6375" s="409">
        <f t="shared" si="868"/>
        <v>8</v>
      </c>
      <c r="G6375" s="168">
        <f>SUM(C6375,C6351,C6327,C6303,C6279,C6255,C6231,C6207,C6183,C6159,C6135,C6111,C6087,C6063)/POBLA!$B$14*100000</f>
        <v>8.5626348813202959</v>
      </c>
      <c r="H6375" s="256">
        <f t="shared" si="877"/>
        <v>0.97297297297297303</v>
      </c>
      <c r="I6375" s="297">
        <f t="shared" si="879"/>
        <v>8.3312123169602881</v>
      </c>
      <c r="J6375" s="297">
        <f t="shared" si="880"/>
        <v>8.1428571428571423</v>
      </c>
      <c r="K6375" s="297">
        <f>J6375/POBLA!$B$14*100000</f>
        <v>0.64559548708367298</v>
      </c>
      <c r="L6375" s="549">
        <f t="shared" si="878"/>
        <v>-0.11764705882352944</v>
      </c>
      <c r="M6375" s="401">
        <f>SUM(C6375,C6351,C6327,C6303,C6279,C6255,C6231)/POBLA!$B$14*100000</f>
        <v>4.5191684095857108</v>
      </c>
    </row>
    <row r="6376" spans="1:13" s="360" customFormat="1" x14ac:dyDescent="0.25">
      <c r="A6376" s="367" t="s">
        <v>19</v>
      </c>
      <c r="B6376" s="267">
        <v>44158</v>
      </c>
      <c r="C6376" s="1">
        <v>356</v>
      </c>
      <c r="D6376" s="39">
        <f t="shared" si="874"/>
        <v>30019</v>
      </c>
      <c r="E6376" s="1">
        <f>1+1</f>
        <v>2</v>
      </c>
      <c r="F6376" s="409">
        <f t="shared" si="868"/>
        <v>591</v>
      </c>
      <c r="G6376" s="168">
        <f>SUM(C6376,C6352,C6328,C6304,C6280,C6256,C6232,C6208,C6184,C6160,C6136,C6112,C6088,C6064)/POBLA!$B$15*100000</f>
        <v>695.12105135553122</v>
      </c>
      <c r="H6376" s="256">
        <f t="shared" si="877"/>
        <v>0.82062222222222225</v>
      </c>
      <c r="I6376" s="297">
        <f t="shared" si="879"/>
        <v>570.43178187682349</v>
      </c>
      <c r="J6376" s="297">
        <f t="shared" si="880"/>
        <v>386.85714285714283</v>
      </c>
      <c r="K6376" s="297">
        <f>J6376/POBLA!$B$15*100000</f>
        <v>58.256616955644297</v>
      </c>
      <c r="L6376" s="549">
        <f t="shared" si="878"/>
        <v>-0.41928721174004191</v>
      </c>
      <c r="M6376" s="401">
        <f>SUM(C6376,C6352,C6328,C6304,C6280,C6256,C6232)/POBLA!$B$15*100000</f>
        <v>407.79631868951003</v>
      </c>
    </row>
    <row r="6377" spans="1:13" s="360" customFormat="1" x14ac:dyDescent="0.25">
      <c r="A6377" s="367" t="s">
        <v>18</v>
      </c>
      <c r="B6377" s="267">
        <v>44158</v>
      </c>
      <c r="C6377" s="1">
        <v>92</v>
      </c>
      <c r="D6377" s="39">
        <f t="shared" si="874"/>
        <v>30148</v>
      </c>
      <c r="E6377" s="1">
        <f>2+1</f>
        <v>3</v>
      </c>
      <c r="F6377" s="409">
        <f t="shared" si="868"/>
        <v>754</v>
      </c>
      <c r="G6377" s="168">
        <f>SUM(C6377,C6353,C6329,C6305,C6281,C6257,C6233,C6209,C6185,C6161,C6137,C6113,C6089,C6065)/POBLA!$B$16*100000</f>
        <v>476.58538542823129</v>
      </c>
      <c r="H6377" s="256">
        <f t="shared" si="877"/>
        <v>0.7923059817656215</v>
      </c>
      <c r="I6377" s="297">
        <f t="shared" si="879"/>
        <v>377.60145169686194</v>
      </c>
      <c r="J6377" s="297">
        <f t="shared" si="880"/>
        <v>215.14285714285714</v>
      </c>
      <c r="K6377" s="297">
        <f>J6377/POBLA!$B$16*100000</f>
        <v>28.777418325444703</v>
      </c>
      <c r="L6377" s="549">
        <f t="shared" si="878"/>
        <v>0.26786582401555659</v>
      </c>
      <c r="M6377" s="401">
        <f>SUM(C6377,C6353,C6329,C6305,C6281,C6257,C6233)/POBLA!$B$16*100000</f>
        <v>201.44192827811293</v>
      </c>
    </row>
    <row r="6378" spans="1:13" s="360" customFormat="1" x14ac:dyDescent="0.25">
      <c r="A6378" s="367" t="s">
        <v>34</v>
      </c>
      <c r="B6378" s="267">
        <v>44158</v>
      </c>
      <c r="C6378" s="1">
        <v>17</v>
      </c>
      <c r="D6378" s="39">
        <f t="shared" si="874"/>
        <v>20771</v>
      </c>
      <c r="E6378" s="1"/>
      <c r="F6378" s="409">
        <f t="shared" si="868"/>
        <v>948</v>
      </c>
      <c r="G6378" s="168">
        <f>SUM(C6378,C6354,C6330,C6306,C6282,C6258,C6234,C6210,C6186,C6162,C6138,C6114,C6090,C6066)/POBLA!$B$17*100000</f>
        <v>81.437969891820885</v>
      </c>
      <c r="H6378" s="256">
        <f t="shared" si="877"/>
        <v>0.66897347174163779</v>
      </c>
      <c r="I6378" s="297">
        <f t="shared" si="879"/>
        <v>54.479841450122386</v>
      </c>
      <c r="J6378" s="297">
        <f t="shared" si="880"/>
        <v>76.571428571428569</v>
      </c>
      <c r="K6378" s="297">
        <f>J6378/POBLA!$B$17*100000</f>
        <v>5.3757083573911331</v>
      </c>
      <c r="L6378" s="549">
        <f t="shared" si="878"/>
        <v>0.14102564102564108</v>
      </c>
      <c r="M6378" s="401">
        <f>SUM(C6378,C6354,C6330,C6306,C6282,C6258,C6234)/POBLA!$B$17*100000</f>
        <v>37.629958501737931</v>
      </c>
    </row>
    <row r="6379" spans="1:13" s="360" customFormat="1" x14ac:dyDescent="0.25">
      <c r="A6379" s="367" t="s">
        <v>35</v>
      </c>
      <c r="B6379" s="267">
        <v>44158</v>
      </c>
      <c r="C6379" s="1">
        <v>48</v>
      </c>
      <c r="D6379" s="39">
        <f t="shared" si="874"/>
        <v>5778</v>
      </c>
      <c r="E6379" s="1"/>
      <c r="F6379" s="409">
        <f t="shared" ref="F6379:F6442" si="881">E6379+F6355</f>
        <v>143</v>
      </c>
      <c r="G6379" s="168">
        <f>SUM(C6379,C6355,C6331,C6307,C6283,C6259,C6235,C6211,C6187,C6163,C6139,C6115,C6091,C6067)/POBLA!$B$18*100000</f>
        <v>251.01860302579178</v>
      </c>
      <c r="H6379" s="256">
        <f t="shared" si="877"/>
        <v>0.80999586947542335</v>
      </c>
      <c r="I6379" s="297">
        <f t="shared" si="879"/>
        <v>203.32403161238236</v>
      </c>
      <c r="J6379" s="297">
        <f t="shared" si="880"/>
        <v>180.28571428571428</v>
      </c>
      <c r="K6379" s="297">
        <f>J6379/POBLA!$B$18*100000</f>
        <v>23.077546224123935</v>
      </c>
      <c r="L6379" s="549">
        <f t="shared" si="878"/>
        <v>-0.80543633762517874</v>
      </c>
      <c r="M6379" s="401">
        <f>SUM(C6379,C6355,C6331,C6307,C6283,C6259,C6235)/POBLA!$B$18*100000</f>
        <v>161.54282356886756</v>
      </c>
    </row>
    <row r="6380" spans="1:13" s="360" customFormat="1" x14ac:dyDescent="0.25">
      <c r="A6380" s="367" t="s">
        <v>36</v>
      </c>
      <c r="B6380" s="267">
        <v>44158</v>
      </c>
      <c r="C6380" s="1">
        <v>46</v>
      </c>
      <c r="D6380" s="39">
        <f t="shared" si="874"/>
        <v>13209</v>
      </c>
      <c r="E6380" s="1">
        <f>2</f>
        <v>2</v>
      </c>
      <c r="F6380" s="409">
        <f t="shared" si="881"/>
        <v>181</v>
      </c>
      <c r="G6380" s="168">
        <f>SUM(C6380,C6356,C6332,C6308,C6284,C6260,C6236,C6212,C6188,C6164,C6140,C6116,C6092,C6068)/POBLA!$B$19*100000</f>
        <v>755.41776176012331</v>
      </c>
      <c r="H6380" s="256">
        <f t="shared" si="877"/>
        <v>1.0267379679144386</v>
      </c>
      <c r="I6380" s="297">
        <f t="shared" si="879"/>
        <v>775.61609763606248</v>
      </c>
      <c r="J6380" s="297">
        <f t="shared" si="880"/>
        <v>228.71428571428572</v>
      </c>
      <c r="K6380" s="297">
        <f>J6380/POBLA!$B$19*100000</f>
        <v>44.993446301263305</v>
      </c>
      <c r="L6380" s="549">
        <f t="shared" si="878"/>
        <v>0.28494863778472534</v>
      </c>
      <c r="M6380" s="401">
        <f>SUM(C6380,C6356,C6332,C6308,C6284,C6260,C6236)/POBLA!$B$19*100000</f>
        <v>314.95412410884308</v>
      </c>
    </row>
    <row r="6381" spans="1:13" s="360" customFormat="1" x14ac:dyDescent="0.25">
      <c r="A6381" s="367" t="s">
        <v>37</v>
      </c>
      <c r="B6381" s="267">
        <v>44158</v>
      </c>
      <c r="C6381" s="1">
        <v>110</v>
      </c>
      <c r="D6381" s="39">
        <f t="shared" si="874"/>
        <v>14309</v>
      </c>
      <c r="E6381" s="1">
        <f>6+1</f>
        <v>7</v>
      </c>
      <c r="F6381" s="409">
        <f t="shared" si="881"/>
        <v>238</v>
      </c>
      <c r="G6381" s="168">
        <f>SUM(C6381,C6357,C6333,C6309,C6285,C6261,C6237,C6213,C6189,C6165,C6141,C6117,C6093,C6069)/POBLA!$B$20*100000</f>
        <v>844.13915307166019</v>
      </c>
      <c r="H6381" s="256">
        <f t="shared" si="877"/>
        <v>1.1574803149606299</v>
      </c>
      <c r="I6381" s="297">
        <f t="shared" si="879"/>
        <v>977.07445276798455</v>
      </c>
      <c r="J6381" s="297">
        <f t="shared" si="880"/>
        <v>218.71428571428572</v>
      </c>
      <c r="K6381" s="297">
        <f>J6381/POBLA!$B$20*100000</f>
        <v>59.807350796090141</v>
      </c>
      <c r="L6381" s="549">
        <f t="shared" si="878"/>
        <v>1.6066838046272514E-2</v>
      </c>
      <c r="M6381" s="401">
        <f>SUM(C6381,C6357,C6333,C6309,C6285,C6261,C6237)/POBLA!$B$20*100000</f>
        <v>418.65145557263094</v>
      </c>
    </row>
    <row r="6382" spans="1:13" s="360" customFormat="1" x14ac:dyDescent="0.25">
      <c r="A6382" s="367" t="s">
        <v>22</v>
      </c>
      <c r="B6382" s="267">
        <v>44158</v>
      </c>
      <c r="C6382" s="1">
        <v>1021</v>
      </c>
      <c r="D6382" s="39">
        <f t="shared" si="874"/>
        <v>138918</v>
      </c>
      <c r="E6382" s="1">
        <v>23</v>
      </c>
      <c r="F6382" s="409">
        <f t="shared" si="881"/>
        <v>2097</v>
      </c>
      <c r="G6382" s="168">
        <f>SUM(C6382,C6358,C6334,C6310,C6286,C6262,C6238,C6214,C6190,C6166,C6142,C6118,C6094,C6070)/POBLA!$B$21*100000</f>
        <v>546.45689508423493</v>
      </c>
      <c r="H6382" s="256">
        <f t="shared" si="877"/>
        <v>0.8274813736404899</v>
      </c>
      <c r="I6382" s="297">
        <f t="shared" si="879"/>
        <v>452.18290217961982</v>
      </c>
      <c r="J6382" s="297">
        <f t="shared" si="880"/>
        <v>1352.2857142857142</v>
      </c>
      <c r="K6382" s="297">
        <f>J6382/POBLA!$B$21*100000</f>
        <v>38.238853955774296</v>
      </c>
      <c r="L6382" s="549">
        <f t="shared" si="878"/>
        <v>3.9862054975149608E-2</v>
      </c>
      <c r="M6382" s="401">
        <f>SUM(C6382,C6358,C6334,C6310,C6286,C6262,C6238)/POBLA!$B$21*100000</f>
        <v>267.67197769042008</v>
      </c>
    </row>
    <row r="6383" spans="1:13" s="360" customFormat="1" x14ac:dyDescent="0.25">
      <c r="A6383" s="367" t="s">
        <v>38</v>
      </c>
      <c r="B6383" s="267">
        <v>44158</v>
      </c>
      <c r="C6383" s="1">
        <v>81</v>
      </c>
      <c r="D6383" s="39">
        <f t="shared" si="874"/>
        <v>14639</v>
      </c>
      <c r="E6383" s="1">
        <f>1+1</f>
        <v>2</v>
      </c>
      <c r="F6383" s="409">
        <f t="shared" si="881"/>
        <v>175</v>
      </c>
      <c r="G6383" s="168">
        <f>SUM(C6383,C6359,C6335,C6311,C6287,C6263,C6239,C6215,C6191,C6167,C6143,C6119,C6095,C6071)/POBLA!$B$22*100000</f>
        <v>317.68973733355278</v>
      </c>
      <c r="H6383" s="256">
        <f t="shared" si="877"/>
        <v>1.069511355815554</v>
      </c>
      <c r="I6383" s="297">
        <f t="shared" si="879"/>
        <v>339.77278170429526</v>
      </c>
      <c r="J6383" s="297">
        <f t="shared" si="880"/>
        <v>189.71428571428572</v>
      </c>
      <c r="K6383" s="297">
        <f>J6383/POBLA!$B$22*100000</f>
        <v>19.39198249581532</v>
      </c>
      <c r="L6383" s="549">
        <f t="shared" si="878"/>
        <v>0.25393258426966292</v>
      </c>
      <c r="M6383" s="401">
        <f>SUM(C6383,C6359,C6335,C6311,C6287,C6263,C6239)/POBLA!$B$22*100000</f>
        <v>135.74387747070722</v>
      </c>
    </row>
    <row r="6384" spans="1:13" s="360" customFormat="1" x14ac:dyDescent="0.25">
      <c r="A6384" s="367" t="s">
        <v>39</v>
      </c>
      <c r="B6384" s="267">
        <v>44158</v>
      </c>
      <c r="C6384" s="1">
        <v>152</v>
      </c>
      <c r="D6384" s="39">
        <f t="shared" si="874"/>
        <v>15415</v>
      </c>
      <c r="E6384" s="1"/>
      <c r="F6384" s="409">
        <f t="shared" si="881"/>
        <v>220</v>
      </c>
      <c r="G6384" s="168">
        <f>SUM(C6384,C6360,C6336,C6312,C6288,C6264,C6240,C6216,C6192,C6168,C6144,C6120,C6096,C6072)/POBLA!$B$23*100000</f>
        <v>1190.9743821749703</v>
      </c>
      <c r="H6384" s="256">
        <f t="shared" si="877"/>
        <v>0.71341463414634143</v>
      </c>
      <c r="I6384" s="297">
        <f t="shared" si="879"/>
        <v>849.6585531370215</v>
      </c>
      <c r="J6384" s="297">
        <f t="shared" si="880"/>
        <v>144.28571428571428</v>
      </c>
      <c r="K6384" s="297">
        <f>J6384/POBLA!$B$23*100000</f>
        <v>81.595721475832306</v>
      </c>
      <c r="L6384" s="549">
        <f t="shared" si="878"/>
        <v>7.8467153284671576E-2</v>
      </c>
      <c r="M6384" s="401">
        <f>SUM(C6384,C6360,C6336,C6312,C6288,C6264,C6240)/POBLA!$B$23*100000</f>
        <v>571.17005033082626</v>
      </c>
    </row>
    <row r="6385" spans="1:13" s="360" customFormat="1" ht="15.75" thickBot="1" x14ac:dyDescent="0.3">
      <c r="A6385" s="369" t="s">
        <v>40</v>
      </c>
      <c r="B6385" s="267">
        <v>44158</v>
      </c>
      <c r="C6385" s="1">
        <v>188</v>
      </c>
      <c r="D6385" s="176">
        <f>C6385+D6361</f>
        <v>63482</v>
      </c>
      <c r="E6385" s="1">
        <f>7+8</f>
        <v>15</v>
      </c>
      <c r="F6385" s="476">
        <f t="shared" si="881"/>
        <v>1073</v>
      </c>
      <c r="G6385" s="177">
        <f>SUM(C6385,C6361,C6337,C6313,C6289,C6265,C6241,C6217,C6193,C6169,C6145,C6121,C6097,C6073)/POBLA!$B$24*100000</f>
        <v>478.7992371313116</v>
      </c>
      <c r="H6385" s="402">
        <f t="shared" si="877"/>
        <v>0.72182190196601725</v>
      </c>
      <c r="I6385" s="403">
        <f t="shared" si="879"/>
        <v>345.60777600600147</v>
      </c>
      <c r="J6385" s="403">
        <f t="shared" si="880"/>
        <v>410</v>
      </c>
      <c r="K6385" s="403">
        <f>J6385/POBLA!$B$24*100000</f>
        <v>24.193700668454248</v>
      </c>
      <c r="L6385" s="550">
        <f t="shared" si="878"/>
        <v>0.45270785659801682</v>
      </c>
      <c r="M6385" s="405">
        <f>SUM(C6385,C6361,C6337,C6313,C6289,C6265,C6241)/POBLA!$B$24*100000</f>
        <v>169.35590467917973</v>
      </c>
    </row>
    <row r="6386" spans="1:13" s="360" customFormat="1" x14ac:dyDescent="0.25">
      <c r="A6386" s="363" t="s">
        <v>16</v>
      </c>
      <c r="B6386" s="267">
        <v>44159</v>
      </c>
      <c r="C6386" s="1">
        <v>1929</v>
      </c>
      <c r="D6386" s="174">
        <f t="shared" si="874"/>
        <v>607897</v>
      </c>
      <c r="E6386" s="1">
        <f>76+76</f>
        <v>152</v>
      </c>
      <c r="F6386" s="475">
        <f t="shared" si="881"/>
        <v>20155</v>
      </c>
      <c r="G6386" s="175">
        <f>SUM(C6386,C6362,C6338,C6314,C6290,C6266,C6242,C6218,C6194,C6170,C6146,C6122,C6098,C6074)/POBLA!$B$1*100000</f>
        <v>180.03959947645367</v>
      </c>
      <c r="H6386" s="300">
        <f t="shared" si="877"/>
        <v>0.76874954358462555</v>
      </c>
      <c r="I6386" s="301">
        <f>G6386*H6386</f>
        <v>138.40535992468256</v>
      </c>
      <c r="J6386" s="301">
        <f>AVERAGE(C6386,C6362,C6338,C6314,C6290,C6266,C6242)</f>
        <v>1949.8571428571429</v>
      </c>
      <c r="K6386" s="301">
        <f>J6386/POBLA!$B$1*100000</f>
        <v>11.115908268778769</v>
      </c>
      <c r="L6386" s="548">
        <f t="shared" si="878"/>
        <v>0.23884675440553205</v>
      </c>
      <c r="M6386" s="400">
        <f>SUM(C6386,C6362,C6338,C6314,C6290,C6266,C6242)/POBLA!$B$1*100000</f>
        <v>77.811357881451386</v>
      </c>
    </row>
    <row r="6387" spans="1:13" s="360" customFormat="1" x14ac:dyDescent="0.25">
      <c r="A6387" s="367" t="s">
        <v>43</v>
      </c>
      <c r="B6387" s="267">
        <v>44159</v>
      </c>
      <c r="C6387" s="1">
        <v>250</v>
      </c>
      <c r="D6387" s="39">
        <f t="shared" si="874"/>
        <v>156903</v>
      </c>
      <c r="E6387" s="1">
        <f>4+8</f>
        <v>12</v>
      </c>
      <c r="F6387" s="409">
        <f t="shared" si="881"/>
        <v>5177</v>
      </c>
      <c r="G6387" s="168">
        <f>SUM(C6387,C6363,C6339,C6315,C6291,C6267,C6243,C6219,C6195,C6171,C6147,C6123,C6099,C6075)/POBLA!$B$2*100000</f>
        <v>174.46741269964099</v>
      </c>
      <c r="H6387" s="256">
        <f t="shared" si="877"/>
        <v>0.83400683866956793</v>
      </c>
      <c r="I6387" s="297">
        <f t="shared" ref="I6387:I6409" si="882">G6387*H6387</f>
        <v>145.50701531648642</v>
      </c>
      <c r="J6387" s="297">
        <f t="shared" ref="J6387:J6409" si="883">AVERAGE(C6387,C6363,C6339,C6315,C6291,C6267,C6243)</f>
        <v>329.57142857142856</v>
      </c>
      <c r="K6387" s="297">
        <f>J6387/POBLA!$B$2*100000</f>
        <v>10.71551890469282</v>
      </c>
      <c r="L6387" s="549">
        <f t="shared" si="878"/>
        <v>0.24583197123242895</v>
      </c>
      <c r="M6387" s="401">
        <f>SUM(C6387,C6363,C6339,C6315,C6291,C6267,C6243)/POBLA!$B$2*100000</f>
        <v>75.008632332849757</v>
      </c>
    </row>
    <row r="6388" spans="1:13" s="360" customFormat="1" x14ac:dyDescent="0.25">
      <c r="A6388" s="367" t="s">
        <v>28</v>
      </c>
      <c r="B6388" s="267">
        <v>44159</v>
      </c>
      <c r="C6388" s="1">
        <v>13</v>
      </c>
      <c r="D6388" s="39">
        <f t="shared" si="874"/>
        <v>1725</v>
      </c>
      <c r="E6388" s="1"/>
      <c r="F6388" s="409">
        <f t="shared" si="881"/>
        <v>13</v>
      </c>
      <c r="G6388" s="168">
        <f>SUM(C6388,C6364,C6340,C6316,C6292,C6268,C6244,C6220,C6196,C6172,C6148,C6124,C6100,C6076)/POBLA!$B$3*100000</f>
        <v>114.09644760469672</v>
      </c>
      <c r="H6388" s="256">
        <f t="shared" si="877"/>
        <v>0.81025641025641026</v>
      </c>
      <c r="I6388" s="297">
        <f t="shared" si="882"/>
        <v>92.447378059190157</v>
      </c>
      <c r="J6388" s="297">
        <f t="shared" si="883"/>
        <v>20.571428571428573</v>
      </c>
      <c r="K6388" s="297">
        <f>J6388/POBLA!$B$3*100000</f>
        <v>4.9517445615058264</v>
      </c>
      <c r="L6388" s="549">
        <f t="shared" si="878"/>
        <v>0.56363636363636371</v>
      </c>
      <c r="M6388" s="401">
        <f>SUM(C6388,C6364,C6340,C6316,C6292,C6268,C6244)/POBLA!$B$3*100000</f>
        <v>34.662211930540778</v>
      </c>
    </row>
    <row r="6389" spans="1:13" s="360" customFormat="1" x14ac:dyDescent="0.25">
      <c r="A6389" s="367" t="s">
        <v>15</v>
      </c>
      <c r="B6389" s="267">
        <v>44159</v>
      </c>
      <c r="C6389" s="1">
        <v>177</v>
      </c>
      <c r="D6389" s="39">
        <f t="shared" si="874"/>
        <v>18082</v>
      </c>
      <c r="E6389" s="1">
        <f>4+1</f>
        <v>5</v>
      </c>
      <c r="F6389" s="409">
        <f t="shared" si="881"/>
        <v>533</v>
      </c>
      <c r="G6389" s="168">
        <f>SUM(C6389,C6365,C6341,C6317,C6293,C6269,C6245,C6221,C6197,C6173,C6149,C6125,C6101,C6077)/POBLA!$B$4*100000</f>
        <v>230.37821045526886</v>
      </c>
      <c r="H6389" s="256">
        <f t="shared" si="877"/>
        <v>1.4506011500261369</v>
      </c>
      <c r="I6389" s="297">
        <f t="shared" si="882"/>
        <v>334.1868970273764</v>
      </c>
      <c r="J6389" s="297">
        <f t="shared" si="883"/>
        <v>193.57142857142858</v>
      </c>
      <c r="K6389" s="297">
        <f>J6389/POBLA!$B$4*100000</f>
        <v>16.070140291731754</v>
      </c>
      <c r="L6389" s="549">
        <f t="shared" si="878"/>
        <v>4.5774647887323994E-2</v>
      </c>
      <c r="M6389" s="401">
        <f>SUM(C6389,C6365,C6341,C6317,C6293,C6269,C6245)/POBLA!$B$4*100000</f>
        <v>112.49098204212225</v>
      </c>
    </row>
    <row r="6390" spans="1:13" s="360" customFormat="1" x14ac:dyDescent="0.25">
      <c r="A6390" s="367" t="s">
        <v>29</v>
      </c>
      <c r="B6390" s="267">
        <v>44159</v>
      </c>
      <c r="C6390" s="1">
        <v>227</v>
      </c>
      <c r="D6390" s="39">
        <f t="shared" si="874"/>
        <v>21498</v>
      </c>
      <c r="E6390" s="1">
        <f>1+1</f>
        <v>2</v>
      </c>
      <c r="F6390" s="409">
        <f t="shared" si="881"/>
        <v>361</v>
      </c>
      <c r="G6390" s="168">
        <f>SUM(C6390,C6366,C6342,C6318,C6294,C6270,C6246,C6222,C6198,C6174,C6150,C6126,C6102,C6078)/POBLA!$B$5*100000</f>
        <v>614.54553679034052</v>
      </c>
      <c r="H6390" s="256">
        <f t="shared" si="877"/>
        <v>0.86552901023890783</v>
      </c>
      <c r="I6390" s="297">
        <f t="shared" si="882"/>
        <v>531.90699020488171</v>
      </c>
      <c r="J6390" s="297">
        <f t="shared" si="883"/>
        <v>250.14285714285714</v>
      </c>
      <c r="K6390" s="297">
        <f>J6390/POBLA!$B$5*100000</f>
        <v>40.411192538676808</v>
      </c>
      <c r="L6390" s="549">
        <f t="shared" si="878"/>
        <v>0.14710180224062352</v>
      </c>
      <c r="M6390" s="401">
        <f>SUM(C6390,C6366,C6342,C6318,C6294,C6270,C6246)/POBLA!$B$5*100000</f>
        <v>282.87834777073766</v>
      </c>
    </row>
    <row r="6391" spans="1:13" s="360" customFormat="1" x14ac:dyDescent="0.25">
      <c r="A6391" s="367" t="s">
        <v>20</v>
      </c>
      <c r="B6391" s="267">
        <v>44159</v>
      </c>
      <c r="C6391" s="1">
        <v>471</v>
      </c>
      <c r="D6391" s="39">
        <f t="shared" si="874"/>
        <v>110062</v>
      </c>
      <c r="E6391" s="1">
        <f>22+11</f>
        <v>33</v>
      </c>
      <c r="F6391" s="409">
        <f t="shared" si="881"/>
        <v>1822</v>
      </c>
      <c r="G6391" s="168">
        <f>SUM(C6391,C6367,C6343,C6319,C6295,C6271,C6247,C6223,C6199,C6175,C6151,C6127,C6103,C6079)/POBLA!$B$6*100000</f>
        <v>1248.6605561558208</v>
      </c>
      <c r="H6391" s="256">
        <f t="shared" si="877"/>
        <v>0.82410787893063242</v>
      </c>
      <c r="I6391" s="297">
        <f t="shared" si="882"/>
        <v>1029.0310024379173</v>
      </c>
      <c r="J6391" s="297">
        <f t="shared" si="883"/>
        <v>798.57142857142856</v>
      </c>
      <c r="K6391" s="297">
        <f>J6391/POBLA!$B$6*100000</f>
        <v>71.250063889256751</v>
      </c>
      <c r="L6391" s="549">
        <f t="shared" si="878"/>
        <v>0.33491969066032123</v>
      </c>
      <c r="M6391" s="401">
        <f>SUM(C6391,C6367,C6343,C6319,C6295,C6271,C6247)/POBLA!$B$6*100000</f>
        <v>498.75044722479726</v>
      </c>
    </row>
    <row r="6392" spans="1:13" s="360" customFormat="1" x14ac:dyDescent="0.25">
      <c r="A6392" s="367" t="s">
        <v>30</v>
      </c>
      <c r="B6392" s="267">
        <v>44159</v>
      </c>
      <c r="C6392" s="1">
        <v>92</v>
      </c>
      <c r="D6392" s="39">
        <f t="shared" si="874"/>
        <v>5009</v>
      </c>
      <c r="E6392" s="1"/>
      <c r="F6392" s="409">
        <f t="shared" si="881"/>
        <v>86</v>
      </c>
      <c r="G6392" s="168">
        <f>SUM(C6392,C6368,C6344,C6320,C6296,C6272,C6248,C6224,C6200,C6176,C6152,C6128,C6104,C6080)/POBLA!$B$7*100000</f>
        <v>50.525867914744246</v>
      </c>
      <c r="H6392" s="256">
        <f t="shared" si="877"/>
        <v>2.6798307475317347</v>
      </c>
      <c r="I6392" s="297">
        <f t="shared" si="882"/>
        <v>135.40077438365876</v>
      </c>
      <c r="J6392" s="297">
        <f t="shared" si="883"/>
        <v>147.57142857142858</v>
      </c>
      <c r="K6392" s="297">
        <f>J6392/POBLA!$B$7*100000</f>
        <v>3.9243023726263768</v>
      </c>
      <c r="L6392" s="549">
        <f t="shared" si="878"/>
        <v>-0.19146482122260666</v>
      </c>
      <c r="M6392" s="401">
        <f>SUM(C6392,C6368,C6344,C6320,C6296,C6272,C6248)/POBLA!$B$7*100000</f>
        <v>27.470116608384636</v>
      </c>
    </row>
    <row r="6393" spans="1:13" x14ac:dyDescent="0.25">
      <c r="A6393" s="367" t="s">
        <v>31</v>
      </c>
      <c r="B6393" s="267">
        <v>44159</v>
      </c>
      <c r="C6393" s="1">
        <v>177</v>
      </c>
      <c r="D6393" s="39">
        <f t="shared" si="874"/>
        <v>22076</v>
      </c>
      <c r="E6393" s="1">
        <f>8+6</f>
        <v>14</v>
      </c>
      <c r="F6393" s="409">
        <f t="shared" si="881"/>
        <v>434</v>
      </c>
      <c r="G6393" s="168">
        <f>SUM(C6393,C6369,C6345,C6321,C6297,C6273,C6249,C6225,C6201,C6177,C6153,C6129,C6105,C6081)/POBLA!$B$8*100000</f>
        <v>250.94501216123686</v>
      </c>
      <c r="H6393" s="256">
        <f t="shared" si="877"/>
        <v>0.8892866274610074</v>
      </c>
      <c r="I6393" s="297">
        <f t="shared" si="882"/>
        <v>223.16204354302781</v>
      </c>
      <c r="J6393" s="297">
        <f t="shared" si="883"/>
        <v>217.85714285714286</v>
      </c>
      <c r="K6393" s="297">
        <f>J6393/POBLA!$B$8*100000</f>
        <v>15.718850880879248</v>
      </c>
      <c r="L6393" s="549">
        <f t="shared" si="878"/>
        <v>0.21915002560163854</v>
      </c>
      <c r="M6393" s="401">
        <f>SUM(C6393,C6369,C6345,C6321,C6297,C6273,C6249)/POBLA!$B$8*100000</f>
        <v>110.03195616615476</v>
      </c>
    </row>
    <row r="6394" spans="1:13" s="360" customFormat="1" x14ac:dyDescent="0.25">
      <c r="A6394" s="367" t="s">
        <v>41</v>
      </c>
      <c r="B6394" s="267">
        <v>44159</v>
      </c>
      <c r="C6394" s="1">
        <v>2</v>
      </c>
      <c r="D6394" s="39">
        <f t="shared" si="874"/>
        <v>191</v>
      </c>
      <c r="E6394" s="1"/>
      <c r="F6394" s="409">
        <f t="shared" si="881"/>
        <v>3</v>
      </c>
      <c r="G6394" s="168">
        <f>SUM(C6394,C6370,C6346,C6322,C6298,C6274,C6250,C6226,C6202,C6178,C6154,C6130,C6106,C6082)/POBLA!$B$9*100000</f>
        <v>4.6266232425028049</v>
      </c>
      <c r="H6394" s="256">
        <f t="shared" si="877"/>
        <v>1.8666666666666667</v>
      </c>
      <c r="I6394" s="297">
        <f t="shared" si="882"/>
        <v>8.636363386005236</v>
      </c>
      <c r="J6394" s="297">
        <f t="shared" si="883"/>
        <v>3</v>
      </c>
      <c r="K6394" s="297">
        <f>J6394/POBLA!$B$9*100000</f>
        <v>0.49570963312530053</v>
      </c>
      <c r="L6394" s="549">
        <f t="shared" si="878"/>
        <v>-2</v>
      </c>
      <c r="M6394" s="401">
        <f>SUM(C6394,C6370,C6346,C6322,C6298,C6274,C6250)/POBLA!$B$9*100000</f>
        <v>3.4699674318771034</v>
      </c>
    </row>
    <row r="6395" spans="1:13" s="360" customFormat="1" x14ac:dyDescent="0.25">
      <c r="A6395" s="367" t="s">
        <v>32</v>
      </c>
      <c r="B6395" s="267">
        <v>44159</v>
      </c>
      <c r="C6395" s="1">
        <v>20</v>
      </c>
      <c r="D6395" s="39">
        <f t="shared" si="874"/>
        <v>18317</v>
      </c>
      <c r="E6395" s="1"/>
      <c r="F6395" s="409">
        <f t="shared" si="881"/>
        <v>845</v>
      </c>
      <c r="G6395" s="168">
        <f>SUM(C6395,C6371,C6347,C6323,C6299,C6275,C6251,C6227,C6203,C6179,C6155,C6131,C6107,C6083)/POBLA!$B$10*100000</f>
        <v>32.689870420985862</v>
      </c>
      <c r="H6395" s="256">
        <f t="shared" si="877"/>
        <v>0.66666666666666663</v>
      </c>
      <c r="I6395" s="297">
        <f t="shared" si="882"/>
        <v>21.793246947323908</v>
      </c>
      <c r="J6395" s="297">
        <f t="shared" si="883"/>
        <v>14.857142857142858</v>
      </c>
      <c r="K6395" s="297">
        <f>J6395/POBLA!$B$10*100000</f>
        <v>1.9272939477225224</v>
      </c>
      <c r="L6395" s="549">
        <f t="shared" si="878"/>
        <v>0.29729729729729726</v>
      </c>
      <c r="M6395" s="401">
        <f>SUM(C6395,C6371,C6347,C6323,C6299,C6275,C6251)/POBLA!$B$10*100000</f>
        <v>13.491057634057654</v>
      </c>
    </row>
    <row r="6396" spans="1:13" s="360" customFormat="1" x14ac:dyDescent="0.25">
      <c r="A6396" s="367" t="s">
        <v>33</v>
      </c>
      <c r="B6396" s="267">
        <v>44159</v>
      </c>
      <c r="C6396" s="1">
        <v>61</v>
      </c>
      <c r="D6396" s="39">
        <f t="shared" si="874"/>
        <v>5298</v>
      </c>
      <c r="E6396" s="1">
        <f>1</f>
        <v>1</v>
      </c>
      <c r="F6396" s="409">
        <f t="shared" si="881"/>
        <v>73</v>
      </c>
      <c r="G6396" s="168">
        <f>SUM(C6396,C6372,C6348,C6324,C6300,C6276,C6252,C6228,C6204,C6180,C6156,C6132,C6108,C6084)/POBLA!$B$11*100000</f>
        <v>281.78602118138093</v>
      </c>
      <c r="H6396" s="256">
        <f t="shared" si="877"/>
        <v>0.62345679012345678</v>
      </c>
      <c r="I6396" s="297">
        <f t="shared" si="882"/>
        <v>175.68140826740415</v>
      </c>
      <c r="J6396" s="297">
        <f t="shared" si="883"/>
        <v>66.285714285714292</v>
      </c>
      <c r="K6396" s="297">
        <f>J6396/POBLA!$B$11*100000</f>
        <v>18.493453158155695</v>
      </c>
      <c r="L6396" s="549">
        <f t="shared" si="878"/>
        <v>0.1501831501831502</v>
      </c>
      <c r="M6396" s="401">
        <f>SUM(C6396,C6372,C6348,C6324,C6300,C6276,C6252)/POBLA!$B$11*100000</f>
        <v>129.45417210708985</v>
      </c>
    </row>
    <row r="6397" spans="1:13" s="360" customFormat="1" x14ac:dyDescent="0.25">
      <c r="A6397" s="367" t="s">
        <v>21</v>
      </c>
      <c r="B6397" s="267">
        <v>44159</v>
      </c>
      <c r="C6397" s="1">
        <v>16</v>
      </c>
      <c r="D6397" s="39">
        <f t="shared" si="874"/>
        <v>8570</v>
      </c>
      <c r="E6397" s="1"/>
      <c r="F6397" s="409">
        <f t="shared" si="881"/>
        <v>310</v>
      </c>
      <c r="G6397" s="168">
        <f>SUM(C6397,C6373,C6349,C6325,C6301,C6277,C6253,C6229,C6205,C6181,C6157,C6133,C6109,C6085)/POBLA!$B$12*100000</f>
        <v>165.67945092000377</v>
      </c>
      <c r="H6397" s="256">
        <f t="shared" si="877"/>
        <v>1.0482315112540193</v>
      </c>
      <c r="I6397" s="297">
        <f t="shared" si="882"/>
        <v>173.67042122161166</v>
      </c>
      <c r="J6397" s="297">
        <f t="shared" si="883"/>
        <v>46.714285714285715</v>
      </c>
      <c r="K6397" s="297">
        <f>J6397/POBLA!$B$12*100000</f>
        <v>11.870547863900358</v>
      </c>
      <c r="L6397" s="549">
        <f t="shared" si="878"/>
        <v>-6.1538461538461764E-3</v>
      </c>
      <c r="M6397" s="401">
        <f>SUM(C6397,C6373,C6349,C6325,C6301,C6277,C6253)/POBLA!$B$12*100000</f>
        <v>83.093835047302505</v>
      </c>
    </row>
    <row r="6398" spans="1:13" s="360" customFormat="1" x14ac:dyDescent="0.25">
      <c r="A6398" s="367" t="s">
        <v>17</v>
      </c>
      <c r="B6398" s="267">
        <v>44159</v>
      </c>
      <c r="C6398" s="1">
        <v>198</v>
      </c>
      <c r="D6398" s="39">
        <f t="shared" si="874"/>
        <v>55500</v>
      </c>
      <c r="E6398" s="1">
        <f>1+2</f>
        <v>3</v>
      </c>
      <c r="F6398" s="409">
        <f t="shared" si="881"/>
        <v>1076</v>
      </c>
      <c r="G6398" s="168">
        <f>SUM(C6398,C6374,C6350,C6326,C6302,C6278,C6254,C6230,C6206,C6182,C6158,C6134,C6110,C6086)/POBLA!$B$13*100000</f>
        <v>204.99030817881183</v>
      </c>
      <c r="H6398" s="256">
        <f t="shared" si="877"/>
        <v>0.57888762769580027</v>
      </c>
      <c r="I6398" s="297">
        <f t="shared" si="882"/>
        <v>118.66635320226338</v>
      </c>
      <c r="J6398" s="297">
        <f t="shared" si="883"/>
        <v>226.85714285714286</v>
      </c>
      <c r="K6398" s="297">
        <f>J6398/POBLA!$B$13*100000</f>
        <v>11.397920496777074</v>
      </c>
      <c r="L6398" s="549">
        <f t="shared" si="878"/>
        <v>0.362760834670947</v>
      </c>
      <c r="M6398" s="401">
        <f>SUM(C6398,C6374,C6350,C6326,C6302,C6278,C6254)/POBLA!$B$13*100000</f>
        <v>79.7854434774395</v>
      </c>
    </row>
    <row r="6399" spans="1:13" s="360" customFormat="1" x14ac:dyDescent="0.25">
      <c r="A6399" s="367" t="s">
        <v>23</v>
      </c>
      <c r="B6399" s="267">
        <v>44159</v>
      </c>
      <c r="C6399" s="1">
        <v>10</v>
      </c>
      <c r="D6399" s="39">
        <f t="shared" si="874"/>
        <v>458</v>
      </c>
      <c r="E6399" s="1"/>
      <c r="F6399" s="409">
        <f t="shared" si="881"/>
        <v>8</v>
      </c>
      <c r="G6399" s="168">
        <f>SUM(C6399,C6375,C6351,C6327,C6303,C6279,C6255,C6231,C6207,C6183,C6159,C6135,C6111,C6087)/POBLA!$B$14*100000</f>
        <v>7.690514661926561</v>
      </c>
      <c r="H6399" s="256">
        <f t="shared" si="877"/>
        <v>0.80165289256198347</v>
      </c>
      <c r="I6399" s="297">
        <f t="shared" si="882"/>
        <v>6.1651233240237717</v>
      </c>
      <c r="J6399" s="297">
        <f t="shared" si="883"/>
        <v>8.7142857142857135</v>
      </c>
      <c r="K6399" s="297">
        <f>J6399/POBLA!$B$14*100000</f>
        <v>0.69090043354568509</v>
      </c>
      <c r="L6399" s="549">
        <f t="shared" si="878"/>
        <v>-0.69444444444444442</v>
      </c>
      <c r="M6399" s="401">
        <f>SUM(C6399,C6375,C6351,C6327,C6303,C6279,C6255)/POBLA!$B$14*100000</f>
        <v>4.8363030348197968</v>
      </c>
    </row>
    <row r="6400" spans="1:13" s="360" customFormat="1" x14ac:dyDescent="0.25">
      <c r="A6400" s="367" t="s">
        <v>19</v>
      </c>
      <c r="B6400" s="267">
        <v>44159</v>
      </c>
      <c r="C6400" s="1">
        <v>485</v>
      </c>
      <c r="D6400" s="39">
        <f t="shared" si="874"/>
        <v>30504</v>
      </c>
      <c r="E6400" s="1"/>
      <c r="F6400" s="409">
        <f t="shared" si="881"/>
        <v>591</v>
      </c>
      <c r="G6400" s="168">
        <f>SUM(C6400,C6376,C6352,C6328,C6304,C6280,C6256,C6232,C6208,C6184,C6160,C6136,C6112,C6088)/POBLA!$B$15*100000</f>
        <v>715.3000420144657</v>
      </c>
      <c r="H6400" s="256">
        <f t="shared" si="877"/>
        <v>0.85400934915498017</v>
      </c>
      <c r="I6400" s="297">
        <f t="shared" si="882"/>
        <v>610.87292333130381</v>
      </c>
      <c r="J6400" s="297">
        <f t="shared" si="883"/>
        <v>313.42857142857144</v>
      </c>
      <c r="K6400" s="297">
        <f>J6400/POBLA!$B$15*100000</f>
        <v>47.199046381345489</v>
      </c>
      <c r="L6400" s="549">
        <f t="shared" si="878"/>
        <v>0.14162754303599379</v>
      </c>
      <c r="M6400" s="401">
        <f>SUM(C6400,C6376,C6352,C6328,C6304,C6280,C6256)/POBLA!$B$15*100000</f>
        <v>330.39332466941846</v>
      </c>
    </row>
    <row r="6401" spans="1:13" s="360" customFormat="1" x14ac:dyDescent="0.25">
      <c r="A6401" s="367" t="s">
        <v>18</v>
      </c>
      <c r="B6401" s="267">
        <v>44159</v>
      </c>
      <c r="C6401" s="1">
        <v>234</v>
      </c>
      <c r="D6401" s="39">
        <f t="shared" si="874"/>
        <v>30382</v>
      </c>
      <c r="E6401" s="1">
        <f>1</f>
        <v>1</v>
      </c>
      <c r="F6401" s="409">
        <f t="shared" si="881"/>
        <v>755</v>
      </c>
      <c r="G6401" s="168">
        <f>SUM(C6401,C6377,C6353,C6329,C6305,C6281,C6257,C6233,C6209,C6185,C6161,C6137,C6113,C6089)/POBLA!$B$16*100000</f>
        <v>435.78871336659483</v>
      </c>
      <c r="H6401" s="256">
        <f t="shared" si="877"/>
        <v>0.71213114754098361</v>
      </c>
      <c r="I6401" s="297">
        <f t="shared" si="882"/>
        <v>310.33871653516195</v>
      </c>
      <c r="J6401" s="297">
        <f t="shared" si="883"/>
        <v>206.42857142857142</v>
      </c>
      <c r="K6401" s="297">
        <f>J6401/POBLA!$B$16*100000</f>
        <v>27.611799123683664</v>
      </c>
      <c r="L6401" s="549">
        <f t="shared" si="878"/>
        <v>0.20297848869277446</v>
      </c>
      <c r="M6401" s="401">
        <f>SUM(C6401,C6377,C6353,C6329,C6305,C6281,C6257)/POBLA!$B$16*100000</f>
        <v>193.28259386578563</v>
      </c>
    </row>
    <row r="6402" spans="1:13" s="360" customFormat="1" x14ac:dyDescent="0.25">
      <c r="A6402" s="367" t="s">
        <v>34</v>
      </c>
      <c r="B6402" s="267">
        <v>44159</v>
      </c>
      <c r="C6402" s="1">
        <v>97</v>
      </c>
      <c r="D6402" s="39">
        <f t="shared" ref="D6402:D6408" si="884">C6402+D6378</f>
        <v>20868</v>
      </c>
      <c r="E6402" s="1">
        <f>6+4</f>
        <v>10</v>
      </c>
      <c r="F6402" s="409">
        <f t="shared" si="881"/>
        <v>958</v>
      </c>
      <c r="G6402" s="168">
        <f>SUM(C6402,C6378,C6354,C6330,C6306,C6282,C6258,C6234,C6210,C6186,C6162,C6138,C6114,C6090)/POBLA!$B$17*100000</f>
        <v>81.999611063488615</v>
      </c>
      <c r="H6402" s="256">
        <f t="shared" si="877"/>
        <v>0.70065986802639468</v>
      </c>
      <c r="I6402" s="297">
        <f t="shared" si="882"/>
        <v>57.453836665959628</v>
      </c>
      <c r="J6402" s="297">
        <f t="shared" si="883"/>
        <v>77.285714285714292</v>
      </c>
      <c r="K6402" s="297">
        <f>J6402/POBLA!$B$17*100000</f>
        <v>5.425854890575752</v>
      </c>
      <c r="L6402" s="549">
        <f t="shared" si="878"/>
        <v>0.13716108452950559</v>
      </c>
      <c r="M6402" s="401">
        <f>SUM(C6402,C6378,C6354,C6330,C6306,C6282,C6258)/POBLA!$B$17*100000</f>
        <v>37.980984234030259</v>
      </c>
    </row>
    <row r="6403" spans="1:13" s="360" customFormat="1" x14ac:dyDescent="0.25">
      <c r="A6403" s="367" t="s">
        <v>35</v>
      </c>
      <c r="B6403" s="267">
        <v>44159</v>
      </c>
      <c r="C6403" s="1">
        <v>493</v>
      </c>
      <c r="D6403" s="39">
        <f t="shared" si="884"/>
        <v>6271</v>
      </c>
      <c r="E6403" s="1"/>
      <c r="F6403" s="409">
        <f t="shared" si="881"/>
        <v>143</v>
      </c>
      <c r="G6403" s="168">
        <f>SUM(C6403,C6379,C6355,C6331,C6307,C6283,C6259,C6235,C6211,C6187,C6163,C6139,C6115,C6091)/POBLA!$B$18*100000</f>
        <v>295.94850086467653</v>
      </c>
      <c r="H6403" s="256">
        <f t="shared" si="877"/>
        <v>0.91636940150614343</v>
      </c>
      <c r="I6403" s="297">
        <f t="shared" si="882"/>
        <v>271.19815061400402</v>
      </c>
      <c r="J6403" s="297">
        <f t="shared" si="883"/>
        <v>226.14285714285714</v>
      </c>
      <c r="K6403" s="297">
        <f>J6403/POBLA!$B$18*100000</f>
        <v>28.94750845704294</v>
      </c>
      <c r="L6403" s="549">
        <f t="shared" si="878"/>
        <v>-1.1714677640603566</v>
      </c>
      <c r="M6403" s="401">
        <f>SUM(C6403,C6379,C6355,C6331,C6307,C6283,C6259)/POBLA!$B$18*100000</f>
        <v>202.63255919930057</v>
      </c>
    </row>
    <row r="6404" spans="1:13" s="360" customFormat="1" x14ac:dyDescent="0.25">
      <c r="A6404" s="367" t="s">
        <v>36</v>
      </c>
      <c r="B6404" s="267">
        <v>44159</v>
      </c>
      <c r="C6404" s="1">
        <v>178</v>
      </c>
      <c r="D6404" s="39">
        <f t="shared" si="884"/>
        <v>13387</v>
      </c>
      <c r="E6404" s="1">
        <f>6+1</f>
        <v>7</v>
      </c>
      <c r="F6404" s="409">
        <f t="shared" si="881"/>
        <v>188</v>
      </c>
      <c r="G6404" s="168">
        <f>SUM(C6404,C6380,C6356,C6332,C6308,C6284,C6260,C6236,C6212,C6188,C6164,C6140,C6116,C6092)/POBLA!$B$19*100000</f>
        <v>701.51555688453118</v>
      </c>
      <c r="H6404" s="256">
        <f t="shared" si="877"/>
        <v>0.95194874532835028</v>
      </c>
      <c r="I6404" s="297">
        <f t="shared" si="882"/>
        <v>667.80685420454836</v>
      </c>
      <c r="J6404" s="297">
        <f t="shared" si="883"/>
        <v>220.85714285714286</v>
      </c>
      <c r="K6404" s="297">
        <f>J6404/POBLA!$B$19*100000</f>
        <v>43.447762636947573</v>
      </c>
      <c r="L6404" s="549">
        <f t="shared" si="878"/>
        <v>0.23465346534653464</v>
      </c>
      <c r="M6404" s="401">
        <f>SUM(C6404,C6380,C6356,C6332,C6308,C6284,C6260)/POBLA!$B$19*100000</f>
        <v>304.13433845863301</v>
      </c>
    </row>
    <row r="6405" spans="1:13" s="360" customFormat="1" x14ac:dyDescent="0.25">
      <c r="A6405" s="367" t="s">
        <v>37</v>
      </c>
      <c r="B6405" s="267">
        <v>44159</v>
      </c>
      <c r="C6405" s="1">
        <v>208</v>
      </c>
      <c r="D6405" s="39">
        <f t="shared" si="884"/>
        <v>14517</v>
      </c>
      <c r="E6405" s="1">
        <f>5+4</f>
        <v>9</v>
      </c>
      <c r="F6405" s="409">
        <f t="shared" si="881"/>
        <v>247</v>
      </c>
      <c r="G6405" s="168">
        <f>SUM(C6405,C6381,C6357,C6333,C6309,C6285,C6261,C6237,C6213,C6189,C6165,C6141,C6117,C6093)/POBLA!$B$20*100000</f>
        <v>830.74011889591964</v>
      </c>
      <c r="H6405" s="256">
        <f t="shared" si="877"/>
        <v>1.0723614542887399</v>
      </c>
      <c r="I6405" s="297">
        <f t="shared" si="882"/>
        <v>890.85368203522899</v>
      </c>
      <c r="J6405" s="297">
        <f t="shared" si="883"/>
        <v>210.28571428571428</v>
      </c>
      <c r="K6405" s="297">
        <f>J6405/POBLA!$B$20*100000</f>
        <v>57.502560660904429</v>
      </c>
      <c r="L6405" s="549">
        <f t="shared" si="878"/>
        <v>6.0025542784163499E-2</v>
      </c>
      <c r="M6405" s="401">
        <f>SUM(C6405,C6381,C6357,C6333,C6309,C6285,C6261)/POBLA!$B$20*100000</f>
        <v>402.51792462633102</v>
      </c>
    </row>
    <row r="6406" spans="1:13" s="360" customFormat="1" x14ac:dyDescent="0.25">
      <c r="A6406" s="367" t="s">
        <v>22</v>
      </c>
      <c r="B6406" s="267">
        <v>44159</v>
      </c>
      <c r="C6406" s="1">
        <v>1187</v>
      </c>
      <c r="D6406" s="39">
        <f t="shared" si="884"/>
        <v>140105</v>
      </c>
      <c r="E6406" s="1">
        <f>15+17</f>
        <v>32</v>
      </c>
      <c r="F6406" s="409">
        <f t="shared" si="881"/>
        <v>2129</v>
      </c>
      <c r="G6406" s="168">
        <f>SUM(C6406,C6382,C6358,C6334,C6310,C6286,C6262,C6238,C6214,C6190,C6166,C6142,C6118,C6094)/POBLA!$B$21*100000</f>
        <v>532.20518615163712</v>
      </c>
      <c r="H6406" s="256">
        <f t="shared" si="877"/>
        <v>0.82512056115738708</v>
      </c>
      <c r="I6406" s="297">
        <f t="shared" si="882"/>
        <v>439.1334418483105</v>
      </c>
      <c r="J6406" s="297">
        <f t="shared" si="883"/>
        <v>1310.8571428571429</v>
      </c>
      <c r="K6406" s="297">
        <f>J6406/POBLA!$B$21*100000</f>
        <v>37.067369944874812</v>
      </c>
      <c r="L6406" s="549">
        <f t="shared" si="878"/>
        <v>4.8626231207879678E-2</v>
      </c>
      <c r="M6406" s="401">
        <f>SUM(C6406,C6382,C6358,C6334,C6310,C6286,C6262)/POBLA!$B$21*100000</f>
        <v>259.47158961412367</v>
      </c>
    </row>
    <row r="6407" spans="1:13" s="360" customFormat="1" x14ac:dyDescent="0.25">
      <c r="A6407" s="367" t="s">
        <v>38</v>
      </c>
      <c r="B6407" s="267">
        <v>44159</v>
      </c>
      <c r="C6407" s="1">
        <v>75</v>
      </c>
      <c r="D6407" s="39">
        <f t="shared" si="884"/>
        <v>14714</v>
      </c>
      <c r="E6407" s="1">
        <f>1+4</f>
        <v>5</v>
      </c>
      <c r="F6407" s="409">
        <f t="shared" si="881"/>
        <v>180</v>
      </c>
      <c r="G6407" s="168">
        <f>SUM(C6407,C6383,C6359,C6335,C6311,C6287,C6263,C6239,C6215,C6191,C6167,C6143,C6119,C6095)/POBLA!$B$22*100000</f>
        <v>312.17003147254508</v>
      </c>
      <c r="H6407" s="256">
        <f t="shared" si="877"/>
        <v>1.0563818747838118</v>
      </c>
      <c r="I6407" s="297">
        <f t="shared" si="882"/>
        <v>329.77076309828874</v>
      </c>
      <c r="J6407" s="297">
        <f t="shared" si="883"/>
        <v>184.28571428571428</v>
      </c>
      <c r="K6407" s="297">
        <f>J6407/POBLA!$B$22*100000</f>
        <v>18.837091430423012</v>
      </c>
      <c r="L6407" s="549">
        <f t="shared" si="878"/>
        <v>0.26870748299319724</v>
      </c>
      <c r="M6407" s="401">
        <f>SUM(C6407,C6383,C6359,C6335,C6311,C6287,C6263)/POBLA!$B$22*100000</f>
        <v>131.85964001296108</v>
      </c>
    </row>
    <row r="6408" spans="1:13" s="360" customFormat="1" x14ac:dyDescent="0.25">
      <c r="A6408" s="367" t="s">
        <v>39</v>
      </c>
      <c r="B6408" s="267">
        <v>44159</v>
      </c>
      <c r="C6408" s="1">
        <v>109</v>
      </c>
      <c r="D6408" s="39">
        <f t="shared" si="884"/>
        <v>15524</v>
      </c>
      <c r="E6408" s="1">
        <f>2</f>
        <v>2</v>
      </c>
      <c r="F6408" s="409">
        <f t="shared" si="881"/>
        <v>222</v>
      </c>
      <c r="G6408" s="168">
        <f>SUM(C6408,C6384,C6360,C6336,C6312,C6288,C6264,C6240,C6216,C6192,C6168,C6144,C6120,C6096)/POBLA!$B$23*100000</f>
        <v>1119.7195046089464</v>
      </c>
      <c r="H6408" s="256">
        <f t="shared" si="877"/>
        <v>0.66982408660351822</v>
      </c>
      <c r="I6408" s="297">
        <f t="shared" si="882"/>
        <v>750.01509442683141</v>
      </c>
      <c r="J6408" s="297">
        <f t="shared" si="883"/>
        <v>141</v>
      </c>
      <c r="K6408" s="297">
        <f>J6408/POBLA!$B$23*100000</f>
        <v>79.737601085788611</v>
      </c>
      <c r="L6408" s="549">
        <f t="shared" si="878"/>
        <v>6.0422960725075026E-3</v>
      </c>
      <c r="M6408" s="401">
        <f>SUM(C6408,C6384,C6360,C6336,C6312,C6288,C6264)/POBLA!$B$23*100000</f>
        <v>558.16320760052031</v>
      </c>
    </row>
    <row r="6409" spans="1:13" s="360" customFormat="1" ht="15.75" thickBot="1" x14ac:dyDescent="0.3">
      <c r="A6409" s="369" t="s">
        <v>40</v>
      </c>
      <c r="B6409" s="267">
        <v>44159</v>
      </c>
      <c r="C6409" s="1">
        <v>455</v>
      </c>
      <c r="D6409" s="176">
        <f>C6409+D6385</f>
        <v>63937</v>
      </c>
      <c r="E6409" s="1">
        <f>16+7</f>
        <v>23</v>
      </c>
      <c r="F6409" s="476">
        <f t="shared" si="881"/>
        <v>1096</v>
      </c>
      <c r="G6409" s="177">
        <f>SUM(C6409,C6385,C6361,C6337,C6313,C6289,C6265,C6241,C6217,C6193,C6169,C6145,C6121,C6097)/POBLA!$B$24*100000</f>
        <v>464.99112504248654</v>
      </c>
      <c r="H6409" s="402">
        <f t="shared" si="877"/>
        <v>0.75119161105815058</v>
      </c>
      <c r="I6409" s="403">
        <f t="shared" si="882"/>
        <v>349.29743234840743</v>
      </c>
      <c r="J6409" s="403">
        <f t="shared" si="883"/>
        <v>376.71428571428572</v>
      </c>
      <c r="K6409" s="403">
        <f>J6409/POBLA!$B$24*100000</f>
        <v>22.229543088053607</v>
      </c>
      <c r="L6409" s="550">
        <f t="shared" si="878"/>
        <v>0.49704367728399768</v>
      </c>
      <c r="M6409" s="405">
        <f>SUM(C6409,C6385,C6361,C6337,C6313,C6289,C6265)/POBLA!$B$24*100000</f>
        <v>155.60680161637524</v>
      </c>
    </row>
    <row r="6410" spans="1:13" s="360" customFormat="1" x14ac:dyDescent="0.25">
      <c r="A6410" s="363" t="s">
        <v>16</v>
      </c>
      <c r="B6410" s="267">
        <v>44160</v>
      </c>
      <c r="C6410" s="1">
        <v>2262</v>
      </c>
      <c r="D6410" s="174">
        <f t="shared" ref="D6410:D6473" si="885">C6410+D6386</f>
        <v>610159</v>
      </c>
      <c r="E6410" s="1">
        <v>76</v>
      </c>
      <c r="F6410" s="475">
        <f t="shared" si="881"/>
        <v>20231</v>
      </c>
      <c r="G6410" s="175">
        <f>SUM(C6410,C6386,C6362,C6338,C6314,C6290,C6266,C6242,C6218,C6194,C6170,C6146,C6122,C6098)/POBLA!$B$1*100000</f>
        <v>175.60431217102695</v>
      </c>
      <c r="H6410" s="300">
        <f t="shared" si="877"/>
        <v>0.77233407717573899</v>
      </c>
      <c r="I6410" s="301">
        <f>G6410*H6410</f>
        <v>135.62519438869049</v>
      </c>
      <c r="J6410" s="301">
        <f>AVERAGE(C6410,C6386,C6362,C6338,C6314,C6290,C6266)</f>
        <v>1869.2857142857142</v>
      </c>
      <c r="K6410" s="301">
        <f>J6410/POBLA!$B$1*100000</f>
        <v>10.656579947026902</v>
      </c>
      <c r="L6410" s="548">
        <f t="shared" si="878"/>
        <v>0.26148549497685969</v>
      </c>
      <c r="M6410" s="400">
        <f>SUM(C6410,C6386,C6362,C6338,C6314,C6290,C6266)/POBLA!$B$1*100000</f>
        <v>74.596059629188318</v>
      </c>
    </row>
    <row r="6411" spans="1:13" s="360" customFormat="1" x14ac:dyDescent="0.25">
      <c r="A6411" s="367" t="s">
        <v>43</v>
      </c>
      <c r="B6411" s="267">
        <v>44160</v>
      </c>
      <c r="C6411" s="1">
        <v>324</v>
      </c>
      <c r="D6411" s="39">
        <f t="shared" si="885"/>
        <v>157227</v>
      </c>
      <c r="E6411" s="1">
        <v>11</v>
      </c>
      <c r="F6411" s="409">
        <f t="shared" si="881"/>
        <v>5188</v>
      </c>
      <c r="G6411" s="168">
        <f>SUM(C6411,C6387,C6363,C6339,C6315,C6291,C6267,C6243,C6219,C6195,C6171,C6147,C6123,C6099)/POBLA!$B$2*100000</f>
        <v>167.15187638629413</v>
      </c>
      <c r="H6411" s="256">
        <f t="shared" si="877"/>
        <v>0.81062756228319144</v>
      </c>
      <c r="I6411" s="297">
        <f t="shared" ref="I6411:I6433" si="886">G6411*H6411</f>
        <v>135.49791808608296</v>
      </c>
      <c r="J6411" s="297">
        <f t="shared" ref="J6411:J6433" si="887">AVERAGE(C6411,C6387,C6363,C6339,C6315,C6291,C6267)</f>
        <v>321</v>
      </c>
      <c r="K6411" s="297">
        <f>J6411/POBLA!$B$2*100000</f>
        <v>10.436831807041512</v>
      </c>
      <c r="L6411" s="549">
        <f t="shared" si="878"/>
        <v>0.22356599861783</v>
      </c>
      <c r="M6411" s="401">
        <f>SUM(C6411,C6387,C6363,C6339,C6315,C6291,C6267)/POBLA!$B$2*100000</f>
        <v>73.057822649290586</v>
      </c>
    </row>
    <row r="6412" spans="1:13" s="360" customFormat="1" x14ac:dyDescent="0.25">
      <c r="A6412" s="367" t="s">
        <v>28</v>
      </c>
      <c r="B6412" s="267">
        <v>44160</v>
      </c>
      <c r="C6412" s="1">
        <v>12</v>
      </c>
      <c r="D6412" s="39">
        <f t="shared" si="885"/>
        <v>1737</v>
      </c>
      <c r="E6412" s="1"/>
      <c r="F6412" s="409">
        <f t="shared" si="881"/>
        <v>13</v>
      </c>
      <c r="G6412" s="168">
        <f>SUM(C6412,C6388,C6364,C6340,C6316,C6292,C6268,C6244,C6220,C6196,C6172,C6148,C6124,C6100)/POBLA!$B$3*100000</f>
        <v>104.70876520684193</v>
      </c>
      <c r="H6412" s="256">
        <f t="shared" si="877"/>
        <v>0.74742268041237114</v>
      </c>
      <c r="I6412" s="297">
        <f t="shared" si="886"/>
        <v>78.261705953567429</v>
      </c>
      <c r="J6412" s="297">
        <f t="shared" si="887"/>
        <v>19</v>
      </c>
      <c r="K6412" s="297">
        <f>J6412/POBLA!$B$3*100000</f>
        <v>4.5734862963907972</v>
      </c>
      <c r="L6412" s="549">
        <f t="shared" si="878"/>
        <v>0.5596026490066226</v>
      </c>
      <c r="M6412" s="401">
        <f>SUM(C6412,C6388,C6364,C6340,C6316,C6292,C6268)/POBLA!$B$3*100000</f>
        <v>32.01440407473558</v>
      </c>
    </row>
    <row r="6413" spans="1:13" s="360" customFormat="1" x14ac:dyDescent="0.25">
      <c r="A6413" s="367" t="s">
        <v>15</v>
      </c>
      <c r="B6413" s="267">
        <v>44160</v>
      </c>
      <c r="C6413" s="1">
        <v>166</v>
      </c>
      <c r="D6413" s="39">
        <f t="shared" si="885"/>
        <v>18248</v>
      </c>
      <c r="E6413" s="1">
        <v>1</v>
      </c>
      <c r="F6413" s="409">
        <f t="shared" si="881"/>
        <v>534</v>
      </c>
      <c r="G6413" s="168">
        <f>SUM(C6413,C6389,C6365,C6341,C6317,C6293,C6269,C6245,C6221,C6197,C6173,C6149,C6125,C6101)/POBLA!$B$4*100000</f>
        <v>227.14046263265425</v>
      </c>
      <c r="H6413" s="256">
        <f t="shared" si="877"/>
        <v>1.4161490683229814</v>
      </c>
      <c r="I6413" s="297">
        <f t="shared" si="886"/>
        <v>321.66475453568427</v>
      </c>
      <c r="J6413" s="297">
        <f t="shared" si="887"/>
        <v>184.42857142857142</v>
      </c>
      <c r="K6413" s="297">
        <f>J6413/POBLA!$B$4*100000</f>
        <v>15.31110783514811</v>
      </c>
      <c r="L6413" s="549">
        <f t="shared" si="878"/>
        <v>0.10657439446366779</v>
      </c>
      <c r="M6413" s="401">
        <f>SUM(C6413,C6389,C6365,C6341,C6317,C6293,C6269)/POBLA!$B$4*100000</f>
        <v>107.17775484603679</v>
      </c>
    </row>
    <row r="6414" spans="1:13" s="360" customFormat="1" x14ac:dyDescent="0.25">
      <c r="A6414" s="367" t="s">
        <v>29</v>
      </c>
      <c r="B6414" s="267">
        <v>44160</v>
      </c>
      <c r="C6414" s="1">
        <v>259</v>
      </c>
      <c r="D6414" s="39">
        <f t="shared" si="885"/>
        <v>21757</v>
      </c>
      <c r="E6414" s="1">
        <v>1</v>
      </c>
      <c r="F6414" s="409">
        <f t="shared" si="881"/>
        <v>362</v>
      </c>
      <c r="G6414" s="168">
        <f>SUM(C6414,C6390,C6366,C6342,C6318,C6294,C6270,C6246,C6222,C6198,C6174,C6150,C6126,C6102)/POBLA!$B$5*100000</f>
        <v>599.19805361602857</v>
      </c>
      <c r="H6414" s="256">
        <f t="shared" si="877"/>
        <v>0.83273462056578351</v>
      </c>
      <c r="I6414" s="297">
        <f t="shared" si="886"/>
        <v>498.97296382169958</v>
      </c>
      <c r="J6414" s="297">
        <f t="shared" si="887"/>
        <v>234.85714285714286</v>
      </c>
      <c r="K6414" s="297">
        <f>J6414/POBLA!$B$5*100000</f>
        <v>37.941747877546931</v>
      </c>
      <c r="L6414" s="549">
        <f t="shared" si="878"/>
        <v>0.2038740920096852</v>
      </c>
      <c r="M6414" s="401">
        <f>SUM(C6414,C6390,C6366,C6342,C6318,C6294,C6270)/POBLA!$B$5*100000</f>
        <v>265.59223514282854</v>
      </c>
    </row>
    <row r="6415" spans="1:13" s="360" customFormat="1" x14ac:dyDescent="0.25">
      <c r="A6415" s="367" t="s">
        <v>20</v>
      </c>
      <c r="B6415" s="267">
        <v>44160</v>
      </c>
      <c r="C6415" s="1">
        <v>881</v>
      </c>
      <c r="D6415" s="39">
        <f t="shared" si="885"/>
        <v>110943</v>
      </c>
      <c r="E6415" s="1">
        <v>36</v>
      </c>
      <c r="F6415" s="409">
        <f t="shared" si="881"/>
        <v>1858</v>
      </c>
      <c r="G6415" s="168">
        <f>SUM(C6415,C6391,C6367,C6343,C6319,C6295,C6271,C6247,C6223,C6199,C6175,C6151,C6127,C6103)/POBLA!$B$6*100000</f>
        <v>1205.8340419039598</v>
      </c>
      <c r="H6415" s="256">
        <f t="shared" si="877"/>
        <v>0.81933919369505914</v>
      </c>
      <c r="I6415" s="297">
        <f t="shared" si="886"/>
        <v>987.98709162364457</v>
      </c>
      <c r="J6415" s="297">
        <f t="shared" si="887"/>
        <v>727.14285714285711</v>
      </c>
      <c r="K6415" s="297">
        <f>J6415/POBLA!$B$6*100000</f>
        <v>64.87707069701554</v>
      </c>
      <c r="L6415" s="549">
        <f t="shared" si="878"/>
        <v>0.3958456973293768</v>
      </c>
      <c r="M6415" s="401">
        <f>SUM(C6415,C6391,C6367,C6343,C6319,C6295,C6271)/POBLA!$B$6*100000</f>
        <v>454.13949487910878</v>
      </c>
    </row>
    <row r="6416" spans="1:13" s="360" customFormat="1" x14ac:dyDescent="0.25">
      <c r="A6416" s="367" t="s">
        <v>30</v>
      </c>
      <c r="B6416" s="267">
        <v>44160</v>
      </c>
      <c r="C6416" s="1">
        <v>125</v>
      </c>
      <c r="D6416" s="39">
        <f t="shared" si="885"/>
        <v>5134</v>
      </c>
      <c r="E6416" s="1"/>
      <c r="F6416" s="409">
        <f t="shared" si="881"/>
        <v>86</v>
      </c>
      <c r="G6416" s="168">
        <f>SUM(C6416,C6392,C6368,C6344,C6320,C6296,C6272,C6248,C6224,C6200,C6176,C6152,C6128,C6104)/POBLA!$B$7*100000</f>
        <v>50.25994229414033</v>
      </c>
      <c r="H6416" s="256">
        <f t="shared" si="877"/>
        <v>2.4387096774193546</v>
      </c>
      <c r="I6416" s="297">
        <f t="shared" si="886"/>
        <v>122.56940765925835</v>
      </c>
      <c r="J6416" s="297">
        <f t="shared" si="887"/>
        <v>126.57142857142857</v>
      </c>
      <c r="K6416" s="297">
        <f>J6416/POBLA!$B$7*100000</f>
        <v>3.3658585693581506</v>
      </c>
      <c r="L6416" s="549">
        <f t="shared" si="878"/>
        <v>0.11752988047808766</v>
      </c>
      <c r="M6416" s="401">
        <f>SUM(C6416,C6392,C6368,C6344,C6320,C6296,C6272)/POBLA!$B$7*100000</f>
        <v>23.561009985507052</v>
      </c>
    </row>
    <row r="6417" spans="1:13" x14ac:dyDescent="0.25">
      <c r="A6417" s="367" t="s">
        <v>31</v>
      </c>
      <c r="B6417" s="267">
        <v>44160</v>
      </c>
      <c r="C6417" s="1">
        <v>191</v>
      </c>
      <c r="D6417" s="39">
        <f t="shared" si="885"/>
        <v>22267</v>
      </c>
      <c r="E6417" s="1">
        <v>18</v>
      </c>
      <c r="F6417" s="409">
        <f t="shared" si="881"/>
        <v>452</v>
      </c>
      <c r="G6417" s="168">
        <f>SUM(C6417,C6393,C6369,C6345,C6321,C6297,C6273,C6249,C6225,C6201,C6177,C6153,C6129,C6105)/POBLA!$B$8*100000</f>
        <v>238.96776316216688</v>
      </c>
      <c r="H6417" s="256">
        <f t="shared" si="877"/>
        <v>0.84382165605095538</v>
      </c>
      <c r="I6417" s="297">
        <f t="shared" si="886"/>
        <v>201.64617365429214</v>
      </c>
      <c r="J6417" s="297">
        <f t="shared" si="887"/>
        <v>191.71428571428572</v>
      </c>
      <c r="K6417" s="297">
        <f>J6417/POBLA!$B$8*100000</f>
        <v>13.83258877517374</v>
      </c>
      <c r="L6417" s="549">
        <f t="shared" si="878"/>
        <v>0.31878172588832487</v>
      </c>
      <c r="M6417" s="401">
        <f>SUM(C6417,C6393,C6369,C6345,C6321,C6297,C6273)/POBLA!$B$8*100000</f>
        <v>96.828121426216185</v>
      </c>
    </row>
    <row r="6418" spans="1:13" s="360" customFormat="1" x14ac:dyDescent="0.25">
      <c r="A6418" s="367" t="s">
        <v>41</v>
      </c>
      <c r="B6418" s="267">
        <v>44160</v>
      </c>
      <c r="C6418" s="1">
        <v>-13</v>
      </c>
      <c r="D6418" s="39">
        <f t="shared" si="885"/>
        <v>178</v>
      </c>
      <c r="E6418" s="1"/>
      <c r="F6418" s="409">
        <f t="shared" si="881"/>
        <v>3</v>
      </c>
      <c r="G6418" s="168">
        <f>SUM(C6418,C6394,C6370,C6346,C6322,C6298,C6274,C6250,C6226,C6202,C6178,C6154,C6130,C6106)/POBLA!$B$9*100000</f>
        <v>2.1480750768763022</v>
      </c>
      <c r="H6418" s="256">
        <f t="shared" si="877"/>
        <v>0.8125</v>
      </c>
      <c r="I6418" s="297">
        <f t="shared" si="886"/>
        <v>1.7453109999619956</v>
      </c>
      <c r="J6418" s="297">
        <f t="shared" si="887"/>
        <v>0.7142857142857143</v>
      </c>
      <c r="K6418" s="297">
        <f>J6418/POBLA!$B$9*100000</f>
        <v>0.11802610312507156</v>
      </c>
      <c r="L6418" s="549">
        <f t="shared" si="878"/>
        <v>0.375</v>
      </c>
      <c r="M6418" s="401">
        <f>SUM(C6418,C6394,C6370,C6346,C6322,C6298,C6274)/POBLA!$B$9*100000</f>
        <v>0.82618272187550079</v>
      </c>
    </row>
    <row r="6419" spans="1:13" s="360" customFormat="1" x14ac:dyDescent="0.25">
      <c r="A6419" s="367" t="s">
        <v>32</v>
      </c>
      <c r="B6419" s="267">
        <v>44160</v>
      </c>
      <c r="C6419" s="1">
        <v>15</v>
      </c>
      <c r="D6419" s="39">
        <f t="shared" si="885"/>
        <v>18332</v>
      </c>
      <c r="E6419" s="1"/>
      <c r="F6419" s="409">
        <f t="shared" si="881"/>
        <v>845</v>
      </c>
      <c r="G6419" s="168">
        <f>SUM(C6419,C6395,C6371,C6347,C6323,C6299,C6275,C6251,C6227,C6203,C6179,C6155,C6131,C6107)/POBLA!$B$10*100000</f>
        <v>33.338478961084782</v>
      </c>
      <c r="H6419" s="256">
        <f t="shared" si="877"/>
        <v>0.76716417910447765</v>
      </c>
      <c r="I6419" s="297">
        <f t="shared" si="886"/>
        <v>25.576086844772504</v>
      </c>
      <c r="J6419" s="297">
        <f t="shared" si="887"/>
        <v>13.142857142857142</v>
      </c>
      <c r="K6419" s="297">
        <f>J6419/POBLA!$B$10*100000</f>
        <v>1.704913876831462</v>
      </c>
      <c r="L6419" s="549">
        <f t="shared" si="878"/>
        <v>0.44242424242424239</v>
      </c>
      <c r="M6419" s="401">
        <f>SUM(C6419,C6395,C6371,C6347,C6323,C6299,C6275)/POBLA!$B$10*100000</f>
        <v>11.934397137820234</v>
      </c>
    </row>
    <row r="6420" spans="1:13" s="360" customFormat="1" x14ac:dyDescent="0.25">
      <c r="A6420" s="367" t="s">
        <v>33</v>
      </c>
      <c r="B6420" s="267">
        <v>44160</v>
      </c>
      <c r="C6420" s="1">
        <v>105</v>
      </c>
      <c r="D6420" s="39">
        <f t="shared" si="885"/>
        <v>5403</v>
      </c>
      <c r="E6420" s="1">
        <v>2</v>
      </c>
      <c r="F6420" s="409">
        <f t="shared" si="881"/>
        <v>75</v>
      </c>
      <c r="G6420" s="168">
        <f>SUM(C6420,C6396,C6372,C6348,C6324,C6300,C6276,C6252,C6228,C6204,C6180,C6156,C6132,C6108)/POBLA!$B$11*100000</f>
        <v>285.41296996886405</v>
      </c>
      <c r="H6420" s="256">
        <f t="shared" si="877"/>
        <v>0.65957446808510634</v>
      </c>
      <c r="I6420" s="297">
        <f t="shared" si="886"/>
        <v>188.25110785180394</v>
      </c>
      <c r="J6420" s="297">
        <f t="shared" si="887"/>
        <v>70.571428571428569</v>
      </c>
      <c r="K6420" s="297">
        <f>J6420/POBLA!$B$11*100000</f>
        <v>19.689150560622654</v>
      </c>
      <c r="L6420" s="549">
        <f t="shared" si="878"/>
        <v>6.6162570888468775E-2</v>
      </c>
      <c r="M6420" s="401">
        <f>SUM(C6420,C6396,C6372,C6348,C6324,C6300,C6276)/POBLA!$B$11*100000</f>
        <v>137.82405392435859</v>
      </c>
    </row>
    <row r="6421" spans="1:13" s="360" customFormat="1" x14ac:dyDescent="0.25">
      <c r="A6421" s="367" t="s">
        <v>21</v>
      </c>
      <c r="B6421" s="267">
        <v>44160</v>
      </c>
      <c r="C6421" s="1">
        <v>18</v>
      </c>
      <c r="D6421" s="39">
        <f t="shared" si="885"/>
        <v>8588</v>
      </c>
      <c r="E6421" s="1"/>
      <c r="F6421" s="409">
        <f t="shared" si="881"/>
        <v>310</v>
      </c>
      <c r="G6421" s="168">
        <f>SUM(C6421,C6397,C6373,C6349,C6325,C6301,C6277,C6253,C6229,C6205,C6181,C6157,C6133,C6109)/POBLA!$B$12*100000</f>
        <v>159.83493041208951</v>
      </c>
      <c r="H6421" s="256">
        <f t="shared" si="877"/>
        <v>1.0977312390924956</v>
      </c>
      <c r="I6421" s="297">
        <f t="shared" si="886"/>
        <v>175.45579621152581</v>
      </c>
      <c r="J6421" s="297">
        <f t="shared" si="887"/>
        <v>42</v>
      </c>
      <c r="K6421" s="297">
        <f>J6421/POBLA!$B$12*100000</f>
        <v>10.672602666626009</v>
      </c>
      <c r="L6421" s="549">
        <f t="shared" si="878"/>
        <v>0.12238805970149258</v>
      </c>
      <c r="M6421" s="401">
        <f>SUM(C6421,C6397,C6373,C6349,C6325,C6301,C6277)/POBLA!$B$12*100000</f>
        <v>74.708218666382066</v>
      </c>
    </row>
    <row r="6422" spans="1:13" s="360" customFormat="1" x14ac:dyDescent="0.25">
      <c r="A6422" s="367" t="s">
        <v>17</v>
      </c>
      <c r="B6422" s="267">
        <v>44160</v>
      </c>
      <c r="C6422" s="1">
        <v>264</v>
      </c>
      <c r="D6422" s="39">
        <f t="shared" si="885"/>
        <v>55764</v>
      </c>
      <c r="E6422" s="1">
        <v>4</v>
      </c>
      <c r="F6422" s="409">
        <f t="shared" si="881"/>
        <v>1080</v>
      </c>
      <c r="G6422" s="168">
        <f>SUM(C6422,C6398,C6374,C6350,C6326,C6302,C6278,C6254,C6230,C6206,C6182,C6158,C6134,C6110)/POBLA!$B$13*100000</f>
        <v>194.43933643431419</v>
      </c>
      <c r="H6422" s="256">
        <f t="shared" si="877"/>
        <v>0.5652110413319702</v>
      </c>
      <c r="I6422" s="297">
        <f t="shared" si="886"/>
        <v>109.89925982193601</v>
      </c>
      <c r="J6422" s="297">
        <f t="shared" si="887"/>
        <v>216.14285714285714</v>
      </c>
      <c r="K6422" s="297">
        <f>J6422/POBLA!$B$13*100000</f>
        <v>10.859605611853723</v>
      </c>
      <c r="L6422" s="549">
        <f t="shared" si="878"/>
        <v>0.35808230801866781</v>
      </c>
      <c r="M6422" s="401">
        <f>SUM(C6422,C6398,C6374,C6350,C6326,C6302,C6278)/POBLA!$B$13*100000</f>
        <v>76.017239282976064</v>
      </c>
    </row>
    <row r="6423" spans="1:13" s="360" customFormat="1" x14ac:dyDescent="0.25">
      <c r="A6423" s="367" t="s">
        <v>23</v>
      </c>
      <c r="B6423" s="267">
        <v>44160</v>
      </c>
      <c r="C6423" s="1">
        <v>8</v>
      </c>
      <c r="D6423" s="39">
        <f t="shared" si="885"/>
        <v>466</v>
      </c>
      <c r="E6423" s="1">
        <v>1</v>
      </c>
      <c r="F6423" s="409">
        <f t="shared" si="881"/>
        <v>9</v>
      </c>
      <c r="G6423" s="168">
        <f>SUM(C6423,C6399,C6375,C6351,C6327,C6303,C6279,C6255,C6231,C6207,C6183,C6159,C6135,C6111)/POBLA!$B$14*100000</f>
        <v>8.4833512250117735</v>
      </c>
      <c r="H6423" s="256">
        <f t="shared" si="877"/>
        <v>0.97272727272727277</v>
      </c>
      <c r="I6423" s="297">
        <f t="shared" si="886"/>
        <v>8.2519871006932703</v>
      </c>
      <c r="J6423" s="297">
        <f t="shared" si="887"/>
        <v>8.4285714285714288</v>
      </c>
      <c r="K6423" s="297">
        <f>J6423/POBLA!$B$14*100000</f>
        <v>0.66824796031467915</v>
      </c>
      <c r="L6423" s="549">
        <f t="shared" si="878"/>
        <v>-0.22916666666666674</v>
      </c>
      <c r="M6423" s="401">
        <f>SUM(C6423,C6399,C6375,C6351,C6327,C6303,C6279)/POBLA!$B$14*100000</f>
        <v>4.6777357222027538</v>
      </c>
    </row>
    <row r="6424" spans="1:13" s="360" customFormat="1" x14ac:dyDescent="0.25">
      <c r="A6424" s="367" t="s">
        <v>19</v>
      </c>
      <c r="B6424" s="267">
        <v>44160</v>
      </c>
      <c r="C6424" s="1">
        <v>394</v>
      </c>
      <c r="D6424" s="39">
        <f t="shared" si="885"/>
        <v>30898</v>
      </c>
      <c r="E6424" s="1">
        <v>20</v>
      </c>
      <c r="F6424" s="409">
        <f t="shared" si="881"/>
        <v>611</v>
      </c>
      <c r="G6424" s="168">
        <f>SUM(C6424,C6400,C6376,C6352,C6328,C6304,C6280,C6256,C6232,C6208,C6184,C6160,C6136,C6112)/POBLA!$B$15*100000</f>
        <v>755.20625488474627</v>
      </c>
      <c r="H6424" s="256">
        <f t="shared" si="877"/>
        <v>0.94497833050687774</v>
      </c>
      <c r="I6424" s="297">
        <f t="shared" si="886"/>
        <v>713.65354592933909</v>
      </c>
      <c r="J6424" s="297">
        <f t="shared" si="887"/>
        <v>320</v>
      </c>
      <c r="K6424" s="297">
        <f>J6424/POBLA!$B$15*100000</f>
        <v>48.188634409395583</v>
      </c>
      <c r="L6424" s="549">
        <f t="shared" si="878"/>
        <v>0.19279279279279282</v>
      </c>
      <c r="M6424" s="401">
        <f>SUM(C6424,C6400,C6376,C6352,C6328,C6304,C6280)/POBLA!$B$15*100000</f>
        <v>337.32044086576906</v>
      </c>
    </row>
    <row r="6425" spans="1:13" s="360" customFormat="1" x14ac:dyDescent="0.25">
      <c r="A6425" s="367" t="s">
        <v>18</v>
      </c>
      <c r="B6425" s="267">
        <v>44160</v>
      </c>
      <c r="C6425" s="1">
        <v>350</v>
      </c>
      <c r="D6425" s="39">
        <f t="shared" si="885"/>
        <v>30732</v>
      </c>
      <c r="E6425" s="1">
        <v>6</v>
      </c>
      <c r="F6425" s="409">
        <f t="shared" si="881"/>
        <v>761</v>
      </c>
      <c r="G6425" s="168">
        <f>SUM(C6425,C6401,C6377,C6353,C6329,C6305,C6281,C6257,C6233,C6209,C6185,C6161,C6137,C6113)/POBLA!$B$16*100000</f>
        <v>454.91633338237847</v>
      </c>
      <c r="H6425" s="256">
        <f t="shared" si="877"/>
        <v>0.78508771929824561</v>
      </c>
      <c r="I6425" s="297">
        <f t="shared" si="886"/>
        <v>357.14922664669189</v>
      </c>
      <c r="J6425" s="297">
        <f t="shared" si="887"/>
        <v>213.71428571428572</v>
      </c>
      <c r="K6425" s="297">
        <f>J6425/POBLA!$B$16*100000</f>
        <v>28.586333210401911</v>
      </c>
      <c r="L6425" s="549">
        <f t="shared" si="878"/>
        <v>0.2146981627296588</v>
      </c>
      <c r="M6425" s="401">
        <f>SUM(C6425,C6401,C6377,C6353,C6329,C6305,C6281)/POBLA!$B$16*100000</f>
        <v>200.10433247281338</v>
      </c>
    </row>
    <row r="6426" spans="1:13" s="360" customFormat="1" x14ac:dyDescent="0.25">
      <c r="A6426" s="367" t="s">
        <v>34</v>
      </c>
      <c r="B6426" s="267">
        <v>44160</v>
      </c>
      <c r="C6426" s="1">
        <v>84</v>
      </c>
      <c r="D6426" s="39">
        <f t="shared" si="885"/>
        <v>20952</v>
      </c>
      <c r="E6426" s="1">
        <v>2</v>
      </c>
      <c r="F6426" s="409">
        <f t="shared" si="881"/>
        <v>960</v>
      </c>
      <c r="G6426" s="168">
        <f>SUM(C6426,C6402,C6378,C6354,C6330,C6306,C6282,C6258,C6234,C6210,C6186,C6162,C6138,C6114)/POBLA!$B$17*100000</f>
        <v>81.367764745362422</v>
      </c>
      <c r="H6426" s="256">
        <f t="shared" ref="H6426:H6457" si="888">SUM(C6426,C6402,C6378,C6354,C6330,C6306,C6282,C6258,C6234,C6210,C6186,C6162,C6138,C6114)/SUM(C6090,C6066,C6042,C6018,C5994,C5970,C5946,C5922,C5898,C5874,C5850,C5826,C5802,C5778)</f>
        <v>0.75210902011680725</v>
      </c>
      <c r="I6426" s="297">
        <f t="shared" si="886"/>
        <v>61.197429811729428</v>
      </c>
      <c r="J6426" s="297">
        <f t="shared" si="887"/>
        <v>73.285714285714292</v>
      </c>
      <c r="K6426" s="297">
        <f>J6426/POBLA!$B$17*100000</f>
        <v>5.1450343047418867</v>
      </c>
      <c r="L6426" s="549">
        <f t="shared" ref="L6426:L6457" si="889">1-SUM(C6426,C6402,C6378,C6354,C6330,C6306,C6282)/SUM(C6258,C6234,C6210,C6186,C6162,C6138,C6114)</f>
        <v>0.20588235294117652</v>
      </c>
      <c r="M6426" s="401">
        <f>SUM(C6426,C6402,C6378,C6354,C6330,C6306,C6282)/POBLA!$B$17*100000</f>
        <v>36.015240133193203</v>
      </c>
    </row>
    <row r="6427" spans="1:13" s="360" customFormat="1" x14ac:dyDescent="0.25">
      <c r="A6427" s="367" t="s">
        <v>35</v>
      </c>
      <c r="B6427" s="267">
        <v>44160</v>
      </c>
      <c r="C6427" s="1">
        <v>451</v>
      </c>
      <c r="D6427" s="39">
        <f t="shared" si="885"/>
        <v>6722</v>
      </c>
      <c r="E6427" s="1">
        <v>28</v>
      </c>
      <c r="F6427" s="409">
        <f t="shared" si="881"/>
        <v>171</v>
      </c>
      <c r="G6427" s="168">
        <f>SUM(C6427,C6403,C6379,C6355,C6331,C6307,C6283,C6259,C6235,C6211,C6187,C6163,C6139,C6115)/POBLA!$B$18*100000</f>
        <v>333.58209050750304</v>
      </c>
      <c r="H6427" s="256">
        <f t="shared" si="888"/>
        <v>1.027602523659306</v>
      </c>
      <c r="I6427" s="297">
        <f t="shared" si="886"/>
        <v>342.78979805305715</v>
      </c>
      <c r="J6427" s="297">
        <f t="shared" si="887"/>
        <v>265.71428571428572</v>
      </c>
      <c r="K6427" s="297">
        <f>J6427/POBLA!$B$18*100000</f>
        <v>34.012865274857781</v>
      </c>
      <c r="L6427" s="549">
        <f t="shared" si="889"/>
        <v>-1.4932975871313672</v>
      </c>
      <c r="M6427" s="401">
        <f>SUM(C6427,C6403,C6379,C6355,C6331,C6307,C6283)/POBLA!$B$18*100000</f>
        <v>238.0900569240045</v>
      </c>
    </row>
    <row r="6428" spans="1:13" s="360" customFormat="1" x14ac:dyDescent="0.25">
      <c r="A6428" s="367" t="s">
        <v>36</v>
      </c>
      <c r="B6428" s="267">
        <v>44160</v>
      </c>
      <c r="C6428" s="1">
        <v>185</v>
      </c>
      <c r="D6428" s="39">
        <f t="shared" si="885"/>
        <v>13572</v>
      </c>
      <c r="E6428" s="1">
        <v>2</v>
      </c>
      <c r="F6428" s="409">
        <f t="shared" si="881"/>
        <v>190</v>
      </c>
      <c r="G6428" s="168">
        <f>SUM(C6428,C6404,C6380,C6356,C6332,C6308,C6284,C6260,C6236,C6212,C6188,C6164,C6140,C6116)/POBLA!$B$19*100000</f>
        <v>666.49879605294223</v>
      </c>
      <c r="H6428" s="256">
        <f t="shared" si="888"/>
        <v>0.8594622019279553</v>
      </c>
      <c r="I6428" s="297">
        <f t="shared" si="886"/>
        <v>572.83052283799293</v>
      </c>
      <c r="J6428" s="297">
        <f t="shared" si="887"/>
        <v>216</v>
      </c>
      <c r="K6428" s="297">
        <f>J6428/POBLA!$B$19*100000</f>
        <v>42.492249099006941</v>
      </c>
      <c r="L6428" s="549">
        <f t="shared" si="889"/>
        <v>0.19402985074626866</v>
      </c>
      <c r="M6428" s="401">
        <f>SUM(C6428,C6404,C6380,C6356,C6332,C6308,C6284)/POBLA!$B$19*100000</f>
        <v>297.4457436930486</v>
      </c>
    </row>
    <row r="6429" spans="1:13" s="360" customFormat="1" x14ac:dyDescent="0.25">
      <c r="A6429" s="367" t="s">
        <v>37</v>
      </c>
      <c r="B6429" s="267">
        <v>44160</v>
      </c>
      <c r="C6429" s="1">
        <v>327</v>
      </c>
      <c r="D6429" s="39">
        <f t="shared" si="885"/>
        <v>14844</v>
      </c>
      <c r="E6429" s="1">
        <v>7</v>
      </c>
      <c r="F6429" s="409">
        <f t="shared" si="881"/>
        <v>254</v>
      </c>
      <c r="G6429" s="168">
        <f>SUM(C6429,C6405,C6381,C6357,C6333,C6309,C6285,C6261,C6237,C6213,C6189,C6165,C6141,C6117)/POBLA!$B$20*100000</f>
        <v>836.75601179115017</v>
      </c>
      <c r="H6429" s="256">
        <f t="shared" si="888"/>
        <v>1.0555363918592617</v>
      </c>
      <c r="I6429" s="297">
        <f t="shared" si="886"/>
        <v>883.22642155257654</v>
      </c>
      <c r="J6429" s="297">
        <f t="shared" si="887"/>
        <v>218.71428571428572</v>
      </c>
      <c r="K6429" s="297">
        <f>J6429/POBLA!$B$20*100000</f>
        <v>59.807350796090141</v>
      </c>
      <c r="L6429" s="549">
        <f t="shared" si="889"/>
        <v>-1.3080444735120711E-3</v>
      </c>
      <c r="M6429" s="401">
        <f>SUM(C6429,C6405,C6381,C6357,C6333,C6309,C6285)/POBLA!$B$20*100000</f>
        <v>418.65145557263094</v>
      </c>
    </row>
    <row r="6430" spans="1:13" s="360" customFormat="1" x14ac:dyDescent="0.25">
      <c r="A6430" s="367" t="s">
        <v>22</v>
      </c>
      <c r="B6430" s="267">
        <v>44160</v>
      </c>
      <c r="C6430" s="1">
        <v>1490</v>
      </c>
      <c r="D6430" s="39">
        <f t="shared" si="885"/>
        <v>141595</v>
      </c>
      <c r="E6430" s="1">
        <v>31</v>
      </c>
      <c r="F6430" s="409">
        <f t="shared" si="881"/>
        <v>2160</v>
      </c>
      <c r="G6430" s="168">
        <f>SUM(C6430,C6406,C6382,C6358,C6334,C6310,C6286,C6262,C6238,C6214,C6190,C6166,C6142,C6118)/POBLA!$B$21*100000</f>
        <v>530.64994013716705</v>
      </c>
      <c r="H6430" s="256">
        <f t="shared" si="888"/>
        <v>0.83956692913385822</v>
      </c>
      <c r="I6430" s="297">
        <f t="shared" si="886"/>
        <v>445.51614068602703</v>
      </c>
      <c r="J6430" s="297">
        <f t="shared" si="887"/>
        <v>1287</v>
      </c>
      <c r="K6430" s="297">
        <f>J6430/POBLA!$B$21*100000</f>
        <v>36.392756738598209</v>
      </c>
      <c r="L6430" s="549">
        <f t="shared" si="889"/>
        <v>7.6662908680947051E-2</v>
      </c>
      <c r="M6430" s="401">
        <f>SUM(C6430,C6406,C6382,C6358,C6334,C6310,C6286)/POBLA!$B$21*100000</f>
        <v>254.74929717018745</v>
      </c>
    </row>
    <row r="6431" spans="1:13" s="360" customFormat="1" x14ac:dyDescent="0.25">
      <c r="A6431" s="367" t="s">
        <v>38</v>
      </c>
      <c r="B6431" s="267">
        <v>44160</v>
      </c>
      <c r="C6431" s="1">
        <v>154</v>
      </c>
      <c r="D6431" s="39">
        <f t="shared" si="885"/>
        <v>14868</v>
      </c>
      <c r="E6431" s="1">
        <v>2</v>
      </c>
      <c r="F6431" s="409">
        <f t="shared" si="881"/>
        <v>182</v>
      </c>
      <c r="G6431" s="168">
        <f>SUM(C6431,C6407,C6383,C6359,C6335,C6311,C6287,C6263,C6239,C6215,C6191,C6167,C6143,C6119)/POBLA!$B$22*100000</f>
        <v>302.15278750256823</v>
      </c>
      <c r="H6431" s="256">
        <f t="shared" si="888"/>
        <v>1.0368291827428973</v>
      </c>
      <c r="I6431" s="297">
        <f t="shared" si="886"/>
        <v>313.28082772977609</v>
      </c>
      <c r="J6431" s="297">
        <f t="shared" si="887"/>
        <v>173.57142857142858</v>
      </c>
      <c r="K6431" s="297">
        <f>J6431/POBLA!$B$22*100000</f>
        <v>17.741911696096093</v>
      </c>
      <c r="L6431" s="549">
        <f t="shared" si="889"/>
        <v>0.30212521539345205</v>
      </c>
      <c r="M6431" s="401">
        <f>SUM(C6431,C6407,C6383,C6359,C6335,C6311,C6287)/POBLA!$B$22*100000</f>
        <v>124.19338187267266</v>
      </c>
    </row>
    <row r="6432" spans="1:13" s="360" customFormat="1" x14ac:dyDescent="0.25">
      <c r="A6432" s="367" t="s">
        <v>39</v>
      </c>
      <c r="B6432" s="267">
        <v>44160</v>
      </c>
      <c r="C6432" s="1">
        <v>177</v>
      </c>
      <c r="D6432" s="39">
        <f t="shared" si="885"/>
        <v>15701</v>
      </c>
      <c r="E6432" s="1">
        <v>4</v>
      </c>
      <c r="F6432" s="409">
        <f t="shared" si="881"/>
        <v>226</v>
      </c>
      <c r="G6432" s="168">
        <f>SUM(C6432,C6408,C6384,C6360,C6336,C6312,C6288,C6264,C6240,C6216,C6192,C6168,C6144,C6120)/POBLA!$B$23*100000</f>
        <v>1150.2573092800994</v>
      </c>
      <c r="H6432" s="256">
        <f t="shared" si="888"/>
        <v>0.71544143510376368</v>
      </c>
      <c r="I6432" s="297">
        <f t="shared" si="886"/>
        <v>822.9417400899481</v>
      </c>
      <c r="J6432" s="297">
        <f t="shared" si="887"/>
        <v>147.42857142857142</v>
      </c>
      <c r="K6432" s="297">
        <f>J6432/POBLA!$B$23*100000</f>
        <v>83.373054022830644</v>
      </c>
      <c r="L6432" s="549">
        <f t="shared" si="889"/>
        <v>-2.9940119760478945E-2</v>
      </c>
      <c r="M6432" s="401">
        <f>SUM(C6432,C6408,C6384,C6360,C6336,C6312,C6288)/POBLA!$B$23*100000</f>
        <v>583.61137815981454</v>
      </c>
    </row>
    <row r="6433" spans="1:13" s="360" customFormat="1" ht="15.75" thickBot="1" x14ac:dyDescent="0.3">
      <c r="A6433" s="369" t="s">
        <v>40</v>
      </c>
      <c r="B6433" s="267">
        <v>44160</v>
      </c>
      <c r="C6433" s="1">
        <v>364</v>
      </c>
      <c r="D6433" s="176">
        <f>C6433+D6409</f>
        <v>64301</v>
      </c>
      <c r="E6433" s="1">
        <v>30</v>
      </c>
      <c r="F6433" s="476">
        <f t="shared" si="881"/>
        <v>1126</v>
      </c>
      <c r="G6433" s="177">
        <f>SUM(C6433,C6409,C6385,C6361,C6337,C6313,C6289,C6265,C6241,C6217,C6193,C6169,C6145,C6121)/POBLA!$B$24*100000</f>
        <v>425.27805053060916</v>
      </c>
      <c r="H6433" s="402">
        <f t="shared" si="888"/>
        <v>0.69298076923076923</v>
      </c>
      <c r="I6433" s="403">
        <f t="shared" si="886"/>
        <v>294.70951059366348</v>
      </c>
      <c r="J6433" s="403">
        <f t="shared" si="887"/>
        <v>352.57142857142856</v>
      </c>
      <c r="K6433" s="403">
        <f>J6433/POBLA!$B$24*100000</f>
        <v>20.804896602698634</v>
      </c>
      <c r="L6433" s="550">
        <f t="shared" si="889"/>
        <v>0.47921502426672291</v>
      </c>
      <c r="M6433" s="405">
        <f>SUM(C6433,C6409,C6385,C6361,C6337,C6313,C6289)/POBLA!$B$24*100000</f>
        <v>145.63427621889045</v>
      </c>
    </row>
    <row r="6434" spans="1:13" s="360" customFormat="1" x14ac:dyDescent="0.25">
      <c r="A6434" s="363" t="s">
        <v>16</v>
      </c>
      <c r="B6434" s="267">
        <v>44161</v>
      </c>
      <c r="C6434" s="1">
        <v>2589</v>
      </c>
      <c r="D6434" s="174">
        <f t="shared" si="885"/>
        <v>612748</v>
      </c>
      <c r="E6434" s="1">
        <v>64</v>
      </c>
      <c r="F6434" s="475">
        <f t="shared" si="881"/>
        <v>20295</v>
      </c>
      <c r="G6434" s="175">
        <f>SUM(C6434,C6410,C6386,C6362,C6338,C6314,C6290,C6266,C6242,C6218,C6194,C6170,C6146,C6122)/POBLA!$B$1*100000</f>
        <v>171.03220366337629</v>
      </c>
      <c r="H6434" s="300">
        <f t="shared" si="888"/>
        <v>0.75825203457514023</v>
      </c>
      <c r="I6434" s="301">
        <f>G6434*H6434</f>
        <v>129.68551640562484</v>
      </c>
      <c r="J6434" s="301">
        <f>AVERAGE(C6434,C6410,C6386,C6362,C6338,C6314,C6290)</f>
        <v>1847.2857142857142</v>
      </c>
      <c r="K6434" s="301">
        <f>J6434/POBLA!$B$1*100000</f>
        <v>10.531160511654939</v>
      </c>
      <c r="L6434" s="548">
        <f t="shared" si="889"/>
        <v>0.24247217340363214</v>
      </c>
      <c r="M6434" s="400">
        <f>SUM(C6434,C6410,C6386,C6362,C6338,C6314,C6290)/POBLA!$B$1*100000</f>
        <v>73.718123581584578</v>
      </c>
    </row>
    <row r="6435" spans="1:13" s="360" customFormat="1" x14ac:dyDescent="0.25">
      <c r="A6435" s="367" t="s">
        <v>43</v>
      </c>
      <c r="B6435" s="267">
        <v>44161</v>
      </c>
      <c r="C6435" s="1">
        <v>344</v>
      </c>
      <c r="D6435" s="39">
        <f t="shared" si="885"/>
        <v>157571</v>
      </c>
      <c r="E6435" s="1">
        <v>13</v>
      </c>
      <c r="F6435" s="409">
        <f t="shared" si="881"/>
        <v>5201</v>
      </c>
      <c r="G6435" s="168">
        <f>SUM(C6435,C6411,C6387,C6363,C6339,C6315,C6291,C6267,C6243,C6219,C6195,C6171,C6147,C6123)/POBLA!$B$2*100000</f>
        <v>162.11228470376628</v>
      </c>
      <c r="H6435" s="256">
        <f t="shared" si="888"/>
        <v>0.78780218043924788</v>
      </c>
      <c r="I6435" s="297">
        <f t="shared" ref="I6435:I6457" si="890">G6435*H6435</f>
        <v>127.71241136561521</v>
      </c>
      <c r="J6435" s="297">
        <f t="shared" ref="J6435:J6457" si="891">AVERAGE(C6435,C6411,C6387,C6363,C6339,C6315,C6291)</f>
        <v>301.71428571428572</v>
      </c>
      <c r="K6435" s="297">
        <f>J6435/POBLA!$B$2*100000</f>
        <v>9.8097858373260696</v>
      </c>
      <c r="L6435" s="549">
        <f t="shared" si="889"/>
        <v>0.26513569937369519</v>
      </c>
      <c r="M6435" s="401">
        <f>SUM(C6435,C6411,C6387,C6363,C6339,C6315,C6291)/POBLA!$B$2*100000</f>
        <v>68.668500861282482</v>
      </c>
    </row>
    <row r="6436" spans="1:13" s="360" customFormat="1" x14ac:dyDescent="0.25">
      <c r="A6436" s="367" t="s">
        <v>28</v>
      </c>
      <c r="B6436" s="267">
        <v>44161</v>
      </c>
      <c r="C6436" s="1">
        <v>42</v>
      </c>
      <c r="D6436" s="39">
        <f t="shared" si="885"/>
        <v>1779</v>
      </c>
      <c r="E6436" s="1">
        <v>2</v>
      </c>
      <c r="F6436" s="409">
        <f t="shared" si="881"/>
        <v>15</v>
      </c>
      <c r="G6436" s="168">
        <f>SUM(C6436,C6412,C6388,C6364,C6340,C6316,C6292,C6268,C6244,C6220,C6196,C6172,C6148,C6124)/POBLA!$B$3*100000</f>
        <v>108.56012208801313</v>
      </c>
      <c r="H6436" s="256">
        <f t="shared" si="888"/>
        <v>0.76182432432432434</v>
      </c>
      <c r="I6436" s="297">
        <f t="shared" si="890"/>
        <v>82.703741658266765</v>
      </c>
      <c r="J6436" s="297">
        <f t="shared" si="891"/>
        <v>20.714285714285715</v>
      </c>
      <c r="K6436" s="297">
        <f>J6436/POBLA!$B$3*100000</f>
        <v>4.9861316765162833</v>
      </c>
      <c r="L6436" s="549">
        <f t="shared" si="889"/>
        <v>0.52614379084967322</v>
      </c>
      <c r="M6436" s="401">
        <f>SUM(C6436,C6412,C6388,C6364,C6340,C6316,C6292)/POBLA!$B$3*100000</f>
        <v>34.90292173561398</v>
      </c>
    </row>
    <row r="6437" spans="1:13" s="360" customFormat="1" x14ac:dyDescent="0.25">
      <c r="A6437" s="367" t="s">
        <v>15</v>
      </c>
      <c r="B6437" s="267">
        <v>44161</v>
      </c>
      <c r="C6437" s="1">
        <v>250</v>
      </c>
      <c r="D6437" s="39">
        <f t="shared" si="885"/>
        <v>18498</v>
      </c>
      <c r="E6437" s="1">
        <v>9</v>
      </c>
      <c r="F6437" s="409">
        <f t="shared" si="881"/>
        <v>543</v>
      </c>
      <c r="G6437" s="168">
        <f>SUM(C6437,C6413,C6389,C6365,C6341,C6317,C6293,C6269,C6245,C6221,C6197,C6173,C6149,C6125)/POBLA!$B$4*100000</f>
        <v>231.04236385477952</v>
      </c>
      <c r="H6437" s="256">
        <f t="shared" si="888"/>
        <v>1.3880299251870325</v>
      </c>
      <c r="I6437" s="297">
        <f t="shared" si="890"/>
        <v>320.69371501638477</v>
      </c>
      <c r="J6437" s="297">
        <f t="shared" si="891"/>
        <v>178.71428571428572</v>
      </c>
      <c r="K6437" s="297">
        <f>J6437/POBLA!$B$4*100000</f>
        <v>14.836712549783339</v>
      </c>
      <c r="L6437" s="549">
        <f t="shared" si="889"/>
        <v>0.18342036553524799</v>
      </c>
      <c r="M6437" s="401">
        <f>SUM(C6437,C6413,C6389,C6365,C6341,C6317,C6293)/POBLA!$B$4*100000</f>
        <v>103.85698784848337</v>
      </c>
    </row>
    <row r="6438" spans="1:13" s="360" customFormat="1" x14ac:dyDescent="0.25">
      <c r="A6438" s="367" t="s">
        <v>29</v>
      </c>
      <c r="B6438" s="267">
        <v>44161</v>
      </c>
      <c r="C6438" s="1">
        <v>266</v>
      </c>
      <c r="D6438" s="39">
        <f t="shared" si="885"/>
        <v>22023</v>
      </c>
      <c r="E6438" s="1"/>
      <c r="F6438" s="409">
        <f t="shared" si="881"/>
        <v>362</v>
      </c>
      <c r="G6438" s="168">
        <f>SUM(C6438,C6414,C6390,C6366,C6342,C6318,C6294,C6270,C6246,C6222,C6198,C6174,C6150,C6126)/POBLA!$B$5*100000</f>
        <v>586.92006707657913</v>
      </c>
      <c r="H6438" s="256">
        <f t="shared" si="888"/>
        <v>0.80518617021276595</v>
      </c>
      <c r="I6438" s="297">
        <f t="shared" si="890"/>
        <v>472.57992103041045</v>
      </c>
      <c r="J6438" s="297">
        <f t="shared" si="891"/>
        <v>226.57142857142858</v>
      </c>
      <c r="K6438" s="297">
        <f>J6438/POBLA!$B$5*100000</f>
        <v>36.603170397682142</v>
      </c>
      <c r="L6438" s="549">
        <f t="shared" si="889"/>
        <v>0.22520762090864677</v>
      </c>
      <c r="M6438" s="401">
        <f>SUM(C6438,C6414,C6390,C6366,C6342,C6318,C6294)/POBLA!$B$5*100000</f>
        <v>256.22219278377497</v>
      </c>
    </row>
    <row r="6439" spans="1:13" s="360" customFormat="1" x14ac:dyDescent="0.25">
      <c r="A6439" s="367" t="s">
        <v>20</v>
      </c>
      <c r="B6439" s="267">
        <v>44161</v>
      </c>
      <c r="C6439" s="1">
        <v>942</v>
      </c>
      <c r="D6439" s="39">
        <f t="shared" si="885"/>
        <v>111885</v>
      </c>
      <c r="E6439" s="1">
        <v>25</v>
      </c>
      <c r="F6439" s="409">
        <f t="shared" si="881"/>
        <v>1883</v>
      </c>
      <c r="G6439" s="168">
        <f>SUM(C6439,C6415,C6391,C6367,C6343,C6319,C6295,C6271,C6247,C6223,C6199,C6175,C6151,C6127)/POBLA!$B$6*100000</f>
        <v>1162.115308605185</v>
      </c>
      <c r="H6439" s="256">
        <f t="shared" si="888"/>
        <v>0.79083181542197933</v>
      </c>
      <c r="I6439" s="297">
        <f t="shared" si="890"/>
        <v>919.0377592339122</v>
      </c>
      <c r="J6439" s="297">
        <f t="shared" si="891"/>
        <v>711.57142857142856</v>
      </c>
      <c r="K6439" s="297">
        <f>J6439/POBLA!$B$6*100000</f>
        <v>63.487758181106955</v>
      </c>
      <c r="L6439" s="549">
        <f t="shared" si="889"/>
        <v>0.38078070611636006</v>
      </c>
      <c r="M6439" s="401">
        <f>SUM(C6439,C6415,C6391,C6367,C6343,C6319,C6295)/POBLA!$B$6*100000</f>
        <v>444.41430726774865</v>
      </c>
    </row>
    <row r="6440" spans="1:13" s="360" customFormat="1" x14ac:dyDescent="0.25">
      <c r="A6440" s="367" t="s">
        <v>30</v>
      </c>
      <c r="B6440" s="267">
        <v>44161</v>
      </c>
      <c r="C6440" s="1">
        <v>150</v>
      </c>
      <c r="D6440" s="39">
        <f t="shared" si="885"/>
        <v>5284</v>
      </c>
      <c r="E6440" s="1"/>
      <c r="F6440" s="409">
        <f t="shared" si="881"/>
        <v>86</v>
      </c>
      <c r="G6440" s="168">
        <f>SUM(C6440,C6416,C6392,C6368,C6344,C6320,C6296,C6272,C6248,C6224,C6200,C6176,C6152,C6128)/POBLA!$B$7*100000</f>
        <v>49.701498490872105</v>
      </c>
      <c r="H6440" s="256">
        <f t="shared" si="888"/>
        <v>2.1118644067796608</v>
      </c>
      <c r="I6440" s="297">
        <f t="shared" si="890"/>
        <v>104.96282562648582</v>
      </c>
      <c r="J6440" s="297">
        <f t="shared" si="891"/>
        <v>110.71428571428571</v>
      </c>
      <c r="K6440" s="297">
        <f>J6440/POBLA!$B$7*100000</f>
        <v>2.9441765138290816</v>
      </c>
      <c r="L6440" s="549">
        <f t="shared" si="889"/>
        <v>0.2915904936014625</v>
      </c>
      <c r="M6440" s="401">
        <f>SUM(C6440,C6416,C6392,C6368,C6344,C6320,C6296)/POBLA!$B$7*100000</f>
        <v>20.609235596803572</v>
      </c>
    </row>
    <row r="6441" spans="1:13" x14ac:dyDescent="0.25">
      <c r="A6441" s="367" t="s">
        <v>31</v>
      </c>
      <c r="B6441" s="267">
        <v>44161</v>
      </c>
      <c r="C6441" s="1">
        <v>288</v>
      </c>
      <c r="D6441" s="39">
        <f t="shared" si="885"/>
        <v>22555</v>
      </c>
      <c r="E6441" s="1">
        <v>9</v>
      </c>
      <c r="F6441" s="409">
        <f t="shared" si="881"/>
        <v>461</v>
      </c>
      <c r="G6441" s="168">
        <f>SUM(C6441,C6417,C6393,C6369,C6345,C6321,C6297,C6273,C6249,C6225,C6201,C6177,C6153,C6129)/POBLA!$B$8*100000</f>
        <v>237.52472111408619</v>
      </c>
      <c r="H6441" s="256">
        <f t="shared" si="888"/>
        <v>0.84998709011102502</v>
      </c>
      <c r="I6441" s="297">
        <f t="shared" si="890"/>
        <v>201.89294652919486</v>
      </c>
      <c r="J6441" s="297">
        <f t="shared" si="891"/>
        <v>186.57142857142858</v>
      </c>
      <c r="K6441" s="297">
        <f>J6441/POBLA!$B$8*100000</f>
        <v>13.461520819952984</v>
      </c>
      <c r="L6441" s="549">
        <f t="shared" si="889"/>
        <v>0.34239677744209462</v>
      </c>
      <c r="M6441" s="401">
        <f>SUM(C6441,C6417,C6393,C6369,C6345,C6321,C6297)/POBLA!$B$8*100000</f>
        <v>94.230645739670891</v>
      </c>
    </row>
    <row r="6442" spans="1:13" s="360" customFormat="1" x14ac:dyDescent="0.25">
      <c r="A6442" s="367" t="s">
        <v>41</v>
      </c>
      <c r="B6442" s="267">
        <v>44161</v>
      </c>
      <c r="C6442" s="1">
        <v>0</v>
      </c>
      <c r="D6442" s="39">
        <f t="shared" si="885"/>
        <v>178</v>
      </c>
      <c r="E6442" s="1"/>
      <c r="F6442" s="409">
        <f t="shared" si="881"/>
        <v>3</v>
      </c>
      <c r="G6442" s="168">
        <f>SUM(C6442,C6418,C6394,C6370,C6346,C6322,C6298,C6274,C6250,C6226,C6202,C6178,C6154,C6130)/POBLA!$B$9*100000</f>
        <v>1.9828385325012021</v>
      </c>
      <c r="H6442" s="256">
        <f t="shared" si="888"/>
        <v>0.75</v>
      </c>
      <c r="I6442" s="297">
        <f t="shared" si="890"/>
        <v>1.4871288993759015</v>
      </c>
      <c r="J6442" s="297">
        <f t="shared" si="891"/>
        <v>0.5714285714285714</v>
      </c>
      <c r="K6442" s="297">
        <f>J6442/POBLA!$B$9*100000</f>
        <v>9.4420882500057243E-2</v>
      </c>
      <c r="L6442" s="549">
        <f t="shared" si="889"/>
        <v>0.5</v>
      </c>
      <c r="M6442" s="401">
        <f>SUM(C6442,C6418,C6394,C6370,C6346,C6322,C6298)/POBLA!$B$9*100000</f>
        <v>0.66094617750040074</v>
      </c>
    </row>
    <row r="6443" spans="1:13" s="360" customFormat="1" x14ac:dyDescent="0.25">
      <c r="A6443" s="367" t="s">
        <v>32</v>
      </c>
      <c r="B6443" s="267">
        <v>44161</v>
      </c>
      <c r="C6443" s="1">
        <v>6</v>
      </c>
      <c r="D6443" s="39">
        <f t="shared" si="885"/>
        <v>18338</v>
      </c>
      <c r="E6443" s="1">
        <v>2</v>
      </c>
      <c r="F6443" s="409">
        <f t="shared" ref="F6443:F6506" si="892">E6443+F6419</f>
        <v>847</v>
      </c>
      <c r="G6443" s="168">
        <f>SUM(C6443,C6419,C6395,C6371,C6347,C6323,C6299,C6275,C6251,C6227,C6203,C6179,C6155,C6131)/POBLA!$B$10*100000</f>
        <v>31.522375048807792</v>
      </c>
      <c r="H6443" s="256">
        <f t="shared" si="888"/>
        <v>0.78640776699029125</v>
      </c>
      <c r="I6443" s="297">
        <f t="shared" si="890"/>
        <v>24.789440572363407</v>
      </c>
      <c r="J6443" s="297">
        <f t="shared" si="891"/>
        <v>12.285714285714286</v>
      </c>
      <c r="K6443" s="297">
        <f>J6443/POBLA!$B$10*100000</f>
        <v>1.593723841385932</v>
      </c>
      <c r="L6443" s="549">
        <f t="shared" si="889"/>
        <v>0.45222929936305734</v>
      </c>
      <c r="M6443" s="401">
        <f>SUM(C6443,C6419,C6395,C6371,C6347,C6323,C6299)/POBLA!$B$10*100000</f>
        <v>11.156066889701524</v>
      </c>
    </row>
    <row r="6444" spans="1:13" s="360" customFormat="1" x14ac:dyDescent="0.25">
      <c r="A6444" s="367" t="s">
        <v>33</v>
      </c>
      <c r="B6444" s="267">
        <v>44161</v>
      </c>
      <c r="C6444" s="1">
        <v>81</v>
      </c>
      <c r="D6444" s="39">
        <f t="shared" si="885"/>
        <v>5484</v>
      </c>
      <c r="E6444" s="1"/>
      <c r="F6444" s="409">
        <f t="shared" si="892"/>
        <v>75</v>
      </c>
      <c r="G6444" s="168">
        <f>SUM(C6444,C6420,C6396,C6372,C6348,C6324,C6300,C6276,C6252,C6228,C6204,C6180,C6156,C6132)/POBLA!$B$11*100000</f>
        <v>284.01798966598591</v>
      </c>
      <c r="H6444" s="256">
        <f t="shared" si="888"/>
        <v>0.72403982930298716</v>
      </c>
      <c r="I6444" s="297">
        <f t="shared" si="890"/>
        <v>205.64033675673801</v>
      </c>
      <c r="J6444" s="297">
        <f t="shared" si="891"/>
        <v>73.142857142857139</v>
      </c>
      <c r="K6444" s="297">
        <f>J6444/POBLA!$B$11*100000</f>
        <v>20.406569002102831</v>
      </c>
      <c r="L6444" s="549">
        <f t="shared" si="889"/>
        <v>-1.1857707509881354E-2</v>
      </c>
      <c r="M6444" s="401">
        <f>SUM(C6444,C6420,C6396,C6372,C6348,C6324,C6300)/POBLA!$B$11*100000</f>
        <v>142.84598301471985</v>
      </c>
    </row>
    <row r="6445" spans="1:13" s="360" customFormat="1" x14ac:dyDescent="0.25">
      <c r="A6445" s="367" t="s">
        <v>21</v>
      </c>
      <c r="B6445" s="267">
        <v>44161</v>
      </c>
      <c r="C6445" s="1">
        <v>13</v>
      </c>
      <c r="D6445" s="39">
        <f t="shared" si="885"/>
        <v>8601</v>
      </c>
      <c r="E6445" s="1">
        <v>4</v>
      </c>
      <c r="F6445" s="409">
        <f t="shared" si="892"/>
        <v>314</v>
      </c>
      <c r="G6445" s="168">
        <f>SUM(C6445,C6421,C6397,C6373,C6349,C6325,C6301,C6277,C6253,C6229,C6205,C6181,C6157,C6133)/POBLA!$B$12*100000</f>
        <v>150.94109485656784</v>
      </c>
      <c r="H6445" s="256">
        <f t="shared" si="888"/>
        <v>1.0494699646643109</v>
      </c>
      <c r="I6445" s="297">
        <f t="shared" si="890"/>
        <v>158.40814548551464</v>
      </c>
      <c r="J6445" s="297">
        <f t="shared" si="891"/>
        <v>34.142857142857146</v>
      </c>
      <c r="K6445" s="297">
        <f>J6445/POBLA!$B$12*100000</f>
        <v>8.6760273378354302</v>
      </c>
      <c r="L6445" s="549">
        <f t="shared" si="889"/>
        <v>0.3267605633802817</v>
      </c>
      <c r="M6445" s="401">
        <f>SUM(C6445,C6421,C6397,C6373,C6349,C6325,C6301)/POBLA!$B$12*100000</f>
        <v>60.732191364848006</v>
      </c>
    </row>
    <row r="6446" spans="1:13" s="360" customFormat="1" x14ac:dyDescent="0.25">
      <c r="A6446" s="367" t="s">
        <v>17</v>
      </c>
      <c r="B6446" s="267">
        <v>44161</v>
      </c>
      <c r="C6446" s="1">
        <v>202</v>
      </c>
      <c r="D6446" s="39">
        <f t="shared" si="885"/>
        <v>55966</v>
      </c>
      <c r="E6446" s="1">
        <v>20</v>
      </c>
      <c r="F6446" s="409">
        <f t="shared" si="892"/>
        <v>1100</v>
      </c>
      <c r="G6446" s="168">
        <f>SUM(C6446,C6422,C6398,C6374,C6350,C6326,C6302,C6278,C6254,C6230,C6206,C6182,C6158,C6134)/POBLA!$B$13*100000</f>
        <v>185.49613181278758</v>
      </c>
      <c r="H6446" s="256">
        <f t="shared" si="888"/>
        <v>0.57561584034923607</v>
      </c>
      <c r="I6446" s="297">
        <f t="shared" si="890"/>
        <v>106.77451179495039</v>
      </c>
      <c r="J6446" s="297">
        <f t="shared" si="891"/>
        <v>210.28571428571428</v>
      </c>
      <c r="K6446" s="297">
        <f>J6446/POBLA!$B$13*100000</f>
        <v>10.565326808095623</v>
      </c>
      <c r="L6446" s="549">
        <f t="shared" si="889"/>
        <v>0.33693693693693694</v>
      </c>
      <c r="M6446" s="401">
        <f>SUM(C6446,C6422,C6398,C6374,C6350,C6326,C6302)/POBLA!$B$13*100000</f>
        <v>73.957287656669365</v>
      </c>
    </row>
    <row r="6447" spans="1:13" s="360" customFormat="1" x14ac:dyDescent="0.25">
      <c r="A6447" s="367" t="s">
        <v>23</v>
      </c>
      <c r="B6447" s="267">
        <v>44161</v>
      </c>
      <c r="C6447" s="1">
        <v>16</v>
      </c>
      <c r="D6447" s="39">
        <f t="shared" si="885"/>
        <v>482</v>
      </c>
      <c r="E6447" s="1"/>
      <c r="F6447" s="409">
        <f t="shared" si="892"/>
        <v>9</v>
      </c>
      <c r="G6447" s="168">
        <f>SUM(C6447,C6423,C6399,C6375,C6351,C6327,C6303,C6279,C6255,C6231,C6207,C6183,C6159,C6135)/POBLA!$B$14*100000</f>
        <v>9.7518897259481143</v>
      </c>
      <c r="H6447" s="256">
        <f t="shared" si="888"/>
        <v>1.2424242424242424</v>
      </c>
      <c r="I6447" s="297">
        <f t="shared" si="890"/>
        <v>12.115984204965839</v>
      </c>
      <c r="J6447" s="297">
        <f t="shared" si="891"/>
        <v>7.2857142857142856</v>
      </c>
      <c r="K6447" s="297">
        <f>J6447/POBLA!$B$14*100000</f>
        <v>0.57763806739065482</v>
      </c>
      <c r="L6447" s="549">
        <f t="shared" si="889"/>
        <v>0.29166666666666663</v>
      </c>
      <c r="M6447" s="401">
        <f>SUM(C6447,C6423,C6399,C6375,C6351,C6327,C6303)/POBLA!$B$14*100000</f>
        <v>4.0434664717345834</v>
      </c>
    </row>
    <row r="6448" spans="1:13" s="360" customFormat="1" x14ac:dyDescent="0.25">
      <c r="A6448" s="367" t="s">
        <v>19</v>
      </c>
      <c r="B6448" s="267">
        <v>44161</v>
      </c>
      <c r="C6448" s="1">
        <v>361</v>
      </c>
      <c r="D6448" s="39">
        <f t="shared" si="885"/>
        <v>31259</v>
      </c>
      <c r="E6448" s="1">
        <v>2</v>
      </c>
      <c r="F6448" s="409">
        <f t="shared" si="892"/>
        <v>613</v>
      </c>
      <c r="G6448" s="168">
        <f>SUM(C6448,C6424,C6400,C6376,C6352,C6328,C6304,C6280,C6256,C6232,C6208,C6184,C6160,C6136)/POBLA!$B$15*100000</f>
        <v>756.10979177992249</v>
      </c>
      <c r="H6448" s="256">
        <f t="shared" si="888"/>
        <v>0.97249661049777258</v>
      </c>
      <c r="I6448" s="297">
        <f t="shared" si="890"/>
        <v>735.31420967015117</v>
      </c>
      <c r="J6448" s="297">
        <f t="shared" si="891"/>
        <v>331.57142857142856</v>
      </c>
      <c r="K6448" s="297">
        <f>J6448/POBLA!$B$15*100000</f>
        <v>49.931169850092473</v>
      </c>
      <c r="L6448" s="549">
        <f t="shared" si="889"/>
        <v>0.14037037037037037</v>
      </c>
      <c r="M6448" s="401">
        <f>SUM(C6448,C6424,C6400,C6376,C6352,C6328,C6304)/POBLA!$B$15*100000</f>
        <v>349.5181889506473</v>
      </c>
    </row>
    <row r="6449" spans="1:13" s="360" customFormat="1" x14ac:dyDescent="0.25">
      <c r="A6449" s="367" t="s">
        <v>18</v>
      </c>
      <c r="B6449" s="267">
        <v>44161</v>
      </c>
      <c r="C6449" s="1">
        <v>336</v>
      </c>
      <c r="D6449" s="39">
        <f t="shared" si="885"/>
        <v>31068</v>
      </c>
      <c r="E6449" s="1">
        <v>5</v>
      </c>
      <c r="F6449" s="409">
        <f t="shared" si="892"/>
        <v>766</v>
      </c>
      <c r="G6449" s="168">
        <f>SUM(C6449,C6425,C6401,C6377,C6353,C6329,C6305,C6281,C6257,C6233,C6209,C6185,C6161,C6137)/POBLA!$B$16*100000</f>
        <v>442.47669239309266</v>
      </c>
      <c r="H6449" s="256">
        <f t="shared" si="888"/>
        <v>0.76751740139211133</v>
      </c>
      <c r="I6449" s="297">
        <f t="shared" si="890"/>
        <v>339.60856112212309</v>
      </c>
      <c r="J6449" s="297">
        <f t="shared" si="891"/>
        <v>217.57142857142858</v>
      </c>
      <c r="K6449" s="297">
        <f>J6449/POBLA!$B$16*100000</f>
        <v>29.10226302101745</v>
      </c>
      <c r="L6449" s="549">
        <f t="shared" si="889"/>
        <v>0.14677871148459387</v>
      </c>
      <c r="M6449" s="401">
        <f>SUM(C6449,C6425,C6401,C6377,C6353,C6329,C6305)/POBLA!$B$16*100000</f>
        <v>203.71584114712215</v>
      </c>
    </row>
    <row r="6450" spans="1:13" s="360" customFormat="1" x14ac:dyDescent="0.25">
      <c r="A6450" s="367" t="s">
        <v>34</v>
      </c>
      <c r="B6450" s="267">
        <v>44161</v>
      </c>
      <c r="C6450" s="1">
        <v>77</v>
      </c>
      <c r="D6450" s="39">
        <f t="shared" si="885"/>
        <v>21029</v>
      </c>
      <c r="E6450" s="1">
        <v>6</v>
      </c>
      <c r="F6450" s="409">
        <f t="shared" si="892"/>
        <v>966</v>
      </c>
      <c r="G6450" s="168">
        <f>SUM(C6450,C6426,C6402,C6378,C6354,C6330,C6306,C6282,C6258,C6234,C6210,C6186,C6162,C6138)/POBLA!$B$17*100000</f>
        <v>78.629764033482246</v>
      </c>
      <c r="H6450" s="256">
        <f t="shared" si="888"/>
        <v>0.7466666666666667</v>
      </c>
      <c r="I6450" s="297">
        <f t="shared" si="890"/>
        <v>58.710223811666744</v>
      </c>
      <c r="J6450" s="297">
        <f t="shared" si="891"/>
        <v>73.857142857142861</v>
      </c>
      <c r="K6450" s="297">
        <f>J6450/POBLA!$B$17*100000</f>
        <v>5.1851515312895815</v>
      </c>
      <c r="L6450" s="549">
        <f t="shared" si="889"/>
        <v>0.142620232172471</v>
      </c>
      <c r="M6450" s="401">
        <f>SUM(C6450,C6426,C6402,C6378,C6354,C6330,C6306)/POBLA!$B$17*100000</f>
        <v>36.296060719027068</v>
      </c>
    </row>
    <row r="6451" spans="1:13" s="360" customFormat="1" x14ac:dyDescent="0.25">
      <c r="A6451" s="367" t="s">
        <v>35</v>
      </c>
      <c r="B6451" s="267">
        <v>44161</v>
      </c>
      <c r="C6451" s="1">
        <v>226</v>
      </c>
      <c r="D6451" s="39">
        <f t="shared" si="885"/>
        <v>6948</v>
      </c>
      <c r="E6451" s="1"/>
      <c r="F6451" s="409">
        <f t="shared" si="892"/>
        <v>171</v>
      </c>
      <c r="G6451" s="168">
        <f>SUM(C6451,C6427,C6403,C6379,C6355,C6331,C6307,C6283,C6259,C6235,C6211,C6187,C6163,C6139)/POBLA!$B$18*100000</f>
        <v>347.40667445792911</v>
      </c>
      <c r="H6451" s="256">
        <f t="shared" si="888"/>
        <v>1.151463725074247</v>
      </c>
      <c r="I6451" s="297">
        <f t="shared" si="890"/>
        <v>400.02618348698331</v>
      </c>
      <c r="J6451" s="297">
        <f t="shared" si="891"/>
        <v>266.57142857142856</v>
      </c>
      <c r="K6451" s="297">
        <f>J6451/POBLA!$B$18*100000</f>
        <v>34.122584195099257</v>
      </c>
      <c r="L6451" s="549">
        <f t="shared" si="889"/>
        <v>-1.2004716981132075</v>
      </c>
      <c r="M6451" s="401">
        <f>SUM(C6451,C6427,C6403,C6379,C6355,C6331,C6307)/POBLA!$B$18*100000</f>
        <v>238.85808936569478</v>
      </c>
    </row>
    <row r="6452" spans="1:13" s="360" customFormat="1" x14ac:dyDescent="0.25">
      <c r="A6452" s="367" t="s">
        <v>36</v>
      </c>
      <c r="B6452" s="267">
        <v>44161</v>
      </c>
      <c r="C6452" s="1">
        <v>256</v>
      </c>
      <c r="D6452" s="39">
        <f t="shared" si="885"/>
        <v>13828</v>
      </c>
      <c r="E6452" s="1">
        <v>13</v>
      </c>
      <c r="F6452" s="409">
        <f t="shared" si="892"/>
        <v>203</v>
      </c>
      <c r="G6452" s="168">
        <f>SUM(C6452,C6428,C6404,C6380,C6356,C6332,C6308,C6284,C6260,C6236,C6212,C6188,C6164,C6140)/POBLA!$B$19*100000</f>
        <v>648.79369226168933</v>
      </c>
      <c r="H6452" s="256">
        <f t="shared" si="888"/>
        <v>0.82989431303472572</v>
      </c>
      <c r="I6452" s="297">
        <f t="shared" si="890"/>
        <v>538.43019554077796</v>
      </c>
      <c r="J6452" s="297">
        <f t="shared" si="891"/>
        <v>202.71428571428572</v>
      </c>
      <c r="K6452" s="297">
        <f>J6452/POBLA!$B$19*100000</f>
        <v>39.8786385393458</v>
      </c>
      <c r="L6452" s="549">
        <f t="shared" si="889"/>
        <v>0.24481106971793509</v>
      </c>
      <c r="M6452" s="401">
        <f>SUM(C6452,C6428,C6404,C6380,C6356,C6332,C6308)/POBLA!$B$19*100000</f>
        <v>279.15046977542056</v>
      </c>
    </row>
    <row r="6453" spans="1:13" s="360" customFormat="1" x14ac:dyDescent="0.25">
      <c r="A6453" s="367" t="s">
        <v>37</v>
      </c>
      <c r="B6453" s="267">
        <v>44161</v>
      </c>
      <c r="C6453" s="1">
        <v>236</v>
      </c>
      <c r="D6453" s="39">
        <f t="shared" si="885"/>
        <v>15080</v>
      </c>
      <c r="E6453" s="1">
        <v>7</v>
      </c>
      <c r="F6453" s="409">
        <f t="shared" si="892"/>
        <v>261</v>
      </c>
      <c r="G6453" s="168">
        <f>SUM(C6453,C6429,C6405,C6381,C6357,C6333,C6309,C6285,C6261,C6237,C6213,C6189,C6165,C6141)/POBLA!$B$20*100000</f>
        <v>830.19321954180771</v>
      </c>
      <c r="H6453" s="256">
        <f t="shared" si="888"/>
        <v>1.0436576143004468</v>
      </c>
      <c r="I6453" s="297">
        <f t="shared" si="890"/>
        <v>866.43747491541012</v>
      </c>
      <c r="J6453" s="297">
        <f t="shared" si="891"/>
        <v>211.57142857142858</v>
      </c>
      <c r="K6453" s="297">
        <f>J6453/POBLA!$B$20*100000</f>
        <v>57.854138817119207</v>
      </c>
      <c r="L6453" s="549">
        <f t="shared" si="889"/>
        <v>4.7588424437299048E-2</v>
      </c>
      <c r="M6453" s="401">
        <f>SUM(C6453,C6429,C6405,C6381,C6357,C6333,C6309)/POBLA!$B$20*100000</f>
        <v>404.97897171983442</v>
      </c>
    </row>
    <row r="6454" spans="1:13" s="360" customFormat="1" x14ac:dyDescent="0.25">
      <c r="A6454" s="367" t="s">
        <v>22</v>
      </c>
      <c r="B6454" s="267">
        <v>44161</v>
      </c>
      <c r="C6454" s="1">
        <v>1446</v>
      </c>
      <c r="D6454" s="39">
        <f t="shared" si="885"/>
        <v>143041</v>
      </c>
      <c r="E6454" s="1">
        <v>25</v>
      </c>
      <c r="F6454" s="409">
        <f t="shared" si="892"/>
        <v>2185</v>
      </c>
      <c r="G6454" s="168">
        <f>SUM(C6454,C6430,C6406,C6382,C6358,C6334,C6310,C6286,C6262,C6238,C6214,C6190,C6166,C6142)/POBLA!$B$21*100000</f>
        <v>526.38008289744027</v>
      </c>
      <c r="H6454" s="256">
        <f t="shared" si="888"/>
        <v>0.84860503282275712</v>
      </c>
      <c r="I6454" s="297">
        <f t="shared" si="890"/>
        <v>446.68878752442794</v>
      </c>
      <c r="J6454" s="297">
        <f t="shared" si="891"/>
        <v>1255.5714285714287</v>
      </c>
      <c r="K6454" s="297">
        <f>J6454/POBLA!$B$21*100000</f>
        <v>35.504044730329632</v>
      </c>
      <c r="L6454" s="549">
        <f t="shared" si="889"/>
        <v>0.10553633217993075</v>
      </c>
      <c r="M6454" s="401">
        <f>SUM(C6454,C6430,C6406,C6382,C6358,C6334,C6310)/POBLA!$B$21*100000</f>
        <v>248.52831311230742</v>
      </c>
    </row>
    <row r="6455" spans="1:13" s="360" customFormat="1" x14ac:dyDescent="0.25">
      <c r="A6455" s="367" t="s">
        <v>38</v>
      </c>
      <c r="B6455" s="267">
        <v>44161</v>
      </c>
      <c r="C6455" s="1">
        <v>272</v>
      </c>
      <c r="D6455" s="39">
        <f t="shared" si="885"/>
        <v>15140</v>
      </c>
      <c r="E6455" s="1">
        <v>5</v>
      </c>
      <c r="F6455" s="409">
        <f t="shared" si="892"/>
        <v>187</v>
      </c>
      <c r="G6455" s="168">
        <f>SUM(C6455,C6431,C6407,C6383,C6359,C6335,C6311,C6287,C6263,C6239,C6215,C6191,C6167,C6143)/POBLA!$B$22*100000</f>
        <v>310.73899661969125</v>
      </c>
      <c r="H6455" s="256">
        <f t="shared" si="888"/>
        <v>1.1131453679970706</v>
      </c>
      <c r="I6455" s="297">
        <f t="shared" si="890"/>
        <v>345.89767474326669</v>
      </c>
      <c r="J6455" s="297">
        <f t="shared" si="891"/>
        <v>175.57142857142858</v>
      </c>
      <c r="K6455" s="297">
        <f>J6455/POBLA!$B$22*100000</f>
        <v>17.946345246503785</v>
      </c>
      <c r="L6455" s="549">
        <f t="shared" si="889"/>
        <v>0.32136940916620649</v>
      </c>
      <c r="M6455" s="401">
        <f>SUM(C6455,C6431,C6407,C6383,C6359,C6335,C6311)/POBLA!$B$22*100000</f>
        <v>125.62441672552649</v>
      </c>
    </row>
    <row r="6456" spans="1:13" s="360" customFormat="1" x14ac:dyDescent="0.25">
      <c r="A6456" s="367" t="s">
        <v>39</v>
      </c>
      <c r="B6456" s="267">
        <v>44161</v>
      </c>
      <c r="C6456" s="1">
        <v>153</v>
      </c>
      <c r="D6456" s="39">
        <f t="shared" si="885"/>
        <v>15854</v>
      </c>
      <c r="E6456" s="1">
        <v>3</v>
      </c>
      <c r="F6456" s="409">
        <f t="shared" si="892"/>
        <v>229</v>
      </c>
      <c r="G6456" s="168">
        <f>SUM(C6456,C6432,C6408,C6384,C6360,C6336,C6312,C6288,C6264,C6240,C6216,C6192,C6168,C6144)/POBLA!$B$23*100000</f>
        <v>1115.7609002997231</v>
      </c>
      <c r="H6456" s="256">
        <f t="shared" si="888"/>
        <v>0.69155275148966</v>
      </c>
      <c r="I6456" s="297">
        <f t="shared" si="890"/>
        <v>771.60752060685365</v>
      </c>
      <c r="J6456" s="297">
        <f t="shared" si="891"/>
        <v>145.14285714285714</v>
      </c>
      <c r="K6456" s="297">
        <f>J6456/POBLA!$B$23*100000</f>
        <v>82.08044853410459</v>
      </c>
      <c r="L6456" s="549">
        <f t="shared" si="889"/>
        <v>-6.1650992685475359E-2</v>
      </c>
      <c r="M6456" s="401">
        <f>SUM(C6456,C6432,C6408,C6384,C6360,C6336,C6312)/POBLA!$B$23*100000</f>
        <v>574.56313973873216</v>
      </c>
    </row>
    <row r="6457" spans="1:13" s="360" customFormat="1" ht="15.75" thickBot="1" x14ac:dyDescent="0.3">
      <c r="A6457" s="368" t="s">
        <v>40</v>
      </c>
      <c r="B6457" s="268">
        <v>44161</v>
      </c>
      <c r="C6457" s="232">
        <v>491</v>
      </c>
      <c r="D6457" s="67">
        <f>C6457+D6433</f>
        <v>64792</v>
      </c>
      <c r="E6457" s="232">
        <v>15</v>
      </c>
      <c r="F6457" s="477">
        <f t="shared" si="892"/>
        <v>1141</v>
      </c>
      <c r="G6457" s="177">
        <f>SUM(C6457,C6433,C6409,C6385,C6361,C6337,C6313,C6289,C6265,C6241,C6217,C6193,C6169,C6145)/POBLA!$B$24*100000</f>
        <v>416.89876883568104</v>
      </c>
      <c r="H6457" s="402">
        <f t="shared" si="888"/>
        <v>0.71047868061142394</v>
      </c>
      <c r="I6457" s="403">
        <f t="shared" si="890"/>
        <v>296.19768723090169</v>
      </c>
      <c r="J6457" s="403">
        <f t="shared" si="891"/>
        <v>340.71428571428572</v>
      </c>
      <c r="K6457" s="403">
        <f>J6457/POBLA!$B$24*100000</f>
        <v>20.105218151311281</v>
      </c>
      <c r="L6457" s="550">
        <f t="shared" si="889"/>
        <v>0.49038461538461542</v>
      </c>
      <c r="M6457" s="405">
        <f>SUM(C6457,C6433,C6409,C6385,C6361,C6337,C6313)/POBLA!$B$24*100000</f>
        <v>140.73652705917897</v>
      </c>
    </row>
    <row r="6458" spans="1:13" s="360" customFormat="1" x14ac:dyDescent="0.25">
      <c r="A6458" s="363" t="s">
        <v>16</v>
      </c>
      <c r="B6458" s="265">
        <v>44162</v>
      </c>
      <c r="C6458" s="43">
        <v>2124</v>
      </c>
      <c r="D6458" s="174">
        <f t="shared" si="885"/>
        <v>614872</v>
      </c>
      <c r="E6458" s="43">
        <v>138</v>
      </c>
      <c r="F6458" s="475">
        <f t="shared" si="892"/>
        <v>20433</v>
      </c>
      <c r="G6458" s="175">
        <f>SUM(C6458,C6434,C6410,C6386,C6362,C6338,C6314,C6290,C6266,C6242,C6218,C6194,C6170,C6146)/POBLA!$B$1*100000</f>
        <v>167.40074092101534</v>
      </c>
      <c r="H6458" s="300">
        <f t="shared" ref="H6458:H6521" si="893">SUM(C6458,C6434,C6410,C6386,C6362,C6338,C6314,C6290,C6266,C6242,C6218,C6194,C6170,C6146)/SUM(C6122,C6098,C6074,C6050,C6026,C6002,C5978,C5954,C5930,C5906,C5882,C5858,C5834,C5810)</f>
        <v>0.76276073460269633</v>
      </c>
      <c r="I6458" s="301">
        <f>G6458*H6458</f>
        <v>127.68671211794931</v>
      </c>
      <c r="J6458" s="301">
        <f>AVERAGE(C6458,C6434,C6410,C6386,C6362,C6338,C6314)</f>
        <v>1821.4285714285713</v>
      </c>
      <c r="K6458" s="301">
        <f>J6458/POBLA!$B$1*100000</f>
        <v>10.383751954496981</v>
      </c>
      <c r="L6458" s="548">
        <f t="shared" ref="L6458:L6521" si="894">1-SUM(C6458,C6434,C6410,C6386,C6362,C6338,C6314)/SUM(C6290,C6266,C6242,C6218,C6194,C6170,C6146)</f>
        <v>0.23257493680028896</v>
      </c>
      <c r="M6458" s="400">
        <f>SUM(C6458,C6434,C6410,C6386,C6362,C6338,C6314)/POBLA!$B$1*100000</f>
        <v>72.686263681478877</v>
      </c>
    </row>
    <row r="6459" spans="1:13" s="360" customFormat="1" x14ac:dyDescent="0.25">
      <c r="A6459" s="367" t="s">
        <v>43</v>
      </c>
      <c r="B6459" s="267">
        <v>44162</v>
      </c>
      <c r="C6459" s="1">
        <v>414</v>
      </c>
      <c r="D6459" s="39">
        <f t="shared" si="885"/>
        <v>157985</v>
      </c>
      <c r="E6459" s="1">
        <v>7</v>
      </c>
      <c r="F6459" s="409">
        <f t="shared" si="892"/>
        <v>5208</v>
      </c>
      <c r="G6459" s="168">
        <f>SUM(C6459,C6435,C6411,C6387,C6363,C6339,C6315,C6291,C6267,C6243,C6219,C6195,C6171,C6147)/POBLA!$B$2*100000</f>
        <v>162.66501411410806</v>
      </c>
      <c r="H6459" s="256">
        <f t="shared" si="893"/>
        <v>0.80408228865316622</v>
      </c>
      <c r="I6459" s="297">
        <f t="shared" ref="I6459:I6481" si="895">G6459*H6459</f>
        <v>130.79605683267158</v>
      </c>
      <c r="J6459" s="297">
        <f t="shared" ref="J6459:J6481" si="896">AVERAGE(C6459,C6435,C6411,C6387,C6363,C6339,C6315)</f>
        <v>302.28571428571428</v>
      </c>
      <c r="K6459" s="297">
        <f>J6459/POBLA!$B$2*100000</f>
        <v>9.828364977169489</v>
      </c>
      <c r="L6459" s="549">
        <f t="shared" si="894"/>
        <v>0.26705923103567719</v>
      </c>
      <c r="M6459" s="401">
        <f>SUM(C6459,C6435,C6411,C6387,C6363,C6339,C6315)/POBLA!$B$2*100000</f>
        <v>68.798554840186412</v>
      </c>
    </row>
    <row r="6460" spans="1:13" s="360" customFormat="1" x14ac:dyDescent="0.25">
      <c r="A6460" s="367" t="s">
        <v>28</v>
      </c>
      <c r="B6460" s="267">
        <v>44162</v>
      </c>
      <c r="C6460" s="1">
        <v>3</v>
      </c>
      <c r="D6460" s="39">
        <f t="shared" si="885"/>
        <v>1782</v>
      </c>
      <c r="E6460" s="1"/>
      <c r="F6460" s="409">
        <f t="shared" si="892"/>
        <v>15</v>
      </c>
      <c r="G6460" s="168">
        <f>SUM(C6460,C6436,C6412,C6388,C6364,C6340,C6316,C6292,C6268,C6244,C6220,C6196,C6172,C6148)/POBLA!$B$3*100000</f>
        <v>95.080373003913948</v>
      </c>
      <c r="H6460" s="256">
        <f t="shared" si="893"/>
        <v>0.69542253521126762</v>
      </c>
      <c r="I6460" s="297">
        <f t="shared" si="895"/>
        <v>66.121034043214806</v>
      </c>
      <c r="J6460" s="297">
        <f t="shared" si="896"/>
        <v>19.428571428571427</v>
      </c>
      <c r="K6460" s="297">
        <f>J6460/POBLA!$B$3*100000</f>
        <v>4.6766476414221687</v>
      </c>
      <c r="L6460" s="549">
        <f t="shared" si="894"/>
        <v>0.47490347490347495</v>
      </c>
      <c r="M6460" s="401">
        <f>SUM(C6460,C6436,C6412,C6388,C6364,C6340,C6316)/POBLA!$B$3*100000</f>
        <v>32.736533489955178</v>
      </c>
    </row>
    <row r="6461" spans="1:13" s="360" customFormat="1" x14ac:dyDescent="0.25">
      <c r="A6461" s="367" t="s">
        <v>15</v>
      </c>
      <c r="B6461" s="267">
        <v>44162</v>
      </c>
      <c r="C6461" s="1">
        <v>258</v>
      </c>
      <c r="D6461" s="39">
        <f t="shared" si="885"/>
        <v>18756</v>
      </c>
      <c r="E6461" s="1">
        <v>5</v>
      </c>
      <c r="F6461" s="409">
        <f t="shared" si="892"/>
        <v>548</v>
      </c>
      <c r="G6461" s="168">
        <f>SUM(C6461,C6437,C6413,C6389,C6365,C6341,C6317,C6293,C6269,C6245,C6221,C6197,C6173,C6149)/POBLA!$B$4*100000</f>
        <v>231.04236385477952</v>
      </c>
      <c r="H6461" s="256">
        <f t="shared" si="893"/>
        <v>1.3509708737864077</v>
      </c>
      <c r="I6461" s="297">
        <f t="shared" si="895"/>
        <v>312.1315041785686</v>
      </c>
      <c r="J6461" s="297">
        <f t="shared" si="896"/>
        <v>179</v>
      </c>
      <c r="K6461" s="297">
        <f>J6461/POBLA!$B$4*100000</f>
        <v>14.860432314051577</v>
      </c>
      <c r="L6461" s="549">
        <f t="shared" si="894"/>
        <v>0.18104575163398695</v>
      </c>
      <c r="M6461" s="401">
        <f>SUM(C6461,C6437,C6413,C6389,C6365,C6341,C6317)/POBLA!$B$4*100000</f>
        <v>104.02302619836104</v>
      </c>
    </row>
    <row r="6462" spans="1:13" s="360" customFormat="1" x14ac:dyDescent="0.25">
      <c r="A6462" s="367" t="s">
        <v>29</v>
      </c>
      <c r="B6462" s="267">
        <v>44162</v>
      </c>
      <c r="C6462" s="1">
        <v>264</v>
      </c>
      <c r="D6462" s="39">
        <f t="shared" si="885"/>
        <v>22287</v>
      </c>
      <c r="E6462" s="1">
        <v>9</v>
      </c>
      <c r="F6462" s="409">
        <f t="shared" si="892"/>
        <v>371</v>
      </c>
      <c r="G6462" s="168">
        <f>SUM(C6462,C6438,C6414,C6390,C6366,C6342,C6318,C6294,C6270,C6246,C6222,C6198,C6174,C6150)/POBLA!$B$5*100000</f>
        <v>570.28016426653573</v>
      </c>
      <c r="H6462" s="256">
        <f t="shared" si="893"/>
        <v>0.7724288840262582</v>
      </c>
      <c r="I6462" s="297">
        <f t="shared" si="895"/>
        <v>440.50087086671141</v>
      </c>
      <c r="J6462" s="297">
        <f t="shared" si="896"/>
        <v>215.28571428571428</v>
      </c>
      <c r="K6462" s="297">
        <f>J6462/POBLA!$B$5*100000</f>
        <v>34.779935554418017</v>
      </c>
      <c r="L6462" s="549">
        <f t="shared" si="894"/>
        <v>0.25506673257538315</v>
      </c>
      <c r="M6462" s="401">
        <f>SUM(C6462,C6438,C6414,C6390,C6366,C6342,C6318)/POBLA!$B$5*100000</f>
        <v>243.45954888092615</v>
      </c>
    </row>
    <row r="6463" spans="1:13" s="360" customFormat="1" x14ac:dyDescent="0.25">
      <c r="A6463" s="367" t="s">
        <v>20</v>
      </c>
      <c r="B6463" s="267">
        <v>44162</v>
      </c>
      <c r="C6463" s="1">
        <v>834</v>
      </c>
      <c r="D6463" s="39">
        <f t="shared" si="885"/>
        <v>112719</v>
      </c>
      <c r="E6463" s="1">
        <v>36</v>
      </c>
      <c r="F6463" s="409">
        <f t="shared" si="892"/>
        <v>1919</v>
      </c>
      <c r="G6463" s="168">
        <f>SUM(C6463,C6439,C6415,C6391,C6367,C6343,C6319,C6295,C6271,C6247,C6223,C6199,C6175,C6151)/POBLA!$B$6*100000</f>
        <v>1091.0054505661576</v>
      </c>
      <c r="H6463" s="256">
        <f t="shared" si="893"/>
        <v>0.74109090909090913</v>
      </c>
      <c r="I6463" s="297">
        <f t="shared" si="895"/>
        <v>808.53422118321066</v>
      </c>
      <c r="J6463" s="297">
        <f t="shared" si="896"/>
        <v>690.42857142857144</v>
      </c>
      <c r="K6463" s="297">
        <f>J6463/POBLA!$B$6*100000</f>
        <v>61.601352196203557</v>
      </c>
      <c r="L6463" s="549">
        <f t="shared" si="894"/>
        <v>0.34645030425963486</v>
      </c>
      <c r="M6463" s="401">
        <f>SUM(C6463,C6439,C6415,C6391,C6367,C6343,C6319)/POBLA!$B$6*100000</f>
        <v>431.20946537342491</v>
      </c>
    </row>
    <row r="6464" spans="1:13" s="360" customFormat="1" x14ac:dyDescent="0.25">
      <c r="A6464" s="367" t="s">
        <v>30</v>
      </c>
      <c r="B6464" s="267">
        <v>44162</v>
      </c>
      <c r="C6464" s="1">
        <v>158</v>
      </c>
      <c r="D6464" s="39">
        <f t="shared" si="885"/>
        <v>5442</v>
      </c>
      <c r="E6464" s="1"/>
      <c r="F6464" s="409">
        <f t="shared" si="892"/>
        <v>86</v>
      </c>
      <c r="G6464" s="168">
        <f>SUM(C6464,C6440,C6416,C6392,C6368,C6344,C6320,C6296,C6272,C6248,C6224,C6200,C6176,C6152)/POBLA!$B$7*100000</f>
        <v>52.201199324548931</v>
      </c>
      <c r="H6464" s="256">
        <f t="shared" si="893"/>
        <v>2.0882978723404255</v>
      </c>
      <c r="I6464" s="297">
        <f t="shared" si="895"/>
        <v>109.01165348307399</v>
      </c>
      <c r="J6464" s="297">
        <f t="shared" si="896"/>
        <v>109.85714285714286</v>
      </c>
      <c r="K6464" s="297">
        <f>J6464/POBLA!$B$7*100000</f>
        <v>2.9213828892058893</v>
      </c>
      <c r="L6464" s="549">
        <f t="shared" si="894"/>
        <v>0.35594639865996647</v>
      </c>
      <c r="M6464" s="401">
        <f>SUM(C6464,C6440,C6416,C6392,C6368,C6344,C6320)/POBLA!$B$7*100000</f>
        <v>20.449680224441224</v>
      </c>
    </row>
    <row r="6465" spans="1:13" x14ac:dyDescent="0.25">
      <c r="A6465" s="367" t="s">
        <v>31</v>
      </c>
      <c r="B6465" s="267">
        <v>44162</v>
      </c>
      <c r="C6465" s="1">
        <v>298</v>
      </c>
      <c r="D6465" s="39">
        <f t="shared" si="885"/>
        <v>22853</v>
      </c>
      <c r="E6465" s="1">
        <v>3</v>
      </c>
      <c r="F6465" s="409">
        <f t="shared" si="892"/>
        <v>464</v>
      </c>
      <c r="G6465" s="168">
        <f>SUM(C6465,C6441,C6417,C6393,C6369,C6345,C6321,C6297,C6273,C6249,C6225,C6201,C6177,C6153)/POBLA!$B$8*100000</f>
        <v>237.5968732164902</v>
      </c>
      <c r="H6465" s="256">
        <f t="shared" si="893"/>
        <v>0.86046511627906974</v>
      </c>
      <c r="I6465" s="297">
        <f t="shared" si="895"/>
        <v>204.44382113977062</v>
      </c>
      <c r="J6465" s="297">
        <f t="shared" si="896"/>
        <v>193</v>
      </c>
      <c r="K6465" s="297">
        <f>J6465/POBLA!$B$8*100000</f>
        <v>13.92535576397893</v>
      </c>
      <c r="L6465" s="549">
        <f t="shared" si="894"/>
        <v>0.30432543769309994</v>
      </c>
      <c r="M6465" s="401">
        <f>SUM(C6465,C6441,C6417,C6393,C6369,C6345,C6321)/POBLA!$B$8*100000</f>
        <v>97.477490347852509</v>
      </c>
    </row>
    <row r="6466" spans="1:13" s="360" customFormat="1" x14ac:dyDescent="0.25">
      <c r="A6466" s="367" t="s">
        <v>41</v>
      </c>
      <c r="B6466" s="267">
        <v>44162</v>
      </c>
      <c r="C6466" s="1">
        <v>1</v>
      </c>
      <c r="D6466" s="39">
        <f t="shared" si="885"/>
        <v>179</v>
      </c>
      <c r="E6466" s="1"/>
      <c r="F6466" s="409">
        <f t="shared" si="892"/>
        <v>3</v>
      </c>
      <c r="G6466" s="168">
        <f>SUM(C6466,C6442,C6418,C6394,C6370,C6346,C6322,C6298,C6274,C6250,C6226,C6202,C6178,C6154)/POBLA!$B$9*100000</f>
        <v>1.9828385325012021</v>
      </c>
      <c r="H6466" s="256">
        <f t="shared" si="893"/>
        <v>0.66666666666666663</v>
      </c>
      <c r="I6466" s="297">
        <f t="shared" si="895"/>
        <v>1.3218923550008013</v>
      </c>
      <c r="J6466" s="297">
        <f t="shared" si="896"/>
        <v>0.2857142857142857</v>
      </c>
      <c r="K6466" s="297">
        <f>J6466/POBLA!$B$9*100000</f>
        <v>4.7210441250028622E-2</v>
      </c>
      <c r="L6466" s="549">
        <f t="shared" si="894"/>
        <v>0.8</v>
      </c>
      <c r="M6466" s="401">
        <f>SUM(C6466,C6442,C6418,C6394,C6370,C6346,C6322)/POBLA!$B$9*100000</f>
        <v>0.33047308875020037</v>
      </c>
    </row>
    <row r="6467" spans="1:13" s="360" customFormat="1" x14ac:dyDescent="0.25">
      <c r="A6467" s="367" t="s">
        <v>32</v>
      </c>
      <c r="B6467" s="267">
        <v>44162</v>
      </c>
      <c r="C6467" s="1">
        <v>22</v>
      </c>
      <c r="D6467" s="39">
        <f t="shared" si="885"/>
        <v>18360</v>
      </c>
      <c r="E6467" s="1">
        <v>1</v>
      </c>
      <c r="F6467" s="409">
        <f t="shared" si="892"/>
        <v>848</v>
      </c>
      <c r="G6467" s="168">
        <f>SUM(C6467,C6443,C6419,C6395,C6371,C6347,C6323,C6299,C6275,C6251,C6227,C6203,C6179,C6155)/POBLA!$B$10*100000</f>
        <v>30.484601384649512</v>
      </c>
      <c r="H6467" s="256">
        <f t="shared" si="893"/>
        <v>0.77814569536423839</v>
      </c>
      <c r="I6467" s="297">
        <f t="shared" si="895"/>
        <v>23.721461342359717</v>
      </c>
      <c r="J6467" s="297">
        <f t="shared" si="896"/>
        <v>12.428571428571429</v>
      </c>
      <c r="K6467" s="297">
        <f>J6467/POBLA!$B$10*100000</f>
        <v>1.6122555139601868</v>
      </c>
      <c r="L6467" s="549">
        <f t="shared" si="894"/>
        <v>0.41216216216216217</v>
      </c>
      <c r="M6467" s="401">
        <f>SUM(C6467,C6443,C6419,C6395,C6371,C6347,C6323)/POBLA!$B$10*100000</f>
        <v>11.285788597721309</v>
      </c>
    </row>
    <row r="6468" spans="1:13" s="360" customFormat="1" x14ac:dyDescent="0.25">
      <c r="A6468" s="367" t="s">
        <v>33</v>
      </c>
      <c r="B6468" s="267">
        <v>44162</v>
      </c>
      <c r="C6468" s="1">
        <v>105</v>
      </c>
      <c r="D6468" s="39">
        <f t="shared" si="885"/>
        <v>5589</v>
      </c>
      <c r="E6468" s="1"/>
      <c r="F6468" s="409">
        <f t="shared" si="892"/>
        <v>75</v>
      </c>
      <c r="G6468" s="168">
        <f>SUM(C6468,C6444,C6420,C6396,C6372,C6348,C6324,C6300,C6276,C6252,C6228,C6204,C6180,C6156)/POBLA!$B$11*100000</f>
        <v>290.4348990592253</v>
      </c>
      <c r="H6468" s="256">
        <f t="shared" si="893"/>
        <v>0.76600441501103755</v>
      </c>
      <c r="I6468" s="297">
        <f t="shared" si="895"/>
        <v>222.47441495265161</v>
      </c>
      <c r="J6468" s="297">
        <f t="shared" si="896"/>
        <v>75.571428571428569</v>
      </c>
      <c r="K6468" s="297">
        <f>J6468/POBLA!$B$11*100000</f>
        <v>21.084130863500778</v>
      </c>
      <c r="L6468" s="549">
        <f t="shared" si="894"/>
        <v>-3.3203125E-2</v>
      </c>
      <c r="M6468" s="401">
        <f>SUM(C6468,C6444,C6420,C6396,C6372,C6348,C6324)/POBLA!$B$11*100000</f>
        <v>147.58891604450545</v>
      </c>
    </row>
    <row r="6469" spans="1:13" s="360" customFormat="1" x14ac:dyDescent="0.25">
      <c r="A6469" s="367" t="s">
        <v>21</v>
      </c>
      <c r="B6469" s="267">
        <v>44162</v>
      </c>
      <c r="C6469" s="1">
        <v>29</v>
      </c>
      <c r="D6469" s="39">
        <f t="shared" si="885"/>
        <v>8630</v>
      </c>
      <c r="E6469" s="1">
        <v>2</v>
      </c>
      <c r="F6469" s="409">
        <f t="shared" si="892"/>
        <v>316</v>
      </c>
      <c r="G6469" s="168">
        <f>SUM(C6469,C6445,C6421,C6397,C6373,C6349,C6325,C6301,C6277,C6253,C6229,C6205,C6181,C6157)/POBLA!$B$12*100000</f>
        <v>140.77671136454308</v>
      </c>
      <c r="H6469" s="256">
        <f t="shared" si="893"/>
        <v>0.98576512455516019</v>
      </c>
      <c r="I6469" s="297">
        <f t="shared" si="895"/>
        <v>138.77277241273464</v>
      </c>
      <c r="J6469" s="297">
        <f t="shared" si="896"/>
        <v>30</v>
      </c>
      <c r="K6469" s="297">
        <f>J6469/POBLA!$B$12*100000</f>
        <v>7.6232876190185781</v>
      </c>
      <c r="L6469" s="549">
        <f t="shared" si="894"/>
        <v>0.38953488372093026</v>
      </c>
      <c r="M6469" s="401">
        <f>SUM(C6469,C6445,C6421,C6397,C6373,C6349,C6325)/POBLA!$B$12*100000</f>
        <v>53.363013333130041</v>
      </c>
    </row>
    <row r="6470" spans="1:13" s="360" customFormat="1" x14ac:dyDescent="0.25">
      <c r="A6470" s="367" t="s">
        <v>17</v>
      </c>
      <c r="B6470" s="267">
        <v>44162</v>
      </c>
      <c r="C6470" s="1">
        <v>202</v>
      </c>
      <c r="D6470" s="39">
        <f t="shared" si="885"/>
        <v>56168</v>
      </c>
      <c r="E6470" s="1">
        <v>5</v>
      </c>
      <c r="F6470" s="409">
        <f t="shared" si="892"/>
        <v>1105</v>
      </c>
      <c r="G6470" s="168">
        <f>SUM(C6470,C6446,C6422,C6398,C6374,C6350,C6326,C6302,C6278,C6254,C6230,C6206,C6182,C6158)/POBLA!$B$13*100000</f>
        <v>174.2920046745829</v>
      </c>
      <c r="H6470" s="256">
        <f t="shared" si="893"/>
        <v>0.56544417277913606</v>
      </c>
      <c r="I6470" s="297">
        <f t="shared" si="895"/>
        <v>98.552398405236843</v>
      </c>
      <c r="J6470" s="297">
        <f t="shared" si="896"/>
        <v>193.85714285714286</v>
      </c>
      <c r="K6470" s="297">
        <f>J6470/POBLA!$B$13*100000</f>
        <v>9.7399106512131528</v>
      </c>
      <c r="L6470" s="549">
        <f t="shared" si="894"/>
        <v>0.35748106060606055</v>
      </c>
      <c r="M6470" s="401">
        <f>SUM(C6470,C6446,C6422,C6398,C6374,C6350,C6326)/POBLA!$B$13*100000</f>
        <v>68.179374558492071</v>
      </c>
    </row>
    <row r="6471" spans="1:13" s="360" customFormat="1" x14ac:dyDescent="0.25">
      <c r="A6471" s="367" t="s">
        <v>23</v>
      </c>
      <c r="B6471" s="267">
        <v>44162</v>
      </c>
      <c r="C6471" s="1">
        <v>4</v>
      </c>
      <c r="D6471" s="39">
        <f t="shared" si="885"/>
        <v>486</v>
      </c>
      <c r="E6471" s="1"/>
      <c r="F6471" s="409">
        <f t="shared" si="892"/>
        <v>9</v>
      </c>
      <c r="G6471" s="168">
        <f>SUM(C6471,C6447,C6423,C6399,C6375,C6351,C6327,C6303,C6279,C6255,C6231,C6207,C6183,C6159)/POBLA!$B$14*100000</f>
        <v>9.3554714444055076</v>
      </c>
      <c r="H6471" s="256">
        <f t="shared" si="893"/>
        <v>1.2040816326530612</v>
      </c>
      <c r="I6471" s="297">
        <f t="shared" si="895"/>
        <v>11.264751331018877</v>
      </c>
      <c r="J6471" s="297">
        <f t="shared" si="896"/>
        <v>7.4285714285714288</v>
      </c>
      <c r="K6471" s="297">
        <f>J6471/POBLA!$B$14*100000</f>
        <v>0.58896430400615796</v>
      </c>
      <c r="L6471" s="549">
        <f t="shared" si="894"/>
        <v>0.21212121212121215</v>
      </c>
      <c r="M6471" s="401">
        <f>SUM(C6471,C6447,C6423,C6399,C6375,C6351,C6327)/POBLA!$B$14*100000</f>
        <v>4.1227501280431049</v>
      </c>
    </row>
    <row r="6472" spans="1:13" s="360" customFormat="1" x14ac:dyDescent="0.25">
      <c r="A6472" s="367" t="s">
        <v>19</v>
      </c>
      <c r="B6472" s="267">
        <v>44162</v>
      </c>
      <c r="C6472" s="1">
        <v>204</v>
      </c>
      <c r="D6472" s="39">
        <f t="shared" si="885"/>
        <v>31463</v>
      </c>
      <c r="E6472" s="1"/>
      <c r="F6472" s="409">
        <f t="shared" si="892"/>
        <v>613</v>
      </c>
      <c r="G6472" s="168">
        <f>SUM(C6472,C6448,C6424,C6400,C6376,C6352,C6328,C6304,C6280,C6256,C6232,C6208,C6184,C6160)/POBLA!$B$15*100000</f>
        <v>748.42972817092505</v>
      </c>
      <c r="H6472" s="256">
        <f t="shared" si="893"/>
        <v>1.0525201185938162</v>
      </c>
      <c r="I6472" s="297">
        <f t="shared" si="895"/>
        <v>787.73734625359964</v>
      </c>
      <c r="J6472" s="297">
        <f t="shared" si="896"/>
        <v>314.85714285714283</v>
      </c>
      <c r="K6472" s="297">
        <f>J6472/POBLA!$B$15*100000</f>
        <v>47.414174213530288</v>
      </c>
      <c r="L6472" s="549">
        <f t="shared" si="894"/>
        <v>0.20318148951554593</v>
      </c>
      <c r="M6472" s="401">
        <f>SUM(C6472,C6448,C6424,C6400,C6376,C6352,C6328)/POBLA!$B$15*100000</f>
        <v>331.89921949471204</v>
      </c>
    </row>
    <row r="6473" spans="1:13" s="360" customFormat="1" x14ac:dyDescent="0.25">
      <c r="A6473" s="367" t="s">
        <v>18</v>
      </c>
      <c r="B6473" s="267">
        <v>44162</v>
      </c>
      <c r="C6473" s="1">
        <v>202</v>
      </c>
      <c r="D6473" s="39">
        <f t="shared" si="885"/>
        <v>31270</v>
      </c>
      <c r="E6473" s="1">
        <v>3</v>
      </c>
      <c r="F6473" s="409">
        <f t="shared" si="892"/>
        <v>769</v>
      </c>
      <c r="G6473" s="168">
        <f>SUM(C6473,C6449,C6425,C6401,C6377,C6353,C6329,C6305,C6281,C6257,C6233,C6209,C6185,C6161)/POBLA!$B$16*100000</f>
        <v>424.68666818260863</v>
      </c>
      <c r="H6473" s="256">
        <f t="shared" si="893"/>
        <v>0.72871241680055088</v>
      </c>
      <c r="I6473" s="297">
        <f t="shared" si="895"/>
        <v>309.47444835432236</v>
      </c>
      <c r="J6473" s="297">
        <f t="shared" si="896"/>
        <v>217.71428571428572</v>
      </c>
      <c r="K6473" s="297">
        <f>J6473/POBLA!$B$16*100000</f>
        <v>29.121371532521731</v>
      </c>
      <c r="L6473" s="549">
        <f t="shared" si="894"/>
        <v>7.6923076923076872E-2</v>
      </c>
      <c r="M6473" s="401">
        <f>SUM(C6473,C6449,C6425,C6401,C6377,C6353,C6329)/POBLA!$B$16*100000</f>
        <v>203.84960072765213</v>
      </c>
    </row>
    <row r="6474" spans="1:13" s="360" customFormat="1" x14ac:dyDescent="0.25">
      <c r="A6474" s="367" t="s">
        <v>34</v>
      </c>
      <c r="B6474" s="267">
        <v>44162</v>
      </c>
      <c r="C6474" s="1">
        <v>51</v>
      </c>
      <c r="D6474" s="39">
        <f t="shared" ref="D6474:D6480" si="897">C6474+D6450</f>
        <v>21080</v>
      </c>
      <c r="E6474" s="1">
        <v>8</v>
      </c>
      <c r="F6474" s="409">
        <f t="shared" si="892"/>
        <v>974</v>
      </c>
      <c r="G6474" s="168">
        <f>SUM(C6474,C6450,C6426,C6402,C6378,C6354,C6330,C6306,C6282,C6258,C6234,C6210,C6186,C6162)/POBLA!$B$17*100000</f>
        <v>71.188018508884809</v>
      </c>
      <c r="H6474" s="256">
        <f t="shared" si="893"/>
        <v>0.69167803547066853</v>
      </c>
      <c r="I6474" s="297">
        <f t="shared" si="895"/>
        <v>49.239188791275033</v>
      </c>
      <c r="J6474" s="297">
        <f t="shared" si="896"/>
        <v>57.428571428571431</v>
      </c>
      <c r="K6474" s="297">
        <f>J6474/POBLA!$B$17*100000</f>
        <v>4.0317812680433498</v>
      </c>
      <c r="L6474" s="549">
        <f t="shared" si="894"/>
        <v>0.34313725490196079</v>
      </c>
      <c r="M6474" s="401">
        <f>SUM(C6474,C6450,C6426,C6402,C6378,C6354,C6330)/POBLA!$B$17*100000</f>
        <v>28.222468876303449</v>
      </c>
    </row>
    <row r="6475" spans="1:13" s="360" customFormat="1" x14ac:dyDescent="0.25">
      <c r="A6475" s="367" t="s">
        <v>35</v>
      </c>
      <c r="B6475" s="267">
        <v>44162</v>
      </c>
      <c r="C6475" s="1">
        <v>234</v>
      </c>
      <c r="D6475" s="39">
        <f t="shared" si="897"/>
        <v>7182</v>
      </c>
      <c r="E6475" s="1"/>
      <c r="F6475" s="409">
        <f t="shared" si="892"/>
        <v>171</v>
      </c>
      <c r="G6475" s="168">
        <f>SUM(C6475,C6451,C6427,C6403,C6379,C6355,C6331,C6307,C6283,C6259,C6235,C6211,C6187,C6163)/POBLA!$B$18*100000</f>
        <v>364.8154098029101</v>
      </c>
      <c r="H6475" s="256">
        <f t="shared" si="893"/>
        <v>1.3728323699421965</v>
      </c>
      <c r="I6475" s="297">
        <f t="shared" si="895"/>
        <v>500.83040363116271</v>
      </c>
      <c r="J6475" s="297">
        <f t="shared" si="896"/>
        <v>232.71428571428572</v>
      </c>
      <c r="K6475" s="297">
        <f>J6475/POBLA!$B$18*100000</f>
        <v>29.788686845560928</v>
      </c>
      <c r="L6475" s="549">
        <f t="shared" si="894"/>
        <v>-0.33415233415233425</v>
      </c>
      <c r="M6475" s="401">
        <f>SUM(C6475,C6451,C6427,C6403,C6379,C6355,C6331)/POBLA!$B$18*100000</f>
        <v>208.52080791892649</v>
      </c>
    </row>
    <row r="6476" spans="1:13" s="360" customFormat="1" x14ac:dyDescent="0.25">
      <c r="A6476" s="367" t="s">
        <v>36</v>
      </c>
      <c r="B6476" s="267">
        <v>44162</v>
      </c>
      <c r="C6476" s="1">
        <v>114</v>
      </c>
      <c r="D6476" s="39">
        <f t="shared" si="897"/>
        <v>13942</v>
      </c>
      <c r="E6476" s="1">
        <v>4</v>
      </c>
      <c r="F6476" s="409">
        <f t="shared" si="892"/>
        <v>207</v>
      </c>
      <c r="G6476" s="168">
        <f>SUM(C6476,C6452,C6428,C6404,C6380,C6356,C6332,C6308,C6284,C6260,C6236,C6212,C6188,C6164)/POBLA!$B$19*100000</f>
        <v>579.74378747580306</v>
      </c>
      <c r="H6476" s="256">
        <f t="shared" si="893"/>
        <v>0.70485529777565181</v>
      </c>
      <c r="I6476" s="297">
        <f t="shared" si="895"/>
        <v>408.63547995484134</v>
      </c>
      <c r="J6476" s="297">
        <f t="shared" si="896"/>
        <v>165</v>
      </c>
      <c r="K6476" s="297">
        <f>J6476/POBLA!$B$19*100000</f>
        <v>32.459356950630301</v>
      </c>
      <c r="L6476" s="549">
        <f t="shared" si="894"/>
        <v>0.35546875</v>
      </c>
      <c r="M6476" s="401">
        <f>SUM(C6476,C6452,C6428,C6404,C6380,C6356,C6332)/POBLA!$B$19*100000</f>
        <v>227.21549865441213</v>
      </c>
    </row>
    <row r="6477" spans="1:13" s="360" customFormat="1" x14ac:dyDescent="0.25">
      <c r="A6477" s="367" t="s">
        <v>37</v>
      </c>
      <c r="B6477" s="267">
        <v>44162</v>
      </c>
      <c r="C6477" s="1">
        <v>293</v>
      </c>
      <c r="D6477" s="39">
        <f t="shared" si="897"/>
        <v>15373</v>
      </c>
      <c r="E6477" s="1">
        <v>6</v>
      </c>
      <c r="F6477" s="409">
        <f t="shared" si="892"/>
        <v>267</v>
      </c>
      <c r="G6477" s="168">
        <f>SUM(C6477,C6453,C6429,C6405,C6381,C6357,C6333,C6309,C6285,C6261,C6237,C6213,C6189,C6165)/POBLA!$B$20*100000</f>
        <v>837.8498104993738</v>
      </c>
      <c r="H6477" s="256">
        <f t="shared" si="893"/>
        <v>1.0351351351351352</v>
      </c>
      <c r="I6477" s="297">
        <f t="shared" si="895"/>
        <v>867.28777681421673</v>
      </c>
      <c r="J6477" s="297">
        <f t="shared" si="896"/>
        <v>218</v>
      </c>
      <c r="K6477" s="297">
        <f>J6477/POBLA!$B$20*100000</f>
        <v>59.612029598193047</v>
      </c>
      <c r="L6477" s="549">
        <f t="shared" si="894"/>
        <v>7.8023407022106417E-3</v>
      </c>
      <c r="M6477" s="401">
        <f>SUM(C6477,C6453,C6429,C6405,C6381,C6357,C6333)/POBLA!$B$20*100000</f>
        <v>417.28420718735129</v>
      </c>
    </row>
    <row r="6478" spans="1:13" s="360" customFormat="1" x14ac:dyDescent="0.25">
      <c r="A6478" s="367" t="s">
        <v>22</v>
      </c>
      <c r="B6478" s="267">
        <v>44162</v>
      </c>
      <c r="C6478" s="1">
        <v>1390</v>
      </c>
      <c r="D6478" s="39">
        <f t="shared" si="897"/>
        <v>144431</v>
      </c>
      <c r="E6478" s="1">
        <v>22</v>
      </c>
      <c r="F6478" s="409">
        <f t="shared" si="892"/>
        <v>2207</v>
      </c>
      <c r="G6478" s="168">
        <f>SUM(C6478,C6454,C6430,C6406,C6382,C6358,C6334,C6310,C6286,C6262,C6238,C6214,C6190,C6166)/POBLA!$B$21*100000</f>
        <v>518.09486322035457</v>
      </c>
      <c r="H6478" s="256">
        <f t="shared" si="893"/>
        <v>0.85301922808324415</v>
      </c>
      <c r="I6478" s="297">
        <f t="shared" si="895"/>
        <v>441.94488029812084</v>
      </c>
      <c r="J6478" s="297">
        <f t="shared" si="896"/>
        <v>1203.1428571428571</v>
      </c>
      <c r="K6478" s="297">
        <f>J6478/POBLA!$B$21*100000</f>
        <v>34.021511516536137</v>
      </c>
      <c r="L6478" s="549">
        <f t="shared" si="894"/>
        <v>0.14929292929292926</v>
      </c>
      <c r="M6478" s="401">
        <f>SUM(C6478,C6454,C6430,C6406,C6382,C6358,C6334)/POBLA!$B$21*100000</f>
        <v>238.150580615753</v>
      </c>
    </row>
    <row r="6479" spans="1:13" s="360" customFormat="1" x14ac:dyDescent="0.25">
      <c r="A6479" s="367" t="s">
        <v>38</v>
      </c>
      <c r="B6479" s="267">
        <v>44162</v>
      </c>
      <c r="C6479" s="1">
        <v>158</v>
      </c>
      <c r="D6479" s="39">
        <f t="shared" si="897"/>
        <v>15298</v>
      </c>
      <c r="E6479" s="1">
        <v>1</v>
      </c>
      <c r="F6479" s="409">
        <f t="shared" si="892"/>
        <v>188</v>
      </c>
      <c r="G6479" s="168">
        <f>SUM(C6479,C6455,C6431,C6407,C6383,C6359,C6335,C6311,C6287,C6263,C6239,C6215,C6191,C6167)/POBLA!$B$22*100000</f>
        <v>275.3719923991606</v>
      </c>
      <c r="H6479" s="256">
        <f t="shared" si="893"/>
        <v>0.89028420356906812</v>
      </c>
      <c r="I6479" s="297">
        <f t="shared" si="895"/>
        <v>245.15933493831417</v>
      </c>
      <c r="J6479" s="297">
        <f t="shared" si="896"/>
        <v>162.14285714285714</v>
      </c>
      <c r="K6479" s="297">
        <f>J6479/POBLA!$B$22*100000</f>
        <v>16.57371997948071</v>
      </c>
      <c r="L6479" s="549">
        <f t="shared" si="894"/>
        <v>0.27196921103271332</v>
      </c>
      <c r="M6479" s="401">
        <f>SUM(C6479,C6455,C6431,C6407,C6383,C6359,C6335)/POBLA!$B$22*100000</f>
        <v>116.01603985636498</v>
      </c>
    </row>
    <row r="6480" spans="1:13" s="360" customFormat="1" x14ac:dyDescent="0.25">
      <c r="A6480" s="367" t="s">
        <v>39</v>
      </c>
      <c r="B6480" s="267">
        <v>44162</v>
      </c>
      <c r="C6480" s="1">
        <v>86</v>
      </c>
      <c r="D6480" s="39">
        <f t="shared" si="897"/>
        <v>15940</v>
      </c>
      <c r="E6480" s="1">
        <v>1</v>
      </c>
      <c r="F6480" s="409">
        <f t="shared" si="892"/>
        <v>230</v>
      </c>
      <c r="G6480" s="168">
        <f>SUM(C6480,C6456,C6432,C6408,C6384,C6360,C6336,C6312,C6288,C6264,C6240,C6216,C6192,C6168)/POBLA!$B$23*100000</f>
        <v>1067.6921336877226</v>
      </c>
      <c r="H6480" s="256">
        <f t="shared" si="893"/>
        <v>0.65898778359511345</v>
      </c>
      <c r="I6480" s="297">
        <f t="shared" si="895"/>
        <v>703.59607274080986</v>
      </c>
      <c r="J6480" s="297">
        <f t="shared" si="896"/>
        <v>139.28571428571428</v>
      </c>
      <c r="K6480" s="297">
        <f>J6480/POBLA!$B$23*100000</f>
        <v>78.768146969244071</v>
      </c>
      <c r="L6480" s="549">
        <f t="shared" si="894"/>
        <v>-6.790799561883909E-2</v>
      </c>
      <c r="M6480" s="401">
        <f>SUM(C6480,C6456,C6432,C6408,C6384,C6360,C6336)/POBLA!$B$23*100000</f>
        <v>551.3770287847085</v>
      </c>
    </row>
    <row r="6481" spans="1:13" s="360" customFormat="1" ht="15.75" thickBot="1" x14ac:dyDescent="0.3">
      <c r="A6481" s="369" t="s">
        <v>40</v>
      </c>
      <c r="B6481" s="269">
        <v>44162</v>
      </c>
      <c r="C6481" s="44">
        <v>398</v>
      </c>
      <c r="D6481" s="176">
        <f>C6481+D6457</f>
        <v>65190</v>
      </c>
      <c r="E6481" s="44">
        <v>25</v>
      </c>
      <c r="F6481" s="476">
        <f t="shared" si="892"/>
        <v>1166</v>
      </c>
      <c r="G6481" s="177">
        <f>SUM(C6481,C6457,C6433,C6409,C6385,C6361,C6337,C6313,C6289,C6265,C6241,C6217,C6193,C6169)/POBLA!$B$24*100000</f>
        <v>353.28703878545264</v>
      </c>
      <c r="H6481" s="402">
        <f t="shared" si="893"/>
        <v>0.57517532904217505</v>
      </c>
      <c r="I6481" s="403">
        <f t="shared" si="895"/>
        <v>203.20198877975838</v>
      </c>
      <c r="J6481" s="403">
        <f t="shared" si="896"/>
        <v>330.14285714285717</v>
      </c>
      <c r="K6481" s="403">
        <f>J6481/POBLA!$B$24*100000</f>
        <v>19.481408447664727</v>
      </c>
      <c r="L6481" s="550">
        <f t="shared" si="894"/>
        <v>0.37132752992383022</v>
      </c>
      <c r="M6481" s="405">
        <f>SUM(C6481,C6457,C6433,C6409,C6385,C6361,C6337)/POBLA!$B$24*100000</f>
        <v>136.36985913365308</v>
      </c>
    </row>
    <row r="6482" spans="1:13" s="360" customFormat="1" ht="15.75" thickBot="1" x14ac:dyDescent="0.3">
      <c r="A6482" s="363" t="s">
        <v>16</v>
      </c>
      <c r="B6482" s="269">
        <v>44163</v>
      </c>
      <c r="C6482" s="225">
        <v>1531</v>
      </c>
      <c r="D6482" s="174">
        <f t="shared" ref="D6482:D6545" si="898">C6482+D6458</f>
        <v>616403</v>
      </c>
      <c r="E6482" s="225">
        <v>61</v>
      </c>
      <c r="F6482" s="475">
        <f t="shared" si="892"/>
        <v>20494</v>
      </c>
      <c r="G6482" s="175">
        <f>SUM(C6482,C6458,C6434,C6410,C6386,C6362,C6338,C6314,C6290,C6266,C6242,C6218,C6194,C6170)/POBLA!$B$1*100000</f>
        <v>163.01676156642262</v>
      </c>
      <c r="H6482" s="300">
        <f t="shared" si="893"/>
        <v>0.74382852534921828</v>
      </c>
      <c r="I6482" s="301">
        <f>G6482*H6482</f>
        <v>121.25651736315726</v>
      </c>
      <c r="J6482" s="301">
        <f>AVERAGE(C6482,C6458,C6434,C6410,C6386,C6362,C6338)</f>
        <v>1769.5714285714287</v>
      </c>
      <c r="K6482" s="301">
        <f>J6482/POBLA!$B$1*100000</f>
        <v>10.088120428263069</v>
      </c>
      <c r="L6482" s="548">
        <f t="shared" si="894"/>
        <v>0.23574777887462983</v>
      </c>
      <c r="M6482" s="400">
        <f>SUM(C6482,C6458,C6434,C6410,C6386,C6362,C6338)/POBLA!$B$1*100000</f>
        <v>70.616842997841474</v>
      </c>
    </row>
    <row r="6483" spans="1:13" s="360" customFormat="1" ht="15.75" thickBot="1" x14ac:dyDescent="0.3">
      <c r="A6483" s="367" t="s">
        <v>43</v>
      </c>
      <c r="B6483" s="269">
        <v>44163</v>
      </c>
      <c r="C6483" s="1">
        <v>282</v>
      </c>
      <c r="D6483" s="39">
        <f t="shared" si="898"/>
        <v>158267</v>
      </c>
      <c r="E6483" s="1">
        <v>8</v>
      </c>
      <c r="F6483" s="409">
        <f t="shared" si="892"/>
        <v>5216</v>
      </c>
      <c r="G6483" s="168">
        <f>SUM(C6483,C6459,C6435,C6411,C6387,C6363,C6339,C6315,C6291,C6267,C6243,C6219,C6195,C6171)/POBLA!$B$2*100000</f>
        <v>155.38199129548721</v>
      </c>
      <c r="H6483" s="256">
        <f t="shared" si="893"/>
        <v>0.76013997136949263</v>
      </c>
      <c r="I6483" s="297">
        <f t="shared" ref="I6483:I6505" si="899">G6483*H6483</f>
        <v>118.11206241468641</v>
      </c>
      <c r="J6483" s="297">
        <f t="shared" ref="J6483:J6505" si="900">AVERAGE(C6483,C6459,C6435,C6411,C6387,C6363,C6339)</f>
        <v>292.57142857142856</v>
      </c>
      <c r="K6483" s="297">
        <f>J6483/POBLA!$B$2*100000</f>
        <v>9.5125195998313394</v>
      </c>
      <c r="L6483" s="549">
        <f t="shared" si="894"/>
        <v>0.25009154155986824</v>
      </c>
      <c r="M6483" s="401">
        <f>SUM(C6483,C6459,C6435,C6411,C6387,C6363,C6339)/POBLA!$B$2*100000</f>
        <v>66.58763719881938</v>
      </c>
    </row>
    <row r="6484" spans="1:13" s="360" customFormat="1" ht="15.75" thickBot="1" x14ac:dyDescent="0.3">
      <c r="A6484" s="367" t="s">
        <v>28</v>
      </c>
      <c r="B6484" s="269">
        <v>44163</v>
      </c>
      <c r="C6484" s="1">
        <v>31</v>
      </c>
      <c r="D6484" s="39">
        <f t="shared" si="898"/>
        <v>1813</v>
      </c>
      <c r="E6484" s="1"/>
      <c r="F6484" s="409">
        <f t="shared" si="892"/>
        <v>15</v>
      </c>
      <c r="G6484" s="168">
        <f>SUM(C6484,C6460,C6436,C6412,C6388,C6364,C6340,C6316,C6292,C6268,C6244,C6220,C6196,C6172)/POBLA!$B$3*100000</f>
        <v>94.358243588694336</v>
      </c>
      <c r="H6484" s="256">
        <f t="shared" si="893"/>
        <v>0.7466666666666667</v>
      </c>
      <c r="I6484" s="297">
        <f t="shared" si="899"/>
        <v>70.454155212891777</v>
      </c>
      <c r="J6484" s="297">
        <f t="shared" si="900"/>
        <v>20.285714285714285</v>
      </c>
      <c r="K6484" s="297">
        <f>J6484/POBLA!$B$3*100000</f>
        <v>4.8829703314849109</v>
      </c>
      <c r="L6484" s="549">
        <f t="shared" si="894"/>
        <v>0.43200000000000005</v>
      </c>
      <c r="M6484" s="401">
        <f>SUM(C6484,C6460,C6436,C6412,C6388,C6364,C6340)/POBLA!$B$3*100000</f>
        <v>34.180792320394382</v>
      </c>
    </row>
    <row r="6485" spans="1:13" s="360" customFormat="1" ht="15.75" thickBot="1" x14ac:dyDescent="0.3">
      <c r="A6485" s="367" t="s">
        <v>15</v>
      </c>
      <c r="B6485" s="269">
        <v>44163</v>
      </c>
      <c r="C6485" s="1">
        <v>202</v>
      </c>
      <c r="D6485" s="39">
        <f t="shared" si="898"/>
        <v>18958</v>
      </c>
      <c r="E6485" s="1">
        <v>5</v>
      </c>
      <c r="F6485" s="409">
        <f t="shared" si="892"/>
        <v>553</v>
      </c>
      <c r="G6485" s="168">
        <f>SUM(C6485,C6461,C6437,C6413,C6389,C6365,C6341,C6317,C6293,C6269,C6245,C6221,C6197,C6173)/POBLA!$B$4*100000</f>
        <v>229.96311458057468</v>
      </c>
      <c r="H6485" s="256">
        <f t="shared" si="893"/>
        <v>1.2956033676333021</v>
      </c>
      <c r="I6485" s="297">
        <f t="shared" si="899"/>
        <v>297.94098568203549</v>
      </c>
      <c r="J6485" s="297">
        <f t="shared" si="900"/>
        <v>185.57142857142858</v>
      </c>
      <c r="K6485" s="297">
        <f>J6485/POBLA!$B$4*100000</f>
        <v>15.405986892221069</v>
      </c>
      <c r="L6485" s="549">
        <f t="shared" si="894"/>
        <v>0.11692726036709722</v>
      </c>
      <c r="M6485" s="401">
        <f>SUM(C6485,C6461,C6437,C6413,C6389,C6365,C6341)/POBLA!$B$4*100000</f>
        <v>107.84190824554747</v>
      </c>
    </row>
    <row r="6486" spans="1:13" s="360" customFormat="1" ht="15.75" thickBot="1" x14ac:dyDescent="0.3">
      <c r="A6486" s="367" t="s">
        <v>29</v>
      </c>
      <c r="B6486" s="269">
        <v>44163</v>
      </c>
      <c r="C6486" s="1">
        <v>230</v>
      </c>
      <c r="D6486" s="39">
        <f t="shared" si="898"/>
        <v>22517</v>
      </c>
      <c r="E6486" s="1">
        <v>2</v>
      </c>
      <c r="F6486" s="409">
        <f t="shared" si="892"/>
        <v>373</v>
      </c>
      <c r="G6486" s="168">
        <f>SUM(C6486,C6462,C6438,C6414,C6390,C6366,C6342,C6318,C6294,C6270,C6246,C6222,C6198,C6174)/POBLA!$B$5*100000</f>
        <v>563.01030381554585</v>
      </c>
      <c r="H6486" s="256">
        <f t="shared" si="893"/>
        <v>0.74946236559139789</v>
      </c>
      <c r="I6486" s="297">
        <f t="shared" si="899"/>
        <v>421.95503414993061</v>
      </c>
      <c r="J6486" s="297">
        <f t="shared" si="900"/>
        <v>213.71428571428572</v>
      </c>
      <c r="K6486" s="297">
        <f>J6486/POBLA!$B$5*100000</f>
        <v>34.526067411685048</v>
      </c>
      <c r="L6486" s="549">
        <f t="shared" si="894"/>
        <v>0.24786324786324787</v>
      </c>
      <c r="M6486" s="401">
        <f>SUM(C6486,C6462,C6438,C6414,C6390,C6366,C6342)/POBLA!$B$5*100000</f>
        <v>241.68247188179527</v>
      </c>
    </row>
    <row r="6487" spans="1:13" s="360" customFormat="1" ht="15.75" thickBot="1" x14ac:dyDescent="0.3">
      <c r="A6487" s="367" t="s">
        <v>20</v>
      </c>
      <c r="B6487" s="269">
        <v>44163</v>
      </c>
      <c r="C6487" s="1">
        <v>711</v>
      </c>
      <c r="D6487" s="39">
        <f t="shared" si="898"/>
        <v>113430</v>
      </c>
      <c r="E6487" s="1">
        <v>10</v>
      </c>
      <c r="F6487" s="409">
        <f t="shared" si="892"/>
        <v>1929</v>
      </c>
      <c r="G6487" s="168">
        <f>SUM(C6487,C6463,C6439,C6415,C6391,C6367,C6343,C6319,C6295,C6271,C6247,C6223,C6199,C6175)/POBLA!$B$6*100000</f>
        <v>1052.8184753582482</v>
      </c>
      <c r="H6487" s="256">
        <f t="shared" si="893"/>
        <v>0.72772124576009867</v>
      </c>
      <c r="I6487" s="297">
        <f t="shared" si="899"/>
        <v>766.15837244695206</v>
      </c>
      <c r="J6487" s="297">
        <f t="shared" si="900"/>
        <v>665.14285714285711</v>
      </c>
      <c r="K6487" s="297">
        <f>J6487/POBLA!$B$6*100000</f>
        <v>59.345312606150173</v>
      </c>
      <c r="L6487" s="549">
        <f t="shared" si="894"/>
        <v>0.34826427771556556</v>
      </c>
      <c r="M6487" s="401">
        <f>SUM(C6487,C6463,C6439,C6415,C6391,C6367,C6343)/POBLA!$B$6*100000</f>
        <v>415.41718824305116</v>
      </c>
    </row>
    <row r="6488" spans="1:13" s="360" customFormat="1" ht="15.75" thickBot="1" x14ac:dyDescent="0.3">
      <c r="A6488" s="367" t="s">
        <v>30</v>
      </c>
      <c r="B6488" s="269">
        <v>44163</v>
      </c>
      <c r="C6488" s="1">
        <v>231</v>
      </c>
      <c r="D6488" s="39">
        <f t="shared" si="898"/>
        <v>5673</v>
      </c>
      <c r="E6488" s="1"/>
      <c r="F6488" s="409">
        <f t="shared" si="892"/>
        <v>86</v>
      </c>
      <c r="G6488" s="168">
        <f>SUM(C6488,C6464,C6440,C6416,C6392,C6368,C6344,C6320,C6296,C6272,C6248,C6224,C6200,C6176)/POBLA!$B$7*100000</f>
        <v>54.514752223803001</v>
      </c>
      <c r="H6488" s="256">
        <f t="shared" si="893"/>
        <v>1.9087523277467411</v>
      </c>
      <c r="I6488" s="297">
        <f t="shared" si="899"/>
        <v>104.0551602037208</v>
      </c>
      <c r="J6488" s="297">
        <f t="shared" si="900"/>
        <v>129.14285714285714</v>
      </c>
      <c r="K6488" s="297">
        <f>J6488/POBLA!$B$7*100000</f>
        <v>3.434239443227729</v>
      </c>
      <c r="L6488" s="549">
        <f t="shared" si="894"/>
        <v>0.21116928446771377</v>
      </c>
      <c r="M6488" s="401">
        <f>SUM(C6488,C6464,C6440,C6416,C6392,C6368,C6344)/POBLA!$B$7*100000</f>
        <v>24.039676102594104</v>
      </c>
    </row>
    <row r="6489" spans="1:13" ht="15.75" thickBot="1" x14ac:dyDescent="0.3">
      <c r="A6489" s="367" t="s">
        <v>31</v>
      </c>
      <c r="B6489" s="269">
        <v>44163</v>
      </c>
      <c r="C6489" s="1">
        <v>222</v>
      </c>
      <c r="D6489" s="39">
        <f t="shared" si="898"/>
        <v>23075</v>
      </c>
      <c r="F6489" s="409">
        <f t="shared" si="892"/>
        <v>464</v>
      </c>
      <c r="G6489" s="168">
        <f>SUM(C6489,C6465,C6441,C6417,C6393,C6369,C6345,C6321,C6297,C6273,C6249,C6225,C6201,C6177)/POBLA!$B$8*100000</f>
        <v>231.53609661455118</v>
      </c>
      <c r="H6489" s="256">
        <f t="shared" si="893"/>
        <v>0.82941328508658563</v>
      </c>
      <c r="I6489" s="297">
        <f t="shared" si="899"/>
        <v>192.03911450919998</v>
      </c>
      <c r="J6489" s="297">
        <f t="shared" si="900"/>
        <v>193.85714285714286</v>
      </c>
      <c r="K6489" s="297">
        <f>J6489/POBLA!$B$8*100000</f>
        <v>13.987200423182388</v>
      </c>
      <c r="L6489" s="549">
        <f t="shared" si="894"/>
        <v>0.26727861771058314</v>
      </c>
      <c r="M6489" s="401">
        <f>SUM(C6489,C6465,C6441,C6417,C6393,C6369,C6345)/POBLA!$B$8*100000</f>
        <v>97.910402962276706</v>
      </c>
    </row>
    <row r="6490" spans="1:13" s="360" customFormat="1" ht="15.75" thickBot="1" x14ac:dyDescent="0.3">
      <c r="A6490" s="367" t="s">
        <v>41</v>
      </c>
      <c r="B6490" s="269">
        <v>44163</v>
      </c>
      <c r="C6490" s="1">
        <v>3</v>
      </c>
      <c r="D6490" s="39">
        <f t="shared" si="898"/>
        <v>182</v>
      </c>
      <c r="E6490" s="1"/>
      <c r="F6490" s="409">
        <f t="shared" si="892"/>
        <v>3</v>
      </c>
      <c r="G6490" s="168">
        <f>SUM(C6490,C6466,C6442,C6418,C6394,C6370,C6346,C6322,C6298,C6274,C6250,C6226,C6202,C6178)/POBLA!$B$9*100000</f>
        <v>2.3133116212514024</v>
      </c>
      <c r="H6490" s="256">
        <f t="shared" si="893"/>
        <v>0.93333333333333335</v>
      </c>
      <c r="I6490" s="297">
        <f t="shared" si="899"/>
        <v>2.159090846501309</v>
      </c>
      <c r="J6490" s="297">
        <f t="shared" si="900"/>
        <v>0.42857142857142855</v>
      </c>
      <c r="K6490" s="297">
        <f>J6490/POBLA!$B$9*100000</f>
        <v>7.0815661875042929E-2</v>
      </c>
      <c r="L6490" s="549">
        <f t="shared" si="894"/>
        <v>0.72727272727272729</v>
      </c>
      <c r="M6490" s="401">
        <f>SUM(C6490,C6466,C6442,C6418,C6394,C6370,C6346)/POBLA!$B$9*100000</f>
        <v>0.49570963312530053</v>
      </c>
    </row>
    <row r="6491" spans="1:13" s="360" customFormat="1" ht="15.75" thickBot="1" x14ac:dyDescent="0.3">
      <c r="A6491" s="367" t="s">
        <v>32</v>
      </c>
      <c r="B6491" s="269">
        <v>44163</v>
      </c>
      <c r="C6491" s="1">
        <v>8</v>
      </c>
      <c r="D6491" s="39">
        <f t="shared" si="898"/>
        <v>18368</v>
      </c>
      <c r="E6491" s="1"/>
      <c r="F6491" s="409">
        <f t="shared" si="892"/>
        <v>848</v>
      </c>
      <c r="G6491" s="168">
        <f>SUM(C6491,C6467,C6443,C6419,C6395,C6371,C6347,C6323,C6299,C6275,C6251,C6227,C6203,C6179)/POBLA!$B$10*100000</f>
        <v>28.668497472372518</v>
      </c>
      <c r="H6491" s="256">
        <f t="shared" si="893"/>
        <v>0.75945017182130581</v>
      </c>
      <c r="I6491" s="297">
        <f t="shared" si="899"/>
        <v>21.772295331251982</v>
      </c>
      <c r="J6491" s="297">
        <f t="shared" si="900"/>
        <v>11.857142857142858</v>
      </c>
      <c r="K6491" s="297">
        <f>J6491/POBLA!$B$10*100000</f>
        <v>1.5381288236631669</v>
      </c>
      <c r="L6491" s="549">
        <f t="shared" si="894"/>
        <v>0.39855072463768115</v>
      </c>
      <c r="M6491" s="401">
        <f>SUM(C6491,C6467,C6443,C6419,C6395,C6371,C6347)/POBLA!$B$10*100000</f>
        <v>10.766901765642169</v>
      </c>
    </row>
    <row r="6492" spans="1:13" s="360" customFormat="1" ht="15.75" thickBot="1" x14ac:dyDescent="0.3">
      <c r="A6492" s="367" t="s">
        <v>33</v>
      </c>
      <c r="B6492" s="269">
        <v>44163</v>
      </c>
      <c r="C6492" s="1">
        <v>60</v>
      </c>
      <c r="D6492" s="39">
        <f t="shared" si="898"/>
        <v>5649</v>
      </c>
      <c r="E6492" s="1"/>
      <c r="F6492" s="409">
        <f t="shared" si="892"/>
        <v>75</v>
      </c>
      <c r="G6492" s="168">
        <f>SUM(C6492,C6468,C6444,C6420,C6396,C6372,C6348,C6324,C6300,C6276,C6252,C6228,C6204,C6180)/POBLA!$B$11*100000</f>
        <v>280.67003693907839</v>
      </c>
      <c r="H6492" s="256">
        <f t="shared" si="893"/>
        <v>0.73753665689149561</v>
      </c>
      <c r="I6492" s="297">
        <f t="shared" si="899"/>
        <v>207.00444073366046</v>
      </c>
      <c r="J6492" s="297">
        <f t="shared" si="900"/>
        <v>76</v>
      </c>
      <c r="K6492" s="297">
        <f>J6492/POBLA!$B$11*100000</f>
        <v>21.203700603747475</v>
      </c>
      <c r="L6492" s="549">
        <f t="shared" si="894"/>
        <v>-0.1223628691983123</v>
      </c>
      <c r="M6492" s="401">
        <f>SUM(C6492,C6468,C6444,C6420,C6396,C6372,C6348)/POBLA!$B$11*100000</f>
        <v>148.42590422623235</v>
      </c>
    </row>
    <row r="6493" spans="1:13" s="360" customFormat="1" ht="15.75" thickBot="1" x14ac:dyDescent="0.3">
      <c r="A6493" s="367" t="s">
        <v>21</v>
      </c>
      <c r="B6493" s="269">
        <v>44163</v>
      </c>
      <c r="C6493" s="1">
        <v>38</v>
      </c>
      <c r="D6493" s="39">
        <f t="shared" si="898"/>
        <v>8668</v>
      </c>
      <c r="E6493" s="1"/>
      <c r="F6493" s="409">
        <f t="shared" si="892"/>
        <v>316</v>
      </c>
      <c r="G6493" s="168">
        <f>SUM(C6493,C6469,C6445,C6421,C6397,C6373,C6349,C6325,C6301,C6277,C6253,C6229,C6205,C6181)/POBLA!$B$12*100000</f>
        <v>130.10410869791707</v>
      </c>
      <c r="H6493" s="256">
        <f t="shared" si="893"/>
        <v>0.87223168654173766</v>
      </c>
      <c r="I6493" s="297">
        <f t="shared" si="899"/>
        <v>113.48092615559376</v>
      </c>
      <c r="J6493" s="297">
        <f t="shared" si="900"/>
        <v>26.428571428571427</v>
      </c>
      <c r="K6493" s="297">
        <f>J6493/POBLA!$B$12*100000</f>
        <v>6.7157533786592234</v>
      </c>
      <c r="L6493" s="549">
        <f t="shared" si="894"/>
        <v>0.43425076452599387</v>
      </c>
      <c r="M6493" s="401">
        <f>SUM(C6493,C6469,C6445,C6421,C6397,C6373,C6349)/POBLA!$B$12*100000</f>
        <v>47.010273650614565</v>
      </c>
    </row>
    <row r="6494" spans="1:13" s="360" customFormat="1" ht="15.75" thickBot="1" x14ac:dyDescent="0.3">
      <c r="A6494" s="367" t="s">
        <v>17</v>
      </c>
      <c r="B6494" s="269">
        <v>44163</v>
      </c>
      <c r="C6494" s="1">
        <v>180</v>
      </c>
      <c r="D6494" s="39">
        <f t="shared" si="898"/>
        <v>56348</v>
      </c>
      <c r="E6494" s="1">
        <v>1</v>
      </c>
      <c r="F6494" s="409">
        <f t="shared" si="892"/>
        <v>1106</v>
      </c>
      <c r="G6494" s="168">
        <f>SUM(C6494,C6470,C6446,C6422,C6398,C6374,C6350,C6326,C6302,C6278,C6254,C6230,C6206,C6182)/POBLA!$B$13*100000</f>
        <v>168.56433429899846</v>
      </c>
      <c r="H6494" s="256">
        <f t="shared" si="893"/>
        <v>0.56672297297297303</v>
      </c>
      <c r="I6494" s="297">
        <f t="shared" si="899"/>
        <v>95.529280671138494</v>
      </c>
      <c r="J6494" s="297">
        <f t="shared" si="900"/>
        <v>187.28571428571428</v>
      </c>
      <c r="K6494" s="297">
        <f>J6494/POBLA!$B$13*100000</f>
        <v>9.4097441884601647</v>
      </c>
      <c r="L6494" s="549">
        <f t="shared" si="894"/>
        <v>0.35861056751467713</v>
      </c>
      <c r="M6494" s="401">
        <f>SUM(C6494,C6470,C6446,C6422,C6398,C6374,C6350)/POBLA!$B$13*100000</f>
        <v>65.868209319221165</v>
      </c>
    </row>
    <row r="6495" spans="1:13" s="360" customFormat="1" ht="15.75" thickBot="1" x14ac:dyDescent="0.3">
      <c r="A6495" s="367" t="s">
        <v>23</v>
      </c>
      <c r="B6495" s="269">
        <v>44163</v>
      </c>
      <c r="C6495" s="1">
        <v>7</v>
      </c>
      <c r="D6495" s="39">
        <f t="shared" si="898"/>
        <v>493</v>
      </c>
      <c r="E6495" s="1"/>
      <c r="F6495" s="409">
        <f t="shared" si="892"/>
        <v>9</v>
      </c>
      <c r="G6495" s="168">
        <f>SUM(C6495,C6471,C6447,C6423,C6399,C6375,C6351,C6327,C6303,C6279,C6255,C6231,C6207,C6183)/POBLA!$B$14*100000</f>
        <v>9.5933224133310713</v>
      </c>
      <c r="H6495" s="256">
        <f t="shared" si="893"/>
        <v>1.0900900900900901</v>
      </c>
      <c r="I6495" s="297">
        <f t="shared" si="899"/>
        <v>10.457585693811348</v>
      </c>
      <c r="J6495" s="297">
        <f t="shared" si="900"/>
        <v>8.2857142857142865</v>
      </c>
      <c r="K6495" s="297">
        <f>J6495/POBLA!$B$14*100000</f>
        <v>0.65692172369917612</v>
      </c>
      <c r="L6495" s="549">
        <f t="shared" si="894"/>
        <v>7.9365079365079416E-2</v>
      </c>
      <c r="M6495" s="401">
        <f>SUM(C6495,C6471,C6447,C6423,C6399,C6375,C6351)/POBLA!$B$14*100000</f>
        <v>4.5984520658942323</v>
      </c>
    </row>
    <row r="6496" spans="1:13" s="360" customFormat="1" ht="15.75" thickBot="1" x14ac:dyDescent="0.3">
      <c r="A6496" s="367" t="s">
        <v>19</v>
      </c>
      <c r="B6496" s="269">
        <v>44163</v>
      </c>
      <c r="C6496" s="1">
        <v>255</v>
      </c>
      <c r="D6496" s="39">
        <f t="shared" si="898"/>
        <v>31718</v>
      </c>
      <c r="E6496" s="1">
        <v>1</v>
      </c>
      <c r="F6496" s="409">
        <f t="shared" si="892"/>
        <v>614</v>
      </c>
      <c r="G6496" s="168">
        <f>SUM(C6496,C6472,C6448,C6424,C6400,C6376,C6352,C6328,C6304,C6280,C6256,C6232,C6208,C6184)/POBLA!$B$15*100000</f>
        <v>759.57334987809782</v>
      </c>
      <c r="H6496" s="256">
        <f t="shared" si="893"/>
        <v>1.1370604147880974</v>
      </c>
      <c r="I6496" s="297">
        <f t="shared" si="899"/>
        <v>863.68078827437455</v>
      </c>
      <c r="J6496" s="297">
        <f t="shared" si="900"/>
        <v>317.71428571428572</v>
      </c>
      <c r="K6496" s="297">
        <f>J6496/POBLA!$B$15*100000</f>
        <v>47.844429877899898</v>
      </c>
      <c r="L6496" s="549">
        <f t="shared" si="894"/>
        <v>0.21134751773049643</v>
      </c>
      <c r="M6496" s="401">
        <f>SUM(C6496,C6472,C6448,C6424,C6400,C6376,C6352)/POBLA!$B$15*100000</f>
        <v>334.91100914529932</v>
      </c>
    </row>
    <row r="6497" spans="1:13" s="360" customFormat="1" ht="15.75" thickBot="1" x14ac:dyDescent="0.3">
      <c r="A6497" s="367" t="s">
        <v>18</v>
      </c>
      <c r="B6497" s="269">
        <v>44163</v>
      </c>
      <c r="C6497" s="1">
        <v>143</v>
      </c>
      <c r="D6497" s="39">
        <f t="shared" si="898"/>
        <v>31413</v>
      </c>
      <c r="E6497" s="1">
        <v>4</v>
      </c>
      <c r="F6497" s="409">
        <f t="shared" si="892"/>
        <v>773</v>
      </c>
      <c r="G6497" s="168">
        <f>SUM(C6497,C6473,C6449,C6425,C6401,C6377,C6353,C6329,C6305,C6281,C6257,C6233,C6209,C6185)/POBLA!$B$16*100000</f>
        <v>414.7884592233919</v>
      </c>
      <c r="H6497" s="256">
        <f t="shared" si="893"/>
        <v>0.71799027552674233</v>
      </c>
      <c r="I6497" s="297">
        <f t="shared" si="899"/>
        <v>297.81408012311607</v>
      </c>
      <c r="J6497" s="297">
        <f t="shared" si="900"/>
        <v>214</v>
      </c>
      <c r="K6497" s="297">
        <f>J6497/POBLA!$B$16*100000</f>
        <v>28.624550233410467</v>
      </c>
      <c r="L6497" s="549">
        <f t="shared" si="894"/>
        <v>6.5502183406113579E-2</v>
      </c>
      <c r="M6497" s="401">
        <f>SUM(C6497,C6473,C6449,C6425,C6401,C6377,C6353)/POBLA!$B$16*100000</f>
        <v>200.37185163387329</v>
      </c>
    </row>
    <row r="6498" spans="1:13" s="360" customFormat="1" ht="15.75" thickBot="1" x14ac:dyDescent="0.3">
      <c r="A6498" s="367" t="s">
        <v>34</v>
      </c>
      <c r="B6498" s="269">
        <v>44163</v>
      </c>
      <c r="C6498" s="1">
        <v>32</v>
      </c>
      <c r="D6498" s="39">
        <f t="shared" si="898"/>
        <v>21112</v>
      </c>
      <c r="E6498" s="1">
        <v>2</v>
      </c>
      <c r="F6498" s="409">
        <f t="shared" si="892"/>
        <v>976</v>
      </c>
      <c r="G6498" s="168">
        <f>SUM(C6498,C6474,C6450,C6426,C6402,C6378,C6354,C6330,C6306,C6282,C6258,C6234,C6210,C6186)/POBLA!$B$17*100000</f>
        <v>69.29247955450623</v>
      </c>
      <c r="H6498" s="256">
        <f t="shared" si="893"/>
        <v>0.71573604060913709</v>
      </c>
      <c r="I6498" s="297">
        <f t="shared" si="899"/>
        <v>49.595124960331873</v>
      </c>
      <c r="J6498" s="297">
        <f t="shared" si="900"/>
        <v>55.142857142857146</v>
      </c>
      <c r="K6498" s="297">
        <f>J6498/POBLA!$B$17*100000</f>
        <v>3.8713123618525693</v>
      </c>
      <c r="L6498" s="549">
        <f t="shared" si="894"/>
        <v>0.3577371048252912</v>
      </c>
      <c r="M6498" s="401">
        <f>SUM(C6498,C6474,C6450,C6426,C6402,C6378,C6354)/POBLA!$B$17*100000</f>
        <v>27.099186532967988</v>
      </c>
    </row>
    <row r="6499" spans="1:13" s="360" customFormat="1" ht="15.75" thickBot="1" x14ac:dyDescent="0.3">
      <c r="A6499" s="367" t="s">
        <v>35</v>
      </c>
      <c r="B6499" s="269">
        <v>44163</v>
      </c>
      <c r="C6499" s="1">
        <v>72</v>
      </c>
      <c r="D6499" s="39">
        <f t="shared" si="898"/>
        <v>7254</v>
      </c>
      <c r="E6499" s="1"/>
      <c r="F6499" s="409">
        <f t="shared" si="892"/>
        <v>171</v>
      </c>
      <c r="G6499" s="168">
        <f>SUM(C6499,C6475,C6451,C6427,C6403,C6379,C6355,C6331,C6307,C6283,C6259,C6235,C6211,C6187)/POBLA!$B$18*100000</f>
        <v>362.76732329173581</v>
      </c>
      <c r="H6499" s="256">
        <f t="shared" si="893"/>
        <v>1.379746835443038</v>
      </c>
      <c r="I6499" s="297">
        <f t="shared" si="899"/>
        <v>500.52706631391396</v>
      </c>
      <c r="J6499" s="297">
        <f t="shared" si="900"/>
        <v>226.57142857142858</v>
      </c>
      <c r="K6499" s="297">
        <f>J6499/POBLA!$B$18*100000</f>
        <v>29.002367917163678</v>
      </c>
      <c r="L6499" s="549">
        <f t="shared" si="894"/>
        <v>-0.27083333333333326</v>
      </c>
      <c r="M6499" s="401">
        <f>SUM(C6499,C6475,C6451,C6427,C6403,C6379,C6355)/POBLA!$B$18*100000</f>
        <v>203.01657542014573</v>
      </c>
    </row>
    <row r="6500" spans="1:13" s="360" customFormat="1" ht="15.75" thickBot="1" x14ac:dyDescent="0.3">
      <c r="A6500" s="367" t="s">
        <v>36</v>
      </c>
      <c r="B6500" s="269">
        <v>44163</v>
      </c>
      <c r="C6500" s="1">
        <v>154</v>
      </c>
      <c r="D6500" s="39">
        <f t="shared" si="898"/>
        <v>14096</v>
      </c>
      <c r="E6500" s="1">
        <v>1</v>
      </c>
      <c r="F6500" s="409">
        <f t="shared" si="892"/>
        <v>208</v>
      </c>
      <c r="G6500" s="168">
        <f>SUM(C6500,C6476,C6452,C6428,C6404,C6380,C6356,C6332,C6308,C6284,C6260,C6236,C6212,C6188)/POBLA!$B$19*100000</f>
        <v>570.89123558017661</v>
      </c>
      <c r="H6500" s="256">
        <f t="shared" si="893"/>
        <v>0.68882031806313793</v>
      </c>
      <c r="I6500" s="297">
        <f t="shared" si="899"/>
        <v>393.24148247179505</v>
      </c>
      <c r="J6500" s="297">
        <f t="shared" si="900"/>
        <v>151.28571428571428</v>
      </c>
      <c r="K6500" s="297">
        <f>J6500/POBLA!$B$19*100000</f>
        <v>29.761436372915576</v>
      </c>
      <c r="L6500" s="549">
        <f t="shared" si="894"/>
        <v>0.42539338035811181</v>
      </c>
      <c r="M6500" s="401">
        <f>SUM(C6500,C6476,C6452,C6428,C6404,C6380,C6356)/POBLA!$B$19*100000</f>
        <v>208.33005461040901</v>
      </c>
    </row>
    <row r="6501" spans="1:13" s="360" customFormat="1" ht="15.75" thickBot="1" x14ac:dyDescent="0.3">
      <c r="A6501" s="367" t="s">
        <v>37</v>
      </c>
      <c r="B6501" s="269">
        <v>44163</v>
      </c>
      <c r="C6501" s="1">
        <v>188</v>
      </c>
      <c r="D6501" s="39">
        <f t="shared" si="898"/>
        <v>15561</v>
      </c>
      <c r="E6501" s="1">
        <v>1</v>
      </c>
      <c r="F6501" s="409">
        <f t="shared" si="892"/>
        <v>268</v>
      </c>
      <c r="G6501" s="168">
        <f>SUM(C6501,C6477,C6453,C6429,C6405,C6381,C6357,C6333,C6309,C6285,C6261,C6237,C6213,C6189)/POBLA!$B$20*100000</f>
        <v>845.5064014569399</v>
      </c>
      <c r="H6501" s="256">
        <f t="shared" si="893"/>
        <v>1.044241810199257</v>
      </c>
      <c r="I6501" s="297">
        <f t="shared" si="899"/>
        <v>882.91313519245466</v>
      </c>
      <c r="J6501" s="297">
        <f t="shared" si="900"/>
        <v>221.57142857142858</v>
      </c>
      <c r="K6501" s="297">
        <f>J6501/POBLA!$B$20*100000</f>
        <v>60.588635587678525</v>
      </c>
      <c r="L6501" s="549">
        <f t="shared" si="894"/>
        <v>-6.4892926670991891E-3</v>
      </c>
      <c r="M6501" s="401">
        <f>SUM(C6501,C6477,C6453,C6429,C6405,C6381,C6357)/POBLA!$B$20*100000</f>
        <v>424.1204491137496</v>
      </c>
    </row>
    <row r="6502" spans="1:13" s="360" customFormat="1" ht="15.75" thickBot="1" x14ac:dyDescent="0.3">
      <c r="A6502" s="367" t="s">
        <v>22</v>
      </c>
      <c r="B6502" s="269">
        <v>44163</v>
      </c>
      <c r="C6502" s="1">
        <v>1070</v>
      </c>
      <c r="D6502" s="39">
        <f t="shared" si="898"/>
        <v>145501</v>
      </c>
      <c r="E6502" s="1">
        <v>10</v>
      </c>
      <c r="F6502" s="409">
        <f t="shared" si="892"/>
        <v>2217</v>
      </c>
      <c r="G6502" s="168">
        <f>SUM(C6502,C6478,C6454,C6430,C6406,C6382,C6358,C6334,C6310,C6286,C6262,C6238,C6214,C6190)/POBLA!$B$21*100000</f>
        <v>510.48829634958309</v>
      </c>
      <c r="H6502" s="256">
        <f t="shared" si="893"/>
        <v>0.85559241706161138</v>
      </c>
      <c r="I6502" s="297">
        <f t="shared" si="899"/>
        <v>436.76991535540395</v>
      </c>
      <c r="J6502" s="297">
        <f t="shared" si="900"/>
        <v>1176.8571428571429</v>
      </c>
      <c r="K6502" s="297">
        <f>J6502/POBLA!$B$21*100000</f>
        <v>33.278225109620607</v>
      </c>
      <c r="L6502" s="549">
        <f t="shared" si="894"/>
        <v>0.16067244014263882</v>
      </c>
      <c r="M6502" s="401">
        <f>SUM(C6502,C6478,C6454,C6430,C6406,C6382,C6358)/POBLA!$B$21*100000</f>
        <v>232.94757576734423</v>
      </c>
    </row>
    <row r="6503" spans="1:13" s="360" customFormat="1" ht="15.75" thickBot="1" x14ac:dyDescent="0.3">
      <c r="A6503" s="367" t="s">
        <v>38</v>
      </c>
      <c r="B6503" s="269">
        <v>44163</v>
      </c>
      <c r="C6503" s="1">
        <v>141</v>
      </c>
      <c r="D6503" s="39">
        <f t="shared" si="898"/>
        <v>15439</v>
      </c>
      <c r="E6503" s="1"/>
      <c r="F6503" s="409">
        <f t="shared" si="892"/>
        <v>188</v>
      </c>
      <c r="G6503" s="168">
        <f>SUM(C6503,C6479,C6455,C6431,C6407,C6383,C6359,C6335,C6311,C6287,C6263,C6239,C6215,C6191)/POBLA!$B$22*100000</f>
        <v>262.79932904908759</v>
      </c>
      <c r="H6503" s="256">
        <f t="shared" si="893"/>
        <v>0.83773216031280551</v>
      </c>
      <c r="I6503" s="297">
        <f t="shared" si="899"/>
        <v>220.15544965304798</v>
      </c>
      <c r="J6503" s="297">
        <f t="shared" si="900"/>
        <v>153.57142857142858</v>
      </c>
      <c r="K6503" s="297">
        <f>J6503/POBLA!$B$22*100000</f>
        <v>15.697576192019179</v>
      </c>
      <c r="L6503" s="549">
        <f t="shared" si="894"/>
        <v>0.2814171122994652</v>
      </c>
      <c r="M6503" s="401">
        <f>SUM(C6503,C6479,C6455,C6431,C6407,C6383,C6359)/POBLA!$B$22*100000</f>
        <v>109.88303334413423</v>
      </c>
    </row>
    <row r="6504" spans="1:13" s="360" customFormat="1" ht="15.75" thickBot="1" x14ac:dyDescent="0.3">
      <c r="A6504" s="367" t="s">
        <v>39</v>
      </c>
      <c r="B6504" s="269">
        <v>44163</v>
      </c>
      <c r="C6504" s="1">
        <v>67</v>
      </c>
      <c r="D6504" s="39">
        <f t="shared" si="898"/>
        <v>16007</v>
      </c>
      <c r="E6504" s="1"/>
      <c r="F6504" s="409">
        <f t="shared" si="892"/>
        <v>230</v>
      </c>
      <c r="G6504" s="168">
        <f>SUM(C6504,C6480,C6456,C6432,C6408,C6384,C6360,C6336,C6312,C6288,C6264,C6240,C6216,C6192)/POBLA!$B$23*100000</f>
        <v>1037.7198439178874</v>
      </c>
      <c r="H6504" s="256">
        <f t="shared" si="893"/>
        <v>0.65629470672389123</v>
      </c>
      <c r="I6504" s="297">
        <f t="shared" si="899"/>
        <v>681.05004062565206</v>
      </c>
      <c r="J6504" s="297">
        <f t="shared" si="900"/>
        <v>117.28571428571429</v>
      </c>
      <c r="K6504" s="297">
        <f>J6504/POBLA!$B$23*100000</f>
        <v>66.326819140255779</v>
      </c>
      <c r="L6504" s="549">
        <f t="shared" si="894"/>
        <v>0.19033530571992108</v>
      </c>
      <c r="M6504" s="401">
        <f>SUM(C6504,C6480,C6456,C6432,C6408,C6384,C6360)/POBLA!$B$23*100000</f>
        <v>464.28773398179038</v>
      </c>
    </row>
    <row r="6505" spans="1:13" s="360" customFormat="1" ht="15.75" thickBot="1" x14ac:dyDescent="0.3">
      <c r="A6505" s="369" t="s">
        <v>40</v>
      </c>
      <c r="B6505" s="269">
        <v>44163</v>
      </c>
      <c r="C6505" s="1">
        <v>240</v>
      </c>
      <c r="D6505" s="176">
        <f>C6505+D6481</f>
        <v>65430</v>
      </c>
      <c r="E6505" s="1"/>
      <c r="F6505" s="476">
        <f t="shared" si="892"/>
        <v>1166</v>
      </c>
      <c r="G6505" s="177">
        <f>SUM(C6505,C6481,C6457,C6433,C6409,C6385,C6361,C6337,C6313,C6289,C6265,C6241,C6217,C6193)/POBLA!$B$24*100000</f>
        <v>342.31135994561726</v>
      </c>
      <c r="H6505" s="402">
        <f t="shared" si="893"/>
        <v>0.57401543637443098</v>
      </c>
      <c r="I6505" s="403">
        <f t="shared" si="899"/>
        <v>196.49200465510839</v>
      </c>
      <c r="J6505" s="403">
        <f t="shared" si="900"/>
        <v>327.71428571428572</v>
      </c>
      <c r="K6505" s="403">
        <f>J6505/POBLA!$B$24*100000</f>
        <v>19.338100813043223</v>
      </c>
      <c r="L6505" s="550">
        <f t="shared" si="894"/>
        <v>0.34587966923296265</v>
      </c>
      <c r="M6505" s="405">
        <f>SUM(C6505,C6481,C6457,C6433,C6409,C6385,C6361)/POBLA!$B$24*100000</f>
        <v>135.36670569130254</v>
      </c>
    </row>
    <row r="6506" spans="1:13" s="360" customFormat="1" ht="15.75" thickBot="1" x14ac:dyDescent="0.3">
      <c r="A6506" s="361" t="s">
        <v>16</v>
      </c>
      <c r="B6506" s="269">
        <v>44164</v>
      </c>
      <c r="C6506" s="1">
        <v>868</v>
      </c>
      <c r="D6506" s="174">
        <f t="shared" si="898"/>
        <v>617271</v>
      </c>
      <c r="E6506" s="1">
        <f>34+36</f>
        <v>70</v>
      </c>
      <c r="F6506" s="475">
        <f t="shared" si="892"/>
        <v>20564</v>
      </c>
      <c r="G6506" s="175">
        <f>SUM(C6506,C6482,C6458,C6434,C6410,C6386,C6362,C6338,C6314,C6290,C6266,C6242,C6218,C6194)/POBLA!$B$1*100000</f>
        <v>159.72165094619558</v>
      </c>
      <c r="H6506" s="300">
        <f t="shared" si="893"/>
        <v>0.73122797859846012</v>
      </c>
      <c r="I6506" s="301">
        <f>G6506*H6506</f>
        <v>116.79293995979542</v>
      </c>
      <c r="J6506" s="301">
        <f>AVERAGE(C6506,C6482,C6458,C6434,C6410,C6386,C6362)</f>
        <v>1751</v>
      </c>
      <c r="K6506" s="301">
        <f>J6506/POBLA!$B$1*100000</f>
        <v>9.9822468789230978</v>
      </c>
      <c r="L6506" s="548">
        <f t="shared" si="894"/>
        <v>0.22227157360406091</v>
      </c>
      <c r="M6506" s="400">
        <f>SUM(C6506,C6482,C6458,C6434,C6410,C6386,C6362)/POBLA!$B$1*100000</f>
        <v>69.87572815246169</v>
      </c>
    </row>
    <row r="6507" spans="1:13" s="360" customFormat="1" ht="15.75" thickBot="1" x14ac:dyDescent="0.3">
      <c r="A6507" s="361" t="s">
        <v>43</v>
      </c>
      <c r="B6507" s="269">
        <v>44164</v>
      </c>
      <c r="C6507" s="1">
        <v>217</v>
      </c>
      <c r="D6507" s="39">
        <f t="shared" si="898"/>
        <v>158484</v>
      </c>
      <c r="E6507" s="1">
        <f>2+4</f>
        <v>6</v>
      </c>
      <c r="F6507" s="409">
        <f t="shared" ref="F6507:F6570" si="901">E6507+F6483</f>
        <v>5222</v>
      </c>
      <c r="G6507" s="168">
        <f>SUM(C6507,C6483,C6459,C6435,C6411,C6387,C6363,C6339,C6315,C6291,C6267,C6243,C6219,C6195)/POBLA!$B$2*100000</f>
        <v>152.78091171740832</v>
      </c>
      <c r="H6507" s="256">
        <f t="shared" si="893"/>
        <v>0.74280746127094532</v>
      </c>
      <c r="I6507" s="297">
        <f t="shared" ref="I6507:I6529" si="902">G6507*H6507</f>
        <v>113.4868011634685</v>
      </c>
      <c r="J6507" s="297">
        <f t="shared" ref="J6507:J6529" si="903">AVERAGE(C6507,C6483,C6459,C6435,C6411,C6387,C6363)</f>
        <v>295.71428571428572</v>
      </c>
      <c r="K6507" s="297">
        <f>J6507/POBLA!$B$2*100000</f>
        <v>9.6147048689701524</v>
      </c>
      <c r="L6507" s="549">
        <f t="shared" si="894"/>
        <v>0.21262837580829208</v>
      </c>
      <c r="M6507" s="401">
        <f>SUM(C6507,C6483,C6459,C6435,C6411,C6387,C6363)/POBLA!$B$2*100000</f>
        <v>67.302934082791054</v>
      </c>
    </row>
    <row r="6508" spans="1:13" s="360" customFormat="1" ht="15.75" thickBot="1" x14ac:dyDescent="0.3">
      <c r="A6508" s="361" t="s">
        <v>28</v>
      </c>
      <c r="B6508" s="269">
        <v>44164</v>
      </c>
      <c r="C6508" s="1">
        <v>37</v>
      </c>
      <c r="D6508" s="39">
        <f t="shared" si="898"/>
        <v>1850</v>
      </c>
      <c r="E6508" s="1"/>
      <c r="F6508" s="409">
        <f t="shared" si="901"/>
        <v>15</v>
      </c>
      <c r="G6508" s="168">
        <f>SUM(C6508,C6484,C6460,C6436,C6412,C6388,C6364,C6340,C6316,C6292,C6268,C6244,C6220,C6196)/POBLA!$B$3*100000</f>
        <v>92.432565148108736</v>
      </c>
      <c r="H6508" s="256">
        <f t="shared" si="893"/>
        <v>0.7231638418079096</v>
      </c>
      <c r="I6508" s="297">
        <f t="shared" si="902"/>
        <v>66.843888920666203</v>
      </c>
      <c r="J6508" s="297">
        <f t="shared" si="903"/>
        <v>20.285714285714285</v>
      </c>
      <c r="K6508" s="297">
        <f>J6508/POBLA!$B$3*100000</f>
        <v>4.8829703314849109</v>
      </c>
      <c r="L6508" s="549">
        <f t="shared" si="894"/>
        <v>0.41322314049586772</v>
      </c>
      <c r="M6508" s="401">
        <f>SUM(C6508,C6484,C6460,C6436,C6412,C6388,C6364)/POBLA!$B$3*100000</f>
        <v>34.180792320394382</v>
      </c>
    </row>
    <row r="6509" spans="1:13" s="360" customFormat="1" ht="15.75" thickBot="1" x14ac:dyDescent="0.3">
      <c r="A6509" s="361" t="s">
        <v>15</v>
      </c>
      <c r="B6509" s="269">
        <v>44164</v>
      </c>
      <c r="C6509" s="1">
        <v>163</v>
      </c>
      <c r="D6509" s="39">
        <f t="shared" si="898"/>
        <v>19121</v>
      </c>
      <c r="E6509" s="1">
        <f>1+3</f>
        <v>4</v>
      </c>
      <c r="F6509" s="409">
        <f t="shared" si="901"/>
        <v>557</v>
      </c>
      <c r="G6509" s="168">
        <f>SUM(C6509,C6485,C6461,C6437,C6413,C6389,C6365,C6341,C6317,C6293,C6269,C6245,C6221,C6197)/POBLA!$B$4*100000</f>
        <v>232.70274735355625</v>
      </c>
      <c r="H6509" s="256">
        <f t="shared" si="893"/>
        <v>1.3178185237423601</v>
      </c>
      <c r="I6509" s="297">
        <f t="shared" si="902"/>
        <v>306.65999098825489</v>
      </c>
      <c r="J6509" s="297">
        <f t="shared" si="903"/>
        <v>191.85714285714286</v>
      </c>
      <c r="K6509" s="297">
        <f>J6509/POBLA!$B$4*100000</f>
        <v>15.927821706122321</v>
      </c>
      <c r="L6509" s="549">
        <f t="shared" si="894"/>
        <v>8.0136986301369895E-2</v>
      </c>
      <c r="M6509" s="401">
        <f>SUM(C6509,C6485,C6461,C6437,C6413,C6389,C6365)/POBLA!$B$4*100000</f>
        <v>111.49475194285625</v>
      </c>
    </row>
    <row r="6510" spans="1:13" s="360" customFormat="1" ht="15.75" thickBot="1" x14ac:dyDescent="0.3">
      <c r="A6510" s="361" t="s">
        <v>29</v>
      </c>
      <c r="B6510" s="269">
        <v>44164</v>
      </c>
      <c r="C6510" s="1">
        <v>114</v>
      </c>
      <c r="D6510" s="39">
        <f t="shared" si="898"/>
        <v>22631</v>
      </c>
      <c r="E6510" s="1">
        <f>1+2</f>
        <v>3</v>
      </c>
      <c r="F6510" s="409">
        <f t="shared" si="901"/>
        <v>376</v>
      </c>
      <c r="G6510" s="168">
        <f>SUM(C6510,C6486,C6462,C6438,C6414,C6390,C6366,C6342,C6318,C6294,C6270,C6246,C6222,C6198)/POBLA!$B$5*100000</f>
        <v>555.74044336455609</v>
      </c>
      <c r="H6510" s="256">
        <f t="shared" si="893"/>
        <v>0.72943172179813398</v>
      </c>
      <c r="I6510" s="297">
        <f t="shared" si="902"/>
        <v>405.37470847626651</v>
      </c>
      <c r="J6510" s="297">
        <f t="shared" si="903"/>
        <v>209.14285714285714</v>
      </c>
      <c r="K6510" s="297">
        <f>J6510/POBLA!$B$5*100000</f>
        <v>33.787541905552743</v>
      </c>
      <c r="L6510" s="549">
        <f t="shared" si="894"/>
        <v>0.25910931174089069</v>
      </c>
      <c r="M6510" s="401">
        <f>SUM(C6510,C6486,C6462,C6438,C6414,C6390,C6366)/POBLA!$B$5*100000</f>
        <v>236.51279333886922</v>
      </c>
    </row>
    <row r="6511" spans="1:13" s="360" customFormat="1" ht="15.75" thickBot="1" x14ac:dyDescent="0.3">
      <c r="A6511" s="361" t="s">
        <v>20</v>
      </c>
      <c r="B6511" s="269">
        <v>44164</v>
      </c>
      <c r="C6511" s="1">
        <v>427</v>
      </c>
      <c r="D6511" s="39">
        <f t="shared" si="898"/>
        <v>113857</v>
      </c>
      <c r="E6511" s="1">
        <f>12+9</f>
        <v>21</v>
      </c>
      <c r="F6511" s="409">
        <f t="shared" si="901"/>
        <v>1950</v>
      </c>
      <c r="G6511" s="168">
        <f>SUM(C6511,C6487,C6463,C6439,C6415,C6391,C6367,C6343,C6319,C6295,C6271,C6247,C6223,C6199)/POBLA!$B$6*100000</f>
        <v>1016.6836039582405</v>
      </c>
      <c r="H6511" s="256">
        <f t="shared" si="893"/>
        <v>0.70583498513379583</v>
      </c>
      <c r="I6511" s="297">
        <f t="shared" si="902"/>
        <v>717.61085648563869</v>
      </c>
      <c r="J6511" s="297">
        <f t="shared" si="903"/>
        <v>661.57142857142856</v>
      </c>
      <c r="K6511" s="297">
        <f>J6511/POBLA!$B$6*100000</f>
        <v>59.02666294653811</v>
      </c>
      <c r="L6511" s="549">
        <f t="shared" si="894"/>
        <v>0.31534594914251923</v>
      </c>
      <c r="M6511" s="401">
        <f>SUM(C6511,C6487,C6463,C6439,C6415,C6391,C6367)/POBLA!$B$6*100000</f>
        <v>413.18664062576676</v>
      </c>
    </row>
    <row r="6512" spans="1:13" s="360" customFormat="1" ht="15.75" thickBot="1" x14ac:dyDescent="0.3">
      <c r="A6512" s="361" t="s">
        <v>30</v>
      </c>
      <c r="B6512" s="269">
        <v>44164</v>
      </c>
      <c r="C6512" s="1">
        <v>1130</v>
      </c>
      <c r="D6512" s="39">
        <f t="shared" si="898"/>
        <v>6803</v>
      </c>
      <c r="E6512" s="1"/>
      <c r="F6512" s="409">
        <f t="shared" si="901"/>
        <v>86</v>
      </c>
      <c r="G6512" s="168">
        <f>SUM(C6512,C6488,C6464,C6440,C6416,C6392,C6368,C6344,C6320,C6296,C6272,C6248,C6224,C6200)/POBLA!$B$7*100000</f>
        <v>82.091239080429204</v>
      </c>
      <c r="H6512" s="256">
        <f t="shared" si="893"/>
        <v>2.654342218400688</v>
      </c>
      <c r="I6512" s="297">
        <f t="shared" si="902"/>
        <v>217.8982416520077</v>
      </c>
      <c r="J6512" s="297">
        <f t="shared" si="903"/>
        <v>286.71428571428572</v>
      </c>
      <c r="K6512" s="297">
        <f>J6512/POBLA!$B$7*100000</f>
        <v>7.6244674364580236</v>
      </c>
      <c r="L6512" s="549">
        <f t="shared" si="894"/>
        <v>-0.85833333333333339</v>
      </c>
      <c r="M6512" s="401">
        <f>SUM(C6512,C6488,C6464,C6440,C6416,C6392,C6368)/POBLA!$B$7*100000</f>
        <v>53.371272055206155</v>
      </c>
    </row>
    <row r="6513" spans="1:13" ht="15.75" thickBot="1" x14ac:dyDescent="0.3">
      <c r="A6513" s="361" t="s">
        <v>31</v>
      </c>
      <c r="B6513" s="269">
        <v>44164</v>
      </c>
      <c r="C6513" s="1">
        <v>174</v>
      </c>
      <c r="D6513" s="39">
        <f t="shared" si="898"/>
        <v>23249</v>
      </c>
      <c r="E6513" s="1">
        <f>1</f>
        <v>1</v>
      </c>
      <c r="F6513" s="409">
        <f t="shared" si="901"/>
        <v>465</v>
      </c>
      <c r="G6513" s="168">
        <f>SUM(C6513,C6489,C6465,C6441,C6417,C6393,C6369,C6345,C6321,C6297,C6273,C6249,C6225,C6201)/POBLA!$B$8*100000</f>
        <v>231.10318400012699</v>
      </c>
      <c r="H6513" s="256">
        <f t="shared" si="893"/>
        <v>0.83173201765775129</v>
      </c>
      <c r="I6513" s="297">
        <f t="shared" si="902"/>
        <v>192.21591751555616</v>
      </c>
      <c r="J6513" s="297">
        <f t="shared" si="903"/>
        <v>196</v>
      </c>
      <c r="K6513" s="297">
        <f>J6513/POBLA!$B$8*100000</f>
        <v>14.141812071191037</v>
      </c>
      <c r="L6513" s="549">
        <f t="shared" si="894"/>
        <v>0.25068268705625341</v>
      </c>
      <c r="M6513" s="401">
        <f>SUM(C6513,C6489,C6465,C6441,C6417,C6393,C6369)/POBLA!$B$8*100000</f>
        <v>98.99268449833724</v>
      </c>
    </row>
    <row r="6514" spans="1:13" s="360" customFormat="1" ht="15.75" thickBot="1" x14ac:dyDescent="0.3">
      <c r="A6514" s="361" t="s">
        <v>41</v>
      </c>
      <c r="B6514" s="269">
        <v>44164</v>
      </c>
      <c r="C6514" s="1">
        <v>0</v>
      </c>
      <c r="D6514" s="39">
        <f t="shared" si="898"/>
        <v>182</v>
      </c>
      <c r="E6514" s="1"/>
      <c r="F6514" s="409">
        <f t="shared" si="901"/>
        <v>3</v>
      </c>
      <c r="G6514" s="168">
        <f>SUM(C6514,C6490,C6466,C6442,C6418,C6394,C6370,C6346,C6322,C6298,C6274,C6250,C6226,C6202)/POBLA!$B$9*100000</f>
        <v>2.3133116212514024</v>
      </c>
      <c r="H6514" s="256">
        <f t="shared" si="893"/>
        <v>0.82352941176470584</v>
      </c>
      <c r="I6514" s="297">
        <f t="shared" si="902"/>
        <v>1.9050801586776254</v>
      </c>
      <c r="J6514" s="297">
        <f t="shared" si="903"/>
        <v>0.2857142857142857</v>
      </c>
      <c r="K6514" s="297">
        <f>J6514/POBLA!$B$9*100000</f>
        <v>4.7210441250028622E-2</v>
      </c>
      <c r="L6514" s="549">
        <f t="shared" si="894"/>
        <v>0.83333333333333337</v>
      </c>
      <c r="M6514" s="401">
        <f>SUM(C6514,C6490,C6466,C6442,C6418,C6394,C6370)/POBLA!$B$9*100000</f>
        <v>0.33047308875020037</v>
      </c>
    </row>
    <row r="6515" spans="1:13" s="360" customFormat="1" ht="15.75" thickBot="1" x14ac:dyDescent="0.3">
      <c r="A6515" s="361" t="s">
        <v>32</v>
      </c>
      <c r="B6515" s="269">
        <v>44164</v>
      </c>
      <c r="C6515" s="1">
        <v>2</v>
      </c>
      <c r="D6515" s="39">
        <f t="shared" si="898"/>
        <v>18370</v>
      </c>
      <c r="E6515" s="1"/>
      <c r="F6515" s="409">
        <f t="shared" si="901"/>
        <v>848</v>
      </c>
      <c r="G6515" s="168">
        <f>SUM(C6515,C6491,C6467,C6443,C6419,C6395,C6371,C6347,C6323,C6299,C6275,C6251,C6227,C6203)/POBLA!$B$10*100000</f>
        <v>26.203785019996598</v>
      </c>
      <c r="H6515" s="256">
        <f t="shared" si="893"/>
        <v>0.71126760563380287</v>
      </c>
      <c r="I6515" s="297">
        <f t="shared" si="902"/>
        <v>18.637903429715891</v>
      </c>
      <c r="J6515" s="297">
        <f t="shared" si="903"/>
        <v>10.857142857142858</v>
      </c>
      <c r="K6515" s="297">
        <f>J6515/POBLA!$B$10*100000</f>
        <v>1.4084071156433817</v>
      </c>
      <c r="L6515" s="549">
        <f t="shared" si="894"/>
        <v>0.39682539682539686</v>
      </c>
      <c r="M6515" s="401">
        <f>SUM(C6515,C6491,C6467,C6443,C6419,C6395,C6371)/POBLA!$B$10*100000</f>
        <v>9.8588498095036723</v>
      </c>
    </row>
    <row r="6516" spans="1:13" s="360" customFormat="1" ht="15.75" thickBot="1" x14ac:dyDescent="0.3">
      <c r="A6516" s="361" t="s">
        <v>33</v>
      </c>
      <c r="B6516" s="269">
        <v>44164</v>
      </c>
      <c r="C6516" s="1">
        <v>61</v>
      </c>
      <c r="D6516" s="39">
        <f t="shared" si="898"/>
        <v>5710</v>
      </c>
      <c r="E6516" s="1"/>
      <c r="F6516" s="409">
        <f t="shared" si="901"/>
        <v>75</v>
      </c>
      <c r="G6516" s="168">
        <f>SUM(C6516,C6492,C6468,C6444,C6420,C6396,C6372,C6348,C6324,C6300,C6276,C6252,C6228,C6204)/POBLA!$B$11*100000</f>
        <v>279.55405269677595</v>
      </c>
      <c r="H6516" s="256">
        <f t="shared" si="893"/>
        <v>0.74387527839643652</v>
      </c>
      <c r="I6516" s="297">
        <f t="shared" si="902"/>
        <v>207.9533487766663</v>
      </c>
      <c r="J6516" s="297">
        <f t="shared" si="903"/>
        <v>73</v>
      </c>
      <c r="K6516" s="297">
        <f>J6516/POBLA!$B$11*100000</f>
        <v>20.366712422020601</v>
      </c>
      <c r="L6516" s="549">
        <f t="shared" si="894"/>
        <v>-4.0733197556008127E-2</v>
      </c>
      <c r="M6516" s="401">
        <f>SUM(C6516,C6492,C6468,C6444,C6420,C6396,C6372)/POBLA!$B$11*100000</f>
        <v>142.56698695414423</v>
      </c>
    </row>
    <row r="6517" spans="1:13" s="360" customFormat="1" ht="15.75" thickBot="1" x14ac:dyDescent="0.3">
      <c r="A6517" s="361" t="s">
        <v>21</v>
      </c>
      <c r="B6517" s="269">
        <v>44164</v>
      </c>
      <c r="C6517" s="1">
        <v>26</v>
      </c>
      <c r="D6517" s="39">
        <f t="shared" si="898"/>
        <v>8694</v>
      </c>
      <c r="E6517" s="1"/>
      <c r="F6517" s="409">
        <f t="shared" si="901"/>
        <v>316</v>
      </c>
      <c r="G6517" s="168">
        <f>SUM(C6517,C6493,C6469,C6445,C6421,C6397,C6373,C6349,C6325,C6301,C6277,C6253,C6229,C6205)/POBLA!$B$12*100000</f>
        <v>130.61232787251831</v>
      </c>
      <c r="H6517" s="256">
        <f t="shared" si="893"/>
        <v>0.89236111111111116</v>
      </c>
      <c r="I6517" s="297">
        <f t="shared" si="902"/>
        <v>116.55336202512919</v>
      </c>
      <c r="J6517" s="297">
        <f t="shared" si="903"/>
        <v>26.142857142857142</v>
      </c>
      <c r="K6517" s="297">
        <f>J6517/POBLA!$B$12*100000</f>
        <v>6.6431506394304742</v>
      </c>
      <c r="L6517" s="549">
        <f t="shared" si="894"/>
        <v>0.44712990936555896</v>
      </c>
      <c r="M6517" s="401">
        <f>SUM(C6517,C6493,C6469,C6445,C6421,C6397,C6373)/POBLA!$B$12*100000</f>
        <v>46.502054476013321</v>
      </c>
    </row>
    <row r="6518" spans="1:13" s="360" customFormat="1" ht="15.75" thickBot="1" x14ac:dyDescent="0.3">
      <c r="A6518" s="361" t="s">
        <v>17</v>
      </c>
      <c r="B6518" s="269">
        <v>44164</v>
      </c>
      <c r="C6518" s="1">
        <v>47</v>
      </c>
      <c r="D6518" s="39">
        <f t="shared" si="898"/>
        <v>56395</v>
      </c>
      <c r="E6518" s="1">
        <f>1</f>
        <v>1</v>
      </c>
      <c r="F6518" s="409">
        <f t="shared" si="901"/>
        <v>1107</v>
      </c>
      <c r="G6518" s="168">
        <f>SUM(C6518,C6494,C6470,C6446,C6422,C6398,C6374,C6350,C6326,C6302,C6278,C6254,C6230,C6206)/POBLA!$B$13*100000</f>
        <v>166.2029263371347</v>
      </c>
      <c r="H6518" s="256">
        <f t="shared" si="893"/>
        <v>0.56965731014293097</v>
      </c>
      <c r="I6518" s="297">
        <f t="shared" si="902"/>
        <v>94.678711955095849</v>
      </c>
      <c r="J6518" s="297">
        <f t="shared" si="903"/>
        <v>172.28571428571428</v>
      </c>
      <c r="K6518" s="297">
        <f>J6518/POBLA!$B$13*100000</f>
        <v>8.6561033495674735</v>
      </c>
      <c r="L6518" s="549">
        <f t="shared" si="894"/>
        <v>0.42626070409134154</v>
      </c>
      <c r="M6518" s="401">
        <f>SUM(C6518,C6494,C6470,C6446,C6422,C6398,C6374)/POBLA!$B$13*100000</f>
        <v>60.592723446972315</v>
      </c>
    </row>
    <row r="6519" spans="1:13" s="360" customFormat="1" ht="15.75" thickBot="1" x14ac:dyDescent="0.3">
      <c r="A6519" s="361" t="s">
        <v>23</v>
      </c>
      <c r="B6519" s="269">
        <v>44164</v>
      </c>
      <c r="C6519" s="1">
        <v>2</v>
      </c>
      <c r="D6519" s="39">
        <f t="shared" si="898"/>
        <v>495</v>
      </c>
      <c r="E6519" s="1"/>
      <c r="F6519" s="409">
        <f t="shared" si="901"/>
        <v>9</v>
      </c>
      <c r="G6519" s="168">
        <f>SUM(C6519,C6495,C6471,C6447,C6423,C6399,C6375,C6351,C6327,C6303,C6279,C6255,C6231,C6207)/POBLA!$B$14*100000</f>
        <v>9.5140387570225489</v>
      </c>
      <c r="H6519" s="256">
        <f t="shared" si="893"/>
        <v>1.2371134020618557</v>
      </c>
      <c r="I6519" s="297">
        <f t="shared" si="902"/>
        <v>11.769944854048514</v>
      </c>
      <c r="J6519" s="297">
        <f t="shared" si="903"/>
        <v>8.4285714285714288</v>
      </c>
      <c r="K6519" s="297">
        <f>J6519/POBLA!$B$14*100000</f>
        <v>0.66824796031467915</v>
      </c>
      <c r="L6519" s="549">
        <f t="shared" si="894"/>
        <v>3.2786885245901676E-2</v>
      </c>
      <c r="M6519" s="401">
        <f>SUM(C6519,C6495,C6471,C6447,C6423,C6399,C6375)/POBLA!$B$14*100000</f>
        <v>4.6777357222027538</v>
      </c>
    </row>
    <row r="6520" spans="1:13" s="360" customFormat="1" ht="15.75" thickBot="1" x14ac:dyDescent="0.3">
      <c r="A6520" s="361" t="s">
        <v>19</v>
      </c>
      <c r="B6520" s="269">
        <v>44164</v>
      </c>
      <c r="C6520" s="1">
        <v>122</v>
      </c>
      <c r="D6520" s="39">
        <f t="shared" si="898"/>
        <v>31840</v>
      </c>
      <c r="E6520" s="1">
        <f>3+2</f>
        <v>5</v>
      </c>
      <c r="F6520" s="409">
        <f t="shared" si="901"/>
        <v>619</v>
      </c>
      <c r="G6520" s="168">
        <f>SUM(C6520,C6496,C6472,C6448,C6424,C6400,C6376,C6352,C6328,C6304,C6280,C6256,C6232,C6208)/POBLA!$B$15*100000</f>
        <v>742.70732783480935</v>
      </c>
      <c r="H6520" s="256">
        <f t="shared" si="893"/>
        <v>1.1173538740371545</v>
      </c>
      <c r="I6520" s="297">
        <f t="shared" si="902"/>
        <v>829.86691003200713</v>
      </c>
      <c r="J6520" s="297">
        <f t="shared" si="903"/>
        <v>311</v>
      </c>
      <c r="K6520" s="297">
        <f>J6520/POBLA!$B$15*100000</f>
        <v>46.833329066631329</v>
      </c>
      <c r="L6520" s="549">
        <f t="shared" si="894"/>
        <v>0.20980036297640658</v>
      </c>
      <c r="M6520" s="401">
        <f>SUM(C6520,C6496,C6472,C6448,C6424,C6400,C6376)/POBLA!$B$15*100000</f>
        <v>327.8333034664193</v>
      </c>
    </row>
    <row r="6521" spans="1:13" s="360" customFormat="1" ht="15.75" thickBot="1" x14ac:dyDescent="0.3">
      <c r="A6521" s="361" t="s">
        <v>18</v>
      </c>
      <c r="B6521" s="269">
        <v>44164</v>
      </c>
      <c r="C6521" s="1">
        <v>108</v>
      </c>
      <c r="D6521" s="39">
        <f t="shared" si="898"/>
        <v>31521</v>
      </c>
      <c r="E6521" s="1">
        <f>2</f>
        <v>2</v>
      </c>
      <c r="F6521" s="409">
        <f t="shared" si="901"/>
        <v>775</v>
      </c>
      <c r="G6521" s="168">
        <f>SUM(C6521,C6497,C6473,C6449,C6425,C6401,C6377,C6353,C6329,C6305,C6281,C6257,C6233,C6209)/POBLA!$B$16*100000</f>
        <v>411.57822929067294</v>
      </c>
      <c r="H6521" s="256">
        <f t="shared" si="893"/>
        <v>0.71441838866960761</v>
      </c>
      <c r="I6521" s="297">
        <f t="shared" si="902"/>
        <v>294.03905538133284</v>
      </c>
      <c r="J6521" s="297">
        <f t="shared" si="903"/>
        <v>209.28571428571428</v>
      </c>
      <c r="K6521" s="297">
        <f>J6521/POBLA!$B$16*100000</f>
        <v>27.993969353769248</v>
      </c>
      <c r="L6521" s="549">
        <f t="shared" si="894"/>
        <v>9.1191066997518555E-2</v>
      </c>
      <c r="M6521" s="401">
        <f>SUM(C6521,C6497,C6473,C6449,C6425,C6401,C6377)/POBLA!$B$16*100000</f>
        <v>195.95778547638474</v>
      </c>
    </row>
    <row r="6522" spans="1:13" s="360" customFormat="1" ht="15.75" thickBot="1" x14ac:dyDescent="0.3">
      <c r="A6522" s="361" t="s">
        <v>34</v>
      </c>
      <c r="B6522" s="269">
        <v>44164</v>
      </c>
      <c r="C6522" s="1">
        <v>28</v>
      </c>
      <c r="D6522" s="39">
        <f t="shared" si="898"/>
        <v>21140</v>
      </c>
      <c r="E6522" s="1">
        <v>1</v>
      </c>
      <c r="F6522" s="409">
        <f t="shared" si="901"/>
        <v>977</v>
      </c>
      <c r="G6522" s="168">
        <f>SUM(C6522,C6498,C6474,C6450,C6426,C6402,C6378,C6354,C6330,C6306,C6282,C6258,C6234,C6210)/POBLA!$B$17*100000</f>
        <v>66.55447884262604</v>
      </c>
      <c r="H6522" s="256">
        <f t="shared" ref="H6522:H6553" si="904">SUM(C6522,C6498,C6474,C6450,C6426,C6402,C6378,C6354,C6330,C6306,C6282,C6258,C6234,C6210)/SUM(C6186,C6162,C6138,C6114,C6090,C6066,C6042,C6018,C5994,C5970,C5946,C5922,C5898,C5874)</f>
        <v>0.72532517214996173</v>
      </c>
      <c r="I6522" s="297">
        <f t="shared" si="902"/>
        <v>48.27363882387872</v>
      </c>
      <c r="J6522" s="297">
        <f t="shared" si="903"/>
        <v>55.142857142857146</v>
      </c>
      <c r="K6522" s="297">
        <f>J6522/POBLA!$B$17*100000</f>
        <v>3.8713123618525693</v>
      </c>
      <c r="L6522" s="549">
        <f t="shared" ref="L6522:L6553" si="905">1-SUM(C6522,C6498,C6474,C6450,C6426,C6402,C6378)/SUM(C6354,C6330,C6306,C6282,C6258,C6234,C6210)</f>
        <v>0.31316725978647686</v>
      </c>
      <c r="M6522" s="401">
        <f>SUM(C6522,C6498,C6474,C6450,C6426,C6402,C6378)/POBLA!$B$17*100000</f>
        <v>27.099186532967988</v>
      </c>
    </row>
    <row r="6523" spans="1:13" s="360" customFormat="1" ht="15.75" thickBot="1" x14ac:dyDescent="0.3">
      <c r="A6523" s="361" t="s">
        <v>35</v>
      </c>
      <c r="B6523" s="269">
        <v>44164</v>
      </c>
      <c r="C6523" s="1">
        <v>65</v>
      </c>
      <c r="D6523" s="39">
        <f t="shared" si="898"/>
        <v>7319</v>
      </c>
      <c r="E6523" s="1"/>
      <c r="F6523" s="409">
        <f t="shared" si="901"/>
        <v>171</v>
      </c>
      <c r="G6523" s="168">
        <f>SUM(C6523,C6499,C6475,C6451,C6427,C6403,C6379,C6355,C6331,C6307,C6283,C6259,C6235,C6211)/POBLA!$B$18*100000</f>
        <v>367.37551794187789</v>
      </c>
      <c r="H6523" s="256">
        <f t="shared" si="904"/>
        <v>1.4179841897233201</v>
      </c>
      <c r="I6523" s="297">
        <f t="shared" si="902"/>
        <v>520.93267613299872</v>
      </c>
      <c r="J6523" s="297">
        <f t="shared" si="903"/>
        <v>227</v>
      </c>
      <c r="K6523" s="297">
        <f>J6523/POBLA!$B$18*100000</f>
        <v>29.057227377284413</v>
      </c>
      <c r="L6523" s="549">
        <f t="shared" si="905"/>
        <v>-0.2404371584699454</v>
      </c>
      <c r="M6523" s="401">
        <f>SUM(C6523,C6499,C6475,C6451,C6427,C6403,C6379)/POBLA!$B$18*100000</f>
        <v>203.40059164099091</v>
      </c>
    </row>
    <row r="6524" spans="1:13" s="360" customFormat="1" ht="15.75" thickBot="1" x14ac:dyDescent="0.3">
      <c r="A6524" s="361" t="s">
        <v>36</v>
      </c>
      <c r="B6524" s="269">
        <v>44164</v>
      </c>
      <c r="C6524" s="1">
        <v>192</v>
      </c>
      <c r="D6524" s="39">
        <f t="shared" si="898"/>
        <v>14288</v>
      </c>
      <c r="E6524" s="1">
        <f>2+2</f>
        <v>4</v>
      </c>
      <c r="F6524" s="409">
        <f t="shared" si="901"/>
        <v>212</v>
      </c>
      <c r="G6524" s="168">
        <f>SUM(C6524,C6500,C6476,C6452,C6428,C6404,C6380,C6356,C6332,C6308,C6284,C6260,C6236,C6212)/POBLA!$B$19*100000</f>
        <v>573.25191608567695</v>
      </c>
      <c r="H6524" s="256">
        <f t="shared" si="904"/>
        <v>0.70301568154402894</v>
      </c>
      <c r="I6524" s="297">
        <f t="shared" si="902"/>
        <v>403.00508648339269</v>
      </c>
      <c r="J6524" s="297">
        <f t="shared" si="903"/>
        <v>160.71428571428572</v>
      </c>
      <c r="K6524" s="297">
        <f>J6524/POBLA!$B$19*100000</f>
        <v>31.616256770094452</v>
      </c>
      <c r="L6524" s="549">
        <f t="shared" si="905"/>
        <v>0.37115707098937956</v>
      </c>
      <c r="M6524" s="401">
        <f>SUM(C6524,C6500,C6476,C6452,C6428,C6404,C6380)/POBLA!$B$19*100000</f>
        <v>221.31379739066116</v>
      </c>
    </row>
    <row r="6525" spans="1:13" s="360" customFormat="1" ht="15.75" thickBot="1" x14ac:dyDescent="0.3">
      <c r="A6525" s="361" t="s">
        <v>37</v>
      </c>
      <c r="B6525" s="269">
        <v>44164</v>
      </c>
      <c r="C6525" s="1">
        <v>211</v>
      </c>
      <c r="D6525" s="39">
        <f t="shared" si="898"/>
        <v>15772</v>
      </c>
      <c r="E6525" s="1">
        <f>4</f>
        <v>4</v>
      </c>
      <c r="F6525" s="409">
        <f t="shared" si="901"/>
        <v>272</v>
      </c>
      <c r="G6525" s="168">
        <f>SUM(C6525,C6501,C6477,C6453,C6429,C6405,C6381,C6357,C6333,C6309,C6285,C6261,C6237,C6213)/POBLA!$B$20*100000</f>
        <v>852.3426433833381</v>
      </c>
      <c r="H6525" s="256">
        <f t="shared" si="904"/>
        <v>1.0491417031302592</v>
      </c>
      <c r="I6525" s="297">
        <f t="shared" si="902"/>
        <v>894.22821252974256</v>
      </c>
      <c r="J6525" s="297">
        <f t="shared" si="903"/>
        <v>224.71428571428572</v>
      </c>
      <c r="K6525" s="297">
        <f>J6525/POBLA!$B$20*100000</f>
        <v>61.448048858425729</v>
      </c>
      <c r="L6525" s="549">
        <f t="shared" si="905"/>
        <v>-1.8782383419689186E-2</v>
      </c>
      <c r="M6525" s="401">
        <f>SUM(C6525,C6501,C6477,C6453,C6429,C6405,C6381)/POBLA!$B$20*100000</f>
        <v>430.13634200898002</v>
      </c>
    </row>
    <row r="6526" spans="1:13" s="360" customFormat="1" ht="15.75" thickBot="1" x14ac:dyDescent="0.3">
      <c r="A6526" s="361" t="s">
        <v>22</v>
      </c>
      <c r="B6526" s="269">
        <v>44164</v>
      </c>
      <c r="C6526" s="1">
        <v>1004</v>
      </c>
      <c r="D6526" s="39">
        <f t="shared" si="898"/>
        <v>146505</v>
      </c>
      <c r="E6526" s="1">
        <f>11+7</f>
        <v>18</v>
      </c>
      <c r="F6526" s="409">
        <f t="shared" si="901"/>
        <v>2235</v>
      </c>
      <c r="G6526" s="168">
        <f>SUM(C6526,C6502,C6478,C6454,C6430,C6406,C6382,C6358,C6334,C6310,C6286,C6262,C6238,C6214)/POBLA!$B$21*100000</f>
        <v>519.50872323350916</v>
      </c>
      <c r="H6526" s="256">
        <f t="shared" si="904"/>
        <v>0.89119573126364293</v>
      </c>
      <c r="I6526" s="297">
        <f t="shared" si="902"/>
        <v>462.98395649992869</v>
      </c>
      <c r="J6526" s="297">
        <f t="shared" si="903"/>
        <v>1229.7142857142858</v>
      </c>
      <c r="K6526" s="297">
        <f>J6526/POBLA!$B$21*100000</f>
        <v>34.772877123526854</v>
      </c>
      <c r="L6526" s="549">
        <f t="shared" si="905"/>
        <v>0.11839410077836954</v>
      </c>
      <c r="M6526" s="401">
        <f>SUM(C6526,C6502,C6478,C6454,C6430,C6406,C6382)/POBLA!$B$21*100000</f>
        <v>243.41013986468795</v>
      </c>
    </row>
    <row r="6527" spans="1:13" s="360" customFormat="1" ht="15.75" thickBot="1" x14ac:dyDescent="0.3">
      <c r="A6527" s="361" t="s">
        <v>38</v>
      </c>
      <c r="B6527" s="269">
        <v>44164</v>
      </c>
      <c r="C6527" s="1">
        <v>151</v>
      </c>
      <c r="D6527" s="39">
        <f t="shared" si="898"/>
        <v>15590</v>
      </c>
      <c r="E6527" s="1"/>
      <c r="F6527" s="409">
        <f t="shared" si="901"/>
        <v>188</v>
      </c>
      <c r="G6527" s="168">
        <f>SUM(C6527,C6503,C6479,C6455,C6431,C6407,C6383,C6359,C6335,C6311,C6287,C6263,C6239,C6215)/POBLA!$B$22*100000</f>
        <v>252.57765152870297</v>
      </c>
      <c r="H6527" s="256">
        <f t="shared" si="904"/>
        <v>0.78744423199490121</v>
      </c>
      <c r="I6527" s="297">
        <f t="shared" si="902"/>
        <v>198.89081482709531</v>
      </c>
      <c r="J6527" s="297">
        <f t="shared" si="903"/>
        <v>147.42857142857142</v>
      </c>
      <c r="K6527" s="297">
        <f>J6527/POBLA!$B$22*100000</f>
        <v>15.06967314433841</v>
      </c>
      <c r="L6527" s="549">
        <f t="shared" si="905"/>
        <v>0.28283530229325926</v>
      </c>
      <c r="M6527" s="401">
        <f>SUM(C6527,C6503,C6479,C6455,C6431,C6407,C6383)/POBLA!$B$22*100000</f>
        <v>105.48771201036888</v>
      </c>
    </row>
    <row r="6528" spans="1:13" s="360" customFormat="1" ht="15.75" thickBot="1" x14ac:dyDescent="0.3">
      <c r="A6528" s="361" t="s">
        <v>39</v>
      </c>
      <c r="B6528" s="269">
        <v>44164</v>
      </c>
      <c r="C6528" s="1">
        <v>83</v>
      </c>
      <c r="D6528" s="39">
        <f t="shared" si="898"/>
        <v>16090</v>
      </c>
      <c r="E6528" s="1"/>
      <c r="F6528" s="409">
        <f t="shared" si="901"/>
        <v>230</v>
      </c>
      <c r="G6528" s="168">
        <f>SUM(C6528,C6504,C6480,C6456,C6432,C6408,C6384,C6360,C6336,C6312,C6288,C6264,C6240,C6216)/POBLA!$B$23*100000</f>
        <v>1034.3267545099814</v>
      </c>
      <c r="H6528" s="256">
        <f t="shared" si="904"/>
        <v>0.68246268656716413</v>
      </c>
      <c r="I6528" s="297">
        <f t="shared" si="902"/>
        <v>705.88941567117752</v>
      </c>
      <c r="J6528" s="297">
        <f t="shared" si="903"/>
        <v>118.14285714285714</v>
      </c>
      <c r="K6528" s="297">
        <f>J6528/POBLA!$B$23*100000</f>
        <v>66.811546198528049</v>
      </c>
      <c r="L6528" s="549">
        <f t="shared" si="905"/>
        <v>0.17465069860279436</v>
      </c>
      <c r="M6528" s="401">
        <f>SUM(C6528,C6504,C6480,C6456,C6432,C6408,C6384)/POBLA!$B$23*100000</f>
        <v>467.68082338969634</v>
      </c>
    </row>
    <row r="6529" spans="1:13" s="360" customFormat="1" ht="15.75" thickBot="1" x14ac:dyDescent="0.3">
      <c r="A6529" s="361" t="s">
        <v>40</v>
      </c>
      <c r="B6529" s="269">
        <v>44164</v>
      </c>
      <c r="C6529" s="1">
        <v>200</v>
      </c>
      <c r="D6529" s="176">
        <f>C6529+D6505</f>
        <v>65630</v>
      </c>
      <c r="E6529" s="1">
        <f>5+6</f>
        <v>11</v>
      </c>
      <c r="F6529" s="476">
        <f t="shared" si="901"/>
        <v>1177</v>
      </c>
      <c r="G6529" s="177">
        <f>SUM(C6529,C6505,C6481,C6457,C6433,C6409,C6385,C6361,C6337,C6313,C6289,C6265,C6241,C6217)/POBLA!$B$24*100000</f>
        <v>330.33252766343139</v>
      </c>
      <c r="H6529" s="402">
        <f t="shared" si="904"/>
        <v>0.55668257756563244</v>
      </c>
      <c r="I6529" s="403">
        <f t="shared" si="902"/>
        <v>183.89036295344957</v>
      </c>
      <c r="J6529" s="403">
        <f t="shared" si="903"/>
        <v>333.71428571428572</v>
      </c>
      <c r="K6529" s="403">
        <f>J6529/POBLA!$B$24*100000</f>
        <v>19.692154969166939</v>
      </c>
      <c r="L6529" s="550">
        <f t="shared" si="905"/>
        <v>0.28387492335990194</v>
      </c>
      <c r="M6529" s="405">
        <f>SUM(C6529,C6505,C6481,C6457,C6433,C6409,C6385)/POBLA!$B$24*100000</f>
        <v>137.84508478416859</v>
      </c>
    </row>
    <row r="6530" spans="1:13" s="360" customFormat="1" ht="15.75" thickBot="1" x14ac:dyDescent="0.3">
      <c r="A6530" s="361" t="s">
        <v>16</v>
      </c>
      <c r="B6530" s="269">
        <v>44165</v>
      </c>
      <c r="C6530" s="1">
        <v>1455</v>
      </c>
      <c r="D6530" s="174">
        <f t="shared" si="898"/>
        <v>618726</v>
      </c>
      <c r="E6530" s="1">
        <v>135</v>
      </c>
      <c r="F6530" s="475">
        <f t="shared" si="901"/>
        <v>20699</v>
      </c>
      <c r="G6530" s="175">
        <f>SUM(C6530,C6506,C6482,C6458,C6434,C6410,C6386,C6362,C6338,C6314,C6290,C6266,C6242,C6218)/POBLA!$B$1*100000</f>
        <v>155.5315016280868</v>
      </c>
      <c r="H6530" s="300">
        <f t="shared" si="904"/>
        <v>0.72784995864792035</v>
      </c>
      <c r="I6530" s="301">
        <f>G6530*H6530</f>
        <v>113.20359702845194</v>
      </c>
      <c r="J6530" s="301">
        <f>AVERAGE(C6530,C6506,C6482,C6458,C6434,C6410,C6386)</f>
        <v>1822.5714285714287</v>
      </c>
      <c r="K6530" s="301">
        <f>J6530/POBLA!$B$1*100000</f>
        <v>10.390267249840981</v>
      </c>
      <c r="L6530" s="548">
        <f t="shared" si="905"/>
        <v>0.12159184797576428</v>
      </c>
      <c r="M6530" s="400">
        <f>SUM(C6530,C6506,C6482,C6458,C6434,C6410,C6386)/POBLA!$B$1*100000</f>
        <v>72.731870748886863</v>
      </c>
    </row>
    <row r="6531" spans="1:13" s="360" customFormat="1" ht="15.75" thickBot="1" x14ac:dyDescent="0.3">
      <c r="A6531" s="361" t="s">
        <v>43</v>
      </c>
      <c r="B6531" s="269">
        <v>44165</v>
      </c>
      <c r="C6531" s="1">
        <v>321</v>
      </c>
      <c r="D6531" s="39">
        <f t="shared" si="898"/>
        <v>158805</v>
      </c>
      <c r="E6531" s="1">
        <v>15</v>
      </c>
      <c r="F6531" s="409">
        <f t="shared" si="901"/>
        <v>5237</v>
      </c>
      <c r="G6531" s="168">
        <f>SUM(C6531,C6507,C6483,C6459,C6435,C6411,C6387,C6363,C6339,C6315,C6291,C6267,C6243,C6219)/POBLA!$B$2*100000</f>
        <v>150.76507504439718</v>
      </c>
      <c r="H6531" s="256">
        <f t="shared" si="904"/>
        <v>0.73790579248886057</v>
      </c>
      <c r="I6531" s="297">
        <f t="shared" ref="I6531:I6553" si="906">G6531*H6531</f>
        <v>111.25042218027843</v>
      </c>
      <c r="J6531" s="297">
        <f t="shared" ref="J6531:J6553" si="907">AVERAGE(C6531,C6507,C6483,C6459,C6435,C6411,C6387)</f>
        <v>307.42857142857144</v>
      </c>
      <c r="K6531" s="297">
        <f>J6531/POBLA!$B$2*100000</f>
        <v>9.9955772357602743</v>
      </c>
      <c r="L6531" s="549">
        <f t="shared" si="905"/>
        <v>0.13400402414486923</v>
      </c>
      <c r="M6531" s="401">
        <f>SUM(C6531,C6507,C6483,C6459,C6435,C6411,C6387)/POBLA!$B$2*100000</f>
        <v>69.969040650321915</v>
      </c>
    </row>
    <row r="6532" spans="1:13" s="360" customFormat="1" ht="15.75" thickBot="1" x14ac:dyDescent="0.3">
      <c r="A6532" s="361" t="s">
        <v>28</v>
      </c>
      <c r="B6532" s="269">
        <v>44165</v>
      </c>
      <c r="C6532" s="1">
        <v>17</v>
      </c>
      <c r="D6532" s="39">
        <f t="shared" si="898"/>
        <v>1867</v>
      </c>
      <c r="E6532" s="1"/>
      <c r="F6532" s="409">
        <f t="shared" si="901"/>
        <v>15</v>
      </c>
      <c r="G6532" s="168">
        <f>SUM(C6532,C6508,C6484,C6460,C6436,C6412,C6388,C6364,C6340,C6316,C6292,C6268,C6244,C6220)/POBLA!$B$3*100000</f>
        <v>72.93507093717956</v>
      </c>
      <c r="H6532" s="256">
        <f t="shared" si="904"/>
        <v>0.51883561643835618</v>
      </c>
      <c r="I6532" s="297">
        <f t="shared" si="906"/>
        <v>37.841312489666791</v>
      </c>
      <c r="J6532" s="297">
        <f t="shared" si="907"/>
        <v>22.142857142857142</v>
      </c>
      <c r="K6532" s="297">
        <f>J6532/POBLA!$B$3*100000</f>
        <v>5.3300028266208539</v>
      </c>
      <c r="L6532" s="549">
        <f t="shared" si="905"/>
        <v>-4.7297297297297369E-2</v>
      </c>
      <c r="M6532" s="401">
        <f>SUM(C6532,C6508,C6484,C6460,C6436,C6412,C6388)/POBLA!$B$3*100000</f>
        <v>37.310019786345975</v>
      </c>
    </row>
    <row r="6533" spans="1:13" s="360" customFormat="1" ht="15.75" thickBot="1" x14ac:dyDescent="0.3">
      <c r="A6533" s="361" t="s">
        <v>15</v>
      </c>
      <c r="B6533" s="269">
        <v>44165</v>
      </c>
      <c r="C6533" s="1">
        <v>236</v>
      </c>
      <c r="D6533" s="39">
        <f t="shared" si="898"/>
        <v>19357</v>
      </c>
      <c r="E6533" s="1">
        <v>5</v>
      </c>
      <c r="F6533" s="409">
        <f t="shared" si="901"/>
        <v>562</v>
      </c>
      <c r="G6533" s="168">
        <f>SUM(C6533,C6509,C6485,C6461,C6437,C6413,C6389,C6365,C6341,C6317,C6293,C6269,C6245,C6221)/POBLA!$B$4*100000</f>
        <v>239.8423963982961</v>
      </c>
      <c r="H6533" s="256">
        <f t="shared" si="904"/>
        <v>1.3107985480943738</v>
      </c>
      <c r="I6533" s="297">
        <f t="shared" si="906"/>
        <v>314.38506497036178</v>
      </c>
      <c r="J6533" s="297">
        <f t="shared" si="907"/>
        <v>207.42857142857142</v>
      </c>
      <c r="K6533" s="297">
        <f>J6533/POBLA!$B$4*100000</f>
        <v>17.220548858741331</v>
      </c>
      <c r="L6533" s="549">
        <f t="shared" si="905"/>
        <v>-1.0438413361169019E-2</v>
      </c>
      <c r="M6533" s="401">
        <f>SUM(C6533,C6509,C6485,C6461,C6437,C6413,C6389)/POBLA!$B$4*100000</f>
        <v>120.54384201118933</v>
      </c>
    </row>
    <row r="6534" spans="1:13" s="360" customFormat="1" ht="15.75" thickBot="1" x14ac:dyDescent="0.3">
      <c r="A6534" s="361" t="s">
        <v>29</v>
      </c>
      <c r="B6534" s="269">
        <v>44165</v>
      </c>
      <c r="C6534" s="1">
        <v>220</v>
      </c>
      <c r="D6534" s="39">
        <f t="shared" si="898"/>
        <v>22851</v>
      </c>
      <c r="E6534" s="1">
        <v>1</v>
      </c>
      <c r="F6534" s="409">
        <f t="shared" si="901"/>
        <v>377</v>
      </c>
      <c r="G6534" s="168">
        <f>SUM(C6534,C6510,C6486,C6462,C6438,C6414,C6390,C6366,C6342,C6318,C6294,C6270,C6246,C6222)/POBLA!$B$5*100000</f>
        <v>557.03286300028753</v>
      </c>
      <c r="H6534" s="256">
        <f t="shared" si="904"/>
        <v>0.74761491760624454</v>
      </c>
      <c r="I6534" s="297">
        <f t="shared" si="906"/>
        <v>416.44607797593045</v>
      </c>
      <c r="J6534" s="297">
        <f t="shared" si="907"/>
        <v>225.71428571428572</v>
      </c>
      <c r="K6534" s="297">
        <f>J6534/POBLA!$B$5*100000</f>
        <v>36.464696865282328</v>
      </c>
      <c r="L6534" s="549">
        <f t="shared" si="905"/>
        <v>0.15417558886509641</v>
      </c>
      <c r="M6534" s="401">
        <f>SUM(C6534,C6510,C6486,C6462,C6438,C6414,C6390)/POBLA!$B$5*100000</f>
        <v>255.2528780569763</v>
      </c>
    </row>
    <row r="6535" spans="1:13" s="360" customFormat="1" ht="15.75" thickBot="1" x14ac:dyDescent="0.3">
      <c r="A6535" s="361" t="s">
        <v>20</v>
      </c>
      <c r="B6535" s="269">
        <v>44165</v>
      </c>
      <c r="C6535" s="1">
        <v>350</v>
      </c>
      <c r="D6535" s="39">
        <f t="shared" si="898"/>
        <v>114207</v>
      </c>
      <c r="E6535" s="1">
        <v>22</v>
      </c>
      <c r="F6535" s="409">
        <f t="shared" si="901"/>
        <v>1972</v>
      </c>
      <c r="G6535" s="168">
        <f>SUM(C6535,C6511,C6487,C6463,C6439,C6415,C6391,C6367,C6343,C6319,C6295,C6271,C6247,C6223)/POBLA!$B$6*100000</f>
        <v>985.36671541156738</v>
      </c>
      <c r="H6535" s="256">
        <f t="shared" si="904"/>
        <v>0.68122378485072788</v>
      </c>
      <c r="I6535" s="297">
        <f t="shared" si="906"/>
        <v>671.25524333859801</v>
      </c>
      <c r="J6535" s="297">
        <f t="shared" si="907"/>
        <v>659.42857142857144</v>
      </c>
      <c r="K6535" s="297">
        <f>J6535/POBLA!$B$6*100000</f>
        <v>58.835473150770873</v>
      </c>
      <c r="L6535" s="549">
        <f t="shared" si="905"/>
        <v>0.28189172370877413</v>
      </c>
      <c r="M6535" s="401">
        <f>SUM(C6535,C6511,C6487,C6463,C6439,C6415,C6391)/POBLA!$B$6*100000</f>
        <v>411.84831205539609</v>
      </c>
    </row>
    <row r="6536" spans="1:13" s="360" customFormat="1" ht="15.75" thickBot="1" x14ac:dyDescent="0.3">
      <c r="A6536" s="361" t="s">
        <v>30</v>
      </c>
      <c r="B6536" s="269">
        <v>44165</v>
      </c>
      <c r="C6536" s="1">
        <v>295</v>
      </c>
      <c r="D6536" s="39">
        <f t="shared" si="898"/>
        <v>7098</v>
      </c>
      <c r="E6536" s="1"/>
      <c r="F6536" s="409">
        <f t="shared" si="901"/>
        <v>86</v>
      </c>
      <c r="G6536" s="168">
        <f>SUM(C6536,C6512,C6488,C6464,C6440,C6416,C6392,C6368,C6344,C6320,C6296,C6272,C6248,C6224)/POBLA!$B$7*100000</f>
        <v>86.691752316876972</v>
      </c>
      <c r="H6536" s="256">
        <f t="shared" si="904"/>
        <v>2.6184738955823295</v>
      </c>
      <c r="I6536" s="297">
        <f t="shared" si="906"/>
        <v>227.00009040403128</v>
      </c>
      <c r="J6536" s="297">
        <f t="shared" si="907"/>
        <v>311.57142857142856</v>
      </c>
      <c r="K6536" s="297">
        <f>J6536/POBLA!$B$7*100000</f>
        <v>8.2854825505306167</v>
      </c>
      <c r="L6536" s="549">
        <f t="shared" si="905"/>
        <v>-1.0213160333642262</v>
      </c>
      <c r="M6536" s="401">
        <f>SUM(C6536,C6512,C6488,C6464,C6440,C6416,C6392)/POBLA!$B$7*100000</f>
        <v>57.99837785371431</v>
      </c>
    </row>
    <row r="6537" spans="1:13" ht="15.75" thickBot="1" x14ac:dyDescent="0.3">
      <c r="A6537" s="361" t="s">
        <v>31</v>
      </c>
      <c r="B6537" s="269">
        <v>44165</v>
      </c>
      <c r="C6537" s="1">
        <v>116</v>
      </c>
      <c r="D6537" s="39">
        <f t="shared" si="898"/>
        <v>23365</v>
      </c>
      <c r="E6537" s="1">
        <v>4</v>
      </c>
      <c r="F6537" s="409">
        <f t="shared" si="901"/>
        <v>469</v>
      </c>
      <c r="G6537" s="168">
        <f>SUM(C6537,C6513,C6489,C6465,C6441,C6417,C6393,C6369,C6345,C6321,C6297,C6273,C6249,C6225)/POBLA!$B$8*100000</f>
        <v>228.1449478015615</v>
      </c>
      <c r="H6537" s="256">
        <f t="shared" si="904"/>
        <v>0.83717235901509135</v>
      </c>
      <c r="I6537" s="297">
        <f t="shared" si="906"/>
        <v>190.99664414840811</v>
      </c>
      <c r="J6537" s="297">
        <f t="shared" si="907"/>
        <v>209.42857142857142</v>
      </c>
      <c r="K6537" s="297">
        <f>J6537/POBLA!$B$8*100000</f>
        <v>15.110711732045234</v>
      </c>
      <c r="L6537" s="549">
        <f t="shared" si="905"/>
        <v>0.13561320754716977</v>
      </c>
      <c r="M6537" s="401">
        <f>SUM(C6537,C6513,C6489,C6465,C6441,C6417,C6393)/POBLA!$B$8*100000</f>
        <v>105.77498212431664</v>
      </c>
    </row>
    <row r="6538" spans="1:13" s="360" customFormat="1" ht="15.75" thickBot="1" x14ac:dyDescent="0.3">
      <c r="A6538" s="361" t="s">
        <v>41</v>
      </c>
      <c r="B6538" s="269">
        <v>44165</v>
      </c>
      <c r="C6538" s="1">
        <v>0</v>
      </c>
      <c r="D6538" s="39">
        <f t="shared" si="898"/>
        <v>182</v>
      </c>
      <c r="E6538" s="1"/>
      <c r="F6538" s="409">
        <f t="shared" si="901"/>
        <v>3</v>
      </c>
      <c r="G6538" s="168">
        <f>SUM(C6538,C6514,C6490,C6466,C6442,C6418,C6394,C6370,C6346,C6322,C6298,C6274,C6250,C6226)/POBLA!$B$9*100000</f>
        <v>1.9828385325012021</v>
      </c>
      <c r="H6538" s="256">
        <f t="shared" si="904"/>
        <v>1</v>
      </c>
      <c r="I6538" s="297">
        <f t="shared" si="906"/>
        <v>1.9828385325012021</v>
      </c>
      <c r="J6538" s="297">
        <f t="shared" si="907"/>
        <v>-1</v>
      </c>
      <c r="K6538" s="297">
        <f>J6538/POBLA!$B$9*100000</f>
        <v>-0.16523654437510019</v>
      </c>
      <c r="L6538" s="549">
        <f t="shared" si="905"/>
        <v>1.368421052631579</v>
      </c>
      <c r="M6538" s="401">
        <f>SUM(C6538,C6514,C6490,C6466,C6442,C6418,C6394)/POBLA!$B$9*100000</f>
        <v>-1.1566558106257012</v>
      </c>
    </row>
    <row r="6539" spans="1:13" s="360" customFormat="1" ht="15.75" thickBot="1" x14ac:dyDescent="0.3">
      <c r="A6539" s="361" t="s">
        <v>32</v>
      </c>
      <c r="B6539" s="269">
        <v>44165</v>
      </c>
      <c r="C6539" s="1">
        <v>11</v>
      </c>
      <c r="D6539" s="39">
        <f t="shared" si="898"/>
        <v>18381</v>
      </c>
      <c r="E6539" s="1"/>
      <c r="F6539" s="409">
        <f t="shared" si="901"/>
        <v>848</v>
      </c>
      <c r="G6539" s="168">
        <f>SUM(C6539,C6515,C6491,C6467,C6443,C6419,C6395,C6371,C6347,C6323,C6299,C6275,C6251,C6227)/POBLA!$B$10*100000</f>
        <v>24.517402815739391</v>
      </c>
      <c r="H6539" s="256">
        <f t="shared" si="904"/>
        <v>0.68978102189781021</v>
      </c>
      <c r="I6539" s="297">
        <f t="shared" si="906"/>
        <v>16.911639168520967</v>
      </c>
      <c r="J6539" s="297">
        <f t="shared" si="907"/>
        <v>12</v>
      </c>
      <c r="K6539" s="297">
        <f>J6539/POBLA!$B$10*100000</f>
        <v>1.5566604962374218</v>
      </c>
      <c r="L6539" s="549">
        <f t="shared" si="905"/>
        <v>0.19999999999999996</v>
      </c>
      <c r="M6539" s="401">
        <f>SUM(C6539,C6515,C6491,C6467,C6443,C6419,C6395)/POBLA!$B$10*100000</f>
        <v>10.896623473661954</v>
      </c>
    </row>
    <row r="6540" spans="1:13" s="360" customFormat="1" ht="15.75" thickBot="1" x14ac:dyDescent="0.3">
      <c r="A6540" s="361" t="s">
        <v>33</v>
      </c>
      <c r="B6540" s="269">
        <v>44165</v>
      </c>
      <c r="C6540" s="1">
        <v>60</v>
      </c>
      <c r="D6540" s="39">
        <f t="shared" si="898"/>
        <v>5770</v>
      </c>
      <c r="E6540" s="1">
        <v>8</v>
      </c>
      <c r="F6540" s="409">
        <f t="shared" si="901"/>
        <v>83</v>
      </c>
      <c r="G6540" s="168">
        <f>SUM(C6540,C6516,C6492,C6468,C6444,C6420,C6396,C6372,C6348,C6324,C6300,C6276,C6252,C6228)/POBLA!$B$11*100000</f>
        <v>279.2750566362003</v>
      </c>
      <c r="H6540" s="256">
        <f t="shared" si="904"/>
        <v>0.77657098525989143</v>
      </c>
      <c r="I6540" s="297">
        <f t="shared" si="906"/>
        <v>216.87690589048606</v>
      </c>
      <c r="J6540" s="297">
        <f t="shared" si="907"/>
        <v>76.142857142857139</v>
      </c>
      <c r="K6540" s="297">
        <f>J6540/POBLA!$B$11*100000</f>
        <v>21.243557183829704</v>
      </c>
      <c r="L6540" s="549">
        <f t="shared" si="905"/>
        <v>-0.13888888888888884</v>
      </c>
      <c r="M6540" s="401">
        <f>SUM(C6540,C6516,C6492,C6468,C6444,C6420,C6396)/POBLA!$B$11*100000</f>
        <v>148.70490028680794</v>
      </c>
    </row>
    <row r="6541" spans="1:13" s="360" customFormat="1" ht="15.75" thickBot="1" x14ac:dyDescent="0.3">
      <c r="A6541" s="361" t="s">
        <v>21</v>
      </c>
      <c r="B6541" s="269">
        <v>44165</v>
      </c>
      <c r="C6541" s="1">
        <v>28</v>
      </c>
      <c r="D6541" s="39">
        <f t="shared" si="898"/>
        <v>8722</v>
      </c>
      <c r="E6541" s="1"/>
      <c r="F6541" s="409">
        <f t="shared" si="901"/>
        <v>316</v>
      </c>
      <c r="G6541" s="168">
        <f>SUM(C6541,C6517,C6493,C6469,C6445,C6421,C6397,C6373,C6349,C6325,C6301,C6277,C6253,C6229)/POBLA!$B$12*100000</f>
        <v>126.29246488840776</v>
      </c>
      <c r="H6541" s="256">
        <f t="shared" si="904"/>
        <v>0.84957264957264955</v>
      </c>
      <c r="I6541" s="297">
        <f t="shared" si="906"/>
        <v>107.29462401630539</v>
      </c>
      <c r="J6541" s="297">
        <f t="shared" si="907"/>
        <v>24</v>
      </c>
      <c r="K6541" s="297">
        <f>J6541/POBLA!$B$12*100000</f>
        <v>6.0986300952148618</v>
      </c>
      <c r="L6541" s="549">
        <f t="shared" si="905"/>
        <v>0.48936170212765961</v>
      </c>
      <c r="M6541" s="401">
        <f>SUM(C6541,C6517,C6493,C6469,C6445,C6421,C6397)/POBLA!$B$12*100000</f>
        <v>42.690410666504036</v>
      </c>
    </row>
    <row r="6542" spans="1:13" s="360" customFormat="1" ht="15.75" thickBot="1" x14ac:dyDescent="0.3">
      <c r="A6542" s="361" t="s">
        <v>17</v>
      </c>
      <c r="B6542" s="269">
        <v>44165</v>
      </c>
      <c r="C6542" s="1">
        <v>151</v>
      </c>
      <c r="D6542" s="39">
        <f t="shared" si="898"/>
        <v>56546</v>
      </c>
      <c r="E6542" s="1">
        <v>1</v>
      </c>
      <c r="F6542" s="409">
        <f t="shared" si="901"/>
        <v>1108</v>
      </c>
      <c r="G6542" s="168">
        <f>SUM(C6542,C6518,C6494,C6470,C6446,C6422,C6398,C6374,C6350,C6326,C6302,C6278,C6254,C6230)/POBLA!$B$13*100000</f>
        <v>152.23544945632349</v>
      </c>
      <c r="H6542" s="256">
        <f t="shared" si="904"/>
        <v>0.5294426000349467</v>
      </c>
      <c r="I6542" s="297">
        <f t="shared" si="906"/>
        <v>80.599932177644618</v>
      </c>
      <c r="J6542" s="297">
        <f t="shared" si="907"/>
        <v>177.71428571428572</v>
      </c>
      <c r="K6542" s="297">
        <f>J6542/POBLA!$B$13*100000</f>
        <v>8.9288495579286398</v>
      </c>
      <c r="L6542" s="549">
        <f t="shared" si="905"/>
        <v>0.30347144456886899</v>
      </c>
      <c r="M6542" s="401">
        <f>SUM(C6542,C6518,C6494,C6470,C6446,C6422,C6398)/POBLA!$B$13*100000</f>
        <v>62.501946905500468</v>
      </c>
    </row>
    <row r="6543" spans="1:13" s="360" customFormat="1" ht="15.75" thickBot="1" x14ac:dyDescent="0.3">
      <c r="A6543" s="361" t="s">
        <v>23</v>
      </c>
      <c r="B6543" s="269">
        <v>44165</v>
      </c>
      <c r="C6543" s="1">
        <v>5</v>
      </c>
      <c r="D6543" s="39">
        <f t="shared" si="898"/>
        <v>500</v>
      </c>
      <c r="E6543" s="1"/>
      <c r="F6543" s="409">
        <f t="shared" si="901"/>
        <v>9</v>
      </c>
      <c r="G6543" s="168">
        <f>SUM(C6543,C6519,C6495,C6471,C6447,C6423,C6399,C6375,C6351,C6327,C6303,C6279,C6255,C6231)/POBLA!$B$14*100000</f>
        <v>8.6419185376288166</v>
      </c>
      <c r="H6543" s="256">
        <f t="shared" si="904"/>
        <v>1</v>
      </c>
      <c r="I6543" s="297">
        <f t="shared" si="906"/>
        <v>8.6419185376288166</v>
      </c>
      <c r="J6543" s="297">
        <f t="shared" si="907"/>
        <v>7.4285714285714288</v>
      </c>
      <c r="K6543" s="297">
        <f>J6543/POBLA!$B$14*100000</f>
        <v>0.58896430400615796</v>
      </c>
      <c r="L6543" s="549">
        <f t="shared" si="905"/>
        <v>8.7719298245614086E-2</v>
      </c>
      <c r="M6543" s="401">
        <f>SUM(C6543,C6519,C6495,C6471,C6447,C6423,C6399)/POBLA!$B$14*100000</f>
        <v>4.1227501280431049</v>
      </c>
    </row>
    <row r="6544" spans="1:13" s="360" customFormat="1" ht="15.75" thickBot="1" x14ac:dyDescent="0.3">
      <c r="A6544" s="361" t="s">
        <v>19</v>
      </c>
      <c r="B6544" s="269">
        <v>44165</v>
      </c>
      <c r="C6544" s="1">
        <v>228</v>
      </c>
      <c r="D6544" s="39">
        <f t="shared" si="898"/>
        <v>32068</v>
      </c>
      <c r="E6544" s="1"/>
      <c r="F6544" s="409">
        <f t="shared" si="901"/>
        <v>619</v>
      </c>
      <c r="G6544" s="168">
        <f>SUM(C6544,C6520,C6496,C6472,C6448,C6424,C6400,C6376,C6352,C6328,C6304,C6280,C6256,C6232)/POBLA!$B$15*100000</f>
        <v>716.35416839217112</v>
      </c>
      <c r="H6544" s="256">
        <f t="shared" si="904"/>
        <v>1.0416028027151303</v>
      </c>
      <c r="I6544" s="297">
        <f t="shared" si="906"/>
        <v>746.15650953395186</v>
      </c>
      <c r="J6544" s="297">
        <f t="shared" si="907"/>
        <v>292.71428571428572</v>
      </c>
      <c r="K6544" s="297">
        <f>J6544/POBLA!$B$15*100000</f>
        <v>44.079692814665869</v>
      </c>
      <c r="L6544" s="549">
        <f t="shared" si="905"/>
        <v>0.24335302806499259</v>
      </c>
      <c r="M6544" s="401">
        <f>SUM(C6544,C6520,C6496,C6472,C6448,C6424,C6400)/POBLA!$B$15*100000</f>
        <v>308.55784970266109</v>
      </c>
    </row>
    <row r="6545" spans="1:13" s="360" customFormat="1" ht="15.75" thickBot="1" x14ac:dyDescent="0.3">
      <c r="A6545" s="361" t="s">
        <v>18</v>
      </c>
      <c r="B6545" s="269">
        <v>44165</v>
      </c>
      <c r="C6545" s="1">
        <v>184</v>
      </c>
      <c r="D6545" s="39">
        <f t="shared" si="898"/>
        <v>31705</v>
      </c>
      <c r="E6545" s="1">
        <v>5</v>
      </c>
      <c r="F6545" s="409">
        <f t="shared" si="901"/>
        <v>780</v>
      </c>
      <c r="G6545" s="168">
        <f>SUM(C6545,C6521,C6497,C6473,C6449,C6425,C6401,C6377,C6353,C6329,C6305,C6281,C6257,C6233)/POBLA!$B$16*100000</f>
        <v>409.70559516325352</v>
      </c>
      <c r="H6545" s="256">
        <f t="shared" si="904"/>
        <v>0.72411347517730495</v>
      </c>
      <c r="I6545" s="297">
        <f t="shared" si="906"/>
        <v>296.67334231324952</v>
      </c>
      <c r="J6545" s="297">
        <f t="shared" si="907"/>
        <v>222.42857142857142</v>
      </c>
      <c r="K6545" s="297">
        <f>J6545/POBLA!$B$16*100000</f>
        <v>29.75195241216295</v>
      </c>
      <c r="L6545" s="549">
        <f t="shared" si="905"/>
        <v>-3.3864541832669293E-2</v>
      </c>
      <c r="M6545" s="401">
        <f>SUM(C6545,C6521,C6497,C6473,C6449,C6425,C6401)/POBLA!$B$16*100000</f>
        <v>208.26366688514068</v>
      </c>
    </row>
    <row r="6546" spans="1:13" s="360" customFormat="1" ht="15.75" thickBot="1" x14ac:dyDescent="0.3">
      <c r="A6546" s="361" t="s">
        <v>34</v>
      </c>
      <c r="B6546" s="269">
        <v>44165</v>
      </c>
      <c r="C6546" s="1">
        <v>19</v>
      </c>
      <c r="D6546" s="39">
        <f t="shared" ref="D6546:D6552" si="908">C6546+D6522</f>
        <v>21159</v>
      </c>
      <c r="E6546" s="1">
        <v>3</v>
      </c>
      <c r="F6546" s="409">
        <f t="shared" si="901"/>
        <v>980</v>
      </c>
      <c r="G6546" s="168">
        <f>SUM(C6546,C6522,C6498,C6474,C6450,C6426,C6402,C6378,C6354,C6330,C6306,C6282,C6258,C6234)/POBLA!$B$17*100000</f>
        <v>64.869555327622848</v>
      </c>
      <c r="H6546" s="256">
        <f t="shared" si="904"/>
        <v>0.71850699844479005</v>
      </c>
      <c r="I6546" s="297">
        <f t="shared" si="906"/>
        <v>46.609229488898535</v>
      </c>
      <c r="J6546" s="297">
        <f t="shared" si="907"/>
        <v>55.428571428571431</v>
      </c>
      <c r="K6546" s="297">
        <f>J6546/POBLA!$B$17*100000</f>
        <v>3.8913709751264167</v>
      </c>
      <c r="L6546" s="549">
        <f t="shared" si="905"/>
        <v>0.27611940298507465</v>
      </c>
      <c r="M6546" s="401">
        <f>SUM(C6546,C6522,C6498,C6474,C6450,C6426,C6402)/POBLA!$B$17*100000</f>
        <v>27.239596825884917</v>
      </c>
    </row>
    <row r="6547" spans="1:13" s="360" customFormat="1" ht="15.75" thickBot="1" x14ac:dyDescent="0.3">
      <c r="A6547" s="361" t="s">
        <v>35</v>
      </c>
      <c r="B6547" s="269">
        <v>44165</v>
      </c>
      <c r="C6547" s="1">
        <v>147</v>
      </c>
      <c r="D6547" s="39">
        <f t="shared" si="908"/>
        <v>7466</v>
      </c>
      <c r="E6547" s="1"/>
      <c r="F6547" s="409">
        <f t="shared" si="901"/>
        <v>171</v>
      </c>
      <c r="G6547" s="168">
        <f>SUM(C6547,C6523,C6499,C6475,C6451,C6427,C6403,C6379,C6355,C6331,C6307,C6283,C6259,C6235)/POBLA!$B$18*100000</f>
        <v>377.615950497749</v>
      </c>
      <c r="H6547" s="256">
        <f t="shared" si="904"/>
        <v>1.6508114157806379</v>
      </c>
      <c r="I6547" s="297">
        <f t="shared" si="906"/>
        <v>623.37272186254029</v>
      </c>
      <c r="J6547" s="297">
        <f t="shared" si="907"/>
        <v>241.14285714285714</v>
      </c>
      <c r="K6547" s="297">
        <f>J6547/POBLA!$B$18*100000</f>
        <v>30.86758956126878</v>
      </c>
      <c r="L6547" s="549">
        <f t="shared" si="905"/>
        <v>-0.33755942947702056</v>
      </c>
      <c r="M6547" s="401">
        <f>SUM(C6547,C6523,C6499,C6475,C6451,C6427,C6403)/POBLA!$B$18*100000</f>
        <v>216.07312692888146</v>
      </c>
    </row>
    <row r="6548" spans="1:13" s="360" customFormat="1" ht="15.75" thickBot="1" x14ac:dyDescent="0.3">
      <c r="A6548" s="361" t="s">
        <v>36</v>
      </c>
      <c r="B6548" s="269">
        <v>44165</v>
      </c>
      <c r="C6548" s="1">
        <v>167</v>
      </c>
      <c r="D6548" s="39">
        <f t="shared" si="908"/>
        <v>14455</v>
      </c>
      <c r="E6548" s="1"/>
      <c r="F6548" s="409">
        <f t="shared" si="901"/>
        <v>212</v>
      </c>
      <c r="G6548" s="168">
        <f>SUM(C6548,C6524,C6500,C6476,C6452,C6428,C6404,C6380,C6356,C6332,C6308,C6284,C6260,C6236)/POBLA!$B$19*100000</f>
        <v>560.07144992996643</v>
      </c>
      <c r="H6548" s="256">
        <f t="shared" si="904"/>
        <v>0.71192798199549889</v>
      </c>
      <c r="I6548" s="297">
        <f t="shared" si="906"/>
        <v>398.73053712193411</v>
      </c>
      <c r="J6548" s="297">
        <f t="shared" si="907"/>
        <v>178</v>
      </c>
      <c r="K6548" s="297">
        <f>J6548/POBLA!$B$19*100000</f>
        <v>35.016760831589053</v>
      </c>
      <c r="L6548" s="549">
        <f t="shared" si="905"/>
        <v>0.22173641474078698</v>
      </c>
      <c r="M6548" s="401">
        <f>SUM(C6548,C6524,C6500,C6476,C6452,C6428,C6404)/POBLA!$B$19*100000</f>
        <v>245.11732582112336</v>
      </c>
    </row>
    <row r="6549" spans="1:13" s="360" customFormat="1" ht="15.75" thickBot="1" x14ac:dyDescent="0.3">
      <c r="A6549" s="361" t="s">
        <v>37</v>
      </c>
      <c r="B6549" s="269">
        <v>44165</v>
      </c>
      <c r="C6549" s="1">
        <v>154</v>
      </c>
      <c r="D6549" s="39">
        <f t="shared" si="908"/>
        <v>15926</v>
      </c>
      <c r="E6549" s="1">
        <v>2</v>
      </c>
      <c r="F6549" s="409">
        <f t="shared" si="901"/>
        <v>274</v>
      </c>
      <c r="G6549" s="168">
        <f>SUM(C6549,C6525,C6501,C6477,C6453,C6429,C6405,C6381,C6357,C6333,C6309,C6285,C6261,C6237)/POBLA!$B$20*100000</f>
        <v>860.81958337207197</v>
      </c>
      <c r="H6549" s="256">
        <f t="shared" si="904"/>
        <v>1.0624367195410058</v>
      </c>
      <c r="I6549" s="297">
        <f t="shared" si="906"/>
        <v>914.56633427447946</v>
      </c>
      <c r="J6549" s="297">
        <f t="shared" si="907"/>
        <v>231</v>
      </c>
      <c r="K6549" s="297">
        <f>J6549/POBLA!$B$20*100000</f>
        <v>63.166875399920158</v>
      </c>
      <c r="L6549" s="549">
        <f t="shared" si="905"/>
        <v>-5.6172436316133334E-2</v>
      </c>
      <c r="M6549" s="401">
        <f>SUM(C6549,C6525,C6501,C6477,C6453,C6429,C6405)/POBLA!$B$20*100000</f>
        <v>442.16812779944109</v>
      </c>
    </row>
    <row r="6550" spans="1:13" s="360" customFormat="1" ht="15.75" thickBot="1" x14ac:dyDescent="0.3">
      <c r="A6550" s="361" t="s">
        <v>22</v>
      </c>
      <c r="B6550" s="269">
        <v>44165</v>
      </c>
      <c r="C6550" s="1">
        <v>1115</v>
      </c>
      <c r="D6550" s="39">
        <f t="shared" si="908"/>
        <v>147620</v>
      </c>
      <c r="E6550" s="1">
        <v>44</v>
      </c>
      <c r="F6550" s="409">
        <f t="shared" si="901"/>
        <v>2279</v>
      </c>
      <c r="G6550" s="168">
        <f>SUM(C6550,C6526,C6502,C6478,C6454,C6430,C6406,C6382,C6358,C6334,C6310,C6286,C6262,C6238)/POBLA!$B$21*100000</f>
        <v>513.74017437983855</v>
      </c>
      <c r="H6550" s="256">
        <f t="shared" si="904"/>
        <v>0.90204061367360111</v>
      </c>
      <c r="I6550" s="297">
        <f t="shared" si="906"/>
        <v>463.41450216637242</v>
      </c>
      <c r="J6550" s="297">
        <f t="shared" si="907"/>
        <v>1243.1428571428571</v>
      </c>
      <c r="K6550" s="297">
        <f>J6550/POBLA!$B$21*100000</f>
        <v>35.152599527059785</v>
      </c>
      <c r="L6550" s="549">
        <f t="shared" si="905"/>
        <v>8.07099091485316E-2</v>
      </c>
      <c r="M6550" s="401">
        <f>SUM(C6550,C6526,C6502,C6478,C6454,C6430,C6406)/POBLA!$B$21*100000</f>
        <v>246.0681966894185</v>
      </c>
    </row>
    <row r="6551" spans="1:13" s="360" customFormat="1" ht="15.75" thickBot="1" x14ac:dyDescent="0.3">
      <c r="A6551" s="361" t="s">
        <v>38</v>
      </c>
      <c r="B6551" s="269">
        <v>44165</v>
      </c>
      <c r="C6551" s="1">
        <v>53</v>
      </c>
      <c r="D6551" s="39">
        <f t="shared" si="908"/>
        <v>15643</v>
      </c>
      <c r="E6551" s="1">
        <v>1</v>
      </c>
      <c r="F6551" s="409">
        <f t="shared" si="901"/>
        <v>189</v>
      </c>
      <c r="G6551" s="168">
        <f>SUM(C6551,C6527,C6503,C6479,C6455,C6431,C6407,C6383,C6359,C6335,C6311,C6287,C6263,C6239)/POBLA!$B$22*100000</f>
        <v>238.36951977536839</v>
      </c>
      <c r="H6551" s="256">
        <f t="shared" si="904"/>
        <v>0.72444858651755206</v>
      </c>
      <c r="I6551" s="297">
        <f t="shared" si="906"/>
        <v>172.6864616701333</v>
      </c>
      <c r="J6551" s="297">
        <f t="shared" si="907"/>
        <v>143.42857142857142</v>
      </c>
      <c r="K6551" s="297">
        <f>J6551/POBLA!$B$22*100000</f>
        <v>14.660806043523026</v>
      </c>
      <c r="L6551" s="549">
        <f t="shared" si="905"/>
        <v>0.24397590361445787</v>
      </c>
      <c r="M6551" s="401">
        <f>SUM(C6551,C6527,C6503,C6479,C6455,C6431,C6407)/POBLA!$B$22*100000</f>
        <v>102.6256423046612</v>
      </c>
    </row>
    <row r="6552" spans="1:13" s="360" customFormat="1" ht="15.75" thickBot="1" x14ac:dyDescent="0.3">
      <c r="A6552" s="361" t="s">
        <v>39</v>
      </c>
      <c r="B6552" s="269">
        <v>44165</v>
      </c>
      <c r="C6552" s="1">
        <v>91</v>
      </c>
      <c r="D6552" s="39">
        <f t="shared" si="908"/>
        <v>16181</v>
      </c>
      <c r="E6552" s="1">
        <v>3</v>
      </c>
      <c r="F6552" s="409">
        <f t="shared" si="901"/>
        <v>233</v>
      </c>
      <c r="G6552" s="168">
        <f>SUM(C6552,C6528,C6504,C6480,C6456,C6432,C6408,C6384,C6360,C6336,C6312,C6288,C6264,C6240)/POBLA!$B$23*100000</f>
        <v>1004.3544647401459</v>
      </c>
      <c r="H6552" s="256">
        <f t="shared" si="904"/>
        <v>0.65850945494994439</v>
      </c>
      <c r="I6552" s="297">
        <f t="shared" si="906"/>
        <v>661.37691115257667</v>
      </c>
      <c r="J6552" s="297">
        <f t="shared" si="907"/>
        <v>109.42857142857143</v>
      </c>
      <c r="K6552" s="297">
        <f>J6552/POBLA!$B$23*100000</f>
        <v>61.883487772759956</v>
      </c>
      <c r="L6552" s="549">
        <f t="shared" si="905"/>
        <v>0.24158415841584158</v>
      </c>
      <c r="M6552" s="401">
        <f>SUM(C6552,C6528,C6504,C6480,C6456,C6432,C6408)/POBLA!$B$23*100000</f>
        <v>433.18441440931969</v>
      </c>
    </row>
    <row r="6553" spans="1:13" s="360" customFormat="1" ht="15.75" thickBot="1" x14ac:dyDescent="0.3">
      <c r="A6553" s="361" t="s">
        <v>40</v>
      </c>
      <c r="B6553" s="269">
        <v>44165</v>
      </c>
      <c r="C6553" s="1">
        <v>303</v>
      </c>
      <c r="D6553" s="176">
        <f>C6553+D6529</f>
        <v>65933</v>
      </c>
      <c r="E6553" s="1">
        <v>7</v>
      </c>
      <c r="F6553" s="476">
        <f t="shared" si="901"/>
        <v>1184</v>
      </c>
      <c r="G6553" s="177">
        <f>SUM(C6553,C6529,C6505,C6481,C6457,C6433,C6409,C6385,C6361,C6337,C6313,C6289,C6265,C6241)/POBLA!$B$24*100000</f>
        <v>313.98702745571961</v>
      </c>
      <c r="H6553" s="402">
        <f t="shared" si="904"/>
        <v>0.53370110330992981</v>
      </c>
      <c r="I6553" s="403">
        <f t="shared" si="906"/>
        <v>167.57522297812278</v>
      </c>
      <c r="J6553" s="403">
        <f t="shared" si="907"/>
        <v>350.14285714285717</v>
      </c>
      <c r="K6553" s="403">
        <f>J6553/POBLA!$B$24*100000</f>
        <v>20.66158896807713</v>
      </c>
      <c r="L6553" s="550">
        <f t="shared" si="905"/>
        <v>0.14599303135888497</v>
      </c>
      <c r="M6553" s="405">
        <f>SUM(C6553,C6529,C6505,C6481,C6457,C6433,C6409)/POBLA!$B$24*100000</f>
        <v>144.63112277653991</v>
      </c>
    </row>
    <row r="6554" spans="1:13" s="360" customFormat="1" ht="15.75" thickBot="1" x14ac:dyDescent="0.3">
      <c r="A6554" s="361" t="s">
        <v>16</v>
      </c>
      <c r="B6554" s="269">
        <v>44166</v>
      </c>
      <c r="C6554" s="1">
        <v>2128</v>
      </c>
      <c r="D6554" s="174">
        <f t="shared" ref="D6554:D6617" si="909">C6554+D6530</f>
        <v>620854</v>
      </c>
      <c r="E6554" s="1">
        <v>59</v>
      </c>
      <c r="F6554" s="475">
        <f t="shared" si="901"/>
        <v>20758</v>
      </c>
      <c r="G6554" s="175">
        <f>SUM(C6554,C6530,C6506,C6482,C6458,C6434,C6410,C6386,C6362,C6338,C6314,C6290,C6266,C6242)/POBLA!$B$1*100000</f>
        <v>151.67770443211191</v>
      </c>
      <c r="H6554" s="300">
        <f t="shared" ref="H6554:H6617" si="910">SUM(C6554,C6530,C6506,C6482,C6458,C6434,C6410,C6386,C6362,C6338,C6314,C6290,C6266,C6242)/SUM(C6218,C6194,C6170,C6146,C6122,C6098,C6074,C6050,C6026,C6002,C5978,C5954,C5930,C5906)</f>
        <v>0.72551265270506105</v>
      </c>
      <c r="I6554" s="301">
        <f>G6554*H6554</f>
        <v>110.0440936987557</v>
      </c>
      <c r="J6554" s="301">
        <f>AVERAGE(C6554,C6530,C6506,C6482,C6458,C6434,C6410)</f>
        <v>1851</v>
      </c>
      <c r="K6554" s="301">
        <f>J6554/POBLA!$B$1*100000</f>
        <v>10.552335221522933</v>
      </c>
      <c r="L6554" s="548">
        <f t="shared" ref="L6554:L6617" si="911">1-SUM(C6554,C6530,C6506,C6482,C6458,C6434,C6410)/SUM(C6386,C6362,C6338,C6314,C6290,C6266,C6242)</f>
        <v>5.0699684958604996E-2</v>
      </c>
      <c r="M6554" s="400">
        <f>SUM(C6554,C6530,C6506,C6482,C6458,C6434,C6410)/POBLA!$B$1*100000</f>
        <v>73.866346550660538</v>
      </c>
    </row>
    <row r="6555" spans="1:13" s="360" customFormat="1" ht="15.75" thickBot="1" x14ac:dyDescent="0.3">
      <c r="A6555" s="361" t="s">
        <v>43</v>
      </c>
      <c r="B6555" s="269">
        <v>44166</v>
      </c>
      <c r="C6555" s="1">
        <v>398</v>
      </c>
      <c r="D6555" s="39">
        <f t="shared" si="909"/>
        <v>159203</v>
      </c>
      <c r="E6555" s="1">
        <v>23</v>
      </c>
      <c r="F6555" s="409">
        <f t="shared" si="901"/>
        <v>5260</v>
      </c>
      <c r="G6555" s="168">
        <f>SUM(C6555,C6531,C6507,C6483,C6459,C6435,C6411,C6387,C6363,C6339,C6315,C6291,C6267,C6243)/POBLA!$B$2*100000</f>
        <v>149.7896702026176</v>
      </c>
      <c r="H6555" s="256">
        <f t="shared" si="910"/>
        <v>0.73688419705694175</v>
      </c>
      <c r="I6555" s="297">
        <f t="shared" ref="I6555:I6577" si="912">G6555*H6555</f>
        <v>110.37764085467998</v>
      </c>
      <c r="J6555" s="297">
        <f t="shared" ref="J6555:J6577" si="913">AVERAGE(C6555,C6531,C6507,C6483,C6459,C6435,C6411)</f>
        <v>328.57142857142856</v>
      </c>
      <c r="K6555" s="297">
        <f>J6555/POBLA!$B$2*100000</f>
        <v>10.683005409966835</v>
      </c>
      <c r="L6555" s="549">
        <f t="shared" si="911"/>
        <v>3.0342436064152434E-3</v>
      </c>
      <c r="M6555" s="401">
        <f>SUM(C6555,C6531,C6507,C6483,C6459,C6435,C6411)/POBLA!$B$2*100000</f>
        <v>74.781037869767843</v>
      </c>
    </row>
    <row r="6556" spans="1:13" s="360" customFormat="1" ht="15.75" thickBot="1" x14ac:dyDescent="0.3">
      <c r="A6556" s="361" t="s">
        <v>28</v>
      </c>
      <c r="B6556" s="269">
        <v>44166</v>
      </c>
      <c r="C6556" s="1">
        <v>16</v>
      </c>
      <c r="D6556" s="39">
        <f t="shared" si="909"/>
        <v>1883</v>
      </c>
      <c r="E6556" s="1"/>
      <c r="F6556" s="409">
        <f t="shared" si="901"/>
        <v>15</v>
      </c>
      <c r="G6556" s="168">
        <f>SUM(C6556,C6532,C6508,C6484,C6460,C6436,C6412,C6388,C6364,C6340,C6316,C6292,C6268,C6244)/POBLA!$B$3*100000</f>
        <v>72.694361132106351</v>
      </c>
      <c r="H6556" s="256">
        <f t="shared" si="910"/>
        <v>0.52982456140350875</v>
      </c>
      <c r="I6556" s="297">
        <f t="shared" si="912"/>
        <v>38.515258003326522</v>
      </c>
      <c r="J6556" s="297">
        <f t="shared" si="913"/>
        <v>22.571428571428573</v>
      </c>
      <c r="K6556" s="297">
        <f>J6556/POBLA!$B$3*100000</f>
        <v>5.4331641716522254</v>
      </c>
      <c r="L6556" s="549">
        <f t="shared" si="911"/>
        <v>-9.7222222222222321E-2</v>
      </c>
      <c r="M6556" s="401">
        <f>SUM(C6556,C6532,C6508,C6484,C6460,C6436,C6412)/POBLA!$B$3*100000</f>
        <v>38.032149201565581</v>
      </c>
    </row>
    <row r="6557" spans="1:13" s="360" customFormat="1" ht="15.75" thickBot="1" x14ac:dyDescent="0.3">
      <c r="A6557" s="361" t="s">
        <v>15</v>
      </c>
      <c r="B6557" s="269">
        <v>44166</v>
      </c>
      <c r="C6557" s="1">
        <v>238</v>
      </c>
      <c r="D6557" s="39">
        <f t="shared" si="909"/>
        <v>19595</v>
      </c>
      <c r="E6557" s="1">
        <v>4</v>
      </c>
      <c r="F6557" s="409">
        <f t="shared" si="901"/>
        <v>566</v>
      </c>
      <c r="G6557" s="168">
        <f>SUM(C6557,C6533,C6509,C6485,C6461,C6437,C6413,C6389,C6365,C6341,C6317,C6293,C6269,C6245)/POBLA!$B$4*100000</f>
        <v>238.09899372458057</v>
      </c>
      <c r="H6557" s="256">
        <f t="shared" si="910"/>
        <v>1.2298456260720412</v>
      </c>
      <c r="I6557" s="297">
        <f t="shared" si="912"/>
        <v>292.82500600432979</v>
      </c>
      <c r="J6557" s="297">
        <f t="shared" si="913"/>
        <v>216.14285714285714</v>
      </c>
      <c r="K6557" s="297">
        <f>J6557/POBLA!$B$4*100000</f>
        <v>17.944001668922613</v>
      </c>
      <c r="L6557" s="549">
        <f t="shared" si="911"/>
        <v>-0.11660516605166049</v>
      </c>
      <c r="M6557" s="401">
        <f>SUM(C6557,C6533,C6509,C6485,C6461,C6437,C6413)/POBLA!$B$4*100000</f>
        <v>125.6080116824583</v>
      </c>
    </row>
    <row r="6558" spans="1:13" s="360" customFormat="1" ht="15.75" thickBot="1" x14ac:dyDescent="0.3">
      <c r="A6558" s="361" t="s">
        <v>29</v>
      </c>
      <c r="B6558" s="269">
        <v>44166</v>
      </c>
      <c r="C6558" s="1">
        <v>438</v>
      </c>
      <c r="D6558" s="39">
        <f t="shared" si="909"/>
        <v>23289</v>
      </c>
      <c r="E6558" s="1">
        <v>4</v>
      </c>
      <c r="F6558" s="409">
        <f t="shared" si="901"/>
        <v>381</v>
      </c>
      <c r="G6558" s="168">
        <f>SUM(C6558,C6534,C6510,C6486,C6462,C6438,C6414,C6390,C6366,C6342,C6318,C6294,C6270,C6246)/POBLA!$B$5*100000</f>
        <v>572.21879372013302</v>
      </c>
      <c r="H6558" s="256">
        <f t="shared" si="910"/>
        <v>0.78103638368246964</v>
      </c>
      <c r="I6558" s="297">
        <f t="shared" si="912"/>
        <v>446.92369732231776</v>
      </c>
      <c r="J6558" s="297">
        <f t="shared" si="913"/>
        <v>255.85714285714286</v>
      </c>
      <c r="K6558" s="297">
        <f>J6558/POBLA!$B$5*100000</f>
        <v>41.334349421342189</v>
      </c>
      <c r="L6558" s="549">
        <f t="shared" si="911"/>
        <v>-2.2844089091947462E-2</v>
      </c>
      <c r="M6558" s="401">
        <f>SUM(C6558,C6534,C6510,C6486,C6462,C6438,C6414)/POBLA!$B$5*100000</f>
        <v>289.3404459493953</v>
      </c>
    </row>
    <row r="6559" spans="1:13" s="360" customFormat="1" ht="15.75" thickBot="1" x14ac:dyDescent="0.3">
      <c r="A6559" s="361" t="s">
        <v>20</v>
      </c>
      <c r="B6559" s="269">
        <v>44166</v>
      </c>
      <c r="C6559" s="1">
        <v>715</v>
      </c>
      <c r="D6559" s="39">
        <f t="shared" si="909"/>
        <v>114922</v>
      </c>
      <c r="E6559" s="1">
        <v>36</v>
      </c>
      <c r="F6559" s="409">
        <f t="shared" si="901"/>
        <v>2008</v>
      </c>
      <c r="G6559" s="168">
        <f>SUM(C6559,C6535,C6511,C6487,C6463,C6439,C6415,C6391,C6367,C6343,C6319,C6295,C6271,C6247)/POBLA!$B$6*100000</f>
        <v>932.36890402488939</v>
      </c>
      <c r="H6559" s="256">
        <f t="shared" si="910"/>
        <v>0.64577926090718085</v>
      </c>
      <c r="I6559" s="297">
        <f t="shared" si="912"/>
        <v>602.10450173403126</v>
      </c>
      <c r="J6559" s="297">
        <f t="shared" si="913"/>
        <v>694.28571428571433</v>
      </c>
      <c r="K6559" s="297">
        <f>J6559/POBLA!$B$6*100000</f>
        <v>61.945493828584588</v>
      </c>
      <c r="L6559" s="549">
        <f t="shared" si="911"/>
        <v>0.13059033989266544</v>
      </c>
      <c r="M6559" s="401">
        <f>SUM(C6559,C6535,C6511,C6487,C6463,C6439,C6415)/POBLA!$B$6*100000</f>
        <v>433.61845680009202</v>
      </c>
    </row>
    <row r="6560" spans="1:13" s="360" customFormat="1" ht="15.75" thickBot="1" x14ac:dyDescent="0.3">
      <c r="A6560" s="361" t="s">
        <v>30</v>
      </c>
      <c r="B6560" s="269">
        <v>44166</v>
      </c>
      <c r="C6560" s="1">
        <v>193</v>
      </c>
      <c r="D6560" s="39">
        <f t="shared" si="909"/>
        <v>7291</v>
      </c>
      <c r="E6560" s="1">
        <v>2</v>
      </c>
      <c r="F6560" s="409">
        <f t="shared" si="901"/>
        <v>88</v>
      </c>
      <c r="G6560" s="168">
        <f>SUM(C6560,C6536,C6512,C6488,C6464,C6440,C6416,C6392,C6368,C6344,C6320,C6296,C6272,C6248)/POBLA!$B$7*100000</f>
        <v>88.154343230198521</v>
      </c>
      <c r="H6560" s="256">
        <f t="shared" si="910"/>
        <v>2.4428887251289608</v>
      </c>
      <c r="I6560" s="297">
        <f t="shared" si="912"/>
        <v>215.3512511482005</v>
      </c>
      <c r="J6560" s="297">
        <f t="shared" si="913"/>
        <v>326</v>
      </c>
      <c r="K6560" s="297">
        <f>J6560/POBLA!$B$7*100000</f>
        <v>8.6691752316876975</v>
      </c>
      <c r="L6560" s="549">
        <f t="shared" si="911"/>
        <v>-1.2090997095837368</v>
      </c>
      <c r="M6560" s="401">
        <f>SUM(C6560,C6536,C6512,C6488,C6464,C6440,C6416)/POBLA!$B$7*100000</f>
        <v>60.684226621813878</v>
      </c>
    </row>
    <row r="6561" spans="1:13" ht="15.75" thickBot="1" x14ac:dyDescent="0.3">
      <c r="A6561" s="361" t="s">
        <v>31</v>
      </c>
      <c r="B6561" s="269">
        <v>44166</v>
      </c>
      <c r="C6561" s="1">
        <v>139</v>
      </c>
      <c r="D6561" s="39">
        <f t="shared" si="909"/>
        <v>23504</v>
      </c>
      <c r="E6561" s="1">
        <v>2</v>
      </c>
      <c r="F6561" s="409">
        <f t="shared" si="901"/>
        <v>471</v>
      </c>
      <c r="G6561" s="168">
        <f>SUM(C6561,C6537,C6513,C6489,C6465,C6441,C6417,C6393,C6369,C6345,C6321,C6297,C6273,C6249)/POBLA!$B$8*100000</f>
        <v>213.06515839911799</v>
      </c>
      <c r="H6561" s="256">
        <f t="shared" si="910"/>
        <v>0.76364106542539434</v>
      </c>
      <c r="I6561" s="297">
        <f t="shared" si="912"/>
        <v>162.70530456493287</v>
      </c>
      <c r="J6561" s="297">
        <f t="shared" si="913"/>
        <v>204</v>
      </c>
      <c r="K6561" s="297">
        <f>J6561/POBLA!$B$8*100000</f>
        <v>14.719028890423322</v>
      </c>
      <c r="L6561" s="549">
        <f t="shared" si="911"/>
        <v>6.3606557377049233E-2</v>
      </c>
      <c r="M6561" s="401">
        <f>SUM(C6561,C6537,C6513,C6489,C6465,C6441,C6417)/POBLA!$B$8*100000</f>
        <v>103.03320223296326</v>
      </c>
    </row>
    <row r="6562" spans="1:13" s="360" customFormat="1" ht="15.75" thickBot="1" x14ac:dyDescent="0.3">
      <c r="A6562" s="361" t="s">
        <v>41</v>
      </c>
      <c r="B6562" s="269">
        <v>44166</v>
      </c>
      <c r="C6562" s="1">
        <v>1</v>
      </c>
      <c r="D6562" s="39">
        <f t="shared" si="909"/>
        <v>183</v>
      </c>
      <c r="E6562" s="1"/>
      <c r="F6562" s="409">
        <f t="shared" si="901"/>
        <v>3</v>
      </c>
      <c r="G6562" s="168">
        <f>SUM(C6562,C6538,C6514,C6490,C6466,C6442,C6418,C6394,C6370,C6346,C6322,C6298,C6274,C6250)/POBLA!$B$9*100000</f>
        <v>2.1480750768763022</v>
      </c>
      <c r="H6562" s="256">
        <f t="shared" si="910"/>
        <v>1.0833333333333333</v>
      </c>
      <c r="I6562" s="297">
        <f t="shared" si="912"/>
        <v>2.3270813332826603</v>
      </c>
      <c r="J6562" s="297">
        <f t="shared" si="913"/>
        <v>-1.1428571428571428</v>
      </c>
      <c r="K6562" s="297">
        <f>J6562/POBLA!$B$9*100000</f>
        <v>-0.18884176500011449</v>
      </c>
      <c r="L6562" s="549">
        <f t="shared" si="911"/>
        <v>1.3809523809523809</v>
      </c>
      <c r="M6562" s="401">
        <f>SUM(C6562,C6538,C6514,C6490,C6466,C6442,C6418)/POBLA!$B$9*100000</f>
        <v>-1.3218923550008015</v>
      </c>
    </row>
    <row r="6563" spans="1:13" s="360" customFormat="1" ht="15.75" thickBot="1" x14ac:dyDescent="0.3">
      <c r="A6563" s="361" t="s">
        <v>32</v>
      </c>
      <c r="B6563" s="269">
        <v>44166</v>
      </c>
      <c r="C6563" s="1">
        <v>16</v>
      </c>
      <c r="D6563" s="39">
        <f t="shared" si="909"/>
        <v>18397</v>
      </c>
      <c r="E6563" s="1">
        <v>2</v>
      </c>
      <c r="F6563" s="409">
        <f t="shared" si="901"/>
        <v>850</v>
      </c>
      <c r="G6563" s="168">
        <f>SUM(C6563,C6539,C6515,C6491,C6467,C6443,C6419,C6395,C6371,C6347,C6323,C6299,C6275,C6251)/POBLA!$B$10*100000</f>
        <v>23.868794275640468</v>
      </c>
      <c r="H6563" s="256">
        <f t="shared" si="910"/>
        <v>0.67399267399267404</v>
      </c>
      <c r="I6563" s="297">
        <f t="shared" si="912"/>
        <v>16.08739247881995</v>
      </c>
      <c r="J6563" s="297">
        <f t="shared" si="913"/>
        <v>11.428571428571429</v>
      </c>
      <c r="K6563" s="297">
        <f>J6563/POBLA!$B$10*100000</f>
        <v>1.4825338059404016</v>
      </c>
      <c r="L6563" s="549">
        <f t="shared" si="911"/>
        <v>0.23076923076923073</v>
      </c>
      <c r="M6563" s="401">
        <f>SUM(C6563,C6539,C6515,C6491,C6467,C6443,C6419)/POBLA!$B$10*100000</f>
        <v>10.377736641582812</v>
      </c>
    </row>
    <row r="6564" spans="1:13" s="360" customFormat="1" ht="15.75" thickBot="1" x14ac:dyDescent="0.3">
      <c r="A6564" s="361" t="s">
        <v>33</v>
      </c>
      <c r="B6564" s="269">
        <v>44166</v>
      </c>
      <c r="C6564" s="1">
        <v>103</v>
      </c>
      <c r="D6564" s="39">
        <f t="shared" si="909"/>
        <v>5873</v>
      </c>
      <c r="E6564" s="1">
        <v>2</v>
      </c>
      <c r="F6564" s="409">
        <f t="shared" si="901"/>
        <v>85</v>
      </c>
      <c r="G6564" s="168">
        <f>SUM(C6564,C6540,C6516,C6492,C6468,C6444,C6420,C6396,C6372,C6348,C6324,C6300,C6276,C6252)/POBLA!$B$11*100000</f>
        <v>289.876906938074</v>
      </c>
      <c r="H6564" s="256">
        <f t="shared" si="910"/>
        <v>0.81811023622047241</v>
      </c>
      <c r="I6564" s="297">
        <f t="shared" si="912"/>
        <v>237.15126480996761</v>
      </c>
      <c r="J6564" s="297">
        <f t="shared" si="913"/>
        <v>82.142857142857139</v>
      </c>
      <c r="K6564" s="297">
        <f>J6564/POBLA!$B$11*100000</f>
        <v>22.917533547283455</v>
      </c>
      <c r="L6564" s="549">
        <f t="shared" si="911"/>
        <v>-0.23922413793103448</v>
      </c>
      <c r="M6564" s="401">
        <f>SUM(C6564,C6540,C6516,C6492,C6468,C6444,C6420)/POBLA!$B$11*100000</f>
        <v>160.42273483098418</v>
      </c>
    </row>
    <row r="6565" spans="1:13" s="360" customFormat="1" ht="15.75" thickBot="1" x14ac:dyDescent="0.3">
      <c r="A6565" s="361" t="s">
        <v>21</v>
      </c>
      <c r="B6565" s="269">
        <v>44166</v>
      </c>
      <c r="C6565" s="1">
        <v>13</v>
      </c>
      <c r="D6565" s="39">
        <f t="shared" si="909"/>
        <v>8735</v>
      </c>
      <c r="E6565" s="1"/>
      <c r="F6565" s="409">
        <f t="shared" si="901"/>
        <v>316</v>
      </c>
      <c r="G6565" s="168">
        <f>SUM(C6565,C6541,C6517,C6493,C6469,C6445,C6421,C6397,C6373,C6349,C6325,C6301,C6277,C6253)/POBLA!$B$12*100000</f>
        <v>125.02191695190467</v>
      </c>
      <c r="H6565" s="256">
        <f t="shared" si="910"/>
        <v>0.87700534759358284</v>
      </c>
      <c r="I6565" s="297">
        <f t="shared" si="912"/>
        <v>109.64488973322121</v>
      </c>
      <c r="J6565" s="297">
        <f t="shared" si="913"/>
        <v>23.571428571428573</v>
      </c>
      <c r="K6565" s="297">
        <f>J6565/POBLA!$B$12*100000</f>
        <v>5.9897259863717407</v>
      </c>
      <c r="L6565" s="549">
        <f t="shared" si="911"/>
        <v>0.49541284403669728</v>
      </c>
      <c r="M6565" s="401">
        <f>SUM(C6565,C6541,C6517,C6493,C6469,C6445,C6421)/POBLA!$B$12*100000</f>
        <v>41.92808190460218</v>
      </c>
    </row>
    <row r="6566" spans="1:13" s="360" customFormat="1" ht="15.75" thickBot="1" x14ac:dyDescent="0.3">
      <c r="A6566" s="361" t="s">
        <v>17</v>
      </c>
      <c r="B6566" s="269">
        <v>44166</v>
      </c>
      <c r="C6566" s="1">
        <v>263</v>
      </c>
      <c r="D6566" s="39">
        <f t="shared" si="909"/>
        <v>56809</v>
      </c>
      <c r="E6566" s="1">
        <v>2</v>
      </c>
      <c r="F6566" s="409">
        <f t="shared" si="901"/>
        <v>1110</v>
      </c>
      <c r="G6566" s="168">
        <f>SUM(C6566,C6542,C6518,C6494,C6470,C6446,C6422,C6398,C6374,C6350,C6326,C6302,C6278,C6254)/POBLA!$B$13*100000</f>
        <v>145.55316735147497</v>
      </c>
      <c r="H6566" s="256">
        <f t="shared" si="910"/>
        <v>0.51695217701641683</v>
      </c>
      <c r="I6566" s="297">
        <f t="shared" si="912"/>
        <v>75.244026733979837</v>
      </c>
      <c r="J6566" s="297">
        <f t="shared" si="913"/>
        <v>187</v>
      </c>
      <c r="K6566" s="297">
        <f>J6566/POBLA!$B$13*100000</f>
        <v>9.3953891248622092</v>
      </c>
      <c r="L6566" s="549">
        <f t="shared" si="911"/>
        <v>0.1756926952141058</v>
      </c>
      <c r="M6566" s="401">
        <f>SUM(C6566,C6542,C6518,C6494,C6470,C6446,C6422)/POBLA!$B$13*100000</f>
        <v>65.767723874035468</v>
      </c>
    </row>
    <row r="6567" spans="1:13" s="360" customFormat="1" ht="15.75" thickBot="1" x14ac:dyDescent="0.3">
      <c r="A6567" s="361" t="s">
        <v>23</v>
      </c>
      <c r="B6567" s="269">
        <v>44166</v>
      </c>
      <c r="C6567" s="1">
        <v>19</v>
      </c>
      <c r="D6567" s="39">
        <f t="shared" si="909"/>
        <v>519</v>
      </c>
      <c r="E6567" s="1"/>
      <c r="F6567" s="409">
        <f t="shared" si="901"/>
        <v>9</v>
      </c>
      <c r="G6567" s="168">
        <f>SUM(C6567,C6543,C6519,C6495,C6471,C6447,C6423,C6399,C6375,C6351,C6327,C6303,C6279,C6255)/POBLA!$B$14*100000</f>
        <v>9.6726060696395937</v>
      </c>
      <c r="H6567" s="256">
        <f t="shared" si="910"/>
        <v>1.2323232323232323</v>
      </c>
      <c r="I6567" s="297">
        <f t="shared" si="912"/>
        <v>11.91977717672758</v>
      </c>
      <c r="J6567" s="297">
        <f t="shared" si="913"/>
        <v>8.7142857142857135</v>
      </c>
      <c r="K6567" s="297">
        <f>J6567/POBLA!$B$14*100000</f>
        <v>0.69090043354568509</v>
      </c>
      <c r="L6567" s="549">
        <f t="shared" si="911"/>
        <v>0</v>
      </c>
      <c r="M6567" s="401">
        <f>SUM(C6567,C6543,C6519,C6495,C6471,C6447,C6423)/POBLA!$B$14*100000</f>
        <v>4.8363030348197968</v>
      </c>
    </row>
    <row r="6568" spans="1:13" s="360" customFormat="1" ht="15.75" thickBot="1" x14ac:dyDescent="0.3">
      <c r="A6568" s="361" t="s">
        <v>19</v>
      </c>
      <c r="B6568" s="269">
        <v>44166</v>
      </c>
      <c r="C6568" s="1">
        <v>344</v>
      </c>
      <c r="D6568" s="39">
        <f t="shared" si="909"/>
        <v>32412</v>
      </c>
      <c r="E6568" s="1"/>
      <c r="F6568" s="409">
        <f t="shared" si="901"/>
        <v>619</v>
      </c>
      <c r="G6568" s="168">
        <f>SUM(C6568,C6544,C6520,C6496,C6472,C6448,C6424,C6400,C6376,C6352,C6328,C6304,C6280,C6256)/POBLA!$B$15*100000</f>
        <v>617.71805733543965</v>
      </c>
      <c r="H6568" s="256">
        <f t="shared" si="910"/>
        <v>0.88557858376511223</v>
      </c>
      <c r="I6568" s="297">
        <f t="shared" si="912"/>
        <v>547.03788238125503</v>
      </c>
      <c r="J6568" s="297">
        <f t="shared" si="913"/>
        <v>272.57142857142856</v>
      </c>
      <c r="K6568" s="297">
        <f>J6568/POBLA!$B$15*100000</f>
        <v>41.04639038086016</v>
      </c>
      <c r="L6568" s="549">
        <f t="shared" si="911"/>
        <v>0.13035551504102094</v>
      </c>
      <c r="M6568" s="401">
        <f>SUM(C6568,C6544,C6520,C6496,C6472,C6448,C6424)/POBLA!$B$15*100000</f>
        <v>287.32473266602113</v>
      </c>
    </row>
    <row r="6569" spans="1:13" s="360" customFormat="1" ht="15.75" thickBot="1" x14ac:dyDescent="0.3">
      <c r="A6569" s="361" t="s">
        <v>18</v>
      </c>
      <c r="B6569" s="269">
        <v>44166</v>
      </c>
      <c r="C6569" s="1">
        <v>244</v>
      </c>
      <c r="D6569" s="39">
        <f t="shared" si="909"/>
        <v>31949</v>
      </c>
      <c r="E6569" s="1">
        <v>11</v>
      </c>
      <c r="F6569" s="409">
        <f t="shared" si="901"/>
        <v>791</v>
      </c>
      <c r="G6569" s="168">
        <f>SUM(C6569,C6545,C6521,C6497,C6473,C6449,C6425,C6401,C6377,C6353,C6329,C6305,C6281,C6257)/POBLA!$B$16*100000</f>
        <v>402.88385655622585</v>
      </c>
      <c r="H6569" s="256">
        <f t="shared" si="910"/>
        <v>0.72929782082324457</v>
      </c>
      <c r="I6569" s="297">
        <f t="shared" si="912"/>
        <v>293.82231863132017</v>
      </c>
      <c r="J6569" s="297">
        <f t="shared" si="913"/>
        <v>223.85714285714286</v>
      </c>
      <c r="K6569" s="297">
        <f>J6569/POBLA!$B$16*100000</f>
        <v>29.943037527205746</v>
      </c>
      <c r="L6569" s="549">
        <f t="shared" si="911"/>
        <v>-8.4429065743944598E-2</v>
      </c>
      <c r="M6569" s="401">
        <f>SUM(C6569,C6545,C6521,C6497,C6473,C6449,C6425)/POBLA!$B$16*100000</f>
        <v>209.60126269044019</v>
      </c>
    </row>
    <row r="6570" spans="1:13" s="360" customFormat="1" ht="15.75" thickBot="1" x14ac:dyDescent="0.3">
      <c r="A6570" s="361" t="s">
        <v>34</v>
      </c>
      <c r="B6570" s="269">
        <v>44166</v>
      </c>
      <c r="C6570" s="1">
        <v>43</v>
      </c>
      <c r="D6570" s="39">
        <f t="shared" si="909"/>
        <v>21202</v>
      </c>
      <c r="E6570" s="1">
        <v>3</v>
      </c>
      <c r="F6570" s="409">
        <f t="shared" si="901"/>
        <v>983</v>
      </c>
      <c r="G6570" s="168">
        <f>SUM(C6570,C6546,C6522,C6498,C6474,C6450,C6426,C6402,C6378,C6354,C6330,C6306,C6282,C6258)/POBLA!$B$17*100000</f>
        <v>61.429503151157995</v>
      </c>
      <c r="H6570" s="256">
        <f t="shared" si="910"/>
        <v>0.69006309148264988</v>
      </c>
      <c r="I6570" s="297">
        <f t="shared" si="912"/>
        <v>42.390232852731266</v>
      </c>
      <c r="J6570" s="297">
        <f t="shared" si="913"/>
        <v>47.714285714285715</v>
      </c>
      <c r="K6570" s="297">
        <f>J6570/POBLA!$B$17*100000</f>
        <v>3.349788416732534</v>
      </c>
      <c r="L6570" s="549">
        <f t="shared" si="911"/>
        <v>0.38262476894639552</v>
      </c>
      <c r="M6570" s="401">
        <f>SUM(C6570,C6546,C6522,C6498,C6474,C6450,C6426)/POBLA!$B$17*100000</f>
        <v>23.448518917127739</v>
      </c>
    </row>
    <row r="6571" spans="1:13" s="360" customFormat="1" ht="15.75" thickBot="1" x14ac:dyDescent="0.3">
      <c r="A6571" s="361" t="s">
        <v>35</v>
      </c>
      <c r="B6571" s="269">
        <v>44166</v>
      </c>
      <c r="C6571" s="1">
        <v>351</v>
      </c>
      <c r="D6571" s="39">
        <f t="shared" si="909"/>
        <v>7817</v>
      </c>
      <c r="E6571" s="1">
        <v>2</v>
      </c>
      <c r="F6571" s="409">
        <f t="shared" ref="F6571:F6625" si="914">E6571+F6547</f>
        <v>173</v>
      </c>
      <c r="G6571" s="168">
        <f>SUM(C6571,C6547,C6523,C6499,C6475,C6451,C6427,C6403,C6379,C6355,C6331,C6307,C6283,C6259)/POBLA!$B$18*100000</f>
        <v>400.52891834151075</v>
      </c>
      <c r="H6571" s="256">
        <f t="shared" si="910"/>
        <v>1.743175487465181</v>
      </c>
      <c r="I6571" s="297">
        <f t="shared" si="912"/>
        <v>698.19219247386468</v>
      </c>
      <c r="J6571" s="297">
        <f t="shared" si="913"/>
        <v>220.85714285714286</v>
      </c>
      <c r="K6571" s="297">
        <f>J6571/POBLA!$B$18*100000</f>
        <v>28.270908448887166</v>
      </c>
      <c r="L6571" s="549">
        <f t="shared" si="911"/>
        <v>2.3373341756159238E-2</v>
      </c>
      <c r="M6571" s="401">
        <f>SUM(C6571,C6547,C6523,C6499,C6475,C6451,C6427)/POBLA!$B$18*100000</f>
        <v>197.89635914221017</v>
      </c>
    </row>
    <row r="6572" spans="1:13" s="360" customFormat="1" ht="15.75" thickBot="1" x14ac:dyDescent="0.3">
      <c r="A6572" s="361" t="s">
        <v>36</v>
      </c>
      <c r="B6572" s="269">
        <v>44166</v>
      </c>
      <c r="C6572" s="1">
        <v>253</v>
      </c>
      <c r="D6572" s="39">
        <f t="shared" si="909"/>
        <v>14708</v>
      </c>
      <c r="E6572" s="1">
        <v>3</v>
      </c>
      <c r="F6572" s="409">
        <f t="shared" si="914"/>
        <v>215</v>
      </c>
      <c r="G6572" s="168">
        <f>SUM(C6572,C6548,C6524,C6500,C6476,C6452,C6428,C6404,C6380,C6356,C6332,C6308,C6284,C6260)/POBLA!$B$19*100000</f>
        <v>564.00591743913378</v>
      </c>
      <c r="H6572" s="256">
        <f t="shared" si="910"/>
        <v>0.71944792973651195</v>
      </c>
      <c r="I6572" s="297">
        <f t="shared" si="912"/>
        <v>405.77288966072689</v>
      </c>
      <c r="J6572" s="297">
        <f t="shared" si="913"/>
        <v>188.71428571428572</v>
      </c>
      <c r="K6572" s="297">
        <f>J6572/POBLA!$B$19*100000</f>
        <v>37.124511282928687</v>
      </c>
      <c r="L6572" s="549">
        <f t="shared" si="911"/>
        <v>0.14553686934023291</v>
      </c>
      <c r="M6572" s="401">
        <f>SUM(C6572,C6548,C6524,C6500,C6476,C6452,C6428)/POBLA!$B$19*100000</f>
        <v>259.87157898050077</v>
      </c>
    </row>
    <row r="6573" spans="1:13" s="360" customFormat="1" ht="15.75" thickBot="1" x14ac:dyDescent="0.3">
      <c r="A6573" s="361" t="s">
        <v>37</v>
      </c>
      <c r="B6573" s="269">
        <v>44166</v>
      </c>
      <c r="C6573" s="1">
        <v>315</v>
      </c>
      <c r="D6573" s="39">
        <f t="shared" si="909"/>
        <v>16241</v>
      </c>
      <c r="E6573" s="1">
        <v>6</v>
      </c>
      <c r="F6573" s="409">
        <f t="shared" si="914"/>
        <v>280</v>
      </c>
      <c r="G6573" s="168">
        <f>SUM(C6573,C6549,C6525,C6501,C6477,C6453,C6429,C6405,C6381,C6357,C6333,C6309,C6285,C6261)/POBLA!$B$20*100000</f>
        <v>873.94516787075679</v>
      </c>
      <c r="H6573" s="256">
        <f t="shared" si="910"/>
        <v>1.0724832214765101</v>
      </c>
      <c r="I6573" s="297">
        <f t="shared" si="912"/>
        <v>937.29152903185866</v>
      </c>
      <c r="J6573" s="297">
        <f t="shared" si="913"/>
        <v>246.28571428571428</v>
      </c>
      <c r="K6573" s="297">
        <f>J6573/POBLA!$B$20*100000</f>
        <v>67.346749034917963</v>
      </c>
      <c r="L6573" s="549">
        <f t="shared" si="911"/>
        <v>-0.17119565217391308</v>
      </c>
      <c r="M6573" s="401">
        <f>SUM(C6573,C6549,C6525,C6501,C6477,C6453,C6429)/POBLA!$B$20*100000</f>
        <v>471.42724324442571</v>
      </c>
    </row>
    <row r="6574" spans="1:13" s="360" customFormat="1" ht="15.75" thickBot="1" x14ac:dyDescent="0.3">
      <c r="A6574" s="361" t="s">
        <v>22</v>
      </c>
      <c r="B6574" s="269">
        <v>44166</v>
      </c>
      <c r="C6574" s="1">
        <v>1355</v>
      </c>
      <c r="D6574" s="39">
        <f t="shared" si="909"/>
        <v>148975</v>
      </c>
      <c r="E6574" s="1">
        <v>9</v>
      </c>
      <c r="F6574" s="409">
        <f t="shared" si="914"/>
        <v>2288</v>
      </c>
      <c r="G6574" s="168">
        <f>SUM(C6574,C6550,C6526,C6502,C6478,C6454,C6430,C6406,C6382,C6358,C6334,C6310,C6286,C6262)/POBLA!$B$21*100000</f>
        <v>510.29035594774149</v>
      </c>
      <c r="H6574" s="256">
        <f t="shared" si="910"/>
        <v>0.90893522715825525</v>
      </c>
      <c r="I6574" s="297">
        <f t="shared" si="912"/>
        <v>463.82088060002735</v>
      </c>
      <c r="J6574" s="297">
        <f t="shared" si="913"/>
        <v>1267.1428571428571</v>
      </c>
      <c r="K6574" s="297">
        <f>J6574/POBLA!$B$21*100000</f>
        <v>35.831252333373968</v>
      </c>
      <c r="L6574" s="549">
        <f t="shared" si="911"/>
        <v>3.3347863993025251E-2</v>
      </c>
      <c r="M6574" s="401">
        <f>SUM(C6574,C6550,C6526,C6502,C6478,C6454,C6430)/POBLA!$B$21*100000</f>
        <v>250.81876633361779</v>
      </c>
    </row>
    <row r="6575" spans="1:13" s="360" customFormat="1" ht="15.75" thickBot="1" x14ac:dyDescent="0.3">
      <c r="A6575" s="361" t="s">
        <v>38</v>
      </c>
      <c r="B6575" s="269">
        <v>44166</v>
      </c>
      <c r="C6575" s="1">
        <v>71</v>
      </c>
      <c r="D6575" s="39">
        <f t="shared" si="909"/>
        <v>15714</v>
      </c>
      <c r="E6575" s="1">
        <v>1</v>
      </c>
      <c r="F6575" s="409">
        <f t="shared" si="914"/>
        <v>190</v>
      </c>
      <c r="G6575" s="168">
        <f>SUM(C6575,C6551,C6527,C6503,C6479,C6455,C6431,C6407,C6383,C6359,C6335,C6311,C6287,C6263)/POBLA!$B$22*100000</f>
        <v>234.07641521680688</v>
      </c>
      <c r="H6575" s="256">
        <f t="shared" si="910"/>
        <v>0.70461538461538464</v>
      </c>
      <c r="I6575" s="297">
        <f t="shared" si="912"/>
        <v>164.93384333738086</v>
      </c>
      <c r="J6575" s="297">
        <f t="shared" si="913"/>
        <v>142.85714285714286</v>
      </c>
      <c r="K6575" s="297">
        <f>J6575/POBLA!$B$22*100000</f>
        <v>14.602396457692258</v>
      </c>
      <c r="L6575" s="549">
        <f t="shared" si="911"/>
        <v>0.22480620155038755</v>
      </c>
      <c r="M6575" s="401">
        <f>SUM(C6575,C6551,C6527,C6503,C6479,C6455,C6431)/POBLA!$B$22*100000</f>
        <v>102.2167752038458</v>
      </c>
    </row>
    <row r="6576" spans="1:13" s="360" customFormat="1" ht="15.75" thickBot="1" x14ac:dyDescent="0.3">
      <c r="A6576" s="361" t="s">
        <v>39</v>
      </c>
      <c r="B6576" s="269">
        <v>44166</v>
      </c>
      <c r="C6576" s="1">
        <v>79</v>
      </c>
      <c r="D6576" s="39">
        <f t="shared" si="909"/>
        <v>16260</v>
      </c>
      <c r="E6576" s="1">
        <v>2</v>
      </c>
      <c r="F6576" s="409">
        <f t="shared" si="914"/>
        <v>235</v>
      </c>
      <c r="G6576" s="168">
        <f>SUM(C6576,C6552,C6528,C6504,C6480,C6456,C6432,C6408,C6384,C6360,C6336,C6312,C6288,C6264)/POBLA!$B$23*100000</f>
        <v>974.38217497031053</v>
      </c>
      <c r="H6576" s="256">
        <f t="shared" si="910"/>
        <v>0.67225907140070229</v>
      </c>
      <c r="I6576" s="297">
        <f t="shared" si="912"/>
        <v>655.03725613493759</v>
      </c>
      <c r="J6576" s="297">
        <f t="shared" si="913"/>
        <v>105.14285714285714</v>
      </c>
      <c r="K6576" s="297">
        <f>J6576/POBLA!$B$23*100000</f>
        <v>59.459852481398599</v>
      </c>
      <c r="L6576" s="549">
        <f t="shared" si="911"/>
        <v>0.254305977710233</v>
      </c>
      <c r="M6576" s="401">
        <f>SUM(C6576,C6552,C6528,C6504,C6480,C6456,C6432)/POBLA!$B$23*100000</f>
        <v>416.21896736979022</v>
      </c>
    </row>
    <row r="6577" spans="1:13" s="360" customFormat="1" ht="15.75" thickBot="1" x14ac:dyDescent="0.3">
      <c r="A6577" s="361" t="s">
        <v>40</v>
      </c>
      <c r="B6577" s="269">
        <v>44166</v>
      </c>
      <c r="C6577" s="1">
        <v>302</v>
      </c>
      <c r="D6577" s="176">
        <f>C6577+D6553</f>
        <v>66235</v>
      </c>
      <c r="E6577" s="1">
        <v>26</v>
      </c>
      <c r="F6577" s="476">
        <f t="shared" si="914"/>
        <v>1210</v>
      </c>
      <c r="G6577" s="177">
        <f>SUM(C6577,C6553,C6529,C6505,C6481,C6457,C6433,C6409,C6385,C6361,C6337,C6313,C6289,C6265)/POBLA!$B$24*100000</f>
        <v>291.20954341176025</v>
      </c>
      <c r="H6577" s="402">
        <f t="shared" si="910"/>
        <v>0.50955085183273108</v>
      </c>
      <c r="I6577" s="403">
        <f t="shared" si="912"/>
        <v>148.38607090728311</v>
      </c>
      <c r="J6577" s="403">
        <f t="shared" si="913"/>
        <v>328.28571428571428</v>
      </c>
      <c r="K6577" s="403">
        <f>J6577/POBLA!$B$24*100000</f>
        <v>19.371820256483574</v>
      </c>
      <c r="L6577" s="550">
        <f t="shared" si="911"/>
        <v>0.12855517633674629</v>
      </c>
      <c r="M6577" s="405">
        <f>SUM(C6577,C6553,C6529,C6505,C6481,C6457,C6433)/POBLA!$B$24*100000</f>
        <v>135.60274179538501</v>
      </c>
    </row>
    <row r="6578" spans="1:13" s="360" customFormat="1" ht="15.75" thickBot="1" x14ac:dyDescent="0.3">
      <c r="A6578" s="361" t="s">
        <v>16</v>
      </c>
      <c r="B6578" s="269">
        <v>44167</v>
      </c>
      <c r="C6578" s="1">
        <v>1924</v>
      </c>
      <c r="D6578" s="174">
        <f t="shared" si="909"/>
        <v>622778</v>
      </c>
      <c r="E6578" s="1">
        <v>82</v>
      </c>
      <c r="F6578" s="475">
        <f t="shared" si="914"/>
        <v>20840</v>
      </c>
      <c r="G6578" s="175">
        <f>SUM(C6578,C6554,C6530,C6506,C6482,C6458,C6434,C6410,C6386,C6362,C6338,C6314,C6290,C6266)/POBLA!$B$1*100000</f>
        <v>146.5355075818614</v>
      </c>
      <c r="H6578" s="300">
        <f t="shared" si="910"/>
        <v>0.70663917525773201</v>
      </c>
      <c r="I6578" s="301">
        <f>G6578*H6578</f>
        <v>103.54773022361967</v>
      </c>
      <c r="J6578" s="301">
        <f>AVERAGE(C6578,C6554,C6530,C6506,C6482,C6458,C6434)</f>
        <v>1802.7142857142858</v>
      </c>
      <c r="K6578" s="301">
        <f>J6578/POBLA!$B$1*100000</f>
        <v>10.277063993239013</v>
      </c>
      <c r="L6578" s="548">
        <f t="shared" si="911"/>
        <v>3.5613297669086719E-2</v>
      </c>
      <c r="M6578" s="400">
        <f>SUM(C6578,C6554,C6530,C6506,C6482,C6458,C6434)/POBLA!$B$1*100000</f>
        <v>71.939447952673092</v>
      </c>
    </row>
    <row r="6579" spans="1:13" s="360" customFormat="1" ht="15.75" thickBot="1" x14ac:dyDescent="0.3">
      <c r="A6579" s="361" t="s">
        <v>43</v>
      </c>
      <c r="B6579" s="269">
        <v>44167</v>
      </c>
      <c r="C6579" s="1">
        <v>306</v>
      </c>
      <c r="D6579" s="39">
        <f t="shared" si="909"/>
        <v>159509</v>
      </c>
      <c r="E6579" s="1">
        <v>12</v>
      </c>
      <c r="F6579" s="409">
        <f t="shared" si="914"/>
        <v>5272</v>
      </c>
      <c r="G6579" s="168">
        <f>SUM(C6579,C6555,C6531,C6507,C6483,C6459,C6435,C6411,C6387,C6363,C6339,C6315,C6291,C6267)/POBLA!$B$2*100000</f>
        <v>147.25361761399068</v>
      </c>
      <c r="H6579" s="256">
        <f t="shared" si="910"/>
        <v>0.73522727272727273</v>
      </c>
      <c r="I6579" s="297">
        <f t="shared" ref="I6579:I6601" si="915">G6579*H6579</f>
        <v>108.26487567755906</v>
      </c>
      <c r="J6579" s="297">
        <f t="shared" ref="J6579:J6601" si="916">AVERAGE(C6579,C6555,C6531,C6507,C6483,C6459,C6435)</f>
        <v>326</v>
      </c>
      <c r="K6579" s="297">
        <f>J6579/POBLA!$B$2*100000</f>
        <v>10.599399280671443</v>
      </c>
      <c r="L6579" s="549">
        <f t="shared" si="911"/>
        <v>-1.5576323987538832E-2</v>
      </c>
      <c r="M6579" s="401">
        <f>SUM(C6579,C6555,C6531,C6507,C6483,C6459,C6435)/POBLA!$B$2*100000</f>
        <v>74.195794964700099</v>
      </c>
    </row>
    <row r="6580" spans="1:13" s="360" customFormat="1" ht="15.75" thickBot="1" x14ac:dyDescent="0.3">
      <c r="A6580" s="361" t="s">
        <v>28</v>
      </c>
      <c r="B6580" s="269">
        <v>44167</v>
      </c>
      <c r="C6580" s="1">
        <v>8</v>
      </c>
      <c r="D6580" s="39">
        <f t="shared" si="909"/>
        <v>1891</v>
      </c>
      <c r="E6580" s="1">
        <v>1</v>
      </c>
      <c r="F6580" s="409">
        <f t="shared" si="914"/>
        <v>16</v>
      </c>
      <c r="G6580" s="168">
        <f>SUM(C6580,C6556,C6532,C6508,C6484,C6460,C6436,C6412,C6388,C6364,C6340,C6316,C6292,C6268)/POBLA!$B$3*100000</f>
        <v>69.083714056008361</v>
      </c>
      <c r="H6580" s="256">
        <f t="shared" si="910"/>
        <v>0.54048964218455742</v>
      </c>
      <c r="I6580" s="297">
        <f t="shared" si="915"/>
        <v>37.339031890912239</v>
      </c>
      <c r="J6580" s="297">
        <f t="shared" si="916"/>
        <v>22</v>
      </c>
      <c r="K6580" s="297">
        <f>J6580/POBLA!$B$3*100000</f>
        <v>5.295615711610397</v>
      </c>
      <c r="L6580" s="549">
        <f t="shared" si="911"/>
        <v>-0.15789473684210531</v>
      </c>
      <c r="M6580" s="401">
        <f>SUM(C6580,C6556,C6532,C6508,C6484,C6460,C6436)/POBLA!$B$3*100000</f>
        <v>37.069309981272774</v>
      </c>
    </row>
    <row r="6581" spans="1:13" s="360" customFormat="1" ht="15.75" thickBot="1" x14ac:dyDescent="0.3">
      <c r="A6581" s="361" t="s">
        <v>15</v>
      </c>
      <c r="B6581" s="269">
        <v>44167</v>
      </c>
      <c r="C6581" s="1">
        <v>198</v>
      </c>
      <c r="D6581" s="39">
        <f t="shared" si="909"/>
        <v>19793</v>
      </c>
      <c r="E6581" s="1">
        <v>6</v>
      </c>
      <c r="F6581" s="409">
        <f t="shared" si="914"/>
        <v>572</v>
      </c>
      <c r="G6581" s="168">
        <f>SUM(C6581,C6557,C6533,C6509,C6485,C6461,C6437,C6413,C6389,C6365,C6341,C6317,C6293,C6269)/POBLA!$B$4*100000</f>
        <v>235.44238012653784</v>
      </c>
      <c r="H6581" s="256">
        <f t="shared" si="910"/>
        <v>1.150974025974026</v>
      </c>
      <c r="I6581" s="297">
        <f t="shared" si="915"/>
        <v>270.98806413914826</v>
      </c>
      <c r="J6581" s="297">
        <f t="shared" si="916"/>
        <v>220.71428571428572</v>
      </c>
      <c r="K6581" s="297">
        <f>J6581/POBLA!$B$4*100000</f>
        <v>18.323517897214437</v>
      </c>
      <c r="L6581" s="549">
        <f t="shared" si="911"/>
        <v>-0.1967467079783114</v>
      </c>
      <c r="M6581" s="401">
        <f>SUM(C6581,C6557,C6533,C6509,C6485,C6461,C6437)/POBLA!$B$4*100000</f>
        <v>128.26462528050104</v>
      </c>
    </row>
    <row r="6582" spans="1:13" s="360" customFormat="1" ht="15.75" thickBot="1" x14ac:dyDescent="0.3">
      <c r="A6582" s="361" t="s">
        <v>29</v>
      </c>
      <c r="B6582" s="269">
        <v>44167</v>
      </c>
      <c r="C6582" s="1">
        <v>256</v>
      </c>
      <c r="D6582" s="39">
        <f t="shared" si="909"/>
        <v>23545</v>
      </c>
      <c r="E6582" s="1">
        <v>8</v>
      </c>
      <c r="F6582" s="409">
        <f t="shared" si="914"/>
        <v>389</v>
      </c>
      <c r="G6582" s="168">
        <f>SUM(C6582,C6558,C6534,C6510,C6486,C6462,C6438,C6414,C6390,C6366,C6342,C6318,C6294,C6270)/POBLA!$B$5*100000</f>
        <v>554.44802372882452</v>
      </c>
      <c r="H6582" s="256">
        <f t="shared" si="910"/>
        <v>0.77982276755282887</v>
      </c>
      <c r="I6582" s="297">
        <f t="shared" si="915"/>
        <v>432.37119232840848</v>
      </c>
      <c r="J6582" s="297">
        <f t="shared" si="916"/>
        <v>255.42857142857142</v>
      </c>
      <c r="K6582" s="297">
        <f>J6582/POBLA!$B$5*100000</f>
        <v>41.265112655142282</v>
      </c>
      <c r="L6582" s="549">
        <f t="shared" si="911"/>
        <v>-8.7591240875912302E-2</v>
      </c>
      <c r="M6582" s="401">
        <f>SUM(C6582,C6558,C6534,C6510,C6486,C6462,C6438)/POBLA!$B$5*100000</f>
        <v>288.85578858599598</v>
      </c>
    </row>
    <row r="6583" spans="1:13" s="360" customFormat="1" ht="15.75" thickBot="1" x14ac:dyDescent="0.3">
      <c r="A6583" s="361" t="s">
        <v>20</v>
      </c>
      <c r="B6583" s="269">
        <v>44167</v>
      </c>
      <c r="C6583" s="1">
        <v>790</v>
      </c>
      <c r="D6583" s="39">
        <f t="shared" si="909"/>
        <v>115712</v>
      </c>
      <c r="E6583" s="1">
        <v>22</v>
      </c>
      <c r="F6583" s="409">
        <f t="shared" si="914"/>
        <v>2030</v>
      </c>
      <c r="G6583" s="168">
        <f>SUM(C6583,C6559,C6535,C6511,C6487,C6463,C6439,C6415,C6391,C6367,C6343,C6319,C6295,C6271)/POBLA!$B$6*100000</f>
        <v>879.63875835228555</v>
      </c>
      <c r="H6583" s="256">
        <f t="shared" si="910"/>
        <v>0.60237062381621553</v>
      </c>
      <c r="I6583" s="297">
        <f t="shared" si="915"/>
        <v>529.86854760158747</v>
      </c>
      <c r="J6583" s="297">
        <f t="shared" si="916"/>
        <v>681.28571428571433</v>
      </c>
      <c r="K6583" s="297">
        <f>J6583/POBLA!$B$6*100000</f>
        <v>60.785609067596688</v>
      </c>
      <c r="L6583" s="549">
        <f t="shared" si="911"/>
        <v>6.3064833005893939E-2</v>
      </c>
      <c r="M6583" s="401">
        <f>SUM(C6583,C6559,C6535,C6511,C6487,C6463,C6439)/POBLA!$B$6*100000</f>
        <v>425.49926347317682</v>
      </c>
    </row>
    <row r="6584" spans="1:13" s="360" customFormat="1" ht="15.75" thickBot="1" x14ac:dyDescent="0.3">
      <c r="A6584" s="361" t="s">
        <v>30</v>
      </c>
      <c r="B6584" s="269">
        <v>44167</v>
      </c>
      <c r="C6584" s="1">
        <v>211</v>
      </c>
      <c r="D6584" s="39">
        <f t="shared" si="909"/>
        <v>7502</v>
      </c>
      <c r="E6584" s="1"/>
      <c r="F6584" s="409">
        <f t="shared" si="914"/>
        <v>88</v>
      </c>
      <c r="G6584" s="168">
        <f>SUM(C6584,C6560,C6536,C6512,C6488,C6464,C6440,C6416,C6392,C6368,C6344,C6320,C6296,C6272)/POBLA!$B$7*100000</f>
        <v>86.532196944514624</v>
      </c>
      <c r="H6584" s="256">
        <f t="shared" si="910"/>
        <v>2.0148606811145511</v>
      </c>
      <c r="I6584" s="297">
        <f t="shared" si="915"/>
        <v>174.3503212739632</v>
      </c>
      <c r="J6584" s="297">
        <f t="shared" si="916"/>
        <v>338.28571428571428</v>
      </c>
      <c r="K6584" s="297">
        <f>J6584/POBLA!$B$7*100000</f>
        <v>8.9958838512867949</v>
      </c>
      <c r="L6584" s="549">
        <f t="shared" si="911"/>
        <v>-1.6726862302483072</v>
      </c>
      <c r="M6584" s="401">
        <f>SUM(C6584,C6560,C6536,C6512,C6488,C6464,C6440)/POBLA!$B$7*100000</f>
        <v>62.971186959007568</v>
      </c>
    </row>
    <row r="6585" spans="1:13" ht="15.75" thickBot="1" x14ac:dyDescent="0.3">
      <c r="A6585" s="361" t="s">
        <v>31</v>
      </c>
      <c r="B6585" s="269">
        <v>44167</v>
      </c>
      <c r="C6585" s="1">
        <v>296</v>
      </c>
      <c r="D6585" s="39">
        <f t="shared" si="909"/>
        <v>23800</v>
      </c>
      <c r="E6585" s="1">
        <v>4</v>
      </c>
      <c r="F6585" s="409">
        <f t="shared" si="914"/>
        <v>475</v>
      </c>
      <c r="G6585" s="168">
        <f>SUM(C6585,C6561,C6537,C6513,C6489,C6465,C6441,C6417,C6393,C6369,C6345,C6321,C6297,C6273)/POBLA!$B$8*100000</f>
        <v>207.4372944116032</v>
      </c>
      <c r="H6585" s="256">
        <f t="shared" si="910"/>
        <v>0.73416751787538304</v>
      </c>
      <c r="I6585" s="297">
        <f t="shared" si="915"/>
        <v>152.29372355295177</v>
      </c>
      <c r="J6585" s="297">
        <f t="shared" si="916"/>
        <v>219</v>
      </c>
      <c r="K6585" s="297">
        <f>J6585/POBLA!$B$8*100000</f>
        <v>15.801310426483862</v>
      </c>
      <c r="L6585" s="549">
        <f t="shared" si="911"/>
        <v>-0.14232488822652756</v>
      </c>
      <c r="M6585" s="401">
        <f>SUM(C6585,C6561,C6537,C6513,C6489,C6465,C6441)/POBLA!$B$8*100000</f>
        <v>110.60917298538703</v>
      </c>
    </row>
    <row r="6586" spans="1:13" s="360" customFormat="1" ht="15.75" thickBot="1" x14ac:dyDescent="0.3">
      <c r="A6586" s="361" t="s">
        <v>41</v>
      </c>
      <c r="B6586" s="269">
        <v>44167</v>
      </c>
      <c r="C6586" s="1">
        <v>4</v>
      </c>
      <c r="D6586" s="39">
        <f t="shared" si="909"/>
        <v>187</v>
      </c>
      <c r="E6586" s="1"/>
      <c r="F6586" s="409">
        <f t="shared" si="914"/>
        <v>3</v>
      </c>
      <c r="G6586" s="168">
        <f>SUM(C6586,C6562,C6538,C6514,C6490,C6466,C6442,C6418,C6394,C6370,C6346,C6322,C6298,C6274)/POBLA!$B$9*100000</f>
        <v>2.3133116212514024</v>
      </c>
      <c r="H6586" s="256">
        <f t="shared" si="910"/>
        <v>1.4</v>
      </c>
      <c r="I6586" s="297">
        <f t="shared" si="915"/>
        <v>3.2386362697519631</v>
      </c>
      <c r="J6586" s="297">
        <f t="shared" si="916"/>
        <v>1.2857142857142858</v>
      </c>
      <c r="K6586" s="297">
        <f>J6586/POBLA!$B$9*100000</f>
        <v>0.21244698562512881</v>
      </c>
      <c r="L6586" s="549">
        <f t="shared" si="911"/>
        <v>-0.8</v>
      </c>
      <c r="M6586" s="401">
        <f>SUM(C6586,C6562,C6538,C6514,C6490,C6466,C6442)/POBLA!$B$9*100000</f>
        <v>1.4871288993759018</v>
      </c>
    </row>
    <row r="6587" spans="1:13" s="360" customFormat="1" ht="15.75" thickBot="1" x14ac:dyDescent="0.3">
      <c r="A6587" s="361" t="s">
        <v>32</v>
      </c>
      <c r="B6587" s="269">
        <v>44167</v>
      </c>
      <c r="C6587" s="1">
        <v>6</v>
      </c>
      <c r="D6587" s="39">
        <f t="shared" si="909"/>
        <v>18403</v>
      </c>
      <c r="E6587" s="1"/>
      <c r="F6587" s="409">
        <f t="shared" si="914"/>
        <v>850</v>
      </c>
      <c r="G6587" s="168">
        <f>SUM(C6587,C6563,C6539,C6515,C6491,C6467,C6443,C6419,C6395,C6371,C6347,C6323,C6299,C6275)/POBLA!$B$10*100000</f>
        <v>21.144638407224981</v>
      </c>
      <c r="H6587" s="256">
        <f t="shared" si="910"/>
        <v>0.58633093525179858</v>
      </c>
      <c r="I6587" s="297">
        <f t="shared" si="915"/>
        <v>12.397755612869323</v>
      </c>
      <c r="J6587" s="297">
        <f t="shared" si="916"/>
        <v>10.142857142857142</v>
      </c>
      <c r="K6587" s="297">
        <f>J6587/POBLA!$B$10*100000</f>
        <v>1.3157487527721066</v>
      </c>
      <c r="L6587" s="549">
        <f t="shared" si="911"/>
        <v>0.22826086956521741</v>
      </c>
      <c r="M6587" s="401">
        <f>SUM(C6587,C6563,C6539,C6515,C6491,C6467,C6443)/POBLA!$B$10*100000</f>
        <v>9.2102412694047455</v>
      </c>
    </row>
    <row r="6588" spans="1:13" s="360" customFormat="1" ht="15.75" thickBot="1" x14ac:dyDescent="0.3">
      <c r="A6588" s="361" t="s">
        <v>33</v>
      </c>
      <c r="B6588" s="269">
        <v>44167</v>
      </c>
      <c r="C6588" s="1">
        <v>104</v>
      </c>
      <c r="D6588" s="39">
        <f t="shared" si="909"/>
        <v>5977</v>
      </c>
      <c r="E6588" s="1"/>
      <c r="F6588" s="409">
        <f t="shared" si="914"/>
        <v>85</v>
      </c>
      <c r="G6588" s="168">
        <f>SUM(C6588,C6564,C6540,C6516,C6492,C6468,C6444,C6420,C6396,C6372,C6348,C6324,C6300,C6276)/POBLA!$B$11*100000</f>
        <v>297.96779269476713</v>
      </c>
      <c r="H6588" s="256">
        <f t="shared" si="910"/>
        <v>0.88410596026490063</v>
      </c>
      <c r="I6588" s="297">
        <f t="shared" si="915"/>
        <v>263.43510148841995</v>
      </c>
      <c r="J6588" s="297">
        <f t="shared" si="916"/>
        <v>82</v>
      </c>
      <c r="K6588" s="297">
        <f>J6588/POBLA!$B$11*100000</f>
        <v>22.877676967201221</v>
      </c>
      <c r="L6588" s="549">
        <f t="shared" si="911"/>
        <v>-0.16194331983805665</v>
      </c>
      <c r="M6588" s="401">
        <f>SUM(C6588,C6564,C6540,C6516,C6492,C6468,C6444)/POBLA!$B$11*100000</f>
        <v>160.14373877040856</v>
      </c>
    </row>
    <row r="6589" spans="1:13" s="360" customFormat="1" ht="15.75" thickBot="1" x14ac:dyDescent="0.3">
      <c r="A6589" s="361" t="s">
        <v>21</v>
      </c>
      <c r="B6589" s="269">
        <v>44167</v>
      </c>
      <c r="C6589" s="1">
        <v>33</v>
      </c>
      <c r="D6589" s="39">
        <f t="shared" si="909"/>
        <v>8768</v>
      </c>
      <c r="E6589" s="1">
        <v>1</v>
      </c>
      <c r="F6589" s="409">
        <f t="shared" si="914"/>
        <v>317</v>
      </c>
      <c r="G6589" s="168">
        <f>SUM(C6589,C6565,C6541,C6517,C6493,C6469,C6445,C6421,C6397,C6373,C6349,C6325,C6301,C6277)/POBLA!$B$12*100000</f>
        <v>120.44794438049354</v>
      </c>
      <c r="H6589" s="256">
        <f t="shared" si="910"/>
        <v>0.86025408348457355</v>
      </c>
      <c r="I6589" s="297">
        <f t="shared" si="915"/>
        <v>103.61583600064236</v>
      </c>
      <c r="J6589" s="297">
        <f t="shared" si="916"/>
        <v>25.714285714285715</v>
      </c>
      <c r="K6589" s="297">
        <f>J6589/POBLA!$B$12*100000</f>
        <v>6.5342465305873532</v>
      </c>
      <c r="L6589" s="549">
        <f t="shared" si="911"/>
        <v>0.38775510204081631</v>
      </c>
      <c r="M6589" s="401">
        <f>SUM(C6589,C6565,C6541,C6517,C6493,C6469,C6445)/POBLA!$B$12*100000</f>
        <v>45.739725714111465</v>
      </c>
    </row>
    <row r="6590" spans="1:13" s="360" customFormat="1" ht="15.75" thickBot="1" x14ac:dyDescent="0.3">
      <c r="A6590" s="361" t="s">
        <v>17</v>
      </c>
      <c r="B6590" s="269">
        <v>44167</v>
      </c>
      <c r="C6590" s="1">
        <v>214</v>
      </c>
      <c r="D6590" s="39">
        <f t="shared" si="909"/>
        <v>57023</v>
      </c>
      <c r="E6590" s="1">
        <v>2</v>
      </c>
      <c r="F6590" s="409">
        <f t="shared" si="914"/>
        <v>1112</v>
      </c>
      <c r="G6590" s="168">
        <f>SUM(C6590,C6566,C6542,C6518,C6494,C6470,C6446,C6422,C6398,C6374,C6350,C6326,C6302,C6278)/POBLA!$B$13*100000</f>
        <v>139.27282702736923</v>
      </c>
      <c r="H6590" s="256">
        <f t="shared" si="910"/>
        <v>0.51096774193548389</v>
      </c>
      <c r="I6590" s="297">
        <f t="shared" si="915"/>
        <v>71.163921939146093</v>
      </c>
      <c r="J6590" s="297">
        <f t="shared" si="916"/>
        <v>179.85714285714286</v>
      </c>
      <c r="K6590" s="297">
        <f>J6590/POBLA!$B$13*100000</f>
        <v>9.0365125349133102</v>
      </c>
      <c r="L6590" s="549">
        <f t="shared" si="911"/>
        <v>0.16787838730998017</v>
      </c>
      <c r="M6590" s="401">
        <f>SUM(C6590,C6566,C6542,C6518,C6494,C6470,C6446)/POBLA!$B$13*100000</f>
        <v>63.255587744393168</v>
      </c>
    </row>
    <row r="6591" spans="1:13" s="360" customFormat="1" ht="15.75" thickBot="1" x14ac:dyDescent="0.3">
      <c r="A6591" s="361" t="s">
        <v>23</v>
      </c>
      <c r="B6591" s="269">
        <v>44167</v>
      </c>
      <c r="C6591" s="1">
        <v>14</v>
      </c>
      <c r="D6591" s="39">
        <f t="shared" si="909"/>
        <v>533</v>
      </c>
      <c r="E6591" s="1"/>
      <c r="F6591" s="409">
        <f t="shared" si="914"/>
        <v>9</v>
      </c>
      <c r="G6591" s="168">
        <f>SUM(C6591,C6567,C6543,C6519,C6495,C6471,C6447,C6423,C6399,C6375,C6351,C6327,C6303,C6279)/POBLA!$B$14*100000</f>
        <v>9.989740694873678</v>
      </c>
      <c r="H6591" s="256">
        <f t="shared" si="910"/>
        <v>1.05</v>
      </c>
      <c r="I6591" s="297">
        <f t="shared" si="915"/>
        <v>10.489227729617362</v>
      </c>
      <c r="J6591" s="297">
        <f t="shared" si="916"/>
        <v>9.5714285714285712</v>
      </c>
      <c r="K6591" s="297">
        <f>J6591/POBLA!$B$14*100000</f>
        <v>0.75885785323870336</v>
      </c>
      <c r="L6591" s="549">
        <f t="shared" si="911"/>
        <v>-0.13559322033898313</v>
      </c>
      <c r="M6591" s="401">
        <f>SUM(C6591,C6567,C6543,C6519,C6495,C6471,C6447)/POBLA!$B$14*100000</f>
        <v>5.3120049726709233</v>
      </c>
    </row>
    <row r="6592" spans="1:13" s="360" customFormat="1" ht="15.75" thickBot="1" x14ac:dyDescent="0.3">
      <c r="A6592" s="361" t="s">
        <v>19</v>
      </c>
      <c r="B6592" s="269">
        <v>44167</v>
      </c>
      <c r="C6592" s="1">
        <v>389</v>
      </c>
      <c r="D6592" s="39">
        <f t="shared" si="909"/>
        <v>32801</v>
      </c>
      <c r="E6592" s="1">
        <v>23</v>
      </c>
      <c r="F6592" s="409">
        <f t="shared" si="914"/>
        <v>642</v>
      </c>
      <c r="G6592" s="168">
        <f>SUM(C6592,C6568,C6544,C6520,C6496,C6472,C6448,C6424,C6400,C6376,C6352,C6328,C6304,C6280)/POBLA!$B$15*100000</f>
        <v>623.8922261191434</v>
      </c>
      <c r="H6592" s="256">
        <f t="shared" si="910"/>
        <v>0.88487825715506196</v>
      </c>
      <c r="I6592" s="297">
        <f t="shared" si="915"/>
        <v>552.06866570089949</v>
      </c>
      <c r="J6592" s="297">
        <f t="shared" si="916"/>
        <v>271.85714285714283</v>
      </c>
      <c r="K6592" s="297">
        <f>J6592/POBLA!$B$15*100000</f>
        <v>40.938826464767757</v>
      </c>
      <c r="L6592" s="549">
        <f t="shared" si="911"/>
        <v>0.15044642857142854</v>
      </c>
      <c r="M6592" s="401">
        <f>SUM(C6592,C6568,C6544,C6520,C6496,C6472,C6448)/POBLA!$B$15*100000</f>
        <v>286.57178525337434</v>
      </c>
    </row>
    <row r="6593" spans="1:13" s="360" customFormat="1" ht="15.75" thickBot="1" x14ac:dyDescent="0.3">
      <c r="A6593" s="361" t="s">
        <v>18</v>
      </c>
      <c r="B6593" s="269">
        <v>44167</v>
      </c>
      <c r="C6593" s="1">
        <v>258</v>
      </c>
      <c r="D6593" s="39">
        <f t="shared" si="909"/>
        <v>32207</v>
      </c>
      <c r="E6593" s="1">
        <v>3</v>
      </c>
      <c r="F6593" s="409">
        <f t="shared" si="914"/>
        <v>794</v>
      </c>
      <c r="G6593" s="168">
        <f>SUM(C6593,C6569,C6545,C6521,C6497,C6473,C6449,C6425,C6401,C6377,C6353,C6329,C6305,C6281)/POBLA!$B$16*100000</f>
        <v>397.39971375449772</v>
      </c>
      <c r="H6593" s="256">
        <f t="shared" si="910"/>
        <v>0.73213405618531291</v>
      </c>
      <c r="I6593" s="297">
        <f t="shared" si="915"/>
        <v>290.94986435796272</v>
      </c>
      <c r="J6593" s="297">
        <f t="shared" si="916"/>
        <v>210.71428571428572</v>
      </c>
      <c r="K6593" s="297">
        <f>J6593/POBLA!$B$16*100000</f>
        <v>28.185054468812044</v>
      </c>
      <c r="L6593" s="549">
        <f t="shared" si="911"/>
        <v>1.4037433155080214E-2</v>
      </c>
      <c r="M6593" s="401">
        <f>SUM(C6593,C6569,C6545,C6521,C6497,C6473,C6449)/POBLA!$B$16*100000</f>
        <v>197.29538128168429</v>
      </c>
    </row>
    <row r="6594" spans="1:13" s="360" customFormat="1" ht="15.75" thickBot="1" x14ac:dyDescent="0.3">
      <c r="A6594" s="361" t="s">
        <v>34</v>
      </c>
      <c r="B6594" s="269">
        <v>44167</v>
      </c>
      <c r="C6594" s="1">
        <v>49</v>
      </c>
      <c r="D6594" s="39">
        <f t="shared" si="909"/>
        <v>21251</v>
      </c>
      <c r="E6594" s="1">
        <v>1</v>
      </c>
      <c r="F6594" s="409">
        <f t="shared" si="914"/>
        <v>984</v>
      </c>
      <c r="G6594" s="168">
        <f>SUM(C6594,C6570,C6546,C6522,C6498,C6474,C6450,C6426,C6402,C6378,C6354,C6330,C6306,C6282)/POBLA!$B$17*100000</f>
        <v>57.006578924274628</v>
      </c>
      <c r="H6594" s="256">
        <f t="shared" si="910"/>
        <v>0.651685393258427</v>
      </c>
      <c r="I6594" s="297">
        <f t="shared" si="915"/>
        <v>37.150354804583465</v>
      </c>
      <c r="J6594" s="297">
        <f t="shared" si="916"/>
        <v>42.714285714285715</v>
      </c>
      <c r="K6594" s="297">
        <f>J6594/POBLA!$B$17*100000</f>
        <v>2.9987626844402029</v>
      </c>
      <c r="L6594" s="549">
        <f t="shared" si="911"/>
        <v>0.4171539961013645</v>
      </c>
      <c r="M6594" s="401">
        <f>SUM(C6594,C6570,C6546,C6522,C6498,C6474,C6450)/POBLA!$B$17*100000</f>
        <v>20.991338791081418</v>
      </c>
    </row>
    <row r="6595" spans="1:13" s="360" customFormat="1" ht="15.75" thickBot="1" x14ac:dyDescent="0.3">
      <c r="A6595" s="361" t="s">
        <v>35</v>
      </c>
      <c r="B6595" s="269">
        <v>44167</v>
      </c>
      <c r="C6595" s="1">
        <v>250</v>
      </c>
      <c r="D6595" s="39">
        <f t="shared" si="909"/>
        <v>8067</v>
      </c>
      <c r="E6595" s="1"/>
      <c r="F6595" s="409">
        <f t="shared" si="914"/>
        <v>173</v>
      </c>
      <c r="G6595" s="168">
        <f>SUM(C6595,C6571,C6547,C6523,C6499,C6475,C6451,C6427,C6403,C6379,C6355,C6331,C6307,C6283)/POBLA!$B$18*100000</f>
        <v>410.2573292695883</v>
      </c>
      <c r="H6595" s="256">
        <f t="shared" si="910"/>
        <v>1.791503633314701</v>
      </c>
      <c r="I6595" s="297">
        <f t="shared" si="915"/>
        <v>734.977495980453</v>
      </c>
      <c r="J6595" s="297">
        <f t="shared" si="916"/>
        <v>192.14285714285714</v>
      </c>
      <c r="K6595" s="297">
        <f>J6595/POBLA!$B$18*100000</f>
        <v>24.595324620797694</v>
      </c>
      <c r="L6595" s="549">
        <f t="shared" si="911"/>
        <v>0.2768817204301075</v>
      </c>
      <c r="M6595" s="401">
        <f>SUM(C6595,C6571,C6547,C6523,C6499,C6475,C6451)/POBLA!$B$18*100000</f>
        <v>172.16727234558388</v>
      </c>
    </row>
    <row r="6596" spans="1:13" s="360" customFormat="1" ht="15.75" thickBot="1" x14ac:dyDescent="0.3">
      <c r="A6596" s="361" t="s">
        <v>36</v>
      </c>
      <c r="B6596" s="269">
        <v>44167</v>
      </c>
      <c r="C6596" s="1">
        <v>101</v>
      </c>
      <c r="D6596" s="39">
        <f t="shared" si="909"/>
        <v>14809</v>
      </c>
      <c r="E6596" s="1">
        <v>5</v>
      </c>
      <c r="F6596" s="409">
        <f t="shared" si="914"/>
        <v>220</v>
      </c>
      <c r="G6596" s="168">
        <f>SUM(C6596,C6572,C6548,C6524,C6500,C6476,C6452,C6428,C6404,C6380,C6356,C6332,C6308,C6284)/POBLA!$B$19*100000</f>
        <v>540.79255913504664</v>
      </c>
      <c r="H6596" s="256">
        <f t="shared" si="910"/>
        <v>0.69471822087439983</v>
      </c>
      <c r="I6596" s="297">
        <f t="shared" si="915"/>
        <v>375.69844454441329</v>
      </c>
      <c r="J6596" s="297">
        <f t="shared" si="916"/>
        <v>176.71428571428572</v>
      </c>
      <c r="K6596" s="297">
        <f>J6596/POBLA!$B$19*100000</f>
        <v>34.763830777428296</v>
      </c>
      <c r="L6596" s="549">
        <f t="shared" si="911"/>
        <v>0.18187830687830686</v>
      </c>
      <c r="M6596" s="401">
        <f>SUM(C6596,C6572,C6548,C6524,C6500,C6476,C6452)/POBLA!$B$19*100000</f>
        <v>243.3468154419981</v>
      </c>
    </row>
    <row r="6597" spans="1:13" s="360" customFormat="1" ht="15.75" thickBot="1" x14ac:dyDescent="0.3">
      <c r="A6597" s="361" t="s">
        <v>37</v>
      </c>
      <c r="B6597" s="269">
        <v>44167</v>
      </c>
      <c r="C6597" s="1">
        <v>237</v>
      </c>
      <c r="D6597" s="39">
        <f t="shared" si="909"/>
        <v>16478</v>
      </c>
      <c r="E6597" s="1">
        <v>4</v>
      </c>
      <c r="F6597" s="409">
        <f t="shared" si="914"/>
        <v>284</v>
      </c>
      <c r="G6597" s="168">
        <f>SUM(C6597,C6573,C6549,C6525,C6501,C6477,C6453,C6429,C6405,C6381,C6357,C6333,C6309,C6285)/POBLA!$B$20*100000</f>
        <v>865.46822788202292</v>
      </c>
      <c r="H6597" s="256">
        <f t="shared" si="910"/>
        <v>1.0333006856023506</v>
      </c>
      <c r="I6597" s="297">
        <f t="shared" si="915"/>
        <v>894.28891323754567</v>
      </c>
      <c r="J6597" s="297">
        <f t="shared" si="916"/>
        <v>233.42857142857142</v>
      </c>
      <c r="K6597" s="297">
        <f>J6597/POBLA!$B$20*100000</f>
        <v>63.830967472770276</v>
      </c>
      <c r="L6597" s="549">
        <f t="shared" si="911"/>
        <v>-6.7276290006531569E-2</v>
      </c>
      <c r="M6597" s="401">
        <f>SUM(C6597,C6573,C6549,C6525,C6501,C6477,C6453)/POBLA!$B$20*100000</f>
        <v>446.81677230939192</v>
      </c>
    </row>
    <row r="6598" spans="1:13" s="360" customFormat="1" ht="15.75" thickBot="1" x14ac:dyDescent="0.3">
      <c r="A6598" s="361" t="s">
        <v>22</v>
      </c>
      <c r="B6598" s="269">
        <v>44167</v>
      </c>
      <c r="C6598" s="1">
        <v>1377</v>
      </c>
      <c r="D6598" s="39">
        <f t="shared" si="909"/>
        <v>150352</v>
      </c>
      <c r="E6598" s="1">
        <v>41</v>
      </c>
      <c r="F6598" s="409">
        <f t="shared" si="914"/>
        <v>2329</v>
      </c>
      <c r="G6598" s="168">
        <f>SUM(C6598,C6574,C6550,C6526,C6502,C6478,C6454,C6430,C6406,C6382,C6358,C6334,C6310,C6286)/POBLA!$B$21*100000</f>
        <v>502.37273987407593</v>
      </c>
      <c r="H6598" s="256">
        <f t="shared" si="910"/>
        <v>0.88972355769230771</v>
      </c>
      <c r="I6598" s="297">
        <f t="shared" si="915"/>
        <v>446.97286140839509</v>
      </c>
      <c r="J6598" s="297">
        <f t="shared" si="916"/>
        <v>1251</v>
      </c>
      <c r="K6598" s="297">
        <f>J6598/POBLA!$B$21*100000</f>
        <v>35.374777529126931</v>
      </c>
      <c r="L6598" s="549">
        <f t="shared" si="911"/>
        <v>2.7972027972028024E-2</v>
      </c>
      <c r="M6598" s="401">
        <f>SUM(C6598,C6574,C6550,C6526,C6502,C6478,C6454)/POBLA!$B$21*100000</f>
        <v>247.62344270388851</v>
      </c>
    </row>
    <row r="6599" spans="1:13" s="360" customFormat="1" ht="15.75" thickBot="1" x14ac:dyDescent="0.3">
      <c r="A6599" s="361" t="s">
        <v>38</v>
      </c>
      <c r="B6599" s="269">
        <v>44167</v>
      </c>
      <c r="C6599" s="1">
        <v>129</v>
      </c>
      <c r="D6599" s="39">
        <f t="shared" si="909"/>
        <v>15843</v>
      </c>
      <c r="E6599" s="1">
        <v>1</v>
      </c>
      <c r="F6599" s="409">
        <f t="shared" si="914"/>
        <v>191</v>
      </c>
      <c r="G6599" s="168">
        <f>SUM(C6599,C6575,C6551,C6527,C6503,C6479,C6455,C6431,C6407,C6383,C6359,C6335,C6311,C6287)/POBLA!$B$22*100000</f>
        <v>223.85473769642232</v>
      </c>
      <c r="H6599" s="256">
        <f t="shared" si="910"/>
        <v>0.67054500918554805</v>
      </c>
      <c r="I6599" s="297">
        <f t="shared" si="915"/>
        <v>150.10467714487595</v>
      </c>
      <c r="J6599" s="297">
        <f t="shared" si="916"/>
        <v>139.28571428571428</v>
      </c>
      <c r="K6599" s="297">
        <f>J6599/POBLA!$B$22*100000</f>
        <v>14.237336546249951</v>
      </c>
      <c r="L6599" s="549">
        <f t="shared" si="911"/>
        <v>0.19753086419753085</v>
      </c>
      <c r="M6599" s="401">
        <f>SUM(C6599,C6575,C6551,C6527,C6503,C6479,C6455)/POBLA!$B$22*100000</f>
        <v>99.661355823749645</v>
      </c>
    </row>
    <row r="6600" spans="1:13" s="360" customFormat="1" ht="15.75" thickBot="1" x14ac:dyDescent="0.3">
      <c r="A6600" s="361" t="s">
        <v>39</v>
      </c>
      <c r="B6600" s="269">
        <v>44167</v>
      </c>
      <c r="C6600" s="1">
        <v>128</v>
      </c>
      <c r="D6600" s="39">
        <f t="shared" si="909"/>
        <v>16388</v>
      </c>
      <c r="E6600" s="1"/>
      <c r="F6600" s="409">
        <f t="shared" si="914"/>
        <v>235</v>
      </c>
      <c r="G6600" s="168">
        <f>SUM(C6600,C6576,C6552,C6528,C6504,C6480,C6456,C6432,C6408,C6384,C6360,C6336,C6312,C6288)/POBLA!$B$23*100000</f>
        <v>972.12011536503985</v>
      </c>
      <c r="H6600" s="256">
        <f t="shared" si="910"/>
        <v>0.69036144578313252</v>
      </c>
      <c r="I6600" s="297">
        <f t="shared" si="915"/>
        <v>671.11424831827446</v>
      </c>
      <c r="J6600" s="297">
        <f t="shared" si="916"/>
        <v>98.142857142857139</v>
      </c>
      <c r="K6600" s="297">
        <f>J6600/POBLA!$B$23*100000</f>
        <v>55.501248172175053</v>
      </c>
      <c r="L6600" s="549">
        <f t="shared" si="911"/>
        <v>0.33430232558139539</v>
      </c>
      <c r="M6600" s="401">
        <f>SUM(C6600,C6576,C6552,C6528,C6504,C6480,C6456)/POBLA!$B$23*100000</f>
        <v>388.50873720522537</v>
      </c>
    </row>
    <row r="6601" spans="1:13" s="360" customFormat="1" ht="15.75" thickBot="1" x14ac:dyDescent="0.3">
      <c r="A6601" s="359" t="s">
        <v>40</v>
      </c>
      <c r="B6601" s="268">
        <v>44167</v>
      </c>
      <c r="C6601" s="232">
        <v>251</v>
      </c>
      <c r="D6601" s="67">
        <f>C6601+D6577</f>
        <v>66486</v>
      </c>
      <c r="E6601" s="232">
        <v>12</v>
      </c>
      <c r="F6601" s="477">
        <f t="shared" si="914"/>
        <v>1222</v>
      </c>
      <c r="G6601" s="177">
        <f>SUM(C6601,C6577,C6553,C6529,C6505,C6481,C6457,C6433,C6409,C6385,C6361,C6337,C6313,C6289)/POBLA!$B$24*100000</f>
        <v>274.56899807394541</v>
      </c>
      <c r="H6601" s="402">
        <f t="shared" si="910"/>
        <v>0.4914448669201521</v>
      </c>
      <c r="I6601" s="403">
        <f t="shared" si="915"/>
        <v>134.93552471884959</v>
      </c>
      <c r="J6601" s="403">
        <f t="shared" si="916"/>
        <v>312.14285714285717</v>
      </c>
      <c r="K6601" s="403">
        <f>J6601/POBLA!$B$24*100000</f>
        <v>18.419245979293564</v>
      </c>
      <c r="L6601" s="550">
        <f t="shared" si="911"/>
        <v>0.11466774716369532</v>
      </c>
      <c r="M6601" s="405">
        <f>SUM(C6601,C6577,C6553,C6529,C6505,C6481,C6457)/POBLA!$B$24*100000</f>
        <v>128.93472185505496</v>
      </c>
    </row>
    <row r="6602" spans="1:13" s="360" customFormat="1" x14ac:dyDescent="0.25">
      <c r="A6602" s="363" t="s">
        <v>16</v>
      </c>
      <c r="B6602" s="265">
        <v>44168</v>
      </c>
      <c r="C6602" s="43">
        <v>1816</v>
      </c>
      <c r="D6602" s="174">
        <f t="shared" si="909"/>
        <v>624594</v>
      </c>
      <c r="E6602" s="43">
        <v>39</v>
      </c>
      <c r="F6602" s="475">
        <f t="shared" si="914"/>
        <v>20879</v>
      </c>
      <c r="G6602" s="175">
        <f>SUM(C6602,C6578,C6554,C6530,C6506,C6482,C6458,C6434,C6410,C6386,C6362,C6338,C6314,C6290)/POBLA!$B$1*100000</f>
        <v>141.25078864596094</v>
      </c>
      <c r="H6602" s="300">
        <f t="shared" si="910"/>
        <v>0.69057108615067309</v>
      </c>
      <c r="I6602" s="301">
        <f>G6602*H6602</f>
        <v>97.543710534880404</v>
      </c>
      <c r="J6602" s="301">
        <f>AVERAGE(C6602,C6578,C6554,C6530,C6506,C6482,C6458)</f>
        <v>1692.2857142857142</v>
      </c>
      <c r="K6602" s="301">
        <f>J6602/POBLA!$B$1*100000</f>
        <v>9.6475235806251955</v>
      </c>
      <c r="L6602" s="548">
        <f t="shared" si="911"/>
        <v>8.3906890418374402E-2</v>
      </c>
      <c r="M6602" s="400">
        <f>SUM(C6602,C6578,C6554,C6530,C6506,C6482,C6458)/POBLA!$B$1*100000</f>
        <v>67.53266506437636</v>
      </c>
    </row>
    <row r="6603" spans="1:13" s="360" customFormat="1" x14ac:dyDescent="0.25">
      <c r="A6603" s="367" t="s">
        <v>43</v>
      </c>
      <c r="B6603" s="2">
        <v>44168</v>
      </c>
      <c r="C6603" s="1">
        <v>372</v>
      </c>
      <c r="D6603" s="39">
        <f t="shared" si="909"/>
        <v>159881</v>
      </c>
      <c r="E6603" s="1">
        <v>5</v>
      </c>
      <c r="F6603" s="409">
        <f t="shared" si="914"/>
        <v>5277</v>
      </c>
      <c r="G6603" s="168">
        <f>SUM(C6603,C6579,C6555,C6531,C6507,C6483,C6459,C6435,C6411,C6387,C6363,C6339,C6315,C6291)/POBLA!$B$2*100000</f>
        <v>143.77467367831019</v>
      </c>
      <c r="H6603" s="256">
        <f t="shared" si="910"/>
        <v>0.71750770728541291</v>
      </c>
      <c r="I6603" s="297">
        <f t="shared" ref="I6603:I6625" si="917">G6603*H6603</f>
        <v>103.15943647663275</v>
      </c>
      <c r="J6603" s="297">
        <f t="shared" ref="J6603:J6625" si="918">AVERAGE(C6603,C6579,C6555,C6531,C6507,C6483,C6459)</f>
        <v>330</v>
      </c>
      <c r="K6603" s="297">
        <f>J6603/POBLA!$B$2*100000</f>
        <v>10.729453259575386</v>
      </c>
      <c r="L6603" s="549">
        <f t="shared" si="911"/>
        <v>-9.375E-2</v>
      </c>
      <c r="M6603" s="401">
        <f>SUM(C6603,C6579,C6555,C6531,C6507,C6483,C6459)/POBLA!$B$2*100000</f>
        <v>75.106172817027698</v>
      </c>
    </row>
    <row r="6604" spans="1:13" s="360" customFormat="1" x14ac:dyDescent="0.25">
      <c r="A6604" s="367" t="s">
        <v>28</v>
      </c>
      <c r="B6604" s="2">
        <v>44168</v>
      </c>
      <c r="C6604" s="1">
        <v>17</v>
      </c>
      <c r="D6604" s="39">
        <f t="shared" si="909"/>
        <v>1908</v>
      </c>
      <c r="E6604" s="1">
        <v>1</v>
      </c>
      <c r="F6604" s="409">
        <f t="shared" si="914"/>
        <v>17</v>
      </c>
      <c r="G6604" s="168">
        <f>SUM(C6604,C6580,C6556,C6532,C6508,C6484,C6460,C6436,C6412,C6388,C6364,C6340,C6316,C6292)/POBLA!$B$3*100000</f>
        <v>65.95448659005676</v>
      </c>
      <c r="H6604" s="256">
        <f t="shared" si="910"/>
        <v>0.53307392996108949</v>
      </c>
      <c r="I6604" s="297">
        <f t="shared" si="917"/>
        <v>35.158617365127533</v>
      </c>
      <c r="J6604" s="297">
        <f t="shared" si="918"/>
        <v>18.428571428571427</v>
      </c>
      <c r="K6604" s="297">
        <f>J6604/POBLA!$B$3*100000</f>
        <v>4.4359378363489679</v>
      </c>
      <c r="L6604" s="549">
        <f t="shared" si="911"/>
        <v>0.1103448275862069</v>
      </c>
      <c r="M6604" s="401">
        <f>SUM(C6604,C6580,C6556,C6532,C6508,C6484,C6460)/POBLA!$B$3*100000</f>
        <v>31.051564854442784</v>
      </c>
    </row>
    <row r="6605" spans="1:13" s="360" customFormat="1" x14ac:dyDescent="0.25">
      <c r="A6605" s="367" t="s">
        <v>15</v>
      </c>
      <c r="B6605" s="2">
        <v>44168</v>
      </c>
      <c r="C6605" s="1">
        <v>335</v>
      </c>
      <c r="D6605" s="39">
        <f t="shared" si="909"/>
        <v>20128</v>
      </c>
      <c r="E6605" s="1">
        <v>4</v>
      </c>
      <c r="F6605" s="409">
        <f t="shared" si="914"/>
        <v>576</v>
      </c>
      <c r="G6605" s="168">
        <f>SUM(C6605,C6581,C6557,C6533,C6509,C6485,C6461,C6437,C6413,C6389,C6365,C6341,C6317,C6293)/POBLA!$B$4*100000</f>
        <v>239.17824299878541</v>
      </c>
      <c r="H6605" s="256">
        <f t="shared" si="910"/>
        <v>1.1042545036412419</v>
      </c>
      <c r="I6605" s="297">
        <f t="shared" si="917"/>
        <v>264.1136520044081</v>
      </c>
      <c r="J6605" s="297">
        <f t="shared" si="918"/>
        <v>232.85714285714286</v>
      </c>
      <c r="K6605" s="297">
        <f>J6605/POBLA!$B$4*100000</f>
        <v>19.33160787861458</v>
      </c>
      <c r="L6605" s="549">
        <f t="shared" si="911"/>
        <v>-0.30295763389288566</v>
      </c>
      <c r="M6605" s="401">
        <f>SUM(C6605,C6581,C6557,C6533,C6509,C6485,C6461)/POBLA!$B$4*100000</f>
        <v>135.32125515030208</v>
      </c>
    </row>
    <row r="6606" spans="1:13" s="360" customFormat="1" x14ac:dyDescent="0.25">
      <c r="A6606" s="367" t="s">
        <v>29</v>
      </c>
      <c r="B6606" s="2">
        <v>44168</v>
      </c>
      <c r="C6606" s="1">
        <v>316</v>
      </c>
      <c r="D6606" s="39">
        <f t="shared" si="909"/>
        <v>23861</v>
      </c>
      <c r="E6606" s="1">
        <v>9</v>
      </c>
      <c r="F6606" s="409">
        <f t="shared" si="914"/>
        <v>398</v>
      </c>
      <c r="G6606" s="168">
        <f>SUM(C6606,C6582,C6558,C6534,C6510,C6486,C6462,C6438,C6414,C6390,C6366,C6342,C6318,C6294)/POBLA!$B$5*100000</f>
        <v>553.15560409309296</v>
      </c>
      <c r="H6606" s="256">
        <f t="shared" si="910"/>
        <v>0.79925303454715224</v>
      </c>
      <c r="I6606" s="297">
        <f t="shared" si="917"/>
        <v>442.1112951481677</v>
      </c>
      <c r="J6606" s="297">
        <f t="shared" si="918"/>
        <v>262.57142857142856</v>
      </c>
      <c r="K6606" s="297">
        <f>J6606/POBLA!$B$5*100000</f>
        <v>42.419058758474002</v>
      </c>
      <c r="L6606" s="549">
        <f t="shared" si="911"/>
        <v>-0.15889029003783106</v>
      </c>
      <c r="M6606" s="401">
        <f>SUM(C6606,C6582,C6558,C6534,C6510,C6486,C6462)/POBLA!$B$5*100000</f>
        <v>296.93341130931805</v>
      </c>
    </row>
    <row r="6607" spans="1:13" s="360" customFormat="1" x14ac:dyDescent="0.25">
      <c r="A6607" s="367" t="s">
        <v>20</v>
      </c>
      <c r="B6607" s="2">
        <v>44168</v>
      </c>
      <c r="C6607" s="1">
        <v>532</v>
      </c>
      <c r="D6607" s="39">
        <f t="shared" si="909"/>
        <v>116244</v>
      </c>
      <c r="E6607" s="1">
        <v>8</v>
      </c>
      <c r="F6607" s="409">
        <f t="shared" si="914"/>
        <v>2038</v>
      </c>
      <c r="G6607" s="168">
        <f>SUM(C6607,C6583,C6559,C6535,C6511,C6487,C6463,C6439,C6415,C6391,C6367,C6343,C6319,C6295)/POBLA!$B$6*100000</f>
        <v>833.33258981746087</v>
      </c>
      <c r="H6607" s="256">
        <f t="shared" si="910"/>
        <v>0.57076509410901977</v>
      </c>
      <c r="I6607" s="297">
        <f t="shared" si="917"/>
        <v>475.63715405127624</v>
      </c>
      <c r="J6607" s="297">
        <f t="shared" si="918"/>
        <v>622.71428571428567</v>
      </c>
      <c r="K6607" s="297">
        <f>J6607/POBLA!$B$6*100000</f>
        <v>55.55975464995889</v>
      </c>
      <c r="L6607" s="549">
        <f t="shared" si="911"/>
        <v>0.12487452318811487</v>
      </c>
      <c r="M6607" s="401">
        <f>SUM(C6607,C6583,C6559,C6535,C6511,C6487,C6463)/POBLA!$B$6*100000</f>
        <v>388.91828254971222</v>
      </c>
    </row>
    <row r="6608" spans="1:13" s="360" customFormat="1" x14ac:dyDescent="0.25">
      <c r="A6608" s="367" t="s">
        <v>30</v>
      </c>
      <c r="B6608" s="2">
        <v>44168</v>
      </c>
      <c r="C6608" s="1">
        <v>374</v>
      </c>
      <c r="D6608" s="39">
        <f t="shared" si="909"/>
        <v>7876</v>
      </c>
      <c r="E6608" s="1"/>
      <c r="F6608" s="409">
        <f t="shared" si="914"/>
        <v>88</v>
      </c>
      <c r="G6608" s="168">
        <f>SUM(C6608,C6584,C6560,C6536,C6512,C6488,C6464,C6440,C6416,C6392,C6368,C6344,C6320,C6296)/POBLA!$B$7*100000</f>
        <v>89.537156457338881</v>
      </c>
      <c r="H6608" s="256">
        <f t="shared" si="910"/>
        <v>1.8121636167922497</v>
      </c>
      <c r="I6608" s="297">
        <f t="shared" si="917"/>
        <v>162.25597728302475</v>
      </c>
      <c r="J6608" s="297">
        <f t="shared" si="918"/>
        <v>370.28571428571428</v>
      </c>
      <c r="K6608" s="297">
        <f>J6608/POBLA!$B$7*100000</f>
        <v>9.8468458372193286</v>
      </c>
      <c r="L6608" s="549">
        <f t="shared" si="911"/>
        <v>-2.3445161290322583</v>
      </c>
      <c r="M6608" s="401">
        <f>SUM(C6608,C6584,C6560,C6536,C6512,C6488,C6464)/POBLA!$B$7*100000</f>
        <v>68.927920860535309</v>
      </c>
    </row>
    <row r="6609" spans="1:13" x14ac:dyDescent="0.25">
      <c r="A6609" s="367" t="s">
        <v>31</v>
      </c>
      <c r="B6609" s="2">
        <v>44168</v>
      </c>
      <c r="C6609" s="1">
        <v>184</v>
      </c>
      <c r="D6609" s="39">
        <f t="shared" si="909"/>
        <v>23984</v>
      </c>
      <c r="E6609" s="1">
        <v>3</v>
      </c>
      <c r="F6609" s="409">
        <f t="shared" si="914"/>
        <v>478</v>
      </c>
      <c r="G6609" s="168">
        <f>SUM(C6609,C6585,C6561,C6537,C6513,C6489,C6465,C6441,C6417,C6393,C6369,C6345,C6321,C6297)/POBLA!$B$8*100000</f>
        <v>197.33600007503819</v>
      </c>
      <c r="H6609" s="256">
        <f t="shared" si="910"/>
        <v>0.70056352459016391</v>
      </c>
      <c r="I6609" s="297">
        <f t="shared" si="917"/>
        <v>138.24640374109359</v>
      </c>
      <c r="J6609" s="297">
        <f t="shared" si="918"/>
        <v>204.14285714285714</v>
      </c>
      <c r="K6609" s="297">
        <f>J6609/POBLA!$B$8*100000</f>
        <v>14.7293363336239</v>
      </c>
      <c r="L6609" s="549">
        <f t="shared" si="911"/>
        <v>-9.418070444104143E-2</v>
      </c>
      <c r="M6609" s="401">
        <f>SUM(C6609,C6585,C6561,C6537,C6513,C6489,C6465)/POBLA!$B$8*100000</f>
        <v>103.10535433536729</v>
      </c>
    </row>
    <row r="6610" spans="1:13" s="360" customFormat="1" x14ac:dyDescent="0.25">
      <c r="A6610" s="367" t="s">
        <v>41</v>
      </c>
      <c r="B6610" s="2">
        <v>44168</v>
      </c>
      <c r="C6610" s="1">
        <v>2</v>
      </c>
      <c r="D6610" s="39">
        <f t="shared" si="909"/>
        <v>189</v>
      </c>
      <c r="E6610" s="1"/>
      <c r="F6610" s="409">
        <f t="shared" si="914"/>
        <v>3</v>
      </c>
      <c r="G6610" s="168">
        <f>SUM(C6610,C6586,C6562,C6538,C6514,C6490,C6466,C6442,C6418,C6394,C6370,C6346,C6322,C6298)/POBLA!$B$9*100000</f>
        <v>2.4785481656265027</v>
      </c>
      <c r="H6610" s="256">
        <f t="shared" si="910"/>
        <v>1.0714285714285714</v>
      </c>
      <c r="I6610" s="297">
        <f t="shared" si="917"/>
        <v>2.65558732031411</v>
      </c>
      <c r="J6610" s="297">
        <f t="shared" si="918"/>
        <v>1.5714285714285714</v>
      </c>
      <c r="K6610" s="297">
        <f>J6610/POBLA!$B$9*100000</f>
        <v>0.25965742687515742</v>
      </c>
      <c r="L6610" s="549">
        <f t="shared" si="911"/>
        <v>-1.75</v>
      </c>
      <c r="M6610" s="401">
        <f>SUM(C6610,C6586,C6562,C6538,C6514,C6490,C6466)/POBLA!$B$9*100000</f>
        <v>1.8176019881261019</v>
      </c>
    </row>
    <row r="6611" spans="1:13" s="360" customFormat="1" x14ac:dyDescent="0.25">
      <c r="A6611" s="367" t="s">
        <v>32</v>
      </c>
      <c r="B6611" s="2">
        <v>44168</v>
      </c>
      <c r="C6611" s="1">
        <v>7</v>
      </c>
      <c r="D6611" s="39">
        <f t="shared" si="909"/>
        <v>18410</v>
      </c>
      <c r="E6611" s="1"/>
      <c r="F6611" s="409">
        <f t="shared" si="914"/>
        <v>850</v>
      </c>
      <c r="G6611" s="168">
        <f>SUM(C6611,C6587,C6563,C6539,C6515,C6491,C6467,C6443,C6419,C6395,C6371,C6347,C6323,C6299)/POBLA!$B$10*100000</f>
        <v>20.496029867126055</v>
      </c>
      <c r="H6611" s="256">
        <f t="shared" si="910"/>
        <v>0.5703971119133574</v>
      </c>
      <c r="I6611" s="297">
        <f t="shared" si="917"/>
        <v>11.690876241898616</v>
      </c>
      <c r="J6611" s="297">
        <f t="shared" si="918"/>
        <v>10.285714285714286</v>
      </c>
      <c r="K6611" s="297">
        <f>J6611/POBLA!$B$10*100000</f>
        <v>1.3342804253463616</v>
      </c>
      <c r="L6611" s="549">
        <f t="shared" si="911"/>
        <v>0.16279069767441856</v>
      </c>
      <c r="M6611" s="401">
        <f>SUM(C6611,C6587,C6563,C6539,C6515,C6491,C6467)/POBLA!$B$10*100000</f>
        <v>9.3399629774245323</v>
      </c>
    </row>
    <row r="6612" spans="1:13" s="360" customFormat="1" x14ac:dyDescent="0.25">
      <c r="A6612" s="367" t="s">
        <v>33</v>
      </c>
      <c r="B6612" s="2">
        <v>44168</v>
      </c>
      <c r="C6612" s="1">
        <v>97</v>
      </c>
      <c r="D6612" s="39">
        <f t="shared" si="909"/>
        <v>6074</v>
      </c>
      <c r="E6612" s="1">
        <v>2</v>
      </c>
      <c r="F6612" s="409">
        <f t="shared" si="914"/>
        <v>87</v>
      </c>
      <c r="G6612" s="168">
        <f>SUM(C6612,C6588,C6564,C6540,C6516,C6492,C6468,C6444,C6420,C6396,C6372,C6348,C6324,C6300)/POBLA!$B$11*100000</f>
        <v>307.45365875433839</v>
      </c>
      <c r="H6612" s="256">
        <f t="shared" si="910"/>
        <v>0.95</v>
      </c>
      <c r="I6612" s="297">
        <f t="shared" si="917"/>
        <v>292.08097581662145</v>
      </c>
      <c r="J6612" s="297">
        <f t="shared" si="918"/>
        <v>84.285714285714292</v>
      </c>
      <c r="K6612" s="297">
        <f>J6612/POBLA!$B$11*100000</f>
        <v>23.515382248516936</v>
      </c>
      <c r="L6612" s="549">
        <f t="shared" si="911"/>
        <v>-0.15234375</v>
      </c>
      <c r="M6612" s="401">
        <f>SUM(C6612,C6588,C6564,C6540,C6516,C6492,C6468)/POBLA!$B$11*100000</f>
        <v>164.60767573961854</v>
      </c>
    </row>
    <row r="6613" spans="1:13" s="360" customFormat="1" x14ac:dyDescent="0.25">
      <c r="A6613" s="367" t="s">
        <v>21</v>
      </c>
      <c r="B6613" s="2">
        <v>44168</v>
      </c>
      <c r="C6613" s="1">
        <v>32</v>
      </c>
      <c r="D6613" s="39">
        <f t="shared" si="909"/>
        <v>8800</v>
      </c>
      <c r="E6613" s="1">
        <v>3</v>
      </c>
      <c r="F6613" s="409">
        <f t="shared" si="914"/>
        <v>320</v>
      </c>
      <c r="G6613" s="168">
        <f>SUM(C6613,C6589,C6565,C6541,C6517,C6493,C6469,C6445,C6421,C6397,C6373,C6349,C6325,C6301)/POBLA!$B$12*100000</f>
        <v>111.29999923767124</v>
      </c>
      <c r="H6613" s="256">
        <f t="shared" si="910"/>
        <v>0.73121869782971616</v>
      </c>
      <c r="I6613" s="297">
        <f t="shared" si="917"/>
        <v>81.384640511018375</v>
      </c>
      <c r="J6613" s="297">
        <f t="shared" si="918"/>
        <v>28.428571428571427</v>
      </c>
      <c r="K6613" s="297">
        <f>J6613/POBLA!$B$12*100000</f>
        <v>7.2239725532604613</v>
      </c>
      <c r="L6613" s="549">
        <f t="shared" si="911"/>
        <v>0.16736401673640167</v>
      </c>
      <c r="M6613" s="401">
        <f>SUM(C6613,C6589,C6565,C6541,C6517,C6493,C6469)/POBLA!$B$12*100000</f>
        <v>50.567807872823231</v>
      </c>
    </row>
    <row r="6614" spans="1:13" s="360" customFormat="1" x14ac:dyDescent="0.25">
      <c r="A6614" s="367" t="s">
        <v>17</v>
      </c>
      <c r="B6614" s="2">
        <v>44168</v>
      </c>
      <c r="C6614" s="1">
        <v>242</v>
      </c>
      <c r="D6614" s="39">
        <f t="shared" si="909"/>
        <v>57265</v>
      </c>
      <c r="E6614" s="1">
        <v>8</v>
      </c>
      <c r="F6614" s="409">
        <f t="shared" si="914"/>
        <v>1120</v>
      </c>
      <c r="G6614" s="168">
        <f>SUM(C6614,C6590,C6566,C6542,C6518,C6494,C6470,C6446,C6422,C6398,C6374,C6350,C6326,C6302)/POBLA!$B$13*100000</f>
        <v>139.22258430477638</v>
      </c>
      <c r="H6614" s="256">
        <f t="shared" si="910"/>
        <v>0.54980158730158735</v>
      </c>
      <c r="I6614" s="297">
        <f t="shared" si="917"/>
        <v>76.544797838995109</v>
      </c>
      <c r="J6614" s="297">
        <f t="shared" si="918"/>
        <v>185.57142857142858</v>
      </c>
      <c r="K6614" s="297">
        <f>J6614/POBLA!$B$13*100000</f>
        <v>9.3236138068724301</v>
      </c>
      <c r="L6614" s="549">
        <f t="shared" si="911"/>
        <v>0.11752717391304346</v>
      </c>
      <c r="M6614" s="401">
        <f>SUM(C6614,C6590,C6566,C6542,C6518,C6494,C6470)/POBLA!$B$13*100000</f>
        <v>65.265296648107011</v>
      </c>
    </row>
    <row r="6615" spans="1:13" s="360" customFormat="1" x14ac:dyDescent="0.25">
      <c r="A6615" s="367" t="s">
        <v>23</v>
      </c>
      <c r="B6615" s="2">
        <v>44168</v>
      </c>
      <c r="C6615" s="1">
        <v>9</v>
      </c>
      <c r="D6615" s="39">
        <f t="shared" si="909"/>
        <v>542</v>
      </c>
      <c r="E6615" s="1"/>
      <c r="F6615" s="409">
        <f t="shared" si="914"/>
        <v>9</v>
      </c>
      <c r="G6615" s="168">
        <f>SUM(C6615,C6591,C6567,C6543,C6519,C6495,C6471,C6447,C6423,C6399,C6375,C6351,C6327,C6303)/POBLA!$B$14*100000</f>
        <v>8.8004858502458578</v>
      </c>
      <c r="H6615" s="256">
        <f t="shared" si="910"/>
        <v>0.88095238095238093</v>
      </c>
      <c r="I6615" s="297">
        <f t="shared" si="917"/>
        <v>7.7528089633118267</v>
      </c>
      <c r="J6615" s="297">
        <f t="shared" si="918"/>
        <v>8.5714285714285712</v>
      </c>
      <c r="K6615" s="297">
        <f>J6615/POBLA!$B$14*100000</f>
        <v>0.67957419693018206</v>
      </c>
      <c r="L6615" s="549">
        <f t="shared" si="911"/>
        <v>-0.17647058823529416</v>
      </c>
      <c r="M6615" s="401">
        <f>SUM(C6615,C6591,C6567,C6543,C6519,C6495,C6471)/POBLA!$B$14*100000</f>
        <v>4.7570193785112744</v>
      </c>
    </row>
    <row r="6616" spans="1:13" s="360" customFormat="1" x14ac:dyDescent="0.25">
      <c r="A6616" s="367" t="s">
        <v>19</v>
      </c>
      <c r="B6616" s="2">
        <v>44168</v>
      </c>
      <c r="C6616" s="1">
        <v>554</v>
      </c>
      <c r="D6616" s="39">
        <f t="shared" si="909"/>
        <v>33355</v>
      </c>
      <c r="E6616" s="1"/>
      <c r="F6616" s="409">
        <f t="shared" si="914"/>
        <v>642</v>
      </c>
      <c r="G6616" s="168">
        <f>SUM(C6616,C6592,C6568,C6544,C6520,C6496,C6472,C6448,C6424,C6400,C6376,C6352,C6328,C6304)/POBLA!$B$15*100000</f>
        <v>665.15374433218835</v>
      </c>
      <c r="H6616" s="256">
        <f t="shared" si="910"/>
        <v>0.98155555555555551</v>
      </c>
      <c r="I6616" s="297">
        <f t="shared" si="917"/>
        <v>652.88535304783909</v>
      </c>
      <c r="J6616" s="297">
        <f t="shared" si="918"/>
        <v>299.42857142857144</v>
      </c>
      <c r="K6616" s="297">
        <f>J6616/POBLA!$B$15*100000</f>
        <v>45.090793625934438</v>
      </c>
      <c r="L6616" s="549">
        <f t="shared" si="911"/>
        <v>9.6940973718224854E-2</v>
      </c>
      <c r="M6616" s="401">
        <f>SUM(C6616,C6592,C6568,C6544,C6520,C6496,C6472)/POBLA!$B$15*100000</f>
        <v>315.635555381541</v>
      </c>
    </row>
    <row r="6617" spans="1:13" s="360" customFormat="1" x14ac:dyDescent="0.25">
      <c r="A6617" s="367" t="s">
        <v>18</v>
      </c>
      <c r="B6617" s="2">
        <v>44168</v>
      </c>
      <c r="C6617" s="1">
        <v>209</v>
      </c>
      <c r="D6617" s="39">
        <f t="shared" si="909"/>
        <v>32416</v>
      </c>
      <c r="E6617" s="1">
        <v>2</v>
      </c>
      <c r="F6617" s="409">
        <f t="shared" si="914"/>
        <v>796</v>
      </c>
      <c r="G6617" s="168">
        <f>SUM(C6617,C6593,C6569,C6545,C6521,C6497,C6473,C6449,C6425,C6401,C6377,C6353,C6329,C6305)/POBLA!$B$16*100000</f>
        <v>384.02375570150213</v>
      </c>
      <c r="H6617" s="256">
        <f t="shared" si="910"/>
        <v>0.7156031904287139</v>
      </c>
      <c r="I6617" s="297">
        <f t="shared" si="917"/>
        <v>274.80862478041195</v>
      </c>
      <c r="J6617" s="297">
        <f t="shared" si="918"/>
        <v>192.57142857142858</v>
      </c>
      <c r="K6617" s="297">
        <f>J6617/POBLA!$B$16*100000</f>
        <v>25.758273507768568</v>
      </c>
      <c r="L6617" s="549">
        <f t="shared" si="911"/>
        <v>0.11490479317137225</v>
      </c>
      <c r="M6617" s="401">
        <f>SUM(C6617,C6593,C6569,C6545,C6521,C6497,C6473)/POBLA!$B$16*100000</f>
        <v>180.30791455437998</v>
      </c>
    </row>
    <row r="6618" spans="1:13" s="360" customFormat="1" x14ac:dyDescent="0.25">
      <c r="A6618" s="367" t="s">
        <v>34</v>
      </c>
      <c r="B6618" s="2">
        <v>44168</v>
      </c>
      <c r="C6618" s="1">
        <v>81</v>
      </c>
      <c r="D6618" s="39">
        <f t="shared" ref="D6618:D6624" si="919">C6618+D6594</f>
        <v>21332</v>
      </c>
      <c r="E6618" s="1">
        <v>2</v>
      </c>
      <c r="F6618" s="409">
        <f t="shared" si="914"/>
        <v>986</v>
      </c>
      <c r="G6618" s="168">
        <f>SUM(C6618,C6594,C6570,C6546,C6522,C6498,C6474,C6450,C6426,C6402,C6378,C6354,C6330,C6306)/POBLA!$B$17*100000</f>
        <v>57.568220095942358</v>
      </c>
      <c r="H6618" s="256">
        <f t="shared" ref="H6618:H6649" si="920">SUM(C6618,C6594,C6570,C6546,C6522,C6498,C6474,C6450,C6426,C6402,C6378,C6354,C6330,C6306)/SUM(C6282,C6258,C6234,C6210,C6186,C6162,C6138,C6114,C6090,C6066,C6042,C6018,C5994,C5970)</f>
        <v>0.6793703396851698</v>
      </c>
      <c r="I6618" s="297">
        <f t="shared" si="917"/>
        <v>39.110141241650979</v>
      </c>
      <c r="J6618" s="297">
        <f t="shared" si="918"/>
        <v>43.285714285714285</v>
      </c>
      <c r="K6618" s="297">
        <f>J6618/POBLA!$B$17*100000</f>
        <v>3.0388799109878977</v>
      </c>
      <c r="L6618" s="549">
        <f t="shared" ref="L6618:L6649" si="921">1-SUM(C6618,C6594,C6570,C6546,C6522,C6498,C6474)/SUM(C6450,C6426,C6402,C6378,C6354,C6330,C6306)</f>
        <v>0.41392649903288203</v>
      </c>
      <c r="M6618" s="401">
        <f>SUM(C6618,C6594,C6570,C6546,C6522,C6498,C6474)/POBLA!$B$17*100000</f>
        <v>21.272159376915283</v>
      </c>
    </row>
    <row r="6619" spans="1:13" s="360" customFormat="1" x14ac:dyDescent="0.25">
      <c r="A6619" s="367" t="s">
        <v>35</v>
      </c>
      <c r="B6619" s="2">
        <v>44168</v>
      </c>
      <c r="C6619" s="1">
        <v>168</v>
      </c>
      <c r="D6619" s="39">
        <f t="shared" si="919"/>
        <v>8235</v>
      </c>
      <c r="E6619" s="1"/>
      <c r="F6619" s="409">
        <f t="shared" si="914"/>
        <v>173</v>
      </c>
      <c r="G6619" s="168">
        <f>SUM(C6619,C6595,C6571,C6547,C6523,C6499,C6475,C6451,C6427,C6403,C6379,C6355,C6331,C6307)/POBLA!$B$18*100000</f>
        <v>403.6010481082721</v>
      </c>
      <c r="H6619" s="256">
        <f t="shared" si="920"/>
        <v>1.6816</v>
      </c>
      <c r="I6619" s="297">
        <f t="shared" si="917"/>
        <v>678.69552249887033</v>
      </c>
      <c r="J6619" s="297">
        <f t="shared" si="918"/>
        <v>183.85714285714286</v>
      </c>
      <c r="K6619" s="297">
        <f>J6619/POBLA!$B$18*100000</f>
        <v>23.534708391796755</v>
      </c>
      <c r="L6619" s="549">
        <f t="shared" si="921"/>
        <v>0.31028938906752412</v>
      </c>
      <c r="M6619" s="401">
        <f>SUM(C6619,C6595,C6571,C6547,C6523,C6499,C6475)/POBLA!$B$18*100000</f>
        <v>164.74295874257729</v>
      </c>
    </row>
    <row r="6620" spans="1:13" s="360" customFormat="1" x14ac:dyDescent="0.25">
      <c r="A6620" s="367" t="s">
        <v>36</v>
      </c>
      <c r="B6620" s="2">
        <v>44168</v>
      </c>
      <c r="C6620" s="1">
        <v>149</v>
      </c>
      <c r="D6620" s="39">
        <f t="shared" si="919"/>
        <v>14958</v>
      </c>
      <c r="E6620" s="1">
        <v>8</v>
      </c>
      <c r="F6620" s="409">
        <f t="shared" si="914"/>
        <v>228</v>
      </c>
      <c r="G6620" s="168">
        <f>SUM(C6620,C6596,C6572,C6548,C6524,C6500,C6476,C6452,C6428,C6404,C6380,C6356,C6332,C6308)/POBLA!$B$19*100000</f>
        <v>501.44788404337356</v>
      </c>
      <c r="H6620" s="256">
        <f t="shared" si="920"/>
        <v>0.63518564664839272</v>
      </c>
      <c r="I6620" s="297">
        <f t="shared" si="917"/>
        <v>318.51249848655851</v>
      </c>
      <c r="J6620" s="297">
        <f t="shared" si="918"/>
        <v>161.42857142857142</v>
      </c>
      <c r="K6620" s="297">
        <f>J6620/POBLA!$B$19*100000</f>
        <v>31.756773466850426</v>
      </c>
      <c r="L6620" s="549">
        <f t="shared" si="921"/>
        <v>0.20366455250176185</v>
      </c>
      <c r="M6620" s="401">
        <f>SUM(C6620,C6596,C6572,C6548,C6524,C6500,C6476)/POBLA!$B$19*100000</f>
        <v>222.29741426795297</v>
      </c>
    </row>
    <row r="6621" spans="1:13" s="360" customFormat="1" x14ac:dyDescent="0.25">
      <c r="A6621" s="367" t="s">
        <v>37</v>
      </c>
      <c r="B6621" s="2">
        <v>44168</v>
      </c>
      <c r="C6621" s="1">
        <v>218</v>
      </c>
      <c r="D6621" s="39">
        <f t="shared" si="919"/>
        <v>16696</v>
      </c>
      <c r="E6621" s="1">
        <v>6</v>
      </c>
      <c r="F6621" s="409">
        <f t="shared" si="914"/>
        <v>290</v>
      </c>
      <c r="G6621" s="168">
        <f>SUM(C6621,C6597,C6573,C6549,C6525,C6501,C6477,C6453,C6429,C6405,C6381,C6357,C6333,C6309)/POBLA!$B$20*100000</f>
        <v>846.87364984221949</v>
      </c>
      <c r="H6621" s="256">
        <f t="shared" si="920"/>
        <v>1.0055194805194805</v>
      </c>
      <c r="I6621" s="297">
        <f t="shared" si="917"/>
        <v>851.54795245498497</v>
      </c>
      <c r="J6621" s="297">
        <f t="shared" si="918"/>
        <v>230.85714285714286</v>
      </c>
      <c r="K6621" s="297">
        <f>J6621/POBLA!$B$20*100000</f>
        <v>63.127811160340741</v>
      </c>
      <c r="L6621" s="549">
        <f t="shared" si="921"/>
        <v>-9.1154625253207389E-2</v>
      </c>
      <c r="M6621" s="401">
        <f>SUM(C6621,C6597,C6573,C6549,C6525,C6501,C6477)/POBLA!$B$20*100000</f>
        <v>441.89467812238513</v>
      </c>
    </row>
    <row r="6622" spans="1:13" s="360" customFormat="1" x14ac:dyDescent="0.25">
      <c r="A6622" s="367" t="s">
        <v>22</v>
      </c>
      <c r="B6622" s="2">
        <v>44168</v>
      </c>
      <c r="C6622" s="1">
        <v>1332</v>
      </c>
      <c r="D6622" s="39">
        <f t="shared" si="919"/>
        <v>151684</v>
      </c>
      <c r="E6622" s="1">
        <v>38</v>
      </c>
      <c r="F6622" s="409">
        <f t="shared" si="914"/>
        <v>2367</v>
      </c>
      <c r="G6622" s="168">
        <f>SUM(C6622,C6598,C6574,C6550,C6526,C6502,C6478,C6454,C6430,C6406,C6382,C6358,C6334,C6310)/POBLA!$B$21*100000</f>
        <v>492.92815498620359</v>
      </c>
      <c r="H6622" s="256">
        <f t="shared" si="920"/>
        <v>0.8762881415573317</v>
      </c>
      <c r="I6622" s="297">
        <f t="shared" si="917"/>
        <v>431.94709685414472</v>
      </c>
      <c r="J6622" s="297">
        <f t="shared" si="918"/>
        <v>1234.7142857142858</v>
      </c>
      <c r="K6622" s="297">
        <f>J6622/POBLA!$B$21*100000</f>
        <v>34.914263124842307</v>
      </c>
      <c r="L6622" s="549">
        <f t="shared" si="921"/>
        <v>1.6611673683012862E-2</v>
      </c>
      <c r="M6622" s="401">
        <f>SUM(C6622,C6598,C6574,C6550,C6526,C6502,C6478)/POBLA!$B$21*100000</f>
        <v>244.39984187389612</v>
      </c>
    </row>
    <row r="6623" spans="1:13" s="360" customFormat="1" x14ac:dyDescent="0.25">
      <c r="A6623" s="367" t="s">
        <v>38</v>
      </c>
      <c r="B6623" s="2">
        <v>44168</v>
      </c>
      <c r="C6623" s="1">
        <v>99</v>
      </c>
      <c r="D6623" s="39">
        <f t="shared" si="919"/>
        <v>15942</v>
      </c>
      <c r="E6623" s="1">
        <v>4</v>
      </c>
      <c r="F6623" s="409">
        <f t="shared" si="914"/>
        <v>195</v>
      </c>
      <c r="G6623" s="168">
        <f>SUM(C6623,C6599,C6575,C6551,C6527,C6503,C6479,C6455,C6431,C6407,C6383,C6359,C6335,C6311)/POBLA!$B$22*100000</f>
        <v>207.60227043901082</v>
      </c>
      <c r="H6623" s="256">
        <f t="shared" si="920"/>
        <v>0.63389513108614237</v>
      </c>
      <c r="I6623" s="297">
        <f t="shared" si="917"/>
        <v>131.59806843371754</v>
      </c>
      <c r="J6623" s="297">
        <f t="shared" si="918"/>
        <v>114.57142857142857</v>
      </c>
      <c r="K6623" s="297">
        <f>J6623/POBLA!$B$22*100000</f>
        <v>11.711121959069191</v>
      </c>
      <c r="L6623" s="549">
        <f t="shared" si="921"/>
        <v>0.3474369406021155</v>
      </c>
      <c r="M6623" s="401">
        <f>SUM(C6623,C6599,C6575,C6551,C6527,C6503,C6479)/POBLA!$B$22*100000</f>
        <v>81.977853713484336</v>
      </c>
    </row>
    <row r="6624" spans="1:13" s="360" customFormat="1" x14ac:dyDescent="0.25">
      <c r="A6624" s="367" t="s">
        <v>39</v>
      </c>
      <c r="B6624" s="2">
        <v>44168</v>
      </c>
      <c r="C6624" s="1">
        <v>93</v>
      </c>
      <c r="D6624" s="39">
        <f t="shared" si="919"/>
        <v>16481</v>
      </c>
      <c r="E6624" s="1">
        <v>1</v>
      </c>
      <c r="F6624" s="409">
        <f t="shared" si="914"/>
        <v>236</v>
      </c>
      <c r="G6624" s="168">
        <f>SUM(C6624,C6600,C6576,C6552,C6528,C6504,C6480,C6456,C6432,C6408,C6384,C6360,C6336,C6312)/POBLA!$B$23*100000</f>
        <v>929.14098286489855</v>
      </c>
      <c r="H6624" s="256">
        <f t="shared" si="920"/>
        <v>0.68687290969899661</v>
      </c>
      <c r="I6624" s="297">
        <f t="shared" si="917"/>
        <v>638.2017704209984</v>
      </c>
      <c r="J6624" s="297">
        <f t="shared" si="918"/>
        <v>89.571428571428569</v>
      </c>
      <c r="K6624" s="297">
        <f>J6624/POBLA!$B$23*100000</f>
        <v>50.653977589452339</v>
      </c>
      <c r="L6624" s="549">
        <f t="shared" si="921"/>
        <v>0.38287401574803148</v>
      </c>
      <c r="M6624" s="401">
        <f>SUM(C6624,C6600,C6576,C6552,C6528,C6504,C6480)/POBLA!$B$23*100000</f>
        <v>354.57784312616639</v>
      </c>
    </row>
    <row r="6625" spans="1:13" s="360" customFormat="1" ht="15.75" thickBot="1" x14ac:dyDescent="0.3">
      <c r="A6625" s="369" t="s">
        <v>40</v>
      </c>
      <c r="B6625" s="266">
        <v>44168</v>
      </c>
      <c r="C6625" s="44">
        <v>391</v>
      </c>
      <c r="D6625" s="176">
        <f t="shared" ref="D6625:D6656" si="922">C6625+D6601</f>
        <v>66877</v>
      </c>
      <c r="E6625" s="44">
        <v>6</v>
      </c>
      <c r="F6625" s="476">
        <f t="shared" si="914"/>
        <v>1228</v>
      </c>
      <c r="G6625" s="177">
        <f>SUM(C6625,C6601,C6577,C6553,C6529,C6505,C6481,C6457,C6433,C6409,C6385,C6361,C6337,C6313)/POBLA!$B$24*100000</f>
        <v>263.77034631217191</v>
      </c>
      <c r="H6625" s="402">
        <f t="shared" si="920"/>
        <v>0.47356711516050431</v>
      </c>
      <c r="I6625" s="403">
        <f t="shared" si="917"/>
        <v>124.91296196794242</v>
      </c>
      <c r="J6625" s="403">
        <f t="shared" si="918"/>
        <v>297.85714285714283</v>
      </c>
      <c r="K6625" s="403">
        <f>J6625/POBLA!$B$24*100000</f>
        <v>17.576259893284703</v>
      </c>
      <c r="L6625" s="550">
        <f t="shared" si="921"/>
        <v>0.12578616352201255</v>
      </c>
      <c r="M6625" s="405">
        <f>SUM(C6625,C6601,C6577,C6553,C6529,C6505,C6481)/POBLA!$B$24*100000</f>
        <v>123.03381925299294</v>
      </c>
    </row>
    <row r="6626" spans="1:13" s="360" customFormat="1" ht="15.75" thickBot="1" x14ac:dyDescent="0.3">
      <c r="A6626" s="363" t="s">
        <v>16</v>
      </c>
      <c r="B6626" s="266">
        <v>44169</v>
      </c>
      <c r="C6626" s="225">
        <v>1790</v>
      </c>
      <c r="D6626" s="174">
        <f t="shared" si="922"/>
        <v>626384</v>
      </c>
      <c r="E6626" s="225">
        <v>84</v>
      </c>
      <c r="F6626" s="475">
        <f t="shared" ref="F6626:F6657" si="923">E6626+F6602</f>
        <v>20963</v>
      </c>
      <c r="G6626" s="175">
        <f>SUM(C6626,C6602,C6578,C6554,C6530,C6506,C6482,C6458,C6434,C6410,C6386,C6362,C6338,C6314)/POBLA!$B$1*100000</f>
        <v>138.3148336815718</v>
      </c>
      <c r="H6626" s="300">
        <f t="shared" si="920"/>
        <v>0.69132355036329962</v>
      </c>
      <c r="I6626" s="301">
        <f>G6626*H6626</f>
        <v>95.620301888653515</v>
      </c>
      <c r="J6626" s="301">
        <f>AVERAGE(C6626,C6602,C6578,C6554,C6530,C6506,C6482)</f>
        <v>1644.5714285714287</v>
      </c>
      <c r="K6626" s="301">
        <f>J6626/POBLA!$B$1*100000</f>
        <v>9.3755100000132749</v>
      </c>
      <c r="L6626" s="548">
        <f t="shared" si="921"/>
        <v>9.7098039215686271E-2</v>
      </c>
      <c r="M6626" s="400">
        <f>SUM(C6626,C6602,C6578,C6554,C6530,C6506,C6482)/POBLA!$B$1*100000</f>
        <v>65.628570000092921</v>
      </c>
    </row>
    <row r="6627" spans="1:13" s="360" customFormat="1" ht="15.75" thickBot="1" x14ac:dyDescent="0.3">
      <c r="A6627" s="367" t="s">
        <v>43</v>
      </c>
      <c r="B6627" s="266">
        <v>44169</v>
      </c>
      <c r="C6627" s="1">
        <v>313</v>
      </c>
      <c r="D6627" s="39">
        <f t="shared" si="922"/>
        <v>160194</v>
      </c>
      <c r="E6627" s="225">
        <v>6</v>
      </c>
      <c r="F6627" s="409">
        <f t="shared" si="923"/>
        <v>5283</v>
      </c>
      <c r="G6627" s="168">
        <f>SUM(C6627,C6603,C6579,C6555,C6531,C6507,C6483,C6459,C6435,C6411,C6387,C6363,C6339,C6315)/POBLA!$B$2*100000</f>
        <v>140.62086468988952</v>
      </c>
      <c r="H6627" s="256">
        <f t="shared" si="920"/>
        <v>0.72909642616318271</v>
      </c>
      <c r="I6627" s="297">
        <f t="shared" ref="I6627:I6649" si="924">G6627*H6627</f>
        <v>102.52616988937494</v>
      </c>
      <c r="J6627" s="297">
        <f t="shared" ref="J6627:J6649" si="925">AVERAGE(C6627,C6603,C6579,C6555,C6531,C6507,C6483)</f>
        <v>315.57142857142856</v>
      </c>
      <c r="K6627" s="297">
        <f>J6627/POBLA!$B$2*100000</f>
        <v>10.260329978529017</v>
      </c>
      <c r="L6627" s="549">
        <f t="shared" si="921"/>
        <v>-4.395085066162574E-2</v>
      </c>
      <c r="M6627" s="401">
        <f>SUM(C6627,C6603,C6579,C6555,C6531,C6507,C6483)/POBLA!$B$2*100000</f>
        <v>71.822309849703117</v>
      </c>
    </row>
    <row r="6628" spans="1:13" s="360" customFormat="1" ht="15.75" thickBot="1" x14ac:dyDescent="0.3">
      <c r="A6628" s="367" t="s">
        <v>28</v>
      </c>
      <c r="B6628" s="266">
        <v>44169</v>
      </c>
      <c r="C6628" s="1">
        <v>33</v>
      </c>
      <c r="D6628" s="39">
        <f t="shared" si="922"/>
        <v>1941</v>
      </c>
      <c r="E6628" s="225"/>
      <c r="F6628" s="409">
        <f t="shared" si="923"/>
        <v>17</v>
      </c>
      <c r="G6628" s="168">
        <f>SUM(C6628,C6604,C6580,C6556,C6532,C6508,C6484,C6460,C6436,C6412,C6388,C6364,C6340,C6316)/POBLA!$B$3*100000</f>
        <v>71.009392496593946</v>
      </c>
      <c r="H6628" s="256">
        <f t="shared" si="920"/>
        <v>0.56405353728489482</v>
      </c>
      <c r="I6628" s="297">
        <f t="shared" si="924"/>
        <v>40.053099018155287</v>
      </c>
      <c r="J6628" s="297">
        <f t="shared" si="925"/>
        <v>22.714285714285715</v>
      </c>
      <c r="K6628" s="297">
        <f>J6628/POBLA!$B$3*100000</f>
        <v>5.4675512866626823</v>
      </c>
      <c r="L6628" s="549">
        <f t="shared" si="921"/>
        <v>-0.16911764705882359</v>
      </c>
      <c r="M6628" s="401">
        <f>SUM(C6628,C6604,C6580,C6556,C6532,C6508,C6484)/POBLA!$B$3*100000</f>
        <v>38.272859006638775</v>
      </c>
    </row>
    <row r="6629" spans="1:13" s="360" customFormat="1" ht="15.75" thickBot="1" x14ac:dyDescent="0.3">
      <c r="A6629" s="367" t="s">
        <v>15</v>
      </c>
      <c r="B6629" s="266">
        <v>44169</v>
      </c>
      <c r="C6629" s="1">
        <v>205</v>
      </c>
      <c r="D6629" s="39">
        <f t="shared" si="922"/>
        <v>20333</v>
      </c>
      <c r="E6629" s="225">
        <v>5</v>
      </c>
      <c r="F6629" s="409">
        <f t="shared" si="923"/>
        <v>581</v>
      </c>
      <c r="G6629" s="168">
        <f>SUM(C6629,C6605,C6581,C6557,C6533,C6509,C6485,C6461,C6437,C6413,C6389,C6365,C6341,C6317)/POBLA!$B$4*100000</f>
        <v>234.94426507690483</v>
      </c>
      <c r="H6629" s="256">
        <f t="shared" si="920"/>
        <v>1.0313411078717201</v>
      </c>
      <c r="I6629" s="297">
        <f t="shared" si="924"/>
        <v>242.30767863252208</v>
      </c>
      <c r="J6629" s="297">
        <f t="shared" si="925"/>
        <v>225.28571428571428</v>
      </c>
      <c r="K6629" s="297">
        <f>J6629/POBLA!$B$4*100000</f>
        <v>18.703034125506253</v>
      </c>
      <c r="L6629" s="549">
        <f t="shared" si="921"/>
        <v>-0.25857940941739832</v>
      </c>
      <c r="M6629" s="401">
        <f>SUM(C6629,C6605,C6581,C6557,C6533,C6509,C6485)/POBLA!$B$4*100000</f>
        <v>130.92123887854379</v>
      </c>
    </row>
    <row r="6630" spans="1:13" s="360" customFormat="1" ht="15.75" thickBot="1" x14ac:dyDescent="0.3">
      <c r="A6630" s="367" t="s">
        <v>29</v>
      </c>
      <c r="B6630" s="266">
        <v>44169</v>
      </c>
      <c r="C6630" s="1">
        <v>336</v>
      </c>
      <c r="D6630" s="39">
        <f t="shared" si="922"/>
        <v>24197</v>
      </c>
      <c r="E6630" s="225">
        <v>2</v>
      </c>
      <c r="F6630" s="409">
        <f t="shared" si="923"/>
        <v>400</v>
      </c>
      <c r="G6630" s="168">
        <f>SUM(C6630,C6606,C6582,C6558,C6534,C6510,C6486,C6462,C6438,C6414,C6390,C6366,C6342,C6318)/POBLA!$B$5*100000</f>
        <v>552.02473691182797</v>
      </c>
      <c r="H6630" s="256">
        <f t="shared" si="920"/>
        <v>0.80684769775678866</v>
      </c>
      <c r="I6630" s="297">
        <f t="shared" si="924"/>
        <v>445.39988808210535</v>
      </c>
      <c r="J6630" s="297">
        <f t="shared" si="925"/>
        <v>272.85714285714283</v>
      </c>
      <c r="K6630" s="297">
        <f>J6630/POBLA!$B$5*100000</f>
        <v>44.080741147271681</v>
      </c>
      <c r="L6630" s="549">
        <f t="shared" si="921"/>
        <v>-0.26741871267418715</v>
      </c>
      <c r="M6630" s="401">
        <f>SUM(C6630,C6606,C6582,C6558,C6534,C6510,C6486)/POBLA!$B$5*100000</f>
        <v>308.56518803090177</v>
      </c>
    </row>
    <row r="6631" spans="1:13" s="360" customFormat="1" ht="15.75" thickBot="1" x14ac:dyDescent="0.3">
      <c r="A6631" s="367" t="s">
        <v>20</v>
      </c>
      <c r="B6631" s="266">
        <v>44169</v>
      </c>
      <c r="C6631" s="1">
        <v>555</v>
      </c>
      <c r="D6631" s="39">
        <f t="shared" si="922"/>
        <v>116799</v>
      </c>
      <c r="E6631" s="225">
        <v>10</v>
      </c>
      <c r="F6631" s="409">
        <f t="shared" si="923"/>
        <v>2048</v>
      </c>
      <c r="G6631" s="168">
        <f>SUM(C6631,C6607,C6583,C6559,C6535,C6511,C6487,C6463,C6439,C6415,C6391,C6367,C6343,C6319)/POBLA!$B$6*100000</f>
        <v>795.23483651424294</v>
      </c>
      <c r="H6631" s="256">
        <f t="shared" si="920"/>
        <v>0.55401541521631026</v>
      </c>
      <c r="I6631" s="297">
        <f t="shared" si="924"/>
        <v>440.57235814591292</v>
      </c>
      <c r="J6631" s="297">
        <f t="shared" si="925"/>
        <v>582.85714285714289</v>
      </c>
      <c r="K6631" s="297">
        <f>J6631/POBLA!$B$6*100000</f>
        <v>52.003624448688299</v>
      </c>
      <c r="L6631" s="549">
        <f t="shared" si="921"/>
        <v>0.15580384854127871</v>
      </c>
      <c r="M6631" s="401">
        <f>SUM(C6631,C6607,C6583,C6559,C6535,C6511,C6487)/POBLA!$B$6*100000</f>
        <v>364.02537114081804</v>
      </c>
    </row>
    <row r="6632" spans="1:13" s="360" customFormat="1" ht="15.75" thickBot="1" x14ac:dyDescent="0.3">
      <c r="A6632" s="367" t="s">
        <v>30</v>
      </c>
      <c r="B6632" s="266">
        <v>44169</v>
      </c>
      <c r="C6632" s="1">
        <v>522</v>
      </c>
      <c r="D6632" s="39">
        <f t="shared" si="922"/>
        <v>8398</v>
      </c>
      <c r="E6632" s="225"/>
      <c r="F6632" s="409">
        <f t="shared" si="923"/>
        <v>88</v>
      </c>
      <c r="G6632" s="168">
        <f>SUM(C6632,C6608,C6584,C6560,C6536,C6512,C6488,C6464,C6440,C6416,C6392,C6368,C6344,C6320)/POBLA!$B$7*100000</f>
        <v>99.057293674959126</v>
      </c>
      <c r="H6632" s="256">
        <f t="shared" si="920"/>
        <v>1.9441544885177453</v>
      </c>
      <c r="I6632" s="297">
        <f t="shared" si="924"/>
        <v>192.58268211859226</v>
      </c>
      <c r="J6632" s="297">
        <f t="shared" si="925"/>
        <v>422.28571428571428</v>
      </c>
      <c r="K6632" s="297">
        <f>J6632/POBLA!$B$7*100000</f>
        <v>11.2296590643597</v>
      </c>
      <c r="L6632" s="549">
        <f t="shared" si="921"/>
        <v>-2.8439531859557867</v>
      </c>
      <c r="M6632" s="401">
        <f>SUM(C6632,C6608,C6584,C6560,C6536,C6512,C6488)/POBLA!$B$7*100000</f>
        <v>78.607613450517889</v>
      </c>
    </row>
    <row r="6633" spans="1:13" ht="15.75" thickBot="1" x14ac:dyDescent="0.3">
      <c r="A6633" s="367" t="s">
        <v>31</v>
      </c>
      <c r="B6633" s="266">
        <v>44169</v>
      </c>
      <c r="C6633" s="1">
        <v>197</v>
      </c>
      <c r="D6633" s="39">
        <f t="shared" si="922"/>
        <v>24181</v>
      </c>
      <c r="E6633" s="225">
        <v>7</v>
      </c>
      <c r="F6633" s="409">
        <f t="shared" si="923"/>
        <v>485</v>
      </c>
      <c r="G6633" s="168">
        <f>SUM(C6633,C6609,C6585,C6561,C6537,C6513,C6489,C6465,C6441,C6417,C6393,C6369,C6345,C6321)/POBLA!$B$8*100000</f>
        <v>193.29548234041218</v>
      </c>
      <c r="H6633" s="256">
        <f t="shared" si="920"/>
        <v>0.70149253731343286</v>
      </c>
      <c r="I6633" s="297">
        <f t="shared" si="924"/>
        <v>135.5953383581996</v>
      </c>
      <c r="J6633" s="297">
        <f t="shared" si="925"/>
        <v>189.71428571428572</v>
      </c>
      <c r="K6633" s="297">
        <f>J6633/POBLA!$B$8*100000</f>
        <v>13.688284570365669</v>
      </c>
      <c r="L6633" s="549">
        <f t="shared" si="921"/>
        <v>1.7024426350851218E-2</v>
      </c>
      <c r="M6633" s="401">
        <f>SUM(C6633,C6609,C6585,C6561,C6537,C6513,C6489)/POBLA!$B$8*100000</f>
        <v>95.817991992559669</v>
      </c>
    </row>
    <row r="6634" spans="1:13" s="360" customFormat="1" ht="15.75" thickBot="1" x14ac:dyDescent="0.3">
      <c r="A6634" s="367" t="s">
        <v>41</v>
      </c>
      <c r="B6634" s="266">
        <v>44169</v>
      </c>
      <c r="C6634" s="1">
        <v>0</v>
      </c>
      <c r="D6634" s="39">
        <f t="shared" si="922"/>
        <v>189</v>
      </c>
      <c r="E6634" s="225"/>
      <c r="F6634" s="409">
        <f t="shared" si="923"/>
        <v>3</v>
      </c>
      <c r="G6634" s="168">
        <f>SUM(C6634,C6610,C6586,C6562,C6538,C6514,C6490,C6466,C6442,C6418,C6394,C6370,C6346,C6322)/POBLA!$B$9*100000</f>
        <v>1.9828385325012021</v>
      </c>
      <c r="H6634" s="256">
        <f t="shared" si="920"/>
        <v>0.8</v>
      </c>
      <c r="I6634" s="297">
        <f t="shared" si="924"/>
        <v>1.5862708260009617</v>
      </c>
      <c r="J6634" s="297">
        <f t="shared" si="925"/>
        <v>1.4285714285714286</v>
      </c>
      <c r="K6634" s="297">
        <f>J6634/POBLA!$B$9*100000</f>
        <v>0.23605220625014312</v>
      </c>
      <c r="L6634" s="549">
        <f t="shared" si="921"/>
        <v>-4</v>
      </c>
      <c r="M6634" s="401">
        <f>SUM(C6634,C6610,C6586,C6562,C6538,C6514,C6490)/POBLA!$B$9*100000</f>
        <v>1.6523654437510016</v>
      </c>
    </row>
    <row r="6635" spans="1:13" s="360" customFormat="1" ht="15.75" thickBot="1" x14ac:dyDescent="0.3">
      <c r="A6635" s="367" t="s">
        <v>32</v>
      </c>
      <c r="B6635" s="266">
        <v>44169</v>
      </c>
      <c r="C6635" s="1">
        <v>2</v>
      </c>
      <c r="D6635" s="39">
        <f t="shared" si="922"/>
        <v>18412</v>
      </c>
      <c r="E6635" s="225"/>
      <c r="F6635" s="409">
        <f t="shared" si="923"/>
        <v>850</v>
      </c>
      <c r="G6635" s="168">
        <f>SUM(C6635,C6611,C6587,C6563,C6539,C6515,C6491,C6467,C6443,C6419,C6395,C6371,C6347,C6323)/POBLA!$B$10*100000</f>
        <v>18.031317414750134</v>
      </c>
      <c r="H6635" s="256">
        <f t="shared" si="920"/>
        <v>0.48943661971830987</v>
      </c>
      <c r="I6635" s="297">
        <f t="shared" si="924"/>
        <v>8.825187044543199</v>
      </c>
      <c r="J6635" s="297">
        <f t="shared" si="925"/>
        <v>7.4285714285714288</v>
      </c>
      <c r="K6635" s="297">
        <f>J6635/POBLA!$B$10*100000</f>
        <v>0.96364697386126119</v>
      </c>
      <c r="L6635" s="549">
        <f t="shared" si="921"/>
        <v>0.4022988505747126</v>
      </c>
      <c r="M6635" s="401">
        <f>SUM(C6635,C6611,C6587,C6563,C6539,C6515,C6491)/POBLA!$B$10*100000</f>
        <v>6.745528817028827</v>
      </c>
    </row>
    <row r="6636" spans="1:13" s="360" customFormat="1" ht="15.75" thickBot="1" x14ac:dyDescent="0.3">
      <c r="A6636" s="367" t="s">
        <v>33</v>
      </c>
      <c r="B6636" s="266">
        <v>44169</v>
      </c>
      <c r="C6636" s="1">
        <v>77</v>
      </c>
      <c r="D6636" s="39">
        <f t="shared" si="922"/>
        <v>6151</v>
      </c>
      <c r="E6636" s="225">
        <v>1</v>
      </c>
      <c r="F6636" s="409">
        <f t="shared" si="923"/>
        <v>88</v>
      </c>
      <c r="G6636" s="168">
        <f>SUM(C6636,C6612,C6588,C6564,C6540,C6516,C6492,C6468,C6444,C6420,C6396,C6372,C6348,C6324)/POBLA!$B$11*100000</f>
        <v>304.38470208800652</v>
      </c>
      <c r="H6636" s="256">
        <f t="shared" si="920"/>
        <v>0.95367132867132864</v>
      </c>
      <c r="I6636" s="297">
        <f t="shared" si="924"/>
        <v>290.28296326749575</v>
      </c>
      <c r="J6636" s="297">
        <f t="shared" si="925"/>
        <v>80.285714285714292</v>
      </c>
      <c r="K6636" s="297">
        <f>J6636/POBLA!$B$11*100000</f>
        <v>22.39939800621444</v>
      </c>
      <c r="L6636" s="549">
        <f t="shared" si="921"/>
        <v>-6.2381852551984807E-2</v>
      </c>
      <c r="M6636" s="401">
        <f>SUM(C6636,C6612,C6588,C6564,C6540,C6516,C6492)/POBLA!$B$11*100000</f>
        <v>156.79578604350107</v>
      </c>
    </row>
    <row r="6637" spans="1:13" s="360" customFormat="1" ht="15.75" thickBot="1" x14ac:dyDescent="0.3">
      <c r="A6637" s="367" t="s">
        <v>21</v>
      </c>
      <c r="B6637" s="266">
        <v>44169</v>
      </c>
      <c r="C6637" s="1">
        <v>12</v>
      </c>
      <c r="D6637" s="39">
        <f t="shared" si="922"/>
        <v>8812</v>
      </c>
      <c r="E6637" s="225"/>
      <c r="F6637" s="409">
        <f t="shared" si="923"/>
        <v>320</v>
      </c>
      <c r="G6637" s="168">
        <f>SUM(C6637,C6613,C6589,C6565,C6541,C6517,C6493,C6469,C6445,C6421,C6397,C6373,C6349,C6325)/POBLA!$B$12*100000</f>
        <v>99.610958221842751</v>
      </c>
      <c r="H6637" s="256">
        <f t="shared" si="920"/>
        <v>0.61345852895148667</v>
      </c>
      <c r="I6637" s="297">
        <f t="shared" si="924"/>
        <v>61.107191898219654</v>
      </c>
      <c r="J6637" s="297">
        <f t="shared" si="925"/>
        <v>26</v>
      </c>
      <c r="K6637" s="297">
        <f>J6637/POBLA!$B$12*100000</f>
        <v>6.6068492698161005</v>
      </c>
      <c r="L6637" s="549">
        <f t="shared" si="921"/>
        <v>0.1333333333333333</v>
      </c>
      <c r="M6637" s="401">
        <f>SUM(C6637,C6613,C6589,C6565,C6541,C6517,C6493)/POBLA!$B$12*100000</f>
        <v>46.247944888712709</v>
      </c>
    </row>
    <row r="6638" spans="1:13" s="360" customFormat="1" ht="15.75" thickBot="1" x14ac:dyDescent="0.3">
      <c r="A6638" s="367" t="s">
        <v>17</v>
      </c>
      <c r="B6638" s="266">
        <v>44169</v>
      </c>
      <c r="C6638" s="1">
        <v>162</v>
      </c>
      <c r="D6638" s="39">
        <f t="shared" si="922"/>
        <v>57427</v>
      </c>
      <c r="E6638" s="225">
        <v>19</v>
      </c>
      <c r="F6638" s="409">
        <f t="shared" si="923"/>
        <v>1139</v>
      </c>
      <c r="G6638" s="168">
        <f>SUM(C6638,C6614,C6590,C6566,C6542,C6518,C6494,C6470,C6446,C6422,C6398,C6374,C6350,C6326)/POBLA!$B$13*100000</f>
        <v>131.43496230288522</v>
      </c>
      <c r="H6638" s="256">
        <f t="shared" si="920"/>
        <v>0.55294863665187066</v>
      </c>
      <c r="I6638" s="297">
        <f t="shared" si="924"/>
        <v>72.676783213770406</v>
      </c>
      <c r="J6638" s="297">
        <f t="shared" si="925"/>
        <v>179.85714285714286</v>
      </c>
      <c r="K6638" s="297">
        <f>J6638/POBLA!$B$13*100000</f>
        <v>9.0365125349133102</v>
      </c>
      <c r="L6638" s="549">
        <f t="shared" si="921"/>
        <v>7.2218128224023626E-2</v>
      </c>
      <c r="M6638" s="401">
        <f>SUM(C6638,C6614,C6590,C6566,C6542,C6518,C6494)/POBLA!$B$13*100000</f>
        <v>63.255587744393168</v>
      </c>
    </row>
    <row r="6639" spans="1:13" s="360" customFormat="1" ht="15.75" thickBot="1" x14ac:dyDescent="0.3">
      <c r="A6639" s="367" t="s">
        <v>23</v>
      </c>
      <c r="B6639" s="266">
        <v>44169</v>
      </c>
      <c r="C6639" s="1">
        <v>21</v>
      </c>
      <c r="D6639" s="39">
        <f t="shared" si="922"/>
        <v>563</v>
      </c>
      <c r="E6639" s="225"/>
      <c r="F6639" s="409">
        <f t="shared" si="923"/>
        <v>9</v>
      </c>
      <c r="G6639" s="168">
        <f>SUM(C6639,C6615,C6591,C6567,C6543,C6519,C6495,C6471,C6447,C6423,C6399,C6375,C6351,C6327)/POBLA!$B$14*100000</f>
        <v>10.227591663799242</v>
      </c>
      <c r="H6639" s="256">
        <f t="shared" si="920"/>
        <v>1.131578947368421</v>
      </c>
      <c r="I6639" s="297">
        <f t="shared" si="924"/>
        <v>11.573327409035983</v>
      </c>
      <c r="J6639" s="297">
        <f t="shared" si="925"/>
        <v>11</v>
      </c>
      <c r="K6639" s="297">
        <f>J6639/POBLA!$B$14*100000</f>
        <v>0.87212021939373374</v>
      </c>
      <c r="L6639" s="549">
        <f t="shared" si="921"/>
        <v>-0.48076923076923084</v>
      </c>
      <c r="M6639" s="401">
        <f>SUM(C6639,C6615,C6591,C6567,C6543,C6519,C6495)/POBLA!$B$14*100000</f>
        <v>6.1048415357561359</v>
      </c>
    </row>
    <row r="6640" spans="1:13" s="360" customFormat="1" ht="15.75" thickBot="1" x14ac:dyDescent="0.3">
      <c r="A6640" s="367" t="s">
        <v>19</v>
      </c>
      <c r="B6640" s="266">
        <v>44169</v>
      </c>
      <c r="C6640" s="1">
        <v>600</v>
      </c>
      <c r="D6640" s="39">
        <f t="shared" si="922"/>
        <v>33955</v>
      </c>
      <c r="E6640" s="225">
        <v>6</v>
      </c>
      <c r="F6640" s="409">
        <f t="shared" si="923"/>
        <v>648</v>
      </c>
      <c r="G6640" s="168">
        <f>SUM(C6640,C6616,C6592,C6568,C6544,C6520,C6496,C6472,C6448,C6424,C6400,C6376,C6352,C6328)/POBLA!$B$15*100000</f>
        <v>707.16820995788009</v>
      </c>
      <c r="H6640" s="256">
        <f t="shared" si="920"/>
        <v>1.0410108623365109</v>
      </c>
      <c r="I6640" s="297">
        <f t="shared" si="924"/>
        <v>736.16978806521956</v>
      </c>
      <c r="J6640" s="297">
        <f t="shared" si="925"/>
        <v>356</v>
      </c>
      <c r="K6640" s="297">
        <f>J6640/POBLA!$B$15*100000</f>
        <v>53.609855780452584</v>
      </c>
      <c r="L6640" s="549">
        <f t="shared" si="921"/>
        <v>-0.13067150635208713</v>
      </c>
      <c r="M6640" s="401">
        <f>SUM(C6640,C6616,C6592,C6568,C6544,C6520,C6496)/POBLA!$B$15*100000</f>
        <v>375.26899046316805</v>
      </c>
    </row>
    <row r="6641" spans="1:13" s="360" customFormat="1" ht="15.75" thickBot="1" x14ac:dyDescent="0.3">
      <c r="A6641" s="367" t="s">
        <v>18</v>
      </c>
      <c r="B6641" s="266">
        <v>44169</v>
      </c>
      <c r="C6641" s="1">
        <v>201</v>
      </c>
      <c r="D6641" s="39">
        <f t="shared" si="922"/>
        <v>32617</v>
      </c>
      <c r="E6641" s="225"/>
      <c r="F6641" s="409">
        <f t="shared" si="923"/>
        <v>796</v>
      </c>
      <c r="G6641" s="168">
        <f>SUM(C6641,C6617,C6593,C6569,C6545,C6521,C6497,C6473,C6449,C6425,C6401,C6377,C6353,C6329)/POBLA!$B$16*100000</f>
        <v>384.02375570150213</v>
      </c>
      <c r="H6641" s="256">
        <f t="shared" si="920"/>
        <v>0.74960835509138379</v>
      </c>
      <c r="I6641" s="297">
        <f t="shared" si="924"/>
        <v>287.86741582741843</v>
      </c>
      <c r="J6641" s="297">
        <f t="shared" si="925"/>
        <v>192.42857142857142</v>
      </c>
      <c r="K6641" s="297">
        <f>J6641/POBLA!$B$16*100000</f>
        <v>25.739164996264282</v>
      </c>
      <c r="L6641" s="549">
        <f t="shared" si="921"/>
        <v>0.11614173228346458</v>
      </c>
      <c r="M6641" s="401">
        <f>SUM(C6641,C6617,C6593,C6569,C6545,C6521,C6497)/POBLA!$B$16*100000</f>
        <v>180.17415497385002</v>
      </c>
    </row>
    <row r="6642" spans="1:13" s="360" customFormat="1" ht="15.75" thickBot="1" x14ac:dyDescent="0.3">
      <c r="A6642" s="367" t="s">
        <v>34</v>
      </c>
      <c r="B6642" s="266">
        <v>44169</v>
      </c>
      <c r="C6642" s="1">
        <v>48</v>
      </c>
      <c r="D6642" s="39">
        <f t="shared" si="922"/>
        <v>21380</v>
      </c>
      <c r="E6642" s="225">
        <v>4</v>
      </c>
      <c r="F6642" s="409">
        <f t="shared" si="923"/>
        <v>990</v>
      </c>
      <c r="G6642" s="168">
        <f>SUM(C6642,C6618,C6594,C6570,C6546,C6522,C6498,C6474,C6450,C6426,C6402,C6378,C6354,C6330)/POBLA!$B$17*100000</f>
        <v>49.284012813843326</v>
      </c>
      <c r="H6642" s="256">
        <f t="shared" si="920"/>
        <v>0.54843750000000002</v>
      </c>
      <c r="I6642" s="297">
        <f t="shared" si="924"/>
        <v>27.029200777592202</v>
      </c>
      <c r="J6642" s="297">
        <f t="shared" si="925"/>
        <v>42.857142857142854</v>
      </c>
      <c r="K6642" s="297">
        <f>J6642/POBLA!$B$17*100000</f>
        <v>3.0087919910771266</v>
      </c>
      <c r="L6642" s="549">
        <f t="shared" si="921"/>
        <v>0.25373134328358204</v>
      </c>
      <c r="M6642" s="401">
        <f>SUM(C6642,C6618,C6594,C6570,C6546,C6522,C6498)/POBLA!$B$17*100000</f>
        <v>21.061543937539884</v>
      </c>
    </row>
    <row r="6643" spans="1:13" s="360" customFormat="1" ht="15.75" thickBot="1" x14ac:dyDescent="0.3">
      <c r="A6643" s="367" t="s">
        <v>35</v>
      </c>
      <c r="B6643" s="266">
        <v>44169</v>
      </c>
      <c r="C6643" s="1">
        <v>159</v>
      </c>
      <c r="D6643" s="39">
        <f t="shared" si="922"/>
        <v>8394</v>
      </c>
      <c r="E6643" s="225"/>
      <c r="F6643" s="409">
        <f t="shared" si="923"/>
        <v>173</v>
      </c>
      <c r="G6643" s="168">
        <f>SUM(C6643,C6619,C6595,C6571,C6547,C6523,C6499,C6475,C6451,C6427,C6403,C6379,C6355,C6331)/POBLA!$B$18*100000</f>
        <v>363.66336114037455</v>
      </c>
      <c r="H6643" s="256">
        <f t="shared" si="920"/>
        <v>1.3183294663573086</v>
      </c>
      <c r="I6643" s="297">
        <f t="shared" si="924"/>
        <v>479.42812482589517</v>
      </c>
      <c r="J6643" s="297">
        <f t="shared" si="925"/>
        <v>173.14285714285714</v>
      </c>
      <c r="K6643" s="297">
        <f>J6643/POBLA!$B$18*100000</f>
        <v>22.163221888778295</v>
      </c>
      <c r="L6643" s="549">
        <f t="shared" si="921"/>
        <v>0.2559852670349908</v>
      </c>
      <c r="M6643" s="401">
        <f>SUM(C6643,C6619,C6595,C6571,C6547,C6523,C6499)/POBLA!$B$18*100000</f>
        <v>155.14255322144808</v>
      </c>
    </row>
    <row r="6644" spans="1:13" s="360" customFormat="1" ht="15.75" thickBot="1" x14ac:dyDescent="0.3">
      <c r="A6644" s="367" t="s">
        <v>36</v>
      </c>
      <c r="B6644" s="266">
        <v>44169</v>
      </c>
      <c r="C6644" s="1">
        <v>72</v>
      </c>
      <c r="D6644" s="39">
        <f t="shared" si="922"/>
        <v>15030</v>
      </c>
      <c r="E6644" s="225">
        <v>7</v>
      </c>
      <c r="F6644" s="409">
        <f t="shared" si="923"/>
        <v>235</v>
      </c>
      <c r="G6644" s="168">
        <f>SUM(C6644,C6620,C6596,C6572,C6548,C6524,C6500,C6476,C6452,C6428,C6404,C6380,C6356,C6332)/POBLA!$B$19*100000</f>
        <v>441.25053115311374</v>
      </c>
      <c r="H6644" s="256">
        <f t="shared" si="920"/>
        <v>0.57175630894723428</v>
      </c>
      <c r="I6644" s="297">
        <f t="shared" si="924"/>
        <v>252.28777501311092</v>
      </c>
      <c r="J6644" s="297">
        <f t="shared" si="925"/>
        <v>155.42857142857142</v>
      </c>
      <c r="K6644" s="297">
        <f>J6644/POBLA!$B$19*100000</f>
        <v>30.576433214100231</v>
      </c>
      <c r="L6644" s="549">
        <f t="shared" si="921"/>
        <v>5.8008658008657954E-2</v>
      </c>
      <c r="M6644" s="401">
        <f>SUM(C6644,C6620,C6596,C6572,C6548,C6524,C6500)/POBLA!$B$19*100000</f>
        <v>214.03503249870161</v>
      </c>
    </row>
    <row r="6645" spans="1:13" s="360" customFormat="1" ht="15.75" thickBot="1" x14ac:dyDescent="0.3">
      <c r="A6645" s="367" t="s">
        <v>37</v>
      </c>
      <c r="B6645" s="266">
        <v>44169</v>
      </c>
      <c r="C6645" s="1">
        <v>242</v>
      </c>
      <c r="D6645" s="39">
        <f t="shared" si="922"/>
        <v>16938</v>
      </c>
      <c r="E6645" s="225">
        <v>6</v>
      </c>
      <c r="F6645" s="409">
        <f t="shared" si="923"/>
        <v>296</v>
      </c>
      <c r="G6645" s="168">
        <f>SUM(C6645,C6621,C6597,C6573,C6549,C6525,C6501,C6477,C6453,C6429,C6405,C6381,C6357,C6333)/POBLA!$B$20*100000</f>
        <v>845.23295177988405</v>
      </c>
      <c r="H6645" s="256">
        <f t="shared" si="920"/>
        <v>0.99517063747585321</v>
      </c>
      <c r="I6645" s="297">
        <f t="shared" si="924"/>
        <v>841.15101543838432</v>
      </c>
      <c r="J6645" s="297">
        <f t="shared" si="925"/>
        <v>223.57142857142858</v>
      </c>
      <c r="K6645" s="297">
        <f>J6645/POBLA!$B$20*100000</f>
        <v>61.135534941790382</v>
      </c>
      <c r="L6645" s="549">
        <f t="shared" si="921"/>
        <v>-2.5557011795543927E-2</v>
      </c>
      <c r="M6645" s="401">
        <f>SUM(C6645,C6621,C6597,C6573,C6549,C6525,C6501)/POBLA!$B$20*100000</f>
        <v>427.94874459253265</v>
      </c>
    </row>
    <row r="6646" spans="1:13" s="360" customFormat="1" ht="15.75" thickBot="1" x14ac:dyDescent="0.3">
      <c r="A6646" s="367" t="s">
        <v>22</v>
      </c>
      <c r="B6646" s="266">
        <v>44169</v>
      </c>
      <c r="C6646" s="1">
        <v>991</v>
      </c>
      <c r="D6646" s="39">
        <f t="shared" si="922"/>
        <v>152675</v>
      </c>
      <c r="E6646" s="225">
        <v>14</v>
      </c>
      <c r="F6646" s="409">
        <f t="shared" si="923"/>
        <v>2381</v>
      </c>
      <c r="G6646" s="168">
        <f>SUM(C6646,C6622,C6598,C6574,C6550,C6526,C6502,C6478,C6454,C6430,C6406,C6382,C6358,C6334)/POBLA!$B$21*100000</f>
        <v>471.26781958467575</v>
      </c>
      <c r="H6646" s="256">
        <f t="shared" si="920"/>
        <v>0.83689866425630211</v>
      </c>
      <c r="I6646" s="297">
        <f t="shared" si="924"/>
        <v>394.40340871739511</v>
      </c>
      <c r="J6646" s="297">
        <f t="shared" si="925"/>
        <v>1177.7142857142858</v>
      </c>
      <c r="K6646" s="297">
        <f>J6646/POBLA!$B$21*100000</f>
        <v>33.302462709846118</v>
      </c>
      <c r="L6646" s="549">
        <f t="shared" si="921"/>
        <v>2.1135122298741371E-2</v>
      </c>
      <c r="M6646" s="401">
        <f>SUM(C6646,C6622,C6598,C6574,C6550,C6526,C6502)/POBLA!$B$21*100000</f>
        <v>233.11723896892278</v>
      </c>
    </row>
    <row r="6647" spans="1:13" s="360" customFormat="1" ht="15.75" thickBot="1" x14ac:dyDescent="0.3">
      <c r="A6647" s="367" t="s">
        <v>38</v>
      </c>
      <c r="B6647" s="266">
        <v>44169</v>
      </c>
      <c r="C6647" s="1">
        <v>82</v>
      </c>
      <c r="D6647" s="39">
        <f t="shared" si="922"/>
        <v>16024</v>
      </c>
      <c r="E6647" s="225">
        <v>3</v>
      </c>
      <c r="F6647" s="409">
        <f t="shared" si="923"/>
        <v>198</v>
      </c>
      <c r="G6647" s="168">
        <f>SUM(C6647,C6623,C6599,C6575,C6551,C6527,C6503,C6479,C6455,C6431,C6407,C6383,C6359,C6335)/POBLA!$B$22*100000</f>
        <v>190.22541865435704</v>
      </c>
      <c r="H6647" s="256">
        <f t="shared" si="920"/>
        <v>0.57562635323229194</v>
      </c>
      <c r="I6647" s="297">
        <f t="shared" si="924"/>
        <v>109.49876403209355</v>
      </c>
      <c r="J6647" s="297">
        <f t="shared" si="925"/>
        <v>103.71428571428571</v>
      </c>
      <c r="K6647" s="297">
        <f>J6647/POBLA!$B$22*100000</f>
        <v>10.601339828284578</v>
      </c>
      <c r="L6647" s="549">
        <f t="shared" si="921"/>
        <v>0.36035242290748903</v>
      </c>
      <c r="M6647" s="401">
        <f>SUM(C6647,C6623,C6599,C6575,C6551,C6527,C6503)/POBLA!$B$22*100000</f>
        <v>74.209378797992059</v>
      </c>
    </row>
    <row r="6648" spans="1:13" s="360" customFormat="1" ht="15.75" thickBot="1" x14ac:dyDescent="0.3">
      <c r="A6648" s="367" t="s">
        <v>39</v>
      </c>
      <c r="B6648" s="266">
        <v>44169</v>
      </c>
      <c r="C6648" s="1">
        <v>107</v>
      </c>
      <c r="D6648" s="39">
        <f t="shared" si="922"/>
        <v>16588</v>
      </c>
      <c r="E6648" s="225">
        <v>1</v>
      </c>
      <c r="F6648" s="409">
        <f t="shared" si="923"/>
        <v>237</v>
      </c>
      <c r="G6648" s="168">
        <f>SUM(C6648,C6624,C6600,C6576,C6552,C6528,C6504,C6480,C6456,C6432,C6408,C6384,C6360,C6336)/POBLA!$B$23*100000</f>
        <v>917.83068483854549</v>
      </c>
      <c r="H6648" s="256">
        <f t="shared" si="920"/>
        <v>0.73505434782608692</v>
      </c>
      <c r="I6648" s="297">
        <f t="shared" si="924"/>
        <v>674.65543545876778</v>
      </c>
      <c r="J6648" s="297">
        <f t="shared" si="925"/>
        <v>92.571428571428569</v>
      </c>
      <c r="K6648" s="297">
        <f>J6648/POBLA!$B$23*100000</f>
        <v>52.350522293405291</v>
      </c>
      <c r="L6648" s="549">
        <f t="shared" si="921"/>
        <v>0.33538461538461539</v>
      </c>
      <c r="M6648" s="401">
        <f>SUM(C6648,C6624,C6600,C6576,C6552,C6528,C6504)/POBLA!$B$23*100000</f>
        <v>366.45365605383699</v>
      </c>
    </row>
    <row r="6649" spans="1:13" s="360" customFormat="1" ht="15.75" thickBot="1" x14ac:dyDescent="0.3">
      <c r="A6649" s="369" t="s">
        <v>40</v>
      </c>
      <c r="B6649" s="266">
        <v>44169</v>
      </c>
      <c r="C6649" s="1">
        <v>172</v>
      </c>
      <c r="D6649" s="176">
        <f t="shared" si="922"/>
        <v>67049</v>
      </c>
      <c r="E6649" s="225">
        <v>12</v>
      </c>
      <c r="F6649" s="476">
        <f t="shared" si="923"/>
        <v>1240</v>
      </c>
      <c r="G6649" s="177">
        <f>SUM(C6649,C6625,C6601,C6577,C6553,C6529,C6505,C6481,C6457,C6433,C6409,C6385,C6361,C6337)/POBLA!$B$24*100000</f>
        <v>246.06763850598588</v>
      </c>
      <c r="H6649" s="402">
        <f t="shared" si="920"/>
        <v>0.47445670724769601</v>
      </c>
      <c r="I6649" s="403">
        <f t="shared" si="924"/>
        <v>116.74844152576644</v>
      </c>
      <c r="J6649" s="403">
        <f t="shared" si="925"/>
        <v>265.57142857142856</v>
      </c>
      <c r="K6649" s="403">
        <f>J6649/POBLA!$B$24*100000</f>
        <v>15.671111338904685</v>
      </c>
      <c r="L6649" s="550">
        <f t="shared" si="921"/>
        <v>0.19558632626568584</v>
      </c>
      <c r="M6649" s="405">
        <f>SUM(C6649,C6625,C6601,C6577,C6553,C6529,C6505)/POBLA!$B$24*100000</f>
        <v>109.6977793723328</v>
      </c>
    </row>
    <row r="6650" spans="1:13" s="360" customFormat="1" ht="15.75" thickBot="1" x14ac:dyDescent="0.3">
      <c r="A6650" s="363" t="s">
        <v>16</v>
      </c>
      <c r="B6650" s="266">
        <v>44170</v>
      </c>
      <c r="C6650" s="1">
        <v>1374</v>
      </c>
      <c r="D6650" s="174">
        <f t="shared" si="922"/>
        <v>627758</v>
      </c>
      <c r="E6650" s="1">
        <v>25</v>
      </c>
      <c r="F6650" s="475">
        <f t="shared" si="923"/>
        <v>20988</v>
      </c>
      <c r="G6650" s="175">
        <f>SUM(C6650,C6626,C6602,C6578,C6554,C6530,C6506,C6482,C6458,C6434,C6410,C6386,C6362,C6338)/POBLA!$B$1*100000</f>
        <v>135.35037430005266</v>
      </c>
      <c r="H6650" s="300">
        <f t="shared" ref="H6650:H6713" si="926">SUM(C6650,C6626,C6602,C6578,C6554,C6530,C6506,C6482,C6458,C6434,C6410,C6386,C6362,C6338)/SUM(C6314,C6290,C6266,C6242,C6218,C6194,C6170,C6146,C6122,C6098,C6074,C6050,C6026,C6002)</f>
        <v>0.68169289077753537</v>
      </c>
      <c r="I6650" s="301">
        <f>G6650*H6650</f>
        <v>92.267387924424327</v>
      </c>
      <c r="J6650" s="301">
        <f>AVERAGE(C6650,C6626,C6602,C6578,C6554,C6530,C6506)</f>
        <v>1622.1428571428571</v>
      </c>
      <c r="K6650" s="301">
        <f>J6650/POBLA!$B$1*100000</f>
        <v>9.2476473288873109</v>
      </c>
      <c r="L6650" s="548">
        <f t="shared" ref="L6650:L6713" si="927">1-SUM(C6650,C6626,C6602,C6578,C6554,C6530,C6506)/SUM(C6482,C6458,C6434,C6410,C6386,C6362,C6338)</f>
        <v>8.3313150883991272E-2</v>
      </c>
      <c r="M6650" s="400">
        <f>SUM(C6650,C6626,C6602,C6578,C6554,C6530,C6506)/POBLA!$B$1*100000</f>
        <v>64.73353130221119</v>
      </c>
    </row>
    <row r="6651" spans="1:13" s="360" customFormat="1" ht="15.75" thickBot="1" x14ac:dyDescent="0.3">
      <c r="A6651" s="367" t="s">
        <v>43</v>
      </c>
      <c r="B6651" s="266">
        <v>44170</v>
      </c>
      <c r="C6651" s="1">
        <v>253</v>
      </c>
      <c r="D6651" s="39">
        <f t="shared" si="922"/>
        <v>160447</v>
      </c>
      <c r="E6651" s="1">
        <v>9</v>
      </c>
      <c r="F6651" s="409">
        <f t="shared" si="923"/>
        <v>5292</v>
      </c>
      <c r="G6651" s="168">
        <f>SUM(C6651,C6627,C6603,C6579,C6555,C6531,C6507,C6483,C6459,C6435,C6411,C6387,C6363,C6339)/POBLA!$B$2*100000</f>
        <v>137.46705570146889</v>
      </c>
      <c r="H6651" s="256">
        <f t="shared" si="926"/>
        <v>0.71807065217391308</v>
      </c>
      <c r="I6651" s="297">
        <f t="shared" ref="I6651:I6673" si="928">G6651*H6651</f>
        <v>98.711058339981406</v>
      </c>
      <c r="J6651" s="297">
        <f t="shared" ref="J6651:J6673" si="929">AVERAGE(C6651,C6627,C6603,C6579,C6555,C6531,C6507)</f>
        <v>311.42857142857144</v>
      </c>
      <c r="K6651" s="297">
        <f>J6651/POBLA!$B$2*100000</f>
        <v>10.125631214664219</v>
      </c>
      <c r="L6651" s="549">
        <f t="shared" si="927"/>
        <v>-6.4453125E-2</v>
      </c>
      <c r="M6651" s="401">
        <f>SUM(C6651,C6627,C6603,C6579,C6555,C6531,C6507)/POBLA!$B$2*100000</f>
        <v>70.879418502649528</v>
      </c>
    </row>
    <row r="6652" spans="1:13" s="360" customFormat="1" ht="15.75" thickBot="1" x14ac:dyDescent="0.3">
      <c r="A6652" s="367" t="s">
        <v>28</v>
      </c>
      <c r="B6652" s="266">
        <v>44170</v>
      </c>
      <c r="C6652" s="1">
        <v>3</v>
      </c>
      <c r="D6652" s="39">
        <f t="shared" si="922"/>
        <v>1944</v>
      </c>
      <c r="E6652" s="1"/>
      <c r="F6652" s="409">
        <f t="shared" si="923"/>
        <v>17</v>
      </c>
      <c r="G6652" s="168">
        <f>SUM(C6652,C6628,C6604,C6580,C6556,C6532,C6508,C6484,C6460,C6436,C6412,C6388,C6364,C6340)/POBLA!$B$3*100000</f>
        <v>65.713776784983565</v>
      </c>
      <c r="H6652" s="256">
        <f t="shared" si="926"/>
        <v>0.53846153846153844</v>
      </c>
      <c r="I6652" s="297">
        <f t="shared" si="928"/>
        <v>35.384341345760383</v>
      </c>
      <c r="J6652" s="297">
        <f t="shared" si="929"/>
        <v>18.714285714285715</v>
      </c>
      <c r="K6652" s="297">
        <f>J6652/POBLA!$B$3*100000</f>
        <v>4.5047120663698834</v>
      </c>
      <c r="L6652" s="549">
        <f t="shared" si="927"/>
        <v>7.7464788732394374E-2</v>
      </c>
      <c r="M6652" s="401">
        <f>SUM(C6652,C6628,C6604,C6580,C6556,C6532,C6508)/POBLA!$B$3*100000</f>
        <v>31.53298446458918</v>
      </c>
    </row>
    <row r="6653" spans="1:13" s="360" customFormat="1" ht="15.75" thickBot="1" x14ac:dyDescent="0.3">
      <c r="A6653" s="367" t="s">
        <v>15</v>
      </c>
      <c r="B6653" s="266">
        <v>44170</v>
      </c>
      <c r="C6653" s="1">
        <v>263</v>
      </c>
      <c r="D6653" s="39">
        <f t="shared" si="922"/>
        <v>20596</v>
      </c>
      <c r="E6653" s="1">
        <v>6</v>
      </c>
      <c r="F6653" s="409">
        <f t="shared" si="923"/>
        <v>587</v>
      </c>
      <c r="G6653" s="168">
        <f>SUM(C6653,C6629,C6605,C6581,C6557,C6533,C6509,C6485,C6461,C6437,C6413,C6389,C6365,C6341)/POBLA!$B$4*100000</f>
        <v>243.82731679536025</v>
      </c>
      <c r="H6653" s="256">
        <f t="shared" si="926"/>
        <v>1.0707254830477579</v>
      </c>
      <c r="I6653" s="297">
        <f t="shared" si="928"/>
        <v>261.07212155595079</v>
      </c>
      <c r="J6653" s="297">
        <f t="shared" si="929"/>
        <v>234</v>
      </c>
      <c r="K6653" s="297">
        <f>J6653/POBLA!$B$4*100000</f>
        <v>19.426486935687539</v>
      </c>
      <c r="L6653" s="549">
        <f t="shared" si="927"/>
        <v>-0.26096997690531176</v>
      </c>
      <c r="M6653" s="401">
        <f>SUM(C6653,C6629,C6605,C6581,C6557,C6533,C6509)/POBLA!$B$4*100000</f>
        <v>135.98540854981275</v>
      </c>
    </row>
    <row r="6654" spans="1:13" s="360" customFormat="1" ht="15.75" thickBot="1" x14ac:dyDescent="0.3">
      <c r="A6654" s="367" t="s">
        <v>29</v>
      </c>
      <c r="B6654" s="266">
        <v>44170</v>
      </c>
      <c r="C6654" s="1">
        <v>214</v>
      </c>
      <c r="D6654" s="39">
        <f t="shared" si="922"/>
        <v>24411</v>
      </c>
      <c r="E6654" s="1"/>
      <c r="F6654" s="409">
        <f t="shared" si="923"/>
        <v>400</v>
      </c>
      <c r="G6654" s="168">
        <f>SUM(C6654,C6630,C6606,C6582,C6558,C6534,C6510,C6486,C6462,C6438,C6414,C6390,C6366,C6342)/POBLA!$B$5*100000</f>
        <v>547.66282064123402</v>
      </c>
      <c r="H6654" s="256">
        <f t="shared" si="926"/>
        <v>0.79858657243816256</v>
      </c>
      <c r="I6654" s="297">
        <f t="shared" si="928"/>
        <v>437.35617478769927</v>
      </c>
      <c r="J6654" s="297">
        <f t="shared" si="929"/>
        <v>270.57142857142856</v>
      </c>
      <c r="K6654" s="297">
        <f>J6654/POBLA!$B$5*100000</f>
        <v>43.711478394205528</v>
      </c>
      <c r="L6654" s="549">
        <f t="shared" si="927"/>
        <v>-0.26604278074866317</v>
      </c>
      <c r="M6654" s="401">
        <f>SUM(C6654,C6630,C6606,C6582,C6558,C6534,C6510)/POBLA!$B$5*100000</f>
        <v>305.9803487594387</v>
      </c>
    </row>
    <row r="6655" spans="1:13" s="360" customFormat="1" ht="15.75" thickBot="1" x14ac:dyDescent="0.3">
      <c r="A6655" s="367" t="s">
        <v>20</v>
      </c>
      <c r="B6655" s="266">
        <v>44170</v>
      </c>
      <c r="C6655" s="1">
        <v>451</v>
      </c>
      <c r="D6655" s="39">
        <f t="shared" si="922"/>
        <v>117250</v>
      </c>
      <c r="E6655" s="1">
        <v>25</v>
      </c>
      <c r="F6655" s="409">
        <f t="shared" si="923"/>
        <v>2073</v>
      </c>
      <c r="G6655" s="168">
        <f>SUM(C6655,C6631,C6607,C6583,C6559,C6535,C6511,C6487,C6463,C6439,C6415,C6391,C6367,C6343)/POBLA!$B$6*100000</f>
        <v>756.24486416411116</v>
      </c>
      <c r="H6655" s="256">
        <f t="shared" si="926"/>
        <v>0.53074514715090793</v>
      </c>
      <c r="I6655" s="297">
        <f t="shared" si="928"/>
        <v>401.37329171289957</v>
      </c>
      <c r="J6655" s="297">
        <f t="shared" si="929"/>
        <v>545.71428571428567</v>
      </c>
      <c r="K6655" s="297">
        <f>J6655/POBLA!$B$6*100000</f>
        <v>48.689667988722853</v>
      </c>
      <c r="L6655" s="549">
        <f t="shared" si="927"/>
        <v>0.17955326460481102</v>
      </c>
      <c r="M6655" s="401">
        <f>SUM(C6655,C6631,C6607,C6583,C6559,C6535,C6511)/POBLA!$B$6*100000</f>
        <v>340.82767592106001</v>
      </c>
    </row>
    <row r="6656" spans="1:13" s="360" customFormat="1" ht="15.75" thickBot="1" x14ac:dyDescent="0.3">
      <c r="A6656" s="367" t="s">
        <v>30</v>
      </c>
      <c r="B6656" s="266">
        <v>44170</v>
      </c>
      <c r="C6656" s="1">
        <v>192</v>
      </c>
      <c r="D6656" s="39">
        <f t="shared" si="922"/>
        <v>8590</v>
      </c>
      <c r="E6656" s="1">
        <v>7</v>
      </c>
      <c r="F6656" s="409">
        <f t="shared" si="923"/>
        <v>95</v>
      </c>
      <c r="G6656" s="168">
        <f>SUM(C6656,C6632,C6608,C6584,C6560,C6536,C6512,C6488,C6464,C6440,C6416,C6392,C6368,C6344)/POBLA!$B$7*100000</f>
        <v>101.61017963275673</v>
      </c>
      <c r="H6656" s="256">
        <f t="shared" si="926"/>
        <v>1.9736570247933884</v>
      </c>
      <c r="I6656" s="297">
        <f t="shared" si="928"/>
        <v>200.54364482270839</v>
      </c>
      <c r="J6656" s="297">
        <f t="shared" si="929"/>
        <v>416.71428571428572</v>
      </c>
      <c r="K6656" s="297">
        <f>J6656/POBLA!$B$7*100000</f>
        <v>11.081500504308945</v>
      </c>
      <c r="L6656" s="549">
        <f t="shared" si="927"/>
        <v>-2.2267699115044248</v>
      </c>
      <c r="M6656" s="401">
        <f>SUM(C6656,C6632,C6608,C6584,C6560,C6536,C6512)/POBLA!$B$7*100000</f>
        <v>77.570503530162611</v>
      </c>
    </row>
    <row r="6657" spans="1:13" ht="15.75" thickBot="1" x14ac:dyDescent="0.3">
      <c r="A6657" s="367" t="s">
        <v>31</v>
      </c>
      <c r="B6657" s="266">
        <v>44170</v>
      </c>
      <c r="C6657" s="1">
        <v>212</v>
      </c>
      <c r="D6657" s="39">
        <f t="shared" ref="D6657:D6688" si="930">C6657+D6633</f>
        <v>24393</v>
      </c>
      <c r="E6657" s="1">
        <v>1</v>
      </c>
      <c r="F6657" s="409">
        <f t="shared" si="923"/>
        <v>486</v>
      </c>
      <c r="G6657" s="168">
        <f>SUM(C6657,C6633,C6609,C6585,C6561,C6537,C6513,C6489,C6465,C6441,C6417,C6393,C6369,C6345)/POBLA!$B$8*100000</f>
        <v>193.00687393079605</v>
      </c>
      <c r="H6657" s="256">
        <f t="shared" si="926"/>
        <v>0.70376216785056567</v>
      </c>
      <c r="I6657" s="297">
        <f t="shared" si="928"/>
        <v>135.83093600759784</v>
      </c>
      <c r="J6657" s="297">
        <f t="shared" si="929"/>
        <v>188.28571428571428</v>
      </c>
      <c r="K6657" s="297">
        <f>J6657/POBLA!$B$8*100000</f>
        <v>13.585210138359903</v>
      </c>
      <c r="L6657" s="549">
        <f t="shared" si="927"/>
        <v>2.8739867354458326E-2</v>
      </c>
      <c r="M6657" s="401">
        <f>SUM(C6657,C6633,C6609,C6585,C6561,C6537,C6513)/POBLA!$B$8*100000</f>
        <v>95.096470968519327</v>
      </c>
    </row>
    <row r="6658" spans="1:13" s="360" customFormat="1" ht="15.75" thickBot="1" x14ac:dyDescent="0.3">
      <c r="A6658" s="367" t="s">
        <v>41</v>
      </c>
      <c r="B6658" s="266">
        <v>44170</v>
      </c>
      <c r="C6658" s="1">
        <v>1</v>
      </c>
      <c r="D6658" s="39">
        <f t="shared" si="930"/>
        <v>190</v>
      </c>
      <c r="E6658" s="1"/>
      <c r="F6658" s="409">
        <f t="shared" ref="F6658:F6689" si="931">E6658+F6634</f>
        <v>3</v>
      </c>
      <c r="G6658" s="168">
        <f>SUM(C6658,C6634,C6610,C6586,C6562,C6538,C6514,C6490,C6466,C6442,C6418,C6394,C6370,C6346)/POBLA!$B$9*100000</f>
        <v>1.8176019881261019</v>
      </c>
      <c r="H6658" s="256">
        <f t="shared" si="926"/>
        <v>0.6470588235294118</v>
      </c>
      <c r="I6658" s="297">
        <f t="shared" si="928"/>
        <v>1.1760954040815954</v>
      </c>
      <c r="J6658" s="297">
        <f t="shared" si="929"/>
        <v>1.1428571428571428</v>
      </c>
      <c r="K6658" s="297">
        <f>J6658/POBLA!$B$9*100000</f>
        <v>0.18884176500011449</v>
      </c>
      <c r="L6658" s="549">
        <f t="shared" si="927"/>
        <v>-1.6666666666666665</v>
      </c>
      <c r="M6658" s="401">
        <f>SUM(C6658,C6634,C6610,C6586,C6562,C6538,C6514)/POBLA!$B$9*100000</f>
        <v>1.3218923550008015</v>
      </c>
    </row>
    <row r="6659" spans="1:13" s="360" customFormat="1" ht="15.75" thickBot="1" x14ac:dyDescent="0.3">
      <c r="A6659" s="367" t="s">
        <v>32</v>
      </c>
      <c r="B6659" s="266">
        <v>44170</v>
      </c>
      <c r="C6659" s="1">
        <v>3</v>
      </c>
      <c r="D6659" s="39">
        <f t="shared" si="930"/>
        <v>18415</v>
      </c>
      <c r="E6659" s="1"/>
      <c r="F6659" s="409">
        <f t="shared" si="931"/>
        <v>850</v>
      </c>
      <c r="G6659" s="168">
        <f>SUM(C6659,C6635,C6611,C6587,C6563,C6539,C6515,C6491,C6467,C6443,C6419,C6395,C6371,C6347)/POBLA!$B$10*100000</f>
        <v>16.863822042572071</v>
      </c>
      <c r="H6659" s="256">
        <f t="shared" si="926"/>
        <v>0.47794117647058826</v>
      </c>
      <c r="I6659" s="297">
        <f t="shared" si="928"/>
        <v>8.0599149468175337</v>
      </c>
      <c r="J6659" s="297">
        <f t="shared" si="929"/>
        <v>6.7142857142857144</v>
      </c>
      <c r="K6659" s="297">
        <f>J6659/POBLA!$B$10*100000</f>
        <v>0.87098861098998615</v>
      </c>
      <c r="L6659" s="549">
        <f t="shared" si="927"/>
        <v>0.4337349397590361</v>
      </c>
      <c r="M6659" s="401">
        <f>SUM(C6659,C6635,C6611,C6587,C6563,C6539,C6515)/POBLA!$B$10*100000</f>
        <v>6.096920276929902</v>
      </c>
    </row>
    <row r="6660" spans="1:13" s="360" customFormat="1" ht="15.75" thickBot="1" x14ac:dyDescent="0.3">
      <c r="A6660" s="367" t="s">
        <v>33</v>
      </c>
      <c r="B6660" s="266">
        <v>44170</v>
      </c>
      <c r="C6660" s="1">
        <v>68</v>
      </c>
      <c r="D6660" s="39">
        <f t="shared" si="930"/>
        <v>6219</v>
      </c>
      <c r="E6660" s="1"/>
      <c r="F6660" s="409">
        <f t="shared" si="931"/>
        <v>88</v>
      </c>
      <c r="G6660" s="168">
        <f>SUM(C6660,C6636,C6612,C6588,C6564,C6540,C6516,C6492,C6468,C6444,C6420,C6396,C6372,C6348)/POBLA!$B$11*100000</f>
        <v>307.45365875433839</v>
      </c>
      <c r="H6660" s="256">
        <f t="shared" si="926"/>
        <v>1.006392694063927</v>
      </c>
      <c r="I6660" s="297">
        <f t="shared" si="928"/>
        <v>309.41911593358986</v>
      </c>
      <c r="J6660" s="297">
        <f t="shared" si="929"/>
        <v>81.428571428571431</v>
      </c>
      <c r="K6660" s="297">
        <f>J6660/POBLA!$B$11*100000</f>
        <v>22.718250646872296</v>
      </c>
      <c r="L6660" s="549">
        <f t="shared" si="927"/>
        <v>-7.1428571428571397E-2</v>
      </c>
      <c r="M6660" s="401">
        <f>SUM(C6660,C6636,C6612,C6588,C6564,C6540,C6516)/POBLA!$B$11*100000</f>
        <v>159.02775452810607</v>
      </c>
    </row>
    <row r="6661" spans="1:13" s="360" customFormat="1" ht="15.75" thickBot="1" x14ac:dyDescent="0.3">
      <c r="A6661" s="367" t="s">
        <v>21</v>
      </c>
      <c r="B6661" s="266">
        <v>44170</v>
      </c>
      <c r="C6661" s="1">
        <v>22</v>
      </c>
      <c r="D6661" s="39">
        <f t="shared" si="930"/>
        <v>8834</v>
      </c>
      <c r="E6661" s="1"/>
      <c r="F6661" s="409">
        <f t="shared" si="931"/>
        <v>320</v>
      </c>
      <c r="G6661" s="168">
        <f>SUM(C6661,C6637,C6613,C6589,C6565,C6541,C6517,C6493,C6469,C6445,C6421,C6397,C6373,C6349)/POBLA!$B$12*100000</f>
        <v>89.192465142517364</v>
      </c>
      <c r="H6661" s="256">
        <f t="shared" si="926"/>
        <v>0.50943396226415094</v>
      </c>
      <c r="I6661" s="297">
        <f t="shared" si="928"/>
        <v>45.437670921659787</v>
      </c>
      <c r="J6661" s="297">
        <f t="shared" si="929"/>
        <v>23.714285714285715</v>
      </c>
      <c r="K6661" s="297">
        <f>J6661/POBLA!$B$12*100000</f>
        <v>6.0260273559861144</v>
      </c>
      <c r="L6661" s="549">
        <f t="shared" si="927"/>
        <v>0.10270270270270265</v>
      </c>
      <c r="M6661" s="401">
        <f>SUM(C6661,C6637,C6613,C6589,C6565,C6541,C6517)/POBLA!$B$12*100000</f>
        <v>42.182191491902799</v>
      </c>
    </row>
    <row r="6662" spans="1:13" s="360" customFormat="1" ht="15.75" thickBot="1" x14ac:dyDescent="0.3">
      <c r="A6662" s="367" t="s">
        <v>17</v>
      </c>
      <c r="B6662" s="266">
        <v>44170</v>
      </c>
      <c r="C6662" s="1">
        <v>100</v>
      </c>
      <c r="D6662" s="39">
        <f t="shared" si="930"/>
        <v>57527</v>
      </c>
      <c r="E6662" s="1">
        <v>4</v>
      </c>
      <c r="F6662" s="409">
        <f t="shared" si="931"/>
        <v>1143</v>
      </c>
      <c r="G6662" s="168">
        <f>SUM(C6662,C6638,C6614,C6590,C6566,C6542,C6518,C6494,C6470,C6446,C6422,C6398,C6374,C6350)/POBLA!$B$13*100000</f>
        <v>125.10437925618665</v>
      </c>
      <c r="H6662" s="256">
        <f t="shared" si="926"/>
        <v>0.54095155333478162</v>
      </c>
      <c r="I6662" s="297">
        <f t="shared" si="928"/>
        <v>67.675408287617799</v>
      </c>
      <c r="J6662" s="297">
        <f t="shared" si="929"/>
        <v>168.42857142857142</v>
      </c>
      <c r="K6662" s="297">
        <f>J6662/POBLA!$B$13*100000</f>
        <v>8.4623099909950685</v>
      </c>
      <c r="L6662" s="549">
        <f t="shared" si="927"/>
        <v>0.10068649885583525</v>
      </c>
      <c r="M6662" s="401">
        <f>SUM(C6662,C6638,C6614,C6590,C6566,C6542,C6518)/POBLA!$B$13*100000</f>
        <v>59.236169936965474</v>
      </c>
    </row>
    <row r="6663" spans="1:13" s="360" customFormat="1" ht="15.75" thickBot="1" x14ac:dyDescent="0.3">
      <c r="A6663" s="367" t="s">
        <v>23</v>
      </c>
      <c r="B6663" s="266">
        <v>44170</v>
      </c>
      <c r="C6663" s="1">
        <v>5</v>
      </c>
      <c r="D6663" s="39">
        <f t="shared" si="930"/>
        <v>568</v>
      </c>
      <c r="E6663" s="1"/>
      <c r="F6663" s="409">
        <f t="shared" si="931"/>
        <v>9</v>
      </c>
      <c r="G6663" s="168">
        <f>SUM(C6663,C6639,C6615,C6591,C6567,C6543,C6519,C6495,C6471,C6447,C6423,C6399,C6375,C6351)/POBLA!$B$14*100000</f>
        <v>10.544726289033326</v>
      </c>
      <c r="H6663" s="256">
        <f t="shared" si="926"/>
        <v>1.2666666666666666</v>
      </c>
      <c r="I6663" s="297">
        <f t="shared" si="928"/>
        <v>13.356653299442213</v>
      </c>
      <c r="J6663" s="297">
        <f t="shared" si="929"/>
        <v>10.714285714285714</v>
      </c>
      <c r="K6663" s="297">
        <f>J6663/POBLA!$B$14*100000</f>
        <v>0.84946774616272769</v>
      </c>
      <c r="L6663" s="549">
        <f t="shared" si="927"/>
        <v>-0.2931034482758621</v>
      </c>
      <c r="M6663" s="401">
        <f>SUM(C6663,C6639,C6615,C6591,C6567,C6543,C6519)/POBLA!$B$14*100000</f>
        <v>5.9462742231390937</v>
      </c>
    </row>
    <row r="6664" spans="1:13" s="360" customFormat="1" ht="15.75" thickBot="1" x14ac:dyDescent="0.3">
      <c r="A6664" s="367" t="s">
        <v>19</v>
      </c>
      <c r="B6664" s="266">
        <v>44170</v>
      </c>
      <c r="C6664" s="1">
        <v>289</v>
      </c>
      <c r="D6664" s="39">
        <f t="shared" si="930"/>
        <v>34244</v>
      </c>
      <c r="E6664" s="1"/>
      <c r="F6664" s="409">
        <f t="shared" si="931"/>
        <v>648</v>
      </c>
      <c r="G6664" s="168">
        <f>SUM(C6664,C6640,C6616,C6592,C6568,C6544,C6520,C6496,C6472,C6448,C6424,C6400,C6376,C6352)/POBLA!$B$15*100000</f>
        <v>715.3000420144657</v>
      </c>
      <c r="H6664" s="256">
        <f t="shared" si="926"/>
        <v>1.0810195721438325</v>
      </c>
      <c r="I6664" s="297">
        <f t="shared" si="928"/>
        <v>773.25334537294316</v>
      </c>
      <c r="J6664" s="297">
        <f t="shared" si="929"/>
        <v>360.85714285714283</v>
      </c>
      <c r="K6664" s="297">
        <f>J6664/POBLA!$B$15*100000</f>
        <v>54.341290409880898</v>
      </c>
      <c r="L6664" s="549">
        <f t="shared" si="927"/>
        <v>-0.13579136690647475</v>
      </c>
      <c r="M6664" s="401">
        <f>SUM(C6664,C6640,C6616,C6592,C6568,C6544,C6520)/POBLA!$B$15*100000</f>
        <v>380.38903286916639</v>
      </c>
    </row>
    <row r="6665" spans="1:13" s="360" customFormat="1" ht="15.75" thickBot="1" x14ac:dyDescent="0.3">
      <c r="A6665" s="367" t="s">
        <v>18</v>
      </c>
      <c r="B6665" s="266">
        <v>44170</v>
      </c>
      <c r="C6665" s="1">
        <v>146</v>
      </c>
      <c r="D6665" s="39">
        <f t="shared" si="930"/>
        <v>32763</v>
      </c>
      <c r="E6665" s="1">
        <v>5</v>
      </c>
      <c r="F6665" s="409">
        <f t="shared" si="931"/>
        <v>801</v>
      </c>
      <c r="G6665" s="168">
        <f>SUM(C6665,C6641,C6617,C6593,C6569,C6545,C6521,C6497,C6473,C6449,C6425,C6401,C6377,C6353)/POBLA!$B$16*100000</f>
        <v>380.94728534931318</v>
      </c>
      <c r="H6665" s="256">
        <f t="shared" si="926"/>
        <v>0.74711437565582373</v>
      </c>
      <c r="I6665" s="297">
        <f t="shared" si="928"/>
        <v>284.61119325153305</v>
      </c>
      <c r="J6665" s="297">
        <f t="shared" si="929"/>
        <v>192.85714285714286</v>
      </c>
      <c r="K6665" s="297">
        <f>J6665/POBLA!$B$16*100000</f>
        <v>25.796490530777124</v>
      </c>
      <c r="L6665" s="549">
        <f t="shared" si="927"/>
        <v>9.8798397863818388E-2</v>
      </c>
      <c r="M6665" s="401">
        <f>SUM(C6665,C6641,C6617,C6593,C6569,C6545,C6521)/POBLA!$B$16*100000</f>
        <v>180.57543371543986</v>
      </c>
    </row>
    <row r="6666" spans="1:13" s="360" customFormat="1" ht="15.75" thickBot="1" x14ac:dyDescent="0.3">
      <c r="A6666" s="367" t="s">
        <v>34</v>
      </c>
      <c r="B6666" s="266">
        <v>44170</v>
      </c>
      <c r="C6666" s="1">
        <v>24</v>
      </c>
      <c r="D6666" s="39">
        <f t="shared" si="930"/>
        <v>21404</v>
      </c>
      <c r="E6666" s="1">
        <v>1</v>
      </c>
      <c r="F6666" s="409">
        <f t="shared" si="931"/>
        <v>991</v>
      </c>
      <c r="G6666" s="168">
        <f>SUM(C6666,C6642,C6618,C6594,C6570,C6546,C6522,C6498,C6474,C6450,C6426,C6402,C6378,C6354)/POBLA!$B$17*100000</f>
        <v>47.599089298840141</v>
      </c>
      <c r="H6666" s="256">
        <f t="shared" si="926"/>
        <v>0.55756578947368418</v>
      </c>
      <c r="I6666" s="297">
        <f t="shared" si="928"/>
        <v>26.539623803136195</v>
      </c>
      <c r="J6666" s="297">
        <f t="shared" si="929"/>
        <v>41.714285714285715</v>
      </c>
      <c r="K6666" s="297">
        <f>J6666/POBLA!$B$17*100000</f>
        <v>2.9285575379817366</v>
      </c>
      <c r="L6666" s="549">
        <f t="shared" si="927"/>
        <v>0.24352331606217614</v>
      </c>
      <c r="M6666" s="401">
        <f>SUM(C6666,C6642,C6618,C6594,C6570,C6546,C6522)/POBLA!$B$17*100000</f>
        <v>20.499902765872154</v>
      </c>
    </row>
    <row r="6667" spans="1:13" s="360" customFormat="1" ht="15.75" thickBot="1" x14ac:dyDescent="0.3">
      <c r="A6667" s="367" t="s">
        <v>35</v>
      </c>
      <c r="B6667" s="266">
        <v>44170</v>
      </c>
      <c r="C6667" s="1">
        <v>51</v>
      </c>
      <c r="D6667" s="39">
        <f t="shared" si="930"/>
        <v>8445</v>
      </c>
      <c r="E6667" s="1"/>
      <c r="F6667" s="409">
        <f t="shared" si="931"/>
        <v>173</v>
      </c>
      <c r="G6667" s="168">
        <f>SUM(C6667,C6643,C6619,C6595,C6571,C6547,C6523,C6499,C6475,C6451,C6427,C6403,C6379,C6355)/POBLA!$B$18*100000</f>
        <v>355.47101509567767</v>
      </c>
      <c r="H6667" s="256">
        <f t="shared" si="926"/>
        <v>1.3025328330206378</v>
      </c>
      <c r="I6667" s="297">
        <f t="shared" si="928"/>
        <v>463.01266834929493</v>
      </c>
      <c r="J6667" s="297">
        <f t="shared" si="929"/>
        <v>170.14285714285714</v>
      </c>
      <c r="K6667" s="297">
        <f>J6667/POBLA!$B$18*100000</f>
        <v>21.779205667933127</v>
      </c>
      <c r="L6667" s="549">
        <f t="shared" si="927"/>
        <v>0.24905422446406056</v>
      </c>
      <c r="M6667" s="401">
        <f>SUM(C6667,C6643,C6619,C6595,C6571,C6547,C6523)/POBLA!$B$18*100000</f>
        <v>152.45443967553189</v>
      </c>
    </row>
    <row r="6668" spans="1:13" s="360" customFormat="1" ht="15.75" thickBot="1" x14ac:dyDescent="0.3">
      <c r="A6668" s="367" t="s">
        <v>36</v>
      </c>
      <c r="B6668" s="266">
        <v>44170</v>
      </c>
      <c r="C6668" s="1">
        <v>54</v>
      </c>
      <c r="D6668" s="39">
        <f t="shared" si="930"/>
        <v>15084</v>
      </c>
      <c r="E6668" s="1">
        <v>1</v>
      </c>
      <c r="F6668" s="409">
        <f t="shared" si="931"/>
        <v>236</v>
      </c>
      <c r="G6668" s="168">
        <f>SUM(C6668,C6644,C6620,C6596,C6572,C6548,C6524,C6500,C6476,C6452,C6428,C6404,C6380,C6356)/POBLA!$B$19*100000</f>
        <v>402.69274956327411</v>
      </c>
      <c r="H6668" s="256">
        <f t="shared" si="926"/>
        <v>0.50920398009950252</v>
      </c>
      <c r="I6668" s="297">
        <f t="shared" si="928"/>
        <v>205.05275083483139</v>
      </c>
      <c r="J6668" s="297">
        <f t="shared" si="929"/>
        <v>141.14285714285714</v>
      </c>
      <c r="K6668" s="297">
        <f>J6668/POBLA!$B$19*100000</f>
        <v>27.766099278980722</v>
      </c>
      <c r="L6668" s="549">
        <f t="shared" si="927"/>
        <v>6.7044381491973559E-2</v>
      </c>
      <c r="M6668" s="401">
        <f>SUM(C6668,C6644,C6620,C6596,C6572,C6548,C6524)/POBLA!$B$19*100000</f>
        <v>194.36269495286507</v>
      </c>
    </row>
    <row r="6669" spans="1:13" s="360" customFormat="1" ht="15.75" thickBot="1" x14ac:dyDescent="0.3">
      <c r="A6669" s="367" t="s">
        <v>37</v>
      </c>
      <c r="B6669" s="266">
        <v>44170</v>
      </c>
      <c r="C6669" s="1">
        <v>187</v>
      </c>
      <c r="D6669" s="39">
        <f t="shared" si="930"/>
        <v>17125</v>
      </c>
      <c r="E6669" s="1">
        <v>4</v>
      </c>
      <c r="F6669" s="409">
        <f t="shared" si="931"/>
        <v>300</v>
      </c>
      <c r="G6669" s="168">
        <f>SUM(C6669,C6645,C6621,C6597,C6573,C6549,C6525,C6501,C6477,C6453,C6429,C6405,C6381,C6357)/POBLA!$B$20*100000</f>
        <v>851.79574402922628</v>
      </c>
      <c r="H6669" s="256">
        <f t="shared" si="926"/>
        <v>1.0048387096774194</v>
      </c>
      <c r="I6669" s="297">
        <f t="shared" si="928"/>
        <v>855.91733633904516</v>
      </c>
      <c r="J6669" s="297">
        <f t="shared" si="929"/>
        <v>223.42857142857142</v>
      </c>
      <c r="K6669" s="297">
        <f>J6669/POBLA!$B$20*100000</f>
        <v>61.096470702210958</v>
      </c>
      <c r="L6669" s="549">
        <f t="shared" si="927"/>
        <v>-8.3816892327530645E-3</v>
      </c>
      <c r="M6669" s="401">
        <f>SUM(C6669,C6645,C6621,C6597,C6573,C6549,C6525)/POBLA!$B$20*100000</f>
        <v>427.67529491547668</v>
      </c>
    </row>
    <row r="6670" spans="1:13" s="360" customFormat="1" ht="15.75" thickBot="1" x14ac:dyDescent="0.3">
      <c r="A6670" s="367" t="s">
        <v>22</v>
      </c>
      <c r="B6670" s="266">
        <v>44170</v>
      </c>
      <c r="C6670" s="1">
        <v>976</v>
      </c>
      <c r="D6670" s="39">
        <f t="shared" si="930"/>
        <v>153651</v>
      </c>
      <c r="E6670" s="1">
        <v>25</v>
      </c>
      <c r="F6670" s="409">
        <f t="shared" si="931"/>
        <v>2406</v>
      </c>
      <c r="G6670" s="168">
        <f>SUM(C6670,C6646,C6622,C6598,C6574,C6550,C6526,C6502,C6478,C6454,C6430,C6406,C6382,C6358)/POBLA!$B$21*100000</f>
        <v>463.40675791153643</v>
      </c>
      <c r="H6670" s="256">
        <f t="shared" si="926"/>
        <v>0.82600806451612907</v>
      </c>
      <c r="I6670" s="297">
        <f t="shared" si="928"/>
        <v>382.7777191862026</v>
      </c>
      <c r="J6670" s="297">
        <f t="shared" si="929"/>
        <v>1164.2857142857142</v>
      </c>
      <c r="K6670" s="297">
        <f>J6670/POBLA!$B$21*100000</f>
        <v>32.922740306313173</v>
      </c>
      <c r="L6670" s="549">
        <f t="shared" si="927"/>
        <v>1.0682204418548169E-2</v>
      </c>
      <c r="M6670" s="401">
        <f>SUM(C6670,C6646,C6622,C6598,C6574,C6550,C6526)/POBLA!$B$21*100000</f>
        <v>230.45918214419223</v>
      </c>
    </row>
    <row r="6671" spans="1:13" s="360" customFormat="1" ht="15.75" thickBot="1" x14ac:dyDescent="0.3">
      <c r="A6671" s="367" t="s">
        <v>38</v>
      </c>
      <c r="B6671" s="266">
        <v>44170</v>
      </c>
      <c r="C6671" s="1">
        <v>83</v>
      </c>
      <c r="D6671" s="39">
        <f t="shared" si="930"/>
        <v>16107</v>
      </c>
      <c r="E6671" s="1">
        <v>1</v>
      </c>
      <c r="F6671" s="409">
        <f t="shared" si="931"/>
        <v>199</v>
      </c>
      <c r="G6671" s="168">
        <f>SUM(C6671,C6647,C6623,C6599,C6575,C6551,C6527,C6503,C6479,C6455,C6431,C6407,C6383,C6359)/POBLA!$B$22*100000</f>
        <v>178.16383918030323</v>
      </c>
      <c r="H6671" s="256">
        <f t="shared" si="926"/>
        <v>0.54332917705735662</v>
      </c>
      <c r="I6671" s="297">
        <f t="shared" si="928"/>
        <v>96.801612123213388</v>
      </c>
      <c r="J6671" s="297">
        <f t="shared" si="929"/>
        <v>95.428571428571431</v>
      </c>
      <c r="K6671" s="297">
        <f>J6671/POBLA!$B$22*100000</f>
        <v>9.7544008337384298</v>
      </c>
      <c r="L6671" s="549">
        <f t="shared" si="927"/>
        <v>0.37860465116279074</v>
      </c>
      <c r="M6671" s="401">
        <f>SUM(C6671,C6647,C6623,C6599,C6575,C6551,C6527)/POBLA!$B$22*100000</f>
        <v>68.280805836168994</v>
      </c>
    </row>
    <row r="6672" spans="1:13" s="360" customFormat="1" ht="15.75" thickBot="1" x14ac:dyDescent="0.3">
      <c r="A6672" s="367" t="s">
        <v>39</v>
      </c>
      <c r="B6672" s="266">
        <v>44170</v>
      </c>
      <c r="C6672" s="1">
        <v>96</v>
      </c>
      <c r="D6672" s="39">
        <f t="shared" si="930"/>
        <v>16684</v>
      </c>
      <c r="E6672" s="1"/>
      <c r="F6672" s="409">
        <f t="shared" si="931"/>
        <v>237</v>
      </c>
      <c r="G6672" s="168">
        <f>SUM(C6672,C6648,C6624,C6600,C6576,C6552,C6528,C6504,C6480,C6456,C6432,C6408,C6384,C6360)/POBLA!$B$23*100000</f>
        <v>847.14132217383917</v>
      </c>
      <c r="H6672" s="256">
        <f t="shared" si="926"/>
        <v>0.67235188509874322</v>
      </c>
      <c r="I6672" s="297">
        <f t="shared" si="928"/>
        <v>569.57706490862256</v>
      </c>
      <c r="J6672" s="297">
        <f t="shared" si="929"/>
        <v>96.714285714285708</v>
      </c>
      <c r="K6672" s="297">
        <f>J6672/POBLA!$B$23*100000</f>
        <v>54.693369741721263</v>
      </c>
      <c r="L6672" s="549">
        <f t="shared" si="927"/>
        <v>0.17539585870889163</v>
      </c>
      <c r="M6672" s="401">
        <f>SUM(C6672,C6648,C6624,C6600,C6576,C6552,C6528)/POBLA!$B$23*100000</f>
        <v>382.85358819204885</v>
      </c>
    </row>
    <row r="6673" spans="1:13" s="360" customFormat="1" ht="15.75" thickBot="1" x14ac:dyDescent="0.3">
      <c r="A6673" s="369" t="s">
        <v>40</v>
      </c>
      <c r="B6673" s="266">
        <v>44170</v>
      </c>
      <c r="C6673" s="1">
        <v>134</v>
      </c>
      <c r="D6673" s="176">
        <f t="shared" si="930"/>
        <v>67183</v>
      </c>
      <c r="E6673" s="1">
        <v>7</v>
      </c>
      <c r="F6673" s="476">
        <f t="shared" si="931"/>
        <v>1247</v>
      </c>
      <c r="G6673" s="177">
        <f>SUM(C6673,C6649,C6625,C6601,C6577,C6553,C6529,C6505,C6481,C6457,C6433,C6409,C6385,C6361)/POBLA!$B$24*100000</f>
        <v>238.80952830544959</v>
      </c>
      <c r="H6673" s="402">
        <f t="shared" si="926"/>
        <v>0.46613683483068419</v>
      </c>
      <c r="I6673" s="403">
        <f t="shared" si="928"/>
        <v>111.31791765171096</v>
      </c>
      <c r="J6673" s="403">
        <f t="shared" si="929"/>
        <v>250.42857142857142</v>
      </c>
      <c r="K6673" s="403">
        <f>J6673/POBLA!$B$24*100000</f>
        <v>14.777546087735294</v>
      </c>
      <c r="L6673" s="550">
        <f t="shared" si="927"/>
        <v>0.23583260680034879</v>
      </c>
      <c r="M6673" s="405">
        <f>SUM(C6673,C6649,C6625,C6601,C6577,C6553,C6529)/POBLA!$B$24*100000</f>
        <v>103.44282261414706</v>
      </c>
    </row>
    <row r="6674" spans="1:13" s="360" customFormat="1" ht="15.75" thickBot="1" x14ac:dyDescent="0.3">
      <c r="A6674" s="363" t="s">
        <v>16</v>
      </c>
      <c r="B6674" s="266">
        <v>44171</v>
      </c>
      <c r="C6674" s="1">
        <v>719</v>
      </c>
      <c r="D6674" s="174">
        <f t="shared" si="930"/>
        <v>628477</v>
      </c>
      <c r="E6674" s="1">
        <v>87</v>
      </c>
      <c r="F6674" s="475">
        <f t="shared" si="931"/>
        <v>21075</v>
      </c>
      <c r="G6674" s="175">
        <f>SUM(C6674,C6650,C6626,C6602,C6578,C6554,C6530,C6506,C6482,C6458,C6434,C6410,C6386,C6362)/POBLA!$B$1*100000</f>
        <v>133.75982782419914</v>
      </c>
      <c r="H6674" s="300">
        <f t="shared" si="926"/>
        <v>0.67975200625778598</v>
      </c>
      <c r="I6674" s="301">
        <f>G6674*H6674</f>
        <v>90.923511320195388</v>
      </c>
      <c r="J6674" s="301">
        <f>AVERAGE(C6674,C6650,C6626,C6602,C6578,C6554,C6530)</f>
        <v>1600.8571428571429</v>
      </c>
      <c r="K6674" s="301">
        <f>J6674/POBLA!$B$1*100000</f>
        <v>9.126299953105347</v>
      </c>
      <c r="L6674" s="548">
        <f t="shared" si="927"/>
        <v>8.5746920127274251E-2</v>
      </c>
      <c r="M6674" s="400">
        <f>SUM(C6674,C6650,C6626,C6602,C6578,C6554,C6530)/POBLA!$B$1*100000</f>
        <v>63.884099671737431</v>
      </c>
    </row>
    <row r="6675" spans="1:13" s="360" customFormat="1" ht="15.75" thickBot="1" x14ac:dyDescent="0.3">
      <c r="A6675" s="367" t="s">
        <v>43</v>
      </c>
      <c r="B6675" s="266">
        <v>44171</v>
      </c>
      <c r="C6675" s="1">
        <v>226</v>
      </c>
      <c r="D6675" s="39">
        <f t="shared" si="930"/>
        <v>160673</v>
      </c>
      <c r="E6675" s="1">
        <v>3</v>
      </c>
      <c r="F6675" s="409">
        <f t="shared" si="931"/>
        <v>5295</v>
      </c>
      <c r="G6675" s="168">
        <f>SUM(C6675,C6651,C6627,C6603,C6579,C6555,C6531,C6507,C6483,C6459,C6435,C6411,C6387,C6363)/POBLA!$B$2*100000</f>
        <v>138.47497403797448</v>
      </c>
      <c r="H6675" s="256">
        <f t="shared" si="926"/>
        <v>0.72953066118533749</v>
      </c>
      <c r="I6675" s="297">
        <f t="shared" ref="I6675:I6697" si="932">G6675*H6675</f>
        <v>101.02173936754596</v>
      </c>
      <c r="J6675" s="297">
        <f t="shared" ref="J6675:J6697" si="933">AVERAGE(C6675,C6651,C6627,C6603,C6579,C6555,C6531)</f>
        <v>312.71428571428572</v>
      </c>
      <c r="K6675" s="297">
        <f>J6675/POBLA!$B$2*100000</f>
        <v>10.167434279311914</v>
      </c>
      <c r="L6675" s="549">
        <f t="shared" si="927"/>
        <v>-5.7487922705313999E-2</v>
      </c>
      <c r="M6675" s="401">
        <f>SUM(C6675,C6651,C6627,C6603,C6579,C6555,C6531)/POBLA!$B$2*100000</f>
        <v>71.172039955183394</v>
      </c>
    </row>
    <row r="6676" spans="1:13" s="360" customFormat="1" ht="15.75" thickBot="1" x14ac:dyDescent="0.3">
      <c r="A6676" s="367" t="s">
        <v>28</v>
      </c>
      <c r="B6676" s="266">
        <v>44171</v>
      </c>
      <c r="C6676" s="1">
        <v>41</v>
      </c>
      <c r="D6676" s="39">
        <f t="shared" si="930"/>
        <v>1985</v>
      </c>
      <c r="E6676" s="1"/>
      <c r="F6676" s="409">
        <f t="shared" si="931"/>
        <v>17</v>
      </c>
      <c r="G6676" s="168">
        <f>SUM(C6676,C6652,C6628,C6604,C6580,C6556,C6532,C6508,C6484,C6460,C6436,C6412,C6388,C6364)/POBLA!$B$3*100000</f>
        <v>66.676616005276358</v>
      </c>
      <c r="H6676" s="256">
        <f t="shared" si="926"/>
        <v>0.52362948960302458</v>
      </c>
      <c r="I6676" s="297">
        <f t="shared" si="932"/>
        <v>34.913842407299718</v>
      </c>
      <c r="J6676" s="297">
        <f t="shared" si="933"/>
        <v>19.285714285714285</v>
      </c>
      <c r="K6676" s="297">
        <f>J6676/POBLA!$B$3*100000</f>
        <v>4.6422605264117109</v>
      </c>
      <c r="L6676" s="549">
        <f t="shared" si="927"/>
        <v>4.9295774647887369E-2</v>
      </c>
      <c r="M6676" s="401">
        <f>SUM(C6676,C6652,C6628,C6604,C6580,C6556,C6532)/POBLA!$B$3*100000</f>
        <v>32.495823684881977</v>
      </c>
    </row>
    <row r="6677" spans="1:13" s="360" customFormat="1" ht="15.75" thickBot="1" x14ac:dyDescent="0.3">
      <c r="A6677" s="367" t="s">
        <v>15</v>
      </c>
      <c r="B6677" s="266">
        <v>44171</v>
      </c>
      <c r="C6677" s="1">
        <v>134</v>
      </c>
      <c r="D6677" s="39">
        <f t="shared" si="930"/>
        <v>20730</v>
      </c>
      <c r="E6677" s="1">
        <v>6</v>
      </c>
      <c r="F6677" s="409">
        <f t="shared" si="931"/>
        <v>593</v>
      </c>
      <c r="G6677" s="168">
        <f>SUM(C6677,C6653,C6629,C6605,C6581,C6557,C6533,C6509,C6485,C6461,C6437,C6413,C6389,C6365)/POBLA!$B$4*100000</f>
        <v>245.07260441944274</v>
      </c>
      <c r="H6677" s="256">
        <f t="shared" si="926"/>
        <v>1.0773722627737226</v>
      </c>
      <c r="I6677" s="297">
        <f t="shared" si="932"/>
        <v>264.0344263672244</v>
      </c>
      <c r="J6677" s="297">
        <f t="shared" si="933"/>
        <v>229.85714285714286</v>
      </c>
      <c r="K6677" s="297">
        <f>J6677/POBLA!$B$4*100000</f>
        <v>19.082550353798077</v>
      </c>
      <c r="L6677" s="549">
        <f t="shared" si="927"/>
        <v>-0.19806403574087872</v>
      </c>
      <c r="M6677" s="401">
        <f>SUM(C6677,C6653,C6629,C6605,C6581,C6557,C6533)/POBLA!$B$4*100000</f>
        <v>133.57785247658651</v>
      </c>
    </row>
    <row r="6678" spans="1:13" s="360" customFormat="1" ht="15.75" thickBot="1" x14ac:dyDescent="0.3">
      <c r="A6678" s="367" t="s">
        <v>29</v>
      </c>
      <c r="B6678" s="266">
        <v>44171</v>
      </c>
      <c r="C6678" s="1">
        <v>77</v>
      </c>
      <c r="D6678" s="39">
        <f t="shared" si="930"/>
        <v>24488</v>
      </c>
      <c r="E6678" s="1"/>
      <c r="F6678" s="409">
        <f t="shared" si="931"/>
        <v>400</v>
      </c>
      <c r="G6678" s="168">
        <f>SUM(C6678,C6654,C6630,C6606,C6582,C6558,C6534,C6510,C6486,C6462,C6438,C6414,C6390,C6366)/POBLA!$B$5*100000</f>
        <v>536.51570128304957</v>
      </c>
      <c r="H6678" s="256">
        <f t="shared" si="926"/>
        <v>0.7773876404494382</v>
      </c>
      <c r="I6678" s="297">
        <f t="shared" si="932"/>
        <v>417.08067508450551</v>
      </c>
      <c r="J6678" s="297">
        <f t="shared" si="933"/>
        <v>265.28571428571428</v>
      </c>
      <c r="K6678" s="297">
        <f>J6678/POBLA!$B$5*100000</f>
        <v>42.857558277740054</v>
      </c>
      <c r="L6678" s="549">
        <f t="shared" si="927"/>
        <v>-0.26844262295081966</v>
      </c>
      <c r="M6678" s="401">
        <f>SUM(C6678,C6654,C6630,C6606,C6582,C6558,C6534)/POBLA!$B$5*100000</f>
        <v>300.00290794418038</v>
      </c>
    </row>
    <row r="6679" spans="1:13" s="360" customFormat="1" ht="15.75" thickBot="1" x14ac:dyDescent="0.3">
      <c r="A6679" s="367" t="s">
        <v>20</v>
      </c>
      <c r="B6679" s="266">
        <v>44171</v>
      </c>
      <c r="C6679" s="1">
        <v>262</v>
      </c>
      <c r="D6679" s="39">
        <f t="shared" si="930"/>
        <v>117512</v>
      </c>
      <c r="E6679" s="1">
        <v>16</v>
      </c>
      <c r="F6679" s="409">
        <f t="shared" si="931"/>
        <v>2089</v>
      </c>
      <c r="G6679" s="168">
        <f>SUM(C6679,C6655,C6631,C6607,C6583,C6559,C6535,C6511,C6487,C6463,C6439,C6415,C6391,C6367)/POBLA!$B$6*100000</f>
        <v>739.29270227274958</v>
      </c>
      <c r="H6679" s="256">
        <f t="shared" si="926"/>
        <v>0.52955838179842785</v>
      </c>
      <c r="I6679" s="297">
        <f t="shared" si="932"/>
        <v>391.49864709094419</v>
      </c>
      <c r="J6679" s="297">
        <f t="shared" si="933"/>
        <v>522.14285714285711</v>
      </c>
      <c r="K6679" s="297">
        <f>J6679/POBLA!$B$6*100000</f>
        <v>46.586580235283257</v>
      </c>
      <c r="L6679" s="549">
        <f t="shared" si="927"/>
        <v>0.21075361692938888</v>
      </c>
      <c r="M6679" s="401">
        <f>SUM(C6679,C6655,C6631,C6607,C6583,C6559,C6535)/POBLA!$B$6*100000</f>
        <v>326.10606164698282</v>
      </c>
    </row>
    <row r="6680" spans="1:13" s="360" customFormat="1" ht="15.75" thickBot="1" x14ac:dyDescent="0.3">
      <c r="A6680" s="367" t="s">
        <v>30</v>
      </c>
      <c r="B6680" s="266">
        <v>44171</v>
      </c>
      <c r="C6680" s="1">
        <v>87</v>
      </c>
      <c r="D6680" s="39">
        <f t="shared" si="930"/>
        <v>8677</v>
      </c>
      <c r="E6680" s="1">
        <v>9</v>
      </c>
      <c r="F6680" s="409">
        <f t="shared" si="931"/>
        <v>104</v>
      </c>
      <c r="G6680" s="168">
        <f>SUM(C6680,C6656,C6632,C6608,C6584,C6560,C6536,C6512,C6488,C6464,C6440,C6416,C6392,C6368)/POBLA!$B$7*100000</f>
        <v>103.20573335638024</v>
      </c>
      <c r="H6680" s="256">
        <f t="shared" si="926"/>
        <v>2.0577942735949097</v>
      </c>
      <c r="I6680" s="297">
        <f t="shared" si="932"/>
        <v>212.37616710292241</v>
      </c>
      <c r="J6680" s="297">
        <f t="shared" si="933"/>
        <v>267.71428571428572</v>
      </c>
      <c r="K6680" s="297">
        <f>J6680/POBLA!$B$7*100000</f>
        <v>7.1192087573105809</v>
      </c>
      <c r="L6680" s="549">
        <f t="shared" si="927"/>
        <v>6.6268061783756882E-2</v>
      </c>
      <c r="M6680" s="401">
        <f>SUM(C6680,C6656,C6632,C6608,C6584,C6560,C6536)/POBLA!$B$7*100000</f>
        <v>49.834461301174059</v>
      </c>
    </row>
    <row r="6681" spans="1:13" ht="15.75" thickBot="1" x14ac:dyDescent="0.3">
      <c r="A6681" s="367" t="s">
        <v>31</v>
      </c>
      <c r="B6681" s="266">
        <v>44171</v>
      </c>
      <c r="C6681" s="1">
        <v>127</v>
      </c>
      <c r="D6681" s="39">
        <f t="shared" si="930"/>
        <v>24520</v>
      </c>
      <c r="E6681" s="1">
        <v>1</v>
      </c>
      <c r="F6681" s="409">
        <f t="shared" si="931"/>
        <v>487</v>
      </c>
      <c r="G6681" s="168">
        <f>SUM(C6681,C6657,C6633,C6609,C6585,C6561,C6537,C6513,C6489,C6465,C6441,C6417,C6393,C6369)/POBLA!$B$8*100000</f>
        <v>190.69800665386688</v>
      </c>
      <c r="H6681" s="256">
        <f t="shared" si="926"/>
        <v>0.70050357805459851</v>
      </c>
      <c r="I6681" s="297">
        <f t="shared" si="932"/>
        <v>133.58463598891339</v>
      </c>
      <c r="J6681" s="297">
        <f t="shared" si="933"/>
        <v>181.57142857142858</v>
      </c>
      <c r="K6681" s="297">
        <f>J6681/POBLA!$B$8*100000</f>
        <v>13.100760307932806</v>
      </c>
      <c r="L6681" s="549">
        <f t="shared" si="927"/>
        <v>7.3615160349854269E-2</v>
      </c>
      <c r="M6681" s="401">
        <f>SUM(C6681,C6657,C6633,C6609,C6585,C6561,C6537)/POBLA!$B$8*100000</f>
        <v>91.705322155529629</v>
      </c>
    </row>
    <row r="6682" spans="1:13" s="360" customFormat="1" ht="15.75" thickBot="1" x14ac:dyDescent="0.3">
      <c r="A6682" s="367" t="s">
        <v>41</v>
      </c>
      <c r="B6682" s="266">
        <v>44171</v>
      </c>
      <c r="C6682" s="1">
        <v>-1</v>
      </c>
      <c r="D6682" s="39">
        <f t="shared" si="930"/>
        <v>189</v>
      </c>
      <c r="E6682" s="1"/>
      <c r="F6682" s="409">
        <f t="shared" si="931"/>
        <v>3</v>
      </c>
      <c r="G6682" s="168">
        <f>SUM(C6682,C6658,C6634,C6610,C6586,C6562,C6538,C6514,C6490,C6466,C6442,C6418,C6394,C6370)/POBLA!$B$9*100000</f>
        <v>1.4871288993759018</v>
      </c>
      <c r="H6682" s="256">
        <f t="shared" si="926"/>
        <v>0.5</v>
      </c>
      <c r="I6682" s="297">
        <f t="shared" si="932"/>
        <v>0.74356444968795088</v>
      </c>
      <c r="J6682" s="297">
        <f t="shared" si="933"/>
        <v>1</v>
      </c>
      <c r="K6682" s="297">
        <f>J6682/POBLA!$B$9*100000</f>
        <v>0.16523654437510019</v>
      </c>
      <c r="L6682" s="549">
        <f t="shared" si="927"/>
        <v>-2.5</v>
      </c>
      <c r="M6682" s="401">
        <f>SUM(C6682,C6658,C6634,C6610,C6586,C6562,C6538)/POBLA!$B$9*100000</f>
        <v>1.1566558106257012</v>
      </c>
    </row>
    <row r="6683" spans="1:13" s="360" customFormat="1" ht="15.75" thickBot="1" x14ac:dyDescent="0.3">
      <c r="A6683" s="367" t="s">
        <v>32</v>
      </c>
      <c r="B6683" s="266">
        <v>44171</v>
      </c>
      <c r="C6683" s="1">
        <v>0</v>
      </c>
      <c r="D6683" s="39">
        <f t="shared" si="930"/>
        <v>18415</v>
      </c>
      <c r="E6683" s="1">
        <v>1</v>
      </c>
      <c r="F6683" s="409">
        <f t="shared" si="931"/>
        <v>851</v>
      </c>
      <c r="G6683" s="168">
        <f>SUM(C6683,C6659,C6635,C6611,C6587,C6563,C6539,C6515,C6491,C6467,C6443,C6419,C6395,C6371)/POBLA!$B$10*100000</f>
        <v>15.696326670394003</v>
      </c>
      <c r="H6683" s="256">
        <f t="shared" si="926"/>
        <v>0.44981412639405205</v>
      </c>
      <c r="I6683" s="297">
        <f t="shared" si="932"/>
        <v>7.0604294688389384</v>
      </c>
      <c r="J6683" s="297">
        <f t="shared" si="933"/>
        <v>6.4285714285714288</v>
      </c>
      <c r="K6683" s="297">
        <f>J6683/POBLA!$B$10*100000</f>
        <v>0.83392526584147597</v>
      </c>
      <c r="L6683" s="549">
        <f t="shared" si="927"/>
        <v>0.40789473684210531</v>
      </c>
      <c r="M6683" s="401">
        <f>SUM(C6683,C6659,C6635,C6611,C6587,C6563,C6539)/POBLA!$B$10*100000</f>
        <v>5.837476860890332</v>
      </c>
    </row>
    <row r="6684" spans="1:13" s="360" customFormat="1" ht="15.75" thickBot="1" x14ac:dyDescent="0.3">
      <c r="A6684" s="367" t="s">
        <v>33</v>
      </c>
      <c r="B6684" s="266">
        <v>44171</v>
      </c>
      <c r="C6684" s="1">
        <v>61</v>
      </c>
      <c r="D6684" s="39">
        <f t="shared" si="930"/>
        <v>6280</v>
      </c>
      <c r="E6684" s="1"/>
      <c r="F6684" s="409">
        <f t="shared" si="931"/>
        <v>88</v>
      </c>
      <c r="G6684" s="168">
        <f>SUM(C6684,C6660,C6636,C6612,C6588,C6564,C6540,C6516,C6492,C6468,C6444,C6420,C6396,C6372)/POBLA!$B$11*100000</f>
        <v>301.5947414822503</v>
      </c>
      <c r="H6684" s="256">
        <f t="shared" si="926"/>
        <v>1.0027829313543599</v>
      </c>
      <c r="I6684" s="297">
        <f t="shared" si="932"/>
        <v>302.43405894463132</v>
      </c>
      <c r="J6684" s="297">
        <f t="shared" si="933"/>
        <v>81.428571428571431</v>
      </c>
      <c r="K6684" s="297">
        <f>J6684/POBLA!$B$11*100000</f>
        <v>22.718250646872296</v>
      </c>
      <c r="L6684" s="549">
        <f t="shared" si="927"/>
        <v>-0.1154598825831703</v>
      </c>
      <c r="M6684" s="401">
        <f>SUM(C6684,C6660,C6636,C6612,C6588,C6564,C6540)/POBLA!$B$11*100000</f>
        <v>159.02775452810607</v>
      </c>
    </row>
    <row r="6685" spans="1:13" s="360" customFormat="1" ht="15.75" thickBot="1" x14ac:dyDescent="0.3">
      <c r="A6685" s="367" t="s">
        <v>21</v>
      </c>
      <c r="B6685" s="266">
        <v>44171</v>
      </c>
      <c r="C6685" s="1">
        <v>5</v>
      </c>
      <c r="D6685" s="39">
        <f t="shared" si="930"/>
        <v>8839</v>
      </c>
      <c r="E6685" s="1">
        <v>1</v>
      </c>
      <c r="F6685" s="409">
        <f t="shared" si="931"/>
        <v>321</v>
      </c>
      <c r="G6685" s="168">
        <f>SUM(C6685,C6661,C6637,C6613,C6589,C6565,C6541,C6517,C6493,C6469,C6445,C6421,C6397,C6373)/POBLA!$B$12*100000</f>
        <v>83.347944634603124</v>
      </c>
      <c r="H6685" s="256">
        <f t="shared" si="926"/>
        <v>0.49546827794561932</v>
      </c>
      <c r="I6685" s="297">
        <f t="shared" si="932"/>
        <v>41.296262598413634</v>
      </c>
      <c r="J6685" s="297">
        <f t="shared" si="933"/>
        <v>20.714285714285715</v>
      </c>
      <c r="K6685" s="297">
        <f>J6685/POBLA!$B$12*100000</f>
        <v>5.2636985940842571</v>
      </c>
      <c r="L6685" s="549">
        <f t="shared" si="927"/>
        <v>0.20765027322404372</v>
      </c>
      <c r="M6685" s="401">
        <f>SUM(C6685,C6661,C6637,C6613,C6589,C6565,C6541)/POBLA!$B$12*100000</f>
        <v>36.845890158589796</v>
      </c>
    </row>
    <row r="6686" spans="1:13" s="360" customFormat="1" ht="15.75" thickBot="1" x14ac:dyDescent="0.3">
      <c r="A6686" s="367" t="s">
        <v>17</v>
      </c>
      <c r="B6686" s="266">
        <v>44171</v>
      </c>
      <c r="C6686" s="1">
        <v>41</v>
      </c>
      <c r="D6686" s="39">
        <f t="shared" si="930"/>
        <v>57568</v>
      </c>
      <c r="E6686" s="1"/>
      <c r="F6686" s="409">
        <f t="shared" si="931"/>
        <v>1143</v>
      </c>
      <c r="G6686" s="168">
        <f>SUM(C6686,C6662,C6638,C6614,C6590,C6566,C6542,C6518,C6494,C6470,C6446,C6422,C6398,C6374)/POBLA!$B$13*100000</f>
        <v>119.52743704838073</v>
      </c>
      <c r="H6686" s="256">
        <f t="shared" si="926"/>
        <v>0.51549295774647885</v>
      </c>
      <c r="I6686" s="297">
        <f t="shared" si="932"/>
        <v>61.615552055925839</v>
      </c>
      <c r="J6686" s="297">
        <f t="shared" si="933"/>
        <v>167.57142857142858</v>
      </c>
      <c r="K6686" s="297">
        <f>J6686/POBLA!$B$13*100000</f>
        <v>8.4192448002012021</v>
      </c>
      <c r="L6686" s="549">
        <f t="shared" si="927"/>
        <v>2.7363184079602032E-2</v>
      </c>
      <c r="M6686" s="401">
        <f>SUM(C6686,C6662,C6638,C6614,C6590,C6566,C6542)/POBLA!$B$13*100000</f>
        <v>58.934713601408404</v>
      </c>
    </row>
    <row r="6687" spans="1:13" s="360" customFormat="1" ht="15.75" thickBot="1" x14ac:dyDescent="0.3">
      <c r="A6687" s="367" t="s">
        <v>23</v>
      </c>
      <c r="B6687" s="266">
        <v>44171</v>
      </c>
      <c r="C6687" s="1">
        <v>5</v>
      </c>
      <c r="D6687" s="39">
        <f t="shared" si="930"/>
        <v>573</v>
      </c>
      <c r="E6687" s="1"/>
      <c r="F6687" s="409">
        <f t="shared" si="931"/>
        <v>9</v>
      </c>
      <c r="G6687" s="168">
        <f>SUM(C6687,C6663,C6639,C6615,C6591,C6567,C6543,C6519,C6495,C6471,C6447,C6423,C6399,C6375)/POBLA!$B$14*100000</f>
        <v>10.86186091426741</v>
      </c>
      <c r="H6687" s="256">
        <f t="shared" si="926"/>
        <v>1.3300970873786409</v>
      </c>
      <c r="I6687" s="297">
        <f t="shared" si="932"/>
        <v>14.447329565578983</v>
      </c>
      <c r="J6687" s="297">
        <f t="shared" si="933"/>
        <v>11.142857142857142</v>
      </c>
      <c r="K6687" s="297">
        <f>J6687/POBLA!$B$14*100000</f>
        <v>0.88344645600923677</v>
      </c>
      <c r="L6687" s="549">
        <f t="shared" si="927"/>
        <v>-0.32203389830508478</v>
      </c>
      <c r="M6687" s="401">
        <f>SUM(C6687,C6663,C6639,C6615,C6591,C6567,C6543)/POBLA!$B$14*100000</f>
        <v>6.1841251920646565</v>
      </c>
    </row>
    <row r="6688" spans="1:13" s="360" customFormat="1" ht="15.75" thickBot="1" x14ac:dyDescent="0.3">
      <c r="A6688" s="367" t="s">
        <v>19</v>
      </c>
      <c r="B6688" s="266">
        <v>44171</v>
      </c>
      <c r="C6688" s="1">
        <v>395</v>
      </c>
      <c r="D6688" s="39">
        <f t="shared" si="930"/>
        <v>34639</v>
      </c>
      <c r="E6688" s="1">
        <v>7</v>
      </c>
      <c r="F6688" s="409">
        <f t="shared" si="931"/>
        <v>655</v>
      </c>
      <c r="G6688" s="168">
        <f>SUM(C6688,C6664,C6640,C6616,C6592,C6568,C6544,C6520,C6496,C6472,C6448,C6424,C6400,C6376)/POBLA!$B$15*100000</f>
        <v>749.33326506610126</v>
      </c>
      <c r="H6688" s="256">
        <f t="shared" si="926"/>
        <v>1.1286005897028806</v>
      </c>
      <c r="I6688" s="297">
        <f t="shared" si="932"/>
        <v>845.69796483758682</v>
      </c>
      <c r="J6688" s="297">
        <f t="shared" si="933"/>
        <v>399.85714285714283</v>
      </c>
      <c r="K6688" s="297">
        <f>J6688/POBLA!$B$15*100000</f>
        <v>60.214280228525986</v>
      </c>
      <c r="L6688" s="549">
        <f t="shared" si="927"/>
        <v>-0.28571428571428581</v>
      </c>
      <c r="M6688" s="401">
        <f>SUM(C6688,C6664,C6640,C6616,C6592,C6568,C6544)/POBLA!$B$15*100000</f>
        <v>421.49996159968191</v>
      </c>
    </row>
    <row r="6689" spans="1:13" s="360" customFormat="1" ht="15.75" thickBot="1" x14ac:dyDescent="0.3">
      <c r="A6689" s="367" t="s">
        <v>18</v>
      </c>
      <c r="B6689" s="266">
        <v>44171</v>
      </c>
      <c r="C6689" s="1">
        <v>115</v>
      </c>
      <c r="D6689" s="39">
        <f t="shared" ref="D6689:D6752" si="934">C6689+D6665</f>
        <v>32878</v>
      </c>
      <c r="E6689" s="1"/>
      <c r="F6689" s="409">
        <f t="shared" si="931"/>
        <v>801</v>
      </c>
      <c r="G6689" s="168">
        <f>SUM(C6689,C6665,C6641,C6617,C6593,C6569,C6545,C6521,C6497,C6473,C6449,C6425,C6401,C6377)/POBLA!$B$16*100000</f>
        <v>377.46953625553431</v>
      </c>
      <c r="H6689" s="256">
        <f t="shared" si="926"/>
        <v>0.73739221322184478</v>
      </c>
      <c r="I6689" s="297">
        <f t="shared" si="932"/>
        <v>278.34309676329184</v>
      </c>
      <c r="J6689" s="297">
        <f t="shared" si="933"/>
        <v>193.85714285714286</v>
      </c>
      <c r="K6689" s="297">
        <f>J6689/POBLA!$B$16*100000</f>
        <v>25.930250111307078</v>
      </c>
      <c r="L6689" s="549">
        <f t="shared" si="927"/>
        <v>7.3720136518771295E-2</v>
      </c>
      <c r="M6689" s="401">
        <f>SUM(C6689,C6665,C6641,C6617,C6593,C6569,C6545)/POBLA!$B$16*100000</f>
        <v>181.51175077914954</v>
      </c>
    </row>
    <row r="6690" spans="1:13" s="360" customFormat="1" ht="15.75" thickBot="1" x14ac:dyDescent="0.3">
      <c r="A6690" s="367" t="s">
        <v>34</v>
      </c>
      <c r="B6690" s="266">
        <v>44171</v>
      </c>
      <c r="C6690" s="1">
        <v>14</v>
      </c>
      <c r="D6690" s="39">
        <f t="shared" si="934"/>
        <v>21418</v>
      </c>
      <c r="E6690" s="1"/>
      <c r="F6690" s="409">
        <f t="shared" ref="F6690:F6753" si="935">E6690+F6666</f>
        <v>991</v>
      </c>
      <c r="G6690" s="168">
        <f>SUM(C6690,C6666,C6642,C6618,C6594,C6570,C6546,C6522,C6498,C6474,C6450,C6426,C6402,C6378)/POBLA!$B$17*100000</f>
        <v>46.616217248421613</v>
      </c>
      <c r="H6690" s="256">
        <f t="shared" si="926"/>
        <v>0.54966887417218546</v>
      </c>
      <c r="I6690" s="297">
        <f t="shared" si="932"/>
        <v>25.623483653105922</v>
      </c>
      <c r="J6690" s="297">
        <f t="shared" si="933"/>
        <v>39.714285714285715</v>
      </c>
      <c r="K6690" s="297">
        <f>J6690/POBLA!$B$17*100000</f>
        <v>2.7881472450648039</v>
      </c>
      <c r="L6690" s="549">
        <f t="shared" si="927"/>
        <v>0.27979274611398963</v>
      </c>
      <c r="M6690" s="401">
        <f>SUM(C6690,C6666,C6642,C6618,C6594,C6570,C6546)/POBLA!$B$17*100000</f>
        <v>19.517030715453629</v>
      </c>
    </row>
    <row r="6691" spans="1:13" s="360" customFormat="1" ht="15.75" thickBot="1" x14ac:dyDescent="0.3">
      <c r="A6691" s="367" t="s">
        <v>35</v>
      </c>
      <c r="B6691" s="266">
        <v>44171</v>
      </c>
      <c r="C6691" s="1">
        <v>19</v>
      </c>
      <c r="D6691" s="39">
        <f t="shared" si="934"/>
        <v>8464</v>
      </c>
      <c r="E6691" s="1"/>
      <c r="F6691" s="409">
        <f t="shared" si="935"/>
        <v>173</v>
      </c>
      <c r="G6691" s="168">
        <f>SUM(C6691,C6667,C6643,C6619,C6595,C6571,C6547,C6523,C6499,C6475,C6451,C6427,C6403,C6379)/POBLA!$B$18*100000</f>
        <v>349.96678259689691</v>
      </c>
      <c r="H6691" s="256">
        <f t="shared" si="926"/>
        <v>1.3226898887276246</v>
      </c>
      <c r="I6691" s="297">
        <f t="shared" si="932"/>
        <v>462.89752473145438</v>
      </c>
      <c r="J6691" s="297">
        <f t="shared" si="933"/>
        <v>163.57142857142858</v>
      </c>
      <c r="K6691" s="297">
        <f>J6691/POBLA!$B$18*100000</f>
        <v>20.938027279415142</v>
      </c>
      <c r="L6691" s="549">
        <f t="shared" si="927"/>
        <v>0.27942101950912523</v>
      </c>
      <c r="M6691" s="401">
        <f>SUM(C6691,C6667,C6643,C6619,C6595,C6571,C6547)/POBLA!$B$18*100000</f>
        <v>146.56619095590599</v>
      </c>
    </row>
    <row r="6692" spans="1:13" s="360" customFormat="1" ht="15.75" thickBot="1" x14ac:dyDescent="0.3">
      <c r="A6692" s="367" t="s">
        <v>36</v>
      </c>
      <c r="B6692" s="266">
        <v>44171</v>
      </c>
      <c r="C6692" s="1">
        <v>17</v>
      </c>
      <c r="D6692" s="39">
        <f t="shared" si="934"/>
        <v>15101</v>
      </c>
      <c r="E6692" s="1"/>
      <c r="F6692" s="409">
        <f t="shared" si="935"/>
        <v>236</v>
      </c>
      <c r="G6692" s="168">
        <f>SUM(C6692,C6668,C6644,C6620,C6596,C6572,C6548,C6524,C6500,C6476,C6452,C6428,C6404,C6380)/POBLA!$B$19*100000</f>
        <v>381.24990163831228</v>
      </c>
      <c r="H6692" s="256">
        <f t="shared" si="926"/>
        <v>0.47360703812316718</v>
      </c>
      <c r="I6692" s="297">
        <f t="shared" si="932"/>
        <v>180.56263669966989</v>
      </c>
      <c r="J6692" s="297">
        <f t="shared" si="933"/>
        <v>116.14285714285714</v>
      </c>
      <c r="K6692" s="297">
        <f>J6692/POBLA!$B$19*100000</f>
        <v>22.84801489252159</v>
      </c>
      <c r="L6692" s="549">
        <f t="shared" si="927"/>
        <v>0.27733333333333332</v>
      </c>
      <c r="M6692" s="401">
        <f>SUM(C6692,C6668,C6644,C6620,C6596,C6572,C6548)/POBLA!$B$19*100000</f>
        <v>159.93610424765112</v>
      </c>
    </row>
    <row r="6693" spans="1:13" s="360" customFormat="1" ht="15.75" thickBot="1" x14ac:dyDescent="0.3">
      <c r="A6693" s="367" t="s">
        <v>37</v>
      </c>
      <c r="B6693" s="266">
        <v>44171</v>
      </c>
      <c r="C6693" s="1">
        <v>172</v>
      </c>
      <c r="D6693" s="39">
        <f t="shared" si="934"/>
        <v>17297</v>
      </c>
      <c r="E6693" s="1">
        <v>1</v>
      </c>
      <c r="F6693" s="409">
        <f t="shared" si="935"/>
        <v>301</v>
      </c>
      <c r="G6693" s="168">
        <f>SUM(C6693,C6669,C6645,C6621,C6597,C6573,C6549,C6525,C6501,C6477,C6453,C6429,C6405,C6381)/POBLA!$B$20*100000</f>
        <v>847.14709951927546</v>
      </c>
      <c r="H6693" s="256">
        <f t="shared" si="926"/>
        <v>0.9951814969482814</v>
      </c>
      <c r="I6693" s="297">
        <f t="shared" si="932"/>
        <v>843.06511863498724</v>
      </c>
      <c r="J6693" s="297">
        <f t="shared" si="933"/>
        <v>217.85714285714286</v>
      </c>
      <c r="K6693" s="297">
        <f>J6693/POBLA!$B$20*100000</f>
        <v>59.572965358613629</v>
      </c>
      <c r="L6693" s="549">
        <f t="shared" si="927"/>
        <v>3.0514939605848723E-2</v>
      </c>
      <c r="M6693" s="401">
        <f>SUM(C6693,C6669,C6645,C6621,C6597,C6573,C6549)/POBLA!$B$20*100000</f>
        <v>417.01075751029543</v>
      </c>
    </row>
    <row r="6694" spans="1:13" s="360" customFormat="1" ht="15.75" thickBot="1" x14ac:dyDescent="0.3">
      <c r="A6694" s="367" t="s">
        <v>22</v>
      </c>
      <c r="B6694" s="266">
        <v>44171</v>
      </c>
      <c r="C6694" s="1">
        <v>568</v>
      </c>
      <c r="D6694" s="39">
        <f t="shared" si="934"/>
        <v>154219</v>
      </c>
      <c r="E6694" s="1">
        <v>4</v>
      </c>
      <c r="F6694" s="409">
        <f t="shared" si="935"/>
        <v>2410</v>
      </c>
      <c r="G6694" s="168">
        <f>SUM(C6694,C6670,C6646,C6622,C6598,C6574,C6550,C6526,C6502,C6478,C6454,C6430,C6406,C6382)/POBLA!$B$21*100000</f>
        <v>461.54046269417245</v>
      </c>
      <c r="H6694" s="256">
        <f t="shared" si="926"/>
        <v>0.83296759377392193</v>
      </c>
      <c r="I6694" s="297">
        <f t="shared" si="932"/>
        <v>384.44824863966738</v>
      </c>
      <c r="J6694" s="297">
        <f t="shared" si="933"/>
        <v>1102</v>
      </c>
      <c r="K6694" s="297">
        <f>J6694/POBLA!$B$21*100000</f>
        <v>31.161474689926361</v>
      </c>
      <c r="L6694" s="549">
        <f t="shared" si="927"/>
        <v>0.10385687732342008</v>
      </c>
      <c r="M6694" s="401">
        <f>SUM(C6694,C6670,C6646,C6622,C6598,C6574,C6550)/POBLA!$B$21*100000</f>
        <v>218.13032282948453</v>
      </c>
    </row>
    <row r="6695" spans="1:13" s="360" customFormat="1" ht="15.75" thickBot="1" x14ac:dyDescent="0.3">
      <c r="A6695" s="367" t="s">
        <v>38</v>
      </c>
      <c r="B6695" s="266">
        <v>44171</v>
      </c>
      <c r="C6695" s="1">
        <v>52</v>
      </c>
      <c r="D6695" s="39">
        <f t="shared" si="934"/>
        <v>16159</v>
      </c>
      <c r="E6695" s="1">
        <v>1</v>
      </c>
      <c r="F6695" s="409">
        <f t="shared" si="935"/>
        <v>200</v>
      </c>
      <c r="G6695" s="168">
        <f>SUM(C6695,C6671,C6647,C6623,C6599,C6575,C6551,C6527,C6503,C6479,C6455,C6431,C6407,C6383)/POBLA!$B$22*100000</f>
        <v>163.64905710135713</v>
      </c>
      <c r="H6695" s="256">
        <f t="shared" si="926"/>
        <v>0.49535891089108913</v>
      </c>
      <c r="I6695" s="297">
        <f t="shared" si="932"/>
        <v>81.065018694081928</v>
      </c>
      <c r="J6695" s="297">
        <f t="shared" si="933"/>
        <v>81.285714285714292</v>
      </c>
      <c r="K6695" s="297">
        <f>J6695/POBLA!$B$22*100000</f>
        <v>8.3087635844268952</v>
      </c>
      <c r="L6695" s="549">
        <f t="shared" si="927"/>
        <v>0.4486434108527132</v>
      </c>
      <c r="M6695" s="401">
        <f>SUM(C6695,C6671,C6647,C6623,C6599,C6575,C6551)/POBLA!$B$22*100000</f>
        <v>58.161345090988263</v>
      </c>
    </row>
    <row r="6696" spans="1:13" s="360" customFormat="1" ht="15.75" thickBot="1" x14ac:dyDescent="0.3">
      <c r="A6696" s="367" t="s">
        <v>39</v>
      </c>
      <c r="B6696" s="266">
        <v>44171</v>
      </c>
      <c r="C6696" s="1">
        <v>61</v>
      </c>
      <c r="D6696" s="39">
        <f t="shared" si="934"/>
        <v>16745</v>
      </c>
      <c r="E6696" s="1">
        <v>1</v>
      </c>
      <c r="F6696" s="409">
        <f t="shared" si="935"/>
        <v>238</v>
      </c>
      <c r="G6696" s="168">
        <f>SUM(C6696,C6672,C6648,C6624,C6600,C6576,C6552,C6528,C6504,C6480,C6456,C6432,C6408,C6384)/POBLA!$B$23*100000</f>
        <v>838.0930837527568</v>
      </c>
      <c r="H6696" s="256">
        <f t="shared" si="926"/>
        <v>0.69675599435825109</v>
      </c>
      <c r="I6696" s="297">
        <f t="shared" si="932"/>
        <v>583.94637993492506</v>
      </c>
      <c r="J6696" s="297">
        <f t="shared" si="933"/>
        <v>93.571428571428569</v>
      </c>
      <c r="K6696" s="297">
        <f>J6696/POBLA!$B$23*100000</f>
        <v>52.916037194722939</v>
      </c>
      <c r="L6696" s="549">
        <f t="shared" si="927"/>
        <v>0.20798065296251511</v>
      </c>
      <c r="M6696" s="401">
        <f>SUM(C6696,C6672,C6648,C6624,C6600,C6576,C6552)/POBLA!$B$23*100000</f>
        <v>370.41226036306057</v>
      </c>
    </row>
    <row r="6697" spans="1:13" s="360" customFormat="1" ht="15.75" thickBot="1" x14ac:dyDescent="0.3">
      <c r="A6697" s="369" t="s">
        <v>40</v>
      </c>
      <c r="B6697" s="266">
        <v>44171</v>
      </c>
      <c r="C6697" s="1">
        <v>81</v>
      </c>
      <c r="D6697" s="176">
        <f t="shared" si="934"/>
        <v>67264</v>
      </c>
      <c r="E6697" s="1"/>
      <c r="F6697" s="476">
        <f t="shared" si="935"/>
        <v>1247</v>
      </c>
      <c r="G6697" s="177">
        <f>SUM(C6697,C6673,C6649,C6625,C6601,C6577,C6553,C6529,C6505,C6481,C6457,C6433,C6409,C6385)/POBLA!$B$24*100000</f>
        <v>234.26583330186185</v>
      </c>
      <c r="H6697" s="402">
        <f t="shared" si="926"/>
        <v>0.46340609314812653</v>
      </c>
      <c r="I6697" s="403">
        <f t="shared" si="932"/>
        <v>108.56021456850607</v>
      </c>
      <c r="J6697" s="403">
        <f t="shared" si="933"/>
        <v>233.42857142857142</v>
      </c>
      <c r="K6697" s="403">
        <f>J6697/POBLA!$B$24*100000</f>
        <v>13.774392645384751</v>
      </c>
      <c r="L6697" s="550">
        <f t="shared" si="927"/>
        <v>0.30051369863013699</v>
      </c>
      <c r="M6697" s="405">
        <f>SUM(C6697,C6673,C6649,C6625,C6601,C6577,C6553)/POBLA!$B$24*100000</f>
        <v>96.420748517693255</v>
      </c>
    </row>
    <row r="6698" spans="1:13" s="360" customFormat="1" ht="15.75" thickBot="1" x14ac:dyDescent="0.3">
      <c r="A6698" s="363" t="s">
        <v>16</v>
      </c>
      <c r="B6698" s="266">
        <v>44172</v>
      </c>
      <c r="C6698" s="1">
        <v>693</v>
      </c>
      <c r="D6698" s="174">
        <f t="shared" si="934"/>
        <v>629170</v>
      </c>
      <c r="E6698" s="1">
        <v>53</v>
      </c>
      <c r="F6698" s="475">
        <f t="shared" si="935"/>
        <v>21128</v>
      </c>
      <c r="G6698" s="175">
        <f>SUM(C6698,C6674,C6650,C6626,C6602,C6578,C6554,C6530,C6506,C6482,C6458,C6434,C6410,C6386)/POBLA!$B$1*100000</f>
        <v>132.27189725001355</v>
      </c>
      <c r="H6698" s="300">
        <f t="shared" si="926"/>
        <v>0.70139056831922608</v>
      </c>
      <c r="I6698" s="301">
        <f>G6698*H6698</f>
        <v>92.77426118484928</v>
      </c>
      <c r="J6698" s="301">
        <f>AVERAGE(C6698,C6674,C6650,C6626,C6602,C6578,C6554)</f>
        <v>1492</v>
      </c>
      <c r="K6698" s="301">
        <f>J6698/POBLA!$B$1*100000</f>
        <v>8.5057180715895271</v>
      </c>
      <c r="L6698" s="548">
        <f t="shared" si="927"/>
        <v>0.18137639128390026</v>
      </c>
      <c r="M6698" s="400">
        <f>SUM(C6698,C6674,C6650,C6626,C6602,C6578,C6554)/POBLA!$B$1*100000</f>
        <v>59.54002650112669</v>
      </c>
    </row>
    <row r="6699" spans="1:13" s="360" customFormat="1" ht="15.75" thickBot="1" x14ac:dyDescent="0.3">
      <c r="A6699" s="367" t="s">
        <v>43</v>
      </c>
      <c r="B6699" s="266">
        <v>44172</v>
      </c>
      <c r="C6699" s="1">
        <v>164</v>
      </c>
      <c r="D6699" s="39">
        <f t="shared" si="934"/>
        <v>160837</v>
      </c>
      <c r="E6699" s="1">
        <v>8</v>
      </c>
      <c r="F6699" s="409">
        <f t="shared" si="935"/>
        <v>5303</v>
      </c>
      <c r="G6699" s="168">
        <f>SUM(C6699,C6675,C6651,C6627,C6603,C6579,C6555,C6531,C6507,C6483,C6459,C6435,C6411,C6387)/POBLA!$B$2*100000</f>
        <v>136.03646193352552</v>
      </c>
      <c r="H6699" s="256">
        <f t="shared" si="926"/>
        <v>0.73713883016208592</v>
      </c>
      <c r="I6699" s="297">
        <f t="shared" ref="I6699:I6721" si="936">G6699*H6699</f>
        <v>100.27775840906813</v>
      </c>
      <c r="J6699" s="297">
        <f t="shared" ref="J6699:J6721" si="937">AVERAGE(C6699,C6675,C6651,C6627,C6603,C6579,C6555)</f>
        <v>290.28571428571428</v>
      </c>
      <c r="K6699" s="297">
        <f>J6699/POBLA!$B$2*100000</f>
        <v>9.4382030404576547</v>
      </c>
      <c r="L6699" s="549">
        <f t="shared" si="927"/>
        <v>5.5762081784386575E-2</v>
      </c>
      <c r="M6699" s="401">
        <f>SUM(C6699,C6675,C6651,C6627,C6603,C6579,C6555)/POBLA!$B$2*100000</f>
        <v>66.067421283203601</v>
      </c>
    </row>
    <row r="6700" spans="1:13" s="360" customFormat="1" ht="15.75" thickBot="1" x14ac:dyDescent="0.3">
      <c r="A6700" s="367" t="s">
        <v>28</v>
      </c>
      <c r="B6700" s="266">
        <v>44172</v>
      </c>
      <c r="C6700" s="1">
        <v>30</v>
      </c>
      <c r="D6700" s="39">
        <f t="shared" si="934"/>
        <v>2015</v>
      </c>
      <c r="E6700" s="1"/>
      <c r="F6700" s="409">
        <f t="shared" si="935"/>
        <v>17</v>
      </c>
      <c r="G6700" s="168">
        <f>SUM(C6700,C6676,C6652,C6628,C6604,C6580,C6556,C6532,C6508,C6484,C6460,C6436,C6412,C6388)/POBLA!$B$3*100000</f>
        <v>72.93507093717956</v>
      </c>
      <c r="H6700" s="256">
        <f t="shared" si="926"/>
        <v>0.62090163934426235</v>
      </c>
      <c r="I6700" s="297">
        <f t="shared" si="936"/>
        <v>45.28550511058485</v>
      </c>
      <c r="J6700" s="297">
        <f t="shared" si="937"/>
        <v>21.142857142857142</v>
      </c>
      <c r="K6700" s="297">
        <f>J6700/POBLA!$B$3*100000</f>
        <v>5.089293021547654</v>
      </c>
      <c r="L6700" s="549">
        <f t="shared" si="927"/>
        <v>4.5161290322580649E-2</v>
      </c>
      <c r="M6700" s="401">
        <f>SUM(C6700,C6676,C6652,C6628,C6604,C6580,C6556)/POBLA!$B$3*100000</f>
        <v>35.625051150833578</v>
      </c>
    </row>
    <row r="6701" spans="1:13" s="360" customFormat="1" ht="15.75" thickBot="1" x14ac:dyDescent="0.3">
      <c r="A6701" s="367" t="s">
        <v>15</v>
      </c>
      <c r="B6701" s="266">
        <v>44172</v>
      </c>
      <c r="C6701" s="1">
        <v>96</v>
      </c>
      <c r="D6701" s="39">
        <f t="shared" si="934"/>
        <v>20826</v>
      </c>
      <c r="E6701" s="1"/>
      <c r="F6701" s="409">
        <f t="shared" si="935"/>
        <v>593</v>
      </c>
      <c r="G6701" s="168">
        <f>SUM(C6701,C6677,C6653,C6629,C6605,C6581,C6557,C6533,C6509,C6485,C6461,C6437,C6413,C6389)/POBLA!$B$4*100000</f>
        <v>242.49900999633883</v>
      </c>
      <c r="H6701" s="256">
        <f t="shared" si="926"/>
        <v>1.0652808169219548</v>
      </c>
      <c r="I6701" s="297">
        <f t="shared" si="936"/>
        <v>258.32954347166509</v>
      </c>
      <c r="J6701" s="297">
        <f t="shared" si="937"/>
        <v>209.85714285714286</v>
      </c>
      <c r="K6701" s="297">
        <f>J6701/POBLA!$B$4*100000</f>
        <v>17.422166855021363</v>
      </c>
      <c r="L6701" s="549">
        <f t="shared" si="927"/>
        <v>-1.1707988980716344E-2</v>
      </c>
      <c r="M6701" s="401">
        <f>SUM(C6701,C6677,C6653,C6629,C6605,C6581,C6557)/POBLA!$B$4*100000</f>
        <v>121.95516798514953</v>
      </c>
    </row>
    <row r="6702" spans="1:13" s="360" customFormat="1" ht="15.75" thickBot="1" x14ac:dyDescent="0.3">
      <c r="A6702" s="367" t="s">
        <v>29</v>
      </c>
      <c r="B6702" s="266">
        <v>44172</v>
      </c>
      <c r="C6702" s="1">
        <v>161</v>
      </c>
      <c r="D6702" s="39">
        <f t="shared" si="934"/>
        <v>24649</v>
      </c>
      <c r="E6702" s="1">
        <v>7</v>
      </c>
      <c r="F6702" s="409">
        <f t="shared" si="935"/>
        <v>407</v>
      </c>
      <c r="G6702" s="168">
        <f>SUM(C6702,C6678,C6654,C6630,C6606,C6582,C6558,C6534,C6510,C6486,C6462,C6438,C6414,C6390)/POBLA!$B$5*100000</f>
        <v>545.72419118763673</v>
      </c>
      <c r="H6702" s="256">
        <f t="shared" si="926"/>
        <v>0.82632093933463802</v>
      </c>
      <c r="I6702" s="297">
        <f t="shared" si="936"/>
        <v>450.94332627980356</v>
      </c>
      <c r="J6702" s="297">
        <f t="shared" si="937"/>
        <v>256.85714285714283</v>
      </c>
      <c r="K6702" s="297">
        <f>J6702/POBLA!$B$5*100000</f>
        <v>41.495901875808627</v>
      </c>
      <c r="L6702" s="549">
        <f t="shared" si="927"/>
        <v>-0.13797468354430387</v>
      </c>
      <c r="M6702" s="401">
        <f>SUM(C6702,C6678,C6654,C6630,C6606,C6582,C6558)/POBLA!$B$5*100000</f>
        <v>290.47131313066041</v>
      </c>
    </row>
    <row r="6703" spans="1:13" s="360" customFormat="1" ht="15.75" thickBot="1" x14ac:dyDescent="0.3">
      <c r="A6703" s="367" t="s">
        <v>20</v>
      </c>
      <c r="B6703" s="266">
        <v>44172</v>
      </c>
      <c r="C6703" s="1">
        <v>95</v>
      </c>
      <c r="D6703" s="39">
        <f t="shared" si="934"/>
        <v>117607</v>
      </c>
      <c r="E6703" s="1">
        <v>9</v>
      </c>
      <c r="F6703" s="409">
        <f t="shared" si="935"/>
        <v>2098</v>
      </c>
      <c r="G6703" s="168">
        <f>SUM(C6703,C6679,C6655,C6631,C6607,C6583,C6559,C6535,C6511,C6487,C6463,C6439,C6415,C6391)/POBLA!$B$6*100000</f>
        <v>715.20278800607775</v>
      </c>
      <c r="H6703" s="256">
        <f t="shared" si="926"/>
        <v>0.52924864650732861</v>
      </c>
      <c r="I6703" s="297">
        <f t="shared" si="936"/>
        <v>378.52010753048455</v>
      </c>
      <c r="J6703" s="297">
        <f t="shared" si="937"/>
        <v>485.71428571428572</v>
      </c>
      <c r="K6703" s="297">
        <f>J6703/POBLA!$B$6*100000</f>
        <v>43.336353707240242</v>
      </c>
      <c r="L6703" s="549">
        <f t="shared" si="927"/>
        <v>0.2634315424610052</v>
      </c>
      <c r="M6703" s="401">
        <f>SUM(C6703,C6679,C6655,C6631,C6607,C6583,C6559)/POBLA!$B$6*100000</f>
        <v>303.35447595068166</v>
      </c>
    </row>
    <row r="6704" spans="1:13" s="360" customFormat="1" ht="15.75" thickBot="1" x14ac:dyDescent="0.3">
      <c r="A6704" s="367" t="s">
        <v>30</v>
      </c>
      <c r="B6704" s="266">
        <v>44172</v>
      </c>
      <c r="C6704" s="1">
        <v>185</v>
      </c>
      <c r="D6704" s="39">
        <f t="shared" si="934"/>
        <v>8862</v>
      </c>
      <c r="E6704" s="1">
        <v>7</v>
      </c>
      <c r="F6704" s="409">
        <f t="shared" si="935"/>
        <v>111</v>
      </c>
      <c r="G6704" s="168">
        <f>SUM(C6704,C6680,C6656,C6632,C6608,C6584,C6560,C6536,C6512,C6488,C6464,C6440,C6416,C6392)/POBLA!$B$7*100000</f>
        <v>104.90765732824529</v>
      </c>
      <c r="H6704" s="256">
        <f t="shared" si="926"/>
        <v>2.1096256684491981</v>
      </c>
      <c r="I6704" s="297">
        <f t="shared" si="936"/>
        <v>221.3158867165389</v>
      </c>
      <c r="J6704" s="297">
        <f t="shared" si="937"/>
        <v>252</v>
      </c>
      <c r="K6704" s="297">
        <f>J6704/POBLA!$B$7*100000</f>
        <v>6.7013256392187106</v>
      </c>
      <c r="L6704" s="549">
        <f t="shared" si="927"/>
        <v>0.19119669876203571</v>
      </c>
      <c r="M6704" s="401">
        <f>SUM(C6704,C6680,C6656,C6632,C6608,C6584,C6560)/POBLA!$B$7*100000</f>
        <v>46.909279474530969</v>
      </c>
    </row>
    <row r="6705" spans="1:13" ht="15.75" thickBot="1" x14ac:dyDescent="0.3">
      <c r="A6705" s="367" t="s">
        <v>31</v>
      </c>
      <c r="B6705" s="266">
        <v>44172</v>
      </c>
      <c r="C6705" s="1">
        <v>55</v>
      </c>
      <c r="D6705" s="39">
        <f t="shared" si="934"/>
        <v>24575</v>
      </c>
      <c r="E6705" s="1">
        <v>5</v>
      </c>
      <c r="F6705" s="409">
        <f t="shared" si="935"/>
        <v>492</v>
      </c>
      <c r="G6705" s="168">
        <f>SUM(C6705,C6681,C6657,C6633,C6609,C6585,C6561,C6537,C6513,C6489,C6465,C6441,C6417,C6393)/POBLA!$B$8*100000</f>
        <v>193.07902603320008</v>
      </c>
      <c r="H6705" s="256">
        <f t="shared" si="926"/>
        <v>0.73536685902720522</v>
      </c>
      <c r="I6705" s="297">
        <f t="shared" si="936"/>
        <v>141.98391691806634</v>
      </c>
      <c r="J6705" s="297">
        <f t="shared" si="937"/>
        <v>172.85714285714286</v>
      </c>
      <c r="K6705" s="297">
        <f>J6705/POBLA!$B$8*100000</f>
        <v>12.472006272697636</v>
      </c>
      <c r="L6705" s="549">
        <f t="shared" si="927"/>
        <v>0.17462482946794</v>
      </c>
      <c r="M6705" s="401">
        <f>SUM(C6705,C6681,C6657,C6633,C6609,C6585,C6561)/POBLA!$B$8*100000</f>
        <v>87.304043908883429</v>
      </c>
    </row>
    <row r="6706" spans="1:13" s="360" customFormat="1" ht="15.75" thickBot="1" x14ac:dyDescent="0.3">
      <c r="A6706" s="367" t="s">
        <v>41</v>
      </c>
      <c r="B6706" s="266">
        <v>44172</v>
      </c>
      <c r="C6706" s="1">
        <v>0</v>
      </c>
      <c r="D6706" s="39">
        <f t="shared" si="934"/>
        <v>189</v>
      </c>
      <c r="E6706" s="1"/>
      <c r="F6706" s="409">
        <f t="shared" si="935"/>
        <v>3</v>
      </c>
      <c r="G6706" s="168">
        <f>SUM(C6706,C6682,C6658,C6634,C6610,C6586,C6562,C6538,C6514,C6490,C6466,C6442,C6418,C6394)/POBLA!$B$9*100000</f>
        <v>0</v>
      </c>
      <c r="H6706" s="256">
        <f t="shared" si="926"/>
        <v>0</v>
      </c>
      <c r="I6706" s="297">
        <f t="shared" si="936"/>
        <v>0</v>
      </c>
      <c r="J6706" s="297">
        <f t="shared" si="937"/>
        <v>1</v>
      </c>
      <c r="K6706" s="297">
        <f>J6706/POBLA!$B$9*100000</f>
        <v>0.16523654437510019</v>
      </c>
      <c r="L6706" s="549">
        <f t="shared" si="927"/>
        <v>2</v>
      </c>
      <c r="M6706" s="401">
        <f>SUM(C6706,C6682,C6658,C6634,C6610,C6586,C6562)/POBLA!$B$9*100000</f>
        <v>1.1566558106257012</v>
      </c>
    </row>
    <row r="6707" spans="1:13" s="360" customFormat="1" ht="15.75" thickBot="1" x14ac:dyDescent="0.3">
      <c r="A6707" s="367" t="s">
        <v>32</v>
      </c>
      <c r="B6707" s="266">
        <v>44172</v>
      </c>
      <c r="C6707" s="1">
        <v>1</v>
      </c>
      <c r="D6707" s="39">
        <f t="shared" si="934"/>
        <v>18416</v>
      </c>
      <c r="E6707" s="1">
        <v>1</v>
      </c>
      <c r="F6707" s="409">
        <f t="shared" si="935"/>
        <v>852</v>
      </c>
      <c r="G6707" s="168">
        <f>SUM(C6707,C6683,C6659,C6635,C6611,C6587,C6563,C6539,C6515,C6491,C6467,C6443,C6419,C6395)/POBLA!$B$10*100000</f>
        <v>15.436883254354433</v>
      </c>
      <c r="H6707" s="256">
        <f t="shared" si="926"/>
        <v>0.46484375</v>
      </c>
      <c r="I6707" s="297">
        <f t="shared" si="936"/>
        <v>7.1757387002663187</v>
      </c>
      <c r="J6707" s="297">
        <f t="shared" si="937"/>
        <v>5</v>
      </c>
      <c r="K6707" s="297">
        <f>J6707/POBLA!$B$10*100000</f>
        <v>0.64860854009892577</v>
      </c>
      <c r="L6707" s="549">
        <f t="shared" si="927"/>
        <v>0.58333333333333326</v>
      </c>
      <c r="M6707" s="401">
        <f>SUM(C6707,C6683,C6659,C6635,C6611,C6587,C6563)/POBLA!$B$10*100000</f>
        <v>4.5402597806924803</v>
      </c>
    </row>
    <row r="6708" spans="1:13" s="360" customFormat="1" ht="15.75" thickBot="1" x14ac:dyDescent="0.3">
      <c r="A6708" s="367" t="s">
        <v>33</v>
      </c>
      <c r="B6708" s="266">
        <v>44172</v>
      </c>
      <c r="C6708" s="1">
        <v>58</v>
      </c>
      <c r="D6708" s="39">
        <f t="shared" si="934"/>
        <v>6338</v>
      </c>
      <c r="E6708" s="1">
        <v>7</v>
      </c>
      <c r="F6708" s="409">
        <f t="shared" si="935"/>
        <v>95</v>
      </c>
      <c r="G6708" s="168">
        <f>SUM(C6708,C6684,C6660,C6636,C6612,C6588,C6564,C6540,C6516,C6492,C6468,C6444,C6420,C6396)/POBLA!$B$11*100000</f>
        <v>307.17466269376274</v>
      </c>
      <c r="H6708" s="256">
        <f t="shared" si="926"/>
        <v>1.0535885167464114</v>
      </c>
      <c r="I6708" s="297">
        <f t="shared" si="936"/>
        <v>323.6356972496007</v>
      </c>
      <c r="J6708" s="297">
        <f t="shared" si="937"/>
        <v>81.142857142857139</v>
      </c>
      <c r="K6708" s="297">
        <f>J6708/POBLA!$B$11*100000</f>
        <v>22.638537486707829</v>
      </c>
      <c r="L6708" s="549">
        <f t="shared" si="927"/>
        <v>-6.5666041275797449E-2</v>
      </c>
      <c r="M6708" s="401">
        <f>SUM(C6708,C6684,C6660,C6636,C6612,C6588,C6564)/POBLA!$B$11*100000</f>
        <v>158.4697624069548</v>
      </c>
    </row>
    <row r="6709" spans="1:13" s="360" customFormat="1" ht="15.75" thickBot="1" x14ac:dyDescent="0.3">
      <c r="A6709" s="367" t="s">
        <v>21</v>
      </c>
      <c r="B6709" s="266">
        <v>44172</v>
      </c>
      <c r="C6709" s="1">
        <v>19</v>
      </c>
      <c r="D6709" s="39">
        <f t="shared" si="934"/>
        <v>8858</v>
      </c>
      <c r="E6709" s="1"/>
      <c r="F6709" s="409">
        <f t="shared" si="935"/>
        <v>321</v>
      </c>
      <c r="G6709" s="168">
        <f>SUM(C6709,C6685,C6661,C6637,C6613,C6589,C6565,C6541,C6517,C6493,C6469,C6445,C6421,C6397)/POBLA!$B$12*100000</f>
        <v>77.249314539388251</v>
      </c>
      <c r="H6709" s="256">
        <f t="shared" si="926"/>
        <v>0.44444444444444442</v>
      </c>
      <c r="I6709" s="297">
        <f t="shared" si="936"/>
        <v>34.333028684172554</v>
      </c>
      <c r="J6709" s="297">
        <f t="shared" si="937"/>
        <v>19.428571428571427</v>
      </c>
      <c r="K6709" s="297">
        <f>J6709/POBLA!$B$12*100000</f>
        <v>4.9369862675548886</v>
      </c>
      <c r="L6709" s="549">
        <f t="shared" si="927"/>
        <v>0.19047619047619047</v>
      </c>
      <c r="M6709" s="401">
        <f>SUM(C6709,C6685,C6661,C6637,C6613,C6589,C6565)/POBLA!$B$12*100000</f>
        <v>34.558903872884223</v>
      </c>
    </row>
    <row r="6710" spans="1:13" s="360" customFormat="1" ht="15.75" thickBot="1" x14ac:dyDescent="0.3">
      <c r="A6710" s="367" t="s">
        <v>17</v>
      </c>
      <c r="B6710" s="266">
        <v>44172</v>
      </c>
      <c r="C6710" s="1">
        <v>32</v>
      </c>
      <c r="D6710" s="39">
        <f t="shared" si="934"/>
        <v>57600</v>
      </c>
      <c r="E6710" s="1">
        <v>1</v>
      </c>
      <c r="F6710" s="409">
        <f t="shared" si="935"/>
        <v>1144</v>
      </c>
      <c r="G6710" s="168">
        <f>SUM(C6710,C6686,C6662,C6638,C6614,C6590,C6566,C6542,C6518,C6494,C6470,C6446,C6422,C6398)/POBLA!$B$13*100000</f>
        <v>115.45777651836019</v>
      </c>
      <c r="H6710" s="256">
        <f t="shared" si="926"/>
        <v>0.52203543843707401</v>
      </c>
      <c r="I6710" s="297">
        <f t="shared" si="936"/>
        <v>60.273050985731871</v>
      </c>
      <c r="J6710" s="297">
        <f t="shared" si="937"/>
        <v>150.57142857142858</v>
      </c>
      <c r="K6710" s="297">
        <f>J6710/POBLA!$B$13*100000</f>
        <v>7.5651185161228183</v>
      </c>
      <c r="L6710" s="549">
        <f t="shared" si="927"/>
        <v>0.15273311897106112</v>
      </c>
      <c r="M6710" s="401">
        <f>SUM(C6710,C6686,C6662,C6638,C6614,C6590,C6566)/POBLA!$B$13*100000</f>
        <v>52.955829612859731</v>
      </c>
    </row>
    <row r="6711" spans="1:13" s="360" customFormat="1" ht="15.75" thickBot="1" x14ac:dyDescent="0.3">
      <c r="A6711" s="367" t="s">
        <v>23</v>
      </c>
      <c r="B6711" s="266">
        <v>44172</v>
      </c>
      <c r="C6711" s="1">
        <v>6</v>
      </c>
      <c r="D6711" s="39">
        <f t="shared" si="934"/>
        <v>579</v>
      </c>
      <c r="E6711" s="1"/>
      <c r="F6711" s="409">
        <f t="shared" si="935"/>
        <v>9</v>
      </c>
      <c r="G6711" s="168">
        <f>SUM(C6711,C6687,C6663,C6639,C6615,C6591,C6567,C6543,C6519,C6495,C6471,C6447,C6423,C6399)/POBLA!$B$14*100000</f>
        <v>10.386158976416285</v>
      </c>
      <c r="H6711" s="256">
        <f t="shared" si="926"/>
        <v>1.212962962962963</v>
      </c>
      <c r="I6711" s="297">
        <f t="shared" si="936"/>
        <v>12.598026165838272</v>
      </c>
      <c r="J6711" s="297">
        <f t="shared" si="937"/>
        <v>11.285714285714286</v>
      </c>
      <c r="K6711" s="297">
        <f>J6711/POBLA!$B$14*100000</f>
        <v>0.89477269262473991</v>
      </c>
      <c r="L6711" s="549">
        <f t="shared" si="927"/>
        <v>-0.51923076923076916</v>
      </c>
      <c r="M6711" s="401">
        <f>SUM(C6711,C6687,C6663,C6639,C6615,C6591,C6567)/POBLA!$B$14*100000</f>
        <v>6.2634088483731789</v>
      </c>
    </row>
    <row r="6712" spans="1:13" s="360" customFormat="1" ht="15.75" thickBot="1" x14ac:dyDescent="0.3">
      <c r="A6712" s="367" t="s">
        <v>19</v>
      </c>
      <c r="B6712" s="266">
        <v>44172</v>
      </c>
      <c r="C6712" s="1">
        <v>473</v>
      </c>
      <c r="D6712" s="39">
        <f t="shared" si="934"/>
        <v>35112</v>
      </c>
      <c r="E6712" s="1">
        <v>1</v>
      </c>
      <c r="F6712" s="409">
        <f t="shared" si="935"/>
        <v>656</v>
      </c>
      <c r="G6712" s="168">
        <f>SUM(C6712,C6688,C6664,C6640,C6616,C6592,C6568,C6544,C6520,C6496,C6472,C6448,C6424,C6400)/POBLA!$B$15*100000</f>
        <v>766.95223452203652</v>
      </c>
      <c r="H6712" s="256">
        <f t="shared" si="926"/>
        <v>1.1033362218370883</v>
      </c>
      <c r="I6712" s="297">
        <f t="shared" si="936"/>
        <v>846.20618076705625</v>
      </c>
      <c r="J6712" s="297">
        <f t="shared" si="937"/>
        <v>434.85714285714283</v>
      </c>
      <c r="K6712" s="297">
        <f>J6712/POBLA!$B$15*100000</f>
        <v>65.484912117053625</v>
      </c>
      <c r="L6712" s="549">
        <f t="shared" si="927"/>
        <v>-0.48560273304050749</v>
      </c>
      <c r="M6712" s="401">
        <f>SUM(C6712,C6688,C6664,C6640,C6616,C6592,C6568)/POBLA!$B$15*100000</f>
        <v>458.39438481937549</v>
      </c>
    </row>
    <row r="6713" spans="1:13" s="360" customFormat="1" ht="15.75" thickBot="1" x14ac:dyDescent="0.3">
      <c r="A6713" s="367" t="s">
        <v>18</v>
      </c>
      <c r="B6713" s="266">
        <v>44172</v>
      </c>
      <c r="C6713" s="1">
        <v>93</v>
      </c>
      <c r="D6713" s="39">
        <f t="shared" si="934"/>
        <v>32971</v>
      </c>
      <c r="E6713" s="1"/>
      <c r="F6713" s="409">
        <f t="shared" si="935"/>
        <v>801</v>
      </c>
      <c r="G6713" s="168">
        <f>SUM(C6713,C6689,C6665,C6641,C6617,C6593,C6569,C6545,C6521,C6497,C6473,C6449,C6425,C6401)/POBLA!$B$16*100000</f>
        <v>377.60329583606426</v>
      </c>
      <c r="H6713" s="256">
        <f t="shared" si="926"/>
        <v>0.79230985124894748</v>
      </c>
      <c r="I6713" s="297">
        <f t="shared" si="936"/>
        <v>299.17881115498437</v>
      </c>
      <c r="J6713" s="297">
        <f t="shared" si="937"/>
        <v>180.85714285714286</v>
      </c>
      <c r="K6713" s="297">
        <f>J6713/POBLA!$B$16*100000</f>
        <v>24.191375564417658</v>
      </c>
      <c r="L6713" s="549">
        <f t="shared" si="927"/>
        <v>0.18689788053949907</v>
      </c>
      <c r="M6713" s="401">
        <f>SUM(C6713,C6689,C6665,C6641,C6617,C6593,C6569)/POBLA!$B$16*100000</f>
        <v>169.33962895092361</v>
      </c>
    </row>
    <row r="6714" spans="1:13" s="360" customFormat="1" ht="15.75" thickBot="1" x14ac:dyDescent="0.3">
      <c r="A6714" s="367" t="s">
        <v>34</v>
      </c>
      <c r="B6714" s="266">
        <v>44172</v>
      </c>
      <c r="C6714" s="1">
        <v>13</v>
      </c>
      <c r="D6714" s="39">
        <f t="shared" si="934"/>
        <v>21431</v>
      </c>
      <c r="E6714" s="1"/>
      <c r="F6714" s="409">
        <f t="shared" si="935"/>
        <v>991</v>
      </c>
      <c r="G6714" s="168">
        <f>SUM(C6714,C6690,C6666,C6642,C6618,C6594,C6570,C6546,C6522,C6498,C6474,C6450,C6426,C6402)/POBLA!$B$17*100000</f>
        <v>46.335396662587748</v>
      </c>
      <c r="H6714" s="256">
        <f t="shared" ref="H6714:H6745" si="938">SUM(C6714,C6690,C6666,C6642,C6618,C6594,C6570,C6546,C6522,C6498,C6474,C6450,C6426,C6402)/SUM(C6378,C6354,C6330,C6306,C6282,C6258,C6234,C6210,C6186,C6162,C6138,C6114,C6090,C6066)</f>
        <v>0.56896551724137934</v>
      </c>
      <c r="I6714" s="297">
        <f t="shared" si="936"/>
        <v>26.363242928713721</v>
      </c>
      <c r="J6714" s="297">
        <f t="shared" si="937"/>
        <v>38.857142857142854</v>
      </c>
      <c r="K6714" s="297">
        <f>J6714/POBLA!$B$17*100000</f>
        <v>2.7279714052432609</v>
      </c>
      <c r="L6714" s="549">
        <f t="shared" ref="L6714:L6745" si="939">1-SUM(C6714,C6690,C6666,C6642,C6618,C6594,C6570)/SUM(C6546,C6522,C6498,C6474,C6450,C6426,C6402)</f>
        <v>0.2989690721649485</v>
      </c>
      <c r="M6714" s="401">
        <f>SUM(C6714,C6690,C6666,C6642,C6618,C6594,C6570)/POBLA!$B$17*100000</f>
        <v>19.095799836702831</v>
      </c>
    </row>
    <row r="6715" spans="1:13" s="360" customFormat="1" ht="15.75" thickBot="1" x14ac:dyDescent="0.3">
      <c r="A6715" s="367" t="s">
        <v>35</v>
      </c>
      <c r="B6715" s="266">
        <v>44172</v>
      </c>
      <c r="C6715" s="1">
        <v>35</v>
      </c>
      <c r="D6715" s="39">
        <f t="shared" si="934"/>
        <v>8499</v>
      </c>
      <c r="E6715" s="1"/>
      <c r="F6715" s="409">
        <f t="shared" si="935"/>
        <v>173</v>
      </c>
      <c r="G6715" s="168">
        <f>SUM(C6715,C6691,C6667,C6643,C6619,C6595,C6571,C6547,C6523,C6499,C6475,C6451,C6427,C6403)/POBLA!$B$18*100000</f>
        <v>348.30271230656786</v>
      </c>
      <c r="H6715" s="256">
        <f t="shared" si="938"/>
        <v>1.3875573686894442</v>
      </c>
      <c r="I6715" s="297">
        <f t="shared" si="936"/>
        <v>483.28999499549781</v>
      </c>
      <c r="J6715" s="297">
        <f t="shared" si="937"/>
        <v>147.57142857142858</v>
      </c>
      <c r="K6715" s="297">
        <f>J6715/POBLA!$B$18*100000</f>
        <v>18.889940768240908</v>
      </c>
      <c r="L6715" s="549">
        <f t="shared" si="939"/>
        <v>0.38803317535545023</v>
      </c>
      <c r="M6715" s="401">
        <f>SUM(C6715,C6691,C6667,C6643,C6619,C6595,C6571)/POBLA!$B$18*100000</f>
        <v>132.22958537768633</v>
      </c>
    </row>
    <row r="6716" spans="1:13" s="360" customFormat="1" ht="15.75" thickBot="1" x14ac:dyDescent="0.3">
      <c r="A6716" s="367" t="s">
        <v>36</v>
      </c>
      <c r="B6716" s="266">
        <v>44172</v>
      </c>
      <c r="C6716" s="1">
        <v>43</v>
      </c>
      <c r="D6716" s="39">
        <f t="shared" si="934"/>
        <v>15144</v>
      </c>
      <c r="E6716" s="1"/>
      <c r="F6716" s="409">
        <f t="shared" si="935"/>
        <v>236</v>
      </c>
      <c r="G6716" s="168">
        <f>SUM(C6716,C6692,C6668,C6644,C6620,C6596,C6572,C6548,C6524,C6500,C6476,C6452,C6428,C6404)/POBLA!$B$19*100000</f>
        <v>380.6597315119372</v>
      </c>
      <c r="H6716" s="256">
        <f t="shared" si="938"/>
        <v>0.50390625</v>
      </c>
      <c r="I6716" s="297">
        <f t="shared" si="936"/>
        <v>191.8168178321871</v>
      </c>
      <c r="J6716" s="297">
        <f t="shared" si="937"/>
        <v>98.428571428571431</v>
      </c>
      <c r="K6716" s="297">
        <f>J6716/POBLA!$B$19*100000</f>
        <v>19.3632008129734</v>
      </c>
      <c r="L6716" s="549">
        <f t="shared" si="939"/>
        <v>0.4470304975922953</v>
      </c>
      <c r="M6716" s="401">
        <f>SUM(C6716,C6692,C6668,C6644,C6620,C6596,C6572)/POBLA!$B$19*100000</f>
        <v>135.54240569081381</v>
      </c>
    </row>
    <row r="6717" spans="1:13" s="360" customFormat="1" ht="15.75" thickBot="1" x14ac:dyDescent="0.3">
      <c r="A6717" s="367" t="s">
        <v>37</v>
      </c>
      <c r="B6717" s="266">
        <v>44172</v>
      </c>
      <c r="C6717" s="1">
        <v>119</v>
      </c>
      <c r="D6717" s="39">
        <f t="shared" si="934"/>
        <v>17416</v>
      </c>
      <c r="E6717" s="1">
        <v>5</v>
      </c>
      <c r="F6717" s="409">
        <f t="shared" si="935"/>
        <v>306</v>
      </c>
      <c r="G6717" s="168">
        <f>SUM(C6717,C6693,C6669,C6645,C6621,C6597,C6573,C6549,C6525,C6501,C6477,C6453,C6429,C6405)/POBLA!$B$20*100000</f>
        <v>849.6081466127788</v>
      </c>
      <c r="H6717" s="256">
        <f t="shared" si="938"/>
        <v>1.006478781988986</v>
      </c>
      <c r="I6717" s="297">
        <f t="shared" si="936"/>
        <v>855.11257257074942</v>
      </c>
      <c r="J6717" s="297">
        <f t="shared" si="937"/>
        <v>212.85714285714286</v>
      </c>
      <c r="K6717" s="297">
        <f>J6717/POBLA!$B$20*100000</f>
        <v>58.205716973333963</v>
      </c>
      <c r="L6717" s="549">
        <f t="shared" si="939"/>
        <v>7.854050711193572E-2</v>
      </c>
      <c r="M6717" s="401">
        <f>SUM(C6717,C6693,C6669,C6645,C6621,C6597,C6573)/POBLA!$B$20*100000</f>
        <v>407.44001881333776</v>
      </c>
    </row>
    <row r="6718" spans="1:13" s="360" customFormat="1" ht="15.75" thickBot="1" x14ac:dyDescent="0.3">
      <c r="A6718" s="367" t="s">
        <v>22</v>
      </c>
      <c r="B6718" s="266">
        <v>44172</v>
      </c>
      <c r="C6718" s="1">
        <v>576</v>
      </c>
      <c r="D6718" s="39">
        <f t="shared" si="934"/>
        <v>154795</v>
      </c>
      <c r="E6718" s="1">
        <v>14</v>
      </c>
      <c r="F6718" s="409">
        <f t="shared" si="935"/>
        <v>2424</v>
      </c>
      <c r="G6718" s="168">
        <f>SUM(C6718,C6694,C6670,C6646,C6622,C6598,C6574,C6550,C6526,C6502,C6478,C6454,C6430,C6406)/POBLA!$B$21*100000</f>
        <v>448.95710857709696</v>
      </c>
      <c r="H6718" s="256">
        <f t="shared" si="938"/>
        <v>0.82157826649417853</v>
      </c>
      <c r="I6718" s="297">
        <f t="shared" si="936"/>
        <v>368.85340299501001</v>
      </c>
      <c r="J6718" s="297">
        <f t="shared" si="937"/>
        <v>1025</v>
      </c>
      <c r="K6718" s="297">
        <f>J6718/POBLA!$B$21*100000</f>
        <v>28.984130269668345</v>
      </c>
      <c r="L6718" s="549">
        <f t="shared" si="939"/>
        <v>0.175476901861641</v>
      </c>
      <c r="M6718" s="401">
        <f>SUM(C6718,C6694,C6670,C6646,C6622,C6598,C6574)/POBLA!$B$21*100000</f>
        <v>202.8889118876784</v>
      </c>
    </row>
    <row r="6719" spans="1:13" s="360" customFormat="1" ht="15.75" thickBot="1" x14ac:dyDescent="0.3">
      <c r="A6719" s="367" t="s">
        <v>38</v>
      </c>
      <c r="B6719" s="266">
        <v>44172</v>
      </c>
      <c r="C6719" s="1">
        <v>57</v>
      </c>
      <c r="D6719" s="39">
        <f t="shared" si="934"/>
        <v>16216</v>
      </c>
      <c r="E6719" s="1"/>
      <c r="F6719" s="409">
        <f t="shared" si="935"/>
        <v>200</v>
      </c>
      <c r="G6719" s="168">
        <f>SUM(C6719,C6695,C6671,C6647,C6623,C6599,C6575,C6551,C6527,C6503,C6479,C6455,C6431,C6407)/POBLA!$B$22*100000</f>
        <v>161.19585449646485</v>
      </c>
      <c r="H6719" s="256">
        <f t="shared" si="938"/>
        <v>0.5074002574002574</v>
      </c>
      <c r="I6719" s="297">
        <f t="shared" si="936"/>
        <v>81.790818063360703</v>
      </c>
      <c r="J6719" s="297">
        <f t="shared" si="937"/>
        <v>81.857142857142861</v>
      </c>
      <c r="K6719" s="297">
        <f>J6719/POBLA!$B$22*100000</f>
        <v>8.3671731702576633</v>
      </c>
      <c r="L6719" s="549">
        <f t="shared" si="939"/>
        <v>0.42928286852589637</v>
      </c>
      <c r="M6719" s="401">
        <f>SUM(C6719,C6695,C6671,C6647,C6623,C6599,C6575)/POBLA!$B$22*100000</f>
        <v>58.570212191803641</v>
      </c>
    </row>
    <row r="6720" spans="1:13" s="360" customFormat="1" ht="15.75" thickBot="1" x14ac:dyDescent="0.3">
      <c r="A6720" s="367" t="s">
        <v>39</v>
      </c>
      <c r="B6720" s="266">
        <v>44172</v>
      </c>
      <c r="C6720" s="1">
        <v>109</v>
      </c>
      <c r="D6720" s="39">
        <f t="shared" si="934"/>
        <v>16854</v>
      </c>
      <c r="E6720" s="1"/>
      <c r="F6720" s="409">
        <f t="shared" si="935"/>
        <v>238</v>
      </c>
      <c r="G6720" s="168">
        <f>SUM(C6720,C6696,C6672,C6648,C6624,C6600,C6576,C6552,C6528,C6504,C6480,C6456,C6432,C6408)/POBLA!$B$23*100000</f>
        <v>813.77594299609791</v>
      </c>
      <c r="H6720" s="256">
        <f t="shared" si="938"/>
        <v>0.68328584995251662</v>
      </c>
      <c r="I6720" s="297">
        <f t="shared" si="936"/>
        <v>556.04158688099949</v>
      </c>
      <c r="J6720" s="297">
        <f t="shared" si="937"/>
        <v>96.142857142857139</v>
      </c>
      <c r="K6720" s="297">
        <f>J6720/POBLA!$B$23*100000</f>
        <v>54.370218369539749</v>
      </c>
      <c r="L6720" s="549">
        <f t="shared" si="939"/>
        <v>0.12140992167101827</v>
      </c>
      <c r="M6720" s="401">
        <f>SUM(C6720,C6696,C6672,C6648,C6624,C6600,C6576)/POBLA!$B$23*100000</f>
        <v>380.59152858677828</v>
      </c>
    </row>
    <row r="6721" spans="1:13" s="360" customFormat="1" ht="15.75" thickBot="1" x14ac:dyDescent="0.3">
      <c r="A6721" s="368" t="s">
        <v>40</v>
      </c>
      <c r="B6721" s="34">
        <v>44172</v>
      </c>
      <c r="C6721" s="232">
        <v>86</v>
      </c>
      <c r="D6721" s="67">
        <f>C6721+D6697</f>
        <v>67350</v>
      </c>
      <c r="E6721" s="232"/>
      <c r="F6721" s="477">
        <f t="shared" si="935"/>
        <v>1247</v>
      </c>
      <c r="G6721" s="177">
        <f>SUM(C6721,C6697,C6673,C6649,C6625,C6601,C6577,C6553,C6529,C6505,C6481,C6457,C6433,C6409)/POBLA!$B$24*100000</f>
        <v>228.24691264775859</v>
      </c>
      <c r="H6721" s="402">
        <f t="shared" si="938"/>
        <v>0.47670692630022182</v>
      </c>
      <c r="I6721" s="403">
        <f t="shared" si="936"/>
        <v>108.80688416582822</v>
      </c>
      <c r="J6721" s="403">
        <f t="shared" si="937"/>
        <v>202.42857142857142</v>
      </c>
      <c r="K6721" s="403">
        <f>J6721/POBLA!$B$24*100000</f>
        <v>11.945112838745528</v>
      </c>
      <c r="L6721" s="550">
        <f t="shared" si="939"/>
        <v>0.42186862505099965</v>
      </c>
      <c r="M6721" s="405">
        <f>SUM(C6721,C6697,C6673,C6649,C6625,C6601,C6577)/POBLA!$B$24*100000</f>
        <v>83.615789871218709</v>
      </c>
    </row>
    <row r="6722" spans="1:13" s="360" customFormat="1" x14ac:dyDescent="0.25">
      <c r="A6722" s="363" t="s">
        <v>16</v>
      </c>
      <c r="B6722" s="265">
        <v>44173</v>
      </c>
      <c r="C6722" s="43">
        <v>836</v>
      </c>
      <c r="D6722" s="174">
        <f t="shared" si="934"/>
        <v>630006</v>
      </c>
      <c r="E6722" s="43">
        <v>39</v>
      </c>
      <c r="F6722" s="475">
        <f t="shared" si="935"/>
        <v>21167</v>
      </c>
      <c r="G6722" s="175">
        <f>SUM(C6722,C6698,C6674,C6650,C6626,C6602,C6578,C6554,C6530,C6506,C6482,C6458,C6434,C6410)/POBLA!$B$1*100000</f>
        <v>126.04083166539736</v>
      </c>
      <c r="H6722" s="300">
        <f t="shared" si="938"/>
        <v>0.70007282859947439</v>
      </c>
      <c r="I6722" s="301">
        <f>G6722*H6722</f>
        <v>88.237761543024931</v>
      </c>
      <c r="J6722" s="301">
        <f>AVERAGE(C6722,C6698,C6674,C6650,C6626,C6602,C6578)</f>
        <v>1307.4285714285713</v>
      </c>
      <c r="K6722" s="301">
        <f>J6722/POBLA!$B$1*100000</f>
        <v>7.4534978735338324</v>
      </c>
      <c r="L6722" s="548">
        <f t="shared" si="939"/>
        <v>0.29366365671065831</v>
      </c>
      <c r="M6722" s="400">
        <f>SUM(C6722,C6698,C6674,C6650,C6626,C6602,C6578)/POBLA!$B$1*100000</f>
        <v>52.174485114736839</v>
      </c>
    </row>
    <row r="6723" spans="1:13" s="360" customFormat="1" x14ac:dyDescent="0.25">
      <c r="A6723" s="367" t="s">
        <v>43</v>
      </c>
      <c r="B6723" s="2">
        <v>44173</v>
      </c>
      <c r="C6723" s="1">
        <v>159</v>
      </c>
      <c r="D6723" s="39">
        <f t="shared" si="934"/>
        <v>160996</v>
      </c>
      <c r="E6723" s="1">
        <v>3</v>
      </c>
      <c r="F6723" s="409">
        <f t="shared" si="935"/>
        <v>5306</v>
      </c>
      <c r="G6723" s="168">
        <f>SUM(C6723,C6699,C6675,C6651,C6627,C6603,C6579,C6555,C6531,C6507,C6483,C6459,C6435,C6411)/POBLA!$B$2*100000</f>
        <v>133.07773391346078</v>
      </c>
      <c r="H6723" s="256">
        <f t="shared" si="938"/>
        <v>0.76276556093924708</v>
      </c>
      <c r="I6723" s="297">
        <f t="shared" ref="I6723:I6745" si="940">G6723*H6723</f>
        <v>101.50711235702477</v>
      </c>
      <c r="J6723" s="297">
        <f t="shared" ref="J6723:J6745" si="941">AVERAGE(C6723,C6699,C6675,C6651,C6627,C6603,C6579)</f>
        <v>256.14285714285717</v>
      </c>
      <c r="K6723" s="297">
        <f>J6723/POBLA!$B$2*100000</f>
        <v>8.3280994348132769</v>
      </c>
      <c r="L6723" s="549">
        <f t="shared" si="939"/>
        <v>0.22043478260869565</v>
      </c>
      <c r="M6723" s="401">
        <f>SUM(C6723,C6699,C6675,C6651,C6627,C6603,C6579)/POBLA!$B$2*100000</f>
        <v>58.29669604369294</v>
      </c>
    </row>
    <row r="6724" spans="1:13" s="360" customFormat="1" x14ac:dyDescent="0.25">
      <c r="A6724" s="367" t="s">
        <v>28</v>
      </c>
      <c r="B6724" s="2">
        <v>44173</v>
      </c>
      <c r="C6724" s="1">
        <v>12</v>
      </c>
      <c r="D6724" s="39">
        <f t="shared" si="934"/>
        <v>2027</v>
      </c>
      <c r="E6724" s="1"/>
      <c r="F6724" s="409">
        <f t="shared" si="935"/>
        <v>17</v>
      </c>
      <c r="G6724" s="168">
        <f>SUM(C6724,C6700,C6676,C6652,C6628,C6604,C6580,C6556,C6532,C6508,C6484,C6460,C6436,C6412)/POBLA!$B$3*100000</f>
        <v>72.694361132106351</v>
      </c>
      <c r="H6724" s="256">
        <f t="shared" si="938"/>
        <v>0.6371308016877637</v>
      </c>
      <c r="I6724" s="297">
        <f t="shared" si="940"/>
        <v>46.315816586278729</v>
      </c>
      <c r="J6724" s="297">
        <f t="shared" si="941"/>
        <v>20.571428571428573</v>
      </c>
      <c r="K6724" s="297">
        <f>J6724/POBLA!$B$3*100000</f>
        <v>4.9517445615058264</v>
      </c>
      <c r="L6724" s="549">
        <f t="shared" si="939"/>
        <v>8.8607594936708889E-2</v>
      </c>
      <c r="M6724" s="401">
        <f>SUM(C6724,C6700,C6676,C6652,C6628,C6604,C6580)/POBLA!$B$3*100000</f>
        <v>34.662211930540778</v>
      </c>
    </row>
    <row r="6725" spans="1:13" s="360" customFormat="1" x14ac:dyDescent="0.25">
      <c r="A6725" s="367" t="s">
        <v>15</v>
      </c>
      <c r="B6725" s="2">
        <v>44173</v>
      </c>
      <c r="C6725" s="1">
        <v>59</v>
      </c>
      <c r="D6725" s="39">
        <f t="shared" si="934"/>
        <v>20885</v>
      </c>
      <c r="E6725" s="1">
        <v>10</v>
      </c>
      <c r="F6725" s="409">
        <f t="shared" si="935"/>
        <v>603</v>
      </c>
      <c r="G6725" s="168">
        <f>SUM(C6725,C6701,C6677,C6653,C6629,C6605,C6581,C6557,C6533,C6509,C6485,C6461,C6437,C6413)/POBLA!$B$4*100000</f>
        <v>232.70274735355625</v>
      </c>
      <c r="H6725" s="256">
        <f t="shared" si="938"/>
        <v>1.01009009009009</v>
      </c>
      <c r="I6725" s="297">
        <f t="shared" si="940"/>
        <v>235.05073903856507</v>
      </c>
      <c r="J6725" s="297">
        <f t="shared" si="941"/>
        <v>184.28571428571428</v>
      </c>
      <c r="K6725" s="297">
        <f>J6725/POBLA!$B$4*100000</f>
        <v>15.299247953013992</v>
      </c>
      <c r="L6725" s="549">
        <f t="shared" si="939"/>
        <v>0.14738929279576996</v>
      </c>
      <c r="M6725" s="401">
        <f>SUM(C6725,C6701,C6677,C6653,C6629,C6605,C6581)/POBLA!$B$4*100000</f>
        <v>107.09473567109796</v>
      </c>
    </row>
    <row r="6726" spans="1:13" s="360" customFormat="1" x14ac:dyDescent="0.25">
      <c r="A6726" s="367" t="s">
        <v>29</v>
      </c>
      <c r="B6726" s="2">
        <v>44173</v>
      </c>
      <c r="C6726" s="1">
        <v>121</v>
      </c>
      <c r="D6726" s="39">
        <f t="shared" si="934"/>
        <v>24770</v>
      </c>
      <c r="E6726" s="1">
        <v>4</v>
      </c>
      <c r="F6726" s="409">
        <f t="shared" si="935"/>
        <v>411</v>
      </c>
      <c r="G6726" s="168">
        <f>SUM(C6726,C6702,C6678,C6654,C6630,C6606,C6582,C6558,C6534,C6510,C6486,C6462,C6438,C6414)/POBLA!$B$5*100000</f>
        <v>528.59963101419407</v>
      </c>
      <c r="H6726" s="256">
        <f t="shared" si="938"/>
        <v>0.86014721345951628</v>
      </c>
      <c r="I6726" s="297">
        <f t="shared" si="940"/>
        <v>454.67349965258751</v>
      </c>
      <c r="J6726" s="297">
        <f t="shared" si="941"/>
        <v>211.57142857142858</v>
      </c>
      <c r="K6726" s="297">
        <f>J6726/POBLA!$B$5*100000</f>
        <v>34.179883580685527</v>
      </c>
      <c r="L6726" s="549">
        <f t="shared" si="939"/>
        <v>0.17308766052484648</v>
      </c>
      <c r="M6726" s="401">
        <f>SUM(C6726,C6702,C6678,C6654,C6630,C6606,C6582)/POBLA!$B$5*100000</f>
        <v>239.25918506479869</v>
      </c>
    </row>
    <row r="6727" spans="1:13" s="360" customFormat="1" x14ac:dyDescent="0.25">
      <c r="A6727" s="367" t="s">
        <v>20</v>
      </c>
      <c r="B6727" s="2">
        <v>44173</v>
      </c>
      <c r="C6727" s="1">
        <v>241</v>
      </c>
      <c r="D6727" s="39">
        <f t="shared" si="934"/>
        <v>117848</v>
      </c>
      <c r="E6727" s="1">
        <v>19</v>
      </c>
      <c r="F6727" s="409">
        <f t="shared" si="935"/>
        <v>2117</v>
      </c>
      <c r="G6727" s="168">
        <f>SUM(C6727,C6703,C6679,C6655,C6631,C6607,C6583,C6559,C6535,C6511,C6487,C6463,C6439,C6415)/POBLA!$B$6*100000</f>
        <v>694.68174992706111</v>
      </c>
      <c r="H6727" s="256">
        <f t="shared" si="938"/>
        <v>0.55634155055376922</v>
      </c>
      <c r="I6727" s="297">
        <f t="shared" si="940"/>
        <v>386.48032189582693</v>
      </c>
      <c r="J6727" s="297">
        <f t="shared" si="941"/>
        <v>418</v>
      </c>
      <c r="K6727" s="297">
        <f>J6727/POBLA!$B$6*100000</f>
        <v>37.294756160995576</v>
      </c>
      <c r="L6727" s="549">
        <f t="shared" si="939"/>
        <v>0.3979423868312757</v>
      </c>
      <c r="M6727" s="401">
        <f>SUM(C6727,C6703,C6679,C6655,C6631,C6607,C6583)/POBLA!$B$6*100000</f>
        <v>261.06329312696903</v>
      </c>
    </row>
    <row r="6728" spans="1:13" s="360" customFormat="1" x14ac:dyDescent="0.25">
      <c r="A6728" s="367" t="s">
        <v>30</v>
      </c>
      <c r="B6728" s="2">
        <v>44173</v>
      </c>
      <c r="C6728" s="1">
        <v>127</v>
      </c>
      <c r="D6728" s="39">
        <f t="shared" si="934"/>
        <v>8989</v>
      </c>
      <c r="E6728" s="1">
        <v>9</v>
      </c>
      <c r="F6728" s="409">
        <f t="shared" si="935"/>
        <v>120</v>
      </c>
      <c r="G6728" s="168">
        <f>SUM(C6728,C6704,C6680,C6656,C6632,C6608,C6584,C6560,C6536,C6512,C6488,C6464,C6440,C6416)/POBLA!$B$7*100000</f>
        <v>105.838397000359</v>
      </c>
      <c r="H6728" s="256">
        <f t="shared" si="938"/>
        <v>2.094736842105263</v>
      </c>
      <c r="I6728" s="297">
        <f t="shared" si="940"/>
        <v>221.70358950601513</v>
      </c>
      <c r="J6728" s="297">
        <f t="shared" si="941"/>
        <v>242.57142857142858</v>
      </c>
      <c r="K6728" s="297">
        <f>J6728/POBLA!$B$7*100000</f>
        <v>6.4505957683635895</v>
      </c>
      <c r="L6728" s="549">
        <f t="shared" si="939"/>
        <v>0.25591586327782645</v>
      </c>
      <c r="M6728" s="401">
        <f>SUM(C6728,C6704,C6680,C6656,C6632,C6608,C6584)/POBLA!$B$7*100000</f>
        <v>45.154170378545125</v>
      </c>
    </row>
    <row r="6729" spans="1:13" x14ac:dyDescent="0.25">
      <c r="A6729" s="367" t="s">
        <v>31</v>
      </c>
      <c r="B6729" s="2">
        <v>44173</v>
      </c>
      <c r="C6729" s="1">
        <v>137</v>
      </c>
      <c r="D6729" s="39">
        <f t="shared" si="934"/>
        <v>24712</v>
      </c>
      <c r="E6729" s="1">
        <v>6</v>
      </c>
      <c r="F6729" s="409">
        <f t="shared" si="935"/>
        <v>498</v>
      </c>
      <c r="G6729" s="168">
        <f>SUM(C6729,C6705,C6681,C6657,C6633,C6609,C6585,C6561,C6537,C6513,C6489,C6465,C6441,C6417)/POBLA!$B$8*100000</f>
        <v>190.19294193703865</v>
      </c>
      <c r="H6729" s="256">
        <f t="shared" si="938"/>
        <v>0.75790684301322597</v>
      </c>
      <c r="I6729" s="297">
        <f t="shared" si="940"/>
        <v>144.14853218689876</v>
      </c>
      <c r="J6729" s="297">
        <f t="shared" si="941"/>
        <v>172.57142857142858</v>
      </c>
      <c r="K6729" s="297">
        <f>J6729/POBLA!$B$8*100000</f>
        <v>12.451391386296482</v>
      </c>
      <c r="L6729" s="549">
        <f t="shared" si="939"/>
        <v>0.15406162464985995</v>
      </c>
      <c r="M6729" s="401">
        <f>SUM(C6729,C6705,C6681,C6657,C6633,C6609,C6585)/POBLA!$B$8*100000</f>
        <v>87.159739704075363</v>
      </c>
    </row>
    <row r="6730" spans="1:13" s="360" customFormat="1" x14ac:dyDescent="0.25">
      <c r="A6730" s="367" t="s">
        <v>41</v>
      </c>
      <c r="B6730" s="2">
        <v>44173</v>
      </c>
      <c r="C6730" s="1">
        <v>4</v>
      </c>
      <c r="D6730" s="39">
        <f t="shared" si="934"/>
        <v>193</v>
      </c>
      <c r="E6730" s="1"/>
      <c r="F6730" s="409">
        <f t="shared" si="935"/>
        <v>3</v>
      </c>
      <c r="G6730" s="168">
        <f>SUM(C6730,C6706,C6682,C6658,C6634,C6610,C6586,C6562,C6538,C6514,C6490,C6466,C6442,C6418)/POBLA!$B$9*100000</f>
        <v>0.33047308875020037</v>
      </c>
      <c r="H6730" s="256">
        <f t="shared" si="938"/>
        <v>7.1428571428571425E-2</v>
      </c>
      <c r="I6730" s="297">
        <f t="shared" si="940"/>
        <v>2.3605220625014311E-2</v>
      </c>
      <c r="J6730" s="297">
        <f t="shared" si="941"/>
        <v>1.4285714285714286</v>
      </c>
      <c r="K6730" s="297">
        <f>J6730/POBLA!$B$9*100000</f>
        <v>0.23605220625014312</v>
      </c>
      <c r="L6730" s="549">
        <f t="shared" si="939"/>
        <v>2.25</v>
      </c>
      <c r="M6730" s="401">
        <f>SUM(C6730,C6706,C6682,C6658,C6634,C6610,C6586)/POBLA!$B$9*100000</f>
        <v>1.6523654437510016</v>
      </c>
    </row>
    <row r="6731" spans="1:13" s="360" customFormat="1" x14ac:dyDescent="0.25">
      <c r="A6731" s="367" t="s">
        <v>32</v>
      </c>
      <c r="B6731" s="2">
        <v>44173</v>
      </c>
      <c r="C6731" s="1">
        <v>9</v>
      </c>
      <c r="D6731" s="39">
        <f t="shared" si="934"/>
        <v>18425</v>
      </c>
      <c r="E6731" s="1"/>
      <c r="F6731" s="409">
        <f t="shared" si="935"/>
        <v>852</v>
      </c>
      <c r="G6731" s="168">
        <f>SUM(C6731,C6707,C6683,C6659,C6635,C6611,C6587,C6563,C6539,C6515,C6491,C6467,C6443,C6419)/POBLA!$B$10*100000</f>
        <v>14.009944466136798</v>
      </c>
      <c r="H6731" s="256">
        <f t="shared" si="938"/>
        <v>0.42857142857142855</v>
      </c>
      <c r="I6731" s="297">
        <f t="shared" si="940"/>
        <v>6.0042619140586275</v>
      </c>
      <c r="J6731" s="297">
        <f t="shared" si="941"/>
        <v>4</v>
      </c>
      <c r="K6731" s="297">
        <f>J6731/POBLA!$B$10*100000</f>
        <v>0.51888683207914066</v>
      </c>
      <c r="L6731" s="549">
        <f t="shared" si="939"/>
        <v>0.65</v>
      </c>
      <c r="M6731" s="401">
        <f>SUM(C6731,C6707,C6683,C6659,C6635,C6611,C6587)/POBLA!$B$10*100000</f>
        <v>3.6322078245539844</v>
      </c>
    </row>
    <row r="6732" spans="1:13" s="360" customFormat="1" x14ac:dyDescent="0.25">
      <c r="A6732" s="367" t="s">
        <v>33</v>
      </c>
      <c r="B6732" s="2">
        <v>44173</v>
      </c>
      <c r="C6732" s="1">
        <v>62</v>
      </c>
      <c r="D6732" s="39">
        <f t="shared" si="934"/>
        <v>6400</v>
      </c>
      <c r="E6732" s="1"/>
      <c r="F6732" s="409">
        <f t="shared" si="935"/>
        <v>95</v>
      </c>
      <c r="G6732" s="168">
        <f>SUM(C6732,C6708,C6684,C6660,C6636,C6612,C6588,C6564,C6540,C6516,C6492,C6468,C6444,C6420)/POBLA!$B$11*100000</f>
        <v>307.45365875433839</v>
      </c>
      <c r="H6732" s="256">
        <f t="shared" si="938"/>
        <v>1.0910891089108912</v>
      </c>
      <c r="I6732" s="297">
        <f t="shared" si="940"/>
        <v>335.45933856166431</v>
      </c>
      <c r="J6732" s="297">
        <f t="shared" si="941"/>
        <v>75.285714285714292</v>
      </c>
      <c r="K6732" s="297">
        <f>J6732/POBLA!$B$11*100000</f>
        <v>21.004417703336316</v>
      </c>
      <c r="L6732" s="549">
        <f t="shared" si="939"/>
        <v>8.3478260869565224E-2</v>
      </c>
      <c r="M6732" s="401">
        <f>SUM(C6732,C6708,C6684,C6660,C6636,C6612,C6588)/POBLA!$B$11*100000</f>
        <v>147.03092392335421</v>
      </c>
    </row>
    <row r="6733" spans="1:13" s="360" customFormat="1" x14ac:dyDescent="0.25">
      <c r="A6733" s="367" t="s">
        <v>21</v>
      </c>
      <c r="B6733" s="2">
        <v>44173</v>
      </c>
      <c r="C6733" s="1">
        <v>7</v>
      </c>
      <c r="D6733" s="39">
        <f t="shared" si="934"/>
        <v>8865</v>
      </c>
      <c r="E6733" s="1">
        <v>1</v>
      </c>
      <c r="F6733" s="409">
        <f t="shared" si="935"/>
        <v>322</v>
      </c>
      <c r="G6733" s="168">
        <f>SUM(C6733,C6709,C6685,C6661,C6637,C6613,C6589,C6565,C6541,C6517,C6493,C6469,C6445,C6421)/POBLA!$B$12*100000</f>
        <v>74.962328253682685</v>
      </c>
      <c r="H6733" s="256">
        <f t="shared" si="938"/>
        <v>0.45245398773006135</v>
      </c>
      <c r="I6733" s="297">
        <f t="shared" si="940"/>
        <v>33.917004347908573</v>
      </c>
      <c r="J6733" s="297">
        <f t="shared" si="941"/>
        <v>18.571428571428573</v>
      </c>
      <c r="K6733" s="297">
        <f>J6733/POBLA!$B$12*100000</f>
        <v>4.7191780498686438</v>
      </c>
      <c r="L6733" s="549">
        <f t="shared" si="939"/>
        <v>0.21212121212121215</v>
      </c>
      <c r="M6733" s="401">
        <f>SUM(C6733,C6709,C6685,C6661,C6637,C6613,C6589)/POBLA!$B$12*100000</f>
        <v>33.034246349080505</v>
      </c>
    </row>
    <row r="6734" spans="1:13" s="360" customFormat="1" x14ac:dyDescent="0.25">
      <c r="A6734" s="367" t="s">
        <v>17</v>
      </c>
      <c r="B6734" s="2">
        <v>44173</v>
      </c>
      <c r="C6734" s="1">
        <v>32</v>
      </c>
      <c r="D6734" s="39">
        <f t="shared" si="934"/>
        <v>57632</v>
      </c>
      <c r="E6734" s="1">
        <v>2</v>
      </c>
      <c r="F6734" s="409">
        <f t="shared" si="935"/>
        <v>1146</v>
      </c>
      <c r="G6734" s="168">
        <f>SUM(C6734,C6710,C6686,C6662,C6638,C6614,C6590,C6566,C6542,C6518,C6494,C6470,C6446,C6422)/POBLA!$B$13*100000</f>
        <v>107.11748456794777</v>
      </c>
      <c r="H6734" s="256">
        <f t="shared" si="938"/>
        <v>0.52254901960784317</v>
      </c>
      <c r="I6734" s="297">
        <f t="shared" si="940"/>
        <v>55.974136543839379</v>
      </c>
      <c r="J6734" s="297">
        <f t="shared" si="941"/>
        <v>117.57142857142857</v>
      </c>
      <c r="K6734" s="297">
        <f>J6734/POBLA!$B$13*100000</f>
        <v>5.9071086705588991</v>
      </c>
      <c r="L6734" s="549">
        <f t="shared" si="939"/>
        <v>0.37127578304048892</v>
      </c>
      <c r="M6734" s="401">
        <f>SUM(C6734,C6710,C6686,C6662,C6638,C6614,C6590)/POBLA!$B$13*100000</f>
        <v>41.349760693912287</v>
      </c>
    </row>
    <row r="6735" spans="1:13" s="360" customFormat="1" x14ac:dyDescent="0.25">
      <c r="A6735" s="367" t="s">
        <v>23</v>
      </c>
      <c r="B6735" s="2">
        <v>44173</v>
      </c>
      <c r="C6735" s="1">
        <v>11</v>
      </c>
      <c r="D6735" s="39">
        <f t="shared" si="934"/>
        <v>590</v>
      </c>
      <c r="E6735" s="1"/>
      <c r="F6735" s="409">
        <f t="shared" si="935"/>
        <v>9</v>
      </c>
      <c r="G6735" s="168">
        <f>SUM(C6735,C6711,C6687,C6663,C6639,C6615,C6591,C6567,C6543,C6519,C6495,C6471,C6447,C6423)/POBLA!$B$14*100000</f>
        <v>10.465442632724805</v>
      </c>
      <c r="H6735" s="256">
        <f t="shared" si="938"/>
        <v>1.3608247422680413</v>
      </c>
      <c r="I6735" s="297">
        <f t="shared" si="940"/>
        <v>14.241633273398705</v>
      </c>
      <c r="J6735" s="297">
        <f t="shared" si="941"/>
        <v>10.142857142857142</v>
      </c>
      <c r="K6735" s="297">
        <f>J6735/POBLA!$B$14*100000</f>
        <v>0.80416279970071536</v>
      </c>
      <c r="L6735" s="549">
        <f t="shared" si="939"/>
        <v>-0.16393442622950816</v>
      </c>
      <c r="M6735" s="401">
        <f>SUM(C6735,C6711,C6687,C6663,C6639,C6615,C6591)/POBLA!$B$14*100000</f>
        <v>5.6291395979050085</v>
      </c>
    </row>
    <row r="6736" spans="1:13" s="360" customFormat="1" x14ac:dyDescent="0.25">
      <c r="A6736" s="367" t="s">
        <v>19</v>
      </c>
      <c r="B6736" s="2">
        <v>44173</v>
      </c>
      <c r="C6736" s="1">
        <v>477</v>
      </c>
      <c r="D6736" s="39">
        <f t="shared" si="934"/>
        <v>35589</v>
      </c>
      <c r="E6736" s="1"/>
      <c r="F6736" s="409">
        <f t="shared" si="935"/>
        <v>656</v>
      </c>
      <c r="G6736" s="168">
        <f>SUM(C6736,C6712,C6688,C6664,C6640,C6616,C6592,C6568,C6544,C6520,C6496,C6472,C6448,C6424)/POBLA!$B$15*100000</f>
        <v>765.74751866180168</v>
      </c>
      <c r="H6736" s="256">
        <f t="shared" si="938"/>
        <v>1.0705263157894738</v>
      </c>
      <c r="I6736" s="297">
        <f t="shared" si="940"/>
        <v>819.7528699779499</v>
      </c>
      <c r="J6736" s="297">
        <f t="shared" si="941"/>
        <v>453.85714285714283</v>
      </c>
      <c r="K6736" s="297">
        <f>J6736/POBLA!$B$15*100000</f>
        <v>68.346112285111488</v>
      </c>
      <c r="L6736" s="549">
        <f t="shared" si="939"/>
        <v>-0.66509433962264142</v>
      </c>
      <c r="M6736" s="401">
        <f>SUM(C6736,C6712,C6688,C6664,C6640,C6616,C6592)/POBLA!$B$15*100000</f>
        <v>478.42278599578049</v>
      </c>
    </row>
    <row r="6737" spans="1:13" s="360" customFormat="1" x14ac:dyDescent="0.25">
      <c r="A6737" s="367" t="s">
        <v>18</v>
      </c>
      <c r="B6737" s="2">
        <v>44173</v>
      </c>
      <c r="C6737" s="1">
        <v>137</v>
      </c>
      <c r="D6737" s="39">
        <f t="shared" si="934"/>
        <v>33108</v>
      </c>
      <c r="E6737" s="1">
        <v>2</v>
      </c>
      <c r="F6737" s="409">
        <f t="shared" si="935"/>
        <v>803</v>
      </c>
      <c r="G6737" s="168">
        <f>SUM(C6737,C6713,C6689,C6665,C6641,C6617,C6593,C6569,C6545,C6521,C6497,C6473,C6449,C6425)/POBLA!$B$16*100000</f>
        <v>364.62861652465858</v>
      </c>
      <c r="H6737" s="256">
        <f t="shared" si="938"/>
        <v>0.83670963781461016</v>
      </c>
      <c r="I6737" s="297">
        <f t="shared" si="940"/>
        <v>305.08827766918944</v>
      </c>
      <c r="J6737" s="297">
        <f t="shared" si="941"/>
        <v>165.57142857142858</v>
      </c>
      <c r="K6737" s="297">
        <f>J6737/POBLA!$B$16*100000</f>
        <v>22.14676483345977</v>
      </c>
      <c r="L6737" s="549">
        <f t="shared" si="939"/>
        <v>0.26037013401403952</v>
      </c>
      <c r="M6737" s="401">
        <f>SUM(C6737,C6713,C6689,C6665,C6641,C6617,C6593)/POBLA!$B$16*100000</f>
        <v>155.02735383421839</v>
      </c>
    </row>
    <row r="6738" spans="1:13" s="360" customFormat="1" x14ac:dyDescent="0.25">
      <c r="A6738" s="367" t="s">
        <v>34</v>
      </c>
      <c r="B6738" s="2">
        <v>44173</v>
      </c>
      <c r="C6738" s="1">
        <v>7</v>
      </c>
      <c r="D6738" s="39">
        <f t="shared" si="934"/>
        <v>21438</v>
      </c>
      <c r="E6738" s="1"/>
      <c r="F6738" s="409">
        <f t="shared" si="935"/>
        <v>991</v>
      </c>
      <c r="G6738" s="168">
        <f>SUM(C6738,C6714,C6690,C6666,C6642,C6618,C6594,C6570,C6546,C6522,C6498,C6474,C6450,C6426)/POBLA!$B$17*100000</f>
        <v>40.016933481325779</v>
      </c>
      <c r="H6738" s="256">
        <f t="shared" si="938"/>
        <v>0.48801369863013699</v>
      </c>
      <c r="I6738" s="297">
        <f t="shared" si="940"/>
        <v>19.528811716057959</v>
      </c>
      <c r="J6738" s="297">
        <f t="shared" si="941"/>
        <v>33.714285714285715</v>
      </c>
      <c r="K6738" s="297">
        <f>J6738/POBLA!$B$17*100000</f>
        <v>2.366916366314006</v>
      </c>
      <c r="L6738" s="549">
        <f t="shared" si="939"/>
        <v>0.29341317365269459</v>
      </c>
      <c r="M6738" s="401">
        <f>SUM(C6738,C6714,C6690,C6666,C6642,C6618,C6594)/POBLA!$B$17*100000</f>
        <v>16.56841456419804</v>
      </c>
    </row>
    <row r="6739" spans="1:13" s="360" customFormat="1" x14ac:dyDescent="0.25">
      <c r="A6739" s="367" t="s">
        <v>35</v>
      </c>
      <c r="B6739" s="2">
        <v>44173</v>
      </c>
      <c r="C6739" s="1">
        <v>107</v>
      </c>
      <c r="D6739" s="39">
        <f t="shared" si="934"/>
        <v>8606</v>
      </c>
      <c r="E6739" s="1"/>
      <c r="F6739" s="409">
        <f t="shared" si="935"/>
        <v>173</v>
      </c>
      <c r="G6739" s="168">
        <f>SUM(C6739,C6715,C6691,C6667,C6643,C6619,C6595,C6571,C6547,C6523,C6499,C6475,C6451,C6427)/POBLA!$B$18*100000</f>
        <v>298.89262522448951</v>
      </c>
      <c r="H6739" s="256">
        <f t="shared" si="938"/>
        <v>1.0099480968858132</v>
      </c>
      <c r="I6739" s="297">
        <f t="shared" si="940"/>
        <v>301.86603801867778</v>
      </c>
      <c r="J6739" s="297">
        <f t="shared" si="941"/>
        <v>112.71428571428571</v>
      </c>
      <c r="K6739" s="297">
        <f>J6739/POBLA!$B$18*100000</f>
        <v>14.428038011754188</v>
      </c>
      <c r="L6739" s="549">
        <f t="shared" si="939"/>
        <v>0.48965071151358341</v>
      </c>
      <c r="M6739" s="401">
        <f>SUM(C6739,C6715,C6691,C6667,C6643,C6619,C6595)/POBLA!$B$18*100000</f>
        <v>100.99626608227931</v>
      </c>
    </row>
    <row r="6740" spans="1:13" s="360" customFormat="1" x14ac:dyDescent="0.25">
      <c r="A6740" s="367" t="s">
        <v>36</v>
      </c>
      <c r="B6740" s="2">
        <v>44173</v>
      </c>
      <c r="C6740" s="1">
        <v>87</v>
      </c>
      <c r="D6740" s="39">
        <f t="shared" si="934"/>
        <v>15231</v>
      </c>
      <c r="E6740" s="1"/>
      <c r="F6740" s="409">
        <f t="shared" si="935"/>
        <v>236</v>
      </c>
      <c r="G6740" s="168">
        <f>SUM(C6740,C6716,C6692,C6668,C6644,C6620,C6596,C6572,C6548,C6524,C6500,C6476,C6452,C6428)/POBLA!$B$19*100000</f>
        <v>362.75790434522594</v>
      </c>
      <c r="H6740" s="256">
        <f t="shared" si="938"/>
        <v>0.51710600112170502</v>
      </c>
      <c r="I6740" s="297">
        <f t="shared" si="940"/>
        <v>187.58428929124977</v>
      </c>
      <c r="J6740" s="297">
        <f t="shared" si="941"/>
        <v>74.714285714285708</v>
      </c>
      <c r="K6740" s="297">
        <f>J6740/POBLA!$B$19*100000</f>
        <v>14.69804648067502</v>
      </c>
      <c r="L6740" s="549">
        <f t="shared" si="939"/>
        <v>0.60408781226343677</v>
      </c>
      <c r="M6740" s="401">
        <f>SUM(C6740,C6716,C6692,C6668,C6644,C6620,C6596)/POBLA!$B$19*100000</f>
        <v>102.88632536472512</v>
      </c>
    </row>
    <row r="6741" spans="1:13" s="360" customFormat="1" x14ac:dyDescent="0.25">
      <c r="A6741" s="367" t="s">
        <v>37</v>
      </c>
      <c r="B6741" s="2">
        <v>44173</v>
      </c>
      <c r="C6741" s="1">
        <v>238</v>
      </c>
      <c r="D6741" s="39">
        <f t="shared" si="934"/>
        <v>17654</v>
      </c>
      <c r="E6741" s="1">
        <v>2</v>
      </c>
      <c r="F6741" s="409">
        <f t="shared" si="935"/>
        <v>308</v>
      </c>
      <c r="G6741" s="168">
        <f>SUM(C6741,C6717,C6693,C6669,C6645,C6621,C6597,C6573,C6549,C6525,C6501,C6477,C6453,C6429)/POBLA!$B$20*100000</f>
        <v>857.81163692445671</v>
      </c>
      <c r="H6741" s="256">
        <f t="shared" si="938"/>
        <v>1.032587228439763</v>
      </c>
      <c r="I6741" s="297">
        <f t="shared" si="940"/>
        <v>885.76534069520108</v>
      </c>
      <c r="J6741" s="297">
        <f t="shared" si="941"/>
        <v>201.85714285714286</v>
      </c>
      <c r="K6741" s="297">
        <f>J6741/POBLA!$B$20*100000</f>
        <v>55.197770525718724</v>
      </c>
      <c r="L6741" s="549">
        <f t="shared" si="939"/>
        <v>0.18039443155452439</v>
      </c>
      <c r="M6741" s="401">
        <f>SUM(C6741,C6717,C6693,C6669,C6645,C6621,C6597)/POBLA!$B$20*100000</f>
        <v>386.38439368003105</v>
      </c>
    </row>
    <row r="6742" spans="1:13" s="360" customFormat="1" x14ac:dyDescent="0.25">
      <c r="A6742" s="367" t="s">
        <v>22</v>
      </c>
      <c r="B6742" s="2">
        <v>44173</v>
      </c>
      <c r="C6742" s="1">
        <v>559</v>
      </c>
      <c r="D6742" s="39">
        <f t="shared" si="934"/>
        <v>155354</v>
      </c>
      <c r="E6742" s="1">
        <v>21</v>
      </c>
      <c r="F6742" s="409">
        <f t="shared" si="935"/>
        <v>2445</v>
      </c>
      <c r="G6742" s="168">
        <f>SUM(C6742,C6718,C6694,C6670,C6646,C6622,C6598,C6574,C6550,C6526,C6502,C6478,C6454,C6430)/POBLA!$B$21*100000</f>
        <v>431.19902681187574</v>
      </c>
      <c r="H6742" s="256">
        <f t="shared" si="938"/>
        <v>0.81021199723712878</v>
      </c>
      <c r="I6742" s="297">
        <f t="shared" si="940"/>
        <v>349.3626247199561</v>
      </c>
      <c r="J6742" s="297">
        <f t="shared" si="941"/>
        <v>911.28571428571433</v>
      </c>
      <c r="K6742" s="297">
        <f>J6742/POBLA!$B$21*100000</f>
        <v>25.768608639751136</v>
      </c>
      <c r="L6742" s="549">
        <f t="shared" si="939"/>
        <v>0.28083427282976325</v>
      </c>
      <c r="M6742" s="401">
        <f>SUM(C6742,C6718,C6694,C6670,C6646,C6622,C6598)/POBLA!$B$21*100000</f>
        <v>180.38026047825795</v>
      </c>
    </row>
    <row r="6743" spans="1:13" s="360" customFormat="1" x14ac:dyDescent="0.25">
      <c r="A6743" s="367" t="s">
        <v>38</v>
      </c>
      <c r="B6743" s="2">
        <v>44173</v>
      </c>
      <c r="C6743" s="1">
        <v>23</v>
      </c>
      <c r="D6743" s="39">
        <f t="shared" si="934"/>
        <v>16239</v>
      </c>
      <c r="E6743" s="1">
        <v>1</v>
      </c>
      <c r="F6743" s="409">
        <f t="shared" si="935"/>
        <v>201</v>
      </c>
      <c r="G6743" s="168">
        <f>SUM(C6743,C6719,C6695,C6671,C6647,C6623,C6599,C6575,C6551,C6527,C6503,C6479,C6455,C6431)/POBLA!$B$22*100000</f>
        <v>155.88058218586485</v>
      </c>
      <c r="H6743" s="256">
        <f t="shared" si="938"/>
        <v>0.49934512115258678</v>
      </c>
      <c r="I6743" s="297">
        <f t="shared" si="940"/>
        <v>77.838208196936449</v>
      </c>
      <c r="J6743" s="297">
        <f t="shared" si="941"/>
        <v>75</v>
      </c>
      <c r="K6743" s="297">
        <f>J6743/POBLA!$B$22*100000</f>
        <v>7.6662581402884351</v>
      </c>
      <c r="L6743" s="549">
        <f t="shared" si="939"/>
        <v>0.47499999999999998</v>
      </c>
      <c r="M6743" s="401">
        <f>SUM(C6743,C6719,C6695,C6671,C6647,C6623,C6599)/POBLA!$B$22*100000</f>
        <v>53.663806982019054</v>
      </c>
    </row>
    <row r="6744" spans="1:13" s="360" customFormat="1" x14ac:dyDescent="0.25">
      <c r="A6744" s="367" t="s">
        <v>39</v>
      </c>
      <c r="B6744" s="2">
        <v>44173</v>
      </c>
      <c r="C6744" s="1">
        <v>65</v>
      </c>
      <c r="D6744" s="39">
        <f t="shared" si="934"/>
        <v>16919</v>
      </c>
      <c r="E6744" s="1">
        <v>1</v>
      </c>
      <c r="F6744" s="409">
        <f t="shared" si="935"/>
        <v>239</v>
      </c>
      <c r="G6744" s="168">
        <f>SUM(C6744,C6720,C6696,C6672,C6648,C6624,C6600,C6576,C6552,C6528,C6504,C6480,C6456,C6432)/POBLA!$B$23*100000</f>
        <v>788.89328733812147</v>
      </c>
      <c r="H6744" s="256">
        <f t="shared" si="938"/>
        <v>0.70454545454545459</v>
      </c>
      <c r="I6744" s="297">
        <f t="shared" si="940"/>
        <v>555.81117971549475</v>
      </c>
      <c r="J6744" s="297">
        <f t="shared" si="941"/>
        <v>94.142857142857139</v>
      </c>
      <c r="K6744" s="297">
        <f>J6744/POBLA!$B$23*100000</f>
        <v>53.239188566904453</v>
      </c>
      <c r="L6744" s="549">
        <f t="shared" si="939"/>
        <v>0.10461956521739135</v>
      </c>
      <c r="M6744" s="401">
        <f>SUM(C6744,C6720,C6696,C6672,C6648,C6624,C6600)/POBLA!$B$23*100000</f>
        <v>372.67431996833119</v>
      </c>
    </row>
    <row r="6745" spans="1:13" s="360" customFormat="1" ht="15.75" thickBot="1" x14ac:dyDescent="0.3">
      <c r="A6745" s="369" t="s">
        <v>40</v>
      </c>
      <c r="B6745" s="266">
        <v>44173</v>
      </c>
      <c r="C6745" s="44">
        <v>93</v>
      </c>
      <c r="D6745" s="176">
        <f>C6745+D6721</f>
        <v>67443</v>
      </c>
      <c r="E6745" s="44"/>
      <c r="F6745" s="476">
        <f t="shared" si="935"/>
        <v>1247</v>
      </c>
      <c r="G6745" s="177">
        <f>SUM(C6745,C6721,C6697,C6673,C6649,C6625,C6601,C6577,C6553,C6529,C6505,C6481,C6457,C6433)/POBLA!$B$24*100000</f>
        <v>206.88564522829412</v>
      </c>
      <c r="H6745" s="402">
        <f t="shared" si="938"/>
        <v>0.4449238578680203</v>
      </c>
      <c r="I6745" s="403">
        <f t="shared" si="940"/>
        <v>92.048359412487201</v>
      </c>
      <c r="J6745" s="403">
        <f t="shared" si="941"/>
        <v>172.57142857142858</v>
      </c>
      <c r="K6745" s="403">
        <f>J6745/POBLA!$B$24*100000</f>
        <v>10.183271918987014</v>
      </c>
      <c r="L6745" s="550">
        <f t="shared" si="939"/>
        <v>0.47432550043516097</v>
      </c>
      <c r="M6745" s="405">
        <f>SUM(C6745,C6721,C6697,C6673,C6649,C6625,C6601)/POBLA!$B$24*100000</f>
        <v>71.282903432909094</v>
      </c>
    </row>
    <row r="6746" spans="1:13" s="360" customFormat="1" x14ac:dyDescent="0.25">
      <c r="A6746" s="374" t="s">
        <v>16</v>
      </c>
      <c r="B6746" s="267">
        <v>44174</v>
      </c>
      <c r="C6746" s="225">
        <v>1460</v>
      </c>
      <c r="D6746" s="262">
        <f t="shared" si="934"/>
        <v>631466</v>
      </c>
      <c r="E6746" s="225">
        <v>67</v>
      </c>
      <c r="F6746" s="481">
        <f t="shared" si="935"/>
        <v>21234</v>
      </c>
      <c r="G6746" s="175">
        <f>SUM(C6746,C6722,C6698,C6674,C6650,C6626,C6602,C6578,C6554,C6530,C6506,C6482,C6458,C6434)/POBLA!$B$1*100000</f>
        <v>121.46872315774669</v>
      </c>
      <c r="H6746" s="300">
        <f t="shared" ref="H6746:H6809" si="942">SUM(C6746,C6722,C6698,C6674,C6650,C6626,C6602,C6578,C6554,C6530,C6506,C6482,C6458,C6434)/SUM(C6410,C6386,C6362,C6338,C6314,C6290,C6266,C6242,C6218,C6194,C6170,C6146,C6122,C6098)</f>
        <v>0.69171833912281266</v>
      </c>
      <c r="I6746" s="301">
        <f>G6746*H6746</f>
        <v>84.022143438045276</v>
      </c>
      <c r="J6746" s="301">
        <f>AVERAGE(C6746,C6722,C6698,C6674,C6650,C6626,C6602)</f>
        <v>1241.1428571428571</v>
      </c>
      <c r="K6746" s="301">
        <f>J6746/POBLA!$B$1*100000</f>
        <v>7.0756107435819438</v>
      </c>
      <c r="L6746" s="548">
        <f t="shared" ref="L6746:L6809" si="943">1-SUM(C6746,C6722,C6698,C6674,C6650,C6626,C6602)/SUM(C6578,C6554,C6530,C6506,C6482,C6458,C6434)</f>
        <v>0.31151438307314372</v>
      </c>
      <c r="M6746" s="400">
        <f>SUM(C6746,C6722,C6698,C6674,C6650,C6626,C6602)/POBLA!$B$1*100000</f>
        <v>49.52927520507361</v>
      </c>
    </row>
    <row r="6747" spans="1:13" s="360" customFormat="1" x14ac:dyDescent="0.25">
      <c r="A6747" s="367" t="s">
        <v>43</v>
      </c>
      <c r="B6747" s="2">
        <v>44174</v>
      </c>
      <c r="C6747" s="1">
        <v>334</v>
      </c>
      <c r="D6747" s="39">
        <f t="shared" si="934"/>
        <v>161330</v>
      </c>
      <c r="E6747" s="1">
        <v>16</v>
      </c>
      <c r="F6747" s="409">
        <f t="shared" si="935"/>
        <v>5322</v>
      </c>
      <c r="G6747" s="168">
        <f>SUM(C6747,C6723,C6699,C6675,C6651,C6627,C6603,C6579,C6555,C6531,C6507,C6483,C6459,C6435)/POBLA!$B$2*100000</f>
        <v>133.40286886072064</v>
      </c>
      <c r="H6747" s="256">
        <f t="shared" si="942"/>
        <v>0.7980937560785839</v>
      </c>
      <c r="I6747" s="297">
        <f t="shared" ref="I6747:I6769" si="944">G6747*H6747</f>
        <v>106.46799668071129</v>
      </c>
      <c r="J6747" s="297">
        <f t="shared" ref="J6747:J6769" si="945">AVERAGE(C6747,C6723,C6699,C6675,C6651,C6627,C6603)</f>
        <v>260.14285714285717</v>
      </c>
      <c r="K6747" s="297">
        <f>J6747/POBLA!$B$2*100000</f>
        <v>8.4581534137172216</v>
      </c>
      <c r="L6747" s="549">
        <f t="shared" si="943"/>
        <v>0.20201577563540751</v>
      </c>
      <c r="M6747" s="401">
        <f>SUM(C6747,C6723,C6699,C6675,C6651,C6627,C6603)/POBLA!$B$2*100000</f>
        <v>59.207073896020539</v>
      </c>
    </row>
    <row r="6748" spans="1:13" s="360" customFormat="1" x14ac:dyDescent="0.25">
      <c r="A6748" s="367" t="s">
        <v>28</v>
      </c>
      <c r="B6748" s="2">
        <v>44174</v>
      </c>
      <c r="C6748" s="1">
        <v>3</v>
      </c>
      <c r="D6748" s="39">
        <f t="shared" si="934"/>
        <v>2030</v>
      </c>
      <c r="E6748" s="1"/>
      <c r="F6748" s="409">
        <f t="shared" si="935"/>
        <v>17</v>
      </c>
      <c r="G6748" s="168">
        <f>SUM(C6748,C6724,C6700,C6676,C6652,C6628,C6604,C6580,C6556,C6532,C6508,C6484,C6460,C6436)/POBLA!$B$3*100000</f>
        <v>70.527972886447557</v>
      </c>
      <c r="H6748" s="256">
        <f t="shared" si="942"/>
        <v>0.67356321839080457</v>
      </c>
      <c r="I6748" s="297">
        <f t="shared" si="944"/>
        <v>47.505048403975017</v>
      </c>
      <c r="J6748" s="297">
        <f t="shared" si="945"/>
        <v>19.857142857142858</v>
      </c>
      <c r="K6748" s="297">
        <f>J6748/POBLA!$B$3*100000</f>
        <v>4.7798089864535402</v>
      </c>
      <c r="L6748" s="549">
        <f t="shared" si="943"/>
        <v>9.740259740259738E-2</v>
      </c>
      <c r="M6748" s="401">
        <f>SUM(C6748,C6724,C6700,C6676,C6652,C6628,C6604)/POBLA!$B$3*100000</f>
        <v>33.458662905174783</v>
      </c>
    </row>
    <row r="6749" spans="1:13" s="360" customFormat="1" x14ac:dyDescent="0.25">
      <c r="A6749" s="367" t="s">
        <v>15</v>
      </c>
      <c r="B6749" s="2">
        <v>44174</v>
      </c>
      <c r="C6749" s="1">
        <v>151</v>
      </c>
      <c r="D6749" s="39">
        <f t="shared" si="934"/>
        <v>21036</v>
      </c>
      <c r="E6749" s="1">
        <v>4</v>
      </c>
      <c r="F6749" s="409">
        <f t="shared" si="935"/>
        <v>607</v>
      </c>
      <c r="G6749" s="168">
        <f>SUM(C6749,C6725,C6701,C6677,C6653,C6629,C6605,C6581,C6557,C6533,C6509,C6485,C6461,C6437)/POBLA!$B$4*100000</f>
        <v>231.45745972947373</v>
      </c>
      <c r="H6749" s="256">
        <f t="shared" si="942"/>
        <v>1.0190058479532165</v>
      </c>
      <c r="I6749" s="297">
        <f t="shared" si="944"/>
        <v>235.85650501672984</v>
      </c>
      <c r="J6749" s="297">
        <f t="shared" si="945"/>
        <v>177.57142857142858</v>
      </c>
      <c r="K6749" s="297">
        <f>J6749/POBLA!$B$4*100000</f>
        <v>14.741833492710384</v>
      </c>
      <c r="L6749" s="549">
        <f t="shared" si="943"/>
        <v>0.19546925566343043</v>
      </c>
      <c r="M6749" s="401">
        <f>SUM(C6749,C6725,C6701,C6677,C6653,C6629,C6605)/POBLA!$B$4*100000</f>
        <v>103.19283444897268</v>
      </c>
    </row>
    <row r="6750" spans="1:13" s="360" customFormat="1" x14ac:dyDescent="0.25">
      <c r="A6750" s="367" t="s">
        <v>29</v>
      </c>
      <c r="B6750" s="2">
        <v>44174</v>
      </c>
      <c r="C6750" s="1">
        <v>266</v>
      </c>
      <c r="D6750" s="39">
        <f t="shared" si="934"/>
        <v>25036</v>
      </c>
      <c r="E6750" s="1"/>
      <c r="F6750" s="409">
        <f t="shared" si="935"/>
        <v>411</v>
      </c>
      <c r="G6750" s="168">
        <f>SUM(C6750,C6726,C6702,C6678,C6654,C6630,C6606,C6582,C6558,C6534,C6510,C6486,C6462,C6438)/POBLA!$B$5*100000</f>
        <v>529.73049819545906</v>
      </c>
      <c r="H6750" s="256">
        <f t="shared" si="942"/>
        <v>0.88406578592612561</v>
      </c>
      <c r="I6750" s="297">
        <f t="shared" si="944"/>
        <v>468.31660921620659</v>
      </c>
      <c r="J6750" s="297">
        <f t="shared" si="945"/>
        <v>213</v>
      </c>
      <c r="K6750" s="297">
        <f>J6750/POBLA!$B$5*100000</f>
        <v>34.410672801351872</v>
      </c>
      <c r="L6750" s="549">
        <f t="shared" si="943"/>
        <v>0.16610738255033553</v>
      </c>
      <c r="M6750" s="401">
        <f>SUM(C6750,C6726,C6702,C6678,C6654,C6630,C6606)/POBLA!$B$5*100000</f>
        <v>240.87470960946311</v>
      </c>
    </row>
    <row r="6751" spans="1:13" s="360" customFormat="1" x14ac:dyDescent="0.25">
      <c r="A6751" s="367" t="s">
        <v>20</v>
      </c>
      <c r="B6751" s="2">
        <v>44174</v>
      </c>
      <c r="C6751" s="1">
        <v>251</v>
      </c>
      <c r="D6751" s="39">
        <f t="shared" si="934"/>
        <v>118099</v>
      </c>
      <c r="E6751" s="1">
        <v>24</v>
      </c>
      <c r="F6751" s="409">
        <f t="shared" si="935"/>
        <v>2141</v>
      </c>
      <c r="G6751" s="168">
        <f>SUM(C6751,C6727,C6703,C6679,C6655,C6631,C6607,C6583,C6559,C6535,C6511,C6487,C6463,C6439)/POBLA!$B$6*100000</f>
        <v>638.47194997149359</v>
      </c>
      <c r="H6751" s="256">
        <f t="shared" si="942"/>
        <v>0.52948575656677765</v>
      </c>
      <c r="I6751" s="297">
        <f t="shared" si="944"/>
        <v>338.06180347732209</v>
      </c>
      <c r="J6751" s="297">
        <f t="shared" si="945"/>
        <v>341</v>
      </c>
      <c r="K6751" s="297">
        <f>J6751/POBLA!$B$6*100000</f>
        <v>30.424669499759549</v>
      </c>
      <c r="L6751" s="549">
        <f t="shared" si="943"/>
        <v>0.49947578108618162</v>
      </c>
      <c r="M6751" s="401">
        <f>SUM(C6751,C6727,C6703,C6679,C6655,C6631,C6607)/POBLA!$B$6*100000</f>
        <v>212.97268649831682</v>
      </c>
    </row>
    <row r="6752" spans="1:13" s="360" customFormat="1" x14ac:dyDescent="0.25">
      <c r="A6752" s="367" t="s">
        <v>30</v>
      </c>
      <c r="B6752" s="2">
        <v>44174</v>
      </c>
      <c r="C6752" s="1">
        <v>61</v>
      </c>
      <c r="D6752" s="39">
        <f t="shared" si="934"/>
        <v>9050</v>
      </c>
      <c r="E6752" s="1">
        <v>10</v>
      </c>
      <c r="F6752" s="409">
        <f t="shared" si="935"/>
        <v>130</v>
      </c>
      <c r="G6752" s="168">
        <f>SUM(C6752,C6728,C6704,C6680,C6656,C6632,C6608,C6584,C6560,C6536,C6512,C6488,C6464,C6440)/POBLA!$B$7*100000</f>
        <v>104.13647302849392</v>
      </c>
      <c r="H6752" s="256">
        <f t="shared" si="942"/>
        <v>2.071957671957672</v>
      </c>
      <c r="I6752" s="297">
        <f t="shared" si="944"/>
        <v>215.76636422200116</v>
      </c>
      <c r="J6752" s="297">
        <f t="shared" si="945"/>
        <v>221.14285714285714</v>
      </c>
      <c r="K6752" s="297">
        <f>J6752/POBLA!$B$7*100000</f>
        <v>5.8807551527837667</v>
      </c>
      <c r="L6752" s="549">
        <f t="shared" si="943"/>
        <v>0.34628378378378377</v>
      </c>
      <c r="M6752" s="401">
        <f>SUM(C6752,C6728,C6704,C6680,C6656,C6632,C6608)/POBLA!$B$7*100000</f>
        <v>41.165286069486363</v>
      </c>
    </row>
    <row r="6753" spans="1:13" x14ac:dyDescent="0.25">
      <c r="A6753" s="367" t="s">
        <v>31</v>
      </c>
      <c r="B6753" s="2">
        <v>44174</v>
      </c>
      <c r="C6753" s="1">
        <v>103</v>
      </c>
      <c r="D6753" s="39">
        <f t="shared" ref="D6753:D6818" si="946">C6753+D6729</f>
        <v>24815</v>
      </c>
      <c r="E6753" s="1">
        <v>7</v>
      </c>
      <c r="F6753" s="409">
        <f t="shared" si="935"/>
        <v>505</v>
      </c>
      <c r="G6753" s="168">
        <f>SUM(C6753,C6729,C6705,C6681,C6657,C6633,C6609,C6585,C6561,C6537,C6513,C6489,C6465,C6441)/POBLA!$B$8*100000</f>
        <v>183.84355692548348</v>
      </c>
      <c r="H6753" s="256">
        <f t="shared" si="942"/>
        <v>0.76932367149758452</v>
      </c>
      <c r="I6753" s="297">
        <f t="shared" si="944"/>
        <v>141.43520019508813</v>
      </c>
      <c r="J6753" s="297">
        <f t="shared" si="945"/>
        <v>145</v>
      </c>
      <c r="K6753" s="297">
        <f>J6753/POBLA!$B$8*100000</f>
        <v>10.462054848585206</v>
      </c>
      <c r="L6753" s="549">
        <f t="shared" si="943"/>
        <v>0.33789954337899542</v>
      </c>
      <c r="M6753" s="401">
        <f>SUM(C6753,C6729,C6705,C6681,C6657,C6633,C6609)/POBLA!$B$8*100000</f>
        <v>73.234383940096436</v>
      </c>
    </row>
    <row r="6754" spans="1:13" s="360" customFormat="1" x14ac:dyDescent="0.25">
      <c r="A6754" s="367" t="s">
        <v>41</v>
      </c>
      <c r="B6754" s="2">
        <v>44174</v>
      </c>
      <c r="C6754" s="1">
        <v>4</v>
      </c>
      <c r="D6754" s="39">
        <f t="shared" si="946"/>
        <v>197</v>
      </c>
      <c r="E6754" s="1"/>
      <c r="F6754" s="409">
        <f t="shared" ref="F6754:F6818" si="947">E6754+F6730</f>
        <v>3</v>
      </c>
      <c r="G6754" s="168">
        <f>SUM(C6754,C6730,C6706,C6682,C6658,C6634,C6610,C6586,C6562,C6538,C6514,C6490,C6466,C6442)/POBLA!$B$9*100000</f>
        <v>3.1394943431269033</v>
      </c>
      <c r="H6754" s="256">
        <f t="shared" si="942"/>
        <v>1.4615384615384615</v>
      </c>
      <c r="I6754" s="297">
        <f t="shared" si="944"/>
        <v>4.5884917322623968</v>
      </c>
      <c r="J6754" s="297">
        <f t="shared" si="945"/>
        <v>1.4285714285714286</v>
      </c>
      <c r="K6754" s="297">
        <f>J6754/POBLA!$B$9*100000</f>
        <v>0.23605220625014312</v>
      </c>
      <c r="L6754" s="549">
        <f t="shared" si="943"/>
        <v>-0.11111111111111116</v>
      </c>
      <c r="M6754" s="401">
        <f>SUM(C6754,C6730,C6706,C6682,C6658,C6634,C6610)/POBLA!$B$9*100000</f>
        <v>1.6523654437510016</v>
      </c>
    </row>
    <row r="6755" spans="1:13" s="360" customFormat="1" x14ac:dyDescent="0.25">
      <c r="A6755" s="367" t="s">
        <v>32</v>
      </c>
      <c r="B6755" s="2">
        <v>44174</v>
      </c>
      <c r="C6755" s="1">
        <v>4</v>
      </c>
      <c r="D6755" s="39">
        <f t="shared" si="946"/>
        <v>18429</v>
      </c>
      <c r="E6755" s="1"/>
      <c r="F6755" s="409">
        <f t="shared" si="947"/>
        <v>852</v>
      </c>
      <c r="G6755" s="168">
        <f>SUM(C6755,C6731,C6707,C6683,C6659,C6635,C6611,C6587,C6563,C6539,C6515,C6491,C6467,C6443)/POBLA!$B$10*100000</f>
        <v>12.583005677919159</v>
      </c>
      <c r="H6755" s="256">
        <f t="shared" si="942"/>
        <v>0.37743190661478598</v>
      </c>
      <c r="I6755" s="297">
        <f t="shared" si="944"/>
        <v>4.7492278239617054</v>
      </c>
      <c r="J6755" s="297">
        <f t="shared" si="945"/>
        <v>3.7142857142857144</v>
      </c>
      <c r="K6755" s="297">
        <f>J6755/POBLA!$B$10*100000</f>
        <v>0.4818234869306306</v>
      </c>
      <c r="L6755" s="549">
        <f t="shared" si="943"/>
        <v>0.63380281690140849</v>
      </c>
      <c r="M6755" s="401">
        <f>SUM(C6755,C6731,C6707,C6683,C6659,C6635,C6611)/POBLA!$B$10*100000</f>
        <v>3.3727644085144135</v>
      </c>
    </row>
    <row r="6756" spans="1:13" s="360" customFormat="1" x14ac:dyDescent="0.25">
      <c r="A6756" s="367" t="s">
        <v>33</v>
      </c>
      <c r="B6756" s="2">
        <v>44174</v>
      </c>
      <c r="C6756" s="1">
        <v>123</v>
      </c>
      <c r="D6756" s="39">
        <f t="shared" si="946"/>
        <v>6523</v>
      </c>
      <c r="E6756" s="1"/>
      <c r="F6756" s="409">
        <f t="shared" si="947"/>
        <v>95</v>
      </c>
      <c r="G6756" s="168">
        <f>SUM(C6756,C6732,C6708,C6684,C6660,C6636,C6612,C6588,C6564,C6540,C6516,C6492,C6468,C6444)/POBLA!$B$11*100000</f>
        <v>312.47558784469965</v>
      </c>
      <c r="H6756" s="256">
        <f t="shared" si="942"/>
        <v>1.0948191593352883</v>
      </c>
      <c r="I6756" s="297">
        <f t="shared" si="944"/>
        <v>342.10426039693408</v>
      </c>
      <c r="J6756" s="297">
        <f t="shared" si="945"/>
        <v>78</v>
      </c>
      <c r="K6756" s="297">
        <f>J6756/POBLA!$B$11*100000</f>
        <v>21.761692724898722</v>
      </c>
      <c r="L6756" s="549">
        <f t="shared" si="943"/>
        <v>4.8780487804878092E-2</v>
      </c>
      <c r="M6756" s="401">
        <f>SUM(C6756,C6732,C6708,C6684,C6660,C6636,C6612)/POBLA!$B$11*100000</f>
        <v>152.33184907429109</v>
      </c>
    </row>
    <row r="6757" spans="1:13" s="360" customFormat="1" x14ac:dyDescent="0.25">
      <c r="A6757" s="367" t="s">
        <v>21</v>
      </c>
      <c r="B6757" s="2">
        <v>44174</v>
      </c>
      <c r="C6757" s="1">
        <v>28</v>
      </c>
      <c r="D6757" s="39">
        <f t="shared" si="946"/>
        <v>8893</v>
      </c>
      <c r="E6757" s="1"/>
      <c r="F6757" s="409">
        <f t="shared" si="947"/>
        <v>322</v>
      </c>
      <c r="G6757" s="168">
        <f>SUM(C6757,C6733,C6709,C6685,C6661,C6637,C6613,C6589,C6565,C6541,C6517,C6493,C6469,C6445)/POBLA!$B$12*100000</f>
        <v>77.503424126688884</v>
      </c>
      <c r="H6757" s="256">
        <f t="shared" si="942"/>
        <v>0.48489666136724963</v>
      </c>
      <c r="I6757" s="297">
        <f t="shared" si="944"/>
        <v>37.581151603561388</v>
      </c>
      <c r="J6757" s="297">
        <f t="shared" si="945"/>
        <v>17.857142857142858</v>
      </c>
      <c r="K6757" s="297">
        <f>J6757/POBLA!$B$12*100000</f>
        <v>4.5376712017967726</v>
      </c>
      <c r="L6757" s="549">
        <f t="shared" si="943"/>
        <v>0.30555555555555558</v>
      </c>
      <c r="M6757" s="401">
        <f>SUM(C6757,C6733,C6709,C6685,C6661,C6637,C6613)/POBLA!$B$12*100000</f>
        <v>31.763698412577408</v>
      </c>
    </row>
    <row r="6758" spans="1:13" s="360" customFormat="1" x14ac:dyDescent="0.25">
      <c r="A6758" s="367" t="s">
        <v>17</v>
      </c>
      <c r="B6758" s="2">
        <v>44174</v>
      </c>
      <c r="C6758" s="1">
        <v>108</v>
      </c>
      <c r="D6758" s="39">
        <f t="shared" si="946"/>
        <v>57740</v>
      </c>
      <c r="E6758" s="1">
        <v>18</v>
      </c>
      <c r="F6758" s="409">
        <f t="shared" si="947"/>
        <v>1164</v>
      </c>
      <c r="G6758" s="168">
        <f>SUM(C6758,C6734,C6710,C6686,C6662,C6638,C6614,C6590,C6566,C6542,C6518,C6494,C6470,C6446)/POBLA!$B$13*100000</f>
        <v>99.279619843463763</v>
      </c>
      <c r="H6758" s="256">
        <f t="shared" si="942"/>
        <v>0.51059431524547805</v>
      </c>
      <c r="I6758" s="297">
        <f t="shared" si="944"/>
        <v>50.691609511804756</v>
      </c>
      <c r="J6758" s="297">
        <f t="shared" si="945"/>
        <v>102.42857142857143</v>
      </c>
      <c r="K6758" s="297">
        <f>J6758/POBLA!$B$13*100000</f>
        <v>5.1462902998672302</v>
      </c>
      <c r="L6758" s="549">
        <f t="shared" si="943"/>
        <v>0.43050039714058774</v>
      </c>
      <c r="M6758" s="401">
        <f>SUM(C6758,C6734,C6710,C6686,C6662,C6638,C6614)/POBLA!$B$13*100000</f>
        <v>36.02403209907061</v>
      </c>
    </row>
    <row r="6759" spans="1:13" s="360" customFormat="1" x14ac:dyDescent="0.25">
      <c r="A6759" s="367" t="s">
        <v>23</v>
      </c>
      <c r="B6759" s="2">
        <v>44174</v>
      </c>
      <c r="C6759" s="1">
        <v>18</v>
      </c>
      <c r="D6759" s="39">
        <f t="shared" si="946"/>
        <v>608</v>
      </c>
      <c r="E6759" s="1"/>
      <c r="F6759" s="409">
        <f t="shared" si="947"/>
        <v>9</v>
      </c>
      <c r="G6759" s="168">
        <f>SUM(C6759,C6735,C6711,C6687,C6663,C6639,C6615,C6591,C6567,C6543,C6519,C6495,C6471,C6447)/POBLA!$B$14*100000</f>
        <v>11.258279195810017</v>
      </c>
      <c r="H6759" s="256">
        <f t="shared" si="942"/>
        <v>1.3271028037383177</v>
      </c>
      <c r="I6759" s="297">
        <f t="shared" si="944"/>
        <v>14.940893886028245</v>
      </c>
      <c r="J6759" s="297">
        <f t="shared" si="945"/>
        <v>10.714285714285714</v>
      </c>
      <c r="K6759" s="297">
        <f>J6759/POBLA!$B$14*100000</f>
        <v>0.84946774616272769</v>
      </c>
      <c r="L6759" s="549">
        <f t="shared" si="943"/>
        <v>-0.11940298507462677</v>
      </c>
      <c r="M6759" s="401">
        <f>SUM(C6759,C6735,C6711,C6687,C6663,C6639,C6615)/POBLA!$B$14*100000</f>
        <v>5.9462742231390937</v>
      </c>
    </row>
    <row r="6760" spans="1:13" s="360" customFormat="1" x14ac:dyDescent="0.25">
      <c r="A6760" s="367" t="s">
        <v>19</v>
      </c>
      <c r="B6760" s="2">
        <v>44174</v>
      </c>
      <c r="C6760" s="1">
        <v>550</v>
      </c>
      <c r="D6760" s="39">
        <f t="shared" si="946"/>
        <v>36139</v>
      </c>
      <c r="E6760" s="1">
        <v>1</v>
      </c>
      <c r="F6760" s="409">
        <f t="shared" si="947"/>
        <v>657</v>
      </c>
      <c r="G6760" s="168">
        <f>SUM(C6760,C6736,C6712,C6688,C6664,C6640,C6616,C6592,C6568,C6544,C6520,C6496,C6472,C6448)/POBLA!$B$15*100000</f>
        <v>789.23947793638206</v>
      </c>
      <c r="H6760" s="256">
        <f t="shared" si="942"/>
        <v>1.0450648055832503</v>
      </c>
      <c r="I6760" s="297">
        <f t="shared" si="944"/>
        <v>824.80640156821107</v>
      </c>
      <c r="J6760" s="297">
        <f t="shared" si="945"/>
        <v>476.85714285714283</v>
      </c>
      <c r="K6760" s="297">
        <f>J6760/POBLA!$B$15*100000</f>
        <v>71.8096703832868</v>
      </c>
      <c r="L6760" s="549">
        <f t="shared" si="943"/>
        <v>-0.75407251707829737</v>
      </c>
      <c r="M6760" s="401">
        <f>SUM(C6760,C6736,C6712,C6688,C6664,C6640,C6616)/POBLA!$B$15*100000</f>
        <v>502.6676926830076</v>
      </c>
    </row>
    <row r="6761" spans="1:13" s="360" customFormat="1" x14ac:dyDescent="0.25">
      <c r="A6761" s="367" t="s">
        <v>18</v>
      </c>
      <c r="B6761" s="2">
        <v>44174</v>
      </c>
      <c r="C6761" s="1">
        <v>128</v>
      </c>
      <c r="D6761" s="39">
        <f t="shared" si="946"/>
        <v>33236</v>
      </c>
      <c r="E6761" s="1">
        <v>5</v>
      </c>
      <c r="F6761" s="409">
        <f t="shared" si="947"/>
        <v>808</v>
      </c>
      <c r="G6761" s="168">
        <f>SUM(C6761,C6737,C6713,C6689,C6665,C6641,C6617,C6593,C6569,C6545,C6521,C6497,C6473,C6449)/POBLA!$B$16*100000</f>
        <v>334.93398964700845</v>
      </c>
      <c r="H6761" s="256">
        <f t="shared" si="942"/>
        <v>0.73625404292855046</v>
      </c>
      <c r="I6761" s="297">
        <f t="shared" si="944"/>
        <v>246.59650399179924</v>
      </c>
      <c r="J6761" s="297">
        <f t="shared" si="945"/>
        <v>147</v>
      </c>
      <c r="K6761" s="297">
        <f>J6761/POBLA!$B$16*100000</f>
        <v>19.662658337903451</v>
      </c>
      <c r="L6761" s="549">
        <f t="shared" si="943"/>
        <v>0.30237288135593221</v>
      </c>
      <c r="M6761" s="401">
        <f>SUM(C6761,C6737,C6713,C6689,C6665,C6641,C6617)/POBLA!$B$16*100000</f>
        <v>137.63860836532416</v>
      </c>
    </row>
    <row r="6762" spans="1:13" s="360" customFormat="1" x14ac:dyDescent="0.25">
      <c r="A6762" s="367" t="s">
        <v>34</v>
      </c>
      <c r="B6762" s="2">
        <v>44174</v>
      </c>
      <c r="C6762" s="1">
        <v>15</v>
      </c>
      <c r="D6762" s="39">
        <f t="shared" si="946"/>
        <v>21453</v>
      </c>
      <c r="E6762" s="1">
        <v>1</v>
      </c>
      <c r="F6762" s="409">
        <f t="shared" si="947"/>
        <v>992</v>
      </c>
      <c r="G6762" s="168">
        <f>SUM(C6762,C6738,C6714,C6690,C6666,C6642,C6618,C6594,C6570,C6546,C6522,C6498,C6474,C6450)/POBLA!$B$17*100000</f>
        <v>35.172778375691607</v>
      </c>
      <c r="H6762" s="256">
        <f t="shared" si="942"/>
        <v>0.43226919758412424</v>
      </c>
      <c r="I6762" s="297">
        <f t="shared" si="944"/>
        <v>15.204108685264448</v>
      </c>
      <c r="J6762" s="297">
        <f t="shared" si="945"/>
        <v>28.857142857142858</v>
      </c>
      <c r="K6762" s="297">
        <f>J6762/POBLA!$B$17*100000</f>
        <v>2.0259199406585986</v>
      </c>
      <c r="L6762" s="549">
        <f t="shared" si="943"/>
        <v>0.32441471571906355</v>
      </c>
      <c r="M6762" s="401">
        <f>SUM(C6762,C6738,C6714,C6690,C6666,C6642,C6618)/POBLA!$B$17*100000</f>
        <v>14.181439584610189</v>
      </c>
    </row>
    <row r="6763" spans="1:13" s="360" customFormat="1" x14ac:dyDescent="0.25">
      <c r="A6763" s="367" t="s">
        <v>35</v>
      </c>
      <c r="B6763" s="2">
        <v>44174</v>
      </c>
      <c r="C6763" s="1">
        <v>197</v>
      </c>
      <c r="D6763" s="39">
        <f t="shared" si="946"/>
        <v>8803</v>
      </c>
      <c r="E6763" s="1">
        <v>1</v>
      </c>
      <c r="F6763" s="409">
        <f t="shared" si="947"/>
        <v>174</v>
      </c>
      <c r="G6763" s="168">
        <f>SUM(C6763,C6739,C6715,C6691,C6667,C6643,C6619,C6595,C6571,C6547,C6523,C6499,C6475,C6451)/POBLA!$B$18*100000</f>
        <v>266.37925185959853</v>
      </c>
      <c r="H6763" s="256">
        <f t="shared" si="942"/>
        <v>0.79854182655410588</v>
      </c>
      <c r="I6763" s="297">
        <f t="shared" si="944"/>
        <v>212.71497433608002</v>
      </c>
      <c r="J6763" s="297">
        <f t="shared" si="945"/>
        <v>105.14285714285714</v>
      </c>
      <c r="K6763" s="297">
        <f>J6763/POBLA!$B$18*100000</f>
        <v>13.45885421628781</v>
      </c>
      <c r="L6763" s="549">
        <f t="shared" si="943"/>
        <v>0.45278810408921932</v>
      </c>
      <c r="M6763" s="401">
        <f>SUM(C6763,C6739,C6715,C6691,C6667,C6643,C6619)/POBLA!$B$18*100000</f>
        <v>94.211979514014672</v>
      </c>
    </row>
    <row r="6764" spans="1:13" s="360" customFormat="1" x14ac:dyDescent="0.25">
      <c r="A6764" s="367" t="s">
        <v>36</v>
      </c>
      <c r="B6764" s="2">
        <v>44174</v>
      </c>
      <c r="C6764" s="1">
        <v>56</v>
      </c>
      <c r="D6764" s="39">
        <f t="shared" si="946"/>
        <v>15287</v>
      </c>
      <c r="E6764" s="1">
        <v>3</v>
      </c>
      <c r="F6764" s="409">
        <f t="shared" si="947"/>
        <v>239</v>
      </c>
      <c r="G6764" s="168">
        <f>SUM(C6764,C6740,C6716,C6692,C6668,C6644,C6620,C6596,C6572,C6548,C6524,C6500,C6476,C6452)/POBLA!$B$19*100000</f>
        <v>337.38058891109677</v>
      </c>
      <c r="H6764" s="256">
        <f t="shared" si="942"/>
        <v>0.50619834710743805</v>
      </c>
      <c r="I6764" s="297">
        <f t="shared" si="944"/>
        <v>170.78149645293124</v>
      </c>
      <c r="J6764" s="297">
        <f t="shared" si="945"/>
        <v>68.285714285714292</v>
      </c>
      <c r="K6764" s="297">
        <f>J6764/POBLA!$B$19*100000</f>
        <v>13.433396209871242</v>
      </c>
      <c r="L6764" s="549">
        <f t="shared" si="943"/>
        <v>0.61358124494745359</v>
      </c>
      <c r="M6764" s="401">
        <f>SUM(C6764,C6740,C6716,C6692,C6668,C6644,C6620)/POBLA!$B$19*100000</f>
        <v>94.033773469098691</v>
      </c>
    </row>
    <row r="6765" spans="1:13" s="360" customFormat="1" x14ac:dyDescent="0.25">
      <c r="A6765" s="367" t="s">
        <v>37</v>
      </c>
      <c r="B6765" s="2">
        <v>44174</v>
      </c>
      <c r="C6765" s="1">
        <v>135</v>
      </c>
      <c r="D6765" s="39">
        <f t="shared" si="946"/>
        <v>17789</v>
      </c>
      <c r="E6765" s="1">
        <v>4</v>
      </c>
      <c r="F6765" s="409">
        <f t="shared" si="947"/>
        <v>312</v>
      </c>
      <c r="G6765" s="168">
        <f>SUM(C6765,C6741,C6717,C6693,C6669,C6645,C6621,C6597,C6573,C6549,C6525,C6501,C6477,C6453)/POBLA!$B$20*100000</f>
        <v>805.30929892971801</v>
      </c>
      <c r="H6765" s="256">
        <f t="shared" si="942"/>
        <v>0.96241830065359479</v>
      </c>
      <c r="I6765" s="297">
        <f t="shared" si="944"/>
        <v>775.04440697647703</v>
      </c>
      <c r="J6765" s="297">
        <f t="shared" si="945"/>
        <v>187.28571428571428</v>
      </c>
      <c r="K6765" s="297">
        <f>J6765/POBLA!$B$20*100000</f>
        <v>51.213218088618007</v>
      </c>
      <c r="L6765" s="549">
        <f t="shared" si="943"/>
        <v>0.19767441860465118</v>
      </c>
      <c r="M6765" s="401">
        <f>SUM(C6765,C6741,C6717,C6693,C6669,C6645,C6621)/POBLA!$B$20*100000</f>
        <v>358.49252662032603</v>
      </c>
    </row>
    <row r="6766" spans="1:13" s="360" customFormat="1" x14ac:dyDescent="0.25">
      <c r="A6766" s="367" t="s">
        <v>22</v>
      </c>
      <c r="B6766" s="2">
        <v>44174</v>
      </c>
      <c r="C6766" s="1">
        <v>996</v>
      </c>
      <c r="D6766" s="39">
        <f t="shared" si="946"/>
        <v>156350</v>
      </c>
      <c r="E6766" s="1">
        <v>37</v>
      </c>
      <c r="F6766" s="409">
        <f t="shared" si="947"/>
        <v>2482</v>
      </c>
      <c r="G6766" s="168">
        <f>SUM(C6766,C6742,C6718,C6694,C6670,C6646,C6622,C6598,C6574,C6550,C6526,C6502,C6478,C6454)/POBLA!$B$21*100000</f>
        <v>417.23008988190873</v>
      </c>
      <c r="H6766" s="256">
        <f t="shared" si="942"/>
        <v>0.78626238942768834</v>
      </c>
      <c r="I6766" s="297">
        <f t="shared" si="944"/>
        <v>328.05232741167873</v>
      </c>
      <c r="J6766" s="297">
        <f t="shared" si="945"/>
        <v>856.85714285714289</v>
      </c>
      <c r="K6766" s="297">
        <f>J6766/POBLA!$B$21*100000</f>
        <v>24.229521025431463</v>
      </c>
      <c r="L6766" s="549">
        <f t="shared" si="943"/>
        <v>0.31506223592554528</v>
      </c>
      <c r="M6766" s="401">
        <f>SUM(C6766,C6742,C6718,C6694,C6670,C6646,C6622)/POBLA!$B$21*100000</f>
        <v>169.60664717802027</v>
      </c>
    </row>
    <row r="6767" spans="1:13" s="360" customFormat="1" x14ac:dyDescent="0.25">
      <c r="A6767" s="367" t="s">
        <v>38</v>
      </c>
      <c r="B6767" s="2">
        <v>44174</v>
      </c>
      <c r="C6767" s="1">
        <v>56</v>
      </c>
      <c r="D6767" s="39">
        <f t="shared" si="946"/>
        <v>16295</v>
      </c>
      <c r="E6767" s="1">
        <v>1</v>
      </c>
      <c r="F6767" s="409">
        <f t="shared" si="947"/>
        <v>202</v>
      </c>
      <c r="G6767" s="168">
        <f>SUM(C6767,C6743,C6719,C6695,C6671,C6647,C6623,C6599,C6575,C6551,C6527,C6503,C6479,C6455)/POBLA!$B$22*100000</f>
        <v>145.86333821588795</v>
      </c>
      <c r="H6767" s="256">
        <f t="shared" si="942"/>
        <v>0.4827469553450609</v>
      </c>
      <c r="I6767" s="297">
        <f t="shared" si="944"/>
        <v>70.415082420186778</v>
      </c>
      <c r="J6767" s="297">
        <f t="shared" si="945"/>
        <v>64.571428571428569</v>
      </c>
      <c r="K6767" s="297">
        <f>J6767/POBLA!$B$22*100000</f>
        <v>6.6002831988769</v>
      </c>
      <c r="L6767" s="549">
        <f t="shared" si="943"/>
        <v>0.53641025641025641</v>
      </c>
      <c r="M6767" s="401">
        <f>SUM(C6767,C6743,C6719,C6695,C6671,C6647,C6623)/POBLA!$B$22*100000</f>
        <v>46.201982392138305</v>
      </c>
    </row>
    <row r="6768" spans="1:13" s="360" customFormat="1" x14ac:dyDescent="0.25">
      <c r="A6768" s="367" t="s">
        <v>39</v>
      </c>
      <c r="B6768" s="2">
        <v>44174</v>
      </c>
      <c r="C6768" s="1">
        <v>89</v>
      </c>
      <c r="D6768" s="39">
        <f t="shared" si="946"/>
        <v>17008</v>
      </c>
      <c r="E6768" s="1">
        <v>2</v>
      </c>
      <c r="F6768" s="409">
        <f t="shared" si="947"/>
        <v>241</v>
      </c>
      <c r="G6768" s="168">
        <f>SUM(C6768,C6744,C6720,C6696,C6672,C6648,C6624,C6600,C6576,C6552,C6528,C6504,C6480,C6456)/POBLA!$B$23*100000</f>
        <v>739.12797602216824</v>
      </c>
      <c r="H6768" s="256">
        <f t="shared" si="942"/>
        <v>0.64257620452310715</v>
      </c>
      <c r="I6768" s="297">
        <f t="shared" si="944"/>
        <v>474.946049489171</v>
      </c>
      <c r="J6768" s="297">
        <f t="shared" si="945"/>
        <v>88.571428571428569</v>
      </c>
      <c r="K6768" s="297">
        <f>J6768/POBLA!$B$23*100000</f>
        <v>50.08846268813469</v>
      </c>
      <c r="L6768" s="549">
        <f t="shared" si="943"/>
        <v>9.7525473071324642E-2</v>
      </c>
      <c r="M6768" s="401">
        <f>SUM(C6768,C6744,C6720,C6696,C6672,C6648,C6624)/POBLA!$B$23*100000</f>
        <v>350.61923881694287</v>
      </c>
    </row>
    <row r="6769" spans="1:13" s="360" customFormat="1" ht="15.75" thickBot="1" x14ac:dyDescent="0.3">
      <c r="A6769" s="368" t="s">
        <v>40</v>
      </c>
      <c r="B6769" s="34">
        <v>44174</v>
      </c>
      <c r="C6769" s="232">
        <v>167</v>
      </c>
      <c r="D6769" s="67">
        <f t="shared" si="946"/>
        <v>67610</v>
      </c>
      <c r="E6769" s="232">
        <v>10</v>
      </c>
      <c r="F6769" s="477">
        <f t="shared" si="947"/>
        <v>1257</v>
      </c>
      <c r="G6769" s="177">
        <f>SUM(C6769,C6745,C6721,C6697,C6673,C6649,C6625,C6601,C6577,C6553,C6529,C6505,C6481,C6457)/POBLA!$B$24*100000</f>
        <v>195.26086710223194</v>
      </c>
      <c r="H6769" s="402">
        <f t="shared" si="942"/>
        <v>0.45913695018731787</v>
      </c>
      <c r="I6769" s="403">
        <f t="shared" si="944"/>
        <v>89.651479012249965</v>
      </c>
      <c r="J6769" s="403">
        <f t="shared" si="945"/>
        <v>160.57142857142858</v>
      </c>
      <c r="K6769" s="403">
        <f>J6769/POBLA!$B$24*100000</f>
        <v>9.4751636067395744</v>
      </c>
      <c r="L6769" s="550">
        <f t="shared" si="943"/>
        <v>0.48558352402745997</v>
      </c>
      <c r="M6769" s="405">
        <f>SUM(C6769,C6745,C6721,C6697,C6673,C6649,C6625)/POBLA!$B$24*100000</f>
        <v>66.32614524717701</v>
      </c>
    </row>
    <row r="6770" spans="1:13" s="360" customFormat="1" x14ac:dyDescent="0.25">
      <c r="A6770" s="363" t="s">
        <v>16</v>
      </c>
      <c r="B6770" s="265">
        <v>44175</v>
      </c>
      <c r="C6770" s="43">
        <v>1906</v>
      </c>
      <c r="D6770" s="174">
        <f t="shared" si="946"/>
        <v>633372</v>
      </c>
      <c r="E6770" s="43">
        <v>56</v>
      </c>
      <c r="F6770" s="475">
        <f t="shared" si="947"/>
        <v>21290</v>
      </c>
      <c r="G6770" s="175">
        <f>SUM(C6770,C6746,C6722,C6698,C6674,C6650,C6626,C6602,C6578,C6554,C6530,C6506,C6482,C6458)/POBLA!$B$1*100000</f>
        <v>117.57501977778982</v>
      </c>
      <c r="H6770" s="300">
        <f t="shared" si="942"/>
        <v>0.68744375187493745</v>
      </c>
      <c r="I6770" s="301">
        <f>G6770*H6770</f>
        <v>80.826212722813807</v>
      </c>
      <c r="J6770" s="301">
        <f>AVERAGE(C6770,C6746,C6722,C6698,C6674,C6650,C6626)</f>
        <v>1254</v>
      </c>
      <c r="K6770" s="301">
        <f>J6770/POBLA!$B$1*100000</f>
        <v>7.1489078162019224</v>
      </c>
      <c r="L6770" s="548">
        <f t="shared" si="943"/>
        <v>0.25899037649839607</v>
      </c>
      <c r="M6770" s="400">
        <f>SUM(C6770,C6746,C6722,C6698,C6674,C6650,C6626)/POBLA!$B$1*100000</f>
        <v>50.042354713413452</v>
      </c>
    </row>
    <row r="6771" spans="1:13" s="360" customFormat="1" x14ac:dyDescent="0.25">
      <c r="A6771" s="367" t="s">
        <v>43</v>
      </c>
      <c r="B6771" s="2">
        <v>44175</v>
      </c>
      <c r="C6771" s="1">
        <v>402</v>
      </c>
      <c r="D6771" s="39">
        <f t="shared" si="946"/>
        <v>161732</v>
      </c>
      <c r="E6771" s="1">
        <v>3</v>
      </c>
      <c r="F6771" s="409">
        <f t="shared" si="947"/>
        <v>5325</v>
      </c>
      <c r="G6771" s="168">
        <f>SUM(C6771,C6747,C6723,C6699,C6675,C6651,C6627,C6603,C6579,C6555,C6531,C6507,C6483,C6459)/POBLA!$B$2*100000</f>
        <v>135.28865155482782</v>
      </c>
      <c r="H6771" s="256">
        <f t="shared" si="942"/>
        <v>0.83453670276774972</v>
      </c>
      <c r="I6771" s="297">
        <f t="shared" ref="I6771:I6793" si="948">G6771*H6771</f>
        <v>112.90334519046101</v>
      </c>
      <c r="J6771" s="297">
        <f t="shared" ref="J6771:J6793" si="949">AVERAGE(C6771,C6747,C6723,C6699,C6675,C6651,C6627)</f>
        <v>264.42857142857144</v>
      </c>
      <c r="K6771" s="297">
        <f>J6771/POBLA!$B$2*100000</f>
        <v>8.5974969625428752</v>
      </c>
      <c r="L6771" s="549">
        <f t="shared" si="943"/>
        <v>0.19870129870129871</v>
      </c>
      <c r="M6771" s="401">
        <f>SUM(C6771,C6747,C6723,C6699,C6675,C6651,C6627)/POBLA!$B$2*100000</f>
        <v>60.182478737800125</v>
      </c>
    </row>
    <row r="6772" spans="1:13" s="360" customFormat="1" x14ac:dyDescent="0.25">
      <c r="A6772" s="367" t="s">
        <v>28</v>
      </c>
      <c r="B6772" s="2">
        <v>44175</v>
      </c>
      <c r="C6772" s="1">
        <v>27</v>
      </c>
      <c r="D6772" s="39">
        <f t="shared" si="946"/>
        <v>2057</v>
      </c>
      <c r="E6772" s="1"/>
      <c r="F6772" s="409">
        <f t="shared" si="947"/>
        <v>17</v>
      </c>
      <c r="G6772" s="168">
        <f>SUM(C6772,C6748,C6724,C6700,C6676,C6652,C6628,C6604,C6580,C6556,C6532,C6508,C6484,C6460)/POBLA!$B$3*100000</f>
        <v>66.917325810349567</v>
      </c>
      <c r="H6772" s="256">
        <f t="shared" si="942"/>
        <v>0.61640798226164084</v>
      </c>
      <c r="I6772" s="297">
        <f t="shared" si="948"/>
        <v>41.248373781102394</v>
      </c>
      <c r="J6772" s="297">
        <f t="shared" si="949"/>
        <v>21.285714285714285</v>
      </c>
      <c r="K6772" s="297">
        <f>J6772/POBLA!$B$3*100000</f>
        <v>5.1236801365581108</v>
      </c>
      <c r="L6772" s="549">
        <f t="shared" si="943"/>
        <v>-0.15503875968992253</v>
      </c>
      <c r="M6772" s="401">
        <f>SUM(C6772,C6748,C6724,C6700,C6676,C6652,C6628)/POBLA!$B$3*100000</f>
        <v>35.865760955906779</v>
      </c>
    </row>
    <row r="6773" spans="1:13" s="360" customFormat="1" x14ac:dyDescent="0.25">
      <c r="A6773" s="367" t="s">
        <v>15</v>
      </c>
      <c r="B6773" s="2">
        <v>44175</v>
      </c>
      <c r="C6773" s="1">
        <v>155</v>
      </c>
      <c r="D6773" s="39">
        <f t="shared" si="946"/>
        <v>21191</v>
      </c>
      <c r="E6773" s="1">
        <v>2</v>
      </c>
      <c r="F6773" s="409">
        <f t="shared" si="947"/>
        <v>609</v>
      </c>
      <c r="G6773" s="168">
        <f>SUM(C6773,C6749,C6725,C6701,C6677,C6653,C6629,C6605,C6581,C6557,C6533,C6509,C6485,C6461)/POBLA!$B$4*100000</f>
        <v>223.57063811028434</v>
      </c>
      <c r="H6773" s="256">
        <f t="shared" si="942"/>
        <v>0.96766079770032343</v>
      </c>
      <c r="I6773" s="297">
        <f t="shared" si="948"/>
        <v>216.34054201616806</v>
      </c>
      <c r="J6773" s="297">
        <f t="shared" si="949"/>
        <v>151.85714285714286</v>
      </c>
      <c r="K6773" s="297">
        <f>J6773/POBLA!$B$4*100000</f>
        <v>12.607054708568894</v>
      </c>
      <c r="L6773" s="549">
        <f t="shared" si="943"/>
        <v>0.34785276073619631</v>
      </c>
      <c r="M6773" s="401">
        <f>SUM(C6773,C6749,C6725,C6701,C6677,C6653,C6629)/POBLA!$B$4*100000</f>
        <v>88.24938295998227</v>
      </c>
    </row>
    <row r="6774" spans="1:13" s="360" customFormat="1" x14ac:dyDescent="0.25">
      <c r="A6774" s="367" t="s">
        <v>29</v>
      </c>
      <c r="B6774" s="2">
        <v>44175</v>
      </c>
      <c r="C6774" s="1">
        <v>337</v>
      </c>
      <c r="D6774" s="39">
        <f t="shared" si="946"/>
        <v>25373</v>
      </c>
      <c r="E6774" s="1">
        <v>15</v>
      </c>
      <c r="F6774" s="409">
        <f t="shared" si="947"/>
        <v>426</v>
      </c>
      <c r="G6774" s="168">
        <f>SUM(C6774,C6750,C6726,C6702,C6678,C6654,C6630,C6606,C6582,C6558,C6534,C6510,C6486,C6462)/POBLA!$B$5*100000</f>
        <v>541.20072246257644</v>
      </c>
      <c r="H6774" s="256">
        <f t="shared" si="942"/>
        <v>0.92210294522433256</v>
      </c>
      <c r="I6774" s="297">
        <f t="shared" si="948"/>
        <v>499.04278014027835</v>
      </c>
      <c r="J6774" s="297">
        <f t="shared" si="949"/>
        <v>216</v>
      </c>
      <c r="K6774" s="297">
        <f>J6774/POBLA!$B$5*100000</f>
        <v>34.895330164751194</v>
      </c>
      <c r="L6774" s="549">
        <f t="shared" si="943"/>
        <v>0.17736670293797607</v>
      </c>
      <c r="M6774" s="401">
        <f>SUM(C6774,C6750,C6726,C6702,C6678,C6654,C6630)/POBLA!$B$5*100000</f>
        <v>244.26731115325833</v>
      </c>
    </row>
    <row r="6775" spans="1:13" s="360" customFormat="1" x14ac:dyDescent="0.25">
      <c r="A6775" s="367" t="s">
        <v>20</v>
      </c>
      <c r="B6775" s="2">
        <v>44175</v>
      </c>
      <c r="C6775" s="1">
        <v>610</v>
      </c>
      <c r="D6775" s="39">
        <f t="shared" si="946"/>
        <v>118709</v>
      </c>
      <c r="E6775" s="1">
        <v>26</v>
      </c>
      <c r="F6775" s="409">
        <f t="shared" si="947"/>
        <v>2167</v>
      </c>
      <c r="G6775" s="168">
        <f>SUM(C6775,C6751,C6727,C6703,C6679,C6655,C6631,C6607,C6583,C6559,C6535,C6511,C6487,C6463)/POBLA!$B$6*100000</f>
        <v>608.85027761395645</v>
      </c>
      <c r="H6775" s="256">
        <f t="shared" si="942"/>
        <v>0.52391554702495202</v>
      </c>
      <c r="I6775" s="297">
        <f t="shared" si="948"/>
        <v>318.98612625240992</v>
      </c>
      <c r="J6775" s="297">
        <f t="shared" si="949"/>
        <v>352.14285714285717</v>
      </c>
      <c r="K6775" s="297">
        <f>J6775/POBLA!$B$6*100000</f>
        <v>31.418856437749177</v>
      </c>
      <c r="L6775" s="549">
        <f t="shared" si="943"/>
        <v>0.43450332645102085</v>
      </c>
      <c r="M6775" s="401">
        <f>SUM(C6775,C6751,C6727,C6703,C6679,C6655,C6631)/POBLA!$B$6*100000</f>
        <v>219.93199506424423</v>
      </c>
    </row>
    <row r="6776" spans="1:13" s="360" customFormat="1" x14ac:dyDescent="0.25">
      <c r="A6776" s="367" t="s">
        <v>30</v>
      </c>
      <c r="B6776" s="2">
        <v>44175</v>
      </c>
      <c r="C6776" s="1">
        <v>221</v>
      </c>
      <c r="D6776" s="39">
        <f t="shared" si="946"/>
        <v>9271</v>
      </c>
      <c r="E6776" s="1"/>
      <c r="F6776" s="409">
        <f t="shared" si="947"/>
        <v>130</v>
      </c>
      <c r="G6776" s="168">
        <f>SUM(C6776,C6752,C6728,C6704,C6680,C6656,C6632,C6608,C6584,C6560,C6536,C6512,C6488,C6464)/POBLA!$B$7*100000</f>
        <v>106.02454493478174</v>
      </c>
      <c r="H6776" s="256">
        <f t="shared" si="942"/>
        <v>2.13322632423756</v>
      </c>
      <c r="I6776" s="297">
        <f t="shared" si="948"/>
        <v>226.17435027018448</v>
      </c>
      <c r="J6776" s="297">
        <f t="shared" si="949"/>
        <v>199.28571428571428</v>
      </c>
      <c r="K6776" s="297">
        <f>J6776/POBLA!$B$7*100000</f>
        <v>5.2995177248923477</v>
      </c>
      <c r="L6776" s="549">
        <f t="shared" si="943"/>
        <v>0.46180555555555558</v>
      </c>
      <c r="M6776" s="401">
        <f>SUM(C6776,C6752,C6728,C6704,C6680,C6656,C6632)/POBLA!$B$7*100000</f>
        <v>37.096624074246435</v>
      </c>
    </row>
    <row r="6777" spans="1:13" x14ac:dyDescent="0.25">
      <c r="A6777" s="367" t="s">
        <v>31</v>
      </c>
      <c r="B6777" s="2">
        <v>44175</v>
      </c>
      <c r="C6777" s="1">
        <v>174</v>
      </c>
      <c r="D6777" s="39">
        <f t="shared" si="946"/>
        <v>24989</v>
      </c>
      <c r="E6777" s="1">
        <v>3</v>
      </c>
      <c r="F6777" s="409">
        <f t="shared" si="947"/>
        <v>508</v>
      </c>
      <c r="G6777" s="168">
        <f>SUM(C6777,C6753,C6729,C6705,C6681,C6657,C6633,C6609,C6585,C6561,C6537,C6513,C6489,C6465)/POBLA!$B$8*100000</f>
        <v>175.61821725142337</v>
      </c>
      <c r="H6777" s="256">
        <f t="shared" si="942"/>
        <v>0.73936816524908866</v>
      </c>
      <c r="I6777" s="297">
        <f t="shared" si="948"/>
        <v>129.84651907350076</v>
      </c>
      <c r="J6777" s="297">
        <f t="shared" si="949"/>
        <v>143.57142857142858</v>
      </c>
      <c r="K6777" s="297">
        <f>J6777/POBLA!$B$8*100000</f>
        <v>10.35898041657944</v>
      </c>
      <c r="L6777" s="549">
        <f t="shared" si="943"/>
        <v>0.29671098670398877</v>
      </c>
      <c r="M6777" s="401">
        <f>SUM(C6777,C6753,C6729,C6705,C6681,C6657,C6633)/POBLA!$B$8*100000</f>
        <v>72.512862916056079</v>
      </c>
    </row>
    <row r="6778" spans="1:13" s="360" customFormat="1" x14ac:dyDescent="0.25">
      <c r="A6778" s="367" t="s">
        <v>41</v>
      </c>
      <c r="B6778" s="2">
        <v>44175</v>
      </c>
      <c r="C6778" s="1">
        <v>-2</v>
      </c>
      <c r="D6778" s="39">
        <f t="shared" si="946"/>
        <v>195</v>
      </c>
      <c r="E6778" s="1"/>
      <c r="F6778" s="409">
        <f t="shared" si="947"/>
        <v>3</v>
      </c>
      <c r="G6778" s="168">
        <f>SUM(C6778,C6754,C6730,C6706,C6682,C6658,C6634,C6610,C6586,C6562,C6538,C6514,C6490,C6466)/POBLA!$B$9*100000</f>
        <v>2.8090212543767032</v>
      </c>
      <c r="H6778" s="256">
        <f t="shared" si="942"/>
        <v>1.4166666666666667</v>
      </c>
      <c r="I6778" s="297">
        <f t="shared" si="948"/>
        <v>3.979446777033663</v>
      </c>
      <c r="J6778" s="297">
        <f t="shared" si="949"/>
        <v>0.8571428571428571</v>
      </c>
      <c r="K6778" s="297">
        <f>J6778/POBLA!$B$9*100000</f>
        <v>0.14163132375008586</v>
      </c>
      <c r="L6778" s="549">
        <f t="shared" si="943"/>
        <v>0.45454545454545459</v>
      </c>
      <c r="M6778" s="401">
        <f>SUM(C6778,C6754,C6730,C6706,C6682,C6658,C6634)/POBLA!$B$9*100000</f>
        <v>0.99141926625060106</v>
      </c>
    </row>
    <row r="6779" spans="1:13" s="360" customFormat="1" x14ac:dyDescent="0.25">
      <c r="A6779" s="367" t="s">
        <v>32</v>
      </c>
      <c r="B6779" s="2">
        <v>44175</v>
      </c>
      <c r="C6779" s="1">
        <v>2</v>
      </c>
      <c r="D6779" s="39">
        <f t="shared" si="946"/>
        <v>18431</v>
      </c>
      <c r="E6779" s="1">
        <v>1</v>
      </c>
      <c r="F6779" s="409">
        <f t="shared" si="947"/>
        <v>853</v>
      </c>
      <c r="G6779" s="168">
        <f>SUM(C6779,C6755,C6731,C6707,C6683,C6659,C6635,C6611,C6587,C6563,C6539,C6515,C6491,C6467)/POBLA!$B$10*100000</f>
        <v>12.064118845840019</v>
      </c>
      <c r="H6779" s="256">
        <f t="shared" si="942"/>
        <v>0.38271604938271603</v>
      </c>
      <c r="I6779" s="297">
        <f t="shared" si="948"/>
        <v>4.6171319039634637</v>
      </c>
      <c r="J6779" s="297">
        <f t="shared" si="949"/>
        <v>3</v>
      </c>
      <c r="K6779" s="297">
        <f>J6779/POBLA!$B$10*100000</f>
        <v>0.38916512405935544</v>
      </c>
      <c r="L6779" s="549">
        <f t="shared" si="943"/>
        <v>0.70833333333333326</v>
      </c>
      <c r="M6779" s="401">
        <f>SUM(C6779,C6755,C6731,C6707,C6683,C6659,C6635)/POBLA!$B$10*100000</f>
        <v>2.7241558684154885</v>
      </c>
    </row>
    <row r="6780" spans="1:13" s="360" customFormat="1" x14ac:dyDescent="0.25">
      <c r="A6780" s="367" t="s">
        <v>33</v>
      </c>
      <c r="B6780" s="2">
        <v>44175</v>
      </c>
      <c r="C6780" s="1">
        <v>102</v>
      </c>
      <c r="D6780" s="39">
        <f t="shared" si="946"/>
        <v>6625</v>
      </c>
      <c r="E6780" s="1">
        <v>1</v>
      </c>
      <c r="F6780" s="409">
        <f t="shared" si="947"/>
        <v>96</v>
      </c>
      <c r="G6780" s="168">
        <f>SUM(C6780,C6756,C6732,C6708,C6684,C6660,C6636,C6612,C6588,C6564,C6540,C6516,C6492,C6468)/POBLA!$B$11*100000</f>
        <v>318.33450511678774</v>
      </c>
      <c r="H6780" s="256">
        <f t="shared" si="942"/>
        <v>1.1208251473477406</v>
      </c>
      <c r="I6780" s="297">
        <f t="shared" si="948"/>
        <v>356.79731860339371</v>
      </c>
      <c r="J6780" s="297">
        <f t="shared" si="949"/>
        <v>78.714285714285708</v>
      </c>
      <c r="K6780" s="297">
        <f>J6780/POBLA!$B$11*100000</f>
        <v>21.960975625309882</v>
      </c>
      <c r="L6780" s="549">
        <f t="shared" si="943"/>
        <v>6.6101694915254194E-2</v>
      </c>
      <c r="M6780" s="401">
        <f>SUM(C6780,C6756,C6732,C6708,C6684,C6660,C6636)/POBLA!$B$11*100000</f>
        <v>153.7268293771692</v>
      </c>
    </row>
    <row r="6781" spans="1:13" s="360" customFormat="1" x14ac:dyDescent="0.25">
      <c r="A6781" s="367" t="s">
        <v>21</v>
      </c>
      <c r="B6781" s="2">
        <v>44175</v>
      </c>
      <c r="C6781" s="1">
        <v>9</v>
      </c>
      <c r="D6781" s="39">
        <f t="shared" si="946"/>
        <v>8902</v>
      </c>
      <c r="E6781" s="1"/>
      <c r="F6781" s="409">
        <f t="shared" si="947"/>
        <v>322</v>
      </c>
      <c r="G6781" s="168">
        <f>SUM(C6781,C6757,C6733,C6709,C6685,C6661,C6637,C6613,C6589,C6565,C6541,C6517,C6493,C6469)/POBLA!$B$12*100000</f>
        <v>76.486985777486396</v>
      </c>
      <c r="H6781" s="256">
        <f t="shared" si="942"/>
        <v>0.5067340067340067</v>
      </c>
      <c r="I6781" s="297">
        <f t="shared" si="948"/>
        <v>38.758556766032669</v>
      </c>
      <c r="J6781" s="297">
        <f t="shared" si="949"/>
        <v>14.571428571428571</v>
      </c>
      <c r="K6781" s="297">
        <f>J6781/POBLA!$B$12*100000</f>
        <v>3.7027397006661666</v>
      </c>
      <c r="L6781" s="549">
        <f t="shared" si="943"/>
        <v>0.48743718592964824</v>
      </c>
      <c r="M6781" s="401">
        <f>SUM(C6781,C6757,C6733,C6709,C6685,C6661,C6637)/POBLA!$B$12*100000</f>
        <v>25.919177904663165</v>
      </c>
    </row>
    <row r="6782" spans="1:13" s="360" customFormat="1" x14ac:dyDescent="0.25">
      <c r="A6782" s="367" t="s">
        <v>17</v>
      </c>
      <c r="B6782" s="2">
        <v>44175</v>
      </c>
      <c r="C6782" s="1">
        <v>163</v>
      </c>
      <c r="D6782" s="39">
        <f t="shared" si="946"/>
        <v>57903</v>
      </c>
      <c r="E6782" s="1">
        <v>8</v>
      </c>
      <c r="F6782" s="409">
        <f t="shared" si="947"/>
        <v>1172</v>
      </c>
      <c r="G6782" s="168">
        <f>SUM(C6782,C6758,C6734,C6710,C6686,C6662,C6638,C6614,C6590,C6566,C6542,C6518,C6494,C6470)/POBLA!$B$13*100000</f>
        <v>97.320153662342776</v>
      </c>
      <c r="H6782" s="256">
        <f t="shared" si="942"/>
        <v>0.52464788732394363</v>
      </c>
      <c r="I6782" s="297">
        <f t="shared" si="948"/>
        <v>51.058813012989695</v>
      </c>
      <c r="J6782" s="297">
        <f t="shared" si="949"/>
        <v>91.142857142857139</v>
      </c>
      <c r="K6782" s="297">
        <f>J6782/POBLA!$B$13*100000</f>
        <v>4.579265287747968</v>
      </c>
      <c r="L6782" s="549">
        <f t="shared" si="943"/>
        <v>0.50885296381832179</v>
      </c>
      <c r="M6782" s="401">
        <f>SUM(C6782,C6758,C6734,C6710,C6686,C6662,C6638)/POBLA!$B$13*100000</f>
        <v>32.054857014235772</v>
      </c>
    </row>
    <row r="6783" spans="1:13" s="360" customFormat="1" x14ac:dyDescent="0.25">
      <c r="A6783" s="367" t="s">
        <v>23</v>
      </c>
      <c r="B6783" s="2">
        <v>44175</v>
      </c>
      <c r="C6783" s="1">
        <v>8</v>
      </c>
      <c r="D6783" s="39">
        <f t="shared" si="946"/>
        <v>616</v>
      </c>
      <c r="E6783" s="1"/>
      <c r="F6783" s="409">
        <f t="shared" si="947"/>
        <v>9</v>
      </c>
      <c r="G6783" s="168">
        <f>SUM(C6783,C6759,C6735,C6711,C6687,C6663,C6639,C6615,C6591,C6567,C6543,C6519,C6495,C6471)/POBLA!$B$14*100000</f>
        <v>10.624009945341847</v>
      </c>
      <c r="H6783" s="256">
        <f t="shared" si="942"/>
        <v>1.089430894308943</v>
      </c>
      <c r="I6783" s="297">
        <f t="shared" si="948"/>
        <v>11.574124655900873</v>
      </c>
      <c r="J6783" s="297">
        <f t="shared" si="949"/>
        <v>10.571428571428571</v>
      </c>
      <c r="K6783" s="297">
        <f>J6783/POBLA!$B$14*100000</f>
        <v>0.83814150954722466</v>
      </c>
      <c r="L6783" s="549">
        <f t="shared" si="943"/>
        <v>-0.23333333333333339</v>
      </c>
      <c r="M6783" s="401">
        <f>SUM(C6783,C6759,C6735,C6711,C6687,C6663,C6639)/POBLA!$B$14*100000</f>
        <v>5.8669905668305722</v>
      </c>
    </row>
    <row r="6784" spans="1:13" s="360" customFormat="1" x14ac:dyDescent="0.25">
      <c r="A6784" s="367" t="s">
        <v>19</v>
      </c>
      <c r="B6784" s="2">
        <v>44175</v>
      </c>
      <c r="C6784" s="1">
        <v>368</v>
      </c>
      <c r="D6784" s="39">
        <f t="shared" si="946"/>
        <v>36507</v>
      </c>
      <c r="E6784" s="1">
        <v>4</v>
      </c>
      <c r="F6784" s="409">
        <f t="shared" si="947"/>
        <v>661</v>
      </c>
      <c r="G6784" s="168">
        <f>SUM(C6784,C6760,C6736,C6712,C6688,C6664,C6640,C6616,C6592,C6568,C6544,C6520,C6496,C6472)/POBLA!$B$15*100000</f>
        <v>790.29360431408759</v>
      </c>
      <c r="H6784" s="256">
        <f t="shared" si="942"/>
        <v>1.0452101175064727</v>
      </c>
      <c r="I6784" s="297">
        <f t="shared" si="948"/>
        <v>826.0228710297414</v>
      </c>
      <c r="J6784" s="297">
        <f t="shared" si="949"/>
        <v>450.28571428571428</v>
      </c>
      <c r="K6784" s="297">
        <f>J6784/POBLA!$B$15*100000</f>
        <v>67.808292704649489</v>
      </c>
      <c r="L6784" s="549">
        <f t="shared" si="943"/>
        <v>-0.50381679389312972</v>
      </c>
      <c r="M6784" s="401">
        <f>SUM(C6784,C6760,C6736,C6712,C6688,C6664,C6640)/POBLA!$B$15*100000</f>
        <v>474.65804893254648</v>
      </c>
    </row>
    <row r="6785" spans="1:13" s="360" customFormat="1" x14ac:dyDescent="0.25">
      <c r="A6785" s="367" t="s">
        <v>18</v>
      </c>
      <c r="B6785" s="2">
        <v>44175</v>
      </c>
      <c r="C6785" s="1">
        <v>406</v>
      </c>
      <c r="D6785" s="39">
        <f t="shared" si="946"/>
        <v>33642</v>
      </c>
      <c r="E6785" s="1">
        <v>11</v>
      </c>
      <c r="F6785" s="409">
        <f t="shared" si="947"/>
        <v>819</v>
      </c>
      <c r="G6785" s="168">
        <f>SUM(C6785,C6761,C6737,C6713,C6689,C6665,C6641,C6617,C6593,C6569,C6545,C6521,C6497,C6473)/POBLA!$B$16*100000</f>
        <v>344.29716028410536</v>
      </c>
      <c r="H6785" s="256">
        <f t="shared" si="942"/>
        <v>0.77811366384522374</v>
      </c>
      <c r="I6785" s="297">
        <f t="shared" si="948"/>
        <v>267.90232484017145</v>
      </c>
      <c r="J6785" s="297">
        <f t="shared" si="949"/>
        <v>175.14285714285714</v>
      </c>
      <c r="K6785" s="297">
        <f>J6785/POBLA!$B$16*100000</f>
        <v>23.427035104246485</v>
      </c>
      <c r="L6785" s="549">
        <f t="shared" si="943"/>
        <v>9.0504451038575628E-2</v>
      </c>
      <c r="M6785" s="401">
        <f>SUM(C6785,C6761,C6737,C6713,C6689,C6665,C6641)/POBLA!$B$16*100000</f>
        <v>163.98924572972538</v>
      </c>
    </row>
    <row r="6786" spans="1:13" s="360" customFormat="1" x14ac:dyDescent="0.25">
      <c r="A6786" s="367" t="s">
        <v>34</v>
      </c>
      <c r="B6786" s="2">
        <v>44175</v>
      </c>
      <c r="C6786" s="1">
        <v>40</v>
      </c>
      <c r="D6786" s="39">
        <f t="shared" si="946"/>
        <v>21493</v>
      </c>
      <c r="E6786" s="1">
        <v>2</v>
      </c>
      <c r="F6786" s="409">
        <f t="shared" si="947"/>
        <v>994</v>
      </c>
      <c r="G6786" s="168">
        <f>SUM(C6786,C6762,C6738,C6714,C6690,C6666,C6642,C6618,C6594,C6570,C6546,C6522,C6498,C6474)/POBLA!$B$17*100000</f>
        <v>32.575187956728357</v>
      </c>
      <c r="H6786" s="256">
        <f t="shared" si="942"/>
        <v>0.41428571428571431</v>
      </c>
      <c r="I6786" s="297">
        <f t="shared" si="948"/>
        <v>13.495435010644606</v>
      </c>
      <c r="J6786" s="297">
        <f t="shared" si="949"/>
        <v>23</v>
      </c>
      <c r="K6786" s="297">
        <f>J6786/POBLA!$B$17*100000</f>
        <v>1.6147183685447244</v>
      </c>
      <c r="L6786" s="549">
        <f t="shared" si="943"/>
        <v>0.46864686468646866</v>
      </c>
      <c r="M6786" s="401">
        <f>SUM(C6786,C6762,C6738,C6714,C6690,C6666,C6642)/POBLA!$B$17*100000</f>
        <v>11.303028579813072</v>
      </c>
    </row>
    <row r="6787" spans="1:13" s="360" customFormat="1" x14ac:dyDescent="0.25">
      <c r="A6787" s="367" t="s">
        <v>35</v>
      </c>
      <c r="B6787" s="2">
        <v>44175</v>
      </c>
      <c r="C6787" s="1">
        <v>239</v>
      </c>
      <c r="D6787" s="39">
        <f t="shared" si="946"/>
        <v>9042</v>
      </c>
      <c r="E6787" s="1"/>
      <c r="F6787" s="409">
        <f t="shared" si="947"/>
        <v>174</v>
      </c>
      <c r="G6787" s="168">
        <f>SUM(C6787,C6763,C6739,C6715,C6691,C6667,C6643,C6619,C6595,C6571,C6547,C6523,C6499,C6475)/POBLA!$B$18*100000</f>
        <v>268.04332214992763</v>
      </c>
      <c r="H6787" s="256">
        <f t="shared" si="942"/>
        <v>0.77155490051584374</v>
      </c>
      <c r="I6787" s="297">
        <f t="shared" si="948"/>
        <v>206.81013875532366</v>
      </c>
      <c r="J6787" s="297">
        <f t="shared" si="949"/>
        <v>115.28571428571429</v>
      </c>
      <c r="K6787" s="297">
        <f>J6787/POBLA!$B$18*100000</f>
        <v>14.75719477247862</v>
      </c>
      <c r="L6787" s="549">
        <f t="shared" si="943"/>
        <v>0.37296037296037299</v>
      </c>
      <c r="M6787" s="401">
        <f>SUM(C6787,C6763,C6739,C6715,C6691,C6667,C6643)/POBLA!$B$18*100000</f>
        <v>103.30036340735033</v>
      </c>
    </row>
    <row r="6788" spans="1:13" s="360" customFormat="1" x14ac:dyDescent="0.25">
      <c r="A6788" s="367" t="s">
        <v>36</v>
      </c>
      <c r="B6788" s="2">
        <v>44175</v>
      </c>
      <c r="C6788" s="1">
        <v>76</v>
      </c>
      <c r="D6788" s="39">
        <f t="shared" si="946"/>
        <v>15363</v>
      </c>
      <c r="E6788" s="1">
        <v>9</v>
      </c>
      <c r="F6788" s="409">
        <f t="shared" si="947"/>
        <v>248</v>
      </c>
      <c r="G6788" s="168">
        <f>SUM(C6788,C6764,C6740,C6716,C6692,C6668,C6644,C6620,C6596,C6572,C6548,C6524,C6500,C6476)/POBLA!$B$19*100000</f>
        <v>301.97038132859097</v>
      </c>
      <c r="H6788" s="256">
        <f t="shared" si="942"/>
        <v>0.46543359611885993</v>
      </c>
      <c r="I6788" s="297">
        <f t="shared" si="948"/>
        <v>140.54716050314954</v>
      </c>
      <c r="J6788" s="297">
        <f t="shared" si="949"/>
        <v>57.857142857142854</v>
      </c>
      <c r="K6788" s="297">
        <f>J6788/POBLA!$B$19*100000</f>
        <v>11.381852437234</v>
      </c>
      <c r="L6788" s="549">
        <f t="shared" si="943"/>
        <v>0.6415929203539823</v>
      </c>
      <c r="M6788" s="401">
        <f>SUM(C6788,C6764,C6740,C6716,C6692,C6668,C6644)/POBLA!$B$19*100000</f>
        <v>79.672967060638015</v>
      </c>
    </row>
    <row r="6789" spans="1:13" s="360" customFormat="1" x14ac:dyDescent="0.25">
      <c r="A6789" s="367" t="s">
        <v>37</v>
      </c>
      <c r="B6789" s="2">
        <v>44175</v>
      </c>
      <c r="C6789" s="1">
        <v>320</v>
      </c>
      <c r="D6789" s="39">
        <f t="shared" si="946"/>
        <v>18109</v>
      </c>
      <c r="E6789" s="1">
        <v>5</v>
      </c>
      <c r="F6789" s="409">
        <f t="shared" si="947"/>
        <v>317</v>
      </c>
      <c r="G6789" s="168">
        <f>SUM(C6789,C6765,C6741,C6717,C6693,C6669,C6645,C6621,C6597,C6573,C6549,C6525,C6501,C6477)/POBLA!$B$20*100000</f>
        <v>828.2790718024163</v>
      </c>
      <c r="H6789" s="256">
        <f t="shared" si="942"/>
        <v>0.99769433465085644</v>
      </c>
      <c r="I6789" s="297">
        <f t="shared" si="948"/>
        <v>826.36933744714065</v>
      </c>
      <c r="J6789" s="297">
        <f t="shared" si="949"/>
        <v>201.85714285714286</v>
      </c>
      <c r="K6789" s="297">
        <f>J6789/POBLA!$B$20*100000</f>
        <v>55.197770525718724</v>
      </c>
      <c r="L6789" s="549">
        <f t="shared" si="943"/>
        <v>0.12561881188118806</v>
      </c>
      <c r="M6789" s="401">
        <f>SUM(C6789,C6765,C6741,C6717,C6693,C6669,C6645)/POBLA!$B$20*100000</f>
        <v>386.38439368003105</v>
      </c>
    </row>
    <row r="6790" spans="1:13" s="360" customFormat="1" x14ac:dyDescent="0.25">
      <c r="A6790" s="367" t="s">
        <v>22</v>
      </c>
      <c r="B6790" s="2">
        <v>44175</v>
      </c>
      <c r="C6790" s="1">
        <v>1000</v>
      </c>
      <c r="D6790" s="39">
        <f t="shared" si="946"/>
        <v>157350</v>
      </c>
      <c r="E6790" s="1">
        <v>34</v>
      </c>
      <c r="F6790" s="409">
        <f t="shared" si="947"/>
        <v>2516</v>
      </c>
      <c r="G6790" s="168">
        <f>SUM(C6790,C6766,C6742,C6718,C6694,C6670,C6646,C6622,C6598,C6574,C6550,C6526,C6502,C6478)/POBLA!$B$21*100000</f>
        <v>404.61845856457018</v>
      </c>
      <c r="H6790" s="256">
        <f t="shared" si="942"/>
        <v>0.76868117109857637</v>
      </c>
      <c r="I6790" s="297">
        <f t="shared" si="948"/>
        <v>311.02259057751462</v>
      </c>
      <c r="J6790" s="297">
        <f t="shared" si="949"/>
        <v>809.42857142857144</v>
      </c>
      <c r="K6790" s="297">
        <f>J6790/POBLA!$B$21*100000</f>
        <v>22.888373812953432</v>
      </c>
      <c r="L6790" s="549">
        <f t="shared" si="943"/>
        <v>0.34444058775887998</v>
      </c>
      <c r="M6790" s="401">
        <f>SUM(C6790,C6766,C6742,C6718,C6694,C6670,C6646)/POBLA!$B$21*100000</f>
        <v>160.21861669067403</v>
      </c>
    </row>
    <row r="6791" spans="1:13" s="360" customFormat="1" x14ac:dyDescent="0.25">
      <c r="A6791" s="367" t="s">
        <v>38</v>
      </c>
      <c r="B6791" s="2">
        <v>44175</v>
      </c>
      <c r="C6791" s="1">
        <v>44</v>
      </c>
      <c r="D6791" s="39">
        <f t="shared" si="946"/>
        <v>16339</v>
      </c>
      <c r="E6791" s="1">
        <v>3</v>
      </c>
      <c r="F6791" s="409">
        <f t="shared" si="947"/>
        <v>205</v>
      </c>
      <c r="G6791" s="168">
        <f>SUM(C6791,C6767,C6743,C6719,C6695,C6671,C6647,C6623,C6599,C6575,C6551,C6527,C6503,C6479)/POBLA!$B$22*100000</f>
        <v>122.55791346941112</v>
      </c>
      <c r="H6791" s="256">
        <f t="shared" si="942"/>
        <v>0.39440789473684212</v>
      </c>
      <c r="I6791" s="297">
        <f t="shared" si="948"/>
        <v>48.337808634810507</v>
      </c>
      <c r="J6791" s="297">
        <f t="shared" si="949"/>
        <v>56.714285714285715</v>
      </c>
      <c r="K6791" s="297">
        <f>J6791/POBLA!$B$22*100000</f>
        <v>5.7971513937038264</v>
      </c>
      <c r="L6791" s="549">
        <f t="shared" si="943"/>
        <v>0.50498753117206985</v>
      </c>
      <c r="M6791" s="401">
        <f>SUM(C6791,C6767,C6743,C6719,C6695,C6671,C6647)/POBLA!$B$22*100000</f>
        <v>40.580059755926783</v>
      </c>
    </row>
    <row r="6792" spans="1:13" s="360" customFormat="1" x14ac:dyDescent="0.25">
      <c r="A6792" s="367" t="s">
        <v>39</v>
      </c>
      <c r="B6792" s="2">
        <v>44175</v>
      </c>
      <c r="C6792" s="1">
        <v>152</v>
      </c>
      <c r="D6792" s="39">
        <f t="shared" si="946"/>
        <v>17160</v>
      </c>
      <c r="E6792" s="1">
        <v>1</v>
      </c>
      <c r="F6792" s="409">
        <f t="shared" si="947"/>
        <v>242</v>
      </c>
      <c r="G6792" s="168">
        <f>SUM(C6792,C6768,C6744,C6720,C6696,C6672,C6648,C6624,C6600,C6576,C6552,C6528,C6504,C6480)/POBLA!$B$23*100000</f>
        <v>738.56246112085057</v>
      </c>
      <c r="H6792" s="256">
        <f t="shared" si="942"/>
        <v>0.66193613786112515</v>
      </c>
      <c r="I6792" s="297">
        <f t="shared" si="948"/>
        <v>488.88118308354325</v>
      </c>
      <c r="J6792" s="297">
        <f t="shared" si="949"/>
        <v>97</v>
      </c>
      <c r="K6792" s="297">
        <f>J6792/POBLA!$B$23*100000</f>
        <v>54.854945427812019</v>
      </c>
      <c r="L6792" s="549">
        <f t="shared" si="943"/>
        <v>-8.2934609250398639E-2</v>
      </c>
      <c r="M6792" s="401">
        <f>SUM(C6792,C6768,C6744,C6720,C6696,C6672,C6648)/POBLA!$B$23*100000</f>
        <v>383.98461799468419</v>
      </c>
    </row>
    <row r="6793" spans="1:13" s="360" customFormat="1" ht="15.75" thickBot="1" x14ac:dyDescent="0.3">
      <c r="A6793" s="369" t="s">
        <v>40</v>
      </c>
      <c r="B6793" s="2">
        <v>44175</v>
      </c>
      <c r="C6793" s="44">
        <v>235</v>
      </c>
      <c r="D6793" s="176">
        <f t="shared" si="946"/>
        <v>67845</v>
      </c>
      <c r="E6793" s="44">
        <v>25</v>
      </c>
      <c r="F6793" s="476">
        <f t="shared" si="947"/>
        <v>1282</v>
      </c>
      <c r="G6793" s="177">
        <f>SUM(C6793,C6769,C6745,C6721,C6697,C6673,C6649,C6625,C6601,C6577,C6553,C6529,C6505,C6481)/POBLA!$B$24*100000</f>
        <v>180.1545564409532</v>
      </c>
      <c r="H6793" s="402">
        <f t="shared" si="942"/>
        <v>0.43213021939136587</v>
      </c>
      <c r="I6793" s="403">
        <f t="shared" si="948"/>
        <v>77.850227999183318</v>
      </c>
      <c r="J6793" s="403">
        <f t="shared" si="949"/>
        <v>138.28571428571428</v>
      </c>
      <c r="K6793" s="403">
        <f>J6793/POBLA!$B$24*100000</f>
        <v>8.1601053125657526</v>
      </c>
      <c r="L6793" s="550">
        <f t="shared" si="943"/>
        <v>0.53573141486810549</v>
      </c>
      <c r="M6793" s="405">
        <f>SUM(C6793,C6769,C6745,C6721,C6697,C6673,C6649)/POBLA!$B$24*100000</f>
        <v>57.120737187960273</v>
      </c>
    </row>
    <row r="6794" spans="1:13" s="360" customFormat="1" x14ac:dyDescent="0.25">
      <c r="A6794" s="363" t="s">
        <v>16</v>
      </c>
      <c r="B6794" s="2">
        <v>44176</v>
      </c>
      <c r="C6794" s="225">
        <v>2101</v>
      </c>
      <c r="D6794" s="174">
        <f t="shared" si="946"/>
        <v>635473</v>
      </c>
      <c r="E6794" s="225">
        <v>31</v>
      </c>
      <c r="F6794" s="475">
        <f t="shared" si="947"/>
        <v>21321</v>
      </c>
      <c r="G6794" s="175">
        <f>SUM(C6794,C6770,C6746,C6722,C6698,C6674,C6650,C6626,C6602,C6578,C6554,C6530,C6506,C6482)/POBLA!$B$1*100000</f>
        <v>117.44389945899185</v>
      </c>
      <c r="H6794" s="300">
        <f t="shared" si="942"/>
        <v>0.70157335512872909</v>
      </c>
      <c r="I6794" s="301">
        <f>G6794*H6794</f>
        <v>82.395510582846043</v>
      </c>
      <c r="J6794" s="301">
        <f>AVERAGE(C6794,C6770,C6746,C6722,C6698,C6674,C6650)</f>
        <v>1298.4285714285713</v>
      </c>
      <c r="K6794" s="301">
        <f>J6794/POBLA!$B$1*100000</f>
        <v>7.4021899226998471</v>
      </c>
      <c r="L6794" s="548">
        <f t="shared" si="943"/>
        <v>0.21047602501737317</v>
      </c>
      <c r="M6794" s="400">
        <f>SUM(C6794,C6770,C6746,C6722,C6698,C6674,C6650)/POBLA!$B$1*100000</f>
        <v>51.815329458898944</v>
      </c>
    </row>
    <row r="6795" spans="1:13" s="360" customFormat="1" x14ac:dyDescent="0.25">
      <c r="A6795" s="367" t="s">
        <v>43</v>
      </c>
      <c r="B6795" s="2">
        <v>44176</v>
      </c>
      <c r="C6795" s="1">
        <v>445</v>
      </c>
      <c r="D6795" s="39">
        <f t="shared" si="946"/>
        <v>162177</v>
      </c>
      <c r="E6795" s="1">
        <v>10</v>
      </c>
      <c r="F6795" s="409">
        <f t="shared" si="947"/>
        <v>5335</v>
      </c>
      <c r="G6795" s="168">
        <f>SUM(C6795,C6771,C6747,C6723,C6699,C6675,C6651,C6627,C6603,C6579,C6555,C6531,C6507,C6483)/POBLA!$B$2*100000</f>
        <v>136.29656989133341</v>
      </c>
      <c r="H6795" s="256">
        <f t="shared" si="942"/>
        <v>0.83789726164301415</v>
      </c>
      <c r="I6795" s="297">
        <f t="shared" ref="I6795:I6817" si="950">G6795*H6795</f>
        <v>114.20252268328395</v>
      </c>
      <c r="J6795" s="297">
        <f t="shared" ref="J6795:J6817" si="951">AVERAGE(C6795,C6771,C6747,C6723,C6699,C6675,C6651)</f>
        <v>283.28571428571428</v>
      </c>
      <c r="K6795" s="297">
        <f>J6795/POBLA!$B$2*100000</f>
        <v>9.2106085773757531</v>
      </c>
      <c r="L6795" s="549">
        <f t="shared" si="943"/>
        <v>0.10230873698506115</v>
      </c>
      <c r="M6795" s="401">
        <f>SUM(C6795,C6771,C6747,C6723,C6699,C6675,C6651)/POBLA!$B$2*100000</f>
        <v>64.474260041630274</v>
      </c>
    </row>
    <row r="6796" spans="1:13" s="360" customFormat="1" x14ac:dyDescent="0.25">
      <c r="A6796" s="367" t="s">
        <v>28</v>
      </c>
      <c r="B6796" s="2">
        <v>44176</v>
      </c>
      <c r="C6796" s="1">
        <v>3</v>
      </c>
      <c r="D6796" s="39">
        <f t="shared" si="946"/>
        <v>2060</v>
      </c>
      <c r="E6796" s="1"/>
      <c r="F6796" s="409">
        <f t="shared" si="947"/>
        <v>17</v>
      </c>
      <c r="G6796" s="168">
        <f>SUM(C6796,C6772,C6748,C6724,C6700,C6676,C6652,C6628,C6604,C6580,C6556,C6532,C6508,C6484)/POBLA!$B$3*100000</f>
        <v>66.917325810349567</v>
      </c>
      <c r="H6796" s="256">
        <f t="shared" si="942"/>
        <v>0.70379746835443036</v>
      </c>
      <c r="I6796" s="297">
        <f t="shared" si="950"/>
        <v>47.096244494372606</v>
      </c>
      <c r="J6796" s="297">
        <f t="shared" si="951"/>
        <v>17</v>
      </c>
      <c r="K6796" s="297">
        <f>J6796/POBLA!$B$3*100000</f>
        <v>4.0920666862443973</v>
      </c>
      <c r="L6796" s="549">
        <f t="shared" si="943"/>
        <v>0.25157232704402521</v>
      </c>
      <c r="M6796" s="401">
        <f>SUM(C6796,C6772,C6748,C6724,C6700,C6676,C6652)/POBLA!$B$3*100000</f>
        <v>28.644466803710785</v>
      </c>
    </row>
    <row r="6797" spans="1:13" s="360" customFormat="1" x14ac:dyDescent="0.25">
      <c r="A6797" s="367" t="s">
        <v>15</v>
      </c>
      <c r="B6797" s="2">
        <v>44176</v>
      </c>
      <c r="C6797" s="1">
        <v>202</v>
      </c>
      <c r="D6797" s="39">
        <f t="shared" si="946"/>
        <v>21393</v>
      </c>
      <c r="E6797" s="1">
        <v>6</v>
      </c>
      <c r="F6797" s="409">
        <f t="shared" si="947"/>
        <v>615</v>
      </c>
      <c r="G6797" s="168">
        <f>SUM(C6797,C6773,C6749,C6725,C6701,C6677,C6653,C6629,C6605,C6581,C6557,C6533,C6509,C6485)/POBLA!$B$4*100000</f>
        <v>218.92156431370952</v>
      </c>
      <c r="H6797" s="256">
        <f t="shared" si="942"/>
        <v>0.94753862738052463</v>
      </c>
      <c r="I6797" s="297">
        <f t="shared" si="950"/>
        <v>207.43663855380956</v>
      </c>
      <c r="J6797" s="297">
        <f t="shared" si="951"/>
        <v>151.42857142857142</v>
      </c>
      <c r="K6797" s="297">
        <f>J6797/POBLA!$B$4*100000</f>
        <v>12.571475062166535</v>
      </c>
      <c r="L6797" s="549">
        <f t="shared" si="943"/>
        <v>0.32783766645529488</v>
      </c>
      <c r="M6797" s="401">
        <f>SUM(C6797,C6773,C6749,C6725,C6701,C6677,C6653)/POBLA!$B$4*100000</f>
        <v>88.000325435165763</v>
      </c>
    </row>
    <row r="6798" spans="1:13" s="360" customFormat="1" x14ac:dyDescent="0.25">
      <c r="A6798" s="367" t="s">
        <v>29</v>
      </c>
      <c r="B6798" s="2">
        <v>44176</v>
      </c>
      <c r="C6798" s="1">
        <v>342</v>
      </c>
      <c r="D6798" s="39">
        <f t="shared" si="946"/>
        <v>25715</v>
      </c>
      <c r="E6798" s="1">
        <v>10</v>
      </c>
      <c r="F6798" s="409">
        <f t="shared" si="947"/>
        <v>436</v>
      </c>
      <c r="G6798" s="168">
        <f>SUM(C6798,C6774,C6750,C6726,C6702,C6678,C6654,C6630,C6606,C6582,C6558,C6534,C6510,C6486)/POBLA!$B$5*100000</f>
        <v>553.80181391095869</v>
      </c>
      <c r="H6798" s="256">
        <f t="shared" si="942"/>
        <v>0.97110481586402264</v>
      </c>
      <c r="I6798" s="297">
        <f t="shared" si="950"/>
        <v>537.79960852316322</v>
      </c>
      <c r="J6798" s="297">
        <f t="shared" si="951"/>
        <v>216.85714285714286</v>
      </c>
      <c r="K6798" s="297">
        <f>J6798/POBLA!$B$5*100000</f>
        <v>35.033803697151001</v>
      </c>
      <c r="L6798" s="549">
        <f t="shared" si="943"/>
        <v>0.20523560209424085</v>
      </c>
      <c r="M6798" s="401">
        <f>SUM(C6798,C6774,C6750,C6726,C6702,C6678,C6654)/POBLA!$B$5*100000</f>
        <v>245.23662588005701</v>
      </c>
    </row>
    <row r="6799" spans="1:13" s="360" customFormat="1" x14ac:dyDescent="0.25">
      <c r="A6799" s="367" t="s">
        <v>20</v>
      </c>
      <c r="B6799" s="2">
        <v>44176</v>
      </c>
      <c r="C6799" s="1">
        <v>532</v>
      </c>
      <c r="D6799" s="39">
        <f t="shared" si="946"/>
        <v>119241</v>
      </c>
      <c r="E6799" s="1">
        <v>36</v>
      </c>
      <c r="F6799" s="409">
        <f t="shared" si="947"/>
        <v>2203</v>
      </c>
      <c r="G6799" s="168">
        <f>SUM(C6799,C6775,C6751,C6727,C6703,C6679,C6655,C6631,C6607,C6583,C6559,C6535,C6511,C6487)/POBLA!$B$6*100000</f>
        <v>581.90526239716064</v>
      </c>
      <c r="H6799" s="256">
        <f t="shared" si="942"/>
        <v>0.53336604514229635</v>
      </c>
      <c r="I6799" s="297">
        <f t="shared" si="950"/>
        <v>310.36850845226377</v>
      </c>
      <c r="J6799" s="297">
        <f t="shared" si="951"/>
        <v>348.85714285714283</v>
      </c>
      <c r="K6799" s="297">
        <f>J6799/POBLA!$B$6*100000</f>
        <v>31.125698750906079</v>
      </c>
      <c r="L6799" s="549">
        <f t="shared" si="943"/>
        <v>0.40147058823529413</v>
      </c>
      <c r="M6799" s="401">
        <f>SUM(C6799,C6775,C6751,C6727,C6703,C6679,C6655)/POBLA!$B$6*100000</f>
        <v>217.87989125634255</v>
      </c>
    </row>
    <row r="6800" spans="1:13" s="360" customFormat="1" x14ac:dyDescent="0.25">
      <c r="A6800" s="367" t="s">
        <v>30</v>
      </c>
      <c r="B6800" s="2">
        <v>44176</v>
      </c>
      <c r="C6800" s="1">
        <v>171</v>
      </c>
      <c r="D6800" s="39">
        <f t="shared" si="946"/>
        <v>9442</v>
      </c>
      <c r="E6800" s="1">
        <v>3</v>
      </c>
      <c r="F6800" s="409">
        <f t="shared" si="947"/>
        <v>133</v>
      </c>
      <c r="G6800" s="168">
        <f>SUM(C6800,C6776,C6752,C6728,C6704,C6680,C6656,C6632,C6608,C6584,C6560,C6536,C6512,C6488)/POBLA!$B$7*100000</f>
        <v>106.37024824156683</v>
      </c>
      <c r="H6800" s="256">
        <f t="shared" si="942"/>
        <v>2.0376974019358127</v>
      </c>
      <c r="I6800" s="297">
        <f t="shared" si="950"/>
        <v>216.75037848510817</v>
      </c>
      <c r="J6800" s="297">
        <f t="shared" si="951"/>
        <v>149.14285714285714</v>
      </c>
      <c r="K6800" s="297">
        <f>J6800/POBLA!$B$7*100000</f>
        <v>3.9660906844355632</v>
      </c>
      <c r="L6800" s="549">
        <f t="shared" si="943"/>
        <v>0.64682002706359953</v>
      </c>
      <c r="M6800" s="401">
        <f>SUM(C6800,C6776,C6752,C6728,C6704,C6680,C6656)/POBLA!$B$7*100000</f>
        <v>27.762634791048942</v>
      </c>
    </row>
    <row r="6801" spans="1:13" x14ac:dyDescent="0.25">
      <c r="A6801" s="367" t="s">
        <v>31</v>
      </c>
      <c r="B6801" s="2">
        <v>44176</v>
      </c>
      <c r="C6801" s="1">
        <v>350</v>
      </c>
      <c r="D6801" s="39">
        <f t="shared" si="946"/>
        <v>25339</v>
      </c>
      <c r="E6801" s="1">
        <v>9</v>
      </c>
      <c r="F6801" s="409">
        <f t="shared" si="947"/>
        <v>517</v>
      </c>
      <c r="G6801" s="168">
        <f>SUM(C6801,C6777,C6753,C6729,C6705,C6681,C6657,C6633,C6609,C6585,C6561,C6537,C6513,C6489)/POBLA!$B$8*100000</f>
        <v>179.37012657643325</v>
      </c>
      <c r="H6801" s="256">
        <f t="shared" si="942"/>
        <v>0.75493470999088974</v>
      </c>
      <c r="I6801" s="297">
        <f t="shared" si="950"/>
        <v>135.41273448800882</v>
      </c>
      <c r="J6801" s="297">
        <f t="shared" si="951"/>
        <v>165.42857142857142</v>
      </c>
      <c r="K6801" s="297">
        <f>J6801/POBLA!$B$8*100000</f>
        <v>11.936019226267652</v>
      </c>
      <c r="L6801" s="549">
        <f t="shared" si="943"/>
        <v>0.12801204819277112</v>
      </c>
      <c r="M6801" s="401">
        <f>SUM(C6801,C6777,C6753,C6729,C6705,C6681,C6657)/POBLA!$B$8*100000</f>
        <v>83.552134583873567</v>
      </c>
    </row>
    <row r="6802" spans="1:13" s="360" customFormat="1" x14ac:dyDescent="0.25">
      <c r="A6802" s="367" t="s">
        <v>41</v>
      </c>
      <c r="B6802" s="2">
        <v>44176</v>
      </c>
      <c r="C6802" s="1">
        <v>1</v>
      </c>
      <c r="D6802" s="39">
        <f t="shared" si="946"/>
        <v>196</v>
      </c>
      <c r="E6802" s="1"/>
      <c r="F6802" s="409">
        <f t="shared" si="947"/>
        <v>3</v>
      </c>
      <c r="G6802" s="168">
        <f>SUM(C6802,C6778,C6754,C6730,C6706,C6682,C6658,C6634,C6610,C6586,C6562,C6538,C6514,C6490)/POBLA!$B$9*100000</f>
        <v>2.8090212543767032</v>
      </c>
      <c r="H6802" s="256">
        <f t="shared" si="942"/>
        <v>1.4166666666666667</v>
      </c>
      <c r="I6802" s="297">
        <f t="shared" si="950"/>
        <v>3.979446777033663</v>
      </c>
      <c r="J6802" s="297">
        <f t="shared" si="951"/>
        <v>1</v>
      </c>
      <c r="K6802" s="297">
        <f>J6802/POBLA!$B$9*100000</f>
        <v>0.16523654437510019</v>
      </c>
      <c r="L6802" s="549">
        <f t="shared" si="943"/>
        <v>0.30000000000000004</v>
      </c>
      <c r="M6802" s="401">
        <f>SUM(C6802,C6778,C6754,C6730,C6706,C6682,C6658)/POBLA!$B$9*100000</f>
        <v>1.1566558106257012</v>
      </c>
    </row>
    <row r="6803" spans="1:13" s="360" customFormat="1" x14ac:dyDescent="0.25">
      <c r="A6803" s="367" t="s">
        <v>32</v>
      </c>
      <c r="B6803" s="2">
        <v>44176</v>
      </c>
      <c r="C6803" s="1">
        <v>8</v>
      </c>
      <c r="D6803" s="39">
        <f t="shared" si="946"/>
        <v>18439</v>
      </c>
      <c r="E6803" s="1"/>
      <c r="F6803" s="409">
        <f t="shared" si="947"/>
        <v>853</v>
      </c>
      <c r="G6803" s="168">
        <f>SUM(C6803,C6779,C6755,C6731,C6707,C6683,C6659,C6635,C6611,C6587,C6563,C6539,C6515,C6491)/POBLA!$B$10*100000</f>
        <v>10.248014933563027</v>
      </c>
      <c r="H6803" s="256">
        <f t="shared" si="942"/>
        <v>0.33617021276595743</v>
      </c>
      <c r="I6803" s="297">
        <f t="shared" si="950"/>
        <v>3.4450773606445919</v>
      </c>
      <c r="J6803" s="297">
        <f t="shared" si="951"/>
        <v>3.8571428571428572</v>
      </c>
      <c r="K6803" s="297">
        <f>J6803/POBLA!$B$10*100000</f>
        <v>0.50035515950488552</v>
      </c>
      <c r="L6803" s="549">
        <f t="shared" si="943"/>
        <v>0.48076923076923073</v>
      </c>
      <c r="M6803" s="401">
        <f>SUM(C6803,C6779,C6755,C6731,C6707,C6683,C6659)/POBLA!$B$10*100000</f>
        <v>3.5024861165341994</v>
      </c>
    </row>
    <row r="6804" spans="1:13" s="360" customFormat="1" x14ac:dyDescent="0.25">
      <c r="A6804" s="367" t="s">
        <v>33</v>
      </c>
      <c r="B6804" s="2">
        <v>44176</v>
      </c>
      <c r="C6804" s="1">
        <v>134</v>
      </c>
      <c r="D6804" s="39">
        <f t="shared" si="946"/>
        <v>6759</v>
      </c>
      <c r="E6804" s="1">
        <v>3</v>
      </c>
      <c r="F6804" s="409">
        <f t="shared" si="947"/>
        <v>99</v>
      </c>
      <c r="G6804" s="168">
        <f>SUM(C6804,C6780,C6756,C6732,C6708,C6684,C6660,C6636,C6612,C6588,C6564,C6540,C6516,C6492)/POBLA!$B$11*100000</f>
        <v>326.42539087348086</v>
      </c>
      <c r="H6804" s="256">
        <f t="shared" si="942"/>
        <v>1.1239193083573487</v>
      </c>
      <c r="I6804" s="297">
        <f t="shared" si="950"/>
        <v>366.87579954079979</v>
      </c>
      <c r="J6804" s="297">
        <f t="shared" si="951"/>
        <v>86.857142857142861</v>
      </c>
      <c r="K6804" s="297">
        <f>J6804/POBLA!$B$11*100000</f>
        <v>24.232800689997113</v>
      </c>
      <c r="L6804" s="549">
        <f t="shared" si="943"/>
        <v>-8.1850533807829251E-2</v>
      </c>
      <c r="M6804" s="401">
        <f>SUM(C6804,C6780,C6756,C6732,C6708,C6684,C6660)/POBLA!$B$11*100000</f>
        <v>169.6296048299798</v>
      </c>
    </row>
    <row r="6805" spans="1:13" s="360" customFormat="1" x14ac:dyDescent="0.25">
      <c r="A6805" s="367" t="s">
        <v>21</v>
      </c>
      <c r="B6805" s="2">
        <v>44176</v>
      </c>
      <c r="C6805" s="1">
        <v>3</v>
      </c>
      <c r="D6805" s="39">
        <f t="shared" si="946"/>
        <v>8905</v>
      </c>
      <c r="E6805" s="1">
        <v>1</v>
      </c>
      <c r="F6805" s="409">
        <f t="shared" si="947"/>
        <v>323</v>
      </c>
      <c r="G6805" s="168">
        <f>SUM(C6805,C6781,C6757,C6733,C6709,C6685,C6661,C6637,C6613,C6589,C6565,C6541,C6517,C6493)/POBLA!$B$12*100000</f>
        <v>69.880136507670301</v>
      </c>
      <c r="H6805" s="256">
        <f t="shared" si="942"/>
        <v>0.49638989169675091</v>
      </c>
      <c r="I6805" s="297">
        <f t="shared" si="950"/>
        <v>34.687793392796628</v>
      </c>
      <c r="J6805" s="297">
        <f t="shared" si="951"/>
        <v>13.285714285714286</v>
      </c>
      <c r="K6805" s="297">
        <f>J6805/POBLA!$B$12*100000</f>
        <v>3.376027374136799</v>
      </c>
      <c r="L6805" s="549">
        <f t="shared" si="943"/>
        <v>0.48901098901098905</v>
      </c>
      <c r="M6805" s="401">
        <f>SUM(C6805,C6781,C6757,C6733,C6709,C6685,C6661)/POBLA!$B$12*100000</f>
        <v>23.632191618957592</v>
      </c>
    </row>
    <row r="6806" spans="1:13" s="360" customFormat="1" x14ac:dyDescent="0.25">
      <c r="A6806" s="367" t="s">
        <v>17</v>
      </c>
      <c r="B6806" s="2">
        <v>44176</v>
      </c>
      <c r="C6806" s="1">
        <v>124</v>
      </c>
      <c r="D6806" s="39">
        <f t="shared" si="946"/>
        <v>58027</v>
      </c>
      <c r="E6806" s="1">
        <v>1</v>
      </c>
      <c r="F6806" s="409">
        <f t="shared" si="947"/>
        <v>1173</v>
      </c>
      <c r="G6806" s="168">
        <f>SUM(C6806,C6782,C6758,C6734,C6710,C6686,C6662,C6638,C6614,C6590,C6566,C6542,C6518,C6494)/POBLA!$B$13*100000</f>
        <v>93.401221300100786</v>
      </c>
      <c r="H6806" s="256">
        <f t="shared" si="942"/>
        <v>0.53588930527529544</v>
      </c>
      <c r="I6806" s="297">
        <f t="shared" si="950"/>
        <v>50.052715594375137</v>
      </c>
      <c r="J6806" s="297">
        <f t="shared" si="951"/>
        <v>85.714285714285708</v>
      </c>
      <c r="K6806" s="297">
        <f>J6806/POBLA!$B$13*100000</f>
        <v>4.3065190793868036</v>
      </c>
      <c r="L6806" s="549">
        <f t="shared" si="943"/>
        <v>0.52343129467831617</v>
      </c>
      <c r="M6806" s="401">
        <f>SUM(C6806,C6782,C6758,C6734,C6710,C6686,C6662)/POBLA!$B$13*100000</f>
        <v>30.145633555707622</v>
      </c>
    </row>
    <row r="6807" spans="1:13" s="360" customFormat="1" x14ac:dyDescent="0.25">
      <c r="A6807" s="367" t="s">
        <v>23</v>
      </c>
      <c r="B6807" s="2">
        <v>44176</v>
      </c>
      <c r="C6807" s="1">
        <v>20</v>
      </c>
      <c r="D6807" s="39">
        <f t="shared" si="946"/>
        <v>636</v>
      </c>
      <c r="E6807" s="1"/>
      <c r="F6807" s="409">
        <f t="shared" si="947"/>
        <v>9</v>
      </c>
      <c r="G6807" s="168">
        <f>SUM(C6807,C6783,C6759,C6735,C6711,C6687,C6663,C6639,C6615,C6591,C6567,C6543,C6519,C6495)/POBLA!$B$14*100000</f>
        <v>11.892548446278187</v>
      </c>
      <c r="H6807" s="256">
        <f t="shared" si="942"/>
        <v>1.271186440677966</v>
      </c>
      <c r="I6807" s="297">
        <f t="shared" si="950"/>
        <v>15.117646330014644</v>
      </c>
      <c r="J6807" s="297">
        <f t="shared" si="951"/>
        <v>10.428571428571429</v>
      </c>
      <c r="K6807" s="297">
        <f>J6807/POBLA!$B$14*100000</f>
        <v>0.82681527293172163</v>
      </c>
      <c r="L6807" s="549">
        <f t="shared" si="943"/>
        <v>5.1948051948051965E-2</v>
      </c>
      <c r="M6807" s="401">
        <f>SUM(C6807,C6783,C6759,C6735,C6711,C6687,C6663)/POBLA!$B$14*100000</f>
        <v>5.7877069105220507</v>
      </c>
    </row>
    <row r="6808" spans="1:13" s="360" customFormat="1" x14ac:dyDescent="0.25">
      <c r="A6808" s="367" t="s">
        <v>19</v>
      </c>
      <c r="B6808" s="2">
        <v>44176</v>
      </c>
      <c r="C6808" s="1">
        <v>183</v>
      </c>
      <c r="D6808" s="39">
        <f t="shared" si="946"/>
        <v>36690</v>
      </c>
      <c r="E6808" s="1">
        <v>12</v>
      </c>
      <c r="F6808" s="409">
        <f t="shared" si="947"/>
        <v>673</v>
      </c>
      <c r="G6808" s="168">
        <f>SUM(C6808,C6784,C6760,C6736,C6712,C6688,C6664,C6640,C6616,C6592,C6568,C6544,C6520,C6496)/POBLA!$B$15*100000</f>
        <v>787.13122518097089</v>
      </c>
      <c r="H6808" s="256">
        <f t="shared" si="942"/>
        <v>1.0517102615694165</v>
      </c>
      <c r="I6808" s="297">
        <f t="shared" si="950"/>
        <v>827.83398672453416</v>
      </c>
      <c r="J6808" s="297">
        <f t="shared" si="951"/>
        <v>390.71428571428572</v>
      </c>
      <c r="K6808" s="297">
        <f>J6808/POBLA!$B$15*100000</f>
        <v>58.837462102543256</v>
      </c>
      <c r="L6808" s="549">
        <f t="shared" si="943"/>
        <v>-9.7512038523274391E-2</v>
      </c>
      <c r="M6808" s="401">
        <f>SUM(C6808,C6784,C6760,C6736,C6712,C6688,C6664)/POBLA!$B$15*100000</f>
        <v>411.86223471780283</v>
      </c>
    </row>
    <row r="6809" spans="1:13" s="360" customFormat="1" x14ac:dyDescent="0.25">
      <c r="A6809" s="367" t="s">
        <v>18</v>
      </c>
      <c r="B6809" s="2">
        <v>44176</v>
      </c>
      <c r="C6809" s="1">
        <v>218</v>
      </c>
      <c r="D6809" s="39">
        <f t="shared" si="946"/>
        <v>33860</v>
      </c>
      <c r="E6809" s="1">
        <v>16</v>
      </c>
      <c r="F6809" s="409">
        <f t="shared" si="947"/>
        <v>835</v>
      </c>
      <c r="G6809" s="168">
        <f>SUM(C6809,C6785,C6761,C6737,C6713,C6689,C6665,C6641,C6617,C6593,C6569,C6545,C6521,C6497)/POBLA!$B$16*100000</f>
        <v>346.43731357258463</v>
      </c>
      <c r="H6809" s="256">
        <f t="shared" si="942"/>
        <v>0.81574803149606301</v>
      </c>
      <c r="I6809" s="297">
        <f t="shared" si="950"/>
        <v>282.60555658362023</v>
      </c>
      <c r="J6809" s="297">
        <f t="shared" si="951"/>
        <v>177.57142857142858</v>
      </c>
      <c r="K6809" s="297">
        <f>J6809/POBLA!$B$16*100000</f>
        <v>23.751879799819235</v>
      </c>
      <c r="L6809" s="549">
        <f t="shared" si="943"/>
        <v>7.7208611729769894E-2</v>
      </c>
      <c r="M6809" s="401">
        <f>SUM(C6809,C6785,C6761,C6737,C6713,C6689,C6665)/POBLA!$B$16*100000</f>
        <v>166.26315859873463</v>
      </c>
    </row>
    <row r="6810" spans="1:13" s="360" customFormat="1" x14ac:dyDescent="0.25">
      <c r="A6810" s="367" t="s">
        <v>34</v>
      </c>
      <c r="B6810" s="2">
        <v>44176</v>
      </c>
      <c r="C6810" s="1">
        <v>28</v>
      </c>
      <c r="D6810" s="39">
        <f t="shared" si="946"/>
        <v>21521</v>
      </c>
      <c r="E6810" s="1">
        <v>2</v>
      </c>
      <c r="F6810" s="409">
        <f t="shared" si="947"/>
        <v>996</v>
      </c>
      <c r="G6810" s="168">
        <f>SUM(C6810,C6786,C6762,C6738,C6714,C6690,C6666,C6642,C6618,C6594,C6570,C6546,C6522,C6498)/POBLA!$B$17*100000</f>
        <v>30.960469588183631</v>
      </c>
      <c r="H6810" s="256">
        <f t="shared" ref="H6810:H6841" si="952">SUM(C6810,C6786,C6762,C6738,C6714,C6690,C6666,C6642,C6618,C6594,C6570,C6546,C6522,C6498)/SUM(C6474,C6450,C6426,C6402,C6378,C6354,C6330,C6306,C6282,C6258,C6234,C6210,C6186,C6162)</f>
        <v>0.4349112426035503</v>
      </c>
      <c r="I6810" s="297">
        <f t="shared" si="950"/>
        <v>13.465056300186372</v>
      </c>
      <c r="J6810" s="297">
        <f t="shared" si="951"/>
        <v>20.142857142857142</v>
      </c>
      <c r="K6810" s="297">
        <f>J6810/POBLA!$B$17*100000</f>
        <v>1.4141322358062494</v>
      </c>
      <c r="L6810" s="549">
        <f t="shared" ref="L6810:L6841" si="953">1-SUM(C6810,C6786,C6762,C6738,C6714,C6690,C6666)/SUM(C6642,C6618,C6594,C6570,C6546,C6522,C6498)</f>
        <v>0.53</v>
      </c>
      <c r="M6810" s="401">
        <f>SUM(C6810,C6786,C6762,C6738,C6714,C6690,C6666)/POBLA!$B$17*100000</f>
        <v>9.8989256506437471</v>
      </c>
    </row>
    <row r="6811" spans="1:13" s="360" customFormat="1" x14ac:dyDescent="0.25">
      <c r="A6811" s="367" t="s">
        <v>35</v>
      </c>
      <c r="B6811" s="2">
        <v>44176</v>
      </c>
      <c r="C6811" s="1">
        <v>132</v>
      </c>
      <c r="D6811" s="39">
        <f t="shared" si="946"/>
        <v>9174</v>
      </c>
      <c r="E6811" s="1"/>
      <c r="F6811" s="409">
        <f t="shared" si="947"/>
        <v>174</v>
      </c>
      <c r="G6811" s="168">
        <f>SUM(C6811,C6787,C6763,C6739,C6715,C6691,C6667,C6643,C6619,C6595,C6571,C6547,C6523,C6499)/POBLA!$B$18*100000</f>
        <v>254.9867706411919</v>
      </c>
      <c r="H6811" s="256">
        <f t="shared" si="952"/>
        <v>0.69894736842105265</v>
      </c>
      <c r="I6811" s="297">
        <f t="shared" si="950"/>
        <v>178.2223323218436</v>
      </c>
      <c r="J6811" s="297">
        <f t="shared" si="951"/>
        <v>111.42857142857143</v>
      </c>
      <c r="K6811" s="297">
        <f>J6811/POBLA!$B$18*100000</f>
        <v>14.263459631391973</v>
      </c>
      <c r="L6811" s="549">
        <f t="shared" si="953"/>
        <v>0.35643564356435642</v>
      </c>
      <c r="M6811" s="401">
        <f>SUM(C6811,C6787,C6763,C6739,C6715,C6691,C6667)/POBLA!$B$18*100000</f>
        <v>99.844217419743813</v>
      </c>
    </row>
    <row r="6812" spans="1:13" s="360" customFormat="1" x14ac:dyDescent="0.25">
      <c r="A6812" s="367" t="s">
        <v>36</v>
      </c>
      <c r="B6812" s="2">
        <v>44176</v>
      </c>
      <c r="C6812" s="1">
        <v>76</v>
      </c>
      <c r="D6812" s="39">
        <f t="shared" si="946"/>
        <v>15439</v>
      </c>
      <c r="E6812" s="1">
        <v>1</v>
      </c>
      <c r="F6812" s="409">
        <f t="shared" si="947"/>
        <v>249</v>
      </c>
      <c r="G6812" s="168">
        <f>SUM(C6812,C6788,C6764,C6740,C6716,C6692,C6668,C6644,C6620,C6596,C6572,C6548,C6524,C6500)/POBLA!$B$19*100000</f>
        <v>294.49489306117312</v>
      </c>
      <c r="H6812" s="256">
        <f t="shared" si="952"/>
        <v>0.50797421106209706</v>
      </c>
      <c r="I6812" s="297">
        <f t="shared" si="950"/>
        <v>149.59581096456606</v>
      </c>
      <c r="J6812" s="297">
        <f t="shared" si="951"/>
        <v>58.428571428571431</v>
      </c>
      <c r="K6812" s="297">
        <f>J6812/POBLA!$B$19*100000</f>
        <v>11.494265794638782</v>
      </c>
      <c r="L6812" s="549">
        <f t="shared" si="953"/>
        <v>0.62408088235294112</v>
      </c>
      <c r="M6812" s="401">
        <f>SUM(C6812,C6788,C6764,C6740,C6716,C6692,C6668)/POBLA!$B$19*100000</f>
        <v>80.459860562471476</v>
      </c>
    </row>
    <row r="6813" spans="1:13" s="360" customFormat="1" x14ac:dyDescent="0.25">
      <c r="A6813" s="367" t="s">
        <v>37</v>
      </c>
      <c r="B6813" s="2">
        <v>44176</v>
      </c>
      <c r="C6813" s="1">
        <v>296</v>
      </c>
      <c r="D6813" s="39">
        <f t="shared" si="946"/>
        <v>18405</v>
      </c>
      <c r="E6813" s="1">
        <v>5</v>
      </c>
      <c r="F6813" s="409">
        <f t="shared" si="947"/>
        <v>322</v>
      </c>
      <c r="G6813" s="168">
        <f>SUM(C6813,C6789,C6765,C6741,C6717,C6693,C6669,C6645,C6621,C6597,C6573,C6549,C6525,C6501)/POBLA!$B$20*100000</f>
        <v>829.09942083358396</v>
      </c>
      <c r="H6813" s="256">
        <f t="shared" si="952"/>
        <v>0.98955613577023493</v>
      </c>
      <c r="I6813" s="297">
        <f t="shared" si="950"/>
        <v>820.44041904942117</v>
      </c>
      <c r="J6813" s="297">
        <f t="shared" si="951"/>
        <v>209.57142857142858</v>
      </c>
      <c r="K6813" s="297">
        <f>J6813/POBLA!$B$20*100000</f>
        <v>57.307239463007342</v>
      </c>
      <c r="L6813" s="549">
        <f t="shared" si="953"/>
        <v>6.2619808306709213E-2</v>
      </c>
      <c r="M6813" s="401">
        <f>SUM(C6813,C6789,C6765,C6741,C6717,C6693,C6669)/POBLA!$B$20*100000</f>
        <v>401.15067624105137</v>
      </c>
    </row>
    <row r="6814" spans="1:13" s="360" customFormat="1" x14ac:dyDescent="0.25">
      <c r="A6814" s="367" t="s">
        <v>22</v>
      </c>
      <c r="B6814" s="2">
        <v>44176</v>
      </c>
      <c r="C6814" s="1">
        <v>1205</v>
      </c>
      <c r="D6814" s="39">
        <f t="shared" si="946"/>
        <v>158555</v>
      </c>
      <c r="E6814" s="1">
        <v>20</v>
      </c>
      <c r="F6814" s="409">
        <f t="shared" si="947"/>
        <v>2536</v>
      </c>
      <c r="G6814" s="168">
        <f>SUM(C6814,C6790,C6766,C6742,C6718,C6694,C6670,C6646,C6622,C6598,C6574,C6550,C6526,C6502)/POBLA!$B$21*100000</f>
        <v>399.38717651589826</v>
      </c>
      <c r="H6814" s="256">
        <f t="shared" si="952"/>
        <v>0.77087654186224208</v>
      </c>
      <c r="I6814" s="297">
        <f t="shared" si="950"/>
        <v>307.8782054967005</v>
      </c>
      <c r="J6814" s="297">
        <f t="shared" si="951"/>
        <v>840</v>
      </c>
      <c r="K6814" s="297">
        <f>J6814/POBLA!$B$21*100000</f>
        <v>23.752848220996501</v>
      </c>
      <c r="L6814" s="549">
        <f t="shared" si="953"/>
        <v>0.28675400291120812</v>
      </c>
      <c r="M6814" s="401">
        <f>SUM(C6814,C6790,C6766,C6742,C6718,C6694,C6670)/POBLA!$B$21*100000</f>
        <v>166.26993754697551</v>
      </c>
    </row>
    <row r="6815" spans="1:13" s="360" customFormat="1" x14ac:dyDescent="0.25">
      <c r="A6815" s="367" t="s">
        <v>38</v>
      </c>
      <c r="B6815" s="2">
        <v>44176</v>
      </c>
      <c r="C6815" s="1">
        <v>62</v>
      </c>
      <c r="D6815" s="39">
        <f t="shared" si="946"/>
        <v>16401</v>
      </c>
      <c r="E6815" s="1">
        <v>1</v>
      </c>
      <c r="F6815" s="409">
        <f t="shared" si="947"/>
        <v>206</v>
      </c>
      <c r="G6815" s="168">
        <f>SUM(C6815,C6791,C6767,C6743,C6719,C6695,C6671,C6647,C6623,C6599,C6575,C6551,C6527,C6503)/POBLA!$B$22*100000</f>
        <v>112.74510304984192</v>
      </c>
      <c r="H6815" s="256">
        <f t="shared" si="952"/>
        <v>0.40942835931700072</v>
      </c>
      <c r="I6815" s="297">
        <f t="shared" si="950"/>
        <v>46.161042562722947</v>
      </c>
      <c r="J6815" s="297">
        <f t="shared" si="951"/>
        <v>53.857142857142854</v>
      </c>
      <c r="K6815" s="297">
        <f>J6815/POBLA!$B$22*100000</f>
        <v>5.5051034645499808</v>
      </c>
      <c r="L6815" s="549">
        <f t="shared" si="953"/>
        <v>0.4807162534435262</v>
      </c>
      <c r="M6815" s="401">
        <f>SUM(C6815,C6791,C6767,C6743,C6719,C6695,C6671)/POBLA!$B$22*100000</f>
        <v>38.535724251849871</v>
      </c>
    </row>
    <row r="6816" spans="1:13" s="360" customFormat="1" x14ac:dyDescent="0.25">
      <c r="A6816" s="367" t="s">
        <v>39</v>
      </c>
      <c r="B6816" s="2">
        <v>44176</v>
      </c>
      <c r="C6816" s="1">
        <v>177</v>
      </c>
      <c r="D6816" s="39">
        <f t="shared" si="946"/>
        <v>17337</v>
      </c>
      <c r="E6816" s="1"/>
      <c r="F6816" s="409">
        <f t="shared" si="947"/>
        <v>242</v>
      </c>
      <c r="G6816" s="168">
        <f>SUM(C6816,C6792,C6768,C6744,C6720,C6696,C6672,C6648,C6624,C6600,C6576,C6552,C6528,C6504)/POBLA!$B$23*100000</f>
        <v>790.02431714075669</v>
      </c>
      <c r="H6816" s="256">
        <f t="shared" si="952"/>
        <v>0.73993644067796616</v>
      </c>
      <c r="I6816" s="297">
        <f t="shared" si="950"/>
        <v>584.56778127417226</v>
      </c>
      <c r="J6816" s="297">
        <f t="shared" si="951"/>
        <v>107</v>
      </c>
      <c r="K6816" s="297">
        <f>J6816/POBLA!$B$23*100000</f>
        <v>60.510094440988517</v>
      </c>
      <c r="L6816" s="549">
        <f t="shared" si="953"/>
        <v>-0.15586419753086411</v>
      </c>
      <c r="M6816" s="401">
        <f>SUM(C6816,C6792,C6768,C6744,C6720,C6696,C6672)/POBLA!$B$23*100000</f>
        <v>423.57066108691959</v>
      </c>
    </row>
    <row r="6817" spans="1:13" s="360" customFormat="1" ht="15.75" thickBot="1" x14ac:dyDescent="0.3">
      <c r="A6817" s="369" t="s">
        <v>40</v>
      </c>
      <c r="B6817" s="2">
        <v>44176</v>
      </c>
      <c r="C6817" s="1">
        <v>299</v>
      </c>
      <c r="D6817" s="176">
        <f>C6817+D6793</f>
        <v>68144</v>
      </c>
      <c r="E6817" s="1">
        <v>10</v>
      </c>
      <c r="F6817" s="476">
        <f t="shared" si="947"/>
        <v>1292</v>
      </c>
      <c r="G6817" s="177">
        <f>SUM(C6817,C6793,C6769,C6745,C6721,C6697,C6673,C6649,C6625,C6601,C6577,C6553,C6529,C6505)/POBLA!$B$24*100000</f>
        <v>174.31266286491183</v>
      </c>
      <c r="H6817" s="402">
        <f t="shared" si="952"/>
        <v>0.49340237180557878</v>
      </c>
      <c r="I6817" s="403">
        <f t="shared" si="950"/>
        <v>86.006281293293725</v>
      </c>
      <c r="J6817" s="403">
        <f t="shared" si="951"/>
        <v>156.42857142857142</v>
      </c>
      <c r="K6817" s="403">
        <f>J6817/POBLA!$B$24*100000</f>
        <v>9.2306976417970024</v>
      </c>
      <c r="L6817" s="550">
        <f t="shared" si="953"/>
        <v>0.41097364174287254</v>
      </c>
      <c r="M6817" s="405">
        <f>SUM(C6817,C6793,C6769,C6745,C6721,C6697,C6673)/POBLA!$B$24*100000</f>
        <v>64.614883492579025</v>
      </c>
    </row>
    <row r="6818" spans="1:13" s="360" customFormat="1" x14ac:dyDescent="0.25">
      <c r="A6818" s="363" t="s">
        <v>16</v>
      </c>
      <c r="B6818" s="2">
        <v>44177</v>
      </c>
      <c r="C6818" s="1">
        <v>1686</v>
      </c>
      <c r="D6818" s="174">
        <f t="shared" si="946"/>
        <v>637159</v>
      </c>
      <c r="E6818" s="1">
        <v>14</v>
      </c>
      <c r="F6818" s="475">
        <f t="shared" si="947"/>
        <v>21335</v>
      </c>
      <c r="G6818" s="175">
        <f>SUM(C6818,C6794,C6770,C6746,C6722,C6698,C6674,C6650,C6626,C6602,C6578,C6554,C6530,C6506)/POBLA!$B$1*100000</f>
        <v>118.32753639002161</v>
      </c>
      <c r="H6818" s="300">
        <f t="shared" si="952"/>
        <v>0.72586116453925509</v>
      </c>
      <c r="I6818" s="301">
        <f>G6818*H6818</f>
        <v>85.889363361122165</v>
      </c>
      <c r="J6818" s="301">
        <f>AVERAGE(C6818,C6794,C6770,C6746,C6722,C6698,C6674)</f>
        <v>1343</v>
      </c>
      <c r="K6818" s="301">
        <f>J6818/POBLA!$B$1*100000</f>
        <v>7.6562864411157738</v>
      </c>
      <c r="L6818" s="548">
        <f t="shared" si="953"/>
        <v>0.17208278291501544</v>
      </c>
      <c r="M6818" s="400">
        <f>SUM(C6818,C6794,C6770,C6746,C6722,C6698,C6674)/POBLA!$B$1*100000</f>
        <v>53.594005087810416</v>
      </c>
    </row>
    <row r="6819" spans="1:13" s="360" customFormat="1" x14ac:dyDescent="0.25">
      <c r="A6819" s="367" t="s">
        <v>43</v>
      </c>
      <c r="B6819" s="2">
        <v>44177</v>
      </c>
      <c r="C6819" s="1">
        <v>386</v>
      </c>
      <c r="D6819" s="39">
        <f t="shared" ref="D6819:D6882" si="954">C6819+D6795</f>
        <v>162563</v>
      </c>
      <c r="E6819" s="1">
        <v>4</v>
      </c>
      <c r="F6819" s="409">
        <f t="shared" ref="F6819:F6882" si="955">E6819+F6795</f>
        <v>5339</v>
      </c>
      <c r="G6819" s="168">
        <f>SUM(C6819,C6795,C6771,C6747,C6723,C6699,C6675,C6651,C6627,C6603,C6579,C6555,C6531,C6507)/POBLA!$B$2*100000</f>
        <v>139.67797334283594</v>
      </c>
      <c r="H6819" s="256">
        <f t="shared" si="952"/>
        <v>0.89893283113622102</v>
      </c>
      <c r="I6819" s="297">
        <f t="shared" ref="I6819:I6841" si="956">G6819*H6819</f>
        <v>125.56111602444513</v>
      </c>
      <c r="J6819" s="297">
        <f t="shared" ref="J6819:J6841" si="957">AVERAGE(C6819,C6795,C6771,C6747,C6723,C6699,C6675)</f>
        <v>302.28571428571428</v>
      </c>
      <c r="K6819" s="297">
        <f>J6819/POBLA!$B$2*100000</f>
        <v>9.828364977169489</v>
      </c>
      <c r="L6819" s="549">
        <f t="shared" si="953"/>
        <v>2.9357798165137616E-2</v>
      </c>
      <c r="M6819" s="401">
        <f>SUM(C6819,C6795,C6771,C6747,C6723,C6699,C6675)/POBLA!$B$2*100000</f>
        <v>68.798554840186412</v>
      </c>
    </row>
    <row r="6820" spans="1:13" s="360" customFormat="1" x14ac:dyDescent="0.25">
      <c r="A6820" s="367" t="s">
        <v>28</v>
      </c>
      <c r="B6820" s="2">
        <v>44177</v>
      </c>
      <c r="C6820" s="1">
        <v>55</v>
      </c>
      <c r="D6820" s="39">
        <f t="shared" si="954"/>
        <v>2115</v>
      </c>
      <c r="E6820" s="1"/>
      <c r="F6820" s="409">
        <f t="shared" si="955"/>
        <v>17</v>
      </c>
      <c r="G6820" s="168">
        <f>SUM(C6820,C6796,C6772,C6748,C6724,C6700,C6676,C6652,C6628,C6604,C6580,C6556,C6532,C6508)/POBLA!$B$3*100000</f>
        <v>72.694361132106351</v>
      </c>
      <c r="H6820" s="256">
        <f t="shared" si="952"/>
        <v>0.77040816326530615</v>
      </c>
      <c r="I6820" s="297">
        <f t="shared" si="956"/>
        <v>56.004329239530918</v>
      </c>
      <c r="J6820" s="297">
        <f t="shared" si="957"/>
        <v>24.428571428571427</v>
      </c>
      <c r="K6820" s="297">
        <f>J6820/POBLA!$B$3*100000</f>
        <v>5.8801966667881675</v>
      </c>
      <c r="L6820" s="549">
        <f t="shared" si="953"/>
        <v>-0.30534351145038174</v>
      </c>
      <c r="M6820" s="401">
        <f>SUM(C6820,C6796,C6772,C6748,C6724,C6700,C6676)/POBLA!$B$3*100000</f>
        <v>41.161376667517175</v>
      </c>
    </row>
    <row r="6821" spans="1:13" s="360" customFormat="1" x14ac:dyDescent="0.25">
      <c r="A6821" s="367" t="s">
        <v>15</v>
      </c>
      <c r="B6821" s="2">
        <v>44177</v>
      </c>
      <c r="C6821" s="1">
        <v>200</v>
      </c>
      <c r="D6821" s="39">
        <f t="shared" si="954"/>
        <v>21593</v>
      </c>
      <c r="E6821" s="1"/>
      <c r="F6821" s="409">
        <f t="shared" si="955"/>
        <v>615</v>
      </c>
      <c r="G6821" s="168">
        <f>SUM(C6821,C6797,C6773,C6749,C6725,C6701,C6677,C6653,C6629,C6605,C6581,C6557,C6533,C6509)/POBLA!$B$4*100000</f>
        <v>218.75552596383184</v>
      </c>
      <c r="H6821" s="256">
        <f t="shared" si="952"/>
        <v>0.95126353790613716</v>
      </c>
      <c r="I6821" s="297">
        <f t="shared" si="956"/>
        <v>208.09415556487252</v>
      </c>
      <c r="J6821" s="297">
        <f t="shared" si="957"/>
        <v>142.42857142857142</v>
      </c>
      <c r="K6821" s="297">
        <f>J6821/POBLA!$B$4*100000</f>
        <v>11.824302487717016</v>
      </c>
      <c r="L6821" s="549">
        <f t="shared" si="953"/>
        <v>0.39133089133089138</v>
      </c>
      <c r="M6821" s="401">
        <f>SUM(C6821,C6797,C6773,C6749,C6725,C6701,C6677)/POBLA!$B$4*100000</f>
        <v>82.770117414019111</v>
      </c>
    </row>
    <row r="6822" spans="1:13" s="360" customFormat="1" x14ac:dyDescent="0.25">
      <c r="A6822" s="367" t="s">
        <v>29</v>
      </c>
      <c r="B6822" s="2">
        <v>44177</v>
      </c>
      <c r="C6822" s="1">
        <v>229</v>
      </c>
      <c r="D6822" s="39">
        <f t="shared" si="954"/>
        <v>25944</v>
      </c>
      <c r="E6822" s="1"/>
      <c r="F6822" s="409">
        <f t="shared" si="955"/>
        <v>436</v>
      </c>
      <c r="G6822" s="168">
        <f>SUM(C6822,C6798,C6774,C6750,C6726,C6702,C6678,C6654,C6630,C6606,C6582,C6558,C6534,C6510)/POBLA!$B$5*100000</f>
        <v>553.64026145649234</v>
      </c>
      <c r="H6822" s="256">
        <f t="shared" si="952"/>
        <v>0.98335724533715929</v>
      </c>
      <c r="I6822" s="297">
        <f t="shared" si="956"/>
        <v>544.42616241360099</v>
      </c>
      <c r="J6822" s="297">
        <f t="shared" si="957"/>
        <v>219</v>
      </c>
      <c r="K6822" s="297">
        <f>J6822/POBLA!$B$5*100000</f>
        <v>35.379987528150515</v>
      </c>
      <c r="L6822" s="549">
        <f t="shared" si="953"/>
        <v>0.19060190073917638</v>
      </c>
      <c r="M6822" s="401">
        <f>SUM(C6822,C6798,C6774,C6750,C6726,C6702,C6678)/POBLA!$B$5*100000</f>
        <v>247.65991269705358</v>
      </c>
    </row>
    <row r="6823" spans="1:13" s="360" customFormat="1" x14ac:dyDescent="0.25">
      <c r="A6823" s="367" t="s">
        <v>20</v>
      </c>
      <c r="B6823" s="2">
        <v>44177</v>
      </c>
      <c r="C6823" s="1">
        <v>291</v>
      </c>
      <c r="D6823" s="39">
        <f t="shared" si="954"/>
        <v>119532</v>
      </c>
      <c r="E6823" s="1">
        <v>23</v>
      </c>
      <c r="F6823" s="409">
        <f t="shared" si="955"/>
        <v>2226</v>
      </c>
      <c r="G6823" s="168">
        <f>SUM(C6823,C6799,C6775,C6751,C6727,C6703,C6679,C6655,C6631,C6607,C6583,C6559,C6535,C6511)/POBLA!$B$6*100000</f>
        <v>544.4320624267823</v>
      </c>
      <c r="H6823" s="256">
        <f t="shared" si="952"/>
        <v>0.51711864406779662</v>
      </c>
      <c r="I6823" s="297">
        <f t="shared" si="956"/>
        <v>281.53596990917168</v>
      </c>
      <c r="J6823" s="297">
        <f t="shared" si="957"/>
        <v>326</v>
      </c>
      <c r="K6823" s="297">
        <f>J6823/POBLA!$B$6*100000</f>
        <v>29.086340929388893</v>
      </c>
      <c r="L6823" s="549">
        <f t="shared" si="953"/>
        <v>0.40261780104712042</v>
      </c>
      <c r="M6823" s="401">
        <f>SUM(C6823,C6799,C6775,C6751,C6727,C6703,C6679)/POBLA!$B$6*100000</f>
        <v>203.60438650572223</v>
      </c>
    </row>
    <row r="6824" spans="1:13" s="360" customFormat="1" x14ac:dyDescent="0.25">
      <c r="A6824" s="367" t="s">
        <v>30</v>
      </c>
      <c r="B6824" s="2">
        <v>44177</v>
      </c>
      <c r="C6824" s="1">
        <v>64</v>
      </c>
      <c r="D6824" s="39">
        <f t="shared" si="954"/>
        <v>9506</v>
      </c>
      <c r="E6824" s="1"/>
      <c r="F6824" s="409">
        <f t="shared" si="955"/>
        <v>133</v>
      </c>
      <c r="G6824" s="168">
        <f>SUM(C6824,C6800,C6776,C6752,C6728,C6704,C6680,C6656,C6632,C6608,C6584,C6560,C6536,C6512)/POBLA!$B$7*100000</f>
        <v>101.92929037748141</v>
      </c>
      <c r="H6824" s="256">
        <f t="shared" si="952"/>
        <v>1.8697560975609757</v>
      </c>
      <c r="I6824" s="297">
        <f t="shared" si="956"/>
        <v>190.58291220335914</v>
      </c>
      <c r="J6824" s="297">
        <f t="shared" si="957"/>
        <v>130.85714285714286</v>
      </c>
      <c r="K6824" s="297">
        <f>J6824/POBLA!$B$7*100000</f>
        <v>3.4798266924741146</v>
      </c>
      <c r="L6824" s="549">
        <f t="shared" si="953"/>
        <v>0.68597874528625302</v>
      </c>
      <c r="M6824" s="401">
        <f>SUM(C6824,C6800,C6776,C6752,C6728,C6704,C6680)/POBLA!$B$7*100000</f>
        <v>24.358786847318807</v>
      </c>
    </row>
    <row r="6825" spans="1:13" x14ac:dyDescent="0.25">
      <c r="A6825" s="367" t="s">
        <v>31</v>
      </c>
      <c r="B6825" s="2">
        <v>44177</v>
      </c>
      <c r="C6825" s="1">
        <v>246</v>
      </c>
      <c r="D6825" s="39">
        <f t="shared" si="954"/>
        <v>25585</v>
      </c>
      <c r="E6825" s="1">
        <v>4</v>
      </c>
      <c r="F6825" s="409">
        <f t="shared" si="955"/>
        <v>521</v>
      </c>
      <c r="G6825" s="168">
        <f>SUM(C6825,C6801,C6777,C6753,C6729,C6705,C6681,C6657,C6633,C6609,C6585,C6561,C6537,C6513)/POBLA!$B$8*100000</f>
        <v>181.10177703413009</v>
      </c>
      <c r="H6825" s="256">
        <f t="shared" si="952"/>
        <v>0.78217513244001247</v>
      </c>
      <c r="I6825" s="297">
        <f t="shared" si="956"/>
        <v>141.65330643679232</v>
      </c>
      <c r="J6825" s="297">
        <f t="shared" si="957"/>
        <v>170.28571428571428</v>
      </c>
      <c r="K6825" s="297">
        <f>J6825/POBLA!$B$8*100000</f>
        <v>12.286472295087254</v>
      </c>
      <c r="L6825" s="549">
        <f t="shared" si="953"/>
        <v>9.5599393019726864E-2</v>
      </c>
      <c r="M6825" s="401">
        <f>SUM(C6825,C6801,C6777,C6753,C6729,C6705,C6681)/POBLA!$B$8*100000</f>
        <v>86.005306065610796</v>
      </c>
    </row>
    <row r="6826" spans="1:13" s="360" customFormat="1" x14ac:dyDescent="0.25">
      <c r="A6826" s="367" t="s">
        <v>41</v>
      </c>
      <c r="B6826" s="2">
        <v>44177</v>
      </c>
      <c r="C6826" s="1">
        <v>0</v>
      </c>
      <c r="D6826" s="39">
        <f t="shared" si="954"/>
        <v>196</v>
      </c>
      <c r="E6826" s="1"/>
      <c r="F6826" s="409">
        <f t="shared" si="955"/>
        <v>3</v>
      </c>
      <c r="G6826" s="168">
        <f>SUM(C6826,C6802,C6778,C6754,C6730,C6706,C6682,C6658,C6634,C6610,C6586,C6562,C6538,C6514)/POBLA!$B$9*100000</f>
        <v>2.3133116212514024</v>
      </c>
      <c r="H6826" s="256">
        <f t="shared" si="952"/>
        <v>1</v>
      </c>
      <c r="I6826" s="297">
        <f t="shared" si="956"/>
        <v>2.3133116212514024</v>
      </c>
      <c r="J6826" s="297">
        <f t="shared" si="957"/>
        <v>0.8571428571428571</v>
      </c>
      <c r="K6826" s="297">
        <f>J6826/POBLA!$B$9*100000</f>
        <v>0.14163132375008586</v>
      </c>
      <c r="L6826" s="549">
        <f t="shared" si="953"/>
        <v>0.25</v>
      </c>
      <c r="M6826" s="401">
        <f>SUM(C6826,C6802,C6778,C6754,C6730,C6706,C6682)/POBLA!$B$9*100000</f>
        <v>0.99141926625060106</v>
      </c>
    </row>
    <row r="6827" spans="1:13" s="360" customFormat="1" x14ac:dyDescent="0.25">
      <c r="A6827" s="367" t="s">
        <v>32</v>
      </c>
      <c r="B6827" s="2">
        <v>44177</v>
      </c>
      <c r="C6827" s="1">
        <v>9</v>
      </c>
      <c r="D6827" s="39">
        <f t="shared" si="954"/>
        <v>18448</v>
      </c>
      <c r="E6827" s="1">
        <v>1</v>
      </c>
      <c r="F6827" s="409">
        <f t="shared" si="955"/>
        <v>854</v>
      </c>
      <c r="G6827" s="168">
        <f>SUM(C6827,C6803,C6779,C6755,C6731,C6707,C6683,C6659,C6635,C6611,C6587,C6563,C6539,C6515)/POBLA!$B$10*100000</f>
        <v>10.377736641582812</v>
      </c>
      <c r="H6827" s="256">
        <f t="shared" si="952"/>
        <v>0.36199095022624433</v>
      </c>
      <c r="I6827" s="297">
        <f t="shared" si="956"/>
        <v>3.7566467480842758</v>
      </c>
      <c r="J6827" s="297">
        <f t="shared" si="957"/>
        <v>4.7142857142857144</v>
      </c>
      <c r="K6827" s="297">
        <f>J6827/POBLA!$B$10*100000</f>
        <v>0.61154519495041582</v>
      </c>
      <c r="L6827" s="549">
        <f t="shared" si="953"/>
        <v>0.2978723404255319</v>
      </c>
      <c r="M6827" s="401">
        <f>SUM(C6827,C6803,C6779,C6755,C6731,C6707,C6683)/POBLA!$B$10*100000</f>
        <v>4.2808163646529103</v>
      </c>
    </row>
    <row r="6828" spans="1:13" s="360" customFormat="1" x14ac:dyDescent="0.25">
      <c r="A6828" s="367" t="s">
        <v>33</v>
      </c>
      <c r="B6828" s="2">
        <v>44177</v>
      </c>
      <c r="C6828" s="1">
        <v>91</v>
      </c>
      <c r="D6828" s="39">
        <f t="shared" si="954"/>
        <v>6850</v>
      </c>
      <c r="E6828" s="1"/>
      <c r="F6828" s="409">
        <f t="shared" si="955"/>
        <v>99</v>
      </c>
      <c r="G6828" s="168">
        <f>SUM(C6828,C6804,C6780,C6756,C6732,C6708,C6684,C6660,C6636,C6612,C6588,C6564,C6540,C6516)/POBLA!$B$11*100000</f>
        <v>335.07426875132523</v>
      </c>
      <c r="H6828" s="256">
        <f t="shared" si="952"/>
        <v>1.1938369781312128</v>
      </c>
      <c r="I6828" s="297">
        <f t="shared" si="956"/>
        <v>400.024052455608</v>
      </c>
      <c r="J6828" s="297">
        <f t="shared" si="957"/>
        <v>90.142857142857139</v>
      </c>
      <c r="K6828" s="297">
        <f>J6828/POBLA!$B$11*100000</f>
        <v>25.149502031888449</v>
      </c>
      <c r="L6828" s="549">
        <f t="shared" si="953"/>
        <v>-0.10701754385964923</v>
      </c>
      <c r="M6828" s="401">
        <f>SUM(C6828,C6804,C6780,C6756,C6732,C6708,C6684)/POBLA!$B$11*100000</f>
        <v>176.04651422321916</v>
      </c>
    </row>
    <row r="6829" spans="1:13" s="360" customFormat="1" x14ac:dyDescent="0.25">
      <c r="A6829" s="367" t="s">
        <v>21</v>
      </c>
      <c r="B6829" s="2">
        <v>44177</v>
      </c>
      <c r="C6829" s="1">
        <v>18</v>
      </c>
      <c r="D6829" s="39">
        <f t="shared" si="954"/>
        <v>8923</v>
      </c>
      <c r="E6829" s="1">
        <v>1</v>
      </c>
      <c r="F6829" s="409">
        <f t="shared" si="955"/>
        <v>324</v>
      </c>
      <c r="G6829" s="168">
        <f>SUM(C6829,C6805,C6781,C6757,C6733,C6709,C6685,C6661,C6637,C6613,C6589,C6565,C6541,C6517)/POBLA!$B$12*100000</f>
        <v>64.797944761657917</v>
      </c>
      <c r="H6829" s="256">
        <f t="shared" si="952"/>
        <v>0.498046875</v>
      </c>
      <c r="I6829" s="297">
        <f t="shared" si="956"/>
        <v>32.272413894966348</v>
      </c>
      <c r="J6829" s="297">
        <f t="shared" si="957"/>
        <v>12.714285714285714</v>
      </c>
      <c r="K6829" s="297">
        <f>J6829/POBLA!$B$12*100000</f>
        <v>3.230821895679302</v>
      </c>
      <c r="L6829" s="549">
        <f t="shared" si="953"/>
        <v>0.46385542168674698</v>
      </c>
      <c r="M6829" s="401">
        <f>SUM(C6829,C6805,C6781,C6757,C6733,C6709,C6685)/POBLA!$B$12*100000</f>
        <v>22.615753269755114</v>
      </c>
    </row>
    <row r="6830" spans="1:13" s="360" customFormat="1" x14ac:dyDescent="0.25">
      <c r="A6830" s="367" t="s">
        <v>17</v>
      </c>
      <c r="B6830" s="2">
        <v>44177</v>
      </c>
      <c r="C6830" s="1">
        <v>111</v>
      </c>
      <c r="D6830" s="39">
        <f t="shared" si="954"/>
        <v>58138</v>
      </c>
      <c r="E6830" s="1">
        <v>1</v>
      </c>
      <c r="F6830" s="409">
        <f t="shared" si="955"/>
        <v>1174</v>
      </c>
      <c r="G6830" s="168">
        <f>SUM(C6830,C6806,C6782,C6758,C6734,C6710,C6686,C6662,C6638,C6614,C6590,C6566,C6542,C6518)/POBLA!$B$13*100000</f>
        <v>89.934473441194413</v>
      </c>
      <c r="H6830" s="256">
        <f t="shared" si="952"/>
        <v>0.53353204172876301</v>
      </c>
      <c r="I6830" s="297">
        <f t="shared" si="956"/>
        <v>47.982923236881668</v>
      </c>
      <c r="J6830" s="297">
        <f t="shared" si="957"/>
        <v>87.285714285714292</v>
      </c>
      <c r="K6830" s="297">
        <f>J6830/POBLA!$B$13*100000</f>
        <v>4.3854719291755613</v>
      </c>
      <c r="L6830" s="549">
        <f t="shared" si="953"/>
        <v>0.48176420695504663</v>
      </c>
      <c r="M6830" s="401">
        <f>SUM(C6830,C6806,C6782,C6758,C6734,C6710,C6686)/POBLA!$B$13*100000</f>
        <v>30.698303504228932</v>
      </c>
    </row>
    <row r="6831" spans="1:13" s="360" customFormat="1" x14ac:dyDescent="0.25">
      <c r="A6831" s="367" t="s">
        <v>23</v>
      </c>
      <c r="B6831" s="2">
        <v>44177</v>
      </c>
      <c r="C6831" s="1">
        <v>19</v>
      </c>
      <c r="D6831" s="39">
        <f t="shared" si="954"/>
        <v>655</v>
      </c>
      <c r="E6831" s="1"/>
      <c r="F6831" s="409">
        <f t="shared" si="955"/>
        <v>9</v>
      </c>
      <c r="G6831" s="168">
        <f>SUM(C6831,C6807,C6783,C6759,C6735,C6711,C6687,C6663,C6639,C6615,C6591,C6567,C6543,C6519)/POBLA!$B$14*100000</f>
        <v>12.843952321980442</v>
      </c>
      <c r="H6831" s="256">
        <f t="shared" si="952"/>
        <v>1.3388429752066116</v>
      </c>
      <c r="I6831" s="297">
        <f t="shared" si="956"/>
        <v>17.196035340172163</v>
      </c>
      <c r="J6831" s="297">
        <f t="shared" si="957"/>
        <v>12.428571428571429</v>
      </c>
      <c r="K6831" s="297">
        <f>J6831/POBLA!$B$14*100000</f>
        <v>0.98538258554876412</v>
      </c>
      <c r="L6831" s="549">
        <f t="shared" si="953"/>
        <v>-0.15999999999999992</v>
      </c>
      <c r="M6831" s="401">
        <f>SUM(C6831,C6807,C6783,C6759,C6735,C6711,C6687)/POBLA!$B$14*100000</f>
        <v>6.8976780988413493</v>
      </c>
    </row>
    <row r="6832" spans="1:13" s="360" customFormat="1" x14ac:dyDescent="0.25">
      <c r="A6832" s="367" t="s">
        <v>19</v>
      </c>
      <c r="B6832" s="2">
        <v>44177</v>
      </c>
      <c r="C6832" s="1">
        <v>126</v>
      </c>
      <c r="D6832" s="39">
        <f t="shared" si="954"/>
        <v>36816</v>
      </c>
      <c r="E6832" s="1"/>
      <c r="F6832" s="409">
        <f t="shared" si="955"/>
        <v>673</v>
      </c>
      <c r="G6832" s="168">
        <f>SUM(C6832,C6808,C6784,C6760,C6736,C6712,C6688,C6664,C6640,C6616,C6592,C6568,C6544,C6520)/POBLA!$B$15*100000</f>
        <v>767.70518193468331</v>
      </c>
      <c r="H6832" s="256">
        <f t="shared" si="952"/>
        <v>1.0107057890563045</v>
      </c>
      <c r="I6832" s="297">
        <f t="shared" si="956"/>
        <v>775.9240716699079</v>
      </c>
      <c r="J6832" s="297">
        <f t="shared" si="957"/>
        <v>367.42857142857144</v>
      </c>
      <c r="K6832" s="297">
        <f>J6832/POBLA!$B$15*100000</f>
        <v>55.330878437930998</v>
      </c>
      <c r="L6832" s="549">
        <f t="shared" si="953"/>
        <v>-1.8210609659540689E-2</v>
      </c>
      <c r="M6832" s="401">
        <f>SUM(C6832,C6808,C6784,C6760,C6736,C6712,C6688)/POBLA!$B$15*100000</f>
        <v>387.31614906551698</v>
      </c>
    </row>
    <row r="6833" spans="1:13" s="360" customFormat="1" x14ac:dyDescent="0.25">
      <c r="A6833" s="367" t="s">
        <v>18</v>
      </c>
      <c r="B6833" s="2">
        <v>44177</v>
      </c>
      <c r="C6833" s="1">
        <v>220</v>
      </c>
      <c r="D6833" s="39">
        <f t="shared" si="954"/>
        <v>34080</v>
      </c>
      <c r="E6833" s="1">
        <v>4</v>
      </c>
      <c r="F6833" s="409">
        <f t="shared" si="955"/>
        <v>839</v>
      </c>
      <c r="G6833" s="168">
        <f>SUM(C6833,C6809,C6785,C6761,C6737,C6713,C6689,C6665,C6641,C6617,C6593,C6569,C6545,C6521)/POBLA!$B$16*100000</f>
        <v>356.73680127339122</v>
      </c>
      <c r="H6833" s="256">
        <f t="shared" si="952"/>
        <v>0.86004514672686228</v>
      </c>
      <c r="I6833" s="297">
        <f t="shared" si="956"/>
        <v>306.80975459404527</v>
      </c>
      <c r="J6833" s="297">
        <f t="shared" si="957"/>
        <v>188.14285714285714</v>
      </c>
      <c r="K6833" s="297">
        <f>J6833/POBLA!$B$16*100000</f>
        <v>25.165909651135905</v>
      </c>
      <c r="L6833" s="549">
        <f t="shared" si="953"/>
        <v>2.4444444444444491E-2</v>
      </c>
      <c r="M6833" s="401">
        <f>SUM(C6833,C6809,C6785,C6761,C6737,C6713,C6689)/POBLA!$B$16*100000</f>
        <v>176.16136755795134</v>
      </c>
    </row>
    <row r="6834" spans="1:13" s="360" customFormat="1" x14ac:dyDescent="0.25">
      <c r="A6834" s="367" t="s">
        <v>34</v>
      </c>
      <c r="B6834" s="2">
        <v>44177</v>
      </c>
      <c r="C6834" s="1">
        <v>29</v>
      </c>
      <c r="D6834" s="39">
        <f t="shared" si="954"/>
        <v>21550</v>
      </c>
      <c r="E6834" s="1">
        <v>1</v>
      </c>
      <c r="F6834" s="409">
        <f t="shared" si="955"/>
        <v>997</v>
      </c>
      <c r="G6834" s="168">
        <f>SUM(C6834,C6810,C6786,C6762,C6738,C6714,C6690,C6666,C6642,C6618,C6594,C6570,C6546,C6522)/POBLA!$B$17*100000</f>
        <v>30.749854148808232</v>
      </c>
      <c r="H6834" s="256">
        <f t="shared" si="952"/>
        <v>0.44376899696048633</v>
      </c>
      <c r="I6834" s="297">
        <f t="shared" si="956"/>
        <v>13.645831932297879</v>
      </c>
      <c r="J6834" s="297">
        <f t="shared" si="957"/>
        <v>20.857142857142858</v>
      </c>
      <c r="K6834" s="297">
        <f>J6834/POBLA!$B$17*100000</f>
        <v>1.4642787689908683</v>
      </c>
      <c r="L6834" s="549">
        <f t="shared" si="953"/>
        <v>0.5</v>
      </c>
      <c r="M6834" s="401">
        <f>SUM(C6834,C6810,C6786,C6762,C6738,C6714,C6690)/POBLA!$B$17*100000</f>
        <v>10.249951382936077</v>
      </c>
    </row>
    <row r="6835" spans="1:13" s="360" customFormat="1" x14ac:dyDescent="0.25">
      <c r="A6835" s="367" t="s">
        <v>35</v>
      </c>
      <c r="B6835" s="2">
        <v>44177</v>
      </c>
      <c r="C6835" s="1">
        <v>47</v>
      </c>
      <c r="D6835" s="39">
        <f t="shared" si="954"/>
        <v>9221</v>
      </c>
      <c r="E6835" s="1"/>
      <c r="F6835" s="409">
        <f t="shared" si="955"/>
        <v>174</v>
      </c>
      <c r="G6835" s="168">
        <f>SUM(C6835,C6811,C6787,C6763,C6739,C6715,C6691,C6667,C6643,C6619,C6595,C6571,C6547,C6523)/POBLA!$B$18*100000</f>
        <v>251.78663546748214</v>
      </c>
      <c r="H6835" s="256">
        <f t="shared" si="952"/>
        <v>0.69407198306280871</v>
      </c>
      <c r="I6835" s="297">
        <f t="shared" si="956"/>
        <v>174.75804938762786</v>
      </c>
      <c r="J6835" s="297">
        <f t="shared" si="957"/>
        <v>110.85714285714286</v>
      </c>
      <c r="K6835" s="297">
        <f>J6835/POBLA!$B$18*100000</f>
        <v>14.190313684564321</v>
      </c>
      <c r="L6835" s="549">
        <f t="shared" si="953"/>
        <v>0.34844668345927787</v>
      </c>
      <c r="M6835" s="401">
        <f>SUM(C6835,C6811,C6787,C6763,C6739,C6715,C6691)/POBLA!$B$18*100000</f>
        <v>99.332195791950255</v>
      </c>
    </row>
    <row r="6836" spans="1:13" s="360" customFormat="1" x14ac:dyDescent="0.25">
      <c r="A6836" s="367" t="s">
        <v>36</v>
      </c>
      <c r="B6836" s="2">
        <v>44177</v>
      </c>
      <c r="C6836" s="1">
        <v>19</v>
      </c>
      <c r="D6836" s="39">
        <f t="shared" si="954"/>
        <v>15458</v>
      </c>
      <c r="E6836" s="1">
        <v>1</v>
      </c>
      <c r="F6836" s="409">
        <f t="shared" si="955"/>
        <v>250</v>
      </c>
      <c r="G6836" s="168">
        <f>SUM(C6836,C6812,C6788,C6764,C6740,C6716,C6692,C6668,C6644,C6620,C6596,C6572,C6548,C6524)/POBLA!$B$19*100000</f>
        <v>267.93723737429377</v>
      </c>
      <c r="H6836" s="256">
        <f t="shared" si="952"/>
        <v>0.46933149552033082</v>
      </c>
      <c r="I6836" s="297">
        <f t="shared" si="956"/>
        <v>125.75138432246317</v>
      </c>
      <c r="J6836" s="297">
        <f t="shared" si="957"/>
        <v>53.428571428571431</v>
      </c>
      <c r="K6836" s="297">
        <f>J6836/POBLA!$B$19*100000</f>
        <v>10.510648917346955</v>
      </c>
      <c r="L6836" s="549">
        <f t="shared" si="953"/>
        <v>0.62145748987854255</v>
      </c>
      <c r="M6836" s="401">
        <f>SUM(C6836,C6812,C6788,C6764,C6740,C6716,C6692)/POBLA!$B$19*100000</f>
        <v>73.574542421428688</v>
      </c>
    </row>
    <row r="6837" spans="1:13" s="360" customFormat="1" x14ac:dyDescent="0.25">
      <c r="A6837" s="367" t="s">
        <v>37</v>
      </c>
      <c r="B6837" s="2">
        <v>44177</v>
      </c>
      <c r="C6837" s="1">
        <v>229</v>
      </c>
      <c r="D6837" s="39">
        <f t="shared" si="954"/>
        <v>18634</v>
      </c>
      <c r="E6837" s="1">
        <v>5</v>
      </c>
      <c r="F6837" s="409">
        <f t="shared" si="955"/>
        <v>327</v>
      </c>
      <c r="G6837" s="168">
        <f>SUM(C6837,C6813,C6789,C6765,C6741,C6717,C6693,C6669,C6645,C6621,C6597,C6573,C6549,C6525)/POBLA!$B$20*100000</f>
        <v>840.31085759287714</v>
      </c>
      <c r="H6837" s="256">
        <f t="shared" si="952"/>
        <v>0.9938551099611902</v>
      </c>
      <c r="I6837" s="297">
        <f t="shared" si="956"/>
        <v>835.14723977455094</v>
      </c>
      <c r="J6837" s="297">
        <f t="shared" si="957"/>
        <v>215.57142857142858</v>
      </c>
      <c r="K6837" s="297">
        <f>J6837/POBLA!$B$20*100000</f>
        <v>58.94793752534293</v>
      </c>
      <c r="L6837" s="549">
        <f t="shared" si="953"/>
        <v>3.5166240409207128E-2</v>
      </c>
      <c r="M6837" s="401">
        <f>SUM(C6837,C6813,C6789,C6765,C6741,C6717,C6693)/POBLA!$B$20*100000</f>
        <v>412.63556267740051</v>
      </c>
    </row>
    <row r="6838" spans="1:13" s="360" customFormat="1" x14ac:dyDescent="0.25">
      <c r="A6838" s="367" t="s">
        <v>22</v>
      </c>
      <c r="B6838" s="2">
        <v>44177</v>
      </c>
      <c r="C6838" s="1">
        <v>893</v>
      </c>
      <c r="D6838" s="39">
        <f t="shared" si="954"/>
        <v>159448</v>
      </c>
      <c r="E6838" s="1">
        <v>2</v>
      </c>
      <c r="F6838" s="409">
        <f t="shared" si="955"/>
        <v>2538</v>
      </c>
      <c r="G6838" s="168">
        <f>SUM(C6838,C6814,C6790,C6766,C6742,C6718,C6694,C6670,C6646,C6622,C6598,C6574,C6550,C6526)/POBLA!$B$21*100000</f>
        <v>394.38211206933113</v>
      </c>
      <c r="H6838" s="256">
        <f t="shared" si="952"/>
        <v>0.77255857752174151</v>
      </c>
      <c r="I6838" s="297">
        <f t="shared" si="956"/>
        <v>304.68328350030248</v>
      </c>
      <c r="J6838" s="297">
        <f t="shared" si="957"/>
        <v>828.14285714285711</v>
      </c>
      <c r="K6838" s="297">
        <f>J6838/POBLA!$B$21*100000</f>
        <v>23.417561417876989</v>
      </c>
      <c r="L6838" s="549">
        <f t="shared" si="953"/>
        <v>0.28871165644171781</v>
      </c>
      <c r="M6838" s="401">
        <f>SUM(C6838,C6814,C6790,C6766,C6742,C6718,C6694)/POBLA!$B$21*100000</f>
        <v>163.92292992513893</v>
      </c>
    </row>
    <row r="6839" spans="1:13" s="360" customFormat="1" x14ac:dyDescent="0.25">
      <c r="A6839" s="367" t="s">
        <v>38</v>
      </c>
      <c r="B6839" s="2">
        <v>44177</v>
      </c>
      <c r="C6839" s="1">
        <v>42</v>
      </c>
      <c r="D6839" s="39">
        <f t="shared" si="954"/>
        <v>16443</v>
      </c>
      <c r="E6839" s="1"/>
      <c r="F6839" s="409">
        <f t="shared" si="955"/>
        <v>206</v>
      </c>
      <c r="G6839" s="168">
        <f>SUM(C6839,C6815,C6791,C6767,C6743,C6719,C6695,C6671,C6647,C6623,C6599,C6575,C6551,C6527)/POBLA!$B$22*100000</f>
        <v>102.6256423046612</v>
      </c>
      <c r="H6839" s="256">
        <f t="shared" si="952"/>
        <v>0.39050952936600547</v>
      </c>
      <c r="I6839" s="297">
        <f t="shared" si="956"/>
        <v>40.076291277277264</v>
      </c>
      <c r="J6839" s="297">
        <f t="shared" si="957"/>
        <v>48</v>
      </c>
      <c r="K6839" s="297">
        <f>J6839/POBLA!$B$22*100000</f>
        <v>4.9064052097845989</v>
      </c>
      <c r="L6839" s="549">
        <f t="shared" si="953"/>
        <v>0.49700598802395213</v>
      </c>
      <c r="M6839" s="401">
        <f>SUM(C6839,C6815,C6791,C6767,C6743,C6719,C6695)/POBLA!$B$22*100000</f>
        <v>34.34483646849219</v>
      </c>
    </row>
    <row r="6840" spans="1:13" s="360" customFormat="1" x14ac:dyDescent="0.25">
      <c r="A6840" s="367" t="s">
        <v>39</v>
      </c>
      <c r="B6840" s="2">
        <v>44177</v>
      </c>
      <c r="C6840" s="1">
        <v>93</v>
      </c>
      <c r="D6840" s="39">
        <f t="shared" si="954"/>
        <v>17430</v>
      </c>
      <c r="E6840" s="1"/>
      <c r="F6840" s="409">
        <f t="shared" si="955"/>
        <v>242</v>
      </c>
      <c r="G6840" s="168">
        <f>SUM(C6840,C6816,C6792,C6768,C6744,C6720,C6696,C6672,C6648,C6624,C6600,C6576,C6552,C6528)/POBLA!$B$23*100000</f>
        <v>804.72770457501554</v>
      </c>
      <c r="H6840" s="256">
        <f t="shared" si="952"/>
        <v>0.77547683923705724</v>
      </c>
      <c r="I6840" s="297">
        <f t="shared" si="956"/>
        <v>624.0476967903254</v>
      </c>
      <c r="J6840" s="297">
        <f t="shared" si="957"/>
        <v>106.57142857142857</v>
      </c>
      <c r="K6840" s="297">
        <f>J6840/POBLA!$B$23*100000</f>
        <v>60.267730911852389</v>
      </c>
      <c r="L6840" s="549">
        <f t="shared" si="953"/>
        <v>-0.10192023633677993</v>
      </c>
      <c r="M6840" s="401">
        <f>SUM(C6840,C6816,C6792,C6768,C6744,C6720,C6696)/POBLA!$B$23*100000</f>
        <v>421.87411638296669</v>
      </c>
    </row>
    <row r="6841" spans="1:13" s="360" customFormat="1" ht="15.75" thickBot="1" x14ac:dyDescent="0.3">
      <c r="A6841" s="369" t="s">
        <v>40</v>
      </c>
      <c r="B6841" s="2">
        <v>44177</v>
      </c>
      <c r="C6841" s="1">
        <v>171</v>
      </c>
      <c r="D6841" s="176">
        <f t="shared" si="954"/>
        <v>68315</v>
      </c>
      <c r="E6841" s="1"/>
      <c r="F6841" s="476">
        <f t="shared" si="955"/>
        <v>1292</v>
      </c>
      <c r="G6841" s="177">
        <f>SUM(C6841,C6817,C6793,C6769,C6745,C6721,C6697,C6673,C6649,C6625,C6601,C6577,C6553,C6529)/POBLA!$B$24*100000</f>
        <v>170.24104006948903</v>
      </c>
      <c r="H6841" s="402">
        <f t="shared" si="952"/>
        <v>0.49732804688846749</v>
      </c>
      <c r="I6841" s="403">
        <f t="shared" si="956"/>
        <v>84.665643958020311</v>
      </c>
      <c r="J6841" s="403">
        <f t="shared" si="957"/>
        <v>161.71428571428572</v>
      </c>
      <c r="K6841" s="403">
        <f>J6841/POBLA!$B$24*100000</f>
        <v>9.5426024936202811</v>
      </c>
      <c r="L6841" s="550">
        <f t="shared" si="953"/>
        <v>0.35424985738733594</v>
      </c>
      <c r="M6841" s="405">
        <f>SUM(C6841,C6817,C6793,C6769,C6745,C6721,C6697)/POBLA!$B$24*100000</f>
        <v>66.79821745534197</v>
      </c>
    </row>
    <row r="6842" spans="1:13" s="360" customFormat="1" x14ac:dyDescent="0.25">
      <c r="A6842" s="363" t="s">
        <v>16</v>
      </c>
      <c r="B6842" s="2">
        <v>44178</v>
      </c>
      <c r="C6842" s="1">
        <v>870</v>
      </c>
      <c r="D6842" s="174">
        <f t="shared" si="954"/>
        <v>638029</v>
      </c>
      <c r="E6842" s="1">
        <v>49</v>
      </c>
      <c r="F6842" s="475">
        <f t="shared" si="955"/>
        <v>21384</v>
      </c>
      <c r="G6842" s="175">
        <f>SUM(C6842,C6818,C6794,C6770,C6746,C6722,C6698,C6674,C6650,C6626,C6602,C6578,C6554,C6530)/POBLA!$B$1*100000</f>
        <v>118.3389381568736</v>
      </c>
      <c r="H6842" s="300">
        <f t="shared" ref="H6842:H6889" si="958">SUM(C6842,C6818,C6794,C6770,C6746,C6722,C6698,C6674,C6650,C6626,C6602,C6578,C6554,C6530)/SUM(C6506,C6482,C6458,C6434,C6410,C6386,C6362,C6338,C6314,C6290,C6266,C6242,C6218,C6194)</f>
        <v>0.74090730627833101</v>
      </c>
      <c r="I6842" s="301">
        <f>G6842*H6842</f>
        <v>87.678183897647216</v>
      </c>
      <c r="J6842" s="301">
        <f>AVERAGE(C6842,C6818,C6794,C6770,C6746,C6722,C6698)</f>
        <v>1364.5714285714287</v>
      </c>
      <c r="K6842" s="301">
        <f>J6842/POBLA!$B$1*100000</f>
        <v>7.7792626407337391</v>
      </c>
      <c r="L6842" s="548">
        <f t="shared" ref="L6842:L6889" si="959">1-SUM(C6842,C6818,C6794,C6770,C6746,C6722,C6698)/SUM(C6674,C6650,C6626,C6602,C6578,C6554,C6530)</f>
        <v>0.14759950026771373</v>
      </c>
      <c r="M6842" s="400">
        <f>SUM(C6842,C6818,C6794,C6770,C6746,C6722,C6698)/POBLA!$B$1*100000</f>
        <v>54.454838485136179</v>
      </c>
    </row>
    <row r="6843" spans="1:13" s="360" customFormat="1" x14ac:dyDescent="0.25">
      <c r="A6843" s="367" t="s">
        <v>43</v>
      </c>
      <c r="B6843" s="2">
        <v>44178</v>
      </c>
      <c r="C6843" s="1">
        <v>246</v>
      </c>
      <c r="D6843" s="39">
        <f t="shared" si="954"/>
        <v>162809</v>
      </c>
      <c r="E6843" s="1">
        <v>1</v>
      </c>
      <c r="F6843" s="409">
        <f t="shared" si="955"/>
        <v>5340</v>
      </c>
      <c r="G6843" s="168">
        <f>SUM(C6843,C6819,C6795,C6771,C6747,C6723,C6699,C6675,C6651,C6627,C6603,C6579,C6555,C6531)/POBLA!$B$2*100000</f>
        <v>140.62086468988952</v>
      </c>
      <c r="H6843" s="256">
        <f t="shared" si="958"/>
        <v>0.92040859757395188</v>
      </c>
      <c r="I6843" s="297">
        <f t="shared" ref="I6843:I6865" si="960">G6843*H6843</f>
        <v>129.42865285885765</v>
      </c>
      <c r="J6843" s="297">
        <f t="shared" ref="J6843:J6865" si="961">AVERAGE(C6843,C6819,C6795,C6771,C6747,C6723,C6699)</f>
        <v>305.14285714285717</v>
      </c>
      <c r="K6843" s="297">
        <f>J6843/POBLA!$B$2*100000</f>
        <v>9.9212606763865914</v>
      </c>
      <c r="L6843" s="549">
        <f t="shared" si="959"/>
        <v>2.421196893558708E-2</v>
      </c>
      <c r="M6843" s="401">
        <f>SUM(C6843,C6819,C6795,C6771,C6747,C6723,C6699)/POBLA!$B$2*100000</f>
        <v>69.448824734706136</v>
      </c>
    </row>
    <row r="6844" spans="1:13" s="360" customFormat="1" x14ac:dyDescent="0.25">
      <c r="A6844" s="367" t="s">
        <v>28</v>
      </c>
      <c r="B6844" s="2">
        <v>44178</v>
      </c>
      <c r="C6844" s="1">
        <v>22</v>
      </c>
      <c r="D6844" s="39">
        <f t="shared" si="954"/>
        <v>2137</v>
      </c>
      <c r="E6844" s="1"/>
      <c r="F6844" s="409">
        <f t="shared" si="955"/>
        <v>17</v>
      </c>
      <c r="G6844" s="168">
        <f>SUM(C6844,C6820,C6796,C6772,C6748,C6724,C6700,C6676,C6652,C6628,C6604,C6580,C6556,C6532)/POBLA!$B$3*100000</f>
        <v>69.083714056008361</v>
      </c>
      <c r="H6844" s="256">
        <f t="shared" si="958"/>
        <v>0.74739583333333337</v>
      </c>
      <c r="I6844" s="297">
        <f t="shared" si="960"/>
        <v>51.632880036652082</v>
      </c>
      <c r="J6844" s="297">
        <f t="shared" si="961"/>
        <v>21.714285714285715</v>
      </c>
      <c r="K6844" s="297">
        <f>J6844/POBLA!$B$3*100000</f>
        <v>5.2268414815894824</v>
      </c>
      <c r="L6844" s="549">
        <f t="shared" si="959"/>
        <v>-0.125925925925926</v>
      </c>
      <c r="M6844" s="401">
        <f>SUM(C6844,C6820,C6796,C6772,C6748,C6724,C6700)/POBLA!$B$3*100000</f>
        <v>36.587890371126377</v>
      </c>
    </row>
    <row r="6845" spans="1:13" s="360" customFormat="1" x14ac:dyDescent="0.25">
      <c r="A6845" s="367" t="s">
        <v>15</v>
      </c>
      <c r="B6845" s="2">
        <v>44178</v>
      </c>
      <c r="C6845" s="1">
        <v>109</v>
      </c>
      <c r="D6845" s="39">
        <f t="shared" si="954"/>
        <v>21702</v>
      </c>
      <c r="E6845" s="1">
        <v>4</v>
      </c>
      <c r="F6845" s="409">
        <f t="shared" si="955"/>
        <v>619</v>
      </c>
      <c r="G6845" s="168">
        <f>SUM(C6845,C6821,C6797,C6773,C6749,C6725,C6701,C6677,C6653,C6629,C6605,C6581,C6557,C6533)/POBLA!$B$4*100000</f>
        <v>214.27249051713474</v>
      </c>
      <c r="H6845" s="256">
        <f t="shared" si="958"/>
        <v>0.92079914377452732</v>
      </c>
      <c r="I6845" s="297">
        <f t="shared" si="960"/>
        <v>197.3019258026132</v>
      </c>
      <c r="J6845" s="297">
        <f t="shared" si="961"/>
        <v>138.85714285714286</v>
      </c>
      <c r="K6845" s="297">
        <f>J6845/POBLA!$B$4*100000</f>
        <v>11.527805434364032</v>
      </c>
      <c r="L6845" s="549">
        <f t="shared" si="959"/>
        <v>0.39589807333747673</v>
      </c>
      <c r="M6845" s="401">
        <f>SUM(C6845,C6821,C6797,C6773,C6749,C6725,C6701)/POBLA!$B$4*100000</f>
        <v>80.694638040548227</v>
      </c>
    </row>
    <row r="6846" spans="1:13" s="360" customFormat="1" x14ac:dyDescent="0.25">
      <c r="A6846" s="367" t="s">
        <v>29</v>
      </c>
      <c r="B6846" s="2">
        <v>44178</v>
      </c>
      <c r="C6846" s="1">
        <v>125</v>
      </c>
      <c r="D6846" s="39">
        <f t="shared" si="954"/>
        <v>26069</v>
      </c>
      <c r="E6846" s="1"/>
      <c r="F6846" s="409">
        <f t="shared" si="955"/>
        <v>436</v>
      </c>
      <c r="G6846" s="168">
        <f>SUM(C6846,C6822,C6798,C6774,C6750,C6726,C6702,C6678,C6654,C6630,C6606,C6582,C6558,C6534)/POBLA!$B$5*100000</f>
        <v>555.41733845562317</v>
      </c>
      <c r="H6846" s="256">
        <f t="shared" si="958"/>
        <v>0.99941860465116283</v>
      </c>
      <c r="I6846" s="297">
        <f t="shared" si="960"/>
        <v>555.09442139838154</v>
      </c>
      <c r="J6846" s="297">
        <f t="shared" si="961"/>
        <v>225.85714285714286</v>
      </c>
      <c r="K6846" s="297">
        <f>J6846/POBLA!$B$5*100000</f>
        <v>36.487775787348966</v>
      </c>
      <c r="L6846" s="549">
        <f t="shared" si="959"/>
        <v>0.14862681744749595</v>
      </c>
      <c r="M6846" s="401">
        <f>SUM(C6846,C6822,C6798,C6774,C6750,C6726,C6702)/POBLA!$B$5*100000</f>
        <v>255.41443051144276</v>
      </c>
    </row>
    <row r="6847" spans="1:13" s="360" customFormat="1" x14ac:dyDescent="0.25">
      <c r="A6847" s="367" t="s">
        <v>20</v>
      </c>
      <c r="B6847" s="2">
        <v>44178</v>
      </c>
      <c r="C6847" s="1">
        <v>249</v>
      </c>
      <c r="D6847" s="39">
        <f t="shared" si="954"/>
        <v>119781</v>
      </c>
      <c r="E6847" s="1">
        <v>30</v>
      </c>
      <c r="F6847" s="409">
        <f t="shared" si="955"/>
        <v>2256</v>
      </c>
      <c r="G6847" s="168">
        <f>SUM(C6847,C6823,C6799,C6775,C6751,C6727,C6703,C6679,C6655,C6631,C6607,C6583,C6559,C6535)/POBLA!$B$6*100000</f>
        <v>528.55056339171711</v>
      </c>
      <c r="H6847" s="256">
        <f t="shared" si="958"/>
        <v>0.51987713909609479</v>
      </c>
      <c r="I6847" s="297">
        <f t="shared" si="960"/>
        <v>274.781354763715</v>
      </c>
      <c r="J6847" s="297">
        <f t="shared" si="961"/>
        <v>324.14285714285717</v>
      </c>
      <c r="K6847" s="297">
        <f>J6847/POBLA!$B$6*100000</f>
        <v>28.920643106390621</v>
      </c>
      <c r="L6847" s="549">
        <f t="shared" si="959"/>
        <v>0.37920656634746919</v>
      </c>
      <c r="M6847" s="401">
        <f>SUM(C6847,C6823,C6799,C6775,C6751,C6727,C6703)/POBLA!$B$6*100000</f>
        <v>202.44450174473437</v>
      </c>
    </row>
    <row r="6848" spans="1:13" s="360" customFormat="1" x14ac:dyDescent="0.25">
      <c r="A6848" s="367" t="s">
        <v>30</v>
      </c>
      <c r="B6848" s="2">
        <v>44178</v>
      </c>
      <c r="C6848" s="1">
        <v>42</v>
      </c>
      <c r="D6848" s="39">
        <f t="shared" si="954"/>
        <v>9548</v>
      </c>
      <c r="E6848" s="1">
        <v>2</v>
      </c>
      <c r="F6848" s="409">
        <f t="shared" si="955"/>
        <v>135</v>
      </c>
      <c r="G6848" s="168">
        <f>SUM(C6848,C6824,C6800,C6776,C6752,C6728,C6704,C6680,C6656,C6632,C6608,C6584,C6560,C6536)/POBLA!$B$7*100000</f>
        <v>72.996582855775245</v>
      </c>
      <c r="H6848" s="256">
        <f t="shared" si="958"/>
        <v>0.88921282798833823</v>
      </c>
      <c r="I6848" s="297">
        <f t="shared" si="960"/>
        <v>64.909497874668958</v>
      </c>
      <c r="J6848" s="297">
        <f t="shared" si="961"/>
        <v>124.42857142857143</v>
      </c>
      <c r="K6848" s="297">
        <f>J6848/POBLA!$B$7*100000</f>
        <v>3.308874507800168</v>
      </c>
      <c r="L6848" s="549">
        <f t="shared" si="959"/>
        <v>0.53521878335112061</v>
      </c>
      <c r="M6848" s="401">
        <f>SUM(C6848,C6824,C6800,C6776,C6752,C6728,C6704)/POBLA!$B$7*100000</f>
        <v>23.162121554601178</v>
      </c>
    </row>
    <row r="6849" spans="1:13" x14ac:dyDescent="0.25">
      <c r="A6849" s="367" t="s">
        <v>31</v>
      </c>
      <c r="B6849" s="2">
        <v>44178</v>
      </c>
      <c r="C6849" s="1">
        <v>134</v>
      </c>
      <c r="D6849" s="39">
        <f t="shared" si="954"/>
        <v>25719</v>
      </c>
      <c r="F6849" s="409">
        <f t="shared" si="955"/>
        <v>521</v>
      </c>
      <c r="G6849" s="168">
        <f>SUM(C6849,C6825,C6801,C6777,C6753,C6729,C6705,C6681,C6657,C6633,C6609,C6585,C6561,C6537)/POBLA!$B$8*100000</f>
        <v>178.21569293796867</v>
      </c>
      <c r="H6849" s="256">
        <f t="shared" si="958"/>
        <v>0.77115204495785206</v>
      </c>
      <c r="I6849" s="297">
        <f t="shared" si="960"/>
        <v>137.43139605269516</v>
      </c>
      <c r="J6849" s="297">
        <f t="shared" si="961"/>
        <v>171.28571428571428</v>
      </c>
      <c r="K6849" s="297">
        <f>J6849/POBLA!$B$8*100000</f>
        <v>12.35862439749129</v>
      </c>
      <c r="L6849" s="549">
        <f t="shared" si="959"/>
        <v>5.664830841856805E-2</v>
      </c>
      <c r="M6849" s="401">
        <f>SUM(C6849,C6825,C6801,C6777,C6753,C6729,C6705)/POBLA!$B$8*100000</f>
        <v>86.51037078243904</v>
      </c>
    </row>
    <row r="6850" spans="1:13" s="360" customFormat="1" x14ac:dyDescent="0.25">
      <c r="A6850" s="367" t="s">
        <v>41</v>
      </c>
      <c r="B6850" s="2">
        <v>44178</v>
      </c>
      <c r="C6850" s="1">
        <v>1</v>
      </c>
      <c r="D6850" s="39">
        <f t="shared" si="954"/>
        <v>197</v>
      </c>
      <c r="E6850" s="1"/>
      <c r="F6850" s="409">
        <f t="shared" si="955"/>
        <v>3</v>
      </c>
      <c r="G6850" s="168">
        <f>SUM(C6850,C6826,C6802,C6778,C6754,C6730,C6706,C6682,C6658,C6634,C6610,C6586,C6562,C6538)/POBLA!$B$9*100000</f>
        <v>2.4785481656265027</v>
      </c>
      <c r="H6850" s="256">
        <f t="shared" si="958"/>
        <v>1.0714285714285714</v>
      </c>
      <c r="I6850" s="297">
        <f t="shared" si="960"/>
        <v>2.65558732031411</v>
      </c>
      <c r="J6850" s="297">
        <f t="shared" si="961"/>
        <v>1.1428571428571428</v>
      </c>
      <c r="K6850" s="297">
        <f>J6850/POBLA!$B$9*100000</f>
        <v>0.18884176500011449</v>
      </c>
      <c r="L6850" s="549">
        <f t="shared" si="959"/>
        <v>-0.14285714285714279</v>
      </c>
      <c r="M6850" s="401">
        <f>SUM(C6850,C6826,C6802,C6778,C6754,C6730,C6706)/POBLA!$B$9*100000</f>
        <v>1.3218923550008015</v>
      </c>
    </row>
    <row r="6851" spans="1:13" s="360" customFormat="1" x14ac:dyDescent="0.25">
      <c r="A6851" s="367" t="s">
        <v>32</v>
      </c>
      <c r="B6851" s="2">
        <v>44178</v>
      </c>
      <c r="C6851" s="1">
        <v>1</v>
      </c>
      <c r="D6851" s="39">
        <f t="shared" si="954"/>
        <v>18449</v>
      </c>
      <c r="E6851" s="1"/>
      <c r="F6851" s="409">
        <f t="shared" si="955"/>
        <v>854</v>
      </c>
      <c r="G6851" s="168">
        <f>SUM(C6851,C6827,C6803,C6779,C6755,C6731,C6707,C6683,C6659,C6635,C6611,C6587,C6563,C6539)/POBLA!$B$10*100000</f>
        <v>10.248014933563027</v>
      </c>
      <c r="H6851" s="256">
        <f t="shared" si="958"/>
        <v>0.3910891089108911</v>
      </c>
      <c r="I6851" s="297">
        <f t="shared" si="960"/>
        <v>4.0078870284726689</v>
      </c>
      <c r="J6851" s="297">
        <f t="shared" si="961"/>
        <v>4.8571428571428568</v>
      </c>
      <c r="K6851" s="297">
        <f>J6851/POBLA!$B$10*100000</f>
        <v>0.63007686752467063</v>
      </c>
      <c r="L6851" s="549">
        <f t="shared" si="959"/>
        <v>0.24444444444444446</v>
      </c>
      <c r="M6851" s="401">
        <f>SUM(C6851,C6827,C6803,C6779,C6755,C6731,C6707)/POBLA!$B$10*100000</f>
        <v>4.4105380726726953</v>
      </c>
    </row>
    <row r="6852" spans="1:13" s="360" customFormat="1" x14ac:dyDescent="0.25">
      <c r="A6852" s="367" t="s">
        <v>33</v>
      </c>
      <c r="B6852" s="2">
        <v>44178</v>
      </c>
      <c r="C6852" s="1">
        <v>120</v>
      </c>
      <c r="D6852" s="39">
        <f t="shared" si="954"/>
        <v>6970</v>
      </c>
      <c r="E6852" s="1"/>
      <c r="F6852" s="409">
        <f t="shared" si="955"/>
        <v>99</v>
      </c>
      <c r="G6852" s="168">
        <f>SUM(C6852,C6828,C6804,C6780,C6756,C6732,C6708,C6684,C6660,C6636,C6612,C6588,C6564,C6540)/POBLA!$B$11*100000</f>
        <v>351.53503632528708</v>
      </c>
      <c r="H6852" s="256">
        <f t="shared" si="958"/>
        <v>1.2574850299401197</v>
      </c>
      <c r="I6852" s="297">
        <f t="shared" si="960"/>
        <v>442.05004567850466</v>
      </c>
      <c r="J6852" s="297">
        <f t="shared" si="961"/>
        <v>98.571428571428569</v>
      </c>
      <c r="K6852" s="297">
        <f>J6852/POBLA!$B$11*100000</f>
        <v>27.501040256740147</v>
      </c>
      <c r="L6852" s="549">
        <f t="shared" si="959"/>
        <v>-0.21052631578947367</v>
      </c>
      <c r="M6852" s="401">
        <f>SUM(C6852,C6828,C6804,C6780,C6756,C6732,C6708)/POBLA!$B$11*100000</f>
        <v>192.50728179718101</v>
      </c>
    </row>
    <row r="6853" spans="1:13" s="360" customFormat="1" x14ac:dyDescent="0.25">
      <c r="A6853" s="367" t="s">
        <v>21</v>
      </c>
      <c r="B6853" s="2">
        <v>44178</v>
      </c>
      <c r="C6853" s="1">
        <v>11</v>
      </c>
      <c r="D6853" s="39">
        <f t="shared" si="954"/>
        <v>8934</v>
      </c>
      <c r="E6853" s="1">
        <v>1</v>
      </c>
      <c r="F6853" s="409">
        <f t="shared" si="955"/>
        <v>325</v>
      </c>
      <c r="G6853" s="168">
        <f>SUM(C6853,C6829,C6805,C6781,C6757,C6733,C6709,C6685,C6661,C6637,C6613,C6589,C6565,C6541)/POBLA!$B$12*100000</f>
        <v>60.986300952148625</v>
      </c>
      <c r="H6853" s="256">
        <f t="shared" si="958"/>
        <v>0.46692607003891051</v>
      </c>
      <c r="I6853" s="297">
        <f t="shared" si="960"/>
        <v>28.476093829797023</v>
      </c>
      <c r="J6853" s="297">
        <f t="shared" si="961"/>
        <v>13.571428571428571</v>
      </c>
      <c r="K6853" s="297">
        <f>J6853/POBLA!$B$12*100000</f>
        <v>3.4486301133655468</v>
      </c>
      <c r="L6853" s="549">
        <f t="shared" si="959"/>
        <v>0.34482758620689657</v>
      </c>
      <c r="M6853" s="401">
        <f>SUM(C6853,C6829,C6805,C6781,C6757,C6733,C6709)/POBLA!$B$12*100000</f>
        <v>24.140410793558832</v>
      </c>
    </row>
    <row r="6854" spans="1:13" s="360" customFormat="1" x14ac:dyDescent="0.25">
      <c r="A6854" s="367" t="s">
        <v>17</v>
      </c>
      <c r="B6854" s="2">
        <v>44178</v>
      </c>
      <c r="C6854" s="1">
        <v>120</v>
      </c>
      <c r="D6854" s="39">
        <f t="shared" si="954"/>
        <v>58258</v>
      </c>
      <c r="E6854" s="1"/>
      <c r="F6854" s="409">
        <f t="shared" si="955"/>
        <v>1174</v>
      </c>
      <c r="G6854" s="168">
        <f>SUM(C6854,C6830,C6806,C6782,C6758,C6734,C6710,C6686,C6662,C6638,C6614,C6590,C6566,C6542)/POBLA!$B$13*100000</f>
        <v>93.602192190472167</v>
      </c>
      <c r="H6854" s="256">
        <f t="shared" si="958"/>
        <v>0.56318016928657799</v>
      </c>
      <c r="I6854" s="297">
        <f t="shared" si="960"/>
        <v>52.714898443424921</v>
      </c>
      <c r="J6854" s="297">
        <f t="shared" si="961"/>
        <v>98.571428571428569</v>
      </c>
      <c r="K6854" s="297">
        <f>J6854/POBLA!$B$13*100000</f>
        <v>4.9524969412948243</v>
      </c>
      <c r="L6854" s="549">
        <f t="shared" si="959"/>
        <v>0.41176470588235292</v>
      </c>
      <c r="M6854" s="401">
        <f>SUM(C6854,C6830,C6806,C6782,C6758,C6734,C6710)/POBLA!$B$13*100000</f>
        <v>34.667478589063769</v>
      </c>
    </row>
    <row r="6855" spans="1:13" s="360" customFormat="1" x14ac:dyDescent="0.25">
      <c r="A6855" s="367" t="s">
        <v>23</v>
      </c>
      <c r="B6855" s="2">
        <v>44178</v>
      </c>
      <c r="C6855" s="1">
        <v>28</v>
      </c>
      <c r="D6855" s="39">
        <f t="shared" si="954"/>
        <v>683</v>
      </c>
      <c r="E6855" s="1"/>
      <c r="F6855" s="409">
        <f t="shared" si="955"/>
        <v>9</v>
      </c>
      <c r="G6855" s="168">
        <f>SUM(C6855,C6831,C6807,C6783,C6759,C6735,C6711,C6687,C6663,C6639,C6615,C6591,C6567,C6543)/POBLA!$B$14*100000</f>
        <v>14.905327386001996</v>
      </c>
      <c r="H6855" s="256">
        <f t="shared" si="958"/>
        <v>1.5666666666666667</v>
      </c>
      <c r="I6855" s="297">
        <f t="shared" si="960"/>
        <v>23.351679571403128</v>
      </c>
      <c r="J6855" s="297">
        <f t="shared" si="961"/>
        <v>15.714285714285714</v>
      </c>
      <c r="K6855" s="297">
        <f>J6855/POBLA!$B$14*100000</f>
        <v>1.2458860277053339</v>
      </c>
      <c r="L6855" s="549">
        <f t="shared" si="959"/>
        <v>-0.41025641025641035</v>
      </c>
      <c r="M6855" s="401">
        <f>SUM(C6855,C6831,C6807,C6783,C6759,C6735,C6711)/POBLA!$B$14*100000</f>
        <v>8.7212021939373372</v>
      </c>
    </row>
    <row r="6856" spans="1:13" s="360" customFormat="1" x14ac:dyDescent="0.25">
      <c r="A6856" s="367" t="s">
        <v>19</v>
      </c>
      <c r="B6856" s="2">
        <v>44178</v>
      </c>
      <c r="C6856" s="1">
        <v>104</v>
      </c>
      <c r="D6856" s="39">
        <f t="shared" si="954"/>
        <v>36920</v>
      </c>
      <c r="E6856" s="1"/>
      <c r="F6856" s="409">
        <f t="shared" si="955"/>
        <v>673</v>
      </c>
      <c r="G6856" s="168">
        <f>SUM(C6856,C6832,C6808,C6784,C6760,C6736,C6712,C6688,C6664,C6640,C6616,C6592,C6568,C6544)/POBLA!$B$15*100000</f>
        <v>764.99457124915489</v>
      </c>
      <c r="H6856" s="256">
        <f t="shared" si="958"/>
        <v>1.0300081103000811</v>
      </c>
      <c r="I6856" s="297">
        <f t="shared" si="960"/>
        <v>787.95061272216276</v>
      </c>
      <c r="J6856" s="297">
        <f t="shared" si="961"/>
        <v>325.85714285714283</v>
      </c>
      <c r="K6856" s="297">
        <f>J6856/POBLA!$B$15*100000</f>
        <v>49.070658521353259</v>
      </c>
      <c r="L6856" s="549">
        <f t="shared" si="959"/>
        <v>0.18506609503394067</v>
      </c>
      <c r="M6856" s="401">
        <f>SUM(C6856,C6832,C6808,C6784,C6760,C6736,C6712)/POBLA!$B$15*100000</f>
        <v>343.49460964947286</v>
      </c>
    </row>
    <row r="6857" spans="1:13" s="360" customFormat="1" x14ac:dyDescent="0.25">
      <c r="A6857" s="367" t="s">
        <v>18</v>
      </c>
      <c r="B6857" s="2">
        <v>44178</v>
      </c>
      <c r="C6857" s="1">
        <v>158</v>
      </c>
      <c r="D6857" s="39">
        <f t="shared" si="954"/>
        <v>34238</v>
      </c>
      <c r="E6857" s="1"/>
      <c r="F6857" s="409">
        <f t="shared" si="955"/>
        <v>839</v>
      </c>
      <c r="G6857" s="168">
        <f>SUM(C6857,C6833,C6809,C6785,C6761,C6737,C6713,C6689,C6665,C6641,C6617,C6593,C6569,C6545)/POBLA!$B$16*100000</f>
        <v>363.42478029988899</v>
      </c>
      <c r="H6857" s="256">
        <f t="shared" si="958"/>
        <v>0.88300292492687682</v>
      </c>
      <c r="I6857" s="297">
        <f t="shared" si="960"/>
        <v>320.90514399570958</v>
      </c>
      <c r="J6857" s="297">
        <f t="shared" si="961"/>
        <v>194.28571428571428</v>
      </c>
      <c r="K6857" s="297">
        <f>J6857/POBLA!$B$16*100000</f>
        <v>25.987575645819916</v>
      </c>
      <c r="L6857" s="549">
        <f t="shared" si="959"/>
        <v>-2.2107590272659738E-3</v>
      </c>
      <c r="M6857" s="401">
        <f>SUM(C6857,C6833,C6809,C6785,C6761,C6737,C6713)/POBLA!$B$16*100000</f>
        <v>181.91302952073943</v>
      </c>
    </row>
    <row r="6858" spans="1:13" s="360" customFormat="1" x14ac:dyDescent="0.25">
      <c r="A6858" s="367" t="s">
        <v>34</v>
      </c>
      <c r="B6858" s="2">
        <v>44178</v>
      </c>
      <c r="C6858" s="1">
        <v>28</v>
      </c>
      <c r="D6858" s="39">
        <f t="shared" si="954"/>
        <v>21578</v>
      </c>
      <c r="E6858" s="1"/>
      <c r="F6858" s="409">
        <f t="shared" si="955"/>
        <v>997</v>
      </c>
      <c r="G6858" s="168">
        <f>SUM(C6858,C6834,C6810,C6786,C6762,C6738,C6714,C6690,C6666,C6642,C6618,C6594,C6570,C6546)/POBLA!$B$17*100000</f>
        <v>30.749854148808232</v>
      </c>
      <c r="H6858" s="256">
        <f t="shared" si="958"/>
        <v>0.46202531645569622</v>
      </c>
      <c r="I6858" s="297">
        <f t="shared" si="960"/>
        <v>14.207211094069628</v>
      </c>
      <c r="J6858" s="297">
        <f t="shared" si="961"/>
        <v>22.857142857142858</v>
      </c>
      <c r="K6858" s="297">
        <f>J6858/POBLA!$B$17*100000</f>
        <v>1.6046890619078007</v>
      </c>
      <c r="L6858" s="549">
        <f t="shared" si="959"/>
        <v>0.42446043165467628</v>
      </c>
      <c r="M6858" s="401">
        <f>SUM(C6858,C6834,C6810,C6786,C6762,C6738,C6714)/POBLA!$B$17*100000</f>
        <v>11.232823433354605</v>
      </c>
    </row>
    <row r="6859" spans="1:13" s="360" customFormat="1" x14ac:dyDescent="0.25">
      <c r="A6859" s="367" t="s">
        <v>35</v>
      </c>
      <c r="B6859" s="2">
        <v>44178</v>
      </c>
      <c r="C6859" s="1">
        <v>28</v>
      </c>
      <c r="D6859" s="39">
        <f t="shared" si="954"/>
        <v>9249</v>
      </c>
      <c r="E6859" s="1"/>
      <c r="F6859" s="409">
        <f t="shared" si="955"/>
        <v>174</v>
      </c>
      <c r="G6859" s="168">
        <f>SUM(C6859,C6835,C6811,C6787,C6763,C6739,C6715,C6691,C6667,C6643,C6619,C6595,C6571,C6547)/POBLA!$B$18*100000</f>
        <v>247.05043541039174</v>
      </c>
      <c r="H6859" s="256">
        <f t="shared" si="958"/>
        <v>0.67247386759581884</v>
      </c>
      <c r="I6859" s="297">
        <f t="shared" si="960"/>
        <v>166.13496179165716</v>
      </c>
      <c r="J6859" s="297">
        <f t="shared" si="961"/>
        <v>112.14285714285714</v>
      </c>
      <c r="K6859" s="297">
        <f>J6859/POBLA!$B$18*100000</f>
        <v>14.354892064926537</v>
      </c>
      <c r="L6859" s="549">
        <f t="shared" si="959"/>
        <v>0.31441048034934493</v>
      </c>
      <c r="M6859" s="401">
        <f>SUM(C6859,C6835,C6811,C6787,C6763,C6739,C6715)/POBLA!$B$18*100000</f>
        <v>100.48424445448576</v>
      </c>
    </row>
    <row r="6860" spans="1:13" s="360" customFormat="1" x14ac:dyDescent="0.25">
      <c r="A6860" s="367" t="s">
        <v>36</v>
      </c>
      <c r="B6860" s="2">
        <v>44178</v>
      </c>
      <c r="C6860" s="1">
        <v>27</v>
      </c>
      <c r="D6860" s="39">
        <f t="shared" si="954"/>
        <v>15485</v>
      </c>
      <c r="E6860" s="1"/>
      <c r="F6860" s="409">
        <f t="shared" si="955"/>
        <v>250</v>
      </c>
      <c r="G6860" s="168">
        <f>SUM(C6860,C6836,C6812,C6788,C6764,C6740,C6716,C6692,C6668,C6644,C6620,C6596,C6572,C6548)/POBLA!$B$19*100000</f>
        <v>235.47788042366344</v>
      </c>
      <c r="H6860" s="256">
        <f t="shared" si="958"/>
        <v>0.41077556623198352</v>
      </c>
      <c r="I6860" s="297">
        <f t="shared" si="960"/>
        <v>96.728559666137656</v>
      </c>
      <c r="J6860" s="297">
        <f t="shared" si="961"/>
        <v>54.857142857142854</v>
      </c>
      <c r="K6860" s="297">
        <f>J6860/POBLA!$B$19*100000</f>
        <v>10.791682310858905</v>
      </c>
      <c r="L6860" s="549">
        <f t="shared" si="959"/>
        <v>0.52767527675276749</v>
      </c>
      <c r="M6860" s="401">
        <f>SUM(C6860,C6836,C6812,C6788,C6764,C6740,C6716)/POBLA!$B$19*100000</f>
        <v>75.541776176012334</v>
      </c>
    </row>
    <row r="6861" spans="1:13" s="360" customFormat="1" x14ac:dyDescent="0.25">
      <c r="A6861" s="367" t="s">
        <v>37</v>
      </c>
      <c r="B6861" s="2">
        <v>44178</v>
      </c>
      <c r="C6861" s="1">
        <v>203</v>
      </c>
      <c r="D6861" s="39">
        <f t="shared" si="954"/>
        <v>18837</v>
      </c>
      <c r="E6861" s="1">
        <v>2</v>
      </c>
      <c r="F6861" s="409">
        <f t="shared" si="955"/>
        <v>329</v>
      </c>
      <c r="G6861" s="168">
        <f>SUM(C6861,C6837,C6813,C6789,C6765,C6741,C6717,C6693,C6669,C6645,C6621,C6597,C6573,C6549)/POBLA!$B$20*100000</f>
        <v>838.12326017642965</v>
      </c>
      <c r="H6861" s="256">
        <f t="shared" si="958"/>
        <v>0.98331729226820663</v>
      </c>
      <c r="I6861" s="297">
        <f t="shared" si="960"/>
        <v>824.14109478368846</v>
      </c>
      <c r="J6861" s="297">
        <f t="shared" si="961"/>
        <v>220</v>
      </c>
      <c r="K6861" s="297">
        <f>J6861/POBLA!$B$20*100000</f>
        <v>60.158928952304912</v>
      </c>
      <c r="L6861" s="549">
        <f t="shared" si="959"/>
        <v>-9.8360655737705915E-3</v>
      </c>
      <c r="M6861" s="401">
        <f>SUM(C6861,C6837,C6813,C6789,C6765,C6741,C6717)/POBLA!$B$20*100000</f>
        <v>421.11250266613439</v>
      </c>
    </row>
    <row r="6862" spans="1:13" s="360" customFormat="1" x14ac:dyDescent="0.25">
      <c r="A6862" s="367" t="s">
        <v>22</v>
      </c>
      <c r="B6862" s="2">
        <v>44178</v>
      </c>
      <c r="C6862" s="1">
        <v>632</v>
      </c>
      <c r="D6862" s="39">
        <f t="shared" si="954"/>
        <v>160080</v>
      </c>
      <c r="E6862" s="1">
        <v>9</v>
      </c>
      <c r="F6862" s="409">
        <f t="shared" si="955"/>
        <v>2547</v>
      </c>
      <c r="G6862" s="168">
        <f>SUM(C6862,C6838,C6814,C6790,C6766,C6742,C6718,C6694,C6670,C6646,C6622,C6598,C6574,C6550)/POBLA!$B$21*100000</f>
        <v>383.86299357146129</v>
      </c>
      <c r="H6862" s="256">
        <f t="shared" si="958"/>
        <v>0.73889614630960154</v>
      </c>
      <c r="I6862" s="297">
        <f t="shared" si="960"/>
        <v>283.63488666082009</v>
      </c>
      <c r="J6862" s="297">
        <f t="shared" si="961"/>
        <v>837.28571428571433</v>
      </c>
      <c r="K6862" s="297">
        <f>J6862/POBLA!$B$21*100000</f>
        <v>23.676095820282399</v>
      </c>
      <c r="L6862" s="549">
        <f t="shared" si="959"/>
        <v>0.24021260046668391</v>
      </c>
      <c r="M6862" s="401">
        <f>SUM(C6862,C6838,C6814,C6790,C6766,C6742,C6718)/POBLA!$B$21*100000</f>
        <v>165.73267074197676</v>
      </c>
    </row>
    <row r="6863" spans="1:13" s="360" customFormat="1" x14ac:dyDescent="0.25">
      <c r="A6863" s="367" t="s">
        <v>38</v>
      </c>
      <c r="B6863" s="2">
        <v>44178</v>
      </c>
      <c r="C6863" s="1">
        <v>45</v>
      </c>
      <c r="D6863" s="39">
        <f t="shared" si="954"/>
        <v>16488</v>
      </c>
      <c r="E6863" s="1"/>
      <c r="F6863" s="409">
        <f t="shared" si="955"/>
        <v>206</v>
      </c>
      <c r="G6863" s="168">
        <f>SUM(C6863,C6839,C6815,C6791,C6767,C6743,C6719,C6695,C6671,C6647,C6623,C6599,C6575,C6551)/POBLA!$B$22*100000</f>
        <v>91.790664133053539</v>
      </c>
      <c r="H6863" s="256">
        <f t="shared" si="958"/>
        <v>0.36341562120598947</v>
      </c>
      <c r="I6863" s="297">
        <f t="shared" si="960"/>
        <v>33.358161226823988</v>
      </c>
      <c r="J6863" s="297">
        <f t="shared" si="961"/>
        <v>47</v>
      </c>
      <c r="K6863" s="297">
        <f>J6863/POBLA!$B$22*100000</f>
        <v>4.8041884345807535</v>
      </c>
      <c r="L6863" s="549">
        <f t="shared" si="959"/>
        <v>0.42179261862917394</v>
      </c>
      <c r="M6863" s="401">
        <f>SUM(C6863,C6839,C6815,C6791,C6767,C6743,C6719)/POBLA!$B$22*100000</f>
        <v>33.629319042065269</v>
      </c>
    </row>
    <row r="6864" spans="1:13" s="360" customFormat="1" x14ac:dyDescent="0.25">
      <c r="A6864" s="367" t="s">
        <v>39</v>
      </c>
      <c r="B6864" s="2">
        <v>44178</v>
      </c>
      <c r="C6864" s="1">
        <v>75</v>
      </c>
      <c r="D6864" s="39">
        <f t="shared" si="954"/>
        <v>17505</v>
      </c>
      <c r="E6864" s="1"/>
      <c r="F6864" s="409">
        <f t="shared" si="955"/>
        <v>242</v>
      </c>
      <c r="G6864" s="168">
        <f>SUM(C6864,C6840,C6816,C6792,C6768,C6744,C6720,C6696,C6672,C6648,C6624,C6600,C6576,C6552)/POBLA!$B$23*100000</f>
        <v>800.20358536447429</v>
      </c>
      <c r="H6864" s="256">
        <f t="shared" si="958"/>
        <v>0.77364680153089116</v>
      </c>
      <c r="I6864" s="297">
        <f t="shared" si="960"/>
        <v>619.07494439077698</v>
      </c>
      <c r="J6864" s="297">
        <f t="shared" si="961"/>
        <v>108.57142857142857</v>
      </c>
      <c r="K6864" s="297">
        <f>J6864/POBLA!$B$23*100000</f>
        <v>61.398760714487679</v>
      </c>
      <c r="L6864" s="549">
        <f t="shared" si="959"/>
        <v>-0.16030534351145032</v>
      </c>
      <c r="M6864" s="401">
        <f>SUM(C6864,C6840,C6816,C6792,C6768,C6744,C6720)/POBLA!$B$23*100000</f>
        <v>429.79132500141384</v>
      </c>
    </row>
    <row r="6865" spans="1:13" s="360" customFormat="1" ht="15.75" thickBot="1" x14ac:dyDescent="0.3">
      <c r="A6865" s="369" t="s">
        <v>40</v>
      </c>
      <c r="B6865" s="2">
        <v>44178</v>
      </c>
      <c r="C6865" s="1">
        <v>80</v>
      </c>
      <c r="D6865" s="176">
        <f t="shared" si="954"/>
        <v>68395</v>
      </c>
      <c r="E6865" s="1"/>
      <c r="F6865" s="476">
        <f t="shared" si="955"/>
        <v>1292</v>
      </c>
      <c r="G6865" s="177">
        <f>SUM(C6865,C6841,C6817,C6793,C6769,C6745,C6721,C6697,C6673,C6649,C6625,C6601,C6577,C6553)/POBLA!$B$24*100000</f>
        <v>163.15995694701462</v>
      </c>
      <c r="H6865" s="402">
        <f t="shared" si="958"/>
        <v>0.4939264022865309</v>
      </c>
      <c r="I6865" s="403">
        <f t="shared" si="960"/>
        <v>80.589010532064208</v>
      </c>
      <c r="J6865" s="403">
        <f t="shared" si="961"/>
        <v>161.57142857142858</v>
      </c>
      <c r="K6865" s="403">
        <f>J6865/POBLA!$B$24*100000</f>
        <v>9.5341726327601943</v>
      </c>
      <c r="L6865" s="550">
        <f t="shared" si="959"/>
        <v>0.30783353733170138</v>
      </c>
      <c r="M6865" s="405">
        <f>SUM(C6865,C6841,C6817,C6793,C6769,C6745,C6721)/POBLA!$B$24*100000</f>
        <v>66.739208429321351</v>
      </c>
    </row>
    <row r="6866" spans="1:13" s="360" customFormat="1" x14ac:dyDescent="0.25">
      <c r="A6866" s="363" t="s">
        <v>16</v>
      </c>
      <c r="B6866" s="2">
        <v>44179</v>
      </c>
      <c r="C6866" s="1">
        <v>1532</v>
      </c>
      <c r="D6866" s="174">
        <f t="shared" si="954"/>
        <v>639561</v>
      </c>
      <c r="E6866" s="1">
        <v>121</v>
      </c>
      <c r="F6866" s="475">
        <f t="shared" si="955"/>
        <v>21505</v>
      </c>
      <c r="G6866" s="175">
        <f>SUM(C6866,C6842,C6818,C6794,C6770,C6746,C6722,C6698,C6674,C6650,C6626,C6602,C6578,C6554)/POBLA!$B$1*100000</f>
        <v>118.77790618067547</v>
      </c>
      <c r="H6866" s="300">
        <f t="shared" si="958"/>
        <v>0.76369034528260393</v>
      </c>
      <c r="I6866" s="301">
        <f>G6866*H6866</f>
        <v>90.709540183064789</v>
      </c>
      <c r="J6866" s="301">
        <f>AVERAGE(C6866,C6842,C6818,C6794,C6770,C6746,C6722)</f>
        <v>1484.4285714285713</v>
      </c>
      <c r="K6866" s="301">
        <f>J6866/POBLA!$B$1*100000</f>
        <v>8.4625542399355389</v>
      </c>
      <c r="L6866" s="548">
        <f t="shared" si="959"/>
        <v>5.0746840291076012E-3</v>
      </c>
      <c r="M6866" s="400">
        <f>SUM(C6866,C6842,C6818,C6794,C6770,C6746,C6722)/POBLA!$B$1*100000</f>
        <v>59.237879679548783</v>
      </c>
    </row>
    <row r="6867" spans="1:13" s="360" customFormat="1" x14ac:dyDescent="0.25">
      <c r="A6867" s="367" t="s">
        <v>43</v>
      </c>
      <c r="B6867" s="2">
        <v>44179</v>
      </c>
      <c r="C6867" s="1">
        <v>416</v>
      </c>
      <c r="D6867" s="39">
        <f t="shared" si="954"/>
        <v>163225</v>
      </c>
      <c r="E6867" s="1">
        <v>7</v>
      </c>
      <c r="F6867" s="409">
        <f t="shared" si="955"/>
        <v>5347</v>
      </c>
      <c r="G6867" s="168">
        <f>SUM(C6867,C6843,C6819,C6795,C6771,C6747,C6723,C6699,C6675,C6651,C6627,C6603,C6579,C6555)/POBLA!$B$2*100000</f>
        <v>143.70964668885821</v>
      </c>
      <c r="H6867" s="256">
        <f t="shared" si="958"/>
        <v>0.95320250161742504</v>
      </c>
      <c r="I6867" s="297">
        <f t="shared" ref="I6867:I6889" si="962">G6867*H6867</f>
        <v>136.98439473037595</v>
      </c>
      <c r="J6867" s="297">
        <f t="shared" ref="J6867:J6889" si="963">AVERAGE(C6867,C6843,C6819,C6795,C6771,C6747,C6723)</f>
        <v>341.14285714285717</v>
      </c>
      <c r="K6867" s="297">
        <f>J6867/POBLA!$B$2*100000</f>
        <v>11.091746486522089</v>
      </c>
      <c r="L6867" s="549">
        <f t="shared" si="959"/>
        <v>-0.1751968503937007</v>
      </c>
      <c r="M6867" s="401">
        <f>SUM(C6867,C6843,C6819,C6795,C6771,C6747,C6723)/POBLA!$B$2*100000</f>
        <v>77.642225405654614</v>
      </c>
    </row>
    <row r="6868" spans="1:13" s="360" customFormat="1" x14ac:dyDescent="0.25">
      <c r="A6868" s="367" t="s">
        <v>28</v>
      </c>
      <c r="B6868" s="2">
        <v>44179</v>
      </c>
      <c r="C6868" s="1">
        <v>34</v>
      </c>
      <c r="D6868" s="39">
        <f t="shared" si="954"/>
        <v>2171</v>
      </c>
      <c r="E6868" s="1"/>
      <c r="F6868" s="409">
        <f t="shared" si="955"/>
        <v>17</v>
      </c>
      <c r="G6868" s="168">
        <f>SUM(C6868,C6844,C6820,C6796,C6772,C6748,C6724,C6700,C6676,C6652,C6628,C6604,C6580,C6556)/POBLA!$B$3*100000</f>
        <v>73.175780742252755</v>
      </c>
      <c r="H6868" s="256">
        <f t="shared" si="958"/>
        <v>1.0033003300330032</v>
      </c>
      <c r="I6868" s="297">
        <f t="shared" si="962"/>
        <v>73.417284969124864</v>
      </c>
      <c r="J6868" s="297">
        <f t="shared" si="963"/>
        <v>22.285714285714285</v>
      </c>
      <c r="K6868" s="297">
        <f>J6868/POBLA!$B$3*100000</f>
        <v>5.3643899416313108</v>
      </c>
      <c r="L6868" s="549">
        <f t="shared" si="959"/>
        <v>-5.4054054054053946E-2</v>
      </c>
      <c r="M6868" s="401">
        <f>SUM(C6868,C6844,C6820,C6796,C6772,C6748,C6724)/POBLA!$B$3*100000</f>
        <v>37.550729591419177</v>
      </c>
    </row>
    <row r="6869" spans="1:13" s="360" customFormat="1" x14ac:dyDescent="0.25">
      <c r="A6869" s="367" t="s">
        <v>15</v>
      </c>
      <c r="B6869" s="2">
        <v>44179</v>
      </c>
      <c r="C6869" s="1">
        <v>166</v>
      </c>
      <c r="D6869" s="39">
        <f t="shared" si="954"/>
        <v>21868</v>
      </c>
      <c r="E6869" s="1">
        <v>7</v>
      </c>
      <c r="F6869" s="409">
        <f t="shared" si="955"/>
        <v>626</v>
      </c>
      <c r="G6869" s="168">
        <f>SUM(C6869,C6845,C6821,C6797,C6773,C6749,C6725,C6701,C6677,C6653,C6629,C6605,C6581,C6557)/POBLA!$B$4*100000</f>
        <v>208.46114827141625</v>
      </c>
      <c r="H6869" s="256">
        <f t="shared" si="958"/>
        <v>0.86915887850467288</v>
      </c>
      <c r="I6869" s="297">
        <f t="shared" si="962"/>
        <v>181.18585784338049</v>
      </c>
      <c r="J6869" s="297">
        <f t="shared" si="963"/>
        <v>148.85714285714286</v>
      </c>
      <c r="K6869" s="297">
        <f>J6869/POBLA!$B$4*100000</f>
        <v>12.357997183752389</v>
      </c>
      <c r="L6869" s="549">
        <f t="shared" si="959"/>
        <v>0.29067392784206947</v>
      </c>
      <c r="M6869" s="401">
        <f>SUM(C6869,C6845,C6821,C6797,C6773,C6749,C6725)/POBLA!$B$4*100000</f>
        <v>86.50598028626672</v>
      </c>
    </row>
    <row r="6870" spans="1:13" s="360" customFormat="1" x14ac:dyDescent="0.25">
      <c r="A6870" s="367" t="s">
        <v>29</v>
      </c>
      <c r="B6870" s="2">
        <v>44179</v>
      </c>
      <c r="C6870" s="1">
        <v>232</v>
      </c>
      <c r="D6870" s="39">
        <f t="shared" si="954"/>
        <v>26301</v>
      </c>
      <c r="E6870" s="1">
        <v>13</v>
      </c>
      <c r="F6870" s="409">
        <f t="shared" si="955"/>
        <v>449</v>
      </c>
      <c r="G6870" s="168">
        <f>SUM(C6870,C6846,C6822,C6798,C6774,C6750,C6726,C6702,C6678,C6654,C6630,C6606,C6582,C6558)/POBLA!$B$5*100000</f>
        <v>557.35596790922045</v>
      </c>
      <c r="H6870" s="256">
        <f t="shared" si="958"/>
        <v>1.0005800464037122</v>
      </c>
      <c r="I6870" s="297">
        <f t="shared" si="962"/>
        <v>557.67926023399377</v>
      </c>
      <c r="J6870" s="297">
        <f t="shared" si="963"/>
        <v>236</v>
      </c>
      <c r="K6870" s="297">
        <f>J6870/POBLA!$B$5*100000</f>
        <v>38.126379254080007</v>
      </c>
      <c r="L6870" s="549">
        <f t="shared" si="959"/>
        <v>8.1201334816462745E-2</v>
      </c>
      <c r="M6870" s="401">
        <f>SUM(C6870,C6846,C6822,C6798,C6774,C6750,C6726)/POBLA!$B$5*100000</f>
        <v>266.88465477856005</v>
      </c>
    </row>
    <row r="6871" spans="1:13" s="360" customFormat="1" x14ac:dyDescent="0.25">
      <c r="A6871" s="367" t="s">
        <v>20</v>
      </c>
      <c r="B6871" s="2">
        <v>44179</v>
      </c>
      <c r="C6871" s="1">
        <v>234</v>
      </c>
      <c r="D6871" s="39">
        <f t="shared" si="954"/>
        <v>120015</v>
      </c>
      <c r="E6871" s="1">
        <v>30</v>
      </c>
      <c r="F6871" s="409">
        <f t="shared" si="955"/>
        <v>2286</v>
      </c>
      <c r="G6871" s="168">
        <f>SUM(C6871,C6847,C6823,C6799,C6775,C6751,C6727,C6703,C6679,C6655,C6631,C6607,C6583,C6559)/POBLA!$B$6*100000</f>
        <v>518.20082244751745</v>
      </c>
      <c r="H6871" s="256">
        <f t="shared" si="958"/>
        <v>0.52589641434262946</v>
      </c>
      <c r="I6871" s="297">
        <f t="shared" si="962"/>
        <v>272.51995443455098</v>
      </c>
      <c r="J6871" s="297">
        <f t="shared" si="963"/>
        <v>344</v>
      </c>
      <c r="K6871" s="297">
        <f>J6871/POBLA!$B$6*100000</f>
        <v>30.69233521383368</v>
      </c>
      <c r="L6871" s="549">
        <f t="shared" si="959"/>
        <v>0.29176470588235293</v>
      </c>
      <c r="M6871" s="401">
        <f>SUM(C6871,C6847,C6823,C6799,C6775,C6751,C6727)/POBLA!$B$6*100000</f>
        <v>214.84634649683574</v>
      </c>
    </row>
    <row r="6872" spans="1:13" s="360" customFormat="1" x14ac:dyDescent="0.25">
      <c r="A6872" s="367" t="s">
        <v>30</v>
      </c>
      <c r="B6872" s="2">
        <v>44179</v>
      </c>
      <c r="C6872" s="1">
        <v>92</v>
      </c>
      <c r="D6872" s="39">
        <f t="shared" si="954"/>
        <v>9640</v>
      </c>
      <c r="E6872" s="1">
        <v>2</v>
      </c>
      <c r="F6872" s="409">
        <f t="shared" si="955"/>
        <v>137</v>
      </c>
      <c r="G6872" s="168">
        <f>SUM(C6872,C6848,C6824,C6800,C6776,C6752,C6728,C6704,C6680,C6656,C6632,C6608,C6584,C6560)/POBLA!$B$7*100000</f>
        <v>67.598292757515722</v>
      </c>
      <c r="H6872" s="256">
        <f t="shared" si="958"/>
        <v>0.77975460122699392</v>
      </c>
      <c r="I6872" s="297">
        <f t="shared" si="962"/>
        <v>52.71007981276226</v>
      </c>
      <c r="J6872" s="297">
        <f t="shared" si="963"/>
        <v>111.14285714285714</v>
      </c>
      <c r="K6872" s="297">
        <f>J6872/POBLA!$B$7*100000</f>
        <v>2.9555733261406782</v>
      </c>
      <c r="L6872" s="549">
        <f t="shared" si="959"/>
        <v>0.55895691609977316</v>
      </c>
      <c r="M6872" s="401">
        <f>SUM(C6872,C6848,C6824,C6800,C6776,C6752,C6728)/POBLA!$B$7*100000</f>
        <v>20.68901328298475</v>
      </c>
    </row>
    <row r="6873" spans="1:13" x14ac:dyDescent="0.25">
      <c r="A6873" s="367" t="s">
        <v>31</v>
      </c>
      <c r="B6873" s="2">
        <v>44179</v>
      </c>
      <c r="C6873" s="1">
        <v>73</v>
      </c>
      <c r="D6873" s="39">
        <f t="shared" si="954"/>
        <v>25792</v>
      </c>
      <c r="E6873" s="1">
        <v>8</v>
      </c>
      <c r="F6873" s="409">
        <f t="shared" si="955"/>
        <v>529</v>
      </c>
      <c r="G6873" s="168">
        <f>SUM(C6873,C6849,C6825,C6801,C6777,C6753,C6729,C6705,C6681,C6657,C6633,C6609,C6585,C6561)/POBLA!$B$8*100000</f>
        <v>175.11315253459514</v>
      </c>
      <c r="H6873" s="256">
        <f t="shared" si="958"/>
        <v>0.76755218216318788</v>
      </c>
      <c r="I6873" s="297">
        <f t="shared" si="962"/>
        <v>134.40848235340368</v>
      </c>
      <c r="J6873" s="297">
        <f t="shared" si="963"/>
        <v>173.85714285714286</v>
      </c>
      <c r="K6873" s="297">
        <f>J6873/POBLA!$B$8*100000</f>
        <v>12.544158375101672</v>
      </c>
      <c r="L6873" s="549">
        <f t="shared" si="959"/>
        <v>-5.7851239669421961E-3</v>
      </c>
      <c r="M6873" s="401">
        <f>SUM(C6873,C6849,C6825,C6801,C6777,C6753,C6729)/POBLA!$B$8*100000</f>
        <v>87.809108625711687</v>
      </c>
    </row>
    <row r="6874" spans="1:13" s="360" customFormat="1" x14ac:dyDescent="0.25">
      <c r="A6874" s="367" t="s">
        <v>41</v>
      </c>
      <c r="B6874" s="2">
        <v>44179</v>
      </c>
      <c r="C6874" s="1">
        <v>1</v>
      </c>
      <c r="D6874" s="39">
        <f t="shared" si="954"/>
        <v>198</v>
      </c>
      <c r="E6874" s="1"/>
      <c r="F6874" s="409">
        <f t="shared" si="955"/>
        <v>3</v>
      </c>
      <c r="G6874" s="168">
        <f>SUM(C6874,C6850,C6826,C6802,C6778,C6754,C6730,C6706,C6682,C6658,C6634,C6610,C6586,C6562)/POBLA!$B$9*100000</f>
        <v>2.643784710001603</v>
      </c>
      <c r="H6874" s="256">
        <f t="shared" si="958"/>
        <v>1.3333333333333333</v>
      </c>
      <c r="I6874" s="297">
        <f t="shared" si="962"/>
        <v>3.5250462800021372</v>
      </c>
      <c r="J6874" s="297">
        <f t="shared" si="963"/>
        <v>1.2857142857142858</v>
      </c>
      <c r="K6874" s="297">
        <f>J6874/POBLA!$B$9*100000</f>
        <v>0.21244698562512881</v>
      </c>
      <c r="L6874" s="549">
        <f t="shared" si="959"/>
        <v>-0.28571428571428581</v>
      </c>
      <c r="M6874" s="401">
        <f>SUM(C6874,C6850,C6826,C6802,C6778,C6754,C6730)/POBLA!$B$9*100000</f>
        <v>1.4871288993759018</v>
      </c>
    </row>
    <row r="6875" spans="1:13" s="360" customFormat="1" x14ac:dyDescent="0.25">
      <c r="A6875" s="367" t="s">
        <v>32</v>
      </c>
      <c r="B6875" s="2">
        <v>44179</v>
      </c>
      <c r="C6875" s="1">
        <v>6</v>
      </c>
      <c r="D6875" s="39">
        <f t="shared" si="954"/>
        <v>18455</v>
      </c>
      <c r="E6875" s="1"/>
      <c r="F6875" s="409">
        <f t="shared" si="955"/>
        <v>854</v>
      </c>
      <c r="G6875" s="168">
        <f>SUM(C6875,C6851,C6827,C6803,C6779,C6755,C6731,C6707,C6683,C6659,C6635,C6611,C6587,C6563)/POBLA!$B$10*100000</f>
        <v>9.5994063934641023</v>
      </c>
      <c r="H6875" s="256">
        <f t="shared" si="958"/>
        <v>0.39153439153439151</v>
      </c>
      <c r="I6875" s="297">
        <f t="shared" si="962"/>
        <v>3.7584977413563148</v>
      </c>
      <c r="J6875" s="297">
        <f t="shared" si="963"/>
        <v>5.5714285714285712</v>
      </c>
      <c r="K6875" s="297">
        <f>J6875/POBLA!$B$10*100000</f>
        <v>0.72273523039594589</v>
      </c>
      <c r="L6875" s="549">
        <f t="shared" si="959"/>
        <v>-0.11428571428571432</v>
      </c>
      <c r="M6875" s="401">
        <f>SUM(C6875,C6851,C6827,C6803,C6779,C6755,C6731)/POBLA!$B$10*100000</f>
        <v>5.0591466127716211</v>
      </c>
    </row>
    <row r="6876" spans="1:13" s="360" customFormat="1" x14ac:dyDescent="0.25">
      <c r="A6876" s="367" t="s">
        <v>33</v>
      </c>
      <c r="B6876" s="2">
        <v>44179</v>
      </c>
      <c r="C6876" s="1">
        <v>148</v>
      </c>
      <c r="D6876" s="39">
        <f t="shared" si="954"/>
        <v>7118</v>
      </c>
      <c r="E6876" s="1">
        <v>5</v>
      </c>
      <c r="F6876" s="409">
        <f t="shared" si="955"/>
        <v>104</v>
      </c>
      <c r="G6876" s="168">
        <f>SUM(C6876,C6852,C6828,C6804,C6780,C6756,C6732,C6708,C6684,C6660,C6636,C6612,C6588,C6564)/POBLA!$B$11*100000</f>
        <v>376.08668965594205</v>
      </c>
      <c r="H6876" s="256">
        <f t="shared" si="958"/>
        <v>1.3466533466533466</v>
      </c>
      <c r="I6876" s="297">
        <f t="shared" si="962"/>
        <v>506.45839925695293</v>
      </c>
      <c r="J6876" s="297">
        <f t="shared" si="963"/>
        <v>111.42857142857143</v>
      </c>
      <c r="K6876" s="297">
        <f>J6876/POBLA!$B$11*100000</f>
        <v>31.088132464141037</v>
      </c>
      <c r="L6876" s="549">
        <f t="shared" si="959"/>
        <v>-0.37323943661971826</v>
      </c>
      <c r="M6876" s="401">
        <f>SUM(C6876,C6852,C6828,C6804,C6780,C6756,C6732)/POBLA!$B$11*100000</f>
        <v>217.61692724898725</v>
      </c>
    </row>
    <row r="6877" spans="1:13" s="360" customFormat="1" x14ac:dyDescent="0.25">
      <c r="A6877" s="367" t="s">
        <v>21</v>
      </c>
      <c r="B6877" s="2">
        <v>44179</v>
      </c>
      <c r="C6877" s="1">
        <v>7</v>
      </c>
      <c r="D6877" s="39">
        <f t="shared" si="954"/>
        <v>8941</v>
      </c>
      <c r="E6877" s="1"/>
      <c r="F6877" s="409">
        <f t="shared" si="955"/>
        <v>325</v>
      </c>
      <c r="G6877" s="168">
        <f>SUM(C6877,C6853,C6829,C6805,C6781,C6757,C6733,C6709,C6685,C6661,C6637,C6613,C6589,C6565)/POBLA!$B$12*100000</f>
        <v>55.649999618835622</v>
      </c>
      <c r="H6877" s="256">
        <f t="shared" si="958"/>
        <v>0.44064386317907445</v>
      </c>
      <c r="I6877" s="297">
        <f t="shared" si="962"/>
        <v>24.521830817957749</v>
      </c>
      <c r="J6877" s="297">
        <f t="shared" si="963"/>
        <v>11.857142857142858</v>
      </c>
      <c r="K6877" s="297">
        <f>J6877/POBLA!$B$12*100000</f>
        <v>3.0130136779930572</v>
      </c>
      <c r="L6877" s="549">
        <f t="shared" si="959"/>
        <v>0.38970588235294112</v>
      </c>
      <c r="M6877" s="401">
        <f>SUM(C6877,C6853,C6829,C6805,C6781,C6757,C6733)/POBLA!$B$12*100000</f>
        <v>21.091095745951399</v>
      </c>
    </row>
    <row r="6878" spans="1:13" s="360" customFormat="1" x14ac:dyDescent="0.25">
      <c r="A6878" s="367" t="s">
        <v>17</v>
      </c>
      <c r="B6878" s="2">
        <v>44179</v>
      </c>
      <c r="C6878" s="1">
        <v>108</v>
      </c>
      <c r="D6878" s="39">
        <f t="shared" si="954"/>
        <v>58366</v>
      </c>
      <c r="E6878" s="1">
        <v>4</v>
      </c>
      <c r="F6878" s="409">
        <f t="shared" si="955"/>
        <v>1178</v>
      </c>
      <c r="G6878" s="168">
        <f>SUM(C6878,C6854,C6830,C6806,C6782,C6758,C6734,C6710,C6686,C6662,C6638,C6614,C6590,C6566)/POBLA!$B$13*100000</f>
        <v>91.441755118979799</v>
      </c>
      <c r="H6878" s="256">
        <f t="shared" si="958"/>
        <v>0.60066006600660071</v>
      </c>
      <c r="I6878" s="297">
        <f t="shared" si="962"/>
        <v>54.925410665525824</v>
      </c>
      <c r="J6878" s="297">
        <f t="shared" si="963"/>
        <v>109.42857142857143</v>
      </c>
      <c r="K6878" s="297">
        <f>J6878/POBLA!$B$13*100000</f>
        <v>5.4979893580171524</v>
      </c>
      <c r="L6878" s="549">
        <f t="shared" si="959"/>
        <v>0.27324478178368117</v>
      </c>
      <c r="M6878" s="401">
        <f>SUM(C6878,C6854,C6830,C6806,C6782,C6758,C6734)/POBLA!$B$13*100000</f>
        <v>38.485925506120068</v>
      </c>
    </row>
    <row r="6879" spans="1:13" s="360" customFormat="1" x14ac:dyDescent="0.25">
      <c r="A6879" s="367" t="s">
        <v>23</v>
      </c>
      <c r="B6879" s="2">
        <v>44179</v>
      </c>
      <c r="C6879" s="1">
        <v>2</v>
      </c>
      <c r="D6879" s="39">
        <f t="shared" si="954"/>
        <v>685</v>
      </c>
      <c r="E6879" s="1">
        <v>1</v>
      </c>
      <c r="F6879" s="409">
        <f t="shared" si="955"/>
        <v>10</v>
      </c>
      <c r="G6879" s="168">
        <f>SUM(C6879,C6855,C6831,C6807,C6783,C6759,C6735,C6711,C6687,C6663,C6639,C6615,C6591,C6567)/POBLA!$B$14*100000</f>
        <v>14.667476417076431</v>
      </c>
      <c r="H6879" s="256">
        <f t="shared" si="958"/>
        <v>1.6972477064220184</v>
      </c>
      <c r="I6879" s="297">
        <f t="shared" si="962"/>
        <v>24.894340707882016</v>
      </c>
      <c r="J6879" s="297">
        <f t="shared" si="963"/>
        <v>15.142857142857142</v>
      </c>
      <c r="K6879" s="297">
        <f>J6879/POBLA!$B$14*100000</f>
        <v>1.2005810812433217</v>
      </c>
      <c r="L6879" s="549">
        <f t="shared" si="959"/>
        <v>-0.34177215189873422</v>
      </c>
      <c r="M6879" s="401">
        <f>SUM(C6879,C6855,C6831,C6807,C6783,C6759,C6735)/POBLA!$B$14*100000</f>
        <v>8.4040675687032511</v>
      </c>
    </row>
    <row r="6880" spans="1:13" s="360" customFormat="1" x14ac:dyDescent="0.25">
      <c r="A6880" s="367" t="s">
        <v>19</v>
      </c>
      <c r="B6880" s="2">
        <v>44179</v>
      </c>
      <c r="C6880" s="1">
        <v>172</v>
      </c>
      <c r="D6880" s="39">
        <f t="shared" si="954"/>
        <v>37092</v>
      </c>
      <c r="E6880" s="1"/>
      <c r="F6880" s="409">
        <f t="shared" si="955"/>
        <v>673</v>
      </c>
      <c r="G6880" s="168">
        <f>SUM(C6880,C6856,C6832,C6808,C6784,C6760,C6736,C6712,C6688,C6664,C6640,C6616,C6592,C6568)/POBLA!$B$15*100000</f>
        <v>756.56156022751065</v>
      </c>
      <c r="H6880" s="256">
        <f t="shared" si="958"/>
        <v>1.0561278116459953</v>
      </c>
      <c r="I6880" s="297">
        <f t="shared" si="962"/>
        <v>799.02570497856073</v>
      </c>
      <c r="J6880" s="297">
        <f t="shared" si="963"/>
        <v>282.85714285714283</v>
      </c>
      <c r="K6880" s="297">
        <f>J6880/POBLA!$B$15*100000</f>
        <v>42.595310772590729</v>
      </c>
      <c r="L6880" s="549">
        <f t="shared" si="959"/>
        <v>0.34954007884362681</v>
      </c>
      <c r="M6880" s="401">
        <f>SUM(C6880,C6856,C6832,C6808,C6784,C6760,C6736)/POBLA!$B$15*100000</f>
        <v>298.16717540813517</v>
      </c>
    </row>
    <row r="6881" spans="1:13" s="360" customFormat="1" x14ac:dyDescent="0.25">
      <c r="A6881" s="367" t="s">
        <v>18</v>
      </c>
      <c r="B6881" s="2">
        <v>44179</v>
      </c>
      <c r="C6881" s="1">
        <v>133</v>
      </c>
      <c r="D6881" s="39">
        <f t="shared" si="954"/>
        <v>34371</v>
      </c>
      <c r="E6881" s="1">
        <v>5</v>
      </c>
      <c r="F6881" s="409">
        <f t="shared" si="955"/>
        <v>844</v>
      </c>
      <c r="G6881" s="168">
        <f>SUM(C6881,C6857,C6833,C6809,C6785,C6761,C6737,C6713,C6689,C6665,C6641,C6617,C6593,C6569)/POBLA!$B$16*100000</f>
        <v>356.60304169286127</v>
      </c>
      <c r="H6881" s="256">
        <f t="shared" si="958"/>
        <v>0.87038850799869405</v>
      </c>
      <c r="I6881" s="297">
        <f t="shared" si="962"/>
        <v>310.38318940684559</v>
      </c>
      <c r="J6881" s="297">
        <f t="shared" si="963"/>
        <v>200</v>
      </c>
      <c r="K6881" s="297">
        <f>J6881/POBLA!$B$16*100000</f>
        <v>26.751916105991093</v>
      </c>
      <c r="L6881" s="549">
        <f t="shared" si="959"/>
        <v>-0.10584518167456558</v>
      </c>
      <c r="M6881" s="401">
        <f>SUM(C6881,C6857,C6833,C6809,C6785,C6761,C6737)/POBLA!$B$16*100000</f>
        <v>187.26341274193766</v>
      </c>
    </row>
    <row r="6882" spans="1:13" s="360" customFormat="1" x14ac:dyDescent="0.25">
      <c r="A6882" s="367" t="s">
        <v>34</v>
      </c>
      <c r="B6882" s="2">
        <v>44179</v>
      </c>
      <c r="C6882" s="1">
        <v>36</v>
      </c>
      <c r="D6882" s="39">
        <f t="shared" si="954"/>
        <v>21614</v>
      </c>
      <c r="E6882" s="1">
        <v>2</v>
      </c>
      <c r="F6882" s="409">
        <f t="shared" si="955"/>
        <v>999</v>
      </c>
      <c r="G6882" s="168">
        <f>SUM(C6882,C6858,C6834,C6810,C6786,C6762,C6738,C6714,C6690,C6666,C6642,C6618,C6594,C6570)/POBLA!$B$17*100000</f>
        <v>31.943341638602156</v>
      </c>
      <c r="H6882" s="256">
        <f t="shared" si="958"/>
        <v>0.49242424242424243</v>
      </c>
      <c r="I6882" s="297">
        <f t="shared" si="962"/>
        <v>15.729675806887427</v>
      </c>
      <c r="J6882" s="297">
        <f t="shared" si="963"/>
        <v>26.142857142857142</v>
      </c>
      <c r="K6882" s="297">
        <f>J6882/POBLA!$B$17*100000</f>
        <v>1.835363114557047</v>
      </c>
      <c r="L6882" s="549">
        <f t="shared" si="959"/>
        <v>0.32720588235294112</v>
      </c>
      <c r="M6882" s="401">
        <f>SUM(C6882,C6858,C6834,C6810,C6786,C6762,C6738)/POBLA!$B$17*100000</f>
        <v>12.847541801899331</v>
      </c>
    </row>
    <row r="6883" spans="1:13" s="360" customFormat="1" x14ac:dyDescent="0.25">
      <c r="A6883" s="367" t="s">
        <v>35</v>
      </c>
      <c r="B6883" s="2">
        <v>44179</v>
      </c>
      <c r="C6883" s="1">
        <v>232</v>
      </c>
      <c r="D6883" s="39">
        <f t="shared" ref="D6883:D6946" si="964">C6883+D6859</f>
        <v>9481</v>
      </c>
      <c r="E6883" s="1">
        <v>22</v>
      </c>
      <c r="F6883" s="409">
        <f t="shared" ref="F6883:F6946" si="965">E6883+F6859</f>
        <v>196</v>
      </c>
      <c r="G6883" s="168">
        <f>SUM(C6883,C6859,C6835,C6811,C6787,C6763,C6739,C6715,C6691,C6667,C6643,C6619,C6595,C6571)/POBLA!$B$18*100000</f>
        <v>257.93089500100484</v>
      </c>
      <c r="H6883" s="256">
        <f t="shared" si="958"/>
        <v>0.68305084745762712</v>
      </c>
      <c r="I6883" s="297">
        <f t="shared" si="962"/>
        <v>176.1799164159406</v>
      </c>
      <c r="J6883" s="297">
        <f t="shared" si="963"/>
        <v>140.28571428571428</v>
      </c>
      <c r="K6883" s="297">
        <f>J6883/POBLA!$B$18*100000</f>
        <v>17.957329946188356</v>
      </c>
      <c r="L6883" s="549">
        <f t="shared" si="959"/>
        <v>4.9370764762826758E-2</v>
      </c>
      <c r="M6883" s="401">
        <f>SUM(C6883,C6859,C6835,C6811,C6787,C6763,C6739)/POBLA!$B$18*100000</f>
        <v>125.70130962331848</v>
      </c>
    </row>
    <row r="6884" spans="1:13" s="360" customFormat="1" x14ac:dyDescent="0.25">
      <c r="A6884" s="367" t="s">
        <v>36</v>
      </c>
      <c r="B6884" s="2">
        <v>44179</v>
      </c>
      <c r="C6884" s="1">
        <v>58</v>
      </c>
      <c r="D6884" s="39">
        <f t="shared" si="964"/>
        <v>15543</v>
      </c>
      <c r="E6884" s="1">
        <v>3</v>
      </c>
      <c r="F6884" s="409">
        <f t="shared" si="965"/>
        <v>253</v>
      </c>
      <c r="G6884" s="168">
        <f>SUM(C6884,C6860,C6836,C6812,C6788,C6764,C6740,C6716,C6692,C6668,C6644,C6620,C6596,C6572)/POBLA!$B$19*100000</f>
        <v>214.03503249870161</v>
      </c>
      <c r="H6884" s="256">
        <f t="shared" si="958"/>
        <v>0.38215665612925886</v>
      </c>
      <c r="I6884" s="297">
        <f t="shared" si="962"/>
        <v>81.794912314221051</v>
      </c>
      <c r="J6884" s="297">
        <f t="shared" si="963"/>
        <v>57</v>
      </c>
      <c r="K6884" s="297">
        <f>J6884/POBLA!$B$19*100000</f>
        <v>11.213232401126831</v>
      </c>
      <c r="L6884" s="549">
        <f t="shared" si="959"/>
        <v>0.42089985486211901</v>
      </c>
      <c r="M6884" s="401">
        <f>SUM(C6884,C6860,C6836,C6812,C6788,C6764,C6740)/POBLA!$B$19*100000</f>
        <v>78.492626807887831</v>
      </c>
    </row>
    <row r="6885" spans="1:13" s="360" customFormat="1" x14ac:dyDescent="0.25">
      <c r="A6885" s="367" t="s">
        <v>37</v>
      </c>
      <c r="B6885" s="2">
        <v>44179</v>
      </c>
      <c r="C6885" s="1">
        <v>177</v>
      </c>
      <c r="D6885" s="39">
        <f t="shared" si="964"/>
        <v>19014</v>
      </c>
      <c r="E6885" s="1">
        <v>5</v>
      </c>
      <c r="F6885" s="409">
        <f t="shared" si="965"/>
        <v>334</v>
      </c>
      <c r="G6885" s="168">
        <f>SUM(C6885,C6861,C6837,C6813,C6789,C6765,C6741,C6717,C6693,C6669,C6645,C6621,C6597,C6573)/POBLA!$B$20*100000</f>
        <v>844.41260274871615</v>
      </c>
      <c r="H6885" s="256">
        <f t="shared" si="958"/>
        <v>0.98094027954256668</v>
      </c>
      <c r="I6885" s="297">
        <f t="shared" si="962"/>
        <v>828.31833458959193</v>
      </c>
      <c r="J6885" s="297">
        <f t="shared" si="963"/>
        <v>228.28571428571428</v>
      </c>
      <c r="K6885" s="297">
        <f>J6885/POBLA!$B$20*100000</f>
        <v>62.424654847911192</v>
      </c>
      <c r="L6885" s="549">
        <f t="shared" si="959"/>
        <v>-7.2483221476510096E-2</v>
      </c>
      <c r="M6885" s="401">
        <f>SUM(C6885,C6861,C6837,C6813,C6789,C6765,C6741)/POBLA!$B$20*100000</f>
        <v>436.9725839353784</v>
      </c>
    </row>
    <row r="6886" spans="1:13" s="360" customFormat="1" x14ac:dyDescent="0.25">
      <c r="A6886" s="367" t="s">
        <v>22</v>
      </c>
      <c r="B6886" s="2">
        <v>44179</v>
      </c>
      <c r="C6886" s="1">
        <v>741</v>
      </c>
      <c r="D6886" s="39">
        <f t="shared" si="964"/>
        <v>160821</v>
      </c>
      <c r="E6886" s="1">
        <v>29</v>
      </c>
      <c r="F6886" s="409">
        <f t="shared" si="965"/>
        <v>2576</v>
      </c>
      <c r="G6886" s="168">
        <f>SUM(C6886,C6862,C6838,C6814,C6790,C6766,C6742,C6718,C6694,C6670,C6646,C6622,C6598,C6574)/POBLA!$B$21*100000</f>
        <v>373.28732067306527</v>
      </c>
      <c r="H6886" s="256">
        <f t="shared" si="958"/>
        <v>0.72660722148833112</v>
      </c>
      <c r="I6886" s="297">
        <f t="shared" si="962"/>
        <v>271.23326289107962</v>
      </c>
      <c r="J6886" s="297">
        <f t="shared" si="963"/>
        <v>860.85714285714289</v>
      </c>
      <c r="K6886" s="297">
        <f>J6886/POBLA!$B$21*100000</f>
        <v>24.342629826483829</v>
      </c>
      <c r="L6886" s="549">
        <f t="shared" si="959"/>
        <v>0.16013937282229962</v>
      </c>
      <c r="M6886" s="401">
        <f>SUM(C6886,C6862,C6838,C6814,C6790,C6766,C6742)/POBLA!$B$21*100000</f>
        <v>170.39840878538681</v>
      </c>
    </row>
    <row r="6887" spans="1:13" s="360" customFormat="1" x14ac:dyDescent="0.25">
      <c r="A6887" s="367" t="s">
        <v>38</v>
      </c>
      <c r="B6887" s="2">
        <v>44179</v>
      </c>
      <c r="C6887" s="1">
        <v>44</v>
      </c>
      <c r="D6887" s="39">
        <f t="shared" si="964"/>
        <v>16532</v>
      </c>
      <c r="E6887" s="1">
        <v>2</v>
      </c>
      <c r="F6887" s="409">
        <f t="shared" si="965"/>
        <v>208</v>
      </c>
      <c r="G6887" s="168">
        <f>SUM(C6887,C6863,C6839,C6815,C6791,C6767,C6743,C6719,C6695,C6671,C6647,C6623,C6599,C6575)/POBLA!$B$22*100000</f>
        <v>90.870713156218926</v>
      </c>
      <c r="H6887" s="256">
        <f t="shared" si="958"/>
        <v>0.38121783876500859</v>
      </c>
      <c r="I6887" s="297">
        <f t="shared" si="962"/>
        <v>34.641536876448811</v>
      </c>
      <c r="J6887" s="297">
        <f t="shared" si="963"/>
        <v>45.142857142857146</v>
      </c>
      <c r="K6887" s="297">
        <f>J6887/POBLA!$B$22*100000</f>
        <v>4.6143572806307533</v>
      </c>
      <c r="L6887" s="549">
        <f t="shared" si="959"/>
        <v>0.44851657940663181</v>
      </c>
      <c r="M6887" s="401">
        <f>SUM(C6887,C6863,C6839,C6815,C6791,C6767,C6743)/POBLA!$B$22*100000</f>
        <v>32.300500964415271</v>
      </c>
    </row>
    <row r="6888" spans="1:13" s="360" customFormat="1" x14ac:dyDescent="0.25">
      <c r="A6888" s="367" t="s">
        <v>39</v>
      </c>
      <c r="B6888" s="2">
        <v>44179</v>
      </c>
      <c r="C6888" s="1">
        <v>172</v>
      </c>
      <c r="D6888" s="39">
        <f t="shared" si="964"/>
        <v>17677</v>
      </c>
      <c r="E6888" s="1"/>
      <c r="F6888" s="409">
        <f t="shared" si="965"/>
        <v>242</v>
      </c>
      <c r="G6888" s="168">
        <f>SUM(C6888,C6864,C6840,C6816,C6792,C6768,C6744,C6720,C6696,C6672,C6648,C6624,C6600,C6576)/POBLA!$B$23*100000</f>
        <v>846.01029237120395</v>
      </c>
      <c r="H6888" s="256">
        <f t="shared" si="958"/>
        <v>0.84234234234234229</v>
      </c>
      <c r="I6888" s="297">
        <f t="shared" si="962"/>
        <v>712.63029132168981</v>
      </c>
      <c r="J6888" s="297">
        <f t="shared" si="963"/>
        <v>117.57142857142857</v>
      </c>
      <c r="K6888" s="297">
        <f>J6888/POBLA!$B$23*100000</f>
        <v>66.488394826346521</v>
      </c>
      <c r="L6888" s="549">
        <f t="shared" si="959"/>
        <v>-0.22288261515601793</v>
      </c>
      <c r="M6888" s="401">
        <f>SUM(C6888,C6864,C6840,C6816,C6792,C6768,C6744)/POBLA!$B$23*100000</f>
        <v>465.41876378442572</v>
      </c>
    </row>
    <row r="6889" spans="1:13" s="360" customFormat="1" ht="15.75" thickBot="1" x14ac:dyDescent="0.3">
      <c r="A6889" s="369" t="s">
        <v>40</v>
      </c>
      <c r="B6889" s="2">
        <v>44179</v>
      </c>
      <c r="C6889" s="1">
        <v>246</v>
      </c>
      <c r="D6889" s="176">
        <f t="shared" si="964"/>
        <v>68641</v>
      </c>
      <c r="E6889" s="1">
        <v>9</v>
      </c>
      <c r="F6889" s="476">
        <f t="shared" si="965"/>
        <v>1301</v>
      </c>
      <c r="G6889" s="177">
        <f>SUM(C6889,C6865,C6841,C6817,C6793,C6769,C6745,C6721,C6697,C6673,C6649,C6625,C6601,C6577)/POBLA!$B$24*100000</f>
        <v>159.79644246383927</v>
      </c>
      <c r="H6889" s="402">
        <f t="shared" si="958"/>
        <v>0.50892689344108255</v>
      </c>
      <c r="I6889" s="403">
        <f t="shared" si="962"/>
        <v>81.324707046058407</v>
      </c>
      <c r="J6889" s="403">
        <f t="shared" si="963"/>
        <v>184.42857142857142</v>
      </c>
      <c r="K6889" s="403">
        <f>J6889/POBLA!$B$24*100000</f>
        <v>10.882950370374365</v>
      </c>
      <c r="L6889" s="550">
        <f t="shared" si="959"/>
        <v>8.8920254057868742E-2</v>
      </c>
      <c r="M6889" s="405">
        <f>SUM(C6889,C6865,C6841,C6817,C6793,C6769,C6745)/POBLA!$B$24*100000</f>
        <v>76.180652592620561</v>
      </c>
    </row>
    <row r="6890" spans="1:13" s="360" customFormat="1" x14ac:dyDescent="0.25">
      <c r="A6890" s="363" t="s">
        <v>16</v>
      </c>
      <c r="B6890" s="2">
        <v>44180</v>
      </c>
      <c r="C6890" s="1">
        <v>2226</v>
      </c>
      <c r="D6890" s="174">
        <f t="shared" si="964"/>
        <v>641787</v>
      </c>
      <c r="E6890" s="1">
        <v>29</v>
      </c>
      <c r="F6890" s="475">
        <f t="shared" si="965"/>
        <v>21534</v>
      </c>
      <c r="G6890" s="175">
        <f>SUM(C6890,C6866,C6842,C6818,C6794,C6770,C6746,C6722,C6698,C6674,C6650,C6626,C6602,C6578)/POBLA!$B$1*100000</f>
        <v>119.33659275642331</v>
      </c>
      <c r="H6890" s="300">
        <f t="shared" ref="H6890:H6937" si="966">SUM(C6890,C6866,C6842,C6818,C6794,C6770,C6746,C6722,C6698,C6674,C6650,C6626,C6602,C6578)/SUM(C6554,C6530,C6506,C6482,C6458,C6434,C6410,C6386,C6362,C6338,C6314,C6290,C6266,C6242)</f>
        <v>0.78677741862737727</v>
      </c>
      <c r="I6890" s="301">
        <f>G6890*H6890</f>
        <v>93.891336396685304</v>
      </c>
      <c r="J6890" s="301">
        <f>AVERAGE(C6890,C6866,C6842,C6818,C6794,C6770,C6746)</f>
        <v>1683</v>
      </c>
      <c r="K6890" s="301">
        <f>J6890/POBLA!$B$1*100000</f>
        <v>9.5945868059552115</v>
      </c>
      <c r="L6890" s="548">
        <f t="shared" ref="L6890:L6937" si="967">1-SUM(C6890,C6866,C6842,C6818,C6794,C6770,C6746)/SUM(C6722,C6698,C6674,C6650,C6626,C6602,C6578)</f>
        <v>-0.28725961538461542</v>
      </c>
      <c r="M6890" s="400">
        <f>SUM(C6890,C6866,C6842,C6818,C6794,C6770,C6746)/POBLA!$B$1*100000</f>
        <v>67.162107641686475</v>
      </c>
    </row>
    <row r="6891" spans="1:13" s="360" customFormat="1" x14ac:dyDescent="0.25">
      <c r="A6891" s="367" t="s">
        <v>43</v>
      </c>
      <c r="B6891" s="2">
        <v>44180</v>
      </c>
      <c r="C6891" s="1">
        <v>483</v>
      </c>
      <c r="D6891" s="39">
        <f t="shared" si="964"/>
        <v>163708</v>
      </c>
      <c r="E6891" s="1">
        <v>8</v>
      </c>
      <c r="F6891" s="409">
        <f t="shared" si="965"/>
        <v>5355</v>
      </c>
      <c r="G6891" s="168">
        <f>SUM(C6891,C6867,C6843,C6819,C6795,C6771,C6747,C6723,C6699,C6675,C6651,C6627,C6603,C6579)/POBLA!$B$2*100000</f>
        <v>146.47329374056702</v>
      </c>
      <c r="H6891" s="256">
        <f t="shared" si="966"/>
        <v>0.97785977859778594</v>
      </c>
      <c r="I6891" s="297">
        <f t="shared" ref="I6891:I6913" si="968">G6891*H6891</f>
        <v>143.23034258763934</v>
      </c>
      <c r="J6891" s="297">
        <f t="shared" ref="J6891:J6913" si="969">AVERAGE(C6891,C6867,C6843,C6819,C6795,C6771,C6747)</f>
        <v>387.42857142857144</v>
      </c>
      <c r="K6891" s="297">
        <f>J6891/POBLA!$B$2*100000</f>
        <v>12.596656813839155</v>
      </c>
      <c r="L6891" s="549">
        <f t="shared" si="967"/>
        <v>-0.5125488008923591</v>
      </c>
      <c r="M6891" s="401">
        <f>SUM(C6891,C6867,C6843,C6819,C6795,C6771,C6747)/POBLA!$B$2*100000</f>
        <v>88.176597696874083</v>
      </c>
    </row>
    <row r="6892" spans="1:13" s="360" customFormat="1" x14ac:dyDescent="0.25">
      <c r="A6892" s="367" t="s">
        <v>28</v>
      </c>
      <c r="B6892" s="2">
        <v>44180</v>
      </c>
      <c r="C6892" s="1">
        <v>19</v>
      </c>
      <c r="D6892" s="39">
        <f t="shared" si="964"/>
        <v>2190</v>
      </c>
      <c r="E6892" s="1"/>
      <c r="F6892" s="409">
        <f t="shared" si="965"/>
        <v>17</v>
      </c>
      <c r="G6892" s="168">
        <f>SUM(C6892,C6868,C6844,C6820,C6796,C6772,C6748,C6724,C6700,C6676,C6652,C6628,C6604,C6580)/POBLA!$B$3*100000</f>
        <v>73.897910157472353</v>
      </c>
      <c r="H6892" s="256">
        <f t="shared" si="966"/>
        <v>1.0165562913907285</v>
      </c>
      <c r="I6892" s="297">
        <f t="shared" si="968"/>
        <v>75.121385491205331</v>
      </c>
      <c r="J6892" s="297">
        <f t="shared" si="969"/>
        <v>23.285714285714285</v>
      </c>
      <c r="K6892" s="297">
        <f>J6892/POBLA!$B$3*100000</f>
        <v>5.6050997467045107</v>
      </c>
      <c r="L6892" s="549">
        <f t="shared" si="967"/>
        <v>-0.13194444444444442</v>
      </c>
      <c r="M6892" s="401">
        <f>SUM(C6892,C6868,C6844,C6820,C6796,C6772,C6748)/POBLA!$B$3*100000</f>
        <v>39.235698226931575</v>
      </c>
    </row>
    <row r="6893" spans="1:13" s="360" customFormat="1" x14ac:dyDescent="0.25">
      <c r="A6893" s="367" t="s">
        <v>15</v>
      </c>
      <c r="B6893" s="2">
        <v>44180</v>
      </c>
      <c r="C6893" s="1">
        <v>160</v>
      </c>
      <c r="D6893" s="39">
        <f t="shared" si="964"/>
        <v>22028</v>
      </c>
      <c r="E6893" s="1">
        <v>7</v>
      </c>
      <c r="F6893" s="409">
        <f t="shared" si="965"/>
        <v>633</v>
      </c>
      <c r="G6893" s="168">
        <f>SUM(C6893,C6869,C6845,C6821,C6797,C6773,C6749,C6725,C6701,C6677,C6653,C6629,C6605,C6581)/POBLA!$B$4*100000</f>
        <v>201.98565262618709</v>
      </c>
      <c r="H6893" s="256">
        <f t="shared" si="966"/>
        <v>0.84832635983263593</v>
      </c>
      <c r="I6893" s="297">
        <f t="shared" si="968"/>
        <v>171.34975343079259</v>
      </c>
      <c r="J6893" s="297">
        <f t="shared" si="969"/>
        <v>163.28571428571428</v>
      </c>
      <c r="K6893" s="297">
        <f>J6893/POBLA!$B$4*100000</f>
        <v>13.555845279298445</v>
      </c>
      <c r="L6893" s="549">
        <f t="shared" si="967"/>
        <v>0.11395348837209307</v>
      </c>
      <c r="M6893" s="401">
        <f>SUM(C6893,C6869,C6845,C6821,C6797,C6773,C6749)/POBLA!$B$4*100000</f>
        <v>94.890916955089125</v>
      </c>
    </row>
    <row r="6894" spans="1:13" s="360" customFormat="1" x14ac:dyDescent="0.25">
      <c r="A6894" s="367" t="s">
        <v>29</v>
      </c>
      <c r="B6894" s="2">
        <v>44180</v>
      </c>
      <c r="C6894" s="1">
        <v>358</v>
      </c>
      <c r="D6894" s="39">
        <f t="shared" si="964"/>
        <v>26659</v>
      </c>
      <c r="E6894" s="1">
        <v>11</v>
      </c>
      <c r="F6894" s="409">
        <f t="shared" si="965"/>
        <v>460</v>
      </c>
      <c r="G6894" s="168">
        <f>SUM(C6894,C6870,C6846,C6822,C6798,C6774,C6750,C6726,C6702,C6678,C6654,C6630,C6606,C6582)/POBLA!$B$5*100000</f>
        <v>544.43177155190517</v>
      </c>
      <c r="H6894" s="256">
        <f t="shared" si="966"/>
        <v>0.95143986448334272</v>
      </c>
      <c r="I6894" s="297">
        <f t="shared" si="968"/>
        <v>517.99409094577084</v>
      </c>
      <c r="J6894" s="297">
        <f t="shared" si="969"/>
        <v>269.85714285714283</v>
      </c>
      <c r="K6894" s="297">
        <f>J6894/POBLA!$B$5*100000</f>
        <v>43.596083783872352</v>
      </c>
      <c r="L6894" s="549">
        <f t="shared" si="967"/>
        <v>-0.27548953409858212</v>
      </c>
      <c r="M6894" s="401">
        <f>SUM(C6894,C6870,C6846,C6822,C6798,C6774,C6750)/POBLA!$B$5*100000</f>
        <v>305.17258648710651</v>
      </c>
    </row>
    <row r="6895" spans="1:13" s="360" customFormat="1" x14ac:dyDescent="0.25">
      <c r="A6895" s="367" t="s">
        <v>20</v>
      </c>
      <c r="B6895" s="2">
        <v>44180</v>
      </c>
      <c r="C6895" s="1">
        <v>386</v>
      </c>
      <c r="D6895" s="39">
        <f t="shared" si="964"/>
        <v>120401</v>
      </c>
      <c r="E6895" s="1">
        <v>33</v>
      </c>
      <c r="F6895" s="409">
        <f t="shared" si="965"/>
        <v>2319</v>
      </c>
      <c r="G6895" s="168">
        <f>SUM(C6895,C6871,C6847,C6823,C6799,C6775,C6751,C6727,C6703,C6679,C6655,C6631,C6607,C6583)/POBLA!$B$6*100000</f>
        <v>488.84681580405442</v>
      </c>
      <c r="H6895" s="256">
        <f t="shared" si="966"/>
        <v>0.52430622009569383</v>
      </c>
      <c r="I6895" s="297">
        <f t="shared" si="968"/>
        <v>256.30542620003968</v>
      </c>
      <c r="J6895" s="297">
        <f t="shared" si="969"/>
        <v>364.71428571428572</v>
      </c>
      <c r="K6895" s="297">
        <f>J6895/POBLA!$B$6*100000</f>
        <v>32.540503239583629</v>
      </c>
      <c r="L6895" s="549">
        <f t="shared" si="967"/>
        <v>0.12747778537252219</v>
      </c>
      <c r="M6895" s="401">
        <f>SUM(C6895,C6871,C6847,C6823,C6799,C6775,C6751)/POBLA!$B$6*100000</f>
        <v>227.78352267708541</v>
      </c>
    </row>
    <row r="6896" spans="1:13" s="360" customFormat="1" x14ac:dyDescent="0.25">
      <c r="A6896" s="367" t="s">
        <v>30</v>
      </c>
      <c r="B6896" s="2">
        <v>44180</v>
      </c>
      <c r="C6896" s="1">
        <v>156</v>
      </c>
      <c r="D6896" s="39">
        <f t="shared" si="964"/>
        <v>9796</v>
      </c>
      <c r="E6896" s="1">
        <v>1</v>
      </c>
      <c r="F6896" s="409">
        <f t="shared" si="965"/>
        <v>138</v>
      </c>
      <c r="G6896" s="168">
        <f>SUM(C6896,C6872,C6848,C6824,C6800,C6776,C6752,C6728,C6704,C6680,C6656,C6632,C6608,C6584)/POBLA!$B$7*100000</f>
        <v>66.614367961281232</v>
      </c>
      <c r="H6896" s="256">
        <f t="shared" si="966"/>
        <v>0.75565610859728505</v>
      </c>
      <c r="I6896" s="297">
        <f t="shared" si="968"/>
        <v>50.337554070289436</v>
      </c>
      <c r="J6896" s="297">
        <f t="shared" si="969"/>
        <v>115.28571428571429</v>
      </c>
      <c r="K6896" s="297">
        <f>J6896/POBLA!$B$7*100000</f>
        <v>3.0657425118194439</v>
      </c>
      <c r="L6896" s="549">
        <f t="shared" si="967"/>
        <v>0.52473498233215543</v>
      </c>
      <c r="M6896" s="401">
        <f>SUM(C6896,C6872,C6848,C6824,C6800,C6776,C6752)/POBLA!$B$7*100000</f>
        <v>21.460197582736107</v>
      </c>
    </row>
    <row r="6897" spans="1:13" x14ac:dyDescent="0.25">
      <c r="A6897" s="367" t="s">
        <v>31</v>
      </c>
      <c r="B6897" s="2">
        <v>44180</v>
      </c>
      <c r="C6897" s="1">
        <v>135</v>
      </c>
      <c r="D6897" s="39">
        <f t="shared" si="964"/>
        <v>25927</v>
      </c>
      <c r="E6897" s="1">
        <v>6</v>
      </c>
      <c r="F6897" s="409">
        <f t="shared" si="965"/>
        <v>535</v>
      </c>
      <c r="G6897" s="168">
        <f>SUM(C6897,C6873,C6849,C6825,C6801,C6777,C6753,C6729,C6705,C6681,C6657,C6633,C6609,C6585)/POBLA!$B$8*100000</f>
        <v>174.82454412497898</v>
      </c>
      <c r="H6897" s="256">
        <f t="shared" si="966"/>
        <v>0.82052150355570608</v>
      </c>
      <c r="I6897" s="297">
        <f t="shared" si="968"/>
        <v>143.44729780386865</v>
      </c>
      <c r="J6897" s="297">
        <f t="shared" si="969"/>
        <v>173.57142857142858</v>
      </c>
      <c r="K6897" s="297">
        <f>J6897/POBLA!$B$8*100000</f>
        <v>12.523543488700517</v>
      </c>
      <c r="L6897" s="549">
        <f t="shared" si="967"/>
        <v>-5.7947019867550242E-3</v>
      </c>
      <c r="M6897" s="401">
        <f>SUM(C6897,C6873,C6849,C6825,C6801,C6777,C6753)/POBLA!$B$8*100000</f>
        <v>87.664804420903621</v>
      </c>
    </row>
    <row r="6898" spans="1:13" s="360" customFormat="1" x14ac:dyDescent="0.25">
      <c r="A6898" s="367" t="s">
        <v>41</v>
      </c>
      <c r="B6898" s="2">
        <v>44180</v>
      </c>
      <c r="C6898" s="1">
        <v>-1</v>
      </c>
      <c r="D6898" s="39">
        <f t="shared" si="964"/>
        <v>197</v>
      </c>
      <c r="E6898" s="1"/>
      <c r="F6898" s="409">
        <f t="shared" si="965"/>
        <v>3</v>
      </c>
      <c r="G6898" s="168">
        <f>SUM(C6898,C6874,C6850,C6826,C6802,C6778,C6754,C6730,C6706,C6682,C6658,C6634,C6610,C6586)/POBLA!$B$9*100000</f>
        <v>2.3133116212514024</v>
      </c>
      <c r="H6898" s="256">
        <f t="shared" si="966"/>
        <v>1.0769230769230769</v>
      </c>
      <c r="I6898" s="297">
        <f t="shared" si="968"/>
        <v>2.4912586690399716</v>
      </c>
      <c r="J6898" s="297">
        <f t="shared" si="969"/>
        <v>0.5714285714285714</v>
      </c>
      <c r="K6898" s="297">
        <f>J6898/POBLA!$B$9*100000</f>
        <v>9.4420882500057243E-2</v>
      </c>
      <c r="L6898" s="549">
        <f t="shared" si="967"/>
        <v>0.6</v>
      </c>
      <c r="M6898" s="401">
        <f>SUM(C6898,C6874,C6850,C6826,C6802,C6778,C6754)/POBLA!$B$9*100000</f>
        <v>0.66094617750040074</v>
      </c>
    </row>
    <row r="6899" spans="1:13" s="360" customFormat="1" x14ac:dyDescent="0.25">
      <c r="A6899" s="367" t="s">
        <v>32</v>
      </c>
      <c r="B6899" s="2">
        <v>44180</v>
      </c>
      <c r="C6899" s="1">
        <v>4</v>
      </c>
      <c r="D6899" s="39">
        <f t="shared" si="964"/>
        <v>18459</v>
      </c>
      <c r="E6899" s="1"/>
      <c r="F6899" s="409">
        <f t="shared" si="965"/>
        <v>854</v>
      </c>
      <c r="G6899" s="168">
        <f>SUM(C6899,C6875,C6851,C6827,C6803,C6779,C6755,C6731,C6707,C6683,C6659,C6635,C6611,C6587)/POBLA!$B$10*100000</f>
        <v>8.0427458972266788</v>
      </c>
      <c r="H6899" s="256">
        <f t="shared" si="966"/>
        <v>0.33695652173913043</v>
      </c>
      <c r="I6899" s="297">
        <f t="shared" si="968"/>
        <v>2.7100556827611633</v>
      </c>
      <c r="J6899" s="297">
        <f t="shared" si="969"/>
        <v>4.8571428571428568</v>
      </c>
      <c r="K6899" s="297">
        <f>J6899/POBLA!$B$10*100000</f>
        <v>0.63007686752467063</v>
      </c>
      <c r="L6899" s="549">
        <f t="shared" si="967"/>
        <v>-0.21428571428571419</v>
      </c>
      <c r="M6899" s="401">
        <f>SUM(C6899,C6875,C6851,C6827,C6803,C6779,C6755)/POBLA!$B$10*100000</f>
        <v>4.4105380726726953</v>
      </c>
    </row>
    <row r="6900" spans="1:13" s="360" customFormat="1" x14ac:dyDescent="0.25">
      <c r="A6900" s="367" t="s">
        <v>33</v>
      </c>
      <c r="B6900" s="2">
        <v>44180</v>
      </c>
      <c r="C6900" s="1">
        <v>163</v>
      </c>
      <c r="D6900" s="39">
        <f t="shared" si="964"/>
        <v>7281</v>
      </c>
      <c r="E6900" s="1"/>
      <c r="F6900" s="409">
        <f t="shared" si="965"/>
        <v>104</v>
      </c>
      <c r="G6900" s="168">
        <f>SUM(C6900,C6876,C6852,C6828,C6804,C6780,C6756,C6732,C6708,C6684,C6660,C6636,C6612,C6588)/POBLA!$B$11*100000</f>
        <v>392.82645329047955</v>
      </c>
      <c r="H6900" s="256">
        <f t="shared" si="966"/>
        <v>1.3551491819056785</v>
      </c>
      <c r="I6900" s="297">
        <f t="shared" si="968"/>
        <v>532.33844680750258</v>
      </c>
      <c r="J6900" s="297">
        <f t="shared" si="969"/>
        <v>125.85714285714286</v>
      </c>
      <c r="K6900" s="297">
        <f>J6900/POBLA!$B$11*100000</f>
        <v>35.113647052446474</v>
      </c>
      <c r="L6900" s="549">
        <f t="shared" si="967"/>
        <v>-0.67172675521821623</v>
      </c>
      <c r="M6900" s="401">
        <f>SUM(C6900,C6876,C6852,C6828,C6804,C6780,C6756)/POBLA!$B$11*100000</f>
        <v>245.79552936712534</v>
      </c>
    </row>
    <row r="6901" spans="1:13" s="360" customFormat="1" x14ac:dyDescent="0.25">
      <c r="A6901" s="367" t="s">
        <v>21</v>
      </c>
      <c r="B6901" s="2">
        <v>44180</v>
      </c>
      <c r="C6901" s="1">
        <v>9</v>
      </c>
      <c r="D6901" s="39">
        <f t="shared" si="964"/>
        <v>8950</v>
      </c>
      <c r="E6901" s="1"/>
      <c r="F6901" s="409">
        <f t="shared" si="965"/>
        <v>325</v>
      </c>
      <c r="G6901" s="168">
        <f>SUM(C6901,C6877,C6853,C6829,C6805,C6781,C6757,C6733,C6709,C6685,C6661,C6637,C6613,C6589)/POBLA!$B$12*100000</f>
        <v>54.633561269633141</v>
      </c>
      <c r="H6901" s="256">
        <f t="shared" si="966"/>
        <v>0.43699186991869921</v>
      </c>
      <c r="I6901" s="297">
        <f t="shared" si="968"/>
        <v>23.874422099534808</v>
      </c>
      <c r="J6901" s="297">
        <f t="shared" si="969"/>
        <v>12.142857142857142</v>
      </c>
      <c r="K6901" s="297">
        <f>J6901/POBLA!$B$12*100000</f>
        <v>3.0856164172218055</v>
      </c>
      <c r="L6901" s="549">
        <f t="shared" si="967"/>
        <v>0.34615384615384615</v>
      </c>
      <c r="M6901" s="401">
        <f>SUM(C6901,C6877,C6853,C6829,C6805,C6781,C6757)/POBLA!$B$12*100000</f>
        <v>21.599314920552636</v>
      </c>
    </row>
    <row r="6902" spans="1:13" s="360" customFormat="1" x14ac:dyDescent="0.25">
      <c r="A6902" s="367" t="s">
        <v>17</v>
      </c>
      <c r="B6902" s="2">
        <v>44180</v>
      </c>
      <c r="C6902" s="1">
        <v>160</v>
      </c>
      <c r="D6902" s="39">
        <f t="shared" si="964"/>
        <v>58526</v>
      </c>
      <c r="E6902" s="1">
        <v>6</v>
      </c>
      <c r="F6902" s="409">
        <f t="shared" si="965"/>
        <v>1184</v>
      </c>
      <c r="G6902" s="168">
        <f>SUM(C6902,C6878,C6854,C6830,C6806,C6782,C6758,C6734,C6710,C6686,C6662,C6638,C6614,C6590)/POBLA!$B$13*100000</f>
        <v>86.26675469191666</v>
      </c>
      <c r="H6902" s="256">
        <f t="shared" si="966"/>
        <v>0.59268208491542973</v>
      </c>
      <c r="I6902" s="297">
        <f t="shared" si="968"/>
        <v>51.128760029693098</v>
      </c>
      <c r="J6902" s="297">
        <f t="shared" si="969"/>
        <v>127.71428571428571</v>
      </c>
      <c r="K6902" s="297">
        <f>J6902/POBLA!$B$13*100000</f>
        <v>6.4167134282863367</v>
      </c>
      <c r="L6902" s="549">
        <f t="shared" si="967"/>
        <v>-8.6269744835965945E-2</v>
      </c>
      <c r="M6902" s="401">
        <f>SUM(C6902,C6878,C6854,C6830,C6806,C6782,C6758)/POBLA!$B$13*100000</f>
        <v>44.916993998004358</v>
      </c>
    </row>
    <row r="6903" spans="1:13" s="360" customFormat="1" x14ac:dyDescent="0.25">
      <c r="A6903" s="367" t="s">
        <v>23</v>
      </c>
      <c r="B6903" s="2">
        <v>44180</v>
      </c>
      <c r="C6903" s="1">
        <v>18</v>
      </c>
      <c r="D6903" s="39">
        <f t="shared" si="964"/>
        <v>703</v>
      </c>
      <c r="E6903" s="1">
        <v>1</v>
      </c>
      <c r="F6903" s="409">
        <f t="shared" si="965"/>
        <v>11</v>
      </c>
      <c r="G6903" s="168">
        <f>SUM(C6903,C6879,C6855,C6831,C6807,C6783,C6759,C6735,C6711,C6687,C6663,C6639,C6615,C6591)/POBLA!$B$14*100000</f>
        <v>14.588192760767908</v>
      </c>
      <c r="H6903" s="256">
        <f t="shared" si="966"/>
        <v>1.5081967213114753</v>
      </c>
      <c r="I6903" s="297">
        <f t="shared" si="968"/>
        <v>22.001864491649958</v>
      </c>
      <c r="J6903" s="297">
        <f t="shared" si="969"/>
        <v>16.142857142857142</v>
      </c>
      <c r="K6903" s="297">
        <f>J6903/POBLA!$B$14*100000</f>
        <v>1.279864737551843</v>
      </c>
      <c r="L6903" s="549">
        <f t="shared" si="967"/>
        <v>-0.59154929577464799</v>
      </c>
      <c r="M6903" s="401">
        <f>SUM(C6903,C6879,C6855,C6831,C6807,C6783,C6759)/POBLA!$B$14*100000</f>
        <v>8.9590531628629009</v>
      </c>
    </row>
    <row r="6904" spans="1:13" s="360" customFormat="1" x14ac:dyDescent="0.25">
      <c r="A6904" s="367" t="s">
        <v>19</v>
      </c>
      <c r="B6904" s="2">
        <v>44180</v>
      </c>
      <c r="C6904" s="1">
        <v>247</v>
      </c>
      <c r="D6904" s="39">
        <f t="shared" si="964"/>
        <v>37339</v>
      </c>
      <c r="E6904" s="1">
        <v>7</v>
      </c>
      <c r="F6904" s="409">
        <f t="shared" si="965"/>
        <v>680</v>
      </c>
      <c r="G6904" s="168">
        <f>SUM(C6904,C6880,C6856,C6832,C6808,C6784,C6760,C6736,C6712,C6688,C6664,C6640,C6616,C6592)/POBLA!$B$15*100000</f>
        <v>741.95438042216256</v>
      </c>
      <c r="H6904" s="256">
        <f t="shared" si="966"/>
        <v>1.2011214041930764</v>
      </c>
      <c r="I6904" s="297">
        <f t="shared" si="968"/>
        <v>891.17728725987195</v>
      </c>
      <c r="J6904" s="297">
        <f t="shared" si="969"/>
        <v>250</v>
      </c>
      <c r="K6904" s="297">
        <f>J6904/POBLA!$B$15*100000</f>
        <v>37.647370632340298</v>
      </c>
      <c r="L6904" s="549">
        <f t="shared" si="967"/>
        <v>0.4491658797607806</v>
      </c>
      <c r="M6904" s="401">
        <f>SUM(C6904,C6880,C6856,C6832,C6808,C6784,C6760)/POBLA!$B$15*100000</f>
        <v>263.53159442638207</v>
      </c>
    </row>
    <row r="6905" spans="1:13" s="360" customFormat="1" x14ac:dyDescent="0.25">
      <c r="A6905" s="367" t="s">
        <v>18</v>
      </c>
      <c r="B6905" s="2">
        <v>44180</v>
      </c>
      <c r="C6905" s="1">
        <v>286</v>
      </c>
      <c r="D6905" s="39">
        <f t="shared" si="964"/>
        <v>34657</v>
      </c>
      <c r="E6905" s="1">
        <v>4</v>
      </c>
      <c r="F6905" s="409">
        <f t="shared" si="965"/>
        <v>848</v>
      </c>
      <c r="G6905" s="168">
        <f>SUM(C6905,C6881,C6857,C6833,C6809,C6785,C6761,C6737,C6713,C6689,C6665,C6641,C6617,C6593)/POBLA!$B$16*100000</f>
        <v>362.22094407511935</v>
      </c>
      <c r="H6905" s="256">
        <f t="shared" si="966"/>
        <v>0.899070385126162</v>
      </c>
      <c r="I6905" s="297">
        <f t="shared" si="968"/>
        <v>325.66212369037953</v>
      </c>
      <c r="J6905" s="297">
        <f t="shared" si="969"/>
        <v>221.28571428571428</v>
      </c>
      <c r="K6905" s="297">
        <f>J6905/POBLA!$B$16*100000</f>
        <v>29.599084320128714</v>
      </c>
      <c r="L6905" s="549">
        <f t="shared" si="967"/>
        <v>-0.33649698015530638</v>
      </c>
      <c r="M6905" s="401">
        <f>SUM(C6905,C6881,C6857,C6833,C6809,C6785,C6761)/POBLA!$B$16*100000</f>
        <v>207.19359024090099</v>
      </c>
    </row>
    <row r="6906" spans="1:13" s="360" customFormat="1" x14ac:dyDescent="0.25">
      <c r="A6906" s="367" t="s">
        <v>34</v>
      </c>
      <c r="B6906" s="2">
        <v>44180</v>
      </c>
      <c r="C6906" s="1">
        <v>65</v>
      </c>
      <c r="D6906" s="39">
        <f t="shared" si="964"/>
        <v>21679</v>
      </c>
      <c r="E6906" s="1">
        <v>1</v>
      </c>
      <c r="F6906" s="409">
        <f t="shared" si="965"/>
        <v>1000</v>
      </c>
      <c r="G6906" s="168">
        <f>SUM(C6906,C6882,C6858,C6834,C6810,C6786,C6762,C6738,C6714,C6690,C6666,C6642,C6618,C6594)/POBLA!$B$17*100000</f>
        <v>33.487854860688422</v>
      </c>
      <c r="H6906" s="256">
        <f t="shared" si="966"/>
        <v>0.54514285714285715</v>
      </c>
      <c r="I6906" s="297">
        <f t="shared" si="968"/>
        <v>18.255664878341005</v>
      </c>
      <c r="J6906" s="297">
        <f t="shared" si="969"/>
        <v>34.428571428571431</v>
      </c>
      <c r="K6906" s="297">
        <f>J6906/POBLA!$B$17*100000</f>
        <v>2.417062899498625</v>
      </c>
      <c r="L6906" s="549">
        <f t="shared" si="967"/>
        <v>-2.1186440677966045E-2</v>
      </c>
      <c r="M6906" s="401">
        <f>SUM(C6906,C6882,C6858,C6834,C6810,C6786,C6762)/POBLA!$B$17*100000</f>
        <v>16.919440296490375</v>
      </c>
    </row>
    <row r="6907" spans="1:13" s="360" customFormat="1" x14ac:dyDescent="0.25">
      <c r="A6907" s="367" t="s">
        <v>35</v>
      </c>
      <c r="B6907" s="2">
        <v>44180</v>
      </c>
      <c r="C6907" s="1">
        <v>204</v>
      </c>
      <c r="D6907" s="39">
        <f t="shared" si="964"/>
        <v>9685</v>
      </c>
      <c r="E6907" s="1"/>
      <c r="F6907" s="409">
        <f t="shared" si="965"/>
        <v>196</v>
      </c>
      <c r="G6907" s="168">
        <f>SUM(C6907,C6883,C6859,C6835,C6811,C6787,C6763,C6739,C6715,C6691,C6667,C6643,C6619,C6595)/POBLA!$B$18*100000</f>
        <v>239.11410017959156</v>
      </c>
      <c r="H6907" s="256">
        <f t="shared" si="966"/>
        <v>0.59699584531799299</v>
      </c>
      <c r="I6907" s="297">
        <f t="shared" si="968"/>
        <v>142.75012436416651</v>
      </c>
      <c r="J6907" s="297">
        <f t="shared" si="969"/>
        <v>154.14285714285714</v>
      </c>
      <c r="K6907" s="297">
        <f>J6907/POBLA!$B$18*100000</f>
        <v>19.731119156758893</v>
      </c>
      <c r="L6907" s="549">
        <f t="shared" si="967"/>
        <v>-0.36755386565272508</v>
      </c>
      <c r="M6907" s="401">
        <f>SUM(C6907,C6883,C6859,C6835,C6811,C6787,C6763)/POBLA!$B$18*100000</f>
        <v>138.11783409731225</v>
      </c>
    </row>
    <row r="6908" spans="1:13" s="360" customFormat="1" x14ac:dyDescent="0.25">
      <c r="A6908" s="367" t="s">
        <v>36</v>
      </c>
      <c r="B6908" s="2">
        <v>44180</v>
      </c>
      <c r="C6908" s="1">
        <v>101</v>
      </c>
      <c r="D6908" s="39">
        <f t="shared" si="964"/>
        <v>15644</v>
      </c>
      <c r="E6908" s="1">
        <v>4</v>
      </c>
      <c r="F6908" s="409">
        <f t="shared" si="965"/>
        <v>257</v>
      </c>
      <c r="G6908" s="168">
        <f>SUM(C6908,C6884,C6860,C6836,C6812,C6788,C6764,C6740,C6716,C6692,C6668,C6644,C6620,C6596)/POBLA!$B$19*100000</f>
        <v>184.13307942903009</v>
      </c>
      <c r="H6908" s="256">
        <f t="shared" si="966"/>
        <v>0.32647366585280779</v>
      </c>
      <c r="I6908" s="297">
        <f t="shared" si="968"/>
        <v>60.114601445961689</v>
      </c>
      <c r="J6908" s="297">
        <f t="shared" si="969"/>
        <v>59</v>
      </c>
      <c r="K6908" s="297">
        <f>J6908/POBLA!$B$19*100000</f>
        <v>11.606679152043563</v>
      </c>
      <c r="L6908" s="549">
        <f t="shared" si="967"/>
        <v>0.21032504780114725</v>
      </c>
      <c r="M6908" s="401">
        <f>SUM(C6908,C6884,C6860,C6836,C6812,C6788,C6764)/POBLA!$B$19*100000</f>
        <v>81.246754064304938</v>
      </c>
    </row>
    <row r="6909" spans="1:13" s="360" customFormat="1" x14ac:dyDescent="0.25">
      <c r="A6909" s="367" t="s">
        <v>37</v>
      </c>
      <c r="B6909" s="2">
        <v>44180</v>
      </c>
      <c r="C6909" s="1">
        <v>332</v>
      </c>
      <c r="D6909" s="39">
        <f t="shared" si="964"/>
        <v>19346</v>
      </c>
      <c r="E6909" s="1">
        <v>6</v>
      </c>
      <c r="F6909" s="409">
        <f t="shared" si="965"/>
        <v>340</v>
      </c>
      <c r="G6909" s="168">
        <f>SUM(C6909,C6885,C6861,C6837,C6813,C6789,C6765,C6741,C6717,C6693,C6669,C6645,C6621,C6597)/POBLA!$B$20*100000</f>
        <v>849.06124725866698</v>
      </c>
      <c r="H6909" s="256">
        <f t="shared" si="966"/>
        <v>0.97152690863579472</v>
      </c>
      <c r="I6909" s="297">
        <f t="shared" si="968"/>
        <v>824.8858487916649</v>
      </c>
      <c r="J6909" s="297">
        <f t="shared" si="969"/>
        <v>241.71428571428572</v>
      </c>
      <c r="K6909" s="297">
        <f>J6909/POBLA!$B$20*100000</f>
        <v>66.096693368376563</v>
      </c>
      <c r="L6909" s="549">
        <f t="shared" si="967"/>
        <v>-0.19745222929936301</v>
      </c>
      <c r="M6909" s="401">
        <f>SUM(C6909,C6885,C6861,C6837,C6813,C6789,C6765)/POBLA!$B$20*100000</f>
        <v>462.67685357863598</v>
      </c>
    </row>
    <row r="6910" spans="1:13" s="360" customFormat="1" x14ac:dyDescent="0.25">
      <c r="A6910" s="367" t="s">
        <v>22</v>
      </c>
      <c r="B6910" s="2">
        <v>44180</v>
      </c>
      <c r="C6910" s="1">
        <v>1145</v>
      </c>
      <c r="D6910" s="39">
        <f t="shared" si="964"/>
        <v>161966</v>
      </c>
      <c r="E6910" s="1">
        <v>22</v>
      </c>
      <c r="F6910" s="409">
        <f t="shared" si="965"/>
        <v>2598</v>
      </c>
      <c r="G6910" s="168">
        <f>SUM(C6910,C6886,C6862,C6838,C6814,C6790,C6766,C6742,C6718,C6694,C6670,C6646,C6622,C6598)/POBLA!$B$21*100000</f>
        <v>367.34910861781611</v>
      </c>
      <c r="H6910" s="256">
        <f t="shared" si="966"/>
        <v>0.71988252244264661</v>
      </c>
      <c r="I6910" s="297">
        <f t="shared" si="968"/>
        <v>264.44820292885123</v>
      </c>
      <c r="J6910" s="297">
        <f t="shared" si="969"/>
        <v>944.57142857142856</v>
      </c>
      <c r="K6910" s="297">
        <f>J6910/POBLA!$B$21*100000</f>
        <v>26.709835448508308</v>
      </c>
      <c r="L6910" s="549">
        <f t="shared" si="967"/>
        <v>-3.65261012697915E-2</v>
      </c>
      <c r="M6910" s="401">
        <f>SUM(C6910,C6886,C6862,C6838,C6814,C6790,C6766)/POBLA!$B$21*100000</f>
        <v>186.96884813955816</v>
      </c>
    </row>
    <row r="6911" spans="1:13" s="360" customFormat="1" x14ac:dyDescent="0.25">
      <c r="A6911" s="367" t="s">
        <v>38</v>
      </c>
      <c r="B6911" s="2">
        <v>44180</v>
      </c>
      <c r="C6911" s="1">
        <v>39</v>
      </c>
      <c r="D6911" s="39">
        <f t="shared" si="964"/>
        <v>16571</v>
      </c>
      <c r="E6911" s="1">
        <v>2</v>
      </c>
      <c r="F6911" s="409">
        <f t="shared" si="965"/>
        <v>210</v>
      </c>
      <c r="G6911" s="168">
        <f>SUM(C6911,C6887,C6863,C6839,C6815,C6791,C6767,C6743,C6719,C6695,C6671,C6647,C6623,C6599)/POBLA!$B$22*100000</f>
        <v>87.599776349695858</v>
      </c>
      <c r="H6911" s="256">
        <f t="shared" si="966"/>
        <v>0.374235807860262</v>
      </c>
      <c r="I6911" s="297">
        <f t="shared" si="968"/>
        <v>32.782973070606701</v>
      </c>
      <c r="J6911" s="297">
        <f t="shared" si="969"/>
        <v>47.428571428571431</v>
      </c>
      <c r="K6911" s="297">
        <f>J6911/POBLA!$B$22*100000</f>
        <v>4.84799562395383</v>
      </c>
      <c r="L6911" s="549">
        <f t="shared" si="967"/>
        <v>0.36761904761904762</v>
      </c>
      <c r="M6911" s="401">
        <f>SUM(C6911,C6887,C6863,C6839,C6815,C6791,C6767)/POBLA!$B$22*100000</f>
        <v>33.935969367676805</v>
      </c>
    </row>
    <row r="6912" spans="1:13" s="360" customFormat="1" x14ac:dyDescent="0.25">
      <c r="A6912" s="367" t="s">
        <v>39</v>
      </c>
      <c r="B6912" s="2">
        <v>44180</v>
      </c>
      <c r="C6912" s="1">
        <v>72</v>
      </c>
      <c r="D6912" s="39">
        <f t="shared" si="964"/>
        <v>17749</v>
      </c>
      <c r="E6912" s="1"/>
      <c r="F6912" s="409">
        <f t="shared" si="965"/>
        <v>242</v>
      </c>
      <c r="G6912" s="168">
        <f>SUM(C6912,C6888,C6864,C6840,C6816,C6792,C6768,C6744,C6720,C6696,C6672,C6648,C6624,C6600)/POBLA!$B$23*100000</f>
        <v>842.05168806198037</v>
      </c>
      <c r="H6912" s="256">
        <f t="shared" si="966"/>
        <v>0.86419036564132323</v>
      </c>
      <c r="I6912" s="297">
        <f t="shared" si="968"/>
        <v>727.69295619517629</v>
      </c>
      <c r="J6912" s="297">
        <f t="shared" si="969"/>
        <v>118.57142857142857</v>
      </c>
      <c r="K6912" s="297">
        <f>J6912/POBLA!$B$23*100000</f>
        <v>67.053909727664177</v>
      </c>
      <c r="L6912" s="549">
        <f t="shared" si="967"/>
        <v>-0.25948406676782998</v>
      </c>
      <c r="M6912" s="401">
        <f>SUM(C6912,C6888,C6864,C6840,C6816,C6792,C6768)/POBLA!$B$23*100000</f>
        <v>469.3773680936493</v>
      </c>
    </row>
    <row r="6913" spans="1:13" s="360" customFormat="1" ht="15.75" thickBot="1" x14ac:dyDescent="0.3">
      <c r="A6913" s="369" t="s">
        <v>40</v>
      </c>
      <c r="B6913" s="2">
        <v>44180</v>
      </c>
      <c r="C6913" s="1">
        <v>214</v>
      </c>
      <c r="D6913" s="176">
        <f t="shared" si="964"/>
        <v>68855</v>
      </c>
      <c r="E6913" s="1">
        <v>8</v>
      </c>
      <c r="F6913" s="476">
        <f t="shared" si="965"/>
        <v>1309</v>
      </c>
      <c r="G6913" s="177">
        <f>SUM(C6913,C6889,C6865,C6841,C6817,C6793,C6769,C6745,C6721,C6697,C6673,C6649,C6625,C6601)/POBLA!$B$24*100000</f>
        <v>154.6036481740247</v>
      </c>
      <c r="H6913" s="402">
        <f t="shared" si="966"/>
        <v>0.53090172239108413</v>
      </c>
      <c r="I6913" s="403">
        <f t="shared" si="968"/>
        <v>82.079343103534896</v>
      </c>
      <c r="J6913" s="403">
        <f t="shared" si="969"/>
        <v>201.71428571428572</v>
      </c>
      <c r="K6913" s="403">
        <f>J6913/POBLA!$B$24*100000</f>
        <v>11.902963534445087</v>
      </c>
      <c r="L6913" s="550">
        <f t="shared" si="967"/>
        <v>-0.16887417218543055</v>
      </c>
      <c r="M6913" s="405">
        <f>SUM(C6913,C6889,C6865,C6841,C6817,C6793,C6769)/POBLA!$B$24*100000</f>
        <v>83.320744741115604</v>
      </c>
    </row>
    <row r="6914" spans="1:13" s="360" customFormat="1" x14ac:dyDescent="0.25">
      <c r="A6914" s="363" t="s">
        <v>16</v>
      </c>
      <c r="B6914" s="2">
        <v>44181</v>
      </c>
      <c r="C6914" s="1">
        <v>2321</v>
      </c>
      <c r="D6914" s="174">
        <f t="shared" si="964"/>
        <v>644108</v>
      </c>
      <c r="E6914" s="1">
        <v>38</v>
      </c>
      <c r="F6914" s="475">
        <f t="shared" si="965"/>
        <v>21572</v>
      </c>
      <c r="G6914" s="175">
        <f>SUM(C6914,C6890,C6866,C6842,C6818,C6794,C6770,C6746,C6722,C6698,C6674,C6650,C6626,C6602)/POBLA!$B$1*100000</f>
        <v>121.59984347654465</v>
      </c>
      <c r="H6914" s="300">
        <f t="shared" si="966"/>
        <v>0.82983193277310929</v>
      </c>
      <c r="I6914" s="301">
        <f>G6914*H6914</f>
        <v>100.90743313704861</v>
      </c>
      <c r="J6914" s="301">
        <f>AVERAGE(C6914,C6890,C6866,C6842,C6818,C6794,C6770)</f>
        <v>1806</v>
      </c>
      <c r="K6914" s="301">
        <f>J6914/POBLA!$B$1*100000</f>
        <v>10.295795467353008</v>
      </c>
      <c r="L6914" s="548">
        <f t="shared" si="967"/>
        <v>-0.45511049723756902</v>
      </c>
      <c r="M6914" s="400">
        <f>SUM(C6914,C6890,C6866,C6842,C6818,C6794,C6770)/POBLA!$B$1*100000</f>
        <v>72.070568271471046</v>
      </c>
    </row>
    <row r="6915" spans="1:13" s="360" customFormat="1" x14ac:dyDescent="0.25">
      <c r="A6915" s="367" t="s">
        <v>43</v>
      </c>
      <c r="B6915" s="2">
        <v>44181</v>
      </c>
      <c r="C6915" s="1">
        <v>394</v>
      </c>
      <c r="D6915" s="39">
        <f t="shared" si="964"/>
        <v>164102</v>
      </c>
      <c r="E6915" s="1">
        <v>10</v>
      </c>
      <c r="F6915" s="409">
        <f t="shared" si="965"/>
        <v>5365</v>
      </c>
      <c r="G6915" s="168">
        <f>SUM(C6915,C6891,C6867,C6843,C6819,C6795,C6771,C6747,C6723,C6699,C6675,C6651,C6627,C6603)/POBLA!$B$2*100000</f>
        <v>149.3344812764538</v>
      </c>
      <c r="H6915" s="256">
        <f t="shared" si="966"/>
        <v>1.0141311547803047</v>
      </c>
      <c r="I6915" s="297">
        <f t="shared" ref="I6915:I6937" si="970">G6915*H6915</f>
        <v>151.44474994540789</v>
      </c>
      <c r="J6915" s="297">
        <f t="shared" ref="J6915:J6937" si="971">AVERAGE(C6915,C6891,C6867,C6843,C6819,C6795,C6771)</f>
        <v>396</v>
      </c>
      <c r="K6915" s="297">
        <f>J6915/POBLA!$B$2*100000</f>
        <v>12.875343911490466</v>
      </c>
      <c r="L6915" s="549">
        <f t="shared" si="967"/>
        <v>-0.52224052718286651</v>
      </c>
      <c r="M6915" s="401">
        <f>SUM(C6915,C6891,C6867,C6843,C6819,C6795,C6771)/POBLA!$B$2*100000</f>
        <v>90.127407380433255</v>
      </c>
    </row>
    <row r="6916" spans="1:13" s="360" customFormat="1" x14ac:dyDescent="0.25">
      <c r="A6916" s="367" t="s">
        <v>28</v>
      </c>
      <c r="B6916" s="2">
        <v>44181</v>
      </c>
      <c r="C6916" s="1">
        <v>20</v>
      </c>
      <c r="D6916" s="39">
        <f t="shared" si="964"/>
        <v>2210</v>
      </c>
      <c r="E6916" s="1"/>
      <c r="F6916" s="409">
        <f t="shared" si="965"/>
        <v>17</v>
      </c>
      <c r="G6916" s="168">
        <f>SUM(C6916,C6892,C6868,C6844,C6820,C6796,C6772,C6748,C6724,C6700,C6676,C6652,C6628,C6604)/POBLA!$B$3*100000</f>
        <v>76.786427818350759</v>
      </c>
      <c r="H6916" s="256">
        <f t="shared" si="966"/>
        <v>1.1114982578397212</v>
      </c>
      <c r="I6916" s="297">
        <f t="shared" si="970"/>
        <v>85.347980745832373</v>
      </c>
      <c r="J6916" s="297">
        <f t="shared" si="971"/>
        <v>25.714285714285715</v>
      </c>
      <c r="K6916" s="297">
        <f>J6916/POBLA!$B$3*100000</f>
        <v>6.189680701882283</v>
      </c>
      <c r="L6916" s="549">
        <f t="shared" si="967"/>
        <v>-0.29496402877697836</v>
      </c>
      <c r="M6916" s="401">
        <f>SUM(C6916,C6892,C6868,C6844,C6820,C6796,C6772)/POBLA!$B$3*100000</f>
        <v>43.327764913175969</v>
      </c>
    </row>
    <row r="6917" spans="1:13" s="360" customFormat="1" x14ac:dyDescent="0.25">
      <c r="A6917" s="367" t="s">
        <v>15</v>
      </c>
      <c r="B6917" s="2">
        <v>44181</v>
      </c>
      <c r="C6917" s="1">
        <v>187</v>
      </c>
      <c r="D6917" s="39">
        <f t="shared" si="964"/>
        <v>22215</v>
      </c>
      <c r="E6917" s="1">
        <v>2</v>
      </c>
      <c r="F6917" s="409">
        <f t="shared" si="965"/>
        <v>635</v>
      </c>
      <c r="G6917" s="168">
        <f>SUM(C6917,C6893,C6869,C6845,C6821,C6797,C6773,C6749,C6725,C6701,C6677,C6653,C6629,C6605)/POBLA!$B$4*100000</f>
        <v>201.07244170185987</v>
      </c>
      <c r="H6917" s="256">
        <f t="shared" si="966"/>
        <v>0.85401974612129761</v>
      </c>
      <c r="I6917" s="297">
        <f t="shared" si="970"/>
        <v>171.71983561421177</v>
      </c>
      <c r="J6917" s="297">
        <f t="shared" si="971"/>
        <v>168.42857142857142</v>
      </c>
      <c r="K6917" s="297">
        <f>J6917/POBLA!$B$4*100000</f>
        <v>13.982801036126741</v>
      </c>
      <c r="L6917" s="549">
        <f t="shared" si="967"/>
        <v>5.1488334674175351E-2</v>
      </c>
      <c r="M6917" s="401">
        <f>SUM(C6917,C6893,C6869,C6845,C6821,C6797,C6773)/POBLA!$B$4*100000</f>
        <v>97.879607252887183</v>
      </c>
    </row>
    <row r="6918" spans="1:13" s="360" customFormat="1" x14ac:dyDescent="0.25">
      <c r="A6918" s="367" t="s">
        <v>29</v>
      </c>
      <c r="B6918" s="2">
        <v>44181</v>
      </c>
      <c r="C6918" s="1">
        <v>384</v>
      </c>
      <c r="D6918" s="39">
        <f t="shared" si="964"/>
        <v>27043</v>
      </c>
      <c r="E6918" s="1">
        <v>3</v>
      </c>
      <c r="F6918" s="409">
        <f t="shared" si="965"/>
        <v>463</v>
      </c>
      <c r="G6918" s="168">
        <f>SUM(C6918,C6894,C6870,C6846,C6822,C6798,C6774,C6750,C6726,C6702,C6678,C6654,C6630,C6606)/POBLA!$B$5*100000</f>
        <v>565.1104857236096</v>
      </c>
      <c r="H6918" s="256">
        <f t="shared" si="966"/>
        <v>1.0192307692307692</v>
      </c>
      <c r="I6918" s="297">
        <f t="shared" si="970"/>
        <v>575.97799506444824</v>
      </c>
      <c r="J6918" s="297">
        <f t="shared" si="971"/>
        <v>286.71428571428572</v>
      </c>
      <c r="K6918" s="297">
        <f>J6918/POBLA!$B$5*100000</f>
        <v>46.319396587735213</v>
      </c>
      <c r="L6918" s="549">
        <f t="shared" si="967"/>
        <v>-0.34607645875251514</v>
      </c>
      <c r="M6918" s="401">
        <f>SUM(C6918,C6894,C6870,C6846,C6822,C6798,C6774)/POBLA!$B$5*100000</f>
        <v>324.23577611414652</v>
      </c>
    </row>
    <row r="6919" spans="1:13" s="360" customFormat="1" x14ac:dyDescent="0.25">
      <c r="A6919" s="367" t="s">
        <v>20</v>
      </c>
      <c r="B6919" s="2">
        <v>44181</v>
      </c>
      <c r="C6919" s="1">
        <v>528</v>
      </c>
      <c r="D6919" s="39">
        <f t="shared" si="964"/>
        <v>120929</v>
      </c>
      <c r="E6919" s="1">
        <v>21</v>
      </c>
      <c r="F6919" s="409">
        <f t="shared" si="965"/>
        <v>2340</v>
      </c>
      <c r="G6919" s="168">
        <f>SUM(C6919,C6895,C6871,C6847,C6823,C6799,C6775,C6751,C6727,C6703,C6679,C6655,C6631,C6607)/POBLA!$B$6*100000</f>
        <v>465.47067677491367</v>
      </c>
      <c r="H6919" s="256">
        <f t="shared" si="966"/>
        <v>0.52916117253271122</v>
      </c>
      <c r="I6919" s="297">
        <f t="shared" si="970"/>
        <v>246.30900910180796</v>
      </c>
      <c r="J6919" s="297">
        <f t="shared" si="971"/>
        <v>404.28571428571428</v>
      </c>
      <c r="K6919" s="297">
        <f>J6919/POBLA!$B$6*100000</f>
        <v>36.071141468085258</v>
      </c>
      <c r="L6919" s="549">
        <f t="shared" si="967"/>
        <v>-0.18558860494344365</v>
      </c>
      <c r="M6919" s="401">
        <f>SUM(C6919,C6895,C6871,C6847,C6823,C6799,C6775)/POBLA!$B$6*100000</f>
        <v>252.49799027659685</v>
      </c>
    </row>
    <row r="6920" spans="1:13" s="360" customFormat="1" x14ac:dyDescent="0.25">
      <c r="A6920" s="367" t="s">
        <v>30</v>
      </c>
      <c r="B6920" s="2">
        <v>44181</v>
      </c>
      <c r="C6920" s="1">
        <v>111</v>
      </c>
      <c r="D6920" s="39">
        <f t="shared" si="964"/>
        <v>9907</v>
      </c>
      <c r="E6920" s="1"/>
      <c r="F6920" s="409">
        <f t="shared" si="965"/>
        <v>138</v>
      </c>
      <c r="G6920" s="168">
        <f>SUM(C6920,C6896,C6872,C6848,C6824,C6800,C6776,C6752,C6728,C6704,C6680,C6656,C6632,C6608)/POBLA!$B$7*100000</f>
        <v>63.955111755242065</v>
      </c>
      <c r="H6920" s="256">
        <f t="shared" si="966"/>
        <v>0.73909035033804549</v>
      </c>
      <c r="I6920" s="297">
        <f t="shared" si="970"/>
        <v>47.268605953090706</v>
      </c>
      <c r="J6920" s="297">
        <f t="shared" si="971"/>
        <v>122.42857142857143</v>
      </c>
      <c r="K6920" s="297">
        <f>J6920/POBLA!$B$7*100000</f>
        <v>3.255689383679385</v>
      </c>
      <c r="L6920" s="549">
        <f t="shared" si="967"/>
        <v>0.44638242894056845</v>
      </c>
      <c r="M6920" s="401">
        <f>SUM(C6920,C6896,C6872,C6848,C6824,C6800,C6776)/POBLA!$B$7*100000</f>
        <v>22.789825685755694</v>
      </c>
    </row>
    <row r="6921" spans="1:13" x14ac:dyDescent="0.25">
      <c r="A6921" s="367" t="s">
        <v>31</v>
      </c>
      <c r="B6921" s="2">
        <v>44181</v>
      </c>
      <c r="C6921" s="1">
        <v>242</v>
      </c>
      <c r="D6921" s="39">
        <f t="shared" si="964"/>
        <v>26169</v>
      </c>
      <c r="E6921" s="1">
        <v>8</v>
      </c>
      <c r="F6921" s="409">
        <f t="shared" si="965"/>
        <v>543</v>
      </c>
      <c r="G6921" s="168">
        <f>SUM(C6921,C6897,C6873,C6849,C6825,C6801,C6777,C6753,C6729,C6705,C6681,C6657,C6633,C6609)/POBLA!$B$8*100000</f>
        <v>170.92833059516104</v>
      </c>
      <c r="H6921" s="256">
        <f t="shared" si="966"/>
        <v>0.82399999999999995</v>
      </c>
      <c r="I6921" s="297">
        <f t="shared" si="970"/>
        <v>140.84494441041269</v>
      </c>
      <c r="J6921" s="297">
        <f t="shared" si="971"/>
        <v>193.42857142857142</v>
      </c>
      <c r="K6921" s="297">
        <f>J6921/POBLA!$B$8*100000</f>
        <v>13.956278093580659</v>
      </c>
      <c r="L6921" s="549">
        <f t="shared" si="967"/>
        <v>-0.3339901477832512</v>
      </c>
      <c r="M6921" s="401">
        <f>SUM(C6921,C6897,C6873,C6849,C6825,C6801,C6777)/POBLA!$B$8*100000</f>
        <v>97.693946655064607</v>
      </c>
    </row>
    <row r="6922" spans="1:13" s="360" customFormat="1" x14ac:dyDescent="0.25">
      <c r="A6922" s="367" t="s">
        <v>41</v>
      </c>
      <c r="B6922" s="2">
        <v>44181</v>
      </c>
      <c r="C6922" s="1">
        <v>5</v>
      </c>
      <c r="D6922" s="39">
        <f t="shared" si="964"/>
        <v>202</v>
      </c>
      <c r="E6922" s="1"/>
      <c r="F6922" s="409">
        <f t="shared" si="965"/>
        <v>3</v>
      </c>
      <c r="G6922" s="168">
        <f>SUM(C6922,C6898,C6874,C6850,C6826,C6802,C6778,C6754,C6730,C6706,C6682,C6658,C6634,C6610)/POBLA!$B$9*100000</f>
        <v>2.4785481656265027</v>
      </c>
      <c r="H6922" s="256">
        <f t="shared" si="966"/>
        <v>1.0714285714285714</v>
      </c>
      <c r="I6922" s="297">
        <f t="shared" si="970"/>
        <v>2.65558732031411</v>
      </c>
      <c r="J6922" s="297">
        <f t="shared" si="971"/>
        <v>0.7142857142857143</v>
      </c>
      <c r="K6922" s="297">
        <f>J6922/POBLA!$B$9*100000</f>
        <v>0.11802610312507156</v>
      </c>
      <c r="L6922" s="549">
        <f t="shared" si="967"/>
        <v>0.5</v>
      </c>
      <c r="M6922" s="401">
        <f>SUM(C6922,C6898,C6874,C6850,C6826,C6802,C6778)/POBLA!$B$9*100000</f>
        <v>0.82618272187550079</v>
      </c>
    </row>
    <row r="6923" spans="1:13" s="360" customFormat="1" x14ac:dyDescent="0.25">
      <c r="A6923" s="367" t="s">
        <v>32</v>
      </c>
      <c r="B6923" s="2">
        <v>44181</v>
      </c>
      <c r="C6923" s="1">
        <v>1</v>
      </c>
      <c r="D6923" s="39">
        <f t="shared" si="964"/>
        <v>18460</v>
      </c>
      <c r="E6923" s="1"/>
      <c r="F6923" s="409">
        <f t="shared" si="965"/>
        <v>854</v>
      </c>
      <c r="G6923" s="168">
        <f>SUM(C6923,C6899,C6875,C6851,C6827,C6803,C6779,C6755,C6731,C6707,C6683,C6659,C6635,C6611)/POBLA!$B$10*100000</f>
        <v>7.3941373571277538</v>
      </c>
      <c r="H6923" s="256">
        <f t="shared" si="966"/>
        <v>0.34969325153374231</v>
      </c>
      <c r="I6923" s="297">
        <f t="shared" si="970"/>
        <v>2.5856799347011163</v>
      </c>
      <c r="J6923" s="297">
        <f t="shared" si="971"/>
        <v>4.4285714285714288</v>
      </c>
      <c r="K6923" s="297">
        <f>J6923/POBLA!$B$10*100000</f>
        <v>0.57448184980190575</v>
      </c>
      <c r="L6923" s="549">
        <f t="shared" si="967"/>
        <v>-0.19230769230769229</v>
      </c>
      <c r="M6923" s="401">
        <f>SUM(C6923,C6899,C6875,C6851,C6827,C6803,C6779)/POBLA!$B$10*100000</f>
        <v>4.0213729486133394</v>
      </c>
    </row>
    <row r="6924" spans="1:13" s="360" customFormat="1" x14ac:dyDescent="0.25">
      <c r="A6924" s="367" t="s">
        <v>33</v>
      </c>
      <c r="B6924" s="2">
        <v>44181</v>
      </c>
      <c r="C6924" s="1">
        <v>213</v>
      </c>
      <c r="D6924" s="39">
        <f t="shared" si="964"/>
        <v>7494</v>
      </c>
      <c r="E6924" s="1"/>
      <c r="F6924" s="409">
        <f t="shared" si="965"/>
        <v>104</v>
      </c>
      <c r="G6924" s="168">
        <f>SUM(C6924,C6900,C6876,C6852,C6828,C6804,C6780,C6756,C6732,C6708,C6684,C6660,C6636,C6612)/POBLA!$B$11*100000</f>
        <v>423.23702389322267</v>
      </c>
      <c r="H6924" s="256">
        <f t="shared" si="966"/>
        <v>1.4204119850187267</v>
      </c>
      <c r="I6924" s="297">
        <f t="shared" si="970"/>
        <v>601.17094124159064</v>
      </c>
      <c r="J6924" s="297">
        <f t="shared" si="971"/>
        <v>138.71428571428572</v>
      </c>
      <c r="K6924" s="297">
        <f>J6924/POBLA!$B$11*100000</f>
        <v>38.700739259847367</v>
      </c>
      <c r="L6924" s="549">
        <f t="shared" si="967"/>
        <v>-0.77838827838827829</v>
      </c>
      <c r="M6924" s="401">
        <f>SUM(C6924,C6900,C6876,C6852,C6828,C6804,C6780)/POBLA!$B$11*100000</f>
        <v>270.90517481893158</v>
      </c>
    </row>
    <row r="6925" spans="1:13" s="360" customFormat="1" x14ac:dyDescent="0.25">
      <c r="A6925" s="367" t="s">
        <v>21</v>
      </c>
      <c r="B6925" s="2">
        <v>44181</v>
      </c>
      <c r="C6925" s="1">
        <v>13</v>
      </c>
      <c r="D6925" s="39">
        <f t="shared" si="964"/>
        <v>8963</v>
      </c>
      <c r="E6925" s="1">
        <v>4</v>
      </c>
      <c r="F6925" s="409">
        <f t="shared" si="965"/>
        <v>329</v>
      </c>
      <c r="G6925" s="168">
        <f>SUM(C6925,C6901,C6877,C6853,C6829,C6805,C6781,C6757,C6733,C6709,C6685,C6661,C6637,C6613)/POBLA!$B$12*100000</f>
        <v>49.55136952362075</v>
      </c>
      <c r="H6925" s="256">
        <f t="shared" si="966"/>
        <v>0.41139240506329117</v>
      </c>
      <c r="I6925" s="297">
        <f t="shared" si="970"/>
        <v>20.385057082502207</v>
      </c>
      <c r="J6925" s="297">
        <f t="shared" si="971"/>
        <v>10</v>
      </c>
      <c r="K6925" s="297">
        <f>J6925/POBLA!$B$12*100000</f>
        <v>2.5410958730061926</v>
      </c>
      <c r="L6925" s="549">
        <f t="shared" si="967"/>
        <v>0.43999999999999995</v>
      </c>
      <c r="M6925" s="401">
        <f>SUM(C6925,C6901,C6877,C6853,C6829,C6805,C6781)/POBLA!$B$12*100000</f>
        <v>17.787671111043348</v>
      </c>
    </row>
    <row r="6926" spans="1:13" s="360" customFormat="1" x14ac:dyDescent="0.25">
      <c r="A6926" s="367" t="s">
        <v>17</v>
      </c>
      <c r="B6926" s="2">
        <v>44181</v>
      </c>
      <c r="C6926" s="1">
        <v>148</v>
      </c>
      <c r="D6926" s="39">
        <f t="shared" si="964"/>
        <v>58674</v>
      </c>
      <c r="E6926" s="1">
        <v>5</v>
      </c>
      <c r="F6926" s="409">
        <f t="shared" si="965"/>
        <v>1189</v>
      </c>
      <c r="G6926" s="168">
        <f>SUM(C6926,C6902,C6878,C6854,C6830,C6806,C6782,C6758,C6734,C6710,C6686,C6662,C6638,C6614)/POBLA!$B$13*100000</f>
        <v>82.950735000788811</v>
      </c>
      <c r="H6926" s="256">
        <f t="shared" si="966"/>
        <v>0.59559884559884557</v>
      </c>
      <c r="I6926" s="297">
        <f t="shared" si="970"/>
        <v>49.405362008045572</v>
      </c>
      <c r="J6926" s="297">
        <f t="shared" si="971"/>
        <v>133.42857142857142</v>
      </c>
      <c r="K6926" s="297">
        <f>J6926/POBLA!$B$13*100000</f>
        <v>6.7038147002454567</v>
      </c>
      <c r="L6926" s="549">
        <f t="shared" si="967"/>
        <v>-0.30264993026499298</v>
      </c>
      <c r="M6926" s="401">
        <f>SUM(C6926,C6902,C6878,C6854,C6830,C6806,C6782)/POBLA!$B$13*100000</f>
        <v>46.926702901718201</v>
      </c>
    </row>
    <row r="6927" spans="1:13" s="360" customFormat="1" x14ac:dyDescent="0.25">
      <c r="A6927" s="367" t="s">
        <v>23</v>
      </c>
      <c r="B6927" s="2">
        <v>44181</v>
      </c>
      <c r="C6927" s="1">
        <v>45</v>
      </c>
      <c r="D6927" s="39">
        <f t="shared" si="964"/>
        <v>748</v>
      </c>
      <c r="E6927" s="1"/>
      <c r="F6927" s="409">
        <f t="shared" si="965"/>
        <v>11</v>
      </c>
      <c r="G6927" s="168">
        <f>SUM(C6927,C6903,C6879,C6855,C6831,C6807,C6783,C6759,C6735,C6711,C6687,C6663,C6639,C6615)/POBLA!$B$14*100000</f>
        <v>17.045986106332069</v>
      </c>
      <c r="H6927" s="256">
        <f t="shared" si="966"/>
        <v>1.7063492063492063</v>
      </c>
      <c r="I6927" s="297">
        <f t="shared" si="970"/>
        <v>29.086404863979325</v>
      </c>
      <c r="J6927" s="297">
        <f t="shared" si="971"/>
        <v>20</v>
      </c>
      <c r="K6927" s="297">
        <f>J6927/POBLA!$B$14*100000</f>
        <v>1.5856731261704251</v>
      </c>
      <c r="L6927" s="549">
        <f t="shared" si="967"/>
        <v>-0.8666666666666667</v>
      </c>
      <c r="M6927" s="401">
        <f>SUM(C6927,C6903,C6879,C6855,C6831,C6807,C6783)/POBLA!$B$14*100000</f>
        <v>11.099711883192976</v>
      </c>
    </row>
    <row r="6928" spans="1:13" s="360" customFormat="1" x14ac:dyDescent="0.25">
      <c r="A6928" s="367" t="s">
        <v>19</v>
      </c>
      <c r="B6928" s="2">
        <v>44181</v>
      </c>
      <c r="C6928" s="1">
        <v>-4</v>
      </c>
      <c r="D6928" s="39">
        <f t="shared" si="964"/>
        <v>37335</v>
      </c>
      <c r="E6928" s="1">
        <v>1</v>
      </c>
      <c r="F6928" s="409">
        <f t="shared" si="965"/>
        <v>681</v>
      </c>
      <c r="G6928" s="168">
        <f>SUM(C6928,C6904,C6880,C6856,C6832,C6808,C6784,C6760,C6736,C6712,C6688,C6664,C6640,C6616)/POBLA!$B$15*100000</f>
        <v>682.77271378812361</v>
      </c>
      <c r="H6928" s="256">
        <f t="shared" si="966"/>
        <v>1.0943760559980691</v>
      </c>
      <c r="I6928" s="297">
        <f t="shared" si="970"/>
        <v>747.21010965854521</v>
      </c>
      <c r="J6928" s="297">
        <f t="shared" si="971"/>
        <v>170.85714285714286</v>
      </c>
      <c r="K6928" s="297">
        <f>J6928/POBLA!$B$15*100000</f>
        <v>25.729288729302279</v>
      </c>
      <c r="L6928" s="549">
        <f t="shared" si="967"/>
        <v>0.64170161773517076</v>
      </c>
      <c r="M6928" s="401">
        <f>SUM(C6928,C6904,C6880,C6856,C6832,C6808,C6784)/POBLA!$B$15*100000</f>
        <v>180.10502110511598</v>
      </c>
    </row>
    <row r="6929" spans="1:13" s="360" customFormat="1" x14ac:dyDescent="0.25">
      <c r="A6929" s="367" t="s">
        <v>18</v>
      </c>
      <c r="B6929" s="2">
        <v>44181</v>
      </c>
      <c r="C6929" s="1">
        <v>224</v>
      </c>
      <c r="D6929" s="39">
        <f t="shared" si="964"/>
        <v>34881</v>
      </c>
      <c r="E6929" s="1">
        <v>3</v>
      </c>
      <c r="F6929" s="409">
        <f t="shared" si="965"/>
        <v>851</v>
      </c>
      <c r="G6929" s="168">
        <f>SUM(C6929,C6905,C6881,C6857,C6833,C6809,C6785,C6761,C6737,C6713,C6689,C6665,C6641,C6617)/POBLA!$B$16*100000</f>
        <v>357.6731183371009</v>
      </c>
      <c r="H6929" s="256">
        <f t="shared" si="966"/>
        <v>0.90003365870077412</v>
      </c>
      <c r="I6929" s="297">
        <f t="shared" si="970"/>
        <v>321.91784531585586</v>
      </c>
      <c r="J6929" s="297">
        <f t="shared" si="971"/>
        <v>235</v>
      </c>
      <c r="K6929" s="297">
        <f>J6929/POBLA!$B$16*100000</f>
        <v>31.433501424539536</v>
      </c>
      <c r="L6929" s="549">
        <f t="shared" si="967"/>
        <v>-0.59863945578231292</v>
      </c>
      <c r="M6929" s="401">
        <f>SUM(C6929,C6905,C6881,C6857,C6833,C6809,C6785)/POBLA!$B$16*100000</f>
        <v>220.03450997177671</v>
      </c>
    </row>
    <row r="6930" spans="1:13" s="360" customFormat="1" x14ac:dyDescent="0.25">
      <c r="A6930" s="367" t="s">
        <v>34</v>
      </c>
      <c r="B6930" s="2">
        <v>44181</v>
      </c>
      <c r="C6930" s="1">
        <v>53</v>
      </c>
      <c r="D6930" s="39">
        <f t="shared" si="964"/>
        <v>21732</v>
      </c>
      <c r="E6930" s="1">
        <v>5</v>
      </c>
      <c r="F6930" s="409">
        <f t="shared" si="965"/>
        <v>1005</v>
      </c>
      <c r="G6930" s="168">
        <f>SUM(C6930,C6906,C6882,C6858,C6834,C6810,C6786,C6762,C6738,C6714,C6690,C6666,C6642,C6618)/POBLA!$B$17*100000</f>
        <v>33.768675446522288</v>
      </c>
      <c r="H6930" s="256">
        <f t="shared" si="966"/>
        <v>0.5923645320197044</v>
      </c>
      <c r="I6930" s="297">
        <f t="shared" si="970"/>
        <v>20.003365627804456</v>
      </c>
      <c r="J6930" s="297">
        <f t="shared" si="971"/>
        <v>39.857142857142854</v>
      </c>
      <c r="K6930" s="297">
        <f>J6930/POBLA!$B$17*100000</f>
        <v>2.7981765517017272</v>
      </c>
      <c r="L6930" s="549">
        <f t="shared" si="967"/>
        <v>-0.38118811881188108</v>
      </c>
      <c r="M6930" s="401">
        <f>SUM(C6930,C6906,C6882,C6858,C6834,C6810,C6786)/POBLA!$B$17*100000</f>
        <v>19.587235861912092</v>
      </c>
    </row>
    <row r="6931" spans="1:13" s="360" customFormat="1" x14ac:dyDescent="0.25">
      <c r="A6931" s="367" t="s">
        <v>35</v>
      </c>
      <c r="B6931" s="2">
        <v>44181</v>
      </c>
      <c r="C6931" s="1">
        <v>149</v>
      </c>
      <c r="D6931" s="39">
        <f t="shared" si="964"/>
        <v>9834</v>
      </c>
      <c r="E6931" s="1"/>
      <c r="F6931" s="409">
        <f t="shared" si="965"/>
        <v>196</v>
      </c>
      <c r="G6931" s="168">
        <f>SUM(C6931,C6907,C6883,C6859,C6835,C6811,C6787,C6763,C6739,C6715,C6691,C6667,C6643,C6619)/POBLA!$B$18*100000</f>
        <v>226.18555407780423</v>
      </c>
      <c r="H6931" s="256">
        <f t="shared" si="966"/>
        <v>0.55132605304212168</v>
      </c>
      <c r="I6931" s="297">
        <f t="shared" si="970"/>
        <v>124.70198878486117</v>
      </c>
      <c r="J6931" s="297">
        <f t="shared" si="971"/>
        <v>147.28571428571428</v>
      </c>
      <c r="K6931" s="297">
        <f>J6931/POBLA!$B$18*100000</f>
        <v>18.853367794827079</v>
      </c>
      <c r="L6931" s="549">
        <f t="shared" si="967"/>
        <v>-0.40081521739130443</v>
      </c>
      <c r="M6931" s="401">
        <f>SUM(C6931,C6907,C6883,C6859,C6835,C6811,C6787)/POBLA!$B$18*100000</f>
        <v>131.97357456378955</v>
      </c>
    </row>
    <row r="6932" spans="1:13" s="360" customFormat="1" x14ac:dyDescent="0.25">
      <c r="A6932" s="367" t="s">
        <v>36</v>
      </c>
      <c r="B6932" s="2">
        <v>44181</v>
      </c>
      <c r="C6932" s="1">
        <v>84</v>
      </c>
      <c r="D6932" s="39">
        <f t="shared" si="964"/>
        <v>15728</v>
      </c>
      <c r="E6932" s="1">
        <v>11</v>
      </c>
      <c r="F6932" s="409">
        <f t="shared" si="965"/>
        <v>268</v>
      </c>
      <c r="G6932" s="168">
        <f>SUM(C6932,C6908,C6884,C6860,C6836,C6812,C6788,C6764,C6740,C6716,C6692,C6668,C6644,C6620)/POBLA!$B$19*100000</f>
        <v>180.78878204623786</v>
      </c>
      <c r="H6932" s="256">
        <f t="shared" si="966"/>
        <v>0.33430338304838125</v>
      </c>
      <c r="I6932" s="297">
        <f t="shared" si="970"/>
        <v>60.438301455253765</v>
      </c>
      <c r="J6932" s="297">
        <f t="shared" si="971"/>
        <v>63</v>
      </c>
      <c r="K6932" s="297">
        <f>J6932/POBLA!$B$19*100000</f>
        <v>12.393572653877024</v>
      </c>
      <c r="L6932" s="549">
        <f t="shared" si="967"/>
        <v>7.7405857740585726E-2</v>
      </c>
      <c r="M6932" s="401">
        <f>SUM(C6932,C6908,C6884,C6860,C6836,C6812,C6788)/POBLA!$B$19*100000</f>
        <v>86.755008577139179</v>
      </c>
    </row>
    <row r="6933" spans="1:13" s="360" customFormat="1" x14ac:dyDescent="0.25">
      <c r="A6933" s="367" t="s">
        <v>37</v>
      </c>
      <c r="B6933" s="2">
        <v>44181</v>
      </c>
      <c r="C6933" s="1">
        <v>274</v>
      </c>
      <c r="D6933" s="39">
        <f t="shared" si="964"/>
        <v>19620</v>
      </c>
      <c r="E6933" s="1">
        <v>4</v>
      </c>
      <c r="F6933" s="409">
        <f t="shared" si="965"/>
        <v>344</v>
      </c>
      <c r="G6933" s="168">
        <f>SUM(C6933,C6909,C6885,C6861,C6837,C6813,C6789,C6765,C6741,C6717,C6693,C6669,C6645,C6621)/POBLA!$B$20*100000</f>
        <v>859.17888530973653</v>
      </c>
      <c r="H6933" s="256">
        <f t="shared" si="966"/>
        <v>0.99273301737756714</v>
      </c>
      <c r="I6933" s="297">
        <f t="shared" si="970"/>
        <v>852.93524728062948</v>
      </c>
      <c r="J6933" s="297">
        <f t="shared" si="971"/>
        <v>261.57142857142856</v>
      </c>
      <c r="K6933" s="297">
        <f>J6933/POBLA!$B$20*100000</f>
        <v>71.526622669915767</v>
      </c>
      <c r="L6933" s="549">
        <f t="shared" si="967"/>
        <v>-0.39664378337147221</v>
      </c>
      <c r="M6933" s="401">
        <f>SUM(C6933,C6909,C6885,C6861,C6837,C6813,C6789)/POBLA!$B$20*100000</f>
        <v>500.68635868941038</v>
      </c>
    </row>
    <row r="6934" spans="1:13" s="360" customFormat="1" x14ac:dyDescent="0.25">
      <c r="A6934" s="367" t="s">
        <v>22</v>
      </c>
      <c r="B6934" s="2">
        <v>44181</v>
      </c>
      <c r="C6934" s="1">
        <v>1121</v>
      </c>
      <c r="D6934" s="39">
        <f t="shared" si="964"/>
        <v>163087</v>
      </c>
      <c r="E6934" s="1">
        <v>43</v>
      </c>
      <c r="F6934" s="409">
        <f t="shared" si="965"/>
        <v>2641</v>
      </c>
      <c r="G6934" s="168">
        <f>SUM(C6934,C6910,C6886,C6862,C6838,C6814,C6790,C6766,C6742,C6718,C6694,C6670,C6646,C6622)/POBLA!$B$21*100000</f>
        <v>360.11014535046479</v>
      </c>
      <c r="H6934" s="256">
        <f t="shared" si="966"/>
        <v>0.71681864235055726</v>
      </c>
      <c r="I6934" s="297">
        <f t="shared" si="970"/>
        <v>258.13366548678204</v>
      </c>
      <c r="J6934" s="297">
        <f t="shared" si="971"/>
        <v>962.42857142857144</v>
      </c>
      <c r="K6934" s="297">
        <f>J6934/POBLA!$B$21*100000</f>
        <v>27.214785453206364</v>
      </c>
      <c r="L6934" s="549">
        <f t="shared" si="967"/>
        <v>-0.12320773591197076</v>
      </c>
      <c r="M6934" s="401">
        <f>SUM(C6934,C6910,C6886,C6862,C6838,C6814,C6790)/POBLA!$B$21*100000</f>
        <v>190.50349817244455</v>
      </c>
    </row>
    <row r="6935" spans="1:13" s="360" customFormat="1" x14ac:dyDescent="0.25">
      <c r="A6935" s="367" t="s">
        <v>38</v>
      </c>
      <c r="B6935" s="2">
        <v>44181</v>
      </c>
      <c r="C6935" s="1">
        <v>54</v>
      </c>
      <c r="D6935" s="39">
        <f t="shared" si="964"/>
        <v>16625</v>
      </c>
      <c r="E6935" s="1"/>
      <c r="F6935" s="409">
        <f t="shared" si="965"/>
        <v>210</v>
      </c>
      <c r="G6935" s="168">
        <f>SUM(C6935,C6911,C6887,C6863,C6839,C6815,C6791,C6767,C6743,C6719,C6695,C6671,C6647,C6623)/POBLA!$B$22*100000</f>
        <v>79.933518209407424</v>
      </c>
      <c r="H6935" s="256">
        <f t="shared" si="966"/>
        <v>0.35707762557077627</v>
      </c>
      <c r="I6935" s="297">
        <f t="shared" si="970"/>
        <v>28.542470885733611</v>
      </c>
      <c r="J6935" s="297">
        <f t="shared" si="971"/>
        <v>47.142857142857146</v>
      </c>
      <c r="K6935" s="297">
        <f>J6935/POBLA!$B$22*100000</f>
        <v>4.8187908310384451</v>
      </c>
      <c r="L6935" s="549">
        <f t="shared" si="967"/>
        <v>0.26991150442477874</v>
      </c>
      <c r="M6935" s="401">
        <f>SUM(C6935,C6911,C6887,C6863,C6839,C6815,C6791)/POBLA!$B$22*100000</f>
        <v>33.731535817269112</v>
      </c>
    </row>
    <row r="6936" spans="1:13" s="360" customFormat="1" x14ac:dyDescent="0.25">
      <c r="A6936" s="367" t="s">
        <v>39</v>
      </c>
      <c r="B6936" s="2">
        <v>44181</v>
      </c>
      <c r="C6936" s="1">
        <v>48</v>
      </c>
      <c r="D6936" s="39">
        <f t="shared" si="964"/>
        <v>17797</v>
      </c>
      <c r="E6936" s="1"/>
      <c r="F6936" s="409">
        <f t="shared" si="965"/>
        <v>242</v>
      </c>
      <c r="G6936" s="168">
        <f>SUM(C6936,C6912,C6888,C6864,C6840,C6816,C6792,C6768,C6744,C6720,C6696,C6672,C6648,C6624)/POBLA!$B$23*100000</f>
        <v>796.81049595656839</v>
      </c>
      <c r="H6936" s="256">
        <f t="shared" si="966"/>
        <v>0.81966259453170442</v>
      </c>
      <c r="I6936" s="297">
        <f t="shared" si="970"/>
        <v>653.11575846585504</v>
      </c>
      <c r="J6936" s="297">
        <f t="shared" si="971"/>
        <v>112.71428571428571</v>
      </c>
      <c r="K6936" s="297">
        <f>J6936/POBLA!$B$23*100000</f>
        <v>63.741608162803658</v>
      </c>
      <c r="L6936" s="549">
        <f t="shared" si="967"/>
        <v>-0.27258064516129021</v>
      </c>
      <c r="M6936" s="401">
        <f>SUM(C6936,C6912,C6888,C6864,C6840,C6816,C6792)/POBLA!$B$23*100000</f>
        <v>446.19125713962558</v>
      </c>
    </row>
    <row r="6937" spans="1:13" s="360" customFormat="1" ht="15.75" thickBot="1" x14ac:dyDescent="0.3">
      <c r="A6937" s="369" t="s">
        <v>40</v>
      </c>
      <c r="B6937" s="2">
        <v>44181</v>
      </c>
      <c r="C6937" s="1">
        <v>228</v>
      </c>
      <c r="D6937" s="176">
        <f t="shared" si="964"/>
        <v>69083</v>
      </c>
      <c r="E6937" s="1">
        <v>4</v>
      </c>
      <c r="F6937" s="476">
        <f t="shared" si="965"/>
        <v>1313</v>
      </c>
      <c r="G6937" s="177">
        <f>SUM(C6937,C6913,C6889,C6865,C6841,C6817,C6793,C6769,C6745,C6721,C6697,C6673,C6649,C6625)/POBLA!$B$24*100000</f>
        <v>153.24644057555045</v>
      </c>
      <c r="H6937" s="402">
        <f t="shared" si="966"/>
        <v>0.55813453685794112</v>
      </c>
      <c r="I6937" s="403">
        <f t="shared" si="970"/>
        <v>85.532131135762853</v>
      </c>
      <c r="J6937" s="403">
        <f t="shared" si="971"/>
        <v>210.42857142857142</v>
      </c>
      <c r="K6937" s="403">
        <f>J6937/POBLA!$B$24*100000</f>
        <v>12.417185046910488</v>
      </c>
      <c r="L6937" s="550">
        <f t="shared" si="967"/>
        <v>-0.31049822064056931</v>
      </c>
      <c r="M6937" s="405">
        <f>SUM(C6937,C6913,C6889,C6865,C6841,C6817,C6793)/POBLA!$B$24*100000</f>
        <v>86.920295328373427</v>
      </c>
    </row>
    <row r="6938" spans="1:13" s="360" customFormat="1" x14ac:dyDescent="0.25">
      <c r="A6938" s="363" t="s">
        <v>16</v>
      </c>
      <c r="B6938" s="2">
        <v>44182</v>
      </c>
      <c r="C6938" s="1">
        <v>2250</v>
      </c>
      <c r="D6938" s="174">
        <f t="shared" si="964"/>
        <v>646358</v>
      </c>
      <c r="E6938" s="1">
        <v>55</v>
      </c>
      <c r="F6938" s="475">
        <f t="shared" si="965"/>
        <v>21627</v>
      </c>
      <c r="G6938" s="175">
        <f>SUM(C6938,C6914,C6890,C6866,C6842,C6818,C6794,C6770,C6746,C6722,C6698,C6674,C6650,C6626)/POBLA!$B$1*100000</f>
        <v>124.07402688342795</v>
      </c>
      <c r="H6938" s="300">
        <f t="shared" ref="H6938:H6985" si="972">SUM(C6938,C6914,C6890,C6866,C6842,C6818,C6794,C6770,C6746,C6722,C6698,C6674,C6650,C6626)/SUM(C6602,C6578,C6554,C6530,C6506,C6482,C6458,C6434,C6410,C6386,C6362,C6338,C6314,C6290)</f>
        <v>0.87839528595068006</v>
      </c>
      <c r="I6938" s="301">
        <f>G6938*H6938</f>
        <v>108.98604032332106</v>
      </c>
      <c r="J6938" s="301">
        <f>AVERAGE(C6938,C6914,C6890,C6866,C6842,C6818,C6794)</f>
        <v>1855.1428571428571</v>
      </c>
      <c r="K6938" s="301">
        <f>J6938/POBLA!$B$1*100000</f>
        <v>10.575953167144926</v>
      </c>
      <c r="L6938" s="548">
        <f t="shared" ref="L6938:L6985" si="973">1-SUM(C6938,C6914,C6890,C6866,C6842,C6818,C6794)/SUM(C6770,C6746,C6722,C6698,C6674,C6650,C6626)</f>
        <v>-0.47938026885395302</v>
      </c>
      <c r="M6938" s="400">
        <f>SUM(C6938,C6914,C6890,C6866,C6842,C6818,C6794)/POBLA!$B$1*100000</f>
        <v>74.031672170014488</v>
      </c>
    </row>
    <row r="6939" spans="1:13" s="360" customFormat="1" x14ac:dyDescent="0.25">
      <c r="A6939" s="367" t="s">
        <v>43</v>
      </c>
      <c r="B6939" s="2">
        <v>44182</v>
      </c>
      <c r="C6939" s="1">
        <v>508</v>
      </c>
      <c r="D6939" s="39">
        <f t="shared" si="964"/>
        <v>164610</v>
      </c>
      <c r="E6939" s="1">
        <v>13</v>
      </c>
      <c r="F6939" s="409">
        <f t="shared" si="965"/>
        <v>5378</v>
      </c>
      <c r="G6939" s="168">
        <f>SUM(C6939,C6915,C6891,C6867,C6843,C6819,C6795,C6771,C6747,C6723,C6699,C6675,C6651,C6627)/POBLA!$B$2*100000</f>
        <v>153.75631655918789</v>
      </c>
      <c r="H6939" s="256">
        <f t="shared" si="972"/>
        <v>1.0694255992763455</v>
      </c>
      <c r="I6939" s="297">
        <f t="shared" ref="I6939:I6961" si="974">G6939*H6939</f>
        <v>164.43094097883301</v>
      </c>
      <c r="J6939" s="297">
        <f t="shared" ref="J6939:J6961" si="975">AVERAGE(C6939,C6915,C6891,C6867,C6843,C6819,C6795)</f>
        <v>411.14285714285717</v>
      </c>
      <c r="K6939" s="297">
        <f>J6939/POBLA!$B$2*100000</f>
        <v>13.36769111734111</v>
      </c>
      <c r="L6939" s="549">
        <f t="shared" si="973"/>
        <v>-0.55483522420313336</v>
      </c>
      <c r="M6939" s="401">
        <f>SUM(C6939,C6915,C6891,C6867,C6843,C6819,C6795)/POBLA!$B$2*100000</f>
        <v>93.573837821387755</v>
      </c>
    </row>
    <row r="6940" spans="1:13" s="360" customFormat="1" x14ac:dyDescent="0.25">
      <c r="A6940" s="367" t="s">
        <v>28</v>
      </c>
      <c r="B6940" s="2">
        <v>44182</v>
      </c>
      <c r="C6940" s="1">
        <v>17</v>
      </c>
      <c r="D6940" s="39">
        <f t="shared" si="964"/>
        <v>2227</v>
      </c>
      <c r="E6940" s="1"/>
      <c r="F6940" s="409">
        <f t="shared" si="965"/>
        <v>17</v>
      </c>
      <c r="G6940" s="168">
        <f>SUM(C6940,C6916,C6892,C6868,C6844,C6820,C6796,C6772,C6748,C6724,C6700,C6676,C6652,C6628)/POBLA!$B$3*100000</f>
        <v>76.786427818350759</v>
      </c>
      <c r="H6940" s="256">
        <f t="shared" si="972"/>
        <v>1.1642335766423357</v>
      </c>
      <c r="I6940" s="297">
        <f t="shared" si="974"/>
        <v>89.397337496547053</v>
      </c>
      <c r="J6940" s="297">
        <f t="shared" si="975"/>
        <v>24.285714285714285</v>
      </c>
      <c r="K6940" s="297">
        <f>J6940/POBLA!$B$3*100000</f>
        <v>5.8458095517777107</v>
      </c>
      <c r="L6940" s="549">
        <f t="shared" si="973"/>
        <v>-0.14093959731543615</v>
      </c>
      <c r="M6940" s="401">
        <f>SUM(C6940,C6916,C6892,C6868,C6844,C6820,C6796)/POBLA!$B$3*100000</f>
        <v>40.920666862443973</v>
      </c>
    </row>
    <row r="6941" spans="1:13" s="360" customFormat="1" x14ac:dyDescent="0.25">
      <c r="A6941" s="367" t="s">
        <v>15</v>
      </c>
      <c r="B6941" s="2">
        <v>44182</v>
      </c>
      <c r="C6941" s="1">
        <v>196</v>
      </c>
      <c r="D6941" s="39">
        <f t="shared" si="964"/>
        <v>22411</v>
      </c>
      <c r="E6941" s="1">
        <v>1</v>
      </c>
      <c r="F6941" s="409">
        <f t="shared" si="965"/>
        <v>636</v>
      </c>
      <c r="G6941" s="168">
        <f>SUM(C6941,C6917,C6893,C6869,C6845,C6821,C6797,C6773,C6749,C6725,C6701,C6677,C6653,C6629)/POBLA!$B$4*100000</f>
        <v>189.53277638536173</v>
      </c>
      <c r="H6941" s="256">
        <f t="shared" si="972"/>
        <v>0.79243318292259635</v>
      </c>
      <c r="I6941" s="297">
        <f t="shared" si="974"/>
        <v>150.19206125920891</v>
      </c>
      <c r="J6941" s="297">
        <f t="shared" si="975"/>
        <v>174.28571428571428</v>
      </c>
      <c r="K6941" s="297">
        <f>J6941/POBLA!$B$4*100000</f>
        <v>14.469056203625637</v>
      </c>
      <c r="L6941" s="549">
        <f t="shared" si="973"/>
        <v>-0.14769520225776112</v>
      </c>
      <c r="M6941" s="401">
        <f>SUM(C6941,C6917,C6893,C6869,C6845,C6821,C6797)/POBLA!$B$4*100000</f>
        <v>101.28339342537946</v>
      </c>
    </row>
    <row r="6942" spans="1:13" s="360" customFormat="1" x14ac:dyDescent="0.25">
      <c r="A6942" s="367" t="s">
        <v>29</v>
      </c>
      <c r="B6942" s="2">
        <v>44182</v>
      </c>
      <c r="C6942" s="1">
        <v>417</v>
      </c>
      <c r="D6942" s="39">
        <f t="shared" si="964"/>
        <v>27460</v>
      </c>
      <c r="E6942" s="1">
        <v>6</v>
      </c>
      <c r="F6942" s="409">
        <f t="shared" si="965"/>
        <v>469</v>
      </c>
      <c r="G6942" s="168">
        <f>SUM(C6942,C6918,C6894,C6870,C6846,C6822,C6798,C6774,C6750,C6726,C6702,C6678,C6654,C6630)/POBLA!$B$5*100000</f>
        <v>581.42728362472019</v>
      </c>
      <c r="H6942" s="256">
        <f t="shared" si="972"/>
        <v>1.0511098130841121</v>
      </c>
      <c r="I6942" s="297">
        <f t="shared" si="974"/>
        <v>611.14392341278267</v>
      </c>
      <c r="J6942" s="297">
        <f t="shared" si="975"/>
        <v>298.14285714285717</v>
      </c>
      <c r="K6942" s="297">
        <f>J6942/POBLA!$B$5*100000</f>
        <v>48.165710353065968</v>
      </c>
      <c r="L6942" s="549">
        <f t="shared" si="973"/>
        <v>-0.38029100529100535</v>
      </c>
      <c r="M6942" s="401">
        <f>SUM(C6942,C6918,C6894,C6870,C6846,C6822,C6798)/POBLA!$B$5*100000</f>
        <v>337.15997247146174</v>
      </c>
    </row>
    <row r="6943" spans="1:13" s="360" customFormat="1" x14ac:dyDescent="0.25">
      <c r="A6943" s="367" t="s">
        <v>20</v>
      </c>
      <c r="B6943" s="2">
        <v>44182</v>
      </c>
      <c r="C6943" s="1">
        <v>605</v>
      </c>
      <c r="D6943" s="39">
        <f t="shared" si="964"/>
        <v>121534</v>
      </c>
      <c r="E6943" s="1">
        <v>25</v>
      </c>
      <c r="F6943" s="409">
        <f t="shared" si="965"/>
        <v>2365</v>
      </c>
      <c r="G6943" s="168">
        <f>SUM(C6943,C6919,C6895,C6871,C6847,C6823,C6799,C6775,C6751,C6727,C6703,C6679,C6655,C6631)/POBLA!$B$6*100000</f>
        <v>471.98387581738422</v>
      </c>
      <c r="H6943" s="256">
        <f t="shared" si="972"/>
        <v>0.56638115631691643</v>
      </c>
      <c r="I6943" s="297">
        <f t="shared" si="974"/>
        <v>267.32277334838994</v>
      </c>
      <c r="J6943" s="297">
        <f t="shared" si="975"/>
        <v>403.57142857142856</v>
      </c>
      <c r="K6943" s="297">
        <f>J6943/POBLA!$B$6*100000</f>
        <v>36.007411536162842</v>
      </c>
      <c r="L6943" s="549">
        <f t="shared" si="973"/>
        <v>-0.14604462474645041</v>
      </c>
      <c r="M6943" s="401">
        <f>SUM(C6943,C6919,C6895,C6871,C6847,C6823,C6799)/POBLA!$B$6*100000</f>
        <v>252.05188075313995</v>
      </c>
    </row>
    <row r="6944" spans="1:13" s="360" customFormat="1" x14ac:dyDescent="0.25">
      <c r="A6944" s="367" t="s">
        <v>30</v>
      </c>
      <c r="B6944" s="2">
        <v>44182</v>
      </c>
      <c r="C6944" s="1">
        <v>118</v>
      </c>
      <c r="D6944" s="39">
        <f t="shared" si="964"/>
        <v>10025</v>
      </c>
      <c r="E6944" s="1"/>
      <c r="F6944" s="409">
        <f t="shared" si="965"/>
        <v>138</v>
      </c>
      <c r="G6944" s="168">
        <f>SUM(C6944,C6920,C6896,C6872,C6848,C6824,C6800,C6776,C6752,C6728,C6704,C6680,C6656,C6632)/POBLA!$B$7*100000</f>
        <v>57.147415867781781</v>
      </c>
      <c r="H6944" s="256">
        <f t="shared" si="972"/>
        <v>0.63825363825363823</v>
      </c>
      <c r="I6944" s="297">
        <f t="shared" si="974"/>
        <v>36.474546094405419</v>
      </c>
      <c r="J6944" s="297">
        <f t="shared" si="975"/>
        <v>107.71428571428571</v>
      </c>
      <c r="K6944" s="297">
        <f>J6944/POBLA!$B$7*100000</f>
        <v>2.8643988276479067</v>
      </c>
      <c r="L6944" s="549">
        <f t="shared" si="973"/>
        <v>0.45949820788530471</v>
      </c>
      <c r="M6944" s="401">
        <f>SUM(C6944,C6920,C6896,C6872,C6848,C6824,C6800)/POBLA!$B$7*100000</f>
        <v>20.05079179353535</v>
      </c>
    </row>
    <row r="6945" spans="1:13" x14ac:dyDescent="0.25">
      <c r="A6945" s="367" t="s">
        <v>31</v>
      </c>
      <c r="B6945" s="2">
        <v>44182</v>
      </c>
      <c r="C6945" s="1">
        <v>252</v>
      </c>
      <c r="D6945" s="39">
        <f t="shared" si="964"/>
        <v>26421</v>
      </c>
      <c r="E6945" s="1">
        <v>1</v>
      </c>
      <c r="F6945" s="409">
        <f t="shared" si="965"/>
        <v>544</v>
      </c>
      <c r="G6945" s="168">
        <f>SUM(C6945,C6921,C6897,C6873,C6849,C6825,C6801,C6777,C6753,C6729,C6705,C6681,C6657,C6633)/POBLA!$B$8*100000</f>
        <v>175.8346735586355</v>
      </c>
      <c r="H6945" s="256">
        <f t="shared" si="972"/>
        <v>0.89104204753199268</v>
      </c>
      <c r="I6945" s="297">
        <f t="shared" si="974"/>
        <v>156.67608755480612</v>
      </c>
      <c r="J6945" s="297">
        <f t="shared" si="975"/>
        <v>204.57142857142858</v>
      </c>
      <c r="K6945" s="297">
        <f>J6945/POBLA!$B$8*100000</f>
        <v>14.760258663225629</v>
      </c>
      <c r="L6945" s="549">
        <f t="shared" si="973"/>
        <v>-0.42487562189054717</v>
      </c>
      <c r="M6945" s="401">
        <f>SUM(C6945,C6921,C6897,C6873,C6849,C6825,C6801)/POBLA!$B$8*100000</f>
        <v>103.32181064257939</v>
      </c>
    </row>
    <row r="6946" spans="1:13" s="360" customFormat="1" x14ac:dyDescent="0.25">
      <c r="A6946" s="367" t="s">
        <v>41</v>
      </c>
      <c r="B6946" s="2">
        <v>44182</v>
      </c>
      <c r="C6946" s="1">
        <v>1</v>
      </c>
      <c r="D6946" s="39">
        <f t="shared" si="964"/>
        <v>203</v>
      </c>
      <c r="E6946" s="1"/>
      <c r="F6946" s="409">
        <f t="shared" si="965"/>
        <v>3</v>
      </c>
      <c r="G6946" s="168">
        <f>SUM(C6946,C6922,C6898,C6874,C6850,C6826,C6802,C6778,C6754,C6730,C6706,C6682,C6658,C6634)/POBLA!$B$9*100000</f>
        <v>2.3133116212514024</v>
      </c>
      <c r="H6946" s="256">
        <f t="shared" si="972"/>
        <v>0.93333333333333335</v>
      </c>
      <c r="I6946" s="297">
        <f t="shared" si="974"/>
        <v>2.159090846501309</v>
      </c>
      <c r="J6946" s="297">
        <f t="shared" si="975"/>
        <v>1.1428571428571428</v>
      </c>
      <c r="K6946" s="297">
        <f>J6946/POBLA!$B$9*100000</f>
        <v>0.18884176500011449</v>
      </c>
      <c r="L6946" s="549">
        <f t="shared" si="973"/>
        <v>-0.33333333333333326</v>
      </c>
      <c r="M6946" s="401">
        <f>SUM(C6946,C6922,C6898,C6874,C6850,C6826,C6802)/POBLA!$B$9*100000</f>
        <v>1.3218923550008015</v>
      </c>
    </row>
    <row r="6947" spans="1:13" s="360" customFormat="1" x14ac:dyDescent="0.25">
      <c r="A6947" s="367" t="s">
        <v>32</v>
      </c>
      <c r="B6947" s="2">
        <v>44182</v>
      </c>
      <c r="C6947" s="1">
        <v>5</v>
      </c>
      <c r="D6947" s="39">
        <f t="shared" ref="D6947:D7010" si="976">C6947+D6923</f>
        <v>18465</v>
      </c>
      <c r="E6947" s="1">
        <v>1</v>
      </c>
      <c r="F6947" s="409">
        <f t="shared" ref="F6947:F7010" si="977">E6947+F6923</f>
        <v>855</v>
      </c>
      <c r="G6947" s="168">
        <f>SUM(C6947,C6923,C6899,C6875,C6851,C6827,C6803,C6779,C6755,C6731,C6707,C6683,C6659,C6635)/POBLA!$B$10*100000</f>
        <v>7.1346939410881838</v>
      </c>
      <c r="H6947" s="256">
        <f t="shared" si="972"/>
        <v>0.34810126582278483</v>
      </c>
      <c r="I6947" s="297">
        <f t="shared" si="974"/>
        <v>2.4835959921509501</v>
      </c>
      <c r="J6947" s="297">
        <f t="shared" si="975"/>
        <v>4.8571428571428568</v>
      </c>
      <c r="K6947" s="297">
        <f>J6947/POBLA!$B$10*100000</f>
        <v>0.63007686752467063</v>
      </c>
      <c r="L6947" s="549">
        <f t="shared" si="973"/>
        <v>-0.61904761904761907</v>
      </c>
      <c r="M6947" s="401">
        <f>SUM(C6947,C6923,C6899,C6875,C6851,C6827,C6803)/POBLA!$B$10*100000</f>
        <v>4.4105380726726953</v>
      </c>
    </row>
    <row r="6948" spans="1:13" s="360" customFormat="1" x14ac:dyDescent="0.25">
      <c r="A6948" s="367" t="s">
        <v>33</v>
      </c>
      <c r="B6948" s="2">
        <v>44182</v>
      </c>
      <c r="C6948" s="1">
        <v>211</v>
      </c>
      <c r="D6948" s="39">
        <f t="shared" si="976"/>
        <v>7705</v>
      </c>
      <c r="E6948" s="1"/>
      <c r="F6948" s="409">
        <f t="shared" si="977"/>
        <v>104</v>
      </c>
      <c r="G6948" s="168">
        <f>SUM(C6948,C6924,C6900,C6876,C6852,C6828,C6804,C6780,C6756,C6732,C6708,C6684,C6660,C6636)/POBLA!$B$11*100000</f>
        <v>455.04257479884382</v>
      </c>
      <c r="H6948" s="256">
        <f t="shared" si="972"/>
        <v>1.4800362976406534</v>
      </c>
      <c r="I6948" s="297">
        <f t="shared" si="974"/>
        <v>673.47952767415086</v>
      </c>
      <c r="J6948" s="297">
        <f t="shared" si="975"/>
        <v>154.28571428571428</v>
      </c>
      <c r="K6948" s="297">
        <f>J6948/POBLA!$B$11*100000</f>
        <v>43.04510648881066</v>
      </c>
      <c r="L6948" s="549">
        <f t="shared" si="973"/>
        <v>-0.96007259528130673</v>
      </c>
      <c r="M6948" s="401">
        <f>SUM(C6948,C6924,C6900,C6876,C6852,C6828,C6804)/POBLA!$B$11*100000</f>
        <v>301.31574542167465</v>
      </c>
    </row>
    <row r="6949" spans="1:13" s="360" customFormat="1" x14ac:dyDescent="0.25">
      <c r="A6949" s="367" t="s">
        <v>21</v>
      </c>
      <c r="B6949" s="2">
        <v>44182</v>
      </c>
      <c r="C6949" s="1">
        <v>14</v>
      </c>
      <c r="D6949" s="39">
        <f t="shared" si="976"/>
        <v>8977</v>
      </c>
      <c r="E6949" s="1"/>
      <c r="F6949" s="409">
        <f t="shared" si="977"/>
        <v>329</v>
      </c>
      <c r="G6949" s="168">
        <f>SUM(C6949,C6925,C6901,C6877,C6853,C6829,C6805,C6781,C6757,C6733,C6709,C6685,C6661,C6637)/POBLA!$B$12*100000</f>
        <v>44.97739695220961</v>
      </c>
      <c r="H6949" s="256">
        <f t="shared" si="972"/>
        <v>0.4041095890410959</v>
      </c>
      <c r="I6949" s="297">
        <f t="shared" si="974"/>
        <v>18.175797398495664</v>
      </c>
      <c r="J6949" s="297">
        <f t="shared" si="975"/>
        <v>10.714285714285714</v>
      </c>
      <c r="K6949" s="297">
        <f>J6949/POBLA!$B$12*100000</f>
        <v>2.7226027210780632</v>
      </c>
      <c r="L6949" s="549">
        <f t="shared" si="973"/>
        <v>0.26470588235294112</v>
      </c>
      <c r="M6949" s="401">
        <f>SUM(C6949,C6925,C6901,C6877,C6853,C6829,C6805)/POBLA!$B$12*100000</f>
        <v>19.058219047546444</v>
      </c>
    </row>
    <row r="6950" spans="1:13" s="360" customFormat="1" x14ac:dyDescent="0.25">
      <c r="A6950" s="367" t="s">
        <v>17</v>
      </c>
      <c r="B6950" s="2">
        <v>44182</v>
      </c>
      <c r="C6950" s="1">
        <v>103</v>
      </c>
      <c r="D6950" s="39">
        <f t="shared" si="976"/>
        <v>58777</v>
      </c>
      <c r="E6950" s="1">
        <v>10</v>
      </c>
      <c r="F6950" s="409">
        <f t="shared" si="977"/>
        <v>1199</v>
      </c>
      <c r="G6950" s="168">
        <f>SUM(C6950,C6926,C6902,C6878,C6854,C6830,C6806,C6782,C6758,C6734,C6710,C6686,C6662,C6638)/POBLA!$B$13*100000</f>
        <v>75.966996560383208</v>
      </c>
      <c r="H6950" s="256">
        <f t="shared" si="972"/>
        <v>0.54565138939011182</v>
      </c>
      <c r="I6950" s="297">
        <f t="shared" si="974"/>
        <v>41.451497220966942</v>
      </c>
      <c r="J6950" s="297">
        <f t="shared" si="975"/>
        <v>124.85714285714286</v>
      </c>
      <c r="K6950" s="297">
        <f>J6950/POBLA!$B$13*100000</f>
        <v>6.2731627923067768</v>
      </c>
      <c r="L6950" s="549">
        <f t="shared" si="973"/>
        <v>-0.3699059561128526</v>
      </c>
      <c r="M6950" s="401">
        <f>SUM(C6950,C6926,C6902,C6878,C6854,C6830,C6806)/POBLA!$B$13*100000</f>
        <v>43.912139546147436</v>
      </c>
    </row>
    <row r="6951" spans="1:13" s="360" customFormat="1" x14ac:dyDescent="0.25">
      <c r="A6951" s="367" t="s">
        <v>23</v>
      </c>
      <c r="B6951" s="2">
        <v>44182</v>
      </c>
      <c r="C6951" s="1">
        <v>40</v>
      </c>
      <c r="D6951" s="39">
        <f t="shared" si="976"/>
        <v>788</v>
      </c>
      <c r="E6951" s="1"/>
      <c r="F6951" s="409">
        <f t="shared" si="977"/>
        <v>11</v>
      </c>
      <c r="G6951" s="168">
        <f>SUM(C6951,C6927,C6903,C6879,C6855,C6831,C6807,C6783,C6759,C6735,C6711,C6687,C6663,C6639)/POBLA!$B$14*100000</f>
        <v>19.503779451896229</v>
      </c>
      <c r="H6951" s="256">
        <f t="shared" si="972"/>
        <v>2.2162162162162162</v>
      </c>
      <c r="I6951" s="297">
        <f t="shared" si="974"/>
        <v>43.224592298797049</v>
      </c>
      <c r="J6951" s="297">
        <f t="shared" si="975"/>
        <v>24.571428571428573</v>
      </c>
      <c r="K6951" s="297">
        <f>J6951/POBLA!$B$14*100000</f>
        <v>1.9481126978665222</v>
      </c>
      <c r="L6951" s="549">
        <f t="shared" si="973"/>
        <v>-1.3243243243243241</v>
      </c>
      <c r="M6951" s="401">
        <f>SUM(C6951,C6927,C6903,C6879,C6855,C6831,C6807)/POBLA!$B$14*100000</f>
        <v>13.636788885065656</v>
      </c>
    </row>
    <row r="6952" spans="1:13" s="360" customFormat="1" x14ac:dyDescent="0.25">
      <c r="A6952" s="367" t="s">
        <v>19</v>
      </c>
      <c r="B6952" s="2">
        <v>44182</v>
      </c>
      <c r="C6952" s="1">
        <v>184</v>
      </c>
      <c r="D6952" s="39">
        <f t="shared" si="976"/>
        <v>37519</v>
      </c>
      <c r="E6952" s="1"/>
      <c r="F6952" s="409">
        <f t="shared" si="977"/>
        <v>681</v>
      </c>
      <c r="G6952" s="168">
        <f>SUM(C6952,C6928,C6904,C6880,C6856,C6832,C6808,C6784,C6760,C6736,C6712,C6688,C6664,C6640)/POBLA!$B$15*100000</f>
        <v>627.05460525225999</v>
      </c>
      <c r="H6952" s="256">
        <f t="shared" si="972"/>
        <v>0.9427213040525243</v>
      </c>
      <c r="I6952" s="297">
        <f t="shared" si="974"/>
        <v>591.13773517555137</v>
      </c>
      <c r="J6952" s="297">
        <f t="shared" si="975"/>
        <v>144.57142857142858</v>
      </c>
      <c r="K6952" s="297">
        <f>J6952/POBLA!$B$15*100000</f>
        <v>21.770936617101931</v>
      </c>
      <c r="L6952" s="549">
        <f t="shared" si="973"/>
        <v>0.67893401015228427</v>
      </c>
      <c r="M6952" s="401">
        <f>SUM(C6952,C6928,C6904,C6880,C6856,C6832,C6808)/POBLA!$B$15*100000</f>
        <v>152.39655631971351</v>
      </c>
    </row>
    <row r="6953" spans="1:13" s="360" customFormat="1" x14ac:dyDescent="0.25">
      <c r="A6953" s="367" t="s">
        <v>18</v>
      </c>
      <c r="B6953" s="2">
        <v>44182</v>
      </c>
      <c r="C6953" s="1">
        <v>279</v>
      </c>
      <c r="D6953" s="39">
        <f t="shared" si="976"/>
        <v>35160</v>
      </c>
      <c r="E6953" s="1">
        <v>6</v>
      </c>
      <c r="F6953" s="409">
        <f t="shared" si="977"/>
        <v>857</v>
      </c>
      <c r="G6953" s="168">
        <f>SUM(C6953,C6929,C6905,C6881,C6857,C6833,C6809,C6785,C6761,C6737,C6713,C6689,C6665,C6641)/POBLA!$B$16*100000</f>
        <v>367.03628897419782</v>
      </c>
      <c r="H6953" s="256">
        <f t="shared" si="972"/>
        <v>0.95576454197143856</v>
      </c>
      <c r="I6953" s="297">
        <f t="shared" si="974"/>
        <v>350.80027061832072</v>
      </c>
      <c r="J6953" s="297">
        <f t="shared" si="975"/>
        <v>216.85714285714286</v>
      </c>
      <c r="K6953" s="297">
        <f>J6953/POBLA!$B$16*100000</f>
        <v>29.006720463496052</v>
      </c>
      <c r="L6953" s="549">
        <f t="shared" si="973"/>
        <v>-0.23817292006525292</v>
      </c>
      <c r="M6953" s="401">
        <f>SUM(C6953,C6929,C6905,C6881,C6857,C6833,C6809)/POBLA!$B$16*100000</f>
        <v>203.04704324447241</v>
      </c>
    </row>
    <row r="6954" spans="1:13" s="360" customFormat="1" x14ac:dyDescent="0.25">
      <c r="A6954" s="367" t="s">
        <v>34</v>
      </c>
      <c r="B6954" s="2">
        <v>44182</v>
      </c>
      <c r="C6954" s="1">
        <v>52</v>
      </c>
      <c r="D6954" s="39">
        <f t="shared" si="976"/>
        <v>21784</v>
      </c>
      <c r="E6954" s="1">
        <v>1</v>
      </c>
      <c r="F6954" s="409">
        <f t="shared" si="977"/>
        <v>1006</v>
      </c>
      <c r="G6954" s="168">
        <f>SUM(C6954,C6930,C6906,C6882,C6858,C6834,C6810,C6786,C6762,C6738,C6714,C6690,C6666,C6642)/POBLA!$B$17*100000</f>
        <v>31.732726199226761</v>
      </c>
      <c r="H6954" s="256">
        <f t="shared" si="972"/>
        <v>0.551219512195122</v>
      </c>
      <c r="I6954" s="297">
        <f t="shared" si="974"/>
        <v>17.491697856159142</v>
      </c>
      <c r="J6954" s="297">
        <f t="shared" si="975"/>
        <v>41.571428571428569</v>
      </c>
      <c r="K6954" s="297">
        <f>J6954/POBLA!$B$17*100000</f>
        <v>2.9185282313448124</v>
      </c>
      <c r="L6954" s="549">
        <f t="shared" si="973"/>
        <v>-0.80745341614906829</v>
      </c>
      <c r="M6954" s="401">
        <f>SUM(C6954,C6930,C6906,C6882,C6858,C6834,C6810)/POBLA!$B$17*100000</f>
        <v>20.429697619413687</v>
      </c>
    </row>
    <row r="6955" spans="1:13" s="360" customFormat="1" x14ac:dyDescent="0.25">
      <c r="A6955" s="367" t="s">
        <v>35</v>
      </c>
      <c r="B6955" s="2">
        <v>44182</v>
      </c>
      <c r="C6955" s="1">
        <v>228</v>
      </c>
      <c r="D6955" s="39">
        <f t="shared" si="976"/>
        <v>10062</v>
      </c>
      <c r="E6955" s="1"/>
      <c r="F6955" s="409">
        <f t="shared" si="977"/>
        <v>196</v>
      </c>
      <c r="G6955" s="168">
        <f>SUM(C6955,C6931,C6907,C6883,C6859,C6835,C6811,C6787,C6763,C6739,C6715,C6691,C6667,C6643)/POBLA!$B$18*100000</f>
        <v>233.8658784947076</v>
      </c>
      <c r="H6955" s="256">
        <f t="shared" si="972"/>
        <v>0.57944814462416749</v>
      </c>
      <c r="I6955" s="297">
        <f t="shared" si="974"/>
        <v>135.5131493846593</v>
      </c>
      <c r="J6955" s="297">
        <f t="shared" si="975"/>
        <v>145.71428571428572</v>
      </c>
      <c r="K6955" s="297">
        <f>J6955/POBLA!$B$18*100000</f>
        <v>18.652216441051042</v>
      </c>
      <c r="L6955" s="549">
        <f t="shared" si="973"/>
        <v>-0.26394052044609673</v>
      </c>
      <c r="M6955" s="401">
        <f>SUM(C6955,C6931,C6907,C6883,C6859,C6835,C6811)/POBLA!$B$18*100000</f>
        <v>130.56551508735728</v>
      </c>
    </row>
    <row r="6956" spans="1:13" s="360" customFormat="1" x14ac:dyDescent="0.25">
      <c r="A6956" s="367" t="s">
        <v>36</v>
      </c>
      <c r="B6956" s="2">
        <v>44182</v>
      </c>
      <c r="C6956" s="1">
        <v>38</v>
      </c>
      <c r="D6956" s="39">
        <f t="shared" si="976"/>
        <v>15766</v>
      </c>
      <c r="E6956" s="1">
        <v>6</v>
      </c>
      <c r="F6956" s="409">
        <f t="shared" si="977"/>
        <v>274</v>
      </c>
      <c r="G6956" s="168">
        <f>SUM(C6956,C6932,C6908,C6884,C6860,C6836,C6812,C6788,C6764,C6740,C6716,C6692,C6668,C6644)/POBLA!$B$19*100000</f>
        <v>158.95248737035928</v>
      </c>
      <c r="H6956" s="256">
        <f t="shared" si="972"/>
        <v>0.31698705374656727</v>
      </c>
      <c r="I6956" s="297">
        <f t="shared" si="974"/>
        <v>50.385880657218635</v>
      </c>
      <c r="J6956" s="297">
        <f t="shared" si="975"/>
        <v>57.571428571428569</v>
      </c>
      <c r="K6956" s="297">
        <f>J6956/POBLA!$B$19*100000</f>
        <v>11.325645758531612</v>
      </c>
      <c r="L6956" s="549">
        <f t="shared" si="973"/>
        <v>4.9382716049383157E-3</v>
      </c>
      <c r="M6956" s="401">
        <f>SUM(C6956,C6932,C6908,C6884,C6860,C6836,C6812)/POBLA!$B$19*100000</f>
        <v>79.279520309721292</v>
      </c>
    </row>
    <row r="6957" spans="1:13" s="360" customFormat="1" x14ac:dyDescent="0.25">
      <c r="A6957" s="367" t="s">
        <v>37</v>
      </c>
      <c r="B6957" s="2">
        <v>44182</v>
      </c>
      <c r="C6957" s="1">
        <v>315</v>
      </c>
      <c r="D6957" s="39">
        <f t="shared" si="976"/>
        <v>19935</v>
      </c>
      <c r="E6957" s="1">
        <v>4</v>
      </c>
      <c r="F6957" s="409">
        <f t="shared" si="977"/>
        <v>348</v>
      </c>
      <c r="G6957" s="168">
        <f>SUM(C6957,C6933,C6909,C6885,C6861,C6837,C6813,C6789,C6765,C6741,C6717,C6693,C6669,C6645)/POBLA!$B$20*100000</f>
        <v>885.7035039841619</v>
      </c>
      <c r="H6957" s="256">
        <f t="shared" si="972"/>
        <v>1.0458508233774622</v>
      </c>
      <c r="I6957" s="297">
        <f t="shared" si="974"/>
        <v>926.31373891013902</v>
      </c>
      <c r="J6957" s="297">
        <f t="shared" si="975"/>
        <v>260.85714285714283</v>
      </c>
      <c r="K6957" s="297">
        <f>J6957/POBLA!$B$20*100000</f>
        <v>71.331301472018666</v>
      </c>
      <c r="L6957" s="549">
        <f t="shared" si="973"/>
        <v>-0.29228591648973823</v>
      </c>
      <c r="M6957" s="401">
        <f>SUM(C6957,C6933,C6909,C6885,C6861,C6837,C6813)/POBLA!$B$20*100000</f>
        <v>499.31911030413073</v>
      </c>
    </row>
    <row r="6958" spans="1:13" s="360" customFormat="1" x14ac:dyDescent="0.25">
      <c r="A6958" s="367" t="s">
        <v>22</v>
      </c>
      <c r="B6958" s="2">
        <v>44182</v>
      </c>
      <c r="C6958" s="1">
        <v>1109</v>
      </c>
      <c r="D6958" s="39">
        <f t="shared" si="976"/>
        <v>164196</v>
      </c>
      <c r="E6958" s="1">
        <v>32</v>
      </c>
      <c r="F6958" s="409">
        <f t="shared" si="977"/>
        <v>2673</v>
      </c>
      <c r="G6958" s="168">
        <f>SUM(C6958,C6934,C6910,C6886,C6862,C6838,C6814,C6790,C6766,C6742,C6718,C6694,C6670,C6646)/POBLA!$B$21*100000</f>
        <v>353.80432969179549</v>
      </c>
      <c r="H6958" s="256">
        <f t="shared" si="972"/>
        <v>0.7177604405690684</v>
      </c>
      <c r="I6958" s="297">
        <f t="shared" si="974"/>
        <v>253.94675155482705</v>
      </c>
      <c r="J6958" s="297">
        <f t="shared" si="975"/>
        <v>978</v>
      </c>
      <c r="K6958" s="297">
        <f>J6958/POBLA!$B$21*100000</f>
        <v>27.65510185730307</v>
      </c>
      <c r="L6958" s="549">
        <f t="shared" si="973"/>
        <v>-0.2082597952700318</v>
      </c>
      <c r="M6958" s="401">
        <f>SUM(C6958,C6934,C6910,C6886,C6862,C6838,C6814)/POBLA!$B$21*100000</f>
        <v>193.58571300112146</v>
      </c>
    </row>
    <row r="6959" spans="1:13" s="360" customFormat="1" x14ac:dyDescent="0.25">
      <c r="A6959" s="367" t="s">
        <v>38</v>
      </c>
      <c r="B6959" s="2">
        <v>44182</v>
      </c>
      <c r="C6959" s="1">
        <v>66</v>
      </c>
      <c r="D6959" s="39">
        <f t="shared" si="976"/>
        <v>16691</v>
      </c>
      <c r="E6959" s="1">
        <v>1</v>
      </c>
      <c r="F6959" s="409">
        <f t="shared" si="977"/>
        <v>211</v>
      </c>
      <c r="G6959" s="168">
        <f>SUM(C6959,C6935,C6911,C6887,C6863,C6839,C6815,C6791,C6767,C6743,C6719,C6695,C6671,C6647)/POBLA!$B$22*100000</f>
        <v>76.560364627680514</v>
      </c>
      <c r="H6959" s="256">
        <f t="shared" si="972"/>
        <v>0.36878385032003941</v>
      </c>
      <c r="I6959" s="297">
        <f t="shared" si="974"/>
        <v>28.234226049302169</v>
      </c>
      <c r="J6959" s="297">
        <f t="shared" si="975"/>
        <v>50.285714285714285</v>
      </c>
      <c r="K6959" s="297">
        <f>J6959/POBLA!$B$22*100000</f>
        <v>5.1400435531076747</v>
      </c>
      <c r="L6959" s="549">
        <f t="shared" si="973"/>
        <v>0.11335012594458438</v>
      </c>
      <c r="M6959" s="401">
        <f>SUM(C6959,C6935,C6911,C6887,C6863,C6839,C6815)/POBLA!$B$22*100000</f>
        <v>35.980304871753724</v>
      </c>
    </row>
    <row r="6960" spans="1:13" s="360" customFormat="1" x14ac:dyDescent="0.25">
      <c r="A6960" s="367" t="s">
        <v>39</v>
      </c>
      <c r="B6960" s="2">
        <v>44182</v>
      </c>
      <c r="C6960" s="1">
        <v>107</v>
      </c>
      <c r="D6960" s="39">
        <f t="shared" si="976"/>
        <v>17904</v>
      </c>
      <c r="E6960" s="1"/>
      <c r="F6960" s="409">
        <f t="shared" si="977"/>
        <v>242</v>
      </c>
      <c r="G6960" s="168">
        <f>SUM(C6960,C6936,C6912,C6888,C6864,C6840,C6816,C6792,C6768,C6744,C6720,C6696,C6672,C6648)/POBLA!$B$23*100000</f>
        <v>804.72770457501554</v>
      </c>
      <c r="H6960" s="256">
        <f t="shared" si="972"/>
        <v>0.86609860012172857</v>
      </c>
      <c r="I6960" s="297">
        <f t="shared" si="974"/>
        <v>696.97353841159293</v>
      </c>
      <c r="J6960" s="297">
        <f t="shared" si="975"/>
        <v>106.28571428571429</v>
      </c>
      <c r="K6960" s="297">
        <f>J6960/POBLA!$B$23*100000</f>
        <v>60.106155225761633</v>
      </c>
      <c r="L6960" s="549">
        <f t="shared" si="973"/>
        <v>-9.5729013254786555E-2</v>
      </c>
      <c r="M6960" s="401">
        <f>SUM(C6960,C6936,C6912,C6888,C6864,C6840,C6816)/POBLA!$B$23*100000</f>
        <v>420.74308658033141</v>
      </c>
    </row>
    <row r="6961" spans="1:13" s="360" customFormat="1" ht="15.75" thickBot="1" x14ac:dyDescent="0.3">
      <c r="A6961" s="368" t="s">
        <v>40</v>
      </c>
      <c r="B6961" s="34">
        <v>44182</v>
      </c>
      <c r="C6961" s="232">
        <v>211</v>
      </c>
      <c r="D6961" s="67">
        <f t="shared" si="976"/>
        <v>69294</v>
      </c>
      <c r="E6961" s="232">
        <v>7</v>
      </c>
      <c r="F6961" s="477">
        <f t="shared" si="977"/>
        <v>1320</v>
      </c>
      <c r="G6961" s="177">
        <f>SUM(C6961,C6937,C6913,C6889,C6865,C6841,C6817,C6793,C6769,C6745,C6721,C6697,C6673,C6649)/POBLA!$B$24*100000</f>
        <v>142.62481589183881</v>
      </c>
      <c r="H6961" s="402">
        <f t="shared" si="972"/>
        <v>0.54071588366890377</v>
      </c>
      <c r="I6961" s="403">
        <f t="shared" si="974"/>
        <v>77.119503358070332</v>
      </c>
      <c r="J6961" s="403">
        <f t="shared" si="975"/>
        <v>207</v>
      </c>
      <c r="K6961" s="403">
        <f>J6961/POBLA!$B$24*100000</f>
        <v>12.214868386268364</v>
      </c>
      <c r="L6961" s="550">
        <f t="shared" si="973"/>
        <v>-0.49690082644628109</v>
      </c>
      <c r="M6961" s="405">
        <f>SUM(C6961,C6937,C6913,C6889,C6865,C6841,C6817)/POBLA!$B$24*100000</f>
        <v>85.504078703878548</v>
      </c>
    </row>
    <row r="6962" spans="1:13" s="360" customFormat="1" x14ac:dyDescent="0.25">
      <c r="A6962" s="363" t="s">
        <v>16</v>
      </c>
      <c r="B6962" s="265">
        <v>44183</v>
      </c>
      <c r="C6962" s="43">
        <v>2323</v>
      </c>
      <c r="D6962" s="174">
        <f t="shared" si="976"/>
        <v>648681</v>
      </c>
      <c r="E6962" s="43">
        <v>49</v>
      </c>
      <c r="F6962" s="475">
        <f t="shared" si="977"/>
        <v>21676</v>
      </c>
      <c r="G6962" s="175">
        <f>SUM(C6962,C6938,C6914,C6890,C6866,C6842,C6818,C6794,C6770,C6746,C6722,C6698,C6674,C6650)/POBLA!$B$1*100000</f>
        <v>127.11259774948506</v>
      </c>
      <c r="H6962" s="300">
        <f t="shared" si="972"/>
        <v>0.91900915011128514</v>
      </c>
      <c r="I6962" s="301">
        <f>G6962*H6962</f>
        <v>116.81764042619193</v>
      </c>
      <c r="J6962" s="301">
        <f>AVERAGE(C6962,C6938,C6914,C6890,C6866,C6842,C6818)</f>
        <v>1886.8571428571429</v>
      </c>
      <c r="K6962" s="301">
        <f>J6962/POBLA!$B$1*100000</f>
        <v>10.756752612940874</v>
      </c>
      <c r="L6962" s="548">
        <f t="shared" si="973"/>
        <v>-0.45318516888546601</v>
      </c>
      <c r="M6962" s="400">
        <f>SUM(C6962,C6938,C6914,C6890,C6866,C6842,C6818)/POBLA!$B$1*100000</f>
        <v>75.297268290586118</v>
      </c>
    </row>
    <row r="6963" spans="1:13" s="360" customFormat="1" x14ac:dyDescent="0.25">
      <c r="A6963" s="367" t="s">
        <v>43</v>
      </c>
      <c r="B6963" s="2">
        <v>44183</v>
      </c>
      <c r="C6963" s="1">
        <v>584</v>
      </c>
      <c r="D6963" s="39">
        <f t="shared" si="976"/>
        <v>165194</v>
      </c>
      <c r="E6963" s="1">
        <v>1</v>
      </c>
      <c r="F6963" s="409">
        <f t="shared" si="977"/>
        <v>5379</v>
      </c>
      <c r="G6963" s="168">
        <f>SUM(C6963,C6939,C6915,C6891,C6867,C6843,C6819,C6795,C6771,C6747,C6723,C6699,C6675,C6651)/POBLA!$B$2*100000</f>
        <v>162.56747362993011</v>
      </c>
      <c r="H6963" s="256">
        <f t="shared" si="972"/>
        <v>1.1560693641618498</v>
      </c>
      <c r="I6963" s="297">
        <f t="shared" ref="I6963:I6985" si="978">G6963*H6963</f>
        <v>187.93927587275158</v>
      </c>
      <c r="J6963" s="297">
        <f t="shared" ref="J6963:J6985" si="979">AVERAGE(C6963,C6939,C6915,C6891,C6867,C6843,C6819)</f>
        <v>431</v>
      </c>
      <c r="K6963" s="297">
        <f>J6963/POBLA!$B$2*100000</f>
        <v>14.013316226899974</v>
      </c>
      <c r="L6963" s="549">
        <f t="shared" si="973"/>
        <v>-0.52143217347453352</v>
      </c>
      <c r="M6963" s="401">
        <f>SUM(C6963,C6939,C6915,C6891,C6867,C6843,C6819)/POBLA!$B$2*100000</f>
        <v>98.093213588299832</v>
      </c>
    </row>
    <row r="6964" spans="1:13" s="360" customFormat="1" x14ac:dyDescent="0.25">
      <c r="A6964" s="367" t="s">
        <v>28</v>
      </c>
      <c r="B6964" s="2">
        <v>44183</v>
      </c>
      <c r="C6964" s="1">
        <v>48</v>
      </c>
      <c r="D6964" s="39">
        <f t="shared" si="976"/>
        <v>2275</v>
      </c>
      <c r="E6964" s="1"/>
      <c r="F6964" s="409">
        <f t="shared" si="977"/>
        <v>17</v>
      </c>
      <c r="G6964" s="168">
        <f>SUM(C6964,C6940,C6916,C6892,C6868,C6844,C6820,C6796,C6772,C6748,C6724,C6700,C6676,C6652)/POBLA!$B$3*100000</f>
        <v>80.39707489444875</v>
      </c>
      <c r="H6964" s="256">
        <f t="shared" si="972"/>
        <v>1.1322033898305084</v>
      </c>
      <c r="I6964" s="297">
        <f t="shared" si="978"/>
        <v>91.025840727952144</v>
      </c>
      <c r="J6964" s="297">
        <f t="shared" si="979"/>
        <v>30.714285714285715</v>
      </c>
      <c r="K6964" s="297">
        <f>J6964/POBLA!$B$3*100000</f>
        <v>7.3932297272482819</v>
      </c>
      <c r="L6964" s="549">
        <f t="shared" si="973"/>
        <v>-0.80672268907563027</v>
      </c>
      <c r="M6964" s="401">
        <f>SUM(C6964,C6940,C6916,C6892,C6868,C6844,C6820)/POBLA!$B$3*100000</f>
        <v>51.752608090737965</v>
      </c>
    </row>
    <row r="6965" spans="1:13" s="360" customFormat="1" x14ac:dyDescent="0.25">
      <c r="A6965" s="367" t="s">
        <v>15</v>
      </c>
      <c r="B6965" s="2">
        <v>44183</v>
      </c>
      <c r="C6965" s="1">
        <v>186</v>
      </c>
      <c r="D6965" s="39">
        <f t="shared" si="976"/>
        <v>22597</v>
      </c>
      <c r="E6965" s="1">
        <v>7</v>
      </c>
      <c r="F6965" s="409">
        <f t="shared" si="977"/>
        <v>643</v>
      </c>
      <c r="G6965" s="168">
        <f>SUM(C6965,C6941,C6917,C6893,C6869,C6845,C6821,C6797,C6773,C6749,C6725,C6701,C6677,C6653)/POBLA!$B$4*100000</f>
        <v>187.95541206152384</v>
      </c>
      <c r="H6965" s="256">
        <f t="shared" si="972"/>
        <v>0.8</v>
      </c>
      <c r="I6965" s="297">
        <f t="shared" si="978"/>
        <v>150.36432964921909</v>
      </c>
      <c r="J6965" s="297">
        <f t="shared" si="979"/>
        <v>172</v>
      </c>
      <c r="K6965" s="297">
        <f>J6965/POBLA!$B$4*100000</f>
        <v>14.279298089479727</v>
      </c>
      <c r="L6965" s="549">
        <f t="shared" si="973"/>
        <v>-0.13584905660377355</v>
      </c>
      <c r="M6965" s="401">
        <f>SUM(C6965,C6941,C6917,C6893,C6869,C6845,C6821)/POBLA!$B$4*100000</f>
        <v>99.955086626358096</v>
      </c>
    </row>
    <row r="6966" spans="1:13" s="360" customFormat="1" x14ac:dyDescent="0.25">
      <c r="A6966" s="367" t="s">
        <v>29</v>
      </c>
      <c r="B6966" s="2">
        <v>44183</v>
      </c>
      <c r="C6966" s="1">
        <v>233</v>
      </c>
      <c r="D6966" s="39">
        <f t="shared" si="976"/>
        <v>27693</v>
      </c>
      <c r="E6966" s="1">
        <v>4</v>
      </c>
      <c r="F6966" s="409">
        <f t="shared" si="977"/>
        <v>473</v>
      </c>
      <c r="G6966" s="168">
        <f>SUM(C6966,C6942,C6918,C6894,C6870,C6846,C6822,C6798,C6774,C6750,C6726,C6702,C6678,C6654)/POBLA!$B$5*100000</f>
        <v>564.78738081467668</v>
      </c>
      <c r="H6966" s="256">
        <f t="shared" si="972"/>
        <v>1.0231196956394497</v>
      </c>
      <c r="I6966" s="297">
        <f t="shared" si="978"/>
        <v>577.84509316011395</v>
      </c>
      <c r="J6966" s="297">
        <f t="shared" si="979"/>
        <v>282.57142857142856</v>
      </c>
      <c r="K6966" s="297">
        <f>J6966/POBLA!$B$5*100000</f>
        <v>45.650107847802815</v>
      </c>
      <c r="L6966" s="549">
        <f t="shared" si="973"/>
        <v>-0.30303030303030298</v>
      </c>
      <c r="M6966" s="401">
        <f>SUM(C6966,C6942,C6918,C6894,C6870,C6846,C6822)/POBLA!$B$5*100000</f>
        <v>319.5507549346197</v>
      </c>
    </row>
    <row r="6967" spans="1:13" s="360" customFormat="1" x14ac:dyDescent="0.25">
      <c r="A6967" s="367" t="s">
        <v>20</v>
      </c>
      <c r="B6967" s="2">
        <v>44183</v>
      </c>
      <c r="C6967" s="1">
        <v>442</v>
      </c>
      <c r="D6967" s="39">
        <f t="shared" si="976"/>
        <v>121976</v>
      </c>
      <c r="E6967" s="1">
        <v>12</v>
      </c>
      <c r="F6967" s="409">
        <f t="shared" si="977"/>
        <v>2377</v>
      </c>
      <c r="G6967" s="168">
        <f>SUM(C6967,C6943,C6919,C6895,C6871,C6847,C6823,C6799,C6775,C6751,C6727,C6703,C6679,C6655)/POBLA!$B$6*100000</f>
        <v>461.90180058725861</v>
      </c>
      <c r="H6967" s="256">
        <f t="shared" si="972"/>
        <v>0.58083697969258385</v>
      </c>
      <c r="I6967" s="297">
        <f t="shared" si="978"/>
        <v>268.28964676766947</v>
      </c>
      <c r="J6967" s="297">
        <f t="shared" si="979"/>
        <v>390.71428571428572</v>
      </c>
      <c r="K6967" s="297">
        <f>J6967/POBLA!$B$6*100000</f>
        <v>34.860272761559429</v>
      </c>
      <c r="L6967" s="549">
        <f t="shared" si="973"/>
        <v>-0.11998361998361995</v>
      </c>
      <c r="M6967" s="401">
        <f>SUM(C6967,C6943,C6919,C6895,C6871,C6847,C6823)/POBLA!$B$6*100000</f>
        <v>244.02190933091603</v>
      </c>
    </row>
    <row r="6968" spans="1:13" s="360" customFormat="1" x14ac:dyDescent="0.25">
      <c r="A6968" s="367" t="s">
        <v>30</v>
      </c>
      <c r="B6968" s="2">
        <v>44183</v>
      </c>
      <c r="C6968" s="1">
        <v>175</v>
      </c>
      <c r="D6968" s="39">
        <f t="shared" si="976"/>
        <v>10200</v>
      </c>
      <c r="E6968" s="1">
        <v>3</v>
      </c>
      <c r="F6968" s="409">
        <f t="shared" si="977"/>
        <v>141</v>
      </c>
      <c r="G6968" s="168">
        <f>SUM(C6968,C6944,C6920,C6896,C6872,C6848,C6824,C6800,C6776,C6752,C6728,C6704,C6680,C6656)/POBLA!$B$7*100000</f>
        <v>47.919796832825853</v>
      </c>
      <c r="H6968" s="256">
        <f t="shared" si="972"/>
        <v>0.48375838926174497</v>
      </c>
      <c r="I6968" s="297">
        <f t="shared" si="978"/>
        <v>23.181603729597903</v>
      </c>
      <c r="J6968" s="297">
        <f t="shared" si="979"/>
        <v>108.28571428571429</v>
      </c>
      <c r="K6968" s="297">
        <f>J6968/POBLA!$B$7*100000</f>
        <v>2.8795945773967024</v>
      </c>
      <c r="L6968" s="549">
        <f t="shared" si="973"/>
        <v>0.27394636015325668</v>
      </c>
      <c r="M6968" s="401">
        <f>SUM(C6968,C6944,C6920,C6896,C6872,C6848,C6824)/POBLA!$B$7*100000</f>
        <v>20.157162041776918</v>
      </c>
    </row>
    <row r="6969" spans="1:13" x14ac:dyDescent="0.25">
      <c r="A6969" s="367" t="s">
        <v>31</v>
      </c>
      <c r="B6969" s="2">
        <v>44183</v>
      </c>
      <c r="C6969" s="1">
        <v>177</v>
      </c>
      <c r="D6969" s="39">
        <f t="shared" si="976"/>
        <v>26598</v>
      </c>
      <c r="E6969" s="1">
        <v>7</v>
      </c>
      <c r="F6969" s="409">
        <f t="shared" si="977"/>
        <v>551</v>
      </c>
      <c r="G6969" s="168">
        <f>SUM(C6969,C6945,C6921,C6897,C6873,C6849,C6825,C6801,C6777,C6753,C6729,C6705,C6681,C6657)/POBLA!$B$8*100000</f>
        <v>174.39163151055476</v>
      </c>
      <c r="H6969" s="256">
        <f t="shared" si="972"/>
        <v>0.9022023142963792</v>
      </c>
      <c r="I6969" s="297">
        <f t="shared" si="978"/>
        <v>157.33653354274387</v>
      </c>
      <c r="J6969" s="297">
        <f t="shared" si="979"/>
        <v>179.85714285714286</v>
      </c>
      <c r="K6969" s="297">
        <f>J6969/POBLA!$B$8*100000</f>
        <v>12.977070989525886</v>
      </c>
      <c r="L6969" s="549">
        <f t="shared" si="973"/>
        <v>-8.7219343696027574E-2</v>
      </c>
      <c r="M6969" s="401">
        <f>SUM(C6969,C6945,C6921,C6897,C6873,C6849,C6825)/POBLA!$B$8*100000</f>
        <v>90.839496926681193</v>
      </c>
    </row>
    <row r="6970" spans="1:13" s="360" customFormat="1" x14ac:dyDescent="0.25">
      <c r="A6970" s="367" t="s">
        <v>41</v>
      </c>
      <c r="B6970" s="2">
        <v>44183</v>
      </c>
      <c r="C6970" s="1">
        <v>-2</v>
      </c>
      <c r="D6970" s="39">
        <f t="shared" si="976"/>
        <v>201</v>
      </c>
      <c r="E6970" s="1"/>
      <c r="F6970" s="409">
        <f t="shared" si="977"/>
        <v>3</v>
      </c>
      <c r="G6970" s="168">
        <f>SUM(C6970,C6946,C6922,C6898,C6874,C6850,C6826,C6802,C6778,C6754,C6730,C6706,C6682,C6658)/POBLA!$B$9*100000</f>
        <v>1.9828385325012021</v>
      </c>
      <c r="H6970" s="256">
        <f t="shared" si="972"/>
        <v>1</v>
      </c>
      <c r="I6970" s="297">
        <f t="shared" si="978"/>
        <v>1.9828385325012021</v>
      </c>
      <c r="J6970" s="297">
        <f t="shared" si="979"/>
        <v>0.7142857142857143</v>
      </c>
      <c r="K6970" s="297">
        <f>J6970/POBLA!$B$9*100000</f>
        <v>0.11802610312507156</v>
      </c>
      <c r="L6970" s="549">
        <f t="shared" si="973"/>
        <v>0.2857142857142857</v>
      </c>
      <c r="M6970" s="401">
        <f>SUM(C6970,C6946,C6922,C6898,C6874,C6850,C6826)/POBLA!$B$9*100000</f>
        <v>0.82618272187550079</v>
      </c>
    </row>
    <row r="6971" spans="1:13" s="360" customFormat="1" x14ac:dyDescent="0.25">
      <c r="A6971" s="367" t="s">
        <v>32</v>
      </c>
      <c r="B6971" s="2">
        <v>44183</v>
      </c>
      <c r="C6971" s="1">
        <v>13</v>
      </c>
      <c r="D6971" s="39">
        <f t="shared" si="976"/>
        <v>18478</v>
      </c>
      <c r="E6971" s="1">
        <v>1</v>
      </c>
      <c r="F6971" s="409">
        <f t="shared" si="977"/>
        <v>856</v>
      </c>
      <c r="G6971" s="168">
        <f>SUM(C6971,C6947,C6923,C6899,C6875,C6851,C6827,C6803,C6779,C6755,C6731,C6707,C6683,C6659)/POBLA!$B$10*100000</f>
        <v>8.5616327293058205</v>
      </c>
      <c r="H6971" s="256">
        <f t="shared" si="972"/>
        <v>0.47482014388489208</v>
      </c>
      <c r="I6971" s="297">
        <f t="shared" si="978"/>
        <v>4.0652356844185906</v>
      </c>
      <c r="J6971" s="297">
        <f t="shared" si="979"/>
        <v>5.5714285714285712</v>
      </c>
      <c r="K6971" s="297">
        <f>J6971/POBLA!$B$10*100000</f>
        <v>0.72273523039594589</v>
      </c>
      <c r="L6971" s="549">
        <f t="shared" si="973"/>
        <v>-0.44444444444444442</v>
      </c>
      <c r="M6971" s="401">
        <f>SUM(C6971,C6947,C6923,C6899,C6875,C6851,C6827)/POBLA!$B$10*100000</f>
        <v>5.0591466127716211</v>
      </c>
    </row>
    <row r="6972" spans="1:13" s="360" customFormat="1" x14ac:dyDescent="0.25">
      <c r="A6972" s="367" t="s">
        <v>33</v>
      </c>
      <c r="B6972" s="2">
        <v>44183</v>
      </c>
      <c r="C6972" s="1">
        <v>193</v>
      </c>
      <c r="D6972" s="39">
        <f t="shared" si="976"/>
        <v>7898</v>
      </c>
      <c r="E6972" s="1">
        <v>1</v>
      </c>
      <c r="F6972" s="409">
        <f t="shared" si="977"/>
        <v>105</v>
      </c>
      <c r="G6972" s="168">
        <f>SUM(C6972,C6948,C6924,C6900,C6876,C6852,C6828,C6804,C6780,C6756,C6732,C6708,C6684,C6660)/POBLA!$B$11*100000</f>
        <v>487.40611782561632</v>
      </c>
      <c r="H6972" s="256">
        <f t="shared" si="972"/>
        <v>1.6012832263978001</v>
      </c>
      <c r="I6972" s="297">
        <f t="shared" si="978"/>
        <v>780.47524091782918</v>
      </c>
      <c r="J6972" s="297">
        <f t="shared" si="979"/>
        <v>162.71428571428572</v>
      </c>
      <c r="K6972" s="297">
        <f>J6972/POBLA!$B$11*100000</f>
        <v>45.396644713662361</v>
      </c>
      <c r="L6972" s="549">
        <f t="shared" si="973"/>
        <v>-0.87335526315789469</v>
      </c>
      <c r="M6972" s="401">
        <f>SUM(C6972,C6948,C6924,C6900,C6876,C6852,C6828)/POBLA!$B$11*100000</f>
        <v>317.77651299563649</v>
      </c>
    </row>
    <row r="6973" spans="1:13" s="360" customFormat="1" x14ac:dyDescent="0.25">
      <c r="A6973" s="367" t="s">
        <v>21</v>
      </c>
      <c r="B6973" s="2">
        <v>44183</v>
      </c>
      <c r="C6973" s="1">
        <v>12</v>
      </c>
      <c r="D6973" s="39">
        <f t="shared" si="976"/>
        <v>8989</v>
      </c>
      <c r="E6973" s="1">
        <v>10</v>
      </c>
      <c r="F6973" s="409">
        <f t="shared" si="977"/>
        <v>339</v>
      </c>
      <c r="G6973" s="168">
        <f>SUM(C6973,C6949,C6925,C6901,C6877,C6853,C6829,C6805,C6781,C6757,C6733,C6709,C6685,C6661)/POBLA!$B$12*100000</f>
        <v>44.97739695220961</v>
      </c>
      <c r="H6973" s="256">
        <f t="shared" si="972"/>
        <v>0.45153061224489793</v>
      </c>
      <c r="I6973" s="297">
        <f t="shared" si="978"/>
        <v>20.308671583013012</v>
      </c>
      <c r="J6973" s="297">
        <f t="shared" si="979"/>
        <v>12</v>
      </c>
      <c r="K6973" s="297">
        <f>J6973/POBLA!$B$12*100000</f>
        <v>3.0493150476074309</v>
      </c>
      <c r="L6973" s="549">
        <f t="shared" si="973"/>
        <v>9.6774193548387122E-2</v>
      </c>
      <c r="M6973" s="401">
        <f>SUM(C6973,C6949,C6925,C6901,C6877,C6853,C6829)/POBLA!$B$12*100000</f>
        <v>21.345205333252018</v>
      </c>
    </row>
    <row r="6974" spans="1:13" s="360" customFormat="1" x14ac:dyDescent="0.25">
      <c r="A6974" s="367" t="s">
        <v>17</v>
      </c>
      <c r="B6974" s="2">
        <v>44183</v>
      </c>
      <c r="C6974" s="1">
        <v>95</v>
      </c>
      <c r="D6974" s="39">
        <f t="shared" si="976"/>
        <v>58872</v>
      </c>
      <c r="E6974" s="1"/>
      <c r="F6974" s="409">
        <f t="shared" si="977"/>
        <v>1199</v>
      </c>
      <c r="G6974" s="168">
        <f>SUM(C6974,C6950,C6926,C6902,C6878,C6854,C6830,C6806,C6782,C6758,C6734,C6710,C6686,C6662)/POBLA!$B$13*100000</f>
        <v>72.600734146662518</v>
      </c>
      <c r="H6974" s="256">
        <f t="shared" si="972"/>
        <v>0.55237003058103973</v>
      </c>
      <c r="I6974" s="297">
        <f t="shared" si="978"/>
        <v>40.102469740797908</v>
      </c>
      <c r="J6974" s="297">
        <f t="shared" si="979"/>
        <v>120.71428571428571</v>
      </c>
      <c r="K6974" s="297">
        <f>J6974/POBLA!$B$13*100000</f>
        <v>6.0650143701364145</v>
      </c>
      <c r="L6974" s="549">
        <f t="shared" si="973"/>
        <v>-0.40833333333333344</v>
      </c>
      <c r="M6974" s="401">
        <f>SUM(C6974,C6950,C6926,C6902,C6878,C6854,C6830)/POBLA!$B$13*100000</f>
        <v>42.455100590954899</v>
      </c>
    </row>
    <row r="6975" spans="1:13" s="360" customFormat="1" x14ac:dyDescent="0.25">
      <c r="A6975" s="367" t="s">
        <v>23</v>
      </c>
      <c r="B6975" s="2">
        <v>44183</v>
      </c>
      <c r="C6975" s="1">
        <v>34</v>
      </c>
      <c r="D6975" s="39">
        <f t="shared" si="976"/>
        <v>822</v>
      </c>
      <c r="E6975" s="1"/>
      <c r="F6975" s="409">
        <f t="shared" si="977"/>
        <v>11</v>
      </c>
      <c r="G6975" s="168">
        <f>SUM(C6975,C6951,C6927,C6903,C6879,C6855,C6831,C6807,C6783,C6759,C6735,C6711,C6687,C6663)/POBLA!$B$14*100000</f>
        <v>20.534466983907002</v>
      </c>
      <c r="H6975" s="256">
        <f t="shared" si="972"/>
        <v>2.0077519379844961</v>
      </c>
      <c r="I6975" s="297">
        <f t="shared" si="978"/>
        <v>41.228115882417931</v>
      </c>
      <c r="J6975" s="297">
        <f t="shared" si="979"/>
        <v>26.571428571428573</v>
      </c>
      <c r="K6975" s="297">
        <f>J6975/POBLA!$B$14*100000</f>
        <v>2.106680010483565</v>
      </c>
      <c r="L6975" s="549">
        <f t="shared" si="973"/>
        <v>-1.547945205479452</v>
      </c>
      <c r="M6975" s="401">
        <f>SUM(C6975,C6951,C6927,C6903,C6879,C6855,C6831)/POBLA!$B$14*100000</f>
        <v>14.746760073384952</v>
      </c>
    </row>
    <row r="6976" spans="1:13" s="360" customFormat="1" x14ac:dyDescent="0.25">
      <c r="A6976" s="367" t="s">
        <v>19</v>
      </c>
      <c r="B6976" s="2">
        <v>44183</v>
      </c>
      <c r="C6976" s="1">
        <v>176</v>
      </c>
      <c r="D6976" s="39">
        <f t="shared" si="976"/>
        <v>37695</v>
      </c>
      <c r="E6976" s="1"/>
      <c r="F6976" s="409">
        <f t="shared" si="977"/>
        <v>681</v>
      </c>
      <c r="G6976" s="168">
        <f>SUM(C6976,C6952,C6928,C6904,C6880,C6856,C6832,C6808,C6784,C6760,C6736,C6712,C6688,C6664)/POBLA!$B$15*100000</f>
        <v>563.20466465981087</v>
      </c>
      <c r="H6976" s="256">
        <f t="shared" si="972"/>
        <v>0.79642248722316866</v>
      </c>
      <c r="I6976" s="297">
        <f t="shared" si="978"/>
        <v>448.54885984405723</v>
      </c>
      <c r="J6976" s="297">
        <f t="shared" si="979"/>
        <v>143.57142857142858</v>
      </c>
      <c r="K6976" s="297">
        <f>J6976/POBLA!$B$15*100000</f>
        <v>21.620347134572572</v>
      </c>
      <c r="L6976" s="549">
        <f t="shared" si="973"/>
        <v>0.63254113345521024</v>
      </c>
      <c r="M6976" s="401">
        <f>SUM(C6976,C6952,C6928,C6904,C6880,C6856,C6832)/POBLA!$B$15*100000</f>
        <v>151.34242994200798</v>
      </c>
    </row>
    <row r="6977" spans="1:13" s="360" customFormat="1" x14ac:dyDescent="0.25">
      <c r="A6977" s="367" t="s">
        <v>18</v>
      </c>
      <c r="B6977" s="2">
        <v>44183</v>
      </c>
      <c r="C6977" s="1">
        <v>197</v>
      </c>
      <c r="D6977" s="39">
        <f t="shared" si="976"/>
        <v>35357</v>
      </c>
      <c r="E6977" s="1">
        <v>5</v>
      </c>
      <c r="F6977" s="409">
        <f t="shared" si="977"/>
        <v>862</v>
      </c>
      <c r="G6977" s="168">
        <f>SUM(C6977,C6953,C6929,C6905,C6881,C6857,C6833,C6809,C6785,C6761,C6737,C6713,C6689,C6665)/POBLA!$B$16*100000</f>
        <v>366.50125065207794</v>
      </c>
      <c r="H6977" s="256">
        <f t="shared" si="972"/>
        <v>0.95437129919888541</v>
      </c>
      <c r="I6977" s="297">
        <f t="shared" si="978"/>
        <v>349.77827474283998</v>
      </c>
      <c r="J6977" s="297">
        <f t="shared" si="979"/>
        <v>213.85714285714286</v>
      </c>
      <c r="K6977" s="297">
        <f>J6977/POBLA!$B$16*100000</f>
        <v>28.605441721906185</v>
      </c>
      <c r="L6977" s="549">
        <f t="shared" si="973"/>
        <v>-0.20434432823813364</v>
      </c>
      <c r="M6977" s="401">
        <f>SUM(C6977,C6953,C6929,C6905,C6881,C6857,C6833)/POBLA!$B$16*100000</f>
        <v>200.23809205334331</v>
      </c>
    </row>
    <row r="6978" spans="1:13" s="360" customFormat="1" x14ac:dyDescent="0.25">
      <c r="A6978" s="367" t="s">
        <v>34</v>
      </c>
      <c r="B6978" s="2">
        <v>44183</v>
      </c>
      <c r="C6978" s="1">
        <v>73</v>
      </c>
      <c r="D6978" s="39">
        <f t="shared" si="976"/>
        <v>21857</v>
      </c>
      <c r="E6978" s="1">
        <v>1</v>
      </c>
      <c r="F6978" s="409">
        <f t="shared" si="977"/>
        <v>1007</v>
      </c>
      <c r="G6978" s="168">
        <f>SUM(C6978,C6954,C6930,C6906,C6882,C6858,C6834,C6810,C6786,C6762,C6738,C6714,C6690,C6666)/POBLA!$B$17*100000</f>
        <v>33.487854860688422</v>
      </c>
      <c r="H6978" s="256">
        <f t="shared" si="972"/>
        <v>0.67948717948717952</v>
      </c>
      <c r="I6978" s="297">
        <f t="shared" si="978"/>
        <v>22.754568046365211</v>
      </c>
      <c r="J6978" s="297">
        <f t="shared" si="979"/>
        <v>48</v>
      </c>
      <c r="K6978" s="297">
        <f>J6978/POBLA!$B$17*100000</f>
        <v>3.3698470300063814</v>
      </c>
      <c r="L6978" s="549">
        <f t="shared" si="973"/>
        <v>-1.3829787234042552</v>
      </c>
      <c r="M6978" s="401">
        <f>SUM(C6978,C6954,C6930,C6906,C6882,C6858,C6834)/POBLA!$B$17*100000</f>
        <v>23.588929210044672</v>
      </c>
    </row>
    <row r="6979" spans="1:13" s="360" customFormat="1" x14ac:dyDescent="0.25">
      <c r="A6979" s="367" t="s">
        <v>35</v>
      </c>
      <c r="B6979" s="2">
        <v>44183</v>
      </c>
      <c r="C6979" s="1">
        <v>195</v>
      </c>
      <c r="D6979" s="39">
        <f t="shared" si="976"/>
        <v>10257</v>
      </c>
      <c r="E6979" s="1"/>
      <c r="F6979" s="409">
        <f t="shared" si="977"/>
        <v>196</v>
      </c>
      <c r="G6979" s="168">
        <f>SUM(C6979,C6955,C6931,C6907,C6883,C6859,C6835,C6811,C6787,C6763,C6739,C6715,C6691,C6667)/POBLA!$B$18*100000</f>
        <v>238.47407314484965</v>
      </c>
      <c r="H6979" s="256">
        <f t="shared" si="972"/>
        <v>0.65575501583949314</v>
      </c>
      <c r="I6979" s="297">
        <f t="shared" si="978"/>
        <v>156.38056961240932</v>
      </c>
      <c r="J6979" s="297">
        <f t="shared" si="979"/>
        <v>154.71428571428572</v>
      </c>
      <c r="K6979" s="297">
        <f>J6979/POBLA!$B$18*100000</f>
        <v>19.804265103586548</v>
      </c>
      <c r="L6979" s="549">
        <f t="shared" si="973"/>
        <v>-0.38846153846153841</v>
      </c>
      <c r="M6979" s="401">
        <f>SUM(C6979,C6955,C6931,C6907,C6883,C6859,C6835)/POBLA!$B$18*100000</f>
        <v>138.62985572510581</v>
      </c>
    </row>
    <row r="6980" spans="1:13" s="360" customFormat="1" x14ac:dyDescent="0.25">
      <c r="A6980" s="367" t="s">
        <v>36</v>
      </c>
      <c r="B6980" s="2">
        <v>44183</v>
      </c>
      <c r="C6980" s="1">
        <v>65</v>
      </c>
      <c r="D6980" s="39">
        <f t="shared" si="976"/>
        <v>15831</v>
      </c>
      <c r="E6980" s="1">
        <v>3</v>
      </c>
      <c r="F6980" s="409">
        <f t="shared" si="977"/>
        <v>277</v>
      </c>
      <c r="G6980" s="168">
        <f>SUM(C6980,C6956,C6932,C6908,C6884,C6860,C6836,C6812,C6788,C6764,C6740,C6716,C6692,C6668)/POBLA!$B$19*100000</f>
        <v>157.57542374215072</v>
      </c>
      <c r="H6980" s="256">
        <f t="shared" si="972"/>
        <v>0.35711101203744983</v>
      </c>
      <c r="I6980" s="297">
        <f t="shared" si="978"/>
        <v>56.271919044789442</v>
      </c>
      <c r="J6980" s="297">
        <f t="shared" si="979"/>
        <v>56</v>
      </c>
      <c r="K6980" s="297">
        <f>J6980/POBLA!$B$19*100000</f>
        <v>11.016509025668466</v>
      </c>
      <c r="L6980" s="549">
        <f t="shared" si="973"/>
        <v>4.1564792176039145E-2</v>
      </c>
      <c r="M6980" s="401">
        <f>SUM(C6980,C6956,C6932,C6908,C6884,C6860,C6836)/POBLA!$B$19*100000</f>
        <v>77.11556317967927</v>
      </c>
    </row>
    <row r="6981" spans="1:13" s="360" customFormat="1" x14ac:dyDescent="0.25">
      <c r="A6981" s="367" t="s">
        <v>37</v>
      </c>
      <c r="B6981" s="2">
        <v>44183</v>
      </c>
      <c r="C6981" s="1">
        <v>318</v>
      </c>
      <c r="D6981" s="39">
        <f t="shared" si="976"/>
        <v>20253</v>
      </c>
      <c r="E6981" s="1">
        <v>3</v>
      </c>
      <c r="F6981" s="409">
        <f t="shared" si="977"/>
        <v>351</v>
      </c>
      <c r="G6981" s="168">
        <f>SUM(C6981,C6957,C6933,C6909,C6885,C6861,C6837,C6813,C6789,C6765,C6741,C6717,C6693,C6669)/POBLA!$B$20*100000</f>
        <v>906.48567944041258</v>
      </c>
      <c r="H6981" s="256">
        <f t="shared" si="972"/>
        <v>1.0724684568100937</v>
      </c>
      <c r="I6981" s="297">
        <f t="shared" si="978"/>
        <v>972.17729774990858</v>
      </c>
      <c r="J6981" s="297">
        <f t="shared" si="979"/>
        <v>264</v>
      </c>
      <c r="K6981" s="297">
        <f>J6981/POBLA!$B$20*100000</f>
        <v>72.190714742765891</v>
      </c>
      <c r="L6981" s="549">
        <f t="shared" si="973"/>
        <v>-0.25971370143149275</v>
      </c>
      <c r="M6981" s="401">
        <f>SUM(C6981,C6957,C6933,C6909,C6885,C6861,C6837)/POBLA!$B$20*100000</f>
        <v>505.33500319936127</v>
      </c>
    </row>
    <row r="6982" spans="1:13" s="360" customFormat="1" x14ac:dyDescent="0.25">
      <c r="A6982" s="367" t="s">
        <v>22</v>
      </c>
      <c r="B6982" s="2">
        <v>44183</v>
      </c>
      <c r="C6982" s="1">
        <v>1073</v>
      </c>
      <c r="D6982" s="39">
        <f t="shared" si="976"/>
        <v>165269</v>
      </c>
      <c r="E6982" s="1">
        <v>25</v>
      </c>
      <c r="F6982" s="409">
        <f t="shared" si="977"/>
        <v>2698</v>
      </c>
      <c r="G6982" s="168">
        <f>SUM(C6982,C6958,C6934,C6910,C6886,C6862,C6838,C6814,C6790,C6766,C6742,C6718,C6694,C6670)/POBLA!$B$21*100000</f>
        <v>356.12306011336898</v>
      </c>
      <c r="H6982" s="256">
        <f t="shared" si="972"/>
        <v>0.75567022680907237</v>
      </c>
      <c r="I6982" s="297">
        <f t="shared" si="978"/>
        <v>269.11159360781045</v>
      </c>
      <c r="J6982" s="297">
        <f t="shared" si="979"/>
        <v>959.14285714285711</v>
      </c>
      <c r="K6982" s="297">
        <f>J6982/POBLA!$B$21*100000</f>
        <v>27.121874652341919</v>
      </c>
      <c r="L6982" s="549">
        <f t="shared" si="973"/>
        <v>-0.14183673469387759</v>
      </c>
      <c r="M6982" s="401">
        <f>SUM(C6982,C6958,C6934,C6910,C6886,C6862,C6838)/POBLA!$B$21*100000</f>
        <v>189.85312256639347</v>
      </c>
    </row>
    <row r="6983" spans="1:13" s="360" customFormat="1" x14ac:dyDescent="0.25">
      <c r="A6983" s="367" t="s">
        <v>38</v>
      </c>
      <c r="B6983" s="2">
        <v>44183</v>
      </c>
      <c r="C6983" s="1">
        <v>75</v>
      </c>
      <c r="D6983" s="39">
        <f t="shared" si="976"/>
        <v>16766</v>
      </c>
      <c r="E6983" s="1">
        <v>2</v>
      </c>
      <c r="F6983" s="409">
        <f t="shared" si="977"/>
        <v>213</v>
      </c>
      <c r="G6983" s="168">
        <f>SUM(C6983,C6959,C6935,C6911,C6887,C6863,C6839,C6815,C6791,C6767,C6743,C6719,C6695,C6671)/POBLA!$B$22*100000</f>
        <v>75.844847201253586</v>
      </c>
      <c r="H6983" s="256">
        <f t="shared" si="972"/>
        <v>0.3987103707684041</v>
      </c>
      <c r="I6983" s="297">
        <f t="shared" si="978"/>
        <v>30.240127148484774</v>
      </c>
      <c r="J6983" s="297">
        <f t="shared" si="979"/>
        <v>52.142857142857146</v>
      </c>
      <c r="K6983" s="297">
        <f>J6983/POBLA!$B$22*100000</f>
        <v>5.329874707057674</v>
      </c>
      <c r="L6983" s="549">
        <f t="shared" si="973"/>
        <v>3.1830238726790472E-2</v>
      </c>
      <c r="M6983" s="401">
        <f>SUM(C6983,C6959,C6935,C6911,C6887,C6863,C6839)/POBLA!$B$22*100000</f>
        <v>37.309122949403722</v>
      </c>
    </row>
    <row r="6984" spans="1:13" s="360" customFormat="1" x14ac:dyDescent="0.25">
      <c r="A6984" s="367" t="s">
        <v>39</v>
      </c>
      <c r="B6984" s="2">
        <v>44183</v>
      </c>
      <c r="C6984" s="1">
        <v>116</v>
      </c>
      <c r="D6984" s="39">
        <f t="shared" si="976"/>
        <v>18020</v>
      </c>
      <c r="E6984" s="1">
        <v>2</v>
      </c>
      <c r="F6984" s="409">
        <f t="shared" si="977"/>
        <v>244</v>
      </c>
      <c r="G6984" s="168">
        <f>SUM(C6984,C6960,C6936,C6912,C6888,C6864,C6840,C6816,C6792,C6768,C6744,C6720,C6696,C6672)/POBLA!$B$23*100000</f>
        <v>809.81733868687434</v>
      </c>
      <c r="H6984" s="256">
        <f t="shared" si="972"/>
        <v>0.88231669747381392</v>
      </c>
      <c r="I6984" s="297">
        <f t="shared" si="978"/>
        <v>714.51535982723601</v>
      </c>
      <c r="J6984" s="297">
        <f t="shared" si="979"/>
        <v>97.571428571428569</v>
      </c>
      <c r="K6984" s="297">
        <f>J6984/POBLA!$B$23*100000</f>
        <v>55.17809679999354</v>
      </c>
      <c r="L6984" s="549">
        <f t="shared" si="973"/>
        <v>8.8117489986648811E-2</v>
      </c>
      <c r="M6984" s="401">
        <f>SUM(C6984,C6960,C6936,C6912,C6888,C6864,C6840)/POBLA!$B$23*100000</f>
        <v>386.24667759995475</v>
      </c>
    </row>
    <row r="6985" spans="1:13" s="360" customFormat="1" ht="15.75" thickBot="1" x14ac:dyDescent="0.3">
      <c r="A6985" s="369" t="s">
        <v>40</v>
      </c>
      <c r="B6985" s="266">
        <v>44183</v>
      </c>
      <c r="C6985" s="44">
        <v>201</v>
      </c>
      <c r="D6985" s="176">
        <f t="shared" si="976"/>
        <v>69495</v>
      </c>
      <c r="E6985" s="44">
        <v>2</v>
      </c>
      <c r="F6985" s="476">
        <f t="shared" si="977"/>
        <v>1322</v>
      </c>
      <c r="G6985" s="177">
        <f>SUM(C6985,C6961,C6937,C6913,C6889,C6865,C6841,C6817,C6793,C6769,C6745,C6721,C6697,C6673)/POBLA!$B$24*100000</f>
        <v>144.33607764643679</v>
      </c>
      <c r="H6985" s="402">
        <f t="shared" si="972"/>
        <v>0.58657074340527582</v>
      </c>
      <c r="I6985" s="403">
        <f t="shared" si="978"/>
        <v>84.663320365272043</v>
      </c>
      <c r="J6985" s="403">
        <f t="shared" si="979"/>
        <v>193</v>
      </c>
      <c r="K6985" s="403">
        <f>J6985/POBLA!$B$24*100000</f>
        <v>11.388742021979681</v>
      </c>
      <c r="L6985" s="550">
        <f t="shared" si="973"/>
        <v>-0.23378995433789962</v>
      </c>
      <c r="M6985" s="405">
        <f>SUM(C6985,C6961,C6937,C6913,C6889,C6865,C6841)/POBLA!$B$24*100000</f>
        <v>79.721194153857766</v>
      </c>
    </row>
    <row r="6986" spans="1:13" s="360" customFormat="1" ht="15.75" thickBot="1" x14ac:dyDescent="0.3">
      <c r="A6986" s="363" t="s">
        <v>16</v>
      </c>
      <c r="B6986" s="266">
        <v>44184</v>
      </c>
      <c r="C6986" s="225">
        <v>2180</v>
      </c>
      <c r="D6986" s="174">
        <f t="shared" si="976"/>
        <v>650861</v>
      </c>
      <c r="E6986" s="225">
        <v>33</v>
      </c>
      <c r="F6986" s="475">
        <f t="shared" si="977"/>
        <v>21709</v>
      </c>
      <c r="G6986" s="175">
        <f>SUM(C6986,C6962,C6938,C6914,C6890,C6866,C6842,C6818,C6794,C6770,C6746,C6722,C6698,C6674)/POBLA!$B$1*100000</f>
        <v>131.70750979083971</v>
      </c>
      <c r="H6986" s="300">
        <f t="shared" ref="H6986:H7033" si="980">SUM(C6986,C6962,C6938,C6914,C6890,C6866,C6842,C6818,C6794,C6770,C6746,C6722,C6698,C6674)/SUM(C6650,C6626,C6602,C6578,C6554,C6530,C6506,C6482,C6458,C6434,C6410,C6386,C6362,C6338)</f>
        <v>0.97308567096285059</v>
      </c>
      <c r="I6986" s="301">
        <f>G6986*H6986</f>
        <v>128.16269053566546</v>
      </c>
      <c r="J6986" s="301">
        <f>AVERAGE(C6986,C6962,C6938,C6914,C6890,C6866,C6842)</f>
        <v>1957.4285714285713</v>
      </c>
      <c r="K6986" s="301">
        <f>J6986/POBLA!$B$1*100000</f>
        <v>11.159072100432757</v>
      </c>
      <c r="L6986" s="548">
        <f t="shared" ref="L6986:L7033" si="981">1-SUM(C6986,C6962,C6938,C6914,C6890,C6866,C6842)/SUM(C6818,C6794,C6770,C6746,C6722,C6698,C6674)</f>
        <v>-0.45750452079566006</v>
      </c>
      <c r="M6986" s="400">
        <f>SUM(C6986,C6962,C6938,C6914,C6890,C6866,C6842)/POBLA!$B$1*100000</f>
        <v>78.113504703029292</v>
      </c>
    </row>
    <row r="6987" spans="1:13" s="360" customFormat="1" ht="15.75" thickBot="1" x14ac:dyDescent="0.3">
      <c r="A6987" s="367" t="s">
        <v>43</v>
      </c>
      <c r="B6987" s="266">
        <v>44184</v>
      </c>
      <c r="C6987" s="1">
        <v>501</v>
      </c>
      <c r="D6987" s="39">
        <f t="shared" si="976"/>
        <v>165695</v>
      </c>
      <c r="E6987" s="1">
        <v>3</v>
      </c>
      <c r="F6987" s="409">
        <f t="shared" si="977"/>
        <v>5382</v>
      </c>
      <c r="G6987" s="168">
        <f>SUM(C6987,C6963,C6939,C6915,C6891,C6867,C6843,C6819,C6795,C6771,C6747,C6723,C6699,C6675)/POBLA!$B$2*100000</f>
        <v>170.63082032197462</v>
      </c>
      <c r="H6987" s="256">
        <f t="shared" si="980"/>
        <v>1.2412488174077578</v>
      </c>
      <c r="I6987" s="297">
        <f t="shared" ref="I6987:I7009" si="982">G6987*H6987</f>
        <v>211.79530393796662</v>
      </c>
      <c r="J6987" s="297">
        <f t="shared" ref="J6987:J7009" si="983">AVERAGE(C6987,C6963,C6939,C6915,C6891,C6867,C6843)</f>
        <v>447.42857142857144</v>
      </c>
      <c r="K6987" s="297">
        <f>J6987/POBLA!$B$2*100000</f>
        <v>14.547466497398316</v>
      </c>
      <c r="L6987" s="549">
        <f t="shared" si="981"/>
        <v>-0.48015122873345928</v>
      </c>
      <c r="M6987" s="401">
        <f>SUM(C6987,C6963,C6939,C6915,C6891,C6867,C6843)/POBLA!$B$2*100000</f>
        <v>101.83226548178821</v>
      </c>
    </row>
    <row r="6988" spans="1:13" s="360" customFormat="1" ht="15.75" thickBot="1" x14ac:dyDescent="0.3">
      <c r="A6988" s="367" t="s">
        <v>28</v>
      </c>
      <c r="B6988" s="266">
        <v>44184</v>
      </c>
      <c r="C6988" s="1">
        <v>29</v>
      </c>
      <c r="D6988" s="39">
        <f t="shared" si="976"/>
        <v>2304</v>
      </c>
      <c r="E6988" s="1"/>
      <c r="F6988" s="409">
        <f t="shared" si="977"/>
        <v>17</v>
      </c>
      <c r="G6988" s="168">
        <f>SUM(C6988,C6964,C6940,C6916,C6892,C6868,C6844,C6820,C6796,C6772,C6748,C6724,C6700,C6676)/POBLA!$B$3*100000</f>
        <v>86.655529826351938</v>
      </c>
      <c r="H6988" s="256">
        <f t="shared" si="980"/>
        <v>1.3186813186813187</v>
      </c>
      <c r="I6988" s="297">
        <f t="shared" si="982"/>
        <v>114.27102834244211</v>
      </c>
      <c r="J6988" s="297">
        <f t="shared" si="983"/>
        <v>27</v>
      </c>
      <c r="K6988" s="297">
        <f>J6988/POBLA!$B$3*100000</f>
        <v>6.4991647369763959</v>
      </c>
      <c r="L6988" s="549">
        <f t="shared" si="981"/>
        <v>-0.10526315789473695</v>
      </c>
      <c r="M6988" s="401">
        <f>SUM(C6988,C6964,C6940,C6916,C6892,C6868,C6844)/POBLA!$B$3*100000</f>
        <v>45.49415315883477</v>
      </c>
    </row>
    <row r="6989" spans="1:13" s="360" customFormat="1" ht="15.75" thickBot="1" x14ac:dyDescent="0.3">
      <c r="A6989" s="367" t="s">
        <v>15</v>
      </c>
      <c r="B6989" s="266">
        <v>44184</v>
      </c>
      <c r="C6989" s="1">
        <v>138</v>
      </c>
      <c r="D6989" s="39">
        <f t="shared" si="976"/>
        <v>22735</v>
      </c>
      <c r="E6989" s="1">
        <v>2</v>
      </c>
      <c r="F6989" s="409">
        <f t="shared" si="977"/>
        <v>645</v>
      </c>
      <c r="G6989" s="168">
        <f>SUM(C6989,C6965,C6941,C6917,C6893,C6869,C6845,C6821,C6797,C6773,C6749,C6725,C6701,C6677)/POBLA!$B$4*100000</f>
        <v>177.57801519416941</v>
      </c>
      <c r="H6989" s="256">
        <f t="shared" si="980"/>
        <v>0.72829417773238003</v>
      </c>
      <c r="I6989" s="297">
        <f t="shared" si="982"/>
        <v>129.32903455918569</v>
      </c>
      <c r="J6989" s="297">
        <f t="shared" si="983"/>
        <v>163.14285714285714</v>
      </c>
      <c r="K6989" s="297">
        <f>J6989/POBLA!$B$4*100000</f>
        <v>13.543985397164327</v>
      </c>
      <c r="L6989" s="549">
        <f t="shared" si="981"/>
        <v>-0.14543630892678028</v>
      </c>
      <c r="M6989" s="401">
        <f>SUM(C6989,C6965,C6941,C6917,C6893,C6869,C6845)/POBLA!$B$4*100000</f>
        <v>94.807897780150284</v>
      </c>
    </row>
    <row r="6990" spans="1:13" s="360" customFormat="1" ht="15.75" thickBot="1" x14ac:dyDescent="0.3">
      <c r="A6990" s="367" t="s">
        <v>29</v>
      </c>
      <c r="B6990" s="266">
        <v>44184</v>
      </c>
      <c r="C6990" s="1">
        <v>322</v>
      </c>
      <c r="D6990" s="39">
        <f t="shared" si="976"/>
        <v>28015</v>
      </c>
      <c r="E6990" s="1">
        <v>11</v>
      </c>
      <c r="F6990" s="409">
        <f t="shared" si="977"/>
        <v>484</v>
      </c>
      <c r="G6990" s="168">
        <f>SUM(C6990,C6966,C6942,C6918,C6894,C6870,C6846,C6822,C6798,C6774,C6750,C6726,C6702,C6678)/POBLA!$B$5*100000</f>
        <v>582.23504589705237</v>
      </c>
      <c r="H6990" s="256">
        <f t="shared" si="980"/>
        <v>1.0631268436578172</v>
      </c>
      <c r="I6990" s="297">
        <f t="shared" si="982"/>
        <v>618.98970661149758</v>
      </c>
      <c r="J6990" s="297">
        <f t="shared" si="983"/>
        <v>295.85714285714283</v>
      </c>
      <c r="K6990" s="297">
        <f>J6990/POBLA!$B$5*100000</f>
        <v>47.796447599999809</v>
      </c>
      <c r="L6990" s="549">
        <f t="shared" si="981"/>
        <v>-0.35094585779517296</v>
      </c>
      <c r="M6990" s="401">
        <f>SUM(C6990,C6966,C6942,C6918,C6894,C6870,C6846)/POBLA!$B$5*100000</f>
        <v>334.57513319999873</v>
      </c>
    </row>
    <row r="6991" spans="1:13" s="360" customFormat="1" ht="15.75" thickBot="1" x14ac:dyDescent="0.3">
      <c r="A6991" s="367" t="s">
        <v>20</v>
      </c>
      <c r="B6991" s="266">
        <v>44184</v>
      </c>
      <c r="C6991" s="1">
        <v>262</v>
      </c>
      <c r="D6991" s="39">
        <f t="shared" si="976"/>
        <v>122238</v>
      </c>
      <c r="E6991" s="1">
        <v>8</v>
      </c>
      <c r="F6991" s="409">
        <f t="shared" si="977"/>
        <v>2385</v>
      </c>
      <c r="G6991" s="168">
        <f>SUM(C6991,C6967,C6943,C6919,C6895,C6871,C6847,C6823,C6799,C6775,C6751,C6727,C6703,C6679)/POBLA!$B$6*100000</f>
        <v>445.03886060058829</v>
      </c>
      <c r="H6991" s="256">
        <f t="shared" si="980"/>
        <v>0.58848513449740447</v>
      </c>
      <c r="I6991" s="297">
        <f t="shared" si="982"/>
        <v>261.89875373710885</v>
      </c>
      <c r="J6991" s="297">
        <f t="shared" si="983"/>
        <v>386.57142857142856</v>
      </c>
      <c r="K6991" s="297">
        <f>J6991/POBLA!$B$6*100000</f>
        <v>34.490639156409436</v>
      </c>
      <c r="L6991" s="549">
        <f t="shared" si="981"/>
        <v>-0.18580192813321639</v>
      </c>
      <c r="M6991" s="401">
        <f>SUM(C6991,C6967,C6943,C6919,C6895,C6871,C6847)/POBLA!$B$6*100000</f>
        <v>241.43447409486606</v>
      </c>
    </row>
    <row r="6992" spans="1:13" s="360" customFormat="1" ht="15.75" thickBot="1" x14ac:dyDescent="0.3">
      <c r="A6992" s="367" t="s">
        <v>30</v>
      </c>
      <c r="B6992" s="266">
        <v>44184</v>
      </c>
      <c r="C6992" s="1">
        <v>100</v>
      </c>
      <c r="D6992" s="39">
        <f t="shared" si="976"/>
        <v>10300</v>
      </c>
      <c r="E6992" s="1">
        <v>2</v>
      </c>
      <c r="F6992" s="409">
        <f t="shared" si="977"/>
        <v>143</v>
      </c>
      <c r="G6992" s="168">
        <f>SUM(C6992,C6968,C6944,C6920,C6896,C6872,C6848,C6824,C6800,C6776,C6752,C6728,C6704,C6680)/POBLA!$B$7*100000</f>
        <v>45.473281123269821</v>
      </c>
      <c r="H6992" s="256">
        <f t="shared" si="980"/>
        <v>0.44752682543836692</v>
      </c>
      <c r="I6992" s="297">
        <f t="shared" si="982"/>
        <v>20.350513143363358</v>
      </c>
      <c r="J6992" s="297">
        <f t="shared" si="983"/>
        <v>113.42857142857143</v>
      </c>
      <c r="K6992" s="297">
        <f>J6992/POBLA!$B$7*100000</f>
        <v>3.0163563251358596</v>
      </c>
      <c r="L6992" s="549">
        <f t="shared" si="981"/>
        <v>0.13318777292576423</v>
      </c>
      <c r="M6992" s="401">
        <f>SUM(C6992,C6968,C6944,C6920,C6896,C6872,C6848)/POBLA!$B$7*100000</f>
        <v>21.114494275951017</v>
      </c>
    </row>
    <row r="6993" spans="1:13" ht="15.75" thickBot="1" x14ac:dyDescent="0.3">
      <c r="A6993" s="367" t="s">
        <v>31</v>
      </c>
      <c r="B6993" s="266">
        <v>44184</v>
      </c>
      <c r="C6993" s="1">
        <v>210</v>
      </c>
      <c r="D6993" s="39">
        <f t="shared" si="976"/>
        <v>26808</v>
      </c>
      <c r="E6993" s="1">
        <v>2</v>
      </c>
      <c r="F6993" s="409">
        <f t="shared" si="977"/>
        <v>553</v>
      </c>
      <c r="G6993" s="168">
        <f>SUM(C6993,C6969,C6945,C6921,C6897,C6873,C6849,C6825,C6801,C6777,C6753,C6729,C6705,C6681)/POBLA!$B$8*100000</f>
        <v>174.24732730574669</v>
      </c>
      <c r="H6993" s="256">
        <f t="shared" si="980"/>
        <v>0.90280373831775695</v>
      </c>
      <c r="I6993" s="297">
        <f t="shared" si="982"/>
        <v>157.31113848350589</v>
      </c>
      <c r="J6993" s="297">
        <f t="shared" si="983"/>
        <v>174.71428571428572</v>
      </c>
      <c r="K6993" s="297">
        <f>J6993/POBLA!$B$8*100000</f>
        <v>12.606003034305131</v>
      </c>
      <c r="L6993" s="549">
        <f t="shared" si="981"/>
        <v>-2.6006711409396033E-2</v>
      </c>
      <c r="M6993" s="401">
        <f>SUM(C6993,C6969,C6945,C6921,C6897,C6873,C6849)/POBLA!$B$8*100000</f>
        <v>88.242021240135912</v>
      </c>
    </row>
    <row r="6994" spans="1:13" s="360" customFormat="1" ht="15.75" thickBot="1" x14ac:dyDescent="0.3">
      <c r="A6994" s="367" t="s">
        <v>41</v>
      </c>
      <c r="B6994" s="266">
        <v>44184</v>
      </c>
      <c r="C6994" s="1">
        <v>0</v>
      </c>
      <c r="D6994" s="39">
        <f t="shared" si="976"/>
        <v>201</v>
      </c>
      <c r="E6994" s="1"/>
      <c r="F6994" s="409">
        <f t="shared" si="977"/>
        <v>3</v>
      </c>
      <c r="G6994" s="168">
        <f>SUM(C6994,C6970,C6946,C6922,C6898,C6874,C6850,C6826,C6802,C6778,C6754,C6730,C6706,C6682)/POBLA!$B$9*100000</f>
        <v>1.8176019881261019</v>
      </c>
      <c r="H6994" s="256">
        <f t="shared" si="980"/>
        <v>1</v>
      </c>
      <c r="I6994" s="297">
        <f t="shared" si="982"/>
        <v>1.8176019881261019</v>
      </c>
      <c r="J6994" s="297">
        <f t="shared" si="983"/>
        <v>0.7142857142857143</v>
      </c>
      <c r="K6994" s="297">
        <f>J6994/POBLA!$B$9*100000</f>
        <v>0.11802610312507156</v>
      </c>
      <c r="L6994" s="549">
        <f t="shared" si="981"/>
        <v>0.16666666666666663</v>
      </c>
      <c r="M6994" s="401">
        <f>SUM(C6994,C6970,C6946,C6922,C6898,C6874,C6850)/POBLA!$B$9*100000</f>
        <v>0.82618272187550079</v>
      </c>
    </row>
    <row r="6995" spans="1:13" s="360" customFormat="1" ht="15.75" thickBot="1" x14ac:dyDescent="0.3">
      <c r="A6995" s="367" t="s">
        <v>32</v>
      </c>
      <c r="B6995" s="266">
        <v>44184</v>
      </c>
      <c r="C6995" s="1">
        <v>4</v>
      </c>
      <c r="D6995" s="39">
        <f t="shared" si="976"/>
        <v>18482</v>
      </c>
      <c r="E6995" s="1">
        <v>1</v>
      </c>
      <c r="F6995" s="409">
        <f t="shared" si="977"/>
        <v>857</v>
      </c>
      <c r="G6995" s="168">
        <f>SUM(C6995,C6971,C6947,C6923,C6899,C6875,C6851,C6827,C6803,C6779,C6755,C6731,C6707,C6683)/POBLA!$B$10*100000</f>
        <v>8.6913544373256055</v>
      </c>
      <c r="H6995" s="256">
        <f t="shared" si="980"/>
        <v>0.51538461538461533</v>
      </c>
      <c r="I6995" s="297">
        <f t="shared" si="982"/>
        <v>4.4793903638524268</v>
      </c>
      <c r="J6995" s="297">
        <f t="shared" si="983"/>
        <v>4.8571428571428568</v>
      </c>
      <c r="K6995" s="297">
        <f>J6995/POBLA!$B$10*100000</f>
        <v>0.63007686752467063</v>
      </c>
      <c r="L6995" s="549">
        <f t="shared" si="981"/>
        <v>-3.0303030303030276E-2</v>
      </c>
      <c r="M6995" s="401">
        <f>SUM(C6995,C6971,C6947,C6923,C6899,C6875,C6851)/POBLA!$B$10*100000</f>
        <v>4.4105380726726953</v>
      </c>
    </row>
    <row r="6996" spans="1:13" s="360" customFormat="1" ht="15.75" thickBot="1" x14ac:dyDescent="0.3">
      <c r="A6996" s="367" t="s">
        <v>33</v>
      </c>
      <c r="B6996" s="266">
        <v>44184</v>
      </c>
      <c r="C6996" s="1">
        <v>203</v>
      </c>
      <c r="D6996" s="39">
        <f t="shared" si="976"/>
        <v>8101</v>
      </c>
      <c r="E6996" s="1"/>
      <c r="F6996" s="409">
        <f t="shared" si="977"/>
        <v>105</v>
      </c>
      <c r="G6996" s="168">
        <f>SUM(C6996,C6972,C6948,C6924,C6900,C6876,C6852,C6828,C6804,C6780,C6756,C6732,C6708,C6684)/POBLA!$B$11*100000</f>
        <v>525.07058600332562</v>
      </c>
      <c r="H6996" s="256">
        <f t="shared" si="980"/>
        <v>1.7078039927404718</v>
      </c>
      <c r="I6996" s="297">
        <f t="shared" si="982"/>
        <v>896.71764324705873</v>
      </c>
      <c r="J6996" s="297">
        <f t="shared" si="983"/>
        <v>178.71428571428572</v>
      </c>
      <c r="K6996" s="297">
        <f>J6996/POBLA!$B$11*100000</f>
        <v>49.86058168287235</v>
      </c>
      <c r="L6996" s="549">
        <f t="shared" si="981"/>
        <v>-0.98256735340729007</v>
      </c>
      <c r="M6996" s="401">
        <f>SUM(C6996,C6972,C6948,C6924,C6900,C6876,C6852)/POBLA!$B$11*100000</f>
        <v>349.02407178010645</v>
      </c>
    </row>
    <row r="6997" spans="1:13" s="360" customFormat="1" ht="15.75" thickBot="1" x14ac:dyDescent="0.3">
      <c r="A6997" s="367" t="s">
        <v>21</v>
      </c>
      <c r="B6997" s="266">
        <v>44184</v>
      </c>
      <c r="C6997" s="1">
        <v>5</v>
      </c>
      <c r="D6997" s="39">
        <f t="shared" si="976"/>
        <v>8994</v>
      </c>
      <c r="E6997" s="1">
        <v>9</v>
      </c>
      <c r="F6997" s="409">
        <f t="shared" si="977"/>
        <v>348</v>
      </c>
      <c r="G6997" s="168">
        <f>SUM(C6997,C6973,C6949,C6925,C6901,C6877,C6853,C6829,C6805,C6781,C6757,C6733,C6709,C6685)/POBLA!$B$12*100000</f>
        <v>40.657533968099081</v>
      </c>
      <c r="H6997" s="256">
        <f t="shared" si="980"/>
        <v>0.45584045584045585</v>
      </c>
      <c r="I6997" s="297">
        <f t="shared" si="982"/>
        <v>18.533348817367102</v>
      </c>
      <c r="J6997" s="297">
        <f t="shared" si="983"/>
        <v>10.142857142857142</v>
      </c>
      <c r="K6997" s="297">
        <f>J6997/POBLA!$B$12*100000</f>
        <v>2.5773972426205667</v>
      </c>
      <c r="L6997" s="549">
        <f t="shared" si="981"/>
        <v>0.202247191011236</v>
      </c>
      <c r="M6997" s="401">
        <f>SUM(C6997,C6973,C6949,C6925,C6901,C6877,C6853)/POBLA!$B$12*100000</f>
        <v>18.041780698343967</v>
      </c>
    </row>
    <row r="6998" spans="1:13" s="360" customFormat="1" ht="15.75" thickBot="1" x14ac:dyDescent="0.3">
      <c r="A6998" s="367" t="s">
        <v>17</v>
      </c>
      <c r="B6998" s="266">
        <v>44184</v>
      </c>
      <c r="C6998" s="1">
        <v>82</v>
      </c>
      <c r="D6998" s="39">
        <f t="shared" si="976"/>
        <v>58954</v>
      </c>
      <c r="E6998" s="1"/>
      <c r="F6998" s="409">
        <f t="shared" si="977"/>
        <v>1199</v>
      </c>
      <c r="G6998" s="168">
        <f>SUM(C6998,C6974,C6950,C6926,C6902,C6878,C6854,C6830,C6806,C6782,C6758,C6734,C6710,C6686)/POBLA!$B$13*100000</f>
        <v>71.6963651399913</v>
      </c>
      <c r="H6998" s="256">
        <f t="shared" si="980"/>
        <v>0.57309236947791165</v>
      </c>
      <c r="I6998" s="297">
        <f t="shared" si="982"/>
        <v>41.088639781031162</v>
      </c>
      <c r="J6998" s="297">
        <f t="shared" si="983"/>
        <v>116.57142857142857</v>
      </c>
      <c r="K6998" s="297">
        <f>J6998/POBLA!$B$13*100000</f>
        <v>5.8568659479660523</v>
      </c>
      <c r="L6998" s="549">
        <f t="shared" si="981"/>
        <v>-0.33551554828150576</v>
      </c>
      <c r="M6998" s="401">
        <f>SUM(C6998,C6974,C6950,C6926,C6902,C6878,C6854)/POBLA!$B$13*100000</f>
        <v>40.998061635762369</v>
      </c>
    </row>
    <row r="6999" spans="1:13" s="360" customFormat="1" ht="15.75" thickBot="1" x14ac:dyDescent="0.3">
      <c r="A6999" s="367" t="s">
        <v>23</v>
      </c>
      <c r="B6999" s="266">
        <v>44184</v>
      </c>
      <c r="C6999" s="1">
        <v>24</v>
      </c>
      <c r="D6999" s="39">
        <f t="shared" si="976"/>
        <v>846</v>
      </c>
      <c r="E6999" s="1"/>
      <c r="F6999" s="409">
        <f t="shared" si="977"/>
        <v>11</v>
      </c>
      <c r="G6999" s="168">
        <f>SUM(C6999,C6975,C6951,C6927,C6903,C6879,C6855,C6831,C6807,C6783,C6759,C6735,C6711,C6687)/POBLA!$B$14*100000</f>
        <v>22.040856453768907</v>
      </c>
      <c r="H6999" s="256">
        <f t="shared" si="980"/>
        <v>2.0902255639097747</v>
      </c>
      <c r="I6999" s="297">
        <f t="shared" si="982"/>
        <v>46.07036161013351</v>
      </c>
      <c r="J6999" s="297">
        <f t="shared" si="983"/>
        <v>27.285714285714285</v>
      </c>
      <c r="K6999" s="297">
        <f>J6999/POBLA!$B$14*100000</f>
        <v>2.1633111935610794</v>
      </c>
      <c r="L6999" s="549">
        <f t="shared" si="981"/>
        <v>-1.1954022988505746</v>
      </c>
      <c r="M6999" s="401">
        <f>SUM(C6999,C6975,C6951,C6927,C6903,C6879,C6855)/POBLA!$B$14*100000</f>
        <v>15.143178354927558</v>
      </c>
    </row>
    <row r="7000" spans="1:13" s="360" customFormat="1" ht="15.75" thickBot="1" x14ac:dyDescent="0.3">
      <c r="A7000" s="367" t="s">
        <v>19</v>
      </c>
      <c r="B7000" s="266">
        <v>44184</v>
      </c>
      <c r="C7000" s="1">
        <v>215</v>
      </c>
      <c r="D7000" s="39">
        <f t="shared" si="976"/>
        <v>37910</v>
      </c>
      <c r="E7000" s="1"/>
      <c r="F7000" s="409">
        <f t="shared" si="977"/>
        <v>681</v>
      </c>
      <c r="G7000" s="168">
        <f>SUM(C7000,C6976,C6952,C6928,C6904,C6880,C6856,C6832,C6808,C6784,C6760,C6736,C6712,C6688)/POBLA!$B$15*100000</f>
        <v>552.0610429526381</v>
      </c>
      <c r="H7000" s="256">
        <f t="shared" si="980"/>
        <v>0.77178947368421058</v>
      </c>
      <c r="I7000" s="297">
        <f t="shared" si="982"/>
        <v>426.07490178197293</v>
      </c>
      <c r="J7000" s="297">
        <f t="shared" si="983"/>
        <v>156.28571428571428</v>
      </c>
      <c r="K7000" s="297">
        <f>J7000/POBLA!$B$15*100000</f>
        <v>23.534984841017305</v>
      </c>
      <c r="L7000" s="549">
        <f t="shared" si="981"/>
        <v>0.5746500777604977</v>
      </c>
      <c r="M7000" s="401">
        <f>SUM(C7000,C6976,C6952,C6928,C6904,C6880,C6856)/POBLA!$B$15*100000</f>
        <v>164.74489388712115</v>
      </c>
    </row>
    <row r="7001" spans="1:13" s="360" customFormat="1" ht="15.75" thickBot="1" x14ac:dyDescent="0.3">
      <c r="A7001" s="367" t="s">
        <v>18</v>
      </c>
      <c r="B7001" s="266">
        <v>44184</v>
      </c>
      <c r="C7001" s="1">
        <v>204</v>
      </c>
      <c r="D7001" s="39">
        <f t="shared" si="976"/>
        <v>35561</v>
      </c>
      <c r="E7001" s="1">
        <v>5</v>
      </c>
      <c r="F7001" s="409">
        <f t="shared" si="977"/>
        <v>867</v>
      </c>
      <c r="G7001" s="168">
        <f>SUM(C7001,C6977,C6953,C6929,C6905,C6881,C6857,C6833,C6809,C6785,C6761,C6737,C6713,C6689)/POBLA!$B$16*100000</f>
        <v>374.25930632281541</v>
      </c>
      <c r="H7001" s="256">
        <f t="shared" si="980"/>
        <v>0.9824438202247191</v>
      </c>
      <c r="I7001" s="297">
        <f t="shared" si="982"/>
        <v>367.68874265844016</v>
      </c>
      <c r="J7001" s="297">
        <f t="shared" si="983"/>
        <v>211.57142857142858</v>
      </c>
      <c r="K7001" s="297">
        <f>J7001/POBLA!$B$16*100000</f>
        <v>28.299705537837724</v>
      </c>
      <c r="L7001" s="549">
        <f t="shared" si="981"/>
        <v>-0.12452543659832949</v>
      </c>
      <c r="M7001" s="401">
        <f>SUM(C7001,C6977,C6953,C6929,C6905,C6881,C6857)/POBLA!$B$16*100000</f>
        <v>198.09793876486404</v>
      </c>
    </row>
    <row r="7002" spans="1:13" s="360" customFormat="1" ht="15.75" thickBot="1" x14ac:dyDescent="0.3">
      <c r="A7002" s="367" t="s">
        <v>34</v>
      </c>
      <c r="B7002" s="266">
        <v>44184</v>
      </c>
      <c r="C7002" s="1">
        <v>67</v>
      </c>
      <c r="D7002" s="39">
        <f t="shared" si="976"/>
        <v>21924</v>
      </c>
      <c r="E7002" s="1">
        <v>1</v>
      </c>
      <c r="F7002" s="409">
        <f t="shared" si="977"/>
        <v>1008</v>
      </c>
      <c r="G7002" s="168">
        <f>SUM(C7002,C6978,C6954,C6930,C6906,C6882,C6858,C6834,C6810,C6786,C6762,C6738,C6714,C6690)/POBLA!$B$17*100000</f>
        <v>36.50667615840247</v>
      </c>
      <c r="H7002" s="256">
        <f t="shared" si="980"/>
        <v>0.76696165191740417</v>
      </c>
      <c r="I7002" s="297">
        <f t="shared" si="982"/>
        <v>27.999220652462075</v>
      </c>
      <c r="J7002" s="297">
        <f t="shared" si="983"/>
        <v>53.428571428571431</v>
      </c>
      <c r="K7002" s="297">
        <f>J7002/POBLA!$B$17*100000</f>
        <v>3.750960682209485</v>
      </c>
      <c r="L7002" s="549">
        <f t="shared" si="981"/>
        <v>-1.5616438356164384</v>
      </c>
      <c r="M7002" s="401">
        <f>SUM(C7002,C6978,C6954,C6930,C6906,C6882,C6858)/POBLA!$B$17*100000</f>
        <v>26.256724775466392</v>
      </c>
    </row>
    <row r="7003" spans="1:13" s="360" customFormat="1" ht="15.75" thickBot="1" x14ac:dyDescent="0.3">
      <c r="A7003" s="367" t="s">
        <v>35</v>
      </c>
      <c r="B7003" s="266">
        <v>44184</v>
      </c>
      <c r="C7003" s="1">
        <v>19</v>
      </c>
      <c r="D7003" s="39">
        <f t="shared" si="976"/>
        <v>10276</v>
      </c>
      <c r="E7003" s="1"/>
      <c r="F7003" s="409">
        <f t="shared" si="977"/>
        <v>196</v>
      </c>
      <c r="G7003" s="168">
        <f>SUM(C7003,C6979,C6955,C6931,C6907,C6883,C6859,C6835,C6811,C6787,C6763,C6739,C6715,C6691)/POBLA!$B$18*100000</f>
        <v>234.37790012250116</v>
      </c>
      <c r="H7003" s="256">
        <f t="shared" si="980"/>
        <v>0.65934461649261789</v>
      </c>
      <c r="I7003" s="297">
        <f t="shared" si="982"/>
        <v>154.53580667061561</v>
      </c>
      <c r="J7003" s="297">
        <f t="shared" si="983"/>
        <v>150.71428571428572</v>
      </c>
      <c r="K7003" s="297">
        <f>J7003/POBLA!$B$18*100000</f>
        <v>19.29224347579299</v>
      </c>
      <c r="L7003" s="549">
        <f t="shared" si="981"/>
        <v>-0.35953608247422686</v>
      </c>
      <c r="M7003" s="401">
        <f>SUM(C7003,C6979,C6955,C6931,C6907,C6883,C6859)/POBLA!$B$18*100000</f>
        <v>135.0457043305509</v>
      </c>
    </row>
    <row r="7004" spans="1:13" s="360" customFormat="1" ht="15.75" thickBot="1" x14ac:dyDescent="0.3">
      <c r="A7004" s="367" t="s">
        <v>36</v>
      </c>
      <c r="B7004" s="266">
        <v>44184</v>
      </c>
      <c r="C7004" s="1">
        <v>31</v>
      </c>
      <c r="D7004" s="39">
        <f t="shared" si="976"/>
        <v>15862</v>
      </c>
      <c r="E7004" s="1"/>
      <c r="F7004" s="409">
        <f t="shared" si="977"/>
        <v>277</v>
      </c>
      <c r="G7004" s="168">
        <f>SUM(C7004,C6980,C6956,C6932,C6908,C6884,C6860,C6836,C6812,C6788,C6764,C6740,C6716,C6692)/POBLA!$B$19*100000</f>
        <v>153.05078610660834</v>
      </c>
      <c r="H7004" s="256">
        <f t="shared" si="980"/>
        <v>0.38006839276990717</v>
      </c>
      <c r="I7004" s="297">
        <f t="shared" si="982"/>
        <v>58.169766287709471</v>
      </c>
      <c r="J7004" s="297">
        <f t="shared" si="983"/>
        <v>57.714285714285715</v>
      </c>
      <c r="K7004" s="297">
        <f>J7004/POBLA!$B$19*100000</f>
        <v>11.353749097882808</v>
      </c>
      <c r="L7004" s="549">
        <f t="shared" si="981"/>
        <v>-8.0213903743315607E-2</v>
      </c>
      <c r="M7004" s="401">
        <f>SUM(C7004,C6980,C6956,C6932,C6908,C6884,C6860)/POBLA!$B$19*100000</f>
        <v>79.476243685179639</v>
      </c>
    </row>
    <row r="7005" spans="1:13" s="360" customFormat="1" ht="15.75" thickBot="1" x14ac:dyDescent="0.3">
      <c r="A7005" s="367" t="s">
        <v>37</v>
      </c>
      <c r="B7005" s="266">
        <v>44184</v>
      </c>
      <c r="C7005" s="1">
        <v>254</v>
      </c>
      <c r="D7005" s="39">
        <f t="shared" si="976"/>
        <v>20507</v>
      </c>
      <c r="E7005" s="1"/>
      <c r="F7005" s="409">
        <f t="shared" si="977"/>
        <v>351</v>
      </c>
      <c r="G7005" s="168">
        <f>SUM(C7005,C6981,C6957,C6933,C6909,C6885,C6861,C6837,C6813,C6789,C6765,C6741,C6717,C6693)/POBLA!$B$20*100000</f>
        <v>924.80680780316004</v>
      </c>
      <c r="H7005" s="256">
        <f t="shared" si="980"/>
        <v>1.0857142857142856</v>
      </c>
      <c r="I7005" s="297">
        <f t="shared" si="982"/>
        <v>1004.0759627577165</v>
      </c>
      <c r="J7005" s="297">
        <f t="shared" si="983"/>
        <v>267.57142857142856</v>
      </c>
      <c r="K7005" s="297">
        <f>J7005/POBLA!$B$20*100000</f>
        <v>73.167320732251355</v>
      </c>
      <c r="L7005" s="549">
        <f t="shared" si="981"/>
        <v>-0.24121935056328692</v>
      </c>
      <c r="M7005" s="401">
        <f>SUM(C7005,C6981,C6957,C6933,C6909,C6885,C6861)/POBLA!$B$20*100000</f>
        <v>512.17124512575947</v>
      </c>
    </row>
    <row r="7006" spans="1:13" s="360" customFormat="1" ht="15.75" thickBot="1" x14ac:dyDescent="0.3">
      <c r="A7006" s="367" t="s">
        <v>22</v>
      </c>
      <c r="B7006" s="266">
        <v>44184</v>
      </c>
      <c r="C7006" s="1">
        <v>742</v>
      </c>
      <c r="D7006" s="39">
        <f t="shared" si="976"/>
        <v>166011</v>
      </c>
      <c r="E7006" s="1">
        <v>14</v>
      </c>
      <c r="F7006" s="409">
        <f t="shared" si="977"/>
        <v>2712</v>
      </c>
      <c r="G7006" s="168">
        <f>SUM(C7006,C6982,C6958,C6934,C6910,C6886,C6862,C6838,C6814,C6790,C6766,C6742,C6718,C6694)/POBLA!$B$21*100000</f>
        <v>349.50619525180565</v>
      </c>
      <c r="H7006" s="256">
        <f t="shared" si="980"/>
        <v>0.75421039785208688</v>
      </c>
      <c r="I7006" s="297">
        <f t="shared" si="982"/>
        <v>263.60120657263349</v>
      </c>
      <c r="J7006" s="297">
        <f t="shared" si="983"/>
        <v>937.57142857142856</v>
      </c>
      <c r="K7006" s="297">
        <f>J7006/POBLA!$B$21*100000</f>
        <v>26.51189504666667</v>
      </c>
      <c r="L7006" s="549">
        <f t="shared" si="981"/>
        <v>-0.132137312402967</v>
      </c>
      <c r="M7006" s="401">
        <f>SUM(C7006,C6982,C6958,C6934,C6910,C6886,C6862)/POBLA!$B$21*100000</f>
        <v>185.58326532666672</v>
      </c>
    </row>
    <row r="7007" spans="1:13" s="360" customFormat="1" ht="15.75" thickBot="1" x14ac:dyDescent="0.3">
      <c r="A7007" s="367" t="s">
        <v>38</v>
      </c>
      <c r="B7007" s="266">
        <v>44184</v>
      </c>
      <c r="C7007" s="1">
        <v>28</v>
      </c>
      <c r="D7007" s="39">
        <f t="shared" si="976"/>
        <v>16794</v>
      </c>
      <c r="E7007" s="1"/>
      <c r="F7007" s="409">
        <f t="shared" si="977"/>
        <v>213</v>
      </c>
      <c r="G7007" s="168">
        <f>SUM(C7007,C6983,C6959,C6935,C6911,C6887,C6863,C6839,C6815,C6791,C6767,C6743,C6719,C6695)/POBLA!$B$22*100000</f>
        <v>70.222924565042064</v>
      </c>
      <c r="H7007" s="256">
        <f t="shared" si="980"/>
        <v>0.39414802065404475</v>
      </c>
      <c r="I7007" s="297">
        <f t="shared" si="982"/>
        <v>27.678226721849626</v>
      </c>
      <c r="J7007" s="297">
        <f t="shared" si="983"/>
        <v>50.142857142857146</v>
      </c>
      <c r="K7007" s="297">
        <f>J7007/POBLA!$B$22*100000</f>
        <v>5.1254411566499831</v>
      </c>
      <c r="L7007" s="549">
        <f t="shared" si="981"/>
        <v>-4.4642857142857206E-2</v>
      </c>
      <c r="M7007" s="401">
        <f>SUM(C7007,C6983,C6959,C6935,C6911,C6887,C6863)/POBLA!$B$22*100000</f>
        <v>35.878088096549881</v>
      </c>
    </row>
    <row r="7008" spans="1:13" s="360" customFormat="1" ht="15.75" thickBot="1" x14ac:dyDescent="0.3">
      <c r="A7008" s="367" t="s">
        <v>39</v>
      </c>
      <c r="B7008" s="266">
        <v>44184</v>
      </c>
      <c r="C7008" s="1">
        <v>69</v>
      </c>
      <c r="D7008" s="39">
        <f t="shared" si="976"/>
        <v>18089</v>
      </c>
      <c r="E7008" s="1"/>
      <c r="F7008" s="409">
        <f t="shared" si="977"/>
        <v>244</v>
      </c>
      <c r="G7008" s="168">
        <f>SUM(C7008,C6984,C6960,C6936,C6912,C6888,C6864,C6840,C6816,C6792,C6768,C6744,C6720,C6696)/POBLA!$B$23*100000</f>
        <v>794.54843635129794</v>
      </c>
      <c r="H7008" s="256">
        <f t="shared" si="980"/>
        <v>0.93791722296395197</v>
      </c>
      <c r="I7008" s="297">
        <f t="shared" si="982"/>
        <v>745.22066293295973</v>
      </c>
      <c r="J7008" s="297">
        <f t="shared" si="983"/>
        <v>94.142857142857139</v>
      </c>
      <c r="K7008" s="297">
        <f>J7008/POBLA!$B$23*100000</f>
        <v>53.239188566904453</v>
      </c>
      <c r="L7008" s="549">
        <f t="shared" si="981"/>
        <v>0.11662198391420908</v>
      </c>
      <c r="M7008" s="401">
        <f>SUM(C7008,C6984,C6960,C6936,C6912,C6888,C6864)/POBLA!$B$23*100000</f>
        <v>372.67431996833119</v>
      </c>
    </row>
    <row r="7009" spans="1:13" s="360" customFormat="1" ht="15.75" thickBot="1" x14ac:dyDescent="0.3">
      <c r="A7009" s="369" t="s">
        <v>40</v>
      </c>
      <c r="B7009" s="266">
        <v>44184</v>
      </c>
      <c r="C7009" s="1">
        <v>106</v>
      </c>
      <c r="D7009" s="176">
        <f t="shared" si="976"/>
        <v>69601</v>
      </c>
      <c r="E7009" s="1"/>
      <c r="F7009" s="476">
        <f t="shared" si="977"/>
        <v>1322</v>
      </c>
      <c r="G7009" s="177">
        <f>SUM(C7009,C6985,C6961,C6937,C6913,C6889,C6865,C6841,C6817,C6793,C6769,C6745,C6721,C6697)/POBLA!$B$24*100000</f>
        <v>142.68382491785943</v>
      </c>
      <c r="H7009" s="402">
        <f t="shared" si="980"/>
        <v>0.597479614529281</v>
      </c>
      <c r="I7009" s="403">
        <f t="shared" si="982"/>
        <v>85.250676711486065</v>
      </c>
      <c r="J7009" s="403">
        <f t="shared" si="983"/>
        <v>183.71428571428572</v>
      </c>
      <c r="K7009" s="403">
        <f>J7009/POBLA!$B$24*100000</f>
        <v>10.840801066073924</v>
      </c>
      <c r="L7009" s="550">
        <f t="shared" si="981"/>
        <v>-0.1360424028268552</v>
      </c>
      <c r="M7009" s="405">
        <f>SUM(C7009,C6985,C6961,C6937,C6913,C6889,C6865)/POBLA!$B$24*100000</f>
        <v>75.88560746251747</v>
      </c>
    </row>
    <row r="7010" spans="1:13" s="360" customFormat="1" ht="15.75" thickBot="1" x14ac:dyDescent="0.3">
      <c r="A7010" s="363" t="s">
        <v>16</v>
      </c>
      <c r="B7010" s="266">
        <v>44185</v>
      </c>
      <c r="C7010" s="1">
        <v>1276</v>
      </c>
      <c r="D7010" s="174">
        <f t="shared" si="976"/>
        <v>652137</v>
      </c>
      <c r="E7010" s="1">
        <v>9</v>
      </c>
      <c r="F7010" s="475">
        <f t="shared" si="977"/>
        <v>21718</v>
      </c>
      <c r="G7010" s="175">
        <f>SUM(C7010,C6986,C6962,C6938,C6914,C6890,C6866,C6842,C6818,C6794,C6770,C6746,C6722,C6698)/POBLA!$B$1*100000</f>
        <v>134.88290185912081</v>
      </c>
      <c r="H7010" s="300">
        <f t="shared" si="980"/>
        <v>1.0083961982696159</v>
      </c>
      <c r="I7010" s="301">
        <f>G7010*H7010</f>
        <v>136.01540544631112</v>
      </c>
      <c r="J7010" s="301">
        <f>AVERAGE(C7010,C6986,C6962,C6938,C6914,C6890,C6866)</f>
        <v>2015.4285714285713</v>
      </c>
      <c r="K7010" s="301">
        <f>J7010/POBLA!$B$1*100000</f>
        <v>11.48972333914066</v>
      </c>
      <c r="L7010" s="548">
        <f t="shared" si="981"/>
        <v>-0.476968174204355</v>
      </c>
      <c r="M7010" s="400">
        <f>SUM(C7010,C6986,C6962,C6938,C6914,C6890,C6866)/POBLA!$B$1*100000</f>
        <v>80.428063373984614</v>
      </c>
    </row>
    <row r="7011" spans="1:13" s="360" customFormat="1" ht="15.75" thickBot="1" x14ac:dyDescent="0.3">
      <c r="A7011" s="367" t="s">
        <v>43</v>
      </c>
      <c r="B7011" s="266">
        <v>44185</v>
      </c>
      <c r="C7011" s="1">
        <v>391</v>
      </c>
      <c r="D7011" s="39">
        <f t="shared" ref="D7011:D7074" si="984">C7011+D6987</f>
        <v>166086</v>
      </c>
      <c r="E7011" s="1">
        <v>7</v>
      </c>
      <c r="F7011" s="409">
        <f t="shared" ref="F7011:F7074" si="985">E7011+F6987</f>
        <v>5389</v>
      </c>
      <c r="G7011" s="168">
        <f>SUM(C7011,C6987,C6963,C6939,C6915,C6891,C6867,C6843,C6819,C6795,C6771,C6747,C6723,C6699)/POBLA!$B$2*100000</f>
        <v>175.99554695176232</v>
      </c>
      <c r="H7011" s="256">
        <f t="shared" si="980"/>
        <v>1.2709556233857713</v>
      </c>
      <c r="I7011" s="297">
        <f t="shared" ref="I7011:I7033" si="986">G7011*H7011</f>
        <v>223.68253008919686</v>
      </c>
      <c r="J7011" s="297">
        <f t="shared" ref="J7011:J7033" si="987">AVERAGE(C7011,C6987,C6963,C6939,C6915,C6891,C6867)</f>
        <v>468.14285714285717</v>
      </c>
      <c r="K7011" s="297">
        <f>J7011/POBLA!$B$2*100000</f>
        <v>15.220960316722314</v>
      </c>
      <c r="L7011" s="549">
        <f t="shared" si="981"/>
        <v>-0.53417602996254687</v>
      </c>
      <c r="M7011" s="401">
        <f>SUM(C7011,C6987,C6963,C6939,C6915,C6891,C6867)/POBLA!$B$2*100000</f>
        <v>106.5467222170562</v>
      </c>
    </row>
    <row r="7012" spans="1:13" s="360" customFormat="1" ht="15.75" thickBot="1" x14ac:dyDescent="0.3">
      <c r="A7012" s="367" t="s">
        <v>28</v>
      </c>
      <c r="B7012" s="266">
        <v>44185</v>
      </c>
      <c r="C7012" s="1">
        <v>32</v>
      </c>
      <c r="D7012" s="39">
        <f t="shared" si="984"/>
        <v>2336</v>
      </c>
      <c r="E7012" s="1"/>
      <c r="F7012" s="409">
        <f t="shared" si="985"/>
        <v>17</v>
      </c>
      <c r="G7012" s="168">
        <f>SUM(C7012,C6988,C6964,C6940,C6916,C6892,C6868,C6844,C6820,C6796,C6772,C6748,C6724,C6700)/POBLA!$B$3*100000</f>
        <v>84.489141580693143</v>
      </c>
      <c r="H7012" s="256">
        <f t="shared" si="980"/>
        <v>1.2671480144404332</v>
      </c>
      <c r="I7012" s="297">
        <f t="shared" si="986"/>
        <v>107.06024799575196</v>
      </c>
      <c r="J7012" s="297">
        <f t="shared" si="987"/>
        <v>28.428571428571427</v>
      </c>
      <c r="K7012" s="297">
        <f>J7012/POBLA!$B$3*100000</f>
        <v>6.8430358870809664</v>
      </c>
      <c r="L7012" s="549">
        <f t="shared" si="981"/>
        <v>-0.30921052631578938</v>
      </c>
      <c r="M7012" s="401">
        <f>SUM(C7012,C6988,C6964,C6940,C6916,C6892,C6868)/POBLA!$B$3*100000</f>
        <v>47.901251209566773</v>
      </c>
    </row>
    <row r="7013" spans="1:13" s="360" customFormat="1" ht="15.75" thickBot="1" x14ac:dyDescent="0.3">
      <c r="A7013" s="367" t="s">
        <v>15</v>
      </c>
      <c r="B7013" s="266">
        <v>44185</v>
      </c>
      <c r="C7013" s="1">
        <v>137</v>
      </c>
      <c r="D7013" s="39">
        <f t="shared" si="984"/>
        <v>22872</v>
      </c>
      <c r="E7013" s="1">
        <v>4</v>
      </c>
      <c r="F7013" s="409">
        <f t="shared" si="985"/>
        <v>649</v>
      </c>
      <c r="G7013" s="168">
        <f>SUM(C7013,C6989,C6965,C6941,C6917,C6893,C6869,C6845,C6821,C6797,C6773,C6749,C6725,C6701)/POBLA!$B$4*100000</f>
        <v>177.8270727189859</v>
      </c>
      <c r="H7013" s="256">
        <f t="shared" si="980"/>
        <v>0.72560975609756095</v>
      </c>
      <c r="I7013" s="297">
        <f t="shared" si="986"/>
        <v>129.03305886316659</v>
      </c>
      <c r="J7013" s="297">
        <f t="shared" si="987"/>
        <v>167.14285714285714</v>
      </c>
      <c r="K7013" s="297">
        <f>J7013/POBLA!$B$4*100000</f>
        <v>13.876062096919666</v>
      </c>
      <c r="L7013" s="549">
        <f t="shared" si="981"/>
        <v>-0.20370370370370372</v>
      </c>
      <c r="M7013" s="401">
        <f>SUM(C7013,C6989,C6965,C6941,C6917,C6893,C6869)/POBLA!$B$4*100000</f>
        <v>97.132434678437676</v>
      </c>
    </row>
    <row r="7014" spans="1:13" s="360" customFormat="1" ht="15.75" thickBot="1" x14ac:dyDescent="0.3">
      <c r="A7014" s="367" t="s">
        <v>29</v>
      </c>
      <c r="B7014" s="266">
        <v>44185</v>
      </c>
      <c r="C7014" s="1">
        <v>115</v>
      </c>
      <c r="D7014" s="39">
        <f t="shared" si="984"/>
        <v>28130</v>
      </c>
      <c r="E7014" s="1"/>
      <c r="F7014" s="409">
        <f t="shared" si="985"/>
        <v>484</v>
      </c>
      <c r="G7014" s="168">
        <f>SUM(C7014,C6990,C6966,C6942,C6918,C6894,C6870,C6846,C6822,C6798,C6774,C6750,C6726,C6702)/POBLA!$B$5*100000</f>
        <v>588.37403916677704</v>
      </c>
      <c r="H7014" s="256">
        <f t="shared" si="980"/>
        <v>1.0966576332429991</v>
      </c>
      <c r="I7014" s="297">
        <f t="shared" si="986"/>
        <v>645.24488125426137</v>
      </c>
      <c r="J7014" s="297">
        <f t="shared" si="987"/>
        <v>294.42857142857144</v>
      </c>
      <c r="K7014" s="297">
        <f>J7014/POBLA!$B$5*100000</f>
        <v>47.56565837933347</v>
      </c>
      <c r="L7014" s="549">
        <f t="shared" si="981"/>
        <v>-0.30360531309297922</v>
      </c>
      <c r="M7014" s="401">
        <f>SUM(C7014,C6990,C6966,C6942,C6918,C6894,C6870)/POBLA!$B$5*100000</f>
        <v>332.95960865533431</v>
      </c>
    </row>
    <row r="7015" spans="1:13" s="360" customFormat="1" ht="15.75" thickBot="1" x14ac:dyDescent="0.3">
      <c r="A7015" s="367" t="s">
        <v>20</v>
      </c>
      <c r="B7015" s="266">
        <v>44185</v>
      </c>
      <c r="C7015" s="1">
        <v>295</v>
      </c>
      <c r="D7015" s="39">
        <f t="shared" si="984"/>
        <v>122533</v>
      </c>
      <c r="E7015" s="1">
        <v>7</v>
      </c>
      <c r="F7015" s="409">
        <f t="shared" si="985"/>
        <v>2392</v>
      </c>
      <c r="G7015" s="168">
        <f>SUM(C7015,C6991,C6967,C6943,C6919,C6895,C6871,C6847,C6823,C6799,C6775,C6751,C6727,C6703)/POBLA!$B$6*100000</f>
        <v>447.98318345540378</v>
      </c>
      <c r="H7015" s="256">
        <f t="shared" si="980"/>
        <v>0.60596186338402125</v>
      </c>
      <c r="I7015" s="297">
        <f t="shared" si="986"/>
        <v>271.4607246113423</v>
      </c>
      <c r="J7015" s="297">
        <f t="shared" si="987"/>
        <v>393.14285714285717</v>
      </c>
      <c r="K7015" s="297">
        <f>J7015/POBLA!$B$6*100000</f>
        <v>35.076954530095634</v>
      </c>
      <c r="L7015" s="549">
        <f t="shared" si="981"/>
        <v>-0.21286910533274561</v>
      </c>
      <c r="M7015" s="401">
        <f>SUM(C7015,C6991,C6967,C6943,C6919,C6895,C6871)/POBLA!$B$6*100000</f>
        <v>245.53868171066944</v>
      </c>
    </row>
    <row r="7016" spans="1:13" s="360" customFormat="1" ht="15.75" thickBot="1" x14ac:dyDescent="0.3">
      <c r="A7016" s="367" t="s">
        <v>30</v>
      </c>
      <c r="B7016" s="266">
        <v>44185</v>
      </c>
      <c r="C7016" s="1">
        <v>149</v>
      </c>
      <c r="D7016" s="39">
        <f t="shared" si="984"/>
        <v>10449</v>
      </c>
      <c r="E7016" s="1"/>
      <c r="F7016" s="409">
        <f t="shared" si="985"/>
        <v>143</v>
      </c>
      <c r="G7016" s="168">
        <f>SUM(C7016,C6992,C6968,C6944,C6920,C6896,C6872,C6848,C6824,C6800,C6776,C6752,C6728,C6704)/POBLA!$B$7*100000</f>
        <v>47.122019971014105</v>
      </c>
      <c r="H7016" s="256">
        <f t="shared" si="980"/>
        <v>0.45658335480546253</v>
      </c>
      <c r="I7016" s="297">
        <f t="shared" si="986"/>
        <v>21.515129963575625</v>
      </c>
      <c r="J7016" s="297">
        <f t="shared" si="987"/>
        <v>128.71428571428572</v>
      </c>
      <c r="K7016" s="297">
        <f>J7016/POBLA!$B$7*100000</f>
        <v>3.4228426309161328</v>
      </c>
      <c r="L7016" s="549">
        <f t="shared" si="981"/>
        <v>-3.4443168771526977E-2</v>
      </c>
      <c r="M7016" s="401">
        <f>SUM(C7016,C6992,C6968,C6944,C6920,C6896,C6872)/POBLA!$B$7*100000</f>
        <v>23.959898416412926</v>
      </c>
    </row>
    <row r="7017" spans="1:13" ht="15.75" thickBot="1" x14ac:dyDescent="0.3">
      <c r="A7017" s="367" t="s">
        <v>31</v>
      </c>
      <c r="B7017" s="266">
        <v>44185</v>
      </c>
      <c r="C7017" s="1">
        <v>157</v>
      </c>
      <c r="D7017" s="39">
        <f t="shared" si="984"/>
        <v>26965</v>
      </c>
      <c r="F7017" s="409">
        <f t="shared" si="985"/>
        <v>553</v>
      </c>
      <c r="G7017" s="168">
        <f>SUM(C7017,C6993,C6969,C6945,C6921,C6897,C6873,C6849,C6825,C6801,C6777,C6753,C6729,C6705)/POBLA!$B$8*100000</f>
        <v>176.41189037786779</v>
      </c>
      <c r="H7017" s="256">
        <f t="shared" si="980"/>
        <v>0.92508513053348462</v>
      </c>
      <c r="I7017" s="297">
        <f t="shared" si="986"/>
        <v>163.19601663786861</v>
      </c>
      <c r="J7017" s="297">
        <f t="shared" si="987"/>
        <v>178</v>
      </c>
      <c r="K7017" s="297">
        <f>J7017/POBLA!$B$8*100000</f>
        <v>12.843074227918391</v>
      </c>
      <c r="L7017" s="549">
        <f t="shared" si="981"/>
        <v>-3.9199332777314355E-2</v>
      </c>
      <c r="M7017" s="401">
        <f>SUM(C7017,C6993,C6969,C6945,C6921,C6897,C6873)/POBLA!$B$8*100000</f>
        <v>89.901519595428724</v>
      </c>
    </row>
    <row r="7018" spans="1:13" s="360" customFormat="1" ht="15.75" thickBot="1" x14ac:dyDescent="0.3">
      <c r="A7018" s="367" t="s">
        <v>41</v>
      </c>
      <c r="B7018" s="266">
        <v>44185</v>
      </c>
      <c r="C7018" s="1">
        <v>3</v>
      </c>
      <c r="D7018" s="39">
        <f t="shared" si="984"/>
        <v>204</v>
      </c>
      <c r="E7018" s="1"/>
      <c r="F7018" s="409">
        <f t="shared" si="985"/>
        <v>3</v>
      </c>
      <c r="G7018" s="168">
        <f>SUM(C7018,C6994,C6970,C6946,C6922,C6898,C6874,C6850,C6826,C6802,C6778,C6754,C6730,C6706)/POBLA!$B$9*100000</f>
        <v>2.4785481656265027</v>
      </c>
      <c r="H7018" s="256">
        <f t="shared" si="980"/>
        <v>1.6666666666666667</v>
      </c>
      <c r="I7018" s="297">
        <f t="shared" si="986"/>
        <v>4.1309136093775045</v>
      </c>
      <c r="J7018" s="297">
        <f t="shared" si="987"/>
        <v>1</v>
      </c>
      <c r="K7018" s="297">
        <f>J7018/POBLA!$B$9*100000</f>
        <v>0.16523654437510019</v>
      </c>
      <c r="L7018" s="549">
        <f t="shared" si="981"/>
        <v>0.125</v>
      </c>
      <c r="M7018" s="401">
        <f>SUM(C7018,C6994,C6970,C6946,C6922,C6898,C6874)/POBLA!$B$9*100000</f>
        <v>1.1566558106257012</v>
      </c>
    </row>
    <row r="7019" spans="1:13" s="360" customFormat="1" ht="15.75" thickBot="1" x14ac:dyDescent="0.3">
      <c r="A7019" s="367" t="s">
        <v>32</v>
      </c>
      <c r="B7019" s="266">
        <v>44185</v>
      </c>
      <c r="C7019" s="1">
        <v>0</v>
      </c>
      <c r="D7019" s="39">
        <f t="shared" si="984"/>
        <v>18482</v>
      </c>
      <c r="E7019" s="1"/>
      <c r="F7019" s="409">
        <f t="shared" si="985"/>
        <v>857</v>
      </c>
      <c r="G7019" s="168">
        <f>SUM(C7019,C6995,C6971,C6947,C6923,C6899,C6875,C6851,C6827,C6803,C6779,C6755,C6731,C6707)/POBLA!$B$10*100000</f>
        <v>8.6913544373256055</v>
      </c>
      <c r="H7019" s="256">
        <f t="shared" si="980"/>
        <v>0.55371900826446285</v>
      </c>
      <c r="I7019" s="297">
        <f t="shared" si="986"/>
        <v>4.8125681595108727</v>
      </c>
      <c r="J7019" s="297">
        <f t="shared" si="987"/>
        <v>4.7142857142857144</v>
      </c>
      <c r="K7019" s="297">
        <f>J7019/POBLA!$B$10*100000</f>
        <v>0.61154519495041582</v>
      </c>
      <c r="L7019" s="549">
        <f t="shared" si="981"/>
        <v>2.9411764705882359E-2</v>
      </c>
      <c r="M7019" s="401">
        <f>SUM(C7019,C6995,C6971,C6947,C6923,C6899,C6875)/POBLA!$B$10*100000</f>
        <v>4.2808163646529103</v>
      </c>
    </row>
    <row r="7020" spans="1:13" s="360" customFormat="1" ht="15.75" thickBot="1" x14ac:dyDescent="0.3">
      <c r="A7020" s="367" t="s">
        <v>33</v>
      </c>
      <c r="B7020" s="266">
        <v>44185</v>
      </c>
      <c r="C7020" s="1">
        <v>170</v>
      </c>
      <c r="D7020" s="39">
        <f t="shared" si="984"/>
        <v>8271</v>
      </c>
      <c r="E7020" s="1">
        <v>1</v>
      </c>
      <c r="F7020" s="409">
        <f t="shared" si="985"/>
        <v>106</v>
      </c>
      <c r="G7020" s="168">
        <f>SUM(C7020,C6996,C6972,C6948,C6924,C6900,C6876,C6852,C6828,C6804,C6780,C6756,C6732,C6708)/POBLA!$B$11*100000</f>
        <v>555.48115660606868</v>
      </c>
      <c r="H7020" s="256">
        <f t="shared" si="980"/>
        <v>1.8418131359851988</v>
      </c>
      <c r="I7020" s="297">
        <f t="shared" si="986"/>
        <v>1023.0924910293087</v>
      </c>
      <c r="J7020" s="297">
        <f t="shared" si="987"/>
        <v>185.85714285714286</v>
      </c>
      <c r="K7020" s="297">
        <f>J7020/POBLA!$B$11*100000</f>
        <v>51.853410686983956</v>
      </c>
      <c r="L7020" s="549">
        <f t="shared" si="981"/>
        <v>-0.88550724637681166</v>
      </c>
      <c r="M7020" s="401">
        <f>SUM(C7020,C6996,C6972,C6948,C6924,C6900,C6876)/POBLA!$B$11*100000</f>
        <v>362.97387480888767</v>
      </c>
    </row>
    <row r="7021" spans="1:13" s="360" customFormat="1" ht="15.75" thickBot="1" x14ac:dyDescent="0.3">
      <c r="A7021" s="367" t="s">
        <v>21</v>
      </c>
      <c r="B7021" s="266">
        <v>44185</v>
      </c>
      <c r="C7021" s="1">
        <v>6</v>
      </c>
      <c r="D7021" s="39">
        <f t="shared" si="984"/>
        <v>9000</v>
      </c>
      <c r="E7021" s="1"/>
      <c r="F7021" s="409">
        <f t="shared" si="985"/>
        <v>348</v>
      </c>
      <c r="G7021" s="168">
        <f>SUM(C7021,C6997,C6973,C6949,C6925,C6901,C6877,C6853,C6829,C6805,C6781,C6757,C6733,C6709)/POBLA!$B$12*100000</f>
        <v>40.911643555399699</v>
      </c>
      <c r="H7021" s="256">
        <f t="shared" si="980"/>
        <v>0.49085365853658536</v>
      </c>
      <c r="I7021" s="297">
        <f t="shared" si="986"/>
        <v>20.081629915912657</v>
      </c>
      <c r="J7021" s="297">
        <f t="shared" si="987"/>
        <v>9.4285714285714288</v>
      </c>
      <c r="K7021" s="297">
        <f>J7021/POBLA!$B$12*100000</f>
        <v>2.395890394548696</v>
      </c>
      <c r="L7021" s="549">
        <f t="shared" si="981"/>
        <v>0.30526315789473679</v>
      </c>
      <c r="M7021" s="401">
        <f>SUM(C7021,C6997,C6973,C6949,C6925,C6901,C6877)/POBLA!$B$12*100000</f>
        <v>16.771232761840871</v>
      </c>
    </row>
    <row r="7022" spans="1:13" s="360" customFormat="1" ht="15.75" thickBot="1" x14ac:dyDescent="0.3">
      <c r="A7022" s="367" t="s">
        <v>17</v>
      </c>
      <c r="B7022" s="266">
        <v>44185</v>
      </c>
      <c r="C7022" s="1">
        <v>21</v>
      </c>
      <c r="D7022" s="39">
        <f t="shared" si="984"/>
        <v>58975</v>
      </c>
      <c r="E7022" s="1"/>
      <c r="F7022" s="409">
        <f t="shared" si="985"/>
        <v>1199</v>
      </c>
      <c r="G7022" s="168">
        <f>SUM(C7022,C6998,C6974,C6950,C6926,C6902,C6878,C6854,C6830,C6806,C6782,C6758,C6734,C6710)/POBLA!$B$13*100000</f>
        <v>70.691510688134372</v>
      </c>
      <c r="H7022" s="256">
        <f t="shared" si="980"/>
        <v>0.59142496847414883</v>
      </c>
      <c r="I7022" s="297">
        <f t="shared" si="986"/>
        <v>41.808724480119828</v>
      </c>
      <c r="J7022" s="297">
        <f t="shared" si="987"/>
        <v>102.42857142857143</v>
      </c>
      <c r="K7022" s="297">
        <f>J7022/POBLA!$B$13*100000</f>
        <v>5.1462902998672302</v>
      </c>
      <c r="L7022" s="549">
        <f t="shared" si="981"/>
        <v>-3.9130434782608692E-2</v>
      </c>
      <c r="M7022" s="401">
        <f>SUM(C7022,C6998,C6974,C6950,C6926,C6902,C6878)/POBLA!$B$13*100000</f>
        <v>36.02403209907061</v>
      </c>
    </row>
    <row r="7023" spans="1:13" s="360" customFormat="1" ht="15.75" thickBot="1" x14ac:dyDescent="0.3">
      <c r="A7023" s="367" t="s">
        <v>23</v>
      </c>
      <c r="B7023" s="266">
        <v>44185</v>
      </c>
      <c r="C7023" s="1">
        <v>13</v>
      </c>
      <c r="D7023" s="39">
        <f t="shared" si="984"/>
        <v>859</v>
      </c>
      <c r="E7023" s="1"/>
      <c r="F7023" s="409">
        <f t="shared" si="985"/>
        <v>11</v>
      </c>
      <c r="G7023" s="168">
        <f>SUM(C7023,C6999,C6975,C6951,C6927,C6903,C6879,C6855,C6831,C6807,C6783,C6759,C6735,C6711)/POBLA!$B$14*100000</f>
        <v>22.675125704237079</v>
      </c>
      <c r="H7023" s="256">
        <f t="shared" si="980"/>
        <v>2.0875912408759123</v>
      </c>
      <c r="I7023" s="297">
        <f t="shared" si="986"/>
        <v>47.336393805925582</v>
      </c>
      <c r="J7023" s="297">
        <f t="shared" si="987"/>
        <v>25.142857142857142</v>
      </c>
      <c r="K7023" s="297">
        <f>J7023/POBLA!$B$14*100000</f>
        <v>1.9934176443285343</v>
      </c>
      <c r="L7023" s="549">
        <f t="shared" si="981"/>
        <v>-0.60000000000000009</v>
      </c>
      <c r="M7023" s="401">
        <f>SUM(C7023,C6999,C6975,C6951,C6927,C6903,C6879)/POBLA!$B$14*100000</f>
        <v>13.95392351029974</v>
      </c>
    </row>
    <row r="7024" spans="1:13" s="360" customFormat="1" ht="15.75" thickBot="1" x14ac:dyDescent="0.3">
      <c r="A7024" s="367" t="s">
        <v>19</v>
      </c>
      <c r="B7024" s="266">
        <v>44185</v>
      </c>
      <c r="C7024" s="1">
        <v>138</v>
      </c>
      <c r="D7024" s="39">
        <f t="shared" si="984"/>
        <v>38048</v>
      </c>
      <c r="E7024" s="1"/>
      <c r="F7024" s="409">
        <f t="shared" si="985"/>
        <v>681</v>
      </c>
      <c r="G7024" s="168">
        <f>SUM(C7024,C7000,C6976,C6952,C6928,C6904,C6880,C6856,C6832,C6808,C6784,C6760,C6736,C6712)/POBLA!$B$15*100000</f>
        <v>513.35954594259226</v>
      </c>
      <c r="H7024" s="256">
        <f t="shared" si="980"/>
        <v>0.685088424437299</v>
      </c>
      <c r="I7024" s="297">
        <f t="shared" si="986"/>
        <v>351.69668249965775</v>
      </c>
      <c r="J7024" s="297">
        <f t="shared" si="987"/>
        <v>161.14285714285714</v>
      </c>
      <c r="K7024" s="297">
        <f>J7024/POBLA!$B$15*100000</f>
        <v>24.26641947044563</v>
      </c>
      <c r="L7024" s="549">
        <f t="shared" si="981"/>
        <v>0.50548005260850504</v>
      </c>
      <c r="M7024" s="401">
        <f>SUM(C7024,C7000,C6976,C6952,C6928,C6904,C6880)/POBLA!$B$15*100000</f>
        <v>169.86493629311943</v>
      </c>
    </row>
    <row r="7025" spans="1:13" s="360" customFormat="1" ht="15.75" thickBot="1" x14ac:dyDescent="0.3">
      <c r="A7025" s="367" t="s">
        <v>18</v>
      </c>
      <c r="B7025" s="266">
        <v>44185</v>
      </c>
      <c r="C7025" s="1">
        <v>137</v>
      </c>
      <c r="D7025" s="39">
        <f t="shared" si="984"/>
        <v>35698</v>
      </c>
      <c r="E7025" s="1"/>
      <c r="F7025" s="409">
        <f t="shared" si="985"/>
        <v>867</v>
      </c>
      <c r="G7025" s="168">
        <f>SUM(C7025,C7001,C6977,C6953,C6929,C6905,C6881,C6857,C6833,C6809,C6785,C6761,C6737,C6713)/POBLA!$B$16*100000</f>
        <v>377.2020170944744</v>
      </c>
      <c r="H7025" s="256">
        <f t="shared" si="980"/>
        <v>0.99929128277817147</v>
      </c>
      <c r="I7025" s="297">
        <f t="shared" si="986"/>
        <v>376.9346875288511</v>
      </c>
      <c r="J7025" s="297">
        <f t="shared" si="987"/>
        <v>208.57142857142858</v>
      </c>
      <c r="K7025" s="297">
        <f>J7025/POBLA!$B$16*100000</f>
        <v>27.898426796247858</v>
      </c>
      <c r="L7025" s="549">
        <f t="shared" si="981"/>
        <v>-7.3529411764705843E-2</v>
      </c>
      <c r="M7025" s="401">
        <f>SUM(C7025,C7001,C6977,C6953,C6929,C6905,C6881)/POBLA!$B$16*100000</f>
        <v>195.28898757373497</v>
      </c>
    </row>
    <row r="7026" spans="1:13" s="360" customFormat="1" ht="15.75" thickBot="1" x14ac:dyDescent="0.3">
      <c r="A7026" s="367" t="s">
        <v>34</v>
      </c>
      <c r="B7026" s="266">
        <v>44185</v>
      </c>
      <c r="C7026" s="1">
        <v>39</v>
      </c>
      <c r="D7026" s="39">
        <f t="shared" si="984"/>
        <v>21963</v>
      </c>
      <c r="E7026" s="1">
        <v>2</v>
      </c>
      <c r="F7026" s="409">
        <f t="shared" si="985"/>
        <v>1010</v>
      </c>
      <c r="G7026" s="168">
        <f>SUM(C7026,C7002,C6978,C6954,C6930,C6906,C6882,C6858,C6834,C6810,C6786,C6762,C6738,C6714)/POBLA!$B$17*100000</f>
        <v>38.261804819864125</v>
      </c>
      <c r="H7026" s="256">
        <f t="shared" si="980"/>
        <v>0.82078313253012047</v>
      </c>
      <c r="I7026" s="297">
        <f t="shared" si="986"/>
        <v>31.40464401630414</v>
      </c>
      <c r="J7026" s="297">
        <f t="shared" si="987"/>
        <v>55</v>
      </c>
      <c r="K7026" s="297">
        <f>J7026/POBLA!$B$17*100000</f>
        <v>3.8612830552156456</v>
      </c>
      <c r="L7026" s="549">
        <f t="shared" si="981"/>
        <v>-1.40625</v>
      </c>
      <c r="M7026" s="401">
        <f>SUM(C7026,C7002,C6978,C6954,C6930,C6906,C6882)/POBLA!$B$17*100000</f>
        <v>27.028981386509521</v>
      </c>
    </row>
    <row r="7027" spans="1:13" s="360" customFormat="1" ht="15.75" thickBot="1" x14ac:dyDescent="0.3">
      <c r="A7027" s="367" t="s">
        <v>35</v>
      </c>
      <c r="B7027" s="266">
        <v>44185</v>
      </c>
      <c r="C7027" s="1">
        <v>21</v>
      </c>
      <c r="D7027" s="39">
        <f t="shared" si="984"/>
        <v>10297</v>
      </c>
      <c r="E7027" s="1"/>
      <c r="F7027" s="409">
        <f t="shared" si="985"/>
        <v>196</v>
      </c>
      <c r="G7027" s="168">
        <f>SUM(C7027,C7003,C6979,C6955,C6931,C6907,C6883,C6859,C6835,C6811,C6787,C6763,C6739,C6715)/POBLA!$B$18*100000</f>
        <v>234.63391093639794</v>
      </c>
      <c r="H7027" s="256">
        <f t="shared" si="980"/>
        <v>0.67044623262618874</v>
      </c>
      <c r="I7027" s="297">
        <f t="shared" si="986"/>
        <v>157.30942163365671</v>
      </c>
      <c r="J7027" s="297">
        <f t="shared" si="987"/>
        <v>149.71428571428572</v>
      </c>
      <c r="K7027" s="297">
        <f>J7027/POBLA!$B$18*100000</f>
        <v>19.1642380688446</v>
      </c>
      <c r="L7027" s="549">
        <f t="shared" si="981"/>
        <v>-0.33503184713375789</v>
      </c>
      <c r="M7027" s="401">
        <f>SUM(C7027,C7003,C6979,C6955,C6931,C6907,C6883)/POBLA!$B$18*100000</f>
        <v>134.14966648191219</v>
      </c>
    </row>
    <row r="7028" spans="1:13" s="360" customFormat="1" ht="15.75" thickBot="1" x14ac:dyDescent="0.3">
      <c r="A7028" s="367" t="s">
        <v>36</v>
      </c>
      <c r="B7028" s="266">
        <v>44185</v>
      </c>
      <c r="C7028" s="1">
        <v>34</v>
      </c>
      <c r="D7028" s="39">
        <f t="shared" si="984"/>
        <v>15896</v>
      </c>
      <c r="E7028" s="1">
        <v>1</v>
      </c>
      <c r="F7028" s="409">
        <f t="shared" si="985"/>
        <v>278</v>
      </c>
      <c r="G7028" s="168">
        <f>SUM(C7028,C7004,C6980,C6956,C6932,C6908,C6884,C6860,C6836,C6812,C6788,C6764,C6740,C6716)/POBLA!$B$19*100000</f>
        <v>156.39508348940055</v>
      </c>
      <c r="H7028" s="256">
        <f t="shared" si="980"/>
        <v>0.41021671826625389</v>
      </c>
      <c r="I7028" s="297">
        <f t="shared" si="986"/>
        <v>64.155877901998679</v>
      </c>
      <c r="J7028" s="297">
        <f t="shared" si="987"/>
        <v>58.714285714285715</v>
      </c>
      <c r="K7028" s="297">
        <f>J7028/POBLA!$B$19*100000</f>
        <v>11.550472473341172</v>
      </c>
      <c r="L7028" s="549">
        <f t="shared" si="981"/>
        <v>-7.03125E-2</v>
      </c>
      <c r="M7028" s="401">
        <f>SUM(C7028,C7004,C6980,C6956,C6932,C6908,C6884)/POBLA!$B$19*100000</f>
        <v>80.8533073133882</v>
      </c>
    </row>
    <row r="7029" spans="1:13" s="360" customFormat="1" ht="15.75" thickBot="1" x14ac:dyDescent="0.3">
      <c r="A7029" s="367" t="s">
        <v>37</v>
      </c>
      <c r="B7029" s="266">
        <v>44185</v>
      </c>
      <c r="C7029" s="1">
        <v>157</v>
      </c>
      <c r="D7029" s="39">
        <f t="shared" si="984"/>
        <v>20664</v>
      </c>
      <c r="E7029" s="1">
        <v>2</v>
      </c>
      <c r="F7029" s="409">
        <f t="shared" si="985"/>
        <v>353</v>
      </c>
      <c r="G7029" s="168">
        <f>SUM(C7029,C7005,C6981,C6957,C6933,C6909,C6885,C6861,C6837,C6813,C6789,C6765,C6741,C6717)/POBLA!$B$20*100000</f>
        <v>920.70506264732103</v>
      </c>
      <c r="H7029" s="256">
        <f t="shared" si="980"/>
        <v>1.0868302130406715</v>
      </c>
      <c r="I7029" s="297">
        <f t="shared" si="986"/>
        <v>1000.6500793846127</v>
      </c>
      <c r="J7029" s="297">
        <f t="shared" si="987"/>
        <v>261</v>
      </c>
      <c r="K7029" s="297">
        <f>J7029/POBLA!$B$20*100000</f>
        <v>71.370365711598097</v>
      </c>
      <c r="L7029" s="549">
        <f t="shared" si="981"/>
        <v>-0.18636363636363629</v>
      </c>
      <c r="M7029" s="401">
        <f>SUM(C7029,C7005,C6981,C6957,C6933,C6909,C6885)/POBLA!$B$20*100000</f>
        <v>499.5925599811867</v>
      </c>
    </row>
    <row r="7030" spans="1:13" s="360" customFormat="1" ht="15.75" thickBot="1" x14ac:dyDescent="0.3">
      <c r="A7030" s="367" t="s">
        <v>22</v>
      </c>
      <c r="B7030" s="266">
        <v>44185</v>
      </c>
      <c r="C7030" s="1">
        <v>680</v>
      </c>
      <c r="D7030" s="39">
        <f t="shared" si="984"/>
        <v>166691</v>
      </c>
      <c r="E7030" s="1">
        <v>16</v>
      </c>
      <c r="F7030" s="409">
        <f t="shared" si="985"/>
        <v>2728</v>
      </c>
      <c r="G7030" s="168">
        <f>SUM(C7030,C7006,C6982,C6958,C6934,C6910,C6886,C6862,C6838,C6814,C6790,C6766,C6742,C6718)/POBLA!$B$21*100000</f>
        <v>352.6732416812718</v>
      </c>
      <c r="H7030" s="256">
        <f t="shared" si="980"/>
        <v>0.7641220438671732</v>
      </c>
      <c r="I7030" s="297">
        <f t="shared" si="986"/>
        <v>269.48539825075494</v>
      </c>
      <c r="J7030" s="297">
        <f t="shared" si="987"/>
        <v>944.42857142857144</v>
      </c>
      <c r="K7030" s="297">
        <f>J7030/POBLA!$B$21*100000</f>
        <v>26.705795848470725</v>
      </c>
      <c r="L7030" s="549">
        <f t="shared" si="981"/>
        <v>-0.1279645111755674</v>
      </c>
      <c r="M7030" s="401">
        <f>SUM(C7030,C7006,C6982,C6958,C6934,C6910,C6886)/POBLA!$B$21*100000</f>
        <v>186.94057093929507</v>
      </c>
    </row>
    <row r="7031" spans="1:13" s="360" customFormat="1" ht="15.75" thickBot="1" x14ac:dyDescent="0.3">
      <c r="A7031" s="367" t="s">
        <v>38</v>
      </c>
      <c r="B7031" s="266">
        <v>44185</v>
      </c>
      <c r="C7031" s="1">
        <v>44</v>
      </c>
      <c r="D7031" s="39">
        <f t="shared" si="984"/>
        <v>16838</v>
      </c>
      <c r="E7031" s="1">
        <v>1</v>
      </c>
      <c r="F7031" s="409">
        <f t="shared" si="985"/>
        <v>214</v>
      </c>
      <c r="G7031" s="168">
        <f>SUM(C7031,C7007,C6983,C6959,C6935,C6911,C6887,C6863,C6839,C6815,C6791,C6767,C6743,C6719)/POBLA!$B$22*100000</f>
        <v>69.405190363411293</v>
      </c>
      <c r="H7031" s="256">
        <f t="shared" si="980"/>
        <v>0.42410993129294189</v>
      </c>
      <c r="I7031" s="297">
        <f t="shared" si="986"/>
        <v>29.435430516399915</v>
      </c>
      <c r="J7031" s="297">
        <f t="shared" si="987"/>
        <v>50</v>
      </c>
      <c r="K7031" s="297">
        <f>J7031/POBLA!$B$22*100000</f>
        <v>5.1108387601922898</v>
      </c>
      <c r="L7031" s="549">
        <f t="shared" si="981"/>
        <v>-6.3829787234042534E-2</v>
      </c>
      <c r="M7031" s="401">
        <f>SUM(C7031,C7007,C6983,C6959,C6935,C6911,C6887)/POBLA!$B$22*100000</f>
        <v>35.775871321346031</v>
      </c>
    </row>
    <row r="7032" spans="1:13" s="360" customFormat="1" ht="15.75" thickBot="1" x14ac:dyDescent="0.3">
      <c r="A7032" s="367" t="s">
        <v>39</v>
      </c>
      <c r="B7032" s="266">
        <v>44185</v>
      </c>
      <c r="C7032" s="1">
        <v>55</v>
      </c>
      <c r="D7032" s="39">
        <f t="shared" si="984"/>
        <v>18144</v>
      </c>
      <c r="E7032" s="1"/>
      <c r="F7032" s="409">
        <f t="shared" si="985"/>
        <v>244</v>
      </c>
      <c r="G7032" s="168">
        <f>SUM(C7032,C7008,C6984,C6960,C6936,C6912,C6888,C6864,C6840,C6816,C6792,C6768,C6744,C6720)/POBLA!$B$23*100000</f>
        <v>791.15534694339192</v>
      </c>
      <c r="H7032" s="256">
        <f t="shared" si="980"/>
        <v>0.9439946018893387</v>
      </c>
      <c r="I7032" s="297">
        <f t="shared" si="986"/>
        <v>746.84637677044884</v>
      </c>
      <c r="J7032" s="297">
        <f t="shared" si="987"/>
        <v>91.285714285714292</v>
      </c>
      <c r="K7032" s="297">
        <f>J7032/POBLA!$B$23*100000</f>
        <v>51.623431705996886</v>
      </c>
      <c r="L7032" s="549">
        <f t="shared" si="981"/>
        <v>0.15921052631578947</v>
      </c>
      <c r="M7032" s="401">
        <f>SUM(C7032,C7008,C6984,C6960,C6936,C6912,C6888)/POBLA!$B$23*100000</f>
        <v>361.36402194197819</v>
      </c>
    </row>
    <row r="7033" spans="1:13" s="360" customFormat="1" ht="15.75" thickBot="1" x14ac:dyDescent="0.3">
      <c r="A7033" s="369" t="s">
        <v>40</v>
      </c>
      <c r="B7033" s="266">
        <v>44185</v>
      </c>
      <c r="C7033" s="1">
        <v>46</v>
      </c>
      <c r="D7033" s="176">
        <f t="shared" si="984"/>
        <v>69647</v>
      </c>
      <c r="E7033" s="1"/>
      <c r="F7033" s="476">
        <f t="shared" si="985"/>
        <v>1322</v>
      </c>
      <c r="G7033" s="177">
        <f>SUM(C7033,C7009,C6985,C6961,C6937,C6913,C6889,C6865,C6841,C6817,C6793,C6769,C6745,C6721)/POBLA!$B$24*100000</f>
        <v>140.61850900713773</v>
      </c>
      <c r="H7033" s="402">
        <f t="shared" si="980"/>
        <v>0.60025188916876571</v>
      </c>
      <c r="I7033" s="403">
        <f t="shared" si="986"/>
        <v>84.406525683629525</v>
      </c>
      <c r="J7033" s="403">
        <f t="shared" si="987"/>
        <v>178.85714285714286</v>
      </c>
      <c r="K7033" s="403">
        <f>J7033/POBLA!$B$24*100000</f>
        <v>10.554185796830913</v>
      </c>
      <c r="L7033" s="550">
        <f t="shared" si="981"/>
        <v>-0.10698496905393462</v>
      </c>
      <c r="M7033" s="405">
        <f>SUM(C7033,C7009,C6985,C6961,C6937,C6913,C6889)/POBLA!$B$24*100000</f>
        <v>73.87930057781638</v>
      </c>
    </row>
    <row r="7034" spans="1:13" s="360" customFormat="1" ht="15.75" thickBot="1" x14ac:dyDescent="0.3">
      <c r="A7034" s="363" t="s">
        <v>16</v>
      </c>
      <c r="B7034" s="266">
        <v>44186</v>
      </c>
      <c r="C7034" s="1">
        <v>2049</v>
      </c>
      <c r="D7034" s="174">
        <f t="shared" si="984"/>
        <v>654186</v>
      </c>
      <c r="E7034" s="1">
        <v>48</v>
      </c>
      <c r="F7034" s="475">
        <f t="shared" si="985"/>
        <v>21766</v>
      </c>
      <c r="G7034" s="175">
        <f>SUM(C7034,C7010,C6986,C6962,C6938,C6914,C6890,C6866,C6842,C6818,C6794,C6770,C6746,C6722)/POBLA!$B$1*100000</f>
        <v>142.61329978477454</v>
      </c>
      <c r="H7034" s="300">
        <f t="shared" ref="H7034:H7081" si="988">SUM(C7034,C7010,C6986,C6962,C6938,C6914,C6890,C6866,C6842,C6818,C6794,C6770,C6746,C6722)/SUM(C6698,C6674,C6650,C6626,C6602,C6578,C6554,C6530,C6506,C6482,C6458,C6434,C6410,C6386)</f>
        <v>1.0781829152659252</v>
      </c>
      <c r="I7034" s="301">
        <f>G7034*H7034</f>
        <v>153.76322331764158</v>
      </c>
      <c r="J7034" s="301">
        <f>AVERAGE(C7034,C7010,C6986,C6962,C6938,C6914,C6890)</f>
        <v>2089.2857142857142</v>
      </c>
      <c r="K7034" s="301">
        <f>J7034/POBLA!$B$1*100000</f>
        <v>11.910774300746537</v>
      </c>
      <c r="L7034" s="548">
        <f t="shared" ref="L7034:L7081" si="989">1-SUM(C7034,C7010,C6986,C6962,C6938,C6914,C6890)/SUM(C6866,C6842,C6818,C6794,C6770,C6746,C6722)</f>
        <v>-0.40746800115484549</v>
      </c>
      <c r="M7034" s="400">
        <f>SUM(C7034,C7010,C6986,C6962,C6938,C6914,C6890)/POBLA!$B$1*100000</f>
        <v>83.375420105225771</v>
      </c>
    </row>
    <row r="7035" spans="1:13" s="360" customFormat="1" ht="15.75" thickBot="1" x14ac:dyDescent="0.3">
      <c r="A7035" s="367" t="s">
        <v>43</v>
      </c>
      <c r="B7035" s="266">
        <v>44186</v>
      </c>
      <c r="C7035" s="1">
        <v>490</v>
      </c>
      <c r="D7035" s="39">
        <f t="shared" si="984"/>
        <v>166576</v>
      </c>
      <c r="E7035" s="1">
        <v>21</v>
      </c>
      <c r="F7035" s="409">
        <f t="shared" si="985"/>
        <v>5410</v>
      </c>
      <c r="G7035" s="168">
        <f>SUM(C7035,C7011,C6987,C6963,C6939,C6915,C6891,C6867,C6843,C6819,C6795,C6771,C6747,C6723)/POBLA!$B$2*100000</f>
        <v>186.59494623243376</v>
      </c>
      <c r="H7035" s="256">
        <f t="shared" si="988"/>
        <v>1.3716539196940727</v>
      </c>
      <c r="I7035" s="297">
        <f t="shared" ref="I7035:I7057" si="990">G7035*H7035</f>
        <v>255.94368939482251</v>
      </c>
      <c r="J7035" s="297">
        <f t="shared" ref="J7035:J7057" si="991">AVERAGE(C7035,C7011,C6987,C6963,C6939,C6915,C6891)</f>
        <v>478.71428571428572</v>
      </c>
      <c r="K7035" s="297">
        <f>J7035/POBLA!$B$2*100000</f>
        <v>15.564674403825594</v>
      </c>
      <c r="L7035" s="549">
        <f t="shared" si="989"/>
        <v>-0.4032663316582914</v>
      </c>
      <c r="M7035" s="401">
        <f>SUM(C7035,C7011,C6987,C6963,C6939,C6915,C6891)/POBLA!$B$2*100000</f>
        <v>108.95272082677916</v>
      </c>
    </row>
    <row r="7036" spans="1:13" s="360" customFormat="1" ht="15.75" thickBot="1" x14ac:dyDescent="0.3">
      <c r="A7036" s="367" t="s">
        <v>28</v>
      </c>
      <c r="B7036" s="266">
        <v>44186</v>
      </c>
      <c r="C7036" s="1">
        <v>26</v>
      </c>
      <c r="D7036" s="39">
        <f t="shared" si="984"/>
        <v>2362</v>
      </c>
      <c r="E7036" s="1"/>
      <c r="F7036" s="409">
        <f t="shared" si="985"/>
        <v>17</v>
      </c>
      <c r="G7036" s="168">
        <f>SUM(C7036,C7012,C6988,C6964,C6940,C6916,C6892,C6868,C6844,C6820,C6796,C6772,C6748,C6724)/POBLA!$B$3*100000</f>
        <v>83.526302360400351</v>
      </c>
      <c r="H7036" s="256">
        <f t="shared" si="988"/>
        <v>1.1452145214521452</v>
      </c>
      <c r="I7036" s="297">
        <f t="shared" si="990"/>
        <v>95.655534386333073</v>
      </c>
      <c r="J7036" s="297">
        <f t="shared" si="991"/>
        <v>27.285714285714285</v>
      </c>
      <c r="K7036" s="297">
        <f>J7036/POBLA!$B$3*100000</f>
        <v>6.5679389669973096</v>
      </c>
      <c r="L7036" s="549">
        <f t="shared" si="989"/>
        <v>-0.22435897435897445</v>
      </c>
      <c r="M7036" s="401">
        <f>SUM(C7036,C7012,C6988,C6964,C6940,C6916,C6892)/POBLA!$B$3*100000</f>
        <v>45.975572768981174</v>
      </c>
    </row>
    <row r="7037" spans="1:13" s="360" customFormat="1" ht="15.75" thickBot="1" x14ac:dyDescent="0.3">
      <c r="A7037" s="367" t="s">
        <v>15</v>
      </c>
      <c r="B7037" s="266">
        <v>44186</v>
      </c>
      <c r="C7037" s="1">
        <v>149</v>
      </c>
      <c r="D7037" s="39">
        <f t="shared" si="984"/>
        <v>23021</v>
      </c>
      <c r="E7037" s="1">
        <v>7</v>
      </c>
      <c r="F7037" s="409">
        <f t="shared" si="985"/>
        <v>656</v>
      </c>
      <c r="G7037" s="168">
        <f>SUM(C7037,C7013,C6989,C6965,C6941,C6917,C6893,C6869,C6845,C6821,C6797,C6773,C6749,C6725)/POBLA!$B$4*100000</f>
        <v>182.22708899074419</v>
      </c>
      <c r="H7037" s="256">
        <f t="shared" si="988"/>
        <v>0.75145498117083187</v>
      </c>
      <c r="I7037" s="297">
        <f t="shared" si="990"/>
        <v>136.93545372635518</v>
      </c>
      <c r="J7037" s="297">
        <f t="shared" si="991"/>
        <v>164.71428571428572</v>
      </c>
      <c r="K7037" s="297">
        <f>J7037/POBLA!$B$4*100000</f>
        <v>13.674444100639638</v>
      </c>
      <c r="L7037" s="549">
        <f t="shared" si="989"/>
        <v>-0.10652591170825332</v>
      </c>
      <c r="M7037" s="401">
        <f>SUM(C7037,C7013,C6989,C6965,C6941,C6917,C6893)/POBLA!$B$4*100000</f>
        <v>95.721108704477473</v>
      </c>
    </row>
    <row r="7038" spans="1:13" s="360" customFormat="1" ht="15.75" thickBot="1" x14ac:dyDescent="0.3">
      <c r="A7038" s="367" t="s">
        <v>29</v>
      </c>
      <c r="B7038" s="266">
        <v>44186</v>
      </c>
      <c r="C7038" s="1">
        <v>366</v>
      </c>
      <c r="D7038" s="39">
        <f t="shared" si="984"/>
        <v>28496</v>
      </c>
      <c r="E7038" s="1">
        <v>1</v>
      </c>
      <c r="F7038" s="409">
        <f t="shared" si="985"/>
        <v>485</v>
      </c>
      <c r="G7038" s="168">
        <f>SUM(C7038,C7014,C6990,C6966,C6942,C6918,C6894,C6870,C6846,C6822,C6798,C6774,C6750,C6726)/POBLA!$B$5*100000</f>
        <v>621.49229233239737</v>
      </c>
      <c r="H7038" s="256">
        <f t="shared" si="988"/>
        <v>1.1388395500296034</v>
      </c>
      <c r="I7038" s="297">
        <f t="shared" si="990"/>
        <v>707.78000254669416</v>
      </c>
      <c r="J7038" s="297">
        <f t="shared" si="991"/>
        <v>313.57142857142856</v>
      </c>
      <c r="K7038" s="297">
        <f>J7038/POBLA!$B$5*100000</f>
        <v>50.658233936262484</v>
      </c>
      <c r="L7038" s="549">
        <f t="shared" si="989"/>
        <v>-0.32869249394673128</v>
      </c>
      <c r="M7038" s="401">
        <f>SUM(C7038,C7014,C6990,C6966,C6942,C6918,C6894)/POBLA!$B$5*100000</f>
        <v>354.60763755383732</v>
      </c>
    </row>
    <row r="7039" spans="1:13" s="360" customFormat="1" ht="15.75" thickBot="1" x14ac:dyDescent="0.3">
      <c r="A7039" s="367" t="s">
        <v>20</v>
      </c>
      <c r="B7039" s="266">
        <v>44186</v>
      </c>
      <c r="C7039" s="1">
        <v>183</v>
      </c>
      <c r="D7039" s="39">
        <v>122816</v>
      </c>
      <c r="E7039" s="1">
        <v>16</v>
      </c>
      <c r="F7039" s="409">
        <f t="shared" si="985"/>
        <v>2408</v>
      </c>
      <c r="G7039" s="168">
        <f>SUM(C7039,C7015,C6991,C6967,C6943,C6919,C6895,C6871,C6847,C6823,C6799,C6775,C6751,C6727)/POBLA!$B$6*100000</f>
        <v>455.83471106824493</v>
      </c>
      <c r="H7039" s="256">
        <f t="shared" si="988"/>
        <v>0.63735029940119758</v>
      </c>
      <c r="I7039" s="297">
        <f t="shared" si="990"/>
        <v>290.52638957680432</v>
      </c>
      <c r="J7039" s="297">
        <f t="shared" si="991"/>
        <v>385.85714285714283</v>
      </c>
      <c r="K7039" s="297">
        <f>J7039/POBLA!$B$6*100000</f>
        <v>34.426909224487027</v>
      </c>
      <c r="L7039" s="549">
        <f t="shared" si="989"/>
        <v>-0.12167774086378746</v>
      </c>
      <c r="M7039" s="401">
        <f>SUM(C7039,C7015,C6991,C6967,C6943,C6919,C6895)/POBLA!$B$6*100000</f>
        <v>240.98836457140919</v>
      </c>
    </row>
    <row r="7040" spans="1:13" s="360" customFormat="1" ht="15.75" thickBot="1" x14ac:dyDescent="0.3">
      <c r="A7040" s="367" t="s">
        <v>30</v>
      </c>
      <c r="B7040" s="266">
        <v>44186</v>
      </c>
      <c r="C7040" s="1">
        <v>262</v>
      </c>
      <c r="D7040" s="39">
        <f t="shared" si="984"/>
        <v>10711</v>
      </c>
      <c r="E7040" s="1">
        <v>4</v>
      </c>
      <c r="F7040" s="409">
        <f t="shared" si="985"/>
        <v>147</v>
      </c>
      <c r="G7040" s="168">
        <f>SUM(C7040,C7016,C6992,C6968,C6944,C6920,C6896,C6872,C6848,C6824,C6800,C6776,C6752,C6728)/POBLA!$B$7*100000</f>
        <v>49.169647249664273</v>
      </c>
      <c r="H7040" s="256">
        <f t="shared" si="988"/>
        <v>0.46869455006337135</v>
      </c>
      <c r="I7040" s="297">
        <f t="shared" si="990"/>
        <v>23.045545694456081</v>
      </c>
      <c r="J7040" s="297">
        <f t="shared" si="991"/>
        <v>153</v>
      </c>
      <c r="K7040" s="297">
        <f>J7040/POBLA!$B$7*100000</f>
        <v>4.0686619952399319</v>
      </c>
      <c r="L7040" s="549">
        <f t="shared" si="989"/>
        <v>-0.37660668380462714</v>
      </c>
      <c r="M7040" s="401">
        <f>SUM(C7040,C7016,C6992,C6968,C6944,C6920,C6896)/POBLA!$B$7*100000</f>
        <v>28.48063396667952</v>
      </c>
    </row>
    <row r="7041" spans="1:13" ht="15.75" thickBot="1" x14ac:dyDescent="0.3">
      <c r="A7041" s="367" t="s">
        <v>31</v>
      </c>
      <c r="B7041" s="266">
        <v>44186</v>
      </c>
      <c r="C7041" s="1">
        <v>38</v>
      </c>
      <c r="D7041" s="39">
        <f t="shared" si="984"/>
        <v>27003</v>
      </c>
      <c r="E7041" s="1">
        <v>7</v>
      </c>
      <c r="F7041" s="409">
        <f t="shared" si="985"/>
        <v>560</v>
      </c>
      <c r="G7041" s="168">
        <f>SUM(C7041,C7017,C6993,C6969,C6945,C6921,C6897,C6873,C6849,C6825,C6801,C6777,C6753,C6729)/POBLA!$B$8*100000</f>
        <v>175.18530463699918</v>
      </c>
      <c r="H7041" s="256">
        <f t="shared" si="988"/>
        <v>0.90732436472346789</v>
      </c>
      <c r="I7041" s="297">
        <f t="shared" si="990"/>
        <v>158.94989523865246</v>
      </c>
      <c r="J7041" s="297">
        <f t="shared" si="991"/>
        <v>173</v>
      </c>
      <c r="K7041" s="297">
        <f>J7041/POBLA!$B$8*100000</f>
        <v>12.48231371589821</v>
      </c>
      <c r="L7041" s="549">
        <f t="shared" si="989"/>
        <v>4.9301561216105183E-3</v>
      </c>
      <c r="M7041" s="401">
        <f>SUM(C7041,C7017,C6993,C6969,C6945,C6921,C6897)/POBLA!$B$8*100000</f>
        <v>87.376196011287476</v>
      </c>
    </row>
    <row r="7042" spans="1:13" s="360" customFormat="1" ht="15.75" thickBot="1" x14ac:dyDescent="0.3">
      <c r="A7042" s="367" t="s">
        <v>41</v>
      </c>
      <c r="B7042" s="266">
        <v>44186</v>
      </c>
      <c r="C7042" s="1">
        <v>-1</v>
      </c>
      <c r="D7042" s="39">
        <f t="shared" si="984"/>
        <v>203</v>
      </c>
      <c r="E7042" s="1"/>
      <c r="F7042" s="409">
        <f t="shared" si="985"/>
        <v>3</v>
      </c>
      <c r="G7042" s="168">
        <f>SUM(C7042,C7018,C6994,C6970,C6946,C6922,C6898,C6874,C6850,C6826,C6802,C6778,C6754,C6730)/POBLA!$B$9*100000</f>
        <v>2.3133116212514024</v>
      </c>
      <c r="H7042" s="256" t="e">
        <f t="shared" si="988"/>
        <v>#DIV/0!</v>
      </c>
      <c r="I7042" s="297" t="e">
        <f t="shared" si="990"/>
        <v>#DIV/0!</v>
      </c>
      <c r="J7042" s="297">
        <f t="shared" si="991"/>
        <v>0.7142857142857143</v>
      </c>
      <c r="K7042" s="297">
        <f>J7042/POBLA!$B$9*100000</f>
        <v>0.11802610312507156</v>
      </c>
      <c r="L7042" s="549">
        <f t="shared" si="989"/>
        <v>0.44444444444444442</v>
      </c>
      <c r="M7042" s="401">
        <f>SUM(C7042,C7018,C6994,C6970,C6946,C6922,C6898)/POBLA!$B$9*100000</f>
        <v>0.82618272187550079</v>
      </c>
    </row>
    <row r="7043" spans="1:13" s="360" customFormat="1" ht="15.75" thickBot="1" x14ac:dyDescent="0.3">
      <c r="A7043" s="367" t="s">
        <v>32</v>
      </c>
      <c r="B7043" s="266">
        <v>44186</v>
      </c>
      <c r="C7043" s="1">
        <v>0</v>
      </c>
      <c r="D7043" s="39">
        <f t="shared" si="984"/>
        <v>18482</v>
      </c>
      <c r="E7043" s="1"/>
      <c r="F7043" s="409">
        <f t="shared" si="985"/>
        <v>857</v>
      </c>
      <c r="G7043" s="168">
        <f>SUM(C7043,C7019,C6995,C6971,C6947,C6923,C6899,C6875,C6851,C6827,C6803,C6779,C6755,C6731)/POBLA!$B$10*100000</f>
        <v>8.5616327293058205</v>
      </c>
      <c r="H7043" s="256">
        <f t="shared" si="988"/>
        <v>0.55462184873949583</v>
      </c>
      <c r="I7043" s="297">
        <f t="shared" si="990"/>
        <v>4.7484685725561695</v>
      </c>
      <c r="J7043" s="297">
        <f t="shared" si="991"/>
        <v>3.8571428571428572</v>
      </c>
      <c r="K7043" s="297">
        <f>J7043/POBLA!$B$10*100000</f>
        <v>0.50035515950488552</v>
      </c>
      <c r="L7043" s="549">
        <f t="shared" si="989"/>
        <v>0.30769230769230771</v>
      </c>
      <c r="M7043" s="401">
        <f>SUM(C7043,C7019,C6995,C6971,C6947,C6923,C6899)/POBLA!$B$10*100000</f>
        <v>3.5024861165341994</v>
      </c>
    </row>
    <row r="7044" spans="1:13" s="360" customFormat="1" ht="15.75" thickBot="1" x14ac:dyDescent="0.3">
      <c r="A7044" s="367" t="s">
        <v>33</v>
      </c>
      <c r="B7044" s="266">
        <v>44186</v>
      </c>
      <c r="C7044" s="1">
        <v>161</v>
      </c>
      <c r="D7044" s="39">
        <f t="shared" si="984"/>
        <v>8432</v>
      </c>
      <c r="E7044" s="1">
        <v>10</v>
      </c>
      <c r="F7044" s="409">
        <f t="shared" si="985"/>
        <v>116</v>
      </c>
      <c r="G7044" s="168">
        <f>SUM(C7044,C7020,C6996,C6972,C6948,C6924,C6900,C6876,C6852,C6828,C6804,C6780,C6756,C6732)/POBLA!$B$11*100000</f>
        <v>584.21775084535807</v>
      </c>
      <c r="H7044" s="256">
        <f t="shared" si="988"/>
        <v>1.901907356948229</v>
      </c>
      <c r="I7044" s="297">
        <f t="shared" si="990"/>
        <v>1111.1280383925339</v>
      </c>
      <c r="J7044" s="297">
        <f t="shared" si="991"/>
        <v>187.71428571428572</v>
      </c>
      <c r="K7044" s="297">
        <f>J7044/POBLA!$B$11*100000</f>
        <v>52.371546228052971</v>
      </c>
      <c r="L7044" s="549">
        <f t="shared" si="989"/>
        <v>-0.68461538461538463</v>
      </c>
      <c r="M7044" s="401">
        <f>SUM(C7044,C7020,C6996,C6972,C6948,C6924,C6900)/POBLA!$B$11*100000</f>
        <v>366.60082359637084</v>
      </c>
    </row>
    <row r="7045" spans="1:13" s="360" customFormat="1" ht="15.75" thickBot="1" x14ac:dyDescent="0.3">
      <c r="A7045" s="367" t="s">
        <v>21</v>
      </c>
      <c r="B7045" s="266">
        <v>44186</v>
      </c>
      <c r="C7045" s="1">
        <v>14</v>
      </c>
      <c r="D7045" s="39">
        <f t="shared" si="984"/>
        <v>9014</v>
      </c>
      <c r="E7045" s="1">
        <v>10</v>
      </c>
      <c r="F7045" s="409">
        <f t="shared" si="985"/>
        <v>358</v>
      </c>
      <c r="G7045" s="168">
        <f>SUM(C7045,C7021,C6997,C6973,C6949,C6925,C6901,C6877,C6853,C6829,C6805,C6781,C6757,C6733)/POBLA!$B$12*100000</f>
        <v>39.641095618896607</v>
      </c>
      <c r="H7045" s="256">
        <f t="shared" si="988"/>
        <v>0.51315789473684215</v>
      </c>
      <c r="I7045" s="297">
        <f t="shared" si="990"/>
        <v>20.342141172854838</v>
      </c>
      <c r="J7045" s="297">
        <f t="shared" si="991"/>
        <v>10.428571428571429</v>
      </c>
      <c r="K7045" s="297">
        <f>J7045/POBLA!$B$12*100000</f>
        <v>2.6499999818493154</v>
      </c>
      <c r="L7045" s="549">
        <f t="shared" si="989"/>
        <v>0.12048192771084343</v>
      </c>
      <c r="M7045" s="401">
        <f>SUM(C7045,C7021,C6997,C6973,C6949,C6925,C6901)/POBLA!$B$12*100000</f>
        <v>18.549999872945204</v>
      </c>
    </row>
    <row r="7046" spans="1:13" s="360" customFormat="1" ht="15.75" thickBot="1" x14ac:dyDescent="0.3">
      <c r="A7046" s="367" t="s">
        <v>17</v>
      </c>
      <c r="B7046" s="266">
        <v>44186</v>
      </c>
      <c r="C7046" s="1">
        <v>76</v>
      </c>
      <c r="D7046" s="39">
        <f t="shared" si="984"/>
        <v>59051</v>
      </c>
      <c r="E7046" s="1"/>
      <c r="F7046" s="409">
        <f t="shared" si="985"/>
        <v>1199</v>
      </c>
      <c r="G7046" s="168">
        <f>SUM(C7046,C7022,C6998,C6974,C6950,C6926,C6902,C6878,C6854,C6830,C6806,C6782,C6758,C6734)/POBLA!$B$13*100000</f>
        <v>72.902190482219609</v>
      </c>
      <c r="H7046" s="256">
        <f t="shared" si="988"/>
        <v>0.6314186248912097</v>
      </c>
      <c r="I7046" s="297">
        <f t="shared" si="990"/>
        <v>46.03180086584014</v>
      </c>
      <c r="J7046" s="297">
        <f t="shared" si="991"/>
        <v>97.857142857142861</v>
      </c>
      <c r="K7046" s="297">
        <f>J7046/POBLA!$B$13*100000</f>
        <v>4.9166092822999339</v>
      </c>
      <c r="L7046" s="549">
        <f t="shared" si="989"/>
        <v>0.10574412532637079</v>
      </c>
      <c r="M7046" s="401">
        <f>SUM(C7046,C7022,C6998,C6974,C6950,C6926,C6902)/POBLA!$B$13*100000</f>
        <v>34.416264976099534</v>
      </c>
    </row>
    <row r="7047" spans="1:13" s="360" customFormat="1" ht="15.75" thickBot="1" x14ac:dyDescent="0.3">
      <c r="A7047" s="367" t="s">
        <v>23</v>
      </c>
      <c r="B7047" s="266">
        <v>44186</v>
      </c>
      <c r="C7047" s="1">
        <v>5</v>
      </c>
      <c r="D7047" s="39">
        <f t="shared" si="984"/>
        <v>864</v>
      </c>
      <c r="E7047" s="1"/>
      <c r="F7047" s="409">
        <f t="shared" si="985"/>
        <v>11</v>
      </c>
      <c r="G7047" s="168">
        <f>SUM(C7047,C7023,C6999,C6975,C6951,C6927,C6903,C6879,C6855,C6831,C6807,C6783,C6759,C6735)/POBLA!$B$14*100000</f>
        <v>22.595842047928556</v>
      </c>
      <c r="H7047" s="256">
        <f t="shared" si="988"/>
        <v>2.1755725190839694</v>
      </c>
      <c r="I7047" s="297">
        <f t="shared" si="990"/>
        <v>49.158893005035409</v>
      </c>
      <c r="J7047" s="297">
        <f t="shared" si="991"/>
        <v>25.571428571428573</v>
      </c>
      <c r="K7047" s="297">
        <f>J7047/POBLA!$B$14*100000</f>
        <v>2.0273963541750435</v>
      </c>
      <c r="L7047" s="549">
        <f t="shared" si="989"/>
        <v>-0.68867924528301883</v>
      </c>
      <c r="M7047" s="401">
        <f>SUM(C7047,C7023,C6999,C6975,C6951,C6927,C6903)/POBLA!$B$14*100000</f>
        <v>14.191774479225305</v>
      </c>
    </row>
    <row r="7048" spans="1:13" s="360" customFormat="1" ht="15.75" thickBot="1" x14ac:dyDescent="0.3">
      <c r="A7048" s="367" t="s">
        <v>19</v>
      </c>
      <c r="B7048" s="266">
        <v>44186</v>
      </c>
      <c r="C7048" s="1">
        <v>268</v>
      </c>
      <c r="D7048" s="39">
        <f t="shared" si="984"/>
        <v>38316</v>
      </c>
      <c r="E7048" s="1"/>
      <c r="F7048" s="409">
        <f t="shared" si="985"/>
        <v>681</v>
      </c>
      <c r="G7048" s="168">
        <f>SUM(C7048,C7024,C7000,C6976,C6952,C6928,C6904,C6880,C6856,C6832,C6808,C6784,C6760,C6736)/POBLA!$B$15*100000</f>
        <v>482.48870202407329</v>
      </c>
      <c r="H7048" s="256">
        <f t="shared" si="988"/>
        <v>0.62909876300805023</v>
      </c>
      <c r="I7048" s="297">
        <f t="shared" si="990"/>
        <v>303.53304560870424</v>
      </c>
      <c r="J7048" s="297">
        <f t="shared" si="991"/>
        <v>174.85714285714286</v>
      </c>
      <c r="K7048" s="297">
        <f>J7048/POBLA!$B$15*100000</f>
        <v>26.331646659419729</v>
      </c>
      <c r="L7048" s="549">
        <f t="shared" si="989"/>
        <v>0.38181818181818183</v>
      </c>
      <c r="M7048" s="401">
        <f>SUM(C7048,C7024,C7000,C6976,C6952,C6928,C6904)/POBLA!$B$15*100000</f>
        <v>184.32152661593807</v>
      </c>
    </row>
    <row r="7049" spans="1:13" s="360" customFormat="1" ht="15.75" thickBot="1" x14ac:dyDescent="0.3">
      <c r="A7049" s="367" t="s">
        <v>18</v>
      </c>
      <c r="B7049" s="266">
        <v>44186</v>
      </c>
      <c r="C7049" s="1">
        <v>199</v>
      </c>
      <c r="D7049" s="39">
        <f t="shared" si="984"/>
        <v>35897</v>
      </c>
      <c r="E7049" s="1">
        <v>4</v>
      </c>
      <c r="F7049" s="409">
        <f t="shared" si="985"/>
        <v>871</v>
      </c>
      <c r="G7049" s="168">
        <f>SUM(C7049,C7025,C7001,C6977,C6953,C6929,C6905,C6881,C6857,C6833,C6809,C6785,C6761,C6737)/POBLA!$B$16*100000</f>
        <v>391.38053263064967</v>
      </c>
      <c r="H7049" s="256">
        <f t="shared" si="988"/>
        <v>1.0364860077931279</v>
      </c>
      <c r="I7049" s="297">
        <f t="shared" si="990"/>
        <v>405.66044579429013</v>
      </c>
      <c r="J7049" s="297">
        <f t="shared" si="991"/>
        <v>218</v>
      </c>
      <c r="K7049" s="297">
        <f>J7049/POBLA!$B$16*100000</f>
        <v>29.159588555530288</v>
      </c>
      <c r="L7049" s="549">
        <f t="shared" si="989"/>
        <v>-9.000000000000008E-2</v>
      </c>
      <c r="M7049" s="401">
        <f>SUM(C7049,C7025,C7001,C6977,C6953,C6929,C6905)/POBLA!$B$16*100000</f>
        <v>204.11711988871204</v>
      </c>
    </row>
    <row r="7050" spans="1:13" s="360" customFormat="1" ht="15.75" thickBot="1" x14ac:dyDescent="0.3">
      <c r="A7050" s="367" t="s">
        <v>34</v>
      </c>
      <c r="B7050" s="266">
        <v>44186</v>
      </c>
      <c r="C7050" s="1">
        <v>8</v>
      </c>
      <c r="D7050" s="39">
        <f t="shared" si="984"/>
        <v>21971</v>
      </c>
      <c r="E7050" s="1">
        <v>2</v>
      </c>
      <c r="F7050" s="409">
        <f t="shared" si="985"/>
        <v>1012</v>
      </c>
      <c r="G7050" s="168">
        <f>SUM(C7050,C7026,C7002,C6978,C6954,C6930,C6906,C6882,C6858,C6834,C6810,C6786,C6762,C6738)/POBLA!$B$17*100000</f>
        <v>37.910779087571797</v>
      </c>
      <c r="H7050" s="256">
        <f t="shared" si="988"/>
        <v>0.81818181818181823</v>
      </c>
      <c r="I7050" s="297">
        <f t="shared" si="990"/>
        <v>31.017910162558746</v>
      </c>
      <c r="J7050" s="297">
        <f t="shared" si="991"/>
        <v>51</v>
      </c>
      <c r="K7050" s="297">
        <f>J7050/POBLA!$B$17*100000</f>
        <v>3.5804624693817804</v>
      </c>
      <c r="L7050" s="549">
        <f t="shared" si="989"/>
        <v>-0.95081967213114749</v>
      </c>
      <c r="M7050" s="401">
        <f>SUM(C7050,C7026,C7002,C6978,C6954,C6930,C6906)/POBLA!$B$17*100000</f>
        <v>25.063237285672464</v>
      </c>
    </row>
    <row r="7051" spans="1:13" s="360" customFormat="1" ht="15.75" thickBot="1" x14ac:dyDescent="0.3">
      <c r="A7051" s="367" t="s">
        <v>35</v>
      </c>
      <c r="B7051" s="266">
        <v>44186</v>
      </c>
      <c r="C7051" s="1">
        <v>215</v>
      </c>
      <c r="D7051" s="39">
        <f t="shared" si="984"/>
        <v>10512</v>
      </c>
      <c r="E7051" s="1"/>
      <c r="F7051" s="409">
        <f t="shared" si="985"/>
        <v>196</v>
      </c>
      <c r="G7051" s="168">
        <f>SUM(C7051,C7027,C7003,C6979,C6955,C6931,C6907,C6883,C6859,C6835,C6811,C6787,C6763,C6739)/POBLA!$B$18*100000</f>
        <v>257.67488418710803</v>
      </c>
      <c r="H7051" s="256">
        <f t="shared" si="988"/>
        <v>0.73980154355016536</v>
      </c>
      <c r="I7051" s="297">
        <f t="shared" si="990"/>
        <v>190.62827705573261</v>
      </c>
      <c r="J7051" s="297">
        <f t="shared" si="991"/>
        <v>147.28571428571428</v>
      </c>
      <c r="K7051" s="297">
        <f>J7051/POBLA!$B$18*100000</f>
        <v>18.853367794827079</v>
      </c>
      <c r="L7051" s="549">
        <f t="shared" si="989"/>
        <v>-4.989816700611005E-2</v>
      </c>
      <c r="M7051" s="401">
        <f>SUM(C7051,C7027,C7003,C6979,C6955,C6931,C6907)/POBLA!$B$18*100000</f>
        <v>131.97357456378955</v>
      </c>
    </row>
    <row r="7052" spans="1:13" s="360" customFormat="1" ht="15.75" thickBot="1" x14ac:dyDescent="0.3">
      <c r="A7052" s="367" t="s">
        <v>36</v>
      </c>
      <c r="B7052" s="266">
        <v>44186</v>
      </c>
      <c r="C7052" s="1">
        <v>32</v>
      </c>
      <c r="D7052" s="39">
        <f t="shared" si="984"/>
        <v>15928</v>
      </c>
      <c r="E7052" s="1">
        <v>9</v>
      </c>
      <c r="F7052" s="409">
        <f t="shared" si="985"/>
        <v>287</v>
      </c>
      <c r="G7052" s="168">
        <f>SUM(C7052,C7028,C7004,C6980,C6956,C6932,C6908,C6884,C6860,C6836,C6812,C6788,C6764,C6740)/POBLA!$B$19*100000</f>
        <v>154.23112635935854</v>
      </c>
      <c r="H7052" s="256">
        <f t="shared" si="988"/>
        <v>0.40516795865633076</v>
      </c>
      <c r="I7052" s="297">
        <f t="shared" si="990"/>
        <v>62.48951062828791</v>
      </c>
      <c r="J7052" s="297">
        <f t="shared" si="991"/>
        <v>55</v>
      </c>
      <c r="K7052" s="297">
        <f>J7052/POBLA!$B$19*100000</f>
        <v>10.8197856502101</v>
      </c>
      <c r="L7052" s="549">
        <f t="shared" si="989"/>
        <v>3.5087719298245612E-2</v>
      </c>
      <c r="M7052" s="401">
        <f>SUM(C7052,C7028,C7004,C6980,C6956,C6932,C6908)/POBLA!$B$19*100000</f>
        <v>75.73849955147071</v>
      </c>
    </row>
    <row r="7053" spans="1:13" s="360" customFormat="1" ht="15.75" thickBot="1" x14ac:dyDescent="0.3">
      <c r="A7053" s="367" t="s">
        <v>37</v>
      </c>
      <c r="B7053" s="266">
        <v>44186</v>
      </c>
      <c r="C7053" s="1">
        <v>179</v>
      </c>
      <c r="D7053" s="39">
        <f t="shared" si="984"/>
        <v>20843</v>
      </c>
      <c r="E7053" s="1">
        <v>3</v>
      </c>
      <c r="F7053" s="409">
        <f t="shared" si="985"/>
        <v>356</v>
      </c>
      <c r="G7053" s="168">
        <f>SUM(C7053,C7029,C7005,C6981,C6957,C6933,C6909,C6885,C6861,C6837,C6813,C6789,C6765,C6741)/POBLA!$B$20*100000</f>
        <v>937.11204327067685</v>
      </c>
      <c r="H7053" s="256">
        <f t="shared" si="988"/>
        <v>1.1029932410685548</v>
      </c>
      <c r="I7053" s="297">
        <f t="shared" si="990"/>
        <v>1033.6282498514995</v>
      </c>
      <c r="J7053" s="297">
        <f t="shared" si="991"/>
        <v>261.28571428571428</v>
      </c>
      <c r="K7053" s="297">
        <f>J7053/POBLA!$B$20*100000</f>
        <v>71.448494190756932</v>
      </c>
      <c r="L7053" s="549">
        <f t="shared" si="989"/>
        <v>-0.14455569461827289</v>
      </c>
      <c r="M7053" s="401">
        <f>SUM(C7053,C7029,C7005,C6981,C6957,C6933,C6909)/POBLA!$B$20*100000</f>
        <v>500.13945933529851</v>
      </c>
    </row>
    <row r="7054" spans="1:13" s="360" customFormat="1" ht="15.75" thickBot="1" x14ac:dyDescent="0.3">
      <c r="A7054" s="367" t="s">
        <v>22</v>
      </c>
      <c r="B7054" s="266">
        <v>44186</v>
      </c>
      <c r="C7054" s="1">
        <v>801</v>
      </c>
      <c r="D7054" s="39">
        <f t="shared" si="984"/>
        <v>167492</v>
      </c>
      <c r="E7054" s="1">
        <v>24</v>
      </c>
      <c r="F7054" s="409">
        <f t="shared" si="985"/>
        <v>2752</v>
      </c>
      <c r="G7054" s="168">
        <f>SUM(C7054,C7030,C7006,C6982,C6958,C6934,C6910,C6886,C6862,C6838,C6814,C6790,C6766,C6742)/POBLA!$B$21*100000</f>
        <v>359.03561174046735</v>
      </c>
      <c r="H7054" s="256">
        <f t="shared" si="988"/>
        <v>0.79971027272154693</v>
      </c>
      <c r="I7054" s="297">
        <f t="shared" si="990"/>
        <v>287.12446698171658</v>
      </c>
      <c r="J7054" s="297">
        <f t="shared" si="991"/>
        <v>953</v>
      </c>
      <c r="K7054" s="297">
        <f>J7054/POBLA!$B$21*100000</f>
        <v>26.948171850725789</v>
      </c>
      <c r="L7054" s="549">
        <f t="shared" si="989"/>
        <v>-0.10703617656820441</v>
      </c>
      <c r="M7054" s="401">
        <f>SUM(C7054,C7030,C7006,C6982,C6958,C6934,C6910)/POBLA!$B$21*100000</f>
        <v>188.63720295508054</v>
      </c>
    </row>
    <row r="7055" spans="1:13" s="360" customFormat="1" ht="15.75" thickBot="1" x14ac:dyDescent="0.3">
      <c r="A7055" s="367" t="s">
        <v>38</v>
      </c>
      <c r="B7055" s="266">
        <v>44186</v>
      </c>
      <c r="C7055" s="1">
        <v>38</v>
      </c>
      <c r="D7055" s="39">
        <f t="shared" si="984"/>
        <v>16876</v>
      </c>
      <c r="E7055" s="1"/>
      <c r="F7055" s="409">
        <f t="shared" si="985"/>
        <v>214</v>
      </c>
      <c r="G7055" s="168">
        <f>SUM(C7055,C7031,C7007,C6983,C6959,C6935,C6911,C6887,C6863,C6839,C6815,C6791,C6767,C6743)/POBLA!$B$22*100000</f>
        <v>67.463071634538224</v>
      </c>
      <c r="H7055" s="256">
        <f t="shared" si="988"/>
        <v>0.41851616994292962</v>
      </c>
      <c r="I7055" s="297">
        <f t="shared" si="990"/>
        <v>28.234386353072434</v>
      </c>
      <c r="J7055" s="297">
        <f t="shared" si="991"/>
        <v>49.142857142857146</v>
      </c>
      <c r="K7055" s="297">
        <f>J7055/POBLA!$B$22*100000</f>
        <v>5.0232243814461368</v>
      </c>
      <c r="L7055" s="549">
        <f t="shared" si="989"/>
        <v>-8.8607594936708889E-2</v>
      </c>
      <c r="M7055" s="401">
        <f>SUM(C7055,C7031,C7007,C6983,C6959,C6935,C6911)/POBLA!$B$22*100000</f>
        <v>35.162570670122953</v>
      </c>
    </row>
    <row r="7056" spans="1:13" s="360" customFormat="1" ht="15.75" thickBot="1" x14ac:dyDescent="0.3">
      <c r="A7056" s="367" t="s">
        <v>39</v>
      </c>
      <c r="B7056" s="266">
        <v>44186</v>
      </c>
      <c r="C7056" s="1">
        <v>59</v>
      </c>
      <c r="D7056" s="39">
        <f t="shared" si="984"/>
        <v>18203</v>
      </c>
      <c r="E7056" s="1">
        <v>2</v>
      </c>
      <c r="F7056" s="409">
        <f t="shared" si="985"/>
        <v>246</v>
      </c>
      <c r="G7056" s="168">
        <f>SUM(C7056,C7032,C7008,C6984,C6960,C6936,C6912,C6888,C6864,C6840,C6816,C6792,C6768,C6744)/POBLA!$B$23*100000</f>
        <v>762.87960187750946</v>
      </c>
      <c r="H7056" s="256">
        <f t="shared" si="988"/>
        <v>0.93745656706045866</v>
      </c>
      <c r="I7056" s="297">
        <f t="shared" si="990"/>
        <v>715.1664926565395</v>
      </c>
      <c r="J7056" s="297">
        <f t="shared" si="991"/>
        <v>75.142857142857139</v>
      </c>
      <c r="K7056" s="297">
        <f>J7056/POBLA!$B$23*100000</f>
        <v>42.494405441869105</v>
      </c>
      <c r="L7056" s="549">
        <f t="shared" si="989"/>
        <v>0.36087484811664639</v>
      </c>
      <c r="M7056" s="401">
        <f>SUM(C7056,C7032,C7008,C6984,C6960,C6936,C6912)/POBLA!$B$23*100000</f>
        <v>297.46083809308374</v>
      </c>
    </row>
    <row r="7057" spans="1:13" s="360" customFormat="1" ht="15.75" thickBot="1" x14ac:dyDescent="0.3">
      <c r="A7057" s="368" t="s">
        <v>40</v>
      </c>
      <c r="B7057" s="34">
        <v>44186</v>
      </c>
      <c r="C7057" s="232">
        <v>236</v>
      </c>
      <c r="D7057" s="67">
        <f t="shared" si="984"/>
        <v>69883</v>
      </c>
      <c r="E7057" s="232">
        <v>6</v>
      </c>
      <c r="F7057" s="477">
        <f t="shared" si="985"/>
        <v>1328</v>
      </c>
      <c r="G7057" s="177">
        <f>SUM(C7057,C7033,C7009,C6985,C6961,C6937,C6913,C6889,C6865,C6841,C6817,C6793,C6769,C6745)/POBLA!$B$24*100000</f>
        <v>149.46986291023075</v>
      </c>
      <c r="H7057" s="402">
        <f t="shared" si="988"/>
        <v>0.65486039296794207</v>
      </c>
      <c r="I7057" s="403">
        <f t="shared" si="990"/>
        <v>97.881893162258137</v>
      </c>
      <c r="J7057" s="403">
        <f t="shared" si="991"/>
        <v>177.42857142857142</v>
      </c>
      <c r="K7057" s="403">
        <f>J7057/POBLA!$B$24*100000</f>
        <v>10.469887188230025</v>
      </c>
      <c r="L7057" s="550">
        <f t="shared" si="989"/>
        <v>3.7955073586367183E-2</v>
      </c>
      <c r="M7057" s="405">
        <f>SUM(C7057,C7033,C7009,C6985,C6961,C6937,C6913)/POBLA!$B$24*100000</f>
        <v>73.289210317610184</v>
      </c>
    </row>
    <row r="7058" spans="1:13" s="360" customFormat="1" x14ac:dyDescent="0.25">
      <c r="A7058" s="363" t="s">
        <v>16</v>
      </c>
      <c r="B7058" s="265">
        <v>44187</v>
      </c>
      <c r="C7058" s="43">
        <v>3019</v>
      </c>
      <c r="D7058" s="174">
        <f t="shared" si="984"/>
        <v>657205</v>
      </c>
      <c r="E7058" s="43">
        <v>151</v>
      </c>
      <c r="F7058" s="475">
        <f t="shared" si="985"/>
        <v>21917</v>
      </c>
      <c r="G7058" s="175">
        <f>SUM(C7058,C7034,C7010,C6986,C6962,C6938,C6914,C6890,C6866,C6842,C6818,C6794,C6770,C6746)/POBLA!$B$1*100000</f>
        <v>155.05832830372893</v>
      </c>
      <c r="H7058" s="300">
        <f t="shared" si="988"/>
        <v>1.2302229861142522</v>
      </c>
      <c r="I7058" s="301">
        <f>G7058*H7058</f>
        <v>190.75631966769748</v>
      </c>
      <c r="J7058" s="301">
        <f>AVERAGE(C7058,C7034,C7010,C6986,C6962,C6938,C6914)</f>
        <v>2202.5714285714284</v>
      </c>
      <c r="K7058" s="301">
        <f>J7058/POBLA!$B$1*100000</f>
        <v>12.556602951720349</v>
      </c>
      <c r="L7058" s="548">
        <f t="shared" si="989"/>
        <v>-0.30871742636448518</v>
      </c>
      <c r="M7058" s="400">
        <f>SUM(C7058,C7034,C7010,C6986,C6962,C6938,C6914)/POBLA!$B$1*100000</f>
        <v>87.896220662042452</v>
      </c>
    </row>
    <row r="7059" spans="1:13" s="360" customFormat="1" x14ac:dyDescent="0.25">
      <c r="A7059" s="367" t="s">
        <v>43</v>
      </c>
      <c r="B7059" s="2">
        <v>44187</v>
      </c>
      <c r="C7059" s="1">
        <v>712</v>
      </c>
      <c r="D7059" s="39">
        <f t="shared" si="984"/>
        <v>167288</v>
      </c>
      <c r="E7059" s="1">
        <v>17</v>
      </c>
      <c r="F7059" s="409">
        <f t="shared" si="985"/>
        <v>5427</v>
      </c>
      <c r="G7059" s="168">
        <f>SUM(C7059,C7035,C7011,C6987,C6963,C6939,C6915,C6891,C6867,C6843,C6819,C6795,C6771,C6747)/POBLA!$B$2*100000</f>
        <v>204.57490881590402</v>
      </c>
      <c r="H7059" s="256">
        <f t="shared" si="988"/>
        <v>1.5372587344246273</v>
      </c>
      <c r="I7059" s="297">
        <f t="shared" ref="I7059:I7081" si="992">G7059*H7059</f>
        <v>314.48456542137018</v>
      </c>
      <c r="J7059" s="297">
        <f t="shared" ref="J7059:J7081" si="993">AVERAGE(C7059,C7035,C7011,C6987,C6963,C6939,C6915)</f>
        <v>511.42857142857144</v>
      </c>
      <c r="K7059" s="297">
        <f>J7059/POBLA!$B$2*100000</f>
        <v>16.628330159861424</v>
      </c>
      <c r="L7059" s="549">
        <f t="shared" si="989"/>
        <v>-0.32005899705014751</v>
      </c>
      <c r="M7059" s="401">
        <f>SUM(C7059,C7035,C7011,C6987,C6963,C6939,C6915)/POBLA!$B$2*100000</f>
        <v>116.39831111902996</v>
      </c>
    </row>
    <row r="7060" spans="1:13" s="360" customFormat="1" x14ac:dyDescent="0.25">
      <c r="A7060" s="367" t="s">
        <v>28</v>
      </c>
      <c r="B7060" s="2">
        <v>44187</v>
      </c>
      <c r="C7060" s="1">
        <v>37</v>
      </c>
      <c r="D7060" s="39">
        <f t="shared" si="984"/>
        <v>2399</v>
      </c>
      <c r="E7060" s="1"/>
      <c r="F7060" s="409">
        <f t="shared" si="985"/>
        <v>17</v>
      </c>
      <c r="G7060" s="168">
        <f>SUM(C7060,C7036,C7012,C6988,C6964,C6940,C6916,C6892,C6868,C6844,C6820,C6796,C6772,C6748)/POBLA!$B$3*100000</f>
        <v>89.544047487230344</v>
      </c>
      <c r="H7060" s="256">
        <f t="shared" si="988"/>
        <v>1.2317880794701987</v>
      </c>
      <c r="I7060" s="297">
        <f t="shared" si="992"/>
        <v>110.29929028228374</v>
      </c>
      <c r="J7060" s="297">
        <f t="shared" si="993"/>
        <v>29.857142857142858</v>
      </c>
      <c r="K7060" s="297">
        <f>J7060/POBLA!$B$3*100000</f>
        <v>7.1869070371855379</v>
      </c>
      <c r="L7060" s="549">
        <f t="shared" si="989"/>
        <v>-0.28220858895705514</v>
      </c>
      <c r="M7060" s="401">
        <f>SUM(C7060,C7036,C7012,C6988,C6964,C6940,C6916)/POBLA!$B$3*100000</f>
        <v>50.308349260298769</v>
      </c>
    </row>
    <row r="7061" spans="1:13" s="360" customFormat="1" x14ac:dyDescent="0.25">
      <c r="A7061" s="367" t="s">
        <v>15</v>
      </c>
      <c r="B7061" s="2">
        <v>44187</v>
      </c>
      <c r="C7061" s="1">
        <v>191</v>
      </c>
      <c r="D7061" s="39">
        <f t="shared" si="984"/>
        <v>23212</v>
      </c>
      <c r="E7061" s="1"/>
      <c r="F7061" s="409">
        <f t="shared" si="985"/>
        <v>656</v>
      </c>
      <c r="G7061" s="168">
        <f>SUM(C7061,C7037,C7013,C6989,C6965,C6941,C6917,C6893,C6869,C6845,C6821,C6797,C6773,C6749)/POBLA!$B$4*100000</f>
        <v>193.18562008267048</v>
      </c>
      <c r="H7061" s="256">
        <f t="shared" si="988"/>
        <v>0.83018194791295041</v>
      </c>
      <c r="I7061" s="297">
        <f t="shared" si="992"/>
        <v>160.37921438900258</v>
      </c>
      <c r="J7061" s="297">
        <f t="shared" si="993"/>
        <v>169.14285714285714</v>
      </c>
      <c r="K7061" s="297">
        <f>J7061/POBLA!$B$4*100000</f>
        <v>14.042100446797338</v>
      </c>
      <c r="L7061" s="549">
        <f t="shared" si="989"/>
        <v>-3.5870516185476875E-2</v>
      </c>
      <c r="M7061" s="401">
        <f>SUM(C7061,C7037,C7013,C6989,C6965,C6941,C6917)/POBLA!$B$4*100000</f>
        <v>98.294703127581386</v>
      </c>
    </row>
    <row r="7062" spans="1:13" s="360" customFormat="1" x14ac:dyDescent="0.25">
      <c r="A7062" s="367" t="s">
        <v>29</v>
      </c>
      <c r="B7062" s="2">
        <v>44187</v>
      </c>
      <c r="C7062" s="1">
        <v>409</v>
      </c>
      <c r="D7062" s="39">
        <f t="shared" si="984"/>
        <v>28905</v>
      </c>
      <c r="E7062" s="1">
        <v>1</v>
      </c>
      <c r="F7062" s="409">
        <f t="shared" si="985"/>
        <v>486</v>
      </c>
      <c r="G7062" s="168">
        <f>SUM(C7062,C7038,C7014,C6990,C6966,C6942,C6918,C6894,C6870,C6846,C6822,C6798,C6774,C6750)/POBLA!$B$5*100000</f>
        <v>668.01939921873236</v>
      </c>
      <c r="H7062" s="256">
        <f t="shared" si="988"/>
        <v>1.2637530562347188</v>
      </c>
      <c r="I7062" s="297">
        <f t="shared" si="992"/>
        <v>844.21155738675373</v>
      </c>
      <c r="J7062" s="297">
        <f t="shared" si="993"/>
        <v>320.85714285714283</v>
      </c>
      <c r="K7062" s="297">
        <f>J7062/POBLA!$B$5*100000</f>
        <v>51.835258961660827</v>
      </c>
      <c r="L7062" s="549">
        <f t="shared" si="989"/>
        <v>-0.18898888300688199</v>
      </c>
      <c r="M7062" s="401">
        <f>SUM(C7062,C7038,C7014,C6990,C6966,C6942,C6918)/POBLA!$B$5*100000</f>
        <v>362.84681273162585</v>
      </c>
    </row>
    <row r="7063" spans="1:13" s="360" customFormat="1" x14ac:dyDescent="0.25">
      <c r="A7063" s="367" t="s">
        <v>20</v>
      </c>
      <c r="B7063" s="2">
        <v>44187</v>
      </c>
      <c r="C7063" s="1">
        <v>494</v>
      </c>
      <c r="D7063" s="39">
        <f t="shared" si="984"/>
        <v>123310</v>
      </c>
      <c r="E7063" s="1">
        <v>10</v>
      </c>
      <c r="F7063" s="409">
        <f t="shared" si="985"/>
        <v>2418</v>
      </c>
      <c r="G7063" s="168">
        <f>SUM(C7063,C7039,C7015,C6991,C6967,C6943,C6919,C6895,C6871,C6847,C6823,C6799,C6775,C6751)/POBLA!$B$6*100000</f>
        <v>478.40785295516332</v>
      </c>
      <c r="H7063" s="256">
        <f t="shared" si="988"/>
        <v>0.68867197534035451</v>
      </c>
      <c r="I7063" s="297">
        <f t="shared" si="992"/>
        <v>329.46608111297019</v>
      </c>
      <c r="J7063" s="297">
        <f t="shared" si="993"/>
        <v>401.28571428571428</v>
      </c>
      <c r="K7063" s="297">
        <f>J7063/POBLA!$B$6*100000</f>
        <v>35.803475754011131</v>
      </c>
      <c r="L7063" s="549">
        <f t="shared" si="989"/>
        <v>-0.10027418723070891</v>
      </c>
      <c r="M7063" s="401">
        <f>SUM(C7063,C7039,C7015,C6991,C6967,C6943,C6919)/POBLA!$B$6*100000</f>
        <v>250.62433027807791</v>
      </c>
    </row>
    <row r="7064" spans="1:13" s="360" customFormat="1" x14ac:dyDescent="0.25">
      <c r="A7064" s="367" t="s">
        <v>30</v>
      </c>
      <c r="B7064" s="2">
        <v>44187</v>
      </c>
      <c r="C7064" s="1">
        <v>143</v>
      </c>
      <c r="D7064" s="39">
        <f t="shared" si="984"/>
        <v>10854</v>
      </c>
      <c r="E7064" s="1">
        <v>3</v>
      </c>
      <c r="F7064" s="409">
        <f t="shared" si="985"/>
        <v>150</v>
      </c>
      <c r="G7064" s="168">
        <f>SUM(C7064,C7040,C7016,C6992,C6968,C6944,C6920,C6896,C6872,C6848,C6824,C6800,C6776,C6752)/POBLA!$B$7*100000</f>
        <v>49.595128242630537</v>
      </c>
      <c r="H7064" s="256">
        <f t="shared" si="988"/>
        <v>0.46859296482412061</v>
      </c>
      <c r="I7064" s="297">
        <f t="shared" si="992"/>
        <v>23.239928184046722</v>
      </c>
      <c r="J7064" s="297">
        <f t="shared" si="993"/>
        <v>151.14285714285714</v>
      </c>
      <c r="K7064" s="297">
        <f>J7064/POBLA!$B$7*100000</f>
        <v>4.0192758085563467</v>
      </c>
      <c r="L7064" s="549">
        <f t="shared" si="989"/>
        <v>-0.31102850061957876</v>
      </c>
      <c r="M7064" s="401">
        <f>SUM(C7064,C7040,C7016,C6992,C6968,C6944,C6920)/POBLA!$B$7*100000</f>
        <v>28.13493065989443</v>
      </c>
    </row>
    <row r="7065" spans="1:13" x14ac:dyDescent="0.25">
      <c r="A7065" s="367" t="s">
        <v>31</v>
      </c>
      <c r="B7065" s="2">
        <v>44187</v>
      </c>
      <c r="C7065" s="1">
        <v>140</v>
      </c>
      <c r="D7065" s="39">
        <f t="shared" si="984"/>
        <v>27143</v>
      </c>
      <c r="E7065" s="1">
        <v>7</v>
      </c>
      <c r="F7065" s="409">
        <f t="shared" si="985"/>
        <v>567</v>
      </c>
      <c r="G7065" s="168">
        <f>SUM(C7065,C7041,C7017,C6993,C6969,C6945,C6921,C6897,C6873,C6849,C6825,C6801,C6777,C6753)/POBLA!$B$8*100000</f>
        <v>175.40176094421128</v>
      </c>
      <c r="H7065" s="256">
        <f t="shared" si="988"/>
        <v>0.92223065250379366</v>
      </c>
      <c r="I7065" s="297">
        <f t="shared" si="992"/>
        <v>161.7608804458944</v>
      </c>
      <c r="J7065" s="297">
        <f t="shared" si="993"/>
        <v>173.71428571428572</v>
      </c>
      <c r="K7065" s="297">
        <f>J7065/POBLA!$B$8*100000</f>
        <v>12.533850931901094</v>
      </c>
      <c r="L7065" s="549">
        <f t="shared" si="989"/>
        <v>-8.230452674897748E-4</v>
      </c>
      <c r="M7065" s="401">
        <f>SUM(C7065,C7041,C7017,C6993,C6969,C6945,C6921)/POBLA!$B$8*100000</f>
        <v>87.736956523307654</v>
      </c>
    </row>
    <row r="7066" spans="1:13" s="360" customFormat="1" x14ac:dyDescent="0.25">
      <c r="A7066" s="367" t="s">
        <v>41</v>
      </c>
      <c r="B7066" s="2">
        <v>44187</v>
      </c>
      <c r="C7066" s="1">
        <v>7</v>
      </c>
      <c r="D7066" s="39">
        <f t="shared" si="984"/>
        <v>210</v>
      </c>
      <c r="E7066" s="1"/>
      <c r="F7066" s="409">
        <f t="shared" si="985"/>
        <v>3</v>
      </c>
      <c r="G7066" s="168">
        <f>SUM(C7066,C7042,C7018,C6994,C6970,C6946,C6922,C6898,C6874,C6850,C6826,C6802,C6778,C6754)/POBLA!$B$9*100000</f>
        <v>2.8090212543767032</v>
      </c>
      <c r="H7066" s="256">
        <f t="shared" si="988"/>
        <v>8.5</v>
      </c>
      <c r="I7066" s="297">
        <f t="shared" si="992"/>
        <v>23.876680662201977</v>
      </c>
      <c r="J7066" s="297">
        <f t="shared" si="993"/>
        <v>1.8571428571428572</v>
      </c>
      <c r="K7066" s="297">
        <f>J7066/POBLA!$B$9*100000</f>
        <v>0.30686786812518607</v>
      </c>
      <c r="L7066" s="549">
        <f t="shared" si="989"/>
        <v>-2.25</v>
      </c>
      <c r="M7066" s="401">
        <f>SUM(C7066,C7042,C7018,C6994,C6970,C6946,C6922)/POBLA!$B$9*100000</f>
        <v>2.1480750768763022</v>
      </c>
    </row>
    <row r="7067" spans="1:13" s="360" customFormat="1" x14ac:dyDescent="0.25">
      <c r="A7067" s="367" t="s">
        <v>32</v>
      </c>
      <c r="B7067" s="2">
        <v>44187</v>
      </c>
      <c r="C7067" s="1">
        <v>3</v>
      </c>
      <c r="D7067" s="39">
        <f t="shared" si="984"/>
        <v>18485</v>
      </c>
      <c r="E7067" s="1"/>
      <c r="F7067" s="409">
        <f t="shared" si="985"/>
        <v>857</v>
      </c>
      <c r="G7067" s="168">
        <f>SUM(C7067,C7043,C7019,C6995,C6971,C6947,C6923,C6899,C6875,C6851,C6827,C6803,C6779,C6755)/POBLA!$B$10*100000</f>
        <v>7.7833024811871088</v>
      </c>
      <c r="H7067" s="256">
        <f t="shared" si="988"/>
        <v>0.55555555555555558</v>
      </c>
      <c r="I7067" s="297">
        <f t="shared" si="992"/>
        <v>4.3240569339928383</v>
      </c>
      <c r="J7067" s="297">
        <f t="shared" si="993"/>
        <v>3.7142857142857144</v>
      </c>
      <c r="K7067" s="297">
        <f>J7067/POBLA!$B$10*100000</f>
        <v>0.4818234869306306</v>
      </c>
      <c r="L7067" s="549">
        <f t="shared" si="989"/>
        <v>0.23529411764705888</v>
      </c>
      <c r="M7067" s="401">
        <f>SUM(C7067,C7043,C7019,C6995,C6971,C6947,C6923)/POBLA!$B$10*100000</f>
        <v>3.3727644085144135</v>
      </c>
    </row>
    <row r="7068" spans="1:13" s="360" customFormat="1" x14ac:dyDescent="0.25">
      <c r="A7068" s="367" t="s">
        <v>33</v>
      </c>
      <c r="B7068" s="2">
        <v>44187</v>
      </c>
      <c r="C7068" s="1">
        <v>247</v>
      </c>
      <c r="D7068" s="39">
        <f t="shared" si="984"/>
        <v>8679</v>
      </c>
      <c r="E7068" s="1"/>
      <c r="F7068" s="409">
        <f t="shared" si="985"/>
        <v>116</v>
      </c>
      <c r="G7068" s="168">
        <f>SUM(C7068,C7044,C7020,C6996,C6972,C6948,C6924,C6900,C6876,C6852,C6828,C6804,C6780,C6756)/POBLA!$B$11*100000</f>
        <v>635.83202205184864</v>
      </c>
      <c r="H7068" s="256">
        <f t="shared" si="988"/>
        <v>2.0680580762250456</v>
      </c>
      <c r="I7068" s="297">
        <f t="shared" si="992"/>
        <v>1314.9375483268268</v>
      </c>
      <c r="J7068" s="297">
        <f t="shared" si="993"/>
        <v>199.71428571428572</v>
      </c>
      <c r="K7068" s="297">
        <f>J7068/POBLA!$B$11*100000</f>
        <v>55.719498954960471</v>
      </c>
      <c r="L7068" s="549">
        <f t="shared" si="989"/>
        <v>-0.58683314415436993</v>
      </c>
      <c r="M7068" s="401">
        <f>SUM(C7068,C7044,C7020,C6996,C6972,C6948,C6924)/POBLA!$B$11*100000</f>
        <v>390.03649268472327</v>
      </c>
    </row>
    <row r="7069" spans="1:13" s="360" customFormat="1" x14ac:dyDescent="0.25">
      <c r="A7069" s="367" t="s">
        <v>21</v>
      </c>
      <c r="B7069" s="2">
        <v>44187</v>
      </c>
      <c r="C7069" s="1">
        <v>9</v>
      </c>
      <c r="D7069" s="39">
        <f t="shared" si="984"/>
        <v>9023</v>
      </c>
      <c r="E7069" s="1">
        <v>3</v>
      </c>
      <c r="F7069" s="409">
        <f t="shared" si="985"/>
        <v>361</v>
      </c>
      <c r="G7069" s="168">
        <f>SUM(C7069,C7045,C7021,C6997,C6973,C6949,C6925,C6901,C6877,C6853,C6829,C6805,C6781,C6757)/POBLA!$B$12*100000</f>
        <v>40.149314793497844</v>
      </c>
      <c r="H7069" s="256">
        <f t="shared" si="988"/>
        <v>0.53559322033898304</v>
      </c>
      <c r="I7069" s="297">
        <f t="shared" si="992"/>
        <v>21.503700804653082</v>
      </c>
      <c r="J7069" s="297">
        <f t="shared" si="993"/>
        <v>10.428571428571429</v>
      </c>
      <c r="K7069" s="297">
        <f>J7069/POBLA!$B$12*100000</f>
        <v>2.6499999818493154</v>
      </c>
      <c r="L7069" s="549">
        <f t="shared" si="989"/>
        <v>0.14117647058823535</v>
      </c>
      <c r="M7069" s="401">
        <f>SUM(C7069,C7045,C7021,C6997,C6973,C6949,C6925)/POBLA!$B$12*100000</f>
        <v>18.549999872945204</v>
      </c>
    </row>
    <row r="7070" spans="1:13" s="360" customFormat="1" x14ac:dyDescent="0.25">
      <c r="A7070" s="367" t="s">
        <v>17</v>
      </c>
      <c r="B7070" s="2">
        <v>44187</v>
      </c>
      <c r="C7070" s="1">
        <v>138</v>
      </c>
      <c r="D7070" s="39">
        <f t="shared" si="984"/>
        <v>59189</v>
      </c>
      <c r="E7070" s="1">
        <v>17</v>
      </c>
      <c r="F7070" s="409">
        <f t="shared" si="985"/>
        <v>1216</v>
      </c>
      <c r="G7070" s="168">
        <f>SUM(C7070,C7046,C7022,C6998,C6974,C6950,C6926,C6902,C6878,C6854,C6830,C6806,C6782,C6758)/POBLA!$B$13*100000</f>
        <v>78.227919077061287</v>
      </c>
      <c r="H7070" s="256">
        <f t="shared" si="988"/>
        <v>0.73030018761726079</v>
      </c>
      <c r="I7070" s="297">
        <f t="shared" si="992"/>
        <v>57.129863978885751</v>
      </c>
      <c r="J7070" s="297">
        <f t="shared" si="993"/>
        <v>94.714285714285708</v>
      </c>
      <c r="K7070" s="297">
        <f>J7070/POBLA!$B$13*100000</f>
        <v>4.7587035827224176</v>
      </c>
      <c r="L7070" s="549">
        <f t="shared" si="989"/>
        <v>0.25838926174496646</v>
      </c>
      <c r="M7070" s="401">
        <f>SUM(C7070,C7046,C7022,C6998,C6974,C6950,C6926)/POBLA!$B$13*100000</f>
        <v>33.310925079056922</v>
      </c>
    </row>
    <row r="7071" spans="1:13" s="360" customFormat="1" x14ac:dyDescent="0.25">
      <c r="A7071" s="367" t="s">
        <v>23</v>
      </c>
      <c r="B7071" s="2">
        <v>44187</v>
      </c>
      <c r="C7071" s="1">
        <v>24</v>
      </c>
      <c r="D7071" s="39">
        <f t="shared" si="984"/>
        <v>888</v>
      </c>
      <c r="E7071" s="1"/>
      <c r="F7071" s="409">
        <f t="shared" si="985"/>
        <v>11</v>
      </c>
      <c r="G7071" s="168">
        <f>SUM(C7071,C7047,C7023,C6999,C6975,C6951,C6927,C6903,C6879,C6855,C6831,C6807,C6783,C6759)/POBLA!$B$14*100000</f>
        <v>23.626529579939334</v>
      </c>
      <c r="H7071" s="256">
        <f t="shared" si="988"/>
        <v>2.2575757575757578</v>
      </c>
      <c r="I7071" s="297">
        <f t="shared" si="992"/>
        <v>53.33868041531759</v>
      </c>
      <c r="J7071" s="297">
        <f t="shared" si="993"/>
        <v>26.428571428571427</v>
      </c>
      <c r="K7071" s="297">
        <f>J7071/POBLA!$B$14*100000</f>
        <v>2.0953537738680614</v>
      </c>
      <c r="L7071" s="549">
        <f t="shared" si="989"/>
        <v>-0.63716814159292046</v>
      </c>
      <c r="M7071" s="401">
        <f>SUM(C7071,C7047,C7023,C6999,C6975,C6951,C6927)/POBLA!$B$14*100000</f>
        <v>14.667476417076431</v>
      </c>
    </row>
    <row r="7072" spans="1:13" s="360" customFormat="1" x14ac:dyDescent="0.25">
      <c r="A7072" s="367" t="s">
        <v>19</v>
      </c>
      <c r="B7072" s="2">
        <v>44187</v>
      </c>
      <c r="C7072" s="1">
        <v>327</v>
      </c>
      <c r="D7072" s="39">
        <f t="shared" si="984"/>
        <v>38643</v>
      </c>
      <c r="E7072" s="1"/>
      <c r="F7072" s="409">
        <f t="shared" si="985"/>
        <v>681</v>
      </c>
      <c r="G7072" s="168">
        <f>SUM(C7072,C7048,C7024,C7000,C6976,C6952,C6928,C6904,C6880,C6856,C6832,C6808,C6784,C6760)/POBLA!$B$15*100000</f>
        <v>459.90027964466901</v>
      </c>
      <c r="H7072" s="256">
        <f t="shared" si="988"/>
        <v>0.60058997050147489</v>
      </c>
      <c r="I7072" s="297">
        <f t="shared" si="992"/>
        <v>276.21149538541181</v>
      </c>
      <c r="J7072" s="297">
        <f t="shared" si="993"/>
        <v>186.28571428571428</v>
      </c>
      <c r="K7072" s="297">
        <f>J7072/POBLA!$B$15*100000</f>
        <v>28.05266931689814</v>
      </c>
      <c r="L7072" s="549">
        <f t="shared" si="989"/>
        <v>0.25485714285714289</v>
      </c>
      <c r="M7072" s="401">
        <f>SUM(C7072,C7048,C7024,C7000,C6976,C6952,C6928)/POBLA!$B$15*100000</f>
        <v>196.368685218287</v>
      </c>
    </row>
    <row r="7073" spans="1:13" s="360" customFormat="1" x14ac:dyDescent="0.25">
      <c r="A7073" s="367" t="s">
        <v>18</v>
      </c>
      <c r="B7073" s="2">
        <v>44187</v>
      </c>
      <c r="C7073" s="1">
        <v>396</v>
      </c>
      <c r="D7073" s="39">
        <f t="shared" si="984"/>
        <v>36293</v>
      </c>
      <c r="E7073" s="1">
        <v>4</v>
      </c>
      <c r="F7073" s="409">
        <f t="shared" si="985"/>
        <v>875</v>
      </c>
      <c r="G7073" s="168">
        <f>SUM(C7073,C7049,C7025,C7001,C6977,C6953,C6929,C6905,C6881,C6857,C6833,C6809,C6785,C6761)/POBLA!$B$16*100000</f>
        <v>426.02426398790811</v>
      </c>
      <c r="H7073" s="256">
        <f t="shared" si="988"/>
        <v>1.1683785766691122</v>
      </c>
      <c r="I7073" s="297">
        <f t="shared" si="992"/>
        <v>497.75762318469816</v>
      </c>
      <c r="J7073" s="297">
        <f t="shared" si="993"/>
        <v>233.71428571428572</v>
      </c>
      <c r="K7073" s="297">
        <f>J7073/POBLA!$B$16*100000</f>
        <v>31.261524821001018</v>
      </c>
      <c r="L7073" s="549">
        <f t="shared" si="989"/>
        <v>-5.6165267914783712E-2</v>
      </c>
      <c r="M7073" s="401">
        <f>SUM(C7073,C7049,C7025,C7001,C6977,C6953,C6929)/POBLA!$B$16*100000</f>
        <v>218.83067374700713</v>
      </c>
    </row>
    <row r="7074" spans="1:13" s="360" customFormat="1" x14ac:dyDescent="0.25">
      <c r="A7074" s="367" t="s">
        <v>34</v>
      </c>
      <c r="B7074" s="2">
        <v>44187</v>
      </c>
      <c r="C7074" s="1">
        <v>45</v>
      </c>
      <c r="D7074" s="39">
        <f t="shared" si="984"/>
        <v>22016</v>
      </c>
      <c r="E7074" s="1"/>
      <c r="F7074" s="409">
        <f t="shared" si="985"/>
        <v>1012</v>
      </c>
      <c r="G7074" s="168">
        <f>SUM(C7074,C7050,C7026,C7002,C6978,C6954,C6930,C6906,C6882,C6858,C6834,C6810,C6786,C6762)/POBLA!$B$17*100000</f>
        <v>40.57857465299351</v>
      </c>
      <c r="H7074" s="256">
        <f t="shared" si="988"/>
        <v>1.0140350877192983</v>
      </c>
      <c r="I7074" s="297">
        <f t="shared" si="992"/>
        <v>41.148098507772367</v>
      </c>
      <c r="J7074" s="297">
        <f t="shared" si="993"/>
        <v>48.142857142857146</v>
      </c>
      <c r="K7074" s="297">
        <f>J7074/POBLA!$B$17*100000</f>
        <v>3.3798763366433056</v>
      </c>
      <c r="L7074" s="549">
        <f t="shared" si="989"/>
        <v>-0.39834024896265552</v>
      </c>
      <c r="M7074" s="401">
        <f>SUM(C7074,C7050,C7026,C7002,C6978,C6954,C6930)/POBLA!$B$17*100000</f>
        <v>23.659134356503138</v>
      </c>
    </row>
    <row r="7075" spans="1:13" s="360" customFormat="1" x14ac:dyDescent="0.25">
      <c r="A7075" s="367" t="s">
        <v>35</v>
      </c>
      <c r="B7075" s="2">
        <v>44187</v>
      </c>
      <c r="C7075" s="1">
        <v>153</v>
      </c>
      <c r="D7075" s="39">
        <f t="shared" ref="D7075:D7138" si="994">C7075+D7051</f>
        <v>10665</v>
      </c>
      <c r="E7075" s="1"/>
      <c r="F7075" s="409">
        <f t="shared" ref="F7075:F7138" si="995">E7075+F7051</f>
        <v>196</v>
      </c>
      <c r="G7075" s="168">
        <f>SUM(C7075,C7051,C7027,C7003,C6979,C6955,C6931,C6907,C6883,C6859,C6835,C6811,C6787,C6763)/POBLA!$B$18*100000</f>
        <v>263.56313290673398</v>
      </c>
      <c r="H7075" s="256">
        <f t="shared" si="988"/>
        <v>0.88179871520342612</v>
      </c>
      <c r="I7075" s="297">
        <f t="shared" si="992"/>
        <v>232.40963197214788</v>
      </c>
      <c r="J7075" s="297">
        <f t="shared" si="993"/>
        <v>140</v>
      </c>
      <c r="K7075" s="297">
        <f>J7075/POBLA!$B$18*100000</f>
        <v>17.92075697277453</v>
      </c>
      <c r="L7075" s="549">
        <f t="shared" si="989"/>
        <v>9.1751621872103839E-2</v>
      </c>
      <c r="M7075" s="401">
        <f>SUM(C7075,C7051,C7027,C7003,C6979,C6955,C6931)/POBLA!$B$18*100000</f>
        <v>125.4452988094217</v>
      </c>
    </row>
    <row r="7076" spans="1:13" s="360" customFormat="1" x14ac:dyDescent="0.25">
      <c r="A7076" s="367" t="s">
        <v>36</v>
      </c>
      <c r="B7076" s="2">
        <v>44187</v>
      </c>
      <c r="C7076" s="1">
        <v>13</v>
      </c>
      <c r="D7076" s="39">
        <f t="shared" si="994"/>
        <v>15941</v>
      </c>
      <c r="E7076" s="1"/>
      <c r="F7076" s="409">
        <f t="shared" si="995"/>
        <v>287</v>
      </c>
      <c r="G7076" s="168">
        <f>SUM(C7076,C7052,C7028,C7004,C6980,C6956,C6932,C6908,C6884,C6860,C6836,C6812,C6788,C6764)/POBLA!$B$19*100000</f>
        <v>139.67359657543946</v>
      </c>
      <c r="H7076" s="256">
        <f t="shared" si="988"/>
        <v>0.38503253796095444</v>
      </c>
      <c r="I7076" s="297">
        <f t="shared" si="992"/>
        <v>53.778879375575933</v>
      </c>
      <c r="J7076" s="297">
        <f t="shared" si="993"/>
        <v>42.428571428571431</v>
      </c>
      <c r="K7076" s="297">
        <f>J7076/POBLA!$B$19*100000</f>
        <v>8.3466917873049358</v>
      </c>
      <c r="L7076" s="549">
        <f t="shared" si="989"/>
        <v>0.28087167070217922</v>
      </c>
      <c r="M7076" s="401">
        <f>SUM(C7076,C7052,C7028,C7004,C6980,C6956,C6932)/POBLA!$B$19*100000</f>
        <v>58.426842511134538</v>
      </c>
    </row>
    <row r="7077" spans="1:13" s="360" customFormat="1" x14ac:dyDescent="0.25">
      <c r="A7077" s="367" t="s">
        <v>37</v>
      </c>
      <c r="B7077" s="2">
        <v>44187</v>
      </c>
      <c r="C7077" s="1">
        <v>312</v>
      </c>
      <c r="D7077" s="39">
        <f t="shared" si="994"/>
        <v>21155</v>
      </c>
      <c r="E7077" s="1">
        <v>1</v>
      </c>
      <c r="F7077" s="409">
        <f t="shared" si="995"/>
        <v>357</v>
      </c>
      <c r="G7077" s="168">
        <f>SUM(C7077,C7053,C7029,C7005,C6981,C6957,C6933,C6909,C6885,C6861,C6837,C6813,C6789,C6765)/POBLA!$B$20*100000</f>
        <v>957.34731937281572</v>
      </c>
      <c r="H7077" s="256">
        <f t="shared" si="988"/>
        <v>1.1160344277972585</v>
      </c>
      <c r="I7077" s="297">
        <f t="shared" si="992"/>
        <v>1068.4325677794798</v>
      </c>
      <c r="J7077" s="297">
        <f t="shared" si="993"/>
        <v>258.42857142857144</v>
      </c>
      <c r="K7077" s="297">
        <f>J7077/POBLA!$B$20*100000</f>
        <v>70.667209399168556</v>
      </c>
      <c r="L7077" s="549">
        <f t="shared" si="989"/>
        <v>-6.9148936170212671E-2</v>
      </c>
      <c r="M7077" s="401">
        <f>SUM(C7077,C7053,C7029,C7005,C6981,C6957,C6933)/POBLA!$B$20*100000</f>
        <v>494.6704657941799</v>
      </c>
    </row>
    <row r="7078" spans="1:13" s="360" customFormat="1" x14ac:dyDescent="0.25">
      <c r="A7078" s="367" t="s">
        <v>22</v>
      </c>
      <c r="B7078" s="2">
        <v>44187</v>
      </c>
      <c r="C7078" s="1">
        <v>1180</v>
      </c>
      <c r="D7078" s="39">
        <f t="shared" si="994"/>
        <v>168672</v>
      </c>
      <c r="E7078" s="1">
        <v>37</v>
      </c>
      <c r="F7078" s="409">
        <f t="shared" si="995"/>
        <v>2789</v>
      </c>
      <c r="G7078" s="168">
        <f>SUM(C7078,C7054,C7030,C7006,C6982,C6958,C6934,C6910,C6886,C6862,C6838,C6814,C6790,C6766)/POBLA!$B$21*100000</f>
        <v>376.59575310384685</v>
      </c>
      <c r="H7078" s="256">
        <f t="shared" si="988"/>
        <v>0.87336874549150767</v>
      </c>
      <c r="I7078" s="297">
        <f t="shared" si="992"/>
        <v>328.90696044573627</v>
      </c>
      <c r="J7078" s="297">
        <f t="shared" si="993"/>
        <v>958</v>
      </c>
      <c r="K7078" s="297">
        <f>J7078/POBLA!$B$21*100000</f>
        <v>27.089557852041246</v>
      </c>
      <c r="L7078" s="549">
        <f t="shared" si="989"/>
        <v>-1.4216575922564978E-2</v>
      </c>
      <c r="M7078" s="401">
        <f>SUM(C7078,C7054,C7030,C7006,C6982,C6958,C6934)/POBLA!$B$21*100000</f>
        <v>189.62690496428871</v>
      </c>
    </row>
    <row r="7079" spans="1:13" s="360" customFormat="1" x14ac:dyDescent="0.25">
      <c r="A7079" s="367" t="s">
        <v>38</v>
      </c>
      <c r="B7079" s="2">
        <v>44187</v>
      </c>
      <c r="C7079" s="1">
        <v>-43</v>
      </c>
      <c r="D7079" s="39">
        <f t="shared" si="994"/>
        <v>16833</v>
      </c>
      <c r="E7079" s="1"/>
      <c r="F7079" s="409">
        <f t="shared" si="995"/>
        <v>214</v>
      </c>
      <c r="G7079" s="168">
        <f>SUM(C7079,C7055,C7031,C7007,C6983,C6959,C6935,C6911,C6887,C6863,C6839,C6815,C6791,C6767)/POBLA!$B$22*100000</f>
        <v>60.71676447108441</v>
      </c>
      <c r="H7079" s="256">
        <f t="shared" si="988"/>
        <v>0.38950819672131148</v>
      </c>
      <c r="I7079" s="297">
        <f t="shared" si="992"/>
        <v>23.649677439884684</v>
      </c>
      <c r="J7079" s="297">
        <f t="shared" si="993"/>
        <v>37.428571428571431</v>
      </c>
      <c r="K7079" s="297">
        <f>J7079/POBLA!$B$22*100000</f>
        <v>3.8258278719153718</v>
      </c>
      <c r="L7079" s="549">
        <f t="shared" si="989"/>
        <v>0.21084337349397586</v>
      </c>
      <c r="M7079" s="401">
        <f>SUM(C7079,C7055,C7031,C7007,C6983,C6959,C6935)/POBLA!$B$22*100000</f>
        <v>26.780795103407598</v>
      </c>
    </row>
    <row r="7080" spans="1:13" s="360" customFormat="1" x14ac:dyDescent="0.25">
      <c r="A7080" s="367" t="s">
        <v>39</v>
      </c>
      <c r="B7080" s="2">
        <v>44187</v>
      </c>
      <c r="C7080" s="1">
        <v>51</v>
      </c>
      <c r="D7080" s="39">
        <f t="shared" si="994"/>
        <v>18254</v>
      </c>
      <c r="E7080" s="1"/>
      <c r="F7080" s="409">
        <f t="shared" si="995"/>
        <v>246</v>
      </c>
      <c r="G7080" s="168">
        <f>SUM(C7080,C7056,C7032,C7008,C6984,C6960,C6936,C6912,C6888,C6864,C6840,C6816,C6792,C6768)/POBLA!$B$23*100000</f>
        <v>754.96239325906242</v>
      </c>
      <c r="H7080" s="256">
        <f t="shared" si="988"/>
        <v>0.956989247311828</v>
      </c>
      <c r="I7080" s="297">
        <f t="shared" si="992"/>
        <v>722.49089247372649</v>
      </c>
      <c r="J7080" s="297">
        <f t="shared" si="993"/>
        <v>72.142857142857139</v>
      </c>
      <c r="K7080" s="297">
        <f>J7080/POBLA!$B$23*100000</f>
        <v>40.797860737916153</v>
      </c>
      <c r="L7080" s="549">
        <f t="shared" si="989"/>
        <v>0.39156626506024095</v>
      </c>
      <c r="M7080" s="401">
        <f>SUM(C7080,C7056,C7032,C7008,C6984,C6960,C6936)/POBLA!$B$23*100000</f>
        <v>285.58502516541313</v>
      </c>
    </row>
    <row r="7081" spans="1:13" s="360" customFormat="1" ht="15.75" thickBot="1" x14ac:dyDescent="0.3">
      <c r="A7081" s="368" t="s">
        <v>40</v>
      </c>
      <c r="B7081" s="34">
        <v>44187</v>
      </c>
      <c r="C7081" s="232">
        <v>134</v>
      </c>
      <c r="D7081" s="67">
        <f t="shared" si="994"/>
        <v>70017</v>
      </c>
      <c r="E7081" s="232">
        <v>5</v>
      </c>
      <c r="F7081" s="477">
        <f t="shared" si="995"/>
        <v>1333</v>
      </c>
      <c r="G7081" s="177">
        <f>SUM(C7081,C7057,C7033,C7009,C6985,C6961,C6937,C6913,C6889,C6865,C6841,C6817,C6793,C6769)/POBLA!$B$24*100000</f>
        <v>151.88923297707618</v>
      </c>
      <c r="H7081" s="402">
        <f t="shared" si="988"/>
        <v>0.73416999429549346</v>
      </c>
      <c r="I7081" s="403">
        <f t="shared" si="992"/>
        <v>111.51251730832689</v>
      </c>
      <c r="J7081" s="403">
        <f t="shared" si="993"/>
        <v>166</v>
      </c>
      <c r="K7081" s="403">
        <f>J7081/POBLA!$B$24*100000</f>
        <v>9.7954983194229399</v>
      </c>
      <c r="L7081" s="550">
        <f t="shared" si="989"/>
        <v>0.17705382436260619</v>
      </c>
      <c r="M7081" s="405">
        <f>SUM(C7081,C7057,C7033,C7009,C6985,C6961,C6937)/POBLA!$B$24*100000</f>
        <v>68.568488235960572</v>
      </c>
    </row>
    <row r="7082" spans="1:13" s="360" customFormat="1" x14ac:dyDescent="0.25">
      <c r="A7082" s="363" t="s">
        <v>16</v>
      </c>
      <c r="B7082" s="265">
        <v>44188</v>
      </c>
      <c r="C7082" s="43">
        <v>3467</v>
      </c>
      <c r="D7082" s="174">
        <f t="shared" si="994"/>
        <v>660672</v>
      </c>
      <c r="E7082" s="43">
        <v>12</v>
      </c>
      <c r="F7082" s="475">
        <f t="shared" si="995"/>
        <v>21929</v>
      </c>
      <c r="G7082" s="175">
        <f>SUM(C7082,C7058,C7034,C7010,C6986,C6962,C6938,C6914,C6890,C6866,C6842,C6818,C6794,C6770)/POBLA!$B$1*100000</f>
        <v>166.50000133970761</v>
      </c>
      <c r="H7082" s="300">
        <f t="shared" ref="H7082:H7129" si="996">SUM(C7082,C7058,C7034,C7010,C6986,C6962,C6938,C6914,C6890,C6866,C6842,C6818,C6794,C6770)/SUM(C6746,C6722,C6698,C6674,C6650,C6626,C6602,C6578,C6554,C6530,C6506,C6482,C6458,C6434)</f>
        <v>1.3707232364950486</v>
      </c>
      <c r="I7082" s="301">
        <f>G7082*H7082</f>
        <v>228.22542071279395</v>
      </c>
      <c r="J7082" s="301">
        <f>AVERAGE(C7082,C7058,C7034,C7010,C6986,C6962,C6938)</f>
        <v>2366.2857142857142</v>
      </c>
      <c r="K7082" s="301">
        <f>J7082/POBLA!$B$1*100000</f>
        <v>13.489919009748078</v>
      </c>
      <c r="L7082" s="548">
        <f t="shared" ref="L7082:L7129" si="997">1-SUM(C7082,C7058,C7034,C7010,C6986,C6962,C6938)/SUM(C6914,C6890,C6866,C6842,C6818,C6794,C6770)</f>
        <v>-0.31023572219585516</v>
      </c>
      <c r="M7082" s="400">
        <f>SUM(C7082,C7058,C7034,C7010,C6986,C6962,C6938)/POBLA!$B$1*100000</f>
        <v>94.429433068236548</v>
      </c>
    </row>
    <row r="7083" spans="1:13" s="360" customFormat="1" x14ac:dyDescent="0.25">
      <c r="A7083" s="367" t="s">
        <v>43</v>
      </c>
      <c r="B7083" s="2">
        <v>44188</v>
      </c>
      <c r="C7083" s="1">
        <v>690</v>
      </c>
      <c r="D7083" s="39">
        <f t="shared" si="994"/>
        <v>167978</v>
      </c>
      <c r="E7083" s="1">
        <v>4</v>
      </c>
      <c r="F7083" s="409">
        <f t="shared" si="995"/>
        <v>5431</v>
      </c>
      <c r="G7083" s="168">
        <f>SUM(C7083,C7059,C7035,C7011,C6987,C6963,C6939,C6915,C6891,C6867,C6843,C6819,C6795,C6771)/POBLA!$B$2*100000</f>
        <v>216.14971293835509</v>
      </c>
      <c r="H7083" s="256">
        <f t="shared" si="996"/>
        <v>1.620277845478918</v>
      </c>
      <c r="I7083" s="297">
        <f t="shared" ref="I7083:I7105" si="998">G7083*H7083</f>
        <v>350.2225911806446</v>
      </c>
      <c r="J7083" s="297">
        <f t="shared" ref="J7083:J7105" si="999">AVERAGE(C7083,C7059,C7035,C7011,C6987,C6963,C6939)</f>
        <v>553.71428571428567</v>
      </c>
      <c r="K7083" s="297">
        <f>J7083/POBLA!$B$2*100000</f>
        <v>18.003186508274545</v>
      </c>
      <c r="L7083" s="549">
        <f t="shared" si="997"/>
        <v>-0.39826839826839833</v>
      </c>
      <c r="M7083" s="401">
        <f>SUM(C7083,C7059,C7035,C7011,C6987,C6963,C6939)/POBLA!$B$2*100000</f>
        <v>126.02230555792181</v>
      </c>
    </row>
    <row r="7084" spans="1:13" s="360" customFormat="1" x14ac:dyDescent="0.25">
      <c r="A7084" s="367" t="s">
        <v>28</v>
      </c>
      <c r="B7084" s="2">
        <v>44188</v>
      </c>
      <c r="C7084" s="1">
        <v>18</v>
      </c>
      <c r="D7084" s="39">
        <f t="shared" si="994"/>
        <v>2417</v>
      </c>
      <c r="E7084" s="1"/>
      <c r="F7084" s="409">
        <f t="shared" si="995"/>
        <v>17</v>
      </c>
      <c r="G7084" s="168">
        <f>SUM(C7084,C7060,C7036,C7012,C6988,C6964,C6940,C6916,C6892,C6868,C6844,C6820,C6796,C6772)/POBLA!$B$3*100000</f>
        <v>93.154694563328334</v>
      </c>
      <c r="H7084" s="256">
        <f t="shared" si="996"/>
        <v>1.3208191126279865</v>
      </c>
      <c r="I7084" s="297">
        <f t="shared" si="998"/>
        <v>123.04050101026644</v>
      </c>
      <c r="J7084" s="297">
        <f t="shared" si="999"/>
        <v>29.571428571428573</v>
      </c>
      <c r="K7084" s="297">
        <f>J7084/POBLA!$B$3*100000</f>
        <v>7.118132807164625</v>
      </c>
      <c r="L7084" s="549">
        <f t="shared" si="997"/>
        <v>-0.14999999999999991</v>
      </c>
      <c r="M7084" s="401">
        <f>SUM(C7084,C7060,C7036,C7012,C6988,C6964,C6940)/POBLA!$B$3*100000</f>
        <v>49.826929650152373</v>
      </c>
    </row>
    <row r="7085" spans="1:13" s="360" customFormat="1" x14ac:dyDescent="0.25">
      <c r="A7085" s="367" t="s">
        <v>15</v>
      </c>
      <c r="B7085" s="2">
        <v>44188</v>
      </c>
      <c r="C7085" s="1">
        <v>236</v>
      </c>
      <c r="D7085" s="39">
        <f t="shared" si="994"/>
        <v>23448</v>
      </c>
      <c r="E7085" s="1">
        <v>3</v>
      </c>
      <c r="F7085" s="409">
        <f t="shared" si="995"/>
        <v>659</v>
      </c>
      <c r="G7085" s="168">
        <f>SUM(C7085,C7061,C7037,C7013,C6989,C6965,C6941,C6917,C6893,C6869,C6845,C6821,C6797,C6773)/POBLA!$B$4*100000</f>
        <v>200.24224995247152</v>
      </c>
      <c r="H7085" s="256">
        <f t="shared" si="996"/>
        <v>0.86513629842180773</v>
      </c>
      <c r="I7085" s="297">
        <f t="shared" si="998"/>
        <v>173.23683891153561</v>
      </c>
      <c r="J7085" s="297">
        <f t="shared" si="999"/>
        <v>176.14285714285714</v>
      </c>
      <c r="K7085" s="297">
        <f>J7085/POBLA!$B$4*100000</f>
        <v>14.623234671369188</v>
      </c>
      <c r="L7085" s="549">
        <f t="shared" si="997"/>
        <v>-4.5801526717557328E-2</v>
      </c>
      <c r="M7085" s="401">
        <f>SUM(C7085,C7061,C7037,C7013,C6989,C6965,C6941)/POBLA!$B$4*100000</f>
        <v>102.36264269958433</v>
      </c>
    </row>
    <row r="7086" spans="1:13" s="360" customFormat="1" x14ac:dyDescent="0.25">
      <c r="A7086" s="367" t="s">
        <v>29</v>
      </c>
      <c r="B7086" s="2">
        <v>44188</v>
      </c>
      <c r="C7086" s="1">
        <v>308</v>
      </c>
      <c r="D7086" s="39">
        <f t="shared" si="994"/>
        <v>29213</v>
      </c>
      <c r="E7086" s="1"/>
      <c r="F7086" s="409">
        <f t="shared" si="995"/>
        <v>486</v>
      </c>
      <c r="G7086" s="168">
        <f>SUM(C7086,C7062,C7038,C7014,C6990,C6966,C6942,C6918,C6894,C6870,C6846,C6822,C6798,C6774)/POBLA!$B$5*100000</f>
        <v>674.80460230632286</v>
      </c>
      <c r="H7086" s="256">
        <f t="shared" si="996"/>
        <v>1.2738639829216225</v>
      </c>
      <c r="I7086" s="297">
        <f t="shared" si="998"/>
        <v>859.60927838777388</v>
      </c>
      <c r="J7086" s="297">
        <f t="shared" si="999"/>
        <v>310</v>
      </c>
      <c r="K7086" s="297">
        <f>J7086/POBLA!$B$5*100000</f>
        <v>50.081260884596617</v>
      </c>
      <c r="L7086" s="549">
        <f t="shared" si="997"/>
        <v>-8.1215744892874975E-2</v>
      </c>
      <c r="M7086" s="401">
        <f>SUM(C7086,C7062,C7038,C7014,C6990,C6966,C6942)/POBLA!$B$5*100000</f>
        <v>350.56882619217635</v>
      </c>
    </row>
    <row r="7087" spans="1:13" s="360" customFormat="1" x14ac:dyDescent="0.25">
      <c r="A7087" s="367" t="s">
        <v>20</v>
      </c>
      <c r="B7087" s="2">
        <v>44188</v>
      </c>
      <c r="C7087" s="1">
        <v>575</v>
      </c>
      <c r="D7087" s="39">
        <f t="shared" si="994"/>
        <v>123885</v>
      </c>
      <c r="E7087" s="1">
        <v>12</v>
      </c>
      <c r="F7087" s="409">
        <f t="shared" si="995"/>
        <v>2430</v>
      </c>
      <c r="G7087" s="168">
        <f>SUM(C7087,C7063,C7039,C7015,C6991,C6967,C6943,C6919,C6895,C6871,C6847,C6823,C6799,C6775)/POBLA!$B$6*100000</f>
        <v>507.31575007516943</v>
      </c>
      <c r="H7087" s="256">
        <f t="shared" si="996"/>
        <v>0.79457797652319728</v>
      </c>
      <c r="I7087" s="297">
        <f t="shared" si="998"/>
        <v>403.1019221530762</v>
      </c>
      <c r="J7087" s="297">
        <f t="shared" si="999"/>
        <v>408</v>
      </c>
      <c r="K7087" s="297">
        <f>J7087/POBLA!$B$6*100000</f>
        <v>36.402537114081802</v>
      </c>
      <c r="L7087" s="549">
        <f t="shared" si="997"/>
        <v>-9.187279151943395E-3</v>
      </c>
      <c r="M7087" s="401">
        <f>SUM(C7087,C7063,C7039,C7015,C6991,C6967,C6943)/POBLA!$B$6*100000</f>
        <v>254.81775979857264</v>
      </c>
    </row>
    <row r="7088" spans="1:13" s="360" customFormat="1" x14ac:dyDescent="0.25">
      <c r="A7088" s="367" t="s">
        <v>30</v>
      </c>
      <c r="B7088" s="2">
        <v>44188</v>
      </c>
      <c r="C7088" s="1">
        <v>179</v>
      </c>
      <c r="D7088" s="39">
        <f t="shared" si="994"/>
        <v>11033</v>
      </c>
      <c r="E7088" s="1">
        <v>2</v>
      </c>
      <c r="F7088" s="409">
        <f t="shared" si="995"/>
        <v>152</v>
      </c>
      <c r="G7088" s="168">
        <f>SUM(C7088,C7064,C7040,C7016,C6992,C6968,C6944,C6920,C6896,C6872,C6848,C6824,C6800,C6776)/POBLA!$B$7*100000</f>
        <v>52.733050565756756</v>
      </c>
      <c r="H7088" s="256">
        <f t="shared" si="996"/>
        <v>0.50638406537282943</v>
      </c>
      <c r="I7088" s="297">
        <f t="shared" si="998"/>
        <v>26.703176524998888</v>
      </c>
      <c r="J7088" s="297">
        <f t="shared" si="999"/>
        <v>160.85714285714286</v>
      </c>
      <c r="K7088" s="297">
        <f>J7088/POBLA!$B$7*100000</f>
        <v>4.277603554285867</v>
      </c>
      <c r="L7088" s="549">
        <f t="shared" si="997"/>
        <v>-0.31388564760793458</v>
      </c>
      <c r="M7088" s="401">
        <f>SUM(C7088,C7064,C7040,C7016,C6992,C6968,C6944)/POBLA!$B$7*100000</f>
        <v>29.943224880001061</v>
      </c>
    </row>
    <row r="7089" spans="1:13" x14ac:dyDescent="0.25">
      <c r="A7089" s="367" t="s">
        <v>31</v>
      </c>
      <c r="B7089" s="2">
        <v>44188</v>
      </c>
      <c r="C7089" s="1">
        <v>278</v>
      </c>
      <c r="D7089" s="39">
        <f t="shared" si="994"/>
        <v>27421</v>
      </c>
      <c r="E7089" s="1">
        <v>2</v>
      </c>
      <c r="F7089" s="409">
        <f t="shared" si="995"/>
        <v>569</v>
      </c>
      <c r="G7089" s="168">
        <f>SUM(C7089,C7065,C7041,C7017,C6993,C6969,C6945,C6921,C6897,C6873,C6849,C6825,C6801,C6777)/POBLA!$B$8*100000</f>
        <v>188.02837886491756</v>
      </c>
      <c r="H7089" s="256">
        <f t="shared" si="996"/>
        <v>1.0227629513343799</v>
      </c>
      <c r="I7089" s="297">
        <f t="shared" si="998"/>
        <v>192.30845970250201</v>
      </c>
      <c r="J7089" s="297">
        <f t="shared" si="999"/>
        <v>178.85714285714286</v>
      </c>
      <c r="K7089" s="297">
        <f>J7089/POBLA!$B$8*100000</f>
        <v>12.90491888712185</v>
      </c>
      <c r="L7089" s="549">
        <f t="shared" si="997"/>
        <v>7.533234859675042E-2</v>
      </c>
      <c r="M7089" s="401">
        <f>SUM(C7089,C7065,C7041,C7017,C6993,C6969,C6945)/POBLA!$B$8*100000</f>
        <v>90.334432209852949</v>
      </c>
    </row>
    <row r="7090" spans="1:13" s="360" customFormat="1" x14ac:dyDescent="0.25">
      <c r="A7090" s="367" t="s">
        <v>41</v>
      </c>
      <c r="B7090" s="2">
        <v>44188</v>
      </c>
      <c r="C7090" s="1">
        <v>2</v>
      </c>
      <c r="D7090" s="39">
        <f t="shared" si="994"/>
        <v>212</v>
      </c>
      <c r="E7090" s="1"/>
      <c r="F7090" s="409">
        <f t="shared" si="995"/>
        <v>3</v>
      </c>
      <c r="G7090" s="168">
        <f>SUM(C7090,C7066,C7042,C7018,C6994,C6970,C6946,C6922,C6898,C6874,C6850,C6826,C6802,C6778)/POBLA!$B$9*100000</f>
        <v>2.4785481656265027</v>
      </c>
      <c r="H7090" s="256">
        <f t="shared" si="996"/>
        <v>0.78947368421052633</v>
      </c>
      <c r="I7090" s="297">
        <f t="shared" si="998"/>
        <v>1.9567485518103969</v>
      </c>
      <c r="J7090" s="297">
        <f t="shared" si="999"/>
        <v>1.4285714285714286</v>
      </c>
      <c r="K7090" s="297">
        <f>J7090/POBLA!$B$9*100000</f>
        <v>0.23605220625014312</v>
      </c>
      <c r="L7090" s="549">
        <f t="shared" si="997"/>
        <v>-1</v>
      </c>
      <c r="M7090" s="401">
        <f>SUM(C7090,C7066,C7042,C7018,C6994,C6970,C6946)/POBLA!$B$9*100000</f>
        <v>1.6523654437510016</v>
      </c>
    </row>
    <row r="7091" spans="1:13" s="360" customFormat="1" x14ac:dyDescent="0.25">
      <c r="A7091" s="367" t="s">
        <v>32</v>
      </c>
      <c r="B7091" s="2">
        <v>44188</v>
      </c>
      <c r="C7091" s="1">
        <v>6</v>
      </c>
      <c r="D7091" s="39">
        <f t="shared" si="994"/>
        <v>18491</v>
      </c>
      <c r="E7091" s="1"/>
      <c r="F7091" s="409">
        <f t="shared" si="995"/>
        <v>857</v>
      </c>
      <c r="G7091" s="168">
        <f>SUM(C7091,C7067,C7043,C7019,C6995,C6971,C6947,C6923,C6899,C6875,C6851,C6827,C6803,C6779)/POBLA!$B$10*100000</f>
        <v>8.0427458972266788</v>
      </c>
      <c r="H7091" s="256">
        <f t="shared" si="996"/>
        <v>0.63917525773195871</v>
      </c>
      <c r="I7091" s="297">
        <f t="shared" si="998"/>
        <v>5.1407241817325158</v>
      </c>
      <c r="J7091" s="297">
        <f t="shared" si="999"/>
        <v>4.4285714285714288</v>
      </c>
      <c r="K7091" s="297">
        <f>J7091/POBLA!$B$10*100000</f>
        <v>0.57448184980190575</v>
      </c>
      <c r="L7091" s="549">
        <f t="shared" si="997"/>
        <v>0</v>
      </c>
      <c r="M7091" s="401">
        <f>SUM(C7091,C7067,C7043,C7019,C6995,C6971,C6947)/POBLA!$B$10*100000</f>
        <v>4.0213729486133394</v>
      </c>
    </row>
    <row r="7092" spans="1:13" s="360" customFormat="1" x14ac:dyDescent="0.25">
      <c r="A7092" s="367" t="s">
        <v>33</v>
      </c>
      <c r="B7092" s="2">
        <v>44188</v>
      </c>
      <c r="C7092" s="1">
        <v>240</v>
      </c>
      <c r="D7092" s="39">
        <f t="shared" si="994"/>
        <v>8919</v>
      </c>
      <c r="E7092" s="1"/>
      <c r="F7092" s="409">
        <f t="shared" si="995"/>
        <v>116</v>
      </c>
      <c r="G7092" s="168">
        <f>SUM(C7092,C7068,C7044,C7020,C6996,C6972,C6948,C6924,C6900,C6876,C6852,C6828,C6804,C6780)/POBLA!$B$11*100000</f>
        <v>668.47456113919668</v>
      </c>
      <c r="H7092" s="256">
        <f t="shared" si="996"/>
        <v>2.1392857142857142</v>
      </c>
      <c r="I7092" s="297">
        <f t="shared" si="998"/>
        <v>1430.0580790084957</v>
      </c>
      <c r="J7092" s="297">
        <f t="shared" si="999"/>
        <v>203.57142857142858</v>
      </c>
      <c r="K7092" s="297">
        <f>J7092/POBLA!$B$11*100000</f>
        <v>56.795626617180737</v>
      </c>
      <c r="L7092" s="549">
        <f t="shared" si="997"/>
        <v>-0.46755921730175087</v>
      </c>
      <c r="M7092" s="401">
        <f>SUM(C7092,C7068,C7044,C7020,C6996,C6972,C6948)/POBLA!$B$11*100000</f>
        <v>397.56938632026515</v>
      </c>
    </row>
    <row r="7093" spans="1:13" s="360" customFormat="1" x14ac:dyDescent="0.25">
      <c r="A7093" s="367" t="s">
        <v>21</v>
      </c>
      <c r="B7093" s="2">
        <v>44188</v>
      </c>
      <c r="C7093" s="1">
        <v>17</v>
      </c>
      <c r="D7093" s="39">
        <f t="shared" si="994"/>
        <v>9040</v>
      </c>
      <c r="E7093" s="1"/>
      <c r="F7093" s="409">
        <f t="shared" si="995"/>
        <v>361</v>
      </c>
      <c r="G7093" s="168">
        <f>SUM(C7093,C7069,C7045,C7021,C6997,C6973,C6949,C6925,C6901,C6877,C6853,C6829,C6805,C6781)/POBLA!$B$12*100000</f>
        <v>37.354109333191033</v>
      </c>
      <c r="H7093" s="256">
        <f t="shared" si="996"/>
        <v>0.4819672131147541</v>
      </c>
      <c r="I7093" s="297">
        <f t="shared" si="998"/>
        <v>18.003455973701907</v>
      </c>
      <c r="J7093" s="297">
        <f t="shared" si="999"/>
        <v>11</v>
      </c>
      <c r="K7093" s="297">
        <f>J7093/POBLA!$B$12*100000</f>
        <v>2.7952054603068119</v>
      </c>
      <c r="L7093" s="549">
        <f t="shared" si="997"/>
        <v>-0.10000000000000009</v>
      </c>
      <c r="M7093" s="401">
        <f>SUM(C7093,C7069,C7045,C7021,C6997,C6973,C6949)/POBLA!$B$12*100000</f>
        <v>19.566438222147685</v>
      </c>
    </row>
    <row r="7094" spans="1:13" s="360" customFormat="1" x14ac:dyDescent="0.25">
      <c r="A7094" s="367" t="s">
        <v>17</v>
      </c>
      <c r="B7094" s="2">
        <v>44188</v>
      </c>
      <c r="C7094" s="1">
        <v>183</v>
      </c>
      <c r="D7094" s="39">
        <f t="shared" si="994"/>
        <v>59372</v>
      </c>
      <c r="E7094" s="1">
        <v>2</v>
      </c>
      <c r="F7094" s="409">
        <f t="shared" si="995"/>
        <v>1218</v>
      </c>
      <c r="G7094" s="168">
        <f>SUM(C7094,C7070,C7046,C7022,C6998,C6974,C6950,C6926,C6902,C6878,C6854,C6830,C6806,C6782)/POBLA!$B$13*100000</f>
        <v>81.996123271524738</v>
      </c>
      <c r="H7094" s="256">
        <f t="shared" si="996"/>
        <v>0.82591093117408909</v>
      </c>
      <c r="I7094" s="297">
        <f t="shared" si="998"/>
        <v>67.721494523850396</v>
      </c>
      <c r="J7094" s="297">
        <f t="shared" si="999"/>
        <v>99.714285714285708</v>
      </c>
      <c r="K7094" s="297">
        <f>J7094/POBLA!$B$13*100000</f>
        <v>5.0099171956866471</v>
      </c>
      <c r="L7094" s="549">
        <f t="shared" si="997"/>
        <v>0.25267665952890794</v>
      </c>
      <c r="M7094" s="401">
        <f>SUM(C7094,C7070,C7046,C7022,C6998,C6974,C6950)/POBLA!$B$13*100000</f>
        <v>35.069420369806537</v>
      </c>
    </row>
    <row r="7095" spans="1:13" s="360" customFormat="1" x14ac:dyDescent="0.25">
      <c r="A7095" s="367" t="s">
        <v>23</v>
      </c>
      <c r="B7095" s="2">
        <v>44188</v>
      </c>
      <c r="C7095" s="1">
        <v>8</v>
      </c>
      <c r="D7095" s="39">
        <f t="shared" si="994"/>
        <v>896</v>
      </c>
      <c r="E7095" s="1"/>
      <c r="F7095" s="409">
        <f t="shared" si="995"/>
        <v>11</v>
      </c>
      <c r="G7095" s="168">
        <f>SUM(C7095,C7071,C7047,C7023,C6999,C6975,C6951,C6927,C6903,C6879,C6855,C6831,C6807,C6783)/POBLA!$B$14*100000</f>
        <v>22.83369301685412</v>
      </c>
      <c r="H7095" s="256">
        <f t="shared" si="996"/>
        <v>2.028169014084507</v>
      </c>
      <c r="I7095" s="297">
        <f t="shared" si="998"/>
        <v>46.310588653901313</v>
      </c>
      <c r="J7095" s="297">
        <f t="shared" si="999"/>
        <v>21.142857142857142</v>
      </c>
      <c r="K7095" s="297">
        <f>J7095/POBLA!$B$14*100000</f>
        <v>1.6762830190944493</v>
      </c>
      <c r="L7095" s="549">
        <f t="shared" si="997"/>
        <v>-5.7142857142857162E-2</v>
      </c>
      <c r="M7095" s="401">
        <f>SUM(C7095,C7071,C7047,C7023,C6999,C6975,C6951)/POBLA!$B$14*100000</f>
        <v>11.733981133661144</v>
      </c>
    </row>
    <row r="7096" spans="1:13" s="360" customFormat="1" x14ac:dyDescent="0.25">
      <c r="A7096" s="367" t="s">
        <v>19</v>
      </c>
      <c r="B7096" s="2">
        <v>44188</v>
      </c>
      <c r="C7096" s="1">
        <v>234</v>
      </c>
      <c r="D7096" s="39">
        <f t="shared" si="994"/>
        <v>38877</v>
      </c>
      <c r="E7096" s="1">
        <v>7</v>
      </c>
      <c r="F7096" s="409">
        <f t="shared" si="995"/>
        <v>688</v>
      </c>
      <c r="G7096" s="168">
        <f>SUM(C7096,C7072,C7048,C7024,C7000,C6976,C6952,C6928,C6904,C6880,C6856,C6832,C6808,C6784)/POBLA!$B$15*100000</f>
        <v>412.31400316539094</v>
      </c>
      <c r="H7096" s="256">
        <f t="shared" si="996"/>
        <v>0.5224193856134326</v>
      </c>
      <c r="I7096" s="297">
        <f t="shared" si="998"/>
        <v>215.40082821347843</v>
      </c>
      <c r="J7096" s="297">
        <f t="shared" si="999"/>
        <v>220.28571428571428</v>
      </c>
      <c r="K7096" s="297">
        <f>J7096/POBLA!$B$15*100000</f>
        <v>33.172711722896423</v>
      </c>
      <c r="L7096" s="549">
        <f t="shared" si="997"/>
        <v>-0.28929765886287617</v>
      </c>
      <c r="M7096" s="401">
        <f>SUM(C7096,C7072,C7048,C7024,C7000,C6976,C6952)/POBLA!$B$15*100000</f>
        <v>232.20898206027496</v>
      </c>
    </row>
    <row r="7097" spans="1:13" s="360" customFormat="1" x14ac:dyDescent="0.25">
      <c r="A7097" s="367" t="s">
        <v>18</v>
      </c>
      <c r="B7097" s="2">
        <v>44188</v>
      </c>
      <c r="C7097" s="1">
        <v>335</v>
      </c>
      <c r="D7097" s="39">
        <f t="shared" si="994"/>
        <v>36628</v>
      </c>
      <c r="E7097" s="1">
        <v>2</v>
      </c>
      <c r="F7097" s="409">
        <f t="shared" si="995"/>
        <v>877</v>
      </c>
      <c r="G7097" s="168">
        <f>SUM(C7097,C7073,C7049,C7025,C7001,C6977,C6953,C6929,C6905,C6881,C6857,C6833,C6809,C6785)/POBLA!$B$16*100000</f>
        <v>453.71249715760894</v>
      </c>
      <c r="H7097" s="256">
        <f t="shared" si="996"/>
        <v>1.354632587859425</v>
      </c>
      <c r="I7097" s="297">
        <f t="shared" si="998"/>
        <v>614.61373416877382</v>
      </c>
      <c r="J7097" s="297">
        <f t="shared" si="999"/>
        <v>249.57142857142858</v>
      </c>
      <c r="K7097" s="297">
        <f>J7097/POBLA!$B$16*100000</f>
        <v>33.382569597976023</v>
      </c>
      <c r="L7097" s="549">
        <f t="shared" si="997"/>
        <v>-6.2006079027355554E-2</v>
      </c>
      <c r="M7097" s="401">
        <f>SUM(C7097,C7073,C7049,C7025,C7001,C6977,C6953)/POBLA!$B$16*100000</f>
        <v>233.67798718583219</v>
      </c>
    </row>
    <row r="7098" spans="1:13" s="360" customFormat="1" x14ac:dyDescent="0.25">
      <c r="A7098" s="367" t="s">
        <v>34</v>
      </c>
      <c r="B7098" s="2">
        <v>44188</v>
      </c>
      <c r="C7098" s="1">
        <v>51</v>
      </c>
      <c r="D7098" s="39">
        <f t="shared" si="994"/>
        <v>22067</v>
      </c>
      <c r="E7098" s="1"/>
      <c r="F7098" s="409">
        <f t="shared" si="995"/>
        <v>1012</v>
      </c>
      <c r="G7098" s="168">
        <f>SUM(C7098,C7074,C7050,C7026,C7002,C6978,C6954,C6930,C6906,C6882,C6858,C6834,C6810,C6786)/POBLA!$B$17*100000</f>
        <v>43.105959925498297</v>
      </c>
      <c r="H7098" s="256">
        <f t="shared" si="996"/>
        <v>1.2255489021956087</v>
      </c>
      <c r="I7098" s="297">
        <f t="shared" si="998"/>
        <v>52.828461864782341</v>
      </c>
      <c r="J7098" s="297">
        <f t="shared" si="999"/>
        <v>47.857142857142854</v>
      </c>
      <c r="K7098" s="297">
        <f>J7098/POBLA!$B$17*100000</f>
        <v>3.3598177233694577</v>
      </c>
      <c r="L7098" s="549">
        <f t="shared" si="997"/>
        <v>-0.2007168458781361</v>
      </c>
      <c r="M7098" s="401">
        <f>SUM(C7098,C7074,C7050,C7026,C7002,C6978,C6954)/POBLA!$B$17*100000</f>
        <v>23.518724063586205</v>
      </c>
    </row>
    <row r="7099" spans="1:13" s="360" customFormat="1" x14ac:dyDescent="0.25">
      <c r="A7099" s="367" t="s">
        <v>35</v>
      </c>
      <c r="B7099" s="2">
        <v>44188</v>
      </c>
      <c r="C7099" s="1">
        <v>147</v>
      </c>
      <c r="D7099" s="39">
        <f t="shared" si="994"/>
        <v>10812</v>
      </c>
      <c r="E7099" s="1"/>
      <c r="F7099" s="409">
        <f t="shared" si="995"/>
        <v>196</v>
      </c>
      <c r="G7099" s="168">
        <f>SUM(C7099,C7075,C7051,C7027,C7003,C6979,C6955,C6931,C6907,C6883,C6859,C6835,C6811,C6787)/POBLA!$B$18*100000</f>
        <v>257.16286255931448</v>
      </c>
      <c r="H7099" s="256">
        <f t="shared" si="996"/>
        <v>0.96540124939932725</v>
      </c>
      <c r="I7099" s="297">
        <f t="shared" si="998"/>
        <v>248.26534881386968</v>
      </c>
      <c r="J7099" s="297">
        <f t="shared" si="999"/>
        <v>139.71428571428572</v>
      </c>
      <c r="K7099" s="297">
        <f>J7099/POBLA!$B$18*100000</f>
        <v>17.884183999360708</v>
      </c>
      <c r="L7099" s="549">
        <f t="shared" si="997"/>
        <v>5.1406401551891356E-2</v>
      </c>
      <c r="M7099" s="401">
        <f>SUM(C7099,C7075,C7051,C7027,C7003,C6979,C6955)/POBLA!$B$18*100000</f>
        <v>125.18928799552494</v>
      </c>
    </row>
    <row r="7100" spans="1:13" s="360" customFormat="1" x14ac:dyDescent="0.25">
      <c r="A7100" s="367" t="s">
        <v>36</v>
      </c>
      <c r="B7100" s="2">
        <v>44188</v>
      </c>
      <c r="C7100" s="1">
        <v>22</v>
      </c>
      <c r="D7100" s="39">
        <f t="shared" si="994"/>
        <v>15963</v>
      </c>
      <c r="E7100" s="1">
        <v>5</v>
      </c>
      <c r="F7100" s="409">
        <f t="shared" si="995"/>
        <v>292</v>
      </c>
      <c r="G7100" s="168">
        <f>SUM(C7100,C7076,C7052,C7028,C7004,C6980,C6956,C6932,C6908,C6884,C6860,C6836,C6812,C6788)/POBLA!$B$19*100000</f>
        <v>132.98500180985505</v>
      </c>
      <c r="H7100" s="256">
        <f t="shared" si="996"/>
        <v>0.39416909620991253</v>
      </c>
      <c r="I7100" s="297">
        <f t="shared" si="998"/>
        <v>52.418577972864149</v>
      </c>
      <c r="J7100" s="297">
        <f t="shared" si="999"/>
        <v>33.571428571428569</v>
      </c>
      <c r="K7100" s="297">
        <f>J7100/POBLA!$B$19*100000</f>
        <v>6.6042847475308397</v>
      </c>
      <c r="L7100" s="549">
        <f t="shared" si="997"/>
        <v>0.46712018140589573</v>
      </c>
      <c r="M7100" s="401">
        <f>SUM(C7100,C7076,C7052,C7028,C7004,C6980,C6956)/POBLA!$B$19*100000</f>
        <v>46.229993232715884</v>
      </c>
    </row>
    <row r="7101" spans="1:13" s="360" customFormat="1" x14ac:dyDescent="0.25">
      <c r="A7101" s="367" t="s">
        <v>37</v>
      </c>
      <c r="B7101" s="2">
        <v>44188</v>
      </c>
      <c r="C7101" s="1">
        <v>301</v>
      </c>
      <c r="D7101" s="39">
        <f t="shared" si="994"/>
        <v>21456</v>
      </c>
      <c r="E7101" s="1">
        <v>1</v>
      </c>
      <c r="F7101" s="409">
        <f t="shared" si="995"/>
        <v>358</v>
      </c>
      <c r="G7101" s="168">
        <f>SUM(C7101,C7077,C7053,C7029,C7005,C6981,C6957,C6933,C6909,C6885,C6861,C6837,C6813,C6789)/POBLA!$B$20*100000</f>
        <v>1002.7399657641004</v>
      </c>
      <c r="H7101" s="256">
        <f t="shared" si="996"/>
        <v>1.2451612903225806</v>
      </c>
      <c r="I7101" s="297">
        <f t="shared" si="998"/>
        <v>1248.5729896288476</v>
      </c>
      <c r="J7101" s="297">
        <f t="shared" si="999"/>
        <v>262.28571428571428</v>
      </c>
      <c r="K7101" s="297">
        <f>J7101/POBLA!$B$20*100000</f>
        <v>71.721943867812854</v>
      </c>
      <c r="L7101" s="549">
        <f t="shared" si="997"/>
        <v>-2.7307482250136239E-3</v>
      </c>
      <c r="M7101" s="401">
        <f>SUM(C7101,C7077,C7053,C7029,C7005,C6981,C6957)/POBLA!$B$20*100000</f>
        <v>502.05360707469004</v>
      </c>
    </row>
    <row r="7102" spans="1:13" s="360" customFormat="1" x14ac:dyDescent="0.25">
      <c r="A7102" s="367" t="s">
        <v>22</v>
      </c>
      <c r="B7102" s="2">
        <v>44188</v>
      </c>
      <c r="C7102" s="1">
        <v>1003</v>
      </c>
      <c r="D7102" s="39">
        <f t="shared" si="994"/>
        <v>169675</v>
      </c>
      <c r="E7102" s="1">
        <v>8</v>
      </c>
      <c r="F7102" s="409">
        <f t="shared" si="995"/>
        <v>2797</v>
      </c>
      <c r="G7102" s="168">
        <f>SUM(C7102,C7078,C7054,C7030,C7006,C6982,C6958,C6934,C6910,C6886,C6862,C6838,C6814,C6790)/POBLA!$B$21*100000</f>
        <v>376.79369350568851</v>
      </c>
      <c r="H7102" s="256">
        <f t="shared" si="996"/>
        <v>0.90308370044052866</v>
      </c>
      <c r="I7102" s="297">
        <f t="shared" si="998"/>
        <v>340.27624303377155</v>
      </c>
      <c r="J7102" s="297">
        <f t="shared" si="999"/>
        <v>941.14285714285711</v>
      </c>
      <c r="K7102" s="297">
        <f>J7102/POBLA!$B$21*100000</f>
        <v>26.61288504760628</v>
      </c>
      <c r="L7102" s="549">
        <f t="shared" si="997"/>
        <v>2.211666914056698E-2</v>
      </c>
      <c r="M7102" s="401">
        <f>SUM(C7102,C7078,C7054,C7030,C7006,C6982,C6958)/POBLA!$B$21*100000</f>
        <v>186.29019533324399</v>
      </c>
    </row>
    <row r="7103" spans="1:13" s="360" customFormat="1" x14ac:dyDescent="0.25">
      <c r="A7103" s="367" t="s">
        <v>38</v>
      </c>
      <c r="B7103" s="2">
        <v>44188</v>
      </c>
      <c r="C7103" s="1">
        <v>49</v>
      </c>
      <c r="D7103" s="39">
        <f t="shared" si="994"/>
        <v>16882</v>
      </c>
      <c r="E7103" s="1"/>
      <c r="F7103" s="409">
        <f t="shared" si="995"/>
        <v>214</v>
      </c>
      <c r="G7103" s="168">
        <f>SUM(C7103,C7079,C7055,C7031,C7007,C6983,C6959,C6935,C6911,C6887,C6863,C6839,C6815,C6791)/POBLA!$B$22*100000</f>
        <v>60.001247044657482</v>
      </c>
      <c r="H7103" s="256">
        <f t="shared" si="996"/>
        <v>0.41135248773651018</v>
      </c>
      <c r="I7103" s="297">
        <f t="shared" si="998"/>
        <v>24.681662239112786</v>
      </c>
      <c r="J7103" s="297">
        <f t="shared" si="999"/>
        <v>36.714285714285715</v>
      </c>
      <c r="K7103" s="297">
        <f>J7103/POBLA!$B$22*100000</f>
        <v>3.7528158896269104</v>
      </c>
      <c r="L7103" s="549">
        <f t="shared" si="997"/>
        <v>0.22121212121212119</v>
      </c>
      <c r="M7103" s="401">
        <f>SUM(C7103,C7079,C7055,C7031,C7007,C6983,C6959)/POBLA!$B$22*100000</f>
        <v>26.26971122738837</v>
      </c>
    </row>
    <row r="7104" spans="1:13" s="360" customFormat="1" x14ac:dyDescent="0.25">
      <c r="A7104" s="367" t="s">
        <v>39</v>
      </c>
      <c r="B7104" s="2">
        <v>44188</v>
      </c>
      <c r="C7104" s="1">
        <v>111</v>
      </c>
      <c r="D7104" s="39">
        <f t="shared" si="994"/>
        <v>18365</v>
      </c>
      <c r="E7104" s="1"/>
      <c r="F7104" s="409">
        <f t="shared" si="995"/>
        <v>246</v>
      </c>
      <c r="G7104" s="168">
        <f>SUM(C7104,C7080,C7056,C7032,C7008,C6984,C6960,C6936,C6912,C6888,C6864,C6840,C6816,C6792)/POBLA!$B$23*100000</f>
        <v>767.4037210880507</v>
      </c>
      <c r="H7104" s="256">
        <f t="shared" si="996"/>
        <v>1.0382555470543229</v>
      </c>
      <c r="I7104" s="297">
        <f t="shared" si="998"/>
        <v>796.76117024979715</v>
      </c>
      <c r="J7104" s="297">
        <f t="shared" si="999"/>
        <v>81.142857142857139</v>
      </c>
      <c r="K7104" s="297">
        <f>J7104/POBLA!$B$23*100000</f>
        <v>45.887494849775003</v>
      </c>
      <c r="L7104" s="549">
        <f t="shared" si="997"/>
        <v>0.28010139416983526</v>
      </c>
      <c r="M7104" s="401">
        <f>SUM(C7104,C7080,C7056,C7032,C7008,C6984,C6960)/POBLA!$B$23*100000</f>
        <v>321.21246394842507</v>
      </c>
    </row>
    <row r="7105" spans="1:13" s="360" customFormat="1" ht="15.75" thickBot="1" x14ac:dyDescent="0.3">
      <c r="A7105" s="369" t="s">
        <v>40</v>
      </c>
      <c r="B7105" s="266">
        <v>44188</v>
      </c>
      <c r="C7105" s="44">
        <v>126</v>
      </c>
      <c r="D7105" s="176">
        <f t="shared" si="994"/>
        <v>70143</v>
      </c>
      <c r="E7105" s="44"/>
      <c r="F7105" s="476">
        <f t="shared" si="995"/>
        <v>1333</v>
      </c>
      <c r="G7105" s="177">
        <f>SUM(C7105,C7081,C7057,C7033,C7009,C6985,C6961,C6937,C6913,C6889,C6865,C6841,C6817,C6793)/POBLA!$B$24*100000</f>
        <v>149.46986291023075</v>
      </c>
      <c r="H7105" s="402">
        <f t="shared" si="996"/>
        <v>0.76548806285886972</v>
      </c>
      <c r="I7105" s="403">
        <f t="shared" si="998"/>
        <v>114.41739581493336</v>
      </c>
      <c r="J7105" s="403">
        <f t="shared" si="999"/>
        <v>151.42857142857142</v>
      </c>
      <c r="K7105" s="403">
        <f>J7105/POBLA!$B$24*100000</f>
        <v>8.9356525116939025</v>
      </c>
      <c r="L7105" s="550">
        <f t="shared" si="997"/>
        <v>0.28038017651052272</v>
      </c>
      <c r="M7105" s="405">
        <f>SUM(C7105,C7081,C7057,C7033,C7009,C6985,C6961)/POBLA!$B$24*100000</f>
        <v>62.549567581857318</v>
      </c>
    </row>
    <row r="7106" spans="1:13" s="360" customFormat="1" ht="15.75" thickBot="1" x14ac:dyDescent="0.3">
      <c r="A7106" s="363" t="s">
        <v>16</v>
      </c>
      <c r="B7106" s="266">
        <v>44189</v>
      </c>
      <c r="C7106" s="225">
        <v>2877</v>
      </c>
      <c r="D7106" s="174">
        <f t="shared" si="994"/>
        <v>663549</v>
      </c>
      <c r="E7106" s="225">
        <v>17</v>
      </c>
      <c r="F7106" s="475">
        <f t="shared" si="995"/>
        <v>21946</v>
      </c>
      <c r="G7106" s="175">
        <f>SUM(C7106,C7082,C7058,C7034,C7010,C6986,C6962,C6938,C6914,C6890,C6866,C6842,C6818,C6794)/POBLA!$B$1*100000</f>
        <v>172.035559146352</v>
      </c>
      <c r="H7106" s="300">
        <f t="shared" si="996"/>
        <v>1.4631982156710628</v>
      </c>
      <c r="I7106" s="301">
        <f>G7106*H7106</f>
        <v>251.72212317491582</v>
      </c>
      <c r="J7106" s="301">
        <f>AVERAGE(C7106,C7082,C7058,C7034,C7010,C6986,C6962)</f>
        <v>2455.8571428571427</v>
      </c>
      <c r="K7106" s="301">
        <f>J7106/POBLA!$B$1*100000</f>
        <v>14.000555282333929</v>
      </c>
      <c r="L7106" s="548">
        <f t="shared" si="997"/>
        <v>-0.32381025720006162</v>
      </c>
      <c r="M7106" s="400">
        <f>SUM(C7106,C7082,C7058,C7034,C7010,C6986,C6962)/POBLA!$B$1*100000</f>
        <v>98.003886976337512</v>
      </c>
    </row>
    <row r="7107" spans="1:13" s="360" customFormat="1" x14ac:dyDescent="0.25">
      <c r="A7107" s="367" t="s">
        <v>43</v>
      </c>
      <c r="B7107" s="2">
        <v>44189</v>
      </c>
      <c r="C7107" s="1">
        <v>835</v>
      </c>
      <c r="D7107" s="39">
        <f t="shared" si="994"/>
        <v>168813</v>
      </c>
      <c r="E7107" s="1">
        <v>5</v>
      </c>
      <c r="F7107" s="409">
        <f t="shared" si="995"/>
        <v>5436</v>
      </c>
      <c r="G7107" s="168">
        <f>SUM(C7107,C7083,C7059,C7035,C7011,C6987,C6963,C6939,C6915,C6891,C6867,C6843,C6819,C6795)/POBLA!$B$2*100000</f>
        <v>230.22805615470699</v>
      </c>
      <c r="H7107" s="256">
        <f t="shared" si="996"/>
        <v>1.7017543859649122</v>
      </c>
      <c r="I7107" s="297">
        <f t="shared" ref="I7107:I7129" si="1000">G7107*H7107</f>
        <v>391.79160433344873</v>
      </c>
      <c r="J7107" s="297">
        <f t="shared" ref="J7107:J7129" si="1001">AVERAGE(C7107,C7083,C7059,C7035,C7011,C6987,C6963)</f>
        <v>600.42857142857144</v>
      </c>
      <c r="K7107" s="297">
        <f>J7107/POBLA!$B$2*100000</f>
        <v>19.522031190474177</v>
      </c>
      <c r="L7107" s="549">
        <f t="shared" si="997"/>
        <v>-0.46038915913829048</v>
      </c>
      <c r="M7107" s="401">
        <f>SUM(C7107,C7083,C7059,C7035,C7011,C6987,C6963)/POBLA!$B$2*100000</f>
        <v>136.65421833331925</v>
      </c>
    </row>
    <row r="7108" spans="1:13" s="360" customFormat="1" x14ac:dyDescent="0.25">
      <c r="A7108" s="367" t="s">
        <v>28</v>
      </c>
      <c r="B7108" s="2">
        <v>44189</v>
      </c>
      <c r="C7108" s="1">
        <v>76</v>
      </c>
      <c r="D7108" s="39">
        <f t="shared" si="994"/>
        <v>2493</v>
      </c>
      <c r="E7108" s="1"/>
      <c r="F7108" s="409">
        <f t="shared" si="995"/>
        <v>17</v>
      </c>
      <c r="G7108" s="168">
        <f>SUM(C7108,C7084,C7060,C7036,C7012,C6988,C6964,C6940,C6916,C6892,C6868,C6844,C6820,C6796)/POBLA!$B$3*100000</f>
        <v>104.94947501191513</v>
      </c>
      <c r="H7108" s="256">
        <f t="shared" si="996"/>
        <v>1.5683453237410072</v>
      </c>
      <c r="I7108" s="297">
        <f t="shared" si="1000"/>
        <v>164.59701836401078</v>
      </c>
      <c r="J7108" s="297">
        <f t="shared" si="1001"/>
        <v>38</v>
      </c>
      <c r="K7108" s="297">
        <f>J7108/POBLA!$B$3*100000</f>
        <v>9.1469725927815944</v>
      </c>
      <c r="L7108" s="549">
        <f t="shared" si="997"/>
        <v>-0.56470588235294117</v>
      </c>
      <c r="M7108" s="401">
        <f>SUM(C7108,C7084,C7060,C7036,C7012,C6988,C6964)/POBLA!$B$3*100000</f>
        <v>64.028808149471161</v>
      </c>
    </row>
    <row r="7109" spans="1:13" s="360" customFormat="1" x14ac:dyDescent="0.25">
      <c r="A7109" s="367" t="s">
        <v>15</v>
      </c>
      <c r="B7109" s="2">
        <v>44189</v>
      </c>
      <c r="C7109" s="1">
        <v>176</v>
      </c>
      <c r="D7109" s="39">
        <f t="shared" si="994"/>
        <v>23624</v>
      </c>
      <c r="E7109" s="1">
        <v>3</v>
      </c>
      <c r="F7109" s="409">
        <f t="shared" si="995"/>
        <v>662</v>
      </c>
      <c r="G7109" s="168">
        <f>SUM(C7109,C7085,C7061,C7037,C7013,C6989,C6965,C6941,C6917,C6893,C6869,C6845,C6821,C6797)/POBLA!$B$4*100000</f>
        <v>201.98565262618709</v>
      </c>
      <c r="H7109" s="256">
        <f t="shared" si="996"/>
        <v>0.90345339769773492</v>
      </c>
      <c r="I7109" s="297">
        <f t="shared" si="1000"/>
        <v>182.48462415132315</v>
      </c>
      <c r="J7109" s="297">
        <f t="shared" si="1001"/>
        <v>173.28571428571428</v>
      </c>
      <c r="K7109" s="297">
        <f>J7109/POBLA!$B$4*100000</f>
        <v>14.3860370286868</v>
      </c>
      <c r="L7109" s="549">
        <f t="shared" si="997"/>
        <v>5.7377049180328266E-3</v>
      </c>
      <c r="M7109" s="401">
        <f>SUM(C7109,C7085,C7061,C7037,C7013,C6989,C6965)/POBLA!$B$4*100000</f>
        <v>100.7022592008076</v>
      </c>
    </row>
    <row r="7110" spans="1:13" s="360" customFormat="1" x14ac:dyDescent="0.25">
      <c r="A7110" s="367" t="s">
        <v>29</v>
      </c>
      <c r="B7110" s="2">
        <v>44189</v>
      </c>
      <c r="C7110" s="1">
        <v>250</v>
      </c>
      <c r="D7110" s="39">
        <f t="shared" si="994"/>
        <v>29463</v>
      </c>
      <c r="E7110" s="1"/>
      <c r="F7110" s="409">
        <f t="shared" si="995"/>
        <v>486</v>
      </c>
      <c r="G7110" s="168">
        <f>SUM(C7110,C7086,C7062,C7038,C7014,C6990,C6966,C6942,C6918,C6894,C6870,C6846,C6822,C6798)/POBLA!$B$5*100000</f>
        <v>660.74953876774248</v>
      </c>
      <c r="H7110" s="256">
        <f t="shared" si="996"/>
        <v>1.2208955223880598</v>
      </c>
      <c r="I7110" s="297">
        <f t="shared" si="1000"/>
        <v>806.70615330151247</v>
      </c>
      <c r="J7110" s="297">
        <f t="shared" si="1001"/>
        <v>286.14285714285717</v>
      </c>
      <c r="K7110" s="297">
        <f>J7110/POBLA!$B$5*100000</f>
        <v>46.227080899468682</v>
      </c>
      <c r="L7110" s="549">
        <f t="shared" si="997"/>
        <v>4.0249161475802597E-2</v>
      </c>
      <c r="M7110" s="401">
        <f>SUM(C7110,C7086,C7062,C7038,C7014,C6990,C6966)/POBLA!$B$5*100000</f>
        <v>323.58956629628074</v>
      </c>
    </row>
    <row r="7111" spans="1:13" s="360" customFormat="1" x14ac:dyDescent="0.25">
      <c r="A7111" s="367" t="s">
        <v>20</v>
      </c>
      <c r="B7111" s="2">
        <v>44189</v>
      </c>
      <c r="C7111" s="1">
        <v>660</v>
      </c>
      <c r="D7111" s="39">
        <f t="shared" si="994"/>
        <v>124545</v>
      </c>
      <c r="E7111" s="1">
        <v>15</v>
      </c>
      <c r="F7111" s="409">
        <f t="shared" si="995"/>
        <v>2445</v>
      </c>
      <c r="G7111" s="168">
        <f>SUM(C7111,C7087,C7063,C7039,C7015,C6991,C6967,C6943,C6919,C6895,C6871,C6847,C6823,C6799)/POBLA!$B$6*100000</f>
        <v>511.77684530973835</v>
      </c>
      <c r="H7111" s="256">
        <f t="shared" si="996"/>
        <v>0.8405627198124267</v>
      </c>
      <c r="I7111" s="297">
        <f t="shared" si="1000"/>
        <v>430.18053703057723</v>
      </c>
      <c r="J7111" s="297">
        <f t="shared" si="1001"/>
        <v>415.85714285714283</v>
      </c>
      <c r="K7111" s="297">
        <f>J7111/POBLA!$B$6*100000</f>
        <v>37.103566365228332</v>
      </c>
      <c r="L7111" s="549">
        <f t="shared" si="997"/>
        <v>-3.04424778761061E-2</v>
      </c>
      <c r="M7111" s="401">
        <f>SUM(C7111,C7087,C7063,C7039,C7015,C6991,C6967)/POBLA!$B$6*100000</f>
        <v>259.72496455659837</v>
      </c>
    </row>
    <row r="7112" spans="1:13" s="360" customFormat="1" x14ac:dyDescent="0.25">
      <c r="A7112" s="367" t="s">
        <v>30</v>
      </c>
      <c r="B7112" s="2">
        <v>44189</v>
      </c>
      <c r="C7112" s="1">
        <v>56</v>
      </c>
      <c r="D7112" s="39">
        <f t="shared" si="994"/>
        <v>11089</v>
      </c>
      <c r="E7112" s="1">
        <v>2</v>
      </c>
      <c r="F7112" s="409">
        <f t="shared" si="995"/>
        <v>154</v>
      </c>
      <c r="G7112" s="168">
        <f>SUM(C7112,C7088,C7064,C7040,C7016,C6992,C6968,C6944,C6920,C6896,C6872,C6848,C6824,C6800)/POBLA!$B$7*100000</f>
        <v>48.345277825792124</v>
      </c>
      <c r="H7112" s="256">
        <f t="shared" si="996"/>
        <v>0.45598194130925507</v>
      </c>
      <c r="I7112" s="297">
        <f t="shared" si="1000"/>
        <v>22.044573636139976</v>
      </c>
      <c r="J7112" s="297">
        <f t="shared" si="1001"/>
        <v>152</v>
      </c>
      <c r="K7112" s="297">
        <f>J7112/POBLA!$B$7*100000</f>
        <v>4.0420694331795399</v>
      </c>
      <c r="L7112" s="549">
        <f t="shared" si="997"/>
        <v>-0.41114058355437666</v>
      </c>
      <c r="M7112" s="401">
        <f>SUM(C7112,C7088,C7064,C7040,C7016,C6992,C6968)/POBLA!$B$7*100000</f>
        <v>28.294486032256778</v>
      </c>
    </row>
    <row r="7113" spans="1:13" x14ac:dyDescent="0.25">
      <c r="A7113" s="367" t="s">
        <v>31</v>
      </c>
      <c r="B7113" s="2">
        <v>44189</v>
      </c>
      <c r="C7113" s="1">
        <v>283</v>
      </c>
      <c r="D7113" s="39">
        <f t="shared" si="994"/>
        <v>27704</v>
      </c>
      <c r="E7113" s="1">
        <v>2</v>
      </c>
      <c r="F7113" s="409">
        <f t="shared" si="995"/>
        <v>571</v>
      </c>
      <c r="G7113" s="168">
        <f>SUM(C7113,C7089,C7065,C7041,C7017,C6993,C6969,C6945,C6921,C6897,C6873,C6849,C6825,C6801)/POBLA!$B$8*100000</f>
        <v>195.8929580269575</v>
      </c>
      <c r="H7113" s="256">
        <f t="shared" si="996"/>
        <v>1.1154478225143796</v>
      </c>
      <c r="I7113" s="297">
        <f t="shared" si="1000"/>
        <v>218.50837347707051</v>
      </c>
      <c r="J7113" s="297">
        <f t="shared" si="1001"/>
        <v>183.28571428571428</v>
      </c>
      <c r="K7113" s="297">
        <f>J7113/POBLA!$B$8*100000</f>
        <v>13.224449626339721</v>
      </c>
      <c r="L7113" s="549">
        <f t="shared" si="997"/>
        <v>0.10405027932960897</v>
      </c>
      <c r="M7113" s="401">
        <f>SUM(C7113,C7089,C7065,C7041,C7017,C6993,C6969)/POBLA!$B$8*100000</f>
        <v>92.571147384378051</v>
      </c>
    </row>
    <row r="7114" spans="1:13" s="360" customFormat="1" x14ac:dyDescent="0.25">
      <c r="A7114" s="367" t="s">
        <v>41</v>
      </c>
      <c r="B7114" s="2">
        <v>44189</v>
      </c>
      <c r="C7114" s="1">
        <v>1</v>
      </c>
      <c r="D7114" s="39">
        <f t="shared" si="994"/>
        <v>213</v>
      </c>
      <c r="E7114" s="1"/>
      <c r="F7114" s="409">
        <f t="shared" si="995"/>
        <v>3</v>
      </c>
      <c r="G7114" s="168">
        <f>SUM(C7114,C7090,C7066,C7042,C7018,C6994,C6970,C6946,C6922,C6898,C6874,C6850,C6826,C6802)/POBLA!$B$9*100000</f>
        <v>2.9742577987518035</v>
      </c>
      <c r="H7114" s="256">
        <f t="shared" si="996"/>
        <v>1.0588235294117647</v>
      </c>
      <c r="I7114" s="297">
        <f t="shared" si="1000"/>
        <v>3.149214139854851</v>
      </c>
      <c r="J7114" s="297">
        <f t="shared" si="1001"/>
        <v>1.4285714285714286</v>
      </c>
      <c r="K7114" s="297">
        <f>J7114/POBLA!$B$9*100000</f>
        <v>0.23605220625014312</v>
      </c>
      <c r="L7114" s="549">
        <f t="shared" si="997"/>
        <v>-0.25</v>
      </c>
      <c r="M7114" s="401">
        <f>SUM(C7114,C7090,C7066,C7042,C7018,C6994,C6970)/POBLA!$B$9*100000</f>
        <v>1.6523654437510016</v>
      </c>
    </row>
    <row r="7115" spans="1:13" s="360" customFormat="1" x14ac:dyDescent="0.25">
      <c r="A7115" s="367" t="s">
        <v>32</v>
      </c>
      <c r="B7115" s="2">
        <v>44189</v>
      </c>
      <c r="C7115" s="1">
        <v>3</v>
      </c>
      <c r="D7115" s="39">
        <f t="shared" si="994"/>
        <v>18494</v>
      </c>
      <c r="E7115" s="1"/>
      <c r="F7115" s="409">
        <f t="shared" si="995"/>
        <v>857</v>
      </c>
      <c r="G7115" s="168">
        <f>SUM(C7115,C7091,C7067,C7043,C7019,C6995,C6971,C6947,C6923,C6899,C6875,C6851,C6827,C6803)/POBLA!$B$10*100000</f>
        <v>8.1724676052464655</v>
      </c>
      <c r="H7115" s="256">
        <f t="shared" si="996"/>
        <v>0.67741935483870963</v>
      </c>
      <c r="I7115" s="297">
        <f t="shared" si="1000"/>
        <v>5.5361877325863151</v>
      </c>
      <c r="J7115" s="297">
        <f t="shared" si="1001"/>
        <v>4.1428571428571432</v>
      </c>
      <c r="K7115" s="297">
        <f>J7115/POBLA!$B$10*100000</f>
        <v>0.53741850465339569</v>
      </c>
      <c r="L7115" s="549">
        <f t="shared" si="997"/>
        <v>0.1470588235294118</v>
      </c>
      <c r="M7115" s="401">
        <f>SUM(C7115,C7091,C7067,C7043,C7019,C6995,C6971)/POBLA!$B$10*100000</f>
        <v>3.7619295325737694</v>
      </c>
    </row>
    <row r="7116" spans="1:13" s="360" customFormat="1" x14ac:dyDescent="0.25">
      <c r="A7116" s="367" t="s">
        <v>33</v>
      </c>
      <c r="B7116" s="2">
        <v>44189</v>
      </c>
      <c r="C7116" s="1">
        <v>276</v>
      </c>
      <c r="D7116" s="39">
        <f t="shared" si="994"/>
        <v>9195</v>
      </c>
      <c r="E7116" s="1"/>
      <c r="F7116" s="409">
        <f t="shared" si="995"/>
        <v>116</v>
      </c>
      <c r="G7116" s="168">
        <f>SUM(C7116,C7092,C7068,C7044,C7020,C6996,C6972,C6948,C6924,C6900,C6876,C6852,C6828,C6804)/POBLA!$B$11*100000</f>
        <v>717.01987567935544</v>
      </c>
      <c r="H7116" s="256">
        <f t="shared" si="996"/>
        <v>2.2524101665205958</v>
      </c>
      <c r="I7116" s="297">
        <f t="shared" si="1000"/>
        <v>1615.0228575775138</v>
      </c>
      <c r="J7116" s="297">
        <f t="shared" si="1001"/>
        <v>212.85714285714286</v>
      </c>
      <c r="K7116" s="297">
        <f>J7116/POBLA!$B$11*100000</f>
        <v>59.386304322525824</v>
      </c>
      <c r="L7116" s="549">
        <f t="shared" si="997"/>
        <v>-0.37962962962962954</v>
      </c>
      <c r="M7116" s="401">
        <f>SUM(C7116,C7092,C7068,C7044,C7020,C6996,C6972)/POBLA!$B$11*100000</f>
        <v>415.70413025768073</v>
      </c>
    </row>
    <row r="7117" spans="1:13" s="360" customFormat="1" x14ac:dyDescent="0.25">
      <c r="A7117" s="367" t="s">
        <v>21</v>
      </c>
      <c r="B7117" s="2">
        <v>44189</v>
      </c>
      <c r="C7117" s="1">
        <v>10</v>
      </c>
      <c r="D7117" s="39">
        <f t="shared" si="994"/>
        <v>9050</v>
      </c>
      <c r="E7117" s="1">
        <v>13</v>
      </c>
      <c r="F7117" s="409">
        <f t="shared" si="995"/>
        <v>374</v>
      </c>
      <c r="G7117" s="168">
        <f>SUM(C7117,C7093,C7069,C7045,C7021,C6997,C6973,C6949,C6925,C6901,C6877,C6853,C6829,C6805)/POBLA!$B$12*100000</f>
        <v>37.608218920491652</v>
      </c>
      <c r="H7117" s="256">
        <f t="shared" si="996"/>
        <v>0.49169435215946844</v>
      </c>
      <c r="I7117" s="297">
        <f t="shared" si="1000"/>
        <v>18.491748837982605</v>
      </c>
      <c r="J7117" s="297">
        <f t="shared" si="1001"/>
        <v>10.428571428571429</v>
      </c>
      <c r="K7117" s="297">
        <f>J7117/POBLA!$B$12*100000</f>
        <v>2.6499999818493154</v>
      </c>
      <c r="L7117" s="549">
        <f t="shared" si="997"/>
        <v>2.6666666666666616E-2</v>
      </c>
      <c r="M7117" s="401">
        <f>SUM(C7117,C7093,C7069,C7045,C7021,C6997,C6973)/POBLA!$B$12*100000</f>
        <v>18.549999872945204</v>
      </c>
    </row>
    <row r="7118" spans="1:13" s="360" customFormat="1" x14ac:dyDescent="0.25">
      <c r="A7118" s="367" t="s">
        <v>17</v>
      </c>
      <c r="B7118" s="2">
        <v>44189</v>
      </c>
      <c r="C7118" s="1">
        <v>111</v>
      </c>
      <c r="D7118" s="39">
        <f t="shared" si="994"/>
        <v>59483</v>
      </c>
      <c r="E7118" s="1"/>
      <c r="F7118" s="409">
        <f t="shared" si="995"/>
        <v>1218</v>
      </c>
      <c r="G7118" s="168">
        <f>SUM(C7118,C7094,C7070,C7046,C7022,C6998,C6974,C6950,C6926,C6902,C6878,C6854,C6830,C6806)/POBLA!$B$13*100000</f>
        <v>79.38350169669674</v>
      </c>
      <c r="H7118" s="256">
        <f t="shared" si="996"/>
        <v>0.81569437274135259</v>
      </c>
      <c r="I7118" s="297">
        <f t="shared" si="1000"/>
        <v>64.75267562249914</v>
      </c>
      <c r="J7118" s="297">
        <f t="shared" si="1001"/>
        <v>100.85714285714286</v>
      </c>
      <c r="K7118" s="297">
        <f>J7118/POBLA!$B$13*100000</f>
        <v>5.0673374500784725</v>
      </c>
      <c r="L7118" s="549">
        <f t="shared" si="997"/>
        <v>0.19221967963386732</v>
      </c>
      <c r="M7118" s="401">
        <f>SUM(C7118,C7094,C7070,C7046,C7022,C6998,C6974)/POBLA!$B$13*100000</f>
        <v>35.471362150549304</v>
      </c>
    </row>
    <row r="7119" spans="1:13" s="360" customFormat="1" x14ac:dyDescent="0.25">
      <c r="A7119" s="367" t="s">
        <v>23</v>
      </c>
      <c r="B7119" s="2">
        <v>44189</v>
      </c>
      <c r="C7119" s="1">
        <v>4</v>
      </c>
      <c r="D7119" s="39">
        <f t="shared" si="994"/>
        <v>900</v>
      </c>
      <c r="E7119" s="1"/>
      <c r="F7119" s="409">
        <f t="shared" si="995"/>
        <v>11</v>
      </c>
      <c r="G7119" s="168">
        <f>SUM(C7119,C7095,C7071,C7047,C7023,C6999,C6975,C6951,C6927,C6903,C6879,C6855,C6831,C6807)/POBLA!$B$14*100000</f>
        <v>22.516558391620034</v>
      </c>
      <c r="H7119" s="256">
        <f t="shared" si="996"/>
        <v>2.1194029850746268</v>
      </c>
      <c r="I7119" s="297">
        <f t="shared" si="1000"/>
        <v>47.72166106880664</v>
      </c>
      <c r="J7119" s="297">
        <f t="shared" si="1001"/>
        <v>16</v>
      </c>
      <c r="K7119" s="297">
        <f>J7119/POBLA!$B$14*100000</f>
        <v>1.2685385009363399</v>
      </c>
      <c r="L7119" s="549">
        <f t="shared" si="997"/>
        <v>0.34883720930232553</v>
      </c>
      <c r="M7119" s="401">
        <f>SUM(C7119,C7095,C7071,C7047,C7023,C6999,C6975)/POBLA!$B$14*100000</f>
        <v>8.8797695065543802</v>
      </c>
    </row>
    <row r="7120" spans="1:13" s="360" customFormat="1" x14ac:dyDescent="0.25">
      <c r="A7120" s="367" t="s">
        <v>19</v>
      </c>
      <c r="B7120" s="2">
        <v>44189</v>
      </c>
      <c r="C7120" s="1">
        <v>225</v>
      </c>
      <c r="D7120" s="39">
        <f t="shared" si="994"/>
        <v>39102</v>
      </c>
      <c r="E7120" s="1"/>
      <c r="F7120" s="409">
        <f t="shared" si="995"/>
        <v>688</v>
      </c>
      <c r="G7120" s="168">
        <f>SUM(C7120,C7096,C7072,C7048,C7024,C7000,C6976,C6952,C6928,C6904,C6880,C6856,C6832,C6808)/POBLA!$B$15*100000</f>
        <v>390.77970716369231</v>
      </c>
      <c r="H7120" s="256">
        <f t="shared" si="996"/>
        <v>0.49447408536585363</v>
      </c>
      <c r="I7120" s="297">
        <f t="shared" si="1000"/>
        <v>193.23043827930289</v>
      </c>
      <c r="J7120" s="297">
        <f t="shared" si="1001"/>
        <v>226.14285714285714</v>
      </c>
      <c r="K7120" s="297">
        <f>J7120/POBLA!$B$15*100000</f>
        <v>34.054735834854107</v>
      </c>
      <c r="L7120" s="549">
        <f t="shared" si="997"/>
        <v>-0.56422924901185767</v>
      </c>
      <c r="M7120" s="401">
        <f>SUM(C7120,C7096,C7072,C7048,C7024,C7000,C6976)/POBLA!$B$15*100000</f>
        <v>238.38315084397877</v>
      </c>
    </row>
    <row r="7121" spans="1:13" s="360" customFormat="1" x14ac:dyDescent="0.25">
      <c r="A7121" s="367" t="s">
        <v>18</v>
      </c>
      <c r="B7121" s="2">
        <v>44189</v>
      </c>
      <c r="C7121" s="1">
        <v>234</v>
      </c>
      <c r="D7121" s="39">
        <f t="shared" si="994"/>
        <v>36862</v>
      </c>
      <c r="E7121" s="1">
        <v>3</v>
      </c>
      <c r="F7121" s="409">
        <f t="shared" si="995"/>
        <v>880</v>
      </c>
      <c r="G7121" s="168">
        <f>SUM(C7121,C7097,C7073,C7049,C7025,C7001,C6977,C6953,C6929,C6905,C6881,C6857,C6833,C6809)/POBLA!$B$16*100000</f>
        <v>430.70584930645657</v>
      </c>
      <c r="H7121" s="256">
        <f t="shared" si="996"/>
        <v>1.2509712509712509</v>
      </c>
      <c r="I7121" s="297">
        <f t="shared" si="1000"/>
        <v>538.80063510753303</v>
      </c>
      <c r="J7121" s="297">
        <f t="shared" si="1001"/>
        <v>243.14285714285714</v>
      </c>
      <c r="K7121" s="297">
        <f>J7121/POBLA!$B$16*100000</f>
        <v>32.522686580283455</v>
      </c>
      <c r="L7121" s="549">
        <f t="shared" si="997"/>
        <v>-0.1212121212121211</v>
      </c>
      <c r="M7121" s="401">
        <f>SUM(C7121,C7097,C7073,C7049,C7025,C7001,C6977)/POBLA!$B$16*100000</f>
        <v>227.65880606198419</v>
      </c>
    </row>
    <row r="7122" spans="1:13" s="360" customFormat="1" x14ac:dyDescent="0.25">
      <c r="A7122" s="367" t="s">
        <v>34</v>
      </c>
      <c r="B7122" s="2">
        <v>44189</v>
      </c>
      <c r="C7122" s="1">
        <v>67</v>
      </c>
      <c r="D7122" s="39">
        <f t="shared" si="994"/>
        <v>22134</v>
      </c>
      <c r="E7122" s="1">
        <v>1</v>
      </c>
      <c r="F7122" s="409">
        <f t="shared" si="995"/>
        <v>1013</v>
      </c>
      <c r="G7122" s="168">
        <f>SUM(C7122,C7098,C7074,C7050,C7026,C7002,C6978,C6954,C6930,C6906,C6882,C6858,C6834,C6810)/POBLA!$B$17*100000</f>
        <v>45.001498879876884</v>
      </c>
      <c r="H7122" s="256">
        <f t="shared" si="996"/>
        <v>1.3814655172413792</v>
      </c>
      <c r="I7122" s="297">
        <f t="shared" si="1000"/>
        <v>62.168018926726468</v>
      </c>
      <c r="J7122" s="297">
        <f t="shared" si="1001"/>
        <v>50</v>
      </c>
      <c r="K7122" s="297">
        <f>J7122/POBLA!$B$17*100000</f>
        <v>3.510257322923314</v>
      </c>
      <c r="L7122" s="549">
        <f t="shared" si="997"/>
        <v>-0.20274914089347074</v>
      </c>
      <c r="M7122" s="401">
        <f>SUM(C7122,C7098,C7074,C7050,C7026,C7002,C6978)/POBLA!$B$17*100000</f>
        <v>24.5718012604632</v>
      </c>
    </row>
    <row r="7123" spans="1:13" s="360" customFormat="1" x14ac:dyDescent="0.25">
      <c r="A7123" s="367" t="s">
        <v>35</v>
      </c>
      <c r="B7123" s="2">
        <v>44189</v>
      </c>
      <c r="C7123" s="1">
        <v>64</v>
      </c>
      <c r="D7123" s="39">
        <f t="shared" si="994"/>
        <v>10876</v>
      </c>
      <c r="E7123" s="1"/>
      <c r="F7123" s="409">
        <f t="shared" si="995"/>
        <v>196</v>
      </c>
      <c r="G7123" s="168">
        <f>SUM(C7123,C7099,C7075,C7051,C7027,C7003,C6979,C6955,C6931,C6907,C6883,C6859,C6835,C6811)/POBLA!$B$18*100000</f>
        <v>234.76191634334634</v>
      </c>
      <c r="H7123" s="256">
        <f t="shared" si="996"/>
        <v>0.8758357211079274</v>
      </c>
      <c r="I7123" s="297">
        <f t="shared" si="1000"/>
        <v>205.61287228925366</v>
      </c>
      <c r="J7123" s="297">
        <f t="shared" si="1001"/>
        <v>116.28571428571429</v>
      </c>
      <c r="K7123" s="297">
        <f>J7123/POBLA!$B$18*100000</f>
        <v>14.885200179427008</v>
      </c>
      <c r="L7123" s="549">
        <f t="shared" si="997"/>
        <v>0.20196078431372544</v>
      </c>
      <c r="M7123" s="401">
        <f>SUM(C7123,C7099,C7075,C7051,C7027,C7003,C6979)/POBLA!$B$18*100000</f>
        <v>104.19640125598904</v>
      </c>
    </row>
    <row r="7124" spans="1:13" s="360" customFormat="1" x14ac:dyDescent="0.25">
      <c r="A7124" s="367" t="s">
        <v>36</v>
      </c>
      <c r="B7124" s="2">
        <v>44189</v>
      </c>
      <c r="C7124" s="1">
        <v>22</v>
      </c>
      <c r="D7124" s="39">
        <f t="shared" si="994"/>
        <v>15985</v>
      </c>
      <c r="E7124" s="1">
        <v>1</v>
      </c>
      <c r="F7124" s="409">
        <f t="shared" si="995"/>
        <v>293</v>
      </c>
      <c r="G7124" s="168">
        <f>SUM(C7124,C7100,C7076,C7052,C7028,C7004,C6980,C6956,C6932,C6908,C6884,C6860,C6836,C6812)/POBLA!$B$19*100000</f>
        <v>122.36193953510332</v>
      </c>
      <c r="H7124" s="256">
        <f t="shared" si="996"/>
        <v>0.40521172638436481</v>
      </c>
      <c r="I7124" s="297">
        <f t="shared" si="1000"/>
        <v>49.582492762758477</v>
      </c>
      <c r="J7124" s="297">
        <f t="shared" si="1001"/>
        <v>31.285714285714285</v>
      </c>
      <c r="K7124" s="297">
        <f>J7124/POBLA!$B$19*100000</f>
        <v>6.1546313179117202</v>
      </c>
      <c r="L7124" s="549">
        <f t="shared" si="997"/>
        <v>0.45657568238213397</v>
      </c>
      <c r="M7124" s="401">
        <f>SUM(C7124,C7100,C7076,C7052,C7028,C7004,C6980)/POBLA!$B$19*100000</f>
        <v>43.082419225382033</v>
      </c>
    </row>
    <row r="7125" spans="1:13" s="360" customFormat="1" x14ac:dyDescent="0.25">
      <c r="A7125" s="367" t="s">
        <v>37</v>
      </c>
      <c r="B7125" s="2">
        <v>44189</v>
      </c>
      <c r="C7125" s="1">
        <v>290</v>
      </c>
      <c r="D7125" s="39">
        <f t="shared" si="994"/>
        <v>21746</v>
      </c>
      <c r="E7125" s="1">
        <v>2</v>
      </c>
      <c r="F7125" s="409">
        <f t="shared" si="995"/>
        <v>360</v>
      </c>
      <c r="G7125" s="168">
        <f>SUM(C7125,C7101,C7077,C7053,C7029,C7005,C6981,C6957,C6933,C6909,C6885,C6861,C6837,C6813)/POBLA!$B$20*100000</f>
        <v>994.53647545242245</v>
      </c>
      <c r="H7125" s="256">
        <f t="shared" si="996"/>
        <v>1.2007263123142951</v>
      </c>
      <c r="I7125" s="297">
        <f t="shared" si="1000"/>
        <v>1194.1661146320437</v>
      </c>
      <c r="J7125" s="297">
        <f t="shared" si="1001"/>
        <v>258.71428571428572</v>
      </c>
      <c r="K7125" s="297">
        <f>J7125/POBLA!$B$20*100000</f>
        <v>70.745337878327405</v>
      </c>
      <c r="L7125" s="549">
        <f t="shared" si="997"/>
        <v>8.2146768893757161E-3</v>
      </c>
      <c r="M7125" s="401">
        <f>SUM(C7125,C7101,C7077,C7053,C7029,C7005,C6981)/POBLA!$B$20*100000</f>
        <v>495.21736514829178</v>
      </c>
    </row>
    <row r="7126" spans="1:13" s="360" customFormat="1" x14ac:dyDescent="0.25">
      <c r="A7126" s="367" t="s">
        <v>22</v>
      </c>
      <c r="B7126" s="2">
        <v>44189</v>
      </c>
      <c r="C7126" s="1">
        <v>1038</v>
      </c>
      <c r="D7126" s="39">
        <f t="shared" si="994"/>
        <v>170713</v>
      </c>
      <c r="E7126" s="1">
        <v>13</v>
      </c>
      <c r="F7126" s="409">
        <f t="shared" si="995"/>
        <v>2810</v>
      </c>
      <c r="G7126" s="168">
        <f>SUM(C7126,C7102,C7078,C7054,C7030,C7006,C6982,C6958,C6934,C6910,C6886,C6862,C6838,C6814)/POBLA!$B$21*100000</f>
        <v>377.86822711568595</v>
      </c>
      <c r="H7126" s="256">
        <f t="shared" si="996"/>
        <v>0.93388776294639742</v>
      </c>
      <c r="I7126" s="297">
        <f t="shared" si="1000"/>
        <v>352.88651330958919</v>
      </c>
      <c r="J7126" s="297">
        <f t="shared" si="1001"/>
        <v>931</v>
      </c>
      <c r="K7126" s="297">
        <f>J7126/POBLA!$B$21*100000</f>
        <v>26.326073444937787</v>
      </c>
      <c r="L7126" s="549">
        <f t="shared" si="997"/>
        <v>4.805725971370145E-2</v>
      </c>
      <c r="M7126" s="401">
        <f>SUM(C7126,C7102,C7078,C7054,C7030,C7006,C6982)/POBLA!$B$21*100000</f>
        <v>184.28251411456449</v>
      </c>
    </row>
    <row r="7127" spans="1:13" s="360" customFormat="1" x14ac:dyDescent="0.25">
      <c r="A7127" s="367" t="s">
        <v>38</v>
      </c>
      <c r="B7127" s="2">
        <v>44189</v>
      </c>
      <c r="C7127" s="1">
        <v>73</v>
      </c>
      <c r="D7127" s="39">
        <f t="shared" si="994"/>
        <v>16955</v>
      </c>
      <c r="E7127" s="1"/>
      <c r="F7127" s="409">
        <f t="shared" si="995"/>
        <v>214</v>
      </c>
      <c r="G7127" s="168">
        <f>SUM(C7127,C7103,C7079,C7055,C7031,C7007,C6983,C6959,C6935,C6911,C6887,C6863,C6839,C6815)/POBLA!$B$22*100000</f>
        <v>62.965533525569022</v>
      </c>
      <c r="H7127" s="256">
        <f t="shared" si="996"/>
        <v>0.51376146788990829</v>
      </c>
      <c r="I7127" s="297">
        <f t="shared" si="1000"/>
        <v>32.349264930567571</v>
      </c>
      <c r="J7127" s="297">
        <f t="shared" si="1001"/>
        <v>37.714285714285715</v>
      </c>
      <c r="K7127" s="297">
        <f>J7127/POBLA!$B$22*100000</f>
        <v>3.8550326648307558</v>
      </c>
      <c r="L7127" s="549">
        <f t="shared" si="997"/>
        <v>0.25</v>
      </c>
      <c r="M7127" s="401">
        <f>SUM(C7127,C7103,C7079,C7055,C7031,C7007,C6983)/POBLA!$B$22*100000</f>
        <v>26.985228653815291</v>
      </c>
    </row>
    <row r="7128" spans="1:13" s="360" customFormat="1" x14ac:dyDescent="0.25">
      <c r="A7128" s="367" t="s">
        <v>39</v>
      </c>
      <c r="B7128" s="2">
        <v>44189</v>
      </c>
      <c r="C7128" s="1">
        <v>71</v>
      </c>
      <c r="D7128" s="39">
        <f t="shared" si="994"/>
        <v>18436</v>
      </c>
      <c r="E7128" s="1"/>
      <c r="F7128" s="409">
        <f t="shared" si="995"/>
        <v>246</v>
      </c>
      <c r="G7128" s="168">
        <f>SUM(C7128,C7104,C7080,C7056,C7032,C7008,C6984,C6960,C6936,C6912,C6888,C6864,C6840,C6816)/POBLA!$B$23*100000</f>
        <v>721.59701408132105</v>
      </c>
      <c r="H7128" s="256">
        <f t="shared" si="996"/>
        <v>0.97702909647779479</v>
      </c>
      <c r="I7128" s="297">
        <f t="shared" si="1000"/>
        <v>705.02127868894763</v>
      </c>
      <c r="J7128" s="297">
        <f t="shared" si="1001"/>
        <v>76</v>
      </c>
      <c r="K7128" s="297">
        <f>J7128/POBLA!$B$23*100000</f>
        <v>42.979132500141382</v>
      </c>
      <c r="L7128" s="549">
        <f t="shared" si="997"/>
        <v>0.28494623655913975</v>
      </c>
      <c r="M7128" s="401">
        <f>SUM(C7128,C7104,C7080,C7056,C7032,C7008,C6984)/POBLA!$B$23*100000</f>
        <v>300.85392750098964</v>
      </c>
    </row>
    <row r="7129" spans="1:13" s="360" customFormat="1" ht="15.75" thickBot="1" x14ac:dyDescent="0.3">
      <c r="A7129" s="369" t="s">
        <v>40</v>
      </c>
      <c r="B7129" s="2">
        <v>44189</v>
      </c>
      <c r="C7129" s="1">
        <v>113</v>
      </c>
      <c r="D7129" s="176">
        <f t="shared" si="994"/>
        <v>70256</v>
      </c>
      <c r="E7129" s="1">
        <v>1</v>
      </c>
      <c r="F7129" s="476">
        <f t="shared" si="995"/>
        <v>1334</v>
      </c>
      <c r="G7129" s="177">
        <f>SUM(C7129,C7105,C7081,C7057,C7033,C7009,C6985,C6961,C6937,C6913,C6889,C6865,C6841,C6817)/POBLA!$B$24*100000</f>
        <v>142.2707617357151</v>
      </c>
      <c r="H7129" s="402">
        <f t="shared" si="996"/>
        <v>0.78971503439240087</v>
      </c>
      <c r="I7129" s="403">
        <f t="shared" si="1000"/>
        <v>112.35335949715332</v>
      </c>
      <c r="J7129" s="403">
        <f t="shared" si="1001"/>
        <v>137.42857142857142</v>
      </c>
      <c r="K7129" s="403">
        <f>J7129/POBLA!$B$24*100000</f>
        <v>8.1095261474052212</v>
      </c>
      <c r="L7129" s="550">
        <f t="shared" si="997"/>
        <v>0.33609385783298829</v>
      </c>
      <c r="M7129" s="405">
        <f>SUM(C7129,C7105,C7081,C7057,C7033,C7009,C6985)/POBLA!$B$24*100000</f>
        <v>56.76668303183655</v>
      </c>
    </row>
    <row r="7130" spans="1:13" s="360" customFormat="1" x14ac:dyDescent="0.25">
      <c r="A7130" s="363" t="s">
        <v>16</v>
      </c>
      <c r="B7130" s="2">
        <v>44190</v>
      </c>
      <c r="C7130" s="1">
        <v>1102</v>
      </c>
      <c r="D7130" s="174">
        <f t="shared" si="994"/>
        <v>664651</v>
      </c>
      <c r="E7130" s="1">
        <v>2</v>
      </c>
      <c r="F7130" s="475">
        <f t="shared" si="995"/>
        <v>21948</v>
      </c>
      <c r="G7130" s="175">
        <f>SUM(C7130,C7106,C7082,C7058,C7034,C7010,C6986,C6962,C6938,C6914,C6890,C6866,C6842,C6818)/POBLA!$B$1*100000</f>
        <v>166.34037660377965</v>
      </c>
      <c r="H7130" s="300">
        <f t="shared" ref="H7130:H7177" si="1002">SUM(C7130,C7106,C7082,C7058,C7034,C7010,C6986,C6962,C6938,C6914,C6890,C6866,C6842,C6818)/SUM(C6794,C6770,C6746,C6722,C6698,C6674,C6650,C6626,C6602,C6578,C6554,C6530,C6506,C6482)</f>
        <v>1.4163390126692879</v>
      </c>
      <c r="I7130" s="301">
        <f>G7130*H7130</f>
        <v>235.59436476603477</v>
      </c>
      <c r="J7130" s="301">
        <f>AVERAGE(C7130,C7106,C7082,C7058,C7034,C7010,C6986)</f>
        <v>2281.4285714285716</v>
      </c>
      <c r="K7130" s="301">
        <f>J7130/POBLA!$B$1*100000</f>
        <v>13.00615833045622</v>
      </c>
      <c r="L7130" s="548">
        <f t="shared" ref="L7130:L7177" si="1003">1-SUM(C7130,C7106,C7082,C7058,C7034,C7010,C6986)/SUM(C6962,C6938,C6914,C6890,C6866,C6842,C6818)</f>
        <v>-0.20911568746214426</v>
      </c>
      <c r="M7130" s="400">
        <f>SUM(C7130,C7106,C7082,C7058,C7034,C7010,C6986)/POBLA!$B$1*100000</f>
        <v>91.043108313193528</v>
      </c>
    </row>
    <row r="7131" spans="1:13" s="360" customFormat="1" x14ac:dyDescent="0.25">
      <c r="A7131" s="367" t="s">
        <v>43</v>
      </c>
      <c r="B7131" s="2">
        <v>44190</v>
      </c>
      <c r="C7131" s="1">
        <v>411</v>
      </c>
      <c r="D7131" s="39">
        <f t="shared" si="994"/>
        <v>169224</v>
      </c>
      <c r="E7131" s="1">
        <v>12</v>
      </c>
      <c r="F7131" s="409">
        <f t="shared" si="995"/>
        <v>5448</v>
      </c>
      <c r="G7131" s="168">
        <f>SUM(C7131,C7107,C7083,C7059,C7035,C7011,C6987,C6963,C6939,C6915,C6891,C6867,C6843,C6819)/POBLA!$B$2*100000</f>
        <v>229.12259733402348</v>
      </c>
      <c r="H7131" s="256">
        <f t="shared" si="1002"/>
        <v>1.6810591603053435</v>
      </c>
      <c r="I7131" s="297">
        <f t="shared" ref="I7131:I7153" si="1004">G7131*H7131</f>
        <v>385.16864108131284</v>
      </c>
      <c r="J7131" s="297">
        <f t="shared" ref="J7131:J7153" si="1005">AVERAGE(C7131,C7107,C7083,C7059,C7035,C7011,C6987)</f>
        <v>575.71428571428567</v>
      </c>
      <c r="K7131" s="297">
        <f>J7131/POBLA!$B$2*100000</f>
        <v>18.718483392246235</v>
      </c>
      <c r="L7131" s="549">
        <f t="shared" si="1003"/>
        <v>-0.33576400397746098</v>
      </c>
      <c r="M7131" s="401">
        <f>SUM(C7131,C7107,C7083,C7059,C7035,C7011,C6987)/POBLA!$B$2*100000</f>
        <v>131.02938374572366</v>
      </c>
    </row>
    <row r="7132" spans="1:13" s="360" customFormat="1" x14ac:dyDescent="0.25">
      <c r="A7132" s="367" t="s">
        <v>28</v>
      </c>
      <c r="B7132" s="2">
        <v>44190</v>
      </c>
      <c r="C7132" s="1">
        <v>14</v>
      </c>
      <c r="D7132" s="39">
        <f t="shared" si="994"/>
        <v>2507</v>
      </c>
      <c r="E7132" s="1"/>
      <c r="F7132" s="409">
        <f t="shared" si="995"/>
        <v>17</v>
      </c>
      <c r="G7132" s="168">
        <f>SUM(C7132,C7108,C7084,C7060,C7036,C7012,C6988,C6964,C6940,C6916,C6892,C6868,C6844,C6820)/POBLA!$B$3*100000</f>
        <v>107.59728286772034</v>
      </c>
      <c r="H7132" s="256">
        <f t="shared" si="1002"/>
        <v>1.6079136690647482</v>
      </c>
      <c r="I7132" s="297">
        <f t="shared" si="1004"/>
        <v>173.00714187723378</v>
      </c>
      <c r="J7132" s="297">
        <f t="shared" si="1005"/>
        <v>33.142857142857146</v>
      </c>
      <c r="K7132" s="297">
        <f>J7132/POBLA!$B$3*100000</f>
        <v>7.9778106824260533</v>
      </c>
      <c r="L7132" s="549">
        <f t="shared" si="1003"/>
        <v>-7.9069767441860561E-2</v>
      </c>
      <c r="M7132" s="401">
        <f>SUM(C7132,C7108,C7084,C7060,C7036,C7012,C6988)/POBLA!$B$3*100000</f>
        <v>55.844674776982366</v>
      </c>
    </row>
    <row r="7133" spans="1:13" s="360" customFormat="1" x14ac:dyDescent="0.25">
      <c r="A7133" s="367" t="s">
        <v>15</v>
      </c>
      <c r="B7133" s="2">
        <v>44190</v>
      </c>
      <c r="C7133" s="1">
        <v>90</v>
      </c>
      <c r="D7133" s="39">
        <f t="shared" si="994"/>
        <v>23714</v>
      </c>
      <c r="E7133" s="1">
        <v>7</v>
      </c>
      <c r="F7133" s="409">
        <f t="shared" si="995"/>
        <v>669</v>
      </c>
      <c r="G7133" s="168">
        <f>SUM(C7133,C7109,C7085,C7061,C7037,C7013,C6989,C6965,C6941,C6917,C6893,C6869,C6845,C6821)/POBLA!$B$4*100000</f>
        <v>192.6875050330375</v>
      </c>
      <c r="H7133" s="256">
        <f t="shared" si="1002"/>
        <v>0.88016685627607127</v>
      </c>
      <c r="I7133" s="297">
        <f t="shared" si="1004"/>
        <v>169.59715554860827</v>
      </c>
      <c r="J7133" s="297">
        <f t="shared" si="1005"/>
        <v>159.57142857142858</v>
      </c>
      <c r="K7133" s="297">
        <f>J7133/POBLA!$B$4*100000</f>
        <v>13.247488343811343</v>
      </c>
      <c r="L7133" s="549">
        <f t="shared" si="1003"/>
        <v>7.2259136212624586E-2</v>
      </c>
      <c r="M7133" s="401">
        <f>SUM(C7133,C7109,C7085,C7061,C7037,C7013,C6989)/POBLA!$B$4*100000</f>
        <v>92.732418406679386</v>
      </c>
    </row>
    <row r="7134" spans="1:13" s="360" customFormat="1" x14ac:dyDescent="0.25">
      <c r="A7134" s="367" t="s">
        <v>29</v>
      </c>
      <c r="B7134" s="2">
        <v>44190</v>
      </c>
      <c r="C7134" s="1">
        <v>48</v>
      </c>
      <c r="D7134" s="39">
        <f t="shared" si="994"/>
        <v>29511</v>
      </c>
      <c r="E7134" s="1"/>
      <c r="F7134" s="409">
        <f t="shared" si="995"/>
        <v>486</v>
      </c>
      <c r="G7134" s="168">
        <f>SUM(C7134,C7110,C7086,C7062,C7038,C7014,C6990,C6966,C6942,C6918,C6894,C6870,C6846,C6822)/POBLA!$B$5*100000</f>
        <v>613.25311715460896</v>
      </c>
      <c r="H7134" s="256">
        <f t="shared" si="1002"/>
        <v>1.1073512252042006</v>
      </c>
      <c r="I7134" s="297">
        <f t="shared" si="1004"/>
        <v>679.08659064145138</v>
      </c>
      <c r="J7134" s="297">
        <f t="shared" si="1005"/>
        <v>259.71428571428572</v>
      </c>
      <c r="K7134" s="297">
        <f>J7134/POBLA!$B$5*100000</f>
        <v>41.957480317141311</v>
      </c>
      <c r="L7134" s="549">
        <f t="shared" si="1003"/>
        <v>8.0889787664307433E-2</v>
      </c>
      <c r="M7134" s="401">
        <f>SUM(C7134,C7110,C7086,C7062,C7038,C7014,C6990)/POBLA!$B$5*100000</f>
        <v>293.70236221998925</v>
      </c>
    </row>
    <row r="7135" spans="1:13" s="360" customFormat="1" x14ac:dyDescent="0.25">
      <c r="A7135" s="367" t="s">
        <v>20</v>
      </c>
      <c r="B7135" s="2">
        <v>44190</v>
      </c>
      <c r="C7135" s="1">
        <v>158</v>
      </c>
      <c r="D7135" s="39">
        <f t="shared" si="994"/>
        <v>124703</v>
      </c>
      <c r="E7135" s="1">
        <v>3</v>
      </c>
      <c r="F7135" s="409">
        <f t="shared" si="995"/>
        <v>2448</v>
      </c>
      <c r="G7135" s="168">
        <f>SUM(C7135,C7111,C7087,C7063,C7039,C7015,C6991,C6967,C6943,C6919,C6895,C6871,C6847,C6823)/POBLA!$B$6*100000</f>
        <v>478.40785295516332</v>
      </c>
      <c r="H7135" s="256">
        <f t="shared" si="1002"/>
        <v>0.82214044771542472</v>
      </c>
      <c r="I7135" s="297">
        <f t="shared" si="1004"/>
        <v>393.31844641913307</v>
      </c>
      <c r="J7135" s="297">
        <f t="shared" si="1005"/>
        <v>375.28571428571428</v>
      </c>
      <c r="K7135" s="297">
        <f>J7135/POBLA!$B$6*100000</f>
        <v>33.483706232035331</v>
      </c>
      <c r="L7135" s="549">
        <f t="shared" si="1003"/>
        <v>3.9488117001828194E-2</v>
      </c>
      <c r="M7135" s="401">
        <f>SUM(C7135,C7111,C7087,C7063,C7039,C7015,C6991)/POBLA!$B$6*100000</f>
        <v>234.38594362424729</v>
      </c>
    </row>
    <row r="7136" spans="1:13" s="360" customFormat="1" x14ac:dyDescent="0.25">
      <c r="A7136" s="367" t="s">
        <v>30</v>
      </c>
      <c r="B7136" s="2">
        <v>44190</v>
      </c>
      <c r="C7136" s="1">
        <v>35</v>
      </c>
      <c r="D7136" s="39">
        <f t="shared" si="994"/>
        <v>11124</v>
      </c>
      <c r="E7136" s="1"/>
      <c r="F7136" s="409">
        <f t="shared" si="995"/>
        <v>154</v>
      </c>
      <c r="G7136" s="168">
        <f>SUM(C7136,C7112,C7088,C7064,C7040,C7016,C6992,C6968,C6944,C6920,C6896,C6872,C6848,C6824)/POBLA!$B$7*100000</f>
        <v>44.728689385578853</v>
      </c>
      <c r="H7136" s="256">
        <f t="shared" si="1002"/>
        <v>0.42049999999999998</v>
      </c>
      <c r="I7136" s="297">
        <f t="shared" si="1004"/>
        <v>18.808413886635908</v>
      </c>
      <c r="J7136" s="297">
        <f t="shared" si="1005"/>
        <v>132</v>
      </c>
      <c r="K7136" s="297">
        <f>J7136/POBLA!$B$7*100000</f>
        <v>3.5102181919717053</v>
      </c>
      <c r="L7136" s="549">
        <f t="shared" si="1003"/>
        <v>-0.21899736147757265</v>
      </c>
      <c r="M7136" s="401">
        <f>SUM(C7136,C7112,C7088,C7064,C7040,C7016,C6992)/POBLA!$B$7*100000</f>
        <v>24.571527343801939</v>
      </c>
    </row>
    <row r="7137" spans="1:13" x14ac:dyDescent="0.25">
      <c r="A7137" s="367" t="s">
        <v>31</v>
      </c>
      <c r="B7137" s="2">
        <v>44190</v>
      </c>
      <c r="C7137" s="1">
        <v>134</v>
      </c>
      <c r="D7137" s="39">
        <f t="shared" si="994"/>
        <v>27838</v>
      </c>
      <c r="F7137" s="409">
        <f t="shared" si="995"/>
        <v>571</v>
      </c>
      <c r="G7137" s="168">
        <f>SUM(C7137,C7113,C7089,C7065,C7041,C7017,C6993,C6969,C6945,C6921,C6897,C6873,C6849,C6825)/POBLA!$B$8*100000</f>
        <v>180.30810390768573</v>
      </c>
      <c r="H7137" s="256">
        <f t="shared" si="1002"/>
        <v>1.0052292839903458</v>
      </c>
      <c r="I7137" s="297">
        <f t="shared" si="1004"/>
        <v>181.25098618877982</v>
      </c>
      <c r="J7137" s="297">
        <f t="shared" si="1005"/>
        <v>177.14285714285714</v>
      </c>
      <c r="K7137" s="297">
        <f>J7137/POBLA!$B$8*100000</f>
        <v>12.781229568714931</v>
      </c>
      <c r="L7137" s="549">
        <f t="shared" si="1003"/>
        <v>1.5091342335186608E-2</v>
      </c>
      <c r="M7137" s="401">
        <f>SUM(C7137,C7113,C7089,C7065,C7041,C7017,C6993)/POBLA!$B$8*100000</f>
        <v>89.468606981004513</v>
      </c>
    </row>
    <row r="7138" spans="1:13" s="360" customFormat="1" x14ac:dyDescent="0.25">
      <c r="A7138" s="367" t="s">
        <v>41</v>
      </c>
      <c r="B7138" s="2">
        <v>44190</v>
      </c>
      <c r="C7138" s="1">
        <v>0</v>
      </c>
      <c r="D7138" s="39">
        <f t="shared" si="994"/>
        <v>213</v>
      </c>
      <c r="E7138" s="1"/>
      <c r="F7138" s="409">
        <f t="shared" si="995"/>
        <v>3</v>
      </c>
      <c r="G7138" s="168">
        <f>SUM(C7138,C7114,C7090,C7066,C7042,C7018,C6994,C6970,C6946,C6922,C6898,C6874,C6850,C6826)/POBLA!$B$9*100000</f>
        <v>2.8090212543767032</v>
      </c>
      <c r="H7138" s="256">
        <f t="shared" si="1002"/>
        <v>1</v>
      </c>
      <c r="I7138" s="297">
        <f t="shared" si="1004"/>
        <v>2.8090212543767032</v>
      </c>
      <c r="J7138" s="297">
        <f t="shared" si="1005"/>
        <v>1.7142857142857142</v>
      </c>
      <c r="K7138" s="297">
        <f>J7138/POBLA!$B$9*100000</f>
        <v>0.28326264750017172</v>
      </c>
      <c r="L7138" s="549">
        <f t="shared" si="1003"/>
        <v>-1.4</v>
      </c>
      <c r="M7138" s="401">
        <f>SUM(C7138,C7114,C7090,C7066,C7042,C7018,C6994)/POBLA!$B$9*100000</f>
        <v>1.9828385325012021</v>
      </c>
    </row>
    <row r="7139" spans="1:13" s="360" customFormat="1" x14ac:dyDescent="0.25">
      <c r="A7139" s="367" t="s">
        <v>32</v>
      </c>
      <c r="B7139" s="2">
        <v>44190</v>
      </c>
      <c r="C7139" s="1">
        <v>4</v>
      </c>
      <c r="D7139" s="39">
        <f t="shared" ref="D7139:D7202" si="1006">C7139+D7115</f>
        <v>18498</v>
      </c>
      <c r="E7139" s="1"/>
      <c r="F7139" s="409">
        <f t="shared" ref="F7139:F7202" si="1007">E7139+F7115</f>
        <v>857</v>
      </c>
      <c r="G7139" s="168">
        <f>SUM(C7139,C7115,C7091,C7067,C7043,C7019,C6995,C6971,C6947,C6923,C6899,C6875,C6851,C6827)/POBLA!$B$10*100000</f>
        <v>7.6535807731673238</v>
      </c>
      <c r="H7139" s="256">
        <f t="shared" si="1002"/>
        <v>0.74683544303797467</v>
      </c>
      <c r="I7139" s="297">
        <f t="shared" si="1004"/>
        <v>5.7159653875553431</v>
      </c>
      <c r="J7139" s="297">
        <f t="shared" si="1005"/>
        <v>2.8571428571428572</v>
      </c>
      <c r="K7139" s="297">
        <f>J7139/POBLA!$B$10*100000</f>
        <v>0.37063345148510041</v>
      </c>
      <c r="L7139" s="549">
        <f t="shared" si="1003"/>
        <v>0.48717948717948723</v>
      </c>
      <c r="M7139" s="401">
        <f>SUM(C7139,C7115,C7091,C7067,C7043,C7019,C6995)/POBLA!$B$10*100000</f>
        <v>2.5944341603957031</v>
      </c>
    </row>
    <row r="7140" spans="1:13" s="360" customFormat="1" x14ac:dyDescent="0.25">
      <c r="A7140" s="367" t="s">
        <v>33</v>
      </c>
      <c r="B7140" s="2">
        <v>44190</v>
      </c>
      <c r="C7140" s="1">
        <v>140</v>
      </c>
      <c r="D7140" s="39">
        <f t="shared" si="1006"/>
        <v>9335</v>
      </c>
      <c r="E7140" s="1"/>
      <c r="F7140" s="409">
        <f t="shared" si="1007"/>
        <v>116</v>
      </c>
      <c r="G7140" s="168">
        <f>SUM(C7140,C7116,C7092,C7068,C7044,C7020,C6996,C6972,C6948,C6924,C6900,C6876,C6852,C6828)/POBLA!$B$11*100000</f>
        <v>718.69385204280911</v>
      </c>
      <c r="H7140" s="256">
        <f t="shared" si="1002"/>
        <v>2.2017094017094019</v>
      </c>
      <c r="I7140" s="297">
        <f t="shared" si="1004"/>
        <v>1582.3550109933985</v>
      </c>
      <c r="J7140" s="297">
        <f t="shared" si="1005"/>
        <v>205.28571428571428</v>
      </c>
      <c r="K7140" s="297">
        <f>J7140/POBLA!$B$11*100000</f>
        <v>57.273905578167522</v>
      </c>
      <c r="L7140" s="549">
        <f t="shared" si="1003"/>
        <v>-0.26163301141352058</v>
      </c>
      <c r="M7140" s="401">
        <f>SUM(C7140,C7116,C7092,C7068,C7044,C7020,C6996)/POBLA!$B$11*100000</f>
        <v>400.91733904717267</v>
      </c>
    </row>
    <row r="7141" spans="1:13" s="360" customFormat="1" x14ac:dyDescent="0.25">
      <c r="A7141" s="367" t="s">
        <v>21</v>
      </c>
      <c r="B7141" s="2">
        <v>44190</v>
      </c>
      <c r="C7141" s="1">
        <v>7</v>
      </c>
      <c r="D7141" s="39">
        <f t="shared" si="1006"/>
        <v>9057</v>
      </c>
      <c r="E7141" s="1">
        <v>5</v>
      </c>
      <c r="F7141" s="409">
        <f t="shared" si="1007"/>
        <v>379</v>
      </c>
      <c r="G7141" s="168">
        <f>SUM(C7141,C7117,C7093,C7069,C7045,C7021,C6997,C6973,C6949,C6925,C6901,C6877,C6853,C6829)/POBLA!$B$12*100000</f>
        <v>38.624657269694126</v>
      </c>
      <c r="H7141" s="256">
        <f t="shared" si="1002"/>
        <v>0.55272727272727273</v>
      </c>
      <c r="I7141" s="297">
        <f t="shared" si="1004"/>
        <v>21.348901472703663</v>
      </c>
      <c r="J7141" s="297">
        <f t="shared" si="1005"/>
        <v>9.7142857142857135</v>
      </c>
      <c r="K7141" s="297">
        <f>J7141/POBLA!$B$12*100000</f>
        <v>2.4684931337774443</v>
      </c>
      <c r="L7141" s="549">
        <f t="shared" si="1003"/>
        <v>0.19047619047619047</v>
      </c>
      <c r="M7141" s="401">
        <f>SUM(C7141,C7117,C7093,C7069,C7045,C7021,C6997)/POBLA!$B$12*100000</f>
        <v>17.279451936442111</v>
      </c>
    </row>
    <row r="7142" spans="1:13" s="360" customFormat="1" x14ac:dyDescent="0.25">
      <c r="A7142" s="367" t="s">
        <v>17</v>
      </c>
      <c r="B7142" s="2">
        <v>44190</v>
      </c>
      <c r="C7142" s="1">
        <v>22</v>
      </c>
      <c r="D7142" s="39">
        <f t="shared" si="1006"/>
        <v>59505</v>
      </c>
      <c r="E7142" s="1"/>
      <c r="F7142" s="409">
        <f t="shared" si="1007"/>
        <v>1218</v>
      </c>
      <c r="G7142" s="168">
        <f>SUM(C7142,C7118,C7094,C7070,C7046,C7022,C6998,C6974,C6950,C6926,C6902,C6878,C6854,C6830)/POBLA!$B$13*100000</f>
        <v>74.258743992226442</v>
      </c>
      <c r="H7142" s="256">
        <f t="shared" si="1002"/>
        <v>0.7950511027434104</v>
      </c>
      <c r="I7142" s="297">
        <f t="shared" si="1004"/>
        <v>59.039496299360238</v>
      </c>
      <c r="J7142" s="297">
        <f t="shared" si="1005"/>
        <v>90.428571428571431</v>
      </c>
      <c r="K7142" s="297">
        <f>J7142/POBLA!$B$13*100000</f>
        <v>4.5433776287530776</v>
      </c>
      <c r="L7142" s="549">
        <f t="shared" si="1003"/>
        <v>0.25088757396449701</v>
      </c>
      <c r="M7142" s="401">
        <f>SUM(C7142,C7118,C7094,C7070,C7046,C7022,C6998)/POBLA!$B$13*100000</f>
        <v>31.803643401271543</v>
      </c>
    </row>
    <row r="7143" spans="1:13" s="360" customFormat="1" x14ac:dyDescent="0.25">
      <c r="A7143" s="367" t="s">
        <v>23</v>
      </c>
      <c r="B7143" s="2">
        <v>44190</v>
      </c>
      <c r="C7143" s="1">
        <v>45</v>
      </c>
      <c r="D7143" s="39">
        <f t="shared" si="1006"/>
        <v>945</v>
      </c>
      <c r="E7143" s="1"/>
      <c r="F7143" s="409">
        <f t="shared" si="1007"/>
        <v>11</v>
      </c>
      <c r="G7143" s="168">
        <f>SUM(C7143,C7119,C7095,C7071,C7047,C7023,C6999,C6975,C6951,C6927,C6903,C6879,C6855,C6831)/POBLA!$B$14*100000</f>
        <v>24.498649799333066</v>
      </c>
      <c r="H7143" s="256">
        <f t="shared" si="1002"/>
        <v>2.06</v>
      </c>
      <c r="I7143" s="297">
        <f t="shared" si="1004"/>
        <v>50.467218586626117</v>
      </c>
      <c r="J7143" s="297">
        <f t="shared" si="1005"/>
        <v>17.571428571428573</v>
      </c>
      <c r="K7143" s="297">
        <f>J7143/POBLA!$B$14*100000</f>
        <v>1.3931271037068735</v>
      </c>
      <c r="L7143" s="549">
        <f t="shared" si="1003"/>
        <v>0.33870967741935487</v>
      </c>
      <c r="M7143" s="401">
        <f>SUM(C7143,C7119,C7095,C7071,C7047,C7023,C6999)/POBLA!$B$14*100000</f>
        <v>9.7518897259481143</v>
      </c>
    </row>
    <row r="7144" spans="1:13" s="360" customFormat="1" x14ac:dyDescent="0.25">
      <c r="A7144" s="367" t="s">
        <v>19</v>
      </c>
      <c r="B7144" s="2">
        <v>44190</v>
      </c>
      <c r="C7144" s="1">
        <v>79</v>
      </c>
      <c r="D7144" s="39">
        <f t="shared" si="1006"/>
        <v>39181</v>
      </c>
      <c r="E7144" s="1"/>
      <c r="F7144" s="409">
        <f t="shared" si="1007"/>
        <v>688</v>
      </c>
      <c r="G7144" s="168">
        <f>SUM(C7144,C7120,C7096,C7072,C7048,C7024,C7000,C6976,C6952,C6928,C6904,C6880,C6856,C6832)/POBLA!$B$15*100000</f>
        <v>375.11840098063868</v>
      </c>
      <c r="H7144" s="256">
        <f t="shared" si="1002"/>
        <v>0.47656399464319876</v>
      </c>
      <c r="I7144" s="297">
        <f t="shared" si="1004"/>
        <v>178.76792363550237</v>
      </c>
      <c r="J7144" s="297">
        <f t="shared" si="1005"/>
        <v>212.28571428571428</v>
      </c>
      <c r="K7144" s="297">
        <f>J7144/POBLA!$B$15*100000</f>
        <v>31.967995862661528</v>
      </c>
      <c r="L7144" s="549">
        <f t="shared" si="1003"/>
        <v>-0.47860696517412937</v>
      </c>
      <c r="M7144" s="401">
        <f>SUM(C7144,C7120,C7096,C7072,C7048,C7024,C7000)/POBLA!$B$15*100000</f>
        <v>223.77597103863073</v>
      </c>
    </row>
    <row r="7145" spans="1:13" s="360" customFormat="1" x14ac:dyDescent="0.25">
      <c r="A7145" s="367" t="s">
        <v>18</v>
      </c>
      <c r="B7145" s="2">
        <v>44190</v>
      </c>
      <c r="C7145" s="1">
        <v>89</v>
      </c>
      <c r="D7145" s="39">
        <f t="shared" si="1006"/>
        <v>36951</v>
      </c>
      <c r="E7145" s="1">
        <v>1</v>
      </c>
      <c r="F7145" s="409">
        <f t="shared" si="1007"/>
        <v>881</v>
      </c>
      <c r="G7145" s="168">
        <f>SUM(C7145,C7121,C7097,C7073,C7049,C7025,C7001,C6977,C6953,C6929,C6905,C6881,C6857,C6833)/POBLA!$B$16*100000</f>
        <v>413.45086341809235</v>
      </c>
      <c r="H7145" s="256">
        <f t="shared" si="1002"/>
        <v>1.1934362934362934</v>
      </c>
      <c r="I7145" s="297">
        <f t="shared" si="1004"/>
        <v>493.42726595572333</v>
      </c>
      <c r="J7145" s="297">
        <f t="shared" si="1005"/>
        <v>227.71428571428572</v>
      </c>
      <c r="K7145" s="297">
        <f>J7145/POBLA!$B$16*100000</f>
        <v>30.458967337821285</v>
      </c>
      <c r="L7145" s="549">
        <f t="shared" si="1003"/>
        <v>-6.4796259185036842E-2</v>
      </c>
      <c r="M7145" s="401">
        <f>SUM(C7145,C7121,C7097,C7073,C7049,C7025,C7001)/POBLA!$B$16*100000</f>
        <v>213.21277136474902</v>
      </c>
    </row>
    <row r="7146" spans="1:13" s="360" customFormat="1" x14ac:dyDescent="0.25">
      <c r="A7146" s="367" t="s">
        <v>34</v>
      </c>
      <c r="B7146" s="2">
        <v>44190</v>
      </c>
      <c r="C7146" s="1">
        <v>12</v>
      </c>
      <c r="D7146" s="39">
        <f t="shared" si="1006"/>
        <v>22146</v>
      </c>
      <c r="E7146" s="1"/>
      <c r="F7146" s="409">
        <f t="shared" si="1007"/>
        <v>1013</v>
      </c>
      <c r="G7146" s="168">
        <f>SUM(C7146,C7122,C7098,C7074,C7050,C7026,C7002,C6978,C6954,C6930,C6906,C6882,C6858,C6834)/POBLA!$B$17*100000</f>
        <v>43.878216536541423</v>
      </c>
      <c r="H7146" s="256">
        <f t="shared" si="1002"/>
        <v>1.4172335600907029</v>
      </c>
      <c r="I7146" s="297">
        <f t="shared" si="1004"/>
        <v>62.185681032513351</v>
      </c>
      <c r="J7146" s="297">
        <f t="shared" si="1005"/>
        <v>41.285714285714285</v>
      </c>
      <c r="K7146" s="297">
        <f>J7146/POBLA!$B$17*100000</f>
        <v>2.898469618070965</v>
      </c>
      <c r="L7146" s="549">
        <f t="shared" si="1003"/>
        <v>0.13988095238095233</v>
      </c>
      <c r="M7146" s="401">
        <f>SUM(C7146,C7122,C7098,C7074,C7050,C7026,C7002)/POBLA!$B$17*100000</f>
        <v>20.289287326496755</v>
      </c>
    </row>
    <row r="7147" spans="1:13" s="360" customFormat="1" x14ac:dyDescent="0.25">
      <c r="A7147" s="367" t="s">
        <v>35</v>
      </c>
      <c r="B7147" s="2">
        <v>44190</v>
      </c>
      <c r="C7147" s="1">
        <v>2</v>
      </c>
      <c r="D7147" s="39">
        <f t="shared" si="1006"/>
        <v>10878</v>
      </c>
      <c r="E7147" s="1"/>
      <c r="F7147" s="409">
        <f t="shared" si="1007"/>
        <v>196</v>
      </c>
      <c r="G7147" s="168">
        <f>SUM(C7147,C7123,C7099,C7075,C7051,C7027,C7003,C6979,C6955,C6931,C6907,C6883,C6859,C6835)/POBLA!$B$18*100000</f>
        <v>218.12121344005573</v>
      </c>
      <c r="H7147" s="256">
        <f t="shared" si="1002"/>
        <v>0.85542168674698793</v>
      </c>
      <c r="I7147" s="297">
        <f t="shared" si="1004"/>
        <v>186.58561631619224</v>
      </c>
      <c r="J7147" s="297">
        <f t="shared" si="1005"/>
        <v>88.714285714285708</v>
      </c>
      <c r="K7147" s="297">
        <f>J7147/POBLA!$B$18*100000</f>
        <v>11.35590824499284</v>
      </c>
      <c r="L7147" s="549">
        <f t="shared" si="1003"/>
        <v>0.42659279778393355</v>
      </c>
      <c r="M7147" s="401">
        <f>SUM(C7147,C7123,C7099,C7075,C7051,C7027,C7003)/POBLA!$B$18*100000</f>
        <v>79.491357714949885</v>
      </c>
    </row>
    <row r="7148" spans="1:13" s="360" customFormat="1" x14ac:dyDescent="0.25">
      <c r="A7148" s="367" t="s">
        <v>36</v>
      </c>
      <c r="B7148" s="2">
        <v>44190</v>
      </c>
      <c r="C7148" s="1">
        <v>3</v>
      </c>
      <c r="D7148" s="39">
        <f t="shared" si="1006"/>
        <v>15988</v>
      </c>
      <c r="E7148" s="1"/>
      <c r="F7148" s="409">
        <f t="shared" si="1007"/>
        <v>293</v>
      </c>
      <c r="G7148" s="168">
        <f>SUM(C7148,C7124,C7100,C7076,C7052,C7028,C7004,C6980,C6956,C6932,C6908,C6884,C6860,C6836)/POBLA!$B$19*100000</f>
        <v>108.00113312664264</v>
      </c>
      <c r="H7148" s="256">
        <f t="shared" si="1002"/>
        <v>0.36673346693386771</v>
      </c>
      <c r="I7148" s="297">
        <f t="shared" si="1004"/>
        <v>39.607629984319843</v>
      </c>
      <c r="J7148" s="297">
        <f t="shared" si="1005"/>
        <v>22.428571428571427</v>
      </c>
      <c r="K7148" s="297">
        <f>J7148/POBLA!$B$19*100000</f>
        <v>4.4122242781376251</v>
      </c>
      <c r="L7148" s="549">
        <f t="shared" si="1003"/>
        <v>0.59948979591836737</v>
      </c>
      <c r="M7148" s="401">
        <f>SUM(C7148,C7124,C7100,C7076,C7052,C7028,C7004)/POBLA!$B$19*100000</f>
        <v>30.885569946963376</v>
      </c>
    </row>
    <row r="7149" spans="1:13" s="360" customFormat="1" x14ac:dyDescent="0.25">
      <c r="A7149" s="367" t="s">
        <v>37</v>
      </c>
      <c r="B7149" s="2">
        <v>44190</v>
      </c>
      <c r="C7149" s="1">
        <v>92</v>
      </c>
      <c r="D7149" s="39">
        <f t="shared" si="1006"/>
        <v>21838</v>
      </c>
      <c r="E7149" s="1"/>
      <c r="F7149" s="409">
        <f t="shared" si="1007"/>
        <v>360</v>
      </c>
      <c r="G7149" s="168">
        <f>SUM(C7149,C7125,C7101,C7077,C7053,C7029,C7005,C6981,C6957,C6933,C6909,C6885,C6861,C6837)/POBLA!$B$20*100000</f>
        <v>938.75274133301252</v>
      </c>
      <c r="H7149" s="256">
        <f t="shared" si="1002"/>
        <v>1.1322559366754616</v>
      </c>
      <c r="I7149" s="297">
        <f t="shared" si="1004"/>
        <v>1062.9083644446675</v>
      </c>
      <c r="J7149" s="297">
        <f t="shared" si="1005"/>
        <v>226.42857142857142</v>
      </c>
      <c r="K7149" s="297">
        <f>J7149/POBLA!$B$20*100000</f>
        <v>61.916819733378745</v>
      </c>
      <c r="L7149" s="549">
        <f t="shared" si="1003"/>
        <v>0.14231601731601728</v>
      </c>
      <c r="M7149" s="401">
        <f>SUM(C7149,C7125,C7101,C7077,C7053,C7029,C7005)/POBLA!$B$20*100000</f>
        <v>433.41773813365126</v>
      </c>
    </row>
    <row r="7150" spans="1:13" s="360" customFormat="1" x14ac:dyDescent="0.25">
      <c r="A7150" s="367" t="s">
        <v>22</v>
      </c>
      <c r="B7150" s="2">
        <v>44190</v>
      </c>
      <c r="C7150" s="1">
        <v>228</v>
      </c>
      <c r="D7150" s="39">
        <f t="shared" si="1006"/>
        <v>170941</v>
      </c>
      <c r="E7150" s="1"/>
      <c r="F7150" s="409">
        <f t="shared" si="1007"/>
        <v>2810</v>
      </c>
      <c r="G7150" s="168">
        <f>SUM(C7150,C7126,C7102,C7078,C7054,C7030,C7006,C6982,C6958,C6934,C6910,C6886,C6862,C6838)/POBLA!$B$21*100000</f>
        <v>350.24140245864601</v>
      </c>
      <c r="H7150" s="256">
        <f t="shared" si="1002"/>
        <v>0.87694704049844241</v>
      </c>
      <c r="I7150" s="297">
        <f t="shared" si="1004"/>
        <v>307.14316134613352</v>
      </c>
      <c r="J7150" s="297">
        <f t="shared" si="1005"/>
        <v>810.28571428571433</v>
      </c>
      <c r="K7150" s="297">
        <f>J7150/POBLA!$B$21*100000</f>
        <v>22.912611413178936</v>
      </c>
      <c r="L7150" s="549">
        <f t="shared" si="1003"/>
        <v>0.1551980935358952</v>
      </c>
      <c r="M7150" s="401">
        <f>SUM(C7150,C7126,C7102,C7078,C7054,C7030,C7006)/POBLA!$B$21*100000</f>
        <v>160.38827989225257</v>
      </c>
    </row>
    <row r="7151" spans="1:13" s="360" customFormat="1" x14ac:dyDescent="0.25">
      <c r="A7151" s="367" t="s">
        <v>38</v>
      </c>
      <c r="B7151" s="2">
        <v>44190</v>
      </c>
      <c r="C7151" s="1">
        <v>45</v>
      </c>
      <c r="D7151" s="39">
        <f t="shared" si="1006"/>
        <v>17000</v>
      </c>
      <c r="E7151" s="1"/>
      <c r="F7151" s="409">
        <f t="shared" si="1007"/>
        <v>214</v>
      </c>
      <c r="G7151" s="168">
        <f>SUM(C7151,C7127,C7103,C7079,C7055,C7031,C7007,C6983,C6959,C6935,C6911,C6887,C6863,C6839)/POBLA!$B$22*100000</f>
        <v>61.227848347103638</v>
      </c>
      <c r="H7151" s="256">
        <f t="shared" si="1002"/>
        <v>0.54306436990027196</v>
      </c>
      <c r="I7151" s="297">
        <f t="shared" si="1004"/>
        <v>33.250662882969245</v>
      </c>
      <c r="J7151" s="297">
        <f t="shared" si="1005"/>
        <v>33.428571428571431</v>
      </c>
      <c r="K7151" s="297">
        <f>J7151/POBLA!$B$22*100000</f>
        <v>3.4169607710999887</v>
      </c>
      <c r="L7151" s="549">
        <f t="shared" si="1003"/>
        <v>0.35890410958904106</v>
      </c>
      <c r="M7151" s="401">
        <f>SUM(C7151,C7127,C7103,C7079,C7055,C7031,C7007)/POBLA!$B$22*100000</f>
        <v>23.918725397699919</v>
      </c>
    </row>
    <row r="7152" spans="1:13" s="360" customFormat="1" x14ac:dyDescent="0.25">
      <c r="A7152" s="367" t="s">
        <v>39</v>
      </c>
      <c r="B7152" s="2">
        <v>44190</v>
      </c>
      <c r="C7152" s="1">
        <v>91</v>
      </c>
      <c r="D7152" s="39">
        <f t="shared" si="1006"/>
        <v>18527</v>
      </c>
      <c r="E7152" s="1"/>
      <c r="F7152" s="409">
        <f t="shared" si="1007"/>
        <v>246</v>
      </c>
      <c r="G7152" s="168">
        <f>SUM(C7152,C7128,C7104,C7080,C7056,C7032,C7008,C6984,C6960,C6936,C6912,C6888,C6864,C6840)/POBLA!$B$23*100000</f>
        <v>672.96273256800316</v>
      </c>
      <c r="H7152" s="256">
        <f t="shared" si="1002"/>
        <v>0.85182534001431642</v>
      </c>
      <c r="I7152" s="297">
        <f t="shared" si="1004"/>
        <v>573.2467084867028</v>
      </c>
      <c r="J7152" s="297">
        <f t="shared" si="1005"/>
        <v>72.428571428571431</v>
      </c>
      <c r="K7152" s="297">
        <f>J7152/POBLA!$B$23*100000</f>
        <v>40.959436424006917</v>
      </c>
      <c r="L7152" s="549">
        <f t="shared" si="1003"/>
        <v>0.25768667642752563</v>
      </c>
      <c r="M7152" s="401">
        <f>SUM(C7152,C7128,C7104,C7080,C7056,C7032,C7008)/POBLA!$B$23*100000</f>
        <v>286.71605496804841</v>
      </c>
    </row>
    <row r="7153" spans="1:13" s="360" customFormat="1" ht="15.75" thickBot="1" x14ac:dyDescent="0.3">
      <c r="A7153" s="369" t="s">
        <v>40</v>
      </c>
      <c r="B7153" s="2">
        <v>44190</v>
      </c>
      <c r="C7153" s="1">
        <v>23</v>
      </c>
      <c r="D7153" s="176">
        <f t="shared" si="1006"/>
        <v>70279</v>
      </c>
      <c r="E7153" s="1"/>
      <c r="F7153" s="476">
        <f t="shared" si="1007"/>
        <v>1334</v>
      </c>
      <c r="G7153" s="177">
        <f>SUM(C7153,C7129,C7105,C7081,C7057,C7033,C7009,C6985,C6961,C6937,C6913,C6889,C6865,C6841)/POBLA!$B$24*100000</f>
        <v>125.98427055402395</v>
      </c>
      <c r="H7153" s="402">
        <f t="shared" si="1002"/>
        <v>0.72274881516587675</v>
      </c>
      <c r="I7153" s="403">
        <f t="shared" si="1004"/>
        <v>91.054982272458062</v>
      </c>
      <c r="J7153" s="403">
        <f t="shared" si="1005"/>
        <v>112</v>
      </c>
      <c r="K7153" s="403">
        <f>J7153/POBLA!$B$24*100000</f>
        <v>6.6090109143094535</v>
      </c>
      <c r="L7153" s="550">
        <f t="shared" si="1003"/>
        <v>0.4196891191709845</v>
      </c>
      <c r="M7153" s="405">
        <f>SUM(C7153,C7129,C7105,C7081,C7057,C7033,C7009)/POBLA!$B$24*100000</f>
        <v>46.26307640016617</v>
      </c>
    </row>
    <row r="7154" spans="1:13" s="360" customFormat="1" x14ac:dyDescent="0.25">
      <c r="A7154" s="363" t="s">
        <v>16</v>
      </c>
      <c r="B7154" s="2">
        <v>44191</v>
      </c>
      <c r="C7154" s="1">
        <v>1343</v>
      </c>
      <c r="D7154" s="174">
        <f t="shared" si="1006"/>
        <v>665994</v>
      </c>
      <c r="E7154" s="1">
        <v>39</v>
      </c>
      <c r="F7154" s="475">
        <f t="shared" si="1007"/>
        <v>21987</v>
      </c>
      <c r="G7154" s="175">
        <f>SUM(C7154,C7130,C7106,C7082,C7058,C7034,C7010,C6986,C6962,C6938,C6914,C6890,C6866,C6842)/POBLA!$B$1*100000</f>
        <v>164.38497358866223</v>
      </c>
      <c r="H7154" s="300">
        <f t="shared" si="1002"/>
        <v>1.38923684717672</v>
      </c>
      <c r="I7154" s="301">
        <f>G7154*H7154</f>
        <v>228.36966243154151</v>
      </c>
      <c r="J7154" s="301">
        <f>AVERAGE(C7154,C7130,C7106,C7082,C7058,C7034,C7010)</f>
        <v>2161.8571428571427</v>
      </c>
      <c r="K7154" s="301">
        <f>J7154/POBLA!$B$1*100000</f>
        <v>12.324495555090417</v>
      </c>
      <c r="L7154" s="548">
        <f t="shared" si="1003"/>
        <v>-0.10443730842212817</v>
      </c>
      <c r="M7154" s="400">
        <f>SUM(C7154,C7130,C7106,C7082,C7058,C7034,C7010)/POBLA!$B$1*100000</f>
        <v>86.271468885632927</v>
      </c>
    </row>
    <row r="7155" spans="1:13" s="360" customFormat="1" x14ac:dyDescent="0.25">
      <c r="A7155" s="367" t="s">
        <v>43</v>
      </c>
      <c r="B7155" s="2">
        <v>44191</v>
      </c>
      <c r="C7155" s="1">
        <v>375</v>
      </c>
      <c r="D7155" s="39">
        <f t="shared" si="1006"/>
        <v>169599</v>
      </c>
      <c r="E7155" s="1">
        <v>2</v>
      </c>
      <c r="F7155" s="409">
        <f t="shared" si="1007"/>
        <v>5450</v>
      </c>
      <c r="G7155" s="168">
        <f>SUM(C7155,C7131,C7107,C7083,C7059,C7035,C7011,C6987,C6963,C6939,C6915,C6891,C6867,C6843)/POBLA!$B$2*100000</f>
        <v>228.76494889203767</v>
      </c>
      <c r="H7155" s="256">
        <f t="shared" si="1002"/>
        <v>1.6378026070763501</v>
      </c>
      <c r="I7155" s="297">
        <f t="shared" ref="I7155:I7177" si="1008">G7155*H7155</f>
        <v>374.67182970306726</v>
      </c>
      <c r="J7155" s="297">
        <f t="shared" ref="J7155:J7177" si="1009">AVERAGE(C7155,C7131,C7107,C7083,C7059,C7035,C7011)</f>
        <v>557.71428571428567</v>
      </c>
      <c r="K7155" s="297">
        <f>J7155/POBLA!$B$2*100000</f>
        <v>18.133240487178487</v>
      </c>
      <c r="L7155" s="549">
        <f t="shared" si="1003"/>
        <v>-0.24648786717752236</v>
      </c>
      <c r="M7155" s="401">
        <f>SUM(C7155,C7131,C7107,C7083,C7059,C7035,C7011)/POBLA!$B$2*100000</f>
        <v>126.93268341024942</v>
      </c>
    </row>
    <row r="7156" spans="1:13" s="360" customFormat="1" x14ac:dyDescent="0.25">
      <c r="A7156" s="367" t="s">
        <v>28</v>
      </c>
      <c r="B7156" s="2">
        <v>44191</v>
      </c>
      <c r="C7156" s="1">
        <v>23</v>
      </c>
      <c r="D7156" s="39">
        <f t="shared" si="1006"/>
        <v>2530</v>
      </c>
      <c r="E7156" s="1"/>
      <c r="F7156" s="409">
        <f t="shared" si="1007"/>
        <v>17</v>
      </c>
      <c r="G7156" s="168">
        <f>SUM(C7156,C7132,C7108,C7084,C7060,C7036,C7012,C6988,C6964,C6940,C6916,C6892,C6868,C6844)/POBLA!$B$3*100000</f>
        <v>99.894569105377926</v>
      </c>
      <c r="H7156" s="256">
        <f t="shared" si="1002"/>
        <v>1.3741721854304636</v>
      </c>
      <c r="I7156" s="297">
        <f t="shared" si="1008"/>
        <v>137.27233834017164</v>
      </c>
      <c r="J7156" s="297">
        <f t="shared" si="1009"/>
        <v>32.285714285714285</v>
      </c>
      <c r="K7156" s="297">
        <f>J7156/POBLA!$B$3*100000</f>
        <v>7.7714879923633093</v>
      </c>
      <c r="L7156" s="549">
        <f t="shared" si="1003"/>
        <v>-0.19576719576719581</v>
      </c>
      <c r="M7156" s="401">
        <f>SUM(C7156,C7132,C7108,C7084,C7060,C7036,C7012)/POBLA!$B$3*100000</f>
        <v>54.40041594654317</v>
      </c>
    </row>
    <row r="7157" spans="1:13" s="360" customFormat="1" x14ac:dyDescent="0.25">
      <c r="A7157" s="367" t="s">
        <v>15</v>
      </c>
      <c r="B7157" s="2">
        <v>44191</v>
      </c>
      <c r="C7157" s="1">
        <v>63</v>
      </c>
      <c r="D7157" s="39">
        <f t="shared" si="1006"/>
        <v>23777</v>
      </c>
      <c r="E7157" s="1">
        <v>4</v>
      </c>
      <c r="F7157" s="409">
        <f t="shared" si="1007"/>
        <v>673</v>
      </c>
      <c r="G7157" s="168">
        <f>SUM(C7157,C7133,C7109,C7085,C7061,C7037,C7013,C6989,C6965,C6941,C6917,C6893,C6869,C6845)/POBLA!$B$4*100000</f>
        <v>181.313878066417</v>
      </c>
      <c r="H7157" s="256">
        <f t="shared" si="1002"/>
        <v>0.82884250474383303</v>
      </c>
      <c r="I7157" s="297">
        <f t="shared" si="1008"/>
        <v>150.28064884138701</v>
      </c>
      <c r="J7157" s="297">
        <f t="shared" si="1009"/>
        <v>148.85714285714286</v>
      </c>
      <c r="K7157" s="297">
        <f>J7157/POBLA!$B$4*100000</f>
        <v>12.357997183752389</v>
      </c>
      <c r="L7157" s="549">
        <f t="shared" si="1003"/>
        <v>8.7565674255691728E-2</v>
      </c>
      <c r="M7157" s="401">
        <f>SUM(C7157,C7133,C7109,C7085,C7061,C7037,C7013)/POBLA!$B$4*100000</f>
        <v>86.50598028626672</v>
      </c>
    </row>
    <row r="7158" spans="1:13" s="360" customFormat="1" x14ac:dyDescent="0.25">
      <c r="A7158" s="367" t="s">
        <v>29</v>
      </c>
      <c r="B7158" s="2">
        <v>44191</v>
      </c>
      <c r="C7158" s="1">
        <v>215</v>
      </c>
      <c r="D7158" s="39">
        <f t="shared" si="1006"/>
        <v>29726</v>
      </c>
      <c r="E7158" s="1"/>
      <c r="F7158" s="409">
        <f t="shared" si="1007"/>
        <v>486</v>
      </c>
      <c r="G7158" s="168">
        <f>SUM(C7158,C7134,C7110,C7086,C7062,C7038,C7014,C6990,C6966,C6942,C6918,C6894,C6870,C6846)/POBLA!$B$5*100000</f>
        <v>610.99138279207875</v>
      </c>
      <c r="H7158" s="256">
        <f t="shared" si="1002"/>
        <v>1.103589145024803</v>
      </c>
      <c r="I7158" s="297">
        <f t="shared" si="1008"/>
        <v>674.28345775303228</v>
      </c>
      <c r="J7158" s="297">
        <f t="shared" si="1009"/>
        <v>244.42857142857142</v>
      </c>
      <c r="K7158" s="297">
        <f>J7158/POBLA!$B$5*100000</f>
        <v>39.488035656011434</v>
      </c>
      <c r="L7158" s="549">
        <f t="shared" si="1003"/>
        <v>0.17382906808305165</v>
      </c>
      <c r="M7158" s="401">
        <f>SUM(C7158,C7134,C7110,C7086,C7062,C7038,C7014)/POBLA!$B$5*100000</f>
        <v>276.41624959208008</v>
      </c>
    </row>
    <row r="7159" spans="1:13" s="360" customFormat="1" x14ac:dyDescent="0.25">
      <c r="A7159" s="367" t="s">
        <v>20</v>
      </c>
      <c r="B7159" s="2">
        <v>44191</v>
      </c>
      <c r="C7159" s="1">
        <v>163</v>
      </c>
      <c r="D7159" s="39">
        <f t="shared" si="1006"/>
        <v>124866</v>
      </c>
      <c r="E7159" s="1">
        <v>4</v>
      </c>
      <c r="F7159" s="409">
        <f t="shared" si="1007"/>
        <v>2452</v>
      </c>
      <c r="G7159" s="168">
        <f>SUM(C7159,C7135,C7111,C7087,C7063,C7039,C7015,C6991,C6967,C6943,C6919,C6895,C6871,C6847)/POBLA!$B$6*100000</f>
        <v>466.98744915466705</v>
      </c>
      <c r="H7159" s="256">
        <f t="shared" si="1002"/>
        <v>0.85775155686660109</v>
      </c>
      <c r="I7159" s="297">
        <f t="shared" si="1008"/>
        <v>400.55921154957838</v>
      </c>
      <c r="J7159" s="297">
        <f t="shared" si="1009"/>
        <v>361.14285714285717</v>
      </c>
      <c r="K7159" s="297">
        <f>J7159/POBLA!$B$6*100000</f>
        <v>32.221853579971572</v>
      </c>
      <c r="L7159" s="549">
        <f t="shared" si="1003"/>
        <v>6.577974870657799E-2</v>
      </c>
      <c r="M7159" s="401">
        <f>SUM(C7159,C7135,C7111,C7087,C7063,C7039,C7015)/POBLA!$B$6*100000</f>
        <v>225.55297505980101</v>
      </c>
    </row>
    <row r="7160" spans="1:13" s="360" customFormat="1" x14ac:dyDescent="0.25">
      <c r="A7160" s="367" t="s">
        <v>30</v>
      </c>
      <c r="B7160" s="2">
        <v>44191</v>
      </c>
      <c r="C7160" s="1">
        <v>24</v>
      </c>
      <c r="D7160" s="39">
        <f t="shared" si="1006"/>
        <v>11148</v>
      </c>
      <c r="E7160" s="1">
        <v>3</v>
      </c>
      <c r="F7160" s="409">
        <f t="shared" si="1007"/>
        <v>157</v>
      </c>
      <c r="G7160" s="168">
        <f>SUM(C7160,C7136,C7112,C7088,C7064,C7040,C7016,C6992,C6968,C6944,C6920,C6896,C6872,C6848)/POBLA!$B$7*100000</f>
        <v>43.664986903163189</v>
      </c>
      <c r="H7160" s="256">
        <f t="shared" si="1002"/>
        <v>0.42838507696321421</v>
      </c>
      <c r="I7160" s="297">
        <f t="shared" si="1008"/>
        <v>18.705428775109304</v>
      </c>
      <c r="J7160" s="297">
        <f t="shared" si="1009"/>
        <v>121.14285714285714</v>
      </c>
      <c r="K7160" s="297">
        <f>J7160/POBLA!$B$7*100000</f>
        <v>3.2214989467445951</v>
      </c>
      <c r="L7160" s="549">
        <f t="shared" si="1003"/>
        <v>-6.8010075566750539E-2</v>
      </c>
      <c r="M7160" s="401">
        <f>SUM(C7160,C7136,C7112,C7088,C7064,C7040,C7016)/POBLA!$B$7*100000</f>
        <v>22.550492627212169</v>
      </c>
    </row>
    <row r="7161" spans="1:13" x14ac:dyDescent="0.25">
      <c r="A7161" s="367" t="s">
        <v>31</v>
      </c>
      <c r="B7161" s="2">
        <v>44191</v>
      </c>
      <c r="C7161" s="1">
        <v>85</v>
      </c>
      <c r="D7161" s="39">
        <f t="shared" si="1006"/>
        <v>27923</v>
      </c>
      <c r="F7161" s="409">
        <f t="shared" si="1007"/>
        <v>571</v>
      </c>
      <c r="G7161" s="168">
        <f>SUM(C7161,C7137,C7113,C7089,C7065,C7041,C7017,C6993,C6969,C6945,C6921,C6897,C6873,C6849)/POBLA!$B$8*100000</f>
        <v>168.69161542063594</v>
      </c>
      <c r="H7161" s="256">
        <f t="shared" si="1002"/>
        <v>0.93147410358565741</v>
      </c>
      <c r="I7161" s="297">
        <f t="shared" si="1008"/>
        <v>157.13187125635332</v>
      </c>
      <c r="J7161" s="297">
        <f t="shared" si="1009"/>
        <v>159.28571428571428</v>
      </c>
      <c r="K7161" s="297">
        <f>J7161/POBLA!$B$8*100000</f>
        <v>11.492799168642861</v>
      </c>
      <c r="L7161" s="549">
        <f t="shared" si="1003"/>
        <v>8.8307440719542107E-2</v>
      </c>
      <c r="M7161" s="401">
        <f>SUM(C7161,C7137,C7113,C7089,C7065,C7041,C7017)/POBLA!$B$8*100000</f>
        <v>80.449594180500029</v>
      </c>
    </row>
    <row r="7162" spans="1:13" s="360" customFormat="1" x14ac:dyDescent="0.25">
      <c r="A7162" s="367" t="s">
        <v>41</v>
      </c>
      <c r="B7162" s="2">
        <v>44191</v>
      </c>
      <c r="C7162" s="1">
        <v>0</v>
      </c>
      <c r="D7162" s="39">
        <f t="shared" si="1006"/>
        <v>213</v>
      </c>
      <c r="E7162" s="1"/>
      <c r="F7162" s="409">
        <f t="shared" si="1007"/>
        <v>3</v>
      </c>
      <c r="G7162" s="168">
        <f>SUM(C7162,C7138,C7114,C7090,C7066,C7042,C7018,C6994,C6970,C6946,C6922,C6898,C6874,C6850)/POBLA!$B$9*100000</f>
        <v>2.8090212543767032</v>
      </c>
      <c r="H7162" s="256">
        <f t="shared" si="1002"/>
        <v>1.2142857142857142</v>
      </c>
      <c r="I7162" s="297">
        <f t="shared" si="1008"/>
        <v>3.4109543803145681</v>
      </c>
      <c r="J7162" s="297">
        <f t="shared" si="1009"/>
        <v>1.7142857142857142</v>
      </c>
      <c r="K7162" s="297">
        <f>J7162/POBLA!$B$9*100000</f>
        <v>0.28326264750017172</v>
      </c>
      <c r="L7162" s="549">
        <f t="shared" si="1003"/>
        <v>-1.4</v>
      </c>
      <c r="M7162" s="401">
        <f>SUM(C7162,C7138,C7114,C7090,C7066,C7042,C7018)/POBLA!$B$9*100000</f>
        <v>1.9828385325012021</v>
      </c>
    </row>
    <row r="7163" spans="1:13" s="360" customFormat="1" x14ac:dyDescent="0.25">
      <c r="A7163" s="367" t="s">
        <v>32</v>
      </c>
      <c r="B7163" s="2">
        <v>44191</v>
      </c>
      <c r="C7163" s="1">
        <v>2</v>
      </c>
      <c r="D7163" s="39">
        <f t="shared" si="1006"/>
        <v>18500</v>
      </c>
      <c r="E7163" s="1"/>
      <c r="F7163" s="409">
        <f t="shared" si="1007"/>
        <v>857</v>
      </c>
      <c r="G7163" s="168">
        <f>SUM(C7163,C7139,C7115,C7091,C7067,C7043,C7019,C6995,C6971,C6947,C6923,C6899,C6875,C6851)/POBLA!$B$10*100000</f>
        <v>6.745528817028827</v>
      </c>
      <c r="H7163" s="256">
        <f t="shared" si="1002"/>
        <v>0.65</v>
      </c>
      <c r="I7163" s="297">
        <f t="shared" si="1008"/>
        <v>4.3845937310687377</v>
      </c>
      <c r="J7163" s="297">
        <f t="shared" si="1009"/>
        <v>2.5714285714285716</v>
      </c>
      <c r="K7163" s="297">
        <f>J7163/POBLA!$B$10*100000</f>
        <v>0.3335701063365904</v>
      </c>
      <c r="L7163" s="549">
        <f t="shared" si="1003"/>
        <v>0.47058823529411764</v>
      </c>
      <c r="M7163" s="401">
        <f>SUM(C7163,C7139,C7115,C7091,C7067,C7043,C7019)/POBLA!$B$10*100000</f>
        <v>2.3349907443561331</v>
      </c>
    </row>
    <row r="7164" spans="1:13" s="360" customFormat="1" x14ac:dyDescent="0.25">
      <c r="A7164" s="367" t="s">
        <v>33</v>
      </c>
      <c r="B7164" s="2">
        <v>44191</v>
      </c>
      <c r="C7164" s="1">
        <v>182</v>
      </c>
      <c r="D7164" s="39">
        <f t="shared" si="1006"/>
        <v>9517</v>
      </c>
      <c r="E7164" s="1"/>
      <c r="F7164" s="409">
        <f t="shared" si="1007"/>
        <v>116</v>
      </c>
      <c r="G7164" s="168">
        <f>SUM(C7164,C7140,C7116,C7092,C7068,C7044,C7020,C6996,C6972,C6948,C6924,C6900,C6876,C6852)/POBLA!$B$11*100000</f>
        <v>744.08249355519092</v>
      </c>
      <c r="H7164" s="256">
        <f t="shared" si="1002"/>
        <v>2.2206494587843464</v>
      </c>
      <c r="I7164" s="297">
        <f t="shared" si="1008"/>
        <v>1652.3463866042416</v>
      </c>
      <c r="J7164" s="297">
        <f t="shared" si="1009"/>
        <v>202.28571428571428</v>
      </c>
      <c r="K7164" s="297">
        <f>J7164/POBLA!$B$11*100000</f>
        <v>56.436917396440649</v>
      </c>
      <c r="L7164" s="549">
        <f t="shared" si="1003"/>
        <v>-0.13189448441247009</v>
      </c>
      <c r="M7164" s="401">
        <f>SUM(C7164,C7140,C7116,C7092,C7068,C7044,C7020)/POBLA!$B$11*100000</f>
        <v>395.05842177508453</v>
      </c>
    </row>
    <row r="7165" spans="1:13" s="360" customFormat="1" x14ac:dyDescent="0.25">
      <c r="A7165" s="367" t="s">
        <v>21</v>
      </c>
      <c r="B7165" s="2">
        <v>44191</v>
      </c>
      <c r="C7165" s="1">
        <v>4</v>
      </c>
      <c r="D7165" s="39">
        <f t="shared" si="1006"/>
        <v>9061</v>
      </c>
      <c r="E7165" s="1">
        <v>6</v>
      </c>
      <c r="F7165" s="409">
        <f t="shared" si="1007"/>
        <v>385</v>
      </c>
      <c r="G7165" s="168">
        <f>SUM(C7165,C7141,C7117,C7093,C7069,C7045,C7021,C6997,C6973,C6949,C6925,C6901,C6877,C6853)/POBLA!$B$12*100000</f>
        <v>35.06712304748546</v>
      </c>
      <c r="H7165" s="256">
        <f t="shared" si="1002"/>
        <v>0.54117647058823526</v>
      </c>
      <c r="I7165" s="297">
        <f t="shared" si="1008"/>
        <v>18.977501884521541</v>
      </c>
      <c r="J7165" s="297">
        <f t="shared" si="1009"/>
        <v>9.5714285714285712</v>
      </c>
      <c r="K7165" s="297">
        <f>J7165/POBLA!$B$12*100000</f>
        <v>2.4321917641630701</v>
      </c>
      <c r="L7165" s="549">
        <f t="shared" si="1003"/>
        <v>5.633802816901412E-2</v>
      </c>
      <c r="M7165" s="401">
        <f>SUM(C7165,C7141,C7117,C7093,C7069,C7045,C7021)/POBLA!$B$12*100000</f>
        <v>17.025342349141489</v>
      </c>
    </row>
    <row r="7166" spans="1:13" s="360" customFormat="1" x14ac:dyDescent="0.25">
      <c r="A7166" s="367" t="s">
        <v>17</v>
      </c>
      <c r="B7166" s="2">
        <v>44191</v>
      </c>
      <c r="C7166" s="1">
        <v>53</v>
      </c>
      <c r="D7166" s="39">
        <f t="shared" si="1006"/>
        <v>59558</v>
      </c>
      <c r="E7166" s="1">
        <v>1</v>
      </c>
      <c r="F7166" s="409">
        <f t="shared" si="1007"/>
        <v>1219</v>
      </c>
      <c r="G7166" s="168">
        <f>SUM(C7166,C7142,C7118,C7094,C7070,C7046,C7022,C6998,C6974,C6950,C6926,C6902,C6878,C6854)/POBLA!$B$13*100000</f>
        <v>71.344666081841368</v>
      </c>
      <c r="H7166" s="256">
        <f t="shared" si="1002"/>
        <v>0.79329608938547491</v>
      </c>
      <c r="I7166" s="297">
        <f t="shared" si="1008"/>
        <v>56.597444601237292</v>
      </c>
      <c r="J7166" s="297">
        <f t="shared" si="1009"/>
        <v>86.285714285714292</v>
      </c>
      <c r="K7166" s="297">
        <f>J7166/POBLA!$B$13*100000</f>
        <v>4.3352292065827163</v>
      </c>
      <c r="L7166" s="549">
        <f t="shared" si="1003"/>
        <v>0.25980392156862742</v>
      </c>
      <c r="M7166" s="401">
        <f>SUM(C7166,C7142,C7118,C7094,C7070,C7046,C7022)/POBLA!$B$13*100000</f>
        <v>30.346604446079009</v>
      </c>
    </row>
    <row r="7167" spans="1:13" s="360" customFormat="1" x14ac:dyDescent="0.25">
      <c r="A7167" s="367" t="s">
        <v>23</v>
      </c>
      <c r="B7167" s="2">
        <v>44191</v>
      </c>
      <c r="C7167" s="1">
        <v>43</v>
      </c>
      <c r="D7167" s="39">
        <f t="shared" si="1006"/>
        <v>988</v>
      </c>
      <c r="E7167" s="1"/>
      <c r="F7167" s="409">
        <f t="shared" si="1007"/>
        <v>11</v>
      </c>
      <c r="G7167" s="168">
        <f>SUM(C7167,C7143,C7119,C7095,C7071,C7047,C7023,C6999,C6975,C6951,C6927,C6903,C6879,C6855)/POBLA!$B$14*100000</f>
        <v>26.401457550737579</v>
      </c>
      <c r="H7167" s="256">
        <f t="shared" si="1002"/>
        <v>2.0555555555555554</v>
      </c>
      <c r="I7167" s="297">
        <f t="shared" si="1008"/>
        <v>54.269662743182799</v>
      </c>
      <c r="J7167" s="297">
        <f t="shared" si="1009"/>
        <v>20.285714285714285</v>
      </c>
      <c r="K7167" s="297">
        <f>J7167/POBLA!$B$14*100000</f>
        <v>1.6083255994014307</v>
      </c>
      <c r="L7167" s="549">
        <f t="shared" si="1003"/>
        <v>0.25654450261780104</v>
      </c>
      <c r="M7167" s="401">
        <f>SUM(C7167,C7143,C7119,C7095,C7071,C7047,C7023)/POBLA!$B$14*100000</f>
        <v>11.258279195810017</v>
      </c>
    </row>
    <row r="7168" spans="1:13" s="360" customFormat="1" x14ac:dyDescent="0.25">
      <c r="A7168" s="367" t="s">
        <v>19</v>
      </c>
      <c r="B7168" s="2">
        <v>44191</v>
      </c>
      <c r="C7168" s="1">
        <v>102</v>
      </c>
      <c r="D7168" s="39">
        <f t="shared" si="1006"/>
        <v>39283</v>
      </c>
      <c r="E7168" s="1"/>
      <c r="F7168" s="409">
        <f t="shared" si="1007"/>
        <v>688</v>
      </c>
      <c r="G7168" s="168">
        <f>SUM(C7168,C7144,C7120,C7096,C7072,C7048,C7024,C7000,C6976,C6952,C6928,C6904,C6880,C6856)/POBLA!$B$15*100000</f>
        <v>371.50425339993404</v>
      </c>
      <c r="H7168" s="256">
        <f t="shared" si="1002"/>
        <v>0.48391526088662218</v>
      </c>
      <c r="I7168" s="297">
        <f t="shared" si="1008"/>
        <v>179.77657770451887</v>
      </c>
      <c r="J7168" s="297">
        <f t="shared" si="1009"/>
        <v>196.14285714285714</v>
      </c>
      <c r="K7168" s="297">
        <f>J7168/POBLA!$B$15*100000</f>
        <v>29.537051358973272</v>
      </c>
      <c r="L7168" s="549">
        <f t="shared" si="1003"/>
        <v>-0.25502742230347342</v>
      </c>
      <c r="M7168" s="401">
        <f>SUM(C7168,C7144,C7120,C7096,C7072,C7048,C7024)/POBLA!$B$15*100000</f>
        <v>206.75935951281289</v>
      </c>
    </row>
    <row r="7169" spans="1:13" s="360" customFormat="1" x14ac:dyDescent="0.25">
      <c r="A7169" s="367" t="s">
        <v>18</v>
      </c>
      <c r="B7169" s="2">
        <v>44191</v>
      </c>
      <c r="C7169" s="1">
        <v>163</v>
      </c>
      <c r="D7169" s="39">
        <f t="shared" si="1006"/>
        <v>37114</v>
      </c>
      <c r="E7169" s="1">
        <v>2</v>
      </c>
      <c r="F7169" s="409">
        <f t="shared" si="1007"/>
        <v>883</v>
      </c>
      <c r="G7169" s="168">
        <f>SUM(C7169,C7145,C7121,C7097,C7073,C7049,C7025,C7001,C6977,C6953,C6929,C6905,C6881,C6857)/POBLA!$B$16*100000</f>
        <v>405.82656732788485</v>
      </c>
      <c r="H7169" s="256">
        <f t="shared" si="1002"/>
        <v>1.1376077990251219</v>
      </c>
      <c r="I7169" s="297">
        <f t="shared" si="1008"/>
        <v>461.67146804379553</v>
      </c>
      <c r="J7169" s="297">
        <f t="shared" si="1009"/>
        <v>221.85714285714286</v>
      </c>
      <c r="K7169" s="297">
        <f>J7169/POBLA!$B$16*100000</f>
        <v>29.675518366145834</v>
      </c>
      <c r="L7169" s="549">
        <f t="shared" si="1003"/>
        <v>-4.8615800135043852E-2</v>
      </c>
      <c r="M7169" s="401">
        <f>SUM(C7169,C7145,C7121,C7097,C7073,C7049,C7025)/POBLA!$B$16*100000</f>
        <v>207.72862856302081</v>
      </c>
    </row>
    <row r="7170" spans="1:13" s="360" customFormat="1" x14ac:dyDescent="0.25">
      <c r="A7170" s="367" t="s">
        <v>34</v>
      </c>
      <c r="B7170" s="2">
        <v>44191</v>
      </c>
      <c r="C7170" s="1">
        <v>25</v>
      </c>
      <c r="D7170" s="39">
        <f t="shared" si="1006"/>
        <v>22171</v>
      </c>
      <c r="E7170" s="1"/>
      <c r="F7170" s="409">
        <f t="shared" si="1007"/>
        <v>1013</v>
      </c>
      <c r="G7170" s="168">
        <f>SUM(C7170,C7146,C7122,C7098,C7074,C7050,C7026,C7002,C6978,C6954,C6930,C6906,C6882,C6858)/POBLA!$B$17*100000</f>
        <v>43.597395950707558</v>
      </c>
      <c r="H7170" s="256">
        <f t="shared" si="1002"/>
        <v>1.4178082191780821</v>
      </c>
      <c r="I7170" s="297">
        <f t="shared" si="1008"/>
        <v>61.81274631367441</v>
      </c>
      <c r="J7170" s="297">
        <f t="shared" si="1009"/>
        <v>35.285714285714285</v>
      </c>
      <c r="K7170" s="297">
        <f>J7170/POBLA!$B$17*100000</f>
        <v>2.4772387393201676</v>
      </c>
      <c r="L7170" s="549">
        <f t="shared" si="1003"/>
        <v>0.33957219251336901</v>
      </c>
      <c r="M7170" s="401">
        <f>SUM(C7170,C7146,C7122,C7098,C7074,C7050,C7026)/POBLA!$B$17*100000</f>
        <v>17.340671175241173</v>
      </c>
    </row>
    <row r="7171" spans="1:13" s="360" customFormat="1" x14ac:dyDescent="0.25">
      <c r="A7171" s="367" t="s">
        <v>35</v>
      </c>
      <c r="B7171" s="2">
        <v>44191</v>
      </c>
      <c r="C7171" s="1">
        <v>12</v>
      </c>
      <c r="D7171" s="39">
        <f t="shared" si="1006"/>
        <v>10890</v>
      </c>
      <c r="E7171" s="1"/>
      <c r="F7171" s="409">
        <f t="shared" si="1007"/>
        <v>196</v>
      </c>
      <c r="G7171" s="168">
        <f>SUM(C7171,C7147,C7123,C7099,C7075,C7051,C7027,C7003,C6979,C6955,C6931,C6907,C6883,C6859)/POBLA!$B$18*100000</f>
        <v>213.64102419686211</v>
      </c>
      <c r="H7171" s="256">
        <f t="shared" si="1002"/>
        <v>0.84850025419420438</v>
      </c>
      <c r="I7171" s="297">
        <f t="shared" si="1008"/>
        <v>181.27446333734767</v>
      </c>
      <c r="J7171" s="297">
        <f t="shared" si="1009"/>
        <v>87.714285714285708</v>
      </c>
      <c r="K7171" s="297">
        <f>J7171/POBLA!$B$18*100000</f>
        <v>11.22790283804445</v>
      </c>
      <c r="L7171" s="549">
        <f t="shared" si="1003"/>
        <v>0.41800947867298577</v>
      </c>
      <c r="M7171" s="401">
        <f>SUM(C7171,C7147,C7123,C7099,C7075,C7051,C7027)/POBLA!$B$18*100000</f>
        <v>78.595319866311144</v>
      </c>
    </row>
    <row r="7172" spans="1:13" s="360" customFormat="1" x14ac:dyDescent="0.25">
      <c r="A7172" s="367" t="s">
        <v>36</v>
      </c>
      <c r="B7172" s="2">
        <v>44191</v>
      </c>
      <c r="C7172" s="1">
        <v>6</v>
      </c>
      <c r="D7172" s="39">
        <f t="shared" si="1006"/>
        <v>15994</v>
      </c>
      <c r="E7172" s="1"/>
      <c r="F7172" s="409">
        <f t="shared" si="1007"/>
        <v>293</v>
      </c>
      <c r="G7172" s="168">
        <f>SUM(C7172,C7148,C7124,C7100,C7076,C7052,C7028,C7004,C6980,C6956,C6932,C6908,C6884,C6860)/POBLA!$B$19*100000</f>
        <v>105.4437292456839</v>
      </c>
      <c r="H7172" s="256">
        <f t="shared" si="1002"/>
        <v>0.39353891336270191</v>
      </c>
      <c r="I7172" s="297">
        <f t="shared" si="1008"/>
        <v>41.496210628257394</v>
      </c>
      <c r="J7172" s="297">
        <f t="shared" si="1009"/>
        <v>18.857142857142858</v>
      </c>
      <c r="K7172" s="297">
        <f>J7172/POBLA!$B$19*100000</f>
        <v>3.7096407943577492</v>
      </c>
      <c r="L7172" s="549">
        <f t="shared" si="1003"/>
        <v>0.6732673267326732</v>
      </c>
      <c r="M7172" s="401">
        <f>SUM(C7172,C7148,C7124,C7100,C7076,C7052,C7028)/POBLA!$B$19*100000</f>
        <v>25.967485560504244</v>
      </c>
    </row>
    <row r="7173" spans="1:13" s="360" customFormat="1" x14ac:dyDescent="0.25">
      <c r="A7173" s="367" t="s">
        <v>37</v>
      </c>
      <c r="B7173" s="2">
        <v>44191</v>
      </c>
      <c r="C7173" s="1">
        <v>159</v>
      </c>
      <c r="D7173" s="39">
        <f t="shared" si="1006"/>
        <v>21997</v>
      </c>
      <c r="E7173" s="1">
        <v>1</v>
      </c>
      <c r="F7173" s="409">
        <f t="shared" si="1007"/>
        <v>361</v>
      </c>
      <c r="G7173" s="168">
        <f>SUM(C7173,C7149,C7125,C7101,C7077,C7053,C7029,C7005,C6981,C6957,C6933,C6909,C6885,C6861)/POBLA!$B$20*100000</f>
        <v>919.6112639390974</v>
      </c>
      <c r="H7173" s="256">
        <f t="shared" si="1002"/>
        <v>1.094370322160755</v>
      </c>
      <c r="I7173" s="297">
        <f t="shared" si="1008"/>
        <v>1006.3952751796892</v>
      </c>
      <c r="J7173" s="297">
        <f t="shared" si="1009"/>
        <v>212.85714285714286</v>
      </c>
      <c r="K7173" s="297">
        <f>J7173/POBLA!$B$20*100000</f>
        <v>58.205716973333963</v>
      </c>
      <c r="L7173" s="549">
        <f t="shared" si="1003"/>
        <v>0.20448478376935397</v>
      </c>
      <c r="M7173" s="401">
        <f>SUM(C7173,C7149,C7125,C7101,C7077,C7053,C7029)/POBLA!$B$20*100000</f>
        <v>407.44001881333776</v>
      </c>
    </row>
    <row r="7174" spans="1:13" s="360" customFormat="1" x14ac:dyDescent="0.25">
      <c r="A7174" s="367" t="s">
        <v>22</v>
      </c>
      <c r="B7174" s="2">
        <v>44191</v>
      </c>
      <c r="C7174" s="1">
        <v>423</v>
      </c>
      <c r="D7174" s="39">
        <f t="shared" si="1006"/>
        <v>171364</v>
      </c>
      <c r="E7174" s="1">
        <v>17</v>
      </c>
      <c r="F7174" s="409">
        <f t="shared" si="1007"/>
        <v>2827</v>
      </c>
      <c r="G7174" s="168">
        <f>SUM(C7174,C7150,C7126,C7102,C7078,C7054,C7030,C7006,C6982,C6958,C6934,C6910,C6886,C6862)/POBLA!$B$21*100000</f>
        <v>336.95111833499323</v>
      </c>
      <c r="H7174" s="256">
        <f t="shared" si="1002"/>
        <v>0.85437728543772851</v>
      </c>
      <c r="I7174" s="297">
        <f t="shared" si="1008"/>
        <v>287.88338180825832</v>
      </c>
      <c r="J7174" s="297">
        <f t="shared" si="1009"/>
        <v>764.71428571428567</v>
      </c>
      <c r="K7174" s="297">
        <f>J7174/POBLA!$B$21*100000</f>
        <v>21.6239790011895</v>
      </c>
      <c r="L7174" s="549">
        <f t="shared" si="1003"/>
        <v>0.18436690537863787</v>
      </c>
      <c r="M7174" s="401">
        <f>SUM(C7174,C7150,C7126,C7102,C7078,C7054,C7030)/POBLA!$B$21*100000</f>
        <v>151.36785300832651</v>
      </c>
    </row>
    <row r="7175" spans="1:13" s="360" customFormat="1" x14ac:dyDescent="0.25">
      <c r="A7175" s="367" t="s">
        <v>38</v>
      </c>
      <c r="B7175" s="2">
        <v>44191</v>
      </c>
      <c r="C7175" s="1">
        <v>47</v>
      </c>
      <c r="D7175" s="39">
        <f t="shared" si="1006"/>
        <v>17047</v>
      </c>
      <c r="E7175" s="1"/>
      <c r="F7175" s="409">
        <f t="shared" si="1007"/>
        <v>214</v>
      </c>
      <c r="G7175" s="168">
        <f>SUM(C7175,C7151,C7127,C7103,C7079,C7055,C7031,C7007,C6983,C6959,C6935,C6911,C6887,C6863)/POBLA!$B$22*100000</f>
        <v>61.738932223122866</v>
      </c>
      <c r="H7175" s="256">
        <f t="shared" si="1002"/>
        <v>0.60159362549800799</v>
      </c>
      <c r="I7175" s="297">
        <f t="shared" si="1008"/>
        <v>37.141748070484276</v>
      </c>
      <c r="J7175" s="297">
        <f t="shared" si="1009"/>
        <v>36.142857142857146</v>
      </c>
      <c r="K7175" s="297">
        <f>J7175/POBLA!$B$22*100000</f>
        <v>3.6944063037961419</v>
      </c>
      <c r="L7175" s="549">
        <f t="shared" si="1003"/>
        <v>0.27920227920227925</v>
      </c>
      <c r="M7175" s="401">
        <f>SUM(C7175,C7151,C7127,C7103,C7079,C7055,C7031)/POBLA!$B$22*100000</f>
        <v>25.860844126572985</v>
      </c>
    </row>
    <row r="7176" spans="1:13" s="360" customFormat="1" x14ac:dyDescent="0.25">
      <c r="A7176" s="367" t="s">
        <v>39</v>
      </c>
      <c r="B7176" s="2">
        <v>44191</v>
      </c>
      <c r="C7176" s="1">
        <v>124</v>
      </c>
      <c r="D7176" s="39">
        <f t="shared" si="1006"/>
        <v>18651</v>
      </c>
      <c r="E7176" s="1"/>
      <c r="F7176" s="409">
        <f t="shared" si="1007"/>
        <v>246</v>
      </c>
      <c r="G7176" s="168">
        <f>SUM(C7176,C7152,C7128,C7104,C7080,C7056,C7032,C7008,C6984,C6960,C6936,C6912,C6888,C6864)/POBLA!$B$23*100000</f>
        <v>690.49369450885024</v>
      </c>
      <c r="H7176" s="256">
        <f t="shared" si="1002"/>
        <v>0.85804638088545326</v>
      </c>
      <c r="I7176" s="297">
        <f t="shared" si="1008"/>
        <v>592.47561559754467</v>
      </c>
      <c r="J7176" s="297">
        <f t="shared" si="1009"/>
        <v>80.285714285714292</v>
      </c>
      <c r="K7176" s="297">
        <f>J7176/POBLA!$B$23*100000</f>
        <v>45.402767791502733</v>
      </c>
      <c r="L7176" s="549">
        <f t="shared" si="1003"/>
        <v>0.14719271623672225</v>
      </c>
      <c r="M7176" s="401">
        <f>SUM(C7176,C7152,C7128,C7104,C7080,C7056,C7032)/POBLA!$B$23*100000</f>
        <v>317.81937454051911</v>
      </c>
    </row>
    <row r="7177" spans="1:13" s="360" customFormat="1" ht="15.75" thickBot="1" x14ac:dyDescent="0.3">
      <c r="A7177" s="369" t="s">
        <v>40</v>
      </c>
      <c r="B7177" s="2">
        <v>44191</v>
      </c>
      <c r="C7177" s="1">
        <v>77</v>
      </c>
      <c r="D7177" s="176">
        <f t="shared" si="1006"/>
        <v>70356</v>
      </c>
      <c r="E7177" s="1"/>
      <c r="F7177" s="476">
        <f t="shared" si="1007"/>
        <v>1334</v>
      </c>
      <c r="G7177" s="177">
        <f>SUM(C7177,C7153,C7129,C7105,C7081,C7057,C7033,C7009,C6985,C6961,C6937,C6913,C6889,C6865)/POBLA!$B$24*100000</f>
        <v>120.43742210808566</v>
      </c>
      <c r="H7177" s="402">
        <f t="shared" si="1002"/>
        <v>0.70745233968804155</v>
      </c>
      <c r="I7177" s="403">
        <f t="shared" si="1008"/>
        <v>85.203736056361464</v>
      </c>
      <c r="J7177" s="403">
        <f t="shared" si="1009"/>
        <v>107.85714285714286</v>
      </c>
      <c r="K7177" s="403">
        <f>J7177/POBLA!$B$24*100000</f>
        <v>6.3645449493668842</v>
      </c>
      <c r="L7177" s="550">
        <f t="shared" si="1003"/>
        <v>0.41290824261275272</v>
      </c>
      <c r="M7177" s="405">
        <f>SUM(C7177,C7153,C7129,C7105,C7081,C7057,C7033)/POBLA!$B$24*100000</f>
        <v>44.551814645568186</v>
      </c>
    </row>
    <row r="7178" spans="1:13" s="360" customFormat="1" x14ac:dyDescent="0.25">
      <c r="A7178" s="363" t="s">
        <v>16</v>
      </c>
      <c r="B7178" s="2">
        <v>44192</v>
      </c>
      <c r="C7178" s="1">
        <v>1996</v>
      </c>
      <c r="D7178" s="174">
        <f t="shared" si="1006"/>
        <v>667990</v>
      </c>
      <c r="E7178" s="1">
        <v>111</v>
      </c>
      <c r="F7178" s="475">
        <f t="shared" si="1007"/>
        <v>22098</v>
      </c>
      <c r="G7178" s="175">
        <f>SUM(C7178,C7154,C7130,C7106,C7082,C7058,C7034,C7010,C6986,C6962,C6938,C6914,C6890,C6866)/POBLA!$B$1*100000</f>
        <v>170.80416832633637</v>
      </c>
      <c r="H7178" s="300">
        <f t="shared" ref="H7178:H7225" si="1010">SUM(C7178,C7154,C7130,C7106,C7082,C7058,C7034,C7010,C6986,C6962,C6938,C6914,C6890,C6866)/SUM(C6842,C6818,C6794,C6770,C6746,C6722,C6698,C6674,C6650,C6626,C6602,C6578,C6554,C6530)</f>
        <v>1.4433471432700646</v>
      </c>
      <c r="I7178" s="301">
        <f>G7178*H7178</f>
        <v>246.52970841243686</v>
      </c>
      <c r="J7178" s="301">
        <f>AVERAGE(C7178,C7154,C7130,C7106,C7082,C7058,C7034)</f>
        <v>2264.7142857142858</v>
      </c>
      <c r="K7178" s="301">
        <f>J7178/POBLA!$B$1*100000</f>
        <v>12.910872136050248</v>
      </c>
      <c r="L7178" s="548">
        <f t="shared" ref="L7178:L7225" si="1011">1-SUM(C7178,C7154,C7130,C7106,C7082,C7058,C7034)/SUM(C7010,C6986,C6962,C6938,C6914,C6890,C6866)</f>
        <v>-0.12368868726963433</v>
      </c>
      <c r="M7178" s="400">
        <f>SUM(C7178,C7154,C7130,C7106,C7082,C7058,C7034)/POBLA!$B$1*100000</f>
        <v>90.376104952351739</v>
      </c>
    </row>
    <row r="7179" spans="1:13" s="360" customFormat="1" x14ac:dyDescent="0.25">
      <c r="A7179" s="367" t="s">
        <v>43</v>
      </c>
      <c r="B7179" s="2">
        <v>44192</v>
      </c>
      <c r="C7179" s="1">
        <v>728</v>
      </c>
      <c r="D7179" s="39">
        <f t="shared" si="1006"/>
        <v>170327</v>
      </c>
      <c r="E7179" s="1">
        <v>3</v>
      </c>
      <c r="F7179" s="409">
        <f t="shared" si="1007"/>
        <v>5453</v>
      </c>
      <c r="G7179" s="168">
        <f>SUM(C7179,C7155,C7131,C7107,C7083,C7059,C7035,C7011,C6987,C6963,C6939,C6915,C6891,C6867)/POBLA!$B$2*100000</f>
        <v>244.4364533499629</v>
      </c>
      <c r="H7179" s="256">
        <f t="shared" si="1010"/>
        <v>1.7382658959537571</v>
      </c>
      <c r="I7179" s="297">
        <f t="shared" ref="I7179:I7201" si="1012">G7179*H7179</f>
        <v>424.895550586132</v>
      </c>
      <c r="J7179" s="297">
        <f t="shared" ref="J7179:J7201" si="1013">AVERAGE(C7179,C7155,C7131,C7107,C7083,C7059,C7035)</f>
        <v>605.85714285714289</v>
      </c>
      <c r="K7179" s="297">
        <f>J7179/POBLA!$B$2*100000</f>
        <v>19.698533018986673</v>
      </c>
      <c r="L7179" s="549">
        <f t="shared" si="1011"/>
        <v>-0.29417149832163569</v>
      </c>
      <c r="M7179" s="401">
        <f>SUM(C7179,C7155,C7131,C7107,C7083,C7059,C7035)/POBLA!$B$2*100000</f>
        <v>137.88973113290672</v>
      </c>
    </row>
    <row r="7180" spans="1:13" s="360" customFormat="1" x14ac:dyDescent="0.25">
      <c r="A7180" s="367" t="s">
        <v>28</v>
      </c>
      <c r="B7180" s="2">
        <v>44192</v>
      </c>
      <c r="C7180" s="1">
        <v>46</v>
      </c>
      <c r="D7180" s="39">
        <f t="shared" si="1006"/>
        <v>2576</v>
      </c>
      <c r="E7180" s="1"/>
      <c r="F7180" s="409">
        <f t="shared" si="1007"/>
        <v>17</v>
      </c>
      <c r="G7180" s="168">
        <f>SUM(C7180,C7156,C7132,C7108,C7084,C7060,C7036,C7012,C6988,C6964,C6940,C6916,C6892,C6868)/POBLA!$B$3*100000</f>
        <v>105.67160442713472</v>
      </c>
      <c r="H7180" s="256">
        <f t="shared" si="1010"/>
        <v>1.529616724738676</v>
      </c>
      <c r="I7180" s="297">
        <f t="shared" si="1012"/>
        <v>161.6370534617148</v>
      </c>
      <c r="J7180" s="297">
        <f t="shared" si="1013"/>
        <v>34.285714285714285</v>
      </c>
      <c r="K7180" s="297">
        <f>J7180/POBLA!$B$3*100000</f>
        <v>8.2529076025097083</v>
      </c>
      <c r="L7180" s="549">
        <f t="shared" si="1011"/>
        <v>-0.20603015075376874</v>
      </c>
      <c r="M7180" s="401">
        <f>SUM(C7180,C7156,C7132,C7108,C7084,C7060,C7036)/POBLA!$B$3*100000</f>
        <v>57.770353217567965</v>
      </c>
    </row>
    <row r="7181" spans="1:13" s="360" customFormat="1" x14ac:dyDescent="0.25">
      <c r="A7181" s="367" t="s">
        <v>15</v>
      </c>
      <c r="B7181" s="2">
        <v>44192</v>
      </c>
      <c r="C7181" s="1">
        <v>70</v>
      </c>
      <c r="D7181" s="39">
        <f t="shared" si="1006"/>
        <v>23847</v>
      </c>
      <c r="E7181" s="1">
        <v>1</v>
      </c>
      <c r="F7181" s="409">
        <f t="shared" si="1007"/>
        <v>674</v>
      </c>
      <c r="G7181" s="168">
        <f>SUM(C7181,C7157,C7133,C7109,C7085,C7061,C7037,C7013,C6989,C6965,C6941,C6917,C6893,C6869)/POBLA!$B$4*100000</f>
        <v>178.07613024380242</v>
      </c>
      <c r="H7181" s="256">
        <f t="shared" si="1010"/>
        <v>0.83107322743122825</v>
      </c>
      <c r="I7181" s="297">
        <f t="shared" si="1012"/>
        <v>147.99430429018062</v>
      </c>
      <c r="J7181" s="297">
        <f t="shared" si="1013"/>
        <v>139.28571428571428</v>
      </c>
      <c r="K7181" s="297">
        <f>J7181/POBLA!$B$4*100000</f>
        <v>11.563385080766389</v>
      </c>
      <c r="L7181" s="549">
        <f t="shared" si="1011"/>
        <v>0.16666666666666663</v>
      </c>
      <c r="M7181" s="401">
        <f>SUM(C7181,C7157,C7133,C7109,C7085,C7061,C7037)/POBLA!$B$4*100000</f>
        <v>80.943695565364735</v>
      </c>
    </row>
    <row r="7182" spans="1:13" s="360" customFormat="1" x14ac:dyDescent="0.25">
      <c r="A7182" s="367" t="s">
        <v>29</v>
      </c>
      <c r="B7182" s="2">
        <v>44192</v>
      </c>
      <c r="C7182" s="1">
        <v>155</v>
      </c>
      <c r="D7182" s="39">
        <f t="shared" si="1006"/>
        <v>29881</v>
      </c>
      <c r="E7182" s="1">
        <v>1</v>
      </c>
      <c r="F7182" s="409">
        <f t="shared" si="1007"/>
        <v>487</v>
      </c>
      <c r="G7182" s="168">
        <f>SUM(C7182,C7158,C7134,C7110,C7086,C7062,C7038,C7014,C6990,C6966,C6942,C6918,C6894,C6870)/POBLA!$B$5*100000</f>
        <v>615.83795642607197</v>
      </c>
      <c r="H7182" s="256">
        <f t="shared" si="1010"/>
        <v>1.1087841768470041</v>
      </c>
      <c r="I7182" s="297">
        <f t="shared" si="1012"/>
        <v>682.83138158702343</v>
      </c>
      <c r="J7182" s="297">
        <f t="shared" si="1013"/>
        <v>250.14285714285714</v>
      </c>
      <c r="K7182" s="297">
        <f>J7182/POBLA!$B$5*100000</f>
        <v>40.411192538676808</v>
      </c>
      <c r="L7182" s="549">
        <f t="shared" si="1011"/>
        <v>0.15041242115477926</v>
      </c>
      <c r="M7182" s="401">
        <f>SUM(C7182,C7158,C7134,C7110,C7086,C7062,C7038)/POBLA!$B$5*100000</f>
        <v>282.87834777073766</v>
      </c>
    </row>
    <row r="7183" spans="1:13" s="360" customFormat="1" x14ac:dyDescent="0.25">
      <c r="A7183" s="367" t="s">
        <v>20</v>
      </c>
      <c r="B7183" s="2">
        <v>44192</v>
      </c>
      <c r="C7183" s="1">
        <v>227</v>
      </c>
      <c r="D7183" s="39">
        <f t="shared" si="1006"/>
        <v>125093</v>
      </c>
      <c r="E7183" s="1"/>
      <c r="F7183" s="409">
        <f t="shared" si="1007"/>
        <v>2452</v>
      </c>
      <c r="G7183" s="168">
        <f>SUM(C7183,C7159,C7135,C7111,C7087,C7063,C7039,C7015,C6991,C6967,C6943,C6919,C6895,C6871)/POBLA!$B$6*100000</f>
        <v>465.02456725145674</v>
      </c>
      <c r="H7183" s="256">
        <f t="shared" si="1010"/>
        <v>0.87981093855503034</v>
      </c>
      <c r="I7183" s="297">
        <f t="shared" si="1012"/>
        <v>409.13370096465098</v>
      </c>
      <c r="J7183" s="297">
        <f t="shared" si="1013"/>
        <v>351.42857142857144</v>
      </c>
      <c r="K7183" s="297">
        <f>J7183/POBLA!$B$6*100000</f>
        <v>31.355126505826767</v>
      </c>
      <c r="L7183" s="549">
        <f t="shared" si="1011"/>
        <v>0.10610465116279066</v>
      </c>
      <c r="M7183" s="401">
        <f>SUM(C7183,C7159,C7135,C7111,C7087,C7063,C7039)/POBLA!$B$6*100000</f>
        <v>219.48588554078734</v>
      </c>
    </row>
    <row r="7184" spans="1:13" s="360" customFormat="1" x14ac:dyDescent="0.25">
      <c r="A7184" s="367" t="s">
        <v>30</v>
      </c>
      <c r="B7184" s="2">
        <v>44192</v>
      </c>
      <c r="C7184" s="1">
        <v>235</v>
      </c>
      <c r="D7184" s="39">
        <f t="shared" si="1006"/>
        <v>11383</v>
      </c>
      <c r="E7184" s="1"/>
      <c r="F7184" s="409">
        <f t="shared" si="1007"/>
        <v>157</v>
      </c>
      <c r="G7184" s="168">
        <f>SUM(C7184,C7160,C7136,C7112,C7088,C7064,C7040,C7016,C6992,C6968,C6944,C6920,C6896,C6872)/POBLA!$B$7*100000</f>
        <v>48.797351380818782</v>
      </c>
      <c r="H7184" s="256">
        <f t="shared" si="1010"/>
        <v>0.66848816029143898</v>
      </c>
      <c r="I7184" s="297">
        <f t="shared" si="1012"/>
        <v>32.620451651658456</v>
      </c>
      <c r="J7184" s="297">
        <f t="shared" si="1013"/>
        <v>133.42857142857142</v>
      </c>
      <c r="K7184" s="297">
        <f>J7184/POBLA!$B$7*100000</f>
        <v>3.5482075663436929</v>
      </c>
      <c r="L7184" s="549">
        <f t="shared" si="1011"/>
        <v>-3.662597114317423E-2</v>
      </c>
      <c r="M7184" s="401">
        <f>SUM(C7184,C7160,C7136,C7112,C7088,C7064,C7040)/POBLA!$B$7*100000</f>
        <v>24.837452964405859</v>
      </c>
    </row>
    <row r="7185" spans="1:13" x14ac:dyDescent="0.25">
      <c r="A7185" s="367" t="s">
        <v>31</v>
      </c>
      <c r="B7185" s="2">
        <v>44192</v>
      </c>
      <c r="C7185" s="1">
        <v>155</v>
      </c>
      <c r="D7185" s="39">
        <f t="shared" si="1006"/>
        <v>28078</v>
      </c>
      <c r="E7185" s="1">
        <v>1</v>
      </c>
      <c r="F7185" s="409">
        <f t="shared" si="1007"/>
        <v>572</v>
      </c>
      <c r="G7185" s="168">
        <f>SUM(C7185,C7161,C7137,C7113,C7089,C7065,C7041,C7017,C6993,C6969,C6945,C6921,C6897,C6873)/POBLA!$B$8*100000</f>
        <v>170.20680957112069</v>
      </c>
      <c r="H7185" s="256">
        <f t="shared" si="1010"/>
        <v>0.9550607287449393</v>
      </c>
      <c r="I7185" s="297">
        <f t="shared" si="1012"/>
        <v>162.55783958634564</v>
      </c>
      <c r="J7185" s="297">
        <f t="shared" si="1013"/>
        <v>159</v>
      </c>
      <c r="K7185" s="297">
        <f>J7185/POBLA!$B$8*100000</f>
        <v>11.472184282241708</v>
      </c>
      <c r="L7185" s="549">
        <f t="shared" si="1011"/>
        <v>0.1067415730337079</v>
      </c>
      <c r="M7185" s="401">
        <f>SUM(C7185,C7161,C7137,C7113,C7089,C7065,C7041)/POBLA!$B$8*100000</f>
        <v>80.305289975691949</v>
      </c>
    </row>
    <row r="7186" spans="1:13" s="360" customFormat="1" x14ac:dyDescent="0.25">
      <c r="A7186" s="367" t="s">
        <v>41</v>
      </c>
      <c r="B7186" s="2">
        <v>44192</v>
      </c>
      <c r="C7186" s="1">
        <v>1</v>
      </c>
      <c r="D7186" s="39">
        <f t="shared" si="1006"/>
        <v>214</v>
      </c>
      <c r="E7186" s="1"/>
      <c r="F7186" s="409">
        <f t="shared" si="1007"/>
        <v>3</v>
      </c>
      <c r="G7186" s="168">
        <f>SUM(C7186,C7162,C7138,C7114,C7090,C7066,C7042,C7018,C6994,C6970,C6946,C6922,C6898,C6874)/POBLA!$B$9*100000</f>
        <v>2.8090212543767032</v>
      </c>
      <c r="H7186" s="256">
        <f t="shared" si="1010"/>
        <v>1.1333333333333333</v>
      </c>
      <c r="I7186" s="297">
        <f t="shared" si="1012"/>
        <v>3.1835574216269302</v>
      </c>
      <c r="J7186" s="297">
        <f t="shared" si="1013"/>
        <v>1.4285714285714286</v>
      </c>
      <c r="K7186" s="297">
        <f>J7186/POBLA!$B$9*100000</f>
        <v>0.23605220625014312</v>
      </c>
      <c r="L7186" s="549">
        <f t="shared" si="1011"/>
        <v>-0.4285714285714286</v>
      </c>
      <c r="M7186" s="401">
        <f>SUM(C7186,C7162,C7138,C7114,C7090,C7066,C7042)/POBLA!$B$9*100000</f>
        <v>1.6523654437510016</v>
      </c>
    </row>
    <row r="7187" spans="1:13" s="360" customFormat="1" x14ac:dyDescent="0.25">
      <c r="A7187" s="367" t="s">
        <v>32</v>
      </c>
      <c r="B7187" s="2">
        <v>44192</v>
      </c>
      <c r="C7187" s="1">
        <v>6</v>
      </c>
      <c r="D7187" s="39">
        <f t="shared" si="1006"/>
        <v>18506</v>
      </c>
      <c r="E7187" s="1"/>
      <c r="F7187" s="409">
        <f t="shared" si="1007"/>
        <v>857</v>
      </c>
      <c r="G7187" s="168">
        <f>SUM(C7187,C7163,C7139,C7115,C7091,C7067,C7043,C7019,C6995,C6971,C6947,C6923,C6899,C6875)/POBLA!$B$10*100000</f>
        <v>7.3941373571277538</v>
      </c>
      <c r="H7187" s="256">
        <f t="shared" si="1010"/>
        <v>0.72151898734177211</v>
      </c>
      <c r="I7187" s="297">
        <f t="shared" si="1012"/>
        <v>5.3350104981807842</v>
      </c>
      <c r="J7187" s="297">
        <f t="shared" si="1013"/>
        <v>3.4285714285714284</v>
      </c>
      <c r="K7187" s="297">
        <f>J7187/POBLA!$B$10*100000</f>
        <v>0.44476014178212053</v>
      </c>
      <c r="L7187" s="549">
        <f t="shared" si="1011"/>
        <v>0.27272727272727271</v>
      </c>
      <c r="M7187" s="401">
        <f>SUM(C7187,C7163,C7139,C7115,C7091,C7067,C7043)/POBLA!$B$10*100000</f>
        <v>3.1133209924748435</v>
      </c>
    </row>
    <row r="7188" spans="1:13" s="360" customFormat="1" x14ac:dyDescent="0.25">
      <c r="A7188" s="367" t="s">
        <v>33</v>
      </c>
      <c r="B7188" s="2">
        <v>44192</v>
      </c>
      <c r="C7188" s="1">
        <v>189</v>
      </c>
      <c r="D7188" s="39">
        <f t="shared" si="1006"/>
        <v>9706</v>
      </c>
      <c r="E7188" s="1"/>
      <c r="F7188" s="409">
        <f t="shared" si="1007"/>
        <v>116</v>
      </c>
      <c r="G7188" s="168">
        <f>SUM(C7188,C7164,C7140,C7116,C7092,C7068,C7044,C7020,C6996,C6972,C6948,C6924,C6900,C6876)/POBLA!$B$11*100000</f>
        <v>763.3332217349091</v>
      </c>
      <c r="H7188" s="256">
        <f t="shared" si="1010"/>
        <v>2.1714285714285713</v>
      </c>
      <c r="I7188" s="297">
        <f t="shared" si="1012"/>
        <v>1657.5235671958026</v>
      </c>
      <c r="J7188" s="297">
        <f t="shared" si="1013"/>
        <v>205</v>
      </c>
      <c r="K7188" s="297">
        <f>J7188/POBLA!$B$11*100000</f>
        <v>57.194192418003055</v>
      </c>
      <c r="L7188" s="549">
        <f t="shared" si="1011"/>
        <v>-0.10299769408147585</v>
      </c>
      <c r="M7188" s="401">
        <f>SUM(C7188,C7164,C7140,C7116,C7092,C7068,C7044)/POBLA!$B$11*100000</f>
        <v>400.35934692602137</v>
      </c>
    </row>
    <row r="7189" spans="1:13" s="360" customFormat="1" x14ac:dyDescent="0.25">
      <c r="A7189" s="367" t="s">
        <v>21</v>
      </c>
      <c r="B7189" s="2">
        <v>44192</v>
      </c>
      <c r="C7189" s="1">
        <v>7</v>
      </c>
      <c r="D7189" s="39">
        <f t="shared" si="1006"/>
        <v>9068</v>
      </c>
      <c r="E7189" s="1">
        <v>3</v>
      </c>
      <c r="F7189" s="409">
        <f t="shared" si="1007"/>
        <v>388</v>
      </c>
      <c r="G7189" s="168">
        <f>SUM(C7189,C7165,C7141,C7117,C7093,C7069,C7045,C7021,C6997,C6973,C6949,C6925,C6901,C6877)/POBLA!$B$12*100000</f>
        <v>34.050684698282979</v>
      </c>
      <c r="H7189" s="256">
        <f t="shared" si="1010"/>
        <v>0.55833333333333335</v>
      </c>
      <c r="I7189" s="297">
        <f t="shared" si="1012"/>
        <v>19.011632289874665</v>
      </c>
      <c r="J7189" s="297">
        <f t="shared" si="1013"/>
        <v>9.7142857142857135</v>
      </c>
      <c r="K7189" s="297">
        <f>J7189/POBLA!$B$12*100000</f>
        <v>2.4684931337774443</v>
      </c>
      <c r="L7189" s="549">
        <f t="shared" si="1011"/>
        <v>-3.0303030303030276E-2</v>
      </c>
      <c r="M7189" s="401">
        <f>SUM(C7189,C7165,C7141,C7117,C7093,C7069,C7045)/POBLA!$B$12*100000</f>
        <v>17.279451936442111</v>
      </c>
    </row>
    <row r="7190" spans="1:13" s="360" customFormat="1" x14ac:dyDescent="0.25">
      <c r="A7190" s="367" t="s">
        <v>17</v>
      </c>
      <c r="B7190" s="2">
        <v>44192</v>
      </c>
      <c r="C7190" s="1">
        <v>51</v>
      </c>
      <c r="D7190" s="39">
        <f t="shared" si="1006"/>
        <v>59609</v>
      </c>
      <c r="E7190" s="1"/>
      <c r="F7190" s="409">
        <f t="shared" si="1007"/>
        <v>1219</v>
      </c>
      <c r="G7190" s="168">
        <f>SUM(C7190,C7166,C7142,C7118,C7094,C7070,C7046,C7022,C6998,C6974,C6950,C6926,C6902,C6878)/POBLA!$B$13*100000</f>
        <v>67.877918222934994</v>
      </c>
      <c r="H7190" s="256">
        <f t="shared" si="1010"/>
        <v>0.72517444981213097</v>
      </c>
      <c r="I7190" s="297">
        <f t="shared" si="1012"/>
        <v>49.2233320017097</v>
      </c>
      <c r="J7190" s="297">
        <f t="shared" si="1013"/>
        <v>90.571428571428569</v>
      </c>
      <c r="K7190" s="297">
        <f>J7190/POBLA!$B$13*100000</f>
        <v>4.5505551605520553</v>
      </c>
      <c r="L7190" s="549">
        <f t="shared" si="1011"/>
        <v>0.11576011157601118</v>
      </c>
      <c r="M7190" s="401">
        <f>SUM(C7190,C7166,C7142,C7118,C7094,C7070,C7046)/POBLA!$B$13*100000</f>
        <v>31.853886123864388</v>
      </c>
    </row>
    <row r="7191" spans="1:13" s="360" customFormat="1" x14ac:dyDescent="0.25">
      <c r="A7191" s="367" t="s">
        <v>23</v>
      </c>
      <c r="B7191" s="2">
        <v>44192</v>
      </c>
      <c r="C7191" s="1">
        <v>23</v>
      </c>
      <c r="D7191" s="39">
        <f t="shared" si="1006"/>
        <v>1011</v>
      </c>
      <c r="E7191" s="1"/>
      <c r="F7191" s="409">
        <f t="shared" si="1007"/>
        <v>11</v>
      </c>
      <c r="G7191" s="168">
        <f>SUM(C7191,C7167,C7143,C7119,C7095,C7071,C7047,C7023,C6999,C6975,C6951,C6927,C6903,C6879)/POBLA!$B$14*100000</f>
        <v>26.00503926919497</v>
      </c>
      <c r="H7191" s="256">
        <f t="shared" si="1010"/>
        <v>1.7446808510638299</v>
      </c>
      <c r="I7191" s="297">
        <f t="shared" si="1012"/>
        <v>45.370494044127398</v>
      </c>
      <c r="J7191" s="297">
        <f t="shared" si="1013"/>
        <v>21.714285714285715</v>
      </c>
      <c r="K7191" s="297">
        <f>J7191/POBLA!$B$14*100000</f>
        <v>1.7215879655564614</v>
      </c>
      <c r="L7191" s="549">
        <f t="shared" si="1011"/>
        <v>0.13636363636363635</v>
      </c>
      <c r="M7191" s="401">
        <f>SUM(C7191,C7167,C7143,C7119,C7095,C7071,C7047)/POBLA!$B$14*100000</f>
        <v>12.05111575889523</v>
      </c>
    </row>
    <row r="7192" spans="1:13" s="360" customFormat="1" x14ac:dyDescent="0.25">
      <c r="A7192" s="367" t="s">
        <v>19</v>
      </c>
      <c r="B7192" s="2">
        <v>44192</v>
      </c>
      <c r="C7192" s="1">
        <v>82</v>
      </c>
      <c r="D7192" s="39">
        <f t="shared" si="1006"/>
        <v>39365</v>
      </c>
      <c r="E7192" s="1"/>
      <c r="F7192" s="409">
        <f t="shared" si="1007"/>
        <v>688</v>
      </c>
      <c r="G7192" s="168">
        <f>SUM(C7192,C7168,C7144,C7120,C7096,C7072,C7048,C7024,C7000,C6976,C6952,C6928,C6904,C6880)/POBLA!$B$15*100000</f>
        <v>368.19128478428809</v>
      </c>
      <c r="H7192" s="256">
        <f t="shared" si="1010"/>
        <v>0.48129921259842517</v>
      </c>
      <c r="I7192" s="297">
        <f t="shared" si="1012"/>
        <v>177.21017545228037</v>
      </c>
      <c r="J7192" s="297">
        <f t="shared" si="1013"/>
        <v>188.14285714285714</v>
      </c>
      <c r="K7192" s="297">
        <f>J7192/POBLA!$B$15*100000</f>
        <v>28.332335498738381</v>
      </c>
      <c r="L7192" s="549">
        <f t="shared" si="1011"/>
        <v>-0.16755319148936176</v>
      </c>
      <c r="M7192" s="401">
        <f>SUM(C7192,C7168,C7144,C7120,C7096,C7072,C7048)/POBLA!$B$15*100000</f>
        <v>198.32634849116866</v>
      </c>
    </row>
    <row r="7193" spans="1:13" s="360" customFormat="1" x14ac:dyDescent="0.25">
      <c r="A7193" s="367" t="s">
        <v>18</v>
      </c>
      <c r="B7193" s="2">
        <v>44192</v>
      </c>
      <c r="C7193" s="1">
        <v>163</v>
      </c>
      <c r="D7193" s="39">
        <f t="shared" si="1006"/>
        <v>37277</v>
      </c>
      <c r="E7193" s="1">
        <v>1</v>
      </c>
      <c r="F7193" s="409">
        <f t="shared" si="1007"/>
        <v>884</v>
      </c>
      <c r="G7193" s="168">
        <f>SUM(C7193,C7169,C7145,C7121,C7097,C7073,C7049,C7025,C7001,C6977,C6953,C6929,C6905,C6881)/POBLA!$B$16*100000</f>
        <v>406.49536523053467</v>
      </c>
      <c r="H7193" s="256">
        <f t="shared" si="1010"/>
        <v>1.118513065881487</v>
      </c>
      <c r="I7193" s="297">
        <f t="shared" si="1012"/>
        <v>454.67037723062015</v>
      </c>
      <c r="J7193" s="297">
        <f t="shared" si="1013"/>
        <v>225.57142857142858</v>
      </c>
      <c r="K7193" s="297">
        <f>J7193/POBLA!$B$16*100000</f>
        <v>30.172339665257098</v>
      </c>
      <c r="L7193" s="549">
        <f t="shared" si="1011"/>
        <v>-8.1506849315068575E-2</v>
      </c>
      <c r="M7193" s="401">
        <f>SUM(C7193,C7169,C7145,C7121,C7097,C7073,C7049)/POBLA!$B$16*100000</f>
        <v>211.20637765679965</v>
      </c>
    </row>
    <row r="7194" spans="1:13" s="360" customFormat="1" x14ac:dyDescent="0.25">
      <c r="A7194" s="367" t="s">
        <v>34</v>
      </c>
      <c r="B7194" s="2">
        <v>44192</v>
      </c>
      <c r="C7194" s="1">
        <v>37</v>
      </c>
      <c r="D7194" s="39">
        <f t="shared" si="1006"/>
        <v>22208</v>
      </c>
      <c r="E7194" s="1">
        <v>1</v>
      </c>
      <c r="F7194" s="409">
        <f t="shared" si="1007"/>
        <v>1014</v>
      </c>
      <c r="G7194" s="168">
        <f>SUM(C7194,C7170,C7146,C7122,C7098,C7074,C7050,C7026,C7002,C6978,C6954,C6930,C6906,C6882)/POBLA!$B$17*100000</f>
        <v>44.229242268833758</v>
      </c>
      <c r="H7194" s="256">
        <f t="shared" si="1010"/>
        <v>1.4383561643835616</v>
      </c>
      <c r="I7194" s="297">
        <f t="shared" si="1012"/>
        <v>63.617403263391019</v>
      </c>
      <c r="J7194" s="297">
        <f t="shared" si="1013"/>
        <v>35</v>
      </c>
      <c r="K7194" s="297">
        <f>J7194/POBLA!$B$17*100000</f>
        <v>2.4571801260463202</v>
      </c>
      <c r="L7194" s="549">
        <f t="shared" si="1011"/>
        <v>0.36363636363636365</v>
      </c>
      <c r="M7194" s="401">
        <f>SUM(C7194,C7170,C7146,C7122,C7098,C7074,C7050)/POBLA!$B$17*100000</f>
        <v>17.20026088232424</v>
      </c>
    </row>
    <row r="7195" spans="1:13" s="360" customFormat="1" x14ac:dyDescent="0.25">
      <c r="A7195" s="367" t="s">
        <v>35</v>
      </c>
      <c r="B7195" s="2">
        <v>44192</v>
      </c>
      <c r="C7195" s="1">
        <v>10</v>
      </c>
      <c r="D7195" s="39">
        <f t="shared" si="1006"/>
        <v>10900</v>
      </c>
      <c r="E7195" s="1"/>
      <c r="F7195" s="409">
        <f t="shared" si="1007"/>
        <v>196</v>
      </c>
      <c r="G7195" s="168">
        <f>SUM(C7195,C7171,C7147,C7123,C7099,C7075,C7051,C7027,C7003,C6979,C6955,C6931,C6907,C6883)/POBLA!$B$18*100000</f>
        <v>211.33692687179106</v>
      </c>
      <c r="H7195" s="256">
        <f t="shared" si="1010"/>
        <v>0.85544041450777197</v>
      </c>
      <c r="I7195" s="297">
        <f t="shared" si="1012"/>
        <v>180.78614832400365</v>
      </c>
      <c r="J7195" s="297">
        <f t="shared" si="1013"/>
        <v>86.142857142857139</v>
      </c>
      <c r="K7195" s="297">
        <f>J7195/POBLA!$B$18*100000</f>
        <v>11.026751484268409</v>
      </c>
      <c r="L7195" s="549">
        <f t="shared" si="1011"/>
        <v>0.42461832061068705</v>
      </c>
      <c r="M7195" s="401">
        <f>SUM(C7195,C7171,C7147,C7123,C7099,C7075,C7051)/POBLA!$B$18*100000</f>
        <v>77.187260389878873</v>
      </c>
    </row>
    <row r="7196" spans="1:13" s="360" customFormat="1" x14ac:dyDescent="0.25">
      <c r="A7196" s="367" t="s">
        <v>36</v>
      </c>
      <c r="B7196" s="2">
        <v>44192</v>
      </c>
      <c r="C7196" s="1">
        <v>38</v>
      </c>
      <c r="D7196" s="39">
        <f t="shared" si="1006"/>
        <v>16032</v>
      </c>
      <c r="E7196" s="1">
        <v>2</v>
      </c>
      <c r="F7196" s="409">
        <f t="shared" si="1007"/>
        <v>295</v>
      </c>
      <c r="G7196" s="168">
        <f>SUM(C7196,C7172,C7148,C7124,C7100,C7076,C7052,C7028,C7004,C6980,C6956,C6932,C6908,C6884)/POBLA!$B$19*100000</f>
        <v>107.6076863757259</v>
      </c>
      <c r="H7196" s="256">
        <f t="shared" si="1010"/>
        <v>0.45697577276524642</v>
      </c>
      <c r="I7196" s="297">
        <f t="shared" si="1012"/>
        <v>49.174105637027623</v>
      </c>
      <c r="J7196" s="297">
        <f t="shared" si="1013"/>
        <v>19.428571428571427</v>
      </c>
      <c r="K7196" s="297">
        <f>J7196/POBLA!$B$19*100000</f>
        <v>3.8220541517625288</v>
      </c>
      <c r="L7196" s="549">
        <f t="shared" si="1011"/>
        <v>0.66909975669099753</v>
      </c>
      <c r="M7196" s="401">
        <f>SUM(C7196,C7172,C7148,C7124,C7100,C7076,C7052)/POBLA!$B$19*100000</f>
        <v>26.754379062337701</v>
      </c>
    </row>
    <row r="7197" spans="1:13" s="360" customFormat="1" x14ac:dyDescent="0.25">
      <c r="A7197" s="367" t="s">
        <v>37</v>
      </c>
      <c r="B7197" s="2">
        <v>44192</v>
      </c>
      <c r="C7197" s="1">
        <v>242</v>
      </c>
      <c r="D7197" s="39">
        <f t="shared" si="1006"/>
        <v>22239</v>
      </c>
      <c r="E7197" s="1">
        <v>3</v>
      </c>
      <c r="F7197" s="409">
        <f t="shared" si="1007"/>
        <v>364</v>
      </c>
      <c r="G7197" s="168">
        <f>SUM(C7197,C7173,C7149,C7125,C7101,C7077,C7053,C7029,C7005,C6981,C6957,C6933,C6909,C6885)/POBLA!$B$20*100000</f>
        <v>930.27580134427865</v>
      </c>
      <c r="H7197" s="256">
        <f t="shared" si="1010"/>
        <v>1.1099510603588907</v>
      </c>
      <c r="I7197" s="297">
        <f t="shared" si="1012"/>
        <v>1032.5606121282988</v>
      </c>
      <c r="J7197" s="297">
        <f t="shared" si="1013"/>
        <v>225</v>
      </c>
      <c r="K7197" s="297">
        <f>J7197/POBLA!$B$20*100000</f>
        <v>61.526177337584564</v>
      </c>
      <c r="L7197" s="549">
        <f t="shared" si="1011"/>
        <v>0.13793103448275867</v>
      </c>
      <c r="M7197" s="401">
        <f>SUM(C7197,C7173,C7149,C7125,C7101,C7077,C7053)/POBLA!$B$20*100000</f>
        <v>430.68324136309195</v>
      </c>
    </row>
    <row r="7198" spans="1:13" s="360" customFormat="1" x14ac:dyDescent="0.25">
      <c r="A7198" s="367" t="s">
        <v>22</v>
      </c>
      <c r="B7198" s="2">
        <v>44192</v>
      </c>
      <c r="C7198" s="1">
        <v>406</v>
      </c>
      <c r="D7198" s="39">
        <f t="shared" si="1006"/>
        <v>171770</v>
      </c>
      <c r="E7198" s="1">
        <v>16</v>
      </c>
      <c r="F7198" s="409">
        <f t="shared" si="1007"/>
        <v>2843</v>
      </c>
      <c r="G7198" s="168">
        <f>SUM(C7198,C7174,C7150,C7126,C7102,C7078,C7054,C7030,C7006,C6982,C6958,C6934,C6910,C6886)/POBLA!$B$21*100000</f>
        <v>330.56047107553462</v>
      </c>
      <c r="H7198" s="256">
        <f t="shared" si="1010"/>
        <v>0.86114180478821367</v>
      </c>
      <c r="I7198" s="297">
        <f t="shared" si="1012"/>
        <v>284.659440653628</v>
      </c>
      <c r="J7198" s="297">
        <f t="shared" si="1013"/>
        <v>725.57142857142856</v>
      </c>
      <c r="K7198" s="297">
        <f>J7198/POBLA!$B$21*100000</f>
        <v>20.517128590891364</v>
      </c>
      <c r="L7198" s="549">
        <f t="shared" si="1011"/>
        <v>0.23173498714264107</v>
      </c>
      <c r="M7198" s="401">
        <f>SUM(C7198,C7174,C7150,C7126,C7102,C7078,C7054)/POBLA!$B$21*100000</f>
        <v>143.61990013623955</v>
      </c>
    </row>
    <row r="7199" spans="1:13" s="360" customFormat="1" x14ac:dyDescent="0.25">
      <c r="A7199" s="367" t="s">
        <v>38</v>
      </c>
      <c r="B7199" s="2">
        <v>44192</v>
      </c>
      <c r="C7199" s="1">
        <v>24</v>
      </c>
      <c r="D7199" s="39">
        <f t="shared" si="1006"/>
        <v>17071</v>
      </c>
      <c r="E7199" s="1">
        <v>3</v>
      </c>
      <c r="F7199" s="409">
        <f t="shared" si="1007"/>
        <v>217</v>
      </c>
      <c r="G7199" s="168">
        <f>SUM(C7199,C7175,C7151,C7127,C7103,C7079,C7055,C7031,C7007,C6983,C6959,C6935,C6911,C6887)/POBLA!$B$22*100000</f>
        <v>59.592379943842097</v>
      </c>
      <c r="H7199" s="256">
        <f t="shared" si="1010"/>
        <v>0.6492204899777283</v>
      </c>
      <c r="I7199" s="297">
        <f t="shared" si="1012"/>
        <v>38.688594106080117</v>
      </c>
      <c r="J7199" s="297">
        <f t="shared" si="1013"/>
        <v>33.285714285714285</v>
      </c>
      <c r="K7199" s="297">
        <f>J7199/POBLA!$B$22*100000</f>
        <v>3.4023583746422963</v>
      </c>
      <c r="L7199" s="549">
        <f t="shared" si="1011"/>
        <v>0.3342857142857143</v>
      </c>
      <c r="M7199" s="401">
        <f>SUM(C7199,C7175,C7151,C7127,C7103,C7079,C7055)/POBLA!$B$22*100000</f>
        <v>23.816508622496073</v>
      </c>
    </row>
    <row r="7200" spans="1:13" s="360" customFormat="1" x14ac:dyDescent="0.25">
      <c r="A7200" s="367" t="s">
        <v>39</v>
      </c>
      <c r="B7200" s="2">
        <v>44192</v>
      </c>
      <c r="C7200" s="1">
        <v>88</v>
      </c>
      <c r="D7200" s="39">
        <f t="shared" si="1006"/>
        <v>18739</v>
      </c>
      <c r="E7200" s="1">
        <v>2</v>
      </c>
      <c r="F7200" s="409">
        <f t="shared" si="1007"/>
        <v>248</v>
      </c>
      <c r="G7200" s="168">
        <f>SUM(C7200,C7176,C7152,C7128,C7104,C7080,C7056,C7032,C7008,C6984,C6960,C6936,C6912,C6888)/POBLA!$B$23*100000</f>
        <v>697.84538822597972</v>
      </c>
      <c r="H7200" s="256">
        <f t="shared" si="1010"/>
        <v>0.87208480565371027</v>
      </c>
      <c r="I7200" s="297">
        <f t="shared" si="1012"/>
        <v>608.58035976739154</v>
      </c>
      <c r="J7200" s="297">
        <f t="shared" si="1013"/>
        <v>85</v>
      </c>
      <c r="K7200" s="297">
        <f>J7200/POBLA!$B$23*100000</f>
        <v>48.068766612000225</v>
      </c>
      <c r="L7200" s="549">
        <f t="shared" si="1011"/>
        <v>6.8857589984350542E-2</v>
      </c>
      <c r="M7200" s="401">
        <f>SUM(C7200,C7176,C7152,C7128,C7104,C7080,C7056)/POBLA!$B$23*100000</f>
        <v>336.48136628400158</v>
      </c>
    </row>
    <row r="7201" spans="1:13" s="360" customFormat="1" ht="15.75" thickBot="1" x14ac:dyDescent="0.3">
      <c r="A7201" s="368" t="s">
        <v>40</v>
      </c>
      <c r="B7201" s="34">
        <v>44192</v>
      </c>
      <c r="C7201" s="232">
        <v>51</v>
      </c>
      <c r="D7201" s="67">
        <f t="shared" si="1006"/>
        <v>70407</v>
      </c>
      <c r="E7201" s="232">
        <v>1</v>
      </c>
      <c r="F7201" s="477">
        <f t="shared" si="1007"/>
        <v>1335</v>
      </c>
      <c r="G7201" s="177">
        <f>SUM(C7201,C7177,C7153,C7129,C7105,C7081,C7057,C7033,C7009,C6985,C6961,C6937,C6913,C6889)/POBLA!$B$24*100000</f>
        <v>118.72616035348766</v>
      </c>
      <c r="H7201" s="402">
        <f t="shared" si="1010"/>
        <v>0.72766726943942139</v>
      </c>
      <c r="I7201" s="403">
        <f t="shared" si="1012"/>
        <v>86.393140915449251</v>
      </c>
      <c r="J7201" s="403">
        <f t="shared" si="1013"/>
        <v>108.57142857142857</v>
      </c>
      <c r="K7201" s="403">
        <f>J7201/POBLA!$B$24*100000</f>
        <v>6.406694253667327</v>
      </c>
      <c r="L7201" s="550">
        <f t="shared" si="1011"/>
        <v>0.39297124600638977</v>
      </c>
      <c r="M7201" s="405">
        <f>SUM(C7201,C7177,C7153,C7129,C7105,C7081,C7057)/POBLA!$B$24*100000</f>
        <v>44.846859775671291</v>
      </c>
    </row>
    <row r="7202" spans="1:13" s="360" customFormat="1" x14ac:dyDescent="0.25">
      <c r="A7202" s="363" t="s">
        <v>16</v>
      </c>
      <c r="B7202" s="265">
        <v>44193</v>
      </c>
      <c r="C7202" s="43">
        <v>2873</v>
      </c>
      <c r="D7202" s="174">
        <f t="shared" si="1006"/>
        <v>670863</v>
      </c>
      <c r="E7202" s="43">
        <v>90</v>
      </c>
      <c r="F7202" s="475">
        <f t="shared" si="1007"/>
        <v>22188</v>
      </c>
      <c r="G7202" s="175">
        <f>SUM(C7202,C7178,C7154,C7130,C7106,C7082,C7058,C7034,C7010,C6986,C6962,C6938,C6914,C6890)/POBLA!$B$1*100000</f>
        <v>178.44905300060012</v>
      </c>
      <c r="H7202" s="300">
        <f t="shared" si="1010"/>
        <v>1.5023758099352051</v>
      </c>
      <c r="I7202" s="301">
        <f>G7202*H7202</f>
        <v>268.09754053394693</v>
      </c>
      <c r="J7202" s="301">
        <f>AVERAGE(C7202,C7178,C7154,C7130,C7106,C7082,C7058)</f>
        <v>2382.4285714285716</v>
      </c>
      <c r="K7202" s="301">
        <f>J7202/POBLA!$B$1*100000</f>
        <v>13.581947556482053</v>
      </c>
      <c r="L7202" s="548">
        <f t="shared" si="1011"/>
        <v>-0.14030769230769224</v>
      </c>
      <c r="M7202" s="400">
        <f>SUM(C7202,C7178,C7154,C7130,C7106,C7082,C7058)/POBLA!$B$1*100000</f>
        <v>95.073632895374374</v>
      </c>
    </row>
    <row r="7203" spans="1:13" s="360" customFormat="1" x14ac:dyDescent="0.25">
      <c r="A7203" s="367" t="s">
        <v>43</v>
      </c>
      <c r="B7203" s="2">
        <v>44193</v>
      </c>
      <c r="C7203" s="1">
        <v>863</v>
      </c>
      <c r="D7203" s="39">
        <f t="shared" ref="D7203:D7249" si="1014">C7203+D7179</f>
        <v>171190</v>
      </c>
      <c r="E7203" s="1">
        <v>20</v>
      </c>
      <c r="F7203" s="409">
        <f t="shared" ref="F7203:F7249" si="1015">E7203+F7179</f>
        <v>5473</v>
      </c>
      <c r="G7203" s="168">
        <f>SUM(C7203,C7179,C7155,C7131,C7107,C7083,C7059,C7035,C7011,C6987,C6963,C6939,C6915,C6891)/POBLA!$B$2*100000</f>
        <v>258.96998549247866</v>
      </c>
      <c r="H7203" s="256">
        <f t="shared" si="1010"/>
        <v>1.8020361990950227</v>
      </c>
      <c r="I7203" s="297">
        <f t="shared" ref="I7203:I7225" si="1016">G7203*H7203</f>
        <v>466.67328833655938</v>
      </c>
      <c r="J7203" s="297">
        <f t="shared" ref="J7203:J7225" si="1017">AVERAGE(C7203,C7179,C7155,C7131,C7107,C7083,C7059)</f>
        <v>659.14285714285711</v>
      </c>
      <c r="K7203" s="297">
        <f>J7203/POBLA!$B$2*100000</f>
        <v>21.431037809385639</v>
      </c>
      <c r="L7203" s="549">
        <f t="shared" si="1011"/>
        <v>-0.37690241718889883</v>
      </c>
      <c r="M7203" s="401">
        <f>SUM(C7203,C7179,C7155,C7131,C7107,C7083,C7059)/POBLA!$B$2*100000</f>
        <v>150.01726466569951</v>
      </c>
    </row>
    <row r="7204" spans="1:13" s="360" customFormat="1" x14ac:dyDescent="0.25">
      <c r="A7204" s="367" t="s">
        <v>28</v>
      </c>
      <c r="B7204" s="2">
        <v>44193</v>
      </c>
      <c r="C7204" s="1">
        <v>31</v>
      </c>
      <c r="D7204" s="39">
        <f t="shared" si="1014"/>
        <v>2607</v>
      </c>
      <c r="E7204" s="1"/>
      <c r="F7204" s="409">
        <f t="shared" si="1015"/>
        <v>17</v>
      </c>
      <c r="G7204" s="168">
        <f>SUM(C7204,C7180,C7156,C7132,C7108,C7084,C7060,C7036,C7012,C6988,C6964,C6940,C6916,C6892)/POBLA!$B$3*100000</f>
        <v>104.94947501191513</v>
      </c>
      <c r="H7204" s="256">
        <f t="shared" si="1010"/>
        <v>1.4342105263157894</v>
      </c>
      <c r="I7204" s="297">
        <f t="shared" si="1016"/>
        <v>150.51964179340459</v>
      </c>
      <c r="J7204" s="297">
        <f t="shared" si="1017"/>
        <v>35</v>
      </c>
      <c r="K7204" s="297">
        <f>J7204/POBLA!$B$3*100000</f>
        <v>8.4248431775619945</v>
      </c>
      <c r="L7204" s="549">
        <f t="shared" si="1011"/>
        <v>-0.2827225130890052</v>
      </c>
      <c r="M7204" s="401">
        <f>SUM(C7204,C7180,C7156,C7132,C7108,C7084,C7060)/POBLA!$B$3*100000</f>
        <v>58.973902242933967</v>
      </c>
    </row>
    <row r="7205" spans="1:13" s="360" customFormat="1" x14ac:dyDescent="0.25">
      <c r="A7205" s="367" t="s">
        <v>15</v>
      </c>
      <c r="B7205" s="2">
        <v>44193</v>
      </c>
      <c r="C7205" s="1">
        <v>121</v>
      </c>
      <c r="D7205" s="39">
        <f t="shared" si="1014"/>
        <v>23968</v>
      </c>
      <c r="E7205" s="1">
        <v>7</v>
      </c>
      <c r="F7205" s="409">
        <f t="shared" si="1015"/>
        <v>681</v>
      </c>
      <c r="G7205" s="168">
        <f>SUM(C7205,C7181,C7157,C7133,C7109,C7085,C7061,C7037,C7013,C6989,C6965,C6941,C6917,C6893)/POBLA!$B$4*100000</f>
        <v>174.3402673715548</v>
      </c>
      <c r="H7205" s="256">
        <f t="shared" si="1010"/>
        <v>0.83632019115890088</v>
      </c>
      <c r="I7205" s="297">
        <f t="shared" si="1016"/>
        <v>145.80428573487259</v>
      </c>
      <c r="J7205" s="297">
        <f t="shared" si="1017"/>
        <v>135.28571428571428</v>
      </c>
      <c r="K7205" s="297">
        <f>J7205/POBLA!$B$4*100000</f>
        <v>11.231308381011047</v>
      </c>
      <c r="L7205" s="549">
        <f t="shared" si="1011"/>
        <v>0.17866435385949697</v>
      </c>
      <c r="M7205" s="401">
        <f>SUM(C7205,C7181,C7157,C7133,C7109,C7085,C7061)/POBLA!$B$4*100000</f>
        <v>78.619158667077343</v>
      </c>
    </row>
    <row r="7206" spans="1:13" s="360" customFormat="1" x14ac:dyDescent="0.25">
      <c r="A7206" s="367" t="s">
        <v>29</v>
      </c>
      <c r="B7206" s="2">
        <v>44193</v>
      </c>
      <c r="C7206" s="1">
        <v>451</v>
      </c>
      <c r="D7206" s="39">
        <f t="shared" si="1014"/>
        <v>30332</v>
      </c>
      <c r="E7206" s="1">
        <v>4</v>
      </c>
      <c r="F7206" s="409">
        <f t="shared" si="1015"/>
        <v>491</v>
      </c>
      <c r="G7206" s="168">
        <f>SUM(C7206,C7182,C7158,C7134,C7110,C7086,C7062,C7038,C7014,C6990,C6966,C6942,C6918,C6894)/POBLA!$B$5*100000</f>
        <v>651.21794395422251</v>
      </c>
      <c r="H7206" s="256">
        <f t="shared" si="1010"/>
        <v>1.1684057971014492</v>
      </c>
      <c r="I7206" s="297">
        <f t="shared" si="1016"/>
        <v>760.88682089260021</v>
      </c>
      <c r="J7206" s="297">
        <f t="shared" si="1017"/>
        <v>262.28571428571428</v>
      </c>
      <c r="K7206" s="297">
        <f>J7206/POBLA!$B$5*100000</f>
        <v>42.372900914340732</v>
      </c>
      <c r="L7206" s="549">
        <f t="shared" si="1011"/>
        <v>0.16355353075170842</v>
      </c>
      <c r="M7206" s="401">
        <f>SUM(C7206,C7182,C7158,C7134,C7110,C7086,C7062)/POBLA!$B$5*100000</f>
        <v>296.61030640038518</v>
      </c>
    </row>
    <row r="7207" spans="1:13" s="360" customFormat="1" x14ac:dyDescent="0.25">
      <c r="A7207" s="367" t="s">
        <v>20</v>
      </c>
      <c r="B7207" s="2">
        <v>44193</v>
      </c>
      <c r="C7207" s="1">
        <v>286</v>
      </c>
      <c r="D7207" s="39">
        <f t="shared" si="1014"/>
        <v>125379</v>
      </c>
      <c r="E7207" s="1">
        <v>7</v>
      </c>
      <c r="F7207" s="409">
        <f t="shared" si="1015"/>
        <v>2459</v>
      </c>
      <c r="G7207" s="168">
        <f>SUM(C7207,C7183,C7159,C7135,C7111,C7087,C7063,C7039,C7015,C6991,C6967,C6943,C6919,C6895)/POBLA!$B$6*100000</f>
        <v>469.66410629540832</v>
      </c>
      <c r="H7207" s="256">
        <f t="shared" si="1010"/>
        <v>0.90633608815427003</v>
      </c>
      <c r="I7207" s="297">
        <f t="shared" si="1016"/>
        <v>425.67352884625166</v>
      </c>
      <c r="J7207" s="297">
        <f t="shared" si="1017"/>
        <v>366.14285714285717</v>
      </c>
      <c r="K7207" s="297">
        <f>J7207/POBLA!$B$6*100000</f>
        <v>32.667963103428455</v>
      </c>
      <c r="L7207" s="549">
        <f t="shared" si="1011"/>
        <v>5.1092188078489476E-2</v>
      </c>
      <c r="M7207" s="401">
        <f>SUM(C7207,C7183,C7159,C7135,C7111,C7087,C7063)/POBLA!$B$6*100000</f>
        <v>228.67574172399915</v>
      </c>
    </row>
    <row r="7208" spans="1:13" s="360" customFormat="1" x14ac:dyDescent="0.25">
      <c r="A7208" s="367" t="s">
        <v>30</v>
      </c>
      <c r="B7208" s="2">
        <v>44193</v>
      </c>
      <c r="C7208" s="1">
        <v>183</v>
      </c>
      <c r="D7208" s="39">
        <f t="shared" si="1014"/>
        <v>11566</v>
      </c>
      <c r="E7208" s="1">
        <v>1</v>
      </c>
      <c r="F7208" s="409">
        <f t="shared" si="1015"/>
        <v>158</v>
      </c>
      <c r="G7208" s="168">
        <f>SUM(C7208,C7184,C7160,C7136,C7112,C7088,C7064,C7040,C7016,C6992,C6968,C6944,C6920,C6896)/POBLA!$B$7*100000</f>
        <v>51.217274528314434</v>
      </c>
      <c r="H7208" s="256">
        <f t="shared" si="1010"/>
        <v>0.75767112509834778</v>
      </c>
      <c r="I7208" s="297">
        <f t="shared" si="1016"/>
        <v>38.805850016338944</v>
      </c>
      <c r="J7208" s="297">
        <f t="shared" si="1017"/>
        <v>122.14285714285714</v>
      </c>
      <c r="K7208" s="297">
        <f>J7208/POBLA!$B$7*100000</f>
        <v>3.2480915088049871</v>
      </c>
      <c r="L7208" s="549">
        <f t="shared" si="1011"/>
        <v>0.20168067226890751</v>
      </c>
      <c r="M7208" s="401">
        <f>SUM(C7208,C7184,C7160,C7136,C7112,C7088,C7064)/POBLA!$B$7*100000</f>
        <v>22.736640561634911</v>
      </c>
    </row>
    <row r="7209" spans="1:13" x14ac:dyDescent="0.25">
      <c r="A7209" s="367" t="s">
        <v>31</v>
      </c>
      <c r="B7209" s="2">
        <v>44193</v>
      </c>
      <c r="C7209" s="1">
        <v>178</v>
      </c>
      <c r="D7209" s="39">
        <f t="shared" si="1014"/>
        <v>28256</v>
      </c>
      <c r="E7209" s="1">
        <v>2</v>
      </c>
      <c r="F7209" s="409">
        <f t="shared" si="1015"/>
        <v>574</v>
      </c>
      <c r="G7209" s="168">
        <f>SUM(C7209,C7185,C7161,C7137,C7113,C7089,C7065,C7041,C7017,C6993,C6969,C6945,C6921,C6897)/POBLA!$B$8*100000</f>
        <v>177.78278032354444</v>
      </c>
      <c r="H7209" s="256">
        <f t="shared" si="1010"/>
        <v>1.0152451586320561</v>
      </c>
      <c r="I7209" s="297">
        <f t="shared" si="1016"/>
        <v>180.49310701162486</v>
      </c>
      <c r="J7209" s="297">
        <f t="shared" si="1017"/>
        <v>179</v>
      </c>
      <c r="K7209" s="297">
        <f>J7209/POBLA!$B$8*100000</f>
        <v>12.915226330322424</v>
      </c>
      <c r="L7209" s="549">
        <f t="shared" si="1011"/>
        <v>-3.4682080924855585E-2</v>
      </c>
      <c r="M7209" s="401">
        <f>SUM(C7209,C7185,C7161,C7137,C7113,C7089,C7065)/POBLA!$B$8*100000</f>
        <v>90.406584312256982</v>
      </c>
    </row>
    <row r="7210" spans="1:13" s="360" customFormat="1" x14ac:dyDescent="0.25">
      <c r="A7210" s="367" t="s">
        <v>41</v>
      </c>
      <c r="B7210" s="2">
        <v>44193</v>
      </c>
      <c r="C7210" s="1">
        <v>7</v>
      </c>
      <c r="D7210" s="39">
        <f t="shared" si="1014"/>
        <v>221</v>
      </c>
      <c r="E7210" s="1"/>
      <c r="F7210" s="409">
        <f t="shared" si="1015"/>
        <v>3</v>
      </c>
      <c r="G7210" s="168">
        <f>SUM(C7210,C7186,C7162,C7138,C7114,C7090,C7066,C7042,C7018,C6994,C6970,C6946,C6922,C6898)/POBLA!$B$9*100000</f>
        <v>3.800440520627304</v>
      </c>
      <c r="H7210" s="256">
        <f t="shared" si="1010"/>
        <v>1.4375</v>
      </c>
      <c r="I7210" s="297">
        <f t="shared" si="1016"/>
        <v>5.4631332484017499</v>
      </c>
      <c r="J7210" s="297">
        <f t="shared" si="1017"/>
        <v>2.5714285714285716</v>
      </c>
      <c r="K7210" s="297">
        <f>J7210/POBLA!$B$9*100000</f>
        <v>0.42489397125025763</v>
      </c>
      <c r="L7210" s="549">
        <f t="shared" si="1011"/>
        <v>-2.6</v>
      </c>
      <c r="M7210" s="401">
        <f>SUM(C7210,C7186,C7162,C7138,C7114,C7090,C7066)/POBLA!$B$9*100000</f>
        <v>2.9742577987518035</v>
      </c>
    </row>
    <row r="7211" spans="1:13" s="360" customFormat="1" x14ac:dyDescent="0.25">
      <c r="A7211" s="367" t="s">
        <v>32</v>
      </c>
      <c r="B7211" s="2">
        <v>44193</v>
      </c>
      <c r="C7211" s="1">
        <v>3</v>
      </c>
      <c r="D7211" s="39">
        <f t="shared" si="1014"/>
        <v>18509</v>
      </c>
      <c r="E7211" s="1">
        <v>1</v>
      </c>
      <c r="F7211" s="409">
        <f t="shared" si="1015"/>
        <v>858</v>
      </c>
      <c r="G7211" s="168">
        <f>SUM(C7211,C7187,C7163,C7139,C7115,C7091,C7067,C7043,C7019,C6995,C6971,C6947,C6923,C6899)/POBLA!$B$10*100000</f>
        <v>7.0049722330683988</v>
      </c>
      <c r="H7211" s="256">
        <f t="shared" si="1010"/>
        <v>0.72972972972972971</v>
      </c>
      <c r="I7211" s="297">
        <f t="shared" si="1016"/>
        <v>5.1117364944012635</v>
      </c>
      <c r="J7211" s="297">
        <f t="shared" si="1017"/>
        <v>3.8571428571428572</v>
      </c>
      <c r="K7211" s="297">
        <f>J7211/POBLA!$B$10*100000</f>
        <v>0.50035515950488552</v>
      </c>
      <c r="L7211" s="549">
        <f t="shared" si="1011"/>
        <v>0</v>
      </c>
      <c r="M7211" s="401">
        <f>SUM(C7211,C7187,C7163,C7139,C7115,C7091,C7067)/POBLA!$B$10*100000</f>
        <v>3.5024861165341994</v>
      </c>
    </row>
    <row r="7212" spans="1:13" s="360" customFormat="1" x14ac:dyDescent="0.25">
      <c r="A7212" s="367" t="s">
        <v>33</v>
      </c>
      <c r="B7212" s="2">
        <v>44193</v>
      </c>
      <c r="C7212" s="1">
        <v>208</v>
      </c>
      <c r="D7212" s="39">
        <f t="shared" si="1014"/>
        <v>9914</v>
      </c>
      <c r="E7212" s="1">
        <v>8</v>
      </c>
      <c r="F7212" s="409">
        <f t="shared" si="1015"/>
        <v>124</v>
      </c>
      <c r="G7212" s="168">
        <f>SUM(C7212,C7188,C7164,C7140,C7116,C7092,C7068,C7044,C7020,C6996,C6972,C6948,C6924,C6900)/POBLA!$B$11*100000</f>
        <v>780.07298536944654</v>
      </c>
      <c r="H7212" s="256">
        <f t="shared" si="1010"/>
        <v>2.0741839762611276</v>
      </c>
      <c r="I7212" s="297">
        <f t="shared" si="1016"/>
        <v>1618.0148865674871</v>
      </c>
      <c r="J7212" s="297">
        <f t="shared" si="1017"/>
        <v>211.71428571428572</v>
      </c>
      <c r="K7212" s="297">
        <f>J7212/POBLA!$B$11*100000</f>
        <v>59.067451681867965</v>
      </c>
      <c r="L7212" s="549">
        <f t="shared" si="1011"/>
        <v>-0.12785388127853881</v>
      </c>
      <c r="M7212" s="401">
        <f>SUM(C7212,C7188,C7164,C7140,C7116,C7092,C7068)/POBLA!$B$11*100000</f>
        <v>413.4721617730757</v>
      </c>
    </row>
    <row r="7213" spans="1:13" s="360" customFormat="1" x14ac:dyDescent="0.25">
      <c r="A7213" s="367" t="s">
        <v>21</v>
      </c>
      <c r="B7213" s="2">
        <v>44193</v>
      </c>
      <c r="C7213" s="1">
        <v>4</v>
      </c>
      <c r="D7213" s="39">
        <f t="shared" si="1014"/>
        <v>9072</v>
      </c>
      <c r="E7213" s="1"/>
      <c r="F7213" s="409">
        <f t="shared" si="1015"/>
        <v>388</v>
      </c>
      <c r="G7213" s="168">
        <f>SUM(C7213,C7189,C7165,C7141,C7117,C7093,C7069,C7045,C7021,C6997,C6973,C6949,C6925,C6901)/POBLA!$B$12*100000</f>
        <v>33.288355936381123</v>
      </c>
      <c r="H7213" s="256">
        <f t="shared" si="1010"/>
        <v>0.59817351598173518</v>
      </c>
      <c r="I7213" s="297">
        <f t="shared" si="1016"/>
        <v>19.912212911716562</v>
      </c>
      <c r="J7213" s="297">
        <f t="shared" si="1017"/>
        <v>8.2857142857142865</v>
      </c>
      <c r="K7213" s="297">
        <f>J7213/POBLA!$B$12*100000</f>
        <v>2.1054794376337029</v>
      </c>
      <c r="L7213" s="549">
        <f t="shared" si="1011"/>
        <v>0.20547945205479456</v>
      </c>
      <c r="M7213" s="401">
        <f>SUM(C7213,C7189,C7165,C7141,C7117,C7093,C7069)/POBLA!$B$12*100000</f>
        <v>14.738356063435917</v>
      </c>
    </row>
    <row r="7214" spans="1:13" s="360" customFormat="1" x14ac:dyDescent="0.25">
      <c r="A7214" s="367" t="s">
        <v>17</v>
      </c>
      <c r="B7214" s="2">
        <v>44193</v>
      </c>
      <c r="C7214" s="1">
        <v>77</v>
      </c>
      <c r="D7214" s="39">
        <f t="shared" si="1014"/>
        <v>59686</v>
      </c>
      <c r="E7214" s="1">
        <v>3</v>
      </c>
      <c r="F7214" s="409">
        <f t="shared" si="1015"/>
        <v>1222</v>
      </c>
      <c r="G7214" s="168">
        <f>SUM(C7214,C7190,C7166,C7142,C7118,C7094,C7070,C7046,C7022,C6998,C6974,C6950,C6926,C6902)/POBLA!$B$13*100000</f>
        <v>66.320393822556767</v>
      </c>
      <c r="H7214" s="256">
        <f t="shared" si="1010"/>
        <v>0.72527472527472525</v>
      </c>
      <c r="I7214" s="297">
        <f t="shared" si="1016"/>
        <v>48.100505409766441</v>
      </c>
      <c r="J7214" s="297">
        <f t="shared" si="1017"/>
        <v>90.714285714285708</v>
      </c>
      <c r="K7214" s="297">
        <f>J7214/POBLA!$B$13*100000</f>
        <v>4.5577326923510331</v>
      </c>
      <c r="L7214" s="549">
        <f t="shared" si="1011"/>
        <v>7.2992700729927029E-2</v>
      </c>
      <c r="M7214" s="401">
        <f>SUM(C7214,C7190,C7166,C7142,C7118,C7094,C7070)/POBLA!$B$13*100000</f>
        <v>31.904128846457237</v>
      </c>
    </row>
    <row r="7215" spans="1:13" s="360" customFormat="1" x14ac:dyDescent="0.25">
      <c r="A7215" s="367" t="s">
        <v>23</v>
      </c>
      <c r="B7215" s="2">
        <v>44193</v>
      </c>
      <c r="C7215" s="1">
        <v>3</v>
      </c>
      <c r="D7215" s="39">
        <f t="shared" si="1014"/>
        <v>1014</v>
      </c>
      <c r="E7215" s="1"/>
      <c r="F7215" s="409">
        <f t="shared" si="1015"/>
        <v>11</v>
      </c>
      <c r="G7215" s="168">
        <f>SUM(C7215,C7191,C7167,C7143,C7119,C7095,C7071,C7047,C7023,C6999,C6975,C6951,C6927,C6903)/POBLA!$B$14*100000</f>
        <v>26.084322925503489</v>
      </c>
      <c r="H7215" s="256">
        <f t="shared" si="1010"/>
        <v>1.7783783783783784</v>
      </c>
      <c r="I7215" s="297">
        <f t="shared" si="1016"/>
        <v>46.387795905354857</v>
      </c>
      <c r="J7215" s="297">
        <f t="shared" si="1017"/>
        <v>21.428571428571427</v>
      </c>
      <c r="K7215" s="297">
        <f>J7215/POBLA!$B$14*100000</f>
        <v>1.6989354923254554</v>
      </c>
      <c r="L7215" s="549">
        <f t="shared" si="1011"/>
        <v>0.16201117318435754</v>
      </c>
      <c r="M7215" s="401">
        <f>SUM(C7215,C7191,C7167,C7143,C7119,C7095,C7071)/POBLA!$B$14*100000</f>
        <v>11.892548446278187</v>
      </c>
    </row>
    <row r="7216" spans="1:13" s="360" customFormat="1" x14ac:dyDescent="0.25">
      <c r="A7216" s="367" t="s">
        <v>19</v>
      </c>
      <c r="B7216" s="2">
        <v>44193</v>
      </c>
      <c r="C7216" s="1">
        <v>206</v>
      </c>
      <c r="D7216" s="39">
        <f t="shared" si="1014"/>
        <v>39571</v>
      </c>
      <c r="E7216" s="1"/>
      <c r="F7216" s="409">
        <f t="shared" si="1015"/>
        <v>688</v>
      </c>
      <c r="G7216" s="168">
        <f>SUM(C7216,C7192,C7168,C7144,C7120,C7096,C7072,C7048,C7024,C7000,C6976,C6952,C6928,C6904)/POBLA!$B$15*100000</f>
        <v>373.31132719028636</v>
      </c>
      <c r="H7216" s="256">
        <f t="shared" si="1010"/>
        <v>0.4934315286624204</v>
      </c>
      <c r="I7216" s="297">
        <f t="shared" si="1016"/>
        <v>184.20357884249998</v>
      </c>
      <c r="J7216" s="297">
        <f t="shared" si="1017"/>
        <v>179.28571428571428</v>
      </c>
      <c r="K7216" s="297">
        <f>J7216/POBLA!$B$15*100000</f>
        <v>26.998542939192614</v>
      </c>
      <c r="L7216" s="549">
        <f t="shared" si="1011"/>
        <v>-2.5326797385620825E-2</v>
      </c>
      <c r="M7216" s="401">
        <f>SUM(C7216,C7192,C7168,C7144,C7120,C7096,C7072)/POBLA!$B$15*100000</f>
        <v>188.98980057434829</v>
      </c>
    </row>
    <row r="7217" spans="1:13" s="360" customFormat="1" x14ac:dyDescent="0.25">
      <c r="A7217" s="367" t="s">
        <v>18</v>
      </c>
      <c r="B7217" s="2">
        <v>44193</v>
      </c>
      <c r="C7217" s="1">
        <v>263</v>
      </c>
      <c r="D7217" s="39">
        <f t="shared" si="1014"/>
        <v>37540</v>
      </c>
      <c r="E7217" s="1">
        <v>6</v>
      </c>
      <c r="F7217" s="409">
        <f t="shared" si="1015"/>
        <v>890</v>
      </c>
      <c r="G7217" s="168">
        <f>SUM(C7217,C7193,C7169,C7145,C7121,C7097,C7073,C7049,C7025,C7001,C6977,C6953,C6929,C6905)/POBLA!$B$16*100000</f>
        <v>423.88411069942885</v>
      </c>
      <c r="H7217" s="256">
        <f t="shared" si="1010"/>
        <v>1.1886721680420105</v>
      </c>
      <c r="I7217" s="297">
        <f t="shared" si="1016"/>
        <v>503.85924486364968</v>
      </c>
      <c r="J7217" s="297">
        <f t="shared" si="1017"/>
        <v>234.71428571428572</v>
      </c>
      <c r="K7217" s="297">
        <f>J7217/POBLA!$B$16*100000</f>
        <v>31.395284401530972</v>
      </c>
      <c r="L7217" s="549">
        <f t="shared" si="1011"/>
        <v>-7.6671035386631781E-2</v>
      </c>
      <c r="M7217" s="401">
        <f>SUM(C7217,C7193,C7169,C7145,C7121,C7097,C7073)/POBLA!$B$16*100000</f>
        <v>219.76699081071683</v>
      </c>
    </row>
    <row r="7218" spans="1:13" s="360" customFormat="1" x14ac:dyDescent="0.25">
      <c r="A7218" s="367" t="s">
        <v>34</v>
      </c>
      <c r="B7218" s="2">
        <v>44193</v>
      </c>
      <c r="C7218" s="1">
        <v>8</v>
      </c>
      <c r="D7218" s="39">
        <f t="shared" si="1014"/>
        <v>22216</v>
      </c>
      <c r="E7218" s="1">
        <v>1</v>
      </c>
      <c r="F7218" s="409">
        <f t="shared" si="1015"/>
        <v>1015</v>
      </c>
      <c r="G7218" s="168">
        <f>SUM(C7218,C7194,C7170,C7146,C7122,C7098,C7074,C7050,C7026,C7002,C6978,C6954,C6930,C6906)/POBLA!$B$17*100000</f>
        <v>42.263498167996701</v>
      </c>
      <c r="H7218" s="256">
        <f t="shared" si="1010"/>
        <v>1.323076923076923</v>
      </c>
      <c r="I7218" s="297">
        <f t="shared" si="1016"/>
        <v>55.917859114580246</v>
      </c>
      <c r="J7218" s="297">
        <f t="shared" si="1017"/>
        <v>35</v>
      </c>
      <c r="K7218" s="297">
        <f>J7218/POBLA!$B$17*100000</f>
        <v>2.4571801260463202</v>
      </c>
      <c r="L7218" s="549">
        <f t="shared" si="1011"/>
        <v>0.31372549019607843</v>
      </c>
      <c r="M7218" s="401">
        <f>SUM(C7218,C7194,C7170,C7146,C7122,C7098,C7074)/POBLA!$B$17*100000</f>
        <v>17.20026088232424</v>
      </c>
    </row>
    <row r="7219" spans="1:13" s="360" customFormat="1" x14ac:dyDescent="0.25">
      <c r="A7219" s="367" t="s">
        <v>35</v>
      </c>
      <c r="B7219" s="2">
        <v>44193</v>
      </c>
      <c r="C7219" s="1">
        <v>150</v>
      </c>
      <c r="D7219" s="39">
        <f t="shared" si="1014"/>
        <v>11050</v>
      </c>
      <c r="E7219" s="1">
        <v>1</v>
      </c>
      <c r="F7219" s="409">
        <f t="shared" si="1015"/>
        <v>197</v>
      </c>
      <c r="G7219" s="168">
        <f>SUM(C7219,C7195,C7171,C7147,C7123,C7099,C7075,C7051,C7027,C7003,C6979,C6955,C6931,C6907)/POBLA!$B$18*100000</f>
        <v>200.84048350202315</v>
      </c>
      <c r="H7219" s="256">
        <f t="shared" si="1010"/>
        <v>0.77866004962779156</v>
      </c>
      <c r="I7219" s="297">
        <f t="shared" si="1016"/>
        <v>156.38646085095499</v>
      </c>
      <c r="J7219" s="297">
        <f t="shared" si="1017"/>
        <v>76.857142857142861</v>
      </c>
      <c r="K7219" s="297">
        <f>J7219/POBLA!$B$18*100000</f>
        <v>9.8381298483190793</v>
      </c>
      <c r="L7219" s="549">
        <f t="shared" si="1011"/>
        <v>0.47817652764306495</v>
      </c>
      <c r="M7219" s="401">
        <f>SUM(C7219,C7195,C7171,C7147,C7123,C7099,C7075)/POBLA!$B$18*100000</f>
        <v>68.86690893823355</v>
      </c>
    </row>
    <row r="7220" spans="1:13" s="360" customFormat="1" x14ac:dyDescent="0.25">
      <c r="A7220" s="367" t="s">
        <v>36</v>
      </c>
      <c r="B7220" s="2">
        <v>44193</v>
      </c>
      <c r="C7220" s="1">
        <v>34</v>
      </c>
      <c r="D7220" s="39">
        <f t="shared" si="1014"/>
        <v>16066</v>
      </c>
      <c r="E7220" s="1">
        <v>1</v>
      </c>
      <c r="F7220" s="409">
        <f t="shared" si="1015"/>
        <v>296</v>
      </c>
      <c r="G7220" s="168">
        <f>SUM(C7220,C7196,C7172,C7148,C7124,C7100,C7076,C7052,C7028,C7004,C6980,C6956,C6932,C6908)/POBLA!$B$19*100000</f>
        <v>102.88632536472512</v>
      </c>
      <c r="H7220" s="256">
        <f t="shared" si="1010"/>
        <v>0.48069852941176472</v>
      </c>
      <c r="I7220" s="297">
        <f t="shared" si="1016"/>
        <v>49.457305299403714</v>
      </c>
      <c r="J7220" s="297">
        <f t="shared" si="1017"/>
        <v>19.714285714285715</v>
      </c>
      <c r="K7220" s="297">
        <f>J7220/POBLA!$B$19*100000</f>
        <v>3.8782608304649195</v>
      </c>
      <c r="L7220" s="549">
        <f t="shared" si="1011"/>
        <v>0.64155844155844155</v>
      </c>
      <c r="M7220" s="401">
        <f>SUM(C7220,C7196,C7172,C7148,C7124,C7100,C7076)/POBLA!$B$19*100000</f>
        <v>27.147825813254432</v>
      </c>
    </row>
    <row r="7221" spans="1:13" s="360" customFormat="1" x14ac:dyDescent="0.25">
      <c r="A7221" s="367" t="s">
        <v>37</v>
      </c>
      <c r="B7221" s="2">
        <v>44193</v>
      </c>
      <c r="C7221" s="1">
        <v>265</v>
      </c>
      <c r="D7221" s="39">
        <f t="shared" si="1014"/>
        <v>22504</v>
      </c>
      <c r="E7221" s="1">
        <v>9</v>
      </c>
      <c r="F7221" s="409">
        <f t="shared" si="1015"/>
        <v>373</v>
      </c>
      <c r="G7221" s="168">
        <f>SUM(C7221,C7197,C7173,C7149,C7125,C7101,C7077,C7053,C7029,C7005,C6981,C6957,C6933,C6909)/POBLA!$B$20*100000</f>
        <v>954.33937292520045</v>
      </c>
      <c r="H7221" s="256">
        <f t="shared" si="1010"/>
        <v>1.1301813471502591</v>
      </c>
      <c r="I7221" s="297">
        <f t="shared" si="1016"/>
        <v>1078.5765581311366</v>
      </c>
      <c r="J7221" s="297">
        <f t="shared" si="1017"/>
        <v>237.28571428571428</v>
      </c>
      <c r="K7221" s="297">
        <f>J7221/POBLA!$B$20*100000</f>
        <v>64.885701941414567</v>
      </c>
      <c r="L7221" s="549">
        <f t="shared" si="1011"/>
        <v>9.1853471842536893E-2</v>
      </c>
      <c r="M7221" s="401">
        <f>SUM(C7221,C7197,C7173,C7149,C7125,C7101,C7077)/POBLA!$B$20*100000</f>
        <v>454.19991358990211</v>
      </c>
    </row>
    <row r="7222" spans="1:13" s="360" customFormat="1" x14ac:dyDescent="0.25">
      <c r="A7222" s="367" t="s">
        <v>22</v>
      </c>
      <c r="B7222" s="2">
        <v>44193</v>
      </c>
      <c r="C7222" s="1">
        <v>718</v>
      </c>
      <c r="D7222" s="39">
        <f t="shared" si="1014"/>
        <v>172488</v>
      </c>
      <c r="E7222" s="1">
        <v>55</v>
      </c>
      <c r="F7222" s="409">
        <f t="shared" si="1015"/>
        <v>2898</v>
      </c>
      <c r="G7222" s="168">
        <f>SUM(C7222,C7198,C7174,C7150,C7126,C7102,C7078,C7054,C7030,C7006,C6982,C6958,C6934,C6910)/POBLA!$B$21*100000</f>
        <v>329.91009546948357</v>
      </c>
      <c r="H7222" s="256">
        <f t="shared" si="1010"/>
        <v>0.88379668206954021</v>
      </c>
      <c r="I7222" s="297">
        <f t="shared" si="1016"/>
        <v>291.57344775717485</v>
      </c>
      <c r="J7222" s="297">
        <f t="shared" si="1017"/>
        <v>713.71428571428567</v>
      </c>
      <c r="K7222" s="297">
        <f>J7222/POBLA!$B$21*100000</f>
        <v>20.181841787771855</v>
      </c>
      <c r="L7222" s="549">
        <f t="shared" si="1011"/>
        <v>0.2510867935841703</v>
      </c>
      <c r="M7222" s="401">
        <f>SUM(C7222,C7198,C7174,C7150,C7126,C7102,C7078)/POBLA!$B$21*100000</f>
        <v>141.272892514403</v>
      </c>
    </row>
    <row r="7223" spans="1:13" s="360" customFormat="1" x14ac:dyDescent="0.25">
      <c r="A7223" s="367" t="s">
        <v>38</v>
      </c>
      <c r="B7223" s="2">
        <v>44193</v>
      </c>
      <c r="C7223" s="1">
        <v>61</v>
      </c>
      <c r="D7223" s="39">
        <f t="shared" si="1014"/>
        <v>17132</v>
      </c>
      <c r="E7223" s="1"/>
      <c r="F7223" s="409">
        <f t="shared" si="1015"/>
        <v>217</v>
      </c>
      <c r="G7223" s="168">
        <f>SUM(C7223,C7199,C7175,C7151,C7127,C7103,C7079,C7055,C7031,C7007,C6983,C6959,C6935,C6911)/POBLA!$B$22*100000</f>
        <v>61.330065122307481</v>
      </c>
      <c r="H7223" s="256">
        <f t="shared" si="1010"/>
        <v>0.67491563554555678</v>
      </c>
      <c r="I7223" s="297">
        <f t="shared" si="1016"/>
        <v>41.392619880072537</v>
      </c>
      <c r="J7223" s="297">
        <f t="shared" si="1017"/>
        <v>36.571428571428569</v>
      </c>
      <c r="K7223" s="297">
        <f>J7223/POBLA!$B$22*100000</f>
        <v>3.7382134931692179</v>
      </c>
      <c r="L7223" s="549">
        <f t="shared" si="1011"/>
        <v>0.2558139534883721</v>
      </c>
      <c r="M7223" s="401">
        <f>SUM(C7223,C7199,C7175,C7151,C7127,C7103,C7079)/POBLA!$B$22*100000</f>
        <v>26.167494452184528</v>
      </c>
    </row>
    <row r="7224" spans="1:13" s="360" customFormat="1" x14ac:dyDescent="0.25">
      <c r="A7224" s="367" t="s">
        <v>39</v>
      </c>
      <c r="B7224" s="2">
        <v>44193</v>
      </c>
      <c r="C7224" s="1">
        <v>63</v>
      </c>
      <c r="D7224" s="39">
        <f t="shared" si="1014"/>
        <v>18802</v>
      </c>
      <c r="E7224" s="1"/>
      <c r="F7224" s="409">
        <f t="shared" si="1015"/>
        <v>248</v>
      </c>
      <c r="G7224" s="168">
        <f>SUM(C7224,C7200,C7176,C7152,C7128,C7104,C7080,C7056,C7032,C7008,C6984,C6960,C6936,C6912)/POBLA!$B$23*100000</f>
        <v>636.204263982356</v>
      </c>
      <c r="H7224" s="256">
        <f t="shared" si="1010"/>
        <v>0.75200534759358284</v>
      </c>
      <c r="I7224" s="297">
        <f t="shared" si="1016"/>
        <v>478.42900867657113</v>
      </c>
      <c r="J7224" s="297">
        <f t="shared" si="1017"/>
        <v>85.571428571428569</v>
      </c>
      <c r="K7224" s="297">
        <f>J7224/POBLA!$B$23*100000</f>
        <v>48.391917984181738</v>
      </c>
      <c r="L7224" s="549">
        <f t="shared" si="1011"/>
        <v>-0.1387832699619771</v>
      </c>
      <c r="M7224" s="401">
        <f>SUM(C7224,C7200,C7176,C7152,C7128,C7104,C7080)/POBLA!$B$23*100000</f>
        <v>338.7434258892722</v>
      </c>
    </row>
    <row r="7225" spans="1:13" s="360" customFormat="1" ht="15.75" thickBot="1" x14ac:dyDescent="0.3">
      <c r="A7225" s="368" t="s">
        <v>40</v>
      </c>
      <c r="B7225" s="34">
        <v>44193</v>
      </c>
      <c r="C7225" s="232">
        <v>160</v>
      </c>
      <c r="D7225" s="67">
        <f t="shared" si="1014"/>
        <v>70567</v>
      </c>
      <c r="E7225" s="232">
        <v>1</v>
      </c>
      <c r="F7225" s="477">
        <f t="shared" si="1015"/>
        <v>1336</v>
      </c>
      <c r="G7225" s="177">
        <f>SUM(C7225,C7201,C7177,C7153,C7129,C7105,C7081,C7057,C7033,C7009,C6985,C6961,C6937,C6913)/POBLA!$B$24*100000</f>
        <v>113.65138411571434</v>
      </c>
      <c r="H7225" s="402">
        <f t="shared" si="1010"/>
        <v>0.71122599704579026</v>
      </c>
      <c r="I7225" s="403">
        <f t="shared" si="1016"/>
        <v>80.831818983333022</v>
      </c>
      <c r="J7225" s="403">
        <f t="shared" si="1017"/>
        <v>97.714285714285708</v>
      </c>
      <c r="K7225" s="403">
        <f>J7225/POBLA!$B$24*100000</f>
        <v>5.7660248283005942</v>
      </c>
      <c r="L7225" s="550">
        <f t="shared" si="1011"/>
        <v>0.44927536231884058</v>
      </c>
      <c r="M7225" s="405">
        <f>SUM(C7225,C7201,C7177,C7153,C7129,C7105,C7081)/POBLA!$B$24*100000</f>
        <v>40.362173798104159</v>
      </c>
    </row>
    <row r="7226" spans="1:13" s="360" customFormat="1" x14ac:dyDescent="0.25">
      <c r="A7226" s="361" t="s">
        <v>16</v>
      </c>
      <c r="B7226" s="2">
        <v>44194</v>
      </c>
      <c r="C7226" s="1">
        <v>4417</v>
      </c>
      <c r="D7226" s="39">
        <f t="shared" si="1014"/>
        <v>675280</v>
      </c>
      <c r="E7226" s="1">
        <v>67</v>
      </c>
      <c r="F7226" s="39">
        <f t="shared" si="1015"/>
        <v>22255</v>
      </c>
      <c r="G7226" s="175">
        <f>SUM(C7226,C7202,C7178,C7154,C7130,C7106,C7082,C7058,C7034,C7010,C6986,C6962,C6938,C6914)/POBLA!$B$1*100000</f>
        <v>190.93968858696252</v>
      </c>
      <c r="H7226" s="300">
        <f t="shared" ref="H7226:H7273" si="1018">SUM(C7226,C7202,C7178,C7154,C7130,C7106,C7082,C7058,C7034,C7010,C6986,C6962,C6938,C6914)/SUM(C6890,C6866,C6842,C6818,C6794,C6770,C6746,C6722,C6698,C6674,C6650,C6626,C6602,C6578)</f>
        <v>1.6000095542922659</v>
      </c>
      <c r="I7226" s="301">
        <f>G7226*H7226</f>
        <v>305.50532603272995</v>
      </c>
      <c r="J7226" s="301">
        <f>AVERAGE(C7226,C7202,C7178,C7154,C7130,C7106,C7082)</f>
        <v>2582.1428571428573</v>
      </c>
      <c r="K7226" s="301">
        <f>J7226/POBLA!$B$1*100000</f>
        <v>14.720495417845722</v>
      </c>
      <c r="L7226" s="548">
        <f t="shared" ref="L7226:L7273" si="1019">1-SUM(C7226,C7202,C7178,C7154,C7130,C7106,C7082)/SUM(C7058,C7034,C7010,C6986,C6962,C6938,C6914)</f>
        <v>-0.17233104163964197</v>
      </c>
      <c r="M7226" s="400">
        <f>SUM(C7226,C7202,C7178,C7154,C7130,C7106,C7082)/POBLA!$B$1*100000</f>
        <v>103.04346792492005</v>
      </c>
    </row>
    <row r="7227" spans="1:13" s="360" customFormat="1" x14ac:dyDescent="0.25">
      <c r="A7227" s="361" t="s">
        <v>43</v>
      </c>
      <c r="B7227" s="2">
        <v>44194</v>
      </c>
      <c r="C7227" s="1">
        <v>996</v>
      </c>
      <c r="D7227" s="39">
        <f t="shared" si="1014"/>
        <v>172186</v>
      </c>
      <c r="E7227" s="1">
        <v>11</v>
      </c>
      <c r="F7227" s="39">
        <f t="shared" si="1015"/>
        <v>5484</v>
      </c>
      <c r="G7227" s="168">
        <f>SUM(C7227,C7203,C7179,C7155,C7131,C7107,C7083,C7059,C7035,C7011,C6987,C6963,C6939,C6915)/POBLA!$B$2*100000</f>
        <v>275.64940828690948</v>
      </c>
      <c r="H7227" s="256">
        <f t="shared" si="1018"/>
        <v>1.8819089900110988</v>
      </c>
      <c r="I7227" s="297">
        <f t="shared" ref="I7227:I7249" si="1020">G7227*H7227</f>
        <v>518.74709954637478</v>
      </c>
      <c r="J7227" s="297">
        <f t="shared" ref="J7227:J7249" si="1021">AVERAGE(C7227,C7203,C7179,C7155,C7131,C7107,C7083)</f>
        <v>699.71428571428567</v>
      </c>
      <c r="K7227" s="297">
        <f>J7227/POBLA!$B$2*100000</f>
        <v>22.750156738268501</v>
      </c>
      <c r="L7227" s="549">
        <f t="shared" si="1019"/>
        <v>-0.36815642458100561</v>
      </c>
      <c r="M7227" s="401">
        <f>SUM(C7227,C7203,C7179,C7155,C7131,C7107,C7083)/POBLA!$B$2*100000</f>
        <v>159.25109716787952</v>
      </c>
    </row>
    <row r="7228" spans="1:13" s="360" customFormat="1" x14ac:dyDescent="0.25">
      <c r="A7228" s="361" t="s">
        <v>28</v>
      </c>
      <c r="B7228" s="2">
        <v>44194</v>
      </c>
      <c r="C7228" s="1">
        <v>16</v>
      </c>
      <c r="D7228" s="39">
        <f t="shared" si="1014"/>
        <v>2623</v>
      </c>
      <c r="E7228" s="1"/>
      <c r="F7228" s="39">
        <f t="shared" si="1015"/>
        <v>17</v>
      </c>
      <c r="G7228" s="168">
        <f>SUM(C7228,C7204,C7180,C7156,C7132,C7108,C7084,C7060,C7036,C7012,C6988,C6964,C6940,C6916)/POBLA!$B$3*100000</f>
        <v>104.22734559669554</v>
      </c>
      <c r="H7228" s="256">
        <f t="shared" si="1018"/>
        <v>1.4104234527687296</v>
      </c>
      <c r="I7228" s="297">
        <f t="shared" si="1020"/>
        <v>147.00469264941097</v>
      </c>
      <c r="J7228" s="297">
        <f t="shared" si="1021"/>
        <v>32</v>
      </c>
      <c r="K7228" s="297">
        <f>J7228/POBLA!$B$3*100000</f>
        <v>7.7027137623423947</v>
      </c>
      <c r="L7228" s="549">
        <f t="shared" si="1019"/>
        <v>-7.1770334928229707E-2</v>
      </c>
      <c r="M7228" s="401">
        <f>SUM(C7228,C7204,C7180,C7156,C7132,C7108,C7084)/POBLA!$B$3*100000</f>
        <v>53.918996336396759</v>
      </c>
    </row>
    <row r="7229" spans="1:13" s="360" customFormat="1" x14ac:dyDescent="0.25">
      <c r="A7229" s="361" t="s">
        <v>15</v>
      </c>
      <c r="B7229" s="2">
        <v>44194</v>
      </c>
      <c r="C7229" s="1">
        <v>306</v>
      </c>
      <c r="D7229" s="39">
        <f t="shared" si="1014"/>
        <v>24274</v>
      </c>
      <c r="E7229" s="1">
        <v>5</v>
      </c>
      <c r="F7229" s="39">
        <f t="shared" si="1015"/>
        <v>686</v>
      </c>
      <c r="G7229" s="168">
        <f>SUM(C7229,C7205,C7181,C7157,C7133,C7109,C7085,C7061,C7037,C7013,C6989,C6965,C6941,C6917)/POBLA!$B$4*100000</f>
        <v>186.46106691262483</v>
      </c>
      <c r="H7229" s="256">
        <f t="shared" si="1018"/>
        <v>0.92314015618577883</v>
      </c>
      <c r="I7229" s="297">
        <f t="shared" si="1020"/>
        <v>172.12969843228746</v>
      </c>
      <c r="J7229" s="297">
        <f t="shared" si="1021"/>
        <v>151.71428571428572</v>
      </c>
      <c r="K7229" s="297">
        <f>J7229/POBLA!$B$4*100000</f>
        <v>12.595194826434776</v>
      </c>
      <c r="L7229" s="549">
        <f t="shared" si="1019"/>
        <v>0.10304054054054057</v>
      </c>
      <c r="M7229" s="401">
        <f>SUM(C7229,C7205,C7181,C7157,C7133,C7109,C7085)/POBLA!$B$4*100000</f>
        <v>88.16636378504343</v>
      </c>
    </row>
    <row r="7230" spans="1:13" s="360" customFormat="1" x14ac:dyDescent="0.25">
      <c r="A7230" s="361" t="s">
        <v>29</v>
      </c>
      <c r="B7230" s="2">
        <v>44194</v>
      </c>
      <c r="C7230" s="1">
        <v>606</v>
      </c>
      <c r="D7230" s="39">
        <f t="shared" si="1014"/>
        <v>30938</v>
      </c>
      <c r="E7230" s="1">
        <v>2</v>
      </c>
      <c r="F7230" s="39">
        <f t="shared" si="1015"/>
        <v>493</v>
      </c>
      <c r="G7230" s="168">
        <f>SUM(C7230,C7206,C7182,C7158,C7134,C7110,C7086,C7062,C7038,C7014,C6990,C6966,C6942,C6918)/POBLA!$B$5*100000</f>
        <v>691.2829526618998</v>
      </c>
      <c r="H7230" s="256">
        <f t="shared" si="1018"/>
        <v>1.26973293768546</v>
      </c>
      <c r="I7230" s="297">
        <f t="shared" si="1020"/>
        <v>877.74473425527287</v>
      </c>
      <c r="J7230" s="297">
        <f t="shared" si="1021"/>
        <v>290.42857142857144</v>
      </c>
      <c r="K7230" s="297">
        <f>J7230/POBLA!$B$5*100000</f>
        <v>46.919448561467711</v>
      </c>
      <c r="L7230" s="549">
        <f t="shared" si="1019"/>
        <v>9.4835262689225264E-2</v>
      </c>
      <c r="M7230" s="401">
        <f>SUM(C7230,C7206,C7182,C7158,C7134,C7110,C7086)/POBLA!$B$5*100000</f>
        <v>328.43613993027395</v>
      </c>
    </row>
    <row r="7231" spans="1:13" s="360" customFormat="1" x14ac:dyDescent="0.25">
      <c r="A7231" s="361" t="s">
        <v>20</v>
      </c>
      <c r="B7231" s="2">
        <v>44194</v>
      </c>
      <c r="C7231" s="1">
        <v>775</v>
      </c>
      <c r="D7231" s="39">
        <f t="shared" si="1014"/>
        <v>126154</v>
      </c>
      <c r="E7231" s="1">
        <v>2</v>
      </c>
      <c r="F7231" s="39">
        <f t="shared" si="1015"/>
        <v>2461</v>
      </c>
      <c r="G7231" s="168">
        <f>SUM(C7231,C7207,C7183,C7159,C7135,C7111,C7087,C7063,C7039,C7015,C6991,C6967,C6943,C6919)/POBLA!$B$6*100000</f>
        <v>504.37142722035406</v>
      </c>
      <c r="H7231" s="256">
        <f t="shared" si="1018"/>
        <v>1.0317576200036502</v>
      </c>
      <c r="I7231" s="297">
        <f t="shared" si="1020"/>
        <v>520.38906334671685</v>
      </c>
      <c r="J7231" s="297">
        <f t="shared" si="1021"/>
        <v>406.28571428571428</v>
      </c>
      <c r="K7231" s="297">
        <f>J7231/POBLA!$B$6*100000</f>
        <v>36.249585277468015</v>
      </c>
      <c r="L7231" s="549">
        <f t="shared" si="1019"/>
        <v>-1.2459950160199407E-2</v>
      </c>
      <c r="M7231" s="401">
        <f>SUM(C7231,C7207,C7183,C7159,C7135,C7111,C7087)/POBLA!$B$6*100000</f>
        <v>253.74709694227613</v>
      </c>
    </row>
    <row r="7232" spans="1:13" s="360" customFormat="1" x14ac:dyDescent="0.25">
      <c r="A7232" s="361" t="s">
        <v>30</v>
      </c>
      <c r="B7232" s="2">
        <v>44194</v>
      </c>
      <c r="C7232" s="1">
        <v>216</v>
      </c>
      <c r="D7232" s="39">
        <f t="shared" si="1014"/>
        <v>11782</v>
      </c>
      <c r="E7232" s="1">
        <v>5</v>
      </c>
      <c r="F7232" s="39">
        <f t="shared" si="1015"/>
        <v>163</v>
      </c>
      <c r="G7232" s="168">
        <f>SUM(C7232,C7208,C7184,C7160,C7136,C7112,C7088,C7064,C7040,C7016,C6992,C6968,C6944,C6920)/POBLA!$B$7*100000</f>
        <v>52.81282825193793</v>
      </c>
      <c r="H7232" s="256">
        <f t="shared" si="1018"/>
        <v>0.792814371257485</v>
      </c>
      <c r="I7232" s="297">
        <f t="shared" si="1020"/>
        <v>41.870769224889713</v>
      </c>
      <c r="J7232" s="297">
        <f t="shared" si="1021"/>
        <v>132.57142857142858</v>
      </c>
      <c r="K7232" s="297">
        <f>J7232/POBLA!$B$7*100000</f>
        <v>3.5254139417205015</v>
      </c>
      <c r="L7232" s="549">
        <f t="shared" si="1019"/>
        <v>0.12287334593572774</v>
      </c>
      <c r="M7232" s="401">
        <f>SUM(C7232,C7208,C7184,C7160,C7136,C7112,C7088)/POBLA!$B$7*100000</f>
        <v>24.677897592043504</v>
      </c>
    </row>
    <row r="7233" spans="1:13" x14ac:dyDescent="0.25">
      <c r="A7233" s="361" t="s">
        <v>31</v>
      </c>
      <c r="B7233" s="2">
        <v>44194</v>
      </c>
      <c r="C7233" s="1">
        <v>327</v>
      </c>
      <c r="D7233" s="39">
        <f t="shared" si="1014"/>
        <v>28583</v>
      </c>
      <c r="E7233" s="1">
        <v>2</v>
      </c>
      <c r="F7233" s="39">
        <f t="shared" si="1015"/>
        <v>576</v>
      </c>
      <c r="G7233" s="168">
        <f>SUM(C7233,C7209,C7185,C7161,C7137,C7113,C7089,C7065,C7041,C7017,C6993,C6969,C6945,C6921)/POBLA!$B$8*100000</f>
        <v>191.63598398511934</v>
      </c>
      <c r="H7233" s="256">
        <f t="shared" si="1018"/>
        <v>1.0961617829137433</v>
      </c>
      <c r="I7233" s="297">
        <f t="shared" si="1020"/>
        <v>210.06404187555799</v>
      </c>
      <c r="J7233" s="297">
        <f t="shared" si="1021"/>
        <v>205.71428571428572</v>
      </c>
      <c r="K7233" s="297">
        <f>J7233/POBLA!$B$8*100000</f>
        <v>14.842718208830243</v>
      </c>
      <c r="L7233" s="549">
        <f t="shared" si="1019"/>
        <v>-0.18421052631578938</v>
      </c>
      <c r="M7233" s="401">
        <f>SUM(C7233,C7209,C7185,C7161,C7137,C7113,C7089)/POBLA!$B$8*100000</f>
        <v>103.8990274618117</v>
      </c>
    </row>
    <row r="7234" spans="1:13" s="360" customFormat="1" x14ac:dyDescent="0.25">
      <c r="A7234" s="361" t="s">
        <v>41</v>
      </c>
      <c r="B7234" s="2">
        <v>44194</v>
      </c>
      <c r="C7234" s="1">
        <v>-9</v>
      </c>
      <c r="D7234" s="39">
        <f t="shared" si="1014"/>
        <v>212</v>
      </c>
      <c r="E7234" s="1"/>
      <c r="F7234" s="39">
        <f t="shared" si="1015"/>
        <v>3</v>
      </c>
      <c r="G7234" s="168">
        <f>SUM(C7234,C7210,C7186,C7162,C7138,C7114,C7090,C7066,C7042,C7018,C6994,C6970,C6946,C6922)/POBLA!$B$9*100000</f>
        <v>2.4785481656265027</v>
      </c>
      <c r="H7234" s="256">
        <f t="shared" si="1018"/>
        <v>1.0714285714285714</v>
      </c>
      <c r="I7234" s="297">
        <f t="shared" si="1020"/>
        <v>2.65558732031411</v>
      </c>
      <c r="J7234" s="297">
        <f t="shared" si="1021"/>
        <v>0.2857142857142857</v>
      </c>
      <c r="K7234" s="297">
        <f>J7234/POBLA!$B$9*100000</f>
        <v>4.7210441250028622E-2</v>
      </c>
      <c r="L7234" s="549">
        <f t="shared" si="1019"/>
        <v>0.84615384615384615</v>
      </c>
      <c r="M7234" s="401">
        <f>SUM(C7234,C7210,C7186,C7162,C7138,C7114,C7090)/POBLA!$B$9*100000</f>
        <v>0.33047308875020037</v>
      </c>
    </row>
    <row r="7235" spans="1:13" s="360" customFormat="1" x14ac:dyDescent="0.25">
      <c r="A7235" s="361" t="s">
        <v>32</v>
      </c>
      <c r="B7235" s="2">
        <v>44194</v>
      </c>
      <c r="C7235" s="1">
        <v>14</v>
      </c>
      <c r="D7235" s="39">
        <f t="shared" si="1014"/>
        <v>18523</v>
      </c>
      <c r="E7235" s="1"/>
      <c r="F7235" s="39">
        <f t="shared" si="1015"/>
        <v>858</v>
      </c>
      <c r="G7235" s="168">
        <f>SUM(C7235,C7211,C7187,C7163,C7139,C7115,C7091,C7067,C7043,C7019,C6995,C6971,C6947,C6923)/POBLA!$B$10*100000</f>
        <v>8.3021893132662505</v>
      </c>
      <c r="H7235" s="256">
        <f t="shared" si="1018"/>
        <v>1.032258064516129</v>
      </c>
      <c r="I7235" s="297">
        <f t="shared" si="1020"/>
        <v>8.5700018717587092</v>
      </c>
      <c r="J7235" s="297">
        <f t="shared" si="1021"/>
        <v>5.4285714285714288</v>
      </c>
      <c r="K7235" s="297">
        <f>J7235/POBLA!$B$10*100000</f>
        <v>0.70420355782169086</v>
      </c>
      <c r="L7235" s="549">
        <f t="shared" si="1019"/>
        <v>-0.46153846153846145</v>
      </c>
      <c r="M7235" s="401">
        <f>SUM(C7235,C7211,C7187,C7163,C7139,C7115,C7091)/POBLA!$B$10*100000</f>
        <v>4.9294249047518361</v>
      </c>
    </row>
    <row r="7236" spans="1:13" s="360" customFormat="1" x14ac:dyDescent="0.25">
      <c r="A7236" s="361" t="s">
        <v>33</v>
      </c>
      <c r="B7236" s="2">
        <v>44194</v>
      </c>
      <c r="C7236" s="1">
        <v>314</v>
      </c>
      <c r="D7236" s="39">
        <f t="shared" si="1014"/>
        <v>10228</v>
      </c>
      <c r="E7236" s="1"/>
      <c r="F7236" s="39">
        <f t="shared" si="1015"/>
        <v>124</v>
      </c>
      <c r="G7236" s="168">
        <f>SUM(C7236,C7212,C7188,C7164,C7140,C7116,C7092,C7068,C7044,C7020,C6996,C6972,C6948,C6924)/POBLA!$B$11*100000</f>
        <v>822.2013905163659</v>
      </c>
      <c r="H7236" s="256">
        <f t="shared" si="1018"/>
        <v>2.0930397727272729</v>
      </c>
      <c r="I7236" s="297">
        <f t="shared" si="1020"/>
        <v>1720.9002115424223</v>
      </c>
      <c r="J7236" s="297">
        <f t="shared" si="1021"/>
        <v>221.28571428571428</v>
      </c>
      <c r="K7236" s="297">
        <f>J7236/POBLA!$B$11*100000</f>
        <v>61.737842547377518</v>
      </c>
      <c r="L7236" s="549">
        <f t="shared" si="1019"/>
        <v>-0.10801144492131609</v>
      </c>
      <c r="M7236" s="401">
        <f>SUM(C7236,C7212,C7188,C7164,C7140,C7116,C7092)/POBLA!$B$11*100000</f>
        <v>432.16489783164263</v>
      </c>
    </row>
    <row r="7237" spans="1:13" s="360" customFormat="1" x14ac:dyDescent="0.25">
      <c r="A7237" s="361" t="s">
        <v>21</v>
      </c>
      <c r="B7237" s="2">
        <v>44194</v>
      </c>
      <c r="C7237" s="1">
        <v>3</v>
      </c>
      <c r="D7237" s="39">
        <f t="shared" si="1014"/>
        <v>9075</v>
      </c>
      <c r="E7237" s="1"/>
      <c r="F7237" s="39">
        <f t="shared" si="1015"/>
        <v>388</v>
      </c>
      <c r="G7237" s="168">
        <f>SUM(C7237,C7213,C7189,C7165,C7141,C7117,C7093,C7069,C7045,C7021,C6997,C6973,C6949,C6925)/POBLA!$B$12*100000</f>
        <v>31.763698412577408</v>
      </c>
      <c r="H7237" s="256">
        <f t="shared" si="1018"/>
        <v>0.58139534883720934</v>
      </c>
      <c r="I7237" s="297">
        <f t="shared" si="1020"/>
        <v>18.467266518940356</v>
      </c>
      <c r="J7237" s="297">
        <f t="shared" si="1021"/>
        <v>7.4285714285714288</v>
      </c>
      <c r="K7237" s="297">
        <f>J7237/POBLA!$B$12*100000</f>
        <v>1.8876712199474572</v>
      </c>
      <c r="L7237" s="549">
        <f t="shared" si="1019"/>
        <v>0.28767123287671237</v>
      </c>
      <c r="M7237" s="401">
        <f>SUM(C7237,C7213,C7189,C7165,C7141,C7117,C7093)/POBLA!$B$12*100000</f>
        <v>13.213698539632201</v>
      </c>
    </row>
    <row r="7238" spans="1:13" s="360" customFormat="1" x14ac:dyDescent="0.25">
      <c r="A7238" s="361" t="s">
        <v>17</v>
      </c>
      <c r="B7238" s="2">
        <v>44194</v>
      </c>
      <c r="C7238" s="1">
        <v>161</v>
      </c>
      <c r="D7238" s="39">
        <f t="shared" si="1014"/>
        <v>59847</v>
      </c>
      <c r="E7238" s="1">
        <v>7</v>
      </c>
      <c r="F7238" s="39">
        <f t="shared" si="1015"/>
        <v>1229</v>
      </c>
      <c r="G7238" s="168">
        <f>SUM(C7238,C7214,C7190,C7166,C7142,C7118,C7094,C7070,C7046,C7022,C6998,C6974,C6950,C6926)/POBLA!$B$13*100000</f>
        <v>66.370636545149623</v>
      </c>
      <c r="H7238" s="256">
        <f t="shared" si="1018"/>
        <v>0.76936517181129882</v>
      </c>
      <c r="I7238" s="297">
        <f t="shared" si="1020"/>
        <v>51.063256188784308</v>
      </c>
      <c r="J7238" s="297">
        <f t="shared" si="1021"/>
        <v>94</v>
      </c>
      <c r="K7238" s="297">
        <f>J7238/POBLA!$B$13*100000</f>
        <v>4.722815923727528</v>
      </c>
      <c r="L7238" s="549">
        <f t="shared" si="1019"/>
        <v>7.541478129713397E-3</v>
      </c>
      <c r="M7238" s="401">
        <f>SUM(C7238,C7214,C7190,C7166,C7142,C7118,C7094)/POBLA!$B$13*100000</f>
        <v>33.059711466092693</v>
      </c>
    </row>
    <row r="7239" spans="1:13" s="360" customFormat="1" x14ac:dyDescent="0.25">
      <c r="A7239" s="361" t="s">
        <v>23</v>
      </c>
      <c r="B7239" s="2">
        <v>44194</v>
      </c>
      <c r="C7239" s="1">
        <v>30</v>
      </c>
      <c r="D7239" s="39">
        <f t="shared" si="1014"/>
        <v>1044</v>
      </c>
      <c r="E7239" s="1"/>
      <c r="F7239" s="39">
        <f t="shared" si="1015"/>
        <v>11</v>
      </c>
      <c r="G7239" s="168">
        <f>SUM(C7239,C7215,C7191,C7167,C7143,C7119,C7095,C7071,C7047,C7023,C6999,C6975,C6951,C6927)/POBLA!$B$14*100000</f>
        <v>27.035726801205747</v>
      </c>
      <c r="H7239" s="256">
        <f t="shared" si="1018"/>
        <v>1.8532608695652173</v>
      </c>
      <c r="I7239" s="297">
        <f t="shared" si="1020"/>
        <v>50.104254560930215</v>
      </c>
      <c r="J7239" s="297">
        <f t="shared" si="1021"/>
        <v>22.285714285714285</v>
      </c>
      <c r="K7239" s="297">
        <f>J7239/POBLA!$B$14*100000</f>
        <v>1.7668929120184735</v>
      </c>
      <c r="L7239" s="549">
        <f t="shared" si="1019"/>
        <v>0.15675675675675671</v>
      </c>
      <c r="M7239" s="401">
        <f>SUM(C7239,C7215,C7191,C7167,C7143,C7119,C7095)/POBLA!$B$14*100000</f>
        <v>12.368250384129313</v>
      </c>
    </row>
    <row r="7240" spans="1:13" s="360" customFormat="1" x14ac:dyDescent="0.25">
      <c r="A7240" s="361" t="s">
        <v>19</v>
      </c>
      <c r="B7240" s="2">
        <v>44194</v>
      </c>
      <c r="C7240" s="1">
        <v>558</v>
      </c>
      <c r="D7240" s="39">
        <f t="shared" si="1014"/>
        <v>40129</v>
      </c>
      <c r="E7240" s="1"/>
      <c r="F7240" s="39">
        <f t="shared" si="1015"/>
        <v>688</v>
      </c>
      <c r="G7240" s="168">
        <f>SUM(C7240,C7216,C7192,C7168,C7144,C7120,C7096,C7072,C7048,C7024,C7000,C6976,C6952,C6928)/POBLA!$B$15*100000</f>
        <v>420.1446562569177</v>
      </c>
      <c r="H7240" s="256">
        <f t="shared" si="1018"/>
        <v>0.56626750558148975</v>
      </c>
      <c r="I7240" s="297">
        <f t="shared" si="1020"/>
        <v>237.91426648199723</v>
      </c>
      <c r="J7240" s="297">
        <f t="shared" si="1021"/>
        <v>212.28571428571428</v>
      </c>
      <c r="K7240" s="297">
        <f>J7240/POBLA!$B$15*100000</f>
        <v>31.967995862661528</v>
      </c>
      <c r="L7240" s="549">
        <f t="shared" si="1019"/>
        <v>-0.13957055214723924</v>
      </c>
      <c r="M7240" s="401">
        <f>SUM(C7240,C7216,C7192,C7168,C7144,C7120,C7096)/POBLA!$B$15*100000</f>
        <v>223.77597103863073</v>
      </c>
    </row>
    <row r="7241" spans="1:13" s="360" customFormat="1" x14ac:dyDescent="0.25">
      <c r="A7241" s="361" t="s">
        <v>18</v>
      </c>
      <c r="B7241" s="2">
        <v>44194</v>
      </c>
      <c r="C7241" s="1">
        <v>387</v>
      </c>
      <c r="D7241" s="39">
        <f t="shared" si="1014"/>
        <v>37927</v>
      </c>
      <c r="E7241" s="1">
        <v>3</v>
      </c>
      <c r="F7241" s="39">
        <f t="shared" si="1015"/>
        <v>893</v>
      </c>
      <c r="G7241" s="168">
        <f>SUM(C7241,C7217,C7193,C7169,C7145,C7121,C7097,C7073,C7049,C7025,C7001,C6977,C6953,C6929)/POBLA!$B$16*100000</f>
        <v>437.3938283329544</v>
      </c>
      <c r="H7241" s="256">
        <f t="shared" si="1018"/>
        <v>1.207533234859675</v>
      </c>
      <c r="I7241" s="297">
        <f t="shared" si="1020"/>
        <v>528.16758443454978</v>
      </c>
      <c r="J7241" s="297">
        <f t="shared" si="1021"/>
        <v>233.42857142857142</v>
      </c>
      <c r="K7241" s="297">
        <f>J7241/POBLA!$B$16*100000</f>
        <v>31.223307797992458</v>
      </c>
      <c r="L7241" s="549">
        <f t="shared" si="1019"/>
        <v>1.2224938875305957E-3</v>
      </c>
      <c r="M7241" s="401">
        <f>SUM(C7241,C7217,C7193,C7169,C7145,C7121,C7097)/POBLA!$B$16*100000</f>
        <v>218.56315458594722</v>
      </c>
    </row>
    <row r="7242" spans="1:13" s="360" customFormat="1" x14ac:dyDescent="0.25">
      <c r="A7242" s="361" t="s">
        <v>34</v>
      </c>
      <c r="B7242" s="2">
        <v>44194</v>
      </c>
      <c r="C7242" s="1">
        <v>40</v>
      </c>
      <c r="D7242" s="39">
        <f t="shared" si="1014"/>
        <v>22256</v>
      </c>
      <c r="E7242" s="1">
        <v>3</v>
      </c>
      <c r="F7242" s="39">
        <f t="shared" si="1015"/>
        <v>1018</v>
      </c>
      <c r="G7242" s="168">
        <f>SUM(C7242,C7218,C7194,C7170,C7146,C7122,C7098,C7074,C7050,C7026,C7002,C6978,C6954,C6930)/POBLA!$B$17*100000</f>
        <v>40.508369506535047</v>
      </c>
      <c r="H7242" s="256">
        <f t="shared" si="1018"/>
        <v>1.2096436058700211</v>
      </c>
      <c r="I7242" s="297">
        <f t="shared" si="1020"/>
        <v>49.000690157800257</v>
      </c>
      <c r="J7242" s="297">
        <f t="shared" si="1021"/>
        <v>34.285714285714285</v>
      </c>
      <c r="K7242" s="297">
        <f>J7242/POBLA!$B$17*100000</f>
        <v>2.4070335928617013</v>
      </c>
      <c r="L7242" s="549">
        <f t="shared" si="1019"/>
        <v>0.28783382789317502</v>
      </c>
      <c r="M7242" s="401">
        <f>SUM(C7242,C7218,C7194,C7170,C7146,C7122,C7098)/POBLA!$B$17*100000</f>
        <v>16.849235150031909</v>
      </c>
    </row>
    <row r="7243" spans="1:13" s="360" customFormat="1" x14ac:dyDescent="0.25">
      <c r="A7243" s="361" t="s">
        <v>35</v>
      </c>
      <c r="B7243" s="2">
        <v>44194</v>
      </c>
      <c r="C7243" s="1">
        <v>305</v>
      </c>
      <c r="D7243" s="39">
        <f t="shared" si="1014"/>
        <v>11355</v>
      </c>
      <c r="E7243" s="1">
        <v>1</v>
      </c>
      <c r="F7243" s="39">
        <f t="shared" si="1015"/>
        <v>198</v>
      </c>
      <c r="G7243" s="168">
        <f>SUM(C7243,C7219,C7195,C7171,C7147,C7123,C7099,C7075,C7051,C7027,C7003,C6979,C6955,C6931)/POBLA!$B$18*100000</f>
        <v>213.76902960381045</v>
      </c>
      <c r="H7243" s="256">
        <f t="shared" si="1018"/>
        <v>0.89400428265524623</v>
      </c>
      <c r="I7243" s="297">
        <f t="shared" si="1020"/>
        <v>191.11042796486265</v>
      </c>
      <c r="J7243" s="297">
        <f t="shared" si="1021"/>
        <v>98.571428571428569</v>
      </c>
      <c r="K7243" s="297">
        <f>J7243/POBLA!$B$18*100000</f>
        <v>12.617675827769821</v>
      </c>
      <c r="L7243" s="549">
        <f t="shared" si="1019"/>
        <v>0.29591836734693877</v>
      </c>
      <c r="M7243" s="401">
        <f>SUM(C7243,C7219,C7195,C7171,C7147,C7123,C7099)/POBLA!$B$18*100000</f>
        <v>88.323730794388752</v>
      </c>
    </row>
    <row r="7244" spans="1:13" s="360" customFormat="1" x14ac:dyDescent="0.25">
      <c r="A7244" s="361" t="s">
        <v>36</v>
      </c>
      <c r="B7244" s="2">
        <v>44194</v>
      </c>
      <c r="C7244" s="1">
        <v>55</v>
      </c>
      <c r="D7244" s="39">
        <f t="shared" si="1014"/>
        <v>16121</v>
      </c>
      <c r="E7244" s="1">
        <v>4</v>
      </c>
      <c r="F7244" s="39">
        <f t="shared" si="1015"/>
        <v>300</v>
      </c>
      <c r="G7244" s="168">
        <f>SUM(C7244,C7220,C7196,C7172,C7148,C7124,C7100,C7076,C7052,C7028,C7004,C6980,C6956,C6932)/POBLA!$B$19*100000</f>
        <v>93.837050093640329</v>
      </c>
      <c r="H7244" s="256">
        <f t="shared" si="1018"/>
        <v>0.50961538461538458</v>
      </c>
      <c r="I7244" s="297">
        <f t="shared" si="1020"/>
        <v>47.820804374643629</v>
      </c>
      <c r="J7244" s="297">
        <f t="shared" si="1021"/>
        <v>25.714285714285715</v>
      </c>
      <c r="K7244" s="297">
        <f>J7244/POBLA!$B$19*100000</f>
        <v>5.0586010832151125</v>
      </c>
      <c r="L7244" s="549">
        <f t="shared" si="1019"/>
        <v>0.39393939393939392</v>
      </c>
      <c r="M7244" s="401">
        <f>SUM(C7244,C7220,C7196,C7172,C7148,C7124,C7100)/POBLA!$B$19*100000</f>
        <v>35.410207582505784</v>
      </c>
    </row>
    <row r="7245" spans="1:13" s="360" customFormat="1" x14ac:dyDescent="0.25">
      <c r="A7245" s="361" t="s">
        <v>37</v>
      </c>
      <c r="B7245" s="2">
        <v>44194</v>
      </c>
      <c r="C7245" s="1">
        <v>397</v>
      </c>
      <c r="D7245" s="39">
        <f t="shared" si="1014"/>
        <v>22901</v>
      </c>
      <c r="E7245" s="1">
        <v>4</v>
      </c>
      <c r="F7245" s="39">
        <f t="shared" si="1015"/>
        <v>377</v>
      </c>
      <c r="G7245" s="168">
        <f>SUM(C7245,C7221,C7197,C7173,C7149,C7125,C7101,C7077,C7053,C7029,C7005,C6981,C6957,C6933)/POBLA!$B$20*100000</f>
        <v>972.11360193383609</v>
      </c>
      <c r="H7245" s="256">
        <f t="shared" si="1018"/>
        <v>1.144927536231884</v>
      </c>
      <c r="I7245" s="297">
        <f t="shared" si="1020"/>
        <v>1112.9996311996094</v>
      </c>
      <c r="J7245" s="297">
        <f t="shared" si="1021"/>
        <v>249.42857142857142</v>
      </c>
      <c r="K7245" s="297">
        <f>J7245/POBLA!$B$20*100000</f>
        <v>68.206162305665174</v>
      </c>
      <c r="L7245" s="549">
        <f t="shared" si="1019"/>
        <v>3.4825870646766122E-2</v>
      </c>
      <c r="M7245" s="401">
        <f>SUM(C7245,C7221,C7197,C7173,C7149,C7125,C7101)/POBLA!$B$20*100000</f>
        <v>477.44313613965619</v>
      </c>
    </row>
    <row r="7246" spans="1:13" s="360" customFormat="1" x14ac:dyDescent="0.25">
      <c r="A7246" s="361" t="s">
        <v>22</v>
      </c>
      <c r="B7246" s="2">
        <v>44194</v>
      </c>
      <c r="C7246" s="1">
        <v>1226</v>
      </c>
      <c r="D7246" s="39">
        <f t="shared" si="1014"/>
        <v>173714</v>
      </c>
      <c r="E7246" s="1">
        <v>17</v>
      </c>
      <c r="F7246" s="39">
        <f t="shared" si="1015"/>
        <v>2915</v>
      </c>
      <c r="G7246" s="168">
        <f>SUM(C7246,C7222,C7198,C7174,C7150,C7126,C7102,C7078,C7054,C7030,C7006,C6982,C6958,C6934)/POBLA!$B$21*100000</f>
        <v>332.20054869079394</v>
      </c>
      <c r="H7246" s="256">
        <f t="shared" si="1018"/>
        <v>0.90431837425910244</v>
      </c>
      <c r="I7246" s="297">
        <f t="shared" si="1020"/>
        <v>300.41506012004055</v>
      </c>
      <c r="J7246" s="297">
        <f t="shared" si="1021"/>
        <v>720.28571428571433</v>
      </c>
      <c r="K7246" s="297">
        <f>J7246/POBLA!$B$21*100000</f>
        <v>20.367663389500741</v>
      </c>
      <c r="L7246" s="549">
        <f t="shared" si="1019"/>
        <v>0.2481359976140769</v>
      </c>
      <c r="M7246" s="401">
        <f>SUM(C7246,C7222,C7198,C7174,C7150,C7126,C7102)/POBLA!$B$21*100000</f>
        <v>142.57364372650517</v>
      </c>
    </row>
    <row r="7247" spans="1:13" s="360" customFormat="1" x14ac:dyDescent="0.25">
      <c r="A7247" s="361" t="s">
        <v>38</v>
      </c>
      <c r="B7247" s="2">
        <v>44194</v>
      </c>
      <c r="C7247" s="1">
        <v>75</v>
      </c>
      <c r="D7247" s="39">
        <f t="shared" si="1014"/>
        <v>17207</v>
      </c>
      <c r="E7247" s="1">
        <v>1</v>
      </c>
      <c r="F7247" s="39">
        <f t="shared" si="1015"/>
        <v>218</v>
      </c>
      <c r="G7247" s="168">
        <f>SUM(C7247,C7223,C7199,C7175,C7151,C7127,C7103,C7079,C7055,C7031,C7007,C6983,C6959,C6935)/POBLA!$B$22*100000</f>
        <v>65.009869029645927</v>
      </c>
      <c r="H7247" s="256">
        <f t="shared" si="1018"/>
        <v>0.74212368728121358</v>
      </c>
      <c r="I7247" s="297">
        <f t="shared" si="1020"/>
        <v>48.245363713949608</v>
      </c>
      <c r="J7247" s="297">
        <f t="shared" si="1021"/>
        <v>53.428571428571431</v>
      </c>
      <c r="K7247" s="297">
        <f>J7247/POBLA!$B$22*100000</f>
        <v>5.4612962751769043</v>
      </c>
      <c r="L7247" s="549">
        <f t="shared" si="1019"/>
        <v>-0.4274809160305344</v>
      </c>
      <c r="M7247" s="401">
        <f>SUM(C7247,C7223,C7199,C7175,C7151,C7127,C7103)/POBLA!$B$22*100000</f>
        <v>38.229073926238335</v>
      </c>
    </row>
    <row r="7248" spans="1:13" s="360" customFormat="1" x14ac:dyDescent="0.25">
      <c r="A7248" s="361" t="s">
        <v>39</v>
      </c>
      <c r="B7248" s="2">
        <v>44194</v>
      </c>
      <c r="C7248" s="1">
        <v>159</v>
      </c>
      <c r="D7248" s="39">
        <f t="shared" si="1014"/>
        <v>18961</v>
      </c>
      <c r="E7248" s="1"/>
      <c r="F7248" s="39">
        <f t="shared" si="1015"/>
        <v>248</v>
      </c>
      <c r="G7248" s="168">
        <f>SUM(C7248,C7224,C7200,C7176,C7152,C7128,C7104,C7080,C7056,C7032,C7008,C6984,C6960,C6936)/POBLA!$B$23*100000</f>
        <v>685.40406039699144</v>
      </c>
      <c r="H7248" s="256">
        <f t="shared" si="1018"/>
        <v>0.81396910678307588</v>
      </c>
      <c r="I7248" s="297">
        <f t="shared" si="1020"/>
        <v>557.89773082683257</v>
      </c>
      <c r="J7248" s="297">
        <f t="shared" si="1021"/>
        <v>101</v>
      </c>
      <c r="K7248" s="297">
        <f>J7248/POBLA!$B$23*100000</f>
        <v>57.11700503308262</v>
      </c>
      <c r="L7248" s="549">
        <f t="shared" si="1019"/>
        <v>-0.39999999999999991</v>
      </c>
      <c r="M7248" s="401">
        <f>SUM(C7248,C7224,C7200,C7176,C7152,C7128,C7104)/POBLA!$B$23*100000</f>
        <v>399.81903523157837</v>
      </c>
    </row>
    <row r="7249" spans="1:13" s="360" customFormat="1" ht="15.75" thickBot="1" x14ac:dyDescent="0.3">
      <c r="A7249" s="361" t="s">
        <v>40</v>
      </c>
      <c r="B7249" s="2">
        <v>44194</v>
      </c>
      <c r="C7249" s="1">
        <v>276</v>
      </c>
      <c r="D7249" s="39">
        <f t="shared" si="1014"/>
        <v>70843</v>
      </c>
      <c r="E7249" s="1">
        <v>17</v>
      </c>
      <c r="F7249" s="39">
        <f t="shared" si="1015"/>
        <v>1353</v>
      </c>
      <c r="G7249" s="177">
        <f>SUM(C7249,C7225,C7201,C7177,C7153,C7129,C7105,C7081,C7057,C7033,C7009,C6985,C6961,C6937)/POBLA!$B$24*100000</f>
        <v>117.30994372899279</v>
      </c>
      <c r="H7249" s="402">
        <f t="shared" si="1018"/>
        <v>0.75877862595419843</v>
      </c>
      <c r="I7249" s="403">
        <f t="shared" si="1020"/>
        <v>89.012277913449481</v>
      </c>
      <c r="J7249" s="403">
        <f t="shared" si="1021"/>
        <v>118</v>
      </c>
      <c r="K7249" s="403">
        <f>J7249/POBLA!$B$24*100000</f>
        <v>6.9630650704331734</v>
      </c>
      <c r="L7249" s="550">
        <f t="shared" si="1019"/>
        <v>0.28915662650602414</v>
      </c>
      <c r="M7249" s="405">
        <f>SUM(C7249,C7225,C7201,C7177,C7153,C7129,C7105)/POBLA!$B$24*100000</f>
        <v>48.741455493032213</v>
      </c>
    </row>
    <row r="7250" spans="1:13" s="360" customFormat="1" x14ac:dyDescent="0.25">
      <c r="A7250" s="361" t="s">
        <v>16</v>
      </c>
      <c r="B7250" s="2">
        <v>44195</v>
      </c>
      <c r="C7250" s="1">
        <v>4761</v>
      </c>
      <c r="D7250" s="39">
        <f t="shared" ref="D7250:D7313" si="1022">C7250+D7226</f>
        <v>680041</v>
      </c>
      <c r="E7250" s="1">
        <v>36</v>
      </c>
      <c r="F7250" s="39">
        <f t="shared" ref="F7250:F7313" si="1023">E7250+F7226</f>
        <v>22291</v>
      </c>
      <c r="G7250" s="175">
        <f>SUM(C7250,C7226,C7202,C7178,C7154,C7130,C7106,C7082,C7058,C7034,C7010,C6986,C6962,C6938)/POBLA!$B$1*100000</f>
        <v>204.84984414639845</v>
      </c>
      <c r="H7250" s="300">
        <f t="shared" si="1018"/>
        <v>1.6846225972808251</v>
      </c>
      <c r="I7250" s="301">
        <f>G7250*H7250</f>
        <v>345.09467649847801</v>
      </c>
      <c r="J7250" s="301">
        <f>AVERAGE(C7250,C7226,C7202,C7178,C7154,C7130,C7106)</f>
        <v>2767</v>
      </c>
      <c r="K7250" s="301">
        <f>J7250/POBLA!$B$1*100000</f>
        <v>15.774344439737416</v>
      </c>
      <c r="L7250" s="548">
        <f t="shared" si="1019"/>
        <v>-0.16934315382757781</v>
      </c>
      <c r="M7250" s="400">
        <f>SUM(C7250,C7226,C7202,C7178,C7154,C7130,C7106)/POBLA!$B$1*100000</f>
        <v>110.42041107816191</v>
      </c>
    </row>
    <row r="7251" spans="1:13" s="360" customFormat="1" x14ac:dyDescent="0.25">
      <c r="A7251" s="361" t="s">
        <v>43</v>
      </c>
      <c r="B7251" s="2">
        <v>44195</v>
      </c>
      <c r="C7251" s="1">
        <v>1076</v>
      </c>
      <c r="D7251" s="39">
        <f t="shared" si="1022"/>
        <v>173262</v>
      </c>
      <c r="E7251" s="1">
        <v>15</v>
      </c>
      <c r="F7251" s="39">
        <f t="shared" si="1023"/>
        <v>5499</v>
      </c>
      <c r="G7251" s="168">
        <f>SUM(C7251,C7227,C7203,C7179,C7155,C7131,C7107,C7083,C7059,C7035,C7011,C6987,C6963,C6939)/POBLA!$B$2*100000</f>
        <v>297.82361169003195</v>
      </c>
      <c r="H7251" s="256">
        <f t="shared" si="1018"/>
        <v>1.9943392118441106</v>
      </c>
      <c r="I7251" s="297">
        <f t="shared" ref="I7251:I7273" si="1024">G7251*H7251</f>
        <v>593.96130700646472</v>
      </c>
      <c r="J7251" s="297">
        <f t="shared" ref="J7251:J7273" si="1025">AVERAGE(C7251,C7227,C7203,C7179,C7155,C7131,C7107)</f>
        <v>754.85714285714289</v>
      </c>
      <c r="K7251" s="297">
        <f>J7251/POBLA!$B$2*100000</f>
        <v>24.543043733158591</v>
      </c>
      <c r="L7251" s="549">
        <f t="shared" si="1019"/>
        <v>-0.36326109391124861</v>
      </c>
      <c r="M7251" s="401">
        <f>SUM(C7251,C7227,C7203,C7179,C7155,C7131,C7107)/POBLA!$B$2*100000</f>
        <v>171.80130613211014</v>
      </c>
    </row>
    <row r="7252" spans="1:13" s="360" customFormat="1" x14ac:dyDescent="0.25">
      <c r="A7252" s="361" t="s">
        <v>28</v>
      </c>
      <c r="B7252" s="2">
        <v>44195</v>
      </c>
      <c r="C7252" s="1">
        <v>62</v>
      </c>
      <c r="D7252" s="39">
        <f t="shared" si="1022"/>
        <v>2685</v>
      </c>
      <c r="E7252" s="1"/>
      <c r="F7252" s="39">
        <f t="shared" si="1023"/>
        <v>17</v>
      </c>
      <c r="G7252" s="168">
        <f>SUM(C7252,C7228,C7204,C7180,C7156,C7132,C7108,C7084,C7060,C7036,C7012,C6988,C6964,C6940)/POBLA!$B$3*100000</f>
        <v>114.33715740976993</v>
      </c>
      <c r="H7252" s="256">
        <f t="shared" si="1018"/>
        <v>1.4890282131661443</v>
      </c>
      <c r="I7252" s="297">
        <f t="shared" si="1024"/>
        <v>170.25125319636589</v>
      </c>
      <c r="J7252" s="297">
        <f t="shared" si="1025"/>
        <v>38.285714285714285</v>
      </c>
      <c r="K7252" s="297">
        <f>J7252/POBLA!$B$3*100000</f>
        <v>9.2157468228025081</v>
      </c>
      <c r="L7252" s="549">
        <f t="shared" si="1019"/>
        <v>-0.29468599033816423</v>
      </c>
      <c r="M7252" s="401">
        <f>SUM(C7252,C7228,C7204,C7180,C7156,C7132,C7108)/POBLA!$B$3*100000</f>
        <v>64.510227759617564</v>
      </c>
    </row>
    <row r="7253" spans="1:13" s="360" customFormat="1" x14ac:dyDescent="0.25">
      <c r="A7253" s="361" t="s">
        <v>15</v>
      </c>
      <c r="B7253" s="2">
        <v>44195</v>
      </c>
      <c r="C7253" s="1">
        <v>249</v>
      </c>
      <c r="D7253" s="39">
        <f t="shared" si="1022"/>
        <v>24523</v>
      </c>
      <c r="E7253" s="1">
        <v>6</v>
      </c>
      <c r="F7253" s="39">
        <f t="shared" si="1023"/>
        <v>692</v>
      </c>
      <c r="G7253" s="168">
        <f>SUM(C7253,C7229,C7205,C7181,C7157,C7133,C7109,C7085,C7061,C7037,C7013,C6989,C6965,C6941)/POBLA!$B$4*100000</f>
        <v>191.60825575883263</v>
      </c>
      <c r="H7253" s="256">
        <f t="shared" si="1018"/>
        <v>0.95293146160198183</v>
      </c>
      <c r="I7253" s="297">
        <f t="shared" si="1024"/>
        <v>182.58953521527073</v>
      </c>
      <c r="J7253" s="297">
        <f t="shared" si="1025"/>
        <v>153.57142857142858</v>
      </c>
      <c r="K7253" s="297">
        <f>J7253/POBLA!$B$4*100000</f>
        <v>12.749373294178328</v>
      </c>
      <c r="L7253" s="549">
        <f t="shared" si="1019"/>
        <v>0.12814274128142744</v>
      </c>
      <c r="M7253" s="401">
        <f>SUM(C7253,C7229,C7205,C7181,C7157,C7133,C7109)/POBLA!$B$4*100000</f>
        <v>89.245613059248299</v>
      </c>
    </row>
    <row r="7254" spans="1:13" s="360" customFormat="1" x14ac:dyDescent="0.25">
      <c r="A7254" s="361" t="s">
        <v>29</v>
      </c>
      <c r="B7254" s="2">
        <v>44195</v>
      </c>
      <c r="C7254" s="1">
        <v>538</v>
      </c>
      <c r="D7254" s="39">
        <f t="shared" si="1022"/>
        <v>31476</v>
      </c>
      <c r="E7254" s="1"/>
      <c r="F7254" s="39">
        <f t="shared" si="1023"/>
        <v>493</v>
      </c>
      <c r="G7254" s="168">
        <f>SUM(C7254,C7230,C7206,C7182,C7158,C7134,C7110,C7086,C7062,C7038,C7014,C6990,C6966,C6942)/POBLA!$B$5*100000</f>
        <v>716.16203064973172</v>
      </c>
      <c r="H7254" s="256">
        <f t="shared" si="1018"/>
        <v>1.2672955974842768</v>
      </c>
      <c r="I7254" s="297">
        <f t="shared" si="1024"/>
        <v>907.58898852780464</v>
      </c>
      <c r="J7254" s="297">
        <f t="shared" si="1025"/>
        <v>323.28571428571428</v>
      </c>
      <c r="K7254" s="297">
        <f>J7254/POBLA!$B$5*100000</f>
        <v>52.227600636793611</v>
      </c>
      <c r="L7254" s="549">
        <f t="shared" si="1019"/>
        <v>-4.2857142857142927E-2</v>
      </c>
      <c r="M7254" s="401">
        <f>SUM(C7254,C7230,C7206,C7182,C7158,C7134,C7110)/POBLA!$B$5*100000</f>
        <v>365.59320445755532</v>
      </c>
    </row>
    <row r="7255" spans="1:13" s="360" customFormat="1" x14ac:dyDescent="0.25">
      <c r="A7255" s="361" t="s">
        <v>20</v>
      </c>
      <c r="B7255" s="2">
        <v>44195</v>
      </c>
      <c r="C7255" s="1">
        <v>763</v>
      </c>
      <c r="D7255" s="39">
        <f t="shared" si="1022"/>
        <v>126917</v>
      </c>
      <c r="E7255" s="1">
        <v>3</v>
      </c>
      <c r="F7255" s="39">
        <f t="shared" si="1023"/>
        <v>2464</v>
      </c>
      <c r="G7255" s="168">
        <f>SUM(C7255,C7231,C7207,C7183,C7159,C7135,C7111,C7087,C7063,C7039,C7015,C6991,C6967,C6943)/POBLA!$B$6*100000</f>
        <v>525.3385748228277</v>
      </c>
      <c r="H7255" s="256">
        <f t="shared" si="1018"/>
        <v>1.1286179796818094</v>
      </c>
      <c r="I7255" s="297">
        <f t="shared" si="1024"/>
        <v>592.90656096546093</v>
      </c>
      <c r="J7255" s="297">
        <f t="shared" si="1025"/>
        <v>433.14285714285717</v>
      </c>
      <c r="K7255" s="297">
        <f>J7255/POBLA!$B$6*100000</f>
        <v>38.645830717750712</v>
      </c>
      <c r="L7255" s="549">
        <f t="shared" si="1019"/>
        <v>-6.1624649859943981E-2</v>
      </c>
      <c r="M7255" s="401">
        <f>SUM(C7255,C7231,C7207,C7183,C7159,C7135,C7111)/POBLA!$B$6*100000</f>
        <v>270.520815024255</v>
      </c>
    </row>
    <row r="7256" spans="1:13" s="360" customFormat="1" x14ac:dyDescent="0.25">
      <c r="A7256" s="361" t="s">
        <v>30</v>
      </c>
      <c r="B7256" s="2">
        <v>44195</v>
      </c>
      <c r="C7256" s="1">
        <v>118</v>
      </c>
      <c r="D7256" s="39">
        <f t="shared" si="1022"/>
        <v>11900</v>
      </c>
      <c r="E7256" s="1">
        <v>6</v>
      </c>
      <c r="F7256" s="39">
        <f t="shared" si="1023"/>
        <v>169</v>
      </c>
      <c r="G7256" s="168">
        <f>SUM(C7256,C7232,C7208,C7184,C7160,C7136,C7112,C7088,C7064,C7040,C7016,C6992,C6968,C6944)/POBLA!$B$7*100000</f>
        <v>52.998976186360672</v>
      </c>
      <c r="H7256" s="256">
        <f t="shared" si="1018"/>
        <v>0.82869022869022868</v>
      </c>
      <c r="I7256" s="297">
        <f t="shared" si="1024"/>
        <v>43.919733696223211</v>
      </c>
      <c r="J7256" s="297">
        <f t="shared" si="1025"/>
        <v>123.85714285714286</v>
      </c>
      <c r="K7256" s="297">
        <f>J7256/POBLA!$B$7*100000</f>
        <v>3.2936787580513731</v>
      </c>
      <c r="L7256" s="549">
        <f t="shared" si="1019"/>
        <v>0.23001776198934276</v>
      </c>
      <c r="M7256" s="401">
        <f>SUM(C7256,C7232,C7208,C7184,C7160,C7136,C7112)/POBLA!$B$7*100000</f>
        <v>23.05575130635961</v>
      </c>
    </row>
    <row r="7257" spans="1:13" x14ac:dyDescent="0.25">
      <c r="A7257" s="361" t="s">
        <v>31</v>
      </c>
      <c r="B7257" s="2">
        <v>44195</v>
      </c>
      <c r="C7257" s="1">
        <v>419</v>
      </c>
      <c r="D7257" s="39">
        <f t="shared" si="1022"/>
        <v>29002</v>
      </c>
      <c r="E7257" s="1">
        <v>4</v>
      </c>
      <c r="F7257" s="39">
        <f t="shared" si="1023"/>
        <v>580</v>
      </c>
      <c r="G7257" s="168">
        <f>SUM(C7257,C7233,C7209,C7185,C7161,C7137,C7113,C7089,C7065,C7041,C7017,C6993,C6969,C6945)/POBLA!$B$8*100000</f>
        <v>204.40690611063368</v>
      </c>
      <c r="H7257" s="256">
        <f t="shared" si="1018"/>
        <v>1.1958632334318278</v>
      </c>
      <c r="I7257" s="297">
        <f t="shared" si="1024"/>
        <v>244.44270367725844</v>
      </c>
      <c r="J7257" s="297">
        <f t="shared" si="1025"/>
        <v>225.85714285714286</v>
      </c>
      <c r="K7257" s="297">
        <f>J7257/POBLA!$B$8*100000</f>
        <v>16.296067700111539</v>
      </c>
      <c r="L7257" s="549">
        <f t="shared" si="1019"/>
        <v>-0.2627795527156549</v>
      </c>
      <c r="M7257" s="401">
        <f>SUM(C7257,C7233,C7209,C7185,C7161,C7137,C7113)/POBLA!$B$8*100000</f>
        <v>114.07247390078075</v>
      </c>
    </row>
    <row r="7258" spans="1:13" s="360" customFormat="1" x14ac:dyDescent="0.25">
      <c r="A7258" s="361" t="s">
        <v>41</v>
      </c>
      <c r="B7258" s="2">
        <v>44195</v>
      </c>
      <c r="C7258" s="1">
        <v>0</v>
      </c>
      <c r="D7258" s="39">
        <f t="shared" si="1022"/>
        <v>212</v>
      </c>
      <c r="E7258" s="1"/>
      <c r="F7258" s="39">
        <f t="shared" si="1023"/>
        <v>3</v>
      </c>
      <c r="G7258" s="168">
        <f>SUM(C7258,C7234,C7210,C7186,C7162,C7138,C7114,C7090,C7066,C7042,C7018,C6994,C6970,C6946)/POBLA!$B$9*100000</f>
        <v>1.6523654437510016</v>
      </c>
      <c r="H7258" s="256">
        <f t="shared" si="1018"/>
        <v>0.66666666666666663</v>
      </c>
      <c r="I7258" s="297">
        <f t="shared" si="1024"/>
        <v>1.1015769625006677</v>
      </c>
      <c r="J7258" s="297">
        <f t="shared" si="1025"/>
        <v>0</v>
      </c>
      <c r="K7258" s="297">
        <f>J7258/POBLA!$B$9*100000</f>
        <v>0</v>
      </c>
      <c r="L7258" s="549">
        <f t="shared" si="1019"/>
        <v>1</v>
      </c>
      <c r="M7258" s="401">
        <f>SUM(C7258,C7234,C7210,C7186,C7162,C7138,C7114)/POBLA!$B$9*100000</f>
        <v>0</v>
      </c>
    </row>
    <row r="7259" spans="1:13" s="360" customFormat="1" x14ac:dyDescent="0.25">
      <c r="A7259" s="361" t="s">
        <v>32</v>
      </c>
      <c r="B7259" s="2">
        <v>44195</v>
      </c>
      <c r="C7259" s="1">
        <v>22</v>
      </c>
      <c r="D7259" s="39">
        <f t="shared" si="1022"/>
        <v>18545</v>
      </c>
      <c r="E7259" s="1"/>
      <c r="F7259" s="39">
        <f t="shared" si="1023"/>
        <v>858</v>
      </c>
      <c r="G7259" s="168">
        <f>SUM(C7259,C7235,C7211,C7187,C7163,C7139,C7115,C7091,C7067,C7043,C7019,C6995,C6971,C6947)/POBLA!$B$10*100000</f>
        <v>11.026345181681739</v>
      </c>
      <c r="H7259" s="256">
        <f t="shared" si="1018"/>
        <v>1.4912280701754386</v>
      </c>
      <c r="I7259" s="297">
        <f t="shared" si="1024"/>
        <v>16.442795446367505</v>
      </c>
      <c r="J7259" s="297">
        <f t="shared" si="1025"/>
        <v>7.7142857142857144</v>
      </c>
      <c r="K7259" s="297">
        <f>J7259/POBLA!$B$10*100000</f>
        <v>1.000710319009771</v>
      </c>
      <c r="L7259" s="549">
        <f t="shared" si="1019"/>
        <v>-0.74193548387096775</v>
      </c>
      <c r="M7259" s="401">
        <f>SUM(C7259,C7235,C7211,C7187,C7163,C7139,C7115)/POBLA!$B$10*100000</f>
        <v>7.0049722330683988</v>
      </c>
    </row>
    <row r="7260" spans="1:13" s="360" customFormat="1" x14ac:dyDescent="0.25">
      <c r="A7260" s="361" t="s">
        <v>33</v>
      </c>
      <c r="B7260" s="2">
        <v>44195</v>
      </c>
      <c r="C7260" s="1">
        <v>321</v>
      </c>
      <c r="D7260" s="39">
        <f t="shared" si="1022"/>
        <v>10549</v>
      </c>
      <c r="E7260" s="1"/>
      <c r="F7260" s="39">
        <f t="shared" si="1023"/>
        <v>124</v>
      </c>
      <c r="G7260" s="168">
        <f>SUM(C7260,C7236,C7212,C7188,C7164,C7140,C7116,C7092,C7068,C7044,C7020,C6996,C6972,C6948)/POBLA!$B$11*100000</f>
        <v>852.33296505853332</v>
      </c>
      <c r="H7260" s="256">
        <f t="shared" si="1018"/>
        <v>2.0138431114040869</v>
      </c>
      <c r="I7260" s="297">
        <f t="shared" si="1024"/>
        <v>1716.4648703057476</v>
      </c>
      <c r="J7260" s="297">
        <f t="shared" si="1025"/>
        <v>232.85714285714286</v>
      </c>
      <c r="K7260" s="297">
        <f>J7260/POBLA!$B$11*100000</f>
        <v>64.966225534038315</v>
      </c>
      <c r="L7260" s="549">
        <f t="shared" si="1019"/>
        <v>-0.14385964912280702</v>
      </c>
      <c r="M7260" s="401">
        <f>SUM(C7260,C7236,C7212,C7188,C7164,C7140,C7116)/POBLA!$B$11*100000</f>
        <v>454.76357873826822</v>
      </c>
    </row>
    <row r="7261" spans="1:13" s="360" customFormat="1" x14ac:dyDescent="0.25">
      <c r="A7261" s="361" t="s">
        <v>21</v>
      </c>
      <c r="B7261" s="2">
        <v>44195</v>
      </c>
      <c r="C7261" s="1">
        <v>10</v>
      </c>
      <c r="D7261" s="39">
        <f t="shared" si="1022"/>
        <v>9085</v>
      </c>
      <c r="E7261" s="1"/>
      <c r="F7261" s="39">
        <f t="shared" si="1023"/>
        <v>388</v>
      </c>
      <c r="G7261" s="168">
        <f>SUM(C7261,C7237,C7213,C7189,C7165,C7141,C7117,C7093,C7069,C7045,C7021,C6997,C6973,C6949)/POBLA!$B$12*100000</f>
        <v>31.001369650675553</v>
      </c>
      <c r="H7261" s="256">
        <f t="shared" si="1018"/>
        <v>0.62564102564102564</v>
      </c>
      <c r="I7261" s="297">
        <f t="shared" si="1024"/>
        <v>19.395728704525219</v>
      </c>
      <c r="J7261" s="297">
        <f t="shared" si="1025"/>
        <v>6.4285714285714288</v>
      </c>
      <c r="K7261" s="297">
        <f>J7261/POBLA!$B$12*100000</f>
        <v>1.6335616326468383</v>
      </c>
      <c r="L7261" s="549">
        <f t="shared" si="1019"/>
        <v>0.41558441558441561</v>
      </c>
      <c r="M7261" s="401">
        <f>SUM(C7261,C7237,C7213,C7189,C7165,C7141,C7117)/POBLA!$B$12*100000</f>
        <v>11.434931428527866</v>
      </c>
    </row>
    <row r="7262" spans="1:13" s="360" customFormat="1" x14ac:dyDescent="0.25">
      <c r="A7262" s="361" t="s">
        <v>17</v>
      </c>
      <c r="B7262" s="2">
        <v>44195</v>
      </c>
      <c r="C7262" s="1">
        <v>169</v>
      </c>
      <c r="D7262" s="39">
        <f t="shared" si="1022"/>
        <v>60016</v>
      </c>
      <c r="E7262" s="1">
        <v>2</v>
      </c>
      <c r="F7262" s="39">
        <f t="shared" si="1023"/>
        <v>1231</v>
      </c>
      <c r="G7262" s="168">
        <f>SUM(C7262,C7238,C7214,C7190,C7166,C7142,C7118,C7094,C7070,C7046,C7022,C6998,C6974,C6950)/POBLA!$B$13*100000</f>
        <v>67.425733719599378</v>
      </c>
      <c r="H7262" s="256">
        <f t="shared" si="1018"/>
        <v>0.81284070260448216</v>
      </c>
      <c r="I7262" s="297">
        <f t="shared" si="1024"/>
        <v>54.806380770261882</v>
      </c>
      <c r="J7262" s="297">
        <f t="shared" si="1025"/>
        <v>92</v>
      </c>
      <c r="K7262" s="297">
        <f>J7262/POBLA!$B$13*100000</f>
        <v>4.6223304785418353</v>
      </c>
      <c r="L7262" s="549">
        <f t="shared" si="1019"/>
        <v>7.7363896848137492E-2</v>
      </c>
      <c r="M7262" s="401">
        <f>SUM(C7262,C7238,C7214,C7190,C7166,C7142,C7118)/POBLA!$B$13*100000</f>
        <v>32.356313349792849</v>
      </c>
    </row>
    <row r="7263" spans="1:13" s="360" customFormat="1" x14ac:dyDescent="0.25">
      <c r="A7263" s="361" t="s">
        <v>23</v>
      </c>
      <c r="B7263" s="2">
        <v>44195</v>
      </c>
      <c r="C7263" s="1">
        <v>32</v>
      </c>
      <c r="D7263" s="39">
        <f t="shared" si="1022"/>
        <v>1076</v>
      </c>
      <c r="E7263" s="1"/>
      <c r="F7263" s="39">
        <f t="shared" si="1023"/>
        <v>11</v>
      </c>
      <c r="G7263" s="168">
        <f>SUM(C7263,C7239,C7215,C7191,C7167,C7143,C7119,C7095,C7071,C7047,C7023,C6999,C6975,C6951)/POBLA!$B$14*100000</f>
        <v>26.00503926919497</v>
      </c>
      <c r="H7263" s="256">
        <f t="shared" si="1018"/>
        <v>1.5255813953488373</v>
      </c>
      <c r="I7263" s="297">
        <f t="shared" si="1024"/>
        <v>39.672804094399773</v>
      </c>
      <c r="J7263" s="297">
        <f t="shared" si="1025"/>
        <v>25.714285714285715</v>
      </c>
      <c r="K7263" s="297">
        <f>J7263/POBLA!$B$14*100000</f>
        <v>2.0387225907905462</v>
      </c>
      <c r="L7263" s="549">
        <f t="shared" si="1019"/>
        <v>-0.21621621621621623</v>
      </c>
      <c r="M7263" s="401">
        <f>SUM(C7263,C7239,C7215,C7191,C7167,C7143,C7119)/POBLA!$B$14*100000</f>
        <v>14.271058135533824</v>
      </c>
    </row>
    <row r="7264" spans="1:13" s="360" customFormat="1" x14ac:dyDescent="0.25">
      <c r="A7264" s="361" t="s">
        <v>19</v>
      </c>
      <c r="B7264" s="2">
        <v>44195</v>
      </c>
      <c r="C7264" s="1">
        <v>518</v>
      </c>
      <c r="D7264" s="39">
        <f t="shared" si="1022"/>
        <v>40647</v>
      </c>
      <c r="E7264" s="1">
        <v>23</v>
      </c>
      <c r="F7264" s="39">
        <f t="shared" si="1023"/>
        <v>711</v>
      </c>
      <c r="G7264" s="168">
        <f>SUM(C7264,C7240,C7216,C7192,C7168,C7144,C7120,C7096,C7072,C7048,C7024,C7000,C6976,C6952)/POBLA!$B$15*100000</f>
        <v>498.75236613724428</v>
      </c>
      <c r="H7264" s="256">
        <f t="shared" si="1018"/>
        <v>0.73048081164534628</v>
      </c>
      <c r="I7264" s="297">
        <f t="shared" si="1024"/>
        <v>364.3290332259711</v>
      </c>
      <c r="J7264" s="297">
        <f t="shared" si="1025"/>
        <v>252.85714285714286</v>
      </c>
      <c r="K7264" s="297">
        <f>J7264/POBLA!$B$15*100000</f>
        <v>38.077626296709902</v>
      </c>
      <c r="L7264" s="549">
        <f t="shared" si="1019"/>
        <v>-0.14785992217898825</v>
      </c>
      <c r="M7264" s="401">
        <f>SUM(C7264,C7240,C7216,C7192,C7168,C7144,C7120)/POBLA!$B$15*100000</f>
        <v>266.54338407696929</v>
      </c>
    </row>
    <row r="7265" spans="1:13" s="360" customFormat="1" x14ac:dyDescent="0.25">
      <c r="A7265" s="361" t="s">
        <v>18</v>
      </c>
      <c r="B7265" s="2">
        <v>44195</v>
      </c>
      <c r="C7265" s="1">
        <v>387</v>
      </c>
      <c r="D7265" s="39">
        <f t="shared" si="1022"/>
        <v>38314</v>
      </c>
      <c r="E7265" s="1">
        <v>7</v>
      </c>
      <c r="F7265" s="39">
        <f t="shared" si="1023"/>
        <v>900</v>
      </c>
      <c r="G7265" s="168">
        <f>SUM(C7265,C7241,C7217,C7193,C7169,C7145,C7121,C7097,C7073,C7049,C7025,C7001,C6977,C6953)/POBLA!$B$16*100000</f>
        <v>459.19663995933706</v>
      </c>
      <c r="H7265" s="256">
        <f t="shared" si="1018"/>
        <v>1.2838444278234855</v>
      </c>
      <c r="I7265" s="297">
        <f t="shared" si="1024"/>
        <v>589.53704748706218</v>
      </c>
      <c r="J7265" s="297">
        <f t="shared" si="1025"/>
        <v>240.85714285714286</v>
      </c>
      <c r="K7265" s="297">
        <f>J7265/POBLA!$B$16*100000</f>
        <v>32.21695039621499</v>
      </c>
      <c r="L7265" s="549">
        <f t="shared" si="1019"/>
        <v>3.4917000572409873E-2</v>
      </c>
      <c r="M7265" s="401">
        <f>SUM(C7265,C7241,C7217,C7193,C7169,C7145,C7121)/POBLA!$B$16*100000</f>
        <v>225.5186527735049</v>
      </c>
    </row>
    <row r="7266" spans="1:13" s="360" customFormat="1" x14ac:dyDescent="0.25">
      <c r="A7266" s="361" t="s">
        <v>34</v>
      </c>
      <c r="B7266" s="2">
        <v>44195</v>
      </c>
      <c r="C7266" s="1">
        <v>52</v>
      </c>
      <c r="D7266" s="39">
        <f t="shared" si="1022"/>
        <v>22308</v>
      </c>
      <c r="E7266" s="1">
        <v>1</v>
      </c>
      <c r="F7266" s="39">
        <f t="shared" si="1023"/>
        <v>1019</v>
      </c>
      <c r="G7266" s="168">
        <f>SUM(C7266,C7242,C7218,C7194,C7170,C7146,C7122,C7098,C7074,C7050,C7026,C7002,C6978,C6954)/POBLA!$B$17*100000</f>
        <v>40.438164360076584</v>
      </c>
      <c r="H7266" s="256">
        <f t="shared" si="1018"/>
        <v>1.1975051975051976</v>
      </c>
      <c r="I7266" s="297">
        <f t="shared" si="1024"/>
        <v>48.424911998761154</v>
      </c>
      <c r="J7266" s="297">
        <f t="shared" si="1025"/>
        <v>34.428571428571431</v>
      </c>
      <c r="K7266" s="297">
        <f>J7266/POBLA!$B$17*100000</f>
        <v>2.417062899498625</v>
      </c>
      <c r="L7266" s="549">
        <f t="shared" si="1019"/>
        <v>0.28059701492537314</v>
      </c>
      <c r="M7266" s="401">
        <f>SUM(C7266,C7242,C7218,C7194,C7170,C7146,C7122)/POBLA!$B$17*100000</f>
        <v>16.919440296490375</v>
      </c>
    </row>
    <row r="7267" spans="1:13" s="360" customFormat="1" x14ac:dyDescent="0.25">
      <c r="A7267" s="361" t="s">
        <v>35</v>
      </c>
      <c r="B7267" s="2">
        <v>44195</v>
      </c>
      <c r="C7267" s="1">
        <v>148</v>
      </c>
      <c r="D7267" s="39">
        <f t="shared" si="1022"/>
        <v>11503</v>
      </c>
      <c r="E7267" s="1"/>
      <c r="F7267" s="39">
        <f t="shared" si="1023"/>
        <v>198</v>
      </c>
      <c r="G7267" s="168">
        <f>SUM(C7267,C7243,C7219,C7195,C7171,C7147,C7123,C7099,C7075,C7051,C7027,C7003,C6979,C6955)/POBLA!$B$18*100000</f>
        <v>213.64102419686211</v>
      </c>
      <c r="H7267" s="256">
        <f t="shared" si="1018"/>
        <v>0.94453876627051503</v>
      </c>
      <c r="I7267" s="297">
        <f t="shared" si="1024"/>
        <v>201.79222941967339</v>
      </c>
      <c r="J7267" s="297">
        <f t="shared" si="1025"/>
        <v>98.714285714285708</v>
      </c>
      <c r="K7267" s="297">
        <f>J7267/POBLA!$B$18*100000</f>
        <v>12.635962314476735</v>
      </c>
      <c r="L7267" s="549">
        <f t="shared" si="1019"/>
        <v>0.29345603271983645</v>
      </c>
      <c r="M7267" s="401">
        <f>SUM(C7267,C7243,C7219,C7195,C7171,C7147,C7123)/POBLA!$B$18*100000</f>
        <v>88.451736201337141</v>
      </c>
    </row>
    <row r="7268" spans="1:13" s="360" customFormat="1" x14ac:dyDescent="0.25">
      <c r="A7268" s="361" t="s">
        <v>36</v>
      </c>
      <c r="B7268" s="2">
        <v>44195</v>
      </c>
      <c r="C7268" s="1">
        <v>38</v>
      </c>
      <c r="D7268" s="39">
        <f t="shared" si="1022"/>
        <v>16159</v>
      </c>
      <c r="E7268" s="1"/>
      <c r="F7268" s="39">
        <f t="shared" si="1023"/>
        <v>300</v>
      </c>
      <c r="G7268" s="168">
        <f>SUM(C7268,C7244,C7220,C7196,C7172,C7148,C7124,C7100,C7076,C7052,C7028,C7004,C6980,C6956)/POBLA!$B$19*100000</f>
        <v>84.787774822555505</v>
      </c>
      <c r="H7268" s="256">
        <f t="shared" si="1018"/>
        <v>0.46898803046789989</v>
      </c>
      <c r="I7268" s="297">
        <f t="shared" si="1024"/>
        <v>39.764451521786093</v>
      </c>
      <c r="J7268" s="297">
        <f t="shared" si="1025"/>
        <v>28</v>
      </c>
      <c r="K7268" s="297">
        <f>J7268/POBLA!$B$19*100000</f>
        <v>5.5082545128342328</v>
      </c>
      <c r="L7268" s="549">
        <f t="shared" si="1019"/>
        <v>0.16595744680851066</v>
      </c>
      <c r="M7268" s="401">
        <f>SUM(C7268,C7244,C7220,C7196,C7172,C7148,C7124)/POBLA!$B$19*100000</f>
        <v>38.557781589839635</v>
      </c>
    </row>
    <row r="7269" spans="1:13" s="360" customFormat="1" x14ac:dyDescent="0.25">
      <c r="A7269" s="361" t="s">
        <v>37</v>
      </c>
      <c r="B7269" s="2">
        <v>44195</v>
      </c>
      <c r="C7269" s="1">
        <v>434</v>
      </c>
      <c r="D7269" s="39">
        <f t="shared" si="1022"/>
        <v>23335</v>
      </c>
      <c r="E7269" s="1">
        <v>1</v>
      </c>
      <c r="F7269" s="39">
        <f t="shared" si="1023"/>
        <v>378</v>
      </c>
      <c r="G7269" s="168">
        <f>SUM(C7269,C7245,C7221,C7197,C7173,C7149,C7125,C7101,C7077,C7053,C7029,C7005,C6981,C6957)/POBLA!$B$20*100000</f>
        <v>1015.8655502627852</v>
      </c>
      <c r="H7269" s="256">
        <f t="shared" si="1018"/>
        <v>1.1823679185232336</v>
      </c>
      <c r="I7269" s="297">
        <f t="shared" si="1024"/>
        <v>1201.1268361636687</v>
      </c>
      <c r="J7269" s="297">
        <f t="shared" si="1025"/>
        <v>268.42857142857144</v>
      </c>
      <c r="K7269" s="297">
        <f>J7269/POBLA!$B$20*100000</f>
        <v>73.401706169727873</v>
      </c>
      <c r="L7269" s="549">
        <f t="shared" si="1019"/>
        <v>-2.3420479302832309E-2</v>
      </c>
      <c r="M7269" s="401">
        <f>SUM(C7269,C7245,C7221,C7197,C7173,C7149,C7125)/POBLA!$B$20*100000</f>
        <v>513.81194318809514</v>
      </c>
    </row>
    <row r="7270" spans="1:13" s="360" customFormat="1" x14ac:dyDescent="0.25">
      <c r="A7270" s="361" t="s">
        <v>22</v>
      </c>
      <c r="B7270" s="2">
        <v>44195</v>
      </c>
      <c r="C7270" s="1">
        <v>1307</v>
      </c>
      <c r="D7270" s="39">
        <f t="shared" si="1022"/>
        <v>175021</v>
      </c>
      <c r="E7270" s="1">
        <v>25</v>
      </c>
      <c r="F7270" s="39">
        <f t="shared" si="1023"/>
        <v>2940</v>
      </c>
      <c r="G7270" s="168">
        <f>SUM(C7270,C7246,C7222,C7198,C7174,C7150,C7126,C7102,C7078,C7054,C7030,C7006,C6982,C6958)/POBLA!$B$21*100000</f>
        <v>337.46010793972886</v>
      </c>
      <c r="H7270" s="256">
        <f t="shared" si="1018"/>
        <v>0.93710247349823317</v>
      </c>
      <c r="I7270" s="297">
        <f t="shared" si="1024"/>
        <v>316.23470185730065</v>
      </c>
      <c r="J7270" s="297">
        <f t="shared" si="1025"/>
        <v>763.71428571428567</v>
      </c>
      <c r="K7270" s="297">
        <f>J7270/POBLA!$B$21*100000</f>
        <v>21.595701800926406</v>
      </c>
      <c r="L7270" s="549">
        <f t="shared" si="1019"/>
        <v>0.18852459016393441</v>
      </c>
      <c r="M7270" s="401">
        <f>SUM(C7270,C7246,C7222,C7198,C7174,C7150,C7126)/POBLA!$B$21*100000</f>
        <v>151.16991260648487</v>
      </c>
    </row>
    <row r="7271" spans="1:13" s="360" customFormat="1" x14ac:dyDescent="0.25">
      <c r="A7271" s="361" t="s">
        <v>38</v>
      </c>
      <c r="B7271" s="2">
        <v>44195</v>
      </c>
      <c r="C7271" s="1">
        <v>123</v>
      </c>
      <c r="D7271" s="39">
        <f t="shared" si="1022"/>
        <v>17330</v>
      </c>
      <c r="E7271" s="1"/>
      <c r="F7271" s="39">
        <f t="shared" si="1023"/>
        <v>218</v>
      </c>
      <c r="G7271" s="168">
        <f>SUM(C7271,C7247,C7223,C7199,C7175,C7151,C7127,C7103,C7079,C7055,C7031,C7007,C6983,C6959)/POBLA!$B$22*100000</f>
        <v>72.06282651871129</v>
      </c>
      <c r="H7271" s="256">
        <f t="shared" si="1018"/>
        <v>0.90153452685421998</v>
      </c>
      <c r="I7271" s="297">
        <f t="shared" si="1024"/>
        <v>64.967126209324121</v>
      </c>
      <c r="J7271" s="297">
        <f t="shared" si="1025"/>
        <v>64</v>
      </c>
      <c r="K7271" s="297">
        <f>J7271/POBLA!$B$22*100000</f>
        <v>6.5418736130461319</v>
      </c>
      <c r="L7271" s="549">
        <f t="shared" si="1019"/>
        <v>-0.74319066147859925</v>
      </c>
      <c r="M7271" s="401">
        <f>SUM(C7271,C7247,C7223,C7199,C7175,C7151,C7127)/POBLA!$B$22*100000</f>
        <v>45.79311529132292</v>
      </c>
    </row>
    <row r="7272" spans="1:13" s="360" customFormat="1" x14ac:dyDescent="0.25">
      <c r="A7272" s="361" t="s">
        <v>39</v>
      </c>
      <c r="B7272" s="2">
        <v>44195</v>
      </c>
      <c r="C7272" s="1">
        <v>67</v>
      </c>
      <c r="D7272" s="39">
        <f t="shared" si="1022"/>
        <v>19028</v>
      </c>
      <c r="E7272" s="1">
        <v>3</v>
      </c>
      <c r="F7272" s="39">
        <f t="shared" si="1023"/>
        <v>251</v>
      </c>
      <c r="G7272" s="168">
        <f>SUM(C7272,C7248,C7224,C7200,C7176,C7152,C7128,C7104,C7080,C7056,C7032,C7008,C6984,C6960)/POBLA!$B$23*100000</f>
        <v>696.14884352202682</v>
      </c>
      <c r="H7272" s="256">
        <f t="shared" si="1018"/>
        <v>0.87366926898509578</v>
      </c>
      <c r="I7272" s="297">
        <f t="shared" si="1024"/>
        <v>608.20385122470896</v>
      </c>
      <c r="J7272" s="297">
        <f t="shared" si="1025"/>
        <v>94.714285714285708</v>
      </c>
      <c r="K7272" s="297">
        <f>J7272/POBLA!$B$23*100000</f>
        <v>53.562339939085959</v>
      </c>
      <c r="L7272" s="549">
        <f t="shared" si="1019"/>
        <v>-0.16725352112676051</v>
      </c>
      <c r="M7272" s="401">
        <f>SUM(C7272,C7248,C7224,C7200,C7176,C7152,C7128)/POBLA!$B$23*100000</f>
        <v>374.93637957360176</v>
      </c>
    </row>
    <row r="7273" spans="1:13" s="360" customFormat="1" ht="15.75" thickBot="1" x14ac:dyDescent="0.3">
      <c r="A7273" s="361" t="s">
        <v>40</v>
      </c>
      <c r="B7273" s="2">
        <v>44195</v>
      </c>
      <c r="C7273" s="232">
        <v>151</v>
      </c>
      <c r="D7273" s="39">
        <f t="shared" si="1022"/>
        <v>70994</v>
      </c>
      <c r="E7273" s="1">
        <v>13</v>
      </c>
      <c r="F7273" s="39">
        <f t="shared" si="1023"/>
        <v>1366</v>
      </c>
      <c r="G7273" s="177">
        <f>SUM(C7273,C7249,C7225,C7201,C7177,C7153,C7129,C7105,C7081,C7057,C7033,C7009,C6985,C6961)/POBLA!$B$24*100000</f>
        <v>112.76624872540505</v>
      </c>
      <c r="H7273" s="402">
        <f t="shared" si="1018"/>
        <v>0.73584905660377353</v>
      </c>
      <c r="I7273" s="403">
        <f t="shared" si="1024"/>
        <v>82.978937741335784</v>
      </c>
      <c r="J7273" s="403">
        <f t="shared" si="1025"/>
        <v>121.57142857142857</v>
      </c>
      <c r="K7273" s="403">
        <f>J7273/POBLA!$B$24*100000</f>
        <v>7.1738115919353875</v>
      </c>
      <c r="L7273" s="550">
        <f t="shared" si="1019"/>
        <v>0.19716981132075473</v>
      </c>
      <c r="M7273" s="405">
        <f>SUM(C7273,C7249,C7225,C7201,C7177,C7153,C7129)/POBLA!$B$24*100000</f>
        <v>50.216681143547717</v>
      </c>
    </row>
    <row r="7274" spans="1:13" s="360" customFormat="1" x14ac:dyDescent="0.25">
      <c r="A7274" s="361" t="s">
        <v>16</v>
      </c>
      <c r="B7274" s="29">
        <v>44196</v>
      </c>
      <c r="C7274" s="275">
        <v>4724</v>
      </c>
      <c r="D7274" s="276">
        <f t="shared" si="1022"/>
        <v>684765</v>
      </c>
      <c r="E7274" s="1">
        <v>57</v>
      </c>
      <c r="F7274" s="39">
        <f t="shared" si="1023"/>
        <v>22348</v>
      </c>
      <c r="G7274" s="175">
        <f>SUM(C7274,C7250,C7226,C7202,C7178,C7154,C7130,C7106,C7082,C7058,C7034,C7010,C6986,C6962)/POBLA!$B$1*100000</f>
        <v>218.95382974231836</v>
      </c>
      <c r="H7274" s="300">
        <f t="shared" ref="H7274:H7321" si="1026">SUM(C7274,C7250,C7226,C7202,C7178,C7154,C7130,C7106,C7082,C7058,C7034,C7010,C6986,C6962)/SUM(C6938,C6914,C6890,C6866,C6842,C6818,C6794,C6770,C6746,C6722,C6698,C6674,C6650,C6626)</f>
        <v>1.7647031795625805</v>
      </c>
      <c r="I7274" s="301">
        <f>G7274*H7274</f>
        <v>386.3885195236731</v>
      </c>
      <c r="J7274" s="301">
        <f>AVERAGE(C7274,C7250,C7226,C7202,C7178,C7154,C7130)</f>
        <v>3030.8571428571427</v>
      </c>
      <c r="K7274" s="301">
        <f>J7274/POBLA!$B$1*100000</f>
        <v>17.278563252282979</v>
      </c>
      <c r="L7274" s="548">
        <f t="shared" ref="L7274:L7321" si="1027">1-SUM(C7274,C7250,C7226,C7202,C7178,C7154,C7130)/SUM(C7106,C7082,C7058,C7034,C7010,C6986,C6962)</f>
        <v>-0.23413413995695431</v>
      </c>
      <c r="M7274" s="400">
        <f>SUM(C7274,C7250,C7226,C7202,C7178,C7154,C7130)/POBLA!$B$1*100000</f>
        <v>120.94994276598085</v>
      </c>
    </row>
    <row r="7275" spans="1:13" s="360" customFormat="1" x14ac:dyDescent="0.25">
      <c r="A7275" s="361" t="s">
        <v>43</v>
      </c>
      <c r="B7275" s="29">
        <v>44196</v>
      </c>
      <c r="C7275" s="275">
        <v>1337</v>
      </c>
      <c r="D7275" s="276">
        <f t="shared" si="1022"/>
        <v>174599</v>
      </c>
      <c r="E7275" s="1">
        <v>5</v>
      </c>
      <c r="F7275" s="39">
        <f t="shared" si="1023"/>
        <v>5504</v>
      </c>
      <c r="G7275" s="168">
        <f>SUM(C7275,C7251,C7227,C7203,C7179,C7155,C7131,C7107,C7083,C7059,C7035,C7011,C6987,C6963)/POBLA!$B$2*100000</f>
        <v>324.77729881787434</v>
      </c>
      <c r="H7275" s="256">
        <f t="shared" si="1026"/>
        <v>2.1122858955381689</v>
      </c>
      <c r="I7275" s="297">
        <f t="shared" ref="I7275:I7297" si="1028">G7275*H7275</f>
        <v>686.02250748398114</v>
      </c>
      <c r="J7275" s="297">
        <f t="shared" ref="J7275:J7297" si="1029">AVERAGE(C7275,C7251,C7227,C7203,C7179,C7155,C7131)</f>
        <v>826.57142857142856</v>
      </c>
      <c r="K7275" s="297">
        <f>J7275/POBLA!$B$2*100000</f>
        <v>26.87472578350787</v>
      </c>
      <c r="L7275" s="549">
        <f t="shared" si="1027"/>
        <v>-0.37663573637877712</v>
      </c>
      <c r="M7275" s="401">
        <f>SUM(C7275,C7251,C7227,C7203,C7179,C7155,C7131)/POBLA!$B$2*100000</f>
        <v>188.12308048455512</v>
      </c>
    </row>
    <row r="7276" spans="1:13" s="360" customFormat="1" x14ac:dyDescent="0.25">
      <c r="A7276" s="361" t="s">
        <v>28</v>
      </c>
      <c r="B7276" s="29">
        <v>44196</v>
      </c>
      <c r="C7276" s="275">
        <v>82</v>
      </c>
      <c r="D7276" s="276">
        <f t="shared" si="1022"/>
        <v>2767</v>
      </c>
      <c r="E7276" s="1"/>
      <c r="F7276" s="39">
        <f t="shared" si="1023"/>
        <v>17</v>
      </c>
      <c r="G7276" s="168">
        <f>SUM(C7276,C7252,C7228,C7204,C7180,C7156,C7132,C7108,C7084,C7060,C7036,C7012,C6988,C6964)/POBLA!$B$3*100000</f>
        <v>129.98329473952791</v>
      </c>
      <c r="H7276" s="256">
        <f t="shared" si="1026"/>
        <v>1.6927899686520376</v>
      </c>
      <c r="I7276" s="297">
        <f t="shared" si="1028"/>
        <v>220.03441742741401</v>
      </c>
      <c r="J7276" s="297">
        <f t="shared" si="1029"/>
        <v>39.142857142857146</v>
      </c>
      <c r="K7276" s="297">
        <f>J7276/POBLA!$B$3*100000</f>
        <v>9.4220695128652512</v>
      </c>
      <c r="L7276" s="549">
        <f t="shared" si="1027"/>
        <v>-3.007518796992481E-2</v>
      </c>
      <c r="M7276" s="401">
        <f>SUM(C7276,C7252,C7228,C7204,C7180,C7156,C7132)/POBLA!$B$3*100000</f>
        <v>65.95448659005676</v>
      </c>
    </row>
    <row r="7277" spans="1:13" s="360" customFormat="1" x14ac:dyDescent="0.25">
      <c r="A7277" s="361" t="s">
        <v>15</v>
      </c>
      <c r="B7277" s="29">
        <v>44196</v>
      </c>
      <c r="C7277" s="275">
        <v>259</v>
      </c>
      <c r="D7277" s="276">
        <f t="shared" si="1022"/>
        <v>24782</v>
      </c>
      <c r="E7277" s="1">
        <v>2</v>
      </c>
      <c r="F7277" s="39">
        <f t="shared" si="1023"/>
        <v>694</v>
      </c>
      <c r="G7277" s="168">
        <f>SUM(C7277,C7253,C7229,C7205,C7181,C7157,C7133,C7109,C7085,C7061,C7037,C7013,C6989,C6965)/POBLA!$B$4*100000</f>
        <v>196.83846377997926</v>
      </c>
      <c r="H7277" s="256">
        <f t="shared" si="1026"/>
        <v>1.038545773105563</v>
      </c>
      <c r="I7277" s="297">
        <f t="shared" si="1028"/>
        <v>204.42575454328991</v>
      </c>
      <c r="J7277" s="297">
        <f t="shared" si="1029"/>
        <v>165.42857142857142</v>
      </c>
      <c r="K7277" s="297">
        <f>J7277/POBLA!$B$4*100000</f>
        <v>13.733743511310236</v>
      </c>
      <c r="L7277" s="549">
        <f t="shared" si="1027"/>
        <v>4.5342126957955475E-2</v>
      </c>
      <c r="M7277" s="401">
        <f>SUM(C7277,C7253,C7229,C7205,C7181,C7157,C7133)/POBLA!$B$4*100000</f>
        <v>96.136204579171661</v>
      </c>
    </row>
    <row r="7278" spans="1:13" s="360" customFormat="1" x14ac:dyDescent="0.25">
      <c r="A7278" s="361" t="s">
        <v>29</v>
      </c>
      <c r="B7278" s="29">
        <v>44196</v>
      </c>
      <c r="C7278" s="275">
        <v>455</v>
      </c>
      <c r="D7278" s="276">
        <f t="shared" si="1022"/>
        <v>31931</v>
      </c>
      <c r="E7278" s="1"/>
      <c r="F7278" s="39">
        <f t="shared" si="1023"/>
        <v>493</v>
      </c>
      <c r="G7278" s="168">
        <f>SUM(C7278,C7254,C7230,C7206,C7182,C7158,C7134,C7110,C7086,C7062,C7038,C7014,C6990,C6966)/POBLA!$B$5*100000</f>
        <v>722.30102391945638</v>
      </c>
      <c r="H7278" s="256">
        <f t="shared" si="1026"/>
        <v>1.2422895248680188</v>
      </c>
      <c r="I7278" s="297">
        <f t="shared" si="1028"/>
        <v>897.30699581658496</v>
      </c>
      <c r="J7278" s="297">
        <f t="shared" si="1029"/>
        <v>352.57142857142856</v>
      </c>
      <c r="K7278" s="297">
        <f>J7278/POBLA!$B$5*100000</f>
        <v>56.958779660453665</v>
      </c>
      <c r="L7278" s="549">
        <f t="shared" si="1027"/>
        <v>-0.23215177234148787</v>
      </c>
      <c r="M7278" s="401">
        <f>SUM(C7278,C7254,C7230,C7206,C7182,C7158,C7134)/POBLA!$B$5*100000</f>
        <v>398.71145762317565</v>
      </c>
    </row>
    <row r="7279" spans="1:13" s="360" customFormat="1" x14ac:dyDescent="0.25">
      <c r="A7279" s="361" t="s">
        <v>20</v>
      </c>
      <c r="B7279" s="29">
        <v>44196</v>
      </c>
      <c r="C7279" s="275">
        <v>780</v>
      </c>
      <c r="D7279" s="276">
        <f t="shared" si="1022"/>
        <v>127697</v>
      </c>
      <c r="E7279" s="1">
        <v>5</v>
      </c>
      <c r="F7279" s="39">
        <f t="shared" si="1023"/>
        <v>2469</v>
      </c>
      <c r="G7279" s="168">
        <f>SUM(C7279,C7255,C7231,C7207,C7183,C7159,C7135,C7111,C7087,C7063,C7039,C7015,C6991,C6967)/POBLA!$B$6*100000</f>
        <v>540.95240814381862</v>
      </c>
      <c r="H7279" s="256">
        <f t="shared" si="1026"/>
        <v>1.146124763705104</v>
      </c>
      <c r="I7279" s="297">
        <f t="shared" si="1028"/>
        <v>619.99895095954105</v>
      </c>
      <c r="J7279" s="297">
        <f t="shared" si="1029"/>
        <v>450.28571428571428</v>
      </c>
      <c r="K7279" s="297">
        <f>J7279/POBLA!$B$6*100000</f>
        <v>40.175349083888598</v>
      </c>
      <c r="L7279" s="549">
        <f t="shared" si="1027"/>
        <v>-8.2789419443490164E-2</v>
      </c>
      <c r="M7279" s="401">
        <f>SUM(C7279,C7255,C7231,C7207,C7183,C7159,C7135)/POBLA!$B$6*100000</f>
        <v>281.22744358722019</v>
      </c>
    </row>
    <row r="7280" spans="1:13" s="360" customFormat="1" x14ac:dyDescent="0.25">
      <c r="A7280" s="361" t="s">
        <v>30</v>
      </c>
      <c r="B7280" s="29">
        <v>44196</v>
      </c>
      <c r="C7280" s="275">
        <v>75</v>
      </c>
      <c r="D7280" s="276">
        <f t="shared" si="1022"/>
        <v>11975</v>
      </c>
      <c r="E7280" s="1"/>
      <c r="F7280" s="39">
        <f t="shared" si="1023"/>
        <v>169</v>
      </c>
      <c r="G7280" s="168">
        <f>SUM(C7280,C7256,C7232,C7208,C7184,C7160,C7136,C7112,C7088,C7064,C7040,C7016,C6992,C6968)/POBLA!$B$7*100000</f>
        <v>51.855496017763834</v>
      </c>
      <c r="H7280" s="256">
        <f t="shared" si="1026"/>
        <v>0.90739879013494651</v>
      </c>
      <c r="I7280" s="297">
        <f t="shared" si="1028"/>
        <v>47.053614348366438</v>
      </c>
      <c r="J7280" s="297">
        <f t="shared" si="1029"/>
        <v>126.57142857142857</v>
      </c>
      <c r="K7280" s="297">
        <f>J7280/POBLA!$B$7*100000</f>
        <v>3.3658585693581506</v>
      </c>
      <c r="L7280" s="549">
        <f t="shared" si="1027"/>
        <v>0.16729323308270672</v>
      </c>
      <c r="M7280" s="401">
        <f>SUM(C7280,C7256,C7232,C7208,C7184,C7160,C7136)/POBLA!$B$7*100000</f>
        <v>23.561009985507052</v>
      </c>
    </row>
    <row r="7281" spans="1:13" x14ac:dyDescent="0.25">
      <c r="A7281" s="361" t="s">
        <v>31</v>
      </c>
      <c r="B7281" s="29">
        <v>44196</v>
      </c>
      <c r="C7281" s="275">
        <v>491</v>
      </c>
      <c r="D7281" s="276">
        <f t="shared" si="1022"/>
        <v>29493</v>
      </c>
      <c r="E7281" s="1">
        <v>3</v>
      </c>
      <c r="F7281" s="39">
        <f t="shared" si="1023"/>
        <v>583</v>
      </c>
      <c r="G7281" s="168">
        <f>SUM(C7281,C7257,C7233,C7209,C7185,C7161,C7137,C7113,C7089,C7065,C7041,C7017,C6993,C6969)/POBLA!$B$8*100000</f>
        <v>221.65125858519826</v>
      </c>
      <c r="H7281" s="256">
        <f t="shared" si="1026"/>
        <v>1.2605662700041034</v>
      </c>
      <c r="I7281" s="297">
        <f t="shared" si="1028"/>
        <v>279.40610027645835</v>
      </c>
      <c r="J7281" s="297">
        <f t="shared" si="1029"/>
        <v>255.57142857142858</v>
      </c>
      <c r="K7281" s="297">
        <f>J7281/POBLA!$B$8*100000</f>
        <v>18.44001588583146</v>
      </c>
      <c r="L7281" s="549">
        <f t="shared" si="1027"/>
        <v>-0.39438815276695238</v>
      </c>
      <c r="M7281" s="401">
        <f>SUM(C7281,C7257,C7233,C7209,C7185,C7161,C7137)/POBLA!$B$8*100000</f>
        <v>129.08011120082023</v>
      </c>
    </row>
    <row r="7282" spans="1:13" s="360" customFormat="1" x14ac:dyDescent="0.25">
      <c r="A7282" s="361" t="s">
        <v>41</v>
      </c>
      <c r="B7282" s="29">
        <v>44196</v>
      </c>
      <c r="C7282" s="275">
        <v>6</v>
      </c>
      <c r="D7282" s="276">
        <f t="shared" si="1022"/>
        <v>218</v>
      </c>
      <c r="E7282" s="1"/>
      <c r="F7282" s="39">
        <f t="shared" si="1023"/>
        <v>3</v>
      </c>
      <c r="G7282" s="168">
        <f>SUM(C7282,C7258,C7234,C7210,C7186,C7162,C7138,C7114,C7090,C7066,C7042,C7018,C6994,C6970)/POBLA!$B$9*100000</f>
        <v>2.4785481656265027</v>
      </c>
      <c r="H7282" s="256">
        <f t="shared" si="1026"/>
        <v>1.0714285714285714</v>
      </c>
      <c r="I7282" s="297">
        <f t="shared" si="1028"/>
        <v>2.65558732031411</v>
      </c>
      <c r="J7282" s="297">
        <f t="shared" si="1029"/>
        <v>0.7142857142857143</v>
      </c>
      <c r="K7282" s="297">
        <f>J7282/POBLA!$B$9*100000</f>
        <v>0.11802610312507156</v>
      </c>
      <c r="L7282" s="549">
        <f t="shared" si="1027"/>
        <v>0.5</v>
      </c>
      <c r="M7282" s="401">
        <f>SUM(C7282,C7258,C7234,C7210,C7186,C7162,C7138)/POBLA!$B$9*100000</f>
        <v>0.82618272187550079</v>
      </c>
    </row>
    <row r="7283" spans="1:13" s="360" customFormat="1" x14ac:dyDescent="0.25">
      <c r="A7283" s="361" t="s">
        <v>32</v>
      </c>
      <c r="B7283" s="29">
        <v>44196</v>
      </c>
      <c r="C7283" s="275">
        <v>6</v>
      </c>
      <c r="D7283" s="276">
        <f t="shared" si="1022"/>
        <v>18551</v>
      </c>
      <c r="E7283" s="1"/>
      <c r="F7283" s="39">
        <f t="shared" si="1023"/>
        <v>858</v>
      </c>
      <c r="G7283" s="168">
        <f>SUM(C7283,C7259,C7235,C7211,C7187,C7163,C7139,C7115,C7091,C7067,C7043,C7019,C6995,C6971)/POBLA!$B$10*100000</f>
        <v>11.156066889701524</v>
      </c>
      <c r="H7283" s="256">
        <f t="shared" si="1026"/>
        <v>1.5636363636363637</v>
      </c>
      <c r="I7283" s="297">
        <f t="shared" si="1028"/>
        <v>17.444031863896928</v>
      </c>
      <c r="J7283" s="297">
        <f t="shared" si="1029"/>
        <v>8.1428571428571423</v>
      </c>
      <c r="K7283" s="297">
        <f>J7283/POBLA!$B$10*100000</f>
        <v>1.0563053367325361</v>
      </c>
      <c r="L7283" s="549">
        <f t="shared" si="1027"/>
        <v>-0.96551724137931028</v>
      </c>
      <c r="M7283" s="401">
        <f>SUM(C7283,C7259,C7235,C7211,C7187,C7163,C7139)/POBLA!$B$10*100000</f>
        <v>7.3941373571277538</v>
      </c>
    </row>
    <row r="7284" spans="1:13" s="360" customFormat="1" x14ac:dyDescent="0.25">
      <c r="A7284" s="361" t="s">
        <v>33</v>
      </c>
      <c r="B7284" s="29">
        <v>44196</v>
      </c>
      <c r="C7284" s="275">
        <v>302</v>
      </c>
      <c r="D7284" s="276">
        <f t="shared" si="1022"/>
        <v>10851</v>
      </c>
      <c r="E7284" s="1"/>
      <c r="F7284" s="39">
        <f t="shared" si="1023"/>
        <v>124</v>
      </c>
      <c r="G7284" s="168">
        <f>SUM(C7284,C7260,C7236,C7212,C7188,C7164,C7140,C7116,C7092,C7068,C7044,C7020,C6996,C6972)/POBLA!$B$11*100000</f>
        <v>877.72160657091524</v>
      </c>
      <c r="H7284" s="256">
        <f t="shared" si="1026"/>
        <v>1.9288779889638259</v>
      </c>
      <c r="I7284" s="297">
        <f t="shared" si="1028"/>
        <v>1693.0178873526054</v>
      </c>
      <c r="J7284" s="297">
        <f t="shared" si="1029"/>
        <v>236.57142857142858</v>
      </c>
      <c r="K7284" s="297">
        <f>J7284/POBLA!$B$11*100000</f>
        <v>66.002496616176344</v>
      </c>
      <c r="L7284" s="549">
        <f t="shared" si="1027"/>
        <v>-0.11140939597315436</v>
      </c>
      <c r="M7284" s="401">
        <f>SUM(C7284,C7260,C7236,C7212,C7188,C7164,C7140)/POBLA!$B$11*100000</f>
        <v>462.01747631323451</v>
      </c>
    </row>
    <row r="7285" spans="1:13" s="360" customFormat="1" x14ac:dyDescent="0.25">
      <c r="A7285" s="361" t="s">
        <v>21</v>
      </c>
      <c r="B7285" s="29">
        <v>44196</v>
      </c>
      <c r="C7285" s="275">
        <v>9</v>
      </c>
      <c r="D7285" s="276">
        <f t="shared" si="1022"/>
        <v>9094</v>
      </c>
      <c r="E7285" s="1"/>
      <c r="F7285" s="39">
        <f t="shared" si="1023"/>
        <v>388</v>
      </c>
      <c r="G7285" s="168">
        <f>SUM(C7285,C7261,C7237,C7213,C7189,C7165,C7141,C7117,C7093,C7069,C7045,C7021,C6997,C6973)/POBLA!$B$12*100000</f>
        <v>29.730821714172457</v>
      </c>
      <c r="H7285" s="256">
        <f t="shared" si="1026"/>
        <v>0.66101694915254239</v>
      </c>
      <c r="I7285" s="297">
        <f t="shared" si="1028"/>
        <v>19.652577065300438</v>
      </c>
      <c r="J7285" s="297">
        <f t="shared" si="1029"/>
        <v>6.2857142857142856</v>
      </c>
      <c r="K7285" s="297">
        <f>J7285/POBLA!$B$12*100000</f>
        <v>1.5972602630324639</v>
      </c>
      <c r="L7285" s="549">
        <f t="shared" si="1027"/>
        <v>0.39726027397260277</v>
      </c>
      <c r="M7285" s="401">
        <f>SUM(C7285,C7261,C7237,C7213,C7189,C7165,C7141)/POBLA!$B$12*100000</f>
        <v>11.180821841227248</v>
      </c>
    </row>
    <row r="7286" spans="1:13" s="360" customFormat="1" x14ac:dyDescent="0.25">
      <c r="A7286" s="361" t="s">
        <v>17</v>
      </c>
      <c r="B7286" s="29">
        <v>44196</v>
      </c>
      <c r="C7286" s="275">
        <v>131</v>
      </c>
      <c r="D7286" s="276">
        <f t="shared" si="1022"/>
        <v>60147</v>
      </c>
      <c r="E7286" s="1"/>
      <c r="F7286" s="39">
        <f t="shared" si="1023"/>
        <v>1231</v>
      </c>
      <c r="G7286" s="168">
        <f>SUM(C7286,C7262,C7238,C7214,C7190,C7166,C7142,C7118,C7094,C7070,C7046,C7022,C6998,C6974)/POBLA!$B$13*100000</f>
        <v>68.832529952199067</v>
      </c>
      <c r="H7286" s="256">
        <f t="shared" si="1026"/>
        <v>0.90608465608465605</v>
      </c>
      <c r="I7286" s="297">
        <f t="shared" si="1028"/>
        <v>62.36809922917508</v>
      </c>
      <c r="J7286" s="297">
        <f t="shared" si="1029"/>
        <v>94.857142857142861</v>
      </c>
      <c r="K7286" s="297">
        <f>J7286/POBLA!$B$13*100000</f>
        <v>4.7658811145213962</v>
      </c>
      <c r="L7286" s="549">
        <f t="shared" si="1027"/>
        <v>5.9490084985835745E-2</v>
      </c>
      <c r="M7286" s="401">
        <f>SUM(C7286,C7262,C7238,C7214,C7190,C7166,C7142)/POBLA!$B$13*100000</f>
        <v>33.361167801649771</v>
      </c>
    </row>
    <row r="7287" spans="1:13" s="360" customFormat="1" x14ac:dyDescent="0.25">
      <c r="A7287" s="361" t="s">
        <v>23</v>
      </c>
      <c r="B7287" s="29">
        <v>44196</v>
      </c>
      <c r="C7287" s="275">
        <v>6</v>
      </c>
      <c r="D7287" s="276">
        <f t="shared" si="1022"/>
        <v>1082</v>
      </c>
      <c r="E7287" s="1">
        <v>1</v>
      </c>
      <c r="F7287" s="39">
        <f t="shared" si="1023"/>
        <v>12</v>
      </c>
      <c r="G7287" s="168">
        <f>SUM(C7287,C7263,C7239,C7215,C7191,C7167,C7143,C7119,C7095,C7071,C7047,C7023,C6999,C6975)/POBLA!$B$14*100000</f>
        <v>23.309394954705247</v>
      </c>
      <c r="H7287" s="256">
        <f t="shared" si="1026"/>
        <v>1.1951219512195121</v>
      </c>
      <c r="I7287" s="297">
        <f t="shared" si="1028"/>
        <v>27.857569580013589</v>
      </c>
      <c r="J7287" s="297">
        <f t="shared" si="1029"/>
        <v>26</v>
      </c>
      <c r="K7287" s="297">
        <f>J7287/POBLA!$B$14*100000</f>
        <v>2.0613750640215525</v>
      </c>
      <c r="L7287" s="549">
        <f t="shared" si="1027"/>
        <v>-0.625</v>
      </c>
      <c r="M7287" s="401">
        <f>SUM(C7287,C7263,C7239,C7215,C7191,C7167,C7143)/POBLA!$B$14*100000</f>
        <v>14.429625448150867</v>
      </c>
    </row>
    <row r="7288" spans="1:13" s="360" customFormat="1" x14ac:dyDescent="0.25">
      <c r="A7288" s="361" t="s">
        <v>19</v>
      </c>
      <c r="B7288" s="29">
        <v>44196</v>
      </c>
      <c r="C7288" s="275">
        <v>403</v>
      </c>
      <c r="D7288" s="276">
        <f t="shared" si="1022"/>
        <v>41050</v>
      </c>
      <c r="E7288" s="1"/>
      <c r="F7288" s="39">
        <f t="shared" si="1023"/>
        <v>711</v>
      </c>
      <c r="G7288" s="168">
        <f>SUM(C7288,C7264,C7240,C7216,C7192,C7168,C7144,C7120,C7096,C7072,C7048,C7024,C7000,C6976)/POBLA!$B$15*100000</f>
        <v>531.73146281117431</v>
      </c>
      <c r="H7288" s="256">
        <f t="shared" si="1026"/>
        <v>0.84798270893371763</v>
      </c>
      <c r="I7288" s="297">
        <f t="shared" si="1028"/>
        <v>450.8990862599079</v>
      </c>
      <c r="J7288" s="297">
        <f t="shared" si="1029"/>
        <v>278.28571428571428</v>
      </c>
      <c r="K7288" s="297">
        <f>J7288/POBLA!$B$15*100000</f>
        <v>41.906901709599367</v>
      </c>
      <c r="L7288" s="549">
        <f t="shared" si="1027"/>
        <v>-0.23057485786481369</v>
      </c>
      <c r="M7288" s="401">
        <f>SUM(C7288,C7264,C7240,C7216,C7192,C7168,C7144)/POBLA!$B$15*100000</f>
        <v>293.34831196719557</v>
      </c>
    </row>
    <row r="7289" spans="1:13" s="360" customFormat="1" x14ac:dyDescent="0.25">
      <c r="A7289" s="361" t="s">
        <v>18</v>
      </c>
      <c r="B7289" s="29">
        <v>44196</v>
      </c>
      <c r="C7289" s="275">
        <v>272</v>
      </c>
      <c r="D7289" s="276">
        <f t="shared" si="1022"/>
        <v>38586</v>
      </c>
      <c r="E7289" s="1">
        <v>1</v>
      </c>
      <c r="F7289" s="39">
        <f t="shared" si="1023"/>
        <v>901</v>
      </c>
      <c r="G7289" s="168">
        <f>SUM(C7289,C7265,C7241,C7217,C7193,C7169,C7145,C7121,C7097,C7073,C7049,C7025,C7001,C6977)/POBLA!$B$16*100000</f>
        <v>458.26032289562744</v>
      </c>
      <c r="H7289" s="256">
        <f t="shared" si="1026"/>
        <v>1.2485422740524781</v>
      </c>
      <c r="I7289" s="297">
        <f t="shared" si="1028"/>
        <v>572.15738565612958</v>
      </c>
      <c r="J7289" s="297">
        <f t="shared" si="1029"/>
        <v>246.28571428571428</v>
      </c>
      <c r="K7289" s="297">
        <f>J7289/POBLA!$B$16*100000</f>
        <v>32.943073833377596</v>
      </c>
      <c r="L7289" s="549">
        <f t="shared" si="1027"/>
        <v>-1.292596944770863E-2</v>
      </c>
      <c r="M7289" s="401">
        <f>SUM(C7289,C7265,C7241,C7217,C7193,C7169,C7145)/POBLA!$B$16*100000</f>
        <v>230.60151683364322</v>
      </c>
    </row>
    <row r="7290" spans="1:13" s="360" customFormat="1" x14ac:dyDescent="0.25">
      <c r="A7290" s="361" t="s">
        <v>34</v>
      </c>
      <c r="B7290" s="29">
        <v>44196</v>
      </c>
      <c r="C7290" s="275">
        <v>71</v>
      </c>
      <c r="D7290" s="276">
        <f t="shared" si="1022"/>
        <v>22379</v>
      </c>
      <c r="E7290" s="1">
        <v>1</v>
      </c>
      <c r="F7290" s="39">
        <f t="shared" si="1023"/>
        <v>1020</v>
      </c>
      <c r="G7290" s="168">
        <f>SUM(C7290,C7266,C7242,C7218,C7194,C7170,C7146,C7122,C7098,C7074,C7050,C7026,C7002,C6978)/POBLA!$B$17*100000</f>
        <v>41.772062142787441</v>
      </c>
      <c r="H7290" s="256">
        <f t="shared" si="1026"/>
        <v>1.3163716814159292</v>
      </c>
      <c r="I7290" s="297">
        <f t="shared" si="1028"/>
        <v>54.987559679111783</v>
      </c>
      <c r="J7290" s="297">
        <f t="shared" si="1029"/>
        <v>35</v>
      </c>
      <c r="K7290" s="297">
        <f>J7290/POBLA!$B$17*100000</f>
        <v>2.4571801260463202</v>
      </c>
      <c r="L7290" s="549">
        <f t="shared" si="1027"/>
        <v>0.30000000000000004</v>
      </c>
      <c r="M7290" s="401">
        <f>SUM(C7290,C7266,C7242,C7218,C7194,C7170,C7146)/POBLA!$B$17*100000</f>
        <v>17.20026088232424</v>
      </c>
    </row>
    <row r="7291" spans="1:13" s="360" customFormat="1" x14ac:dyDescent="0.25">
      <c r="A7291" s="361" t="s">
        <v>35</v>
      </c>
      <c r="B7291" s="29">
        <v>44196</v>
      </c>
      <c r="C7291" s="275">
        <v>45</v>
      </c>
      <c r="D7291" s="276">
        <f t="shared" si="1022"/>
        <v>11548</v>
      </c>
      <c r="E7291" s="1"/>
      <c r="F7291" s="39">
        <f t="shared" si="1023"/>
        <v>198</v>
      </c>
      <c r="G7291" s="168">
        <f>SUM(C7291,C7267,C7243,C7219,C7195,C7171,C7147,C7123,C7099,C7075,C7051,C7027,C7003,C6979)/POBLA!$B$18*100000</f>
        <v>190.2160347253068</v>
      </c>
      <c r="H7291" s="256">
        <f t="shared" si="1026"/>
        <v>0.81335522714833064</v>
      </c>
      <c r="I7291" s="297">
        <f t="shared" si="1028"/>
        <v>154.71320613125667</v>
      </c>
      <c r="J7291" s="297">
        <f t="shared" si="1029"/>
        <v>96</v>
      </c>
      <c r="K7291" s="297">
        <f>J7291/POBLA!$B$18*100000</f>
        <v>12.288519067045391</v>
      </c>
      <c r="L7291" s="549">
        <f t="shared" si="1027"/>
        <v>0.1744471744471745</v>
      </c>
      <c r="M7291" s="401">
        <f>SUM(C7291,C7267,C7243,C7219,C7195,C7171,C7147)/POBLA!$B$18*100000</f>
        <v>86.019633469317739</v>
      </c>
    </row>
    <row r="7292" spans="1:13" s="360" customFormat="1" x14ac:dyDescent="0.25">
      <c r="A7292" s="361" t="s">
        <v>36</v>
      </c>
      <c r="B7292" s="29">
        <v>44196</v>
      </c>
      <c r="C7292" s="275">
        <v>32</v>
      </c>
      <c r="D7292" s="276">
        <f t="shared" si="1022"/>
        <v>16191</v>
      </c>
      <c r="E7292" s="1"/>
      <c r="F7292" s="39">
        <f t="shared" si="1023"/>
        <v>300</v>
      </c>
      <c r="G7292" s="168">
        <f>SUM(C7292,C7268,C7244,C7220,C7196,C7172,C7148,C7124,C7100,C7076,C7052,C7028,C7004,C6980)/POBLA!$B$19*100000</f>
        <v>83.607434569805321</v>
      </c>
      <c r="H7292" s="256">
        <f t="shared" si="1026"/>
        <v>0.52599009900990101</v>
      </c>
      <c r="I7292" s="297">
        <f t="shared" si="1028"/>
        <v>43.976682787335719</v>
      </c>
      <c r="J7292" s="297">
        <f t="shared" si="1029"/>
        <v>29.428571428571427</v>
      </c>
      <c r="K7292" s="297">
        <f>J7292/POBLA!$B$19*100000</f>
        <v>5.7892879063461837</v>
      </c>
      <c r="L7292" s="549">
        <f t="shared" si="1027"/>
        <v>5.9360730593607358E-2</v>
      </c>
      <c r="M7292" s="401">
        <f>SUM(C7292,C7268,C7244,C7220,C7196,C7172,C7148)/POBLA!$B$19*100000</f>
        <v>40.525015344423288</v>
      </c>
    </row>
    <row r="7293" spans="1:13" s="360" customFormat="1" x14ac:dyDescent="0.25">
      <c r="A7293" s="361" t="s">
        <v>37</v>
      </c>
      <c r="B7293" s="29">
        <v>44196</v>
      </c>
      <c r="C7293" s="275">
        <v>420</v>
      </c>
      <c r="D7293" s="276">
        <f t="shared" si="1022"/>
        <v>23755</v>
      </c>
      <c r="E7293" s="1">
        <v>1</v>
      </c>
      <c r="F7293" s="39">
        <f t="shared" si="1023"/>
        <v>379</v>
      </c>
      <c r="G7293" s="168">
        <f>SUM(C7293,C7269,C7245,C7221,C7197,C7173,C7149,C7125,C7101,C7077,C7053,C7029,C7005,C6981)/POBLA!$B$20*100000</f>
        <v>1044.577766353658</v>
      </c>
      <c r="H7293" s="256">
        <f t="shared" si="1026"/>
        <v>1.1793763507255326</v>
      </c>
      <c r="I7293" s="297">
        <f t="shared" si="1028"/>
        <v>1231.9503141312052</v>
      </c>
      <c r="J7293" s="297">
        <f t="shared" si="1029"/>
        <v>287</v>
      </c>
      <c r="K7293" s="297">
        <f>J7293/POBLA!$B$20*100000</f>
        <v>78.480057315052306</v>
      </c>
      <c r="L7293" s="549">
        <f t="shared" si="1027"/>
        <v>-0.10933186085035884</v>
      </c>
      <c r="M7293" s="401">
        <f>SUM(C7293,C7269,C7245,C7221,C7197,C7173,C7149)/POBLA!$B$20*100000</f>
        <v>549.3604012053662</v>
      </c>
    </row>
    <row r="7294" spans="1:13" s="360" customFormat="1" x14ac:dyDescent="0.25">
      <c r="A7294" s="361" t="s">
        <v>22</v>
      </c>
      <c r="B7294" s="29">
        <v>44196</v>
      </c>
      <c r="C7294" s="275">
        <v>1354</v>
      </c>
      <c r="D7294" s="276">
        <f t="shared" si="1022"/>
        <v>176375</v>
      </c>
      <c r="E7294" s="1">
        <v>6</v>
      </c>
      <c r="F7294" s="39">
        <f t="shared" si="1023"/>
        <v>2946</v>
      </c>
      <c r="G7294" s="168">
        <f>SUM(C7294,C7270,C7246,C7222,C7198,C7174,C7150,C7126,C7102,C7078,C7054,C7030,C7006,C6982)/POBLA!$B$21*100000</f>
        <v>344.38802200418615</v>
      </c>
      <c r="H7294" s="256">
        <f t="shared" si="1026"/>
        <v>0.97338554987212278</v>
      </c>
      <c r="I7294" s="297">
        <f t="shared" si="1028"/>
        <v>335.22232416791746</v>
      </c>
      <c r="J7294" s="297">
        <f t="shared" si="1029"/>
        <v>808.85714285714289</v>
      </c>
      <c r="K7294" s="297">
        <f>J7294/POBLA!$B$21*100000</f>
        <v>22.87221541280309</v>
      </c>
      <c r="L7294" s="549">
        <f t="shared" si="1027"/>
        <v>0.13119533527696792</v>
      </c>
      <c r="M7294" s="401">
        <f>SUM(C7294,C7270,C7246,C7222,C7198,C7174,C7150)/POBLA!$B$21*100000</f>
        <v>160.10550788962163</v>
      </c>
    </row>
    <row r="7295" spans="1:13" s="360" customFormat="1" x14ac:dyDescent="0.25">
      <c r="A7295" s="361" t="s">
        <v>38</v>
      </c>
      <c r="B7295" s="29">
        <v>44196</v>
      </c>
      <c r="C7295" s="275">
        <v>100</v>
      </c>
      <c r="D7295" s="276">
        <f t="shared" si="1022"/>
        <v>17430</v>
      </c>
      <c r="E7295" s="1"/>
      <c r="F7295" s="39">
        <f t="shared" si="1023"/>
        <v>218</v>
      </c>
      <c r="G7295" s="168">
        <f>SUM(C7295,C7271,C7247,C7223,C7199,C7175,C7151,C7127,C7103,C7079,C7055,C7031,C7007,C6983)/POBLA!$B$22*100000</f>
        <v>75.538196875642058</v>
      </c>
      <c r="H7295" s="256">
        <f t="shared" si="1026"/>
        <v>0.986648865153538</v>
      </c>
      <c r="I7295" s="297">
        <f t="shared" si="1028"/>
        <v>74.529676223096772</v>
      </c>
      <c r="J7295" s="297">
        <f t="shared" si="1029"/>
        <v>67.857142857142861</v>
      </c>
      <c r="K7295" s="297">
        <f>J7295/POBLA!$B$22*100000</f>
        <v>6.936138317403822</v>
      </c>
      <c r="L7295" s="549">
        <f t="shared" si="1027"/>
        <v>-0.79924242424242431</v>
      </c>
      <c r="M7295" s="401">
        <f>SUM(C7295,C7271,C7247,C7223,C7199,C7175,C7151)/POBLA!$B$22*100000</f>
        <v>48.55296822182676</v>
      </c>
    </row>
    <row r="7296" spans="1:13" s="360" customFormat="1" x14ac:dyDescent="0.25">
      <c r="A7296" s="361" t="s">
        <v>39</v>
      </c>
      <c r="B7296" s="29">
        <v>44196</v>
      </c>
      <c r="C7296" s="275">
        <v>111</v>
      </c>
      <c r="D7296" s="276">
        <f t="shared" si="1022"/>
        <v>19139</v>
      </c>
      <c r="E7296" s="1">
        <v>1</v>
      </c>
      <c r="F7296" s="39">
        <f t="shared" si="1023"/>
        <v>252</v>
      </c>
      <c r="G7296" s="168">
        <f>SUM(C7296,C7272,C7248,C7224,C7200,C7176,C7152,C7128,C7104,C7080,C7056,C7032,C7008,C6984)/POBLA!$B$23*100000</f>
        <v>698.41090312729739</v>
      </c>
      <c r="H7296" s="256">
        <f t="shared" si="1026"/>
        <v>0.86788475052705549</v>
      </c>
      <c r="I7296" s="297">
        <f t="shared" si="1028"/>
        <v>606.14017242601005</v>
      </c>
      <c r="J7296" s="297">
        <f t="shared" si="1029"/>
        <v>100.42857142857143</v>
      </c>
      <c r="K7296" s="297">
        <f>J7296/POBLA!$B$23*100000</f>
        <v>56.793853660901107</v>
      </c>
      <c r="L7296" s="549">
        <f t="shared" si="1027"/>
        <v>-0.3214285714285714</v>
      </c>
      <c r="M7296" s="401">
        <f>SUM(C7296,C7272,C7248,C7224,C7200,C7176,C7152)/POBLA!$B$23*100000</f>
        <v>397.55697562630775</v>
      </c>
    </row>
    <row r="7297" spans="1:13" s="360" customFormat="1" ht="15.75" thickBot="1" x14ac:dyDescent="0.3">
      <c r="A7297" s="361" t="s">
        <v>40</v>
      </c>
      <c r="B7297" s="29">
        <v>44196</v>
      </c>
      <c r="C7297" s="275">
        <v>116</v>
      </c>
      <c r="D7297" s="276">
        <f t="shared" si="1022"/>
        <v>71110</v>
      </c>
      <c r="E7297" s="1"/>
      <c r="F7297" s="39">
        <f t="shared" si="1023"/>
        <v>1366</v>
      </c>
      <c r="G7297" s="177">
        <f>SUM(C7297,C7273,C7249,C7225,C7201,C7177,C7153,C7129,C7105,C7081,C7057,C7033,C7009,C6985)/POBLA!$B$24*100000</f>
        <v>107.16039125344614</v>
      </c>
      <c r="H7297" s="402">
        <f t="shared" si="1026"/>
        <v>0.75134464211832852</v>
      </c>
      <c r="I7297" s="403">
        <f t="shared" si="1028"/>
        <v>80.514385815580553</v>
      </c>
      <c r="J7297" s="403">
        <f t="shared" si="1029"/>
        <v>122</v>
      </c>
      <c r="K7297" s="403">
        <f>J7297/POBLA!$B$24*100000</f>
        <v>7.1991011745156532</v>
      </c>
      <c r="L7297" s="550">
        <f t="shared" si="1027"/>
        <v>0.11226611226611227</v>
      </c>
      <c r="M7297" s="405">
        <f>SUM(C7297,C7273,C7249,C7225,C7201,C7177,C7153)/POBLA!$B$24*100000</f>
        <v>50.393708221609579</v>
      </c>
    </row>
    <row r="7298" spans="1:13" s="360" customFormat="1" x14ac:dyDescent="0.25">
      <c r="A7298" s="361" t="s">
        <v>16</v>
      </c>
      <c r="B7298" s="29">
        <v>44197</v>
      </c>
      <c r="C7298" s="225">
        <v>1486</v>
      </c>
      <c r="D7298" s="276">
        <f t="shared" si="1022"/>
        <v>686251</v>
      </c>
      <c r="E7298" s="1">
        <v>64</v>
      </c>
      <c r="F7298" s="39">
        <f t="shared" si="1023"/>
        <v>22412</v>
      </c>
      <c r="G7298" s="175">
        <f>SUM(C7298,C7274,C7250,C7226,C7202,C7178,C7154,C7130,C7106,C7082,C7058,C7034,C7010,C6986)/POBLA!$B$1*100000</f>
        <v>214.18219031475775</v>
      </c>
      <c r="H7298" s="300">
        <f t="shared" si="1026"/>
        <v>1.6849800421581378</v>
      </c>
      <c r="I7298" s="301">
        <f>G7298*H7298</f>
        <v>360.89271606608281</v>
      </c>
      <c r="J7298" s="301">
        <f>AVERAGE(C7298,C7274,C7250,C7226,C7202,C7178,C7154)</f>
        <v>3085.7142857142858</v>
      </c>
      <c r="K7298" s="301">
        <f>J7298/POBLA!$B$1*100000</f>
        <v>17.591297428794888</v>
      </c>
      <c r="L7298" s="548">
        <f t="shared" si="1027"/>
        <v>-0.35253600500939264</v>
      </c>
      <c r="M7298" s="400">
        <f>SUM(C7298,C7274,C7250,C7226,C7202,C7178,C7154)/POBLA!$B$1*100000</f>
        <v>123.13908200156422</v>
      </c>
    </row>
    <row r="7299" spans="1:13" s="360" customFormat="1" x14ac:dyDescent="0.25">
      <c r="A7299" s="361" t="s">
        <v>43</v>
      </c>
      <c r="B7299" s="29">
        <v>44197</v>
      </c>
      <c r="C7299" s="1">
        <v>574</v>
      </c>
      <c r="D7299" s="276">
        <f t="shared" si="1022"/>
        <v>175173</v>
      </c>
      <c r="E7299" s="1">
        <v>6</v>
      </c>
      <c r="F7299" s="39">
        <f t="shared" si="1023"/>
        <v>5510</v>
      </c>
      <c r="G7299" s="168">
        <f>SUM(C7299,C7275,C7251,C7227,C7203,C7179,C7155,C7131,C7107,C7083,C7059,C7035,C7011,C6987)/POBLA!$B$2*100000</f>
        <v>324.45216387061453</v>
      </c>
      <c r="H7299" s="256">
        <f t="shared" si="1026"/>
        <v>1.9958</v>
      </c>
      <c r="I7299" s="297">
        <f t="shared" ref="I7299:I7321" si="1030">G7299*H7299</f>
        <v>647.54162865297246</v>
      </c>
      <c r="J7299" s="297">
        <f t="shared" ref="J7299:J7321" si="1031">AVERAGE(C7299,C7275,C7251,C7227,C7203,C7179,C7155)</f>
        <v>849.85714285714289</v>
      </c>
      <c r="K7299" s="297">
        <f>J7299/POBLA!$B$2*100000</f>
        <v>27.631825732127265</v>
      </c>
      <c r="L7299" s="549">
        <f t="shared" si="1027"/>
        <v>-0.47617866004962783</v>
      </c>
      <c r="M7299" s="401">
        <f>SUM(C7299,C7275,C7251,C7227,C7203,C7179,C7155)/POBLA!$B$2*100000</f>
        <v>193.42278012489083</v>
      </c>
    </row>
    <row r="7300" spans="1:13" s="360" customFormat="1" x14ac:dyDescent="0.25">
      <c r="A7300" s="361" t="s">
        <v>28</v>
      </c>
      <c r="B7300" s="29">
        <v>44197</v>
      </c>
      <c r="C7300" s="1">
        <v>0</v>
      </c>
      <c r="D7300" s="276">
        <f t="shared" si="1022"/>
        <v>2767</v>
      </c>
      <c r="E7300" s="1"/>
      <c r="F7300" s="39">
        <f t="shared" si="1023"/>
        <v>17</v>
      </c>
      <c r="G7300" s="168">
        <f>SUM(C7300,C7276,C7252,C7228,C7204,C7180,C7156,C7132,C7108,C7084,C7060,C7036,C7012,C6988)/POBLA!$B$3*100000</f>
        <v>118.42922409601434</v>
      </c>
      <c r="H7300" s="256">
        <f t="shared" si="1026"/>
        <v>1.4730538922155689</v>
      </c>
      <c r="I7300" s="297">
        <f t="shared" si="1030"/>
        <v>174.45262950670377</v>
      </c>
      <c r="J7300" s="297">
        <f t="shared" si="1031"/>
        <v>37.142857142857146</v>
      </c>
      <c r="K7300" s="297">
        <f>J7300/POBLA!$B$3*100000</f>
        <v>8.9406499027188531</v>
      </c>
      <c r="L7300" s="549">
        <f t="shared" si="1027"/>
        <v>-0.1206896551724137</v>
      </c>
      <c r="M7300" s="401">
        <f>SUM(C7300,C7276,C7252,C7228,C7204,C7180,C7156)/POBLA!$B$3*100000</f>
        <v>62.584549319031964</v>
      </c>
    </row>
    <row r="7301" spans="1:13" s="360" customFormat="1" x14ac:dyDescent="0.25">
      <c r="A7301" s="361" t="s">
        <v>15</v>
      </c>
      <c r="B7301" s="29">
        <v>44197</v>
      </c>
      <c r="C7301" s="1">
        <v>101</v>
      </c>
      <c r="D7301" s="276">
        <f t="shared" si="1022"/>
        <v>24883</v>
      </c>
      <c r="E7301" s="1">
        <v>1</v>
      </c>
      <c r="F7301" s="39">
        <f t="shared" si="1023"/>
        <v>695</v>
      </c>
      <c r="G7301" s="168">
        <f>SUM(C7301,C7277,C7253,C7229,C7205,C7181,C7157,C7133,C7109,C7085,C7061,C7037,C7013,C6989)/POBLA!$B$4*100000</f>
        <v>189.78183391017825</v>
      </c>
      <c r="H7301" s="256">
        <f t="shared" si="1026"/>
        <v>1.0097173144876326</v>
      </c>
      <c r="I7301" s="297">
        <f t="shared" si="1030"/>
        <v>191.6260036743231</v>
      </c>
      <c r="J7301" s="297">
        <f t="shared" si="1031"/>
        <v>167</v>
      </c>
      <c r="K7301" s="297">
        <f>J7301/POBLA!$B$4*100000</f>
        <v>13.864202214785548</v>
      </c>
      <c r="L7301" s="549">
        <f t="shared" si="1027"/>
        <v>-4.6553267681289201E-2</v>
      </c>
      <c r="M7301" s="401">
        <f>SUM(C7301,C7277,C7253,C7229,C7205,C7181,C7157)/POBLA!$B$4*100000</f>
        <v>97.049415503498849</v>
      </c>
    </row>
    <row r="7302" spans="1:13" s="360" customFormat="1" x14ac:dyDescent="0.25">
      <c r="A7302" s="361" t="s">
        <v>29</v>
      </c>
      <c r="B7302" s="29">
        <v>44197</v>
      </c>
      <c r="C7302" s="1">
        <v>117</v>
      </c>
      <c r="D7302" s="276">
        <f t="shared" si="1022"/>
        <v>32048</v>
      </c>
      <c r="E7302" s="1"/>
      <c r="F7302" s="39">
        <f t="shared" si="1023"/>
        <v>493</v>
      </c>
      <c r="G7302" s="168">
        <f>SUM(C7302,C7278,C7254,C7230,C7206,C7182,C7158,C7134,C7110,C7086,C7062,C7038,C7014,C6990)/POBLA!$B$5*100000</f>
        <v>703.56093920134924</v>
      </c>
      <c r="H7302" s="256">
        <f t="shared" si="1026"/>
        <v>1.2457093821510297</v>
      </c>
      <c r="I7302" s="297">
        <f t="shared" si="1030"/>
        <v>876.43246287811087</v>
      </c>
      <c r="J7302" s="297">
        <f t="shared" si="1031"/>
        <v>362.42857142857144</v>
      </c>
      <c r="K7302" s="297">
        <f>J7302/POBLA!$B$5*100000</f>
        <v>58.551225283051437</v>
      </c>
      <c r="L7302" s="549">
        <f t="shared" si="1027"/>
        <v>-0.39548954895489552</v>
      </c>
      <c r="M7302" s="401">
        <f>SUM(C7302,C7278,C7254,C7230,C7206,C7182,C7158)/POBLA!$B$5*100000</f>
        <v>409.8585769813601</v>
      </c>
    </row>
    <row r="7303" spans="1:13" s="360" customFormat="1" x14ac:dyDescent="0.25">
      <c r="A7303" s="361" t="s">
        <v>20</v>
      </c>
      <c r="B7303" s="29">
        <v>44197</v>
      </c>
      <c r="C7303" s="1">
        <v>244</v>
      </c>
      <c r="D7303" s="276">
        <f t="shared" si="1022"/>
        <v>127941</v>
      </c>
      <c r="E7303" s="1"/>
      <c r="F7303" s="39">
        <f t="shared" si="1023"/>
        <v>2469</v>
      </c>
      <c r="G7303" s="168">
        <f>SUM(C7303,C7279,C7255,C7231,C7207,C7183,C7159,C7135,C7111,C7087,C7063,C7039,C7015,C6991)/POBLA!$B$6*100000</f>
        <v>523.28647101492595</v>
      </c>
      <c r="H7303" s="256">
        <f t="shared" si="1026"/>
        <v>1.1328954993239329</v>
      </c>
      <c r="I7303" s="297">
        <f t="shared" si="1030"/>
        <v>592.82888786991327</v>
      </c>
      <c r="J7303" s="297">
        <f t="shared" si="1031"/>
        <v>462.57142857142856</v>
      </c>
      <c r="K7303" s="297">
        <f>J7303/POBLA!$B$6*100000</f>
        <v>41.271503912954088</v>
      </c>
      <c r="L7303" s="549">
        <f t="shared" si="1027"/>
        <v>-0.23258469737342979</v>
      </c>
      <c r="M7303" s="401">
        <f>SUM(C7303,C7279,C7255,C7231,C7207,C7183,C7159)/POBLA!$B$6*100000</f>
        <v>288.90052739067863</v>
      </c>
    </row>
    <row r="7304" spans="1:13" s="360" customFormat="1" x14ac:dyDescent="0.25">
      <c r="A7304" s="361" t="s">
        <v>30</v>
      </c>
      <c r="B7304" s="29">
        <v>44197</v>
      </c>
      <c r="C7304" s="1">
        <v>40</v>
      </c>
      <c r="D7304" s="276">
        <f t="shared" si="1022"/>
        <v>12015</v>
      </c>
      <c r="E7304" s="1"/>
      <c r="F7304" s="39">
        <f t="shared" si="1023"/>
        <v>169</v>
      </c>
      <c r="G7304" s="168">
        <f>SUM(C7304,C7280,C7256,C7232,C7208,C7184,C7160,C7136,C7112,C7088,C7064,C7040,C7016,C6992)/POBLA!$B$7*100000</f>
        <v>48.26550013961095</v>
      </c>
      <c r="H7304" s="256">
        <f t="shared" si="1026"/>
        <v>1.007214206437292</v>
      </c>
      <c r="I7304" s="297">
        <f t="shared" si="1030"/>
        <v>48.61369742141725</v>
      </c>
      <c r="J7304" s="297">
        <f t="shared" si="1031"/>
        <v>127.28571428571429</v>
      </c>
      <c r="K7304" s="297">
        <f>J7304/POBLA!$B$7*100000</f>
        <v>3.3848532565441447</v>
      </c>
      <c r="L7304" s="549">
        <f t="shared" si="1027"/>
        <v>3.5714285714285698E-2</v>
      </c>
      <c r="M7304" s="401">
        <f>SUM(C7304,C7280,C7256,C7232,C7208,C7184,C7160)/POBLA!$B$7*100000</f>
        <v>23.693972795809014</v>
      </c>
    </row>
    <row r="7305" spans="1:13" x14ac:dyDescent="0.25">
      <c r="A7305" s="361" t="s">
        <v>31</v>
      </c>
      <c r="B7305" s="29">
        <v>44197</v>
      </c>
      <c r="C7305" s="1">
        <v>259</v>
      </c>
      <c r="D7305" s="276">
        <f t="shared" si="1022"/>
        <v>29752</v>
      </c>
      <c r="F7305" s="39">
        <f t="shared" si="1023"/>
        <v>583</v>
      </c>
      <c r="G7305" s="168">
        <f>SUM(C7305,C7281,C7257,C7233,C7209,C7185,C7161,C7137,C7113,C7089,C7065,C7041,C7017,C6993)/POBLA!$B$8*100000</f>
        <v>227.56773098232924</v>
      </c>
      <c r="H7305" s="256">
        <f t="shared" si="1026"/>
        <v>1.3049234588332643</v>
      </c>
      <c r="I7305" s="297">
        <f t="shared" si="1030"/>
        <v>296.95847063229888</v>
      </c>
      <c r="J7305" s="297">
        <f t="shared" si="1031"/>
        <v>273.42857142857144</v>
      </c>
      <c r="K7305" s="297">
        <f>J7305/POBLA!$B$8*100000</f>
        <v>19.728446285903534</v>
      </c>
      <c r="L7305" s="549">
        <f t="shared" si="1027"/>
        <v>-0.54354838709677411</v>
      </c>
      <c r="M7305" s="401">
        <f>SUM(C7305,C7281,C7257,C7233,C7209,C7185,C7161)/POBLA!$B$8*100000</f>
        <v>138.09912400132472</v>
      </c>
    </row>
    <row r="7306" spans="1:13" s="360" customFormat="1" x14ac:dyDescent="0.25">
      <c r="A7306" s="361" t="s">
        <v>41</v>
      </c>
      <c r="B7306" s="29">
        <v>44197</v>
      </c>
      <c r="C7306" s="1">
        <v>1</v>
      </c>
      <c r="D7306" s="276">
        <f t="shared" si="1022"/>
        <v>219</v>
      </c>
      <c r="E7306" s="1"/>
      <c r="F7306" s="39">
        <f t="shared" si="1023"/>
        <v>3</v>
      </c>
      <c r="G7306" s="168">
        <f>SUM(C7306,C7282,C7258,C7234,C7210,C7186,C7162,C7138,C7114,C7090,C7066,C7042,C7018,C6994)/POBLA!$B$9*100000</f>
        <v>2.9742577987518035</v>
      </c>
      <c r="H7306" s="256">
        <f t="shared" si="1026"/>
        <v>1.5</v>
      </c>
      <c r="I7306" s="297">
        <f t="shared" si="1030"/>
        <v>4.4613866981277051</v>
      </c>
      <c r="J7306" s="297">
        <f t="shared" si="1031"/>
        <v>0.8571428571428571</v>
      </c>
      <c r="K7306" s="297">
        <f>J7306/POBLA!$B$9*100000</f>
        <v>0.14163132375008586</v>
      </c>
      <c r="L7306" s="549">
        <f t="shared" si="1027"/>
        <v>0.5</v>
      </c>
      <c r="M7306" s="401">
        <f>SUM(C7306,C7282,C7258,C7234,C7210,C7186,C7162)/POBLA!$B$9*100000</f>
        <v>0.99141926625060106</v>
      </c>
    </row>
    <row r="7307" spans="1:13" s="360" customFormat="1" x14ac:dyDescent="0.25">
      <c r="A7307" s="361" t="s">
        <v>32</v>
      </c>
      <c r="B7307" s="29">
        <v>44197</v>
      </c>
      <c r="C7307" s="1">
        <v>12</v>
      </c>
      <c r="D7307" s="276">
        <f t="shared" si="1022"/>
        <v>18563</v>
      </c>
      <c r="E7307" s="1"/>
      <c r="F7307" s="39">
        <f t="shared" si="1023"/>
        <v>858</v>
      </c>
      <c r="G7307" s="168">
        <f>SUM(C7307,C7283,C7259,C7235,C7211,C7187,C7163,C7139,C7115,C7091,C7067,C7043,C7019,C6995)/POBLA!$B$10*100000</f>
        <v>11.026345181681739</v>
      </c>
      <c r="H7307" s="256">
        <f t="shared" si="1026"/>
        <v>1.2878787878787878</v>
      </c>
      <c r="I7307" s="297">
        <f t="shared" si="1030"/>
        <v>14.200596067317392</v>
      </c>
      <c r="J7307" s="297">
        <f t="shared" si="1031"/>
        <v>9.2857142857142865</v>
      </c>
      <c r="K7307" s="297">
        <f>J7307/POBLA!$B$10*100000</f>
        <v>1.2045587173265766</v>
      </c>
      <c r="L7307" s="549">
        <f t="shared" si="1027"/>
        <v>-2.25</v>
      </c>
      <c r="M7307" s="401">
        <f>SUM(C7307,C7283,C7259,C7235,C7211,C7187,C7163)/POBLA!$B$10*100000</f>
        <v>8.4319110212860355</v>
      </c>
    </row>
    <row r="7308" spans="1:13" s="360" customFormat="1" x14ac:dyDescent="0.25">
      <c r="A7308" s="361" t="s">
        <v>33</v>
      </c>
      <c r="B7308" s="29">
        <v>44197</v>
      </c>
      <c r="C7308" s="1">
        <v>226</v>
      </c>
      <c r="D7308" s="276">
        <f t="shared" si="1022"/>
        <v>11077</v>
      </c>
      <c r="E7308" s="1"/>
      <c r="F7308" s="39">
        <f t="shared" si="1023"/>
        <v>124</v>
      </c>
      <c r="G7308" s="168">
        <f>SUM(C7308,C7284,C7260,C7236,C7212,C7188,C7164,C7140,C7116,C7092,C7068,C7044,C7020,C6996)/POBLA!$B$11*100000</f>
        <v>886.9284765699108</v>
      </c>
      <c r="H7308" s="256">
        <f t="shared" si="1026"/>
        <v>1.8196908986834575</v>
      </c>
      <c r="I7308" s="297">
        <f t="shared" si="1030"/>
        <v>1613.9356765974508</v>
      </c>
      <c r="J7308" s="297">
        <f t="shared" si="1031"/>
        <v>248.85714285714286</v>
      </c>
      <c r="K7308" s="297">
        <f>J7308/POBLA!$B$11*100000</f>
        <v>69.430162503248312</v>
      </c>
      <c r="L7308" s="549">
        <f t="shared" si="1027"/>
        <v>-0.21224773834377175</v>
      </c>
      <c r="M7308" s="401">
        <f>SUM(C7308,C7284,C7260,C7236,C7212,C7188,C7164)/POBLA!$B$11*100000</f>
        <v>486.01113752273818</v>
      </c>
    </row>
    <row r="7309" spans="1:13" s="360" customFormat="1" x14ac:dyDescent="0.25">
      <c r="A7309" s="361" t="s">
        <v>21</v>
      </c>
      <c r="B7309" s="29">
        <v>44197</v>
      </c>
      <c r="C7309" s="1">
        <v>18</v>
      </c>
      <c r="D7309" s="276">
        <f t="shared" si="1022"/>
        <v>9112</v>
      </c>
      <c r="E7309" s="1"/>
      <c r="F7309" s="39">
        <f t="shared" si="1023"/>
        <v>388</v>
      </c>
      <c r="G7309" s="168">
        <f>SUM(C7309,C7285,C7261,C7237,C7213,C7189,C7165,C7141,C7117,C7093,C7069,C7045,C7021,C6997)/POBLA!$B$12*100000</f>
        <v>31.255479237976168</v>
      </c>
      <c r="H7309" s="256">
        <f t="shared" si="1026"/>
        <v>0.69491525423728817</v>
      </c>
      <c r="I7309" s="297">
        <f t="shared" si="1030"/>
        <v>21.719909300966492</v>
      </c>
      <c r="J7309" s="297">
        <f t="shared" si="1031"/>
        <v>7.8571428571428568</v>
      </c>
      <c r="K7309" s="297">
        <f>J7309/POBLA!$B$12*100000</f>
        <v>1.9965753287905801</v>
      </c>
      <c r="L7309" s="549">
        <f t="shared" si="1027"/>
        <v>0.19117647058823528</v>
      </c>
      <c r="M7309" s="401">
        <f>SUM(C7309,C7285,C7261,C7237,C7213,C7189,C7165)/POBLA!$B$12*100000</f>
        <v>13.976027301534058</v>
      </c>
    </row>
    <row r="7310" spans="1:13" s="360" customFormat="1" x14ac:dyDescent="0.25">
      <c r="A7310" s="361" t="s">
        <v>17</v>
      </c>
      <c r="B7310" s="29">
        <v>44197</v>
      </c>
      <c r="C7310" s="1">
        <v>41</v>
      </c>
      <c r="D7310" s="276">
        <f t="shared" si="1022"/>
        <v>60188</v>
      </c>
      <c r="E7310" s="1"/>
      <c r="F7310" s="39">
        <f t="shared" si="1023"/>
        <v>1231</v>
      </c>
      <c r="G7310" s="168">
        <f>SUM(C7310,C7286,C7262,C7238,C7214,C7190,C7166,C7142,C7118,C7094,C7070,C7046,C7022,C6998)/POBLA!$B$13*100000</f>
        <v>66.119422932185387</v>
      </c>
      <c r="H7310" s="256">
        <f t="shared" si="1026"/>
        <v>0.91072664359861588</v>
      </c>
      <c r="I7310" s="297">
        <f t="shared" si="1030"/>
        <v>60.216720123706551</v>
      </c>
      <c r="J7310" s="297">
        <f t="shared" si="1031"/>
        <v>97.571428571428569</v>
      </c>
      <c r="K7310" s="297">
        <f>J7310/POBLA!$B$13*100000</f>
        <v>4.9022542187019775</v>
      </c>
      <c r="L7310" s="549">
        <f t="shared" si="1027"/>
        <v>-7.8988941548183256E-2</v>
      </c>
      <c r="M7310" s="401">
        <f>SUM(C7310,C7286,C7262,C7238,C7214,C7190,C7166)/POBLA!$B$13*100000</f>
        <v>34.315779530913844</v>
      </c>
    </row>
    <row r="7311" spans="1:13" s="360" customFormat="1" x14ac:dyDescent="0.25">
      <c r="A7311" s="361" t="s">
        <v>23</v>
      </c>
      <c r="B7311" s="29">
        <v>44197</v>
      </c>
      <c r="C7311" s="1">
        <v>0</v>
      </c>
      <c r="D7311" s="276">
        <f t="shared" si="1022"/>
        <v>1082</v>
      </c>
      <c r="E7311" s="1"/>
      <c r="F7311" s="39">
        <f t="shared" si="1023"/>
        <v>12</v>
      </c>
      <c r="G7311" s="168">
        <f>SUM(C7311,C7287,C7263,C7239,C7215,C7191,C7167,C7143,C7119,C7095,C7071,C7047,C7023,C6999)/POBLA!$B$14*100000</f>
        <v>20.613750640215525</v>
      </c>
      <c r="H7311" s="256">
        <f t="shared" si="1026"/>
        <v>1.0038610038610039</v>
      </c>
      <c r="I7311" s="297">
        <f t="shared" si="1030"/>
        <v>20.693340411027169</v>
      </c>
      <c r="J7311" s="297">
        <f t="shared" si="1031"/>
        <v>19.571428571428573</v>
      </c>
      <c r="K7311" s="297">
        <f>J7311/POBLA!$B$14*100000</f>
        <v>1.5516944163239161</v>
      </c>
      <c r="L7311" s="549">
        <f t="shared" si="1027"/>
        <v>-0.11382113821138207</v>
      </c>
      <c r="M7311" s="401">
        <f>SUM(C7311,C7287,C7263,C7239,C7215,C7191,C7167)/POBLA!$B$14*100000</f>
        <v>10.86186091426741</v>
      </c>
    </row>
    <row r="7312" spans="1:13" s="360" customFormat="1" x14ac:dyDescent="0.25">
      <c r="A7312" s="361" t="s">
        <v>19</v>
      </c>
      <c r="B7312" s="29">
        <v>44197</v>
      </c>
      <c r="C7312" s="1">
        <v>199</v>
      </c>
      <c r="D7312" s="276">
        <f t="shared" si="1022"/>
        <v>41249</v>
      </c>
      <c r="E7312" s="1"/>
      <c r="F7312" s="39">
        <f t="shared" si="1023"/>
        <v>711</v>
      </c>
      <c r="G7312" s="168">
        <f>SUM(C7312,C7288,C7264,C7240,C7216,C7192,C7168,C7144,C7120,C7096,C7072,C7048,C7024,C7000)/POBLA!$B$15*100000</f>
        <v>535.19502090934964</v>
      </c>
      <c r="H7312" s="256">
        <f t="shared" si="1026"/>
        <v>0.95026737967914443</v>
      </c>
      <c r="I7312" s="297">
        <f t="shared" si="1030"/>
        <v>508.57837013685258</v>
      </c>
      <c r="J7312" s="297">
        <f t="shared" si="1031"/>
        <v>295.42857142857144</v>
      </c>
      <c r="K7312" s="297">
        <f>J7312/POBLA!$B$15*100000</f>
        <v>44.488435695816996</v>
      </c>
      <c r="L7312" s="549">
        <f t="shared" si="1027"/>
        <v>-0.39165545087483178</v>
      </c>
      <c r="M7312" s="401">
        <f>SUM(C7312,C7288,C7264,C7240,C7216,C7192,C7168)/POBLA!$B$15*100000</f>
        <v>311.41904987071894</v>
      </c>
    </row>
    <row r="7313" spans="1:13" s="360" customFormat="1" x14ac:dyDescent="0.25">
      <c r="A7313" s="361" t="s">
        <v>18</v>
      </c>
      <c r="B7313" s="29">
        <v>44197</v>
      </c>
      <c r="C7313" s="1">
        <v>114</v>
      </c>
      <c r="D7313" s="276">
        <f t="shared" si="1022"/>
        <v>38700</v>
      </c>
      <c r="E7313" s="1"/>
      <c r="F7313" s="39">
        <f t="shared" si="1023"/>
        <v>901</v>
      </c>
      <c r="G7313" s="168">
        <f>SUM(C7313,C7289,C7265,C7241,C7217,C7193,C7169,C7145,C7121,C7097,C7073,C7049,C7025,C7001)/POBLA!$B$16*100000</f>
        <v>447.15827771164112</v>
      </c>
      <c r="H7313" s="256">
        <f t="shared" si="1026"/>
        <v>1.2200729927007299</v>
      </c>
      <c r="I7313" s="297">
        <f t="shared" si="1030"/>
        <v>545.56573809854603</v>
      </c>
      <c r="J7313" s="297">
        <f t="shared" si="1031"/>
        <v>249.85714285714286</v>
      </c>
      <c r="K7313" s="297">
        <f>J7313/POBLA!$B$16*100000</f>
        <v>33.420786620984586</v>
      </c>
      <c r="L7313" s="549">
        <f t="shared" si="1027"/>
        <v>-9.7239648682559521E-2</v>
      </c>
      <c r="M7313" s="401">
        <f>SUM(C7313,C7289,C7265,C7241,C7217,C7193,C7169)/POBLA!$B$16*100000</f>
        <v>233.9455063468921</v>
      </c>
    </row>
    <row r="7314" spans="1:13" s="360" customFormat="1" x14ac:dyDescent="0.25">
      <c r="A7314" s="361" t="s">
        <v>34</v>
      </c>
      <c r="B7314" s="29">
        <v>44197</v>
      </c>
      <c r="C7314" s="1">
        <v>14</v>
      </c>
      <c r="D7314" s="276">
        <f t="shared" ref="D7314:D7377" si="1032">C7314+D7290</f>
        <v>22393</v>
      </c>
      <c r="E7314" s="1"/>
      <c r="F7314" s="39">
        <f t="shared" ref="F7314:F7377" si="1033">E7314+F7290</f>
        <v>1020</v>
      </c>
      <c r="G7314" s="168">
        <f>SUM(C7314,C7290,C7266,C7242,C7218,C7194,C7170,C7146,C7122,C7098,C7074,C7050,C7026,C7002)/POBLA!$B$17*100000</f>
        <v>37.629958501737931</v>
      </c>
      <c r="H7314" s="256">
        <f t="shared" si="1026"/>
        <v>1.1236897274633124</v>
      </c>
      <c r="I7314" s="297">
        <f t="shared" si="1030"/>
        <v>42.28439781327365</v>
      </c>
      <c r="J7314" s="297">
        <f t="shared" si="1031"/>
        <v>35.285714285714285</v>
      </c>
      <c r="K7314" s="297">
        <f>J7314/POBLA!$B$17*100000</f>
        <v>2.4772387393201676</v>
      </c>
      <c r="L7314" s="549">
        <f t="shared" si="1027"/>
        <v>0.1453287197231834</v>
      </c>
      <c r="M7314" s="401">
        <f>SUM(C7314,C7290,C7266,C7242,C7218,C7194,C7170)/POBLA!$B$17*100000</f>
        <v>17.340671175241173</v>
      </c>
    </row>
    <row r="7315" spans="1:13" s="360" customFormat="1" x14ac:dyDescent="0.25">
      <c r="A7315" s="361" t="s">
        <v>35</v>
      </c>
      <c r="B7315" s="29">
        <v>44197</v>
      </c>
      <c r="C7315" s="1">
        <v>13</v>
      </c>
      <c r="D7315" s="276">
        <f t="shared" si="1032"/>
        <v>11561</v>
      </c>
      <c r="E7315" s="1"/>
      <c r="F7315" s="39">
        <f t="shared" si="1033"/>
        <v>198</v>
      </c>
      <c r="G7315" s="168">
        <f>SUM(C7315,C7291,C7267,C7243,C7219,C7195,C7171,C7147,C7123,C7099,C7075,C7051,C7027,C7003)/POBLA!$B$18*100000</f>
        <v>166.9190506606999</v>
      </c>
      <c r="H7315" s="256">
        <f t="shared" si="1026"/>
        <v>0.69994632313472893</v>
      </c>
      <c r="I7315" s="297">
        <f t="shared" si="1030"/>
        <v>116.83437577109643</v>
      </c>
      <c r="J7315" s="297">
        <f t="shared" si="1031"/>
        <v>97.571428571428569</v>
      </c>
      <c r="K7315" s="297">
        <f>J7315/POBLA!$B$18*100000</f>
        <v>12.489670420821433</v>
      </c>
      <c r="L7315" s="549">
        <f t="shared" si="1027"/>
        <v>-9.9838969404186795E-2</v>
      </c>
      <c r="M7315" s="401">
        <f>SUM(C7315,C7291,C7267,C7243,C7219,C7195,C7171)/POBLA!$B$18*100000</f>
        <v>87.427692945750039</v>
      </c>
    </row>
    <row r="7316" spans="1:13" s="360" customFormat="1" x14ac:dyDescent="0.25">
      <c r="A7316" s="361" t="s">
        <v>36</v>
      </c>
      <c r="B7316" s="29">
        <v>44197</v>
      </c>
      <c r="C7316" s="1">
        <v>8</v>
      </c>
      <c r="D7316" s="276">
        <f t="shared" si="1032"/>
        <v>16199</v>
      </c>
      <c r="E7316" s="1"/>
      <c r="F7316" s="39">
        <f t="shared" si="1033"/>
        <v>300</v>
      </c>
      <c r="G7316" s="168">
        <f>SUM(C7316,C7292,C7268,C7244,C7220,C7196,C7172,C7148,C7124,C7100,C7076,C7052,C7028,C7004)/POBLA!$B$19*100000</f>
        <v>72.39420216867849</v>
      </c>
      <c r="H7316" s="256">
        <f t="shared" si="1026"/>
        <v>0.45942571785268416</v>
      </c>
      <c r="I7316" s="297">
        <f t="shared" si="1030"/>
        <v>33.259758299717461</v>
      </c>
      <c r="J7316" s="297">
        <f t="shared" si="1031"/>
        <v>30.142857142857142</v>
      </c>
      <c r="K7316" s="297">
        <f>J7316/POBLA!$B$19*100000</f>
        <v>5.9298046031021592</v>
      </c>
      <c r="L7316" s="549">
        <f t="shared" si="1027"/>
        <v>-0.34394904458598718</v>
      </c>
      <c r="M7316" s="401">
        <f>SUM(C7316,C7292,C7268,C7244,C7220,C7196,C7172)/POBLA!$B$19*100000</f>
        <v>41.508632221715111</v>
      </c>
    </row>
    <row r="7317" spans="1:13" s="360" customFormat="1" x14ac:dyDescent="0.25">
      <c r="A7317" s="361" t="s">
        <v>37</v>
      </c>
      <c r="B7317" s="29">
        <v>44197</v>
      </c>
      <c r="C7317" s="1">
        <v>134</v>
      </c>
      <c r="D7317" s="276">
        <f t="shared" si="1032"/>
        <v>23889</v>
      </c>
      <c r="E7317" s="1">
        <v>1</v>
      </c>
      <c r="F7317" s="39">
        <f t="shared" si="1033"/>
        <v>380</v>
      </c>
      <c r="G7317" s="168">
        <f>SUM(C7317,C7293,C7269,C7245,C7221,C7197,C7173,C7149,C7125,C7101,C7077,C7053,C7029,C7005)/POBLA!$B$20*100000</f>
        <v>994.26302577536649</v>
      </c>
      <c r="H7317" s="256">
        <f t="shared" si="1026"/>
        <v>1.0968325791855205</v>
      </c>
      <c r="I7317" s="297">
        <f t="shared" si="1030"/>
        <v>1090.5400789499947</v>
      </c>
      <c r="J7317" s="297">
        <f t="shared" si="1031"/>
        <v>293</v>
      </c>
      <c r="K7317" s="297">
        <f>J7317/POBLA!$B$20*100000</f>
        <v>80.120755377387908</v>
      </c>
      <c r="L7317" s="549">
        <f t="shared" si="1027"/>
        <v>-0.29400630914826498</v>
      </c>
      <c r="M7317" s="401">
        <f>SUM(C7317,C7293,C7269,C7245,C7221,C7197,C7173)/POBLA!$B$20*100000</f>
        <v>560.84528764171534</v>
      </c>
    </row>
    <row r="7318" spans="1:13" s="360" customFormat="1" x14ac:dyDescent="0.25">
      <c r="A7318" s="361" t="s">
        <v>22</v>
      </c>
      <c r="B7318" s="29">
        <v>44197</v>
      </c>
      <c r="C7318" s="1">
        <v>352</v>
      </c>
      <c r="D7318" s="276">
        <f t="shared" si="1032"/>
        <v>176727</v>
      </c>
      <c r="E7318" s="1"/>
      <c r="F7318" s="39">
        <f t="shared" si="1033"/>
        <v>2946</v>
      </c>
      <c r="G7318" s="168">
        <f>SUM(C7318,C7294,C7270,C7246,C7222,C7198,C7174,C7150,C7126,C7102,C7078,C7054,C7030,C7006)/POBLA!$B$21*100000</f>
        <v>324.00016061449753</v>
      </c>
      <c r="H7318" s="256">
        <f t="shared" si="1026"/>
        <v>0.90979831665872635</v>
      </c>
      <c r="I7318" s="297">
        <f t="shared" si="1030"/>
        <v>294.77480072422679</v>
      </c>
      <c r="J7318" s="297">
        <f t="shared" si="1031"/>
        <v>826.57142857142856</v>
      </c>
      <c r="K7318" s="297">
        <f>J7318/POBLA!$B$21*100000</f>
        <v>23.373125817463563</v>
      </c>
      <c r="L7318" s="549">
        <f t="shared" si="1027"/>
        <v>-2.0098730606487925E-2</v>
      </c>
      <c r="M7318" s="401">
        <f>SUM(C7318,C7294,C7270,C7246,C7222,C7198,C7174)/POBLA!$B$21*100000</f>
        <v>163.61188072224493</v>
      </c>
    </row>
    <row r="7319" spans="1:13" s="360" customFormat="1" x14ac:dyDescent="0.25">
      <c r="A7319" s="361" t="s">
        <v>38</v>
      </c>
      <c r="B7319" s="29">
        <v>44197</v>
      </c>
      <c r="C7319" s="1">
        <v>9</v>
      </c>
      <c r="D7319" s="276">
        <f t="shared" si="1032"/>
        <v>17439</v>
      </c>
      <c r="E7319" s="1"/>
      <c r="F7319" s="39">
        <f t="shared" si="1033"/>
        <v>218</v>
      </c>
      <c r="G7319" s="168">
        <f>SUM(C7319,C7295,C7271,C7247,C7223,C7199,C7175,C7151,C7127,C7103,C7079,C7055,C7031,C7007)/POBLA!$B$22*100000</f>
        <v>68.791889712188222</v>
      </c>
      <c r="H7319" s="256">
        <f t="shared" si="1026"/>
        <v>0.90700808625336926</v>
      </c>
      <c r="I7319" s="297">
        <f t="shared" si="1030"/>
        <v>62.394800237604677</v>
      </c>
      <c r="J7319" s="297">
        <f t="shared" si="1031"/>
        <v>62.714285714285715</v>
      </c>
      <c r="K7319" s="297">
        <f>J7319/POBLA!$B$22*100000</f>
        <v>6.4104520449269016</v>
      </c>
      <c r="L7319" s="549">
        <f t="shared" si="1027"/>
        <v>-0.87606837606837606</v>
      </c>
      <c r="M7319" s="401">
        <f>SUM(C7319,C7295,C7271,C7247,C7223,C7199,C7175)/POBLA!$B$22*100000</f>
        <v>44.873164314488307</v>
      </c>
    </row>
    <row r="7320" spans="1:13" s="360" customFormat="1" x14ac:dyDescent="0.25">
      <c r="A7320" s="361" t="s">
        <v>39</v>
      </c>
      <c r="B7320" s="29">
        <v>44197</v>
      </c>
      <c r="C7320" s="1">
        <v>82</v>
      </c>
      <c r="D7320" s="276">
        <f t="shared" si="1032"/>
        <v>19221</v>
      </c>
      <c r="E7320" s="1"/>
      <c r="F7320" s="39">
        <f t="shared" si="1033"/>
        <v>252</v>
      </c>
      <c r="G7320" s="168">
        <f>SUM(C7320,C7296,C7272,C7248,C7224,C7200,C7176,C7152,C7128,C7104,C7080,C7056,C7032,C7008)/POBLA!$B$23*100000</f>
        <v>679.1833964824973</v>
      </c>
      <c r="H7320" s="256">
        <f t="shared" si="1026"/>
        <v>0.83868715083798884</v>
      </c>
      <c r="I7320" s="297">
        <f t="shared" si="1030"/>
        <v>569.62238769237376</v>
      </c>
      <c r="J7320" s="297">
        <f t="shared" si="1031"/>
        <v>99.142857142857139</v>
      </c>
      <c r="K7320" s="297">
        <f>J7320/POBLA!$B$23*100000</f>
        <v>56.066763073492702</v>
      </c>
      <c r="L7320" s="549">
        <f t="shared" si="1027"/>
        <v>-0.3688362919132151</v>
      </c>
      <c r="M7320" s="401">
        <f>SUM(C7320,C7296,C7272,C7248,C7224,C7200,C7176)/POBLA!$B$23*100000</f>
        <v>392.46734151444889</v>
      </c>
    </row>
    <row r="7321" spans="1:13" s="360" customFormat="1" ht="15.75" thickBot="1" x14ac:dyDescent="0.3">
      <c r="A7321" s="361" t="s">
        <v>40</v>
      </c>
      <c r="B7321" s="29">
        <v>44197</v>
      </c>
      <c r="C7321" s="1">
        <v>35</v>
      </c>
      <c r="D7321" s="276">
        <f t="shared" si="1032"/>
        <v>71145</v>
      </c>
      <c r="E7321" s="1"/>
      <c r="F7321" s="39">
        <f t="shared" si="1033"/>
        <v>1366</v>
      </c>
      <c r="G7321" s="177">
        <f>SUM(C7321,C7297,C7273,C7249,C7225,C7201,C7177,C7153,C7129,C7105,C7081,C7057,C7033,C7009)/POBLA!$B$24*100000</f>
        <v>97.364892934023189</v>
      </c>
      <c r="H7321" s="402">
        <f t="shared" si="1026"/>
        <v>0.67457072771872439</v>
      </c>
      <c r="I7321" s="403">
        <f t="shared" si="1030"/>
        <v>65.679506680759715</v>
      </c>
      <c r="J7321" s="403">
        <f t="shared" si="1031"/>
        <v>123.71428571428571</v>
      </c>
      <c r="K7321" s="403">
        <f>J7321/POBLA!$B$24*100000</f>
        <v>7.300259504836716</v>
      </c>
      <c r="L7321" s="550">
        <f t="shared" si="1027"/>
        <v>-0.10459183673469385</v>
      </c>
      <c r="M7321" s="405">
        <f>SUM(C7321,C7297,C7273,C7249,C7225,C7201,C7177)/POBLA!$B$24*100000</f>
        <v>51.101816533857018</v>
      </c>
    </row>
    <row r="7322" spans="1:13" s="360" customFormat="1" x14ac:dyDescent="0.25">
      <c r="A7322" s="361" t="s">
        <v>16</v>
      </c>
      <c r="B7322" s="29">
        <v>44198</v>
      </c>
      <c r="C7322" s="1">
        <v>2098</v>
      </c>
      <c r="D7322" s="276">
        <f t="shared" si="1032"/>
        <v>688349</v>
      </c>
      <c r="E7322" s="1">
        <v>13</v>
      </c>
      <c r="F7322" s="39">
        <f t="shared" si="1033"/>
        <v>22425</v>
      </c>
      <c r="G7322" s="175">
        <f>SUM(C7322,C7298,C7274,C7250,C7226,C7202,C7178,C7154,C7130,C7106,C7082,C7058,C7034,C7010)/POBLA!$B$1*100000</f>
        <v>213.71471787382589</v>
      </c>
      <c r="H7322" s="300">
        <f t="shared" ref="H7322:H7369" si="1034">SUM(C7322,C7298,C7274,C7250,C7226,C7202,C7178,C7154,C7130,C7106,C7082,C7058,C7034,C7010)/SUM(C6986,C6962,C6938,C6914,C6890,C6866,C6842,C6818,C6794,C6770,C6746,C6722,C6698,C6674)</f>
        <v>1.6226464095572004</v>
      </c>
      <c r="I7322" s="301">
        <f>G7322*H7322</f>
        <v>346.78341962749363</v>
      </c>
      <c r="J7322" s="301">
        <f>AVERAGE(C7322,C7298,C7274,C7250,C7226,C7202,C7178)</f>
        <v>3193.5714285714284</v>
      </c>
      <c r="K7322" s="301">
        <f>J7322/POBLA!$B$1*100000</f>
        <v>18.206178426884708</v>
      </c>
      <c r="L7322" s="548">
        <f t="shared" ref="L7322:L7369" si="1035">1-SUM(C7322,C7298,C7274,C7250,C7226,C7202,C7178)/SUM(C7154,C7130,C7106,C7082,C7058,C7034,C7010)</f>
        <v>-0.47723518139166066</v>
      </c>
      <c r="M7322" s="400">
        <f>SUM(C7322,C7298,C7274,C7250,C7226,C7202,C7178)/POBLA!$B$1*100000</f>
        <v>127.44324898819295</v>
      </c>
    </row>
    <row r="7323" spans="1:13" s="360" customFormat="1" x14ac:dyDescent="0.25">
      <c r="A7323" s="361" t="s">
        <v>43</v>
      </c>
      <c r="B7323" s="29">
        <v>44198</v>
      </c>
      <c r="C7323" s="1">
        <v>495</v>
      </c>
      <c r="D7323" s="276">
        <f t="shared" si="1032"/>
        <v>175668</v>
      </c>
      <c r="E7323" s="1">
        <v>13</v>
      </c>
      <c r="F7323" s="39">
        <f t="shared" si="1033"/>
        <v>5523</v>
      </c>
      <c r="G7323" s="168">
        <f>SUM(C7323,C7299,C7275,C7251,C7227,C7203,C7179,C7155,C7131,C7107,C7083,C7059,C7035,C7011)/POBLA!$B$2*100000</f>
        <v>324.25708290225862</v>
      </c>
      <c r="H7323" s="256">
        <f t="shared" si="1034"/>
        <v>1.9003429878048781</v>
      </c>
      <c r="I7323" s="297">
        <f t="shared" ref="I7323:I7345" si="1036">G7323*H7323</f>
        <v>616.1996737393722</v>
      </c>
      <c r="J7323" s="297">
        <f t="shared" ref="J7323:J7345" si="1037">AVERAGE(C7323,C7299,C7275,C7251,C7227,C7203,C7179)</f>
        <v>867</v>
      </c>
      <c r="K7323" s="297">
        <f>J7323/POBLA!$B$2*100000</f>
        <v>28.189199927429883</v>
      </c>
      <c r="L7323" s="549">
        <f t="shared" si="1035"/>
        <v>-0.55455942622950816</v>
      </c>
      <c r="M7323" s="401">
        <f>SUM(C7323,C7299,C7275,C7251,C7227,C7203,C7179)/POBLA!$B$2*100000</f>
        <v>197.32439949200915</v>
      </c>
    </row>
    <row r="7324" spans="1:13" s="360" customFormat="1" x14ac:dyDescent="0.25">
      <c r="A7324" s="361" t="s">
        <v>28</v>
      </c>
      <c r="B7324" s="29">
        <v>44198</v>
      </c>
      <c r="C7324" s="1">
        <v>51</v>
      </c>
      <c r="D7324" s="276">
        <f t="shared" si="1032"/>
        <v>2818</v>
      </c>
      <c r="E7324" s="1"/>
      <c r="F7324" s="39">
        <f t="shared" si="1033"/>
        <v>17</v>
      </c>
      <c r="G7324" s="168">
        <f>SUM(C7324,C7300,C7276,C7252,C7228,C7204,C7180,C7156,C7132,C7108,C7084,C7060,C7036,C7012)/POBLA!$B$3*100000</f>
        <v>123.72483980762472</v>
      </c>
      <c r="H7324" s="256">
        <f t="shared" si="1034"/>
        <v>1.4277777777777778</v>
      </c>
      <c r="I7324" s="297">
        <f t="shared" si="1036"/>
        <v>176.65157683644196</v>
      </c>
      <c r="J7324" s="297">
        <f t="shared" si="1037"/>
        <v>41.142857142857146</v>
      </c>
      <c r="K7324" s="297">
        <f>J7324/POBLA!$B$3*100000</f>
        <v>9.9034891230116529</v>
      </c>
      <c r="L7324" s="549">
        <f t="shared" si="1035"/>
        <v>-0.27433628318584069</v>
      </c>
      <c r="M7324" s="401">
        <f>SUM(C7324,C7300,C7276,C7252,C7228,C7204,C7180)/POBLA!$B$3*100000</f>
        <v>69.324423861081556</v>
      </c>
    </row>
    <row r="7325" spans="1:13" s="360" customFormat="1" x14ac:dyDescent="0.25">
      <c r="A7325" s="361" t="s">
        <v>15</v>
      </c>
      <c r="B7325" s="29">
        <v>44198</v>
      </c>
      <c r="C7325" s="1">
        <v>152</v>
      </c>
      <c r="D7325" s="276">
        <f t="shared" si="1032"/>
        <v>25035</v>
      </c>
      <c r="E7325" s="1">
        <v>4</v>
      </c>
      <c r="F7325" s="39">
        <f t="shared" si="1033"/>
        <v>699</v>
      </c>
      <c r="G7325" s="168">
        <f>SUM(C7325,C7301,C7277,C7253,C7229,C7205,C7181,C7157,C7133,C7109,C7085,C7061,C7037,C7013)/POBLA!$B$4*100000</f>
        <v>190.94410235932193</v>
      </c>
      <c r="H7325" s="256">
        <f t="shared" si="1034"/>
        <v>1.075268817204301</v>
      </c>
      <c r="I7325" s="297">
        <f t="shared" si="1036"/>
        <v>205.31623909604508</v>
      </c>
      <c r="J7325" s="297">
        <f t="shared" si="1037"/>
        <v>179.71428571428572</v>
      </c>
      <c r="K7325" s="297">
        <f>J7325/POBLA!$B$4*100000</f>
        <v>14.919731724722174</v>
      </c>
      <c r="L7325" s="549">
        <f t="shared" si="1035"/>
        <v>-0.20729366602687138</v>
      </c>
      <c r="M7325" s="401">
        <f>SUM(C7325,C7301,C7277,C7253,C7229,C7205,C7181)/POBLA!$B$4*100000</f>
        <v>104.43812207305521</v>
      </c>
    </row>
    <row r="7326" spans="1:13" s="360" customFormat="1" x14ac:dyDescent="0.25">
      <c r="A7326" s="361" t="s">
        <v>29</v>
      </c>
      <c r="B7326" s="29">
        <v>44198</v>
      </c>
      <c r="C7326" s="1">
        <v>204</v>
      </c>
      <c r="D7326" s="276">
        <f t="shared" si="1032"/>
        <v>32252</v>
      </c>
      <c r="E7326" s="1">
        <v>1</v>
      </c>
      <c r="F7326" s="39">
        <f t="shared" si="1033"/>
        <v>494</v>
      </c>
      <c r="G7326" s="168">
        <f>SUM(C7326,C7302,C7278,C7254,C7230,C7206,C7182,C7158,C7134,C7110,C7086,C7062,C7038,C7014)/POBLA!$B$5*100000</f>
        <v>684.4977495743093</v>
      </c>
      <c r="H7326" s="256">
        <f t="shared" si="1034"/>
        <v>1.175638179800222</v>
      </c>
      <c r="I7326" s="297">
        <f t="shared" si="1036"/>
        <v>804.72168838688913</v>
      </c>
      <c r="J7326" s="297">
        <f t="shared" si="1037"/>
        <v>360.85714285714283</v>
      </c>
      <c r="K7326" s="297">
        <f>J7326/POBLA!$B$5*100000</f>
        <v>58.297357140318461</v>
      </c>
      <c r="L7326" s="549">
        <f t="shared" si="1035"/>
        <v>-0.47632963179427246</v>
      </c>
      <c r="M7326" s="401">
        <f>SUM(C7326,C7302,C7278,C7254,C7230,C7206,C7182)/POBLA!$B$5*100000</f>
        <v>408.08149998222922</v>
      </c>
    </row>
    <row r="7327" spans="1:13" s="360" customFormat="1" x14ac:dyDescent="0.25">
      <c r="A7327" s="361" t="s">
        <v>20</v>
      </c>
      <c r="B7327" s="29">
        <v>44198</v>
      </c>
      <c r="C7327" s="1">
        <v>83</v>
      </c>
      <c r="D7327" s="276">
        <f t="shared" si="1032"/>
        <v>128024</v>
      </c>
      <c r="E7327" s="1">
        <v>2</v>
      </c>
      <c r="F7327" s="39">
        <f t="shared" si="1033"/>
        <v>2471</v>
      </c>
      <c r="G7327" s="168">
        <f>SUM(C7327,C7303,C7279,C7255,C7231,C7207,C7183,C7159,C7135,C7111,C7087,C7063,C7039,C7015)/POBLA!$B$6*100000</f>
        <v>507.31575007516943</v>
      </c>
      <c r="H7327" s="256">
        <f t="shared" si="1034"/>
        <v>1.1399358460304732</v>
      </c>
      <c r="I7327" s="297">
        <f t="shared" si="1036"/>
        <v>578.30740876652237</v>
      </c>
      <c r="J7327" s="297">
        <f t="shared" si="1037"/>
        <v>451.14285714285717</v>
      </c>
      <c r="K7327" s="297">
        <f>J7327/POBLA!$B$6*100000</f>
        <v>40.251825002195503</v>
      </c>
      <c r="L7327" s="549">
        <f t="shared" si="1035"/>
        <v>-0.24920886075949378</v>
      </c>
      <c r="M7327" s="401">
        <f>SUM(C7327,C7303,C7279,C7255,C7231,C7207,C7183)/POBLA!$B$6*100000</f>
        <v>281.7627750153685</v>
      </c>
    </row>
    <row r="7328" spans="1:13" s="360" customFormat="1" x14ac:dyDescent="0.25">
      <c r="A7328" s="361" t="s">
        <v>30</v>
      </c>
      <c r="B7328" s="29">
        <v>44198</v>
      </c>
      <c r="C7328" s="1">
        <v>103</v>
      </c>
      <c r="D7328" s="276">
        <f t="shared" si="1032"/>
        <v>12118</v>
      </c>
      <c r="E7328" s="1"/>
      <c r="F7328" s="39">
        <f t="shared" si="1033"/>
        <v>169</v>
      </c>
      <c r="G7328" s="168">
        <f>SUM(C7328,C7304,C7280,C7256,C7232,C7208,C7184,C7160,C7136,C7112,C7088,C7064,C7040,C7016)/POBLA!$B$7*100000</f>
        <v>48.345277825792124</v>
      </c>
      <c r="H7328" s="256">
        <f t="shared" si="1034"/>
        <v>1.0631578947368421</v>
      </c>
      <c r="I7328" s="297">
        <f t="shared" si="1036"/>
        <v>51.398663793736887</v>
      </c>
      <c r="J7328" s="297">
        <f t="shared" si="1037"/>
        <v>138.57142857142858</v>
      </c>
      <c r="K7328" s="297">
        <f>J7328/POBLA!$B$7*100000</f>
        <v>3.6849693140828514</v>
      </c>
      <c r="L7328" s="549">
        <f t="shared" si="1035"/>
        <v>-0.14386792452830188</v>
      </c>
      <c r="M7328" s="401">
        <f>SUM(C7328,C7304,C7280,C7256,C7232,C7208,C7184)/POBLA!$B$7*100000</f>
        <v>25.794785198579959</v>
      </c>
    </row>
    <row r="7329" spans="1:13" x14ac:dyDescent="0.25">
      <c r="A7329" s="361" t="s">
        <v>31</v>
      </c>
      <c r="B7329" s="29">
        <v>44198</v>
      </c>
      <c r="C7329" s="1">
        <v>143</v>
      </c>
      <c r="D7329" s="276">
        <f t="shared" si="1032"/>
        <v>29895</v>
      </c>
      <c r="E7329" s="1">
        <v>4</v>
      </c>
      <c r="F7329" s="39">
        <f t="shared" si="1033"/>
        <v>587</v>
      </c>
      <c r="G7329" s="168">
        <f>SUM(C7329,C7305,C7281,C7257,C7233,C7209,C7185,C7161,C7137,C7113,C7089,C7065,C7041,C7017)/POBLA!$B$8*100000</f>
        <v>222.73354012125884</v>
      </c>
      <c r="H7329" s="256">
        <f t="shared" si="1034"/>
        <v>1.2782608695652173</v>
      </c>
      <c r="I7329" s="297">
        <f t="shared" si="1036"/>
        <v>284.71156867673955</v>
      </c>
      <c r="J7329" s="297">
        <f t="shared" si="1037"/>
        <v>281.71428571428572</v>
      </c>
      <c r="K7329" s="297">
        <f>J7329/POBLA!$B$8*100000</f>
        <v>20.326277991536969</v>
      </c>
      <c r="L7329" s="549">
        <f t="shared" si="1035"/>
        <v>-0.76860986547085197</v>
      </c>
      <c r="M7329" s="401">
        <f>SUM(C7329,C7305,C7281,C7257,C7233,C7209,C7185)/POBLA!$B$8*100000</f>
        <v>142.2839459407588</v>
      </c>
    </row>
    <row r="7330" spans="1:13" s="360" customFormat="1" x14ac:dyDescent="0.25">
      <c r="A7330" s="361" t="s">
        <v>41</v>
      </c>
      <c r="B7330" s="29">
        <v>44198</v>
      </c>
      <c r="C7330" s="1">
        <v>1</v>
      </c>
      <c r="D7330" s="276">
        <f t="shared" si="1032"/>
        <v>220</v>
      </c>
      <c r="E7330" s="1"/>
      <c r="F7330" s="39">
        <f t="shared" si="1033"/>
        <v>3</v>
      </c>
      <c r="G7330" s="168">
        <f>SUM(C7330,C7306,C7282,C7258,C7234,C7210,C7186,C7162,C7138,C7114,C7090,C7066,C7042,C7018)/POBLA!$B$9*100000</f>
        <v>3.1394943431269033</v>
      </c>
      <c r="H7330" s="256">
        <f t="shared" si="1034"/>
        <v>1.7272727272727273</v>
      </c>
      <c r="I7330" s="297">
        <f t="shared" si="1036"/>
        <v>5.4227629563101054</v>
      </c>
      <c r="J7330" s="297">
        <f t="shared" si="1037"/>
        <v>1</v>
      </c>
      <c r="K7330" s="297">
        <f>J7330/POBLA!$B$9*100000</f>
        <v>0.16523654437510019</v>
      </c>
      <c r="L7330" s="549">
        <f t="shared" si="1035"/>
        <v>0.41666666666666663</v>
      </c>
      <c r="M7330" s="401">
        <f>SUM(C7330,C7306,C7282,C7258,C7234,C7210,C7186)/POBLA!$B$9*100000</f>
        <v>1.1566558106257012</v>
      </c>
    </row>
    <row r="7331" spans="1:13" s="360" customFormat="1" x14ac:dyDescent="0.25">
      <c r="A7331" s="361" t="s">
        <v>32</v>
      </c>
      <c r="B7331" s="29">
        <v>44198</v>
      </c>
      <c r="C7331" s="1">
        <v>-1</v>
      </c>
      <c r="D7331" s="276">
        <f t="shared" si="1032"/>
        <v>18562</v>
      </c>
      <c r="E7331" s="1"/>
      <c r="F7331" s="39">
        <f t="shared" si="1033"/>
        <v>858</v>
      </c>
      <c r="G7331" s="168">
        <f>SUM(C7331,C7307,C7283,C7259,C7235,C7211,C7187,C7163,C7139,C7115,C7091,C7067,C7043,C7019)/POBLA!$B$10*100000</f>
        <v>10.377736641582812</v>
      </c>
      <c r="H7331" s="256">
        <f t="shared" si="1034"/>
        <v>1.1940298507462686</v>
      </c>
      <c r="I7331" s="297">
        <f t="shared" si="1036"/>
        <v>12.391327333233207</v>
      </c>
      <c r="J7331" s="297">
        <f t="shared" si="1037"/>
        <v>8.8571428571428577</v>
      </c>
      <c r="K7331" s="297">
        <f>J7331/POBLA!$B$10*100000</f>
        <v>1.1489636996038115</v>
      </c>
      <c r="L7331" s="549">
        <f t="shared" si="1035"/>
        <v>-2.4444444444444446</v>
      </c>
      <c r="M7331" s="401">
        <f>SUM(C7331,C7307,C7283,C7259,C7235,C7211,C7187)/POBLA!$B$10*100000</f>
        <v>8.0427458972266788</v>
      </c>
    </row>
    <row r="7332" spans="1:13" s="360" customFormat="1" x14ac:dyDescent="0.25">
      <c r="A7332" s="361" t="s">
        <v>33</v>
      </c>
      <c r="B7332" s="29">
        <v>44198</v>
      </c>
      <c r="C7332" s="1">
        <v>197</v>
      </c>
      <c r="D7332" s="276">
        <f t="shared" si="1032"/>
        <v>11274</v>
      </c>
      <c r="E7332" s="1"/>
      <c r="F7332" s="39">
        <f t="shared" si="1033"/>
        <v>124</v>
      </c>
      <c r="G7332" s="168">
        <f>SUM(C7332,C7308,C7284,C7260,C7236,C7212,C7188,C7164,C7140,C7116,C7092,C7068,C7044,C7020)/POBLA!$B$11*100000</f>
        <v>885.25450020645701</v>
      </c>
      <c r="H7332" s="256">
        <f t="shared" si="1034"/>
        <v>1.6859723698193412</v>
      </c>
      <c r="I7332" s="297">
        <f t="shared" si="1036"/>
        <v>1492.5146276063167</v>
      </c>
      <c r="J7332" s="297">
        <f t="shared" si="1037"/>
        <v>251</v>
      </c>
      <c r="K7332" s="297">
        <f>J7332/POBLA!$B$11*100000</f>
        <v>70.0280112044818</v>
      </c>
      <c r="L7332" s="549">
        <f t="shared" si="1035"/>
        <v>-0.24081920903954801</v>
      </c>
      <c r="M7332" s="401">
        <f>SUM(C7332,C7308,C7284,C7260,C7236,C7212,C7188)/POBLA!$B$11*100000</f>
        <v>490.19607843137254</v>
      </c>
    </row>
    <row r="7333" spans="1:13" s="360" customFormat="1" x14ac:dyDescent="0.25">
      <c r="A7333" s="361" t="s">
        <v>21</v>
      </c>
      <c r="B7333" s="29">
        <v>44198</v>
      </c>
      <c r="C7333" s="1">
        <v>9</v>
      </c>
      <c r="D7333" s="276">
        <f t="shared" si="1032"/>
        <v>9121</v>
      </c>
      <c r="E7333" s="1"/>
      <c r="F7333" s="39">
        <f t="shared" si="1033"/>
        <v>388</v>
      </c>
      <c r="G7333" s="168">
        <f>SUM(C7333,C7309,C7285,C7261,C7237,C7213,C7189,C7165,C7141,C7117,C7093,C7069,C7045,C7021)/POBLA!$B$12*100000</f>
        <v>32.271917587178649</v>
      </c>
      <c r="H7333" s="256">
        <f t="shared" si="1034"/>
        <v>0.79374999999999996</v>
      </c>
      <c r="I7333" s="297">
        <f t="shared" si="1036"/>
        <v>25.615834584823052</v>
      </c>
      <c r="J7333" s="297">
        <f t="shared" si="1037"/>
        <v>8.5714285714285712</v>
      </c>
      <c r="K7333" s="297">
        <f>J7333/POBLA!$B$12*100000</f>
        <v>2.1780821768624508</v>
      </c>
      <c r="L7333" s="549">
        <f t="shared" si="1035"/>
        <v>0.10447761194029848</v>
      </c>
      <c r="M7333" s="401">
        <f>SUM(C7333,C7309,C7285,C7261,C7237,C7213,C7189)/POBLA!$B$12*100000</f>
        <v>15.246575238037156</v>
      </c>
    </row>
    <row r="7334" spans="1:13" s="360" customFormat="1" x14ac:dyDescent="0.25">
      <c r="A7334" s="361" t="s">
        <v>17</v>
      </c>
      <c r="B7334" s="29">
        <v>44198</v>
      </c>
      <c r="C7334" s="1">
        <v>65</v>
      </c>
      <c r="D7334" s="276">
        <f t="shared" si="1032"/>
        <v>60253</v>
      </c>
      <c r="E7334" s="1"/>
      <c r="F7334" s="39">
        <f t="shared" si="1033"/>
        <v>1231</v>
      </c>
      <c r="G7334" s="168">
        <f>SUM(C7334,C7310,C7286,C7262,C7238,C7214,C7190,C7166,C7142,C7118,C7094,C7070,C7046,C7022)/POBLA!$B$13*100000</f>
        <v>65.265296648107011</v>
      </c>
      <c r="H7334" s="256">
        <f t="shared" si="1034"/>
        <v>0.91030133146461112</v>
      </c>
      <c r="I7334" s="297">
        <f t="shared" si="1036"/>
        <v>59.411086437204631</v>
      </c>
      <c r="J7334" s="297">
        <f t="shared" si="1037"/>
        <v>99.285714285714292</v>
      </c>
      <c r="K7334" s="297">
        <f>J7334/POBLA!$B$13*100000</f>
        <v>4.9883846002897139</v>
      </c>
      <c r="L7334" s="549">
        <f t="shared" si="1035"/>
        <v>-0.15066225165562908</v>
      </c>
      <c r="M7334" s="401">
        <f>SUM(C7334,C7310,C7286,C7262,C7238,C7214,C7190)/POBLA!$B$13*100000</f>
        <v>34.918692202027998</v>
      </c>
    </row>
    <row r="7335" spans="1:13" s="360" customFormat="1" x14ac:dyDescent="0.25">
      <c r="A7335" s="361" t="s">
        <v>23</v>
      </c>
      <c r="B7335" s="29">
        <v>44198</v>
      </c>
      <c r="C7335" s="1">
        <v>2</v>
      </c>
      <c r="D7335" s="276">
        <f t="shared" si="1032"/>
        <v>1084</v>
      </c>
      <c r="E7335" s="1"/>
      <c r="F7335" s="39">
        <f t="shared" si="1033"/>
        <v>12</v>
      </c>
      <c r="G7335" s="168">
        <f>SUM(C7335,C7311,C7287,C7263,C7239,C7215,C7191,C7167,C7143,C7119,C7095,C7071,C7047,C7023)/POBLA!$B$14*100000</f>
        <v>18.869510201428056</v>
      </c>
      <c r="H7335" s="256">
        <f t="shared" si="1034"/>
        <v>0.85611510791366907</v>
      </c>
      <c r="I7335" s="297">
        <f t="shared" si="1036"/>
        <v>16.154472762373661</v>
      </c>
      <c r="J7335" s="297">
        <f t="shared" si="1037"/>
        <v>13.714285714285714</v>
      </c>
      <c r="K7335" s="297">
        <f>J7335/POBLA!$B$14*100000</f>
        <v>1.0873187150882913</v>
      </c>
      <c r="L7335" s="549">
        <f t="shared" si="1035"/>
        <v>0.323943661971831</v>
      </c>
      <c r="M7335" s="401">
        <f>SUM(C7335,C7311,C7287,C7263,C7239,C7215,C7191)/POBLA!$B$14*100000</f>
        <v>7.6112310056180403</v>
      </c>
    </row>
    <row r="7336" spans="1:13" s="360" customFormat="1" x14ac:dyDescent="0.25">
      <c r="A7336" s="361" t="s">
        <v>19</v>
      </c>
      <c r="B7336" s="29">
        <v>44198</v>
      </c>
      <c r="C7336" s="1">
        <v>305</v>
      </c>
      <c r="D7336" s="276">
        <f t="shared" si="1032"/>
        <v>41554</v>
      </c>
      <c r="E7336" s="1"/>
      <c r="F7336" s="39">
        <f t="shared" si="1033"/>
        <v>711</v>
      </c>
      <c r="G7336" s="168">
        <f>SUM(C7336,C7312,C7288,C7264,C7240,C7216,C7192,C7168,C7144,C7120,C7096,C7072,C7048,C7024)/POBLA!$B$15*100000</f>
        <v>548.7480743369922</v>
      </c>
      <c r="H7336" s="256">
        <f t="shared" si="1034"/>
        <v>0.99399890889252596</v>
      </c>
      <c r="I7336" s="297">
        <f t="shared" si="1036"/>
        <v>545.45498714784492</v>
      </c>
      <c r="J7336" s="297">
        <f t="shared" si="1037"/>
        <v>324.42857142857144</v>
      </c>
      <c r="K7336" s="297">
        <f>J7336/POBLA!$B$15*100000</f>
        <v>48.855530689168468</v>
      </c>
      <c r="L7336" s="549">
        <f t="shared" si="1035"/>
        <v>-0.65404224326292781</v>
      </c>
      <c r="M7336" s="401">
        <f>SUM(C7336,C7312,C7288,C7264,C7240,C7216,C7192)/POBLA!$B$15*100000</f>
        <v>341.98871482417923</v>
      </c>
    </row>
    <row r="7337" spans="1:13" s="360" customFormat="1" x14ac:dyDescent="0.25">
      <c r="A7337" s="361" t="s">
        <v>18</v>
      </c>
      <c r="B7337" s="29">
        <v>44198</v>
      </c>
      <c r="C7337" s="1">
        <v>160</v>
      </c>
      <c r="D7337" s="276">
        <f t="shared" si="1032"/>
        <v>38860</v>
      </c>
      <c r="E7337" s="1">
        <v>3</v>
      </c>
      <c r="F7337" s="39">
        <f t="shared" si="1033"/>
        <v>904</v>
      </c>
      <c r="G7337" s="168">
        <f>SUM(C7337,C7313,C7289,C7265,C7241,C7217,C7193,C7169,C7145,C7121,C7097,C7073,C7049,C7025)/POBLA!$B$16*100000</f>
        <v>441.27285616832307</v>
      </c>
      <c r="H7337" s="256">
        <f t="shared" si="1034"/>
        <v>1.1790564689063616</v>
      </c>
      <c r="I7337" s="297">
        <f t="shared" si="1036"/>
        <v>520.28561561804781</v>
      </c>
      <c r="J7337" s="297">
        <f t="shared" si="1037"/>
        <v>249.42857142857142</v>
      </c>
      <c r="K7337" s="297">
        <f>J7337/POBLA!$B$16*100000</f>
        <v>33.363461086471744</v>
      </c>
      <c r="L7337" s="549">
        <f t="shared" si="1035"/>
        <v>-0.12427559562137791</v>
      </c>
      <c r="M7337" s="401">
        <f>SUM(C7337,C7313,C7289,C7265,C7241,C7217,C7193)/POBLA!$B$16*100000</f>
        <v>233.54422760530221</v>
      </c>
    </row>
    <row r="7338" spans="1:13" s="360" customFormat="1" x14ac:dyDescent="0.25">
      <c r="A7338" s="361" t="s">
        <v>34</v>
      </c>
      <c r="B7338" s="29">
        <v>44198</v>
      </c>
      <c r="C7338" s="1">
        <v>12</v>
      </c>
      <c r="D7338" s="276">
        <f t="shared" si="1032"/>
        <v>22405</v>
      </c>
      <c r="E7338" s="1"/>
      <c r="F7338" s="39">
        <f t="shared" si="1033"/>
        <v>1020</v>
      </c>
      <c r="G7338" s="168">
        <f>SUM(C7338,C7314,C7290,C7266,C7242,C7218,C7194,C7170,C7146,C7122,C7098,C7074,C7050,C7026)/POBLA!$B$17*100000</f>
        <v>33.768675446522288</v>
      </c>
      <c r="H7338" s="256">
        <f t="shared" si="1034"/>
        <v>0.92500000000000004</v>
      </c>
      <c r="I7338" s="297">
        <f t="shared" si="1036"/>
        <v>31.236024788033117</v>
      </c>
      <c r="J7338" s="297">
        <f t="shared" si="1037"/>
        <v>33.428571428571431</v>
      </c>
      <c r="K7338" s="297">
        <f>J7338/POBLA!$B$17*100000</f>
        <v>2.3468577530401586</v>
      </c>
      <c r="L7338" s="549">
        <f t="shared" si="1035"/>
        <v>5.2631578947368474E-2</v>
      </c>
      <c r="M7338" s="401">
        <f>SUM(C7338,C7314,C7290,C7266,C7242,C7218,C7194)/POBLA!$B$17*100000</f>
        <v>16.428004271281111</v>
      </c>
    </row>
    <row r="7339" spans="1:13" s="360" customFormat="1" x14ac:dyDescent="0.25">
      <c r="A7339" s="361" t="s">
        <v>35</v>
      </c>
      <c r="B7339" s="29">
        <v>44198</v>
      </c>
      <c r="C7339" s="1">
        <v>4</v>
      </c>
      <c r="D7339" s="276">
        <f t="shared" si="1032"/>
        <v>11565</v>
      </c>
      <c r="E7339" s="1"/>
      <c r="F7339" s="39">
        <f t="shared" si="1033"/>
        <v>198</v>
      </c>
      <c r="G7339" s="168">
        <f>SUM(C7339,C7315,C7291,C7267,C7243,C7219,C7195,C7171,C7147,C7123,C7099,C7075,C7051,C7027)/POBLA!$B$18*100000</f>
        <v>164.99896955647407</v>
      </c>
      <c r="H7339" s="256">
        <f t="shared" si="1034"/>
        <v>0.70398689240851997</v>
      </c>
      <c r="I7339" s="297">
        <f t="shared" si="1036"/>
        <v>116.15711182867017</v>
      </c>
      <c r="J7339" s="297">
        <f t="shared" si="1037"/>
        <v>96.428571428571431</v>
      </c>
      <c r="K7339" s="297">
        <f>J7339/POBLA!$B$18*100000</f>
        <v>12.343378527166131</v>
      </c>
      <c r="L7339" s="549">
        <f t="shared" si="1035"/>
        <v>-9.9348534201954442E-2</v>
      </c>
      <c r="M7339" s="401">
        <f>SUM(C7339,C7315,C7291,C7267,C7243,C7219,C7195)/POBLA!$B$18*100000</f>
        <v>86.403649690162908</v>
      </c>
    </row>
    <row r="7340" spans="1:13" s="360" customFormat="1" x14ac:dyDescent="0.25">
      <c r="A7340" s="361" t="s">
        <v>36</v>
      </c>
      <c r="B7340" s="29">
        <v>44198</v>
      </c>
      <c r="C7340" s="1">
        <v>2</v>
      </c>
      <c r="D7340" s="276">
        <f t="shared" si="1032"/>
        <v>16201</v>
      </c>
      <c r="E7340" s="1"/>
      <c r="F7340" s="39">
        <f t="shared" si="1033"/>
        <v>300</v>
      </c>
      <c r="G7340" s="168">
        <f>SUM(C7340,C7316,C7292,C7268,C7244,C7220,C7196,C7172,C7148,C7124,C7100,C7076,C7052,C7028)/POBLA!$B$19*100000</f>
        <v>66.689224280385886</v>
      </c>
      <c r="H7340" s="256">
        <f t="shared" si="1034"/>
        <v>0.43573264781491</v>
      </c>
      <c r="I7340" s="297">
        <f t="shared" si="1036"/>
        <v>29.058672276414928</v>
      </c>
      <c r="J7340" s="297">
        <f t="shared" si="1037"/>
        <v>29.571428571428573</v>
      </c>
      <c r="K7340" s="297">
        <f>J7340/POBLA!$B$19*100000</f>
        <v>5.8173912456973786</v>
      </c>
      <c r="L7340" s="549">
        <f t="shared" si="1035"/>
        <v>-0.56818181818181812</v>
      </c>
      <c r="M7340" s="401">
        <f>SUM(C7340,C7316,C7292,C7268,C7244,C7220,C7196)/POBLA!$B$19*100000</f>
        <v>40.72173871988165</v>
      </c>
    </row>
    <row r="7341" spans="1:13" s="360" customFormat="1" x14ac:dyDescent="0.25">
      <c r="A7341" s="361" t="s">
        <v>37</v>
      </c>
      <c r="B7341" s="29">
        <v>44198</v>
      </c>
      <c r="C7341" s="1">
        <v>305</v>
      </c>
      <c r="D7341" s="276">
        <f t="shared" si="1032"/>
        <v>24194</v>
      </c>
      <c r="E7341" s="1">
        <v>2</v>
      </c>
      <c r="F7341" s="39">
        <f t="shared" si="1033"/>
        <v>382</v>
      </c>
      <c r="G7341" s="168">
        <f>SUM(C7341,C7317,C7293,C7269,C7245,C7221,C7197,C7173,C7149,C7125,C7101,C7077,C7053,C7029)/POBLA!$B$20*100000</f>
        <v>1008.2089593052191</v>
      </c>
      <c r="H7341" s="256">
        <f t="shared" si="1034"/>
        <v>1.0901833234772325</v>
      </c>
      <c r="I7341" s="297">
        <f t="shared" si="1036"/>
        <v>1099.1325940148856</v>
      </c>
      <c r="J7341" s="297">
        <f t="shared" si="1037"/>
        <v>313.85714285714283</v>
      </c>
      <c r="K7341" s="297">
        <f>J7341/POBLA!$B$20*100000</f>
        <v>85.824134355983034</v>
      </c>
      <c r="L7341" s="549">
        <f t="shared" si="1035"/>
        <v>-0.47449664429530203</v>
      </c>
      <c r="M7341" s="401">
        <f>SUM(C7341,C7317,C7293,C7269,C7245,C7221,C7197)/POBLA!$B$20*100000</f>
        <v>600.76894049188127</v>
      </c>
    </row>
    <row r="7342" spans="1:13" s="360" customFormat="1" x14ac:dyDescent="0.25">
      <c r="A7342" s="361" t="s">
        <v>22</v>
      </c>
      <c r="B7342" s="29">
        <v>44198</v>
      </c>
      <c r="C7342" s="1">
        <v>568</v>
      </c>
      <c r="D7342" s="276">
        <f t="shared" si="1032"/>
        <v>177295</v>
      </c>
      <c r="E7342" s="1">
        <v>14</v>
      </c>
      <c r="F7342" s="39">
        <f t="shared" si="1033"/>
        <v>2960</v>
      </c>
      <c r="G7342" s="168">
        <f>SUM(C7342,C7318,C7294,C7270,C7246,C7222,C7198,C7174,C7150,C7126,C7102,C7078,C7054,C7030)/POBLA!$B$21*100000</f>
        <v>319.07992776871964</v>
      </c>
      <c r="H7342" s="256">
        <f t="shared" si="1034"/>
        <v>0.91294498381877021</v>
      </c>
      <c r="I7342" s="297">
        <f t="shared" si="1036"/>
        <v>291.3024194937081</v>
      </c>
      <c r="J7342" s="297">
        <f t="shared" si="1037"/>
        <v>847.28571428571433</v>
      </c>
      <c r="K7342" s="297">
        <f>J7342/POBLA!$B$21*100000</f>
        <v>23.958867822913305</v>
      </c>
      <c r="L7342" s="549">
        <f t="shared" si="1035"/>
        <v>-0.10797683541939107</v>
      </c>
      <c r="M7342" s="401">
        <f>SUM(C7342,C7318,C7294,C7270,C7246,C7222,C7198)/POBLA!$B$21*100000</f>
        <v>167.71207476039314</v>
      </c>
    </row>
    <row r="7343" spans="1:13" s="360" customFormat="1" x14ac:dyDescent="0.25">
      <c r="A7343" s="361" t="s">
        <v>38</v>
      </c>
      <c r="B7343" s="29">
        <v>44198</v>
      </c>
      <c r="C7343" s="1">
        <v>128</v>
      </c>
      <c r="D7343" s="276">
        <f t="shared" si="1032"/>
        <v>17567</v>
      </c>
      <c r="E7343" s="1"/>
      <c r="F7343" s="39">
        <f t="shared" si="1033"/>
        <v>218</v>
      </c>
      <c r="G7343" s="168">
        <f>SUM(C7343,C7319,C7295,C7271,C7247,C7223,C7199,C7175,C7151,C7127,C7103,C7079,C7055,C7031)/POBLA!$B$22*100000</f>
        <v>79.013567232572811</v>
      </c>
      <c r="H7343" s="256">
        <f t="shared" si="1034"/>
        <v>1.1251819505094613</v>
      </c>
      <c r="I7343" s="297">
        <f t="shared" si="1036"/>
        <v>88.904639695456737</v>
      </c>
      <c r="J7343" s="297">
        <f t="shared" si="1037"/>
        <v>74.285714285714292</v>
      </c>
      <c r="K7343" s="297">
        <f>J7343/POBLA!$B$22*100000</f>
        <v>7.5932461579999746</v>
      </c>
      <c r="L7343" s="549">
        <f t="shared" si="1035"/>
        <v>-1.0553359683794468</v>
      </c>
      <c r="M7343" s="401">
        <f>SUM(C7343,C7319,C7295,C7271,C7247,C7223,C7199)/POBLA!$B$22*100000</f>
        <v>53.152723105999812</v>
      </c>
    </row>
    <row r="7344" spans="1:13" s="360" customFormat="1" x14ac:dyDescent="0.25">
      <c r="A7344" s="361" t="s">
        <v>39</v>
      </c>
      <c r="B7344" s="29">
        <v>44198</v>
      </c>
      <c r="C7344" s="1">
        <v>108</v>
      </c>
      <c r="D7344" s="276">
        <f t="shared" si="1032"/>
        <v>19329</v>
      </c>
      <c r="E7344" s="1">
        <v>1</v>
      </c>
      <c r="F7344" s="39">
        <f t="shared" si="1033"/>
        <v>253</v>
      </c>
      <c r="G7344" s="168">
        <f>SUM(C7344,C7320,C7296,C7272,C7248,C7224,C7200,C7176,C7152,C7128,C7104,C7080,C7056,C7032)/POBLA!$B$23*100000</f>
        <v>701.23847763388574</v>
      </c>
      <c r="H7344" s="256">
        <f t="shared" si="1034"/>
        <v>0.88256227758007122</v>
      </c>
      <c r="I7344" s="297">
        <f t="shared" si="1036"/>
        <v>618.88662794734398</v>
      </c>
      <c r="J7344" s="297">
        <f t="shared" si="1037"/>
        <v>96.857142857142861</v>
      </c>
      <c r="K7344" s="297">
        <f>J7344/POBLA!$B$23*100000</f>
        <v>54.774157584766648</v>
      </c>
      <c r="L7344" s="549">
        <f t="shared" si="1035"/>
        <v>-0.20640569395017794</v>
      </c>
      <c r="M7344" s="401">
        <f>SUM(C7344,C7320,C7296,C7272,C7248,C7224,C7200)/POBLA!$B$23*100000</f>
        <v>383.41910309336652</v>
      </c>
    </row>
    <row r="7345" spans="1:13" s="360" customFormat="1" ht="15.75" thickBot="1" x14ac:dyDescent="0.3">
      <c r="A7345" s="361" t="s">
        <v>40</v>
      </c>
      <c r="B7345" s="29">
        <v>44198</v>
      </c>
      <c r="C7345" s="1">
        <v>46</v>
      </c>
      <c r="D7345" s="276">
        <f t="shared" si="1032"/>
        <v>71191</v>
      </c>
      <c r="E7345" s="1"/>
      <c r="F7345" s="39">
        <f t="shared" si="1033"/>
        <v>1366</v>
      </c>
      <c r="G7345" s="177">
        <f>SUM(C7345,C7321,C7297,C7273,C7249,C7225,C7201,C7177,C7153,C7129,C7105,C7081,C7057,C7033)/POBLA!$B$24*100000</f>
        <v>93.824351372785983</v>
      </c>
      <c r="H7345" s="402">
        <f t="shared" si="1034"/>
        <v>0.65756823821339949</v>
      </c>
      <c r="I7345" s="403">
        <f t="shared" si="1036"/>
        <v>61.695913433717827</v>
      </c>
      <c r="J7345" s="403">
        <f t="shared" si="1037"/>
        <v>119.28571428571429</v>
      </c>
      <c r="K7345" s="403">
        <f>J7345/POBLA!$B$24*100000</f>
        <v>7.0389338181739713</v>
      </c>
      <c r="L7345" s="550">
        <f t="shared" si="1035"/>
        <v>-0.10596026490066235</v>
      </c>
      <c r="M7345" s="405">
        <f>SUM(C7345,C7321,C7297,C7273,C7249,C7225,C7201)/POBLA!$B$24*100000</f>
        <v>49.272536727217791</v>
      </c>
    </row>
    <row r="7346" spans="1:13" s="360" customFormat="1" x14ac:dyDescent="0.25">
      <c r="A7346" s="361" t="s">
        <v>16</v>
      </c>
      <c r="B7346" s="29">
        <v>44199</v>
      </c>
      <c r="C7346" s="1">
        <v>2034</v>
      </c>
      <c r="D7346" s="276">
        <f t="shared" si="1032"/>
        <v>690383</v>
      </c>
      <c r="E7346" s="1">
        <v>63</v>
      </c>
      <c r="F7346" s="39">
        <f t="shared" si="1033"/>
        <v>22488</v>
      </c>
      <c r="G7346" s="175">
        <f>SUM(C7346,C7322,C7298,C7274,C7250,C7226,C7202,C7178,C7154,C7130,C7106,C7082,C7058,C7034)/POBLA!$B$1*100000</f>
        <v>218.03598751073261</v>
      </c>
      <c r="H7346" s="300">
        <f t="shared" si="1034"/>
        <v>1.6164835164835165</v>
      </c>
      <c r="I7346" s="301">
        <f>G7346*H7346</f>
        <v>352.45157981130512</v>
      </c>
      <c r="J7346" s="301">
        <f>AVERAGE(C7346,C7322,C7298,C7274,C7250,C7226,C7202)</f>
        <v>3199</v>
      </c>
      <c r="K7346" s="301">
        <f>J7346/POBLA!$B$1*100000</f>
        <v>18.2371260797687</v>
      </c>
      <c r="L7346" s="548">
        <f t="shared" si="1035"/>
        <v>-0.41254021320885648</v>
      </c>
      <c r="M7346" s="400">
        <f>SUM(C7346,C7322,C7298,C7274,C7250,C7226,C7202)/POBLA!$B$1*100000</f>
        <v>127.65988255838089</v>
      </c>
    </row>
    <row r="7347" spans="1:13" s="360" customFormat="1" x14ac:dyDescent="0.25">
      <c r="A7347" s="361" t="s">
        <v>43</v>
      </c>
      <c r="B7347" s="29">
        <v>44199</v>
      </c>
      <c r="C7347" s="1">
        <v>827</v>
      </c>
      <c r="D7347" s="276">
        <f t="shared" si="1032"/>
        <v>176495</v>
      </c>
      <c r="E7347" s="1">
        <v>2</v>
      </c>
      <c r="F7347" s="39">
        <f t="shared" si="1033"/>
        <v>5525</v>
      </c>
      <c r="G7347" s="168">
        <f>SUM(C7347,C7323,C7299,C7275,C7251,C7227,C7203,C7179,C7155,C7131,C7107,C7083,C7059,C7035)/POBLA!$B$2*100000</f>
        <v>338.4329666027885</v>
      </c>
      <c r="H7347" s="256">
        <f t="shared" si="1034"/>
        <v>1.9229632366525031</v>
      </c>
      <c r="I7347" s="297">
        <f t="shared" ref="I7347:I7369" si="1038">G7347*H7347</f>
        <v>650.79415284840661</v>
      </c>
      <c r="J7347" s="297">
        <f t="shared" ref="J7347:J7369" si="1039">AVERAGE(C7347,C7323,C7299,C7275,C7251,C7227,C7203)</f>
        <v>881.14285714285711</v>
      </c>
      <c r="K7347" s="297">
        <f>J7347/POBLA!$B$2*100000</f>
        <v>28.649033638554538</v>
      </c>
      <c r="L7347" s="549">
        <f t="shared" si="1035"/>
        <v>-0.45437396840367827</v>
      </c>
      <c r="M7347" s="401">
        <f>SUM(C7347,C7323,C7299,C7275,C7251,C7227,C7203)/POBLA!$B$2*100000</f>
        <v>200.54323546988178</v>
      </c>
    </row>
    <row r="7348" spans="1:13" s="360" customFormat="1" x14ac:dyDescent="0.25">
      <c r="A7348" s="361" t="s">
        <v>28</v>
      </c>
      <c r="B7348" s="29">
        <v>44199</v>
      </c>
      <c r="C7348" s="1">
        <v>33</v>
      </c>
      <c r="D7348" s="276">
        <f t="shared" si="1032"/>
        <v>2851</v>
      </c>
      <c r="E7348" s="1"/>
      <c r="F7348" s="39">
        <f t="shared" si="1033"/>
        <v>17</v>
      </c>
      <c r="G7348" s="168">
        <f>SUM(C7348,C7324,C7300,C7276,C7252,C7228,C7204,C7180,C7156,C7132,C7108,C7084,C7060,C7036)/POBLA!$B$3*100000</f>
        <v>123.96554961269793</v>
      </c>
      <c r="H7348" s="256">
        <f t="shared" si="1034"/>
        <v>1.4672364672364673</v>
      </c>
      <c r="I7348" s="297">
        <f t="shared" si="1038"/>
        <v>181.88677507276194</v>
      </c>
      <c r="J7348" s="297">
        <f t="shared" si="1039"/>
        <v>39.285714285714285</v>
      </c>
      <c r="K7348" s="297">
        <f>J7348/POBLA!$B$3*100000</f>
        <v>9.4564566278757081</v>
      </c>
      <c r="L7348" s="549">
        <f t="shared" si="1035"/>
        <v>-0.14583333333333326</v>
      </c>
      <c r="M7348" s="401">
        <f>SUM(C7348,C7324,C7300,C7276,C7252,C7228,C7204)/POBLA!$B$3*100000</f>
        <v>66.195196395129955</v>
      </c>
    </row>
    <row r="7349" spans="1:13" s="360" customFormat="1" x14ac:dyDescent="0.25">
      <c r="A7349" s="361" t="s">
        <v>15</v>
      </c>
      <c r="B7349" s="29">
        <v>44199</v>
      </c>
      <c r="C7349" s="1">
        <v>113</v>
      </c>
      <c r="D7349" s="276">
        <f t="shared" si="1032"/>
        <v>25148</v>
      </c>
      <c r="E7349" s="1">
        <v>2</v>
      </c>
      <c r="F7349" s="39">
        <f t="shared" si="1033"/>
        <v>701</v>
      </c>
      <c r="G7349" s="168">
        <f>SUM(C7349,C7325,C7301,C7277,C7253,C7229,C7205,C7181,C7157,C7133,C7109,C7085,C7061,C7037)/POBLA!$B$4*100000</f>
        <v>188.95164216078987</v>
      </c>
      <c r="H7349" s="256">
        <f t="shared" si="1034"/>
        <v>1.0625583566760037</v>
      </c>
      <c r="I7349" s="297">
        <f t="shared" si="1038"/>
        <v>200.77214638560119</v>
      </c>
      <c r="J7349" s="297">
        <f t="shared" si="1039"/>
        <v>185.85714285714286</v>
      </c>
      <c r="K7349" s="297">
        <f>J7349/POBLA!$B$4*100000</f>
        <v>15.429706656489307</v>
      </c>
      <c r="L7349" s="549">
        <f t="shared" si="1035"/>
        <v>-0.33435897435897433</v>
      </c>
      <c r="M7349" s="401">
        <f>SUM(C7349,C7325,C7301,C7277,C7253,C7229,C7205)/POBLA!$B$4*100000</f>
        <v>108.00794659542514</v>
      </c>
    </row>
    <row r="7350" spans="1:13" s="360" customFormat="1" x14ac:dyDescent="0.25">
      <c r="A7350" s="361" t="s">
        <v>29</v>
      </c>
      <c r="B7350" s="29">
        <v>44199</v>
      </c>
      <c r="C7350" s="1">
        <v>202</v>
      </c>
      <c r="D7350" s="276">
        <f t="shared" si="1032"/>
        <v>32454</v>
      </c>
      <c r="E7350" s="1"/>
      <c r="F7350" s="39">
        <f t="shared" si="1033"/>
        <v>494</v>
      </c>
      <c r="G7350" s="168">
        <f>SUM(C7350,C7326,C7302,C7278,C7254,C7230,C7206,C7182,C7158,C7134,C7110,C7086,C7062,C7038)/POBLA!$B$5*100000</f>
        <v>698.55281311288968</v>
      </c>
      <c r="H7350" s="256">
        <f t="shared" si="1034"/>
        <v>1.1872597473915432</v>
      </c>
      <c r="I7350" s="297">
        <f t="shared" si="1038"/>
        <v>829.36363643606126</v>
      </c>
      <c r="J7350" s="297">
        <f t="shared" si="1039"/>
        <v>367.57142857142856</v>
      </c>
      <c r="K7350" s="297">
        <f>J7350/POBLA!$B$5*100000</f>
        <v>59.382066477450273</v>
      </c>
      <c r="L7350" s="549">
        <f t="shared" si="1035"/>
        <v>-0.4694460308395203</v>
      </c>
      <c r="M7350" s="401">
        <f>SUM(C7350,C7326,C7302,C7278,C7254,C7230,C7206)/POBLA!$B$5*100000</f>
        <v>415.67446534215196</v>
      </c>
    </row>
    <row r="7351" spans="1:13" s="360" customFormat="1" x14ac:dyDescent="0.25">
      <c r="A7351" s="361" t="s">
        <v>20</v>
      </c>
      <c r="B7351" s="29">
        <v>44199</v>
      </c>
      <c r="C7351" s="1">
        <v>356</v>
      </c>
      <c r="D7351" s="276">
        <f t="shared" si="1032"/>
        <v>128380</v>
      </c>
      <c r="E7351" s="1">
        <v>6</v>
      </c>
      <c r="F7351" s="39">
        <f t="shared" si="1033"/>
        <v>2477</v>
      </c>
      <c r="G7351" s="168">
        <f>SUM(C7351,C7327,C7303,C7279,C7255,C7231,C7207,C7183,C7159,C7135,C7111,C7087,C7063,C7039)/POBLA!$B$6*100000</f>
        <v>512.75828626134341</v>
      </c>
      <c r="H7351" s="256">
        <f t="shared" si="1034"/>
        <v>1.1445927106154152</v>
      </c>
      <c r="I7351" s="297">
        <f t="shared" si="1038"/>
        <v>586.89939676238612</v>
      </c>
      <c r="J7351" s="297">
        <f t="shared" si="1039"/>
        <v>469.57142857142856</v>
      </c>
      <c r="K7351" s="297">
        <f>J7351/POBLA!$B$6*100000</f>
        <v>41.896057245793727</v>
      </c>
      <c r="L7351" s="549">
        <f t="shared" si="1035"/>
        <v>-0.33617886178861789</v>
      </c>
      <c r="M7351" s="401">
        <f>SUM(C7351,C7327,C7303,C7279,C7255,C7231,C7207)/POBLA!$B$6*100000</f>
        <v>293.27240072055611</v>
      </c>
    </row>
    <row r="7352" spans="1:13" s="360" customFormat="1" x14ac:dyDescent="0.25">
      <c r="A7352" s="361" t="s">
        <v>30</v>
      </c>
      <c r="B7352" s="29">
        <v>44199</v>
      </c>
      <c r="C7352" s="1">
        <v>104</v>
      </c>
      <c r="D7352" s="276">
        <f t="shared" si="1032"/>
        <v>12222</v>
      </c>
      <c r="E7352" s="1"/>
      <c r="F7352" s="39">
        <f t="shared" si="1033"/>
        <v>169</v>
      </c>
      <c r="G7352" s="168">
        <f>SUM(C7352,C7328,C7304,C7280,C7256,C7232,C7208,C7184,C7160,C7136,C7112,C7088,C7064,C7040)/POBLA!$B$7*100000</f>
        <v>47.148612533074498</v>
      </c>
      <c r="H7352" s="256">
        <f t="shared" si="1034"/>
        <v>1.0005643340857788</v>
      </c>
      <c r="I7352" s="297">
        <f t="shared" si="1038"/>
        <v>47.175220102224088</v>
      </c>
      <c r="J7352" s="297">
        <f t="shared" si="1039"/>
        <v>119.85714285714286</v>
      </c>
      <c r="K7352" s="297">
        <f>J7352/POBLA!$B$7*100000</f>
        <v>3.1873085098098062</v>
      </c>
      <c r="L7352" s="549">
        <f t="shared" si="1035"/>
        <v>0.10171306209850106</v>
      </c>
      <c r="M7352" s="401">
        <f>SUM(C7352,C7328,C7304,C7280,C7256,C7232,C7208)/POBLA!$B$7*100000</f>
        <v>22.311159568668643</v>
      </c>
    </row>
    <row r="7353" spans="1:13" x14ac:dyDescent="0.25">
      <c r="A7353" s="361" t="s">
        <v>31</v>
      </c>
      <c r="B7353" s="29">
        <v>44199</v>
      </c>
      <c r="C7353" s="1">
        <v>264</v>
      </c>
      <c r="D7353" s="276">
        <f t="shared" si="1032"/>
        <v>30159</v>
      </c>
      <c r="F7353" s="39">
        <f t="shared" si="1033"/>
        <v>587</v>
      </c>
      <c r="G7353" s="168">
        <f>SUM(C7353,C7329,C7305,C7281,C7257,C7233,C7209,C7185,C7161,C7137,C7113,C7089,C7065,C7041)/POBLA!$B$8*100000</f>
        <v>230.45381507849066</v>
      </c>
      <c r="H7353" s="256">
        <f t="shared" si="1034"/>
        <v>1.3063394683026586</v>
      </c>
      <c r="I7353" s="297">
        <f t="shared" si="1038"/>
        <v>301.05091425795467</v>
      </c>
      <c r="J7353" s="297">
        <f t="shared" si="1039"/>
        <v>297.28571428571428</v>
      </c>
      <c r="K7353" s="297">
        <f>J7353/POBLA!$B$8*100000</f>
        <v>21.449789300399814</v>
      </c>
      <c r="L7353" s="549">
        <f t="shared" si="1035"/>
        <v>-0.86972147349505846</v>
      </c>
      <c r="M7353" s="401">
        <f>SUM(C7353,C7329,C7305,C7281,C7257,C7233,C7209)/POBLA!$B$8*100000</f>
        <v>150.14852510279871</v>
      </c>
    </row>
    <row r="7354" spans="1:13" s="360" customFormat="1" x14ac:dyDescent="0.25">
      <c r="A7354" s="361" t="s">
        <v>41</v>
      </c>
      <c r="B7354" s="29">
        <v>44199</v>
      </c>
      <c r="C7354" s="1">
        <v>1</v>
      </c>
      <c r="D7354" s="276">
        <f t="shared" si="1032"/>
        <v>221</v>
      </c>
      <c r="E7354" s="1"/>
      <c r="F7354" s="39">
        <f t="shared" si="1033"/>
        <v>3</v>
      </c>
      <c r="G7354" s="168">
        <f>SUM(C7354,C7330,C7306,C7282,C7258,C7234,C7210,C7186,C7162,C7138,C7114,C7090,C7066,C7042)/POBLA!$B$9*100000</f>
        <v>2.8090212543767032</v>
      </c>
      <c r="H7354" s="256">
        <f t="shared" si="1034"/>
        <v>1.1333333333333333</v>
      </c>
      <c r="I7354" s="297">
        <f t="shared" si="1038"/>
        <v>3.1835574216269302</v>
      </c>
      <c r="J7354" s="297">
        <f t="shared" si="1039"/>
        <v>1</v>
      </c>
      <c r="K7354" s="297">
        <f>J7354/POBLA!$B$9*100000</f>
        <v>0.16523654437510019</v>
      </c>
      <c r="L7354" s="549">
        <f t="shared" si="1035"/>
        <v>0.30000000000000004</v>
      </c>
      <c r="M7354" s="401">
        <f>SUM(C7354,C7330,C7306,C7282,C7258,C7234,C7210)/POBLA!$B$9*100000</f>
        <v>1.1566558106257012</v>
      </c>
    </row>
    <row r="7355" spans="1:13" s="360" customFormat="1" x14ac:dyDescent="0.25">
      <c r="A7355" s="361" t="s">
        <v>32</v>
      </c>
      <c r="B7355" s="29">
        <v>44199</v>
      </c>
      <c r="C7355" s="1">
        <v>5</v>
      </c>
      <c r="D7355" s="276">
        <f t="shared" si="1032"/>
        <v>18567</v>
      </c>
      <c r="E7355" s="1"/>
      <c r="F7355" s="39">
        <f t="shared" si="1033"/>
        <v>858</v>
      </c>
      <c r="G7355" s="168">
        <f>SUM(C7355,C7331,C7307,C7283,C7259,C7235,C7211,C7187,C7163,C7139,C7115,C7091,C7067,C7043)/POBLA!$B$10*100000</f>
        <v>11.026345181681739</v>
      </c>
      <c r="H7355" s="256">
        <f t="shared" si="1034"/>
        <v>1.2686567164179106</v>
      </c>
      <c r="I7355" s="297">
        <f t="shared" si="1038"/>
        <v>13.988646872282805</v>
      </c>
      <c r="J7355" s="297">
        <f t="shared" si="1039"/>
        <v>8.7142857142857135</v>
      </c>
      <c r="K7355" s="297">
        <f>J7355/POBLA!$B$10*100000</f>
        <v>1.1304320270295563</v>
      </c>
      <c r="L7355" s="549">
        <f t="shared" si="1035"/>
        <v>-1.5416666666666665</v>
      </c>
      <c r="M7355" s="401">
        <f>SUM(C7355,C7331,C7307,C7283,C7259,C7235,C7211)/POBLA!$B$10*100000</f>
        <v>7.9130241892068938</v>
      </c>
    </row>
    <row r="7356" spans="1:13" s="360" customFormat="1" x14ac:dyDescent="0.25">
      <c r="A7356" s="361" t="s">
        <v>33</v>
      </c>
      <c r="B7356" s="29">
        <v>44199</v>
      </c>
      <c r="C7356" s="1">
        <v>194</v>
      </c>
      <c r="D7356" s="276">
        <f t="shared" si="1032"/>
        <v>11468</v>
      </c>
      <c r="E7356" s="1"/>
      <c r="F7356" s="39">
        <f t="shared" si="1033"/>
        <v>124</v>
      </c>
      <c r="G7356" s="168">
        <f>SUM(C7356,C7332,C7308,C7284,C7260,C7236,C7212,C7188,C7164,C7140,C7116,C7092,C7068,C7044)/POBLA!$B$11*100000</f>
        <v>891.95040566027205</v>
      </c>
      <c r="H7356" s="256">
        <f t="shared" si="1034"/>
        <v>1.6057257659467605</v>
      </c>
      <c r="I7356" s="297">
        <f t="shared" si="1038"/>
        <v>1432.2277483153641</v>
      </c>
      <c r="J7356" s="297">
        <f t="shared" si="1039"/>
        <v>251.71428571428572</v>
      </c>
      <c r="K7356" s="297">
        <f>J7356/POBLA!$B$11*100000</f>
        <v>70.227294104892948</v>
      </c>
      <c r="L7356" s="549">
        <f t="shared" si="1035"/>
        <v>-0.22787456445993026</v>
      </c>
      <c r="M7356" s="401">
        <f>SUM(C7356,C7332,C7308,C7284,C7260,C7236,C7212)/POBLA!$B$11*100000</f>
        <v>491.59105873425068</v>
      </c>
    </row>
    <row r="7357" spans="1:13" s="360" customFormat="1" x14ac:dyDescent="0.25">
      <c r="A7357" s="361" t="s">
        <v>21</v>
      </c>
      <c r="B7357" s="29">
        <v>44199</v>
      </c>
      <c r="C7357" s="1">
        <v>3</v>
      </c>
      <c r="D7357" s="276">
        <f t="shared" si="1032"/>
        <v>9124</v>
      </c>
      <c r="E7357" s="1">
        <v>9</v>
      </c>
      <c r="F7357" s="39">
        <f t="shared" si="1033"/>
        <v>397</v>
      </c>
      <c r="G7357" s="168">
        <f>SUM(C7357,C7333,C7309,C7285,C7261,C7237,C7213,C7189,C7165,C7141,C7117,C7093,C7069,C7045)/POBLA!$B$12*100000</f>
        <v>31.509588825276786</v>
      </c>
      <c r="H7357" s="256">
        <f t="shared" si="1034"/>
        <v>0.77018633540372672</v>
      </c>
      <c r="I7357" s="297">
        <f t="shared" si="1038"/>
        <v>24.268254747418148</v>
      </c>
      <c r="J7357" s="297">
        <f t="shared" si="1039"/>
        <v>8</v>
      </c>
      <c r="K7357" s="297">
        <f>J7357/POBLA!$B$12*100000</f>
        <v>2.0328766984049542</v>
      </c>
      <c r="L7357" s="549">
        <f t="shared" si="1035"/>
        <v>0.17647058823529416</v>
      </c>
      <c r="M7357" s="401">
        <f>SUM(C7357,C7333,C7309,C7285,C7261,C7237,C7213)/POBLA!$B$12*100000</f>
        <v>14.230136888834679</v>
      </c>
    </row>
    <row r="7358" spans="1:13" s="360" customFormat="1" x14ac:dyDescent="0.25">
      <c r="A7358" s="361" t="s">
        <v>17</v>
      </c>
      <c r="B7358" s="29">
        <v>44199</v>
      </c>
      <c r="C7358" s="1">
        <v>77</v>
      </c>
      <c r="D7358" s="276">
        <f t="shared" si="1032"/>
        <v>60330</v>
      </c>
      <c r="E7358" s="1">
        <v>1</v>
      </c>
      <c r="F7358" s="39">
        <f t="shared" si="1033"/>
        <v>1232</v>
      </c>
      <c r="G7358" s="168">
        <f>SUM(C7358,C7334,C7310,C7286,C7262,C7238,C7214,C7190,C7166,C7142,C7118,C7094,C7070,C7046)/POBLA!$B$13*100000</f>
        <v>68.078889113306374</v>
      </c>
      <c r="H7358" s="256">
        <f t="shared" si="1034"/>
        <v>0.96304193319118692</v>
      </c>
      <c r="I7358" s="297">
        <f t="shared" si="1038"/>
        <v>65.562824981187021</v>
      </c>
      <c r="J7358" s="297">
        <f t="shared" si="1039"/>
        <v>103</v>
      </c>
      <c r="K7358" s="297">
        <f>J7358/POBLA!$B$13*100000</f>
        <v>5.175000427063142</v>
      </c>
      <c r="L7358" s="549">
        <f t="shared" si="1035"/>
        <v>-0.13722397476340698</v>
      </c>
      <c r="M7358" s="401">
        <f>SUM(C7358,C7334,C7310,C7286,C7262,C7238,C7214)/POBLA!$B$13*100000</f>
        <v>36.225002989441997</v>
      </c>
    </row>
    <row r="7359" spans="1:13" s="360" customFormat="1" x14ac:dyDescent="0.25">
      <c r="A7359" s="361" t="s">
        <v>23</v>
      </c>
      <c r="B7359" s="29">
        <v>44199</v>
      </c>
      <c r="C7359" s="1">
        <v>40</v>
      </c>
      <c r="D7359" s="276">
        <f t="shared" si="1032"/>
        <v>1124</v>
      </c>
      <c r="E7359" s="1"/>
      <c r="F7359" s="39">
        <f t="shared" si="1033"/>
        <v>12</v>
      </c>
      <c r="G7359" s="168">
        <f>SUM(C7359,C7335,C7311,C7287,C7263,C7239,C7215,C7191,C7167,C7143,C7119,C7095,C7071,C7047)/POBLA!$B$14*100000</f>
        <v>21.01016892175813</v>
      </c>
      <c r="H7359" s="256">
        <f t="shared" si="1034"/>
        <v>0.92657342657342656</v>
      </c>
      <c r="I7359" s="297">
        <f t="shared" si="1038"/>
        <v>19.467464210719946</v>
      </c>
      <c r="J7359" s="297">
        <f t="shared" si="1039"/>
        <v>16.142857142857142</v>
      </c>
      <c r="K7359" s="297">
        <f>J7359/POBLA!$B$14*100000</f>
        <v>1.279864737551843</v>
      </c>
      <c r="L7359" s="549">
        <f t="shared" si="1035"/>
        <v>0.25657894736842102</v>
      </c>
      <c r="M7359" s="401">
        <f>SUM(C7359,C7335,C7311,C7287,C7263,C7239,C7215)/POBLA!$B$14*100000</f>
        <v>8.9590531628629009</v>
      </c>
    </row>
    <row r="7360" spans="1:13" s="360" customFormat="1" x14ac:dyDescent="0.25">
      <c r="A7360" s="361" t="s">
        <v>19</v>
      </c>
      <c r="B7360" s="29">
        <v>44199</v>
      </c>
      <c r="C7360" s="1">
        <v>372</v>
      </c>
      <c r="D7360" s="276">
        <f t="shared" si="1032"/>
        <v>41926</v>
      </c>
      <c r="E7360" s="1">
        <v>2</v>
      </c>
      <c r="F7360" s="39">
        <f t="shared" si="1033"/>
        <v>713</v>
      </c>
      <c r="G7360" s="168">
        <f>SUM(C7360,C7336,C7312,C7288,C7264,C7240,C7216,C7192,C7168,C7144,C7120,C7096,C7072,C7048)/POBLA!$B$15*100000</f>
        <v>583.9860132488626</v>
      </c>
      <c r="H7360" s="256">
        <f t="shared" si="1034"/>
        <v>1.1375770020533882</v>
      </c>
      <c r="I7360" s="297">
        <f t="shared" si="1038"/>
        <v>664.3290581927514</v>
      </c>
      <c r="J7360" s="297">
        <f t="shared" si="1039"/>
        <v>365.85714285714283</v>
      </c>
      <c r="K7360" s="297">
        <f>J7360/POBLA!$B$15*100000</f>
        <v>55.09423782252771</v>
      </c>
      <c r="L7360" s="549">
        <f t="shared" si="1035"/>
        <v>-0.94457099468488992</v>
      </c>
      <c r="M7360" s="401">
        <f>SUM(C7360,C7336,C7312,C7288,C7264,C7240,C7216)/POBLA!$B$15*100000</f>
        <v>385.65966475769397</v>
      </c>
    </row>
    <row r="7361" spans="1:13" s="360" customFormat="1" x14ac:dyDescent="0.25">
      <c r="A7361" s="361" t="s">
        <v>18</v>
      </c>
      <c r="B7361" s="29">
        <v>44199</v>
      </c>
      <c r="C7361" s="1">
        <v>212</v>
      </c>
      <c r="D7361" s="276">
        <f t="shared" si="1032"/>
        <v>39072</v>
      </c>
      <c r="E7361" s="1">
        <v>6</v>
      </c>
      <c r="F7361" s="39">
        <f t="shared" si="1033"/>
        <v>910</v>
      </c>
      <c r="G7361" s="168">
        <f>SUM(C7361,C7337,C7313,C7289,C7265,C7241,C7217,C7193,C7169,C7145,C7121,C7097,C7073,C7049)/POBLA!$B$16*100000</f>
        <v>451.30482470806976</v>
      </c>
      <c r="H7361" s="256">
        <f t="shared" si="1034"/>
        <v>1.1964539007092199</v>
      </c>
      <c r="I7361" s="297">
        <f t="shared" si="1038"/>
        <v>539.96541793086078</v>
      </c>
      <c r="J7361" s="297">
        <f t="shared" si="1039"/>
        <v>256.42857142857144</v>
      </c>
      <c r="K7361" s="297">
        <f>J7361/POBLA!$B$16*100000</f>
        <v>34.299778150181439</v>
      </c>
      <c r="L7361" s="549">
        <f t="shared" si="1035"/>
        <v>-0.13679544015199485</v>
      </c>
      <c r="M7361" s="401">
        <f>SUM(C7361,C7337,C7313,C7289,C7265,C7241,C7217)/POBLA!$B$16*100000</f>
        <v>240.09844705127006</v>
      </c>
    </row>
    <row r="7362" spans="1:13" s="360" customFormat="1" x14ac:dyDescent="0.25">
      <c r="A7362" s="361" t="s">
        <v>34</v>
      </c>
      <c r="B7362" s="29">
        <v>44199</v>
      </c>
      <c r="C7362" s="1">
        <v>8</v>
      </c>
      <c r="D7362" s="276">
        <f t="shared" si="1032"/>
        <v>22413</v>
      </c>
      <c r="E7362" s="1"/>
      <c r="F7362" s="39">
        <f t="shared" si="1033"/>
        <v>1020</v>
      </c>
      <c r="G7362" s="168">
        <f>SUM(C7362,C7338,C7314,C7290,C7266,C7242,C7218,C7194,C7170,C7146,C7122,C7098,C7074,C7050)/POBLA!$B$17*100000</f>
        <v>31.592315906309828</v>
      </c>
      <c r="H7362" s="256">
        <f t="shared" si="1034"/>
        <v>0.82568807339449546</v>
      </c>
      <c r="I7362" s="297">
        <f t="shared" si="1038"/>
        <v>26.085398454751235</v>
      </c>
      <c r="J7362" s="297">
        <f t="shared" si="1039"/>
        <v>29.285714285714285</v>
      </c>
      <c r="K7362" s="297">
        <f>J7362/POBLA!$B$17*100000</f>
        <v>2.0560078605693697</v>
      </c>
      <c r="L7362" s="549">
        <f t="shared" si="1035"/>
        <v>0.16326530612244894</v>
      </c>
      <c r="M7362" s="401">
        <f>SUM(C7362,C7338,C7314,C7290,C7266,C7242,C7218)/POBLA!$B$17*100000</f>
        <v>14.39205502398559</v>
      </c>
    </row>
    <row r="7363" spans="1:13" s="360" customFormat="1" x14ac:dyDescent="0.25">
      <c r="A7363" s="361" t="s">
        <v>35</v>
      </c>
      <c r="B7363" s="29">
        <v>44199</v>
      </c>
      <c r="C7363" s="1">
        <v>33</v>
      </c>
      <c r="D7363" s="276">
        <f t="shared" si="1032"/>
        <v>11598</v>
      </c>
      <c r="E7363" s="1"/>
      <c r="F7363" s="39">
        <f t="shared" si="1033"/>
        <v>198</v>
      </c>
      <c r="G7363" s="168">
        <f>SUM(C7363,C7339,C7315,C7291,C7267,C7243,C7219,C7195,C7171,C7147,C7123,C7099,C7075,C7051)/POBLA!$B$18*100000</f>
        <v>166.53503443985474</v>
      </c>
      <c r="H7363" s="256">
        <f t="shared" si="1034"/>
        <v>0.70976541189307152</v>
      </c>
      <c r="I7363" s="297">
        <f t="shared" si="1038"/>
        <v>118.20080731383035</v>
      </c>
      <c r="J7363" s="297">
        <f t="shared" si="1039"/>
        <v>99.714285714285708</v>
      </c>
      <c r="K7363" s="297">
        <f>J7363/POBLA!$B$18*100000</f>
        <v>12.763967721425123</v>
      </c>
      <c r="L7363" s="549">
        <f t="shared" si="1035"/>
        <v>-0.1575456053067994</v>
      </c>
      <c r="M7363" s="401">
        <f>SUM(C7363,C7339,C7315,C7291,C7267,C7243,C7219)/POBLA!$B$18*100000</f>
        <v>89.347774049975868</v>
      </c>
    </row>
    <row r="7364" spans="1:13" s="360" customFormat="1" x14ac:dyDescent="0.25">
      <c r="A7364" s="361" t="s">
        <v>36</v>
      </c>
      <c r="B7364" s="29">
        <v>44199</v>
      </c>
      <c r="C7364" s="1">
        <v>24</v>
      </c>
      <c r="D7364" s="276">
        <f t="shared" si="1032"/>
        <v>16225</v>
      </c>
      <c r="E7364" s="1"/>
      <c r="F7364" s="39">
        <f t="shared" si="1033"/>
        <v>300</v>
      </c>
      <c r="G7364" s="168">
        <f>SUM(C7364,C7340,C7316,C7292,C7268,C7244,C7220,C7196,C7172,C7148,C7124,C7100,C7076,C7052)/POBLA!$B$19*100000</f>
        <v>64.721990525802241</v>
      </c>
      <c r="H7364" s="256">
        <f t="shared" si="1034"/>
        <v>0.4138364779874214</v>
      </c>
      <c r="I7364" s="297">
        <f t="shared" si="1038"/>
        <v>26.784320607533257</v>
      </c>
      <c r="J7364" s="297">
        <f t="shared" si="1039"/>
        <v>27.571428571428573</v>
      </c>
      <c r="K7364" s="297">
        <f>J7364/POBLA!$B$19*100000</f>
        <v>5.4239444947806481</v>
      </c>
      <c r="L7364" s="549">
        <f t="shared" si="1035"/>
        <v>-0.41911764705882359</v>
      </c>
      <c r="M7364" s="401">
        <f>SUM(C7364,C7340,C7316,C7292,C7268,C7244,C7220)/POBLA!$B$19*100000</f>
        <v>37.967611463464536</v>
      </c>
    </row>
    <row r="7365" spans="1:13" s="360" customFormat="1" x14ac:dyDescent="0.25">
      <c r="A7365" s="361" t="s">
        <v>37</v>
      </c>
      <c r="B7365" s="29">
        <v>44199</v>
      </c>
      <c r="C7365" s="1">
        <v>207</v>
      </c>
      <c r="D7365" s="276">
        <f t="shared" si="1032"/>
        <v>24401</v>
      </c>
      <c r="E7365" s="1">
        <v>6</v>
      </c>
      <c r="F7365" s="39">
        <f t="shared" si="1033"/>
        <v>388</v>
      </c>
      <c r="G7365" s="168">
        <f>SUM(C7365,C7341,C7317,C7293,C7269,C7245,C7221,C7197,C7173,C7149,C7125,C7101,C7077,C7053)/POBLA!$B$20*100000</f>
        <v>1021.8814431580157</v>
      </c>
      <c r="H7365" s="256">
        <f t="shared" si="1034"/>
        <v>1.1098901098901099</v>
      </c>
      <c r="I7365" s="297">
        <f t="shared" si="1038"/>
        <v>1134.1761072413142</v>
      </c>
      <c r="J7365" s="297">
        <f t="shared" si="1039"/>
        <v>308.85714285714283</v>
      </c>
      <c r="K7365" s="297">
        <f>J7365/POBLA!$B$20*100000</f>
        <v>84.456885970703368</v>
      </c>
      <c r="L7365" s="549">
        <f t="shared" si="1035"/>
        <v>-0.37269841269841275</v>
      </c>
      <c r="M7365" s="401">
        <f>SUM(C7365,C7341,C7317,C7293,C7269,C7245,C7221)/POBLA!$B$20*100000</f>
        <v>591.19820179492365</v>
      </c>
    </row>
    <row r="7366" spans="1:13" s="360" customFormat="1" x14ac:dyDescent="0.25">
      <c r="A7366" s="361" t="s">
        <v>22</v>
      </c>
      <c r="B7366" s="29">
        <v>44199</v>
      </c>
      <c r="C7366" s="1">
        <v>516</v>
      </c>
      <c r="D7366" s="276">
        <f t="shared" si="1032"/>
        <v>177811</v>
      </c>
      <c r="E7366" s="1">
        <v>8</v>
      </c>
      <c r="F7366" s="39">
        <f t="shared" si="1033"/>
        <v>2968</v>
      </c>
      <c r="G7366" s="168">
        <f>SUM(C7366,C7342,C7318,C7294,C7270,C7246,C7222,C7198,C7174,C7150,C7126,C7102,C7078,C7054)/POBLA!$B$21*100000</f>
        <v>314.44246692557272</v>
      </c>
      <c r="H7366" s="256">
        <f t="shared" si="1034"/>
        <v>0.89159717767799873</v>
      </c>
      <c r="I7366" s="297">
        <f t="shared" si="1038"/>
        <v>280.35601605294812</v>
      </c>
      <c r="J7366" s="297">
        <f t="shared" si="1039"/>
        <v>863</v>
      </c>
      <c r="K7366" s="297">
        <f>J7366/POBLA!$B$21*100000</f>
        <v>24.403223827047594</v>
      </c>
      <c r="L7366" s="549">
        <f t="shared" si="1035"/>
        <v>-0.18940736365426258</v>
      </c>
      <c r="M7366" s="401">
        <f>SUM(C7366,C7342,C7318,C7294,C7270,C7246,C7222)/POBLA!$B$21*100000</f>
        <v>170.82256678933317</v>
      </c>
    </row>
    <row r="7367" spans="1:13" s="360" customFormat="1" x14ac:dyDescent="0.25">
      <c r="A7367" s="361" t="s">
        <v>38</v>
      </c>
      <c r="B7367" s="29">
        <v>44199</v>
      </c>
      <c r="C7367" s="1">
        <v>50</v>
      </c>
      <c r="D7367" s="276">
        <f t="shared" si="1032"/>
        <v>17617</v>
      </c>
      <c r="E7367" s="1">
        <v>1</v>
      </c>
      <c r="F7367" s="39">
        <f t="shared" si="1033"/>
        <v>219</v>
      </c>
      <c r="G7367" s="168">
        <f>SUM(C7367,C7343,C7319,C7295,C7271,C7247,C7223,C7199,C7175,C7151,C7127,C7103,C7079,C7055)/POBLA!$B$22*100000</f>
        <v>79.626867883795882</v>
      </c>
      <c r="H7367" s="256">
        <f t="shared" si="1034"/>
        <v>1.1472754050073637</v>
      </c>
      <c r="I7367" s="297">
        <f t="shared" si="1038"/>
        <v>91.353947100849766</v>
      </c>
      <c r="J7367" s="297">
        <f t="shared" si="1039"/>
        <v>78</v>
      </c>
      <c r="K7367" s="297">
        <f>J7367/POBLA!$B$22*100000</f>
        <v>7.9729084658999723</v>
      </c>
      <c r="L7367" s="549">
        <f t="shared" si="1035"/>
        <v>-1.3433476394849784</v>
      </c>
      <c r="M7367" s="401">
        <f>SUM(C7367,C7343,C7319,C7295,C7271,C7247,C7223)/POBLA!$B$22*100000</f>
        <v>55.810359261299809</v>
      </c>
    </row>
    <row r="7368" spans="1:13" s="360" customFormat="1" x14ac:dyDescent="0.25">
      <c r="A7368" s="361" t="s">
        <v>39</v>
      </c>
      <c r="B7368" s="29">
        <v>44199</v>
      </c>
      <c r="C7368" s="1">
        <v>103</v>
      </c>
      <c r="D7368" s="276">
        <f t="shared" si="1032"/>
        <v>19432</v>
      </c>
      <c r="E7368" s="1">
        <v>1</v>
      </c>
      <c r="F7368" s="39">
        <f t="shared" si="1033"/>
        <v>254</v>
      </c>
      <c r="G7368" s="168">
        <f>SUM(C7368,C7344,C7320,C7296,C7272,C7248,C7224,C7200,C7176,C7152,C7128,C7104,C7080,C7056)/POBLA!$B$23*100000</f>
        <v>728.38319289713274</v>
      </c>
      <c r="H7368" s="256">
        <f t="shared" si="1034"/>
        <v>0.92065761258041456</v>
      </c>
      <c r="I7368" s="297">
        <f t="shared" si="1038"/>
        <v>670.59153141637375</v>
      </c>
      <c r="J7368" s="297">
        <f t="shared" si="1039"/>
        <v>99</v>
      </c>
      <c r="K7368" s="297">
        <f>J7368/POBLA!$B$23*100000</f>
        <v>55.985975230447316</v>
      </c>
      <c r="L7368" s="549">
        <f t="shared" si="1035"/>
        <v>-0.16470588235294126</v>
      </c>
      <c r="M7368" s="401">
        <f>SUM(C7368,C7344,C7320,C7296,C7272,C7248,C7224)/POBLA!$B$23*100000</f>
        <v>391.90182661313128</v>
      </c>
    </row>
    <row r="7369" spans="1:13" s="360" customFormat="1" ht="15.75" thickBot="1" x14ac:dyDescent="0.3">
      <c r="A7369" s="361" t="s">
        <v>40</v>
      </c>
      <c r="B7369" s="29">
        <v>44199</v>
      </c>
      <c r="C7369" s="1">
        <v>106</v>
      </c>
      <c r="D7369" s="276">
        <f t="shared" si="1032"/>
        <v>71297</v>
      </c>
      <c r="E7369" s="1"/>
      <c r="F7369" s="39">
        <f t="shared" si="1033"/>
        <v>1366</v>
      </c>
      <c r="G7369" s="177">
        <f>SUM(C7369,C7345,C7321,C7297,C7273,C7249,C7225,C7201,C7177,C7153,C7129,C7105,C7081,C7057)/POBLA!$B$24*100000</f>
        <v>97.364892934023189</v>
      </c>
      <c r="H7369" s="402">
        <f t="shared" si="1034"/>
        <v>0.69240453210239195</v>
      </c>
      <c r="I7369" s="403">
        <f t="shared" si="1038"/>
        <v>67.415893135181818</v>
      </c>
      <c r="J7369" s="403">
        <f t="shared" si="1039"/>
        <v>127.14285714285714</v>
      </c>
      <c r="K7369" s="403">
        <f>J7369/POBLA!$B$24*100000</f>
        <v>7.5025761654788425</v>
      </c>
      <c r="L7369" s="550">
        <f t="shared" si="1035"/>
        <v>-0.17105263157894735</v>
      </c>
      <c r="M7369" s="405">
        <f>SUM(C7369,C7345,C7321,C7297,C7273,C7249,C7225)/POBLA!$B$24*100000</f>
        <v>52.518033158351898</v>
      </c>
    </row>
    <row r="7370" spans="1:13" s="360" customFormat="1" x14ac:dyDescent="0.25">
      <c r="A7370" s="361" t="s">
        <v>16</v>
      </c>
      <c r="B7370" s="29">
        <v>44200</v>
      </c>
      <c r="C7370" s="1">
        <v>2961</v>
      </c>
      <c r="D7370" s="276">
        <f t="shared" si="1032"/>
        <v>693344</v>
      </c>
      <c r="E7370" s="1">
        <v>46</v>
      </c>
      <c r="F7370" s="39">
        <f t="shared" si="1033"/>
        <v>22534</v>
      </c>
      <c r="G7370" s="175">
        <f>SUM(C7370,C7346,C7322,C7298,C7274,C7250,C7226,C7202,C7178,C7154,C7130,C7106,C7082,C7058)/POBLA!$B$1*100000</f>
        <v>223.23519319524311</v>
      </c>
      <c r="H7370" s="300">
        <f t="shared" ref="H7370:H7393" si="1040">SUM(C7370,C7346,C7322,C7298,C7274,C7250,C7226,C7202,C7178,C7154,C7130,C7106,C7082,C7058)/SUM(C7034,C7010,C6986,C6962,C6938,C6914,C6890,C6866,C6842,C6818,C6794,C6770,C6746,C6722)</f>
        <v>1.5653181963543332</v>
      </c>
      <c r="I7370" s="301">
        <f>G7370*H7370</f>
        <v>349.43410997518907</v>
      </c>
      <c r="J7370" s="301">
        <f>AVERAGE(C7370,C7346,C7322,C7298,C7274,C7250,C7226)</f>
        <v>3211.5714285714284</v>
      </c>
      <c r="K7370" s="301">
        <f>J7370/POBLA!$B$1*100000</f>
        <v>18.308794328552679</v>
      </c>
      <c r="L7370" s="548">
        <f t="shared" ref="L7370:L7393" si="1041">1-SUM(C7370,C7346,C7322,C7298,C7274,C7250,C7226)/SUM(C7202,C7178,C7154,C7130,C7106,C7082,C7058)</f>
        <v>-0.34802422498051211</v>
      </c>
      <c r="M7370" s="400">
        <f>SUM(C7370,C7346,C7322,C7298,C7274,C7250,C7226)/POBLA!$B$1*100000</f>
        <v>128.16156029986874</v>
      </c>
    </row>
    <row r="7371" spans="1:13" s="360" customFormat="1" x14ac:dyDescent="0.25">
      <c r="A7371" s="361" t="s">
        <v>43</v>
      </c>
      <c r="B7371" s="29">
        <v>44200</v>
      </c>
      <c r="C7371" s="1">
        <v>1075</v>
      </c>
      <c r="D7371" s="276">
        <f t="shared" si="1032"/>
        <v>177570</v>
      </c>
      <c r="E7371" s="1">
        <v>10</v>
      </c>
      <c r="F7371" s="39">
        <f t="shared" si="1033"/>
        <v>5535</v>
      </c>
      <c r="G7371" s="168">
        <f>SUM(C7371,C7347,C7323,C7299,C7275,C7251,C7227,C7203,C7179,C7155,C7131,C7107,C7083,C7059)/POBLA!$B$2*100000</f>
        <v>357.45336101749029</v>
      </c>
      <c r="H7371" s="256">
        <f t="shared" si="1040"/>
        <v>1.9156647499564383</v>
      </c>
      <c r="I7371" s="297">
        <f t="shared" ref="I7371:I7393" si="1042">G7371*H7371</f>
        <v>684.76080345465903</v>
      </c>
      <c r="J7371" s="297">
        <f t="shared" ref="J7371:J7393" si="1043">AVERAGE(C7371,C7347,C7323,C7299,C7275,C7251,C7227)</f>
        <v>911.42857142857144</v>
      </c>
      <c r="K7371" s="297">
        <f>J7371/POBLA!$B$2*100000</f>
        <v>29.633728050255829</v>
      </c>
      <c r="L7371" s="549">
        <f t="shared" si="1041"/>
        <v>-0.38274815778066751</v>
      </c>
      <c r="M7371" s="401">
        <f>SUM(C7371,C7347,C7323,C7299,C7275,C7251,C7227)/POBLA!$B$2*100000</f>
        <v>207.43609635179081</v>
      </c>
    </row>
    <row r="7372" spans="1:13" s="360" customFormat="1" x14ac:dyDescent="0.25">
      <c r="A7372" s="361" t="s">
        <v>28</v>
      </c>
      <c r="B7372" s="29">
        <v>44200</v>
      </c>
      <c r="C7372" s="1">
        <v>18</v>
      </c>
      <c r="D7372" s="276">
        <f t="shared" si="1032"/>
        <v>2869</v>
      </c>
      <c r="E7372" s="1"/>
      <c r="F7372" s="39">
        <f t="shared" si="1033"/>
        <v>17</v>
      </c>
      <c r="G7372" s="168">
        <f>SUM(C7372,C7348,C7324,C7300,C7276,C7252,C7228,C7204,C7180,C7156,C7132,C7108,C7084,C7060)/POBLA!$B$3*100000</f>
        <v>122.03987117211231</v>
      </c>
      <c r="H7372" s="256">
        <f t="shared" si="1040"/>
        <v>1.4610951008645534</v>
      </c>
      <c r="I7372" s="297">
        <f t="shared" si="1042"/>
        <v>178.31185787971455</v>
      </c>
      <c r="J7372" s="297">
        <f t="shared" si="1043"/>
        <v>37.428571428571431</v>
      </c>
      <c r="K7372" s="297">
        <f>J7372/POBLA!$B$3*100000</f>
        <v>9.0094241327397668</v>
      </c>
      <c r="L7372" s="549">
        <f t="shared" si="1041"/>
        <v>-6.938775510204076E-2</v>
      </c>
      <c r="M7372" s="401">
        <f>SUM(C7372,C7348,C7324,C7300,C7276,C7252,C7228)/POBLA!$B$3*100000</f>
        <v>63.065968929178361</v>
      </c>
    </row>
    <row r="7373" spans="1:13" s="360" customFormat="1" x14ac:dyDescent="0.25">
      <c r="A7373" s="361" t="s">
        <v>15</v>
      </c>
      <c r="B7373" s="29">
        <v>44200</v>
      </c>
      <c r="C7373" s="1">
        <v>175</v>
      </c>
      <c r="D7373" s="276">
        <f t="shared" si="1032"/>
        <v>25323</v>
      </c>
      <c r="E7373" s="1">
        <v>9</v>
      </c>
      <c r="F7373" s="39">
        <f t="shared" si="1033"/>
        <v>710</v>
      </c>
      <c r="G7373" s="168">
        <f>SUM(C7373,C7349,C7325,C7301,C7277,C7253,C7229,C7205,C7181,C7157,C7133,C7109,C7085,C7061)/POBLA!$B$4*100000</f>
        <v>191.11014070919961</v>
      </c>
      <c r="H7373" s="256">
        <f t="shared" si="1040"/>
        <v>1.04874715261959</v>
      </c>
      <c r="I7373" s="297">
        <f t="shared" si="1042"/>
        <v>200.42621590550229</v>
      </c>
      <c r="J7373" s="297">
        <f t="shared" si="1043"/>
        <v>193.57142857142858</v>
      </c>
      <c r="K7373" s="297">
        <f>J7373/POBLA!$B$4*100000</f>
        <v>16.070140291731754</v>
      </c>
      <c r="L7373" s="549">
        <f t="shared" si="1041"/>
        <v>-0.43083421330517413</v>
      </c>
      <c r="M7373" s="401">
        <f>SUM(C7373,C7349,C7325,C7301,C7277,C7253,C7229)/POBLA!$B$4*100000</f>
        <v>112.49098204212225</v>
      </c>
    </row>
    <row r="7374" spans="1:13" s="360" customFormat="1" x14ac:dyDescent="0.25">
      <c r="A7374" s="361" t="s">
        <v>29</v>
      </c>
      <c r="B7374" s="29">
        <v>44200</v>
      </c>
      <c r="C7374" s="1">
        <v>315</v>
      </c>
      <c r="D7374" s="276">
        <f t="shared" si="1032"/>
        <v>32769</v>
      </c>
      <c r="E7374" s="1">
        <v>1</v>
      </c>
      <c r="F7374" s="39">
        <f t="shared" si="1033"/>
        <v>495</v>
      </c>
      <c r="G7374" s="168">
        <f>SUM(C7374,C7350,C7326,C7302,C7278,C7254,C7230,C7206,C7182,C7158,C7134,C7110,C7086,C7062)/POBLA!$B$5*100000</f>
        <v>690.31363793510116</v>
      </c>
      <c r="H7374" s="256">
        <f t="shared" si="1040"/>
        <v>1.110735638159605</v>
      </c>
      <c r="I7374" s="297">
        <f t="shared" si="1042"/>
        <v>766.75595916212308</v>
      </c>
      <c r="J7374" s="297">
        <f t="shared" si="1043"/>
        <v>348.14285714285717</v>
      </c>
      <c r="K7374" s="297">
        <f>J7374/POBLA!$B$5*100000</f>
        <v>56.243333076388005</v>
      </c>
      <c r="L7374" s="549">
        <f t="shared" si="1041"/>
        <v>-0.32734204793028332</v>
      </c>
      <c r="M7374" s="401">
        <f>SUM(C7374,C7350,C7326,C7302,C7278,C7254,C7230)/POBLA!$B$5*100000</f>
        <v>393.70333153471603</v>
      </c>
    </row>
    <row r="7375" spans="1:13" s="360" customFormat="1" x14ac:dyDescent="0.25">
      <c r="A7375" s="361" t="s">
        <v>20</v>
      </c>
      <c r="B7375" s="29">
        <v>44200</v>
      </c>
      <c r="C7375" s="1">
        <v>302</v>
      </c>
      <c r="D7375" s="276">
        <f t="shared" si="1032"/>
        <v>128682</v>
      </c>
      <c r="E7375" s="1">
        <v>12</v>
      </c>
      <c r="F7375" s="39">
        <f t="shared" si="1033"/>
        <v>2489</v>
      </c>
      <c r="G7375" s="168">
        <f>SUM(C7375,C7351,C7327,C7303,C7279,C7255,C7231,C7207,C7183,C7159,C7135,C7111,C7087,C7063)/POBLA!$B$6*100000</f>
        <v>523.37569291961734</v>
      </c>
      <c r="H7375" s="256">
        <f t="shared" si="1040"/>
        <v>1.1481698962614992</v>
      </c>
      <c r="I7375" s="297">
        <f t="shared" si="1042"/>
        <v>600.92421504530728</v>
      </c>
      <c r="J7375" s="297">
        <f t="shared" si="1043"/>
        <v>471.85714285714283</v>
      </c>
      <c r="K7375" s="297">
        <f>J7375/POBLA!$B$6*100000</f>
        <v>42.099993027945445</v>
      </c>
      <c r="L7375" s="549">
        <f t="shared" si="1041"/>
        <v>-0.28872415138509555</v>
      </c>
      <c r="M7375" s="401">
        <f>SUM(C7375,C7351,C7327,C7303,C7279,C7255,C7231)/POBLA!$B$6*100000</f>
        <v>294.69995119561815</v>
      </c>
    </row>
    <row r="7376" spans="1:13" s="360" customFormat="1" x14ac:dyDescent="0.25">
      <c r="A7376" s="361" t="s">
        <v>30</v>
      </c>
      <c r="B7376" s="29">
        <v>44200</v>
      </c>
      <c r="C7376" s="1">
        <v>237</v>
      </c>
      <c r="D7376" s="276">
        <f t="shared" si="1032"/>
        <v>12459</v>
      </c>
      <c r="E7376" s="1"/>
      <c r="F7376" s="39">
        <f t="shared" si="1033"/>
        <v>169</v>
      </c>
      <c r="G7376" s="168">
        <f>SUM(C7376,C7352,C7328,C7304,C7280,C7256,C7232,C7208,C7184,C7160,C7136,C7112,C7088,C7064)/POBLA!$B$7*100000</f>
        <v>46.483798481564705</v>
      </c>
      <c r="H7376" s="256">
        <f t="shared" si="1040"/>
        <v>0.94537587885343433</v>
      </c>
      <c r="I7376" s="297">
        <f t="shared" si="1042"/>
        <v>43.944661841955167</v>
      </c>
      <c r="J7376" s="297">
        <f t="shared" si="1043"/>
        <v>127.57142857142857</v>
      </c>
      <c r="K7376" s="297">
        <f>J7376/POBLA!$B$7*100000</f>
        <v>3.3924511314185417</v>
      </c>
      <c r="L7376" s="549">
        <f t="shared" si="1041"/>
        <v>-4.4444444444444509E-2</v>
      </c>
      <c r="M7376" s="401">
        <f>SUM(C7376,C7352,C7328,C7304,C7280,C7256,C7232)/POBLA!$B$7*100000</f>
        <v>23.747157919929794</v>
      </c>
    </row>
    <row r="7377" spans="1:13" x14ac:dyDescent="0.25">
      <c r="A7377" s="361" t="s">
        <v>31</v>
      </c>
      <c r="B7377" s="29">
        <v>44200</v>
      </c>
      <c r="C7377" s="1">
        <v>258</v>
      </c>
      <c r="D7377" s="276">
        <f t="shared" si="1032"/>
        <v>30417</v>
      </c>
      <c r="E7377" s="1">
        <v>2</v>
      </c>
      <c r="F7377" s="39">
        <f t="shared" si="1033"/>
        <v>589</v>
      </c>
      <c r="G7377" s="168">
        <f>SUM(C7377,C7353,C7329,C7305,C7281,C7257,C7233,C7209,C7185,C7161,C7137,C7113,C7089,C7065)/POBLA!$B$8*100000</f>
        <v>246.32727760737859</v>
      </c>
      <c r="H7377" s="256">
        <f t="shared" si="1040"/>
        <v>1.4060955518945635</v>
      </c>
      <c r="I7377" s="297">
        <f t="shared" si="1042"/>
        <v>346.35968935403235</v>
      </c>
      <c r="J7377" s="297">
        <f t="shared" si="1043"/>
        <v>308.71428571428572</v>
      </c>
      <c r="K7377" s="297">
        <f>J7377/POBLA!$B$8*100000</f>
        <v>22.27438475644594</v>
      </c>
      <c r="L7377" s="549">
        <f t="shared" si="1041"/>
        <v>-0.7246608140462889</v>
      </c>
      <c r="M7377" s="401">
        <f>SUM(C7377,C7353,C7329,C7305,C7281,C7257,C7233)/POBLA!$B$8*100000</f>
        <v>155.92069329512159</v>
      </c>
    </row>
    <row r="7378" spans="1:13" s="360" customFormat="1" x14ac:dyDescent="0.25">
      <c r="A7378" s="361" t="s">
        <v>41</v>
      </c>
      <c r="B7378" s="29">
        <v>44200</v>
      </c>
      <c r="C7378" s="1">
        <v>0</v>
      </c>
      <c r="D7378" s="276">
        <f t="shared" ref="D7378:D7442" si="1044">C7378+D7354</f>
        <v>221</v>
      </c>
      <c r="E7378" s="1"/>
      <c r="F7378" s="39">
        <f t="shared" ref="F7378:F7442" si="1045">E7378+F7354</f>
        <v>3</v>
      </c>
      <c r="G7378" s="168">
        <f>SUM(C7378,C7354,C7330,C7306,C7282,C7258,C7234,C7210,C7186,C7162,C7138,C7114,C7090,C7066)/POBLA!$B$9*100000</f>
        <v>2.9742577987518035</v>
      </c>
      <c r="H7378" s="256">
        <f t="shared" si="1040"/>
        <v>1.2857142857142858</v>
      </c>
      <c r="I7378" s="297">
        <f t="shared" si="1042"/>
        <v>3.824045741252319</v>
      </c>
      <c r="J7378" s="297">
        <f t="shared" si="1043"/>
        <v>0</v>
      </c>
      <c r="K7378" s="297">
        <f>J7378/POBLA!$B$9*100000</f>
        <v>0</v>
      </c>
      <c r="L7378" s="549">
        <f t="shared" si="1041"/>
        <v>1</v>
      </c>
      <c r="M7378" s="401">
        <f>SUM(C7378,C7354,C7330,C7306,C7282,C7258,C7234)/POBLA!$B$9*100000</f>
        <v>0</v>
      </c>
    </row>
    <row r="7379" spans="1:13" s="360" customFormat="1" x14ac:dyDescent="0.25">
      <c r="A7379" s="361" t="s">
        <v>32</v>
      </c>
      <c r="B7379" s="29">
        <v>44200</v>
      </c>
      <c r="C7379" s="1">
        <v>2</v>
      </c>
      <c r="D7379" s="276">
        <f t="shared" si="1044"/>
        <v>18569</v>
      </c>
      <c r="E7379" s="1">
        <v>1</v>
      </c>
      <c r="F7379" s="39">
        <f t="shared" si="1045"/>
        <v>859</v>
      </c>
      <c r="G7379" s="168">
        <f>SUM(C7379,C7355,C7331,C7307,C7283,C7259,C7235,C7211,C7187,C7163,C7139,C7115,C7091,C7067)/POBLA!$B$10*100000</f>
        <v>11.285788597721309</v>
      </c>
      <c r="H7379" s="256">
        <f t="shared" si="1040"/>
        <v>1.3181818181818181</v>
      </c>
      <c r="I7379" s="297">
        <f t="shared" si="1042"/>
        <v>14.876721333359907</v>
      </c>
      <c r="J7379" s="297">
        <f t="shared" si="1043"/>
        <v>8.5714285714285712</v>
      </c>
      <c r="K7379" s="297">
        <f>J7379/POBLA!$B$10*100000</f>
        <v>1.1119003544553012</v>
      </c>
      <c r="L7379" s="549">
        <f t="shared" si="1041"/>
        <v>-1.2222222222222223</v>
      </c>
      <c r="M7379" s="401">
        <f>SUM(C7379,C7355,C7331,C7307,C7283,C7259,C7235)/POBLA!$B$10*100000</f>
        <v>7.7833024811871088</v>
      </c>
    </row>
    <row r="7380" spans="1:13" s="360" customFormat="1" x14ac:dyDescent="0.25">
      <c r="A7380" s="361" t="s">
        <v>33</v>
      </c>
      <c r="B7380" s="29">
        <v>44200</v>
      </c>
      <c r="C7380" s="1">
        <v>171</v>
      </c>
      <c r="D7380" s="276">
        <f t="shared" si="1044"/>
        <v>11639</v>
      </c>
      <c r="E7380" s="1">
        <v>8</v>
      </c>
      <c r="F7380" s="39">
        <f t="shared" si="1045"/>
        <v>132</v>
      </c>
      <c r="G7380" s="168">
        <f>SUM(C7380,C7356,C7332,C7308,C7284,C7260,C7236,C7212,C7188,C7164,C7140,C7116,C7092,C7068)/POBLA!$B$11*100000</f>
        <v>894.74036626602845</v>
      </c>
      <c r="H7380" s="256">
        <f t="shared" si="1040"/>
        <v>1.5315186246418337</v>
      </c>
      <c r="I7380" s="297">
        <f t="shared" si="1042"/>
        <v>1370.3115351552785</v>
      </c>
      <c r="J7380" s="297">
        <f t="shared" si="1043"/>
        <v>246.42857142857142</v>
      </c>
      <c r="K7380" s="297">
        <f>J7380/POBLA!$B$11*100000</f>
        <v>68.752600641850364</v>
      </c>
      <c r="L7380" s="549">
        <f t="shared" si="1041"/>
        <v>-0.16396761133603244</v>
      </c>
      <c r="M7380" s="401">
        <f>SUM(C7380,C7356,C7332,C7308,C7284,C7260,C7236)/POBLA!$B$11*100000</f>
        <v>481.26820449295258</v>
      </c>
    </row>
    <row r="7381" spans="1:13" s="360" customFormat="1" x14ac:dyDescent="0.25">
      <c r="A7381" s="361" t="s">
        <v>21</v>
      </c>
      <c r="B7381" s="29">
        <v>44200</v>
      </c>
      <c r="C7381" s="1">
        <v>3</v>
      </c>
      <c r="D7381" s="276">
        <f t="shared" si="1044"/>
        <v>9127</v>
      </c>
      <c r="E7381" s="1">
        <v>1</v>
      </c>
      <c r="F7381" s="39">
        <f t="shared" si="1045"/>
        <v>398</v>
      </c>
      <c r="G7381" s="168">
        <f>SUM(C7381,C7357,C7333,C7309,C7285,C7261,C7237,C7213,C7189,C7165,C7141,C7117,C7093,C7069)/POBLA!$B$12*100000</f>
        <v>28.714383364969979</v>
      </c>
      <c r="H7381" s="256">
        <f t="shared" si="1040"/>
        <v>0.72435897435897434</v>
      </c>
      <c r="I7381" s="297">
        <f t="shared" si="1042"/>
        <v>20.799521283600047</v>
      </c>
      <c r="J7381" s="297">
        <f t="shared" si="1043"/>
        <v>7.8571428571428568</v>
      </c>
      <c r="K7381" s="297">
        <f>J7381/POBLA!$B$12*100000</f>
        <v>1.9965753287905801</v>
      </c>
      <c r="L7381" s="549">
        <f t="shared" si="1041"/>
        <v>5.1724137931034475E-2</v>
      </c>
      <c r="M7381" s="401">
        <f>SUM(C7381,C7357,C7333,C7309,C7285,C7261,C7237)/POBLA!$B$12*100000</f>
        <v>13.976027301534058</v>
      </c>
    </row>
    <row r="7382" spans="1:13" s="360" customFormat="1" x14ac:dyDescent="0.25">
      <c r="A7382" s="361" t="s">
        <v>17</v>
      </c>
      <c r="B7382" s="29">
        <v>44200</v>
      </c>
      <c r="C7382" s="1">
        <v>69</v>
      </c>
      <c r="D7382" s="276">
        <f t="shared" si="1044"/>
        <v>60399</v>
      </c>
      <c r="E7382" s="1"/>
      <c r="F7382" s="39">
        <f t="shared" si="1045"/>
        <v>1232</v>
      </c>
      <c r="G7382" s="168">
        <f>SUM(C7382,C7358,C7334,C7310,C7286,C7262,C7238,C7214,C7190,C7166,C7142,C7118,C7094,C7070)/POBLA!$B$13*100000</f>
        <v>67.72719005515647</v>
      </c>
      <c r="H7382" s="256">
        <f t="shared" si="1040"/>
        <v>0.92901447277739491</v>
      </c>
      <c r="I7382" s="297">
        <f t="shared" si="1042"/>
        <v>62.919539761785614</v>
      </c>
      <c r="J7382" s="297">
        <f t="shared" si="1043"/>
        <v>101.85714285714286</v>
      </c>
      <c r="K7382" s="297">
        <f>J7382/POBLA!$B$13*100000</f>
        <v>5.1175801726713175</v>
      </c>
      <c r="L7382" s="549">
        <f t="shared" si="1041"/>
        <v>-0.12283464566929125</v>
      </c>
      <c r="M7382" s="401">
        <f>SUM(C7382,C7358,C7334,C7310,C7286,C7262,C7238)/POBLA!$B$13*100000</f>
        <v>35.823061208699229</v>
      </c>
    </row>
    <row r="7383" spans="1:13" s="360" customFormat="1" x14ac:dyDescent="0.25">
      <c r="A7383" s="361" t="s">
        <v>23</v>
      </c>
      <c r="B7383" s="29">
        <v>44200</v>
      </c>
      <c r="C7383" s="1">
        <v>33</v>
      </c>
      <c r="D7383" s="276">
        <f t="shared" si="1044"/>
        <v>1157</v>
      </c>
      <c r="E7383" s="1"/>
      <c r="F7383" s="39">
        <f t="shared" si="1045"/>
        <v>12</v>
      </c>
      <c r="G7383" s="168">
        <f>SUM(C7383,C7359,C7335,C7311,C7287,C7263,C7239,C7215,C7191,C7167,C7143,C7119,C7095,C7071)/POBLA!$B$14*100000</f>
        <v>23.230111298396725</v>
      </c>
      <c r="H7383" s="256">
        <f t="shared" si="1040"/>
        <v>1.0280701754385966</v>
      </c>
      <c r="I7383" s="297">
        <f t="shared" si="1042"/>
        <v>23.882184598000844</v>
      </c>
      <c r="J7383" s="297">
        <f t="shared" si="1043"/>
        <v>20.428571428571427</v>
      </c>
      <c r="K7383" s="297">
        <f>J7383/POBLA!$B$14*100000</f>
        <v>1.6196518360169339</v>
      </c>
      <c r="L7383" s="549">
        <f t="shared" si="1041"/>
        <v>4.6666666666666634E-2</v>
      </c>
      <c r="M7383" s="401">
        <f>SUM(C7383,C7359,C7335,C7311,C7287,C7263,C7239)/POBLA!$B$14*100000</f>
        <v>11.337562852118539</v>
      </c>
    </row>
    <row r="7384" spans="1:13" s="360" customFormat="1" x14ac:dyDescent="0.25">
      <c r="A7384" s="361" t="s">
        <v>19</v>
      </c>
      <c r="B7384" s="29">
        <v>44200</v>
      </c>
      <c r="C7384" s="1">
        <v>305</v>
      </c>
      <c r="D7384" s="276">
        <f t="shared" si="1044"/>
        <v>42231</v>
      </c>
      <c r="E7384" s="1"/>
      <c r="F7384" s="39">
        <f t="shared" si="1045"/>
        <v>713</v>
      </c>
      <c r="G7384" s="168">
        <f>SUM(C7384,C7360,C7336,C7312,C7288,C7264,C7240,C7216,C7192,C7168,C7144,C7120,C7096,C7072)/POBLA!$B$15*100000</f>
        <v>589.5578241024491</v>
      </c>
      <c r="H7384" s="256">
        <f t="shared" si="1040"/>
        <v>1.2219101123595506</v>
      </c>
      <c r="I7384" s="297">
        <f t="shared" si="1042"/>
        <v>720.38666709147572</v>
      </c>
      <c r="J7384" s="297">
        <f t="shared" si="1043"/>
        <v>380</v>
      </c>
      <c r="K7384" s="297">
        <f>J7384/POBLA!$B$15*100000</f>
        <v>57.224003361157251</v>
      </c>
      <c r="L7384" s="549">
        <f t="shared" si="1041"/>
        <v>-1.1195219123505975</v>
      </c>
      <c r="M7384" s="401">
        <f>SUM(C7384,C7360,C7336,C7312,C7288,C7264,C7240)/POBLA!$B$15*100000</f>
        <v>400.56802352810075</v>
      </c>
    </row>
    <row r="7385" spans="1:13" s="360" customFormat="1" x14ac:dyDescent="0.25">
      <c r="A7385" s="361" t="s">
        <v>18</v>
      </c>
      <c r="B7385" s="29">
        <v>44200</v>
      </c>
      <c r="C7385" s="1">
        <v>290</v>
      </c>
      <c r="D7385" s="276">
        <f t="shared" si="1044"/>
        <v>39362</v>
      </c>
      <c r="E7385" s="1">
        <v>10</v>
      </c>
      <c r="F7385" s="39">
        <f t="shared" si="1045"/>
        <v>920</v>
      </c>
      <c r="G7385" s="168">
        <f>SUM(C7385,C7361,C7337,C7313,C7289,C7265,C7241,C7217,C7193,C7169,C7145,C7121,C7097,C7073)/POBLA!$B$16*100000</f>
        <v>463.47694653629571</v>
      </c>
      <c r="H7385" s="256">
        <f t="shared" si="1040"/>
        <v>1.1842105263157894</v>
      </c>
      <c r="I7385" s="297">
        <f t="shared" si="1042"/>
        <v>548.85427879298175</v>
      </c>
      <c r="J7385" s="297">
        <f t="shared" si="1043"/>
        <v>260.28571428571428</v>
      </c>
      <c r="K7385" s="297">
        <f>J7385/POBLA!$B$16*100000</f>
        <v>34.815707960796978</v>
      </c>
      <c r="L7385" s="549">
        <f t="shared" si="1041"/>
        <v>-0.10894704808277544</v>
      </c>
      <c r="M7385" s="401">
        <f>SUM(C7385,C7361,C7337,C7313,C7289,C7265,C7241)/POBLA!$B$16*100000</f>
        <v>243.70995572557882</v>
      </c>
    </row>
    <row r="7386" spans="1:13" s="360" customFormat="1" x14ac:dyDescent="0.25">
      <c r="A7386" s="361" t="s">
        <v>34</v>
      </c>
      <c r="B7386" s="29">
        <v>44200</v>
      </c>
      <c r="C7386" s="1">
        <v>21</v>
      </c>
      <c r="D7386" s="276">
        <f t="shared" si="1044"/>
        <v>22434</v>
      </c>
      <c r="E7386" s="1">
        <v>2</v>
      </c>
      <c r="F7386" s="39">
        <f t="shared" si="1045"/>
        <v>1022</v>
      </c>
      <c r="G7386" s="168">
        <f>SUM(C7386,C7362,C7338,C7314,C7290,C7266,C7242,C7218,C7194,C7170,C7146,C7122,C7098,C7074)/POBLA!$B$17*100000</f>
        <v>32.504982810269887</v>
      </c>
      <c r="H7386" s="256">
        <f t="shared" si="1040"/>
        <v>0.8574074074074074</v>
      </c>
      <c r="I7386" s="297">
        <f t="shared" si="1042"/>
        <v>27.870013039175848</v>
      </c>
      <c r="J7386" s="297">
        <f t="shared" si="1043"/>
        <v>31.142857142857142</v>
      </c>
      <c r="K7386" s="297">
        <f>J7386/POBLA!$B$17*100000</f>
        <v>2.1863888468493782</v>
      </c>
      <c r="L7386" s="549">
        <f t="shared" si="1041"/>
        <v>0.11020408163265305</v>
      </c>
      <c r="M7386" s="401">
        <f>SUM(C7386,C7362,C7338,C7314,C7290,C7266,C7242)/POBLA!$B$17*100000</f>
        <v>15.30472192794565</v>
      </c>
    </row>
    <row r="7387" spans="1:13" s="360" customFormat="1" x14ac:dyDescent="0.25">
      <c r="A7387" s="361" t="s">
        <v>35</v>
      </c>
      <c r="B7387" s="29">
        <v>44200</v>
      </c>
      <c r="C7387" s="1">
        <v>79</v>
      </c>
      <c r="D7387" s="276">
        <f t="shared" si="1044"/>
        <v>11677</v>
      </c>
      <c r="E7387" s="1">
        <v>4</v>
      </c>
      <c r="F7387" s="39">
        <f t="shared" si="1045"/>
        <v>202</v>
      </c>
      <c r="G7387" s="168">
        <f>SUM(C7387,C7363,C7339,C7315,C7291,C7267,C7243,C7219,C7195,C7171,C7147,C7123,C7099,C7075)/POBLA!$B$18*100000</f>
        <v>149.12629909487376</v>
      </c>
      <c r="H7387" s="256">
        <f t="shared" si="1040"/>
        <v>0.57873820168902135</v>
      </c>
      <c r="I7387" s="297">
        <f t="shared" si="1042"/>
        <v>86.305086162706374</v>
      </c>
      <c r="J7387" s="297">
        <f t="shared" si="1043"/>
        <v>89.571428571428569</v>
      </c>
      <c r="K7387" s="297">
        <f>J7387/POBLA!$B$18*100000</f>
        <v>11.465627165234316</v>
      </c>
      <c r="L7387" s="549">
        <f t="shared" si="1041"/>
        <v>-0.16542750929368033</v>
      </c>
      <c r="M7387" s="401">
        <f>SUM(C7387,C7363,C7339,C7315,C7291,C7267,C7243)/POBLA!$B$18*100000</f>
        <v>80.259390156640208</v>
      </c>
    </row>
    <row r="7388" spans="1:13" s="360" customFormat="1" x14ac:dyDescent="0.25">
      <c r="A7388" s="361" t="s">
        <v>36</v>
      </c>
      <c r="B7388" s="29">
        <v>44200</v>
      </c>
      <c r="C7388" s="1">
        <v>48</v>
      </c>
      <c r="D7388" s="276">
        <f t="shared" si="1044"/>
        <v>16273</v>
      </c>
      <c r="E7388" s="1">
        <v>1</v>
      </c>
      <c r="F7388" s="39">
        <f t="shared" si="1045"/>
        <v>301</v>
      </c>
      <c r="G7388" s="168">
        <f>SUM(C7388,C7364,C7340,C7316,C7292,C7268,C7244,C7220,C7196,C7172,C7148,C7124,C7100,C7076)/POBLA!$B$19*100000</f>
        <v>67.869564533136085</v>
      </c>
      <c r="H7388" s="256">
        <f t="shared" si="1040"/>
        <v>0.44005102040816324</v>
      </c>
      <c r="I7388" s="297">
        <f t="shared" si="1042"/>
        <v>29.86607112746422</v>
      </c>
      <c r="J7388" s="297">
        <f t="shared" si="1043"/>
        <v>29.571428571428573</v>
      </c>
      <c r="K7388" s="297">
        <f>J7388/POBLA!$B$19*100000</f>
        <v>5.8173912456973786</v>
      </c>
      <c r="L7388" s="549">
        <f t="shared" si="1041"/>
        <v>-0.5</v>
      </c>
      <c r="M7388" s="401">
        <f>SUM(C7388,C7364,C7340,C7316,C7292,C7268,C7244)/POBLA!$B$19*100000</f>
        <v>40.72173871988165</v>
      </c>
    </row>
    <row r="7389" spans="1:13" s="360" customFormat="1" x14ac:dyDescent="0.25">
      <c r="A7389" s="361" t="s">
        <v>37</v>
      </c>
      <c r="B7389" s="29">
        <v>44200</v>
      </c>
      <c r="C7389" s="1">
        <v>309</v>
      </c>
      <c r="D7389" s="276">
        <f t="shared" si="1044"/>
        <v>24710</v>
      </c>
      <c r="E7389" s="1">
        <v>11</v>
      </c>
      <c r="F7389" s="39">
        <f t="shared" si="1045"/>
        <v>399</v>
      </c>
      <c r="G7389" s="168">
        <f>SUM(C7389,C7365,C7341,C7317,C7293,C7269,C7245,C7221,C7197,C7173,C7149,C7125,C7101,C7077)/POBLA!$B$20*100000</f>
        <v>1057.4299011752867</v>
      </c>
      <c r="H7389" s="256">
        <f t="shared" si="1040"/>
        <v>1.1283921797490517</v>
      </c>
      <c r="I7389" s="297">
        <f t="shared" si="1042"/>
        <v>1193.1956311190061</v>
      </c>
      <c r="J7389" s="297">
        <f t="shared" si="1043"/>
        <v>315.14285714285717</v>
      </c>
      <c r="K7389" s="297">
        <f>J7389/POBLA!$B$20*100000</f>
        <v>86.175712512197819</v>
      </c>
      <c r="L7389" s="549">
        <f t="shared" si="1041"/>
        <v>-0.32811559301625537</v>
      </c>
      <c r="M7389" s="401">
        <f>SUM(C7389,C7365,C7341,C7317,C7293,C7269,C7245)/POBLA!$B$20*100000</f>
        <v>603.22998758538461</v>
      </c>
    </row>
    <row r="7390" spans="1:13" s="360" customFormat="1" x14ac:dyDescent="0.25">
      <c r="A7390" s="361" t="s">
        <v>22</v>
      </c>
      <c r="B7390" s="29">
        <v>44200</v>
      </c>
      <c r="C7390" s="1">
        <v>1046</v>
      </c>
      <c r="D7390" s="276">
        <f t="shared" si="1044"/>
        <v>178857</v>
      </c>
      <c r="E7390" s="1">
        <v>32</v>
      </c>
      <c r="F7390" s="39">
        <f t="shared" si="1045"/>
        <v>3000</v>
      </c>
      <c r="G7390" s="168">
        <f>SUM(C7390,C7366,C7342,C7318,C7294,C7270,C7246,C7222,C7198,C7174,C7150,C7126,C7102,C7078)/POBLA!$B$21*100000</f>
        <v>321.37038099003001</v>
      </c>
      <c r="H7390" s="256">
        <f t="shared" si="1040"/>
        <v>0.89509332913286599</v>
      </c>
      <c r="I7390" s="297">
        <f t="shared" si="1042"/>
        <v>287.65648420506346</v>
      </c>
      <c r="J7390" s="297">
        <f t="shared" si="1043"/>
        <v>909.85714285714289</v>
      </c>
      <c r="K7390" s="297">
        <f>J7390/POBLA!$B$21*100000</f>
        <v>25.72821263937529</v>
      </c>
      <c r="L7390" s="549">
        <f t="shared" si="1041"/>
        <v>-0.2748198558847077</v>
      </c>
      <c r="M7390" s="401">
        <f>SUM(C7390,C7366,C7342,C7318,C7294,C7270,C7246)/POBLA!$B$21*100000</f>
        <v>180.09748847562702</v>
      </c>
    </row>
    <row r="7391" spans="1:13" s="360" customFormat="1" x14ac:dyDescent="0.25">
      <c r="A7391" s="361" t="s">
        <v>38</v>
      </c>
      <c r="B7391" s="29">
        <v>44200</v>
      </c>
      <c r="C7391" s="1">
        <v>116</v>
      </c>
      <c r="D7391" s="276">
        <f t="shared" si="1044"/>
        <v>17733</v>
      </c>
      <c r="E7391" s="1"/>
      <c r="F7391" s="39">
        <f t="shared" si="1045"/>
        <v>219</v>
      </c>
      <c r="G7391" s="168">
        <f>SUM(C7391,C7367,C7343,C7319,C7295,C7271,C7247,C7223,C7199,C7175,C7151,C7127,C7103,C7079)/POBLA!$B$22*100000</f>
        <v>87.599776349695858</v>
      </c>
      <c r="H7391" s="256">
        <f t="shared" si="1040"/>
        <v>1.2984848484848486</v>
      </c>
      <c r="I7391" s="297">
        <f t="shared" si="1042"/>
        <v>113.74698232074145</v>
      </c>
      <c r="J7391" s="297">
        <f t="shared" si="1043"/>
        <v>85.857142857142861</v>
      </c>
      <c r="K7391" s="297">
        <f>J7391/POBLA!$B$22*100000</f>
        <v>8.7760402710730467</v>
      </c>
      <c r="L7391" s="549">
        <f t="shared" si="1041"/>
        <v>-1.34765625</v>
      </c>
      <c r="M7391" s="401">
        <f>SUM(C7391,C7367,C7343,C7319,C7295,C7271,C7247)/POBLA!$B$22*100000</f>
        <v>61.432281897511324</v>
      </c>
    </row>
    <row r="7392" spans="1:13" s="360" customFormat="1" x14ac:dyDescent="0.25">
      <c r="A7392" s="361" t="s">
        <v>39</v>
      </c>
      <c r="B7392" s="29">
        <v>44200</v>
      </c>
      <c r="C7392" s="1">
        <v>100</v>
      </c>
      <c r="D7392" s="276">
        <f t="shared" si="1044"/>
        <v>19532</v>
      </c>
      <c r="E7392" s="1"/>
      <c r="F7392" s="39">
        <f t="shared" si="1045"/>
        <v>254</v>
      </c>
      <c r="G7392" s="168">
        <f>SUM(C7392,C7368,C7344,C7320,C7296,C7272,C7248,C7224,C7200,C7176,C7152,C7128,C7104,C7080)/POBLA!$B$23*100000</f>
        <v>751.56930385115652</v>
      </c>
      <c r="H7392" s="256">
        <f t="shared" si="1040"/>
        <v>0.9851742031134173</v>
      </c>
      <c r="I7392" s="297">
        <f t="shared" si="1042"/>
        <v>740.42669000606895</v>
      </c>
      <c r="J7392" s="297">
        <f t="shared" si="1043"/>
        <v>104.28571428571429</v>
      </c>
      <c r="K7392" s="297">
        <f>J7392/POBLA!$B$23*100000</f>
        <v>58.975125423126336</v>
      </c>
      <c r="L7392" s="549">
        <f t="shared" si="1041"/>
        <v>-0.21869782971619367</v>
      </c>
      <c r="M7392" s="401">
        <f>SUM(C7392,C7368,C7344,C7320,C7296,C7272,C7248)/POBLA!$B$23*100000</f>
        <v>412.82587796188426</v>
      </c>
    </row>
    <row r="7393" spans="1:13" s="360" customFormat="1" ht="15.75" thickBot="1" x14ac:dyDescent="0.3">
      <c r="A7393" s="361" t="s">
        <v>40</v>
      </c>
      <c r="B7393" s="29">
        <v>44200</v>
      </c>
      <c r="C7393" s="1">
        <v>289</v>
      </c>
      <c r="D7393" s="276">
        <f t="shared" si="1044"/>
        <v>71586</v>
      </c>
      <c r="E7393" s="1">
        <v>2</v>
      </c>
      <c r="F7393" s="39">
        <f t="shared" si="1045"/>
        <v>1368</v>
      </c>
      <c r="G7393" s="177">
        <f>SUM(C7393,C7369,C7345,C7321,C7297,C7273,C7249,C7225,C7201,C7177,C7153,C7129,C7105,C7081)/POBLA!$B$24*100000</f>
        <v>100.49237131311605</v>
      </c>
      <c r="H7393" s="402">
        <f t="shared" si="1040"/>
        <v>0.67232530596131068</v>
      </c>
      <c r="I7393" s="403">
        <f t="shared" si="1042"/>
        <v>67.563564289868395</v>
      </c>
      <c r="J7393" s="403">
        <f t="shared" si="1043"/>
        <v>145.57142857142858</v>
      </c>
      <c r="K7393" s="403">
        <f>J7393/POBLA!$B$24*100000</f>
        <v>8.5900282164302713</v>
      </c>
      <c r="L7393" s="550">
        <f t="shared" si="1041"/>
        <v>-0.48976608187134496</v>
      </c>
      <c r="M7393" s="405">
        <f>SUM(C7393,C7369,C7345,C7321,C7297,C7273,C7249)/POBLA!$B$24*100000</f>
        <v>60.130197515011901</v>
      </c>
    </row>
    <row r="7394" spans="1:13" s="360" customFormat="1" x14ac:dyDescent="0.25">
      <c r="A7394" s="361" t="s">
        <v>16</v>
      </c>
      <c r="B7394" s="29">
        <v>44201</v>
      </c>
      <c r="C7394" s="1">
        <v>5419</v>
      </c>
      <c r="D7394" s="276">
        <f t="shared" si="1044"/>
        <v>698763</v>
      </c>
      <c r="E7394" s="1">
        <v>44</v>
      </c>
      <c r="F7394" s="39">
        <f t="shared" si="1045"/>
        <v>22578</v>
      </c>
      <c r="G7394" s="175">
        <f>SUM(C7394,C7370,C7346,C7322,C7298,C7274,C7250,C7226,C7202,C7178,C7154,C7130,C7106,C7082)/POBLA!$B$1*100000</f>
        <v>236.91731341763915</v>
      </c>
      <c r="H7394" s="300">
        <f t="shared" ref="H7394:H7417" si="1046">SUM(C7394,C7370,C7346,C7322,C7298,C7274,C7250,C7226,C7202,C7178,C7154,C7130,C7106,C7082)/SUM(C7058,C7034,C7010,C6986,C6962,C6938,C6914,C6890,C6866,C6842,C6818,C6794,C6770,C6746)</f>
        <v>1.5279238207287034</v>
      </c>
      <c r="I7394" s="301">
        <f>G7394*H7394</f>
        <v>361.99160671385891</v>
      </c>
      <c r="J7394" s="301">
        <f>AVERAGE(C7394,C7370,C7346,C7322,C7298,C7274,C7250)</f>
        <v>3354.7142857142858</v>
      </c>
      <c r="K7394" s="301">
        <f>J7394/POBLA!$B$1*100000</f>
        <v>19.124835070388443</v>
      </c>
      <c r="L7394" s="548">
        <f t="shared" ref="L7394:L7417" si="1047">1-SUM(C7394,C7370,C7346,C7322,C7298,C7274,C7250)/SUM(C7226,C7202,C7178,C7154,C7130,C7106,C7082)</f>
        <v>-0.29919778699861688</v>
      </c>
      <c r="M7394" s="400">
        <f>SUM(C7394,C7370,C7346,C7322,C7298,C7274,C7250)/POBLA!$B$1*100000</f>
        <v>133.87384549271908</v>
      </c>
    </row>
    <row r="7395" spans="1:13" s="360" customFormat="1" x14ac:dyDescent="0.25">
      <c r="A7395" s="361" t="s">
        <v>43</v>
      </c>
      <c r="B7395" s="29">
        <v>44201</v>
      </c>
      <c r="C7395" s="1">
        <v>1445</v>
      </c>
      <c r="D7395" s="276">
        <f t="shared" si="1044"/>
        <v>179015</v>
      </c>
      <c r="E7395" s="1">
        <v>10</v>
      </c>
      <c r="F7395" s="39">
        <f t="shared" si="1045"/>
        <v>5545</v>
      </c>
      <c r="G7395" s="168">
        <f>SUM(C7395,C7371,C7347,C7323,C7299,C7275,C7251,C7227,C7203,C7179,C7155,C7131,C7107,C7083)/POBLA!$B$2*100000</f>
        <v>381.28575265163806</v>
      </c>
      <c r="H7395" s="256">
        <f t="shared" si="1046"/>
        <v>1.8637952956134773</v>
      </c>
      <c r="I7395" s="297">
        <f t="shared" ref="I7395:I7417" si="1048">G7395*H7395</f>
        <v>710.63859207656697</v>
      </c>
      <c r="J7395" s="297">
        <f t="shared" ref="J7395:J7417" si="1049">AVERAGE(C7395,C7371,C7347,C7323,C7299,C7275,C7251)</f>
        <v>975.57142857142856</v>
      </c>
      <c r="K7395" s="297">
        <f>J7395/POBLA!$B$2*100000</f>
        <v>31.719236497679791</v>
      </c>
      <c r="L7395" s="549">
        <f t="shared" si="1047"/>
        <v>-0.39424254797876679</v>
      </c>
      <c r="M7395" s="401">
        <f>SUM(C7395,C7371,C7347,C7323,C7299,C7275,C7251)/POBLA!$B$2*100000</f>
        <v>222.03465548375854</v>
      </c>
    </row>
    <row r="7396" spans="1:13" s="360" customFormat="1" x14ac:dyDescent="0.25">
      <c r="A7396" s="361" t="s">
        <v>28</v>
      </c>
      <c r="B7396" s="29">
        <v>44201</v>
      </c>
      <c r="C7396" s="1">
        <v>61</v>
      </c>
      <c r="D7396" s="276">
        <f t="shared" si="1044"/>
        <v>2930</v>
      </c>
      <c r="E7396" s="1"/>
      <c r="F7396" s="39">
        <f t="shared" si="1045"/>
        <v>17</v>
      </c>
      <c r="G7396" s="168">
        <f>SUM(C7396,C7372,C7348,C7324,C7300,C7276,C7252,C7228,C7204,C7180,C7156,C7132,C7108,C7084)/POBLA!$B$3*100000</f>
        <v>127.81690649386911</v>
      </c>
      <c r="H7396" s="256">
        <f t="shared" si="1046"/>
        <v>1.4274193548387097</v>
      </c>
      <c r="I7396" s="297">
        <f t="shared" si="1048"/>
        <v>182.44832620495833</v>
      </c>
      <c r="J7396" s="297">
        <f t="shared" si="1049"/>
        <v>43.857142857142854</v>
      </c>
      <c r="K7396" s="297">
        <f>J7396/POBLA!$B$3*100000</f>
        <v>10.556844308210335</v>
      </c>
      <c r="L7396" s="549">
        <f t="shared" si="1047"/>
        <v>-0.37053571428571419</v>
      </c>
      <c r="M7396" s="401">
        <f>SUM(C7396,C7372,C7348,C7324,C7300,C7276,C7252)/POBLA!$B$3*100000</f>
        <v>73.897910157472353</v>
      </c>
    </row>
    <row r="7397" spans="1:13" s="360" customFormat="1" x14ac:dyDescent="0.25">
      <c r="A7397" s="361" t="s">
        <v>15</v>
      </c>
      <c r="B7397" s="29">
        <v>44201</v>
      </c>
      <c r="C7397" s="1">
        <v>300</v>
      </c>
      <c r="D7397" s="276">
        <f t="shared" si="1044"/>
        <v>25623</v>
      </c>
      <c r="E7397" s="1">
        <v>6</v>
      </c>
      <c r="F7397" s="39">
        <f t="shared" si="1045"/>
        <v>716</v>
      </c>
      <c r="G7397" s="168">
        <f>SUM(C7397,C7373,C7349,C7325,C7301,C7277,C7253,C7229,C7205,C7181,C7157,C7133,C7109,C7085)/POBLA!$B$4*100000</f>
        <v>200.15923077753268</v>
      </c>
      <c r="H7397" s="256">
        <f t="shared" si="1046"/>
        <v>1.0360979802320585</v>
      </c>
      <c r="I7397" s="297">
        <f t="shared" si="1048"/>
        <v>207.38457473340409</v>
      </c>
      <c r="J7397" s="297">
        <f t="shared" si="1049"/>
        <v>192.71428571428572</v>
      </c>
      <c r="K7397" s="297">
        <f>J7397/POBLA!$B$4*100000</f>
        <v>15.998980998927037</v>
      </c>
      <c r="L7397" s="549">
        <f t="shared" si="1047"/>
        <v>-0.27024482109227876</v>
      </c>
      <c r="M7397" s="401">
        <f>SUM(C7397,C7373,C7349,C7325,C7301,C7277,C7253)/POBLA!$B$4*100000</f>
        <v>111.99286699248925</v>
      </c>
    </row>
    <row r="7398" spans="1:13" s="360" customFormat="1" x14ac:dyDescent="0.25">
      <c r="A7398" s="361" t="s">
        <v>29</v>
      </c>
      <c r="B7398" s="29">
        <v>44201</v>
      </c>
      <c r="C7398" s="1">
        <v>583</v>
      </c>
      <c r="D7398" s="276">
        <f t="shared" si="1044"/>
        <v>33352</v>
      </c>
      <c r="E7398" s="1">
        <v>1</v>
      </c>
      <c r="F7398" s="39">
        <f t="shared" si="1045"/>
        <v>496</v>
      </c>
      <c r="G7398" s="168">
        <f>SUM(C7398,C7374,C7350,C7326,C7302,C7278,C7254,C7230,C7206,C7182,C7158,C7134,C7110,C7086)/POBLA!$B$5*100000</f>
        <v>718.42376501226181</v>
      </c>
      <c r="H7398" s="256">
        <f t="shared" si="1046"/>
        <v>1.0754534461910521</v>
      </c>
      <c r="I7398" s="297">
        <f t="shared" si="1048"/>
        <v>772.63131390798753</v>
      </c>
      <c r="J7398" s="297">
        <f t="shared" si="1049"/>
        <v>344.85714285714283</v>
      </c>
      <c r="K7398" s="297">
        <f>J7398/POBLA!$B$5*100000</f>
        <v>55.712517868855407</v>
      </c>
      <c r="L7398" s="549">
        <f t="shared" si="1047"/>
        <v>-0.18740777176586332</v>
      </c>
      <c r="M7398" s="401">
        <f>SUM(C7398,C7374,C7350,C7326,C7302,C7278,C7254)/POBLA!$B$5*100000</f>
        <v>389.98762508198786</v>
      </c>
    </row>
    <row r="7399" spans="1:13" s="360" customFormat="1" x14ac:dyDescent="0.25">
      <c r="A7399" s="361" t="s">
        <v>20</v>
      </c>
      <c r="B7399" s="29">
        <v>44201</v>
      </c>
      <c r="C7399" s="1">
        <v>907</v>
      </c>
      <c r="D7399" s="276">
        <f t="shared" si="1044"/>
        <v>129589</v>
      </c>
      <c r="E7399" s="1">
        <v>3</v>
      </c>
      <c r="F7399" s="39">
        <f t="shared" si="1045"/>
        <v>2492</v>
      </c>
      <c r="G7399" s="168">
        <f>SUM(C7399,C7375,C7351,C7327,C7303,C7279,C7255,C7231,C7207,C7183,C7159,C7135,C7111,C7087)/POBLA!$B$6*100000</f>
        <v>560.22433955715599</v>
      </c>
      <c r="H7399" s="256">
        <f t="shared" si="1046"/>
        <v>1.171018276762402</v>
      </c>
      <c r="I7399" s="297">
        <f t="shared" si="1048"/>
        <v>656.03294070857555</v>
      </c>
      <c r="J7399" s="297">
        <f t="shared" si="1049"/>
        <v>490.71428571428572</v>
      </c>
      <c r="K7399" s="297">
        <f>J7399/POBLA!$B$6*100000</f>
        <v>43.782463230697125</v>
      </c>
      <c r="L7399" s="549">
        <f t="shared" si="1047"/>
        <v>-0.20780590717299585</v>
      </c>
      <c r="M7399" s="401">
        <f>SUM(C7399,C7375,C7351,C7327,C7303,C7279,C7255)/POBLA!$B$6*100000</f>
        <v>306.47724261487991</v>
      </c>
    </row>
    <row r="7400" spans="1:13" s="360" customFormat="1" x14ac:dyDescent="0.25">
      <c r="A7400" s="361" t="s">
        <v>30</v>
      </c>
      <c r="B7400" s="29">
        <v>44201</v>
      </c>
      <c r="C7400" s="1">
        <v>176</v>
      </c>
      <c r="D7400" s="276">
        <f t="shared" si="1044"/>
        <v>12635</v>
      </c>
      <c r="E7400" s="1"/>
      <c r="F7400" s="39">
        <f t="shared" si="1045"/>
        <v>169</v>
      </c>
      <c r="G7400" s="168">
        <f>SUM(C7400,C7376,C7352,C7328,C7304,C7280,C7256,C7232,C7208,C7184,C7160,C7136,C7112,C7088)/POBLA!$B$7*100000</f>
        <v>47.361353029557634</v>
      </c>
      <c r="H7400" s="256">
        <f t="shared" si="1046"/>
        <v>0.95495978552278815</v>
      </c>
      <c r="I7400" s="297">
        <f t="shared" si="1048"/>
        <v>45.228187531175408</v>
      </c>
      <c r="J7400" s="297">
        <f t="shared" si="1049"/>
        <v>121.85714285714286</v>
      </c>
      <c r="K7400" s="297">
        <f>J7400/POBLA!$B$7*100000</f>
        <v>3.2404936339305896</v>
      </c>
      <c r="L7400" s="549">
        <f t="shared" si="1047"/>
        <v>8.0818965517241326E-2</v>
      </c>
      <c r="M7400" s="401">
        <f>SUM(C7400,C7376,C7352,C7328,C7304,C7280,C7256)/POBLA!$B$7*100000</f>
        <v>22.683455437514127</v>
      </c>
    </row>
    <row r="7401" spans="1:13" x14ac:dyDescent="0.25">
      <c r="A7401" s="361" t="s">
        <v>31</v>
      </c>
      <c r="B7401" s="29">
        <v>44201</v>
      </c>
      <c r="C7401" s="1">
        <v>550</v>
      </c>
      <c r="D7401" s="276">
        <f t="shared" si="1044"/>
        <v>30967</v>
      </c>
      <c r="E7401" s="1">
        <v>4</v>
      </c>
      <c r="F7401" s="39">
        <f t="shared" si="1045"/>
        <v>593</v>
      </c>
      <c r="G7401" s="168">
        <f>SUM(C7401,C7377,C7353,C7329,C7305,C7281,C7257,C7233,C7209,C7185,C7161,C7137,C7113,C7089)/POBLA!$B$8*100000</f>
        <v>275.90963959303326</v>
      </c>
      <c r="H7401" s="256">
        <f t="shared" si="1046"/>
        <v>1.5730152200740437</v>
      </c>
      <c r="I7401" s="297">
        <f t="shared" si="1048"/>
        <v>434.01006244498529</v>
      </c>
      <c r="J7401" s="297">
        <f t="shared" si="1049"/>
        <v>340.57142857142856</v>
      </c>
      <c r="K7401" s="297">
        <f>J7401/POBLA!$B$8*100000</f>
        <v>24.572944590174508</v>
      </c>
      <c r="L7401" s="549">
        <f t="shared" si="1047"/>
        <v>-0.65555555555555545</v>
      </c>
      <c r="M7401" s="401">
        <f>SUM(C7401,C7377,C7353,C7329,C7305,C7281,C7257)/POBLA!$B$8*100000</f>
        <v>172.01061213122159</v>
      </c>
    </row>
    <row r="7402" spans="1:13" s="360" customFormat="1" x14ac:dyDescent="0.25">
      <c r="A7402" s="361" t="s">
        <v>41</v>
      </c>
      <c r="B7402" s="29">
        <v>44201</v>
      </c>
      <c r="C7402" s="1">
        <v>5</v>
      </c>
      <c r="D7402" s="276">
        <f t="shared" si="1044"/>
        <v>226</v>
      </c>
      <c r="E7402" s="1"/>
      <c r="F7402" s="39">
        <f t="shared" si="1045"/>
        <v>3</v>
      </c>
      <c r="G7402" s="168">
        <f>SUM(C7402,C7378,C7354,C7330,C7306,C7282,C7258,C7234,C7210,C7186,C7162,C7138,C7114,C7090)/POBLA!$B$9*100000</f>
        <v>2.643784710001603</v>
      </c>
      <c r="H7402" s="256">
        <f t="shared" si="1046"/>
        <v>0.94117647058823528</v>
      </c>
      <c r="I7402" s="297">
        <f t="shared" si="1048"/>
        <v>2.4882679623544499</v>
      </c>
      <c r="J7402" s="297">
        <f t="shared" si="1049"/>
        <v>2</v>
      </c>
      <c r="K7402" s="297">
        <f>J7402/POBLA!$B$9*100000</f>
        <v>0.33047308875020037</v>
      </c>
      <c r="L7402" s="549">
        <f t="shared" si="1047"/>
        <v>-6</v>
      </c>
      <c r="M7402" s="401">
        <f>SUM(C7402,C7378,C7354,C7330,C7306,C7282,C7258)/POBLA!$B$9*100000</f>
        <v>2.3133116212514024</v>
      </c>
    </row>
    <row r="7403" spans="1:13" s="360" customFormat="1" x14ac:dyDescent="0.25">
      <c r="A7403" s="361" t="s">
        <v>32</v>
      </c>
      <c r="B7403" s="29">
        <v>44201</v>
      </c>
      <c r="C7403" s="1">
        <v>19</v>
      </c>
      <c r="D7403" s="276">
        <f t="shared" si="1044"/>
        <v>18588</v>
      </c>
      <c r="E7403" s="1"/>
      <c r="F7403" s="39">
        <f t="shared" si="1045"/>
        <v>859</v>
      </c>
      <c r="G7403" s="168">
        <f>SUM(C7403,C7379,C7355,C7331,C7307,C7283,C7259,C7235,C7211,C7187,C7163,C7139,C7115,C7091)/POBLA!$B$10*100000</f>
        <v>13.361335926037869</v>
      </c>
      <c r="H7403" s="256">
        <f t="shared" si="1046"/>
        <v>1.7166666666666666</v>
      </c>
      <c r="I7403" s="297">
        <f t="shared" si="1048"/>
        <v>22.936960006365005</v>
      </c>
      <c r="J7403" s="297">
        <f t="shared" si="1049"/>
        <v>9.2857142857142865</v>
      </c>
      <c r="K7403" s="297">
        <f>J7403/POBLA!$B$10*100000</f>
        <v>1.2045587173265766</v>
      </c>
      <c r="L7403" s="549">
        <f t="shared" si="1047"/>
        <v>-0.71052631578947367</v>
      </c>
      <c r="M7403" s="401">
        <f>SUM(C7403,C7379,C7355,C7331,C7307,C7283,C7259)/POBLA!$B$10*100000</f>
        <v>8.4319110212860355</v>
      </c>
    </row>
    <row r="7404" spans="1:13" s="360" customFormat="1" x14ac:dyDescent="0.25">
      <c r="A7404" s="361" t="s">
        <v>33</v>
      </c>
      <c r="B7404" s="29">
        <v>44201</v>
      </c>
      <c r="C7404" s="1">
        <v>300</v>
      </c>
      <c r="D7404" s="276">
        <f t="shared" si="1044"/>
        <v>11939</v>
      </c>
      <c r="E7404" s="1">
        <v>5</v>
      </c>
      <c r="F7404" s="39">
        <f t="shared" si="1045"/>
        <v>137</v>
      </c>
      <c r="G7404" s="168">
        <f>SUM(C7404,C7380,C7356,C7332,C7308,C7284,C7260,C7236,C7212,C7188,C7164,C7140,C7116,C7092)/POBLA!$B$11*100000</f>
        <v>909.52715747653644</v>
      </c>
      <c r="H7404" s="256">
        <f t="shared" si="1046"/>
        <v>1.4304519526107942</v>
      </c>
      <c r="I7404" s="297">
        <f t="shared" si="1048"/>
        <v>1301.0348983648569</v>
      </c>
      <c r="J7404" s="297">
        <f t="shared" si="1049"/>
        <v>244.42857142857142</v>
      </c>
      <c r="K7404" s="297">
        <f>J7404/POBLA!$B$11*100000</f>
        <v>68.194608520699106</v>
      </c>
      <c r="L7404" s="549">
        <f t="shared" si="1047"/>
        <v>-0.10458360232408004</v>
      </c>
      <c r="M7404" s="401">
        <f>SUM(C7404,C7380,C7356,C7332,C7308,C7284,C7260)/POBLA!$B$11*100000</f>
        <v>477.36225964489381</v>
      </c>
    </row>
    <row r="7405" spans="1:13" s="360" customFormat="1" x14ac:dyDescent="0.25">
      <c r="A7405" s="361" t="s">
        <v>21</v>
      </c>
      <c r="B7405" s="29">
        <v>44201</v>
      </c>
      <c r="C7405" s="1">
        <v>10</v>
      </c>
      <c r="D7405" s="276">
        <f t="shared" si="1044"/>
        <v>9137</v>
      </c>
      <c r="E7405" s="1"/>
      <c r="F7405" s="39">
        <f t="shared" si="1045"/>
        <v>398</v>
      </c>
      <c r="G7405" s="168">
        <f>SUM(C7405,C7381,C7357,C7333,C7309,C7285,C7261,C7237,C7213,C7189,C7165,C7141,C7117,C7093)/POBLA!$B$12*100000</f>
        <v>28.968492952270594</v>
      </c>
      <c r="H7405" s="256">
        <f t="shared" si="1046"/>
        <v>0.72151898734177211</v>
      </c>
      <c r="I7405" s="297">
        <f t="shared" si="1048"/>
        <v>20.90131769973954</v>
      </c>
      <c r="J7405" s="297">
        <f t="shared" si="1049"/>
        <v>8.8571428571428577</v>
      </c>
      <c r="K7405" s="297">
        <f>J7405/POBLA!$B$12*100000</f>
        <v>2.2506849160911995</v>
      </c>
      <c r="L7405" s="549">
        <f t="shared" si="1047"/>
        <v>-0.19230769230769229</v>
      </c>
      <c r="M7405" s="401">
        <f>SUM(C7405,C7381,C7357,C7333,C7309,C7285,C7261)/POBLA!$B$12*100000</f>
        <v>15.754794412638393</v>
      </c>
    </row>
    <row r="7406" spans="1:13" s="360" customFormat="1" x14ac:dyDescent="0.25">
      <c r="A7406" s="361" t="s">
        <v>17</v>
      </c>
      <c r="B7406" s="29">
        <v>44201</v>
      </c>
      <c r="C7406" s="1">
        <v>155</v>
      </c>
      <c r="D7406" s="276">
        <f t="shared" si="1044"/>
        <v>60554</v>
      </c>
      <c r="E7406" s="1">
        <v>4</v>
      </c>
      <c r="F7406" s="39">
        <f t="shared" si="1045"/>
        <v>1236</v>
      </c>
      <c r="G7406" s="168">
        <f>SUM(C7406,C7382,C7358,C7334,C7310,C7286,C7262,C7238,C7214,C7190,C7166,C7142,C7118,C7094)/POBLA!$B$13*100000</f>
        <v>68.581316339234846</v>
      </c>
      <c r="H7406" s="256">
        <f t="shared" si="1046"/>
        <v>0.87668593448940269</v>
      </c>
      <c r="I7406" s="297">
        <f t="shared" si="1048"/>
        <v>60.124275403375442</v>
      </c>
      <c r="J7406" s="297">
        <f t="shared" si="1049"/>
        <v>101</v>
      </c>
      <c r="K7406" s="297">
        <f>J7406/POBLA!$B$13*100000</f>
        <v>5.0745149818774502</v>
      </c>
      <c r="L7406" s="549">
        <f t="shared" si="1047"/>
        <v>-7.4468085106383031E-2</v>
      </c>
      <c r="M7406" s="401">
        <f>SUM(C7406,C7382,C7358,C7334,C7310,C7286,C7262)/POBLA!$B$13*100000</f>
        <v>35.521604873142152</v>
      </c>
    </row>
    <row r="7407" spans="1:13" s="360" customFormat="1" x14ac:dyDescent="0.25">
      <c r="A7407" s="361" t="s">
        <v>23</v>
      </c>
      <c r="B7407" s="29">
        <v>44201</v>
      </c>
      <c r="C7407" s="1">
        <v>5</v>
      </c>
      <c r="D7407" s="276">
        <f t="shared" si="1044"/>
        <v>1162</v>
      </c>
      <c r="E7407" s="1"/>
      <c r="F7407" s="39">
        <f t="shared" si="1045"/>
        <v>12</v>
      </c>
      <c r="G7407" s="168">
        <f>SUM(C7407,C7383,C7359,C7335,C7311,C7287,C7263,C7239,C7215,C7191,C7167,C7143,C7119,C7095)/POBLA!$B$14*100000</f>
        <v>21.723721828534821</v>
      </c>
      <c r="H7407" s="256">
        <f t="shared" si="1046"/>
        <v>0.91946308724832215</v>
      </c>
      <c r="I7407" s="297">
        <f t="shared" si="1048"/>
        <v>19.974160338988391</v>
      </c>
      <c r="J7407" s="297">
        <f t="shared" si="1049"/>
        <v>16.857142857142858</v>
      </c>
      <c r="K7407" s="297">
        <f>J7407/POBLA!$B$14*100000</f>
        <v>1.3364959206293583</v>
      </c>
      <c r="L7407" s="549">
        <f t="shared" si="1047"/>
        <v>0.24358974358974361</v>
      </c>
      <c r="M7407" s="401">
        <f>SUM(C7407,C7383,C7359,C7335,C7311,C7287,C7263)/POBLA!$B$14*100000</f>
        <v>9.3554714444055076</v>
      </c>
    </row>
    <row r="7408" spans="1:13" s="360" customFormat="1" x14ac:dyDescent="0.25">
      <c r="A7408" s="361" t="s">
        <v>19</v>
      </c>
      <c r="B7408" s="29">
        <v>44201</v>
      </c>
      <c r="C7408" s="1">
        <v>673</v>
      </c>
      <c r="D7408" s="276">
        <f t="shared" si="1044"/>
        <v>42904</v>
      </c>
      <c r="E7408" s="1">
        <v>2</v>
      </c>
      <c r="F7408" s="39">
        <f t="shared" si="1045"/>
        <v>715</v>
      </c>
      <c r="G7408" s="168">
        <f>SUM(C7408,C7384,C7360,C7336,C7312,C7288,C7264,C7240,C7216,C7192,C7168,C7144,C7120,C7096)/POBLA!$B$15*100000</f>
        <v>641.66178505760809</v>
      </c>
      <c r="H7408" s="256">
        <f t="shared" si="1046"/>
        <v>1.3952193844138834</v>
      </c>
      <c r="I7408" s="297">
        <f t="shared" si="1048"/>
        <v>895.25896074998946</v>
      </c>
      <c r="J7408" s="297">
        <f t="shared" si="1049"/>
        <v>396.42857142857144</v>
      </c>
      <c r="K7408" s="297">
        <f>J7408/POBLA!$B$15*100000</f>
        <v>59.69797343128247</v>
      </c>
      <c r="L7408" s="549">
        <f t="shared" si="1047"/>
        <v>-0.86742934051144016</v>
      </c>
      <c r="M7408" s="401">
        <f>SUM(C7408,C7384,C7360,C7336,C7312,C7288,C7264)/POBLA!$B$15*100000</f>
        <v>417.88581401897727</v>
      </c>
    </row>
    <row r="7409" spans="1:13" s="360" customFormat="1" x14ac:dyDescent="0.25">
      <c r="A7409" s="361" t="s">
        <v>18</v>
      </c>
      <c r="B7409" s="29">
        <v>44201</v>
      </c>
      <c r="C7409" s="1">
        <v>382</v>
      </c>
      <c r="D7409" s="276">
        <f t="shared" si="1044"/>
        <v>39744</v>
      </c>
      <c r="E7409" s="1">
        <v>10</v>
      </c>
      <c r="F7409" s="39">
        <f t="shared" si="1045"/>
        <v>930</v>
      </c>
      <c r="G7409" s="168">
        <f>SUM(C7409,C7385,C7361,C7337,C7313,C7289,C7265,C7241,C7217,C7193,C7169,C7145,C7121,C7097)/POBLA!$B$16*100000</f>
        <v>461.6043124088763</v>
      </c>
      <c r="H7409" s="256">
        <f t="shared" si="1046"/>
        <v>1.0835164835164834</v>
      </c>
      <c r="I7409" s="297">
        <f t="shared" si="1048"/>
        <v>500.15588135730991</v>
      </c>
      <c r="J7409" s="297">
        <f t="shared" si="1049"/>
        <v>259.57142857142856</v>
      </c>
      <c r="K7409" s="297">
        <f>J7409/POBLA!$B$16*100000</f>
        <v>34.72016540327558</v>
      </c>
      <c r="L7409" s="549">
        <f t="shared" si="1047"/>
        <v>-0.11199510403916779</v>
      </c>
      <c r="M7409" s="401">
        <f>SUM(C7409,C7385,C7361,C7337,C7313,C7289,C7265)/POBLA!$B$16*100000</f>
        <v>243.04115782292908</v>
      </c>
    </row>
    <row r="7410" spans="1:13" s="360" customFormat="1" x14ac:dyDescent="0.25">
      <c r="A7410" s="361" t="s">
        <v>34</v>
      </c>
      <c r="B7410" s="29">
        <v>44201</v>
      </c>
      <c r="C7410" s="1">
        <v>25</v>
      </c>
      <c r="D7410" s="276">
        <f t="shared" si="1044"/>
        <v>22459</v>
      </c>
      <c r="E7410" s="1"/>
      <c r="F7410" s="39">
        <f t="shared" si="1045"/>
        <v>1022</v>
      </c>
      <c r="G7410" s="168">
        <f>SUM(C7410,C7386,C7362,C7338,C7314,C7290,C7266,C7242,C7218,C7194,C7170,C7146,C7122,C7098)/POBLA!$B$17*100000</f>
        <v>31.100879881100568</v>
      </c>
      <c r="H7410" s="256">
        <f t="shared" si="1046"/>
        <v>0.76643598615916952</v>
      </c>
      <c r="I7410" s="297">
        <f t="shared" si="1048"/>
        <v>23.836833542089188</v>
      </c>
      <c r="J7410" s="297">
        <f t="shared" si="1049"/>
        <v>29</v>
      </c>
      <c r="K7410" s="297">
        <f>J7410/POBLA!$B$17*100000</f>
        <v>2.0359492472955223</v>
      </c>
      <c r="L7410" s="549">
        <f t="shared" si="1047"/>
        <v>0.15416666666666667</v>
      </c>
      <c r="M7410" s="401">
        <f>SUM(C7410,C7386,C7362,C7338,C7314,C7290,C7266)/POBLA!$B$17*100000</f>
        <v>14.251644731068657</v>
      </c>
    </row>
    <row r="7411" spans="1:13" s="360" customFormat="1" x14ac:dyDescent="0.25">
      <c r="A7411" s="361" t="s">
        <v>35</v>
      </c>
      <c r="B7411" s="29">
        <v>44201</v>
      </c>
      <c r="C7411" s="1">
        <v>210</v>
      </c>
      <c r="D7411" s="276">
        <f t="shared" si="1044"/>
        <v>11887</v>
      </c>
      <c r="E7411" s="1">
        <v>2</v>
      </c>
      <c r="F7411" s="39">
        <f t="shared" si="1045"/>
        <v>204</v>
      </c>
      <c r="G7411" s="168">
        <f>SUM(C7411,C7387,C7363,C7339,C7315,C7291,C7267,C7243,C7219,C7195,C7171,C7147,C7123,C7099)/POBLA!$B$18*100000</f>
        <v>156.42260729093195</v>
      </c>
      <c r="H7411" s="256">
        <f t="shared" si="1046"/>
        <v>0.59349198640116563</v>
      </c>
      <c r="I7411" s="297">
        <f t="shared" si="1048"/>
        <v>92.835563919144661</v>
      </c>
      <c r="J7411" s="297">
        <f t="shared" si="1049"/>
        <v>76</v>
      </c>
      <c r="K7411" s="297">
        <f>J7411/POBLA!$B$18*100000</f>
        <v>9.7284109280776025</v>
      </c>
      <c r="L7411" s="549">
        <f t="shared" si="1047"/>
        <v>0.22898550724637678</v>
      </c>
      <c r="M7411" s="401">
        <f>SUM(C7411,C7387,C7363,C7339,C7315,C7291,C7267)/POBLA!$B$18*100000</f>
        <v>68.098876496543213</v>
      </c>
    </row>
    <row r="7412" spans="1:13" s="360" customFormat="1" x14ac:dyDescent="0.25">
      <c r="A7412" s="361" t="s">
        <v>36</v>
      </c>
      <c r="B7412" s="29">
        <v>44201</v>
      </c>
      <c r="C7412" s="1">
        <v>62</v>
      </c>
      <c r="D7412" s="276">
        <f t="shared" si="1044"/>
        <v>16335</v>
      </c>
      <c r="E7412" s="1">
        <v>7</v>
      </c>
      <c r="F7412" s="39">
        <f t="shared" si="1045"/>
        <v>308</v>
      </c>
      <c r="G7412" s="168">
        <f>SUM(C7412,C7388,C7364,C7340,C7316,C7292,C7268,C7244,C7220,C7196,C7172,C7148,C7124,C7100)/POBLA!$B$19*100000</f>
        <v>77.509009930595994</v>
      </c>
      <c r="H7412" s="256">
        <f t="shared" si="1046"/>
        <v>0.55492957746478877</v>
      </c>
      <c r="I7412" s="297">
        <f t="shared" si="1048"/>
        <v>43.012042130499751</v>
      </c>
      <c r="J7412" s="297">
        <f t="shared" si="1049"/>
        <v>30.571428571428573</v>
      </c>
      <c r="K7412" s="297">
        <f>J7412/POBLA!$B$19*100000</f>
        <v>6.0141146211557448</v>
      </c>
      <c r="L7412" s="549">
        <f t="shared" si="1047"/>
        <v>-0.18888888888888888</v>
      </c>
      <c r="M7412" s="401">
        <f>SUM(C7412,C7388,C7364,C7340,C7316,C7292,C7268)/POBLA!$B$19*100000</f>
        <v>42.09880234809021</v>
      </c>
    </row>
    <row r="7413" spans="1:13" s="360" customFormat="1" x14ac:dyDescent="0.25">
      <c r="A7413" s="361" t="s">
        <v>37</v>
      </c>
      <c r="B7413" s="29">
        <v>44201</v>
      </c>
      <c r="C7413" s="1">
        <v>528</v>
      </c>
      <c r="D7413" s="276">
        <f t="shared" si="1044"/>
        <v>25238</v>
      </c>
      <c r="E7413" s="1">
        <v>5</v>
      </c>
      <c r="F7413" s="39">
        <f t="shared" si="1045"/>
        <v>404</v>
      </c>
      <c r="G7413" s="168">
        <f>SUM(C7413,C7389,C7365,C7341,C7317,C7293,C7269,C7245,C7221,C7197,C7173,C7149,C7125,C7101)/POBLA!$B$20*100000</f>
        <v>1116.4950314193679</v>
      </c>
      <c r="H7413" s="256">
        <f t="shared" si="1046"/>
        <v>1.1662382176520993</v>
      </c>
      <c r="I7413" s="297">
        <f t="shared" si="1048"/>
        <v>1302.0991754599484</v>
      </c>
      <c r="J7413" s="297">
        <f t="shared" si="1049"/>
        <v>333.85714285714283</v>
      </c>
      <c r="K7413" s="297">
        <f>J7413/POBLA!$B$20*100000</f>
        <v>91.293127897101655</v>
      </c>
      <c r="L7413" s="549">
        <f t="shared" si="1047"/>
        <v>-0.33848797250859097</v>
      </c>
      <c r="M7413" s="401">
        <f>SUM(C7413,C7389,C7365,C7341,C7317,C7293,C7269)/POBLA!$B$20*100000</f>
        <v>639.05189527971163</v>
      </c>
    </row>
    <row r="7414" spans="1:13" s="360" customFormat="1" x14ac:dyDescent="0.25">
      <c r="A7414" s="361" t="s">
        <v>22</v>
      </c>
      <c r="B7414" s="29">
        <v>44201</v>
      </c>
      <c r="C7414" s="1">
        <v>1477</v>
      </c>
      <c r="D7414" s="276">
        <f t="shared" si="1044"/>
        <v>180334</v>
      </c>
      <c r="E7414" s="1">
        <v>42</v>
      </c>
      <c r="F7414" s="39">
        <f t="shared" si="1045"/>
        <v>3042</v>
      </c>
      <c r="G7414" s="168">
        <f>SUM(C7414,C7390,C7366,C7342,C7318,C7294,C7270,C7246,C7222,C7198,C7174,C7150,C7126,C7102)/POBLA!$B$21*100000</f>
        <v>329.76870946816808</v>
      </c>
      <c r="H7414" s="256">
        <f t="shared" si="1046"/>
        <v>0.87565700555638981</v>
      </c>
      <c r="I7414" s="297">
        <f t="shared" si="1048"/>
        <v>288.76428065909118</v>
      </c>
      <c r="J7414" s="297">
        <f t="shared" si="1049"/>
        <v>945.71428571428567</v>
      </c>
      <c r="K7414" s="297">
        <f>J7414/POBLA!$B$21*100000</f>
        <v>26.742152248808985</v>
      </c>
      <c r="L7414" s="549">
        <f t="shared" si="1047"/>
        <v>-0.31297104323681069</v>
      </c>
      <c r="M7414" s="401">
        <f>SUM(C7414,C7390,C7366,C7342,C7318,C7294,C7270)/POBLA!$B$21*100000</f>
        <v>187.19506574166289</v>
      </c>
    </row>
    <row r="7415" spans="1:13" s="360" customFormat="1" x14ac:dyDescent="0.25">
      <c r="A7415" s="361" t="s">
        <v>38</v>
      </c>
      <c r="B7415" s="29">
        <v>44201</v>
      </c>
      <c r="C7415" s="1">
        <v>118</v>
      </c>
      <c r="D7415" s="276">
        <f t="shared" si="1044"/>
        <v>17851</v>
      </c>
      <c r="E7415" s="1"/>
      <c r="F7415" s="39">
        <f t="shared" si="1045"/>
        <v>219</v>
      </c>
      <c r="G7415" s="168">
        <f>SUM(C7415,C7391,C7367,C7343,C7319,C7295,C7271,C7247,C7223,C7199,C7175,C7151,C7127,C7103)/POBLA!$B$22*100000</f>
        <v>104.05667715751503</v>
      </c>
      <c r="H7415" s="256">
        <f t="shared" si="1046"/>
        <v>1.7138047138047139</v>
      </c>
      <c r="I7415" s="297">
        <f t="shared" si="1048"/>
        <v>178.33282381540454</v>
      </c>
      <c r="J7415" s="297">
        <f t="shared" si="1049"/>
        <v>92</v>
      </c>
      <c r="K7415" s="297">
        <f>J7415/POBLA!$B$22*100000</f>
        <v>9.4039433187538144</v>
      </c>
      <c r="L7415" s="549">
        <f t="shared" si="1047"/>
        <v>-0.72192513368983957</v>
      </c>
      <c r="M7415" s="401">
        <f>SUM(C7415,C7391,C7367,C7343,C7319,C7295,C7271)/POBLA!$B$22*100000</f>
        <v>65.827603231276697</v>
      </c>
    </row>
    <row r="7416" spans="1:13" s="360" customFormat="1" x14ac:dyDescent="0.25">
      <c r="A7416" s="361" t="s">
        <v>39</v>
      </c>
      <c r="B7416" s="29">
        <v>44201</v>
      </c>
      <c r="C7416" s="1">
        <v>136</v>
      </c>
      <c r="D7416" s="276">
        <f t="shared" si="1044"/>
        <v>19668</v>
      </c>
      <c r="E7416" s="1">
        <v>1</v>
      </c>
      <c r="F7416" s="39">
        <f t="shared" si="1045"/>
        <v>255</v>
      </c>
      <c r="G7416" s="168">
        <f>SUM(C7416,C7392,C7368,C7344,C7320,C7296,C7272,C7248,C7224,C7200,C7176,C7152,C7128,C7104)/POBLA!$B$23*100000</f>
        <v>799.63807046315674</v>
      </c>
      <c r="H7416" s="256">
        <f t="shared" si="1046"/>
        <v>1.0591760299625468</v>
      </c>
      <c r="I7416" s="297">
        <f t="shared" si="1048"/>
        <v>846.95747688007759</v>
      </c>
      <c r="J7416" s="297">
        <f t="shared" si="1049"/>
        <v>101</v>
      </c>
      <c r="K7416" s="297">
        <f>J7416/POBLA!$B$23*100000</f>
        <v>57.11700503308262</v>
      </c>
      <c r="L7416" s="549">
        <f t="shared" si="1047"/>
        <v>0</v>
      </c>
      <c r="M7416" s="401">
        <f>SUM(C7416,C7392,C7368,C7344,C7320,C7296,C7272)/POBLA!$B$23*100000</f>
        <v>399.81903523157837</v>
      </c>
    </row>
    <row r="7417" spans="1:13" s="360" customFormat="1" ht="15.75" thickBot="1" x14ac:dyDescent="0.3">
      <c r="A7417" s="361" t="s">
        <v>40</v>
      </c>
      <c r="B7417" s="29">
        <v>44201</v>
      </c>
      <c r="C7417" s="1">
        <v>244</v>
      </c>
      <c r="D7417" s="276">
        <f t="shared" si="1044"/>
        <v>71830</v>
      </c>
      <c r="E7417" s="1">
        <v>5</v>
      </c>
      <c r="F7417" s="39">
        <f t="shared" si="1045"/>
        <v>1373</v>
      </c>
      <c r="G7417" s="177">
        <f>SUM(C7417,C7393,C7369,C7345,C7321,C7297,C7273,C7249,C7225,C7201,C7177,C7153,C7129,C7105)/POBLA!$B$24*100000</f>
        <v>106.98336417538427</v>
      </c>
      <c r="H7417" s="402">
        <f t="shared" si="1046"/>
        <v>0.70435120435120435</v>
      </c>
      <c r="I7417" s="403">
        <f t="shared" si="1048"/>
        <v>75.353861402475403</v>
      </c>
      <c r="J7417" s="403">
        <f t="shared" si="1049"/>
        <v>141</v>
      </c>
      <c r="K7417" s="403">
        <f>J7417/POBLA!$B$24*100000</f>
        <v>8.3202726689074353</v>
      </c>
      <c r="L7417" s="550">
        <f t="shared" si="1047"/>
        <v>-0.19491525423728806</v>
      </c>
      <c r="M7417" s="405">
        <f>SUM(C7417,C7393,C7369,C7345,C7321,C7297,C7273)/POBLA!$B$24*100000</f>
        <v>58.241908682352054</v>
      </c>
    </row>
    <row r="7418" spans="1:13" s="360" customFormat="1" x14ac:dyDescent="0.25">
      <c r="A7418" s="361" t="s">
        <v>16</v>
      </c>
      <c r="B7418" s="29">
        <v>44202</v>
      </c>
      <c r="C7418" s="1">
        <v>5251</v>
      </c>
      <c r="D7418" s="276">
        <f t="shared" si="1044"/>
        <v>704014</v>
      </c>
      <c r="E7418" s="1">
        <v>111</v>
      </c>
      <c r="F7418" s="39">
        <f t="shared" si="1045"/>
        <v>22689</v>
      </c>
      <c r="G7418" s="175">
        <f>SUM(C7418,C7394,C7370,C7346,C7322,C7298,C7274,C7250,C7226,C7202,C7178,C7154,C7130,C7106)/POBLA!$B$1*100000</f>
        <v>247.08768944962017</v>
      </c>
      <c r="H7418" s="300">
        <f t="shared" ref="H7418:H7441" si="1050">SUM(C7418,C7394,C7370,C7346,C7322,C7298,C7274,C7250,C7226,C7202,C7178,C7154,C7130,C7106)/SUM(C7082,C7058,C7034,C7010,C6986,C6962,C6938,C6914,C6890,C6866,C6842,C6818,C6794,C6770)</f>
        <v>1.4840101349037869</v>
      </c>
      <c r="I7418" s="301">
        <f>G7418*H7418</f>
        <v>366.68063535319584</v>
      </c>
      <c r="J7418" s="301">
        <f>AVERAGE(C7418,C7394,C7370,C7346,C7322,C7298,C7274)</f>
        <v>3424.7142857142858</v>
      </c>
      <c r="K7418" s="301">
        <f>J7418/POBLA!$B$1*100000</f>
        <v>19.523896910208325</v>
      </c>
      <c r="L7418" s="548">
        <f t="shared" ref="L7418:L7441" si="1051">1-SUM(C7418,C7394,C7370,C7346,C7322,C7298,C7274)/SUM(C7250,C7226,C7202,C7178,C7154,C7130,C7106)</f>
        <v>-0.23769941659352578</v>
      </c>
      <c r="M7418" s="400">
        <f>SUM(C7418,C7394,C7370,C7346,C7322,C7298,C7274)/POBLA!$B$1*100000</f>
        <v>136.66727837145828</v>
      </c>
    </row>
    <row r="7419" spans="1:13" s="360" customFormat="1" x14ac:dyDescent="0.25">
      <c r="A7419" s="361" t="s">
        <v>43</v>
      </c>
      <c r="B7419" s="29">
        <v>44202</v>
      </c>
      <c r="C7419" s="1">
        <v>1418</v>
      </c>
      <c r="D7419" s="276">
        <f t="shared" si="1044"/>
        <v>180433</v>
      </c>
      <c r="E7419" s="1">
        <v>27</v>
      </c>
      <c r="F7419" s="39">
        <f t="shared" si="1045"/>
        <v>5572</v>
      </c>
      <c r="G7419" s="168">
        <f>SUM(C7419,C7395,C7371,C7347,C7323,C7299,C7275,C7251,C7227,C7203,C7179,C7155,C7131,C7107)/POBLA!$B$2*100000</f>
        <v>404.95557681215593</v>
      </c>
      <c r="H7419" s="256">
        <f t="shared" si="1050"/>
        <v>1.8734957882069796</v>
      </c>
      <c r="I7419" s="297">
        <f t="shared" ref="I7419:I7441" si="1052">G7419*H7419</f>
        <v>758.68256756850212</v>
      </c>
      <c r="J7419" s="297">
        <f t="shared" ref="J7419:J7441" si="1053">AVERAGE(C7419,C7395,C7371,C7347,C7323,C7299,C7275)</f>
        <v>1024.4285714285713</v>
      </c>
      <c r="K7419" s="297">
        <f>J7419/POBLA!$B$2*100000</f>
        <v>33.307752954292248</v>
      </c>
      <c r="L7419" s="549">
        <f t="shared" si="1051"/>
        <v>-0.35711582134746411</v>
      </c>
      <c r="M7419" s="401">
        <f>SUM(C7419,C7395,C7371,C7347,C7323,C7299,C7275)/POBLA!$B$2*100000</f>
        <v>233.15427068004573</v>
      </c>
    </row>
    <row r="7420" spans="1:13" s="360" customFormat="1" x14ac:dyDescent="0.25">
      <c r="A7420" s="361" t="s">
        <v>28</v>
      </c>
      <c r="B7420" s="29">
        <v>44202</v>
      </c>
      <c r="C7420" s="1">
        <v>39</v>
      </c>
      <c r="D7420" s="276">
        <f t="shared" si="1044"/>
        <v>2969</v>
      </c>
      <c r="E7420" s="1"/>
      <c r="F7420" s="39">
        <f t="shared" si="1045"/>
        <v>17</v>
      </c>
      <c r="G7420" s="168">
        <f>SUM(C7420,C7396,C7372,C7348,C7324,C7300,C7276,C7252,C7228,C7204,C7180,C7156,C7132,C7108)/POBLA!$B$3*100000</f>
        <v>132.8718124004063</v>
      </c>
      <c r="H7420" s="256">
        <f t="shared" si="1050"/>
        <v>1.4263565891472869</v>
      </c>
      <c r="I7420" s="297">
        <f t="shared" si="1052"/>
        <v>189.5225851292617</v>
      </c>
      <c r="J7420" s="297">
        <f t="shared" si="1053"/>
        <v>40.571428571428569</v>
      </c>
      <c r="K7420" s="297">
        <f>J7420/POBLA!$B$3*100000</f>
        <v>9.7659406629698218</v>
      </c>
      <c r="L7420" s="549">
        <f t="shared" si="1051"/>
        <v>-5.9701492537313383E-2</v>
      </c>
      <c r="M7420" s="401">
        <f>SUM(C7420,C7396,C7372,C7348,C7324,C7300,C7276)/POBLA!$B$3*100000</f>
        <v>68.361584640788763</v>
      </c>
    </row>
    <row r="7421" spans="1:13" s="360" customFormat="1" x14ac:dyDescent="0.25">
      <c r="A7421" s="361" t="s">
        <v>15</v>
      </c>
      <c r="B7421" s="29">
        <v>44202</v>
      </c>
      <c r="C7421" s="1">
        <v>274</v>
      </c>
      <c r="D7421" s="276">
        <f t="shared" si="1044"/>
        <v>25897</v>
      </c>
      <c r="E7421" s="1">
        <v>3</v>
      </c>
      <c r="F7421" s="39">
        <f t="shared" si="1045"/>
        <v>719</v>
      </c>
      <c r="G7421" s="168">
        <f>SUM(C7421,C7397,C7373,C7349,C7325,C7301,C7277,C7253,C7229,C7205,C7181,C7157,C7133,C7109)/POBLA!$B$4*100000</f>
        <v>203.31395942520845</v>
      </c>
      <c r="H7421" s="256">
        <f t="shared" si="1050"/>
        <v>1.015339966832504</v>
      </c>
      <c r="I7421" s="297">
        <f t="shared" si="1052"/>
        <v>206.43278881937621</v>
      </c>
      <c r="J7421" s="297">
        <f t="shared" si="1053"/>
        <v>196.28571428571428</v>
      </c>
      <c r="K7421" s="297">
        <f>J7421/POBLA!$B$4*100000</f>
        <v>16.295478052280021</v>
      </c>
      <c r="L7421" s="549">
        <f t="shared" si="1051"/>
        <v>-0.27813953488372101</v>
      </c>
      <c r="M7421" s="401">
        <f>SUM(C7421,C7397,C7373,C7349,C7325,C7301,C7277)/POBLA!$B$4*100000</f>
        <v>114.06834636596014</v>
      </c>
    </row>
    <row r="7422" spans="1:13" s="360" customFormat="1" x14ac:dyDescent="0.25">
      <c r="A7422" s="361" t="s">
        <v>29</v>
      </c>
      <c r="B7422" s="29">
        <v>44202</v>
      </c>
      <c r="C7422" s="1">
        <v>486</v>
      </c>
      <c r="D7422" s="276">
        <f t="shared" si="1044"/>
        <v>33838</v>
      </c>
      <c r="E7422" s="1"/>
      <c r="F7422" s="39">
        <f t="shared" si="1045"/>
        <v>496</v>
      </c>
      <c r="G7422" s="168">
        <f>SUM(C7422,C7398,C7374,C7350,C7326,C7302,C7278,C7254,C7230,C7206,C7182,C7158,C7134,C7110)/POBLA!$B$5*100000</f>
        <v>747.1801019072883</v>
      </c>
      <c r="H7422" s="256">
        <f t="shared" si="1050"/>
        <v>1.1072540100550634</v>
      </c>
      <c r="I7422" s="297">
        <f t="shared" si="1052"/>
        <v>827.31816407019596</v>
      </c>
      <c r="J7422" s="297">
        <f t="shared" si="1053"/>
        <v>337.42857142857144</v>
      </c>
      <c r="K7422" s="297">
        <f>J7422/POBLA!$B$5*100000</f>
        <v>54.512413921390419</v>
      </c>
      <c r="L7422" s="549">
        <f t="shared" si="1051"/>
        <v>-4.3747238179407955E-2</v>
      </c>
      <c r="M7422" s="401">
        <f>SUM(C7422,C7398,C7374,C7350,C7326,C7302,C7278)/POBLA!$B$5*100000</f>
        <v>381.58689744973299</v>
      </c>
    </row>
    <row r="7423" spans="1:13" s="360" customFormat="1" x14ac:dyDescent="0.25">
      <c r="A7423" s="361" t="s">
        <v>20</v>
      </c>
      <c r="B7423" s="29">
        <v>44202</v>
      </c>
      <c r="C7423" s="1">
        <v>914</v>
      </c>
      <c r="D7423" s="276">
        <f t="shared" si="1044"/>
        <v>130503</v>
      </c>
      <c r="E7423" s="1">
        <v>5</v>
      </c>
      <c r="F7423" s="39">
        <f t="shared" si="1045"/>
        <v>2497</v>
      </c>
      <c r="G7423" s="168">
        <f>SUM(C7423,C7399,C7375,C7351,C7327,C7303,C7279,C7255,C7231,C7207,C7183,C7159,C7135,C7111)/POBLA!$B$6*100000</f>
        <v>590.47056524753282</v>
      </c>
      <c r="H7423" s="256">
        <f t="shared" si="1050"/>
        <v>1.1639113612381287</v>
      </c>
      <c r="I7423" s="297">
        <f t="shared" si="1052"/>
        <v>687.25539936830319</v>
      </c>
      <c r="J7423" s="297">
        <f t="shared" si="1053"/>
        <v>512.28571428571433</v>
      </c>
      <c r="K7423" s="297">
        <f>J7423/POBLA!$B$6*100000</f>
        <v>45.707107174753979</v>
      </c>
      <c r="L7423" s="549">
        <f t="shared" si="1051"/>
        <v>-0.18271767810026396</v>
      </c>
      <c r="M7423" s="401">
        <f>SUM(C7423,C7399,C7375,C7351,C7327,C7303,C7279)/POBLA!$B$6*100000</f>
        <v>319.94975022327782</v>
      </c>
    </row>
    <row r="7424" spans="1:13" s="360" customFormat="1" x14ac:dyDescent="0.25">
      <c r="A7424" s="361" t="s">
        <v>30</v>
      </c>
      <c r="B7424" s="29">
        <v>44202</v>
      </c>
      <c r="C7424" s="1">
        <v>205</v>
      </c>
      <c r="D7424" s="276">
        <f t="shared" si="1044"/>
        <v>12840</v>
      </c>
      <c r="E7424" s="1">
        <v>1</v>
      </c>
      <c r="F7424" s="39">
        <f t="shared" si="1045"/>
        <v>170</v>
      </c>
      <c r="G7424" s="168">
        <f>SUM(C7424,C7400,C7376,C7352,C7328,C7304,C7280,C7256,C7232,C7208,C7184,C7160,C7136,C7112)/POBLA!$B$7*100000</f>
        <v>48.052759643127821</v>
      </c>
      <c r="H7424" s="256">
        <f t="shared" si="1050"/>
        <v>0.91124558749369644</v>
      </c>
      <c r="I7424" s="297">
        <f t="shared" si="1052"/>
        <v>43.787865191695396</v>
      </c>
      <c r="J7424" s="297">
        <f t="shared" si="1053"/>
        <v>134.28571428571428</v>
      </c>
      <c r="K7424" s="297">
        <f>J7424/POBLA!$B$7*100000</f>
        <v>3.5710011909668866</v>
      </c>
      <c r="L7424" s="549">
        <f t="shared" si="1051"/>
        <v>-8.4198385236447626E-2</v>
      </c>
      <c r="M7424" s="401">
        <f>SUM(C7424,C7400,C7376,C7352,C7328,C7304,C7280)/POBLA!$B$7*100000</f>
        <v>24.997008336768207</v>
      </c>
    </row>
    <row r="7425" spans="1:13" x14ac:dyDescent="0.25">
      <c r="A7425" s="361" t="s">
        <v>31</v>
      </c>
      <c r="B7425" s="29">
        <v>44202</v>
      </c>
      <c r="C7425" s="1">
        <v>534</v>
      </c>
      <c r="D7425" s="276">
        <f t="shared" si="1044"/>
        <v>31501</v>
      </c>
      <c r="E7425" s="1">
        <v>6</v>
      </c>
      <c r="F7425" s="39">
        <f t="shared" si="1045"/>
        <v>599</v>
      </c>
      <c r="G7425" s="168">
        <f>SUM(C7425,C7401,C7377,C7353,C7329,C7305,C7281,C7257,C7233,C7209,C7185,C7161,C7137,C7113)/POBLA!$B$8*100000</f>
        <v>294.38057780846646</v>
      </c>
      <c r="H7425" s="256">
        <f t="shared" si="1050"/>
        <v>1.5656178050652341</v>
      </c>
      <c r="I7425" s="297">
        <f t="shared" si="1052"/>
        <v>460.88747408232661</v>
      </c>
      <c r="J7425" s="297">
        <f t="shared" si="1053"/>
        <v>357</v>
      </c>
      <c r="K7425" s="297">
        <f>J7425/POBLA!$B$8*100000</f>
        <v>25.758300558240816</v>
      </c>
      <c r="L7425" s="549">
        <f t="shared" si="1051"/>
        <v>-0.58064516129032251</v>
      </c>
      <c r="M7425" s="401">
        <f>SUM(C7425,C7401,C7377,C7353,C7329,C7305,C7281)/POBLA!$B$8*100000</f>
        <v>180.30810390768573</v>
      </c>
    </row>
    <row r="7426" spans="1:13" s="360" customFormat="1" x14ac:dyDescent="0.25">
      <c r="A7426" s="361" t="s">
        <v>41</v>
      </c>
      <c r="B7426" s="29">
        <v>44202</v>
      </c>
      <c r="C7426" s="1">
        <v>7</v>
      </c>
      <c r="D7426" s="276">
        <f t="shared" si="1044"/>
        <v>233</v>
      </c>
      <c r="E7426" s="1"/>
      <c r="F7426" s="39">
        <f t="shared" si="1045"/>
        <v>3</v>
      </c>
      <c r="G7426" s="168">
        <f>SUM(C7426,C7402,C7378,C7354,C7330,C7306,C7282,C7258,C7234,C7210,C7186,C7162,C7138,C7114)/POBLA!$B$9*100000</f>
        <v>3.4699674318771034</v>
      </c>
      <c r="H7426" s="256">
        <f t="shared" si="1050"/>
        <v>1.4</v>
      </c>
      <c r="I7426" s="297">
        <f t="shared" si="1052"/>
        <v>4.8579544046279448</v>
      </c>
      <c r="J7426" s="297">
        <f t="shared" si="1053"/>
        <v>3</v>
      </c>
      <c r="K7426" s="297">
        <f>J7426/POBLA!$B$9*100000</f>
        <v>0.49570963312530053</v>
      </c>
      <c r="L7426" s="549" t="e">
        <f t="shared" si="1051"/>
        <v>#DIV/0!</v>
      </c>
      <c r="M7426" s="401">
        <f>SUM(C7426,C7402,C7378,C7354,C7330,C7306,C7282)/POBLA!$B$9*100000</f>
        <v>3.4699674318771034</v>
      </c>
    </row>
    <row r="7427" spans="1:13" s="360" customFormat="1" x14ac:dyDescent="0.25">
      <c r="A7427" s="361" t="s">
        <v>32</v>
      </c>
      <c r="B7427" s="29">
        <v>44202</v>
      </c>
      <c r="C7427" s="1">
        <v>14</v>
      </c>
      <c r="D7427" s="276">
        <f t="shared" si="1044"/>
        <v>18602</v>
      </c>
      <c r="E7427" s="1"/>
      <c r="F7427" s="39">
        <f t="shared" si="1045"/>
        <v>859</v>
      </c>
      <c r="G7427" s="168">
        <f>SUM(C7427,C7403,C7379,C7355,C7331,C7307,C7283,C7259,C7235,C7211,C7187,C7163,C7139,C7115)/POBLA!$B$10*100000</f>
        <v>14.399109590196153</v>
      </c>
      <c r="H7427" s="256">
        <f t="shared" si="1050"/>
        <v>1.7903225806451613</v>
      </c>
      <c r="I7427" s="297">
        <f t="shared" si="1052"/>
        <v>25.779051040512467</v>
      </c>
      <c r="J7427" s="297">
        <f t="shared" si="1053"/>
        <v>8.1428571428571423</v>
      </c>
      <c r="K7427" s="297">
        <f>J7427/POBLA!$B$10*100000</f>
        <v>1.0563053367325361</v>
      </c>
      <c r="L7427" s="549">
        <f t="shared" si="1051"/>
        <v>-5.555555555555558E-2</v>
      </c>
      <c r="M7427" s="401">
        <f>SUM(C7427,C7403,C7379,C7355,C7331,C7307,C7283)/POBLA!$B$10*100000</f>
        <v>7.3941373571277538</v>
      </c>
    </row>
    <row r="7428" spans="1:13" s="360" customFormat="1" x14ac:dyDescent="0.25">
      <c r="A7428" s="361" t="s">
        <v>33</v>
      </c>
      <c r="B7428" s="29">
        <v>44202</v>
      </c>
      <c r="C7428" s="1">
        <v>402</v>
      </c>
      <c r="D7428" s="276">
        <f t="shared" si="1044"/>
        <v>12341</v>
      </c>
      <c r="E7428" s="1"/>
      <c r="F7428" s="39">
        <f t="shared" si="1045"/>
        <v>137</v>
      </c>
      <c r="G7428" s="168">
        <f>SUM(C7428,C7404,C7380,C7356,C7332,C7308,C7284,C7260,C7236,C7212,C7188,C7164,C7140,C7116)/POBLA!$B$11*100000</f>
        <v>954.72451928978762</v>
      </c>
      <c r="H7428" s="256">
        <f t="shared" si="1050"/>
        <v>1.4282136894824708</v>
      </c>
      <c r="I7428" s="297">
        <f t="shared" si="1052"/>
        <v>1363.5506281342459</v>
      </c>
      <c r="J7428" s="297">
        <f t="shared" si="1053"/>
        <v>256</v>
      </c>
      <c r="K7428" s="297">
        <f>J7428/POBLA!$B$11*100000</f>
        <v>71.422991507359924</v>
      </c>
      <c r="L7428" s="549">
        <f t="shared" si="1051"/>
        <v>-9.9386503067484755E-2</v>
      </c>
      <c r="M7428" s="401">
        <f>SUM(C7428,C7404,C7380,C7356,C7332,C7308,C7284)/POBLA!$B$11*100000</f>
        <v>499.9609405515194</v>
      </c>
    </row>
    <row r="7429" spans="1:13" s="360" customFormat="1" x14ac:dyDescent="0.25">
      <c r="A7429" s="361" t="s">
        <v>21</v>
      </c>
      <c r="B7429" s="29">
        <v>44202</v>
      </c>
      <c r="C7429" s="1">
        <v>9</v>
      </c>
      <c r="D7429" s="276">
        <f t="shared" si="1044"/>
        <v>9146</v>
      </c>
      <c r="E7429" s="1"/>
      <c r="F7429" s="39">
        <f t="shared" si="1045"/>
        <v>398</v>
      </c>
      <c r="G7429" s="168">
        <f>SUM(C7429,C7405,C7381,C7357,C7333,C7309,C7285,C7261,C7237,C7213,C7189,C7165,C7141,C7117)/POBLA!$B$12*100000</f>
        <v>26.935616253865643</v>
      </c>
      <c r="H7429" s="256">
        <f t="shared" si="1050"/>
        <v>0.72108843537414968</v>
      </c>
      <c r="I7429" s="297">
        <f t="shared" si="1052"/>
        <v>19.422961380338492</v>
      </c>
      <c r="J7429" s="297">
        <f t="shared" si="1053"/>
        <v>8.7142857142857135</v>
      </c>
      <c r="K7429" s="297">
        <f>J7429/POBLA!$B$12*100000</f>
        <v>2.2143835464768249</v>
      </c>
      <c r="L7429" s="549">
        <f t="shared" si="1051"/>
        <v>-0.35555555555555562</v>
      </c>
      <c r="M7429" s="401">
        <f>SUM(C7429,C7405,C7381,C7357,C7333,C7309,C7285)/POBLA!$B$12*100000</f>
        <v>15.500684825337776</v>
      </c>
    </row>
    <row r="7430" spans="1:13" s="360" customFormat="1" x14ac:dyDescent="0.25">
      <c r="A7430" s="361" t="s">
        <v>17</v>
      </c>
      <c r="B7430" s="29">
        <v>44202</v>
      </c>
      <c r="C7430" s="1">
        <v>157</v>
      </c>
      <c r="D7430" s="276">
        <f t="shared" si="1044"/>
        <v>60711</v>
      </c>
      <c r="E7430" s="1">
        <v>2</v>
      </c>
      <c r="F7430" s="39">
        <f t="shared" si="1045"/>
        <v>1238</v>
      </c>
      <c r="G7430" s="168">
        <f>SUM(C7430,C7406,C7382,C7358,C7334,C7310,C7286,C7262,C7238,C7214,C7190,C7166,C7142,C7118)/POBLA!$B$13*100000</f>
        <v>67.275005551820854</v>
      </c>
      <c r="H7430" s="256">
        <f t="shared" si="1050"/>
        <v>0.82046568627450978</v>
      </c>
      <c r="I7430" s="297">
        <f t="shared" si="1052"/>
        <v>55.196833599196154</v>
      </c>
      <c r="J7430" s="297">
        <f t="shared" si="1053"/>
        <v>99.285714285714292</v>
      </c>
      <c r="K7430" s="297">
        <f>J7430/POBLA!$B$13*100000</f>
        <v>4.9883846002897139</v>
      </c>
      <c r="L7430" s="549">
        <f t="shared" si="1051"/>
        <v>-7.9192546583850998E-2</v>
      </c>
      <c r="M7430" s="401">
        <f>SUM(C7430,C7406,C7382,C7358,C7334,C7310,C7286)/POBLA!$B$13*100000</f>
        <v>34.918692202027998</v>
      </c>
    </row>
    <row r="7431" spans="1:13" s="360" customFormat="1" x14ac:dyDescent="0.25">
      <c r="A7431" s="361" t="s">
        <v>23</v>
      </c>
      <c r="B7431" s="29">
        <v>44202</v>
      </c>
      <c r="C7431" s="1">
        <v>4</v>
      </c>
      <c r="D7431" s="276">
        <f t="shared" si="1044"/>
        <v>1166</v>
      </c>
      <c r="E7431" s="1"/>
      <c r="F7431" s="39">
        <f t="shared" si="1045"/>
        <v>12</v>
      </c>
      <c r="G7431" s="168">
        <f>SUM(C7431,C7407,C7383,C7359,C7335,C7311,C7287,C7263,C7239,C7215,C7191,C7167,C7143,C7119)/POBLA!$B$14*100000</f>
        <v>21.406587203300738</v>
      </c>
      <c r="H7431" s="256">
        <f t="shared" si="1050"/>
        <v>0.9375</v>
      </c>
      <c r="I7431" s="297">
        <f t="shared" si="1052"/>
        <v>20.068675503094443</v>
      </c>
      <c r="J7431" s="297">
        <f t="shared" si="1053"/>
        <v>12.857142857142858</v>
      </c>
      <c r="K7431" s="297">
        <f>J7431/POBLA!$B$14*100000</f>
        <v>1.0193612953952731</v>
      </c>
      <c r="L7431" s="549">
        <f t="shared" si="1051"/>
        <v>0.5</v>
      </c>
      <c r="M7431" s="401">
        <f>SUM(C7431,C7407,C7383,C7359,C7335,C7311,C7287)/POBLA!$B$14*100000</f>
        <v>7.1355290677669121</v>
      </c>
    </row>
    <row r="7432" spans="1:13" s="360" customFormat="1" x14ac:dyDescent="0.25">
      <c r="A7432" s="361" t="s">
        <v>19</v>
      </c>
      <c r="B7432" s="29">
        <v>44202</v>
      </c>
      <c r="C7432" s="1">
        <v>568</v>
      </c>
      <c r="D7432" s="276">
        <f t="shared" si="1044"/>
        <v>43472</v>
      </c>
      <c r="E7432" s="1"/>
      <c r="F7432" s="39">
        <f t="shared" si="1045"/>
        <v>715</v>
      </c>
      <c r="G7432" s="168">
        <f>SUM(C7432,C7408,C7384,C7360,C7336,C7312,C7288,C7264,C7240,C7216,C7192,C7168,C7144,C7120)/POBLA!$B$15*100000</f>
        <v>691.95867222241463</v>
      </c>
      <c r="H7432" s="256">
        <f t="shared" si="1050"/>
        <v>1.6782322863403945</v>
      </c>
      <c r="I7432" s="297">
        <f t="shared" si="1052"/>
        <v>1161.2673845368865</v>
      </c>
      <c r="J7432" s="297">
        <f t="shared" si="1053"/>
        <v>403.57142857142856</v>
      </c>
      <c r="K7432" s="297">
        <f>J7432/POBLA!$B$15*100000</f>
        <v>60.773612592206476</v>
      </c>
      <c r="L7432" s="549">
        <f t="shared" si="1051"/>
        <v>-0.59604519774011289</v>
      </c>
      <c r="M7432" s="401">
        <f>SUM(C7432,C7408,C7384,C7360,C7336,C7312,C7288)/POBLA!$B$15*100000</f>
        <v>425.41528814544534</v>
      </c>
    </row>
    <row r="7433" spans="1:13" s="360" customFormat="1" x14ac:dyDescent="0.25">
      <c r="A7433" s="361" t="s">
        <v>18</v>
      </c>
      <c r="B7433" s="29">
        <v>44202</v>
      </c>
      <c r="C7433" s="1">
        <v>381</v>
      </c>
      <c r="D7433" s="276">
        <f t="shared" si="1044"/>
        <v>40125</v>
      </c>
      <c r="E7433" s="1">
        <v>5</v>
      </c>
      <c r="F7433" s="39">
        <f t="shared" si="1045"/>
        <v>935</v>
      </c>
      <c r="G7433" s="168">
        <f>SUM(C7433,C7409,C7385,C7361,C7337,C7313,C7289,C7265,C7241,C7217,C7193,C7169,C7145,C7121)/POBLA!$B$16*100000</f>
        <v>467.75725311325419</v>
      </c>
      <c r="H7433" s="256">
        <f t="shared" si="1050"/>
        <v>1.0309551886792452</v>
      </c>
      <c r="I7433" s="297">
        <f t="shared" si="1052"/>
        <v>482.23676713946043</v>
      </c>
      <c r="J7433" s="297">
        <f t="shared" si="1053"/>
        <v>258.71428571428572</v>
      </c>
      <c r="K7433" s="297">
        <f>J7433/POBLA!$B$16*100000</f>
        <v>34.605514334249904</v>
      </c>
      <c r="L7433" s="549">
        <f t="shared" si="1051"/>
        <v>-7.413997627520752E-2</v>
      </c>
      <c r="M7433" s="401">
        <f>SUM(C7433,C7409,C7385,C7361,C7337,C7313,C7289)/POBLA!$B$16*100000</f>
        <v>242.23860033974935</v>
      </c>
    </row>
    <row r="7434" spans="1:13" s="360" customFormat="1" x14ac:dyDescent="0.25">
      <c r="A7434" s="361" t="s">
        <v>34</v>
      </c>
      <c r="B7434" s="29">
        <v>44202</v>
      </c>
      <c r="C7434" s="1">
        <v>50</v>
      </c>
      <c r="D7434" s="276">
        <f t="shared" si="1044"/>
        <v>22509</v>
      </c>
      <c r="E7434" s="1"/>
      <c r="F7434" s="39">
        <f t="shared" si="1045"/>
        <v>1022</v>
      </c>
      <c r="G7434" s="168">
        <f>SUM(C7434,C7410,C7386,C7362,C7338,C7314,C7290,C7266,C7242,C7218,C7194,C7170,C7146,C7122)/POBLA!$B$17*100000</f>
        <v>31.030674734642098</v>
      </c>
      <c r="H7434" s="256">
        <f t="shared" si="1050"/>
        <v>0.71986970684039087</v>
      </c>
      <c r="I7434" s="297">
        <f t="shared" si="1052"/>
        <v>22.338042724286332</v>
      </c>
      <c r="J7434" s="297">
        <f t="shared" si="1053"/>
        <v>28.714285714285715</v>
      </c>
      <c r="K7434" s="297">
        <f>J7434/POBLA!$B$17*100000</f>
        <v>2.0158906340216749</v>
      </c>
      <c r="L7434" s="549">
        <f t="shared" si="1051"/>
        <v>0.1659751037344398</v>
      </c>
      <c r="M7434" s="401">
        <f>SUM(C7434,C7410,C7386,C7362,C7338,C7314,C7290)/POBLA!$B$17*100000</f>
        <v>14.111234438151724</v>
      </c>
    </row>
    <row r="7435" spans="1:13" s="360" customFormat="1" x14ac:dyDescent="0.25">
      <c r="A7435" s="361" t="s">
        <v>35</v>
      </c>
      <c r="B7435" s="29">
        <v>44202</v>
      </c>
      <c r="C7435" s="1">
        <v>113</v>
      </c>
      <c r="D7435" s="276">
        <f t="shared" si="1044"/>
        <v>12000</v>
      </c>
      <c r="E7435" s="1">
        <v>2</v>
      </c>
      <c r="F7435" s="39">
        <f t="shared" si="1045"/>
        <v>206</v>
      </c>
      <c r="G7435" s="168">
        <f>SUM(C7435,C7411,C7387,C7363,C7339,C7315,C7291,C7267,C7243,C7219,C7195,C7171,C7147,C7123)/POBLA!$B$18*100000</f>
        <v>152.07042345468673</v>
      </c>
      <c r="H7435" s="256">
        <f t="shared" si="1050"/>
        <v>0.5913389746142359</v>
      </c>
      <c r="I7435" s="297">
        <f t="shared" si="1052"/>
        <v>89.925168274847096</v>
      </c>
      <c r="J7435" s="297">
        <f t="shared" si="1053"/>
        <v>71</v>
      </c>
      <c r="K7435" s="297">
        <f>J7435/POBLA!$B$18*100000</f>
        <v>9.0883838933356547</v>
      </c>
      <c r="L7435" s="549">
        <f t="shared" si="1051"/>
        <v>0.28075253256150512</v>
      </c>
      <c r="M7435" s="401">
        <f>SUM(C7435,C7411,C7387,C7363,C7339,C7315,C7291)/POBLA!$B$18*100000</f>
        <v>63.618687253349584</v>
      </c>
    </row>
    <row r="7436" spans="1:13" s="360" customFormat="1" x14ac:dyDescent="0.25">
      <c r="A7436" s="361" t="s">
        <v>36</v>
      </c>
      <c r="B7436" s="29">
        <v>44202</v>
      </c>
      <c r="C7436" s="1">
        <v>62</v>
      </c>
      <c r="D7436" s="276">
        <f t="shared" si="1044"/>
        <v>16397</v>
      </c>
      <c r="E7436" s="1"/>
      <c r="F7436" s="39">
        <f t="shared" si="1045"/>
        <v>308</v>
      </c>
      <c r="G7436" s="168">
        <f>SUM(C7436,C7412,C7388,C7364,C7340,C7316,C7292,C7268,C7244,C7220,C7196,C7172,C7148,C7124)/POBLA!$B$19*100000</f>
        <v>85.377944948930619</v>
      </c>
      <c r="H7436" s="256">
        <f t="shared" si="1050"/>
        <v>0.64201183431952658</v>
      </c>
      <c r="I7436" s="297">
        <f t="shared" si="1052"/>
        <v>54.813651047094503</v>
      </c>
      <c r="J7436" s="297">
        <f t="shared" si="1053"/>
        <v>34</v>
      </c>
      <c r="K7436" s="297">
        <f>J7436/POBLA!$B$19*100000</f>
        <v>6.6885947655844253</v>
      </c>
      <c r="L7436" s="549">
        <f t="shared" si="1051"/>
        <v>-0.21428571428571419</v>
      </c>
      <c r="M7436" s="401">
        <f>SUM(C7436,C7412,C7388,C7364,C7340,C7316,C7292)/POBLA!$B$19*100000</f>
        <v>46.820163359090976</v>
      </c>
    </row>
    <row r="7437" spans="1:13" s="360" customFormat="1" x14ac:dyDescent="0.25">
      <c r="A7437" s="361" t="s">
        <v>37</v>
      </c>
      <c r="B7437" s="29">
        <v>44202</v>
      </c>
      <c r="C7437" s="1">
        <v>461</v>
      </c>
      <c r="D7437" s="276">
        <f t="shared" si="1044"/>
        <v>25699</v>
      </c>
      <c r="E7437" s="1">
        <v>7</v>
      </c>
      <c r="F7437" s="39">
        <f t="shared" si="1045"/>
        <v>411</v>
      </c>
      <c r="G7437" s="168">
        <f>SUM(C7437,C7413,C7389,C7365,C7341,C7317,C7293,C7269,C7245,C7221,C7197,C7173,C7149,C7125)/POBLA!$B$20*100000</f>
        <v>1160.2469797483168</v>
      </c>
      <c r="H7437" s="256">
        <f t="shared" si="1050"/>
        <v>1.1570766293973276</v>
      </c>
      <c r="I7437" s="297">
        <f t="shared" si="1052"/>
        <v>1342.4946645956118</v>
      </c>
      <c r="J7437" s="297">
        <f t="shared" si="1053"/>
        <v>337.71428571428572</v>
      </c>
      <c r="K7437" s="297">
        <f>J7437/POBLA!$B$20*100000</f>
        <v>92.347862365745982</v>
      </c>
      <c r="L7437" s="549">
        <f t="shared" si="1051"/>
        <v>-0.25811601915912719</v>
      </c>
      <c r="M7437" s="401">
        <f>SUM(C7437,C7413,C7389,C7365,C7341,C7317,C7293)/POBLA!$B$20*100000</f>
        <v>646.43503656022187</v>
      </c>
    </row>
    <row r="7438" spans="1:13" s="360" customFormat="1" x14ac:dyDescent="0.25">
      <c r="A7438" s="361" t="s">
        <v>22</v>
      </c>
      <c r="B7438" s="29">
        <v>44202</v>
      </c>
      <c r="C7438" s="1">
        <v>1511</v>
      </c>
      <c r="D7438" s="276">
        <f t="shared" si="1044"/>
        <v>181845</v>
      </c>
      <c r="E7438" s="1">
        <v>18</v>
      </c>
      <c r="F7438" s="39">
        <f t="shared" si="1045"/>
        <v>3060</v>
      </c>
      <c r="G7438" s="168">
        <f>SUM(C7438,C7414,C7390,C7366,C7342,C7318,C7294,C7270,C7246,C7222,C7198,C7174,C7150,C7126)/POBLA!$B$21*100000</f>
        <v>344.13352720181831</v>
      </c>
      <c r="H7438" s="256">
        <f t="shared" si="1050"/>
        <v>0.91332082551594751</v>
      </c>
      <c r="I7438" s="297">
        <f t="shared" si="1052"/>
        <v>314.30431715167947</v>
      </c>
      <c r="J7438" s="297">
        <f t="shared" si="1053"/>
        <v>974.85714285714289</v>
      </c>
      <c r="K7438" s="297">
        <f>J7438/POBLA!$B$21*100000</f>
        <v>27.566230656476211</v>
      </c>
      <c r="L7438" s="549">
        <f t="shared" si="1051"/>
        <v>-0.27646838757949865</v>
      </c>
      <c r="M7438" s="401">
        <f>SUM(C7438,C7414,C7390,C7366,C7342,C7318,C7294)/POBLA!$B$21*100000</f>
        <v>192.96361459533347</v>
      </c>
    </row>
    <row r="7439" spans="1:13" s="360" customFormat="1" x14ac:dyDescent="0.25">
      <c r="A7439" s="361" t="s">
        <v>38</v>
      </c>
      <c r="B7439" s="29">
        <v>44202</v>
      </c>
      <c r="C7439" s="1">
        <v>181</v>
      </c>
      <c r="D7439" s="276">
        <f t="shared" si="1044"/>
        <v>18032</v>
      </c>
      <c r="E7439" s="1"/>
      <c r="F7439" s="39">
        <f t="shared" si="1045"/>
        <v>219</v>
      </c>
      <c r="G7439" s="168">
        <f>SUM(C7439,C7415,C7391,C7367,C7343,C7319,C7295,C7271,C7247,C7223,C7199,C7175,C7151,C7127)/POBLA!$B$22*100000</f>
        <v>117.54929148442268</v>
      </c>
      <c r="H7439" s="256">
        <f t="shared" si="1050"/>
        <v>1.959114139693356</v>
      </c>
      <c r="I7439" s="297">
        <f t="shared" si="1052"/>
        <v>230.2924790580683</v>
      </c>
      <c r="J7439" s="297">
        <f t="shared" si="1053"/>
        <v>100.28571428571429</v>
      </c>
      <c r="K7439" s="297">
        <f>J7439/POBLA!$B$22*100000</f>
        <v>10.250882313299966</v>
      </c>
      <c r="L7439" s="549">
        <f t="shared" si="1051"/>
        <v>-0.56696428571428581</v>
      </c>
      <c r="M7439" s="401">
        <f>SUM(C7439,C7415,C7391,C7367,C7343,C7319,C7295)/POBLA!$B$22*100000</f>
        <v>71.756176193099762</v>
      </c>
    </row>
    <row r="7440" spans="1:13" s="360" customFormat="1" x14ac:dyDescent="0.25">
      <c r="A7440" s="361" t="s">
        <v>39</v>
      </c>
      <c r="B7440" s="29">
        <v>44202</v>
      </c>
      <c r="C7440" s="1">
        <v>171</v>
      </c>
      <c r="D7440" s="276">
        <f t="shared" si="1044"/>
        <v>19839</v>
      </c>
      <c r="E7440" s="1">
        <v>4</v>
      </c>
      <c r="F7440" s="39">
        <f t="shared" si="1045"/>
        <v>259</v>
      </c>
      <c r="G7440" s="168">
        <f>SUM(C7440,C7416,C7392,C7368,C7344,C7320,C7296,C7272,C7248,C7224,C7200,C7176,C7152,C7128)/POBLA!$B$23*100000</f>
        <v>833.56896454221567</v>
      </c>
      <c r="H7440" s="256">
        <f t="shared" si="1050"/>
        <v>1.0862196020633752</v>
      </c>
      <c r="I7440" s="297">
        <f t="shared" si="1052"/>
        <v>905.43894895742517</v>
      </c>
      <c r="J7440" s="297">
        <f t="shared" si="1053"/>
        <v>115.85714285714286</v>
      </c>
      <c r="K7440" s="297">
        <f>J7440/POBLA!$B$23*100000</f>
        <v>65.518940709801996</v>
      </c>
      <c r="L7440" s="549">
        <f t="shared" si="1051"/>
        <v>-0.22322775263951744</v>
      </c>
      <c r="M7440" s="401">
        <f>SUM(C7440,C7416,C7392,C7368,C7344,C7320,C7296)/POBLA!$B$23*100000</f>
        <v>458.63258496861397</v>
      </c>
    </row>
    <row r="7441" spans="1:13" s="360" customFormat="1" ht="15.75" thickBot="1" x14ac:dyDescent="0.3">
      <c r="A7441" s="361" t="s">
        <v>40</v>
      </c>
      <c r="B7441" s="29">
        <v>44202</v>
      </c>
      <c r="C7441" s="1">
        <v>229</v>
      </c>
      <c r="D7441" s="276">
        <f t="shared" si="1044"/>
        <v>72059</v>
      </c>
      <c r="E7441" s="1"/>
      <c r="F7441" s="39">
        <f t="shared" si="1045"/>
        <v>1373</v>
      </c>
      <c r="G7441" s="177">
        <f>SUM(C7441,C7417,C7393,C7369,C7345,C7321,C7297,C7273,C7249,C7225,C7201,C7177,C7153,C7129)/POBLA!$B$24*100000</f>
        <v>113.06129385550814</v>
      </c>
      <c r="H7441" s="402">
        <f t="shared" si="1050"/>
        <v>0.75641531780497429</v>
      </c>
      <c r="I7441" s="403">
        <f t="shared" si="1052"/>
        <v>85.521294523155774</v>
      </c>
      <c r="J7441" s="403">
        <f t="shared" si="1053"/>
        <v>152.14285714285714</v>
      </c>
      <c r="K7441" s="403">
        <f>J7441/POBLA!$B$24*100000</f>
        <v>8.9778018159943453</v>
      </c>
      <c r="L7441" s="550">
        <f t="shared" si="1051"/>
        <v>-0.25146886016451231</v>
      </c>
      <c r="M7441" s="405">
        <f>SUM(C7441,C7417,C7393,C7369,C7345,C7321,C7297)/POBLA!$B$24*100000</f>
        <v>62.844612711960416</v>
      </c>
    </row>
    <row r="7442" spans="1:13" s="360" customFormat="1" x14ac:dyDescent="0.25">
      <c r="A7442" s="361" t="s">
        <v>16</v>
      </c>
      <c r="B7442" s="29">
        <v>44203</v>
      </c>
      <c r="C7442" s="1">
        <v>5319</v>
      </c>
      <c r="D7442" s="276">
        <f t="shared" si="1044"/>
        <v>709333</v>
      </c>
      <c r="E7442" s="1">
        <v>43</v>
      </c>
      <c r="F7442" s="39">
        <f t="shared" si="1045"/>
        <v>22732</v>
      </c>
      <c r="G7442" s="175">
        <f>SUM(C7442,C7418,C7394,C7370,C7346,C7322,C7298,C7274,C7250,C7226,C7202,C7178,C7154,C7130)/POBLA!$B$1*100000</f>
        <v>261.00924677590814</v>
      </c>
      <c r="H7442" s="300">
        <f t="shared" ref="H7442:H7465" si="1054">SUM(C7442,C7418,C7394,C7370,C7346,C7322,C7298,C7274,C7250,C7226,C7202,C7178,C7154,C7130)/SUM(C7106,C7082,C7058,C7034,C7010,C6986,C6962,C6938,C6914,C6890,C6866,C6842,C6818,C6794)</f>
        <v>1.5171819597706864</v>
      </c>
      <c r="I7442" s="301">
        <f>G7442*H7442</f>
        <v>395.99852054174301</v>
      </c>
      <c r="J7442" s="301">
        <f>AVERAGE(C7442,C7418,C7394,C7370,C7346,C7322,C7298)</f>
        <v>3509.7142857142858</v>
      </c>
      <c r="K7442" s="301">
        <f>J7442/POBLA!$B$1*100000</f>
        <v>20.008472001418184</v>
      </c>
      <c r="L7442" s="548">
        <f t="shared" ref="L7442:L7465" si="1055">1-SUM(C7442,C7418,C7394,C7370,C7346,C7322,C7298)/SUM(C7274,C7250,C7226,C7202,C7178,C7154,C7130)</f>
        <v>-0.15799396681749633</v>
      </c>
      <c r="M7442" s="400">
        <f>SUM(C7442,C7418,C7394,C7370,C7346,C7322,C7298)/POBLA!$B$1*100000</f>
        <v>140.0593040099273</v>
      </c>
    </row>
    <row r="7443" spans="1:13" s="360" customFormat="1" x14ac:dyDescent="0.25">
      <c r="A7443" s="361" t="s">
        <v>43</v>
      </c>
      <c r="B7443" s="29">
        <v>44203</v>
      </c>
      <c r="C7443" s="1">
        <v>1556</v>
      </c>
      <c r="D7443" s="276">
        <f t="shared" ref="D7443:D7506" si="1056">C7443+D7419</f>
        <v>181989</v>
      </c>
      <c r="E7443" s="1">
        <v>5</v>
      </c>
      <c r="F7443" s="39">
        <f t="shared" ref="F7443:F7506" si="1057">E7443+F7419</f>
        <v>5577</v>
      </c>
      <c r="G7443" s="168">
        <f>SUM(C7443,C7419,C7395,C7371,C7347,C7323,C7299,C7275,C7251,C7227,C7203,C7179,C7155,C7131)/POBLA!$B$2*100000</f>
        <v>428.39780650959182</v>
      </c>
      <c r="H7443" s="256">
        <f t="shared" si="1054"/>
        <v>1.8607541307724897</v>
      </c>
      <c r="I7443" s="297">
        <f t="shared" ref="I7443:I7465" si="1058">G7443*H7443</f>
        <v>797.14298807659679</v>
      </c>
      <c r="J7443" s="297">
        <f t="shared" ref="J7443:J7465" si="1059">AVERAGE(C7443,C7419,C7395,C7371,C7347,C7323,C7299)</f>
        <v>1055.7142857142858</v>
      </c>
      <c r="K7443" s="297">
        <f>J7443/POBLA!$B$2*100000</f>
        <v>34.324960860719528</v>
      </c>
      <c r="L7443" s="549">
        <f t="shared" si="1055"/>
        <v>-0.27722087798133432</v>
      </c>
      <c r="M7443" s="401">
        <f>SUM(C7443,C7419,C7395,C7371,C7347,C7323,C7299)/POBLA!$B$2*100000</f>
        <v>240.2747260250367</v>
      </c>
    </row>
    <row r="7444" spans="1:13" s="360" customFormat="1" x14ac:dyDescent="0.25">
      <c r="A7444" s="361" t="s">
        <v>28</v>
      </c>
      <c r="B7444" s="29">
        <v>44203</v>
      </c>
      <c r="C7444" s="1">
        <v>29</v>
      </c>
      <c r="D7444" s="276">
        <f t="shared" si="1056"/>
        <v>2998</v>
      </c>
      <c r="E7444" s="1"/>
      <c r="F7444" s="39">
        <f t="shared" si="1057"/>
        <v>17</v>
      </c>
      <c r="G7444" s="168">
        <f>SUM(C7444,C7420,C7396,C7372,C7348,C7324,C7300,C7276,C7252,C7228,C7204,C7180,C7156,C7132)/POBLA!$B$3*100000</f>
        <v>121.55845156196592</v>
      </c>
      <c r="H7444" s="256">
        <f t="shared" si="1054"/>
        <v>1.1582568807339451</v>
      </c>
      <c r="I7444" s="297">
        <f t="shared" si="1058"/>
        <v>140.79591293301101</v>
      </c>
      <c r="J7444" s="297">
        <f t="shared" si="1059"/>
        <v>33</v>
      </c>
      <c r="K7444" s="297">
        <f>J7444/POBLA!$B$3*100000</f>
        <v>7.9434235674155955</v>
      </c>
      <c r="L7444" s="549">
        <f t="shared" si="1055"/>
        <v>0.15693430656934304</v>
      </c>
      <c r="M7444" s="401">
        <f>SUM(C7444,C7420,C7396,C7372,C7348,C7324,C7300)/POBLA!$B$3*100000</f>
        <v>55.603964971909157</v>
      </c>
    </row>
    <row r="7445" spans="1:13" s="360" customFormat="1" x14ac:dyDescent="0.25">
      <c r="A7445" s="361" t="s">
        <v>15</v>
      </c>
      <c r="B7445" s="29">
        <v>44203</v>
      </c>
      <c r="C7445" s="1">
        <v>318</v>
      </c>
      <c r="D7445" s="276">
        <f t="shared" si="1056"/>
        <v>26215</v>
      </c>
      <c r="E7445" s="1">
        <v>10</v>
      </c>
      <c r="F7445" s="39">
        <f t="shared" si="1057"/>
        <v>729</v>
      </c>
      <c r="G7445" s="168">
        <f>SUM(C7445,C7421,C7397,C7373,C7349,C7325,C7301,C7277,C7253,C7229,C7205,C7181,C7157,C7133)/POBLA!$B$4*100000</f>
        <v>215.10268226652309</v>
      </c>
      <c r="H7445" s="256">
        <f t="shared" si="1054"/>
        <v>1.0649404027949034</v>
      </c>
      <c r="I7445" s="297">
        <f t="shared" si="1058"/>
        <v>229.07153709517522</v>
      </c>
      <c r="J7445" s="297">
        <f t="shared" si="1059"/>
        <v>204.71428571428572</v>
      </c>
      <c r="K7445" s="297">
        <f>J7445/POBLA!$B$4*100000</f>
        <v>16.995211098193064</v>
      </c>
      <c r="L7445" s="549">
        <f t="shared" si="1055"/>
        <v>-0.23747841105354062</v>
      </c>
      <c r="M7445" s="401">
        <f>SUM(C7445,C7421,C7397,C7373,C7349,C7325,C7301)/POBLA!$B$4*100000</f>
        <v>118.96647768735146</v>
      </c>
    </row>
    <row r="7446" spans="1:13" s="360" customFormat="1" x14ac:dyDescent="0.25">
      <c r="A7446" s="361" t="s">
        <v>29</v>
      </c>
      <c r="B7446" s="29">
        <v>44203</v>
      </c>
      <c r="C7446" s="1">
        <v>490</v>
      </c>
      <c r="D7446" s="276">
        <f t="shared" si="1056"/>
        <v>34328</v>
      </c>
      <c r="E7446" s="1">
        <v>27</v>
      </c>
      <c r="F7446" s="39">
        <f t="shared" si="1057"/>
        <v>523</v>
      </c>
      <c r="G7446" s="168">
        <f>SUM(C7446,C7422,C7398,C7374,C7350,C7326,C7302,C7278,C7254,C7230,C7206,C7182,C7158,C7134)/POBLA!$B$5*100000</f>
        <v>785.95269097923403</v>
      </c>
      <c r="H7446" s="256">
        <f t="shared" si="1054"/>
        <v>1.1894865525672371</v>
      </c>
      <c r="I7446" s="297">
        <f t="shared" si="1058"/>
        <v>934.88015687383211</v>
      </c>
      <c r="J7446" s="297">
        <f t="shared" si="1059"/>
        <v>342.42857142857144</v>
      </c>
      <c r="K7446" s="297">
        <f>J7446/POBLA!$B$5*100000</f>
        <v>55.320176193722631</v>
      </c>
      <c r="L7446" s="549">
        <f t="shared" si="1055"/>
        <v>2.8768233387358233E-2</v>
      </c>
      <c r="M7446" s="401">
        <f>SUM(C7446,C7422,C7398,C7374,C7350,C7326,C7302)/POBLA!$B$5*100000</f>
        <v>387.24123335605839</v>
      </c>
    </row>
    <row r="7447" spans="1:13" s="360" customFormat="1" x14ac:dyDescent="0.25">
      <c r="A7447" s="361" t="s">
        <v>20</v>
      </c>
      <c r="B7447" s="29">
        <v>44203</v>
      </c>
      <c r="C7447" s="1">
        <v>956</v>
      </c>
      <c r="D7447" s="276">
        <f t="shared" si="1056"/>
        <v>131459</v>
      </c>
      <c r="E7447" s="1">
        <v>5</v>
      </c>
      <c r="F7447" s="39">
        <f t="shared" si="1057"/>
        <v>2502</v>
      </c>
      <c r="G7447" s="168">
        <f>SUM(C7447,C7423,C7399,C7375,C7351,C7327,C7303,C7279,C7255,C7231,C7207,C7183,C7159,C7135)/POBLA!$B$6*100000</f>
        <v>616.88024903618032</v>
      </c>
      <c r="H7447" s="256">
        <f t="shared" si="1054"/>
        <v>1.2053695955369597</v>
      </c>
      <c r="I7447" s="297">
        <f t="shared" si="1058"/>
        <v>743.56869627547962</v>
      </c>
      <c r="J7447" s="297">
        <f t="shared" si="1059"/>
        <v>537.42857142857144</v>
      </c>
      <c r="K7447" s="297">
        <f>J7447/POBLA!$B$6*100000</f>
        <v>47.950400778422882</v>
      </c>
      <c r="L7447" s="549">
        <f t="shared" si="1055"/>
        <v>-0.19352791878172582</v>
      </c>
      <c r="M7447" s="401">
        <f>SUM(C7447,C7423,C7399,C7375,C7351,C7327,C7303)/POBLA!$B$6*100000</f>
        <v>335.65280544896018</v>
      </c>
    </row>
    <row r="7448" spans="1:13" s="360" customFormat="1" x14ac:dyDescent="0.25">
      <c r="A7448" s="361" t="s">
        <v>30</v>
      </c>
      <c r="B7448" s="29">
        <v>44203</v>
      </c>
      <c r="C7448" s="1">
        <v>210</v>
      </c>
      <c r="D7448" s="276">
        <f t="shared" si="1056"/>
        <v>13050</v>
      </c>
      <c r="E7448" s="1"/>
      <c r="F7448" s="39">
        <f t="shared" si="1057"/>
        <v>170</v>
      </c>
      <c r="G7448" s="168">
        <f>SUM(C7448,C7424,C7400,C7376,C7352,C7328,C7304,C7280,C7256,C7232,C7208,C7184,C7160,C7136)/POBLA!$B$7*100000</f>
        <v>52.148014200428143</v>
      </c>
      <c r="H7448" s="256">
        <f t="shared" si="1054"/>
        <v>1.0786578657865786</v>
      </c>
      <c r="I7448" s="297">
        <f t="shared" si="1058"/>
        <v>56.249865702442015</v>
      </c>
      <c r="J7448" s="297">
        <f t="shared" si="1059"/>
        <v>153.57142857142858</v>
      </c>
      <c r="K7448" s="297">
        <f>J7448/POBLA!$B$7*100000</f>
        <v>4.0838577449887268</v>
      </c>
      <c r="L7448" s="549">
        <f t="shared" si="1055"/>
        <v>-0.21331828442437928</v>
      </c>
      <c r="M7448" s="401">
        <f>SUM(C7448,C7424,C7400,C7376,C7352,C7328,C7304)/POBLA!$B$7*100000</f>
        <v>28.587004214921084</v>
      </c>
    </row>
    <row r="7449" spans="1:13" x14ac:dyDescent="0.25">
      <c r="A7449" s="361" t="s">
        <v>31</v>
      </c>
      <c r="B7449" s="29">
        <v>44203</v>
      </c>
      <c r="C7449" s="1">
        <v>587</v>
      </c>
      <c r="D7449" s="276">
        <f t="shared" si="1056"/>
        <v>32088</v>
      </c>
      <c r="E7449" s="1">
        <v>3</v>
      </c>
      <c r="F7449" s="39">
        <f t="shared" si="1057"/>
        <v>602</v>
      </c>
      <c r="G7449" s="168">
        <f>SUM(C7449,C7425,C7401,C7377,C7353,C7329,C7305,C7281,C7257,C7233,C7209,C7185,C7161,C7137)/POBLA!$B$8*100000</f>
        <v>316.31481693929339</v>
      </c>
      <c r="H7449" s="256">
        <f t="shared" si="1054"/>
        <v>1.6147329650092082</v>
      </c>
      <c r="I7449" s="297">
        <f t="shared" si="1058"/>
        <v>510.76396223273014</v>
      </c>
      <c r="J7449" s="297">
        <f t="shared" si="1059"/>
        <v>370.71428571428572</v>
      </c>
      <c r="K7449" s="297">
        <f>J7449/POBLA!$B$8*100000</f>
        <v>26.747815105496166</v>
      </c>
      <c r="L7449" s="549">
        <f t="shared" si="1055"/>
        <v>-0.4505310229178312</v>
      </c>
      <c r="M7449" s="401">
        <f>SUM(C7449,C7425,C7401,C7377,C7353,C7329,C7305)/POBLA!$B$8*100000</f>
        <v>187.23470573847317</v>
      </c>
    </row>
    <row r="7450" spans="1:13" s="360" customFormat="1" x14ac:dyDescent="0.25">
      <c r="A7450" s="361" t="s">
        <v>41</v>
      </c>
      <c r="B7450" s="29">
        <v>44203</v>
      </c>
      <c r="C7450" s="1">
        <v>5</v>
      </c>
      <c r="D7450" s="276">
        <f t="shared" si="1056"/>
        <v>238</v>
      </c>
      <c r="E7450" s="1"/>
      <c r="F7450" s="39">
        <f t="shared" si="1057"/>
        <v>3</v>
      </c>
      <c r="G7450" s="168">
        <f>SUM(C7450,C7426,C7402,C7378,C7354,C7330,C7306,C7282,C7258,C7234,C7210,C7186,C7162,C7138)/POBLA!$B$9*100000</f>
        <v>4.1309136093775045</v>
      </c>
      <c r="H7450" s="256">
        <f t="shared" si="1054"/>
        <v>1.3888888888888888</v>
      </c>
      <c r="I7450" s="297">
        <f t="shared" si="1058"/>
        <v>5.7373800130243113</v>
      </c>
      <c r="J7450" s="297">
        <f t="shared" si="1059"/>
        <v>2.8571428571428572</v>
      </c>
      <c r="K7450" s="297">
        <f>J7450/POBLA!$B$9*100000</f>
        <v>0.47210441250028623</v>
      </c>
      <c r="L7450" s="549">
        <f t="shared" si="1055"/>
        <v>-3</v>
      </c>
      <c r="M7450" s="401">
        <f>SUM(C7450,C7426,C7402,C7378,C7354,C7330,C7306)/POBLA!$B$9*100000</f>
        <v>3.3047308875020032</v>
      </c>
    </row>
    <row r="7451" spans="1:13" s="360" customFormat="1" x14ac:dyDescent="0.25">
      <c r="A7451" s="361" t="s">
        <v>32</v>
      </c>
      <c r="B7451" s="29">
        <v>44203</v>
      </c>
      <c r="C7451" s="1">
        <v>15</v>
      </c>
      <c r="D7451" s="276">
        <f t="shared" si="1056"/>
        <v>18617</v>
      </c>
      <c r="E7451" s="1"/>
      <c r="F7451" s="39">
        <f t="shared" si="1057"/>
        <v>859</v>
      </c>
      <c r="G7451" s="168">
        <f>SUM(C7451,C7427,C7403,C7379,C7355,C7331,C7307,C7283,C7259,C7235,C7211,C7187,C7163,C7139)/POBLA!$B$10*100000</f>
        <v>15.955770086433573</v>
      </c>
      <c r="H7451" s="256">
        <f t="shared" si="1054"/>
        <v>1.9523809523809523</v>
      </c>
      <c r="I7451" s="297">
        <f t="shared" si="1058"/>
        <v>31.151741597322687</v>
      </c>
      <c r="J7451" s="297">
        <f t="shared" si="1059"/>
        <v>9.4285714285714288</v>
      </c>
      <c r="K7451" s="297">
        <f>J7451/POBLA!$B$10*100000</f>
        <v>1.2230903899008316</v>
      </c>
      <c r="L7451" s="549">
        <f t="shared" si="1055"/>
        <v>-0.15789473684210531</v>
      </c>
      <c r="M7451" s="401">
        <f>SUM(C7451,C7427,C7403,C7379,C7355,C7331,C7307)/POBLA!$B$10*100000</f>
        <v>8.5616327293058205</v>
      </c>
    </row>
    <row r="7452" spans="1:13" s="360" customFormat="1" x14ac:dyDescent="0.25">
      <c r="A7452" s="361" t="s">
        <v>33</v>
      </c>
      <c r="B7452" s="29">
        <v>44203</v>
      </c>
      <c r="C7452" s="1">
        <v>412</v>
      </c>
      <c r="D7452" s="276">
        <f t="shared" si="1056"/>
        <v>12753</v>
      </c>
      <c r="E7452" s="1">
        <v>1</v>
      </c>
      <c r="F7452" s="39">
        <f t="shared" si="1057"/>
        <v>138</v>
      </c>
      <c r="G7452" s="168">
        <f>SUM(C7452,C7428,C7404,C7380,C7356,C7332,C7308,C7284,C7260,C7236,C7212,C7188,C7164,C7140)/POBLA!$B$11*100000</f>
        <v>992.66798352807257</v>
      </c>
      <c r="H7452" s="256">
        <f t="shared" si="1054"/>
        <v>1.3844357976653696</v>
      </c>
      <c r="I7452" s="297">
        <f t="shared" si="1058"/>
        <v>1374.2850915925612</v>
      </c>
      <c r="J7452" s="297">
        <f t="shared" si="1059"/>
        <v>271.71428571428572</v>
      </c>
      <c r="K7452" s="297">
        <f>J7452/POBLA!$B$11*100000</f>
        <v>75.807215316405447</v>
      </c>
      <c r="L7452" s="549">
        <f t="shared" si="1055"/>
        <v>-0.14855072463768115</v>
      </c>
      <c r="M7452" s="401">
        <f>SUM(C7452,C7428,C7404,C7380,C7356,C7332,C7308)/POBLA!$B$11*100000</f>
        <v>530.65050721483817</v>
      </c>
    </row>
    <row r="7453" spans="1:13" s="360" customFormat="1" x14ac:dyDescent="0.25">
      <c r="A7453" s="361" t="s">
        <v>21</v>
      </c>
      <c r="B7453" s="29">
        <v>44203</v>
      </c>
      <c r="C7453" s="1">
        <v>21</v>
      </c>
      <c r="D7453" s="276">
        <f t="shared" si="1056"/>
        <v>9167</v>
      </c>
      <c r="E7453" s="1">
        <v>1</v>
      </c>
      <c r="F7453" s="39">
        <f t="shared" si="1057"/>
        <v>399</v>
      </c>
      <c r="G7453" s="168">
        <f>SUM(C7453,C7429,C7405,C7381,C7357,C7333,C7309,C7285,C7261,C7237,C7213,C7189,C7165,C7141)/POBLA!$B$12*100000</f>
        <v>29.730821714172457</v>
      </c>
      <c r="H7453" s="256">
        <f t="shared" si="1054"/>
        <v>0.79054054054054057</v>
      </c>
      <c r="I7453" s="297">
        <f t="shared" si="1058"/>
        <v>23.503419868636335</v>
      </c>
      <c r="J7453" s="297">
        <f t="shared" si="1059"/>
        <v>10.428571428571429</v>
      </c>
      <c r="K7453" s="297">
        <f>J7453/POBLA!$B$12*100000</f>
        <v>2.6499999818493154</v>
      </c>
      <c r="L7453" s="549">
        <f t="shared" si="1055"/>
        <v>-0.65909090909090917</v>
      </c>
      <c r="M7453" s="401">
        <f>SUM(C7453,C7429,C7405,C7381,C7357,C7333,C7309)/POBLA!$B$12*100000</f>
        <v>18.549999872945204</v>
      </c>
    </row>
    <row r="7454" spans="1:13" s="360" customFormat="1" x14ac:dyDescent="0.25">
      <c r="A7454" s="361" t="s">
        <v>17</v>
      </c>
      <c r="B7454" s="29">
        <v>44203</v>
      </c>
      <c r="C7454" s="1">
        <v>178</v>
      </c>
      <c r="D7454" s="276">
        <f t="shared" si="1056"/>
        <v>60889</v>
      </c>
      <c r="E7454" s="1"/>
      <c r="F7454" s="39">
        <f t="shared" si="1057"/>
        <v>1238</v>
      </c>
      <c r="G7454" s="168">
        <f>SUM(C7454,C7430,C7406,C7382,C7358,C7334,C7310,C7286,C7262,C7238,C7214,C7190,C7166,C7142)/POBLA!$B$13*100000</f>
        <v>70.64126796554153</v>
      </c>
      <c r="H7454" s="256">
        <f t="shared" si="1054"/>
        <v>0.88987341772151896</v>
      </c>
      <c r="I7454" s="297">
        <f t="shared" si="1058"/>
        <v>62.861786556678091</v>
      </c>
      <c r="J7454" s="297">
        <f t="shared" si="1059"/>
        <v>106</v>
      </c>
      <c r="K7454" s="297">
        <f>J7454/POBLA!$B$13*100000</f>
        <v>5.3257285948416806</v>
      </c>
      <c r="L7454" s="549">
        <f t="shared" si="1055"/>
        <v>-0.1174698795180722</v>
      </c>
      <c r="M7454" s="401">
        <f>SUM(C7454,C7430,C7406,C7382,C7358,C7334,C7310)/POBLA!$B$13*100000</f>
        <v>37.28010016389176</v>
      </c>
    </row>
    <row r="7455" spans="1:13" s="360" customFormat="1" x14ac:dyDescent="0.25">
      <c r="A7455" s="361" t="s">
        <v>23</v>
      </c>
      <c r="B7455" s="29">
        <v>44203</v>
      </c>
      <c r="C7455" s="1">
        <v>9</v>
      </c>
      <c r="D7455" s="276">
        <f t="shared" si="1056"/>
        <v>1175</v>
      </c>
      <c r="E7455" s="1">
        <v>3</v>
      </c>
      <c r="F7455" s="39">
        <f t="shared" si="1057"/>
        <v>15</v>
      </c>
      <c r="G7455" s="168">
        <f>SUM(C7455,C7431,C7407,C7383,C7359,C7335,C7311,C7287,C7263,C7239,C7215,C7191,C7167,C7143)/POBLA!$B$14*100000</f>
        <v>21.803005484843343</v>
      </c>
      <c r="H7455" s="256">
        <f t="shared" si="1054"/>
        <v>0.96830985915492962</v>
      </c>
      <c r="I7455" s="297">
        <f t="shared" si="1058"/>
        <v>21.112065170182817</v>
      </c>
      <c r="J7455" s="297">
        <f t="shared" si="1059"/>
        <v>13.285714285714286</v>
      </c>
      <c r="K7455" s="297">
        <f>J7455/POBLA!$B$14*100000</f>
        <v>1.0533400052417825</v>
      </c>
      <c r="L7455" s="549">
        <f t="shared" si="1055"/>
        <v>0.48901098901098905</v>
      </c>
      <c r="M7455" s="401">
        <f>SUM(C7455,C7431,C7407,C7383,C7359,C7335,C7311)/POBLA!$B$14*100000</f>
        <v>7.3733800366924758</v>
      </c>
    </row>
    <row r="7456" spans="1:13" s="360" customFormat="1" x14ac:dyDescent="0.25">
      <c r="A7456" s="361" t="s">
        <v>19</v>
      </c>
      <c r="B7456" s="29">
        <v>44203</v>
      </c>
      <c r="C7456" s="1">
        <v>592</v>
      </c>
      <c r="D7456" s="276">
        <f t="shared" si="1056"/>
        <v>44064</v>
      </c>
      <c r="E7456" s="1"/>
      <c r="F7456" s="39">
        <f t="shared" si="1057"/>
        <v>715</v>
      </c>
      <c r="G7456" s="168">
        <f>SUM(C7456,C7432,C7408,C7384,C7360,C7336,C7312,C7288,C7264,C7240,C7216,C7192,C7168,C7144)/POBLA!$B$15*100000</f>
        <v>747.2250123106902</v>
      </c>
      <c r="H7456" s="256">
        <f t="shared" si="1054"/>
        <v>1.9121387283236995</v>
      </c>
      <c r="I7456" s="297">
        <f t="shared" si="1058"/>
        <v>1428.797884811424</v>
      </c>
      <c r="J7456" s="297">
        <f t="shared" si="1059"/>
        <v>430.57142857142856</v>
      </c>
      <c r="K7456" s="297">
        <f>J7456/POBLA!$B$15*100000</f>
        <v>64.839528620499223</v>
      </c>
      <c r="L7456" s="549">
        <f t="shared" si="1055"/>
        <v>-0.54722792607802884</v>
      </c>
      <c r="M7456" s="401">
        <f>SUM(C7456,C7432,C7408,C7384,C7360,C7336,C7312)/POBLA!$B$15*100000</f>
        <v>453.87670034349458</v>
      </c>
    </row>
    <row r="7457" spans="1:13" s="360" customFormat="1" x14ac:dyDescent="0.25">
      <c r="A7457" s="361" t="s">
        <v>18</v>
      </c>
      <c r="B7457" s="29">
        <v>44203</v>
      </c>
      <c r="C7457" s="1">
        <v>457</v>
      </c>
      <c r="D7457" s="276">
        <f t="shared" si="1056"/>
        <v>40582</v>
      </c>
      <c r="E7457" s="1">
        <v>8</v>
      </c>
      <c r="F7457" s="39">
        <f t="shared" si="1057"/>
        <v>943</v>
      </c>
      <c r="G7457" s="168">
        <f>SUM(C7457,C7433,C7409,C7385,C7361,C7337,C7313,C7289,C7265,C7241,C7217,C7193,C7169,C7145)/POBLA!$B$16*100000</f>
        <v>497.58563957143429</v>
      </c>
      <c r="H7457" s="256">
        <f t="shared" si="1054"/>
        <v>1.15527950310559</v>
      </c>
      <c r="I7457" s="297">
        <f t="shared" si="1058"/>
        <v>574.85049043656386</v>
      </c>
      <c r="J7457" s="297">
        <f t="shared" si="1059"/>
        <v>285.14285714285717</v>
      </c>
      <c r="K7457" s="297">
        <f>J7457/POBLA!$B$16*100000</f>
        <v>38.140588962541592</v>
      </c>
      <c r="L7457" s="549">
        <f t="shared" si="1055"/>
        <v>-0.15777262180974483</v>
      </c>
      <c r="M7457" s="401">
        <f>SUM(C7457,C7433,C7409,C7385,C7361,C7337,C7313)/POBLA!$B$16*100000</f>
        <v>266.9841227377911</v>
      </c>
    </row>
    <row r="7458" spans="1:13" s="360" customFormat="1" x14ac:dyDescent="0.25">
      <c r="A7458" s="361" t="s">
        <v>34</v>
      </c>
      <c r="B7458" s="29">
        <v>44203</v>
      </c>
      <c r="C7458" s="1">
        <v>69</v>
      </c>
      <c r="D7458" s="276">
        <f t="shared" si="1056"/>
        <v>22578</v>
      </c>
      <c r="E7458" s="1"/>
      <c r="F7458" s="39">
        <f t="shared" si="1057"/>
        <v>1022</v>
      </c>
      <c r="G7458" s="168">
        <f>SUM(C7458,C7434,C7410,C7386,C7362,C7338,C7314,C7290,C7266,C7242,C7218,C7194,C7170,C7146)/POBLA!$B$17*100000</f>
        <v>31.17108502755903</v>
      </c>
      <c r="H7458" s="256">
        <f t="shared" si="1054"/>
        <v>0.69266770670826838</v>
      </c>
      <c r="I7458" s="297">
        <f t="shared" si="1058"/>
        <v>21.591203981647755</v>
      </c>
      <c r="J7458" s="297">
        <f t="shared" si="1059"/>
        <v>28.428571428571427</v>
      </c>
      <c r="K7458" s="297">
        <f>J7458/POBLA!$B$17*100000</f>
        <v>1.9958320207478271</v>
      </c>
      <c r="L7458" s="549">
        <f t="shared" si="1055"/>
        <v>0.18775510204081636</v>
      </c>
      <c r="M7458" s="401">
        <f>SUM(C7458,C7434,C7410,C7386,C7362,C7338,C7314)/POBLA!$B$17*100000</f>
        <v>13.970824145234792</v>
      </c>
    </row>
    <row r="7459" spans="1:13" s="360" customFormat="1" x14ac:dyDescent="0.25">
      <c r="A7459" s="361" t="s">
        <v>35</v>
      </c>
      <c r="B7459" s="29">
        <v>44203</v>
      </c>
      <c r="C7459" s="1">
        <v>142</v>
      </c>
      <c r="D7459" s="276">
        <f t="shared" si="1056"/>
        <v>12142</v>
      </c>
      <c r="E7459" s="1">
        <v>1</v>
      </c>
      <c r="F7459" s="39">
        <f t="shared" si="1057"/>
        <v>207</v>
      </c>
      <c r="G7459" s="168">
        <f>SUM(C7459,C7435,C7411,C7387,C7363,C7339,C7315,C7291,C7267,C7243,C7219,C7195,C7171,C7147)/POBLA!$B$18*100000</f>
        <v>162.05484519666112</v>
      </c>
      <c r="H7459" s="256">
        <f t="shared" si="1054"/>
        <v>0.69029443838604143</v>
      </c>
      <c r="I7459" s="297">
        <f t="shared" si="1058"/>
        <v>111.86555835276607</v>
      </c>
      <c r="J7459" s="297">
        <f t="shared" si="1059"/>
        <v>84.857142857142861</v>
      </c>
      <c r="K7459" s="297">
        <f>J7459/POBLA!$B$18*100000</f>
        <v>10.862173103906196</v>
      </c>
      <c r="L7459" s="549">
        <f t="shared" si="1055"/>
        <v>0.1160714285714286</v>
      </c>
      <c r="M7459" s="401">
        <f>SUM(C7459,C7435,C7411,C7387,C7363,C7339,C7315)/POBLA!$B$18*100000</f>
        <v>76.035211727343366</v>
      </c>
    </row>
    <row r="7460" spans="1:13" s="360" customFormat="1" x14ac:dyDescent="0.25">
      <c r="A7460" s="361" t="s">
        <v>36</v>
      </c>
      <c r="B7460" s="29">
        <v>44203</v>
      </c>
      <c r="C7460" s="1">
        <v>49</v>
      </c>
      <c r="D7460" s="276">
        <f t="shared" si="1056"/>
        <v>16446</v>
      </c>
      <c r="E7460" s="1">
        <v>7</v>
      </c>
      <c r="F7460" s="39">
        <f t="shared" si="1057"/>
        <v>315</v>
      </c>
      <c r="G7460" s="168">
        <f>SUM(C7460,C7436,C7412,C7388,C7364,C7340,C7316,C7292,C7268,C7244,C7220,C7196,C7172,C7148)/POBLA!$B$19*100000</f>
        <v>90.689476086306485</v>
      </c>
      <c r="H7460" s="256">
        <f t="shared" si="1054"/>
        <v>0.7411575562700965</v>
      </c>
      <c r="I7460" s="297">
        <f t="shared" si="1058"/>
        <v>67.215190475542272</v>
      </c>
      <c r="J7460" s="297">
        <f t="shared" si="1059"/>
        <v>36.428571428571431</v>
      </c>
      <c r="K7460" s="297">
        <f>J7460/POBLA!$B$19*100000</f>
        <v>7.1663515345547424</v>
      </c>
      <c r="L7460" s="549">
        <f t="shared" si="1055"/>
        <v>-0.23786407766990281</v>
      </c>
      <c r="M7460" s="401">
        <f>SUM(C7460,C7436,C7412,C7388,C7364,C7340,C7316)/POBLA!$B$19*100000</f>
        <v>50.16446074188319</v>
      </c>
    </row>
    <row r="7461" spans="1:13" s="360" customFormat="1" x14ac:dyDescent="0.25">
      <c r="A7461" s="361" t="s">
        <v>37</v>
      </c>
      <c r="B7461" s="29">
        <v>44203</v>
      </c>
      <c r="C7461" s="1">
        <v>461</v>
      </c>
      <c r="D7461" s="276">
        <f t="shared" si="1056"/>
        <v>26160</v>
      </c>
      <c r="E7461" s="1">
        <v>3</v>
      </c>
      <c r="F7461" s="39">
        <f t="shared" si="1057"/>
        <v>414</v>
      </c>
      <c r="G7461" s="168">
        <f>SUM(C7461,C7437,C7413,C7389,C7365,C7341,C7317,C7293,C7269,C7245,C7221,C7197,C7173,C7149)/POBLA!$B$20*100000</f>
        <v>1207.0068745248811</v>
      </c>
      <c r="H7461" s="256">
        <f t="shared" si="1054"/>
        <v>1.2136376134176519</v>
      </c>
      <c r="I7461" s="297">
        <f t="shared" si="1058"/>
        <v>1464.8689425770758</v>
      </c>
      <c r="J7461" s="297">
        <f t="shared" si="1059"/>
        <v>343.57142857142856</v>
      </c>
      <c r="K7461" s="297">
        <f>J7461/POBLA!$B$20*100000</f>
        <v>93.949496188502138</v>
      </c>
      <c r="L7461" s="549">
        <f t="shared" si="1055"/>
        <v>-0.19711299153807871</v>
      </c>
      <c r="M7461" s="401">
        <f>SUM(C7461,C7437,C7413,C7389,C7365,C7341,C7317)/POBLA!$B$20*100000</f>
        <v>657.64647331951505</v>
      </c>
    </row>
    <row r="7462" spans="1:13" s="360" customFormat="1" x14ac:dyDescent="0.25">
      <c r="A7462" s="361" t="s">
        <v>22</v>
      </c>
      <c r="B7462" s="29">
        <v>44203</v>
      </c>
      <c r="C7462" s="1">
        <v>1446</v>
      </c>
      <c r="D7462" s="276">
        <f t="shared" si="1056"/>
        <v>183291</v>
      </c>
      <c r="E7462" s="1">
        <v>12</v>
      </c>
      <c r="F7462" s="39">
        <f t="shared" si="1057"/>
        <v>3072</v>
      </c>
      <c r="G7462" s="168">
        <f>SUM(C7462,C7438,C7414,C7390,C7366,C7342,C7318,C7294,C7270,C7246,C7222,C7198,C7174,C7150)/POBLA!$B$21*100000</f>
        <v>355.67062490915947</v>
      </c>
      <c r="H7462" s="256">
        <f t="shared" si="1054"/>
        <v>0.94125570605402975</v>
      </c>
      <c r="I7462" s="297">
        <f t="shared" si="1058"/>
        <v>334.77700517154886</v>
      </c>
      <c r="J7462" s="297">
        <f t="shared" si="1059"/>
        <v>988</v>
      </c>
      <c r="K7462" s="297">
        <f>J7462/POBLA!$B$21*100000</f>
        <v>27.937873859933976</v>
      </c>
      <c r="L7462" s="549">
        <f t="shared" si="1055"/>
        <v>-0.22147651006711411</v>
      </c>
      <c r="M7462" s="401">
        <f>SUM(C7462,C7438,C7414,C7390,C7366,C7342,C7318)/POBLA!$B$21*100000</f>
        <v>195.56511701953784</v>
      </c>
    </row>
    <row r="7463" spans="1:13" s="360" customFormat="1" x14ac:dyDescent="0.25">
      <c r="A7463" s="361" t="s">
        <v>38</v>
      </c>
      <c r="B7463" s="29">
        <v>44203</v>
      </c>
      <c r="C7463" s="1">
        <v>167</v>
      </c>
      <c r="D7463" s="276">
        <f t="shared" si="1056"/>
        <v>18199</v>
      </c>
      <c r="E7463" s="1">
        <v>1</v>
      </c>
      <c r="F7463" s="39">
        <f t="shared" si="1057"/>
        <v>220</v>
      </c>
      <c r="G7463" s="168">
        <f>SUM(C7463,C7439,C7415,C7391,C7367,C7343,C7319,C7295,C7271,C7247,C7223,C7199,C7175,C7151)/POBLA!$B$22*100000</f>
        <v>127.15766835358419</v>
      </c>
      <c r="H7463" s="256">
        <f t="shared" si="1054"/>
        <v>2.0194805194805197</v>
      </c>
      <c r="I7463" s="297">
        <f t="shared" si="1058"/>
        <v>256.79243414262783</v>
      </c>
      <c r="J7463" s="297">
        <f t="shared" si="1059"/>
        <v>109.85714285714286</v>
      </c>
      <c r="K7463" s="297">
        <f>J7463/POBLA!$B$22*100000</f>
        <v>11.229242875965346</v>
      </c>
      <c r="L7463" s="549">
        <f t="shared" si="1055"/>
        <v>-0.61894736842105269</v>
      </c>
      <c r="M7463" s="401">
        <f>SUM(C7463,C7439,C7415,C7391,C7367,C7343,C7319)/POBLA!$B$22*100000</f>
        <v>78.604700131757426</v>
      </c>
    </row>
    <row r="7464" spans="1:13" s="360" customFormat="1" x14ac:dyDescent="0.25">
      <c r="A7464" s="361" t="s">
        <v>39</v>
      </c>
      <c r="B7464" s="29">
        <v>44203</v>
      </c>
      <c r="C7464" s="1">
        <v>74</v>
      </c>
      <c r="D7464" s="276">
        <f t="shared" si="1056"/>
        <v>19913</v>
      </c>
      <c r="E7464" s="1">
        <v>6</v>
      </c>
      <c r="F7464" s="39">
        <f t="shared" si="1057"/>
        <v>265</v>
      </c>
      <c r="G7464" s="168">
        <f>SUM(C7464,C7440,C7416,C7392,C7368,C7344,C7320,C7296,C7272,C7248,C7224,C7200,C7176,C7152)/POBLA!$B$23*100000</f>
        <v>835.26550924616868</v>
      </c>
      <c r="H7464" s="256">
        <f t="shared" si="1054"/>
        <v>1.1575235109717867</v>
      </c>
      <c r="I7464" s="297">
        <f t="shared" si="1058"/>
        <v>966.83946485626257</v>
      </c>
      <c r="J7464" s="297">
        <f t="shared" si="1059"/>
        <v>110.57142857142857</v>
      </c>
      <c r="K7464" s="297">
        <f>J7464/POBLA!$B$23*100000</f>
        <v>62.529790517122976</v>
      </c>
      <c r="L7464" s="549">
        <f t="shared" si="1055"/>
        <v>-0.10099573257467998</v>
      </c>
      <c r="M7464" s="401">
        <f>SUM(C7464,C7440,C7416,C7392,C7368,C7344,C7320)/POBLA!$B$23*100000</f>
        <v>437.70853361986093</v>
      </c>
    </row>
    <row r="7465" spans="1:13" s="360" customFormat="1" ht="15.75" thickBot="1" x14ac:dyDescent="0.3">
      <c r="A7465" s="361" t="s">
        <v>40</v>
      </c>
      <c r="B7465" s="29">
        <v>44203</v>
      </c>
      <c r="C7465" s="1">
        <v>273</v>
      </c>
      <c r="D7465" s="276">
        <f t="shared" si="1056"/>
        <v>72332</v>
      </c>
      <c r="E7465" s="1">
        <v>10</v>
      </c>
      <c r="F7465" s="39">
        <f t="shared" si="1057"/>
        <v>1383</v>
      </c>
      <c r="G7465" s="177">
        <f>SUM(C7465,C7441,C7417,C7393,C7369,C7345,C7321,C7297,C7273,C7249,C7225,C7201,C7177,C7153)/POBLA!$B$24*100000</f>
        <v>122.50273801880736</v>
      </c>
      <c r="H7465" s="402">
        <f t="shared" si="1054"/>
        <v>0.86105350476980502</v>
      </c>
      <c r="I7465" s="403">
        <f t="shared" si="1058"/>
        <v>105.48141191499133</v>
      </c>
      <c r="J7465" s="403">
        <f t="shared" si="1059"/>
        <v>174.57142857142858</v>
      </c>
      <c r="K7465" s="403">
        <f>J7465/POBLA!$B$24*100000</f>
        <v>10.301289971028256</v>
      </c>
      <c r="L7465" s="550">
        <f t="shared" si="1055"/>
        <v>-0.43091334894613587</v>
      </c>
      <c r="M7465" s="405">
        <f>SUM(C7465,C7441,C7417,C7393,C7369,C7345,C7321)/POBLA!$B$24*100000</f>
        <v>72.109029797197778</v>
      </c>
    </row>
    <row r="7466" spans="1:13" s="360" customFormat="1" x14ac:dyDescent="0.25">
      <c r="A7466" s="361" t="s">
        <v>16</v>
      </c>
      <c r="B7466" s="29">
        <v>44204</v>
      </c>
      <c r="C7466" s="1">
        <v>4937</v>
      </c>
      <c r="D7466" s="276">
        <f t="shared" si="1056"/>
        <v>714270</v>
      </c>
      <c r="E7466" s="1">
        <v>60</v>
      </c>
      <c r="F7466" s="39">
        <f t="shared" si="1057"/>
        <v>22792</v>
      </c>
      <c r="G7466" s="175">
        <f>SUM(C7466,C7442,C7418,C7394,C7370,C7346,C7322,C7298,C7274,C7250,C7226,C7202,C7178,C7154)/POBLA!$B$1*100000</f>
        <v>282.87213471461178</v>
      </c>
      <c r="H7466" s="300">
        <f t="shared" ref="H7466:H7489" si="1060">SUM(C7466,C7442,C7418,C7394,C7370,C7346,C7322,C7298,C7274,C7250,C7226,C7202,C7178,C7154)/SUM(C7130,C7106,C7082,C7058,C7034,C7010,C6986,C6962,C6938,C6914,C6890,C6866,C6842,C6818)</f>
        <v>1.7005620673109878</v>
      </c>
      <c r="I7466" s="301">
        <f>G7466*H7466</f>
        <v>481.04162219495242</v>
      </c>
      <c r="J7466" s="301">
        <f>AVERAGE(C7466,C7442,C7418,C7394,C7370,C7346,C7322)</f>
        <v>4002.7142857142858</v>
      </c>
      <c r="K7466" s="301">
        <f>J7466/POBLA!$B$1*100000</f>
        <v>22.819007530435368</v>
      </c>
      <c r="L7466" s="548">
        <f t="shared" ref="L7466:L7489" si="1061">1-SUM(C7466,C7442,C7418,C7394,C7370,C7346,C7322)/SUM(C7298,C7274,C7250,C7226,C7202,C7178,C7154)</f>
        <v>-0.2971759259259259</v>
      </c>
      <c r="M7466" s="400">
        <f>SUM(C7466,C7442,C7418,C7394,C7370,C7346,C7322)/POBLA!$B$1*100000</f>
        <v>159.73305271304756</v>
      </c>
    </row>
    <row r="7467" spans="1:13" s="360" customFormat="1" x14ac:dyDescent="0.25">
      <c r="A7467" s="361" t="s">
        <v>43</v>
      </c>
      <c r="B7467" s="29">
        <v>44204</v>
      </c>
      <c r="C7467" s="1">
        <v>1451</v>
      </c>
      <c r="D7467" s="276">
        <f t="shared" si="1056"/>
        <v>183440</v>
      </c>
      <c r="E7467" s="1">
        <v>12</v>
      </c>
      <c r="F7467" s="39">
        <f t="shared" si="1057"/>
        <v>5589</v>
      </c>
      <c r="G7467" s="168">
        <f>SUM(C7467,C7443,C7419,C7395,C7371,C7347,C7323,C7299,C7275,C7251,C7227,C7203,C7179,C7155)/POBLA!$B$2*100000</f>
        <v>462.21184102461729</v>
      </c>
      <c r="H7467" s="256">
        <f t="shared" si="1060"/>
        <v>2.0173123314885766</v>
      </c>
      <c r="I7467" s="297">
        <f t="shared" ref="I7467:I7489" si="1062">G7467*H7467</f>
        <v>932.42564665899806</v>
      </c>
      <c r="J7467" s="297">
        <f t="shared" ref="J7467:J7489" si="1063">AVERAGE(C7467,C7443,C7419,C7395,C7371,C7347,C7323)</f>
        <v>1181</v>
      </c>
      <c r="K7467" s="297">
        <f>J7467/POBLA!$B$2*100000</f>
        <v>38.39843727138949</v>
      </c>
      <c r="L7467" s="549">
        <f t="shared" si="1061"/>
        <v>-0.38964531854093121</v>
      </c>
      <c r="M7467" s="401">
        <f>SUM(C7467,C7443,C7419,C7395,C7371,C7347,C7323)/POBLA!$B$2*100000</f>
        <v>268.78906089972639</v>
      </c>
    </row>
    <row r="7468" spans="1:13" s="360" customFormat="1" x14ac:dyDescent="0.25">
      <c r="A7468" s="361" t="s">
        <v>28</v>
      </c>
      <c r="B7468" s="29">
        <v>44204</v>
      </c>
      <c r="C7468" s="1">
        <v>55</v>
      </c>
      <c r="D7468" s="276">
        <f t="shared" si="1056"/>
        <v>3053</v>
      </c>
      <c r="E7468" s="1"/>
      <c r="F7468" s="39">
        <f t="shared" si="1057"/>
        <v>17</v>
      </c>
      <c r="G7468" s="168">
        <f>SUM(C7468,C7444,C7420,C7396,C7372,C7348,C7324,C7300,C7276,C7252,C7228,C7204,C7180,C7156)/POBLA!$B$3*100000</f>
        <v>131.42755356996713</v>
      </c>
      <c r="H7468" s="256">
        <f t="shared" si="1060"/>
        <v>1.2214765100671141</v>
      </c>
      <c r="I7468" s="297">
        <f t="shared" si="1062"/>
        <v>160.53566946130215</v>
      </c>
      <c r="J7468" s="297">
        <f t="shared" si="1063"/>
        <v>40.857142857142854</v>
      </c>
      <c r="K7468" s="297">
        <f>J7468/POBLA!$B$3*100000</f>
        <v>9.8347148929907355</v>
      </c>
      <c r="L7468" s="549">
        <f t="shared" si="1061"/>
        <v>-0.10000000000000009</v>
      </c>
      <c r="M7468" s="401">
        <f>SUM(C7468,C7444,C7420,C7396,C7372,C7348,C7324)/POBLA!$B$3*100000</f>
        <v>68.843004250935152</v>
      </c>
    </row>
    <row r="7469" spans="1:13" s="360" customFormat="1" x14ac:dyDescent="0.25">
      <c r="A7469" s="361" t="s">
        <v>15</v>
      </c>
      <c r="B7469" s="29">
        <v>44204</v>
      </c>
      <c r="C7469" s="1">
        <v>298</v>
      </c>
      <c r="D7469" s="276">
        <f t="shared" si="1056"/>
        <v>26513</v>
      </c>
      <c r="E7469" s="1">
        <v>2</v>
      </c>
      <c r="F7469" s="39">
        <f t="shared" si="1057"/>
        <v>731</v>
      </c>
      <c r="G7469" s="168">
        <f>SUM(C7469,C7445,C7421,C7397,C7373,C7349,C7325,C7301,C7277,C7253,C7229,C7205,C7181,C7157)/POBLA!$B$4*100000</f>
        <v>232.37067065380091</v>
      </c>
      <c r="H7469" s="256">
        <f t="shared" si="1060"/>
        <v>1.2059457130547178</v>
      </c>
      <c r="I7469" s="297">
        <f t="shared" si="1062"/>
        <v>280.22641411460091</v>
      </c>
      <c r="J7469" s="297">
        <f t="shared" si="1063"/>
        <v>232.85714285714286</v>
      </c>
      <c r="K7469" s="297">
        <f>J7469/POBLA!$B$4*100000</f>
        <v>19.33160787861458</v>
      </c>
      <c r="L7469" s="549">
        <f t="shared" si="1061"/>
        <v>-0.39435414884516673</v>
      </c>
      <c r="M7469" s="401">
        <f>SUM(C7469,C7445,C7421,C7397,C7373,C7349,C7325)/POBLA!$B$4*100000</f>
        <v>135.32125515030208</v>
      </c>
    </row>
    <row r="7470" spans="1:13" s="360" customFormat="1" x14ac:dyDescent="0.25">
      <c r="A7470" s="361" t="s">
        <v>29</v>
      </c>
      <c r="B7470" s="29">
        <v>44204</v>
      </c>
      <c r="C7470" s="1">
        <v>468</v>
      </c>
      <c r="D7470" s="276">
        <f t="shared" si="1056"/>
        <v>34796</v>
      </c>
      <c r="E7470" s="1">
        <v>9</v>
      </c>
      <c r="F7470" s="39">
        <f t="shared" si="1057"/>
        <v>532</v>
      </c>
      <c r="G7470" s="168">
        <f>SUM(C7470,C7446,C7422,C7398,C7374,C7350,C7326,C7302,C7278,C7254,C7230,C7206,C7182,C7158)/POBLA!$B$5*100000</f>
        <v>853.80472185513918</v>
      </c>
      <c r="H7470" s="256">
        <f t="shared" si="1060"/>
        <v>1.3922550052687039</v>
      </c>
      <c r="I7470" s="297">
        <f t="shared" si="1062"/>
        <v>1188.7138975248711</v>
      </c>
      <c r="J7470" s="297">
        <f t="shared" si="1063"/>
        <v>392.57142857142856</v>
      </c>
      <c r="K7470" s="297">
        <f>J7470/POBLA!$B$5*100000</f>
        <v>63.420877839111292</v>
      </c>
      <c r="L7470" s="549">
        <f t="shared" si="1061"/>
        <v>-8.3169097359085509E-2</v>
      </c>
      <c r="M7470" s="401">
        <f>SUM(C7470,C7446,C7422,C7398,C7374,C7350,C7326)/POBLA!$B$5*100000</f>
        <v>443.94614487377902</v>
      </c>
    </row>
    <row r="7471" spans="1:13" s="360" customFormat="1" x14ac:dyDescent="0.25">
      <c r="A7471" s="361" t="s">
        <v>20</v>
      </c>
      <c r="B7471" s="29">
        <v>44204</v>
      </c>
      <c r="C7471" s="1">
        <v>991</v>
      </c>
      <c r="D7471" s="276">
        <f t="shared" si="1056"/>
        <v>132450</v>
      </c>
      <c r="E7471" s="1">
        <v>5</v>
      </c>
      <c r="F7471" s="39">
        <f t="shared" si="1057"/>
        <v>2507</v>
      </c>
      <c r="G7471" s="168">
        <f>SUM(C7471,C7447,C7423,C7399,C7375,C7351,C7327,C7303,C7279,C7255,C7231,C7207,C7183,C7159)/POBLA!$B$6*100000</f>
        <v>691.20209564409743</v>
      </c>
      <c r="H7471" s="256">
        <f t="shared" si="1060"/>
        <v>1.4447967176426706</v>
      </c>
      <c r="I7471" s="297">
        <f t="shared" si="1062"/>
        <v>998.64651901432717</v>
      </c>
      <c r="J7471" s="297">
        <f t="shared" si="1063"/>
        <v>644.14285714285711</v>
      </c>
      <c r="K7471" s="297">
        <f>J7471/POBLA!$B$6*100000</f>
        <v>57.471652607631249</v>
      </c>
      <c r="L7471" s="549">
        <f t="shared" si="1061"/>
        <v>-0.39252625077208148</v>
      </c>
      <c r="M7471" s="401">
        <f>SUM(C7471,C7447,C7423,C7399,C7375,C7351,C7327)/POBLA!$B$6*100000</f>
        <v>402.30156825341874</v>
      </c>
    </row>
    <row r="7472" spans="1:13" s="360" customFormat="1" x14ac:dyDescent="0.25">
      <c r="A7472" s="361" t="s">
        <v>30</v>
      </c>
      <c r="B7472" s="29">
        <v>44204</v>
      </c>
      <c r="C7472" s="1">
        <v>298</v>
      </c>
      <c r="D7472" s="276">
        <f t="shared" si="1056"/>
        <v>13348</v>
      </c>
      <c r="E7472" s="1">
        <v>4</v>
      </c>
      <c r="F7472" s="39">
        <f t="shared" si="1057"/>
        <v>174</v>
      </c>
      <c r="G7472" s="168">
        <f>SUM(C7472,C7448,C7424,C7400,C7376,C7352,C7328,C7304,C7280,C7256,C7232,C7208,C7184,C7160)/POBLA!$B$7*100000</f>
        <v>59.141858022311155</v>
      </c>
      <c r="H7472" s="256">
        <f t="shared" si="1060"/>
        <v>1.3222354340071343</v>
      </c>
      <c r="I7472" s="297">
        <f t="shared" si="1062"/>
        <v>78.199460310118909</v>
      </c>
      <c r="J7472" s="297">
        <f t="shared" si="1063"/>
        <v>190.42857142857142</v>
      </c>
      <c r="K7472" s="297">
        <f>J7472/POBLA!$B$7*100000</f>
        <v>5.0639836037860206</v>
      </c>
      <c r="L7472" s="549">
        <f t="shared" si="1061"/>
        <v>-0.4960718294051627</v>
      </c>
      <c r="M7472" s="401">
        <f>SUM(C7472,C7448,C7424,C7400,C7376,C7352,C7328)/POBLA!$B$7*100000</f>
        <v>35.447885226502152</v>
      </c>
    </row>
    <row r="7473" spans="1:13" x14ac:dyDescent="0.25">
      <c r="A7473" s="361" t="s">
        <v>31</v>
      </c>
      <c r="B7473" s="29">
        <v>44204</v>
      </c>
      <c r="C7473" s="1">
        <v>587</v>
      </c>
      <c r="D7473" s="276">
        <f t="shared" si="1056"/>
        <v>32675</v>
      </c>
      <c r="E7473" s="1">
        <v>7</v>
      </c>
      <c r="F7473" s="39">
        <f t="shared" si="1057"/>
        <v>609</v>
      </c>
      <c r="G7473" s="168">
        <f>SUM(C7473,C7449,C7425,C7401,C7377,C7353,C7329,C7305,C7281,C7257,C7233,C7209,C7185,C7161)/POBLA!$B$8*100000</f>
        <v>348.99971932832165</v>
      </c>
      <c r="H7473" s="256">
        <f t="shared" si="1060"/>
        <v>1.9355742296918768</v>
      </c>
      <c r="I7473" s="297">
        <f t="shared" si="1062"/>
        <v>675.51486290159733</v>
      </c>
      <c r="J7473" s="297">
        <f t="shared" si="1063"/>
        <v>417.57142857142856</v>
      </c>
      <c r="K7473" s="297">
        <f>J7473/POBLA!$B$8*100000</f>
        <v>30.128656475285279</v>
      </c>
      <c r="L7473" s="549">
        <f t="shared" si="1061"/>
        <v>-0.52716823406478586</v>
      </c>
      <c r="M7473" s="401">
        <f>SUM(C7473,C7449,C7425,C7401,C7377,C7353,C7329)/POBLA!$B$8*100000</f>
        <v>210.90059532699692</v>
      </c>
    </row>
    <row r="7474" spans="1:13" s="360" customFormat="1" x14ac:dyDescent="0.25">
      <c r="A7474" s="361" t="s">
        <v>41</v>
      </c>
      <c r="B7474" s="29">
        <v>44204</v>
      </c>
      <c r="C7474" s="1">
        <v>3</v>
      </c>
      <c r="D7474" s="276">
        <f t="shared" si="1056"/>
        <v>241</v>
      </c>
      <c r="E7474" s="1"/>
      <c r="F7474" s="39">
        <f t="shared" si="1057"/>
        <v>3</v>
      </c>
      <c r="G7474" s="168">
        <f>SUM(C7474,C7450,C7426,C7402,C7378,C7354,C7330,C7306,C7282,C7258,C7234,C7210,C7186,C7162)/POBLA!$B$9*100000</f>
        <v>4.6266232425028049</v>
      </c>
      <c r="H7474" s="256">
        <f t="shared" si="1060"/>
        <v>1.6470588235294117</v>
      </c>
      <c r="I7474" s="297">
        <f t="shared" si="1062"/>
        <v>7.6203206347105015</v>
      </c>
      <c r="J7474" s="297">
        <f t="shared" si="1063"/>
        <v>3.1428571428571428</v>
      </c>
      <c r="K7474" s="297">
        <f>J7474/POBLA!$B$9*100000</f>
        <v>0.51931485375031483</v>
      </c>
      <c r="L7474" s="549">
        <f t="shared" si="1061"/>
        <v>-2.6666666666666665</v>
      </c>
      <c r="M7474" s="401">
        <f>SUM(C7474,C7450,C7426,C7402,C7378,C7354,C7330)/POBLA!$B$9*100000</f>
        <v>3.6352039762522037</v>
      </c>
    </row>
    <row r="7475" spans="1:13" s="360" customFormat="1" x14ac:dyDescent="0.25">
      <c r="A7475" s="361" t="s">
        <v>32</v>
      </c>
      <c r="B7475" s="29">
        <v>44204</v>
      </c>
      <c r="C7475" s="1">
        <v>41</v>
      </c>
      <c r="D7475" s="276">
        <f t="shared" si="1056"/>
        <v>18658</v>
      </c>
      <c r="E7475" s="1"/>
      <c r="F7475" s="39">
        <f t="shared" si="1057"/>
        <v>859</v>
      </c>
      <c r="G7475" s="168">
        <f>SUM(C7475,C7451,C7427,C7403,C7379,C7355,C7331,C7307,C7283,C7259,C7235,C7211,C7187,C7163)/POBLA!$B$10*100000</f>
        <v>20.755473283165625</v>
      </c>
      <c r="H7475" s="256">
        <f t="shared" si="1060"/>
        <v>2.7118644067796609</v>
      </c>
      <c r="I7475" s="297">
        <f t="shared" si="1062"/>
        <v>56.286029242483046</v>
      </c>
      <c r="J7475" s="297">
        <f t="shared" si="1063"/>
        <v>13.571428571428571</v>
      </c>
      <c r="K7475" s="297">
        <f>J7475/POBLA!$B$10*100000</f>
        <v>1.7605088945542271</v>
      </c>
      <c r="L7475" s="549">
        <f t="shared" si="1061"/>
        <v>-0.46153846153846145</v>
      </c>
      <c r="M7475" s="401">
        <f>SUM(C7475,C7451,C7427,C7403,C7379,C7355,C7331)/POBLA!$B$10*100000</f>
        <v>12.323562261879589</v>
      </c>
    </row>
    <row r="7476" spans="1:13" s="360" customFormat="1" x14ac:dyDescent="0.25">
      <c r="A7476" s="361" t="s">
        <v>33</v>
      </c>
      <c r="B7476" s="29">
        <v>44204</v>
      </c>
      <c r="C7476" s="1">
        <v>330</v>
      </c>
      <c r="D7476" s="276">
        <f t="shared" si="1056"/>
        <v>13083</v>
      </c>
      <c r="E7476" s="1">
        <v>4</v>
      </c>
      <c r="F7476" s="39">
        <f t="shared" si="1057"/>
        <v>142</v>
      </c>
      <c r="G7476" s="168">
        <f>SUM(C7476,C7452,C7428,C7404,C7380,C7356,C7332,C7308,C7284,C7260,C7236,C7212,C7188,C7164)/POBLA!$B$11*100000</f>
        <v>1045.6772350374413</v>
      </c>
      <c r="H7476" s="256">
        <f t="shared" si="1060"/>
        <v>1.4549689440993789</v>
      </c>
      <c r="I7476" s="297">
        <f t="shared" si="1062"/>
        <v>1521.4279025311839</v>
      </c>
      <c r="J7476" s="297">
        <f t="shared" si="1063"/>
        <v>286.57142857142856</v>
      </c>
      <c r="K7476" s="297">
        <f>J7476/POBLA!$B$11*100000</f>
        <v>79.952299644957577</v>
      </c>
      <c r="L7476" s="549">
        <f t="shared" si="1061"/>
        <v>-0.15154994259471866</v>
      </c>
      <c r="M7476" s="401">
        <f>SUM(C7476,C7452,C7428,C7404,C7380,C7356,C7332)/POBLA!$B$11*100000</f>
        <v>559.6660975147031</v>
      </c>
    </row>
    <row r="7477" spans="1:13" s="360" customFormat="1" x14ac:dyDescent="0.25">
      <c r="A7477" s="361" t="s">
        <v>21</v>
      </c>
      <c r="B7477" s="29">
        <v>44204</v>
      </c>
      <c r="C7477" s="1">
        <v>17</v>
      </c>
      <c r="D7477" s="276">
        <f t="shared" si="1056"/>
        <v>9184</v>
      </c>
      <c r="E7477" s="1"/>
      <c r="F7477" s="39">
        <f t="shared" si="1057"/>
        <v>399</v>
      </c>
      <c r="G7477" s="168">
        <f>SUM(C7477,C7453,C7429,C7405,C7381,C7357,C7333,C7309,C7285,C7261,C7237,C7213,C7189,C7165)/POBLA!$B$12*100000</f>
        <v>32.271917587178649</v>
      </c>
      <c r="H7477" s="256">
        <f t="shared" si="1060"/>
        <v>0.83552631578947367</v>
      </c>
      <c r="I7477" s="297">
        <f t="shared" si="1062"/>
        <v>26.964036405076897</v>
      </c>
      <c r="J7477" s="297">
        <f t="shared" si="1063"/>
        <v>10.285714285714286</v>
      </c>
      <c r="K7477" s="297">
        <f>J7477/POBLA!$B$12*100000</f>
        <v>2.6136986122349413</v>
      </c>
      <c r="L7477" s="549">
        <f t="shared" si="1061"/>
        <v>-0.30909090909090908</v>
      </c>
      <c r="M7477" s="401">
        <f>SUM(C7477,C7453,C7429,C7405,C7381,C7357,C7333)/POBLA!$B$12*100000</f>
        <v>18.295890285644589</v>
      </c>
    </row>
    <row r="7478" spans="1:13" s="360" customFormat="1" x14ac:dyDescent="0.25">
      <c r="A7478" s="361" t="s">
        <v>17</v>
      </c>
      <c r="B7478" s="29">
        <v>44204</v>
      </c>
      <c r="C7478" s="1">
        <v>180</v>
      </c>
      <c r="D7478" s="276">
        <f t="shared" si="1056"/>
        <v>61069</v>
      </c>
      <c r="E7478" s="1">
        <v>6</v>
      </c>
      <c r="F7478" s="39">
        <f t="shared" si="1057"/>
        <v>1244</v>
      </c>
      <c r="G7478" s="168">
        <f>SUM(C7478,C7454,C7430,C7406,C7382,C7358,C7334,C7310,C7286,C7262,C7238,C7214,C7190,C7166)/POBLA!$B$13*100000</f>
        <v>78.579618135211206</v>
      </c>
      <c r="H7478" s="256">
        <f t="shared" si="1060"/>
        <v>1.0581867388362651</v>
      </c>
      <c r="I7478" s="297">
        <f t="shared" si="1062"/>
        <v>83.151909853498182</v>
      </c>
      <c r="J7478" s="297">
        <f t="shared" si="1063"/>
        <v>125.85714285714286</v>
      </c>
      <c r="K7478" s="297">
        <f>J7478/POBLA!$B$13*100000</f>
        <v>6.3234055148996235</v>
      </c>
      <c r="L7478" s="549">
        <f t="shared" si="1061"/>
        <v>-0.28989751098096628</v>
      </c>
      <c r="M7478" s="401">
        <f>SUM(C7478,C7454,C7430,C7406,C7382,C7358,C7334)/POBLA!$B$13*100000</f>
        <v>44.263838604297362</v>
      </c>
    </row>
    <row r="7479" spans="1:13" s="360" customFormat="1" x14ac:dyDescent="0.25">
      <c r="A7479" s="361" t="s">
        <v>23</v>
      </c>
      <c r="B7479" s="29">
        <v>44204</v>
      </c>
      <c r="C7479" s="1">
        <v>4</v>
      </c>
      <c r="D7479" s="276">
        <f t="shared" si="1056"/>
        <v>1179</v>
      </c>
      <c r="E7479" s="1"/>
      <c r="F7479" s="39">
        <f t="shared" si="1057"/>
        <v>15</v>
      </c>
      <c r="G7479" s="168">
        <f>SUM(C7479,C7455,C7431,C7407,C7383,C7359,C7335,C7311,C7287,C7263,C7239,C7215,C7191,C7167)/POBLA!$B$14*100000</f>
        <v>18.552375576193974</v>
      </c>
      <c r="H7479" s="256">
        <f t="shared" si="1060"/>
        <v>0.75728155339805825</v>
      </c>
      <c r="I7479" s="297">
        <f t="shared" si="1062"/>
        <v>14.049371795564369</v>
      </c>
      <c r="J7479" s="297">
        <f t="shared" si="1063"/>
        <v>13.857142857142858</v>
      </c>
      <c r="K7479" s="297">
        <f>J7479/POBLA!$B$14*100000</f>
        <v>1.0986449517037944</v>
      </c>
      <c r="L7479" s="549">
        <f t="shared" si="1061"/>
        <v>0.29197080291970801</v>
      </c>
      <c r="M7479" s="401">
        <f>SUM(C7479,C7455,C7431,C7407,C7383,C7359,C7335)/POBLA!$B$14*100000</f>
        <v>7.690514661926561</v>
      </c>
    </row>
    <row r="7480" spans="1:13" s="360" customFormat="1" x14ac:dyDescent="0.25">
      <c r="A7480" s="361" t="s">
        <v>19</v>
      </c>
      <c r="B7480" s="29">
        <v>44204</v>
      </c>
      <c r="C7480" s="1">
        <v>506</v>
      </c>
      <c r="D7480" s="276">
        <f t="shared" si="1056"/>
        <v>44570</v>
      </c>
      <c r="E7480" s="1"/>
      <c r="F7480" s="39">
        <f t="shared" si="1057"/>
        <v>715</v>
      </c>
      <c r="G7480" s="168">
        <f>SUM(C7480,C7456,C7432,C7408,C7384,C7360,C7336,C7312,C7288,C7264,C7240,C7216,C7192,C7168)/POBLA!$B$15*100000</f>
        <v>811.52672135072748</v>
      </c>
      <c r="H7480" s="256">
        <f t="shared" si="1060"/>
        <v>2.1633881975110398</v>
      </c>
      <c r="I7480" s="297">
        <f t="shared" si="1062"/>
        <v>1755.6473309349942</v>
      </c>
      <c r="J7480" s="297">
        <f t="shared" si="1063"/>
        <v>474.42857142857144</v>
      </c>
      <c r="K7480" s="297">
        <f>J7480/POBLA!$B$15*100000</f>
        <v>71.44395306857264</v>
      </c>
      <c r="L7480" s="549">
        <f t="shared" si="1061"/>
        <v>-0.60589941972920691</v>
      </c>
      <c r="M7480" s="401">
        <f>SUM(C7480,C7456,C7432,C7408,C7384,C7360,C7336)/POBLA!$B$15*100000</f>
        <v>500.10767148000849</v>
      </c>
    </row>
    <row r="7481" spans="1:13" s="360" customFormat="1" x14ac:dyDescent="0.25">
      <c r="A7481" s="361" t="s">
        <v>18</v>
      </c>
      <c r="B7481" s="29">
        <v>44204</v>
      </c>
      <c r="C7481" s="1">
        <v>464</v>
      </c>
      <c r="D7481" s="276">
        <f t="shared" si="1056"/>
        <v>41046</v>
      </c>
      <c r="E7481" s="1">
        <v>10</v>
      </c>
      <c r="F7481" s="39">
        <f t="shared" si="1057"/>
        <v>953</v>
      </c>
      <c r="G7481" s="168">
        <f>SUM(C7481,C7457,C7433,C7409,C7385,C7361,C7337,C7313,C7289,C7265,C7241,C7217,C7193,C7169)/POBLA!$B$16*100000</f>
        <v>547.7454822701676</v>
      </c>
      <c r="H7481" s="256">
        <f t="shared" si="1060"/>
        <v>1.3248139760595277</v>
      </c>
      <c r="I7481" s="297">
        <f t="shared" si="1062"/>
        <v>725.66087023498426</v>
      </c>
      <c r="J7481" s="297">
        <f t="shared" si="1063"/>
        <v>335.14285714285717</v>
      </c>
      <c r="K7481" s="297">
        <f>J7481/POBLA!$B$16*100000</f>
        <v>44.828567989039357</v>
      </c>
      <c r="L7481" s="549">
        <f t="shared" si="1061"/>
        <v>-0.34133790737564329</v>
      </c>
      <c r="M7481" s="401">
        <f>SUM(C7481,C7457,C7433,C7409,C7385,C7361,C7337)/POBLA!$B$16*100000</f>
        <v>313.7999759232755</v>
      </c>
    </row>
    <row r="7482" spans="1:13" s="360" customFormat="1" x14ac:dyDescent="0.25">
      <c r="A7482" s="361" t="s">
        <v>34</v>
      </c>
      <c r="B7482" s="29">
        <v>44204</v>
      </c>
      <c r="C7482" s="1">
        <v>38</v>
      </c>
      <c r="D7482" s="276">
        <f t="shared" si="1056"/>
        <v>22616</v>
      </c>
      <c r="E7482" s="1">
        <v>1</v>
      </c>
      <c r="F7482" s="39">
        <f t="shared" si="1057"/>
        <v>1023</v>
      </c>
      <c r="G7482" s="168">
        <f>SUM(C7482,C7458,C7434,C7410,C7386,C7362,C7338,C7314,C7290,C7266,C7242,C7218,C7194,C7170)/POBLA!$B$17*100000</f>
        <v>32.996418835479155</v>
      </c>
      <c r="H7482" s="256">
        <f t="shared" si="1060"/>
        <v>0.752</v>
      </c>
      <c r="I7482" s="297">
        <f t="shared" si="1062"/>
        <v>24.813306964280326</v>
      </c>
      <c r="J7482" s="297">
        <f t="shared" si="1063"/>
        <v>31.857142857142858</v>
      </c>
      <c r="K7482" s="297">
        <f>J7482/POBLA!$B$17*100000</f>
        <v>2.2365353800339975</v>
      </c>
      <c r="L7482" s="549">
        <f t="shared" si="1061"/>
        <v>9.7165991902834037E-2</v>
      </c>
      <c r="M7482" s="401">
        <f>SUM(C7482,C7458,C7434,C7410,C7386,C7362,C7338)/POBLA!$B$17*100000</f>
        <v>15.655747660237981</v>
      </c>
    </row>
    <row r="7483" spans="1:13" s="360" customFormat="1" x14ac:dyDescent="0.25">
      <c r="A7483" s="361" t="s">
        <v>35</v>
      </c>
      <c r="B7483" s="29">
        <v>44204</v>
      </c>
      <c r="C7483" s="1">
        <v>138</v>
      </c>
      <c r="D7483" s="276">
        <f t="shared" si="1056"/>
        <v>12280</v>
      </c>
      <c r="E7483" s="1"/>
      <c r="F7483" s="39">
        <f t="shared" si="1057"/>
        <v>207</v>
      </c>
      <c r="G7483" s="168">
        <f>SUM(C7483,C7459,C7435,C7411,C7387,C7363,C7339,C7315,C7291,C7267,C7243,C7219,C7195,C7171)/POBLA!$B$18*100000</f>
        <v>179.46358054164207</v>
      </c>
      <c r="H7483" s="256">
        <f t="shared" si="1060"/>
        <v>0.82276995305164324</v>
      </c>
      <c r="I7483" s="297">
        <f t="shared" si="1062"/>
        <v>147.65724173672663</v>
      </c>
      <c r="J7483" s="297">
        <f t="shared" si="1063"/>
        <v>102.71428571428571</v>
      </c>
      <c r="K7483" s="297">
        <f>J7483/POBLA!$B$18*100000</f>
        <v>13.147983942270292</v>
      </c>
      <c r="L7483" s="549">
        <f t="shared" si="1061"/>
        <v>-5.2708638360175586E-2</v>
      </c>
      <c r="M7483" s="401">
        <f>SUM(C7483,C7459,C7435,C7411,C7387,C7363,C7339)/POBLA!$B$18*100000</f>
        <v>92.035887595892049</v>
      </c>
    </row>
    <row r="7484" spans="1:13" s="360" customFormat="1" x14ac:dyDescent="0.25">
      <c r="A7484" s="361" t="s">
        <v>36</v>
      </c>
      <c r="B7484" s="29">
        <v>44204</v>
      </c>
      <c r="C7484" s="1">
        <v>74</v>
      </c>
      <c r="D7484" s="276">
        <f t="shared" si="1056"/>
        <v>16520</v>
      </c>
      <c r="E7484" s="1">
        <v>5</v>
      </c>
      <c r="F7484" s="39">
        <f t="shared" si="1057"/>
        <v>320</v>
      </c>
      <c r="G7484" s="168">
        <f>SUM(C7484,C7460,C7436,C7412,C7388,C7364,C7340,C7316,C7292,C7268,C7244,C7220,C7196,C7172)/POBLA!$B$19*100000</f>
        <v>104.65683574385042</v>
      </c>
      <c r="H7484" s="256">
        <f t="shared" si="1060"/>
        <v>0.96903460837887068</v>
      </c>
      <c r="I7484" s="297">
        <f t="shared" si="1062"/>
        <v>101.4160958392139</v>
      </c>
      <c r="J7484" s="297">
        <f t="shared" si="1063"/>
        <v>45.857142857142854</v>
      </c>
      <c r="K7484" s="297">
        <f>J7484/POBLA!$B$19*100000</f>
        <v>9.0211719317336154</v>
      </c>
      <c r="L7484" s="549">
        <f t="shared" si="1061"/>
        <v>-0.52132701421800953</v>
      </c>
      <c r="M7484" s="401">
        <f>SUM(C7484,C7460,C7436,C7412,C7388,C7364,C7340)/POBLA!$B$19*100000</f>
        <v>63.148203522135312</v>
      </c>
    </row>
    <row r="7485" spans="1:13" s="360" customFormat="1" x14ac:dyDescent="0.25">
      <c r="A7485" s="361" t="s">
        <v>37</v>
      </c>
      <c r="B7485" s="29">
        <v>44204</v>
      </c>
      <c r="C7485" s="1">
        <v>414</v>
      </c>
      <c r="D7485" s="276">
        <f t="shared" si="1056"/>
        <v>26574</v>
      </c>
      <c r="E7485" s="1">
        <v>4</v>
      </c>
      <c r="F7485" s="39">
        <f t="shared" si="1057"/>
        <v>418</v>
      </c>
      <c r="G7485" s="168">
        <f>SUM(C7485,C7461,C7437,C7413,C7389,C7365,C7341,C7317,C7293,C7269,C7245,C7221,C7197,C7173)/POBLA!$B$20*100000</f>
        <v>1295.057670536891</v>
      </c>
      <c r="H7485" s="256">
        <f t="shared" si="1060"/>
        <v>1.3795514127585202</v>
      </c>
      <c r="I7485" s="297">
        <f t="shared" si="1062"/>
        <v>1786.5986389929262</v>
      </c>
      <c r="J7485" s="297">
        <f t="shared" si="1063"/>
        <v>383.57142857142856</v>
      </c>
      <c r="K7485" s="297">
        <f>J7485/POBLA!$B$20*100000</f>
        <v>104.88748327073939</v>
      </c>
      <c r="L7485" s="549">
        <f t="shared" si="1061"/>
        <v>-0.30911750365675283</v>
      </c>
      <c r="M7485" s="401">
        <f>SUM(C7485,C7461,C7437,C7413,C7389,C7365,C7341)/POBLA!$B$20*100000</f>
        <v>734.21238289517578</v>
      </c>
    </row>
    <row r="7486" spans="1:13" s="360" customFormat="1" x14ac:dyDescent="0.25">
      <c r="A7486" s="361" t="s">
        <v>22</v>
      </c>
      <c r="B7486" s="29">
        <v>44204</v>
      </c>
      <c r="C7486" s="1">
        <v>1428</v>
      </c>
      <c r="D7486" s="276">
        <f t="shared" si="1056"/>
        <v>184719</v>
      </c>
      <c r="E7486" s="1">
        <v>11</v>
      </c>
      <c r="F7486" s="39">
        <f t="shared" si="1057"/>
        <v>3083</v>
      </c>
      <c r="G7486" s="168">
        <f>SUM(C7486,C7462,C7438,C7414,C7390,C7366,C7342,C7318,C7294,C7270,C7246,C7222,C7198,C7174)/POBLA!$B$21*100000</f>
        <v>389.60326522486878</v>
      </c>
      <c r="H7486" s="256">
        <f t="shared" si="1060"/>
        <v>1.1123849507508476</v>
      </c>
      <c r="I7486" s="297">
        <f t="shared" si="1062"/>
        <v>433.38880899953512</v>
      </c>
      <c r="J7486" s="297">
        <f t="shared" si="1063"/>
        <v>1141.7142857142858</v>
      </c>
      <c r="K7486" s="297">
        <f>J7486/POBLA!$B$21*100000</f>
        <v>32.284483500374833</v>
      </c>
      <c r="L7486" s="549">
        <f t="shared" si="1061"/>
        <v>-0.38126512270998969</v>
      </c>
      <c r="M7486" s="401">
        <f>SUM(C7486,C7462,C7438,C7414,C7390,C7366,C7342)/POBLA!$B$21*100000</f>
        <v>225.99138450262384</v>
      </c>
    </row>
    <row r="7487" spans="1:13" s="360" customFormat="1" x14ac:dyDescent="0.25">
      <c r="A7487" s="361" t="s">
        <v>38</v>
      </c>
      <c r="B7487" s="29">
        <v>44204</v>
      </c>
      <c r="C7487" s="1">
        <v>228</v>
      </c>
      <c r="D7487" s="276">
        <f t="shared" si="1056"/>
        <v>18427</v>
      </c>
      <c r="E7487" s="1">
        <v>2</v>
      </c>
      <c r="F7487" s="39">
        <f t="shared" si="1057"/>
        <v>222</v>
      </c>
      <c r="G7487" s="168">
        <f>SUM(C7487,C7463,C7439,C7415,C7391,C7367,C7343,C7319,C7295,C7271,C7247,C7223,C7199,C7175)/POBLA!$B$22*100000</f>
        <v>145.86333821588795</v>
      </c>
      <c r="H7487" s="256">
        <f t="shared" si="1060"/>
        <v>2.382303839732888</v>
      </c>
      <c r="I7487" s="297">
        <f t="shared" si="1062"/>
        <v>347.49079070796677</v>
      </c>
      <c r="J7487" s="297">
        <f t="shared" si="1063"/>
        <v>141.14285714285714</v>
      </c>
      <c r="K7487" s="297">
        <f>J7487/POBLA!$B$22*100000</f>
        <v>14.42716770019995</v>
      </c>
      <c r="L7487" s="549">
        <f t="shared" si="1061"/>
        <v>-1.2505694760820045</v>
      </c>
      <c r="M7487" s="401">
        <f>SUM(C7487,C7463,C7439,C7415,C7391,C7367,C7343)/POBLA!$B$22*100000</f>
        <v>100.99017390139966</v>
      </c>
    </row>
    <row r="7488" spans="1:13" s="360" customFormat="1" x14ac:dyDescent="0.25">
      <c r="A7488" s="361" t="s">
        <v>39</v>
      </c>
      <c r="B7488" s="29">
        <v>44204</v>
      </c>
      <c r="C7488" s="1">
        <v>127</v>
      </c>
      <c r="D7488" s="276">
        <f t="shared" si="1056"/>
        <v>20040</v>
      </c>
      <c r="E7488" s="1">
        <v>9</v>
      </c>
      <c r="F7488" s="39">
        <f t="shared" si="1057"/>
        <v>274</v>
      </c>
      <c r="G7488" s="168">
        <f>SUM(C7488,C7464,C7440,C7416,C7392,C7368,C7344,C7320,C7296,C7272,C7248,C7224,C7200,C7176)/POBLA!$B$23*100000</f>
        <v>855.6240456936041</v>
      </c>
      <c r="H7488" s="256">
        <f t="shared" si="1060"/>
        <v>1.2714285714285714</v>
      </c>
      <c r="I7488" s="297">
        <f t="shared" si="1062"/>
        <v>1087.8648580961537</v>
      </c>
      <c r="J7488" s="297">
        <f t="shared" si="1063"/>
        <v>117</v>
      </c>
      <c r="K7488" s="297">
        <f>J7488/POBLA!$B$23*100000</f>
        <v>66.165243454165022</v>
      </c>
      <c r="L7488" s="549">
        <f t="shared" si="1061"/>
        <v>-0.18011527377521608</v>
      </c>
      <c r="M7488" s="401">
        <f>SUM(C7488,C7464,C7440,C7416,C7392,C7368,C7344)/POBLA!$B$23*100000</f>
        <v>463.15670417915516</v>
      </c>
    </row>
    <row r="7489" spans="1:13" s="360" customFormat="1" ht="15.75" thickBot="1" x14ac:dyDescent="0.3">
      <c r="A7489" s="361" t="s">
        <v>40</v>
      </c>
      <c r="B7489" s="29">
        <v>44204</v>
      </c>
      <c r="C7489" s="1">
        <v>269</v>
      </c>
      <c r="D7489" s="276">
        <f t="shared" si="1056"/>
        <v>72601</v>
      </c>
      <c r="E7489" s="1"/>
      <c r="F7489" s="39">
        <f t="shared" si="1057"/>
        <v>1383</v>
      </c>
      <c r="G7489" s="177">
        <f>SUM(C7489,C7465,C7441,C7417,C7393,C7369,C7345,C7321,C7297,C7273,C7249,C7225,C7201,C7177)/POBLA!$B$24*100000</f>
        <v>137.01895841987991</v>
      </c>
      <c r="H7489" s="402">
        <f t="shared" si="1060"/>
        <v>1.0875878220140516</v>
      </c>
      <c r="I7489" s="403">
        <f t="shared" si="1062"/>
        <v>149.02015056251108</v>
      </c>
      <c r="J7489" s="403">
        <f t="shared" si="1063"/>
        <v>208</v>
      </c>
      <c r="K7489" s="403">
        <f>J7489/POBLA!$B$24*100000</f>
        <v>12.273877412288984</v>
      </c>
      <c r="L7489" s="550">
        <f t="shared" si="1061"/>
        <v>-0.68129330254041576</v>
      </c>
      <c r="M7489" s="405">
        <f>SUM(C7489,C7465,C7441,C7417,C7393,C7369,C7345)/POBLA!$B$24*100000</f>
        <v>85.91714188602289</v>
      </c>
    </row>
    <row r="7490" spans="1:13" s="360" customFormat="1" x14ac:dyDescent="0.25">
      <c r="A7490" s="361" t="s">
        <v>16</v>
      </c>
      <c r="B7490" s="29">
        <v>44205</v>
      </c>
      <c r="C7490" s="1">
        <v>4389</v>
      </c>
      <c r="D7490" s="276">
        <f t="shared" si="1056"/>
        <v>718659</v>
      </c>
      <c r="E7490" s="1">
        <v>68</v>
      </c>
      <c r="F7490" s="39">
        <f t="shared" si="1057"/>
        <v>22860</v>
      </c>
      <c r="G7490" s="175">
        <f>SUM(C7490,C7466,C7442,C7418,C7394,C7370,C7346,C7322,C7298,C7274,C7250,C7226,C7202,C7178)/POBLA!$B$1*100000</f>
        <v>300.23702563020271</v>
      </c>
      <c r="H7490" s="300">
        <f t="shared" ref="H7490:H7513" si="1064">SUM(C7490,C7466,C7442,C7418,C7394,C7370,C7346,C7322,C7298,C7274,C7250,C7226,C7202,C7178)/SUM(C7154,C7130,C7106,C7082,C7058,C7034,C7010,C6986,C6962,C6938,C6914,C6890,C6866,C6842)</f>
        <v>1.8264262181376798</v>
      </c>
      <c r="I7490" s="301">
        <f>G7490*H7490</f>
        <v>548.3607752666768</v>
      </c>
      <c r="J7490" s="301">
        <f>AVERAGE(C7490,C7466,C7442,C7418,C7394,C7370,C7346)</f>
        <v>4330</v>
      </c>
      <c r="K7490" s="301">
        <f>J7490/POBLA!$B$1*100000</f>
        <v>24.684825234572827</v>
      </c>
      <c r="L7490" s="548">
        <f t="shared" ref="L7490:L7513" si="1065">1-SUM(C7490,C7466,C7442,C7418,C7394,C7370,C7346)/SUM(C7322,C7298,C7274,C7250,C7226,C7202,C7178)</f>
        <v>-0.35584880339968694</v>
      </c>
      <c r="M7490" s="400">
        <f>SUM(C7490,C7466,C7442,C7418,C7394,C7370,C7346)/POBLA!$B$1*100000</f>
        <v>172.79377664200976</v>
      </c>
    </row>
    <row r="7491" spans="1:13" s="360" customFormat="1" x14ac:dyDescent="0.25">
      <c r="A7491" s="361" t="s">
        <v>43</v>
      </c>
      <c r="B7491" s="29">
        <v>44205</v>
      </c>
      <c r="C7491" s="1">
        <v>1350</v>
      </c>
      <c r="D7491" s="276">
        <f t="shared" si="1056"/>
        <v>184790</v>
      </c>
      <c r="E7491" s="1">
        <v>4</v>
      </c>
      <c r="F7491" s="39">
        <f t="shared" si="1057"/>
        <v>5593</v>
      </c>
      <c r="G7491" s="168">
        <f>SUM(C7491,C7467,C7443,C7419,C7395,C7371,C7347,C7323,C7299,C7275,C7251,C7227,C7203,C7179)/POBLA!$B$2*100000</f>
        <v>493.91249838245363</v>
      </c>
      <c r="H7491" s="256">
        <f t="shared" si="1064"/>
        <v>2.159039226833428</v>
      </c>
      <c r="I7491" s="297">
        <f t="shared" ref="I7491:I7513" si="1066">G7491*H7491</f>
        <v>1066.3764586310194</v>
      </c>
      <c r="J7491" s="297">
        <f t="shared" ref="J7491:J7513" si="1067">AVERAGE(C7491,C7467,C7443,C7419,C7395,C7371,C7347)</f>
        <v>1303.1428571428571</v>
      </c>
      <c r="K7491" s="297">
        <f>J7491/POBLA!$B$2*100000</f>
        <v>42.369728412920637</v>
      </c>
      <c r="L7491" s="549">
        <f t="shared" si="1065"/>
        <v>-0.50304827813478337</v>
      </c>
      <c r="M7491" s="401">
        <f>SUM(C7491,C7467,C7443,C7419,C7395,C7371,C7347)/POBLA!$B$2*100000</f>
        <v>296.58809889044448</v>
      </c>
    </row>
    <row r="7492" spans="1:13" s="360" customFormat="1" x14ac:dyDescent="0.25">
      <c r="A7492" s="361" t="s">
        <v>28</v>
      </c>
      <c r="B7492" s="29">
        <v>44205</v>
      </c>
      <c r="C7492" s="1">
        <v>69</v>
      </c>
      <c r="D7492" s="276">
        <f t="shared" si="1056"/>
        <v>3122</v>
      </c>
      <c r="E7492" s="1"/>
      <c r="F7492" s="39">
        <f t="shared" si="1057"/>
        <v>17</v>
      </c>
      <c r="G7492" s="168">
        <f>SUM(C7492,C7468,C7444,C7420,C7396,C7372,C7348,C7324,C7300,C7276,C7252,C7228,C7204,C7180)/POBLA!$B$3*100000</f>
        <v>142.50020460333431</v>
      </c>
      <c r="H7492" s="256">
        <f t="shared" si="1064"/>
        <v>1.4265060240963856</v>
      </c>
      <c r="I7492" s="297">
        <f t="shared" si="1066"/>
        <v>203.27740030162389</v>
      </c>
      <c r="J7492" s="297">
        <f t="shared" si="1067"/>
        <v>43.428571428571431</v>
      </c>
      <c r="K7492" s="297">
        <f>J7492/POBLA!$B$3*100000</f>
        <v>10.453682963178965</v>
      </c>
      <c r="L7492" s="549">
        <f t="shared" si="1065"/>
        <v>-5.555555555555558E-2</v>
      </c>
      <c r="M7492" s="401">
        <f>SUM(C7492,C7468,C7444,C7420,C7396,C7372,C7348)/POBLA!$B$3*100000</f>
        <v>73.175780742252755</v>
      </c>
    </row>
    <row r="7493" spans="1:13" s="360" customFormat="1" x14ac:dyDescent="0.25">
      <c r="A7493" s="361" t="s">
        <v>15</v>
      </c>
      <c r="B7493" s="29">
        <v>44205</v>
      </c>
      <c r="C7493" s="1">
        <v>225</v>
      </c>
      <c r="D7493" s="276">
        <f t="shared" si="1056"/>
        <v>26738</v>
      </c>
      <c r="E7493" s="1">
        <v>1</v>
      </c>
      <c r="F7493" s="39">
        <f t="shared" si="1057"/>
        <v>732</v>
      </c>
      <c r="G7493" s="168">
        <f>SUM(C7493,C7469,C7445,C7421,C7397,C7373,C7349,C7325,C7301,C7277,C7253,C7229,C7205,C7181)/POBLA!$B$4*100000</f>
        <v>245.81977699389225</v>
      </c>
      <c r="H7493" s="256">
        <f t="shared" si="1064"/>
        <v>1.3557692307692308</v>
      </c>
      <c r="I7493" s="297">
        <f t="shared" si="1066"/>
        <v>333.27488996287315</v>
      </c>
      <c r="J7493" s="297">
        <f t="shared" si="1067"/>
        <v>243.28571428571428</v>
      </c>
      <c r="K7493" s="297">
        <f>J7493/POBLA!$B$4*100000</f>
        <v>20.197379274405296</v>
      </c>
      <c r="L7493" s="549">
        <f t="shared" si="1065"/>
        <v>-0.35373608903020659</v>
      </c>
      <c r="M7493" s="401">
        <f>SUM(C7493,C7469,C7445,C7421,C7397,C7373,C7349)/POBLA!$B$4*100000</f>
        <v>141.38165492083706</v>
      </c>
    </row>
    <row r="7494" spans="1:13" s="360" customFormat="1" x14ac:dyDescent="0.25">
      <c r="A7494" s="361" t="s">
        <v>29</v>
      </c>
      <c r="B7494" s="29">
        <v>44205</v>
      </c>
      <c r="C7494" s="1">
        <v>330</v>
      </c>
      <c r="D7494" s="276">
        <f t="shared" si="1056"/>
        <v>35126</v>
      </c>
      <c r="E7494" s="1"/>
      <c r="F7494" s="39">
        <f t="shared" si="1057"/>
        <v>532</v>
      </c>
      <c r="G7494" s="168">
        <f>SUM(C7494,C7470,C7446,C7422,C7398,C7374,C7350,C7326,C7302,C7278,C7254,C7230,C7206,C7182)/POBLA!$B$5*100000</f>
        <v>872.38325411877986</v>
      </c>
      <c r="H7494" s="256">
        <f t="shared" si="1064"/>
        <v>1.4278159703860391</v>
      </c>
      <c r="I7494" s="297">
        <f t="shared" si="1066"/>
        <v>1245.6027425281363</v>
      </c>
      <c r="J7494" s="297">
        <f t="shared" si="1067"/>
        <v>410.57142857142856</v>
      </c>
      <c r="K7494" s="297">
        <f>J7494/POBLA!$B$5*100000</f>
        <v>66.328822019507228</v>
      </c>
      <c r="L7494" s="549">
        <f t="shared" si="1065"/>
        <v>-0.13776722090261284</v>
      </c>
      <c r="M7494" s="401">
        <f>SUM(C7494,C7470,C7446,C7422,C7398,C7374,C7350)/POBLA!$B$5*100000</f>
        <v>464.30175413655064</v>
      </c>
    </row>
    <row r="7495" spans="1:13" s="360" customFormat="1" x14ac:dyDescent="0.25">
      <c r="A7495" s="361" t="s">
        <v>20</v>
      </c>
      <c r="B7495" s="29">
        <v>44205</v>
      </c>
      <c r="C7495" s="1">
        <v>628</v>
      </c>
      <c r="D7495" s="276">
        <f t="shared" si="1056"/>
        <v>133078</v>
      </c>
      <c r="E7495" s="1">
        <v>2</v>
      </c>
      <c r="F7495" s="39">
        <f t="shared" si="1057"/>
        <v>2509</v>
      </c>
      <c r="G7495" s="168">
        <f>SUM(C7495,C7471,C7447,C7423,C7399,C7375,C7351,C7327,C7303,C7279,C7255,C7231,C7207,C7183)/POBLA!$B$6*100000</f>
        <v>732.69028132558765</v>
      </c>
      <c r="H7495" s="256">
        <f t="shared" si="1064"/>
        <v>1.568972105464272</v>
      </c>
      <c r="I7495" s="297">
        <f t="shared" si="1066"/>
        <v>1149.570613344617</v>
      </c>
      <c r="J7495" s="297">
        <f t="shared" si="1067"/>
        <v>722</v>
      </c>
      <c r="K7495" s="297">
        <f>J7495/POBLA!$B$6*100000</f>
        <v>64.41821518717417</v>
      </c>
      <c r="L7495" s="549">
        <f t="shared" si="1065"/>
        <v>-0.60037998733375564</v>
      </c>
      <c r="M7495" s="401">
        <f>SUM(C7495,C7471,C7447,C7423,C7399,C7375,C7351)/POBLA!$B$6*100000</f>
        <v>450.9275063102192</v>
      </c>
    </row>
    <row r="7496" spans="1:13" s="360" customFormat="1" x14ac:dyDescent="0.25">
      <c r="A7496" s="361" t="s">
        <v>30</v>
      </c>
      <c r="B7496" s="29">
        <v>44205</v>
      </c>
      <c r="C7496" s="1">
        <v>298</v>
      </c>
      <c r="D7496" s="276">
        <f t="shared" si="1056"/>
        <v>13646</v>
      </c>
      <c r="E7496" s="1"/>
      <c r="F7496" s="39">
        <f t="shared" si="1057"/>
        <v>174</v>
      </c>
      <c r="G7496" s="168">
        <f>SUM(C7496,C7472,C7448,C7424,C7400,C7376,C7352,C7328,C7304,C7280,C7256,C7232,C7208,C7184)/POBLA!$B$7*100000</f>
        <v>66.428220026858483</v>
      </c>
      <c r="H7496" s="256">
        <f t="shared" si="1064"/>
        <v>1.5213154689403168</v>
      </c>
      <c r="I7496" s="297">
        <f t="shared" si="1066"/>
        <v>101.05827870103076</v>
      </c>
      <c r="J7496" s="297">
        <f t="shared" si="1067"/>
        <v>218.28571428571428</v>
      </c>
      <c r="K7496" s="297">
        <f>J7496/POBLA!$B$7*100000</f>
        <v>5.8047764040397896</v>
      </c>
      <c r="L7496" s="549">
        <f t="shared" si="1065"/>
        <v>-0.57525773195876284</v>
      </c>
      <c r="M7496" s="401">
        <f>SUM(C7496,C7472,C7448,C7424,C7400,C7376,C7352)/POBLA!$B$7*100000</f>
        <v>40.633434828278531</v>
      </c>
    </row>
    <row r="7497" spans="1:13" x14ac:dyDescent="0.25">
      <c r="A7497" s="361" t="s">
        <v>31</v>
      </c>
      <c r="B7497" s="29">
        <v>44205</v>
      </c>
      <c r="C7497" s="1">
        <v>516</v>
      </c>
      <c r="D7497" s="276">
        <f t="shared" si="1056"/>
        <v>33191</v>
      </c>
      <c r="E7497" s="1">
        <v>1</v>
      </c>
      <c r="F7497" s="39">
        <f t="shared" si="1057"/>
        <v>610</v>
      </c>
      <c r="G7497" s="168">
        <f>SUM(C7497,C7473,C7449,C7425,C7401,C7377,C7353,C7329,C7305,C7281,C7257,C7233,C7209,C7185)/POBLA!$B$8*100000</f>
        <v>380.09727546446112</v>
      </c>
      <c r="H7497" s="256">
        <f t="shared" si="1064"/>
        <v>2.2532078699743372</v>
      </c>
      <c r="I7497" s="297">
        <f t="shared" si="1066"/>
        <v>856.43817243232729</v>
      </c>
      <c r="J7497" s="297">
        <f t="shared" si="1067"/>
        <v>470.85714285714283</v>
      </c>
      <c r="K7497" s="297">
        <f>J7497/POBLA!$B$8*100000</f>
        <v>33.973332789100333</v>
      </c>
      <c r="L7497" s="549">
        <f t="shared" si="1065"/>
        <v>-0.6713995943204869</v>
      </c>
      <c r="M7497" s="401">
        <f>SUM(C7497,C7473,C7449,C7425,C7401,C7377,C7353)/POBLA!$B$8*100000</f>
        <v>237.81332952370232</v>
      </c>
    </row>
    <row r="7498" spans="1:13" s="360" customFormat="1" x14ac:dyDescent="0.25">
      <c r="A7498" s="361" t="s">
        <v>41</v>
      </c>
      <c r="B7498" s="29">
        <v>44205</v>
      </c>
      <c r="C7498" s="1">
        <v>18</v>
      </c>
      <c r="D7498" s="276">
        <f t="shared" si="1056"/>
        <v>259</v>
      </c>
      <c r="E7498" s="1"/>
      <c r="F7498" s="39">
        <f t="shared" si="1057"/>
        <v>3</v>
      </c>
      <c r="G7498" s="168">
        <f>SUM(C7498,C7474,C7450,C7426,C7402,C7378,C7354,C7330,C7306,C7282,C7258,C7234,C7210,C7186)/POBLA!$B$9*100000</f>
        <v>7.600881041254608</v>
      </c>
      <c r="H7498" s="256">
        <f t="shared" si="1064"/>
        <v>2.7058823529411766</v>
      </c>
      <c r="I7498" s="297">
        <f t="shared" si="1066"/>
        <v>20.567089876335999</v>
      </c>
      <c r="J7498" s="297">
        <f t="shared" si="1067"/>
        <v>5.5714285714285712</v>
      </c>
      <c r="K7498" s="297">
        <f>J7498/POBLA!$B$9*100000</f>
        <v>0.9206036043755581</v>
      </c>
      <c r="L7498" s="549">
        <f t="shared" si="1065"/>
        <v>-4.5714285714285712</v>
      </c>
      <c r="M7498" s="401">
        <f>SUM(C7498,C7474,C7450,C7426,C7402,C7378,C7354)/POBLA!$B$9*100000</f>
        <v>6.4442252306289065</v>
      </c>
    </row>
    <row r="7499" spans="1:13" s="360" customFormat="1" x14ac:dyDescent="0.25">
      <c r="A7499" s="361" t="s">
        <v>32</v>
      </c>
      <c r="B7499" s="29">
        <v>44205</v>
      </c>
      <c r="C7499" s="1">
        <v>8</v>
      </c>
      <c r="D7499" s="276">
        <f t="shared" si="1056"/>
        <v>18666</v>
      </c>
      <c r="E7499" s="1"/>
      <c r="F7499" s="39">
        <f t="shared" si="1057"/>
        <v>859</v>
      </c>
      <c r="G7499" s="168">
        <f>SUM(C7499,C7475,C7451,C7427,C7403,C7379,C7355,C7331,C7307,C7283,C7259,C7235,C7211,C7187)/POBLA!$B$10*100000</f>
        <v>21.533803531284338</v>
      </c>
      <c r="H7499" s="256">
        <f t="shared" si="1064"/>
        <v>3.1923076923076925</v>
      </c>
      <c r="I7499" s="297">
        <f t="shared" si="1066"/>
        <v>68.742526657561541</v>
      </c>
      <c r="J7499" s="297">
        <f t="shared" si="1067"/>
        <v>14.857142857142858</v>
      </c>
      <c r="K7499" s="297">
        <f>J7499/POBLA!$B$10*100000</f>
        <v>1.9272939477225224</v>
      </c>
      <c r="L7499" s="549">
        <f t="shared" si="1065"/>
        <v>-0.67741935483870974</v>
      </c>
      <c r="M7499" s="401">
        <f>SUM(C7499,C7475,C7451,C7427,C7403,C7379,C7355)/POBLA!$B$10*100000</f>
        <v>13.491057634057654</v>
      </c>
    </row>
    <row r="7500" spans="1:13" s="360" customFormat="1" x14ac:dyDescent="0.25">
      <c r="A7500" s="361" t="s">
        <v>33</v>
      </c>
      <c r="B7500" s="29">
        <v>44205</v>
      </c>
      <c r="C7500" s="1">
        <v>315</v>
      </c>
      <c r="D7500" s="276">
        <f t="shared" si="1056"/>
        <v>13398</v>
      </c>
      <c r="E7500" s="1">
        <v>12</v>
      </c>
      <c r="F7500" s="39">
        <f t="shared" si="1057"/>
        <v>154</v>
      </c>
      <c r="G7500" s="168">
        <f>SUM(C7500,C7476,C7452,C7428,C7404,C7380,C7356,C7332,C7308,C7284,C7260,C7236,C7212,C7188)/POBLA!$B$11*100000</f>
        <v>1082.7837110939993</v>
      </c>
      <c r="H7500" s="256">
        <f t="shared" si="1064"/>
        <v>1.4551931008623922</v>
      </c>
      <c r="I7500" s="297">
        <f t="shared" si="1066"/>
        <v>1575.6593861101653</v>
      </c>
      <c r="J7500" s="297">
        <f t="shared" si="1067"/>
        <v>303.42857142857144</v>
      </c>
      <c r="K7500" s="297">
        <f>J7500/POBLA!$B$11*100000</f>
        <v>84.65537609466098</v>
      </c>
      <c r="L7500" s="549">
        <f t="shared" si="1065"/>
        <v>-0.20887877063175875</v>
      </c>
      <c r="M7500" s="401">
        <f>SUM(C7500,C7476,C7452,C7428,C7404,C7380,C7356)/POBLA!$B$11*100000</f>
        <v>592.58763266262679</v>
      </c>
    </row>
    <row r="7501" spans="1:13" s="360" customFormat="1" x14ac:dyDescent="0.25">
      <c r="A7501" s="361" t="s">
        <v>21</v>
      </c>
      <c r="B7501" s="29">
        <v>44205</v>
      </c>
      <c r="C7501" s="1">
        <v>15</v>
      </c>
      <c r="D7501" s="276">
        <f t="shared" si="1056"/>
        <v>9199</v>
      </c>
      <c r="E7501" s="1">
        <v>2</v>
      </c>
      <c r="F7501" s="39">
        <f t="shared" si="1057"/>
        <v>401</v>
      </c>
      <c r="G7501" s="168">
        <f>SUM(C7501,C7477,C7453,C7429,C7405,C7381,C7357,C7333,C7309,C7285,C7261,C7237,C7213,C7189)/POBLA!$B$12*100000</f>
        <v>35.06712304748546</v>
      </c>
      <c r="H7501" s="256">
        <f t="shared" si="1064"/>
        <v>1</v>
      </c>
      <c r="I7501" s="297">
        <f t="shared" si="1066"/>
        <v>35.06712304748546</v>
      </c>
      <c r="J7501" s="297">
        <f t="shared" si="1067"/>
        <v>11.142857142857142</v>
      </c>
      <c r="K7501" s="297">
        <f>J7501/POBLA!$B$12*100000</f>
        <v>2.8315068299211861</v>
      </c>
      <c r="L7501" s="549">
        <f t="shared" si="1065"/>
        <v>-0.30000000000000004</v>
      </c>
      <c r="M7501" s="401">
        <f>SUM(C7501,C7477,C7453,C7429,C7405,C7381,C7357)/POBLA!$B$12*100000</f>
        <v>19.820547809448303</v>
      </c>
    </row>
    <row r="7502" spans="1:13" s="360" customFormat="1" x14ac:dyDescent="0.25">
      <c r="A7502" s="361" t="s">
        <v>17</v>
      </c>
      <c r="B7502" s="29">
        <v>44205</v>
      </c>
      <c r="C7502" s="1">
        <v>145</v>
      </c>
      <c r="D7502" s="276">
        <f t="shared" si="1056"/>
        <v>61214</v>
      </c>
      <c r="E7502" s="1">
        <v>1</v>
      </c>
      <c r="F7502" s="39">
        <f t="shared" si="1057"/>
        <v>1245</v>
      </c>
      <c r="G7502" s="168">
        <f>SUM(C7502,C7478,C7454,C7430,C7406,C7382,C7358,C7334,C7310,C7286,C7262,C7238,C7214,C7190)/POBLA!$B$13*100000</f>
        <v>83.201948613753046</v>
      </c>
      <c r="H7502" s="256">
        <f t="shared" si="1064"/>
        <v>1.1661971830985915</v>
      </c>
      <c r="I7502" s="297">
        <f t="shared" si="1066"/>
        <v>97.029878101672566</v>
      </c>
      <c r="J7502" s="297">
        <f t="shared" si="1067"/>
        <v>137.28571428571428</v>
      </c>
      <c r="K7502" s="297">
        <f>J7502/POBLA!$B$13*100000</f>
        <v>6.8976080588178625</v>
      </c>
      <c r="L7502" s="549">
        <f t="shared" si="1065"/>
        <v>-0.38273381294964026</v>
      </c>
      <c r="M7502" s="401">
        <f>SUM(C7502,C7478,C7454,C7430,C7406,C7382,C7358)/POBLA!$B$13*100000</f>
        <v>48.283256411725048</v>
      </c>
    </row>
    <row r="7503" spans="1:13" s="360" customFormat="1" x14ac:dyDescent="0.25">
      <c r="A7503" s="361" t="s">
        <v>23</v>
      </c>
      <c r="B7503" s="29">
        <v>44205</v>
      </c>
      <c r="C7503" s="1">
        <v>156</v>
      </c>
      <c r="D7503" s="276">
        <f t="shared" si="1056"/>
        <v>1335</v>
      </c>
      <c r="E7503" s="1">
        <v>1</v>
      </c>
      <c r="F7503" s="39">
        <f t="shared" si="1057"/>
        <v>16</v>
      </c>
      <c r="G7503" s="168">
        <f>SUM(C7503,C7479,C7455,C7431,C7407,C7383,C7359,C7335,C7311,C7287,C7263,C7239,C7215,C7191)/POBLA!$B$14*100000</f>
        <v>27.511428739056871</v>
      </c>
      <c r="H7503" s="256">
        <f t="shared" si="1064"/>
        <v>1.042042042042042</v>
      </c>
      <c r="I7503" s="297">
        <f t="shared" si="1066"/>
        <v>28.668065382740942</v>
      </c>
      <c r="J7503" s="297">
        <f t="shared" si="1067"/>
        <v>35.857142857142854</v>
      </c>
      <c r="K7503" s="297">
        <f>J7503/POBLA!$B$14*100000</f>
        <v>2.8428853904912614</v>
      </c>
      <c r="L7503" s="549">
        <f t="shared" si="1065"/>
        <v>-1.6145833333333335</v>
      </c>
      <c r="M7503" s="401">
        <f>SUM(C7503,C7479,C7455,C7431,C7407,C7383,C7359)/POBLA!$B$14*100000</f>
        <v>19.900197733438834</v>
      </c>
    </row>
    <row r="7504" spans="1:13" s="360" customFormat="1" x14ac:dyDescent="0.25">
      <c r="A7504" s="361" t="s">
        <v>19</v>
      </c>
      <c r="B7504" s="29">
        <v>44205</v>
      </c>
      <c r="C7504" s="1">
        <v>351</v>
      </c>
      <c r="D7504" s="276">
        <f t="shared" si="1056"/>
        <v>44921</v>
      </c>
      <c r="E7504" s="1">
        <v>38</v>
      </c>
      <c r="F7504" s="39">
        <f t="shared" si="1057"/>
        <v>753</v>
      </c>
      <c r="G7504" s="168">
        <f>SUM(C7504,C7480,C7456,C7432,C7408,C7384,C7360,C7336,C7312,C7288,C7264,C7240,C7216,C7192)/POBLA!$B$15*100000</f>
        <v>849.02350250053837</v>
      </c>
      <c r="H7504" s="256">
        <f t="shared" si="1064"/>
        <v>2.2853668423186058</v>
      </c>
      <c r="I7504" s="297">
        <f t="shared" si="1066"/>
        <v>1940.3301609639382</v>
      </c>
      <c r="J7504" s="297">
        <f t="shared" si="1067"/>
        <v>481</v>
      </c>
      <c r="K7504" s="297">
        <f>J7504/POBLA!$B$15*100000</f>
        <v>72.433541096622733</v>
      </c>
      <c r="L7504" s="549">
        <f t="shared" si="1065"/>
        <v>-0.48260678115367672</v>
      </c>
      <c r="M7504" s="401">
        <f>SUM(C7504,C7480,C7456,C7432,C7408,C7384,C7360)/POBLA!$B$15*100000</f>
        <v>507.03478767635909</v>
      </c>
    </row>
    <row r="7505" spans="1:13" s="360" customFormat="1" x14ac:dyDescent="0.25">
      <c r="A7505" s="361" t="s">
        <v>18</v>
      </c>
      <c r="B7505" s="29">
        <v>44205</v>
      </c>
      <c r="C7505" s="1">
        <v>237</v>
      </c>
      <c r="D7505" s="276">
        <f t="shared" si="1056"/>
        <v>41283</v>
      </c>
      <c r="E7505" s="1">
        <v>3</v>
      </c>
      <c r="F7505" s="39">
        <f t="shared" si="1057"/>
        <v>956</v>
      </c>
      <c r="G7505" s="168">
        <f>SUM(C7505,C7481,C7457,C7433,C7409,C7385,C7361,C7337,C7313,C7289,C7265,C7241,C7217,C7193)/POBLA!$B$16*100000</f>
        <v>557.64369122938422</v>
      </c>
      <c r="H7505" s="256">
        <f t="shared" si="1064"/>
        <v>1.3740936058009228</v>
      </c>
      <c r="I7505" s="297">
        <f t="shared" si="1066"/>
        <v>766.25463043352102</v>
      </c>
      <c r="J7505" s="297">
        <f t="shared" si="1067"/>
        <v>346.14285714285717</v>
      </c>
      <c r="K7505" s="297">
        <f>J7505/POBLA!$B$16*100000</f>
        <v>46.299923374868868</v>
      </c>
      <c r="L7505" s="549">
        <f t="shared" si="1065"/>
        <v>-0.38774341351660935</v>
      </c>
      <c r="M7505" s="401">
        <f>SUM(C7505,C7481,C7457,C7433,C7409,C7385,C7361)/POBLA!$B$16*100000</f>
        <v>324.09946362408209</v>
      </c>
    </row>
    <row r="7506" spans="1:13" s="360" customFormat="1" x14ac:dyDescent="0.25">
      <c r="A7506" s="361" t="s">
        <v>34</v>
      </c>
      <c r="B7506" s="29">
        <v>44205</v>
      </c>
      <c r="C7506" s="1">
        <v>73</v>
      </c>
      <c r="D7506" s="276">
        <f t="shared" si="1056"/>
        <v>22689</v>
      </c>
      <c r="E7506" s="1"/>
      <c r="F7506" s="39">
        <f t="shared" si="1057"/>
        <v>1023</v>
      </c>
      <c r="G7506" s="168">
        <f>SUM(C7506,C7482,C7458,C7434,C7410,C7386,C7362,C7338,C7314,C7290,C7266,C7242,C7218,C7194)/POBLA!$B$17*100000</f>
        <v>36.366265865485538</v>
      </c>
      <c r="H7506" s="256">
        <f t="shared" si="1064"/>
        <v>0.8341384863123994</v>
      </c>
      <c r="I7506" s="297">
        <f t="shared" si="1066"/>
        <v>30.334501961870387</v>
      </c>
      <c r="J7506" s="297">
        <f t="shared" si="1067"/>
        <v>40.571428571428569</v>
      </c>
      <c r="K7506" s="297">
        <f>J7506/POBLA!$B$17*100000</f>
        <v>2.8483230848863466</v>
      </c>
      <c r="L7506" s="549">
        <f t="shared" si="1065"/>
        <v>-0.21367521367521358</v>
      </c>
      <c r="M7506" s="401">
        <f>SUM(C7506,C7482,C7458,C7434,C7410,C7386,C7362)/POBLA!$B$17*100000</f>
        <v>19.938261594204427</v>
      </c>
    </row>
    <row r="7507" spans="1:13" s="360" customFormat="1" x14ac:dyDescent="0.25">
      <c r="A7507" s="361" t="s">
        <v>35</v>
      </c>
      <c r="B7507" s="29">
        <v>44205</v>
      </c>
      <c r="C7507" s="1">
        <v>79</v>
      </c>
      <c r="D7507" s="276">
        <f t="shared" ref="D7507:D7513" si="1068">C7507+D7483</f>
        <v>12359</v>
      </c>
      <c r="E7507" s="1"/>
      <c r="F7507" s="39">
        <f t="shared" ref="F7507:F7513" si="1069">E7507+F7483</f>
        <v>207</v>
      </c>
      <c r="G7507" s="168">
        <f>SUM(C7507,C7483,C7459,C7435,C7411,C7387,C7363,C7339,C7315,C7291,C7267,C7243,C7219,C7195)/POBLA!$B$18*100000</f>
        <v>188.03994280718416</v>
      </c>
      <c r="H7507" s="256">
        <f t="shared" si="1064"/>
        <v>0.88016776512881967</v>
      </c>
      <c r="I7507" s="297">
        <f t="shared" si="1066"/>
        <v>165.50669621555036</v>
      </c>
      <c r="J7507" s="297">
        <f t="shared" si="1067"/>
        <v>113.42857142857143</v>
      </c>
      <c r="K7507" s="297">
        <f>J7507/POBLA!$B$18*100000</f>
        <v>14.519470445288752</v>
      </c>
      <c r="L7507" s="549">
        <f t="shared" si="1065"/>
        <v>-0.1762962962962964</v>
      </c>
      <c r="M7507" s="401">
        <f>SUM(C7507,C7483,C7459,C7435,C7411,C7387,C7363)/POBLA!$B$18*100000</f>
        <v>101.63629311702125</v>
      </c>
    </row>
    <row r="7508" spans="1:13" s="360" customFormat="1" x14ac:dyDescent="0.25">
      <c r="A7508" s="361" t="s">
        <v>36</v>
      </c>
      <c r="B7508" s="29">
        <v>44205</v>
      </c>
      <c r="C7508" s="1">
        <v>16</v>
      </c>
      <c r="D7508" s="276">
        <f t="shared" si="1068"/>
        <v>16536</v>
      </c>
      <c r="E7508" s="1">
        <v>1</v>
      </c>
      <c r="F7508" s="39">
        <f t="shared" si="1069"/>
        <v>321</v>
      </c>
      <c r="G7508" s="168">
        <f>SUM(C7508,C7484,C7460,C7436,C7412,C7388,C7364,C7340,C7316,C7292,C7268,C7244,C7220,C7196)/POBLA!$B$19*100000</f>
        <v>106.6240694984341</v>
      </c>
      <c r="H7508" s="256">
        <f t="shared" si="1064"/>
        <v>1.0111940298507462</v>
      </c>
      <c r="I7508" s="297">
        <f t="shared" si="1066"/>
        <v>107.8176225152076</v>
      </c>
      <c r="J7508" s="297">
        <f t="shared" si="1067"/>
        <v>47.857142857142854</v>
      </c>
      <c r="K7508" s="297">
        <f>J7508/POBLA!$B$19*100000</f>
        <v>9.414618682650346</v>
      </c>
      <c r="L7508" s="549">
        <f t="shared" si="1065"/>
        <v>-0.6183574879227054</v>
      </c>
      <c r="M7508" s="401">
        <f>SUM(C7508,C7484,C7460,C7436,C7412,C7388,C7364)/POBLA!$B$19*100000</f>
        <v>65.902330778552425</v>
      </c>
    </row>
    <row r="7509" spans="1:13" s="360" customFormat="1" x14ac:dyDescent="0.25">
      <c r="A7509" s="361" t="s">
        <v>37</v>
      </c>
      <c r="B7509" s="29">
        <v>44205</v>
      </c>
      <c r="C7509" s="1">
        <v>365</v>
      </c>
      <c r="D7509" s="276">
        <f t="shared" si="1068"/>
        <v>26939</v>
      </c>
      <c r="E7509" s="1">
        <v>2</v>
      </c>
      <c r="F7509" s="39">
        <f t="shared" si="1069"/>
        <v>420</v>
      </c>
      <c r="G7509" s="168">
        <f>SUM(C7509,C7485,C7461,C7437,C7413,C7389,C7365,C7341,C7317,C7293,C7269,C7245,C7221,C7197)/POBLA!$B$20*100000</f>
        <v>1351.3883040104129</v>
      </c>
      <c r="H7509" s="256">
        <f t="shared" si="1064"/>
        <v>1.4695212607790664</v>
      </c>
      <c r="I7509" s="297">
        <f t="shared" si="1066"/>
        <v>1985.8938443114662</v>
      </c>
      <c r="J7509" s="297">
        <f t="shared" si="1067"/>
        <v>392.14285714285717</v>
      </c>
      <c r="K7509" s="297">
        <f>J7509/POBLA!$B$20*100000</f>
        <v>107.23133764550454</v>
      </c>
      <c r="L7509" s="549">
        <f t="shared" si="1065"/>
        <v>-0.24943104233045066</v>
      </c>
      <c r="M7509" s="401">
        <f>SUM(C7509,C7485,C7461,C7437,C7413,C7389,C7365)/POBLA!$B$20*100000</f>
        <v>750.61936351853171</v>
      </c>
    </row>
    <row r="7510" spans="1:13" s="360" customFormat="1" x14ac:dyDescent="0.25">
      <c r="A7510" s="361" t="s">
        <v>22</v>
      </c>
      <c r="B7510" s="29">
        <v>44205</v>
      </c>
      <c r="C7510" s="1">
        <v>1171</v>
      </c>
      <c r="D7510" s="276">
        <f t="shared" si="1068"/>
        <v>185890</v>
      </c>
      <c r="E7510" s="1">
        <v>2</v>
      </c>
      <c r="F7510" s="39">
        <f t="shared" si="1069"/>
        <v>3085</v>
      </c>
      <c r="G7510" s="168">
        <f>SUM(C7510,C7486,C7462,C7438,C7414,C7390,C7366,C7342,C7318,C7294,C7270,C7246,C7222,C7198)/POBLA!$B$21*100000</f>
        <v>410.75461102166093</v>
      </c>
      <c r="H7510" s="256">
        <f t="shared" si="1064"/>
        <v>1.2190332326283988</v>
      </c>
      <c r="I7510" s="297">
        <f t="shared" si="1066"/>
        <v>500.72352129075585</v>
      </c>
      <c r="J7510" s="297">
        <f t="shared" si="1067"/>
        <v>1227.8571428571429</v>
      </c>
      <c r="K7510" s="297">
        <f>J7510/POBLA!$B$21*100000</f>
        <v>34.720362323038252</v>
      </c>
      <c r="L7510" s="549">
        <f t="shared" si="1065"/>
        <v>-0.4491654021244309</v>
      </c>
      <c r="M7510" s="401">
        <f>SUM(C7510,C7486,C7462,C7438,C7414,C7390,C7366)/POBLA!$B$21*100000</f>
        <v>243.04253626126777</v>
      </c>
    </row>
    <row r="7511" spans="1:13" s="360" customFormat="1" x14ac:dyDescent="0.25">
      <c r="A7511" s="361" t="s">
        <v>38</v>
      </c>
      <c r="B7511" s="29">
        <v>44205</v>
      </c>
      <c r="C7511" s="1">
        <v>125</v>
      </c>
      <c r="D7511" s="276">
        <f t="shared" si="1068"/>
        <v>18552</v>
      </c>
      <c r="E7511" s="1">
        <v>3</v>
      </c>
      <c r="F7511" s="39">
        <f t="shared" si="1069"/>
        <v>225</v>
      </c>
      <c r="G7511" s="168">
        <f>SUM(C7511,C7487,C7463,C7439,C7415,C7391,C7367,C7343,C7319,C7295,C7271,C7247,C7223,C7199)/POBLA!$B$22*100000</f>
        <v>153.83624668178794</v>
      </c>
      <c r="H7511" s="256">
        <f t="shared" si="1064"/>
        <v>2.4917218543046356</v>
      </c>
      <c r="I7511" s="297">
        <f t="shared" si="1066"/>
        <v>383.31713784121001</v>
      </c>
      <c r="J7511" s="297">
        <f t="shared" si="1067"/>
        <v>140.71428571428572</v>
      </c>
      <c r="K7511" s="297">
        <f>J7511/POBLA!$B$22*100000</f>
        <v>14.383360510826876</v>
      </c>
      <c r="L7511" s="549">
        <f t="shared" si="1065"/>
        <v>-0.89423076923076916</v>
      </c>
      <c r="M7511" s="401">
        <f>SUM(C7511,C7487,C7463,C7439,C7415,C7391,C7367)/POBLA!$B$22*100000</f>
        <v>100.6835235757881</v>
      </c>
    </row>
    <row r="7512" spans="1:13" s="360" customFormat="1" x14ac:dyDescent="0.25">
      <c r="A7512" s="361" t="s">
        <v>39</v>
      </c>
      <c r="B7512" s="29">
        <v>44205</v>
      </c>
      <c r="C7512" s="1">
        <v>57</v>
      </c>
      <c r="D7512" s="276">
        <f t="shared" si="1068"/>
        <v>20097</v>
      </c>
      <c r="E7512" s="1"/>
      <c r="F7512" s="39">
        <f t="shared" si="1069"/>
        <v>274</v>
      </c>
      <c r="G7512" s="168">
        <f>SUM(C7512,C7488,C7464,C7440,C7416,C7392,C7368,C7344,C7320,C7296,C7272,C7248,C7224,C7200)/POBLA!$B$23*100000</f>
        <v>817.7345473053216</v>
      </c>
      <c r="H7512" s="256">
        <f t="shared" si="1064"/>
        <v>1.1842751842751842</v>
      </c>
      <c r="I7512" s="297">
        <f t="shared" si="1066"/>
        <v>968.42273169819407</v>
      </c>
      <c r="J7512" s="297">
        <f t="shared" si="1067"/>
        <v>109.71428571428571</v>
      </c>
      <c r="K7512" s="297">
        <f>J7512/POBLA!$B$23*100000</f>
        <v>62.045063458850713</v>
      </c>
      <c r="L7512" s="549">
        <f t="shared" si="1065"/>
        <v>-0.13274336283185839</v>
      </c>
      <c r="M7512" s="401">
        <f>SUM(C7512,C7488,C7464,C7440,C7416,C7392,C7368)/POBLA!$B$23*100000</f>
        <v>434.31544421195503</v>
      </c>
    </row>
    <row r="7513" spans="1:13" s="360" customFormat="1" ht="15.75" thickBot="1" x14ac:dyDescent="0.3">
      <c r="A7513" s="361" t="s">
        <v>40</v>
      </c>
      <c r="B7513" s="29">
        <v>44205</v>
      </c>
      <c r="C7513" s="1">
        <v>121</v>
      </c>
      <c r="D7513" s="276">
        <f t="shared" si="1068"/>
        <v>72722</v>
      </c>
      <c r="E7513" s="1"/>
      <c r="F7513" s="39">
        <f t="shared" si="1069"/>
        <v>1383</v>
      </c>
      <c r="G7513" s="177">
        <f>SUM(C7513,C7489,C7465,C7441,C7417,C7393,C7369,C7345,C7321,C7297,C7273,C7249,C7225,C7201)/POBLA!$B$24*100000</f>
        <v>139.61535556478719</v>
      </c>
      <c r="H7513" s="402">
        <f t="shared" si="1064"/>
        <v>1.1592356687898089</v>
      </c>
      <c r="I7513" s="403">
        <f t="shared" si="1066"/>
        <v>161.84710008147306</v>
      </c>
      <c r="J7513" s="403">
        <f t="shared" si="1067"/>
        <v>218.71428571428572</v>
      </c>
      <c r="K7513" s="403">
        <f>J7513/POBLA!$B$24*100000</f>
        <v>12.906116976795628</v>
      </c>
      <c r="L7513" s="550">
        <f t="shared" si="1065"/>
        <v>-0.83353293413173657</v>
      </c>
      <c r="M7513" s="405">
        <f>SUM(C7513,C7489,C7465,C7441,C7417,C7393,C7369)/POBLA!$B$24*100000</f>
        <v>90.342818837569396</v>
      </c>
    </row>
    <row r="7514" spans="1:13" s="360" customFormat="1" x14ac:dyDescent="0.25">
      <c r="A7514" s="361" t="s">
        <v>16</v>
      </c>
      <c r="B7514" s="29">
        <v>44206</v>
      </c>
      <c r="C7514" s="1">
        <v>3295</v>
      </c>
      <c r="D7514" s="276">
        <f>C7514+D7490</f>
        <v>721954</v>
      </c>
      <c r="E7514" s="1">
        <v>49</v>
      </c>
      <c r="F7514" s="39">
        <f>E7514+F7490</f>
        <v>22909</v>
      </c>
      <c r="G7514" s="175">
        <f>SUM(C7514,C7490,C7466,C7442,C7418,C7394,C7370,C7346,C7322,C7298,C7274,C7250,C7226,C7202)/POBLA!$B$1*100000</f>
        <v>307.64247320057461</v>
      </c>
      <c r="H7514" s="300">
        <f t="shared" ref="H7514:H7537" si="1070">SUM(C7514,C7490,C7466,C7442,C7418,C7394,C7370,C7346,C7322,C7298,C7274,C7250,C7226,C7202)/SUM(C7178,C7154,C7130,C7106,C7082,C7058,C7034,C7010,C6986,C6962,C6938,C6914,C6890,C6866)</f>
        <v>1.8011414839291078</v>
      </c>
      <c r="I7514" s="301">
        <f>G7514*H7514</f>
        <v>554.10762070010378</v>
      </c>
      <c r="J7514" s="301">
        <f>AVERAGE(C7514,C7490,C7466,C7442,C7418,C7394,C7370)</f>
        <v>4510.1428571428569</v>
      </c>
      <c r="K7514" s="301">
        <f>J7514/POBLA!$B$1*100000</f>
        <v>25.711798663170526</v>
      </c>
      <c r="L7514" s="548">
        <f t="shared" ref="L7514:L7537" si="1071">1-SUM(C7514,C7490,C7466,C7442,C7418,C7394,C7370)/SUM(C7346,C7322,C7298,C7274,C7250,C7226,C7202)</f>
        <v>-0.40986022417719825</v>
      </c>
      <c r="M7514" s="400">
        <f>SUM(C7514,C7490,C7466,C7442,C7418,C7394,C7370)/POBLA!$B$1*100000</f>
        <v>179.98259064219368</v>
      </c>
    </row>
    <row r="7515" spans="1:13" s="360" customFormat="1" x14ac:dyDescent="0.25">
      <c r="A7515" s="361" t="s">
        <v>43</v>
      </c>
      <c r="B7515" s="29">
        <v>44206</v>
      </c>
      <c r="C7515" s="1">
        <v>1247</v>
      </c>
      <c r="D7515" s="276">
        <f t="shared" ref="D7515:D7537" si="1072">C7515+D7491</f>
        <v>186037</v>
      </c>
      <c r="E7515" s="1">
        <v>4</v>
      </c>
      <c r="F7515" s="39">
        <f t="shared" ref="F7515:F7537" si="1073">E7515+F7491</f>
        <v>5597</v>
      </c>
      <c r="G7515" s="168">
        <f>SUM(C7515,C7491,C7467,C7443,C7419,C7395,C7371,C7347,C7323,C7299,C7275,C7251,C7227,C7203)/POBLA!$B$2*100000</f>
        <v>510.78700214524036</v>
      </c>
      <c r="H7515" s="256">
        <f t="shared" si="1070"/>
        <v>2.0896515030593243</v>
      </c>
      <c r="I7515" s="297">
        <f t="shared" ref="I7515:I7537" si="1074">G7515*H7515</f>
        <v>1067.3668267759679</v>
      </c>
      <c r="J7515" s="297">
        <f t="shared" ref="J7515:J7537" si="1075">AVERAGE(C7515,C7491,C7467,C7443,C7419,C7395,C7371)</f>
        <v>1363.1428571428571</v>
      </c>
      <c r="K7515" s="297">
        <f>J7515/POBLA!$B$2*100000</f>
        <v>44.320538096479801</v>
      </c>
      <c r="L7515" s="549">
        <f t="shared" si="1071"/>
        <v>-0.5470168612191959</v>
      </c>
      <c r="M7515" s="401">
        <f>SUM(C7515,C7491,C7467,C7443,C7419,C7395,C7371)/POBLA!$B$2*100000</f>
        <v>310.24376667535859</v>
      </c>
    </row>
    <row r="7516" spans="1:13" s="360" customFormat="1" x14ac:dyDescent="0.25">
      <c r="A7516" s="361" t="s">
        <v>28</v>
      </c>
      <c r="B7516" s="29">
        <v>44206</v>
      </c>
      <c r="C7516" s="1">
        <v>51</v>
      </c>
      <c r="D7516" s="276">
        <f t="shared" si="1072"/>
        <v>3173</v>
      </c>
      <c r="E7516" s="1"/>
      <c r="F7516" s="39">
        <f t="shared" si="1073"/>
        <v>17</v>
      </c>
      <c r="G7516" s="168">
        <f>SUM(C7516,C7492,C7468,C7444,C7420,C7396,C7372,C7348,C7324,C7300,C7276,C7252,C7228,C7204)/POBLA!$B$3*100000</f>
        <v>143.7037536287003</v>
      </c>
      <c r="H7516" s="256">
        <f t="shared" si="1070"/>
        <v>1.3599088838268794</v>
      </c>
      <c r="I7516" s="297">
        <f t="shared" si="1074"/>
        <v>195.42401119893867</v>
      </c>
      <c r="J7516" s="297">
        <f t="shared" si="1075"/>
        <v>46</v>
      </c>
      <c r="K7516" s="297">
        <f>J7516/POBLA!$B$3*100000</f>
        <v>11.072651033367194</v>
      </c>
      <c r="L7516" s="549">
        <f t="shared" si="1071"/>
        <v>-0.1709090909090909</v>
      </c>
      <c r="M7516" s="401">
        <f>SUM(C7516,C7492,C7468,C7444,C7420,C7396,C7372)/POBLA!$B$3*100000</f>
        <v>77.508557233570343</v>
      </c>
    </row>
    <row r="7517" spans="1:13" s="360" customFormat="1" x14ac:dyDescent="0.25">
      <c r="A7517" s="361" t="s">
        <v>15</v>
      </c>
      <c r="B7517" s="29">
        <v>44206</v>
      </c>
      <c r="C7517" s="1">
        <v>191</v>
      </c>
      <c r="D7517" s="276">
        <f t="shared" si="1072"/>
        <v>26929</v>
      </c>
      <c r="E7517" s="1">
        <v>2</v>
      </c>
      <c r="F7517" s="39">
        <f t="shared" si="1073"/>
        <v>734</v>
      </c>
      <c r="G7517" s="168">
        <f>SUM(C7517,C7493,C7469,C7445,C7421,C7397,C7373,C7349,C7325,C7301,C7277,C7253,C7229,C7205)/POBLA!$B$4*100000</f>
        <v>255.86509716149141</v>
      </c>
      <c r="H7517" s="256">
        <f t="shared" si="1070"/>
        <v>1.4368298368298369</v>
      </c>
      <c r="I7517" s="297">
        <f t="shared" si="1074"/>
        <v>367.63460580499606</v>
      </c>
      <c r="J7517" s="297">
        <f t="shared" si="1075"/>
        <v>254.42857142857142</v>
      </c>
      <c r="K7517" s="297">
        <f>J7517/POBLA!$B$4*100000</f>
        <v>21.122450080866606</v>
      </c>
      <c r="L7517" s="549">
        <f t="shared" si="1071"/>
        <v>-0.3689469638739431</v>
      </c>
      <c r="M7517" s="401">
        <f>SUM(C7517,C7493,C7469,C7445,C7421,C7397,C7373)/POBLA!$B$4*100000</f>
        <v>147.85715056606622</v>
      </c>
    </row>
    <row r="7518" spans="1:13" s="360" customFormat="1" x14ac:dyDescent="0.25">
      <c r="A7518" s="361" t="s">
        <v>29</v>
      </c>
      <c r="B7518" s="29">
        <v>44206</v>
      </c>
      <c r="C7518" s="1">
        <v>194</v>
      </c>
      <c r="D7518" s="276">
        <f t="shared" si="1072"/>
        <v>35320</v>
      </c>
      <c r="E7518" s="1">
        <v>3</v>
      </c>
      <c r="F7518" s="39">
        <f t="shared" si="1073"/>
        <v>535</v>
      </c>
      <c r="G7518" s="168">
        <f>SUM(C7518,C7494,C7470,C7446,C7422,C7398,C7374,C7350,C7326,C7302,C7278,C7254,C7230,C7206)/POBLA!$B$5*100000</f>
        <v>878.6837998429711</v>
      </c>
      <c r="H7518" s="256">
        <f t="shared" si="1070"/>
        <v>1.426810073452256</v>
      </c>
      <c r="I7518" s="297">
        <f t="shared" si="1074"/>
        <v>1253.714896995257</v>
      </c>
      <c r="J7518" s="297">
        <f t="shared" si="1075"/>
        <v>409.42857142857144</v>
      </c>
      <c r="K7518" s="297">
        <f>J7518/POBLA!$B$5*100000</f>
        <v>66.144190642974152</v>
      </c>
      <c r="L7518" s="549">
        <f t="shared" si="1071"/>
        <v>-0.11387485425573263</v>
      </c>
      <c r="M7518" s="401">
        <f>SUM(C7518,C7494,C7470,C7446,C7422,C7398,C7374)/POBLA!$B$5*100000</f>
        <v>463.00933450081902</v>
      </c>
    </row>
    <row r="7519" spans="1:13" s="360" customFormat="1" x14ac:dyDescent="0.25">
      <c r="A7519" s="361" t="s">
        <v>20</v>
      </c>
      <c r="B7519" s="29">
        <v>44206</v>
      </c>
      <c r="C7519" s="1">
        <v>466</v>
      </c>
      <c r="D7519" s="276">
        <f t="shared" si="1072"/>
        <v>133544</v>
      </c>
      <c r="E7519" s="1"/>
      <c r="F7519" s="39">
        <f t="shared" si="1073"/>
        <v>2509</v>
      </c>
      <c r="G7519" s="168">
        <f>SUM(C7519,C7495,C7471,C7447,C7423,C7399,C7375,C7351,C7327,C7303,C7279,C7255,C7231,C7207)/POBLA!$B$6*100000</f>
        <v>754.01431654682676</v>
      </c>
      <c r="H7519" s="256">
        <f t="shared" si="1070"/>
        <v>1.6214504988488105</v>
      </c>
      <c r="I7519" s="297">
        <f t="shared" si="1074"/>
        <v>1222.5968897039972</v>
      </c>
      <c r="J7519" s="297">
        <f t="shared" si="1075"/>
        <v>737.71428571428567</v>
      </c>
      <c r="K7519" s="297">
        <f>J7519/POBLA!$B$6*100000</f>
        <v>65.820273689467228</v>
      </c>
      <c r="L7519" s="549">
        <f t="shared" si="1071"/>
        <v>-0.5710374201399453</v>
      </c>
      <c r="M7519" s="401">
        <f>SUM(C7519,C7495,C7471,C7447,C7423,C7399,C7375)/POBLA!$B$6*100000</f>
        <v>460.74191582627066</v>
      </c>
    </row>
    <row r="7520" spans="1:13" s="360" customFormat="1" x14ac:dyDescent="0.25">
      <c r="A7520" s="361" t="s">
        <v>30</v>
      </c>
      <c r="B7520" s="29">
        <v>44206</v>
      </c>
      <c r="C7520" s="1">
        <v>119</v>
      </c>
      <c r="D7520" s="276">
        <f t="shared" si="1072"/>
        <v>13765</v>
      </c>
      <c r="E7520" s="1"/>
      <c r="F7520" s="39">
        <f t="shared" si="1073"/>
        <v>174</v>
      </c>
      <c r="G7520" s="168">
        <f>SUM(C7520,C7496,C7472,C7448,C7424,C7400,C7376,C7352,C7328,C7304,C7280,C7256,C7232,C7208)/POBLA!$B$7*100000</f>
        <v>63.343482827853052</v>
      </c>
      <c r="H7520" s="256">
        <f t="shared" si="1070"/>
        <v>1.2980926430517712</v>
      </c>
      <c r="I7520" s="297">
        <f t="shared" si="1074"/>
        <v>82.22570904411225</v>
      </c>
      <c r="J7520" s="297">
        <f t="shared" si="1075"/>
        <v>220.42857142857142</v>
      </c>
      <c r="K7520" s="297">
        <f>J7520/POBLA!$B$7*100000</f>
        <v>5.8617604655977713</v>
      </c>
      <c r="L7520" s="549">
        <f t="shared" si="1071"/>
        <v>-0.83909415971394519</v>
      </c>
      <c r="M7520" s="401">
        <f>SUM(C7520,C7496,C7472,C7448,C7424,C7400,C7376)/POBLA!$B$7*100000</f>
        <v>41.032323259184402</v>
      </c>
    </row>
    <row r="7521" spans="1:13" x14ac:dyDescent="0.25">
      <c r="A7521" s="361" t="s">
        <v>31</v>
      </c>
      <c r="B7521" s="29">
        <v>44206</v>
      </c>
      <c r="C7521" s="1">
        <v>350</v>
      </c>
      <c r="D7521" s="276">
        <f t="shared" si="1072"/>
        <v>33541</v>
      </c>
      <c r="E7521" s="1">
        <v>3</v>
      </c>
      <c r="F7521" s="39">
        <f t="shared" si="1073"/>
        <v>613</v>
      </c>
      <c r="G7521" s="168">
        <f>SUM(C7521,C7497,C7473,C7449,C7425,C7401,C7377,C7353,C7329,C7305,C7281,C7257,C7233,C7209)/POBLA!$B$8*100000</f>
        <v>394.16693543324811</v>
      </c>
      <c r="H7521" s="256">
        <f t="shared" si="1070"/>
        <v>2.3158117846545148</v>
      </c>
      <c r="I7521" s="297">
        <f t="shared" si="1074"/>
        <v>912.81643419747115</v>
      </c>
      <c r="J7521" s="297">
        <f t="shared" si="1075"/>
        <v>483.14285714285717</v>
      </c>
      <c r="K7521" s="297">
        <f>J7521/POBLA!$B$8*100000</f>
        <v>34.859772904349917</v>
      </c>
      <c r="L7521" s="549">
        <f t="shared" si="1071"/>
        <v>-0.62518020182604528</v>
      </c>
      <c r="M7521" s="401">
        <f>SUM(C7521,C7497,C7473,C7449,C7425,C7401,C7377)/POBLA!$B$8*100000</f>
        <v>244.0184103304494</v>
      </c>
    </row>
    <row r="7522" spans="1:13" s="360" customFormat="1" x14ac:dyDescent="0.25">
      <c r="A7522" s="361" t="s">
        <v>41</v>
      </c>
      <c r="B7522" s="29">
        <v>44206</v>
      </c>
      <c r="C7522" s="1">
        <v>32</v>
      </c>
      <c r="D7522" s="276">
        <f t="shared" si="1072"/>
        <v>291</v>
      </c>
      <c r="E7522" s="1"/>
      <c r="F7522" s="39">
        <f t="shared" si="1073"/>
        <v>3</v>
      </c>
      <c r="G7522" s="168">
        <f>SUM(C7522,C7498,C7474,C7450,C7426,C7402,C7378,C7354,C7330,C7306,C7282,C7258,C7234,C7210)/POBLA!$B$9*100000</f>
        <v>12.723213916882715</v>
      </c>
      <c r="H7522" s="256">
        <f t="shared" si="1070"/>
        <v>4.5294117647058822</v>
      </c>
      <c r="I7522" s="297">
        <f t="shared" si="1074"/>
        <v>57.62867479999818</v>
      </c>
      <c r="J7522" s="297">
        <f t="shared" si="1075"/>
        <v>10</v>
      </c>
      <c r="K7522" s="297">
        <f>J7522/POBLA!$B$9*100000</f>
        <v>1.6523654437510016</v>
      </c>
      <c r="L7522" s="549">
        <f t="shared" si="1071"/>
        <v>-9</v>
      </c>
      <c r="M7522" s="401">
        <f>SUM(C7522,C7498,C7474,C7450,C7426,C7402,C7378)/POBLA!$B$9*100000</f>
        <v>11.566558106257013</v>
      </c>
    </row>
    <row r="7523" spans="1:13" s="360" customFormat="1" x14ac:dyDescent="0.25">
      <c r="A7523" s="361" t="s">
        <v>32</v>
      </c>
      <c r="B7523" s="29">
        <v>44206</v>
      </c>
      <c r="C7523" s="1">
        <v>20</v>
      </c>
      <c r="D7523" s="276">
        <f t="shared" si="1072"/>
        <v>18686</v>
      </c>
      <c r="E7523" s="1"/>
      <c r="F7523" s="39">
        <f t="shared" si="1073"/>
        <v>859</v>
      </c>
      <c r="G7523" s="168">
        <f>SUM(C7523,C7499,C7475,C7451,C7427,C7403,C7379,C7355,C7331,C7307,C7283,C7259,C7235,C7211)/POBLA!$B$10*100000</f>
        <v>23.349907443561328</v>
      </c>
      <c r="H7523" s="256">
        <f t="shared" si="1070"/>
        <v>3.1578947368421053</v>
      </c>
      <c r="I7523" s="297">
        <f t="shared" si="1074"/>
        <v>73.736549821772613</v>
      </c>
      <c r="J7523" s="297">
        <f t="shared" si="1075"/>
        <v>17</v>
      </c>
      <c r="K7523" s="297">
        <f>J7523/POBLA!$B$10*100000</f>
        <v>2.2052690363363476</v>
      </c>
      <c r="L7523" s="549">
        <f t="shared" si="1071"/>
        <v>-0.95081967213114749</v>
      </c>
      <c r="M7523" s="401">
        <f>SUM(C7523,C7499,C7475,C7451,C7427,C7403,C7379)/POBLA!$B$10*100000</f>
        <v>15.436883254354433</v>
      </c>
    </row>
    <row r="7524" spans="1:13" s="360" customFormat="1" x14ac:dyDescent="0.25">
      <c r="A7524" s="361" t="s">
        <v>33</v>
      </c>
      <c r="B7524" s="29">
        <v>44206</v>
      </c>
      <c r="C7524" s="1">
        <v>102</v>
      </c>
      <c r="D7524" s="276">
        <f t="shared" si="1072"/>
        <v>13500</v>
      </c>
      <c r="E7524" s="1">
        <v>3</v>
      </c>
      <c r="F7524" s="39">
        <f t="shared" si="1073"/>
        <v>157</v>
      </c>
      <c r="G7524" s="168">
        <f>SUM(C7524,C7500,C7476,C7452,C7428,C7404,C7380,C7356,C7332,C7308,C7284,C7260,C7236,C7212)/POBLA!$B$11*100000</f>
        <v>1058.5110538239201</v>
      </c>
      <c r="H7524" s="256">
        <f t="shared" si="1070"/>
        <v>1.3866959064327486</v>
      </c>
      <c r="I7524" s="297">
        <f t="shared" si="1074"/>
        <v>1467.8329452514449</v>
      </c>
      <c r="J7524" s="297">
        <f t="shared" si="1075"/>
        <v>290.28571428571428</v>
      </c>
      <c r="K7524" s="297">
        <f>J7524/POBLA!$B$11*100000</f>
        <v>80.98857072709562</v>
      </c>
      <c r="L7524" s="549">
        <f t="shared" si="1071"/>
        <v>-0.15323496027241768</v>
      </c>
      <c r="M7524" s="401">
        <f>SUM(C7524,C7500,C7476,C7452,C7428,C7404,C7380)/POBLA!$B$11*100000</f>
        <v>566.91999508966933</v>
      </c>
    </row>
    <row r="7525" spans="1:13" s="360" customFormat="1" x14ac:dyDescent="0.25">
      <c r="A7525" s="361" t="s">
        <v>21</v>
      </c>
      <c r="B7525" s="29">
        <v>44206</v>
      </c>
      <c r="C7525" s="1">
        <v>15</v>
      </c>
      <c r="D7525" s="276">
        <f t="shared" si="1072"/>
        <v>9214</v>
      </c>
      <c r="E7525" s="1"/>
      <c r="F7525" s="39">
        <f t="shared" si="1073"/>
        <v>401</v>
      </c>
      <c r="G7525" s="168">
        <f>SUM(C7525,C7501,C7477,C7453,C7429,C7405,C7381,C7357,C7333,C7309,C7285,C7261,C7237,C7213)/POBLA!$B$12*100000</f>
        <v>37.099999745890408</v>
      </c>
      <c r="H7525" s="256">
        <f t="shared" si="1070"/>
        <v>1.0895522388059702</v>
      </c>
      <c r="I7525" s="297">
        <f t="shared" si="1074"/>
        <v>40.42238778283582</v>
      </c>
      <c r="J7525" s="297">
        <f t="shared" si="1075"/>
        <v>12.857142857142858</v>
      </c>
      <c r="K7525" s="297">
        <f>J7525/POBLA!$B$12*100000</f>
        <v>3.2671232652936766</v>
      </c>
      <c r="L7525" s="549">
        <f t="shared" si="1071"/>
        <v>-0.60714285714285721</v>
      </c>
      <c r="M7525" s="401">
        <f>SUM(C7525,C7501,C7477,C7453,C7429,C7405,C7381)/POBLA!$B$12*100000</f>
        <v>22.869862857055733</v>
      </c>
    </row>
    <row r="7526" spans="1:13" s="360" customFormat="1" x14ac:dyDescent="0.25">
      <c r="A7526" s="361" t="s">
        <v>17</v>
      </c>
      <c r="B7526" s="29">
        <v>44206</v>
      </c>
      <c r="C7526" s="1">
        <v>76</v>
      </c>
      <c r="D7526" s="276">
        <f t="shared" si="1072"/>
        <v>61290</v>
      </c>
      <c r="E7526" s="1"/>
      <c r="F7526" s="39">
        <f t="shared" si="1073"/>
        <v>1245</v>
      </c>
      <c r="G7526" s="168">
        <f>SUM(C7526,C7502,C7478,C7454,C7430,C7406,C7382,C7358,C7334,C7310,C7286,C7262,C7238,C7214)/POBLA!$B$13*100000</f>
        <v>84.458016678574197</v>
      </c>
      <c r="H7526" s="256">
        <f t="shared" si="1070"/>
        <v>1.2442635085122131</v>
      </c>
      <c r="I7526" s="297">
        <f t="shared" si="1074"/>
        <v>105.08802815446575</v>
      </c>
      <c r="J7526" s="297">
        <f t="shared" si="1075"/>
        <v>137.14285714285714</v>
      </c>
      <c r="K7526" s="297">
        <f>J7526/POBLA!$B$13*100000</f>
        <v>6.8904305270188848</v>
      </c>
      <c r="L7526" s="549">
        <f t="shared" si="1071"/>
        <v>-0.33148404993065195</v>
      </c>
      <c r="M7526" s="401">
        <f>SUM(C7526,C7502,C7478,C7454,C7430,C7406,C7382)/POBLA!$B$13*100000</f>
        <v>48.233013689132193</v>
      </c>
    </row>
    <row r="7527" spans="1:13" s="360" customFormat="1" x14ac:dyDescent="0.25">
      <c r="A7527" s="361" t="s">
        <v>23</v>
      </c>
      <c r="B7527" s="29">
        <v>44206</v>
      </c>
      <c r="C7527" s="1">
        <v>110</v>
      </c>
      <c r="D7527" s="276">
        <f t="shared" si="1072"/>
        <v>1445</v>
      </c>
      <c r="E7527" s="1"/>
      <c r="F7527" s="39">
        <f t="shared" si="1073"/>
        <v>16</v>
      </c>
      <c r="G7527" s="168">
        <f>SUM(C7527,C7503,C7479,C7455,C7431,C7407,C7383,C7359,C7335,C7311,C7287,C7263,C7239,C7215)/POBLA!$B$14*100000</f>
        <v>34.409106837898221</v>
      </c>
      <c r="H7527" s="256">
        <f t="shared" si="1070"/>
        <v>1.3231707317073171</v>
      </c>
      <c r="I7527" s="297">
        <f t="shared" si="1074"/>
        <v>45.529123072097036</v>
      </c>
      <c r="J7527" s="297">
        <f t="shared" si="1075"/>
        <v>45.857142857142854</v>
      </c>
      <c r="K7527" s="297">
        <f>J7527/POBLA!$B$14*100000</f>
        <v>3.635721953576474</v>
      </c>
      <c r="L7527" s="549">
        <f t="shared" si="1071"/>
        <v>-1.8407079646017701</v>
      </c>
      <c r="M7527" s="401">
        <f>SUM(C7527,C7503,C7479,C7455,C7431,C7407,C7383)/POBLA!$B$14*100000</f>
        <v>25.450053675035321</v>
      </c>
    </row>
    <row r="7528" spans="1:13" s="360" customFormat="1" x14ac:dyDescent="0.25">
      <c r="A7528" s="361" t="s">
        <v>19</v>
      </c>
      <c r="B7528" s="29">
        <v>44206</v>
      </c>
      <c r="C7528" s="1">
        <v>229</v>
      </c>
      <c r="D7528" s="276">
        <f t="shared" si="1072"/>
        <v>45150</v>
      </c>
      <c r="E7528" s="1"/>
      <c r="F7528" s="39">
        <f t="shared" si="1073"/>
        <v>753</v>
      </c>
      <c r="G7528" s="168">
        <f>SUM(C7528,C7504,C7480,C7456,C7432,C7408,C7384,C7360,C7336,C7312,C7288,C7264,C7240,C7216)/POBLA!$B$15*100000</f>
        <v>871.16015643235437</v>
      </c>
      <c r="H7528" s="256">
        <f t="shared" si="1070"/>
        <v>2.3660531697341511</v>
      </c>
      <c r="I7528" s="297">
        <f t="shared" si="1074"/>
        <v>2061.2112494728708</v>
      </c>
      <c r="J7528" s="297">
        <f t="shared" si="1075"/>
        <v>460.57142857142856</v>
      </c>
      <c r="K7528" s="297">
        <f>J7528/POBLA!$B$15*100000</f>
        <v>69.357213096380065</v>
      </c>
      <c r="L7528" s="549">
        <f t="shared" si="1071"/>
        <v>-0.25888324873096447</v>
      </c>
      <c r="M7528" s="401">
        <f>SUM(C7528,C7504,C7480,C7456,C7432,C7408,C7384)/POBLA!$B$15*100000</f>
        <v>485.50049167466045</v>
      </c>
    </row>
    <row r="7529" spans="1:13" s="360" customFormat="1" x14ac:dyDescent="0.25">
      <c r="A7529" s="361" t="s">
        <v>18</v>
      </c>
      <c r="B7529" s="29">
        <v>44206</v>
      </c>
      <c r="C7529" s="1">
        <v>201</v>
      </c>
      <c r="D7529" s="276">
        <f t="shared" si="1072"/>
        <v>41484</v>
      </c>
      <c r="E7529" s="1">
        <v>4</v>
      </c>
      <c r="F7529" s="39">
        <f t="shared" si="1073"/>
        <v>960</v>
      </c>
      <c r="G7529" s="168">
        <f>SUM(C7529,C7505,C7481,C7457,C7433,C7409,C7385,C7361,C7337,C7313,C7289,C7265,C7241,C7217)/POBLA!$B$16*100000</f>
        <v>562.72655528952259</v>
      </c>
      <c r="H7529" s="256">
        <f t="shared" si="1070"/>
        <v>1.3843369529450478</v>
      </c>
      <c r="I7529" s="297">
        <f t="shared" si="1074"/>
        <v>779.00316489076067</v>
      </c>
      <c r="J7529" s="297">
        <f t="shared" si="1075"/>
        <v>344.57142857142856</v>
      </c>
      <c r="K7529" s="297">
        <f>J7529/POBLA!$B$16*100000</f>
        <v>46.089729748321794</v>
      </c>
      <c r="L7529" s="549">
        <f t="shared" si="1071"/>
        <v>-0.34373259052924787</v>
      </c>
      <c r="M7529" s="401">
        <f>SUM(C7529,C7505,C7481,C7457,C7433,C7409,C7385)/POBLA!$B$16*100000</f>
        <v>322.62810823825259</v>
      </c>
    </row>
    <row r="7530" spans="1:13" s="360" customFormat="1" x14ac:dyDescent="0.25">
      <c r="A7530" s="361" t="s">
        <v>34</v>
      </c>
      <c r="B7530" s="29">
        <v>44206</v>
      </c>
      <c r="C7530" s="1">
        <v>21</v>
      </c>
      <c r="D7530" s="276">
        <f t="shared" si="1072"/>
        <v>22710</v>
      </c>
      <c r="E7530" s="1"/>
      <c r="F7530" s="39">
        <f t="shared" si="1073"/>
        <v>1023</v>
      </c>
      <c r="G7530" s="168">
        <f>SUM(C7530,C7506,C7482,C7458,C7434,C7410,C7386,C7362,C7338,C7314,C7290,C7266,C7242,C7218)/POBLA!$B$17*100000</f>
        <v>35.242983522150077</v>
      </c>
      <c r="H7530" s="256">
        <f t="shared" si="1070"/>
        <v>0.79682539682539677</v>
      </c>
      <c r="I7530" s="297">
        <f t="shared" si="1074"/>
        <v>28.082504330348154</v>
      </c>
      <c r="J7530" s="297">
        <f t="shared" si="1075"/>
        <v>42.428571428571431</v>
      </c>
      <c r="K7530" s="297">
        <f>J7530/POBLA!$B$17*100000</f>
        <v>2.9787040711663555</v>
      </c>
      <c r="L7530" s="549">
        <f t="shared" si="1071"/>
        <v>-0.448780487804878</v>
      </c>
      <c r="M7530" s="401">
        <f>SUM(C7530,C7506,C7482,C7458,C7434,C7410,C7386)/POBLA!$B$17*100000</f>
        <v>20.850928498164485</v>
      </c>
    </row>
    <row r="7531" spans="1:13" s="360" customFormat="1" x14ac:dyDescent="0.25">
      <c r="A7531" s="361" t="s">
        <v>35</v>
      </c>
      <c r="B7531" s="29">
        <v>44206</v>
      </c>
      <c r="C7531" s="1">
        <v>23</v>
      </c>
      <c r="D7531" s="276">
        <f t="shared" si="1072"/>
        <v>12382</v>
      </c>
      <c r="E7531" s="1"/>
      <c r="F7531" s="39">
        <f t="shared" si="1073"/>
        <v>207</v>
      </c>
      <c r="G7531" s="168">
        <f>SUM(C7531,C7507,C7483,C7459,C7435,C7411,C7387,C7363,C7339,C7315,C7291,C7267,C7243,C7219)/POBLA!$B$18*100000</f>
        <v>189.70401309751324</v>
      </c>
      <c r="H7531" s="256">
        <f t="shared" si="1070"/>
        <v>0.89763779527559051</v>
      </c>
      <c r="I7531" s="297">
        <f t="shared" si="1074"/>
        <v>170.28549207178352</v>
      </c>
      <c r="J7531" s="297">
        <f t="shared" si="1075"/>
        <v>112</v>
      </c>
      <c r="K7531" s="297">
        <f>J7531/POBLA!$B$18*100000</f>
        <v>14.336605578219624</v>
      </c>
      <c r="L7531" s="549">
        <f t="shared" si="1071"/>
        <v>-0.12320916905444124</v>
      </c>
      <c r="M7531" s="401">
        <f>SUM(C7531,C7507,C7483,C7459,C7435,C7411,C7387)/POBLA!$B$18*100000</f>
        <v>100.35623904753737</v>
      </c>
    </row>
    <row r="7532" spans="1:13" s="360" customFormat="1" x14ac:dyDescent="0.25">
      <c r="A7532" s="361" t="s">
        <v>36</v>
      </c>
      <c r="B7532" s="29">
        <v>44206</v>
      </c>
      <c r="C7532" s="1">
        <v>8</v>
      </c>
      <c r="D7532" s="276">
        <f t="shared" si="1072"/>
        <v>16544</v>
      </c>
      <c r="E7532" s="1"/>
      <c r="F7532" s="39">
        <f t="shared" si="1073"/>
        <v>321</v>
      </c>
      <c r="G7532" s="168">
        <f>SUM(C7532,C7508,C7484,C7460,C7436,C7412,C7388,C7364,C7340,C7316,C7292,C7268,C7244,C7220)/POBLA!$B$19*100000</f>
        <v>100.72236823468312</v>
      </c>
      <c r="H7532" s="256">
        <f t="shared" si="1070"/>
        <v>0.93601462522851919</v>
      </c>
      <c r="I7532" s="297">
        <f t="shared" si="1074"/>
        <v>94.277609755315822</v>
      </c>
      <c r="J7532" s="297">
        <f t="shared" si="1075"/>
        <v>45.571428571428569</v>
      </c>
      <c r="K7532" s="297">
        <f>J7532/POBLA!$B$19*100000</f>
        <v>8.9649652530312256</v>
      </c>
      <c r="L7532" s="549">
        <f t="shared" si="1071"/>
        <v>-0.65284974093264259</v>
      </c>
      <c r="M7532" s="401">
        <f>SUM(C7532,C7508,C7484,C7460,C7436,C7412,C7388)/POBLA!$B$19*100000</f>
        <v>62.754756771218588</v>
      </c>
    </row>
    <row r="7533" spans="1:13" s="360" customFormat="1" x14ac:dyDescent="0.25">
      <c r="A7533" s="361" t="s">
        <v>37</v>
      </c>
      <c r="B7533" s="29">
        <v>44206</v>
      </c>
      <c r="C7533" s="1">
        <v>255</v>
      </c>
      <c r="D7533" s="276">
        <f t="shared" si="1072"/>
        <v>27194</v>
      </c>
      <c r="E7533" s="1">
        <v>4</v>
      </c>
      <c r="F7533" s="39">
        <f t="shared" si="1073"/>
        <v>424</v>
      </c>
      <c r="G7533" s="168">
        <f>SUM(C7533,C7509,C7485,C7461,C7437,C7413,C7389,C7365,C7341,C7317,C7293,C7269,C7245,C7221)/POBLA!$B$20*100000</f>
        <v>1354.9431498121401</v>
      </c>
      <c r="H7533" s="256">
        <f t="shared" si="1070"/>
        <v>1.456496178718401</v>
      </c>
      <c r="I7533" s="297">
        <f t="shared" si="1074"/>
        <v>1973.4695200820559</v>
      </c>
      <c r="J7533" s="297">
        <f t="shared" si="1075"/>
        <v>399</v>
      </c>
      <c r="K7533" s="297">
        <f>J7533/POBLA!$B$20*100000</f>
        <v>109.10642114531663</v>
      </c>
      <c r="L7533" s="549">
        <f t="shared" si="1071"/>
        <v>-0.29185938945420897</v>
      </c>
      <c r="M7533" s="401">
        <f>SUM(C7533,C7509,C7485,C7461,C7437,C7413,C7389)/POBLA!$B$20*100000</f>
        <v>763.74494801721642</v>
      </c>
    </row>
    <row r="7534" spans="1:13" s="360" customFormat="1" x14ac:dyDescent="0.25">
      <c r="A7534" s="361" t="s">
        <v>22</v>
      </c>
      <c r="B7534" s="29">
        <v>44206</v>
      </c>
      <c r="C7534" s="1">
        <v>548</v>
      </c>
      <c r="D7534" s="276">
        <f t="shared" si="1072"/>
        <v>186438</v>
      </c>
      <c r="E7534" s="1">
        <v>4</v>
      </c>
      <c r="F7534" s="39">
        <f t="shared" si="1073"/>
        <v>3089</v>
      </c>
      <c r="G7534" s="168">
        <f>SUM(C7534,C7510,C7486,C7462,C7438,C7414,C7390,C7366,C7342,C7318,C7294,C7270,C7246,C7222)/POBLA!$B$21*100000</f>
        <v>414.76997345901981</v>
      </c>
      <c r="H7534" s="256">
        <f t="shared" si="1070"/>
        <v>1.2547476475620187</v>
      </c>
      <c r="I7534" s="297">
        <f t="shared" si="1074"/>
        <v>520.43164847706601</v>
      </c>
      <c r="J7534" s="297">
        <f t="shared" si="1075"/>
        <v>1232.4285714285713</v>
      </c>
      <c r="K7534" s="297">
        <f>J7534/POBLA!$B$21*100000</f>
        <v>34.849629524240953</v>
      </c>
      <c r="L7534" s="549">
        <f t="shared" si="1071"/>
        <v>-0.42807482204932956</v>
      </c>
      <c r="M7534" s="401">
        <f>SUM(C7534,C7510,C7486,C7462,C7438,C7414,C7390)/POBLA!$B$21*100000</f>
        <v>243.94740666968667</v>
      </c>
    </row>
    <row r="7535" spans="1:13" s="360" customFormat="1" x14ac:dyDescent="0.25">
      <c r="A7535" s="361" t="s">
        <v>38</v>
      </c>
      <c r="B7535" s="29">
        <v>44206</v>
      </c>
      <c r="C7535" s="1">
        <v>65</v>
      </c>
      <c r="D7535" s="276">
        <f t="shared" si="1072"/>
        <v>18617</v>
      </c>
      <c r="E7535" s="1">
        <v>1</v>
      </c>
      <c r="F7535" s="39">
        <f t="shared" si="1073"/>
        <v>226</v>
      </c>
      <c r="G7535" s="168">
        <f>SUM(C7535,C7511,C7487,C7463,C7439,C7415,C7391,C7367,C7343,C7319,C7295,C7271,C7247,C7223)/POBLA!$B$22*100000</f>
        <v>158.02713446514562</v>
      </c>
      <c r="H7535" s="256">
        <f t="shared" si="1070"/>
        <v>2.6518010291595195</v>
      </c>
      <c r="I7535" s="297">
        <f t="shared" si="1074"/>
        <v>419.05651780980293</v>
      </c>
      <c r="J7535" s="297">
        <f t="shared" si="1075"/>
        <v>142.85714285714286</v>
      </c>
      <c r="K7535" s="297">
        <f>J7535/POBLA!$B$22*100000</f>
        <v>14.602396457692258</v>
      </c>
      <c r="L7535" s="549">
        <f t="shared" si="1071"/>
        <v>-0.83150183150183143</v>
      </c>
      <c r="M7535" s="401">
        <f>SUM(C7535,C7511,C7487,C7463,C7439,C7415,C7391)/POBLA!$B$22*100000</f>
        <v>102.2167752038458</v>
      </c>
    </row>
    <row r="7536" spans="1:13" s="360" customFormat="1" x14ac:dyDescent="0.25">
      <c r="A7536" s="361" t="s">
        <v>39</v>
      </c>
      <c r="B7536" s="29">
        <v>44206</v>
      </c>
      <c r="C7536" s="1">
        <v>74</v>
      </c>
      <c r="D7536" s="276">
        <f t="shared" si="1072"/>
        <v>20171</v>
      </c>
      <c r="E7536" s="1"/>
      <c r="F7536" s="39">
        <f t="shared" si="1073"/>
        <v>274</v>
      </c>
      <c r="G7536" s="168">
        <f>SUM(C7536,C7512,C7488,C7464,C7440,C7416,C7392,C7368,C7344,C7320,C7296,C7272,C7248,C7224)/POBLA!$B$23*100000</f>
        <v>809.81733868687434</v>
      </c>
      <c r="H7536" s="256">
        <f t="shared" si="1070"/>
        <v>1.160453808752026</v>
      </c>
      <c r="I7536" s="297">
        <f t="shared" si="1074"/>
        <v>939.75561507261273</v>
      </c>
      <c r="J7536" s="297">
        <f t="shared" si="1075"/>
        <v>105.57142857142857</v>
      </c>
      <c r="K7536" s="297">
        <f>J7536/POBLA!$B$23*100000</f>
        <v>59.702216010534741</v>
      </c>
      <c r="L7536" s="549">
        <f t="shared" si="1071"/>
        <v>-6.6378066378066425E-2</v>
      </c>
      <c r="M7536" s="401">
        <f>SUM(C7536,C7512,C7488,C7464,C7440,C7416,C7392)/POBLA!$B$23*100000</f>
        <v>417.91551207374317</v>
      </c>
    </row>
    <row r="7537" spans="1:13" s="360" customFormat="1" ht="15.75" thickBot="1" x14ac:dyDescent="0.3">
      <c r="A7537" s="361" t="s">
        <v>40</v>
      </c>
      <c r="B7537" s="29">
        <v>44206</v>
      </c>
      <c r="C7537" s="1">
        <v>116</v>
      </c>
      <c r="D7537" s="276">
        <f t="shared" si="1072"/>
        <v>72838</v>
      </c>
      <c r="E7537" s="1">
        <v>1</v>
      </c>
      <c r="F7537" s="39">
        <f t="shared" si="1073"/>
        <v>1384</v>
      </c>
      <c r="G7537" s="177">
        <f>SUM(C7537,C7513,C7489,C7465,C7441,C7417,C7393,C7369,C7345,C7321,C7297,C7273,C7249,C7225)/POBLA!$B$24*100000</f>
        <v>143.45094225612752</v>
      </c>
      <c r="H7537" s="402">
        <f t="shared" si="1070"/>
        <v>1.2082504970178927</v>
      </c>
      <c r="I7537" s="403">
        <f t="shared" si="1074"/>
        <v>173.32467227865109</v>
      </c>
      <c r="J7537" s="403">
        <f t="shared" si="1075"/>
        <v>220.14285714285714</v>
      </c>
      <c r="K7537" s="403">
        <f>J7537/POBLA!$B$24*100000</f>
        <v>12.990415585396514</v>
      </c>
      <c r="L7537" s="550">
        <f t="shared" si="1071"/>
        <v>-0.73146067415730331</v>
      </c>
      <c r="M7537" s="405">
        <f>SUM(C7537,C7513,C7489,C7465,C7441,C7417,C7393)/POBLA!$B$24*100000</f>
        <v>90.932909097775592</v>
      </c>
    </row>
    <row r="7538" spans="1:13" s="360" customFormat="1" x14ac:dyDescent="0.25">
      <c r="A7538" s="361" t="s">
        <v>16</v>
      </c>
      <c r="B7538" s="29">
        <v>44207</v>
      </c>
      <c r="C7538" s="1">
        <v>3180</v>
      </c>
      <c r="D7538" s="276">
        <f>C7538+D7514</f>
        <v>725134</v>
      </c>
      <c r="E7538" s="1">
        <v>91</v>
      </c>
      <c r="F7538" s="39">
        <f>E7538+F7514</f>
        <v>23000</v>
      </c>
      <c r="G7538" s="175">
        <f>SUM(C7538,C7514,C7490,C7466,C7442,C7418,C7394,C7370,C7346,C7322,C7298,C7274,C7250,C7226)/POBLA!$B$1*100000</f>
        <v>309.39264441235605</v>
      </c>
      <c r="H7538" s="300">
        <f t="shared" ref="H7538:H7561" si="1076">SUM(C7538,C7514,C7490,C7466,C7442,C7418,C7394,C7370,C7346,C7322,C7298,C7274,C7250,C7226)/SUM(C7202,C7178,C7154,C7130,C7106,C7082,C7058,C7034,C7010,C6986,C6962,C6938,C6914,C6890)</f>
        <v>1.7337869784678295</v>
      </c>
      <c r="I7538" s="301">
        <f>G7538*H7538</f>
        <v>536.4209381158704</v>
      </c>
      <c r="J7538" s="301">
        <f>AVERAGE(C7538,C7514,C7490,C7466,C7442,C7418,C7394)</f>
        <v>4541.4285714285716</v>
      </c>
      <c r="K7538" s="301">
        <f>J7538/POBLA!$B$1*100000</f>
        <v>25.890154873212474</v>
      </c>
      <c r="L7538" s="548">
        <f t="shared" ref="L7538:L7561" si="1077">1-SUM(C7538,C7514,C7490,C7466,C7442,C7418,C7394)/SUM(C7370,C7346,C7322,C7298,C7274,C7250,C7226)</f>
        <v>-0.41408300342511462</v>
      </c>
      <c r="M7538" s="400">
        <f>SUM(C7538,C7514,C7490,C7466,C7442,C7418,C7394)/POBLA!$B$1*100000</f>
        <v>181.23108411248731</v>
      </c>
    </row>
    <row r="7539" spans="1:13" s="360" customFormat="1" x14ac:dyDescent="0.25">
      <c r="A7539" s="361" t="s">
        <v>43</v>
      </c>
      <c r="B7539" s="29">
        <v>44207</v>
      </c>
      <c r="C7539" s="1">
        <v>915</v>
      </c>
      <c r="D7539" s="276">
        <f t="shared" ref="D7539:D7602" si="1078">C7539+D7515</f>
        <v>186952</v>
      </c>
      <c r="E7539" s="1">
        <v>7</v>
      </c>
      <c r="F7539" s="39">
        <f t="shared" ref="F7539:F7602" si="1079">E7539+F7515</f>
        <v>5604</v>
      </c>
      <c r="G7539" s="168">
        <f>SUM(C7539,C7515,C7491,C7467,C7443,C7419,C7395,C7371,C7347,C7323,C7299,C7275,C7251,C7227)/POBLA!$B$2*100000</f>
        <v>512.47770387099172</v>
      </c>
      <c r="H7539" s="256">
        <f t="shared" si="1076"/>
        <v>1.9789077212806025</v>
      </c>
      <c r="I7539" s="297">
        <f t="shared" ref="I7539:I7561" si="1080">G7539*H7539</f>
        <v>1014.1460851744597</v>
      </c>
      <c r="J7539" s="297">
        <f t="shared" ref="J7539:J7561" si="1081">AVERAGE(C7539,C7515,C7491,C7467,C7443,C7419,C7395)</f>
        <v>1340.2857142857142</v>
      </c>
      <c r="K7539" s="297">
        <f>J7539/POBLA!$B$2*100000</f>
        <v>43.577372502742975</v>
      </c>
      <c r="L7539" s="549">
        <f t="shared" si="1077"/>
        <v>-0.47053291536050157</v>
      </c>
      <c r="M7539" s="401">
        <f>SUM(C7539,C7515,C7491,C7467,C7443,C7419,C7395)/POBLA!$B$2*100000</f>
        <v>305.04160751920085</v>
      </c>
    </row>
    <row r="7540" spans="1:13" s="360" customFormat="1" x14ac:dyDescent="0.25">
      <c r="A7540" s="361" t="s">
        <v>28</v>
      </c>
      <c r="B7540" s="29">
        <v>44207</v>
      </c>
      <c r="C7540" s="1">
        <v>31</v>
      </c>
      <c r="D7540" s="276">
        <f t="shared" si="1078"/>
        <v>3204</v>
      </c>
      <c r="E7540" s="1"/>
      <c r="F7540" s="39">
        <f t="shared" si="1079"/>
        <v>17</v>
      </c>
      <c r="G7540" s="168">
        <f>SUM(C7540,C7516,C7492,C7468,C7444,C7420,C7396,C7372,C7348,C7324,C7300,C7276,C7252,C7228)/POBLA!$B$3*100000</f>
        <v>143.7037536287003</v>
      </c>
      <c r="H7540" s="256">
        <f t="shared" si="1076"/>
        <v>1.3692660550458715</v>
      </c>
      <c r="I7540" s="297">
        <f t="shared" si="1080"/>
        <v>196.76867182645429</v>
      </c>
      <c r="J7540" s="297">
        <f t="shared" si="1081"/>
        <v>47.857142857142854</v>
      </c>
      <c r="K7540" s="297">
        <f>J7540/POBLA!$B$3*100000</f>
        <v>11.519683528503135</v>
      </c>
      <c r="L7540" s="549">
        <f t="shared" si="1077"/>
        <v>-0.27862595419847325</v>
      </c>
      <c r="M7540" s="401">
        <f>SUM(C7540,C7516,C7492,C7468,C7444,C7420,C7396)/POBLA!$B$3*100000</f>
        <v>80.637784699521944</v>
      </c>
    </row>
    <row r="7541" spans="1:13" s="360" customFormat="1" x14ac:dyDescent="0.25">
      <c r="A7541" s="361" t="s">
        <v>15</v>
      </c>
      <c r="B7541" s="29">
        <v>44207</v>
      </c>
      <c r="C7541" s="1">
        <v>154</v>
      </c>
      <c r="D7541" s="276">
        <f t="shared" si="1078"/>
        <v>27083</v>
      </c>
      <c r="E7541" s="1">
        <v>3</v>
      </c>
      <c r="F7541" s="39">
        <f t="shared" si="1079"/>
        <v>737</v>
      </c>
      <c r="G7541" s="168">
        <f>SUM(C7541,C7517,C7493,C7469,C7445,C7421,C7397,C7373,C7349,C7325,C7301,C7277,C7253,C7229)/POBLA!$B$4*100000</f>
        <v>258.60472993447297</v>
      </c>
      <c r="H7541" s="256">
        <f t="shared" si="1076"/>
        <v>1.4833333333333334</v>
      </c>
      <c r="I7541" s="297">
        <f t="shared" si="1080"/>
        <v>383.59701606946828</v>
      </c>
      <c r="J7541" s="297">
        <f t="shared" si="1081"/>
        <v>251.42857142857142</v>
      </c>
      <c r="K7541" s="297">
        <f>J7541/POBLA!$B$4*100000</f>
        <v>20.873392556050096</v>
      </c>
      <c r="L7541" s="549">
        <f t="shared" si="1077"/>
        <v>-0.29889298892988925</v>
      </c>
      <c r="M7541" s="401">
        <f>SUM(C7541,C7517,C7493,C7469,C7445,C7421,C7397)/POBLA!$B$4*100000</f>
        <v>146.11374789235069</v>
      </c>
    </row>
    <row r="7542" spans="1:13" s="360" customFormat="1" x14ac:dyDescent="0.25">
      <c r="A7542" s="361" t="s">
        <v>29</v>
      </c>
      <c r="B7542" s="29">
        <v>44207</v>
      </c>
      <c r="C7542" s="1">
        <v>505</v>
      </c>
      <c r="D7542" s="276">
        <f t="shared" si="1078"/>
        <v>35825</v>
      </c>
      <c r="E7542" s="1">
        <v>7</v>
      </c>
      <c r="F7542" s="39">
        <f t="shared" si="1079"/>
        <v>542</v>
      </c>
      <c r="G7542" s="168">
        <f>SUM(C7542,C7518,C7494,C7470,C7446,C7422,C7398,C7374,C7350,C7326,C7302,C7278,C7254,C7230)/POBLA!$B$5*100000</f>
        <v>887.40763238415889</v>
      </c>
      <c r="H7542" s="256">
        <f t="shared" si="1076"/>
        <v>1.3626891590176136</v>
      </c>
      <c r="I7542" s="297">
        <f t="shared" si="1080"/>
        <v>1209.260760279381</v>
      </c>
      <c r="J7542" s="297">
        <f t="shared" si="1081"/>
        <v>436.57142857142856</v>
      </c>
      <c r="K7542" s="297">
        <f>J7542/POBLA!$B$5*100000</f>
        <v>70.529185835634692</v>
      </c>
      <c r="L7542" s="549">
        <f t="shared" si="1077"/>
        <v>-0.25400082068116547</v>
      </c>
      <c r="M7542" s="401">
        <f>SUM(C7542,C7518,C7494,C7470,C7446,C7422,C7398)/POBLA!$B$5*100000</f>
        <v>493.70430084944275</v>
      </c>
    </row>
    <row r="7543" spans="1:13" s="360" customFormat="1" x14ac:dyDescent="0.25">
      <c r="A7543" s="361" t="s">
        <v>20</v>
      </c>
      <c r="B7543" s="29">
        <v>44207</v>
      </c>
      <c r="C7543" s="1">
        <v>297</v>
      </c>
      <c r="D7543" s="276">
        <f t="shared" si="1078"/>
        <v>133841</v>
      </c>
      <c r="E7543" s="1">
        <v>5</v>
      </c>
      <c r="F7543" s="39">
        <f t="shared" si="1079"/>
        <v>2514</v>
      </c>
      <c r="G7543" s="168">
        <f>SUM(C7543,C7519,C7495,C7471,C7447,C7423,C7399,C7375,C7351,C7327,C7303,C7279,C7255,C7231)/POBLA!$B$6*100000</f>
        <v>754.99575749843189</v>
      </c>
      <c r="H7543" s="256">
        <f t="shared" si="1076"/>
        <v>1.6075227963525835</v>
      </c>
      <c r="I7543" s="297">
        <f t="shared" si="1080"/>
        <v>1213.6728913282163</v>
      </c>
      <c r="J7543" s="297">
        <f t="shared" si="1081"/>
        <v>737</v>
      </c>
      <c r="K7543" s="297">
        <f>J7543/POBLA!$B$6*100000</f>
        <v>65.756543757544819</v>
      </c>
      <c r="L7543" s="549">
        <f t="shared" si="1077"/>
        <v>-0.56191341204965184</v>
      </c>
      <c r="M7543" s="401">
        <f>SUM(C7543,C7519,C7495,C7471,C7447,C7423,C7399)/POBLA!$B$6*100000</f>
        <v>460.29580630281379</v>
      </c>
    </row>
    <row r="7544" spans="1:13" s="360" customFormat="1" x14ac:dyDescent="0.25">
      <c r="A7544" s="361" t="s">
        <v>30</v>
      </c>
      <c r="B7544" s="29">
        <v>44207</v>
      </c>
      <c r="C7544" s="1">
        <v>169</v>
      </c>
      <c r="D7544" s="276">
        <f t="shared" si="1078"/>
        <v>13934</v>
      </c>
      <c r="E7544" s="1">
        <v>7</v>
      </c>
      <c r="F7544" s="39">
        <f t="shared" si="1079"/>
        <v>181</v>
      </c>
      <c r="G7544" s="168">
        <f>SUM(C7544,C7520,C7496,C7472,C7448,C7424,C7400,C7376,C7352,C7328,C7304,C7280,C7256,C7232)/POBLA!$B$7*100000</f>
        <v>62.971186959007568</v>
      </c>
      <c r="H7544" s="256">
        <f t="shared" si="1076"/>
        <v>1.2294911734164071</v>
      </c>
      <c r="I7544" s="297">
        <f t="shared" si="1080"/>
        <v>77.422518545654171</v>
      </c>
      <c r="J7544" s="297">
        <f t="shared" si="1081"/>
        <v>210.71428571428572</v>
      </c>
      <c r="K7544" s="297">
        <f>J7544/POBLA!$B$7*100000</f>
        <v>5.6034327198682528</v>
      </c>
      <c r="L7544" s="549">
        <f t="shared" si="1077"/>
        <v>-0.65173572228443444</v>
      </c>
      <c r="M7544" s="401">
        <f>SUM(C7544,C7520,C7496,C7472,C7448,C7424,C7400)/POBLA!$B$7*100000</f>
        <v>39.22402903907777</v>
      </c>
    </row>
    <row r="7545" spans="1:13" x14ac:dyDescent="0.25">
      <c r="A7545" s="361" t="s">
        <v>31</v>
      </c>
      <c r="B7545" s="29">
        <v>44207</v>
      </c>
      <c r="C7545" s="1">
        <v>179</v>
      </c>
      <c r="D7545" s="276">
        <f t="shared" si="1078"/>
        <v>33720</v>
      </c>
      <c r="E7545" s="1">
        <v>1</v>
      </c>
      <c r="F7545" s="39">
        <f t="shared" si="1079"/>
        <v>614</v>
      </c>
      <c r="G7545" s="168">
        <f>SUM(C7545,C7521,C7497,C7473,C7449,C7425,C7401,C7377,C7353,C7329,C7305,C7281,C7257,C7233)/POBLA!$B$8*100000</f>
        <v>394.23908753565212</v>
      </c>
      <c r="H7545" s="256">
        <f t="shared" si="1076"/>
        <v>2.2175324675324677</v>
      </c>
      <c r="I7545" s="297">
        <f t="shared" si="1080"/>
        <v>874.23797658068315</v>
      </c>
      <c r="J7545" s="297">
        <f t="shared" si="1081"/>
        <v>471.85714285714283</v>
      </c>
      <c r="K7545" s="297">
        <f>J7545/POBLA!$B$8*100000</f>
        <v>34.045484891504366</v>
      </c>
      <c r="L7545" s="549">
        <f t="shared" si="1077"/>
        <v>-0.52845904673762156</v>
      </c>
      <c r="M7545" s="401">
        <f>SUM(C7545,C7521,C7497,C7473,C7449,C7425,C7401)/POBLA!$B$8*100000</f>
        <v>238.31839424053058</v>
      </c>
    </row>
    <row r="7546" spans="1:13" s="360" customFormat="1" x14ac:dyDescent="0.25">
      <c r="A7546" s="361" t="s">
        <v>41</v>
      </c>
      <c r="B7546" s="29">
        <v>44207</v>
      </c>
      <c r="C7546" s="1">
        <v>21</v>
      </c>
      <c r="D7546" s="276">
        <f t="shared" si="1078"/>
        <v>312</v>
      </c>
      <c r="E7546" s="1"/>
      <c r="F7546" s="39">
        <f t="shared" si="1079"/>
        <v>3</v>
      </c>
      <c r="G7546" s="168">
        <f>SUM(C7546,C7522,C7498,C7474,C7450,C7426,C7402,C7378,C7354,C7330,C7306,C7282,C7258,C7234)/POBLA!$B$9*100000</f>
        <v>15.036525538134118</v>
      </c>
      <c r="H7546" s="256">
        <f t="shared" si="1076"/>
        <v>3.9565217391304346</v>
      </c>
      <c r="I7546" s="297">
        <f t="shared" si="1080"/>
        <v>59.492340172617595</v>
      </c>
      <c r="J7546" s="297">
        <f t="shared" si="1081"/>
        <v>13</v>
      </c>
      <c r="K7546" s="297">
        <f>J7546/POBLA!$B$9*100000</f>
        <v>2.1480750768763022</v>
      </c>
      <c r="L7546" s="549" t="e">
        <f t="shared" si="1077"/>
        <v>#DIV/0!</v>
      </c>
      <c r="M7546" s="401">
        <f>SUM(C7546,C7522,C7498,C7474,C7450,C7426,C7402)/POBLA!$B$9*100000</f>
        <v>15.036525538134118</v>
      </c>
    </row>
    <row r="7547" spans="1:13" s="360" customFormat="1" x14ac:dyDescent="0.25">
      <c r="A7547" s="361" t="s">
        <v>32</v>
      </c>
      <c r="B7547" s="29">
        <v>44207</v>
      </c>
      <c r="C7547" s="1">
        <v>17</v>
      </c>
      <c r="D7547" s="276">
        <f t="shared" si="1078"/>
        <v>18703</v>
      </c>
      <c r="E7547" s="1"/>
      <c r="F7547" s="39">
        <f t="shared" si="1079"/>
        <v>859</v>
      </c>
      <c r="G7547" s="168">
        <f>SUM(C7547,C7523,C7499,C7475,C7451,C7427,C7403,C7379,C7355,C7331,C7307,C7283,C7259,C7235)/POBLA!$B$10*100000</f>
        <v>25.166011355838318</v>
      </c>
      <c r="H7547" s="256">
        <f t="shared" si="1076"/>
        <v>3.5925925925925926</v>
      </c>
      <c r="I7547" s="297">
        <f t="shared" si="1080"/>
        <v>90.41122598208581</v>
      </c>
      <c r="J7547" s="297">
        <f t="shared" si="1081"/>
        <v>19.142857142857142</v>
      </c>
      <c r="K7547" s="297">
        <f>J7547/POBLA!$B$10*100000</f>
        <v>2.4832441249501729</v>
      </c>
      <c r="L7547" s="549">
        <f t="shared" si="1077"/>
        <v>-1.2333333333333334</v>
      </c>
      <c r="M7547" s="401">
        <f>SUM(C7547,C7523,C7499,C7475,C7451,C7427,C7403)/POBLA!$B$10*100000</f>
        <v>17.382708874651211</v>
      </c>
    </row>
    <row r="7548" spans="1:13" s="360" customFormat="1" x14ac:dyDescent="0.25">
      <c r="A7548" s="361" t="s">
        <v>33</v>
      </c>
      <c r="B7548" s="29">
        <v>44207</v>
      </c>
      <c r="C7548" s="1">
        <v>203</v>
      </c>
      <c r="D7548" s="276">
        <f t="shared" si="1078"/>
        <v>13703</v>
      </c>
      <c r="E7548" s="1">
        <v>1</v>
      </c>
      <c r="F7548" s="39">
        <f t="shared" si="1079"/>
        <v>158</v>
      </c>
      <c r="G7548" s="168">
        <f>SUM(C7548,C7524,C7500,C7476,C7452,C7428,C7404,C7380,C7356,C7332,C7308,C7284,C7260,C7236)/POBLA!$B$11*100000</f>
        <v>1057.1160735210419</v>
      </c>
      <c r="H7548" s="256">
        <f t="shared" si="1076"/>
        <v>1.3551502145922747</v>
      </c>
      <c r="I7548" s="297">
        <f t="shared" si="1080"/>
        <v>1432.5510738809828</v>
      </c>
      <c r="J7548" s="297">
        <f t="shared" si="1081"/>
        <v>294.85714285714283</v>
      </c>
      <c r="K7548" s="297">
        <f>J7548/POBLA!$B$11*100000</f>
        <v>82.263981289727042</v>
      </c>
      <c r="L7548" s="549">
        <f t="shared" si="1077"/>
        <v>-0.1965217391304348</v>
      </c>
      <c r="M7548" s="401">
        <f>SUM(C7548,C7524,C7500,C7476,C7452,C7428,C7404)/POBLA!$B$11*100000</f>
        <v>575.84786902808935</v>
      </c>
    </row>
    <row r="7549" spans="1:13" s="360" customFormat="1" x14ac:dyDescent="0.25">
      <c r="A7549" s="361" t="s">
        <v>21</v>
      </c>
      <c r="B7549" s="29">
        <v>44207</v>
      </c>
      <c r="C7549" s="1">
        <v>13</v>
      </c>
      <c r="D7549" s="276">
        <f t="shared" si="1078"/>
        <v>9227</v>
      </c>
      <c r="E7549" s="1"/>
      <c r="F7549" s="39">
        <f t="shared" si="1079"/>
        <v>401</v>
      </c>
      <c r="G7549" s="168">
        <f>SUM(C7549,C7525,C7501,C7477,C7453,C7429,C7405,C7381,C7357,C7333,C7309,C7285,C7261,C7237)/POBLA!$B$12*100000</f>
        <v>39.386986031595981</v>
      </c>
      <c r="H7549" s="256">
        <f t="shared" si="1076"/>
        <v>1.1832061068702291</v>
      </c>
      <c r="I7549" s="297">
        <f t="shared" si="1080"/>
        <v>46.602922403796775</v>
      </c>
      <c r="J7549" s="297">
        <f t="shared" si="1081"/>
        <v>14.285714285714286</v>
      </c>
      <c r="K7549" s="297">
        <f>J7549/POBLA!$B$12*100000</f>
        <v>3.6301369614374184</v>
      </c>
      <c r="L7549" s="549">
        <f t="shared" si="1077"/>
        <v>-0.81818181818181812</v>
      </c>
      <c r="M7549" s="401">
        <f>SUM(C7549,C7525,C7501,C7477,C7453,C7429,C7405)/POBLA!$B$12*100000</f>
        <v>25.410958730061925</v>
      </c>
    </row>
    <row r="7550" spans="1:13" s="360" customFormat="1" x14ac:dyDescent="0.25">
      <c r="A7550" s="361" t="s">
        <v>17</v>
      </c>
      <c r="B7550" s="29">
        <v>44207</v>
      </c>
      <c r="C7550" s="1">
        <v>105</v>
      </c>
      <c r="D7550" s="276">
        <f t="shared" si="1078"/>
        <v>61395</v>
      </c>
      <c r="E7550" s="1">
        <v>3</v>
      </c>
      <c r="F7550" s="39">
        <f t="shared" si="1079"/>
        <v>1248</v>
      </c>
      <c r="G7550" s="168">
        <f>SUM(C7550,C7526,C7502,C7478,C7454,C7430,C7406,C7382,C7358,C7334,C7310,C7286,C7262,C7238)/POBLA!$B$13*100000</f>
        <v>85.864812911173885</v>
      </c>
      <c r="H7550" s="256">
        <f t="shared" si="1076"/>
        <v>1.2946969696969697</v>
      </c>
      <c r="I7550" s="297">
        <f t="shared" si="1080"/>
        <v>111.16891307969406</v>
      </c>
      <c r="J7550" s="297">
        <f t="shared" si="1081"/>
        <v>142.28571428571428</v>
      </c>
      <c r="K7550" s="297">
        <f>J7550/POBLA!$B$13*100000</f>
        <v>7.1488216717820929</v>
      </c>
      <c r="L7550" s="549">
        <f t="shared" si="1077"/>
        <v>-0.39691444600280512</v>
      </c>
      <c r="M7550" s="401">
        <f>SUM(C7550,C7526,C7502,C7478,C7454,C7430,C7406)/POBLA!$B$13*100000</f>
        <v>50.041751702474656</v>
      </c>
    </row>
    <row r="7551" spans="1:13" s="360" customFormat="1" x14ac:dyDescent="0.25">
      <c r="A7551" s="361" t="s">
        <v>23</v>
      </c>
      <c r="B7551" s="29">
        <v>44207</v>
      </c>
      <c r="C7551" s="1">
        <v>25</v>
      </c>
      <c r="D7551" s="276">
        <f t="shared" si="1078"/>
        <v>1470</v>
      </c>
      <c r="E7551" s="1"/>
      <c r="F7551" s="39">
        <f t="shared" si="1079"/>
        <v>16</v>
      </c>
      <c r="G7551" s="168">
        <f>SUM(C7551,C7527,C7503,C7479,C7455,C7431,C7407,C7383,C7359,C7335,C7311,C7287,C7263,C7239)/POBLA!$B$14*100000</f>
        <v>36.153347276685686</v>
      </c>
      <c r="H7551" s="256">
        <f t="shared" si="1076"/>
        <v>1.3860182370820668</v>
      </c>
      <c r="I7551" s="297">
        <f t="shared" si="1080"/>
        <v>50.109198657047635</v>
      </c>
      <c r="J7551" s="297">
        <f t="shared" si="1081"/>
        <v>44.714285714285715</v>
      </c>
      <c r="K7551" s="297">
        <f>J7551/POBLA!$B$14*100000</f>
        <v>3.5451120606524498</v>
      </c>
      <c r="L7551" s="549">
        <f t="shared" si="1077"/>
        <v>-1.1888111888111887</v>
      </c>
      <c r="M7551" s="401">
        <f>SUM(C7551,C7527,C7503,C7479,C7455,C7431,C7407)/POBLA!$B$14*100000</f>
        <v>24.815784424567152</v>
      </c>
    </row>
    <row r="7552" spans="1:13" s="360" customFormat="1" x14ac:dyDescent="0.25">
      <c r="A7552" s="361" t="s">
        <v>19</v>
      </c>
      <c r="B7552" s="29">
        <v>44207</v>
      </c>
      <c r="C7552" s="1">
        <v>405</v>
      </c>
      <c r="D7552" s="276">
        <f t="shared" si="1078"/>
        <v>45555</v>
      </c>
      <c r="E7552" s="1">
        <v>1</v>
      </c>
      <c r="F7552" s="39">
        <f t="shared" si="1079"/>
        <v>754</v>
      </c>
      <c r="G7552" s="168">
        <f>SUM(C7552,C7528,C7504,C7480,C7456,C7432,C7408,C7384,C7360,C7336,C7312,C7288,C7264,C7240)/POBLA!$B$15*100000</f>
        <v>901.12746345569724</v>
      </c>
      <c r="H7552" s="256">
        <f t="shared" si="1076"/>
        <v>2.4138765631302945</v>
      </c>
      <c r="I7552" s="297">
        <f t="shared" si="1080"/>
        <v>2175.2104644287583</v>
      </c>
      <c r="J7552" s="297">
        <f t="shared" si="1081"/>
        <v>474.85714285714283</v>
      </c>
      <c r="K7552" s="297">
        <f>J7552/POBLA!$B$15*100000</f>
        <v>71.508491418228076</v>
      </c>
      <c r="L7552" s="549">
        <f t="shared" si="1077"/>
        <v>-0.24962406015037586</v>
      </c>
      <c r="M7552" s="401">
        <f>SUM(C7552,C7528,C7504,C7480,C7456,C7432,C7408)/POBLA!$B$15*100000</f>
        <v>500.5594399275966</v>
      </c>
    </row>
    <row r="7553" spans="1:13" s="360" customFormat="1" x14ac:dyDescent="0.25">
      <c r="A7553" s="361" t="s">
        <v>18</v>
      </c>
      <c r="B7553" s="29">
        <v>44207</v>
      </c>
      <c r="C7553" s="1">
        <v>350</v>
      </c>
      <c r="D7553" s="276">
        <f t="shared" si="1078"/>
        <v>41834</v>
      </c>
      <c r="E7553" s="1">
        <v>11</v>
      </c>
      <c r="F7553" s="39">
        <f t="shared" si="1079"/>
        <v>971</v>
      </c>
      <c r="G7553" s="168">
        <f>SUM(C7553,C7529,C7505,C7481,C7457,C7433,C7409,C7385,C7361,C7337,C7313,C7289,C7265,C7241)/POBLA!$B$16*100000</f>
        <v>574.36363879562873</v>
      </c>
      <c r="H7553" s="256">
        <f t="shared" si="1076"/>
        <v>1.3550015777847901</v>
      </c>
      <c r="I7553" s="297">
        <f t="shared" si="1080"/>
        <v>778.26363679029021</v>
      </c>
      <c r="J7553" s="297">
        <f t="shared" si="1081"/>
        <v>353.14285714285717</v>
      </c>
      <c r="K7553" s="297">
        <f>J7553/POBLA!$B$16*100000</f>
        <v>47.236240438578555</v>
      </c>
      <c r="L7553" s="549">
        <f t="shared" si="1077"/>
        <v>-0.35675082327113072</v>
      </c>
      <c r="M7553" s="401">
        <f>SUM(C7553,C7529,C7505,C7481,C7457,C7433,C7409)/POBLA!$B$16*100000</f>
        <v>330.65368307004991</v>
      </c>
    </row>
    <row r="7554" spans="1:13" s="360" customFormat="1" x14ac:dyDescent="0.25">
      <c r="A7554" s="361" t="s">
        <v>34</v>
      </c>
      <c r="B7554" s="29">
        <v>44207</v>
      </c>
      <c r="C7554" s="1">
        <v>49</v>
      </c>
      <c r="D7554" s="276">
        <f t="shared" si="1078"/>
        <v>22759</v>
      </c>
      <c r="E7554" s="1">
        <v>1</v>
      </c>
      <c r="F7554" s="39">
        <f t="shared" si="1079"/>
        <v>1024</v>
      </c>
      <c r="G7554" s="168">
        <f>SUM(C7554,C7530,C7506,C7482,C7458,C7434,C7410,C7386,C7362,C7338,C7314,C7290,C7266,C7242)/POBLA!$B$17*100000</f>
        <v>38.121394526947192</v>
      </c>
      <c r="H7554" s="256">
        <f t="shared" si="1076"/>
        <v>0.90199335548172754</v>
      </c>
      <c r="I7554" s="297">
        <f t="shared" si="1080"/>
        <v>34.385244565003859</v>
      </c>
      <c r="J7554" s="297">
        <f t="shared" si="1081"/>
        <v>46.428571428571431</v>
      </c>
      <c r="K7554" s="297">
        <f>J7554/POBLA!$B$17*100000</f>
        <v>3.2595246570002203</v>
      </c>
      <c r="L7554" s="549">
        <f t="shared" si="1077"/>
        <v>-0.49082568807339455</v>
      </c>
      <c r="M7554" s="401">
        <f>SUM(C7554,C7530,C7506,C7482,C7458,C7434,C7410)/POBLA!$B$17*100000</f>
        <v>22.816672599001542</v>
      </c>
    </row>
    <row r="7555" spans="1:13" s="360" customFormat="1" x14ac:dyDescent="0.25">
      <c r="A7555" s="361" t="s">
        <v>35</v>
      </c>
      <c r="B7555" s="29">
        <v>44207</v>
      </c>
      <c r="C7555" s="1">
        <v>86</v>
      </c>
      <c r="D7555" s="276">
        <f t="shared" si="1078"/>
        <v>12468</v>
      </c>
      <c r="E7555" s="1">
        <v>2</v>
      </c>
      <c r="F7555" s="39">
        <f t="shared" si="1079"/>
        <v>209</v>
      </c>
      <c r="G7555" s="168">
        <f>SUM(C7555,C7531,C7507,C7483,C7459,C7435,C7411,C7387,C7363,C7339,C7315,C7291,C7267,C7243)/POBLA!$B$18*100000</f>
        <v>181.51166705281631</v>
      </c>
      <c r="H7555" s="256">
        <f t="shared" si="1076"/>
        <v>0.9037603569152326</v>
      </c>
      <c r="I7555" s="297">
        <f t="shared" si="1080"/>
        <v>164.04304899993213</v>
      </c>
      <c r="J7555" s="297">
        <f t="shared" si="1081"/>
        <v>113</v>
      </c>
      <c r="K7555" s="297">
        <f>J7555/POBLA!$B$18*100000</f>
        <v>14.464610985168015</v>
      </c>
      <c r="L7555" s="549">
        <f t="shared" si="1077"/>
        <v>-0.26156299840510377</v>
      </c>
      <c r="M7555" s="401">
        <f>SUM(C7555,C7531,C7507,C7483,C7459,C7435,C7411)/POBLA!$B$18*100000</f>
        <v>101.25227689617608</v>
      </c>
    </row>
    <row r="7556" spans="1:13" s="360" customFormat="1" x14ac:dyDescent="0.25">
      <c r="A7556" s="361" t="s">
        <v>36</v>
      </c>
      <c r="B7556" s="29">
        <v>44207</v>
      </c>
      <c r="C7556" s="1">
        <v>69</v>
      </c>
      <c r="D7556" s="276">
        <f t="shared" si="1078"/>
        <v>16613</v>
      </c>
      <c r="E7556" s="1">
        <v>4</v>
      </c>
      <c r="F7556" s="39">
        <f t="shared" si="1079"/>
        <v>325</v>
      </c>
      <c r="G7556" s="168">
        <f>SUM(C7556,C7532,C7508,C7484,C7460,C7436,C7412,C7388,C7364,C7340,C7316,C7292,C7268,C7244)/POBLA!$B$19*100000</f>
        <v>107.6076863757259</v>
      </c>
      <c r="H7556" s="256">
        <f t="shared" si="1076"/>
        <v>1.0458891013384322</v>
      </c>
      <c r="I7556" s="297">
        <f t="shared" si="1080"/>
        <v>112.54570640061581</v>
      </c>
      <c r="J7556" s="297">
        <f t="shared" si="1081"/>
        <v>48.571428571428569</v>
      </c>
      <c r="K7556" s="297">
        <f>J7556/POBLA!$B$19*100000</f>
        <v>9.5551353794063232</v>
      </c>
      <c r="L7556" s="549">
        <f t="shared" si="1077"/>
        <v>-0.64251207729468596</v>
      </c>
      <c r="M7556" s="401">
        <f>SUM(C7556,C7532,C7508,C7484,C7460,C7436,C7412)/POBLA!$B$19*100000</f>
        <v>66.885947655844262</v>
      </c>
    </row>
    <row r="7557" spans="1:13" s="360" customFormat="1" x14ac:dyDescent="0.25">
      <c r="A7557" s="361" t="s">
        <v>37</v>
      </c>
      <c r="B7557" s="29">
        <v>44207</v>
      </c>
      <c r="C7557" s="1">
        <v>342</v>
      </c>
      <c r="D7557" s="276">
        <f t="shared" si="1078"/>
        <v>27536</v>
      </c>
      <c r="E7557" s="1">
        <v>4</v>
      </c>
      <c r="F7557" s="39">
        <f t="shared" si="1079"/>
        <v>428</v>
      </c>
      <c r="G7557" s="168">
        <f>SUM(C7557,C7533,C7509,C7485,C7461,C7437,C7413,C7389,C7365,C7341,C7317,C7293,C7269,C7245)/POBLA!$B$20*100000</f>
        <v>1375.9987749454469</v>
      </c>
      <c r="H7557" s="256">
        <f t="shared" si="1076"/>
        <v>1.4418338108882522</v>
      </c>
      <c r="I7557" s="297">
        <f t="shared" si="1080"/>
        <v>1983.9615574571603</v>
      </c>
      <c r="J7557" s="297">
        <f t="shared" si="1081"/>
        <v>403.71428571428572</v>
      </c>
      <c r="K7557" s="297">
        <f>J7557/POBLA!$B$20*100000</f>
        <v>110.39554105143745</v>
      </c>
      <c r="L7557" s="549">
        <f t="shared" si="1077"/>
        <v>-0.28105167724388025</v>
      </c>
      <c r="M7557" s="401">
        <f>SUM(C7557,C7533,C7509,C7485,C7461,C7437,C7413)/POBLA!$B$20*100000</f>
        <v>772.76878736006211</v>
      </c>
    </row>
    <row r="7558" spans="1:13" s="360" customFormat="1" x14ac:dyDescent="0.25">
      <c r="A7558" s="361" t="s">
        <v>22</v>
      </c>
      <c r="B7558" s="29">
        <v>44207</v>
      </c>
      <c r="C7558" s="1">
        <v>1072</v>
      </c>
      <c r="D7558" s="276">
        <f t="shared" si="1078"/>
        <v>187510</v>
      </c>
      <c r="E7558" s="1">
        <v>10</v>
      </c>
      <c r="F7558" s="39">
        <f t="shared" si="1079"/>
        <v>3099</v>
      </c>
      <c r="G7558" s="168">
        <f>SUM(C7558,C7534,C7510,C7486,C7462,C7438,C7414,C7390,C7366,C7342,C7318,C7294,C7270,C7246)/POBLA!$B$21*100000</f>
        <v>424.78010235215402</v>
      </c>
      <c r="H7558" s="256">
        <f t="shared" si="1076"/>
        <v>1.2875632124796434</v>
      </c>
      <c r="I7558" s="297">
        <f t="shared" si="1080"/>
        <v>546.93123318197115</v>
      </c>
      <c r="J7558" s="297">
        <f t="shared" si="1081"/>
        <v>1236.1428571428571</v>
      </c>
      <c r="K7558" s="297">
        <f>J7558/POBLA!$B$21*100000</f>
        <v>34.95465912521815</v>
      </c>
      <c r="L7558" s="549">
        <f t="shared" si="1077"/>
        <v>-0.3586120270058093</v>
      </c>
      <c r="M7558" s="401">
        <f>SUM(C7558,C7534,C7510,C7486,C7462,C7438,C7414)/POBLA!$B$21*100000</f>
        <v>244.68261387652706</v>
      </c>
    </row>
    <row r="7559" spans="1:13" s="360" customFormat="1" x14ac:dyDescent="0.25">
      <c r="A7559" s="361" t="s">
        <v>38</v>
      </c>
      <c r="B7559" s="29">
        <v>44207</v>
      </c>
      <c r="C7559" s="1">
        <v>171</v>
      </c>
      <c r="D7559" s="276">
        <f t="shared" si="1078"/>
        <v>18788</v>
      </c>
      <c r="E7559" s="1"/>
      <c r="F7559" s="39">
        <f t="shared" si="1079"/>
        <v>226</v>
      </c>
      <c r="G7559" s="168">
        <f>SUM(C7559,C7535,C7511,C7487,C7463,C7439,C7415,C7391,C7367,C7343,C7319,C7295,C7271,C7247)/POBLA!$B$22*100000</f>
        <v>169.27097973756864</v>
      </c>
      <c r="H7559" s="256">
        <f t="shared" si="1076"/>
        <v>2.76</v>
      </c>
      <c r="I7559" s="297">
        <f t="shared" si="1080"/>
        <v>467.1879040756894</v>
      </c>
      <c r="J7559" s="297">
        <f t="shared" si="1081"/>
        <v>150.71428571428572</v>
      </c>
      <c r="K7559" s="297">
        <f>J7559/POBLA!$B$22*100000</f>
        <v>15.405528262865333</v>
      </c>
      <c r="L7559" s="549">
        <f t="shared" si="1077"/>
        <v>-0.75540765391014975</v>
      </c>
      <c r="M7559" s="401">
        <f>SUM(C7559,C7535,C7511,C7487,C7463,C7439,C7415)/POBLA!$B$22*100000</f>
        <v>107.83869784005732</v>
      </c>
    </row>
    <row r="7560" spans="1:13" s="360" customFormat="1" x14ac:dyDescent="0.25">
      <c r="A7560" s="361" t="s">
        <v>39</v>
      </c>
      <c r="B7560" s="29">
        <v>44207</v>
      </c>
      <c r="C7560" s="1">
        <v>85</v>
      </c>
      <c r="D7560" s="276">
        <f t="shared" si="1078"/>
        <v>20256</v>
      </c>
      <c r="E7560" s="1">
        <v>3</v>
      </c>
      <c r="F7560" s="39">
        <f t="shared" si="1079"/>
        <v>277</v>
      </c>
      <c r="G7560" s="168">
        <f>SUM(C7560,C7536,C7512,C7488,C7464,C7440,C7416,C7392,C7368,C7344,C7320,C7296,C7272,C7248)/POBLA!$B$23*100000</f>
        <v>822.25866651586261</v>
      </c>
      <c r="H7560" s="256">
        <f t="shared" si="1076"/>
        <v>1.2924444444444445</v>
      </c>
      <c r="I7560" s="297">
        <f t="shared" si="1080"/>
        <v>1062.7236454347237</v>
      </c>
      <c r="J7560" s="297">
        <f t="shared" si="1081"/>
        <v>103.42857142857143</v>
      </c>
      <c r="K7560" s="297">
        <f>J7560/POBLA!$B$23*100000</f>
        <v>58.490398364854059</v>
      </c>
      <c r="L7560" s="549">
        <f t="shared" si="1077"/>
        <v>8.2191780821917471E-3</v>
      </c>
      <c r="M7560" s="401">
        <f>SUM(C7560,C7536,C7512,C7488,C7464,C7440,C7416)/POBLA!$B$23*100000</f>
        <v>409.43278855397841</v>
      </c>
    </row>
    <row r="7561" spans="1:13" s="360" customFormat="1" ht="15.75" thickBot="1" x14ac:dyDescent="0.3">
      <c r="A7561" s="361" t="s">
        <v>40</v>
      </c>
      <c r="B7561" s="29">
        <v>44207</v>
      </c>
      <c r="C7561" s="1">
        <v>261</v>
      </c>
      <c r="D7561" s="276">
        <f t="shared" si="1078"/>
        <v>73099</v>
      </c>
      <c r="E7561" s="1"/>
      <c r="F7561" s="39">
        <f t="shared" si="1079"/>
        <v>1384</v>
      </c>
      <c r="G7561" s="177">
        <f>SUM(C7561,C7537,C7513,C7489,C7465,C7441,C7417,C7393,C7369,C7345,C7321,C7297,C7273,C7249)/POBLA!$B$24*100000</f>
        <v>149.41085388421013</v>
      </c>
      <c r="H7561" s="402">
        <f t="shared" si="1076"/>
        <v>1.3146417445482865</v>
      </c>
      <c r="I7561" s="403">
        <f t="shared" si="1080"/>
        <v>196.42174560478713</v>
      </c>
      <c r="J7561" s="403">
        <f t="shared" si="1081"/>
        <v>216.14285714285714</v>
      </c>
      <c r="K7561" s="403">
        <f>J7561/POBLA!$B$24*100000</f>
        <v>12.754379481314034</v>
      </c>
      <c r="L7561" s="550">
        <f t="shared" si="1077"/>
        <v>-0.48478900883218845</v>
      </c>
      <c r="M7561" s="405">
        <f>SUM(C7561,C7537,C7513,C7489,C7465,C7441,C7417)/POBLA!$B$24*100000</f>
        <v>89.280656369198226</v>
      </c>
    </row>
    <row r="7562" spans="1:13" s="360" customFormat="1" x14ac:dyDescent="0.25">
      <c r="A7562" s="361" t="s">
        <v>16</v>
      </c>
      <c r="B7562" s="29">
        <v>44208</v>
      </c>
      <c r="C7562" s="1">
        <v>5409</v>
      </c>
      <c r="D7562" s="276">
        <f>C7562+D7538</f>
        <v>730543</v>
      </c>
      <c r="E7562" s="1">
        <v>76</v>
      </c>
      <c r="F7562" s="39">
        <f>E7562+F7538</f>
        <v>23076</v>
      </c>
      <c r="G7562" s="175">
        <f>SUM(C7562,C7538,C7514,C7490,C7466,C7442,C7418,C7394,C7370,C7346,C7322,C7298,C7274,C7250)/POBLA!$B$1*100000</f>
        <v>315.0479207709464</v>
      </c>
      <c r="H7562" s="300">
        <f t="shared" ref="H7562:H7585" si="1082">SUM(C7562,C7538,C7514,C7490,C7466,C7442,C7418,C7394,C7370,C7346,C7322,C7298,C7274,C7250)/SUM(C7226,C7202,C7178,C7154,C7130,C7106,C7082,C7058,C7034,C7010,C6986,C6962,C6938,C6914)</f>
        <v>1.6499865643567313</v>
      </c>
      <c r="I7562" s="301">
        <f>G7562*H7562</f>
        <v>519.82483640058558</v>
      </c>
      <c r="J7562" s="301">
        <f>AVERAGE(C7562,C7538,C7514,C7490,C7466,C7442,C7418)</f>
        <v>4540</v>
      </c>
      <c r="K7562" s="301">
        <f>J7562/POBLA!$B$1*100000</f>
        <v>25.882010754032478</v>
      </c>
      <c r="L7562" s="548">
        <f t="shared" ref="L7562:L7585" si="1083">1-SUM(C7562,C7538,C7514,C7490,C7466,C7442,C7418)/SUM(C7394,C7370,C7346,C7322,C7298,C7274,C7250)</f>
        <v>-0.35331942256100168</v>
      </c>
      <c r="M7562" s="400">
        <f>SUM(C7562,C7538,C7514,C7490,C7466,C7442,C7418)/POBLA!$B$1*100000</f>
        <v>181.17407527822735</v>
      </c>
    </row>
    <row r="7563" spans="1:13" s="360" customFormat="1" x14ac:dyDescent="0.25">
      <c r="A7563" s="361" t="s">
        <v>43</v>
      </c>
      <c r="B7563" s="29">
        <v>44208</v>
      </c>
      <c r="C7563" s="1">
        <v>1558</v>
      </c>
      <c r="D7563" s="276">
        <f t="shared" si="1078"/>
        <v>188510</v>
      </c>
      <c r="E7563" s="1">
        <v>23</v>
      </c>
      <c r="F7563" s="39">
        <f t="shared" si="1079"/>
        <v>5627</v>
      </c>
      <c r="G7563" s="168">
        <f>SUM(C7563,C7539,C7515,C7491,C7467,C7443,C7419,C7395,C7371,C7347,C7323,C7299,C7275,C7251)/POBLA!$B$2*100000</f>
        <v>530.75028790699582</v>
      </c>
      <c r="H7563" s="256">
        <f t="shared" si="1082"/>
        <v>1.925454116536919</v>
      </c>
      <c r="I7563" s="297">
        <f t="shared" ref="I7563:I7585" si="1084">G7563*H7563</f>
        <v>1021.9353267036801</v>
      </c>
      <c r="J7563" s="297">
        <f t="shared" ref="J7563:J7585" si="1085">AVERAGE(C7563,C7539,C7515,C7491,C7467,C7443,C7419)</f>
        <v>1356.4285714285713</v>
      </c>
      <c r="K7563" s="297">
        <f>J7563/POBLA!$B$2*100000</f>
        <v>44.102233203319607</v>
      </c>
      <c r="L7563" s="549">
        <f t="shared" si="1083"/>
        <v>-0.39039390833211307</v>
      </c>
      <c r="M7563" s="401">
        <f>SUM(C7563,C7539,C7515,C7491,C7467,C7443,C7419)/POBLA!$B$2*100000</f>
        <v>308.71563242323725</v>
      </c>
    </row>
    <row r="7564" spans="1:13" s="360" customFormat="1" x14ac:dyDescent="0.25">
      <c r="A7564" s="361" t="s">
        <v>28</v>
      </c>
      <c r="B7564" s="29">
        <v>44208</v>
      </c>
      <c r="C7564" s="1">
        <v>82</v>
      </c>
      <c r="D7564" s="276">
        <f t="shared" si="1078"/>
        <v>3286</v>
      </c>
      <c r="E7564" s="1"/>
      <c r="F7564" s="39">
        <f t="shared" si="1079"/>
        <v>17</v>
      </c>
      <c r="G7564" s="168">
        <f>SUM(C7564,C7540,C7516,C7492,C7468,C7444,C7420,C7396,C7372,C7348,C7324,C7300,C7276,C7252)/POBLA!$B$3*100000</f>
        <v>159.59060076353148</v>
      </c>
      <c r="H7564" s="256">
        <f t="shared" si="1082"/>
        <v>1.5311778290993072</v>
      </c>
      <c r="I7564" s="297">
        <f t="shared" si="1084"/>
        <v>244.36158962175838</v>
      </c>
      <c r="J7564" s="297">
        <f t="shared" si="1085"/>
        <v>50.857142857142854</v>
      </c>
      <c r="K7564" s="297">
        <f>J7564/POBLA!$B$3*100000</f>
        <v>12.241812943722735</v>
      </c>
      <c r="L7564" s="549">
        <f t="shared" si="1083"/>
        <v>-0.15960912052117271</v>
      </c>
      <c r="M7564" s="401">
        <f>SUM(C7564,C7540,C7516,C7492,C7468,C7444,C7420)/POBLA!$B$3*100000</f>
        <v>85.692690606059145</v>
      </c>
    </row>
    <row r="7565" spans="1:13" s="360" customFormat="1" x14ac:dyDescent="0.25">
      <c r="A7565" s="361" t="s">
        <v>15</v>
      </c>
      <c r="B7565" s="29">
        <v>44208</v>
      </c>
      <c r="C7565" s="1">
        <v>267</v>
      </c>
      <c r="D7565" s="276">
        <f t="shared" si="1078"/>
        <v>27350</v>
      </c>
      <c r="E7565" s="1">
        <v>6</v>
      </c>
      <c r="F7565" s="39">
        <f t="shared" si="1079"/>
        <v>743</v>
      </c>
      <c r="G7565" s="168">
        <f>SUM(C7565,C7541,C7517,C7493,C7469,C7445,C7421,C7397,C7373,C7349,C7325,C7301,C7277,C7253)/POBLA!$B$4*100000</f>
        <v>255.36698211185839</v>
      </c>
      <c r="H7565" s="256">
        <f t="shared" si="1082"/>
        <v>1.3695458593054319</v>
      </c>
      <c r="I7565" s="297">
        <f t="shared" si="1084"/>
        <v>349.73679295461994</v>
      </c>
      <c r="J7565" s="297">
        <f t="shared" si="1085"/>
        <v>246.71428571428572</v>
      </c>
      <c r="K7565" s="297">
        <f>J7565/POBLA!$B$4*100000</f>
        <v>20.482016445624161</v>
      </c>
      <c r="L7565" s="549">
        <f t="shared" si="1083"/>
        <v>-0.2802075611564121</v>
      </c>
      <c r="M7565" s="401">
        <f>SUM(C7565,C7541,C7517,C7493,C7469,C7445,C7421)/POBLA!$B$4*100000</f>
        <v>143.37411511936912</v>
      </c>
    </row>
    <row r="7566" spans="1:13" s="360" customFormat="1" x14ac:dyDescent="0.25">
      <c r="A7566" s="361" t="s">
        <v>29</v>
      </c>
      <c r="B7566" s="29">
        <v>44208</v>
      </c>
      <c r="C7566" s="1">
        <v>602</v>
      </c>
      <c r="D7566" s="276">
        <f t="shared" si="1078"/>
        <v>36427</v>
      </c>
      <c r="E7566" s="1">
        <v>2</v>
      </c>
      <c r="F7566" s="39">
        <f t="shared" si="1079"/>
        <v>544</v>
      </c>
      <c r="G7566" s="168">
        <f>SUM(C7566,C7542,C7518,C7494,C7470,C7446,C7422,C7398,C7374,C7350,C7326,C7302,C7278,C7254)/POBLA!$B$5*100000</f>
        <v>886.76142256629305</v>
      </c>
      <c r="H7566" s="256">
        <f t="shared" si="1082"/>
        <v>1.2827763496143958</v>
      </c>
      <c r="I7566" s="297">
        <f t="shared" si="1084"/>
        <v>1137.5165806184582</v>
      </c>
      <c r="J7566" s="297">
        <f t="shared" si="1085"/>
        <v>439.28571428571428</v>
      </c>
      <c r="K7566" s="297">
        <f>J7566/POBLA!$B$5*100000</f>
        <v>70.967685354900738</v>
      </c>
      <c r="L7566" s="549">
        <f t="shared" si="1083"/>
        <v>-0.27381938690969343</v>
      </c>
      <c r="M7566" s="401">
        <f>SUM(C7566,C7542,C7518,C7494,C7470,C7446,C7422)/POBLA!$B$5*100000</f>
        <v>496.77379748430513</v>
      </c>
    </row>
    <row r="7567" spans="1:13" s="360" customFormat="1" x14ac:dyDescent="0.25">
      <c r="A7567" s="361" t="s">
        <v>20</v>
      </c>
      <c r="B7567" s="29">
        <v>44208</v>
      </c>
      <c r="C7567" s="1">
        <v>790</v>
      </c>
      <c r="D7567" s="276">
        <f t="shared" si="1078"/>
        <v>134631</v>
      </c>
      <c r="E7567" s="1">
        <v>7</v>
      </c>
      <c r="F7567" s="39">
        <f t="shared" si="1079"/>
        <v>2521</v>
      </c>
      <c r="G7567" s="168">
        <f>SUM(C7567,C7543,C7519,C7495,C7471,C7447,C7423,C7399,C7375,C7351,C7327,C7303,C7279,C7255)/POBLA!$B$6*100000</f>
        <v>756.33408606880255</v>
      </c>
      <c r="H7567" s="256">
        <f t="shared" si="1082"/>
        <v>1.4995577569432159</v>
      </c>
      <c r="I7567" s="297">
        <f t="shared" si="1084"/>
        <v>1134.1666456050307</v>
      </c>
      <c r="J7567" s="297">
        <f t="shared" si="1085"/>
        <v>720.28571428571433</v>
      </c>
      <c r="K7567" s="297">
        <f>J7567/POBLA!$B$6*100000</f>
        <v>64.265263350560389</v>
      </c>
      <c r="L7567" s="549">
        <f t="shared" si="1083"/>
        <v>-0.46783114992721986</v>
      </c>
      <c r="M7567" s="401">
        <f>SUM(C7567,C7543,C7519,C7495,C7471,C7447,C7423)/POBLA!$B$6*100000</f>
        <v>449.85684345392269</v>
      </c>
    </row>
    <row r="7568" spans="1:13" s="360" customFormat="1" x14ac:dyDescent="0.25">
      <c r="A7568" s="361" t="s">
        <v>30</v>
      </c>
      <c r="B7568" s="29">
        <v>44208</v>
      </c>
      <c r="C7568" s="1">
        <v>248</v>
      </c>
      <c r="D7568" s="276">
        <f t="shared" si="1078"/>
        <v>14182</v>
      </c>
      <c r="E7568" s="1"/>
      <c r="F7568" s="39">
        <f t="shared" si="1079"/>
        <v>181</v>
      </c>
      <c r="G7568" s="168">
        <f>SUM(C7568,C7544,C7520,C7496,C7472,C7448,C7424,C7400,C7376,C7352,C7328,C7304,C7280,C7256)/POBLA!$B$7*100000</f>
        <v>63.822148944940103</v>
      </c>
      <c r="H7568" s="256">
        <f t="shared" si="1082"/>
        <v>1.2084592145015105</v>
      </c>
      <c r="I7568" s="297">
        <f t="shared" si="1084"/>
        <v>77.126463981800725</v>
      </c>
      <c r="J7568" s="297">
        <f t="shared" si="1085"/>
        <v>221</v>
      </c>
      <c r="K7568" s="297">
        <f>J7568/POBLA!$B$7*100000</f>
        <v>5.876956215346568</v>
      </c>
      <c r="L7568" s="549">
        <f t="shared" si="1083"/>
        <v>-0.81359906213364597</v>
      </c>
      <c r="M7568" s="401">
        <f>SUM(C7568,C7544,C7520,C7496,C7472,C7448,C7424)/POBLA!$B$7*100000</f>
        <v>41.138693507425977</v>
      </c>
    </row>
    <row r="7569" spans="1:13" x14ac:dyDescent="0.25">
      <c r="A7569" s="361" t="s">
        <v>31</v>
      </c>
      <c r="B7569" s="29">
        <v>44208</v>
      </c>
      <c r="C7569" s="1">
        <v>485</v>
      </c>
      <c r="D7569" s="276">
        <f t="shared" si="1078"/>
        <v>34205</v>
      </c>
      <c r="E7569" s="1">
        <v>4</v>
      </c>
      <c r="F7569" s="39">
        <f t="shared" si="1079"/>
        <v>618</v>
      </c>
      <c r="G7569" s="168">
        <f>SUM(C7569,C7545,C7521,C7497,C7473,C7449,C7425,C7401,C7377,C7353,C7329,C7305,C7281,C7257)/POBLA!$B$8*100000</f>
        <v>405.63911971548987</v>
      </c>
      <c r="H7569" s="256">
        <f t="shared" si="1082"/>
        <v>2.1167168674698793</v>
      </c>
      <c r="I7569" s="297">
        <f t="shared" si="1084"/>
        <v>858.62316680741105</v>
      </c>
      <c r="J7569" s="297">
        <f t="shared" si="1085"/>
        <v>462.57142857142856</v>
      </c>
      <c r="K7569" s="297">
        <f>J7569/POBLA!$B$8*100000</f>
        <v>33.375501083466894</v>
      </c>
      <c r="L7569" s="549">
        <f t="shared" si="1083"/>
        <v>-0.35822147651006708</v>
      </c>
      <c r="M7569" s="401">
        <f>SUM(C7569,C7545,C7521,C7497,C7473,C7449,C7425)/POBLA!$B$8*100000</f>
        <v>233.62850758426825</v>
      </c>
    </row>
    <row r="7570" spans="1:13" s="360" customFormat="1" x14ac:dyDescent="0.25">
      <c r="A7570" s="361" t="s">
        <v>41</v>
      </c>
      <c r="B7570" s="29">
        <v>44208</v>
      </c>
      <c r="C7570" s="1">
        <v>59</v>
      </c>
      <c r="D7570" s="276">
        <f t="shared" si="1078"/>
        <v>371</v>
      </c>
      <c r="E7570" s="1"/>
      <c r="F7570" s="39">
        <f t="shared" si="1079"/>
        <v>3</v>
      </c>
      <c r="G7570" s="168">
        <f>SUM(C7570,C7546,C7522,C7498,C7474,C7450,C7426,C7402,C7378,C7354,C7330,C7306,C7282,C7258)/POBLA!$B$9*100000</f>
        <v>26.272610555640927</v>
      </c>
      <c r="H7570" s="256">
        <f t="shared" si="1082"/>
        <v>10.6</v>
      </c>
      <c r="I7570" s="297">
        <f t="shared" si="1084"/>
        <v>278.48967188979384</v>
      </c>
      <c r="J7570" s="297">
        <f t="shared" si="1085"/>
        <v>20.714285714285715</v>
      </c>
      <c r="K7570" s="297">
        <f>J7570/POBLA!$B$9*100000</f>
        <v>3.4227569906270752</v>
      </c>
      <c r="L7570" s="549">
        <f t="shared" si="1083"/>
        <v>-9.3571428571428577</v>
      </c>
      <c r="M7570" s="401">
        <f>SUM(C7570,C7546,C7522,C7498,C7474,C7450,C7426)/POBLA!$B$9*100000</f>
        <v>23.959298934389526</v>
      </c>
    </row>
    <row r="7571" spans="1:13" s="360" customFormat="1" x14ac:dyDescent="0.25">
      <c r="A7571" s="361" t="s">
        <v>32</v>
      </c>
      <c r="B7571" s="29">
        <v>44208</v>
      </c>
      <c r="C7571" s="1">
        <v>16</v>
      </c>
      <c r="D7571" s="276">
        <f t="shared" si="1078"/>
        <v>18719</v>
      </c>
      <c r="E7571" s="1">
        <v>1</v>
      </c>
      <c r="F7571" s="39">
        <f t="shared" si="1079"/>
        <v>860</v>
      </c>
      <c r="G7571" s="168">
        <f>SUM(C7571,C7547,C7523,C7499,C7475,C7451,C7427,C7403,C7379,C7355,C7331,C7307,C7283,C7259)/POBLA!$B$10*100000</f>
        <v>25.425454771877888</v>
      </c>
      <c r="H7571" s="256">
        <f t="shared" si="1082"/>
        <v>3.0625</v>
      </c>
      <c r="I7571" s="297">
        <f t="shared" si="1084"/>
        <v>77.865455238876038</v>
      </c>
      <c r="J7571" s="297">
        <f t="shared" si="1085"/>
        <v>18.714285714285715</v>
      </c>
      <c r="K7571" s="297">
        <f>J7571/POBLA!$B$10*100000</f>
        <v>2.427649107227408</v>
      </c>
      <c r="L7571" s="549">
        <f t="shared" si="1083"/>
        <v>-1.0153846153846153</v>
      </c>
      <c r="M7571" s="401">
        <f>SUM(C7571,C7547,C7523,C7499,C7475,C7451,C7427)/POBLA!$B$10*100000</f>
        <v>16.993543750591854</v>
      </c>
    </row>
    <row r="7572" spans="1:13" s="360" customFormat="1" x14ac:dyDescent="0.25">
      <c r="A7572" s="361" t="s">
        <v>33</v>
      </c>
      <c r="B7572" s="29">
        <v>44208</v>
      </c>
      <c r="C7572" s="1">
        <v>352</v>
      </c>
      <c r="D7572" s="276">
        <f t="shared" si="1078"/>
        <v>14055</v>
      </c>
      <c r="E7572" s="1">
        <v>15</v>
      </c>
      <c r="F7572" s="39">
        <f t="shared" si="1079"/>
        <v>173</v>
      </c>
      <c r="G7572" s="168">
        <f>SUM(C7572,C7548,C7524,C7500,C7476,C7452,C7428,C7404,C7380,C7356,C7332,C7308,C7284,C7260)/POBLA!$B$11*100000</f>
        <v>1067.7179238229157</v>
      </c>
      <c r="H7572" s="256">
        <f t="shared" si="1082"/>
        <v>1.2986087546657619</v>
      </c>
      <c r="I7572" s="297">
        <f t="shared" si="1084"/>
        <v>1386.5478433899893</v>
      </c>
      <c r="J7572" s="297">
        <f t="shared" si="1085"/>
        <v>302.28571428571428</v>
      </c>
      <c r="K7572" s="297">
        <f>J7572/POBLA!$B$11*100000</f>
        <v>84.336523454003114</v>
      </c>
      <c r="L7572" s="549">
        <f t="shared" si="1083"/>
        <v>-0.23670368205727654</v>
      </c>
      <c r="M7572" s="401">
        <f>SUM(C7572,C7548,C7524,C7500,C7476,C7452,C7428)/POBLA!$B$11*100000</f>
        <v>590.35566417802181</v>
      </c>
    </row>
    <row r="7573" spans="1:13" s="360" customFormat="1" x14ac:dyDescent="0.25">
      <c r="A7573" s="361" t="s">
        <v>21</v>
      </c>
      <c r="B7573" s="29">
        <v>44208</v>
      </c>
      <c r="C7573" s="1">
        <v>9</v>
      </c>
      <c r="D7573" s="276">
        <f t="shared" si="1078"/>
        <v>9236</v>
      </c>
      <c r="E7573" s="1"/>
      <c r="F7573" s="39">
        <f t="shared" si="1079"/>
        <v>401</v>
      </c>
      <c r="G7573" s="168">
        <f>SUM(C7573,C7549,C7525,C7501,C7477,C7453,C7429,C7405,C7381,C7357,C7333,C7309,C7285,C7261)/POBLA!$B$12*100000</f>
        <v>40.911643555399699</v>
      </c>
      <c r="H7573" s="256">
        <f t="shared" si="1082"/>
        <v>1.288</v>
      </c>
      <c r="I7573" s="297">
        <f t="shared" si="1084"/>
        <v>52.694196899354814</v>
      </c>
      <c r="J7573" s="297">
        <f t="shared" si="1085"/>
        <v>14.142857142857142</v>
      </c>
      <c r="K7573" s="297">
        <f>J7573/POBLA!$B$12*100000</f>
        <v>3.5938355918230434</v>
      </c>
      <c r="L7573" s="549">
        <f t="shared" si="1083"/>
        <v>-0.59677419354838701</v>
      </c>
      <c r="M7573" s="401">
        <f>SUM(C7573,C7549,C7525,C7501,C7477,C7453,C7429)/POBLA!$B$12*100000</f>
        <v>25.15684914276131</v>
      </c>
    </row>
    <row r="7574" spans="1:13" s="360" customFormat="1" x14ac:dyDescent="0.25">
      <c r="A7574" s="361" t="s">
        <v>17</v>
      </c>
      <c r="B7574" s="29">
        <v>44208</v>
      </c>
      <c r="C7574" s="1">
        <v>196</v>
      </c>
      <c r="D7574" s="276">
        <f t="shared" si="1078"/>
        <v>61591</v>
      </c>
      <c r="E7574" s="1">
        <v>13</v>
      </c>
      <c r="F7574" s="39">
        <f t="shared" si="1079"/>
        <v>1261</v>
      </c>
      <c r="G7574" s="168">
        <f>SUM(C7574,C7550,C7526,C7502,C7478,C7454,C7430,C7406,C7382,C7358,C7334,C7310,C7286,C7262)/POBLA!$B$13*100000</f>
        <v>87.623308201923493</v>
      </c>
      <c r="H7574" s="256">
        <f t="shared" si="1082"/>
        <v>1.320211960635882</v>
      </c>
      <c r="I7574" s="297">
        <f t="shared" si="1084"/>
        <v>115.68133951866358</v>
      </c>
      <c r="J7574" s="297">
        <f t="shared" si="1085"/>
        <v>148.14285714285714</v>
      </c>
      <c r="K7574" s="297">
        <f>J7574/POBLA!$B$13*100000</f>
        <v>7.4431004755401915</v>
      </c>
      <c r="L7574" s="549">
        <f t="shared" si="1083"/>
        <v>-0.46676096181046667</v>
      </c>
      <c r="M7574" s="401">
        <f>SUM(C7574,C7550,C7526,C7502,C7478,C7454,C7430)/POBLA!$B$13*100000</f>
        <v>52.10170332878134</v>
      </c>
    </row>
    <row r="7575" spans="1:13" s="360" customFormat="1" x14ac:dyDescent="0.25">
      <c r="A7575" s="361" t="s">
        <v>23</v>
      </c>
      <c r="B7575" s="29">
        <v>44208</v>
      </c>
      <c r="C7575" s="1">
        <v>50</v>
      </c>
      <c r="D7575" s="276">
        <f t="shared" si="1078"/>
        <v>1520</v>
      </c>
      <c r="E7575" s="1">
        <v>4</v>
      </c>
      <c r="F7575" s="39">
        <f t="shared" si="1079"/>
        <v>20</v>
      </c>
      <c r="G7575" s="168">
        <f>SUM(C7575,C7551,C7527,C7503,C7479,C7455,C7431,C7407,C7383,C7359,C7335,C7311,C7287,C7263)/POBLA!$B$14*100000</f>
        <v>37.739020402856113</v>
      </c>
      <c r="H7575" s="256">
        <f t="shared" si="1082"/>
        <v>1.3958944281524928</v>
      </c>
      <c r="I7575" s="297">
        <f t="shared" si="1084"/>
        <v>52.679688304280091</v>
      </c>
      <c r="J7575" s="297">
        <f t="shared" si="1085"/>
        <v>51.142857142857146</v>
      </c>
      <c r="K7575" s="297">
        <f>J7575/POBLA!$B$14*100000</f>
        <v>4.054792708350087</v>
      </c>
      <c r="L7575" s="549">
        <f t="shared" si="1083"/>
        <v>-2.0338983050847457</v>
      </c>
      <c r="M7575" s="401">
        <f>SUM(C7575,C7551,C7527,C7503,C7479,C7455,C7431)/POBLA!$B$14*100000</f>
        <v>28.383548958450611</v>
      </c>
    </row>
    <row r="7576" spans="1:13" s="360" customFormat="1" x14ac:dyDescent="0.25">
      <c r="A7576" s="361" t="s">
        <v>19</v>
      </c>
      <c r="B7576" s="29">
        <v>44208</v>
      </c>
      <c r="C7576" s="1">
        <v>647</v>
      </c>
      <c r="D7576" s="276">
        <f t="shared" si="1078"/>
        <v>46202</v>
      </c>
      <c r="E7576" s="1"/>
      <c r="F7576" s="39">
        <f t="shared" si="1079"/>
        <v>754</v>
      </c>
      <c r="G7576" s="168">
        <f>SUM(C7576,C7552,C7528,C7504,C7480,C7456,C7432,C7408,C7384,C7360,C7336,C7312,C7288,C7264)/POBLA!$B$15*100000</f>
        <v>914.52992740081049</v>
      </c>
      <c r="H7576" s="256">
        <f t="shared" si="1082"/>
        <v>2.1767025089605734</v>
      </c>
      <c r="I7576" s="297">
        <f t="shared" si="1084"/>
        <v>1990.6595874928753</v>
      </c>
      <c r="J7576" s="297">
        <f t="shared" si="1085"/>
        <v>471.14285714285717</v>
      </c>
      <c r="K7576" s="297">
        <f>J7576/POBLA!$B$15*100000</f>
        <v>70.949159054547607</v>
      </c>
      <c r="L7576" s="549">
        <f t="shared" si="1083"/>
        <v>-0.18846846846846854</v>
      </c>
      <c r="M7576" s="401">
        <f>SUM(C7576,C7552,C7528,C7504,C7480,C7456,C7432)/POBLA!$B$15*100000</f>
        <v>496.64411338183317</v>
      </c>
    </row>
    <row r="7577" spans="1:13" s="360" customFormat="1" x14ac:dyDescent="0.25">
      <c r="A7577" s="361" t="s">
        <v>18</v>
      </c>
      <c r="B7577" s="29">
        <v>44208</v>
      </c>
      <c r="C7577" s="1">
        <v>413</v>
      </c>
      <c r="D7577" s="276">
        <f t="shared" si="1078"/>
        <v>42247</v>
      </c>
      <c r="E7577" s="1">
        <v>7</v>
      </c>
      <c r="F7577" s="39">
        <f t="shared" si="1079"/>
        <v>978</v>
      </c>
      <c r="G7577" s="168">
        <f>SUM(C7577,C7553,C7529,C7505,C7481,C7457,C7433,C7409,C7385,C7361,C7337,C7313,C7289,C7265)/POBLA!$B$16*100000</f>
        <v>577.84138788940766</v>
      </c>
      <c r="H7577" s="256">
        <f t="shared" si="1082"/>
        <v>1.3211009174311927</v>
      </c>
      <c r="I7577" s="297">
        <f t="shared" si="1084"/>
        <v>763.38678767041017</v>
      </c>
      <c r="J7577" s="297">
        <f t="shared" si="1085"/>
        <v>357.57142857142856</v>
      </c>
      <c r="K7577" s="297">
        <f>J7577/POBLA!$B$16*100000</f>
        <v>47.828604295211214</v>
      </c>
      <c r="L7577" s="549">
        <f t="shared" si="1083"/>
        <v>-0.37754540451293339</v>
      </c>
      <c r="M7577" s="401">
        <f>SUM(C7577,C7553,C7529,C7505,C7481,C7457,C7433)/POBLA!$B$16*100000</f>
        <v>334.80023006647855</v>
      </c>
    </row>
    <row r="7578" spans="1:13" s="360" customFormat="1" x14ac:dyDescent="0.25">
      <c r="A7578" s="361" t="s">
        <v>34</v>
      </c>
      <c r="B7578" s="29">
        <v>44208</v>
      </c>
      <c r="C7578" s="1">
        <v>37</v>
      </c>
      <c r="D7578" s="276">
        <f t="shared" si="1078"/>
        <v>22796</v>
      </c>
      <c r="E7578" s="1">
        <v>1</v>
      </c>
      <c r="F7578" s="39">
        <f t="shared" si="1079"/>
        <v>1025</v>
      </c>
      <c r="G7578" s="168">
        <f>SUM(C7578,C7554,C7530,C7506,C7482,C7458,C7434,C7410,C7386,C7362,C7338,C7314,C7290,C7266)/POBLA!$B$17*100000</f>
        <v>37.910779087571797</v>
      </c>
      <c r="H7578" s="256">
        <f t="shared" si="1082"/>
        <v>0.93587521663778162</v>
      </c>
      <c r="I7578" s="297">
        <f t="shared" si="1084"/>
        <v>35.479758591488334</v>
      </c>
      <c r="J7578" s="297">
        <f t="shared" si="1085"/>
        <v>48.142857142857146</v>
      </c>
      <c r="K7578" s="297">
        <f>J7578/POBLA!$B$17*100000</f>
        <v>3.3798763366433056</v>
      </c>
      <c r="L7578" s="549">
        <f t="shared" si="1083"/>
        <v>-0.66009852216748777</v>
      </c>
      <c r="M7578" s="401">
        <f>SUM(C7578,C7554,C7530,C7506,C7482,C7458,C7434)/POBLA!$B$17*100000</f>
        <v>23.659134356503138</v>
      </c>
    </row>
    <row r="7579" spans="1:13" s="360" customFormat="1" x14ac:dyDescent="0.25">
      <c r="A7579" s="361" t="s">
        <v>35</v>
      </c>
      <c r="B7579" s="29">
        <v>44208</v>
      </c>
      <c r="C7579" s="1">
        <v>208</v>
      </c>
      <c r="D7579" s="276">
        <f t="shared" si="1078"/>
        <v>12676</v>
      </c>
      <c r="E7579" s="1"/>
      <c r="F7579" s="39">
        <f t="shared" si="1079"/>
        <v>209</v>
      </c>
      <c r="G7579" s="168">
        <f>SUM(C7579,C7555,C7531,C7507,C7483,C7459,C7435,C7411,C7387,C7363,C7339,C7315,C7291,C7267)/POBLA!$B$18*100000</f>
        <v>169.09514257882253</v>
      </c>
      <c r="H7579" s="256">
        <f t="shared" si="1082"/>
        <v>0.79101796407185632</v>
      </c>
      <c r="I7579" s="297">
        <f t="shared" si="1084"/>
        <v>133.75729541714045</v>
      </c>
      <c r="J7579" s="297">
        <f t="shared" si="1085"/>
        <v>112.71428571428571</v>
      </c>
      <c r="K7579" s="297">
        <f>J7579/POBLA!$B$18*100000</f>
        <v>14.428038011754188</v>
      </c>
      <c r="L7579" s="549">
        <f t="shared" si="1083"/>
        <v>-0.48308270676691722</v>
      </c>
      <c r="M7579" s="401">
        <f>SUM(C7579,C7555,C7531,C7507,C7483,C7459,C7435)/POBLA!$B$18*100000</f>
        <v>100.99626608227931</v>
      </c>
    </row>
    <row r="7580" spans="1:13" s="360" customFormat="1" x14ac:dyDescent="0.25">
      <c r="A7580" s="361" t="s">
        <v>36</v>
      </c>
      <c r="B7580" s="29">
        <v>44208</v>
      </c>
      <c r="C7580" s="1">
        <v>51</v>
      </c>
      <c r="D7580" s="276">
        <f t="shared" si="1078"/>
        <v>16664</v>
      </c>
      <c r="E7580" s="1"/>
      <c r="F7580" s="39">
        <f t="shared" si="1079"/>
        <v>325</v>
      </c>
      <c r="G7580" s="168">
        <f>SUM(C7580,C7556,C7532,C7508,C7484,C7460,C7436,C7412,C7388,C7364,C7340,C7316,C7292,C7268)/POBLA!$B$19*100000</f>
        <v>106.82079287389246</v>
      </c>
      <c r="H7580" s="256">
        <f t="shared" si="1082"/>
        <v>1.1383647798742138</v>
      </c>
      <c r="I7580" s="297">
        <f t="shared" si="1084"/>
        <v>121.60102836587757</v>
      </c>
      <c r="J7580" s="297">
        <f t="shared" si="1085"/>
        <v>47</v>
      </c>
      <c r="K7580" s="297">
        <f>J7580/POBLA!$B$19*100000</f>
        <v>9.2459986465431765</v>
      </c>
      <c r="L7580" s="549">
        <f t="shared" si="1083"/>
        <v>-0.53738317757009346</v>
      </c>
      <c r="M7580" s="401">
        <f>SUM(C7580,C7556,C7532,C7508,C7484,C7460,C7436)/POBLA!$B$19*100000</f>
        <v>64.721990525802241</v>
      </c>
    </row>
    <row r="7581" spans="1:13" s="360" customFormat="1" x14ac:dyDescent="0.25">
      <c r="A7581" s="361" t="s">
        <v>37</v>
      </c>
      <c r="B7581" s="29">
        <v>44208</v>
      </c>
      <c r="C7581" s="1">
        <v>393</v>
      </c>
      <c r="D7581" s="276">
        <f t="shared" si="1078"/>
        <v>27929</v>
      </c>
      <c r="E7581" s="1">
        <v>3</v>
      </c>
      <c r="F7581" s="39">
        <f t="shared" si="1079"/>
        <v>431</v>
      </c>
      <c r="G7581" s="168">
        <f>SUM(C7581,C7557,C7533,C7509,C7485,C7461,C7437,C7413,C7389,C7365,C7341,C7317,C7293,C7269)/POBLA!$B$20*100000</f>
        <v>1374.9049762372231</v>
      </c>
      <c r="H7581" s="256">
        <f t="shared" si="1082"/>
        <v>1.4143459915611813</v>
      </c>
      <c r="I7581" s="297">
        <f t="shared" si="1084"/>
        <v>1944.5913419186377</v>
      </c>
      <c r="J7581" s="297">
        <f t="shared" si="1085"/>
        <v>384.42857142857144</v>
      </c>
      <c r="K7581" s="297">
        <f>J7581/POBLA!$B$20*100000</f>
        <v>105.12186870821593</v>
      </c>
      <c r="L7581" s="549">
        <f t="shared" si="1083"/>
        <v>-0.1514762516046213</v>
      </c>
      <c r="M7581" s="401">
        <f>SUM(C7581,C7557,C7533,C7509,C7485,C7461,C7437)/POBLA!$B$20*100000</f>
        <v>735.85308095751134</v>
      </c>
    </row>
    <row r="7582" spans="1:13" s="360" customFormat="1" x14ac:dyDescent="0.25">
      <c r="A7582" s="361" t="s">
        <v>22</v>
      </c>
      <c r="B7582" s="29">
        <v>44208</v>
      </c>
      <c r="C7582" s="1">
        <v>1434</v>
      </c>
      <c r="D7582" s="276">
        <f t="shared" si="1078"/>
        <v>188944</v>
      </c>
      <c r="E7582" s="1">
        <v>12</v>
      </c>
      <c r="F7582" s="39">
        <f t="shared" si="1079"/>
        <v>3111</v>
      </c>
      <c r="G7582" s="168">
        <f>SUM(C7582,C7558,C7534,C7510,C7486,C7462,C7438,C7414,C7390,C7366,C7342,C7318,C7294,C7270)/POBLA!$B$21*100000</f>
        <v>430.66176000687705</v>
      </c>
      <c r="H7582" s="256">
        <f t="shared" si="1082"/>
        <v>1.2963908750425603</v>
      </c>
      <c r="I7582" s="297">
        <f t="shared" si="1084"/>
        <v>558.30597590268439</v>
      </c>
      <c r="J7582" s="297">
        <f t="shared" si="1085"/>
        <v>1230</v>
      </c>
      <c r="K7582" s="297">
        <f>J7582/POBLA!$B$21*100000</f>
        <v>34.78095632360202</v>
      </c>
      <c r="L7582" s="549">
        <f t="shared" si="1083"/>
        <v>-0.30060422960725086</v>
      </c>
      <c r="M7582" s="401">
        <f>SUM(C7582,C7558,C7534,C7510,C7486,C7462,C7438)/POBLA!$B$21*100000</f>
        <v>243.4666942652141</v>
      </c>
    </row>
    <row r="7583" spans="1:13" s="360" customFormat="1" x14ac:dyDescent="0.25">
      <c r="A7583" s="361" t="s">
        <v>38</v>
      </c>
      <c r="B7583" s="29">
        <v>44208</v>
      </c>
      <c r="C7583" s="1">
        <v>99</v>
      </c>
      <c r="D7583" s="276">
        <f t="shared" si="1078"/>
        <v>18887</v>
      </c>
      <c r="E7583" s="1">
        <v>1</v>
      </c>
      <c r="F7583" s="39">
        <f t="shared" si="1079"/>
        <v>227</v>
      </c>
      <c r="G7583" s="168">
        <f>SUM(C7583,C7559,C7535,C7511,C7487,C7463,C7439,C7415,C7391,C7367,C7343,C7319,C7295,C7271)/POBLA!$B$22*100000</f>
        <v>171.72418234246095</v>
      </c>
      <c r="H7583" s="256">
        <f t="shared" si="1082"/>
        <v>2.641509433962264</v>
      </c>
      <c r="I7583" s="297">
        <f t="shared" si="1084"/>
        <v>453.61104769706662</v>
      </c>
      <c r="J7583" s="297">
        <f t="shared" si="1085"/>
        <v>148</v>
      </c>
      <c r="K7583" s="297">
        <f>J7583/POBLA!$B$22*100000</f>
        <v>15.128082730169178</v>
      </c>
      <c r="L7583" s="549">
        <f t="shared" si="1083"/>
        <v>-0.60869565217391308</v>
      </c>
      <c r="M7583" s="401">
        <f>SUM(C7583,C7559,C7535,C7511,C7487,C7463,C7439)/POBLA!$B$22*100000</f>
        <v>105.89657911118425</v>
      </c>
    </row>
    <row r="7584" spans="1:13" s="360" customFormat="1" x14ac:dyDescent="0.25">
      <c r="A7584" s="361" t="s">
        <v>39</v>
      </c>
      <c r="B7584" s="29">
        <v>44208</v>
      </c>
      <c r="C7584" s="1">
        <v>141</v>
      </c>
      <c r="D7584" s="276">
        <f t="shared" si="1078"/>
        <v>20397</v>
      </c>
      <c r="E7584" s="1">
        <v>6</v>
      </c>
      <c r="F7584" s="39">
        <f t="shared" si="1079"/>
        <v>283</v>
      </c>
      <c r="G7584" s="168">
        <f>SUM(C7584,C7560,C7536,C7512,C7488,C7464,C7440,C7416,C7392,C7368,C7344,C7320,C7296,C7272)/POBLA!$B$23*100000</f>
        <v>812.07939829214502</v>
      </c>
      <c r="H7584" s="256">
        <f t="shared" si="1082"/>
        <v>1.1848184818481848</v>
      </c>
      <c r="I7584" s="297">
        <f t="shared" si="1084"/>
        <v>962.16667982468664</v>
      </c>
      <c r="J7584" s="297">
        <f t="shared" si="1085"/>
        <v>104.14285714285714</v>
      </c>
      <c r="K7584" s="297">
        <f>J7584/POBLA!$B$23*100000</f>
        <v>58.894337580080951</v>
      </c>
      <c r="L7584" s="549">
        <f t="shared" si="1083"/>
        <v>-3.1117397454031082E-2</v>
      </c>
      <c r="M7584" s="401">
        <f>SUM(C7584,C7560,C7536,C7512,C7488,C7464,C7440)/POBLA!$B$23*100000</f>
        <v>412.26036306056665</v>
      </c>
    </row>
    <row r="7585" spans="1:13" s="360" customFormat="1" ht="15.75" thickBot="1" x14ac:dyDescent="0.3">
      <c r="A7585" s="361" t="s">
        <v>40</v>
      </c>
      <c r="B7585" s="29">
        <v>44208</v>
      </c>
      <c r="C7585" s="1">
        <v>237</v>
      </c>
      <c r="D7585" s="276">
        <f t="shared" si="1078"/>
        <v>73336</v>
      </c>
      <c r="E7585" s="1">
        <v>12</v>
      </c>
      <c r="F7585" s="39">
        <f t="shared" si="1079"/>
        <v>1396</v>
      </c>
      <c r="G7585" s="177">
        <f>SUM(C7585,C7561,C7537,C7513,C7489,C7465,C7441,C7417,C7393,C7369,C7345,C7321,C7297,C7273)/POBLA!$B$24*100000</f>
        <v>147.10950186940596</v>
      </c>
      <c r="H7585" s="402">
        <f t="shared" si="1082"/>
        <v>1.2540241448692153</v>
      </c>
      <c r="I7585" s="403">
        <f t="shared" si="1084"/>
        <v>184.47886728391805</v>
      </c>
      <c r="J7585" s="403">
        <f t="shared" si="1085"/>
        <v>215.14285714285714</v>
      </c>
      <c r="K7585" s="403">
        <f>J7585/POBLA!$B$24*100000</f>
        <v>12.695370455293412</v>
      </c>
      <c r="L7585" s="550">
        <f t="shared" si="1083"/>
        <v>-0.52583586626139822</v>
      </c>
      <c r="M7585" s="405">
        <f>SUM(C7585,C7561,C7537,C7513,C7489,C7465,C7441)/POBLA!$B$24*100000</f>
        <v>88.867593187053899</v>
      </c>
    </row>
    <row r="7586" spans="1:13" s="360" customFormat="1" x14ac:dyDescent="0.25">
      <c r="A7586" s="361" t="s">
        <v>16</v>
      </c>
      <c r="B7586" s="29">
        <v>44209</v>
      </c>
      <c r="C7586" s="1">
        <v>4859</v>
      </c>
      <c r="D7586" s="276">
        <f>C7586+D7562</f>
        <v>735402</v>
      </c>
      <c r="E7586" s="1">
        <v>52</v>
      </c>
      <c r="F7586" s="39">
        <f>E7586+F7562</f>
        <v>23128</v>
      </c>
      <c r="G7586" s="175">
        <f>SUM(C7586,C7562,C7538,C7514,C7490,C7466,C7442,C7418,C7394,C7370,C7346,C7322,C7298,C7274)/POBLA!$B$1*100000</f>
        <v>315.60660734669426</v>
      </c>
      <c r="H7586" s="300">
        <f t="shared" ref="H7586:H7609" si="1086">SUM(C7586,C7562,C7538,C7514,C7490,C7466,C7442,C7418,C7394,C7370,C7346,C7322,C7298,C7274)/SUM(C7250,C7226,C7202,C7178,C7154,C7130,C7106,C7082,C7058,C7034,C7010,C6986,C6962,C6938)</f>
        <v>1.540672919043776</v>
      </c>
      <c r="I7586" s="301">
        <f>G7586*H7586</f>
        <v>486.24655301033431</v>
      </c>
      <c r="J7586" s="301">
        <f>AVERAGE(C7586,C7562,C7538,C7514,C7490,C7466,C7442)</f>
        <v>4484</v>
      </c>
      <c r="K7586" s="301">
        <f>J7586/POBLA!$B$1*100000</f>
        <v>25.56276128217657</v>
      </c>
      <c r="L7586" s="548">
        <f t="shared" ref="L7586:L7609" si="1087">1-SUM(C7586,C7562,C7538,C7514,C7490,C7466,C7442)/SUM(C7418,C7394,C7370,C7346,C7322,C7298,C7274)</f>
        <v>-0.30930630292412298</v>
      </c>
      <c r="M7586" s="400">
        <f>SUM(C7586,C7562,C7538,C7514,C7490,C7466,C7442)/POBLA!$B$1*100000</f>
        <v>178.93932897523598</v>
      </c>
    </row>
    <row r="7587" spans="1:13" s="360" customFormat="1" x14ac:dyDescent="0.25">
      <c r="A7587" s="361" t="s">
        <v>43</v>
      </c>
      <c r="B7587" s="29">
        <v>44209</v>
      </c>
      <c r="C7587" s="1">
        <v>1204</v>
      </c>
      <c r="D7587" s="276">
        <f t="shared" si="1078"/>
        <v>189714</v>
      </c>
      <c r="E7587" s="1">
        <v>8</v>
      </c>
      <c r="F7587" s="39">
        <f t="shared" si="1079"/>
        <v>5635</v>
      </c>
      <c r="G7587" s="168">
        <f>SUM(C7587,C7563,C7539,C7515,C7491,C7467,C7443,C7419,C7395,C7371,C7347,C7323,C7299,C7275)/POBLA!$B$2*100000</f>
        <v>534.91201523192206</v>
      </c>
      <c r="H7587" s="256">
        <f t="shared" si="1086"/>
        <v>1.7960698689956331</v>
      </c>
      <c r="I7587" s="297">
        <f t="shared" ref="I7587:I7609" si="1088">G7587*H7587</f>
        <v>960.73935312178833</v>
      </c>
      <c r="J7587" s="297">
        <f t="shared" ref="J7587:J7609" si="1089">AVERAGE(C7587,C7563,C7539,C7515,C7491,C7467,C7443)</f>
        <v>1325.8571428571429</v>
      </c>
      <c r="K7587" s="297">
        <f>J7587/POBLA!$B$2*100000</f>
        <v>43.10824922169661</v>
      </c>
      <c r="L7587" s="549">
        <f t="shared" si="1087"/>
        <v>-0.29424069167480127</v>
      </c>
      <c r="M7587" s="401">
        <f>SUM(C7587,C7563,C7539,C7515,C7491,C7467,C7443)/POBLA!$B$2*100000</f>
        <v>301.75774455187627</v>
      </c>
    </row>
    <row r="7588" spans="1:13" s="360" customFormat="1" x14ac:dyDescent="0.25">
      <c r="A7588" s="361" t="s">
        <v>28</v>
      </c>
      <c r="B7588" s="29">
        <v>44209</v>
      </c>
      <c r="C7588" s="1">
        <v>70</v>
      </c>
      <c r="D7588" s="276">
        <f t="shared" si="1078"/>
        <v>3356</v>
      </c>
      <c r="E7588" s="1"/>
      <c r="F7588" s="39">
        <f t="shared" si="1079"/>
        <v>17</v>
      </c>
      <c r="G7588" s="168">
        <f>SUM(C7588,C7564,C7540,C7516,C7492,C7468,C7444,C7420,C7396,C7372,C7348,C7324,C7300,C7276)/POBLA!$B$3*100000</f>
        <v>161.5162792041171</v>
      </c>
      <c r="H7588" s="256">
        <f t="shared" si="1086"/>
        <v>1.4126315789473685</v>
      </c>
      <c r="I7588" s="297">
        <f t="shared" si="1088"/>
        <v>228.16299651781594</v>
      </c>
      <c r="J7588" s="297">
        <f t="shared" si="1089"/>
        <v>55.285714285714285</v>
      </c>
      <c r="K7588" s="297">
        <f>J7588/POBLA!$B$3*100000</f>
        <v>13.307813509046905</v>
      </c>
      <c r="L7588" s="549">
        <f t="shared" si="1087"/>
        <v>-0.36267605633802824</v>
      </c>
      <c r="M7588" s="401">
        <f>SUM(C7588,C7564,C7540,C7516,C7492,C7468,C7444)/POBLA!$B$3*100000</f>
        <v>93.154694563328334</v>
      </c>
    </row>
    <row r="7589" spans="1:13" s="360" customFormat="1" x14ac:dyDescent="0.25">
      <c r="A7589" s="361" t="s">
        <v>15</v>
      </c>
      <c r="B7589" s="29">
        <v>44209</v>
      </c>
      <c r="C7589" s="1">
        <v>288</v>
      </c>
      <c r="D7589" s="276">
        <f t="shared" si="1078"/>
        <v>27638</v>
      </c>
      <c r="E7589" s="1">
        <v>6</v>
      </c>
      <c r="F7589" s="39">
        <f t="shared" si="1079"/>
        <v>749</v>
      </c>
      <c r="G7589" s="168">
        <f>SUM(C7589,C7565,C7541,C7517,C7493,C7469,C7445,C7421,C7397,C7373,C7349,C7325,C7301,C7277)/POBLA!$B$4*100000</f>
        <v>258.60472993447297</v>
      </c>
      <c r="H7589" s="256">
        <f t="shared" si="1086"/>
        <v>1.3496533795493935</v>
      </c>
      <c r="I7589" s="297">
        <f t="shared" si="1088"/>
        <v>349.02674772351963</v>
      </c>
      <c r="J7589" s="297">
        <f t="shared" si="1089"/>
        <v>248.71428571428572</v>
      </c>
      <c r="K7589" s="297">
        <f>J7589/POBLA!$B$4*100000</f>
        <v>20.648054795501832</v>
      </c>
      <c r="L7589" s="549">
        <f t="shared" si="1087"/>
        <v>-0.26710334788937407</v>
      </c>
      <c r="M7589" s="401">
        <f>SUM(C7589,C7565,C7541,C7517,C7493,C7469,C7445)/POBLA!$B$4*100000</f>
        <v>144.5363835685128</v>
      </c>
    </row>
    <row r="7590" spans="1:13" s="360" customFormat="1" x14ac:dyDescent="0.25">
      <c r="A7590" s="361" t="s">
        <v>29</v>
      </c>
      <c r="B7590" s="29">
        <v>44209</v>
      </c>
      <c r="C7590" s="1">
        <v>528</v>
      </c>
      <c r="D7590" s="276">
        <f t="shared" si="1078"/>
        <v>36955</v>
      </c>
      <c r="E7590" s="1">
        <v>3</v>
      </c>
      <c r="F7590" s="39">
        <f t="shared" si="1079"/>
        <v>547</v>
      </c>
      <c r="G7590" s="168">
        <f>SUM(C7590,C7566,C7542,C7518,C7494,C7470,C7446,C7422,C7398,C7374,C7350,C7326,C7302,C7278)/POBLA!$B$5*100000</f>
        <v>885.14589802162857</v>
      </c>
      <c r="H7590" s="256">
        <f t="shared" si="1086"/>
        <v>1.2359575907963005</v>
      </c>
      <c r="I7590" s="297">
        <f t="shared" si="1088"/>
        <v>1094.0027916220399</v>
      </c>
      <c r="J7590" s="297">
        <f t="shared" si="1089"/>
        <v>445.28571428571428</v>
      </c>
      <c r="K7590" s="297">
        <f>J7590/POBLA!$B$5*100000</f>
        <v>71.937000081699381</v>
      </c>
      <c r="L7590" s="549">
        <f t="shared" si="1087"/>
        <v>-0.31964436917866212</v>
      </c>
      <c r="M7590" s="401">
        <f>SUM(C7590,C7566,C7542,C7518,C7494,C7470,C7446)/POBLA!$B$5*100000</f>
        <v>503.55900057189569</v>
      </c>
    </row>
    <row r="7591" spans="1:13" s="360" customFormat="1" x14ac:dyDescent="0.25">
      <c r="A7591" s="361" t="s">
        <v>20</v>
      </c>
      <c r="B7591" s="29">
        <v>44209</v>
      </c>
      <c r="C7591" s="1">
        <v>818</v>
      </c>
      <c r="D7591" s="276">
        <f t="shared" si="1078"/>
        <v>135449</v>
      </c>
      <c r="E7591" s="1">
        <v>10</v>
      </c>
      <c r="F7591" s="39">
        <f t="shared" si="1079"/>
        <v>2531</v>
      </c>
      <c r="G7591" s="168">
        <f>SUM(C7591,C7567,C7543,C7519,C7495,C7471,C7447,C7423,C7399,C7375,C7351,C7327,C7303,C7279)/POBLA!$B$6*100000</f>
        <v>761.24129082682828</v>
      </c>
      <c r="H7591" s="256">
        <f t="shared" si="1086"/>
        <v>1.4490489130434783</v>
      </c>
      <c r="I7591" s="297">
        <f t="shared" si="1088"/>
        <v>1103.0758650364298</v>
      </c>
      <c r="J7591" s="297">
        <f t="shared" si="1089"/>
        <v>706.57142857142856</v>
      </c>
      <c r="K7591" s="297">
        <f>J7591/POBLA!$B$6*100000</f>
        <v>63.041648657650072</v>
      </c>
      <c r="L7591" s="549">
        <f t="shared" si="1087"/>
        <v>-0.37925264919129953</v>
      </c>
      <c r="M7591" s="401">
        <f>SUM(C7591,C7567,C7543,C7519,C7495,C7471,C7447)/POBLA!$B$6*100000</f>
        <v>441.29154060355046</v>
      </c>
    </row>
    <row r="7592" spans="1:13" s="360" customFormat="1" x14ac:dyDescent="0.25">
      <c r="A7592" s="361" t="s">
        <v>30</v>
      </c>
      <c r="B7592" s="29">
        <v>44209</v>
      </c>
      <c r="C7592" s="1">
        <v>395</v>
      </c>
      <c r="D7592" s="276">
        <f t="shared" si="1078"/>
        <v>14577</v>
      </c>
      <c r="E7592" s="1"/>
      <c r="F7592" s="39">
        <f t="shared" si="1079"/>
        <v>181</v>
      </c>
      <c r="G7592" s="168">
        <f>SUM(C7592,C7568,C7544,C7520,C7496,C7472,C7448,C7424,C7400,C7376,C7352,C7328,C7304,C7280)/POBLA!$B$7*100000</f>
        <v>71.188288635668599</v>
      </c>
      <c r="H7592" s="256">
        <f t="shared" si="1086"/>
        <v>1.3432012042147516</v>
      </c>
      <c r="I7592" s="297">
        <f t="shared" si="1088"/>
        <v>95.620195021417388</v>
      </c>
      <c r="J7592" s="297">
        <f t="shared" si="1089"/>
        <v>248.14285714285714</v>
      </c>
      <c r="K7592" s="297">
        <f>J7592/POBLA!$B$7*100000</f>
        <v>6.5987543284143424</v>
      </c>
      <c r="L7592" s="549">
        <f t="shared" si="1087"/>
        <v>-0.84787234042553195</v>
      </c>
      <c r="M7592" s="401">
        <f>SUM(C7592,C7568,C7544,C7520,C7496,C7472,C7448)/POBLA!$B$7*100000</f>
        <v>46.191280298900402</v>
      </c>
    </row>
    <row r="7593" spans="1:13" x14ac:dyDescent="0.25">
      <c r="A7593" s="361" t="s">
        <v>31</v>
      </c>
      <c r="B7593" s="29">
        <v>44209</v>
      </c>
      <c r="C7593" s="1">
        <v>581</v>
      </c>
      <c r="D7593" s="276">
        <f t="shared" si="1078"/>
        <v>34786</v>
      </c>
      <c r="E7593" s="1">
        <v>6</v>
      </c>
      <c r="F7593" s="39">
        <f t="shared" si="1079"/>
        <v>624</v>
      </c>
      <c r="G7593" s="168">
        <f>SUM(C7593,C7569,C7545,C7521,C7497,C7473,C7449,C7425,C7401,C7377,C7353,C7329,C7305,C7281)/POBLA!$B$8*100000</f>
        <v>417.32776030494364</v>
      </c>
      <c r="H7593" s="256">
        <f t="shared" si="1086"/>
        <v>2.0416519590540063</v>
      </c>
      <c r="I7593" s="297">
        <f t="shared" si="1088"/>
        <v>852.03803939420891</v>
      </c>
      <c r="J7593" s="297">
        <f t="shared" si="1089"/>
        <v>469.28571428571428</v>
      </c>
      <c r="K7593" s="297">
        <f>J7593/POBLA!$B$8*100000</f>
        <v>33.859950913893989</v>
      </c>
      <c r="L7593" s="549">
        <f t="shared" si="1087"/>
        <v>-0.31452581032412974</v>
      </c>
      <c r="M7593" s="401">
        <f>SUM(C7593,C7569,C7545,C7521,C7497,C7473,C7449)/POBLA!$B$8*100000</f>
        <v>237.01965639725793</v>
      </c>
    </row>
    <row r="7594" spans="1:13" s="360" customFormat="1" x14ac:dyDescent="0.25">
      <c r="A7594" s="361" t="s">
        <v>41</v>
      </c>
      <c r="B7594" s="29">
        <v>44209</v>
      </c>
      <c r="C7594" s="1">
        <v>54</v>
      </c>
      <c r="D7594" s="276">
        <f t="shared" si="1078"/>
        <v>425</v>
      </c>
      <c r="E7594" s="1"/>
      <c r="F7594" s="39">
        <f t="shared" si="1079"/>
        <v>3</v>
      </c>
      <c r="G7594" s="168">
        <f>SUM(C7594,C7570,C7546,C7522,C7498,C7474,C7450,C7426,C7402,C7378,C7354,C7330,C7306,C7282)/POBLA!$B$9*100000</f>
        <v>35.195383951896339</v>
      </c>
      <c r="H7594" s="256">
        <f t="shared" si="1086"/>
        <v>21.3</v>
      </c>
      <c r="I7594" s="297">
        <f t="shared" si="1088"/>
        <v>749.66167817539201</v>
      </c>
      <c r="J7594" s="297">
        <f t="shared" si="1089"/>
        <v>27.428571428571427</v>
      </c>
      <c r="K7594" s="297">
        <f>J7594/POBLA!$B$9*100000</f>
        <v>4.5322023600027475</v>
      </c>
      <c r="L7594" s="549">
        <f t="shared" si="1087"/>
        <v>-8.1428571428571423</v>
      </c>
      <c r="M7594" s="401">
        <f>SUM(C7594,C7570,C7546,C7522,C7498,C7474,C7450)/POBLA!$B$9*100000</f>
        <v>31.725416520019234</v>
      </c>
    </row>
    <row r="7595" spans="1:13" s="360" customFormat="1" x14ac:dyDescent="0.25">
      <c r="A7595" s="361" t="s">
        <v>32</v>
      </c>
      <c r="B7595" s="29">
        <v>44209</v>
      </c>
      <c r="C7595" s="1">
        <v>17</v>
      </c>
      <c r="D7595" s="276">
        <f t="shared" si="1078"/>
        <v>18736</v>
      </c>
      <c r="E7595" s="1"/>
      <c r="F7595" s="39">
        <f t="shared" si="1079"/>
        <v>860</v>
      </c>
      <c r="G7595" s="168">
        <f>SUM(C7595,C7571,C7547,C7523,C7499,C7475,C7451,C7427,C7403,C7379,C7355,C7331,C7307,C7283)/POBLA!$B$10*100000</f>
        <v>24.776846231778968</v>
      </c>
      <c r="H7595" s="256">
        <f t="shared" si="1086"/>
        <v>2.2470588235294118</v>
      </c>
      <c r="I7595" s="297">
        <f t="shared" si="1088"/>
        <v>55.675030944350389</v>
      </c>
      <c r="J7595" s="297">
        <f t="shared" si="1089"/>
        <v>19.142857142857142</v>
      </c>
      <c r="K7595" s="297">
        <f>J7595/POBLA!$B$10*100000</f>
        <v>2.4832441249501729</v>
      </c>
      <c r="L7595" s="549">
        <f t="shared" si="1087"/>
        <v>-1.3508771929824563</v>
      </c>
      <c r="M7595" s="401">
        <f>SUM(C7595,C7571,C7547,C7523,C7499,C7475,C7451)/POBLA!$B$10*100000</f>
        <v>17.382708874651211</v>
      </c>
    </row>
    <row r="7596" spans="1:13" s="360" customFormat="1" x14ac:dyDescent="0.25">
      <c r="A7596" s="361" t="s">
        <v>33</v>
      </c>
      <c r="B7596" s="29">
        <v>44209</v>
      </c>
      <c r="C7596" s="1">
        <v>229</v>
      </c>
      <c r="D7596" s="276">
        <f t="shared" si="1078"/>
        <v>14284</v>
      </c>
      <c r="E7596" s="1"/>
      <c r="F7596" s="39">
        <f t="shared" si="1079"/>
        <v>173</v>
      </c>
      <c r="G7596" s="168">
        <f>SUM(C7596,C7572,C7548,C7524,C7500,C7476,C7452,C7428,C7404,C7380,C7356,C7332,C7308,C7284)/POBLA!$B$11*100000</f>
        <v>1042.0502862499582</v>
      </c>
      <c r="H7596" s="256">
        <f t="shared" si="1086"/>
        <v>1.2225859247135842</v>
      </c>
      <c r="I7596" s="297">
        <f t="shared" si="1088"/>
        <v>1273.9960128129601</v>
      </c>
      <c r="J7596" s="297">
        <f t="shared" si="1089"/>
        <v>277.57142857142856</v>
      </c>
      <c r="K7596" s="297">
        <f>J7596/POBLA!$B$11*100000</f>
        <v>77.44133509977695</v>
      </c>
      <c r="L7596" s="549">
        <f t="shared" si="1087"/>
        <v>-8.4263392857142794E-2</v>
      </c>
      <c r="M7596" s="401">
        <f>SUM(C7596,C7572,C7548,C7524,C7500,C7476,C7452)/POBLA!$B$11*100000</f>
        <v>542.08934569843871</v>
      </c>
    </row>
    <row r="7597" spans="1:13" s="360" customFormat="1" x14ac:dyDescent="0.25">
      <c r="A7597" s="361" t="s">
        <v>21</v>
      </c>
      <c r="B7597" s="29">
        <v>44209</v>
      </c>
      <c r="C7597" s="1">
        <v>11</v>
      </c>
      <c r="D7597" s="276">
        <f t="shared" si="1078"/>
        <v>9247</v>
      </c>
      <c r="E7597" s="1"/>
      <c r="F7597" s="39">
        <f t="shared" si="1079"/>
        <v>401</v>
      </c>
      <c r="G7597" s="168">
        <f>SUM(C7597,C7573,C7549,C7525,C7501,C7477,C7453,C7429,C7405,C7381,C7357,C7333,C7309,C7285)/POBLA!$B$12*100000</f>
        <v>41.165753142700318</v>
      </c>
      <c r="H7597" s="256">
        <f t="shared" si="1086"/>
        <v>1.3278688524590163</v>
      </c>
      <c r="I7597" s="297">
        <f t="shared" si="1088"/>
        <v>54.662721386208617</v>
      </c>
      <c r="J7597" s="297">
        <f t="shared" si="1089"/>
        <v>14.428571428571429</v>
      </c>
      <c r="K7597" s="297">
        <f>J7597/POBLA!$B$12*100000</f>
        <v>3.6664383310517921</v>
      </c>
      <c r="L7597" s="549">
        <f t="shared" si="1087"/>
        <v>-0.65573770491803285</v>
      </c>
      <c r="M7597" s="401">
        <f>SUM(C7597,C7573,C7549,C7525,C7501,C7477,C7453)/POBLA!$B$12*100000</f>
        <v>25.665068317362547</v>
      </c>
    </row>
    <row r="7598" spans="1:13" s="360" customFormat="1" x14ac:dyDescent="0.25">
      <c r="A7598" s="361" t="s">
        <v>17</v>
      </c>
      <c r="B7598" s="29">
        <v>44209</v>
      </c>
      <c r="C7598" s="1">
        <v>150</v>
      </c>
      <c r="D7598" s="276">
        <f t="shared" si="1078"/>
        <v>61741</v>
      </c>
      <c r="E7598" s="1">
        <v>6</v>
      </c>
      <c r="F7598" s="39">
        <f t="shared" si="1079"/>
        <v>1267</v>
      </c>
      <c r="G7598" s="168">
        <f>SUM(C7598,C7574,C7550,C7526,C7502,C7478,C7454,C7430,C7406,C7382,C7358,C7334,C7310,C7286)/POBLA!$B$13*100000</f>
        <v>86.66869647265942</v>
      </c>
      <c r="H7598" s="256">
        <f t="shared" si="1086"/>
        <v>1.2853949329359164</v>
      </c>
      <c r="I7598" s="297">
        <f t="shared" si="1088"/>
        <v>111.40350329011736</v>
      </c>
      <c r="J7598" s="297">
        <f t="shared" si="1089"/>
        <v>147.14285714285714</v>
      </c>
      <c r="K7598" s="297">
        <f>J7598/POBLA!$B$13*100000</f>
        <v>7.3928577529473447</v>
      </c>
      <c r="L7598" s="549">
        <f t="shared" si="1087"/>
        <v>-0.48201438848920852</v>
      </c>
      <c r="M7598" s="401">
        <f>SUM(C7598,C7574,C7550,C7526,C7502,C7478,C7454)/POBLA!$B$13*100000</f>
        <v>51.750004270631422</v>
      </c>
    </row>
    <row r="7599" spans="1:13" s="360" customFormat="1" x14ac:dyDescent="0.25">
      <c r="A7599" s="361" t="s">
        <v>23</v>
      </c>
      <c r="B7599" s="29">
        <v>44209</v>
      </c>
      <c r="C7599" s="1">
        <v>27</v>
      </c>
      <c r="D7599" s="276">
        <f t="shared" si="1078"/>
        <v>1547</v>
      </c>
      <c r="E7599" s="1">
        <v>6</v>
      </c>
      <c r="F7599" s="39">
        <f t="shared" si="1079"/>
        <v>26</v>
      </c>
      <c r="G7599" s="168">
        <f>SUM(C7599,C7575,C7551,C7527,C7503,C7479,C7455,C7431,C7407,C7383,C7359,C7335,C7311,C7287)/POBLA!$B$14*100000</f>
        <v>37.342602121313512</v>
      </c>
      <c r="H7599" s="256">
        <f t="shared" si="1086"/>
        <v>1.4359756097560976</v>
      </c>
      <c r="I7599" s="297">
        <f t="shared" si="1088"/>
        <v>53.623065851032514</v>
      </c>
      <c r="J7599" s="297">
        <f t="shared" si="1089"/>
        <v>54.428571428571431</v>
      </c>
      <c r="K7599" s="297">
        <f>J7599/POBLA!$B$14*100000</f>
        <v>4.3152961505066569</v>
      </c>
      <c r="L7599" s="549">
        <f t="shared" si="1087"/>
        <v>-3.2333333333333334</v>
      </c>
      <c r="M7599" s="401">
        <f>SUM(C7599,C7575,C7551,C7527,C7503,C7479,C7455)/POBLA!$B$14*100000</f>
        <v>30.207073053546598</v>
      </c>
    </row>
    <row r="7600" spans="1:13" s="360" customFormat="1" x14ac:dyDescent="0.25">
      <c r="A7600" s="361" t="s">
        <v>19</v>
      </c>
      <c r="B7600" s="29">
        <v>44209</v>
      </c>
      <c r="C7600" s="1">
        <v>463</v>
      </c>
      <c r="D7600" s="276">
        <f t="shared" si="1078"/>
        <v>46665</v>
      </c>
      <c r="E7600" s="1"/>
      <c r="F7600" s="39">
        <f t="shared" si="1079"/>
        <v>754</v>
      </c>
      <c r="G7600" s="168">
        <f>SUM(C7600,C7576,C7552,C7528,C7504,C7480,C7456,C7432,C7408,C7384,C7360,C7336,C7312,C7288)/POBLA!$B$15*100000</f>
        <v>906.24750586169557</v>
      </c>
      <c r="H7600" s="256">
        <f t="shared" si="1086"/>
        <v>1.8170289855072463</v>
      </c>
      <c r="I7600" s="297">
        <f t="shared" si="1088"/>
        <v>1646.6779861943489</v>
      </c>
      <c r="J7600" s="297">
        <f t="shared" si="1089"/>
        <v>456.14285714285717</v>
      </c>
      <c r="K7600" s="297">
        <f>J7600/POBLA!$B$15*100000</f>
        <v>68.690316816607194</v>
      </c>
      <c r="L7600" s="549">
        <f t="shared" si="1087"/>
        <v>-0.13026548672566363</v>
      </c>
      <c r="M7600" s="401">
        <f>SUM(C7600,C7576,C7552,C7528,C7504,C7480,C7456)/POBLA!$B$15*100000</f>
        <v>480.83221771625028</v>
      </c>
    </row>
    <row r="7601" spans="1:13" s="360" customFormat="1" x14ac:dyDescent="0.25">
      <c r="A7601" s="361" t="s">
        <v>18</v>
      </c>
      <c r="B7601" s="29">
        <v>44209</v>
      </c>
      <c r="C7601" s="1">
        <v>393</v>
      </c>
      <c r="D7601" s="276">
        <f t="shared" si="1078"/>
        <v>42640</v>
      </c>
      <c r="E7601" s="1">
        <v>5</v>
      </c>
      <c r="F7601" s="39">
        <f t="shared" si="1079"/>
        <v>983</v>
      </c>
      <c r="G7601" s="168">
        <f>SUM(C7601,C7577,C7553,C7529,C7505,C7481,C7457,C7433,C7409,C7385,C7361,C7337,C7313,C7289)/POBLA!$B$16*100000</f>
        <v>578.64394537258727</v>
      </c>
      <c r="H7601" s="256">
        <f t="shared" si="1086"/>
        <v>1.260122341974949</v>
      </c>
      <c r="I7601" s="297">
        <f t="shared" si="1088"/>
        <v>729.16216361252907</v>
      </c>
      <c r="J7601" s="297">
        <f t="shared" si="1089"/>
        <v>359.28571428571428</v>
      </c>
      <c r="K7601" s="297">
        <f>J7601/POBLA!$B$16*100000</f>
        <v>48.057906433262566</v>
      </c>
      <c r="L7601" s="549">
        <f t="shared" si="1087"/>
        <v>-0.38873550524572065</v>
      </c>
      <c r="M7601" s="401">
        <f>SUM(C7601,C7577,C7553,C7529,C7505,C7481,C7457)/POBLA!$B$16*100000</f>
        <v>336.405345032838</v>
      </c>
    </row>
    <row r="7602" spans="1:13" s="360" customFormat="1" x14ac:dyDescent="0.25">
      <c r="A7602" s="361" t="s">
        <v>34</v>
      </c>
      <c r="B7602" s="29">
        <v>44209</v>
      </c>
      <c r="C7602" s="1">
        <v>67</v>
      </c>
      <c r="D7602" s="276">
        <f t="shared" si="1078"/>
        <v>22863</v>
      </c>
      <c r="E7602" s="1"/>
      <c r="F7602" s="39">
        <f t="shared" si="1079"/>
        <v>1025</v>
      </c>
      <c r="G7602" s="168">
        <f>SUM(C7602,C7578,C7554,C7530,C7506,C7482,C7458,C7434,C7410,C7386,C7362,C7338,C7314,C7290)/POBLA!$B$17*100000</f>
        <v>38.963856284448788</v>
      </c>
      <c r="H7602" s="256">
        <f t="shared" si="1086"/>
        <v>0.96354166666666663</v>
      </c>
      <c r="I7602" s="297">
        <f t="shared" si="1088"/>
        <v>37.543299024078259</v>
      </c>
      <c r="J7602" s="297">
        <f t="shared" si="1089"/>
        <v>50.571428571428569</v>
      </c>
      <c r="K7602" s="297">
        <f>J7602/POBLA!$B$17*100000</f>
        <v>3.5503745494710093</v>
      </c>
      <c r="L7602" s="549">
        <f t="shared" si="1087"/>
        <v>-0.76119402985074625</v>
      </c>
      <c r="M7602" s="401">
        <f>SUM(C7602,C7578,C7554,C7530,C7506,C7482,C7458)/POBLA!$B$17*100000</f>
        <v>24.852621846297065</v>
      </c>
    </row>
    <row r="7603" spans="1:13" s="360" customFormat="1" x14ac:dyDescent="0.25">
      <c r="A7603" s="361" t="s">
        <v>35</v>
      </c>
      <c r="B7603" s="29">
        <v>44209</v>
      </c>
      <c r="C7603" s="1">
        <v>163</v>
      </c>
      <c r="D7603" s="276">
        <f t="shared" ref="D7603:D7609" si="1090">C7603+D7579</f>
        <v>12839</v>
      </c>
      <c r="E7603" s="1">
        <v>3</v>
      </c>
      <c r="F7603" s="39">
        <f t="shared" ref="F7603:F7609" si="1091">E7603+F7579</f>
        <v>212</v>
      </c>
      <c r="G7603" s="168">
        <f>SUM(C7603,C7579,C7555,C7531,C7507,C7483,C7459,C7435,C7411,C7387,C7363,C7339,C7315,C7291)/POBLA!$B$18*100000</f>
        <v>171.01522368304839</v>
      </c>
      <c r="H7603" s="256">
        <f t="shared" si="1086"/>
        <v>0.8004793289394847</v>
      </c>
      <c r="I7603" s="297">
        <f t="shared" si="1088"/>
        <v>136.89415149224246</v>
      </c>
      <c r="J7603" s="297">
        <f t="shared" si="1089"/>
        <v>119.85714285714286</v>
      </c>
      <c r="K7603" s="297">
        <f>J7603/POBLA!$B$18*100000</f>
        <v>15.342362347099828</v>
      </c>
      <c r="L7603" s="549">
        <f t="shared" si="1087"/>
        <v>-0.68812877263581496</v>
      </c>
      <c r="M7603" s="401">
        <f>SUM(C7603,C7579,C7555,C7531,C7507,C7483,C7459)/POBLA!$B$18*100000</f>
        <v>107.39653642969878</v>
      </c>
    </row>
    <row r="7604" spans="1:13" s="360" customFormat="1" x14ac:dyDescent="0.25">
      <c r="A7604" s="361" t="s">
        <v>36</v>
      </c>
      <c r="B7604" s="29">
        <v>44209</v>
      </c>
      <c r="C7604" s="1">
        <v>38</v>
      </c>
      <c r="D7604" s="276">
        <f t="shared" si="1090"/>
        <v>16702</v>
      </c>
      <c r="E7604" s="1">
        <v>1</v>
      </c>
      <c r="F7604" s="39">
        <f t="shared" si="1091"/>
        <v>326</v>
      </c>
      <c r="G7604" s="168">
        <f>SUM(C7604,C7580,C7556,C7532,C7508,C7484,C7460,C7436,C7412,C7388,C7364,C7340,C7316,C7292)/POBLA!$B$19*100000</f>
        <v>106.82079287389246</v>
      </c>
      <c r="H7604" s="256">
        <f t="shared" si="1086"/>
        <v>1.259860788863109</v>
      </c>
      <c r="I7604" s="297">
        <f t="shared" si="1088"/>
        <v>134.57932837708492</v>
      </c>
      <c r="J7604" s="297">
        <f t="shared" si="1089"/>
        <v>43.571428571428569</v>
      </c>
      <c r="K7604" s="297">
        <f>J7604/POBLA!$B$19*100000</f>
        <v>8.5715185021144951</v>
      </c>
      <c r="L7604" s="549">
        <f t="shared" si="1087"/>
        <v>-0.28151260504201692</v>
      </c>
      <c r="M7604" s="401">
        <f>SUM(C7604,C7580,C7556,C7532,C7508,C7484,C7460)/POBLA!$B$19*100000</f>
        <v>60.000629514801467</v>
      </c>
    </row>
    <row r="7605" spans="1:13" s="360" customFormat="1" x14ac:dyDescent="0.25">
      <c r="A7605" s="361" t="s">
        <v>37</v>
      </c>
      <c r="B7605" s="29">
        <v>44209</v>
      </c>
      <c r="C7605" s="1">
        <v>323</v>
      </c>
      <c r="D7605" s="276">
        <f t="shared" si="1090"/>
        <v>28252</v>
      </c>
      <c r="E7605" s="1">
        <v>4</v>
      </c>
      <c r="F7605" s="39">
        <f t="shared" si="1091"/>
        <v>435</v>
      </c>
      <c r="G7605" s="168">
        <f>SUM(C7605,C7581,C7557,C7533,C7509,C7485,C7461,C7437,C7413,C7389,C7365,C7341,C7317,C7293)/POBLA!$B$20*100000</f>
        <v>1344.5520620840148</v>
      </c>
      <c r="H7605" s="256">
        <f t="shared" si="1086"/>
        <v>1.3235531628532975</v>
      </c>
      <c r="I7605" s="297">
        <f t="shared" si="1088"/>
        <v>1779.5861343922211</v>
      </c>
      <c r="J7605" s="297">
        <f t="shared" si="1089"/>
        <v>364.71428571428572</v>
      </c>
      <c r="K7605" s="297">
        <f>J7605/POBLA!$B$20*100000</f>
        <v>99.731003646256127</v>
      </c>
      <c r="L7605" s="549">
        <f t="shared" si="1087"/>
        <v>-7.9949238578680193E-2</v>
      </c>
      <c r="M7605" s="401">
        <f>SUM(C7605,C7581,C7557,C7533,C7509,C7485,C7461)/POBLA!$B$20*100000</f>
        <v>698.1170255237929</v>
      </c>
    </row>
    <row r="7606" spans="1:13" s="360" customFormat="1" x14ac:dyDescent="0.25">
      <c r="A7606" s="361" t="s">
        <v>22</v>
      </c>
      <c r="B7606" s="29">
        <v>44209</v>
      </c>
      <c r="C7606" s="1">
        <v>1502</v>
      </c>
      <c r="D7606" s="276">
        <f t="shared" si="1090"/>
        <v>190446</v>
      </c>
      <c r="E7606" s="1">
        <v>18</v>
      </c>
      <c r="F7606" s="39">
        <f t="shared" si="1091"/>
        <v>3129</v>
      </c>
      <c r="G7606" s="168">
        <f>SUM(C7606,C7582,C7558,C7534,C7510,C7486,C7462,C7438,C7414,C7390,C7366,C7342,C7318,C7294)/POBLA!$B$21*100000</f>
        <v>436.17581405817975</v>
      </c>
      <c r="H7606" s="256">
        <f t="shared" si="1086"/>
        <v>1.2925255572314396</v>
      </c>
      <c r="I7606" s="297">
        <f t="shared" si="1088"/>
        <v>563.76838711642552</v>
      </c>
      <c r="J7606" s="297">
        <f t="shared" si="1089"/>
        <v>1228.7142857142858</v>
      </c>
      <c r="K7606" s="297">
        <f>J7606/POBLA!$B$21*100000</f>
        <v>34.744599923263756</v>
      </c>
      <c r="L7606" s="549">
        <f t="shared" si="1087"/>
        <v>-0.26040445486518182</v>
      </c>
      <c r="M7606" s="401">
        <f>SUM(C7606,C7582,C7558,C7534,C7510,C7486,C7462)/POBLA!$B$21*100000</f>
        <v>243.21219946284631</v>
      </c>
    </row>
    <row r="7607" spans="1:13" s="360" customFormat="1" x14ac:dyDescent="0.25">
      <c r="A7607" s="361" t="s">
        <v>38</v>
      </c>
      <c r="B7607" s="29">
        <v>44209</v>
      </c>
      <c r="C7607" s="1">
        <v>165</v>
      </c>
      <c r="D7607" s="276">
        <f t="shared" si="1090"/>
        <v>19052</v>
      </c>
      <c r="E7607" s="1">
        <v>2</v>
      </c>
      <c r="F7607" s="39">
        <f t="shared" si="1091"/>
        <v>229</v>
      </c>
      <c r="G7607" s="168">
        <f>SUM(C7607,C7583,C7559,C7535,C7511,C7487,C7463,C7439,C7415,C7391,C7367,C7343,C7319,C7295)/POBLA!$B$22*100000</f>
        <v>176.01728690102249</v>
      </c>
      <c r="H7607" s="256">
        <f t="shared" si="1086"/>
        <v>2.4425531914893619</v>
      </c>
      <c r="I7607" s="297">
        <f t="shared" si="1088"/>
        <v>429.93158587739111</v>
      </c>
      <c r="J7607" s="297">
        <f t="shared" si="1089"/>
        <v>145.71428571428572</v>
      </c>
      <c r="K7607" s="297">
        <f>J7607/POBLA!$B$22*100000</f>
        <v>14.894444386846104</v>
      </c>
      <c r="L7607" s="549">
        <f t="shared" si="1087"/>
        <v>-0.45299145299145294</v>
      </c>
      <c r="M7607" s="401">
        <f>SUM(C7607,C7583,C7559,C7535,C7511,C7487,C7463)/POBLA!$B$22*100000</f>
        <v>104.26111070792271</v>
      </c>
    </row>
    <row r="7608" spans="1:13" s="360" customFormat="1" x14ac:dyDescent="0.25">
      <c r="A7608" s="361" t="s">
        <v>39</v>
      </c>
      <c r="B7608" s="29">
        <v>44209</v>
      </c>
      <c r="C7608" s="1">
        <v>101</v>
      </c>
      <c r="D7608" s="276">
        <f t="shared" si="1090"/>
        <v>20498</v>
      </c>
      <c r="E7608" s="1">
        <v>1</v>
      </c>
      <c r="F7608" s="39">
        <f t="shared" si="1091"/>
        <v>284</v>
      </c>
      <c r="G7608" s="168">
        <f>SUM(C7608,C7584,C7560,C7536,C7512,C7488,C7464,C7440,C7416,C7392,C7368,C7344,C7320,C7296)/POBLA!$B$23*100000</f>
        <v>831.3069049369451</v>
      </c>
      <c r="H7608" s="256">
        <f t="shared" si="1086"/>
        <v>1.1941510966693745</v>
      </c>
      <c r="I7608" s="297">
        <f t="shared" si="1088"/>
        <v>992.70605219927643</v>
      </c>
      <c r="J7608" s="297">
        <f t="shared" si="1089"/>
        <v>94.142857142857139</v>
      </c>
      <c r="K7608" s="297">
        <f>J7608/POBLA!$B$23*100000</f>
        <v>53.239188566904453</v>
      </c>
      <c r="L7608" s="549">
        <f t="shared" si="1087"/>
        <v>0.18742293464858195</v>
      </c>
      <c r="M7608" s="401">
        <f>SUM(C7608,C7584,C7560,C7536,C7512,C7488,C7464)/POBLA!$B$23*100000</f>
        <v>372.67431996833119</v>
      </c>
    </row>
    <row r="7609" spans="1:13" s="360" customFormat="1" ht="15.75" thickBot="1" x14ac:dyDescent="0.3">
      <c r="A7609" s="361" t="s">
        <v>40</v>
      </c>
      <c r="B7609" s="29">
        <v>44209</v>
      </c>
      <c r="C7609" s="1">
        <v>279</v>
      </c>
      <c r="D7609" s="276">
        <f t="shared" si="1090"/>
        <v>73615</v>
      </c>
      <c r="E7609" s="1">
        <v>3</v>
      </c>
      <c r="F7609" s="39">
        <f t="shared" si="1091"/>
        <v>1399</v>
      </c>
      <c r="G7609" s="177">
        <f>SUM(C7609,C7585,C7561,C7537,C7513,C7489,C7465,C7441,C7417,C7393,C7369,C7345,C7321,C7297)/POBLA!$B$24*100000</f>
        <v>154.66265720004532</v>
      </c>
      <c r="H7609" s="402">
        <f t="shared" si="1086"/>
        <v>1.3715332286760857</v>
      </c>
      <c r="I7609" s="403">
        <f t="shared" si="1088"/>
        <v>212.12497358520082</v>
      </c>
      <c r="J7609" s="403">
        <f t="shared" si="1089"/>
        <v>222.28571428571428</v>
      </c>
      <c r="K7609" s="403">
        <f>J7609/POBLA!$B$24*100000</f>
        <v>13.116863498297842</v>
      </c>
      <c r="L7609" s="550">
        <f t="shared" si="1087"/>
        <v>-0.46103286384976516</v>
      </c>
      <c r="M7609" s="405">
        <f>SUM(C7609,C7585,C7561,C7537,C7513,C7489,C7465)/POBLA!$B$24*100000</f>
        <v>91.818044488084894</v>
      </c>
    </row>
    <row r="7610" spans="1:13" s="360" customFormat="1" x14ac:dyDescent="0.25">
      <c r="A7610" s="361" t="s">
        <v>16</v>
      </c>
      <c r="B7610" s="29">
        <v>44210</v>
      </c>
      <c r="C7610" s="1">
        <v>5185</v>
      </c>
      <c r="D7610" s="276">
        <f>C7610+D7586</f>
        <v>740587</v>
      </c>
      <c r="E7610" s="1">
        <v>53</v>
      </c>
      <c r="F7610" s="39">
        <f>E7610+F7586</f>
        <v>23181</v>
      </c>
      <c r="G7610" s="175">
        <f>SUM(C7610,C7586,C7562,C7538,C7514,C7490,C7466,C7442,C7418,C7394,C7370,C7346,C7322,C7298)/POBLA!$B$1*100000</f>
        <v>318.23471460607948</v>
      </c>
      <c r="H7610" s="300">
        <f t="shared" ref="H7610:H7633" si="1092">SUM(C7610,C7586,C7562,C7538,C7514,C7490,C7466,C7442,C7418,C7394,C7370,C7346,C7322,C7298)/SUM(C7274,C7250,C7226,C7202,C7178,C7154,C7130,C7106,C7082,C7058,C7034,C7010,C6986,C6962)</f>
        <v>1.4534329679485511</v>
      </c>
      <c r="I7610" s="301">
        <f>G7610*H7610</f>
        <v>462.53282575417421</v>
      </c>
      <c r="J7610" s="301">
        <f>AVERAGE(C7610,C7586,C7562,C7538,C7514,C7490,C7466)</f>
        <v>4464.8571428571431</v>
      </c>
      <c r="K7610" s="301">
        <f>J7610/POBLA!$B$1*100000</f>
        <v>25.453630085164605</v>
      </c>
      <c r="L7610" s="548">
        <f t="shared" ref="L7610:L7633" si="1093">1-SUM(C7610,C7586,C7562,C7538,C7514,C7490,C7466)/SUM(C7442,C7418,C7394,C7370,C7346,C7322,C7298)</f>
        <v>-0.27214262455226312</v>
      </c>
      <c r="M7610" s="400">
        <f>SUM(C7610,C7586,C7562,C7538,C7514,C7490,C7466)/POBLA!$B$1*100000</f>
        <v>178.1754105961522</v>
      </c>
    </row>
    <row r="7611" spans="1:13" s="360" customFormat="1" x14ac:dyDescent="0.25">
      <c r="A7611" s="361" t="s">
        <v>43</v>
      </c>
      <c r="B7611" s="29">
        <v>44210</v>
      </c>
      <c r="C7611" s="1">
        <v>1367</v>
      </c>
      <c r="D7611" s="276">
        <f t="shared" ref="D7611:D7674" si="1094">C7611+D7587</f>
        <v>191081</v>
      </c>
      <c r="E7611" s="1">
        <v>6</v>
      </c>
      <c r="F7611" s="39">
        <f t="shared" ref="F7611:F7674" si="1095">E7611+F7587</f>
        <v>5641</v>
      </c>
      <c r="G7611" s="168">
        <f>SUM(C7611,C7587,C7563,C7539,C7515,C7491,C7467,C7443,C7419,C7395,C7371,C7347,C7323,C7299)/POBLA!$B$2*100000</f>
        <v>535.88742007370161</v>
      </c>
      <c r="H7611" s="256">
        <f t="shared" si="1092"/>
        <v>1.65001501651817</v>
      </c>
      <c r="I7611" s="297">
        <f t="shared" ref="I7611:I7633" si="1096">G7611*H7611</f>
        <v>884.22229028478819</v>
      </c>
      <c r="J7611" s="297">
        <f t="shared" ref="J7611:J7633" si="1097">AVERAGE(C7611,C7587,C7563,C7539,C7515,C7491,C7467)</f>
        <v>1298.8571428571429</v>
      </c>
      <c r="K7611" s="297">
        <f>J7611/POBLA!$B$2*100000</f>
        <v>42.230384864094987</v>
      </c>
      <c r="L7611" s="549">
        <f t="shared" si="1093"/>
        <v>-0.23031123139377541</v>
      </c>
      <c r="M7611" s="401">
        <f>SUM(C7611,C7587,C7563,C7539,C7515,C7491,C7467)/POBLA!$B$2*100000</f>
        <v>295.61269404866488</v>
      </c>
    </row>
    <row r="7612" spans="1:13" s="360" customFormat="1" x14ac:dyDescent="0.25">
      <c r="A7612" s="361" t="s">
        <v>28</v>
      </c>
      <c r="B7612" s="29">
        <v>44210</v>
      </c>
      <c r="C7612" s="1">
        <v>78</v>
      </c>
      <c r="D7612" s="276">
        <f t="shared" si="1094"/>
        <v>3434</v>
      </c>
      <c r="E7612" s="1"/>
      <c r="F7612" s="39">
        <f t="shared" si="1095"/>
        <v>17</v>
      </c>
      <c r="G7612" s="168">
        <f>SUM(C7612,C7588,C7564,C7540,C7516,C7492,C7468,C7444,C7420,C7396,C7372,C7348,C7324,C7300)/POBLA!$B$3*100000</f>
        <v>160.55343998382432</v>
      </c>
      <c r="H7612" s="256">
        <f t="shared" si="1092"/>
        <v>1.2351851851851852</v>
      </c>
      <c r="I7612" s="297">
        <f t="shared" si="1096"/>
        <v>198.31323049853856</v>
      </c>
      <c r="J7612" s="297">
        <f t="shared" si="1097"/>
        <v>62.285714285714285</v>
      </c>
      <c r="K7612" s="297">
        <f>J7612/POBLA!$B$3*100000</f>
        <v>14.992782144559305</v>
      </c>
      <c r="L7612" s="549">
        <f t="shared" si="1093"/>
        <v>-0.88744588744588748</v>
      </c>
      <c r="M7612" s="401">
        <f>SUM(C7612,C7588,C7564,C7540,C7516,C7492,C7468)/POBLA!$B$3*100000</f>
        <v>104.94947501191513</v>
      </c>
    </row>
    <row r="7613" spans="1:13" s="360" customFormat="1" x14ac:dyDescent="0.25">
      <c r="A7613" s="361" t="s">
        <v>15</v>
      </c>
      <c r="B7613" s="29">
        <v>44210</v>
      </c>
      <c r="C7613" s="1">
        <v>304</v>
      </c>
      <c r="D7613" s="276">
        <f t="shared" si="1094"/>
        <v>27942</v>
      </c>
      <c r="E7613" s="1">
        <v>3</v>
      </c>
      <c r="F7613" s="39">
        <f t="shared" si="1095"/>
        <v>752</v>
      </c>
      <c r="G7613" s="168">
        <f>SUM(C7613,C7589,C7565,C7541,C7517,C7493,C7469,C7445,C7421,C7397,C7373,C7349,C7325,C7301)/POBLA!$B$4*100000</f>
        <v>262.34059280672057</v>
      </c>
      <c r="H7613" s="256">
        <f t="shared" si="1092"/>
        <v>1.3327709827077183</v>
      </c>
      <c r="I7613" s="297">
        <f t="shared" si="1096"/>
        <v>349.63992967913833</v>
      </c>
      <c r="J7613" s="297">
        <f t="shared" si="1097"/>
        <v>246.71428571428572</v>
      </c>
      <c r="K7613" s="297">
        <f>J7613/POBLA!$B$4*100000</f>
        <v>20.482016445624161</v>
      </c>
      <c r="L7613" s="549">
        <f t="shared" si="1093"/>
        <v>-0.20516399162595955</v>
      </c>
      <c r="M7613" s="401">
        <f>SUM(C7613,C7589,C7565,C7541,C7517,C7493,C7469)/POBLA!$B$4*100000</f>
        <v>143.37411511936912</v>
      </c>
    </row>
    <row r="7614" spans="1:13" s="360" customFormat="1" x14ac:dyDescent="0.25">
      <c r="A7614" s="361" t="s">
        <v>29</v>
      </c>
      <c r="B7614" s="29">
        <v>44210</v>
      </c>
      <c r="C7614" s="1">
        <v>543</v>
      </c>
      <c r="D7614" s="276">
        <f t="shared" si="1094"/>
        <v>37498</v>
      </c>
      <c r="E7614" s="1">
        <v>12</v>
      </c>
      <c r="F7614" s="39">
        <f t="shared" si="1095"/>
        <v>559</v>
      </c>
      <c r="G7614" s="168">
        <f>SUM(C7614,C7590,C7566,C7542,C7518,C7494,C7470,C7446,C7422,C7398,C7374,C7350,C7326,C7302)/POBLA!$B$5*100000</f>
        <v>899.3625140146753</v>
      </c>
      <c r="H7614" s="256">
        <f t="shared" si="1092"/>
        <v>1.245135316484008</v>
      </c>
      <c r="I7614" s="297">
        <f t="shared" si="1096"/>
        <v>1119.8280285215158</v>
      </c>
      <c r="J7614" s="297">
        <f t="shared" si="1097"/>
        <v>452.85714285714283</v>
      </c>
      <c r="K7614" s="297">
        <f>J7614/POBLA!$B$5*100000</f>
        <v>73.160182951230993</v>
      </c>
      <c r="L7614" s="549">
        <f t="shared" si="1093"/>
        <v>-0.32248644138506477</v>
      </c>
      <c r="M7614" s="401">
        <f>SUM(C7614,C7590,C7566,C7542,C7518,C7494,C7470)/POBLA!$B$5*100000</f>
        <v>512.12128065861702</v>
      </c>
    </row>
    <row r="7615" spans="1:13" s="360" customFormat="1" x14ac:dyDescent="0.25">
      <c r="A7615" s="361" t="s">
        <v>20</v>
      </c>
      <c r="B7615" s="29">
        <v>44210</v>
      </c>
      <c r="C7615" s="1">
        <v>770</v>
      </c>
      <c r="D7615" s="276">
        <f t="shared" si="1094"/>
        <v>136219</v>
      </c>
      <c r="E7615" s="1">
        <v>15</v>
      </c>
      <c r="F7615" s="39">
        <f t="shared" si="1095"/>
        <v>2546</v>
      </c>
      <c r="G7615" s="168">
        <f>SUM(C7615,C7591,C7567,C7543,C7519,C7495,C7471,C7447,C7423,C7399,C7375,C7351,C7327,C7303)/POBLA!$B$6*100000</f>
        <v>760.34907177991454</v>
      </c>
      <c r="H7615" s="256">
        <f t="shared" si="1092"/>
        <v>1.4055747979548079</v>
      </c>
      <c r="I7615" s="297">
        <f t="shared" si="1096"/>
        <v>1068.7274929421792</v>
      </c>
      <c r="J7615" s="297">
        <f t="shared" si="1097"/>
        <v>680</v>
      </c>
      <c r="K7615" s="297">
        <f>J7615/POBLA!$B$6*100000</f>
        <v>60.670895190136335</v>
      </c>
      <c r="L7615" s="549">
        <f t="shared" si="1093"/>
        <v>-0.26528442317916001</v>
      </c>
      <c r="M7615" s="401">
        <f>SUM(C7615,C7591,C7567,C7543,C7519,C7495,C7471)/POBLA!$B$6*100000</f>
        <v>424.69626633095436</v>
      </c>
    </row>
    <row r="7616" spans="1:13" s="360" customFormat="1" x14ac:dyDescent="0.25">
      <c r="A7616" s="361" t="s">
        <v>30</v>
      </c>
      <c r="B7616" s="29">
        <v>44210</v>
      </c>
      <c r="C7616" s="1">
        <v>415</v>
      </c>
      <c r="D7616" s="276">
        <f t="shared" si="1094"/>
        <v>14992</v>
      </c>
      <c r="E7616" s="1"/>
      <c r="F7616" s="39">
        <f t="shared" si="1095"/>
        <v>181</v>
      </c>
      <c r="G7616" s="168">
        <f>SUM(C7616,C7592,C7568,C7544,C7520,C7496,C7472,C7448,C7424,C7400,C7376,C7352,C7328,C7304)/POBLA!$B$7*100000</f>
        <v>80.229759736201785</v>
      </c>
      <c r="H7616" s="256">
        <f t="shared" si="1092"/>
        <v>1.5471794871794873</v>
      </c>
      <c r="I7616" s="297">
        <f t="shared" si="1096"/>
        <v>124.12983852519015</v>
      </c>
      <c r="J7616" s="297">
        <f t="shared" si="1097"/>
        <v>277.42857142857144</v>
      </c>
      <c r="K7616" s="297">
        <f>J7616/POBLA!$B$7*100000</f>
        <v>7.3775365030400994</v>
      </c>
      <c r="L7616" s="549">
        <f t="shared" si="1093"/>
        <v>-0.80651162790697684</v>
      </c>
      <c r="M7616" s="401">
        <f>SUM(C7616,C7592,C7568,C7544,C7520,C7496,C7472)/POBLA!$B$7*100000</f>
        <v>51.642755521280698</v>
      </c>
    </row>
    <row r="7617" spans="1:13" x14ac:dyDescent="0.25">
      <c r="A7617" s="361" t="s">
        <v>31</v>
      </c>
      <c r="B7617" s="29">
        <v>44210</v>
      </c>
      <c r="C7617" s="1">
        <v>539</v>
      </c>
      <c r="D7617" s="276">
        <f t="shared" si="1094"/>
        <v>35325</v>
      </c>
      <c r="E7617" s="1">
        <v>2</v>
      </c>
      <c r="F7617" s="39">
        <f t="shared" si="1095"/>
        <v>626</v>
      </c>
      <c r="G7617" s="168">
        <f>SUM(C7617,C7593,C7569,C7545,C7521,C7497,C7473,C7449,C7425,C7401,C7377,C7353,C7329,C7305)/POBLA!$B$8*100000</f>
        <v>420.79106122033733</v>
      </c>
      <c r="H7617" s="256">
        <f t="shared" si="1092"/>
        <v>1.8984375</v>
      </c>
      <c r="I7617" s="297">
        <f t="shared" si="1096"/>
        <v>798.84553028548419</v>
      </c>
      <c r="J7617" s="297">
        <f t="shared" si="1097"/>
        <v>462.42857142857144</v>
      </c>
      <c r="K7617" s="297">
        <f>J7617/POBLA!$B$8*100000</f>
        <v>33.36519364026632</v>
      </c>
      <c r="L7617" s="549">
        <f t="shared" si="1093"/>
        <v>-0.24739884393063583</v>
      </c>
      <c r="M7617" s="401">
        <f>SUM(C7617,C7593,C7569,C7545,C7521,C7497,C7473)/POBLA!$B$8*100000</f>
        <v>233.55635548186422</v>
      </c>
    </row>
    <row r="7618" spans="1:13" s="360" customFormat="1" x14ac:dyDescent="0.25">
      <c r="A7618" s="361" t="s">
        <v>41</v>
      </c>
      <c r="B7618" s="29">
        <v>44210</v>
      </c>
      <c r="C7618" s="1">
        <v>75</v>
      </c>
      <c r="D7618" s="276">
        <f t="shared" si="1094"/>
        <v>500</v>
      </c>
      <c r="E7618" s="1"/>
      <c r="F7618" s="39">
        <f t="shared" si="1095"/>
        <v>3</v>
      </c>
      <c r="G7618" s="168">
        <f>SUM(C7618,C7594,C7570,C7546,C7522,C7498,C7474,C7450,C7426,C7402,C7378,C7354,C7330,C7306)/POBLA!$B$9*100000</f>
        <v>46.596705513778247</v>
      </c>
      <c r="H7618" s="256">
        <f t="shared" si="1092"/>
        <v>18.8</v>
      </c>
      <c r="I7618" s="297">
        <f t="shared" si="1096"/>
        <v>876.0180636590311</v>
      </c>
      <c r="J7618" s="297">
        <f t="shared" si="1097"/>
        <v>37.428571428571431</v>
      </c>
      <c r="K7618" s="297">
        <f>J7618/POBLA!$B$9*100000</f>
        <v>6.1845678037537493</v>
      </c>
      <c r="L7618" s="549">
        <f t="shared" si="1093"/>
        <v>-12.1</v>
      </c>
      <c r="M7618" s="401">
        <f>SUM(C7618,C7594,C7570,C7546,C7522,C7498,C7474)/POBLA!$B$9*100000</f>
        <v>43.291974626276243</v>
      </c>
    </row>
    <row r="7619" spans="1:13" s="360" customFormat="1" x14ac:dyDescent="0.25">
      <c r="A7619" s="361" t="s">
        <v>32</v>
      </c>
      <c r="B7619" s="29">
        <v>44210</v>
      </c>
      <c r="C7619" s="1">
        <v>23</v>
      </c>
      <c r="D7619" s="276">
        <f t="shared" si="1094"/>
        <v>18759</v>
      </c>
      <c r="E7619" s="1"/>
      <c r="F7619" s="39">
        <f t="shared" si="1095"/>
        <v>860</v>
      </c>
      <c r="G7619" s="168">
        <f>SUM(C7619,C7595,C7571,C7547,C7523,C7499,C7475,C7451,C7427,C7403,C7379,C7355,C7331,C7307)/POBLA!$B$10*100000</f>
        <v>26.982115268115308</v>
      </c>
      <c r="H7619" s="256">
        <f t="shared" si="1092"/>
        <v>2.4186046511627906</v>
      </c>
      <c r="I7619" s="297">
        <f t="shared" si="1096"/>
        <v>65.259069485674232</v>
      </c>
      <c r="J7619" s="297">
        <f t="shared" si="1097"/>
        <v>20.285714285714285</v>
      </c>
      <c r="K7619" s="297">
        <f>J7619/POBLA!$B$10*100000</f>
        <v>2.6314975055442131</v>
      </c>
      <c r="L7619" s="549">
        <f t="shared" si="1093"/>
        <v>-1.1515151515151514</v>
      </c>
      <c r="M7619" s="401">
        <f>SUM(C7619,C7595,C7571,C7547,C7523,C7499,C7475)/POBLA!$B$10*100000</f>
        <v>18.420482538809491</v>
      </c>
    </row>
    <row r="7620" spans="1:13" s="360" customFormat="1" x14ac:dyDescent="0.25">
      <c r="A7620" s="361" t="s">
        <v>33</v>
      </c>
      <c r="B7620" s="29">
        <v>44210</v>
      </c>
      <c r="C7620" s="1">
        <v>255</v>
      </c>
      <c r="D7620" s="276">
        <f t="shared" si="1094"/>
        <v>14539</v>
      </c>
      <c r="E7620" s="1"/>
      <c r="F7620" s="39">
        <f t="shared" si="1095"/>
        <v>173</v>
      </c>
      <c r="G7620" s="168">
        <f>SUM(C7620,C7596,C7572,C7548,C7524,C7500,C7476,C7452,C7428,C7404,C7380,C7356,C7332,C7308)/POBLA!$B$11*100000</f>
        <v>1028.9374714029038</v>
      </c>
      <c r="H7620" s="256">
        <f t="shared" si="1092"/>
        <v>1.1722822631913541</v>
      </c>
      <c r="I7620" s="297">
        <f t="shared" si="1096"/>
        <v>1206.2051476585852</v>
      </c>
      <c r="J7620" s="297">
        <f t="shared" si="1097"/>
        <v>255.14285714285714</v>
      </c>
      <c r="K7620" s="297">
        <f>J7620/POBLA!$B$11*100000</f>
        <v>71.183852026866518</v>
      </c>
      <c r="L7620" s="549">
        <f t="shared" si="1093"/>
        <v>6.0988433228180816E-2</v>
      </c>
      <c r="M7620" s="401">
        <f>SUM(C7620,C7596,C7572,C7548,C7524,C7500,C7476)/POBLA!$B$11*100000</f>
        <v>498.28696418806561</v>
      </c>
    </row>
    <row r="7621" spans="1:13" s="360" customFormat="1" x14ac:dyDescent="0.25">
      <c r="A7621" s="361" t="s">
        <v>21</v>
      </c>
      <c r="B7621" s="29">
        <v>44210</v>
      </c>
      <c r="C7621" s="1">
        <v>12</v>
      </c>
      <c r="D7621" s="276">
        <f t="shared" si="1094"/>
        <v>9259</v>
      </c>
      <c r="E7621" s="1"/>
      <c r="F7621" s="39">
        <f t="shared" si="1095"/>
        <v>401</v>
      </c>
      <c r="G7621" s="168">
        <f>SUM(C7621,C7597,C7573,C7549,C7525,C7501,C7477,C7453,C7429,C7405,C7381,C7357,C7333,C7309)/POBLA!$B$12*100000</f>
        <v>41.92808190460218</v>
      </c>
      <c r="H7621" s="256">
        <f t="shared" si="1092"/>
        <v>1.4102564102564104</v>
      </c>
      <c r="I7621" s="297">
        <f t="shared" si="1096"/>
        <v>59.129346275721026</v>
      </c>
      <c r="J7621" s="297">
        <f t="shared" si="1097"/>
        <v>13.142857142857142</v>
      </c>
      <c r="K7621" s="297">
        <f>J7621/POBLA!$B$12*100000</f>
        <v>3.3397260045224244</v>
      </c>
      <c r="L7621" s="549">
        <f t="shared" si="1093"/>
        <v>-0.26027397260273966</v>
      </c>
      <c r="M7621" s="401">
        <f>SUM(C7621,C7597,C7573,C7549,C7525,C7501,C7477)/POBLA!$B$12*100000</f>
        <v>23.378082031656973</v>
      </c>
    </row>
    <row r="7622" spans="1:13" s="360" customFormat="1" x14ac:dyDescent="0.25">
      <c r="A7622" s="361" t="s">
        <v>17</v>
      </c>
      <c r="B7622" s="29">
        <v>44210</v>
      </c>
      <c r="C7622" s="1">
        <v>162</v>
      </c>
      <c r="D7622" s="276">
        <f t="shared" si="1094"/>
        <v>61903</v>
      </c>
      <c r="E7622" s="1">
        <v>7</v>
      </c>
      <c r="F7622" s="39">
        <f t="shared" si="1095"/>
        <v>1274</v>
      </c>
      <c r="G7622" s="168">
        <f>SUM(C7622,C7598,C7574,C7550,C7526,C7502,C7478,C7454,C7430,C7406,C7382,C7358,C7334,C7310)/POBLA!$B$13*100000</f>
        <v>88.226220873037647</v>
      </c>
      <c r="H7622" s="256">
        <f t="shared" si="1092"/>
        <v>1.2817518248175181</v>
      </c>
      <c r="I7622" s="297">
        <f t="shared" si="1096"/>
        <v>113.08411960076941</v>
      </c>
      <c r="J7622" s="297">
        <f t="shared" si="1097"/>
        <v>144.85714285714286</v>
      </c>
      <c r="K7622" s="297">
        <f>J7622/POBLA!$B$13*100000</f>
        <v>7.2780172441636983</v>
      </c>
      <c r="L7622" s="549">
        <f t="shared" si="1093"/>
        <v>-0.36657681940700804</v>
      </c>
      <c r="M7622" s="401">
        <f>SUM(C7622,C7598,C7574,C7550,C7526,C7502,C7478)/POBLA!$B$13*100000</f>
        <v>50.94612070914588</v>
      </c>
    </row>
    <row r="7623" spans="1:13" s="360" customFormat="1" x14ac:dyDescent="0.25">
      <c r="A7623" s="361" t="s">
        <v>23</v>
      </c>
      <c r="B7623" s="29">
        <v>44210</v>
      </c>
      <c r="C7623" s="1">
        <v>215</v>
      </c>
      <c r="D7623" s="276">
        <f t="shared" si="1094"/>
        <v>1762</v>
      </c>
      <c r="E7623" s="1">
        <v>7</v>
      </c>
      <c r="F7623" s="39">
        <f t="shared" si="1095"/>
        <v>33</v>
      </c>
      <c r="G7623" s="168">
        <f>SUM(C7623,C7599,C7575,C7551,C7527,C7503,C7479,C7455,C7431,C7407,C7383,C7359,C7335,C7311)/POBLA!$B$14*100000</f>
        <v>53.912886289794443</v>
      </c>
      <c r="H7623" s="256">
        <f t="shared" si="1092"/>
        <v>2.3129251700680271</v>
      </c>
      <c r="I7623" s="297">
        <f t="shared" si="1096"/>
        <v>124.69647169068102</v>
      </c>
      <c r="J7623" s="297">
        <f t="shared" si="1097"/>
        <v>83.857142857142861</v>
      </c>
      <c r="K7623" s="297">
        <f>J7623/POBLA!$B$14*100000</f>
        <v>6.6485008933002829</v>
      </c>
      <c r="L7623" s="549">
        <f t="shared" si="1093"/>
        <v>-5.311827956989247</v>
      </c>
      <c r="M7623" s="401">
        <f>SUM(C7623,C7599,C7575,C7551,C7527,C7503,C7479)/POBLA!$B$14*100000</f>
        <v>46.539506253101969</v>
      </c>
    </row>
    <row r="7624" spans="1:13" s="360" customFormat="1" x14ac:dyDescent="0.25">
      <c r="A7624" s="361" t="s">
        <v>19</v>
      </c>
      <c r="B7624" s="29">
        <v>44210</v>
      </c>
      <c r="C7624" s="1">
        <v>532</v>
      </c>
      <c r="D7624" s="276">
        <f t="shared" si="1094"/>
        <v>47197</v>
      </c>
      <c r="E7624" s="1"/>
      <c r="F7624" s="39">
        <f t="shared" si="1095"/>
        <v>754</v>
      </c>
      <c r="G7624" s="168">
        <f>SUM(C7624,C7600,C7576,C7552,C7528,C7504,C7480,C7456,C7432,C7408,C7384,C7360,C7336,C7312)/POBLA!$B$15*100000</f>
        <v>925.67354910798315</v>
      </c>
      <c r="H7624" s="256">
        <f t="shared" si="1092"/>
        <v>1.7408666100254886</v>
      </c>
      <c r="I7624" s="297">
        <f t="shared" si="1096"/>
        <v>1611.4741734258773</v>
      </c>
      <c r="J7624" s="297">
        <f t="shared" si="1097"/>
        <v>447.57142857142856</v>
      </c>
      <c r="K7624" s="297">
        <f>J7624/POBLA!$B$15*100000</f>
        <v>67.399549823498376</v>
      </c>
      <c r="L7624" s="549">
        <f t="shared" si="1093"/>
        <v>-3.9482415394824111E-2</v>
      </c>
      <c r="M7624" s="401">
        <f>SUM(C7624,C7600,C7576,C7552,C7528,C7504,C7480)/POBLA!$B$15*100000</f>
        <v>471.79684876448857</v>
      </c>
    </row>
    <row r="7625" spans="1:13" s="360" customFormat="1" x14ac:dyDescent="0.25">
      <c r="A7625" s="361" t="s">
        <v>18</v>
      </c>
      <c r="B7625" s="29">
        <v>44210</v>
      </c>
      <c r="C7625" s="1">
        <v>437</v>
      </c>
      <c r="D7625" s="276">
        <f t="shared" si="1094"/>
        <v>43077</v>
      </c>
      <c r="E7625" s="1">
        <v>10</v>
      </c>
      <c r="F7625" s="39">
        <f t="shared" si="1095"/>
        <v>993</v>
      </c>
      <c r="G7625" s="168">
        <f>SUM(C7625,C7601,C7577,C7553,C7529,C7505,C7481,C7457,C7433,C7409,C7385,C7361,C7337,C7313)/POBLA!$B$16*100000</f>
        <v>600.71427616002995</v>
      </c>
      <c r="H7625" s="256">
        <f t="shared" si="1092"/>
        <v>1.3108581436077058</v>
      </c>
      <c r="I7625" s="297">
        <f t="shared" si="1096"/>
        <v>787.45120088578358</v>
      </c>
      <c r="J7625" s="297">
        <f t="shared" si="1097"/>
        <v>356.42857142857144</v>
      </c>
      <c r="K7625" s="297">
        <f>J7625/POBLA!$B$16*100000</f>
        <v>47.675736203176982</v>
      </c>
      <c r="L7625" s="549">
        <f t="shared" si="1093"/>
        <v>-0.25</v>
      </c>
      <c r="M7625" s="401">
        <f>SUM(C7625,C7601,C7577,C7553,C7529,C7505,C7481)/POBLA!$B$16*100000</f>
        <v>333.73015342223886</v>
      </c>
    </row>
    <row r="7626" spans="1:13" s="360" customFormat="1" x14ac:dyDescent="0.25">
      <c r="A7626" s="361" t="s">
        <v>34</v>
      </c>
      <c r="B7626" s="29">
        <v>44210</v>
      </c>
      <c r="C7626" s="1">
        <v>57</v>
      </c>
      <c r="D7626" s="276">
        <f t="shared" si="1094"/>
        <v>22920</v>
      </c>
      <c r="E7626" s="1"/>
      <c r="F7626" s="39">
        <f t="shared" si="1095"/>
        <v>1025</v>
      </c>
      <c r="G7626" s="168">
        <f>SUM(C7626,C7602,C7578,C7554,C7530,C7506,C7482,C7458,C7434,C7410,C7386,C7362,C7338,C7314)/POBLA!$B$17*100000</f>
        <v>37.980984234030259</v>
      </c>
      <c r="H7626" s="256">
        <f t="shared" si="1092"/>
        <v>0.90924369747899159</v>
      </c>
      <c r="I7626" s="297">
        <f t="shared" si="1096"/>
        <v>34.533970538840961</v>
      </c>
      <c r="J7626" s="297">
        <f t="shared" si="1097"/>
        <v>48.857142857142854</v>
      </c>
      <c r="K7626" s="297">
        <f>J7626/POBLA!$B$17*100000</f>
        <v>3.430022869827924</v>
      </c>
      <c r="L7626" s="549">
        <f t="shared" si="1093"/>
        <v>-0.71859296482412049</v>
      </c>
      <c r="M7626" s="401">
        <f>SUM(C7626,C7602,C7578,C7554,C7530,C7506,C7482)/POBLA!$B$17*100000</f>
        <v>24.01016008879547</v>
      </c>
    </row>
    <row r="7627" spans="1:13" s="360" customFormat="1" x14ac:dyDescent="0.25">
      <c r="A7627" s="361" t="s">
        <v>35</v>
      </c>
      <c r="B7627" s="29">
        <v>44210</v>
      </c>
      <c r="C7627" s="1">
        <v>78</v>
      </c>
      <c r="D7627" s="276">
        <f t="shared" si="1094"/>
        <v>12917</v>
      </c>
      <c r="E7627" s="1">
        <v>1</v>
      </c>
      <c r="F7627" s="39">
        <f t="shared" si="1095"/>
        <v>213</v>
      </c>
      <c r="G7627" s="168">
        <f>SUM(C7627,C7603,C7579,C7555,C7531,C7507,C7483,C7459,C7435,C7411,C7387,C7363,C7339,C7315)/POBLA!$B$18*100000</f>
        <v>175.2394021123452</v>
      </c>
      <c r="H7627" s="256">
        <f t="shared" si="1092"/>
        <v>0.92126514131897708</v>
      </c>
      <c r="I7627" s="297">
        <f t="shared" si="1096"/>
        <v>161.44195255168276</v>
      </c>
      <c r="J7627" s="297">
        <f t="shared" si="1097"/>
        <v>110.71428571428571</v>
      </c>
      <c r="K7627" s="297">
        <f>J7627/POBLA!$B$18*100000</f>
        <v>14.172027197857409</v>
      </c>
      <c r="L7627" s="549">
        <f t="shared" si="1093"/>
        <v>-0.30471380471380471</v>
      </c>
      <c r="M7627" s="401">
        <f>SUM(C7627,C7603,C7579,C7555,C7531,C7507,C7483)/POBLA!$B$18*100000</f>
        <v>99.204190385001866</v>
      </c>
    </row>
    <row r="7628" spans="1:13" s="360" customFormat="1" x14ac:dyDescent="0.25">
      <c r="A7628" s="361" t="s">
        <v>36</v>
      </c>
      <c r="B7628" s="29">
        <v>44210</v>
      </c>
      <c r="C7628" s="1">
        <v>58</v>
      </c>
      <c r="D7628" s="276">
        <f t="shared" si="1094"/>
        <v>16760</v>
      </c>
      <c r="E7628" s="1">
        <v>1</v>
      </c>
      <c r="F7628" s="39">
        <f t="shared" si="1095"/>
        <v>327</v>
      </c>
      <c r="G7628" s="168">
        <f>SUM(C7628,C7604,C7580,C7556,C7532,C7508,C7484,C7460,C7436,C7412,C7388,C7364,C7340,C7316)/POBLA!$B$19*100000</f>
        <v>111.93560063580995</v>
      </c>
      <c r="H7628" s="256">
        <f t="shared" si="1092"/>
        <v>1.3388235294117647</v>
      </c>
      <c r="I7628" s="297">
        <f t="shared" si="1096"/>
        <v>149.86201591006085</v>
      </c>
      <c r="J7628" s="297">
        <f t="shared" si="1097"/>
        <v>44.857142857142854</v>
      </c>
      <c r="K7628" s="297">
        <f>J7628/POBLA!$B$19*100000</f>
        <v>8.8244485562752502</v>
      </c>
      <c r="L7628" s="549">
        <f t="shared" si="1093"/>
        <v>-0.23137254901960791</v>
      </c>
      <c r="M7628" s="401">
        <f>SUM(C7628,C7604,C7580,C7556,C7532,C7508,C7484)/POBLA!$B$19*100000</f>
        <v>61.771139893926751</v>
      </c>
    </row>
    <row r="7629" spans="1:13" s="360" customFormat="1" x14ac:dyDescent="0.25">
      <c r="A7629" s="361" t="s">
        <v>37</v>
      </c>
      <c r="B7629" s="29">
        <v>44210</v>
      </c>
      <c r="C7629" s="1">
        <v>285</v>
      </c>
      <c r="D7629" s="276">
        <f t="shared" si="1094"/>
        <v>28537</v>
      </c>
      <c r="E7629" s="1">
        <v>3</v>
      </c>
      <c r="F7629" s="39">
        <f t="shared" si="1095"/>
        <v>438</v>
      </c>
      <c r="G7629" s="168">
        <f>SUM(C7629,C7605,C7581,C7557,C7533,C7509,C7485,C7461,C7437,C7413,C7389,C7365,C7341,C7317)/POBLA!$B$20*100000</f>
        <v>1307.636355681464</v>
      </c>
      <c r="H7629" s="256">
        <f t="shared" si="1092"/>
        <v>1.2518324607329843</v>
      </c>
      <c r="I7629" s="297">
        <f t="shared" si="1096"/>
        <v>1636.941636876639</v>
      </c>
      <c r="J7629" s="297">
        <f t="shared" si="1097"/>
        <v>339.57142857142856</v>
      </c>
      <c r="K7629" s="297">
        <f>J7629/POBLA!$B$20*100000</f>
        <v>92.855697480278408</v>
      </c>
      <c r="L7629" s="549">
        <f t="shared" si="1093"/>
        <v>1.1642411642411643E-2</v>
      </c>
      <c r="M7629" s="401">
        <f>SUM(C7629,C7605,C7581,C7557,C7533,C7509,C7485)/POBLA!$B$20*100000</f>
        <v>649.98988236194896</v>
      </c>
    </row>
    <row r="7630" spans="1:13" s="360" customFormat="1" x14ac:dyDescent="0.25">
      <c r="A7630" s="361" t="s">
        <v>22</v>
      </c>
      <c r="B7630" s="29">
        <v>44210</v>
      </c>
      <c r="C7630" s="1">
        <v>1395</v>
      </c>
      <c r="D7630" s="276">
        <f t="shared" si="1094"/>
        <v>191841</v>
      </c>
      <c r="E7630" s="1">
        <v>19</v>
      </c>
      <c r="F7630" s="39">
        <f t="shared" si="1095"/>
        <v>3148</v>
      </c>
      <c r="G7630" s="168">
        <f>SUM(C7630,C7606,C7582,C7558,C7534,C7510,C7486,C7462,C7438,C7414,C7390,C7366,C7342,C7318)/POBLA!$B$21*100000</f>
        <v>437.3351792689665</v>
      </c>
      <c r="H7630" s="256">
        <f t="shared" si="1092"/>
        <v>1.2698907956318253</v>
      </c>
      <c r="I7630" s="297">
        <f t="shared" si="1096"/>
        <v>555.3679187596548</v>
      </c>
      <c r="J7630" s="297">
        <f t="shared" si="1097"/>
        <v>1221.4285714285713</v>
      </c>
      <c r="K7630" s="297">
        <f>J7630/POBLA!$B$21*100000</f>
        <v>34.538580321346949</v>
      </c>
      <c r="L7630" s="549">
        <f t="shared" si="1093"/>
        <v>-0.23626373626373631</v>
      </c>
      <c r="M7630" s="401">
        <f>SUM(C7630,C7606,C7582,C7558,C7534,C7510,C7486)/POBLA!$B$21*100000</f>
        <v>241.77006224942866</v>
      </c>
    </row>
    <row r="7631" spans="1:13" s="360" customFormat="1" x14ac:dyDescent="0.25">
      <c r="A7631" s="361" t="s">
        <v>38</v>
      </c>
      <c r="B7631" s="29">
        <v>44210</v>
      </c>
      <c r="C7631" s="1">
        <v>198</v>
      </c>
      <c r="D7631" s="276">
        <f t="shared" si="1094"/>
        <v>19250</v>
      </c>
      <c r="E7631" s="1"/>
      <c r="F7631" s="39">
        <f t="shared" si="1095"/>
        <v>229</v>
      </c>
      <c r="G7631" s="168">
        <f>SUM(C7631,C7607,C7583,C7559,C7535,C7511,C7487,C7463,C7439,C7415,C7391,C7367,C7343,C7319)/POBLA!$B$22*100000</f>
        <v>186.03453087099936</v>
      </c>
      <c r="H7631" s="256">
        <f t="shared" si="1092"/>
        <v>2.4627875507442489</v>
      </c>
      <c r="I7631" s="297">
        <f t="shared" si="1096"/>
        <v>458.16352663764388</v>
      </c>
      <c r="J7631" s="297">
        <f t="shared" si="1097"/>
        <v>150.14285714285714</v>
      </c>
      <c r="K7631" s="297">
        <f>J7631/POBLA!$B$22*100000</f>
        <v>15.347118677034564</v>
      </c>
      <c r="L7631" s="549">
        <f t="shared" si="1093"/>
        <v>-0.36671001300390116</v>
      </c>
      <c r="M7631" s="401">
        <f>SUM(C7631,C7607,C7583,C7559,C7535,C7511,C7487)/POBLA!$B$22*100000</f>
        <v>107.42983073924195</v>
      </c>
    </row>
    <row r="7632" spans="1:13" s="360" customFormat="1" x14ac:dyDescent="0.25">
      <c r="A7632" s="361" t="s">
        <v>39</v>
      </c>
      <c r="B7632" s="29">
        <v>44210</v>
      </c>
      <c r="C7632" s="1">
        <v>72</v>
      </c>
      <c r="D7632" s="276">
        <f t="shared" si="1094"/>
        <v>20570</v>
      </c>
      <c r="E7632" s="1">
        <v>3</v>
      </c>
      <c r="F7632" s="39">
        <f t="shared" si="1095"/>
        <v>287</v>
      </c>
      <c r="G7632" s="168">
        <f>SUM(C7632,C7608,C7584,C7560,C7536,C7512,C7488,C7464,C7440,C7416,C7392,C7368,C7344,C7320)/POBLA!$B$23*100000</f>
        <v>809.25182378555667</v>
      </c>
      <c r="H7632" s="256">
        <f t="shared" si="1092"/>
        <v>1.1587044534412956</v>
      </c>
      <c r="I7632" s="297">
        <f t="shared" si="1096"/>
        <v>937.68369217581505</v>
      </c>
      <c r="J7632" s="297">
        <f t="shared" si="1097"/>
        <v>93.857142857142861</v>
      </c>
      <c r="K7632" s="297">
        <f>J7632/POBLA!$B$23*100000</f>
        <v>53.077612880813696</v>
      </c>
      <c r="L7632" s="549">
        <f t="shared" si="1093"/>
        <v>0.15116279069767447</v>
      </c>
      <c r="M7632" s="401">
        <f>SUM(C7632,C7608,C7584,C7560,C7536,C7512,C7488)/POBLA!$B$23*100000</f>
        <v>371.54329016569585</v>
      </c>
    </row>
    <row r="7633" spans="1:13" s="360" customFormat="1" ht="15.75" thickBot="1" x14ac:dyDescent="0.3">
      <c r="A7633" s="361" t="s">
        <v>40</v>
      </c>
      <c r="B7633" s="29">
        <v>44210</v>
      </c>
      <c r="C7633" s="1">
        <v>231</v>
      </c>
      <c r="D7633" s="276">
        <f t="shared" si="1094"/>
        <v>73846</v>
      </c>
      <c r="E7633" s="1"/>
      <c r="F7633" s="39">
        <f t="shared" si="1095"/>
        <v>1399</v>
      </c>
      <c r="G7633" s="177">
        <f>SUM(C7633,C7609,C7585,C7561,C7537,C7513,C7489,C7465,C7441,C7417,C7393,C7369,C7345,C7321)/POBLA!$B$24*100000</f>
        <v>161.44869519241664</v>
      </c>
      <c r="H7633" s="402">
        <f t="shared" si="1092"/>
        <v>1.5066079295154184</v>
      </c>
      <c r="I7633" s="403">
        <f t="shared" si="1096"/>
        <v>243.23988438681272</v>
      </c>
      <c r="J7633" s="403">
        <f t="shared" si="1097"/>
        <v>216.28571428571428</v>
      </c>
      <c r="K7633" s="403">
        <f>J7633/POBLA!$B$24*100000</f>
        <v>12.762809342174121</v>
      </c>
      <c r="L7633" s="550">
        <f t="shared" si="1093"/>
        <v>-0.23895253682487727</v>
      </c>
      <c r="M7633" s="405">
        <f>SUM(C7633,C7609,C7585,C7561,C7537,C7513,C7489)/POBLA!$B$24*100000</f>
        <v>89.339665395218844</v>
      </c>
    </row>
    <row r="7634" spans="1:13" s="360" customFormat="1" x14ac:dyDescent="0.25">
      <c r="A7634" s="361" t="s">
        <v>16</v>
      </c>
      <c r="B7634" s="29">
        <v>44211</v>
      </c>
      <c r="C7634" s="1">
        <v>4742</v>
      </c>
      <c r="D7634" s="276">
        <f>C7634+D7610</f>
        <v>745329</v>
      </c>
      <c r="E7634" s="1">
        <v>41</v>
      </c>
      <c r="F7634" s="39">
        <f>E7634+F7610</f>
        <v>23222</v>
      </c>
      <c r="G7634" s="175">
        <f>SUM(C7634,C7610,C7586,C7562,C7538,C7514,C7490,C7466,C7442,C7418,C7394,C7370,C7346,C7322)/POBLA!$B$1*100000</f>
        <v>336.79679104113012</v>
      </c>
      <c r="H7634" s="300">
        <f t="shared" ref="H7634:H7657" si="1098">SUM(C7634,C7610,C7586,C7562,C7538,C7514,C7490,C7466,C7442,C7418,C7394,C7370,C7346,C7322)/SUM(C7298,C7274,C7250,C7226,C7202,C7178,C7154,C7130,C7106,C7082,C7058,C7034,C7010,C6986)</f>
        <v>1.5724780409901518</v>
      </c>
      <c r="I7634" s="301">
        <f>G7634*H7634</f>
        <v>529.60555818812577</v>
      </c>
      <c r="J7634" s="301">
        <f>AVERAGE(C7634,C7610,C7586,C7562,C7538,C7514,C7490)</f>
        <v>4437</v>
      </c>
      <c r="K7634" s="301">
        <f>J7634/POBLA!$B$1*100000</f>
        <v>25.294819761154649</v>
      </c>
      <c r="L7634" s="548">
        <f t="shared" ref="L7634:L7657" si="1099">1-SUM(C7634,C7610,C7586,C7562,C7538,C7514,C7490)/SUM(C7466,C7442,C7418,C7394,C7370,C7346,C7322)</f>
        <v>-0.1084978050608516</v>
      </c>
      <c r="M7634" s="400">
        <f>SUM(C7634,C7610,C7586,C7562,C7538,C7514,C7490)/POBLA!$B$1*100000</f>
        <v>177.06373832808254</v>
      </c>
    </row>
    <row r="7635" spans="1:13" s="360" customFormat="1" x14ac:dyDescent="0.25">
      <c r="A7635" s="361" t="s">
        <v>43</v>
      </c>
      <c r="B7635" s="29">
        <v>44211</v>
      </c>
      <c r="C7635" s="1">
        <v>1306</v>
      </c>
      <c r="D7635" s="276">
        <f t="shared" si="1094"/>
        <v>192387</v>
      </c>
      <c r="E7635" s="1">
        <v>6</v>
      </c>
      <c r="F7635" s="39">
        <f t="shared" si="1095"/>
        <v>5647</v>
      </c>
      <c r="G7635" s="168">
        <f>SUM(C7635,C7611,C7587,C7563,C7539,C7515,C7491,C7467,C7443,C7419,C7395,C7371,C7347,C7323)/POBLA!$B$2*100000</f>
        <v>559.68729821312331</v>
      </c>
      <c r="H7635" s="256">
        <f t="shared" si="1098"/>
        <v>1.7250225473494338</v>
      </c>
      <c r="I7635" s="297">
        <f t="shared" ref="I7635:I7657" si="1100">G7635*H7635</f>
        <v>965.47320888272418</v>
      </c>
      <c r="J7635" s="297">
        <f t="shared" ref="J7635:J7657" si="1101">AVERAGE(C7635,C7611,C7587,C7563,C7539,C7515,C7491)</f>
        <v>1278.1428571428571</v>
      </c>
      <c r="K7635" s="297">
        <f>J7635/POBLA!$B$2*100000</f>
        <v>41.556891044770992</v>
      </c>
      <c r="L7635" s="549">
        <f t="shared" si="1099"/>
        <v>-8.2254747792427807E-2</v>
      </c>
      <c r="M7635" s="401">
        <f>SUM(C7635,C7611,C7587,C7563,C7539,C7515,C7491)/POBLA!$B$2*100000</f>
        <v>290.89823731339692</v>
      </c>
    </row>
    <row r="7636" spans="1:13" s="360" customFormat="1" x14ac:dyDescent="0.25">
      <c r="A7636" s="361" t="s">
        <v>28</v>
      </c>
      <c r="B7636" s="29">
        <v>44211</v>
      </c>
      <c r="C7636" s="1">
        <v>395</v>
      </c>
      <c r="D7636" s="276">
        <f t="shared" si="1094"/>
        <v>3829</v>
      </c>
      <c r="E7636" s="1"/>
      <c r="F7636" s="39">
        <f t="shared" si="1095"/>
        <v>17</v>
      </c>
      <c r="G7636" s="168">
        <f>SUM(C7636,C7612,C7588,C7564,C7540,C7516,C7492,C7468,C7444,C7420,C7396,C7372,C7348,C7324)/POBLA!$B$3*100000</f>
        <v>255.63381298773822</v>
      </c>
      <c r="H7636" s="256">
        <f t="shared" si="1098"/>
        <v>2.1585365853658538</v>
      </c>
      <c r="I7636" s="297">
        <f t="shared" si="1100"/>
        <v>551.79493779060567</v>
      </c>
      <c r="J7636" s="297">
        <f t="shared" si="1101"/>
        <v>110.85714285714286</v>
      </c>
      <c r="K7636" s="297">
        <f>J7636/POBLA!$B$3*100000</f>
        <v>26.684401248114728</v>
      </c>
      <c r="L7636" s="549">
        <f t="shared" si="1099"/>
        <v>-1.7132867132867133</v>
      </c>
      <c r="M7636" s="401">
        <f>SUM(C7636,C7612,C7588,C7564,C7540,C7516,C7492)/POBLA!$B$3*100000</f>
        <v>186.79080873680309</v>
      </c>
    </row>
    <row r="7637" spans="1:13" s="360" customFormat="1" x14ac:dyDescent="0.25">
      <c r="A7637" s="361" t="s">
        <v>15</v>
      </c>
      <c r="B7637" s="29">
        <v>44211</v>
      </c>
      <c r="C7637" s="1">
        <v>226</v>
      </c>
      <c r="D7637" s="276">
        <f t="shared" si="1094"/>
        <v>28168</v>
      </c>
      <c r="E7637" s="1">
        <v>3</v>
      </c>
      <c r="F7637" s="39">
        <f t="shared" si="1095"/>
        <v>755</v>
      </c>
      <c r="G7637" s="168">
        <f>SUM(C7637,C7613,C7589,C7565,C7541,C7517,C7493,C7469,C7445,C7421,C7397,C7373,C7349,C7325)/POBLA!$B$4*100000</f>
        <v>272.71798967407506</v>
      </c>
      <c r="H7637" s="256">
        <f t="shared" si="1098"/>
        <v>1.4370078740157479</v>
      </c>
      <c r="I7637" s="297">
        <f t="shared" si="1100"/>
        <v>391.89789854739126</v>
      </c>
      <c r="J7637" s="297">
        <f t="shared" si="1101"/>
        <v>236.42857142857142</v>
      </c>
      <c r="K7637" s="297">
        <f>J7637/POBLA!$B$4*100000</f>
        <v>19.628104931967567</v>
      </c>
      <c r="L7637" s="549">
        <f t="shared" si="1099"/>
        <v>-1.5337423312883347E-2</v>
      </c>
      <c r="M7637" s="401">
        <f>SUM(C7637,C7613,C7589,C7565,C7541,C7517,C7493)/POBLA!$B$4*100000</f>
        <v>137.39673452377295</v>
      </c>
    </row>
    <row r="7638" spans="1:13" s="360" customFormat="1" x14ac:dyDescent="0.25">
      <c r="A7638" s="361" t="s">
        <v>29</v>
      </c>
      <c r="B7638" s="29">
        <v>44211</v>
      </c>
      <c r="C7638" s="1">
        <v>408</v>
      </c>
      <c r="D7638" s="276">
        <f t="shared" si="1094"/>
        <v>37906</v>
      </c>
      <c r="E7638" s="1"/>
      <c r="F7638" s="39">
        <f t="shared" si="1095"/>
        <v>559</v>
      </c>
      <c r="G7638" s="168">
        <f>SUM(C7638,C7614,C7590,C7566,C7542,C7518,C7494,C7470,C7446,C7422,C7398,C7374,C7350,C7326)/POBLA!$B$5*100000</f>
        <v>946.37427826440955</v>
      </c>
      <c r="H7638" s="256">
        <f t="shared" si="1098"/>
        <v>1.3451205510907003</v>
      </c>
      <c r="I7638" s="297">
        <f t="shared" si="1100"/>
        <v>1272.9874907170863</v>
      </c>
      <c r="J7638" s="297">
        <f t="shared" si="1101"/>
        <v>444.28571428571428</v>
      </c>
      <c r="K7638" s="297">
        <f>J7638/POBLA!$B$5*100000</f>
        <v>71.77544762723295</v>
      </c>
      <c r="L7638" s="549">
        <f t="shared" si="1099"/>
        <v>-0.13173216885007277</v>
      </c>
      <c r="M7638" s="401">
        <f>SUM(C7638,C7614,C7590,C7566,C7542,C7518,C7494)/POBLA!$B$5*100000</f>
        <v>502.42813339063053</v>
      </c>
    </row>
    <row r="7639" spans="1:13" s="360" customFormat="1" x14ac:dyDescent="0.25">
      <c r="A7639" s="361" t="s">
        <v>20</v>
      </c>
      <c r="B7639" s="29">
        <v>44211</v>
      </c>
      <c r="C7639" s="1">
        <v>649</v>
      </c>
      <c r="D7639" s="276">
        <f t="shared" si="1094"/>
        <v>136868</v>
      </c>
      <c r="E7639" s="1"/>
      <c r="F7639" s="39">
        <f t="shared" si="1095"/>
        <v>2546</v>
      </c>
      <c r="G7639" s="168">
        <f>SUM(C7639,C7615,C7591,C7567,C7543,C7519,C7495,C7471,C7447,C7423,C7399,C7375,C7351,C7327)/POBLA!$B$6*100000</f>
        <v>796.48394317992222</v>
      </c>
      <c r="H7639" s="256">
        <f t="shared" si="1098"/>
        <v>1.522080136402387</v>
      </c>
      <c r="I7639" s="297">
        <f t="shared" si="1100"/>
        <v>1212.3123888776072</v>
      </c>
      <c r="J7639" s="297">
        <f t="shared" si="1101"/>
        <v>631.14285714285711</v>
      </c>
      <c r="K7639" s="297">
        <f>J7639/POBLA!$B$6*100000</f>
        <v>56.311767846643342</v>
      </c>
      <c r="L7639" s="549">
        <f t="shared" si="1099"/>
        <v>2.0181858505211814E-2</v>
      </c>
      <c r="M7639" s="401">
        <f>SUM(C7639,C7615,C7591,C7567,C7543,C7519,C7495)/POBLA!$B$6*100000</f>
        <v>394.18237492650343</v>
      </c>
    </row>
    <row r="7640" spans="1:13" s="360" customFormat="1" x14ac:dyDescent="0.25">
      <c r="A7640" s="361" t="s">
        <v>30</v>
      </c>
      <c r="B7640" s="29">
        <v>44211</v>
      </c>
      <c r="C7640" s="1">
        <v>235</v>
      </c>
      <c r="D7640" s="276">
        <f t="shared" si="1094"/>
        <v>15227</v>
      </c>
      <c r="E7640" s="1"/>
      <c r="F7640" s="39">
        <f t="shared" si="1095"/>
        <v>181</v>
      </c>
      <c r="G7640" s="168">
        <f>SUM(C7640,C7616,C7592,C7568,C7544,C7520,C7496,C7472,C7448,C7424,C7400,C7376,C7352,C7328)/POBLA!$B$7*100000</f>
        <v>85.415309337978158</v>
      </c>
      <c r="H7640" s="256">
        <f t="shared" si="1098"/>
        <v>1.7696969696969698</v>
      </c>
      <c r="I7640" s="297">
        <f t="shared" si="1100"/>
        <v>151.15921410114922</v>
      </c>
      <c r="J7640" s="297">
        <f t="shared" si="1101"/>
        <v>268.42857142857144</v>
      </c>
      <c r="K7640" s="297">
        <f>J7640/POBLA!$B$7*100000</f>
        <v>7.1382034444965745</v>
      </c>
      <c r="L7640" s="549">
        <f t="shared" si="1099"/>
        <v>-0.40960240060014996</v>
      </c>
      <c r="M7640" s="401">
        <f>SUM(C7640,C7616,C7592,C7568,C7544,C7520,C7496)/POBLA!$B$7*100000</f>
        <v>49.967424111476021</v>
      </c>
    </row>
    <row r="7641" spans="1:13" x14ac:dyDescent="0.25">
      <c r="A7641" s="361" t="s">
        <v>31</v>
      </c>
      <c r="B7641" s="29">
        <v>44211</v>
      </c>
      <c r="C7641" s="1">
        <v>537</v>
      </c>
      <c r="D7641" s="276">
        <f t="shared" si="1094"/>
        <v>35862</v>
      </c>
      <c r="E7641" s="1">
        <v>1</v>
      </c>
      <c r="F7641" s="39">
        <f t="shared" si="1095"/>
        <v>627</v>
      </c>
      <c r="G7641" s="168">
        <f>SUM(C7641,C7617,C7593,C7569,C7545,C7521,C7497,C7473,C7449,C7425,C7401,C7377,C7353,C7329)/POBLA!$B$8*100000</f>
        <v>440.8493456886593</v>
      </c>
      <c r="H7641" s="256">
        <f t="shared" si="1098"/>
        <v>1.9372225745085605</v>
      </c>
      <c r="I7641" s="297">
        <f t="shared" si="1100"/>
        <v>854.02330442539892</v>
      </c>
      <c r="J7641" s="297">
        <f t="shared" si="1101"/>
        <v>455.28571428571428</v>
      </c>
      <c r="K7641" s="297">
        <f>J7641/POBLA!$B$8*100000</f>
        <v>32.849821480237487</v>
      </c>
      <c r="L7641" s="549">
        <f t="shared" si="1099"/>
        <v>-9.0318166267533417E-2</v>
      </c>
      <c r="M7641" s="401">
        <f>SUM(C7641,C7617,C7593,C7569,C7545,C7521,C7497)/POBLA!$B$8*100000</f>
        <v>229.94875036166243</v>
      </c>
    </row>
    <row r="7642" spans="1:13" s="360" customFormat="1" x14ac:dyDescent="0.25">
      <c r="A7642" s="361" t="s">
        <v>41</v>
      </c>
      <c r="B7642" s="29">
        <v>44211</v>
      </c>
      <c r="C7642" s="1">
        <v>58</v>
      </c>
      <c r="D7642" s="276">
        <f t="shared" si="1094"/>
        <v>558</v>
      </c>
      <c r="E7642" s="1">
        <v>1</v>
      </c>
      <c r="F7642" s="39">
        <f t="shared" si="1095"/>
        <v>4</v>
      </c>
      <c r="G7642" s="168">
        <f>SUM(C7642,C7618,C7594,C7570,C7546,C7522,C7498,C7474,C7450,C7426,C7402,C7378,C7354,C7330)/POBLA!$B$9*100000</f>
        <v>56.015188543158963</v>
      </c>
      <c r="H7642" s="256">
        <f t="shared" si="1098"/>
        <v>18.833333333333332</v>
      </c>
      <c r="I7642" s="297">
        <f t="shared" si="1100"/>
        <v>1054.952717562827</v>
      </c>
      <c r="J7642" s="297">
        <f t="shared" si="1101"/>
        <v>45.285714285714285</v>
      </c>
      <c r="K7642" s="297">
        <f>J7642/POBLA!$B$9*100000</f>
        <v>7.4828549381295364</v>
      </c>
      <c r="L7642" s="549">
        <f t="shared" si="1099"/>
        <v>-13.409090909090908</v>
      </c>
      <c r="M7642" s="401">
        <f>SUM(C7642,C7618,C7594,C7570,C7546,C7522,C7498)/POBLA!$B$9*100000</f>
        <v>52.379984566906757</v>
      </c>
    </row>
    <row r="7643" spans="1:13" s="360" customFormat="1" x14ac:dyDescent="0.25">
      <c r="A7643" s="361" t="s">
        <v>32</v>
      </c>
      <c r="B7643" s="29">
        <v>44211</v>
      </c>
      <c r="C7643" s="1">
        <v>21</v>
      </c>
      <c r="D7643" s="276">
        <f t="shared" si="1094"/>
        <v>18780</v>
      </c>
      <c r="E7643" s="1">
        <v>1</v>
      </c>
      <c r="F7643" s="39">
        <f t="shared" si="1095"/>
        <v>861</v>
      </c>
      <c r="G7643" s="168">
        <f>SUM(C7643,C7619,C7595,C7571,C7547,C7523,C7499,C7475,C7451,C7427,C7403,C7379,C7355,C7331)/POBLA!$B$10*100000</f>
        <v>28.149610640293378</v>
      </c>
      <c r="H7643" s="256">
        <f t="shared" si="1098"/>
        <v>2.552941176470588</v>
      </c>
      <c r="I7643" s="297">
        <f t="shared" si="1100"/>
        <v>71.864300105219556</v>
      </c>
      <c r="J7643" s="297">
        <f t="shared" si="1101"/>
        <v>17.428571428571427</v>
      </c>
      <c r="K7643" s="297">
        <f>J7643/POBLA!$B$10*100000</f>
        <v>2.2608640540591125</v>
      </c>
      <c r="L7643" s="549">
        <f t="shared" si="1099"/>
        <v>-0.28421052631578947</v>
      </c>
      <c r="M7643" s="401">
        <f>SUM(C7643,C7619,C7595,C7571,C7547,C7523,C7499)/POBLA!$B$10*100000</f>
        <v>15.826048378413788</v>
      </c>
    </row>
    <row r="7644" spans="1:13" s="360" customFormat="1" x14ac:dyDescent="0.25">
      <c r="A7644" s="361" t="s">
        <v>33</v>
      </c>
      <c r="B7644" s="29">
        <v>44211</v>
      </c>
      <c r="C7644" s="1">
        <v>195</v>
      </c>
      <c r="D7644" s="276">
        <f t="shared" si="1094"/>
        <v>14734</v>
      </c>
      <c r="E7644" s="1">
        <v>10</v>
      </c>
      <c r="F7644" s="39">
        <f t="shared" si="1095"/>
        <v>183</v>
      </c>
      <c r="G7644" s="168">
        <f>SUM(C7644,C7620,C7596,C7572,C7548,C7524,C7500,C7476,C7452,C7428,C7404,C7380,C7356,C7332)/POBLA!$B$11*100000</f>
        <v>1020.2885935250594</v>
      </c>
      <c r="H7644" s="256">
        <f t="shared" si="1098"/>
        <v>1.1503617489776659</v>
      </c>
      <c r="I7644" s="297">
        <f t="shared" si="1100"/>
        <v>1173.70097090945</v>
      </c>
      <c r="J7644" s="297">
        <f t="shared" si="1101"/>
        <v>235.85714285714286</v>
      </c>
      <c r="K7644" s="297">
        <f>J7644/POBLA!$B$11*100000</f>
        <v>65.803213715765196</v>
      </c>
      <c r="L7644" s="549">
        <f t="shared" si="1099"/>
        <v>0.17696909272183448</v>
      </c>
      <c r="M7644" s="401">
        <f>SUM(C7644,C7620,C7596,C7572,C7548,C7524,C7500)/POBLA!$B$11*100000</f>
        <v>460.62249601035631</v>
      </c>
    </row>
    <row r="7645" spans="1:13" s="360" customFormat="1" x14ac:dyDescent="0.25">
      <c r="A7645" s="361" t="s">
        <v>21</v>
      </c>
      <c r="B7645" s="29">
        <v>44211</v>
      </c>
      <c r="C7645" s="1">
        <v>13</v>
      </c>
      <c r="D7645" s="276">
        <f t="shared" si="1094"/>
        <v>9272</v>
      </c>
      <c r="E7645" s="1"/>
      <c r="F7645" s="39">
        <f t="shared" si="1095"/>
        <v>401</v>
      </c>
      <c r="G7645" s="168">
        <f>SUM(C7645,C7621,C7597,C7573,C7549,C7525,C7501,C7477,C7453,C7429,C7405,C7381,C7357,C7333)/POBLA!$B$12*100000</f>
        <v>40.657533968099081</v>
      </c>
      <c r="H7645" s="256">
        <f t="shared" si="1098"/>
        <v>1.3008130081300813</v>
      </c>
      <c r="I7645" s="297">
        <f t="shared" si="1100"/>
        <v>52.887849064193922</v>
      </c>
      <c r="J7645" s="297">
        <f t="shared" si="1101"/>
        <v>12.571428571428571</v>
      </c>
      <c r="K7645" s="297">
        <f>J7645/POBLA!$B$12*100000</f>
        <v>3.1945205260649279</v>
      </c>
      <c r="L7645" s="549">
        <f t="shared" si="1099"/>
        <v>-0.22222222222222232</v>
      </c>
      <c r="M7645" s="401">
        <f>SUM(C7645,C7621,C7597,C7573,C7549,C7525,C7501)/POBLA!$B$12*100000</f>
        <v>22.361643682454496</v>
      </c>
    </row>
    <row r="7646" spans="1:13" s="360" customFormat="1" x14ac:dyDescent="0.25">
      <c r="A7646" s="361" t="s">
        <v>17</v>
      </c>
      <c r="B7646" s="29">
        <v>44211</v>
      </c>
      <c r="C7646" s="1">
        <v>135</v>
      </c>
      <c r="D7646" s="276">
        <f t="shared" si="1094"/>
        <v>62038</v>
      </c>
      <c r="E7646" s="1">
        <v>4</v>
      </c>
      <c r="F7646" s="39">
        <f t="shared" si="1095"/>
        <v>1278</v>
      </c>
      <c r="G7646" s="168">
        <f>SUM(C7646,C7622,C7598,C7574,C7550,C7526,C7502,C7478,C7454,C7430,C7406,C7382,C7358,C7334)/POBLA!$B$13*100000</f>
        <v>92.949036796765171</v>
      </c>
      <c r="H7646" s="256">
        <f t="shared" si="1098"/>
        <v>1.405775075987842</v>
      </c>
      <c r="I7646" s="297">
        <f t="shared" si="1100"/>
        <v>130.66543926596927</v>
      </c>
      <c r="J7646" s="297">
        <f t="shared" si="1101"/>
        <v>138.42857142857142</v>
      </c>
      <c r="K7646" s="297">
        <f>J7646/POBLA!$B$13*100000</f>
        <v>6.9550283132096862</v>
      </c>
      <c r="L7646" s="549">
        <f t="shared" si="1099"/>
        <v>-9.9886492622020429E-2</v>
      </c>
      <c r="M7646" s="401">
        <f>SUM(C7646,C7622,C7598,C7574,C7550,C7526,C7502)/POBLA!$B$13*100000</f>
        <v>48.685198192467816</v>
      </c>
    </row>
    <row r="7647" spans="1:13" s="360" customFormat="1" x14ac:dyDescent="0.25">
      <c r="A7647" s="361" t="s">
        <v>23</v>
      </c>
      <c r="B7647" s="29">
        <v>44211</v>
      </c>
      <c r="C7647" s="1">
        <v>104</v>
      </c>
      <c r="D7647" s="276">
        <f t="shared" si="1094"/>
        <v>1866</v>
      </c>
      <c r="E7647" s="1">
        <v>3</v>
      </c>
      <c r="F7647" s="39">
        <f t="shared" si="1095"/>
        <v>36</v>
      </c>
      <c r="G7647" s="168">
        <f>SUM(C7647,C7623,C7599,C7575,C7551,C7527,C7503,C7479,C7455,C7431,C7407,C7383,C7359,C7335)/POBLA!$B$14*100000</f>
        <v>62.15838654588066</v>
      </c>
      <c r="H7647" s="256">
        <f t="shared" si="1098"/>
        <v>3.0153846153846153</v>
      </c>
      <c r="I7647" s="297">
        <f t="shared" si="1100"/>
        <v>187.43144250757859</v>
      </c>
      <c r="J7647" s="297">
        <f t="shared" si="1101"/>
        <v>98.142857142857139</v>
      </c>
      <c r="K7647" s="297">
        <f>J7647/POBLA!$B$14*100000</f>
        <v>7.7811245548505852</v>
      </c>
      <c r="L7647" s="549">
        <f t="shared" si="1099"/>
        <v>-6.0824742268041234</v>
      </c>
      <c r="M7647" s="401">
        <f>SUM(C7647,C7623,C7599,C7575,C7551,C7527,C7503)/POBLA!$B$14*100000</f>
        <v>54.467871883954096</v>
      </c>
    </row>
    <row r="7648" spans="1:13" s="360" customFormat="1" x14ac:dyDescent="0.25">
      <c r="A7648" s="361" t="s">
        <v>19</v>
      </c>
      <c r="B7648" s="29">
        <v>44211</v>
      </c>
      <c r="C7648" s="1">
        <v>515</v>
      </c>
      <c r="D7648" s="276">
        <f t="shared" si="1094"/>
        <v>47712</v>
      </c>
      <c r="E7648" s="1">
        <v>1</v>
      </c>
      <c r="F7648" s="39">
        <f t="shared" si="1095"/>
        <v>755</v>
      </c>
      <c r="G7648" s="168">
        <f>SUM(C7648,C7624,C7600,C7576,C7552,C7528,C7504,C7480,C7456,C7432,C7408,C7384,C7360,C7336)/POBLA!$B$15*100000</f>
        <v>973.25982558726128</v>
      </c>
      <c r="H7648" s="256">
        <f t="shared" si="1098"/>
        <v>1.8185143500281373</v>
      </c>
      <c r="I7648" s="297">
        <f t="shared" si="1100"/>
        <v>1769.8869591363168</v>
      </c>
      <c r="J7648" s="297">
        <f t="shared" si="1101"/>
        <v>448.85714285714283</v>
      </c>
      <c r="K7648" s="297">
        <f>J7648/POBLA!$B$15*100000</f>
        <v>67.593164872464683</v>
      </c>
      <c r="L7648" s="549">
        <f t="shared" si="1099"/>
        <v>5.3899427883167705E-2</v>
      </c>
      <c r="M7648" s="401">
        <f>SUM(C7648,C7624,C7600,C7576,C7552,C7528,C7504)/POBLA!$B$15*100000</f>
        <v>473.15215410725284</v>
      </c>
    </row>
    <row r="7649" spans="1:13" s="360" customFormat="1" x14ac:dyDescent="0.25">
      <c r="A7649" s="361" t="s">
        <v>18</v>
      </c>
      <c r="B7649" s="29">
        <v>44211</v>
      </c>
      <c r="C7649" s="1">
        <v>334</v>
      </c>
      <c r="D7649" s="276">
        <f t="shared" si="1094"/>
        <v>43411</v>
      </c>
      <c r="E7649" s="1">
        <v>4</v>
      </c>
      <c r="F7649" s="39">
        <f t="shared" si="1095"/>
        <v>997</v>
      </c>
      <c r="G7649" s="168">
        <f>SUM(C7649,C7625,C7601,C7577,C7553,C7529,C7505,C7481,C7457,C7433,C7409,C7385,C7361,C7337)/POBLA!$B$16*100000</f>
        <v>630.14138387662024</v>
      </c>
      <c r="H7649" s="256">
        <f t="shared" si="1098"/>
        <v>1.4092132814836973</v>
      </c>
      <c r="I7649" s="297">
        <f t="shared" si="1100"/>
        <v>888.00360737145013</v>
      </c>
      <c r="J7649" s="297">
        <f t="shared" si="1101"/>
        <v>337.85714285714283</v>
      </c>
      <c r="K7649" s="297">
        <f>J7649/POBLA!$B$16*100000</f>
        <v>45.191629707620663</v>
      </c>
      <c r="L7649" s="549">
        <f t="shared" si="1099"/>
        <v>-8.0988917306052954E-3</v>
      </c>
      <c r="M7649" s="401">
        <f>SUM(C7649,C7625,C7601,C7577,C7553,C7529,C7505)/POBLA!$B$16*100000</f>
        <v>316.34140795334463</v>
      </c>
    </row>
    <row r="7650" spans="1:13" s="360" customFormat="1" x14ac:dyDescent="0.25">
      <c r="A7650" s="361" t="s">
        <v>34</v>
      </c>
      <c r="B7650" s="29">
        <v>44211</v>
      </c>
      <c r="C7650" s="1">
        <v>59</v>
      </c>
      <c r="D7650" s="276">
        <f t="shared" si="1094"/>
        <v>22979</v>
      </c>
      <c r="E7650" s="1"/>
      <c r="F7650" s="39">
        <f t="shared" si="1095"/>
        <v>1025</v>
      </c>
      <c r="G7650" s="168">
        <f>SUM(C7650,C7626,C7602,C7578,C7554,C7530,C7506,C7482,C7458,C7434,C7410,C7386,C7362,C7338)/POBLA!$B$17*100000</f>
        <v>41.14021582466124</v>
      </c>
      <c r="H7650" s="256">
        <f t="shared" si="1098"/>
        <v>1.0932835820895523</v>
      </c>
      <c r="I7650" s="297">
        <f t="shared" si="1100"/>
        <v>44.977922524722928</v>
      </c>
      <c r="J7650" s="297">
        <f t="shared" si="1101"/>
        <v>51.857142857142854</v>
      </c>
      <c r="K7650" s="297">
        <f>J7650/POBLA!$B$17*100000</f>
        <v>3.640638309203323</v>
      </c>
      <c r="L7650" s="549">
        <f t="shared" si="1099"/>
        <v>-0.62780269058295968</v>
      </c>
      <c r="M7650" s="401">
        <f>SUM(C7650,C7626,C7602,C7578,C7554,C7530,C7506)/POBLA!$B$17*100000</f>
        <v>25.484468164423259</v>
      </c>
    </row>
    <row r="7651" spans="1:13" s="360" customFormat="1" x14ac:dyDescent="0.25">
      <c r="A7651" s="361" t="s">
        <v>35</v>
      </c>
      <c r="B7651" s="29">
        <v>44211</v>
      </c>
      <c r="C7651" s="1">
        <v>111</v>
      </c>
      <c r="D7651" s="276">
        <f t="shared" si="1094"/>
        <v>13028</v>
      </c>
      <c r="E7651" s="1">
        <v>1</v>
      </c>
      <c r="F7651" s="39">
        <f t="shared" si="1095"/>
        <v>214</v>
      </c>
      <c r="G7651" s="168">
        <f>SUM(C7651,C7627,C7603,C7579,C7555,C7531,C7507,C7483,C7459,C7435,C7411,C7387,C7363,C7339)/POBLA!$B$18*100000</f>
        <v>187.78393199328738</v>
      </c>
      <c r="H7651" s="256">
        <f t="shared" si="1098"/>
        <v>1.125</v>
      </c>
      <c r="I7651" s="297">
        <f t="shared" si="1100"/>
        <v>211.25692349244829</v>
      </c>
      <c r="J7651" s="297">
        <f t="shared" si="1101"/>
        <v>106.85714285714286</v>
      </c>
      <c r="K7651" s="297">
        <f>J7651/POBLA!$B$18*100000</f>
        <v>13.678292056770765</v>
      </c>
      <c r="L7651" s="549">
        <f t="shared" si="1099"/>
        <v>-4.0333796940194677E-2</v>
      </c>
      <c r="M7651" s="401">
        <f>SUM(C7651,C7627,C7603,C7579,C7555,C7531,C7507)/POBLA!$B$18*100000</f>
        <v>95.748044397395347</v>
      </c>
    </row>
    <row r="7652" spans="1:13" s="360" customFormat="1" x14ac:dyDescent="0.25">
      <c r="A7652" s="361" t="s">
        <v>36</v>
      </c>
      <c r="B7652" s="29">
        <v>44211</v>
      </c>
      <c r="C7652" s="1">
        <v>33</v>
      </c>
      <c r="D7652" s="276">
        <f t="shared" si="1094"/>
        <v>16793</v>
      </c>
      <c r="E7652" s="1">
        <v>1</v>
      </c>
      <c r="F7652" s="39">
        <f t="shared" si="1095"/>
        <v>328</v>
      </c>
      <c r="G7652" s="168">
        <f>SUM(C7652,C7628,C7604,C7580,C7556,C7532,C7508,C7484,C7460,C7436,C7412,C7388,C7364,C7340)/POBLA!$B$19*100000</f>
        <v>116.85368502226908</v>
      </c>
      <c r="H7652" s="256">
        <f t="shared" si="1098"/>
        <v>1.6141304347826086</v>
      </c>
      <c r="I7652" s="297">
        <f t="shared" si="1100"/>
        <v>188.6170894109452</v>
      </c>
      <c r="J7652" s="297">
        <f t="shared" si="1101"/>
        <v>39</v>
      </c>
      <c r="K7652" s="297">
        <f>J7652/POBLA!$B$19*100000</f>
        <v>7.6722116428762535</v>
      </c>
      <c r="L7652" s="549">
        <f t="shared" si="1099"/>
        <v>0.14953271028037385</v>
      </c>
      <c r="M7652" s="401">
        <f>SUM(C7652,C7628,C7604,C7580,C7556,C7532,C7508)/POBLA!$B$19*100000</f>
        <v>53.705481500133772</v>
      </c>
    </row>
    <row r="7653" spans="1:13" s="360" customFormat="1" x14ac:dyDescent="0.25">
      <c r="A7653" s="361" t="s">
        <v>37</v>
      </c>
      <c r="B7653" s="29">
        <v>44211</v>
      </c>
      <c r="C7653" s="1">
        <v>332</v>
      </c>
      <c r="D7653" s="276">
        <f t="shared" si="1094"/>
        <v>28869</v>
      </c>
      <c r="E7653" s="1">
        <v>10</v>
      </c>
      <c r="F7653" s="39">
        <f t="shared" si="1095"/>
        <v>448</v>
      </c>
      <c r="G7653" s="168">
        <f>SUM(C7653,C7629,C7605,C7581,C7557,C7533,C7509,C7485,C7461,C7437,C7413,C7389,C7365,C7341)/POBLA!$B$20*100000</f>
        <v>1361.7793917385384</v>
      </c>
      <c r="H7653" s="256">
        <f t="shared" si="1098"/>
        <v>1.3696369636963697</v>
      </c>
      <c r="I7653" s="297">
        <f t="shared" si="1100"/>
        <v>1865.1433913250607</v>
      </c>
      <c r="J7653" s="297">
        <f t="shared" si="1101"/>
        <v>327.85714285714283</v>
      </c>
      <c r="K7653" s="297">
        <f>J7653/POBLA!$B$20*100000</f>
        <v>89.652429834766068</v>
      </c>
      <c r="L7653" s="549">
        <f t="shared" si="1099"/>
        <v>0.14525139664804465</v>
      </c>
      <c r="M7653" s="401">
        <f>SUM(C7653,C7629,C7605,C7581,C7557,C7533,C7509)/POBLA!$B$20*100000</f>
        <v>627.5670088433626</v>
      </c>
    </row>
    <row r="7654" spans="1:13" s="360" customFormat="1" x14ac:dyDescent="0.25">
      <c r="A7654" s="361" t="s">
        <v>22</v>
      </c>
      <c r="B7654" s="29">
        <v>44211</v>
      </c>
      <c r="C7654" s="1">
        <v>1488</v>
      </c>
      <c r="D7654" s="276">
        <f t="shared" si="1094"/>
        <v>193329</v>
      </c>
      <c r="E7654" s="1">
        <v>6</v>
      </c>
      <c r="F7654" s="39">
        <f t="shared" si="1095"/>
        <v>3154</v>
      </c>
      <c r="G7654" s="168">
        <f>SUM(C7654,C7630,C7606,C7582,C7558,C7534,C7510,C7486,C7462,C7438,C7414,C7390,C7366,C7342)/POBLA!$B$21*100000</f>
        <v>469.45807876783795</v>
      </c>
      <c r="H7654" s="256">
        <f t="shared" si="1098"/>
        <v>1.4489439692791064</v>
      </c>
      <c r="I7654" s="297">
        <f t="shared" si="1100"/>
        <v>680.21845206001456</v>
      </c>
      <c r="J7654" s="297">
        <f t="shared" si="1101"/>
        <v>1230</v>
      </c>
      <c r="K7654" s="297">
        <f>J7654/POBLA!$B$21*100000</f>
        <v>34.78095632360202</v>
      </c>
      <c r="L7654" s="549">
        <f t="shared" si="1099"/>
        <v>-7.7327327327327389E-2</v>
      </c>
      <c r="M7654" s="401">
        <f>SUM(C7654,C7630,C7606,C7582,C7558,C7534,C7510)/POBLA!$B$21*100000</f>
        <v>243.4666942652141</v>
      </c>
    </row>
    <row r="7655" spans="1:13" s="360" customFormat="1" x14ac:dyDescent="0.25">
      <c r="A7655" s="361" t="s">
        <v>38</v>
      </c>
      <c r="B7655" s="29">
        <v>44211</v>
      </c>
      <c r="C7655" s="1">
        <v>92</v>
      </c>
      <c r="D7655" s="276">
        <f t="shared" si="1094"/>
        <v>19342</v>
      </c>
      <c r="E7655" s="1"/>
      <c r="F7655" s="39">
        <f t="shared" si="1095"/>
        <v>229</v>
      </c>
      <c r="G7655" s="168">
        <f>SUM(C7655,C7631,C7607,C7583,C7559,C7535,C7511,C7487,C7463,C7439,C7415,C7391,C7367,C7343)/POBLA!$B$22*100000</f>
        <v>194.51852321291855</v>
      </c>
      <c r="H7655" s="256">
        <f t="shared" si="1098"/>
        <v>2.8276374442793464</v>
      </c>
      <c r="I7655" s="297">
        <f t="shared" si="1100"/>
        <v>550.02785984276977</v>
      </c>
      <c r="J7655" s="297">
        <f t="shared" si="1101"/>
        <v>130.71428571428572</v>
      </c>
      <c r="K7655" s="297">
        <f>J7655/POBLA!$B$22*100000</f>
        <v>13.361192758788416</v>
      </c>
      <c r="L7655" s="549">
        <f t="shared" si="1099"/>
        <v>7.3886639676113308E-2</v>
      </c>
      <c r="M7655" s="401">
        <f>SUM(C7655,C7631,C7607,C7583,C7559,C7535,C7511)/POBLA!$B$22*100000</f>
        <v>93.528349311518909</v>
      </c>
    </row>
    <row r="7656" spans="1:13" s="360" customFormat="1" x14ac:dyDescent="0.25">
      <c r="A7656" s="361" t="s">
        <v>39</v>
      </c>
      <c r="B7656" s="29">
        <v>44211</v>
      </c>
      <c r="C7656" s="1">
        <v>91</v>
      </c>
      <c r="D7656" s="276">
        <f t="shared" si="1094"/>
        <v>20661</v>
      </c>
      <c r="E7656" s="1">
        <v>9</v>
      </c>
      <c r="F7656" s="39">
        <f t="shared" si="1095"/>
        <v>296</v>
      </c>
      <c r="G7656" s="168">
        <f>SUM(C7656,C7632,C7608,C7584,C7560,C7536,C7512,C7488,C7464,C7440,C7416,C7392,C7368,C7344)/POBLA!$B$23*100000</f>
        <v>814.34145789741569</v>
      </c>
      <c r="H7656" s="256">
        <f t="shared" si="1098"/>
        <v>1.1990008326394672</v>
      </c>
      <c r="I7656" s="297">
        <f t="shared" si="1100"/>
        <v>976.39608607183902</v>
      </c>
      <c r="J7656" s="297">
        <f t="shared" si="1101"/>
        <v>88.714285714285708</v>
      </c>
      <c r="K7656" s="297">
        <f>J7656/POBLA!$B$23*100000</f>
        <v>50.169250531180062</v>
      </c>
      <c r="L7656" s="549">
        <f t="shared" si="1099"/>
        <v>0.24175824175824179</v>
      </c>
      <c r="M7656" s="401">
        <f>SUM(C7656,C7632,C7608,C7584,C7560,C7536,C7512)/POBLA!$B$23*100000</f>
        <v>351.18475371826048</v>
      </c>
    </row>
    <row r="7657" spans="1:13" s="360" customFormat="1" ht="15.75" thickBot="1" x14ac:dyDescent="0.3">
      <c r="A7657" s="361" t="s">
        <v>40</v>
      </c>
      <c r="B7657" s="29">
        <v>44211</v>
      </c>
      <c r="C7657" s="1">
        <v>253</v>
      </c>
      <c r="D7657" s="276">
        <f t="shared" si="1094"/>
        <v>74099</v>
      </c>
      <c r="E7657" s="1">
        <v>1</v>
      </c>
      <c r="F7657" s="39">
        <f t="shared" si="1095"/>
        <v>1400</v>
      </c>
      <c r="G7657" s="177">
        <f>SUM(C7657,C7633,C7609,C7585,C7561,C7537,C7513,C7489,C7465,C7441,C7417,C7393,C7369,C7345)/POBLA!$B$24*100000</f>
        <v>174.31266286491183</v>
      </c>
      <c r="H7657" s="402">
        <f t="shared" si="1098"/>
        <v>1.7903030303030303</v>
      </c>
      <c r="I7657" s="403">
        <f t="shared" si="1100"/>
        <v>312.07248854724213</v>
      </c>
      <c r="J7657" s="403">
        <f t="shared" si="1101"/>
        <v>214</v>
      </c>
      <c r="K7657" s="403">
        <f>J7657/POBLA!$B$24*100000</f>
        <v>12.627931568412704</v>
      </c>
      <c r="L7657" s="550">
        <f t="shared" si="1099"/>
        <v>-2.8846153846153744E-2</v>
      </c>
      <c r="M7657" s="405">
        <f>SUM(C7657,C7633,C7609,C7585,C7561,C7537,C7513)/POBLA!$B$24*100000</f>
        <v>88.395520978888939</v>
      </c>
    </row>
    <row r="7658" spans="1:13" s="360" customFormat="1" x14ac:dyDescent="0.25">
      <c r="A7658" s="361" t="s">
        <v>16</v>
      </c>
      <c r="B7658" s="29">
        <v>44212</v>
      </c>
      <c r="C7658" s="1">
        <v>3531</v>
      </c>
      <c r="D7658" s="276">
        <f>C7658+D7634</f>
        <v>748860</v>
      </c>
      <c r="E7658" s="1">
        <v>21</v>
      </c>
      <c r="F7658" s="39">
        <f>E7658+F7634</f>
        <v>23243</v>
      </c>
      <c r="G7658" s="175">
        <f>SUM(C7658,C7634,C7610,C7586,C7562,C7538,C7514,C7490,C7466,C7442,C7418,C7394,C7370,C7346)/POBLA!$B$1*100000</f>
        <v>344.96615699058577</v>
      </c>
      <c r="H7658" s="300">
        <f t="shared" ref="H7658:H7681" si="1102">SUM(C7658,C7634,C7610,C7586,C7562,C7538,C7514,C7490,C7466,C7442,C7418,C7394,C7370,C7346)/SUM(C7322,C7298,C7274,C7250,C7226,C7202,C7178,C7154,C7130,C7106,C7082,C7058,C7034,C7010)</f>
        <v>1.614143192488263</v>
      </c>
      <c r="I7658" s="301">
        <f>G7658*H7658</f>
        <v>556.8247739451914</v>
      </c>
      <c r="J7658" s="301">
        <f>AVERAGE(C7658,C7634,C7610,C7586,C7562,C7538,C7514)</f>
        <v>4314.4285714285716</v>
      </c>
      <c r="K7658" s="301">
        <f>J7658/POBLA!$B$1*100000</f>
        <v>24.59605433551085</v>
      </c>
      <c r="L7658" s="548">
        <f t="shared" ref="L7658:L7681" si="1103">1-SUM(C7658,C7634,C7610,C7586,C7562,C7538,C7514)/SUM(C7490,C7466,C7442,C7418,C7394,C7370,C7346)</f>
        <v>3.5961728802375026E-3</v>
      </c>
      <c r="M7658" s="400">
        <f>SUM(C7658,C7634,C7610,C7586,C7562,C7538,C7514)/POBLA!$B$1*100000</f>
        <v>172.17238034857596</v>
      </c>
    </row>
    <row r="7659" spans="1:13" s="360" customFormat="1" x14ac:dyDescent="0.25">
      <c r="A7659" s="361" t="s">
        <v>43</v>
      </c>
      <c r="B7659" s="29">
        <v>44212</v>
      </c>
      <c r="C7659" s="1">
        <v>1144</v>
      </c>
      <c r="D7659" s="276">
        <f t="shared" si="1094"/>
        <v>193531</v>
      </c>
      <c r="E7659" s="1">
        <v>6</v>
      </c>
      <c r="F7659" s="39">
        <f t="shared" si="1095"/>
        <v>5653</v>
      </c>
      <c r="G7659" s="168">
        <f>SUM(C7659,C7635,C7611,C7587,C7563,C7539,C7515,C7491,C7467,C7443,C7419,C7395,C7371,C7347)/POBLA!$B$2*100000</f>
        <v>580.78855629028828</v>
      </c>
      <c r="H7659" s="256">
        <f t="shared" si="1102"/>
        <v>1.7911360673819312</v>
      </c>
      <c r="I7659" s="297">
        <f t="shared" ref="I7659:I7681" si="1104">G7659*H7659</f>
        <v>1040.2713306942164</v>
      </c>
      <c r="J7659" s="297">
        <f t="shared" ref="J7659:J7681" si="1105">AVERAGE(C7659,C7635,C7611,C7587,C7563,C7539,C7515)</f>
        <v>1248.7142857142858</v>
      </c>
      <c r="K7659" s="297">
        <f>J7659/POBLA!$B$2*100000</f>
        <v>40.600065342834831</v>
      </c>
      <c r="L7659" s="549">
        <f t="shared" si="1103"/>
        <v>4.1767156325367205E-2</v>
      </c>
      <c r="M7659" s="401">
        <f>SUM(C7659,C7635,C7611,C7587,C7563,C7539,C7515)/POBLA!$B$2*100000</f>
        <v>284.2004573998438</v>
      </c>
    </row>
    <row r="7660" spans="1:13" s="360" customFormat="1" x14ac:dyDescent="0.25">
      <c r="A7660" s="361" t="s">
        <v>28</v>
      </c>
      <c r="B7660" s="29">
        <v>44212</v>
      </c>
      <c r="C7660" s="1">
        <v>235</v>
      </c>
      <c r="D7660" s="276">
        <f t="shared" si="1094"/>
        <v>4064</v>
      </c>
      <c r="E7660" s="1"/>
      <c r="F7660" s="39">
        <f t="shared" si="1095"/>
        <v>17</v>
      </c>
      <c r="G7660" s="168">
        <f>SUM(C7660,C7636,C7612,C7588,C7564,C7540,C7516,C7492,C7468,C7444,C7420,C7396,C7372,C7348)/POBLA!$B$3*100000</f>
        <v>299.924417121207</v>
      </c>
      <c r="H7660" s="256">
        <f t="shared" si="1102"/>
        <v>2.4241245136186769</v>
      </c>
      <c r="I7660" s="297">
        <f t="shared" si="1104"/>
        <v>727.05413177631112</v>
      </c>
      <c r="J7660" s="297">
        <f t="shared" si="1105"/>
        <v>134.57142857142858</v>
      </c>
      <c r="K7660" s="297">
        <f>J7660/POBLA!$B$3*100000</f>
        <v>32.392662339850609</v>
      </c>
      <c r="L7660" s="549">
        <f t="shared" si="1103"/>
        <v>-2.0986842105263159</v>
      </c>
      <c r="M7660" s="401">
        <f>SUM(C7660,C7636,C7612,C7588,C7564,C7540,C7516)/POBLA!$B$3*100000</f>
        <v>226.74863637895427</v>
      </c>
    </row>
    <row r="7661" spans="1:13" s="360" customFormat="1" x14ac:dyDescent="0.25">
      <c r="A7661" s="361" t="s">
        <v>15</v>
      </c>
      <c r="B7661" s="29">
        <v>44212</v>
      </c>
      <c r="C7661" s="1">
        <v>170</v>
      </c>
      <c r="D7661" s="276">
        <f t="shared" si="1094"/>
        <v>28338</v>
      </c>
      <c r="E7661" s="1">
        <v>1</v>
      </c>
      <c r="F7661" s="39">
        <f t="shared" si="1095"/>
        <v>756</v>
      </c>
      <c r="G7661" s="168">
        <f>SUM(C7661,C7637,C7613,C7589,C7565,C7541,C7517,C7493,C7469,C7445,C7421,C7397,C7373,C7349)/POBLA!$B$4*100000</f>
        <v>274.21233482297407</v>
      </c>
      <c r="H7661" s="256">
        <f t="shared" si="1102"/>
        <v>1.4360869565217391</v>
      </c>
      <c r="I7661" s="297">
        <f t="shared" si="1104"/>
        <v>393.79275735664493</v>
      </c>
      <c r="J7661" s="297">
        <f t="shared" si="1105"/>
        <v>228.57142857142858</v>
      </c>
      <c r="K7661" s="297">
        <f>J7661/POBLA!$B$4*100000</f>
        <v>18.975811414591</v>
      </c>
      <c r="L7661" s="549">
        <f t="shared" si="1103"/>
        <v>6.048150322959478E-2</v>
      </c>
      <c r="M7661" s="401">
        <f>SUM(C7661,C7637,C7613,C7589,C7565,C7541,C7517)/POBLA!$B$4*100000</f>
        <v>132.83067990213698</v>
      </c>
    </row>
    <row r="7662" spans="1:13" s="360" customFormat="1" x14ac:dyDescent="0.25">
      <c r="A7662" s="361" t="s">
        <v>29</v>
      </c>
      <c r="B7662" s="29">
        <v>44212</v>
      </c>
      <c r="C7662" s="1">
        <v>181</v>
      </c>
      <c r="D7662" s="276">
        <f t="shared" si="1094"/>
        <v>38087</v>
      </c>
      <c r="E7662" s="1">
        <v>2</v>
      </c>
      <c r="F7662" s="39">
        <f t="shared" si="1095"/>
        <v>561</v>
      </c>
      <c r="G7662" s="168">
        <f>SUM(C7662,C7638,C7614,C7590,C7566,C7542,C7518,C7494,C7470,C7446,C7422,C7398,C7374,C7350)/POBLA!$B$5*100000</f>
        <v>942.65857181168155</v>
      </c>
      <c r="H7662" s="256">
        <f t="shared" si="1102"/>
        <v>1.3771536464479586</v>
      </c>
      <c r="I7662" s="297">
        <f t="shared" si="1104"/>
        <v>1298.185689525882</v>
      </c>
      <c r="J7662" s="297">
        <f t="shared" si="1105"/>
        <v>423</v>
      </c>
      <c r="K7662" s="297">
        <f>J7662/POBLA!$B$5*100000</f>
        <v>68.336688239304422</v>
      </c>
      <c r="L7662" s="549">
        <f t="shared" si="1103"/>
        <v>-3.0271398747390377E-2</v>
      </c>
      <c r="M7662" s="401">
        <f>SUM(C7662,C7638,C7614,C7590,C7566,C7542,C7518)/POBLA!$B$5*100000</f>
        <v>478.35681767513091</v>
      </c>
    </row>
    <row r="7663" spans="1:13" s="360" customFormat="1" x14ac:dyDescent="0.25">
      <c r="A7663" s="361" t="s">
        <v>20</v>
      </c>
      <c r="B7663" s="29">
        <v>44212</v>
      </c>
      <c r="C7663" s="1">
        <v>536</v>
      </c>
      <c r="D7663" s="276">
        <f t="shared" si="1094"/>
        <v>137404</v>
      </c>
      <c r="E7663" s="1">
        <v>4</v>
      </c>
      <c r="F7663" s="39">
        <f t="shared" si="1095"/>
        <v>2550</v>
      </c>
      <c r="G7663" s="168">
        <f>SUM(C7663,C7639,C7615,C7591,C7567,C7543,C7519,C7495,C7471,C7447,C7423,C7399,C7375,C7351)/POBLA!$B$6*100000</f>
        <v>836.90146600511605</v>
      </c>
      <c r="H7663" s="256">
        <f t="shared" si="1102"/>
        <v>1.6496658459373901</v>
      </c>
      <c r="I7663" s="297">
        <f t="shared" si="1104"/>
        <v>1380.6077648835717</v>
      </c>
      <c r="J7663" s="297">
        <f t="shared" si="1105"/>
        <v>618</v>
      </c>
      <c r="K7663" s="297">
        <f>J7663/POBLA!$B$6*100000</f>
        <v>55.139137099270968</v>
      </c>
      <c r="L7663" s="549">
        <f t="shared" si="1103"/>
        <v>0.14404432132963985</v>
      </c>
      <c r="M7663" s="401">
        <f>SUM(C7663,C7639,C7615,C7591,C7567,C7543,C7519)/POBLA!$B$6*100000</f>
        <v>385.97395969489679</v>
      </c>
    </row>
    <row r="7664" spans="1:13" s="360" customFormat="1" x14ac:dyDescent="0.25">
      <c r="A7664" s="361" t="s">
        <v>30</v>
      </c>
      <c r="B7664" s="29">
        <v>44212</v>
      </c>
      <c r="C7664" s="1">
        <v>78</v>
      </c>
      <c r="D7664" s="276">
        <f t="shared" si="1094"/>
        <v>15305</v>
      </c>
      <c r="E7664" s="1"/>
      <c r="F7664" s="39">
        <f t="shared" si="1095"/>
        <v>181</v>
      </c>
      <c r="G7664" s="168">
        <f>SUM(C7664,C7640,C7616,C7592,C7568,C7544,C7520,C7496,C7472,C7448,C7424,C7400,C7376,C7352)/POBLA!$B$7*100000</f>
        <v>84.750495286468379</v>
      </c>
      <c r="H7664" s="256">
        <f t="shared" si="1102"/>
        <v>1.7530253025302531</v>
      </c>
      <c r="I7664" s="297">
        <f t="shared" si="1104"/>
        <v>148.56976263915001</v>
      </c>
      <c r="J7664" s="297">
        <f t="shared" si="1105"/>
        <v>237</v>
      </c>
      <c r="K7664" s="297">
        <f>J7664/POBLA!$B$7*100000</f>
        <v>6.3024372083128348</v>
      </c>
      <c r="L7664" s="549">
        <f t="shared" si="1103"/>
        <v>-8.5732984293193759E-2</v>
      </c>
      <c r="M7664" s="401">
        <f>SUM(C7664,C7640,C7616,C7592,C7568,C7544,C7520)/POBLA!$B$7*100000</f>
        <v>44.117060458189847</v>
      </c>
    </row>
    <row r="7665" spans="1:13" x14ac:dyDescent="0.25">
      <c r="A7665" s="361" t="s">
        <v>31</v>
      </c>
      <c r="B7665" s="29">
        <v>44212</v>
      </c>
      <c r="C7665" s="1">
        <v>314</v>
      </c>
      <c r="D7665" s="276">
        <f t="shared" si="1094"/>
        <v>36176</v>
      </c>
      <c r="E7665" s="1">
        <v>5</v>
      </c>
      <c r="F7665" s="39">
        <f t="shared" si="1095"/>
        <v>632</v>
      </c>
      <c r="G7665" s="168">
        <f>SUM(C7665,C7641,C7617,C7593,C7569,C7545,C7521,C7497,C7473,C7449,C7425,C7401,C7377,C7353)/POBLA!$B$8*100000</f>
        <v>453.1873551997495</v>
      </c>
      <c r="H7665" s="256">
        <f t="shared" si="1102"/>
        <v>2.0346614836410755</v>
      </c>
      <c r="I7665" s="297">
        <f t="shared" si="1104"/>
        <v>922.08285649809739</v>
      </c>
      <c r="J7665" s="297">
        <f t="shared" si="1105"/>
        <v>426.42857142857144</v>
      </c>
      <c r="K7665" s="297">
        <f>J7665/POBLA!$B$8*100000</f>
        <v>30.767717953721025</v>
      </c>
      <c r="L7665" s="549">
        <f t="shared" si="1103"/>
        <v>9.4356796116504826E-2</v>
      </c>
      <c r="M7665" s="401">
        <f>SUM(C7665,C7641,C7617,C7593,C7569,C7545,C7521)/POBLA!$B$8*100000</f>
        <v>215.37402567604718</v>
      </c>
    </row>
    <row r="7666" spans="1:13" s="360" customFormat="1" x14ac:dyDescent="0.25">
      <c r="A7666" s="361" t="s">
        <v>41</v>
      </c>
      <c r="B7666" s="29">
        <v>44212</v>
      </c>
      <c r="C7666" s="1">
        <v>29</v>
      </c>
      <c r="D7666" s="276">
        <f t="shared" si="1094"/>
        <v>587</v>
      </c>
      <c r="E7666" s="1"/>
      <c r="F7666" s="39">
        <f t="shared" si="1095"/>
        <v>4</v>
      </c>
      <c r="G7666" s="168">
        <f>SUM(C7666,C7642,C7618,C7594,C7570,C7546,C7522,C7498,C7474,C7450,C7426,C7402,C7378,C7354)/POBLA!$B$9*100000</f>
        <v>60.641811785661766</v>
      </c>
      <c r="H7666" s="256">
        <f t="shared" si="1102"/>
        <v>19.315789473684209</v>
      </c>
      <c r="I7666" s="297">
        <f t="shared" si="1104"/>
        <v>1171.3444697546245</v>
      </c>
      <c r="J7666" s="297">
        <f t="shared" si="1105"/>
        <v>46.857142857142854</v>
      </c>
      <c r="K7666" s="297">
        <f>J7666/POBLA!$B$9*100000</f>
        <v>7.7425123650046936</v>
      </c>
      <c r="L7666" s="549">
        <f t="shared" si="1103"/>
        <v>-7.4102564102564106</v>
      </c>
      <c r="M7666" s="401">
        <f>SUM(C7666,C7642,C7618,C7594,C7570,C7546,C7522)/POBLA!$B$9*100000</f>
        <v>54.197586555032856</v>
      </c>
    </row>
    <row r="7667" spans="1:13" s="360" customFormat="1" x14ac:dyDescent="0.25">
      <c r="A7667" s="361" t="s">
        <v>32</v>
      </c>
      <c r="B7667" s="29">
        <v>44212</v>
      </c>
      <c r="C7667" s="1">
        <v>21</v>
      </c>
      <c r="D7667" s="276">
        <f t="shared" si="1094"/>
        <v>18801</v>
      </c>
      <c r="E7667" s="1">
        <v>2</v>
      </c>
      <c r="F7667" s="39">
        <f t="shared" si="1095"/>
        <v>863</v>
      </c>
      <c r="G7667" s="168">
        <f>SUM(C7667,C7643,C7619,C7595,C7571,C7547,C7523,C7499,C7475,C7451,C7427,C7403,C7379,C7355)/POBLA!$B$10*100000</f>
        <v>31.003488216728652</v>
      </c>
      <c r="H7667" s="256">
        <f t="shared" si="1102"/>
        <v>2.9874999999999998</v>
      </c>
      <c r="I7667" s="297">
        <f t="shared" si="1104"/>
        <v>92.622921047476837</v>
      </c>
      <c r="J7667" s="297">
        <f t="shared" si="1105"/>
        <v>19.285714285714285</v>
      </c>
      <c r="K7667" s="297">
        <f>J7667/POBLA!$B$10*100000</f>
        <v>2.5017757975244277</v>
      </c>
      <c r="L7667" s="549">
        <f t="shared" si="1103"/>
        <v>-0.29807692307692313</v>
      </c>
      <c r="M7667" s="401">
        <f>SUM(C7667,C7643,C7619,C7595,C7571,C7547,C7523)/POBLA!$B$10*100000</f>
        <v>17.512430582670994</v>
      </c>
    </row>
    <row r="7668" spans="1:13" s="360" customFormat="1" x14ac:dyDescent="0.25">
      <c r="A7668" s="361" t="s">
        <v>33</v>
      </c>
      <c r="B7668" s="29">
        <v>44212</v>
      </c>
      <c r="C7668" s="1">
        <v>110</v>
      </c>
      <c r="D7668" s="276">
        <f t="shared" si="1094"/>
        <v>14844</v>
      </c>
      <c r="E7668" s="1">
        <v>1</v>
      </c>
      <c r="F7668" s="39">
        <f t="shared" si="1095"/>
        <v>184</v>
      </c>
      <c r="G7668" s="168">
        <f>SUM(C7668,C7644,C7620,C7596,C7572,C7548,C7524,C7500,C7476,C7452,C7428,C7404,C7380,C7356)/POBLA!$B$11*100000</f>
        <v>996.01593625498003</v>
      </c>
      <c r="H7668" s="256">
        <f t="shared" si="1102"/>
        <v>1.125118184683265</v>
      </c>
      <c r="I7668" s="297">
        <f t="shared" si="1104"/>
        <v>1120.6356421148057</v>
      </c>
      <c r="J7668" s="297">
        <f t="shared" si="1105"/>
        <v>206.57142857142858</v>
      </c>
      <c r="K7668" s="297">
        <f>J7668/POBLA!$B$11*100000</f>
        <v>57.632614798907611</v>
      </c>
      <c r="L7668" s="549">
        <f t="shared" si="1103"/>
        <v>0.3192090395480226</v>
      </c>
      <c r="M7668" s="401">
        <f>SUM(C7668,C7644,C7620,C7596,C7572,C7548,C7524)/POBLA!$B$11*100000</f>
        <v>403.4283035923533</v>
      </c>
    </row>
    <row r="7669" spans="1:13" s="360" customFormat="1" x14ac:dyDescent="0.25">
      <c r="A7669" s="361" t="s">
        <v>21</v>
      </c>
      <c r="B7669" s="29">
        <v>44212</v>
      </c>
      <c r="C7669" s="1">
        <v>12</v>
      </c>
      <c r="D7669" s="276">
        <f t="shared" si="1094"/>
        <v>9284</v>
      </c>
      <c r="E7669" s="1"/>
      <c r="F7669" s="39">
        <f t="shared" si="1095"/>
        <v>401</v>
      </c>
      <c r="G7669" s="168">
        <f>SUM(C7669,C7645,C7621,C7597,C7573,C7549,C7525,C7501,C7477,C7453,C7429,C7405,C7381,C7357)/POBLA!$B$12*100000</f>
        <v>41.419862730000943</v>
      </c>
      <c r="H7669" s="256">
        <f t="shared" si="1102"/>
        <v>1.2834645669291338</v>
      </c>
      <c r="I7669" s="297">
        <f t="shared" si="1104"/>
        <v>53.160926181024827</v>
      </c>
      <c r="J7669" s="297">
        <f t="shared" si="1105"/>
        <v>12.142857142857142</v>
      </c>
      <c r="K7669" s="297">
        <f>J7669/POBLA!$B$12*100000</f>
        <v>3.0856164172218055</v>
      </c>
      <c r="L7669" s="549">
        <f t="shared" si="1103"/>
        <v>-8.9743589743589647E-2</v>
      </c>
      <c r="M7669" s="401">
        <f>SUM(C7669,C7645,C7621,C7597,C7573,C7549,C7525)/POBLA!$B$12*100000</f>
        <v>21.599314920552636</v>
      </c>
    </row>
    <row r="7670" spans="1:13" s="360" customFormat="1" x14ac:dyDescent="0.25">
      <c r="A7670" s="361" t="s">
        <v>17</v>
      </c>
      <c r="B7670" s="29">
        <v>44212</v>
      </c>
      <c r="C7670" s="1">
        <v>135</v>
      </c>
      <c r="D7670" s="276">
        <f t="shared" si="1094"/>
        <v>62173</v>
      </c>
      <c r="E7670" s="1">
        <v>5</v>
      </c>
      <c r="F7670" s="39">
        <f t="shared" si="1095"/>
        <v>1283</v>
      </c>
      <c r="G7670" s="168">
        <f>SUM(C7670,C7646,C7622,C7598,C7574,C7550,C7526,C7502,C7478,C7454,C7430,C7406,C7382,C7358)/POBLA!$B$13*100000</f>
        <v>96.466027378264386</v>
      </c>
      <c r="H7670" s="256">
        <f t="shared" si="1102"/>
        <v>1.4780600461893765</v>
      </c>
      <c r="I7670" s="297">
        <f t="shared" si="1104"/>
        <v>142.58258088242312</v>
      </c>
      <c r="J7670" s="297">
        <f t="shared" si="1105"/>
        <v>137</v>
      </c>
      <c r="K7670" s="297">
        <f>J7670/POBLA!$B$13*100000</f>
        <v>6.883252995219908</v>
      </c>
      <c r="L7670" s="549">
        <f t="shared" si="1103"/>
        <v>2.0811654526534662E-3</v>
      </c>
      <c r="M7670" s="401">
        <f>SUM(C7670,C7646,C7622,C7598,C7574,C7550,C7526)/POBLA!$B$13*100000</f>
        <v>48.182770966539351</v>
      </c>
    </row>
    <row r="7671" spans="1:13" s="360" customFormat="1" x14ac:dyDescent="0.25">
      <c r="A7671" s="361" t="s">
        <v>23</v>
      </c>
      <c r="B7671" s="29">
        <v>44212</v>
      </c>
      <c r="C7671" s="1">
        <v>144</v>
      </c>
      <c r="D7671" s="276">
        <f t="shared" si="1094"/>
        <v>2010</v>
      </c>
      <c r="E7671" s="1">
        <v>3</v>
      </c>
      <c r="F7671" s="39">
        <f t="shared" si="1095"/>
        <v>39</v>
      </c>
      <c r="G7671" s="168">
        <f>SUM(C7671,C7647,C7623,C7599,C7575,C7551,C7527,C7503,C7479,C7455,C7431,C7407,C7383,C7359)/POBLA!$B$14*100000</f>
        <v>73.416665741690679</v>
      </c>
      <c r="H7671" s="256">
        <f t="shared" si="1102"/>
        <v>3.8907563025210083</v>
      </c>
      <c r="I7671" s="297">
        <f t="shared" si="1104"/>
        <v>285.64635494456121</v>
      </c>
      <c r="J7671" s="297">
        <f t="shared" si="1105"/>
        <v>96.428571428571431</v>
      </c>
      <c r="K7671" s="297">
        <f>J7671/POBLA!$B$14*100000</f>
        <v>7.6452097154645484</v>
      </c>
      <c r="L7671" s="549">
        <f t="shared" si="1103"/>
        <v>-1.689243027888446</v>
      </c>
      <c r="M7671" s="401">
        <f>SUM(C7671,C7647,C7623,C7599,C7575,C7551,C7527)/POBLA!$B$14*100000</f>
        <v>53.516468008251834</v>
      </c>
    </row>
    <row r="7672" spans="1:13" s="360" customFormat="1" x14ac:dyDescent="0.25">
      <c r="A7672" s="361" t="s">
        <v>19</v>
      </c>
      <c r="B7672" s="29">
        <v>44212</v>
      </c>
      <c r="C7672" s="1">
        <v>280</v>
      </c>
      <c r="D7672" s="276">
        <f t="shared" si="1094"/>
        <v>47992</v>
      </c>
      <c r="E7672" s="1"/>
      <c r="F7672" s="39">
        <f t="shared" si="1095"/>
        <v>755</v>
      </c>
      <c r="G7672" s="168">
        <f>SUM(C7672,C7648,C7624,C7600,C7576,C7552,C7528,C7504,C7480,C7456,C7432,C7408,C7384,C7360)/POBLA!$B$15*100000</f>
        <v>969.49508852402721</v>
      </c>
      <c r="H7672" s="256">
        <f t="shared" si="1102"/>
        <v>1.7667398463227222</v>
      </c>
      <c r="I7672" s="297">
        <f t="shared" si="1104"/>
        <v>1712.8456037095739</v>
      </c>
      <c r="J7672" s="297">
        <f t="shared" si="1105"/>
        <v>438.71428571428572</v>
      </c>
      <c r="K7672" s="297">
        <f>J7672/POBLA!$B$15*100000</f>
        <v>66.065757263952605</v>
      </c>
      <c r="L7672" s="549">
        <f t="shared" si="1103"/>
        <v>8.7912087912087933E-2</v>
      </c>
      <c r="M7672" s="401">
        <f>SUM(C7672,C7648,C7624,C7600,C7576,C7552,C7528)/POBLA!$B$15*100000</f>
        <v>462.46030084766818</v>
      </c>
    </row>
    <row r="7673" spans="1:13" s="360" customFormat="1" x14ac:dyDescent="0.25">
      <c r="A7673" s="361" t="s">
        <v>18</v>
      </c>
      <c r="B7673" s="29">
        <v>44212</v>
      </c>
      <c r="C7673" s="1">
        <v>296</v>
      </c>
      <c r="D7673" s="276">
        <f t="shared" si="1094"/>
        <v>43707</v>
      </c>
      <c r="E7673" s="1">
        <v>1</v>
      </c>
      <c r="F7673" s="39">
        <f t="shared" si="1095"/>
        <v>998</v>
      </c>
      <c r="G7673" s="168">
        <f>SUM(C7673,C7649,C7625,C7601,C7577,C7553,C7529,C7505,C7481,C7457,C7433,C7409,C7385,C7361)/POBLA!$B$16*100000</f>
        <v>648.33268682869414</v>
      </c>
      <c r="H7673" s="256">
        <f t="shared" si="1102"/>
        <v>1.4692331009396786</v>
      </c>
      <c r="I7673" s="297">
        <f t="shared" si="1104"/>
        <v>952.55184390987586</v>
      </c>
      <c r="J7673" s="297">
        <f t="shared" si="1105"/>
        <v>346.28571428571428</v>
      </c>
      <c r="K7673" s="297">
        <f>J7673/POBLA!$B$16*100000</f>
        <v>46.319031886373146</v>
      </c>
      <c r="L7673" s="549">
        <f t="shared" si="1103"/>
        <v>-4.1271151465127609E-4</v>
      </c>
      <c r="M7673" s="401">
        <f>SUM(C7673,C7649,C7625,C7601,C7577,C7553,C7529)/POBLA!$B$16*100000</f>
        <v>324.23322320461205</v>
      </c>
    </row>
    <row r="7674" spans="1:13" s="360" customFormat="1" x14ac:dyDescent="0.25">
      <c r="A7674" s="361" t="s">
        <v>34</v>
      </c>
      <c r="B7674" s="29">
        <v>44212</v>
      </c>
      <c r="C7674" s="1">
        <v>64</v>
      </c>
      <c r="D7674" s="276">
        <f t="shared" si="1094"/>
        <v>23043</v>
      </c>
      <c r="E7674" s="1"/>
      <c r="F7674" s="39">
        <f t="shared" si="1095"/>
        <v>1025</v>
      </c>
      <c r="G7674" s="168">
        <f>SUM(C7674,C7650,C7626,C7602,C7578,C7554,C7530,C7506,C7482,C7458,C7434,C7410,C7386,C7362)/POBLA!$B$17*100000</f>
        <v>44.790883440501489</v>
      </c>
      <c r="H7674" s="256">
        <f t="shared" si="1102"/>
        <v>1.3264033264033264</v>
      </c>
      <c r="I7674" s="297">
        <f t="shared" si="1104"/>
        <v>59.41077678802484</v>
      </c>
      <c r="J7674" s="297">
        <f t="shared" si="1105"/>
        <v>50.571428571428569</v>
      </c>
      <c r="K7674" s="297">
        <f>J7674/POBLA!$B$17*100000</f>
        <v>3.5503745494710093</v>
      </c>
      <c r="L7674" s="549">
        <f t="shared" si="1103"/>
        <v>-0.24647887323943651</v>
      </c>
      <c r="M7674" s="401">
        <f>SUM(C7674,C7650,C7626,C7602,C7578,C7554,C7530)/POBLA!$B$17*100000</f>
        <v>24.852621846297065</v>
      </c>
    </row>
    <row r="7675" spans="1:13" s="360" customFormat="1" x14ac:dyDescent="0.25">
      <c r="A7675" s="361" t="s">
        <v>35</v>
      </c>
      <c r="B7675" s="29">
        <v>44212</v>
      </c>
      <c r="C7675" s="1">
        <v>60</v>
      </c>
      <c r="D7675" s="276">
        <f t="shared" ref="D7675:D7681" si="1106">C7675+D7651</f>
        <v>13088</v>
      </c>
      <c r="E7675" s="1"/>
      <c r="F7675" s="39">
        <f t="shared" ref="F7675:F7681" si="1107">E7675+F7651</f>
        <v>214</v>
      </c>
      <c r="G7675" s="168">
        <f>SUM(C7675,C7651,C7627,C7603,C7579,C7555,C7531,C7507,C7483,C7459,C7435,C7411,C7387,C7363)/POBLA!$B$18*100000</f>
        <v>194.9522347823972</v>
      </c>
      <c r="H7675" s="256">
        <f t="shared" si="1102"/>
        <v>1.1815360744763383</v>
      </c>
      <c r="I7675" s="297">
        <f t="shared" si="1104"/>
        <v>230.34309819518305</v>
      </c>
      <c r="J7675" s="297">
        <f t="shared" si="1105"/>
        <v>104.14285714285714</v>
      </c>
      <c r="K7675" s="297">
        <f>J7675/POBLA!$B$18*100000</f>
        <v>13.330848809339422</v>
      </c>
      <c r="L7675" s="549">
        <f t="shared" si="1103"/>
        <v>8.1863979848866508E-2</v>
      </c>
      <c r="M7675" s="401">
        <f>SUM(C7675,C7651,C7627,C7603,C7579,C7555,C7531)/POBLA!$B$18*100000</f>
        <v>93.315941665375945</v>
      </c>
    </row>
    <row r="7676" spans="1:13" s="360" customFormat="1" x14ac:dyDescent="0.25">
      <c r="A7676" s="361" t="s">
        <v>36</v>
      </c>
      <c r="B7676" s="29">
        <v>44212</v>
      </c>
      <c r="C7676" s="1">
        <v>24</v>
      </c>
      <c r="D7676" s="276">
        <f t="shared" si="1106"/>
        <v>16817</v>
      </c>
      <c r="E7676" s="1"/>
      <c r="F7676" s="39">
        <f t="shared" si="1107"/>
        <v>328</v>
      </c>
      <c r="G7676" s="168">
        <f>SUM(C7676,C7652,C7628,C7604,C7580,C7556,C7532,C7508,C7484,C7460,C7436,C7412,C7388,C7364)/POBLA!$B$19*100000</f>
        <v>121.18159928235313</v>
      </c>
      <c r="H7676" s="256">
        <f t="shared" si="1102"/>
        <v>1.8171091445427729</v>
      </c>
      <c r="I7676" s="297">
        <f t="shared" si="1104"/>
        <v>220.2001922062818</v>
      </c>
      <c r="J7676" s="297">
        <f t="shared" si="1105"/>
        <v>40.142857142857146</v>
      </c>
      <c r="K7676" s="297">
        <f>J7676/POBLA!$B$19*100000</f>
        <v>7.8970383576858136</v>
      </c>
      <c r="L7676" s="549">
        <f t="shared" si="1103"/>
        <v>0.16119402985074627</v>
      </c>
      <c r="M7676" s="401">
        <f>SUM(C7676,C7652,C7628,C7604,C7580,C7556,C7532)/POBLA!$B$19*100000</f>
        <v>55.279268503800701</v>
      </c>
    </row>
    <row r="7677" spans="1:13" s="360" customFormat="1" x14ac:dyDescent="0.25">
      <c r="A7677" s="361" t="s">
        <v>37</v>
      </c>
      <c r="B7677" s="29">
        <v>44212</v>
      </c>
      <c r="C7677" s="1">
        <v>244</v>
      </c>
      <c r="D7677" s="276">
        <f t="shared" si="1106"/>
        <v>29113</v>
      </c>
      <c r="E7677" s="1">
        <v>2</v>
      </c>
      <c r="F7677" s="39">
        <f t="shared" si="1107"/>
        <v>450</v>
      </c>
      <c r="G7677" s="168">
        <f>SUM(C7677,C7653,C7629,C7605,C7581,C7557,C7533,C7509,C7485,C7461,C7437,C7413,C7389,C7365)/POBLA!$B$20*100000</f>
        <v>1345.0989614381265</v>
      </c>
      <c r="H7677" s="256">
        <f t="shared" si="1102"/>
        <v>1.3341470029834555</v>
      </c>
      <c r="I7677" s="297">
        <f t="shared" si="1104"/>
        <v>1794.5597481188349</v>
      </c>
      <c r="J7677" s="297">
        <f t="shared" si="1105"/>
        <v>310.57142857142856</v>
      </c>
      <c r="K7677" s="297">
        <f>J7677/POBLA!$B$20*100000</f>
        <v>84.925656845656405</v>
      </c>
      <c r="L7677" s="549">
        <f t="shared" si="1103"/>
        <v>0.20801457194899819</v>
      </c>
      <c r="M7677" s="401">
        <f>SUM(C7677,C7653,C7629,C7605,C7581,C7557,C7533)/POBLA!$B$20*100000</f>
        <v>594.47959791959488</v>
      </c>
    </row>
    <row r="7678" spans="1:13" s="360" customFormat="1" x14ac:dyDescent="0.25">
      <c r="A7678" s="361" t="s">
        <v>22</v>
      </c>
      <c r="B7678" s="29">
        <v>44212</v>
      </c>
      <c r="C7678" s="1">
        <v>1078</v>
      </c>
      <c r="D7678" s="276">
        <f t="shared" si="1106"/>
        <v>194407</v>
      </c>
      <c r="E7678" s="1">
        <v>12</v>
      </c>
      <c r="F7678" s="39">
        <f t="shared" si="1107"/>
        <v>3166</v>
      </c>
      <c r="G7678" s="168">
        <f>SUM(C7678,C7654,C7630,C7606,C7582,C7558,C7534,C7510,C7486,C7462,C7438,C7414,C7390,C7366)/POBLA!$B$21*100000</f>
        <v>483.87945090201441</v>
      </c>
      <c r="H7678" s="256">
        <f t="shared" si="1102"/>
        <v>1.5164835164835164</v>
      </c>
      <c r="I7678" s="297">
        <f t="shared" si="1104"/>
        <v>733.79521125799988</v>
      </c>
      <c r="J7678" s="297">
        <f t="shared" si="1105"/>
        <v>1216.7142857142858</v>
      </c>
      <c r="K7678" s="297">
        <f>J7678/POBLA!$B$21*100000</f>
        <v>34.405273520106668</v>
      </c>
      <c r="L7678" s="549">
        <f t="shared" si="1103"/>
        <v>9.075043630017432E-3</v>
      </c>
      <c r="M7678" s="401">
        <f>SUM(C7678,C7654,C7630,C7606,C7582,C7558,C7534)/POBLA!$B$21*100000</f>
        <v>240.83691464074664</v>
      </c>
    </row>
    <row r="7679" spans="1:13" s="360" customFormat="1" x14ac:dyDescent="0.25">
      <c r="A7679" s="361" t="s">
        <v>38</v>
      </c>
      <c r="B7679" s="29">
        <v>44212</v>
      </c>
      <c r="C7679" s="1">
        <v>113</v>
      </c>
      <c r="D7679" s="276">
        <f t="shared" si="1106"/>
        <v>19455</v>
      </c>
      <c r="E7679" s="1"/>
      <c r="F7679" s="39">
        <f t="shared" si="1107"/>
        <v>229</v>
      </c>
      <c r="G7679" s="168">
        <f>SUM(C7679,C7655,C7631,C7607,C7583,C7559,C7535,C7511,C7487,C7463,C7439,C7415,C7391,C7367)/POBLA!$B$22*100000</f>
        <v>192.98527158486087</v>
      </c>
      <c r="H7679" s="256">
        <f t="shared" si="1102"/>
        <v>2.442432082794308</v>
      </c>
      <c r="I7679" s="297">
        <f t="shared" si="1104"/>
        <v>471.35341882563694</v>
      </c>
      <c r="J7679" s="297">
        <f t="shared" si="1105"/>
        <v>129</v>
      </c>
      <c r="K7679" s="297">
        <f>J7679/POBLA!$B$22*100000</f>
        <v>13.18596400129611</v>
      </c>
      <c r="L7679" s="549">
        <f t="shared" si="1103"/>
        <v>8.3248730964467055E-2</v>
      </c>
      <c r="M7679" s="401">
        <f>SUM(C7679,C7655,C7631,C7607,C7583,C7559,C7535)/POBLA!$B$22*100000</f>
        <v>92.301748009072767</v>
      </c>
    </row>
    <row r="7680" spans="1:13" s="360" customFormat="1" x14ac:dyDescent="0.25">
      <c r="A7680" s="361" t="s">
        <v>39</v>
      </c>
      <c r="B7680" s="29">
        <v>44212</v>
      </c>
      <c r="C7680" s="1">
        <v>39</v>
      </c>
      <c r="D7680" s="276">
        <f t="shared" si="1106"/>
        <v>20700</v>
      </c>
      <c r="E7680" s="1">
        <v>3</v>
      </c>
      <c r="F7680" s="39">
        <f t="shared" si="1107"/>
        <v>299</v>
      </c>
      <c r="G7680" s="168">
        <f>SUM(C7680,C7656,C7632,C7608,C7584,C7560,C7536,C7512,C7488,C7464,C7440,C7416,C7392,C7368)/POBLA!$B$23*100000</f>
        <v>775.32092970649774</v>
      </c>
      <c r="H7680" s="256">
        <f t="shared" si="1102"/>
        <v>1.1056451612903226</v>
      </c>
      <c r="I7680" s="297">
        <f t="shared" si="1104"/>
        <v>857.22983437710354</v>
      </c>
      <c r="J7680" s="297">
        <f t="shared" si="1105"/>
        <v>86.142857142857139</v>
      </c>
      <c r="K7680" s="297">
        <f>J7680/POBLA!$B$23*100000</f>
        <v>48.715069356363252</v>
      </c>
      <c r="L7680" s="549">
        <f t="shared" si="1103"/>
        <v>0.21484375</v>
      </c>
      <c r="M7680" s="401">
        <f>SUM(C7680,C7656,C7632,C7608,C7584,C7560,C7536)/POBLA!$B$23*100000</f>
        <v>341.00548549454277</v>
      </c>
    </row>
    <row r="7681" spans="1:13" s="360" customFormat="1" ht="15.75" thickBot="1" x14ac:dyDescent="0.3">
      <c r="A7681" s="361" t="s">
        <v>40</v>
      </c>
      <c r="B7681" s="29">
        <v>44212</v>
      </c>
      <c r="C7681" s="1">
        <v>94</v>
      </c>
      <c r="D7681" s="276">
        <f t="shared" si="1106"/>
        <v>74193</v>
      </c>
      <c r="E7681" s="1"/>
      <c r="F7681" s="39">
        <f t="shared" si="1107"/>
        <v>1400</v>
      </c>
      <c r="G7681" s="177">
        <f>SUM(C7681,C7657,C7633,C7609,C7585,C7561,C7537,C7513,C7489,C7465,C7441,C7417,C7393,C7369)/POBLA!$B$24*100000</f>
        <v>177.14509611390159</v>
      </c>
      <c r="H7681" s="402">
        <f t="shared" si="1102"/>
        <v>1.8880503144654088</v>
      </c>
      <c r="I7681" s="403">
        <f t="shared" si="1104"/>
        <v>334.45885442385696</v>
      </c>
      <c r="J7681" s="403">
        <f t="shared" si="1105"/>
        <v>210.14285714285714</v>
      </c>
      <c r="K7681" s="403">
        <f>J7681/POBLA!$B$24*100000</f>
        <v>12.400325325190312</v>
      </c>
      <c r="L7681" s="550">
        <f t="shared" si="1103"/>
        <v>3.9190071848465013E-2</v>
      </c>
      <c r="M7681" s="405">
        <f>SUM(C7681,C7657,C7633,C7609,C7585,C7561,C7537)/POBLA!$B$24*100000</f>
        <v>86.802277276332191</v>
      </c>
    </row>
    <row r="7682" spans="1:13" s="360" customFormat="1" x14ac:dyDescent="0.25">
      <c r="A7682" s="361" t="s">
        <v>16</v>
      </c>
      <c r="B7682" s="29">
        <v>44213</v>
      </c>
      <c r="C7682" s="1">
        <v>2598</v>
      </c>
      <c r="D7682" s="276">
        <f>C7682+D7658</f>
        <v>751458</v>
      </c>
      <c r="E7682" s="1">
        <v>76</v>
      </c>
      <c r="F7682" s="39">
        <f>E7682+F7658</f>
        <v>23319</v>
      </c>
      <c r="G7682" s="175">
        <f>SUM(C7682,C7658,C7634,C7610,C7586,C7562,C7538,C7514,C7490,C7466,C7442,C7418,C7394,C7370)/POBLA!$B$1*100000</f>
        <v>348.18145524284881</v>
      </c>
      <c r="H7682" s="300">
        <f t="shared" ref="H7682:H7705" si="1108">SUM(C7682,C7658,C7634,C7610,C7586,C7562,C7538,C7514,C7490,C7466,C7442,C7418,C7394,C7370)/SUM(C7346,C7322,C7298,C7274,C7250,C7226,C7202,C7178,C7154,C7130,C7106,C7082,C7058,C7034)</f>
        <v>1.5968990221199602</v>
      </c>
      <c r="I7682" s="301">
        <f>G7682*H7682</f>
        <v>556.01062539760994</v>
      </c>
      <c r="J7682" s="301">
        <f>AVERAGE(C7682,C7658,C7634,C7610,C7586,C7562,C7538)</f>
        <v>4214.8571428571431</v>
      </c>
      <c r="K7682" s="301">
        <f>J7682/POBLA!$B$1*100000</f>
        <v>24.028409228665016</v>
      </c>
      <c r="L7682" s="548">
        <f t="shared" ref="L7682:L7705" si="1109">1-SUM(C7682,C7658,C7634,C7610,C7586,C7562,C7538)/SUM(C7514,C7490,C7466,C7442,C7418,C7394,C7370)</f>
        <v>6.547147698837541E-2</v>
      </c>
      <c r="M7682" s="400">
        <f>SUM(C7682,C7658,C7634,C7610,C7586,C7562,C7538)/POBLA!$B$1*100000</f>
        <v>168.1988646006551</v>
      </c>
    </row>
    <row r="7683" spans="1:13" s="360" customFormat="1" x14ac:dyDescent="0.25">
      <c r="A7683" s="361" t="s">
        <v>43</v>
      </c>
      <c r="B7683" s="29">
        <v>44213</v>
      </c>
      <c r="C7683" s="1">
        <v>1157</v>
      </c>
      <c r="D7683" s="276">
        <f t="shared" ref="D7683:D7746" si="1110">C7683+D7659</f>
        <v>194688</v>
      </c>
      <c r="E7683" s="1">
        <v>8</v>
      </c>
      <c r="F7683" s="39">
        <f t="shared" ref="F7683:F7746" si="1111">E7683+F7659</f>
        <v>5661</v>
      </c>
      <c r="G7683" s="168">
        <f>SUM(C7683,C7659,C7635,C7611,C7587,C7563,C7539,C7515,C7491,C7467,C7443,C7419,C7395,C7371)/POBLA!$B$2*100000</f>
        <v>591.51800954986368</v>
      </c>
      <c r="H7683" s="256">
        <f t="shared" si="1108"/>
        <v>1.7478143913920645</v>
      </c>
      <c r="I7683" s="297">
        <f t="shared" ref="I7683:I7705" si="1112">G7683*H7683</f>
        <v>1033.8636898588404</v>
      </c>
      <c r="J7683" s="297">
        <f t="shared" ref="J7683:J7705" si="1113">AVERAGE(C7683,C7659,C7635,C7611,C7587,C7563,C7539)</f>
        <v>1235.8571428571429</v>
      </c>
      <c r="K7683" s="297">
        <f>J7683/POBLA!$B$2*100000</f>
        <v>40.182034696357867</v>
      </c>
      <c r="L7683" s="549">
        <f t="shared" si="1109"/>
        <v>9.3376650597359001E-2</v>
      </c>
      <c r="M7683" s="401">
        <f>SUM(C7683,C7659,C7635,C7611,C7587,C7563,C7539)/POBLA!$B$2*100000</f>
        <v>281.27424287450509</v>
      </c>
    </row>
    <row r="7684" spans="1:13" s="360" customFormat="1" x14ac:dyDescent="0.25">
      <c r="A7684" s="361" t="s">
        <v>28</v>
      </c>
      <c r="B7684" s="29">
        <v>44213</v>
      </c>
      <c r="C7684" s="1">
        <v>117</v>
      </c>
      <c r="D7684" s="276">
        <f t="shared" si="1110"/>
        <v>4181</v>
      </c>
      <c r="E7684" s="1"/>
      <c r="F7684" s="39">
        <f t="shared" si="1111"/>
        <v>17</v>
      </c>
      <c r="G7684" s="168">
        <f>SUM(C7684,C7660,C7636,C7612,C7588,C7564,C7540,C7516,C7492,C7468,C7444,C7420,C7396,C7372)/POBLA!$B$3*100000</f>
        <v>320.1440407473558</v>
      </c>
      <c r="H7684" s="256">
        <f t="shared" si="1108"/>
        <v>2.5825242718446604</v>
      </c>
      <c r="I7684" s="297">
        <f t="shared" si="1112"/>
        <v>826.77975571647232</v>
      </c>
      <c r="J7684" s="297">
        <f t="shared" si="1113"/>
        <v>144</v>
      </c>
      <c r="K7684" s="297">
        <f>J7684/POBLA!$B$3*100000</f>
        <v>34.662211930540778</v>
      </c>
      <c r="L7684" s="549">
        <f t="shared" si="1109"/>
        <v>-2.1304347826086958</v>
      </c>
      <c r="M7684" s="401">
        <f>SUM(C7684,C7660,C7636,C7612,C7588,C7564,C7540)/POBLA!$B$3*100000</f>
        <v>242.63548351378546</v>
      </c>
    </row>
    <row r="7685" spans="1:13" s="360" customFormat="1" x14ac:dyDescent="0.25">
      <c r="A7685" s="361" t="s">
        <v>15</v>
      </c>
      <c r="B7685" s="29">
        <v>44213</v>
      </c>
      <c r="C7685" s="1">
        <v>173</v>
      </c>
      <c r="D7685" s="276">
        <f t="shared" si="1110"/>
        <v>28511</v>
      </c>
      <c r="E7685" s="1">
        <v>1</v>
      </c>
      <c r="F7685" s="39">
        <f t="shared" si="1111"/>
        <v>757</v>
      </c>
      <c r="G7685" s="168">
        <f>SUM(C7685,C7661,C7637,C7613,C7589,C7565,C7541,C7517,C7493,C7469,C7445,C7421,C7397,C7373)/POBLA!$B$4*100000</f>
        <v>279.19348531930422</v>
      </c>
      <c r="H7685" s="256">
        <f t="shared" si="1108"/>
        <v>1.4775922671353252</v>
      </c>
      <c r="I7685" s="297">
        <f t="shared" si="1112"/>
        <v>412.53413494236383</v>
      </c>
      <c r="J7685" s="297">
        <f t="shared" si="1113"/>
        <v>226</v>
      </c>
      <c r="K7685" s="297">
        <f>J7685/POBLA!$B$4*100000</f>
        <v>18.76233353617685</v>
      </c>
      <c r="L7685" s="549">
        <f t="shared" si="1109"/>
        <v>0.11173498034811902</v>
      </c>
      <c r="M7685" s="401">
        <f>SUM(C7685,C7661,C7637,C7613,C7589,C7565,C7541)/POBLA!$B$4*100000</f>
        <v>131.33633475323796</v>
      </c>
    </row>
    <row r="7686" spans="1:13" s="360" customFormat="1" x14ac:dyDescent="0.25">
      <c r="A7686" s="361" t="s">
        <v>29</v>
      </c>
      <c r="B7686" s="29">
        <v>44213</v>
      </c>
      <c r="C7686" s="1">
        <v>151</v>
      </c>
      <c r="D7686" s="276">
        <f t="shared" si="1110"/>
        <v>38238</v>
      </c>
      <c r="E7686" s="1">
        <v>1</v>
      </c>
      <c r="F7686" s="39">
        <f t="shared" si="1111"/>
        <v>562</v>
      </c>
      <c r="G7686" s="168">
        <f>SUM(C7686,C7662,C7638,C7614,C7590,C7566,C7542,C7518,C7494,C7470,C7446,C7422,C7398,C7374)/POBLA!$B$5*100000</f>
        <v>934.41939663389314</v>
      </c>
      <c r="H7686" s="256">
        <f t="shared" si="1108"/>
        <v>1.3376503237742832</v>
      </c>
      <c r="I7686" s="297">
        <f t="shared" si="1112"/>
        <v>1249.9264084482975</v>
      </c>
      <c r="J7686" s="297">
        <f t="shared" si="1113"/>
        <v>416.85714285714283</v>
      </c>
      <c r="K7686" s="297">
        <f>J7686/POBLA!$B$5*100000</f>
        <v>67.344294590439134</v>
      </c>
      <c r="L7686" s="549">
        <f t="shared" si="1109"/>
        <v>-1.8143754361479303E-2</v>
      </c>
      <c r="M7686" s="401">
        <f>SUM(C7686,C7662,C7638,C7614,C7590,C7566,C7542)/POBLA!$B$5*100000</f>
        <v>471.41006213307401</v>
      </c>
    </row>
    <row r="7687" spans="1:13" s="360" customFormat="1" x14ac:dyDescent="0.25">
      <c r="A7687" s="361" t="s">
        <v>20</v>
      </c>
      <c r="B7687" s="29">
        <v>44213</v>
      </c>
      <c r="C7687" s="1">
        <v>336</v>
      </c>
      <c r="D7687" s="276">
        <f t="shared" si="1110"/>
        <v>137740</v>
      </c>
      <c r="E7687" s="1">
        <v>1</v>
      </c>
      <c r="F7687" s="39">
        <f t="shared" si="1111"/>
        <v>2551</v>
      </c>
      <c r="G7687" s="168">
        <f>SUM(C7687,C7663,C7639,C7615,C7591,C7567,C7543,C7519,C7495,C7471,C7447,C7423,C7399,C7375)/POBLA!$B$6*100000</f>
        <v>835.11702791128835</v>
      </c>
      <c r="H7687" s="256">
        <f t="shared" si="1108"/>
        <v>1.6286758308682792</v>
      </c>
      <c r="I7687" s="297">
        <f t="shared" si="1112"/>
        <v>1360.1349193056653</v>
      </c>
      <c r="J7687" s="297">
        <f t="shared" si="1113"/>
        <v>599.42857142857144</v>
      </c>
      <c r="K7687" s="297">
        <f>J7687/POBLA!$B$6*100000</f>
        <v>53.482158869288256</v>
      </c>
      <c r="L7687" s="549">
        <f t="shared" si="1109"/>
        <v>0.18745158791634386</v>
      </c>
      <c r="M7687" s="401">
        <f>SUM(C7687,C7663,C7639,C7615,C7591,C7567,C7543)/POBLA!$B$6*100000</f>
        <v>374.37511208501775</v>
      </c>
    </row>
    <row r="7688" spans="1:13" s="360" customFormat="1" x14ac:dyDescent="0.25">
      <c r="A7688" s="361" t="s">
        <v>30</v>
      </c>
      <c r="B7688" s="29">
        <v>44213</v>
      </c>
      <c r="C7688" s="1">
        <v>162</v>
      </c>
      <c r="D7688" s="276">
        <f t="shared" si="1110"/>
        <v>15467</v>
      </c>
      <c r="E7688" s="1">
        <v>1</v>
      </c>
      <c r="F7688" s="39">
        <f t="shared" si="1111"/>
        <v>182</v>
      </c>
      <c r="G7688" s="168">
        <f>SUM(C7688,C7664,C7640,C7616,C7592,C7568,C7544,C7520,C7496,C7472,C7448,C7424,C7400,C7376)/POBLA!$B$7*100000</f>
        <v>86.292863885971087</v>
      </c>
      <c r="H7688" s="256">
        <f t="shared" si="1108"/>
        <v>1.8302312464749013</v>
      </c>
      <c r="I7688" s="297">
        <f t="shared" si="1112"/>
        <v>157.93589583190985</v>
      </c>
      <c r="J7688" s="297">
        <f t="shared" si="1113"/>
        <v>243.14285714285714</v>
      </c>
      <c r="K7688" s="297">
        <f>J7688/POBLA!$B$7*100000</f>
        <v>6.4657915181123835</v>
      </c>
      <c r="L7688" s="549">
        <f t="shared" si="1109"/>
        <v>-0.10304601425793902</v>
      </c>
      <c r="M7688" s="401">
        <f>SUM(C7688,C7664,C7640,C7616,C7592,C7568,C7544)/POBLA!$B$7*100000</f>
        <v>45.260540626786685</v>
      </c>
    </row>
    <row r="7689" spans="1:13" x14ac:dyDescent="0.25">
      <c r="A7689" s="361" t="s">
        <v>31</v>
      </c>
      <c r="B7689" s="29">
        <v>44213</v>
      </c>
      <c r="C7689" s="1">
        <v>315</v>
      </c>
      <c r="D7689" s="276">
        <f t="shared" si="1110"/>
        <v>36491</v>
      </c>
      <c r="E7689" s="1">
        <v>3</v>
      </c>
      <c r="F7689" s="39">
        <f t="shared" si="1111"/>
        <v>635</v>
      </c>
      <c r="G7689" s="168">
        <f>SUM(C7689,C7665,C7641,C7617,C7593,C7569,C7545,C7521,C7497,C7473,C7449,C7425,C7401,C7377)/POBLA!$B$8*100000</f>
        <v>456.86711242235532</v>
      </c>
      <c r="H7689" s="256">
        <f t="shared" si="1108"/>
        <v>1.9824671258609894</v>
      </c>
      <c r="I7689" s="297">
        <f t="shared" si="1112"/>
        <v>905.72403126435631</v>
      </c>
      <c r="J7689" s="297">
        <f t="shared" si="1113"/>
        <v>421.42857142857144</v>
      </c>
      <c r="K7689" s="297">
        <f>J7689/POBLA!$B$8*100000</f>
        <v>30.406957441700843</v>
      </c>
      <c r="L7689" s="549">
        <f t="shared" si="1109"/>
        <v>0.12773506800709644</v>
      </c>
      <c r="M7689" s="401">
        <f>SUM(C7689,C7665,C7641,C7617,C7593,C7569,C7545)/POBLA!$B$8*100000</f>
        <v>212.84870209190592</v>
      </c>
    </row>
    <row r="7690" spans="1:13" s="360" customFormat="1" x14ac:dyDescent="0.25">
      <c r="A7690" s="361" t="s">
        <v>41</v>
      </c>
      <c r="B7690" s="29">
        <v>44213</v>
      </c>
      <c r="C7690" s="1">
        <v>76</v>
      </c>
      <c r="D7690" s="276">
        <f t="shared" si="1110"/>
        <v>663</v>
      </c>
      <c r="E7690" s="1">
        <v>2</v>
      </c>
      <c r="F7690" s="39">
        <f t="shared" si="1111"/>
        <v>6</v>
      </c>
      <c r="G7690" s="168">
        <f>SUM(C7690,C7666,C7642,C7618,C7594,C7570,C7546,C7522,C7498,C7474,C7450,C7426,C7402,C7378)/POBLA!$B$9*100000</f>
        <v>73.034552613794276</v>
      </c>
      <c r="H7690" s="256">
        <f t="shared" si="1108"/>
        <v>26</v>
      </c>
      <c r="I7690" s="297">
        <f t="shared" si="1112"/>
        <v>1898.8983679586511</v>
      </c>
      <c r="J7690" s="297">
        <f t="shared" si="1113"/>
        <v>53.142857142857146</v>
      </c>
      <c r="K7690" s="297">
        <f>J7690/POBLA!$B$9*100000</f>
        <v>8.7811420725053235</v>
      </c>
      <c r="L7690" s="549">
        <f t="shared" si="1109"/>
        <v>-4.3142857142857141</v>
      </c>
      <c r="M7690" s="401">
        <f>SUM(C7690,C7666,C7642,C7618,C7594,C7570,C7546)/POBLA!$B$9*100000</f>
        <v>61.46799450753727</v>
      </c>
    </row>
    <row r="7691" spans="1:13" s="360" customFormat="1" x14ac:dyDescent="0.25">
      <c r="A7691" s="361" t="s">
        <v>32</v>
      </c>
      <c r="B7691" s="29">
        <v>44213</v>
      </c>
      <c r="C7691" s="1">
        <v>60</v>
      </c>
      <c r="D7691" s="276">
        <f t="shared" si="1110"/>
        <v>18861</v>
      </c>
      <c r="E7691" s="1"/>
      <c r="F7691" s="39">
        <f t="shared" si="1111"/>
        <v>863</v>
      </c>
      <c r="G7691" s="168">
        <f>SUM(C7691,C7667,C7643,C7619,C7595,C7571,C7547,C7523,C7499,C7475,C7451,C7427,C7403,C7379)/POBLA!$B$10*100000</f>
        <v>38.138182157816836</v>
      </c>
      <c r="H7691" s="256">
        <f t="shared" si="1108"/>
        <v>3.4588235294117649</v>
      </c>
      <c r="I7691" s="297">
        <f t="shared" si="1112"/>
        <v>131.91324181644882</v>
      </c>
      <c r="J7691" s="297">
        <f t="shared" si="1113"/>
        <v>25</v>
      </c>
      <c r="K7691" s="297">
        <f>J7691/POBLA!$B$10*100000</f>
        <v>3.2430427004946285</v>
      </c>
      <c r="L7691" s="549">
        <f t="shared" si="1109"/>
        <v>-0.47058823529411775</v>
      </c>
      <c r="M7691" s="401">
        <f>SUM(C7691,C7667,C7643,C7619,C7595,C7571,C7547)/POBLA!$B$10*100000</f>
        <v>22.701298903462401</v>
      </c>
    </row>
    <row r="7692" spans="1:13" s="360" customFormat="1" x14ac:dyDescent="0.25">
      <c r="A7692" s="361" t="s">
        <v>33</v>
      </c>
      <c r="B7692" s="29">
        <v>44213</v>
      </c>
      <c r="C7692" s="1">
        <v>151</v>
      </c>
      <c r="D7692" s="276">
        <f t="shared" si="1110"/>
        <v>14995</v>
      </c>
      <c r="E7692" s="1">
        <v>3</v>
      </c>
      <c r="F7692" s="39">
        <f t="shared" si="1111"/>
        <v>187</v>
      </c>
      <c r="G7692" s="168">
        <f>SUM(C7692,C7668,C7644,C7620,C7596,C7572,C7548,C7524,C7500,C7476,C7452,C7428,C7404,C7380)/POBLA!$B$11*100000</f>
        <v>984.0191056502282</v>
      </c>
      <c r="H7692" s="256">
        <f t="shared" si="1108"/>
        <v>1.1032217704097591</v>
      </c>
      <c r="I7692" s="297">
        <f t="shared" si="1112"/>
        <v>1085.5912998524725</v>
      </c>
      <c r="J7692" s="297">
        <f t="shared" si="1113"/>
        <v>213.57142857142858</v>
      </c>
      <c r="K7692" s="297">
        <f>J7692/POBLA!$B$11*100000</f>
        <v>59.585587222936987</v>
      </c>
      <c r="L7692" s="549">
        <f t="shared" si="1109"/>
        <v>0.26427165354330706</v>
      </c>
      <c r="M7692" s="401">
        <f>SUM(C7692,C7668,C7644,C7620,C7596,C7572,C7548)/POBLA!$B$11*100000</f>
        <v>417.09911056055893</v>
      </c>
    </row>
    <row r="7693" spans="1:13" s="360" customFormat="1" x14ac:dyDescent="0.25">
      <c r="A7693" s="361" t="s">
        <v>21</v>
      </c>
      <c r="B7693" s="29">
        <v>44213</v>
      </c>
      <c r="C7693" s="1">
        <v>24</v>
      </c>
      <c r="D7693" s="276">
        <f t="shared" si="1110"/>
        <v>9308</v>
      </c>
      <c r="E7693" s="1"/>
      <c r="F7693" s="39">
        <f t="shared" si="1111"/>
        <v>401</v>
      </c>
      <c r="G7693" s="168">
        <f>SUM(C7693,C7669,C7645,C7621,C7597,C7573,C7549,C7525,C7501,C7477,C7453,C7429,C7405,C7381)/POBLA!$B$12*100000</f>
        <v>46.756164063313946</v>
      </c>
      <c r="H7693" s="256">
        <f t="shared" si="1108"/>
        <v>1.4838709677419355</v>
      </c>
      <c r="I7693" s="297">
        <f t="shared" si="1112"/>
        <v>69.380114416530375</v>
      </c>
      <c r="J7693" s="297">
        <f t="shared" si="1113"/>
        <v>13.428571428571429</v>
      </c>
      <c r="K7693" s="297">
        <f>J7693/POBLA!$B$12*100000</f>
        <v>3.4123287437511731</v>
      </c>
      <c r="L7693" s="549">
        <f t="shared" si="1109"/>
        <v>-4.4444444444444509E-2</v>
      </c>
      <c r="M7693" s="401">
        <f>SUM(C7693,C7669,C7645,C7621,C7597,C7573,C7549)/POBLA!$B$12*100000</f>
        <v>23.88630120625821</v>
      </c>
    </row>
    <row r="7694" spans="1:13" s="360" customFormat="1" x14ac:dyDescent="0.25">
      <c r="A7694" s="361" t="s">
        <v>17</v>
      </c>
      <c r="B7694" s="29">
        <v>44213</v>
      </c>
      <c r="C7694" s="1">
        <v>47</v>
      </c>
      <c r="D7694" s="276">
        <f t="shared" si="1110"/>
        <v>62220</v>
      </c>
      <c r="E7694" s="1">
        <v>3</v>
      </c>
      <c r="F7694" s="39">
        <f t="shared" si="1111"/>
        <v>1286</v>
      </c>
      <c r="G7694" s="168">
        <f>SUM(C7694,C7670,C7646,C7622,C7598,C7574,C7550,C7526,C7502,C7478,C7454,C7430,C7406,C7382)/POBLA!$B$13*100000</f>
        <v>94.958745700479014</v>
      </c>
      <c r="H7694" s="256">
        <f t="shared" si="1108"/>
        <v>1.3948339483394834</v>
      </c>
      <c r="I7694" s="297">
        <f t="shared" si="1112"/>
        <v>132.45168219476409</v>
      </c>
      <c r="J7694" s="297">
        <f t="shared" si="1113"/>
        <v>132.85714285714286</v>
      </c>
      <c r="K7694" s="297">
        <f>J7694/POBLA!$B$13*100000</f>
        <v>6.6751045730495449</v>
      </c>
      <c r="L7694" s="549">
        <f t="shared" si="1109"/>
        <v>3.125E-2</v>
      </c>
      <c r="M7694" s="401">
        <f>SUM(C7694,C7670,C7646,C7622,C7598,C7574,C7550)/POBLA!$B$13*100000</f>
        <v>46.725732011346821</v>
      </c>
    </row>
    <row r="7695" spans="1:13" s="360" customFormat="1" x14ac:dyDescent="0.25">
      <c r="A7695" s="361" t="s">
        <v>23</v>
      </c>
      <c r="B7695" s="29">
        <v>44213</v>
      </c>
      <c r="C7695" s="1">
        <v>170</v>
      </c>
      <c r="D7695" s="276">
        <f t="shared" si="1110"/>
        <v>2180</v>
      </c>
      <c r="E7695" s="1"/>
      <c r="F7695" s="39">
        <f t="shared" si="1111"/>
        <v>39</v>
      </c>
      <c r="G7695" s="168">
        <f>SUM(C7695,C7671,C7647,C7623,C7599,C7575,C7551,C7527,C7503,C7479,C7455,C7431,C7407,C7383)/POBLA!$B$14*100000</f>
        <v>83.723541061798443</v>
      </c>
      <c r="H7695" s="256">
        <f t="shared" si="1108"/>
        <v>3.9849056603773585</v>
      </c>
      <c r="I7695" s="297">
        <f t="shared" si="1112"/>
        <v>333.63041268399684</v>
      </c>
      <c r="J7695" s="297">
        <f t="shared" si="1113"/>
        <v>105</v>
      </c>
      <c r="K7695" s="297">
        <f>J7695/POBLA!$B$14*100000</f>
        <v>8.3247839123947305</v>
      </c>
      <c r="L7695" s="549">
        <f t="shared" si="1109"/>
        <v>-1.2897196261682242</v>
      </c>
      <c r="M7695" s="401">
        <f>SUM(C7695,C7671,C7647,C7623,C7599,C7575,C7551)/POBLA!$B$14*100000</f>
        <v>58.273487386763115</v>
      </c>
    </row>
    <row r="7696" spans="1:13" s="360" customFormat="1" x14ac:dyDescent="0.25">
      <c r="A7696" s="361" t="s">
        <v>19</v>
      </c>
      <c r="B7696" s="29">
        <v>44213</v>
      </c>
      <c r="C7696" s="1">
        <v>218</v>
      </c>
      <c r="D7696" s="276">
        <f t="shared" si="1110"/>
        <v>48210</v>
      </c>
      <c r="E7696" s="1"/>
      <c r="F7696" s="39">
        <f t="shared" si="1111"/>
        <v>755</v>
      </c>
      <c r="G7696" s="168">
        <f>SUM(C7696,C7672,C7648,C7624,C7600,C7576,C7552,C7528,C7504,C7480,C7456,C7432,C7408,C7384)/POBLA!$B$15*100000</f>
        <v>946.30430821450568</v>
      </c>
      <c r="H7696" s="256">
        <f t="shared" si="1108"/>
        <v>1.6204228984012377</v>
      </c>
      <c r="I7696" s="297">
        <f t="shared" si="1112"/>
        <v>1533.4131698865274</v>
      </c>
      <c r="J7696" s="297">
        <f t="shared" si="1113"/>
        <v>437.14285714285717</v>
      </c>
      <c r="K7696" s="297">
        <f>J7696/POBLA!$B$15*100000</f>
        <v>65.829116648549316</v>
      </c>
      <c r="L7696" s="549">
        <f t="shared" si="1109"/>
        <v>5.0868486352357301E-2</v>
      </c>
      <c r="M7696" s="401">
        <f>SUM(C7696,C7672,C7648,C7624,C7600,C7576,C7552)/POBLA!$B$15*100000</f>
        <v>460.80381653984517</v>
      </c>
    </row>
    <row r="7697" spans="1:13" s="360" customFormat="1" x14ac:dyDescent="0.25">
      <c r="A7697" s="361" t="s">
        <v>18</v>
      </c>
      <c r="B7697" s="29">
        <v>44213</v>
      </c>
      <c r="C7697" s="1">
        <v>177</v>
      </c>
      <c r="D7697" s="276">
        <f t="shared" si="1110"/>
        <v>43884</v>
      </c>
      <c r="E7697" s="1">
        <v>4</v>
      </c>
      <c r="F7697" s="39">
        <f t="shared" si="1111"/>
        <v>1002</v>
      </c>
      <c r="G7697" s="168">
        <f>SUM(C7697,C7673,C7649,C7625,C7601,C7577,C7553,C7529,C7505,C7481,C7457,C7433,C7409,C7385)/POBLA!$B$16*100000</f>
        <v>643.65110151014562</v>
      </c>
      <c r="H7697" s="256">
        <f t="shared" si="1108"/>
        <v>1.4262003556609366</v>
      </c>
      <c r="I7697" s="297">
        <f t="shared" si="1112"/>
        <v>917.97542989532326</v>
      </c>
      <c r="J7697" s="297">
        <f t="shared" si="1113"/>
        <v>342.85714285714283</v>
      </c>
      <c r="K7697" s="297">
        <f>J7697/POBLA!$B$16*100000</f>
        <v>45.860427610270435</v>
      </c>
      <c r="L7697" s="549">
        <f t="shared" si="1109"/>
        <v>4.9751243781094301E-3</v>
      </c>
      <c r="M7697" s="401">
        <f>SUM(C7697,C7673,C7649,C7625,C7601,C7577,C7553)/POBLA!$B$16*100000</f>
        <v>321.02299327189309</v>
      </c>
    </row>
    <row r="7698" spans="1:13" s="360" customFormat="1" x14ac:dyDescent="0.25">
      <c r="A7698" s="361" t="s">
        <v>34</v>
      </c>
      <c r="B7698" s="29">
        <v>44213</v>
      </c>
      <c r="C7698" s="1">
        <v>42</v>
      </c>
      <c r="D7698" s="276">
        <f t="shared" si="1110"/>
        <v>23085</v>
      </c>
      <c r="E7698" s="1"/>
      <c r="F7698" s="39">
        <f t="shared" si="1111"/>
        <v>1025</v>
      </c>
      <c r="G7698" s="168">
        <f>SUM(C7698,C7674,C7650,C7626,C7602,C7578,C7554,C7530,C7506,C7482,C7458,C7434,C7410,C7386)/POBLA!$B$17*100000</f>
        <v>47.177858420089343</v>
      </c>
      <c r="H7698" s="256">
        <f t="shared" si="1108"/>
        <v>1.4933333333333334</v>
      </c>
      <c r="I7698" s="297">
        <f t="shared" si="1112"/>
        <v>70.452268574000087</v>
      </c>
      <c r="J7698" s="297">
        <f t="shared" si="1113"/>
        <v>53.571428571428569</v>
      </c>
      <c r="K7698" s="297">
        <f>J7698/POBLA!$B$17*100000</f>
        <v>3.7609899888464078</v>
      </c>
      <c r="L7698" s="549">
        <f t="shared" si="1109"/>
        <v>-0.26262626262626254</v>
      </c>
      <c r="M7698" s="401">
        <f>SUM(C7698,C7674,C7650,C7626,C7602,C7578,C7554)/POBLA!$B$17*100000</f>
        <v>26.326929921924854</v>
      </c>
    </row>
    <row r="7699" spans="1:13" s="360" customFormat="1" x14ac:dyDescent="0.25">
      <c r="A7699" s="361" t="s">
        <v>35</v>
      </c>
      <c r="B7699" s="29">
        <v>44213</v>
      </c>
      <c r="C7699" s="1">
        <v>3</v>
      </c>
      <c r="D7699" s="276">
        <f t="shared" si="1110"/>
        <v>13091</v>
      </c>
      <c r="E7699" s="1"/>
      <c r="F7699" s="39">
        <f t="shared" si="1111"/>
        <v>214</v>
      </c>
      <c r="G7699" s="168">
        <f>SUM(C7699,C7675,C7651,C7627,C7603,C7579,C7555,C7531,C7507,C7483,C7459,C7435,C7411,C7387)/POBLA!$B$18*100000</f>
        <v>191.11207257394551</v>
      </c>
      <c r="H7699" s="256">
        <f t="shared" si="1108"/>
        <v>1.1475787855495772</v>
      </c>
      <c r="I7699" s="297">
        <f t="shared" si="1112"/>
        <v>219.31616014827105</v>
      </c>
      <c r="J7699" s="297">
        <f t="shared" si="1113"/>
        <v>101.28571428571429</v>
      </c>
      <c r="K7699" s="297">
        <f>J7699/POBLA!$B$18*100000</f>
        <v>12.965119075201164</v>
      </c>
      <c r="L7699" s="549">
        <f t="shared" si="1109"/>
        <v>9.5663265306122458E-2</v>
      </c>
      <c r="M7699" s="401">
        <f>SUM(C7699,C7675,C7651,C7627,C7603,C7579,C7555)/POBLA!$B$18*100000</f>
        <v>90.755833526408153</v>
      </c>
    </row>
    <row r="7700" spans="1:13" s="360" customFormat="1" x14ac:dyDescent="0.25">
      <c r="A7700" s="361" t="s">
        <v>36</v>
      </c>
      <c r="B7700" s="29">
        <v>44213</v>
      </c>
      <c r="C7700" s="1">
        <v>58</v>
      </c>
      <c r="D7700" s="276">
        <f t="shared" si="1110"/>
        <v>16875</v>
      </c>
      <c r="E7700" s="1"/>
      <c r="F7700" s="39">
        <f t="shared" si="1111"/>
        <v>328</v>
      </c>
      <c r="G7700" s="168">
        <f>SUM(C7700,C7676,C7652,C7628,C7604,C7580,C7556,C7532,C7508,C7484,C7460,C7436,C7412,C7388)/POBLA!$B$19*100000</f>
        <v>127.87019404793755</v>
      </c>
      <c r="H7700" s="256">
        <f t="shared" si="1108"/>
        <v>1.9756838905775076</v>
      </c>
      <c r="I7700" s="297">
        <f t="shared" si="1112"/>
        <v>252.63108246553011</v>
      </c>
      <c r="J7700" s="297">
        <f t="shared" si="1113"/>
        <v>47.285714285714285</v>
      </c>
      <c r="K7700" s="297">
        <f>J7700/POBLA!$B$19*100000</f>
        <v>9.3022053252455681</v>
      </c>
      <c r="L7700" s="549">
        <f t="shared" si="1109"/>
        <v>-3.7617554858934144E-2</v>
      </c>
      <c r="M7700" s="401">
        <f>SUM(C7700,C7676,C7652,C7628,C7604,C7580,C7556)/POBLA!$B$19*100000</f>
        <v>65.115437276718964</v>
      </c>
    </row>
    <row r="7701" spans="1:13" s="360" customFormat="1" x14ac:dyDescent="0.25">
      <c r="A7701" s="361" t="s">
        <v>37</v>
      </c>
      <c r="B7701" s="29">
        <v>44213</v>
      </c>
      <c r="C7701" s="1">
        <v>266</v>
      </c>
      <c r="D7701" s="276">
        <f t="shared" si="1110"/>
        <v>29379</v>
      </c>
      <c r="E7701" s="1">
        <v>1</v>
      </c>
      <c r="F7701" s="39">
        <f t="shared" si="1111"/>
        <v>451</v>
      </c>
      <c r="G7701" s="168">
        <f>SUM(C7701,C7677,C7653,C7629,C7605,C7581,C7557,C7533,C7509,C7485,C7461,C7437,C7413,C7389)/POBLA!$B$20*100000</f>
        <v>1361.2324923844265</v>
      </c>
      <c r="H7701" s="256">
        <f t="shared" si="1108"/>
        <v>1.3320845598073321</v>
      </c>
      <c r="I7701" s="297">
        <f t="shared" si="1112"/>
        <v>1813.2767854133463</v>
      </c>
      <c r="J7701" s="297">
        <f t="shared" si="1113"/>
        <v>312.14285714285717</v>
      </c>
      <c r="K7701" s="297">
        <f>J7701/POBLA!$B$20*100000</f>
        <v>85.355363481030025</v>
      </c>
      <c r="L7701" s="549">
        <f t="shared" si="1109"/>
        <v>0.21768707482993199</v>
      </c>
      <c r="M7701" s="401">
        <f>SUM(C7701,C7677,C7653,C7629,C7605,C7581,C7557)/POBLA!$B$20*100000</f>
        <v>597.48754436721015</v>
      </c>
    </row>
    <row r="7702" spans="1:13" s="360" customFormat="1" x14ac:dyDescent="0.25">
      <c r="A7702" s="361" t="s">
        <v>22</v>
      </c>
      <c r="B7702" s="29">
        <v>44213</v>
      </c>
      <c r="C7702" s="1">
        <v>655</v>
      </c>
      <c r="D7702" s="276">
        <f t="shared" si="1110"/>
        <v>195062</v>
      </c>
      <c r="E7702" s="1">
        <v>7</v>
      </c>
      <c r="F7702" s="39">
        <f t="shared" si="1111"/>
        <v>3173</v>
      </c>
      <c r="G7702" s="168">
        <f>SUM(C7702,C7678,C7654,C7630,C7606,C7582,C7558,C7534,C7510,C7486,C7462,C7438,C7414,C7390)/POBLA!$B$21*100000</f>
        <v>487.8099817385841</v>
      </c>
      <c r="H7702" s="256">
        <f t="shared" si="1108"/>
        <v>1.5513489208633093</v>
      </c>
      <c r="I7702" s="297">
        <f t="shared" si="1112"/>
        <v>756.76348875650308</v>
      </c>
      <c r="J7702" s="297">
        <f t="shared" si="1113"/>
        <v>1232</v>
      </c>
      <c r="K7702" s="297">
        <f>J7702/POBLA!$B$21*100000</f>
        <v>34.837510724128201</v>
      </c>
      <c r="L7702" s="549">
        <f t="shared" si="1109"/>
        <v>3.4774545033033899E-4</v>
      </c>
      <c r="M7702" s="401">
        <f>SUM(C7702,C7678,C7654,C7630,C7606,C7582,C7558)/POBLA!$B$21*100000</f>
        <v>243.8625750688974</v>
      </c>
    </row>
    <row r="7703" spans="1:13" s="360" customFormat="1" x14ac:dyDescent="0.25">
      <c r="A7703" s="361" t="s">
        <v>38</v>
      </c>
      <c r="B7703" s="29">
        <v>44213</v>
      </c>
      <c r="C7703" s="1">
        <v>144</v>
      </c>
      <c r="D7703" s="276">
        <f t="shared" si="1110"/>
        <v>19599</v>
      </c>
      <c r="E7703" s="1"/>
      <c r="F7703" s="39">
        <f t="shared" si="1111"/>
        <v>229</v>
      </c>
      <c r="G7703" s="168">
        <f>SUM(C7703,C7679,C7655,C7631,C7607,C7583,C7559,C7535,C7511,C7487,C7463,C7439,C7415,C7391)/POBLA!$B$22*100000</f>
        <v>202.59364845402237</v>
      </c>
      <c r="H7703" s="256">
        <f t="shared" si="1108"/>
        <v>2.5442875481386391</v>
      </c>
      <c r="I7703" s="297">
        <f t="shared" si="1112"/>
        <v>515.45649709354598</v>
      </c>
      <c r="J7703" s="297">
        <f t="shared" si="1113"/>
        <v>140.28571428571428</v>
      </c>
      <c r="K7703" s="297">
        <f>J7703/POBLA!$B$22*100000</f>
        <v>14.339553321453797</v>
      </c>
      <c r="L7703" s="549">
        <f t="shared" si="1109"/>
        <v>1.8000000000000016E-2</v>
      </c>
      <c r="M7703" s="401">
        <f>SUM(C7703,C7679,C7655,C7631,C7607,C7583,C7559)/POBLA!$B$22*100000</f>
        <v>100.37687325017657</v>
      </c>
    </row>
    <row r="7704" spans="1:13" s="360" customFormat="1" x14ac:dyDescent="0.25">
      <c r="A7704" s="361" t="s">
        <v>39</v>
      </c>
      <c r="B7704" s="29">
        <v>44213</v>
      </c>
      <c r="C7704" s="1">
        <v>60</v>
      </c>
      <c r="D7704" s="276">
        <f t="shared" si="1110"/>
        <v>20760</v>
      </c>
      <c r="E7704" s="1"/>
      <c r="F7704" s="39">
        <f t="shared" si="1111"/>
        <v>299</v>
      </c>
      <c r="G7704" s="168">
        <f>SUM(C7704,C7680,C7656,C7632,C7608,C7584,C7560,C7536,C7512,C7488,C7464,C7440,C7416,C7392)/POBLA!$B$23*100000</f>
        <v>751.00378894983885</v>
      </c>
      <c r="H7704" s="256">
        <f t="shared" si="1108"/>
        <v>1.031055900621118</v>
      </c>
      <c r="I7704" s="297">
        <f t="shared" si="1112"/>
        <v>774.32688798554807</v>
      </c>
      <c r="J7704" s="297">
        <f t="shared" si="1113"/>
        <v>84.142857142857139</v>
      </c>
      <c r="K7704" s="297">
        <f>J7704/POBLA!$B$23*100000</f>
        <v>47.584039553727955</v>
      </c>
      <c r="L7704" s="549">
        <f t="shared" si="1109"/>
        <v>0.20297699594046004</v>
      </c>
      <c r="M7704" s="401">
        <f>SUM(C7704,C7680,C7656,C7632,C7608,C7584,C7560)/POBLA!$B$23*100000</f>
        <v>333.08827687609568</v>
      </c>
    </row>
    <row r="7705" spans="1:13" s="360" customFormat="1" ht="15.75" thickBot="1" x14ac:dyDescent="0.3">
      <c r="A7705" s="361" t="s">
        <v>40</v>
      </c>
      <c r="B7705" s="29">
        <v>44213</v>
      </c>
      <c r="C7705" s="1">
        <v>104</v>
      </c>
      <c r="D7705" s="276">
        <f t="shared" si="1110"/>
        <v>74297</v>
      </c>
      <c r="E7705" s="1">
        <v>1</v>
      </c>
      <c r="F7705" s="39">
        <f t="shared" si="1111"/>
        <v>1401</v>
      </c>
      <c r="G7705" s="177">
        <f>SUM(C7705,C7681,C7657,C7633,C7609,C7585,C7561,C7537,C7513,C7489,C7465,C7441,C7417,C7393)/POBLA!$B$24*100000</f>
        <v>177.02707806186035</v>
      </c>
      <c r="H7705" s="402">
        <f t="shared" si="1108"/>
        <v>1.8181818181818181</v>
      </c>
      <c r="I7705" s="403">
        <f t="shared" si="1112"/>
        <v>321.8674146579279</v>
      </c>
      <c r="J7705" s="403">
        <f t="shared" si="1113"/>
        <v>208.42857142857142</v>
      </c>
      <c r="K7705" s="403">
        <f>J7705/POBLA!$B$24*100000</f>
        <v>12.29916699486925</v>
      </c>
      <c r="L7705" s="550">
        <f t="shared" si="1109"/>
        <v>5.3212199870214194E-2</v>
      </c>
      <c r="M7705" s="405">
        <f>SUM(C7705,C7681,C7657,C7633,C7609,C7585,C7561)/POBLA!$B$24*100000</f>
        <v>86.094168964084758</v>
      </c>
    </row>
    <row r="7706" spans="1:13" s="360" customFormat="1" x14ac:dyDescent="0.25">
      <c r="A7706" s="361" t="s">
        <v>16</v>
      </c>
      <c r="B7706" s="29">
        <v>44214</v>
      </c>
      <c r="C7706" s="1">
        <v>2987</v>
      </c>
      <c r="D7706" s="276">
        <f>C7706+D7682</f>
        <v>754445</v>
      </c>
      <c r="E7706" s="1">
        <v>248</v>
      </c>
      <c r="F7706" s="39">
        <f>E7706+F7682</f>
        <v>23567</v>
      </c>
      <c r="G7706" s="175">
        <f>SUM(C7706,C7682,C7658,C7634,C7610,C7586,C7562,C7538,C7514,C7490,C7466,C7442,C7418,C7394)/POBLA!$B$1*100000</f>
        <v>348.32967821192477</v>
      </c>
      <c r="H7706" s="300">
        <f t="shared" ref="H7706:H7729" si="1114">SUM(C7706,C7682,C7658,C7634,C7610,C7586,C7562,C7538,C7514,C7490,C7466,C7442,C7418,C7394)/SUM(C7370,C7346,C7322,C7298,C7274,C7250,C7226,C7202,C7178,C7154,C7130,C7106,C7082,C7058)</f>
        <v>1.560370805454824</v>
      </c>
      <c r="I7706" s="301">
        <f>G7706*H7706</f>
        <v>543.52346055536066</v>
      </c>
      <c r="J7706" s="301">
        <f>AVERAGE(C7706,C7682,C7658,C7634,C7610,C7586,C7562)</f>
        <v>4187.2857142857147</v>
      </c>
      <c r="K7706" s="301">
        <f>J7706/POBLA!$B$1*100000</f>
        <v>23.871227728491064</v>
      </c>
      <c r="L7706" s="548">
        <f t="shared" ref="L7706:L7729" si="1115">1-SUM(C7706,C7682,C7658,C7634,C7610,C7586,C7562)/SUM(C7538,C7514,C7490,C7466,C7442,C7418,C7394)</f>
        <v>7.7980497011638894E-2</v>
      </c>
      <c r="M7706" s="400">
        <f>SUM(C7706,C7682,C7658,C7634,C7610,C7586,C7562)/POBLA!$B$1*100000</f>
        <v>167.09859409943743</v>
      </c>
    </row>
    <row r="7707" spans="1:13" s="360" customFormat="1" x14ac:dyDescent="0.25">
      <c r="A7707" s="361" t="s">
        <v>43</v>
      </c>
      <c r="B7707" s="29">
        <v>44214</v>
      </c>
      <c r="C7707" s="1">
        <v>1210</v>
      </c>
      <c r="D7707" s="276">
        <f t="shared" si="1110"/>
        <v>195898</v>
      </c>
      <c r="E7707" s="1">
        <v>40</v>
      </c>
      <c r="F7707" s="39">
        <f t="shared" si="1111"/>
        <v>5701</v>
      </c>
      <c r="G7707" s="168">
        <f>SUM(C7707,C7683,C7659,C7635,C7611,C7587,C7563,C7539,C7515,C7491,C7467,C7443,C7419,C7395)/POBLA!$B$2*100000</f>
        <v>595.90733133787171</v>
      </c>
      <c r="H7707" s="256">
        <f t="shared" si="1114"/>
        <v>1.6670911406221576</v>
      </c>
      <c r="I7707" s="297">
        <f t="shared" ref="I7707:I7729" si="1116">G7707*H7707</f>
        <v>993.43183270515851</v>
      </c>
      <c r="J7707" s="297">
        <f t="shared" ref="J7707:J7729" si="1117">AVERAGE(C7707,C7683,C7659,C7635,C7611,C7587,C7563)</f>
        <v>1278</v>
      </c>
      <c r="K7707" s="297">
        <f>J7707/POBLA!$B$2*100000</f>
        <v>41.552246259810133</v>
      </c>
      <c r="L7707" s="549">
        <f t="shared" si="1115"/>
        <v>4.6471967597527142E-2</v>
      </c>
      <c r="M7707" s="401">
        <f>SUM(C7707,C7683,C7659,C7635,C7611,C7587,C7563)/POBLA!$B$2*100000</f>
        <v>290.86572381867092</v>
      </c>
    </row>
    <row r="7708" spans="1:13" s="360" customFormat="1" x14ac:dyDescent="0.25">
      <c r="A7708" s="361" t="s">
        <v>28</v>
      </c>
      <c r="B7708" s="29">
        <v>44214</v>
      </c>
      <c r="C7708" s="1">
        <v>59</v>
      </c>
      <c r="D7708" s="276">
        <f t="shared" si="1110"/>
        <v>4240</v>
      </c>
      <c r="E7708" s="1"/>
      <c r="F7708" s="39">
        <f t="shared" si="1111"/>
        <v>17</v>
      </c>
      <c r="G7708" s="168">
        <f>SUM(C7708,C7684,C7660,C7636,C7612,C7588,C7564,C7540,C7516,C7492,C7468,C7444,C7420,C7396)/POBLA!$B$3*100000</f>
        <v>330.01314275535697</v>
      </c>
      <c r="H7708" s="256">
        <f t="shared" si="1114"/>
        <v>2.7041420118343193</v>
      </c>
      <c r="I7708" s="297">
        <f t="shared" si="1116"/>
        <v>892.40240378223746</v>
      </c>
      <c r="J7708" s="297">
        <f t="shared" si="1117"/>
        <v>148</v>
      </c>
      <c r="K7708" s="297">
        <f>J7708/POBLA!$B$3*100000</f>
        <v>35.625051150833578</v>
      </c>
      <c r="L7708" s="549">
        <f t="shared" si="1115"/>
        <v>-2.0925373134328358</v>
      </c>
      <c r="M7708" s="401">
        <f>SUM(C7708,C7684,C7660,C7636,C7612,C7588,C7564)/POBLA!$B$3*100000</f>
        <v>249.37535805583505</v>
      </c>
    </row>
    <row r="7709" spans="1:13" s="360" customFormat="1" x14ac:dyDescent="0.25">
      <c r="A7709" s="361" t="s">
        <v>15</v>
      </c>
      <c r="B7709" s="29">
        <v>44214</v>
      </c>
      <c r="C7709" s="1">
        <v>141</v>
      </c>
      <c r="D7709" s="276">
        <f t="shared" si="1110"/>
        <v>28652</v>
      </c>
      <c r="E7709" s="1">
        <v>8</v>
      </c>
      <c r="F7709" s="39">
        <f t="shared" si="1111"/>
        <v>765</v>
      </c>
      <c r="G7709" s="168">
        <f>SUM(C7709,C7685,C7661,C7637,C7613,C7589,C7565,C7541,C7517,C7493,C7469,C7445,C7421,C7397)/POBLA!$B$4*100000</f>
        <v>276.37083337138381</v>
      </c>
      <c r="H7709" s="256">
        <f t="shared" si="1114"/>
        <v>1.446133796698523</v>
      </c>
      <c r="I7709" s="297">
        <f t="shared" si="1116"/>
        <v>399.66920256009416</v>
      </c>
      <c r="J7709" s="297">
        <f t="shared" si="1117"/>
        <v>224.14285714285714</v>
      </c>
      <c r="K7709" s="297">
        <f>J7709/POBLA!$B$4*100000</f>
        <v>18.608155068433298</v>
      </c>
      <c r="L7709" s="549">
        <f t="shared" si="1115"/>
        <v>0.10852272727272727</v>
      </c>
      <c r="M7709" s="401">
        <f>SUM(C7709,C7685,C7661,C7637,C7613,C7589,C7565)/POBLA!$B$4*100000</f>
        <v>130.25708547903309</v>
      </c>
    </row>
    <row r="7710" spans="1:13" s="360" customFormat="1" x14ac:dyDescent="0.25">
      <c r="A7710" s="361" t="s">
        <v>29</v>
      </c>
      <c r="B7710" s="29">
        <v>44214</v>
      </c>
      <c r="C7710" s="1">
        <v>183</v>
      </c>
      <c r="D7710" s="276">
        <f t="shared" si="1110"/>
        <v>38421</v>
      </c>
      <c r="E7710" s="1">
        <v>1</v>
      </c>
      <c r="F7710" s="39">
        <f t="shared" si="1111"/>
        <v>563</v>
      </c>
      <c r="G7710" s="168">
        <f>SUM(C7710,C7686,C7662,C7638,C7614,C7590,C7566,C7542,C7518,C7494,C7470,C7446,C7422,C7398)/POBLA!$B$5*100000</f>
        <v>913.09447264432288</v>
      </c>
      <c r="H7710" s="256">
        <f t="shared" si="1114"/>
        <v>1.3227240814416101</v>
      </c>
      <c r="I7710" s="297">
        <f t="shared" si="1116"/>
        <v>1207.7720475978733</v>
      </c>
      <c r="J7710" s="297">
        <f t="shared" si="1117"/>
        <v>370.85714285714283</v>
      </c>
      <c r="K7710" s="297">
        <f>J7710/POBLA!$B$5*100000</f>
        <v>59.912881684982864</v>
      </c>
      <c r="L7710" s="549">
        <f t="shared" si="1115"/>
        <v>0.15052356020942403</v>
      </c>
      <c r="M7710" s="401">
        <f>SUM(C7710,C7686,C7662,C7638,C7614,C7590,C7566)/POBLA!$B$5*100000</f>
        <v>419.39017179488008</v>
      </c>
    </row>
    <row r="7711" spans="1:13" s="360" customFormat="1" x14ac:dyDescent="0.25">
      <c r="A7711" s="361" t="s">
        <v>30</v>
      </c>
      <c r="B7711" s="29">
        <v>44214</v>
      </c>
      <c r="C7711" s="1">
        <v>94</v>
      </c>
      <c r="D7711" s="276">
        <f>C7711+D7688</f>
        <v>15561</v>
      </c>
      <c r="E7711" s="1"/>
      <c r="F7711" s="39">
        <f t="shared" si="1111"/>
        <v>2551</v>
      </c>
      <c r="G7711" s="168">
        <f>SUM(C7711,C7687,C7663,C7639,C7615,C7591,C7567,C7543,C7519,C7495,C7471,C7447,C7423,C7399)/POBLA!$B$6*100000</f>
        <v>816.55887173548206</v>
      </c>
      <c r="H7711" s="256">
        <f t="shared" si="1114"/>
        <v>1.5601772928741902</v>
      </c>
      <c r="I7711" s="297">
        <f t="shared" si="1116"/>
        <v>1273.9766099766675</v>
      </c>
      <c r="J7711" s="297">
        <f t="shared" si="1117"/>
        <v>570.42857142857144</v>
      </c>
      <c r="K7711" s="297">
        <f>J7711/POBLA!$B$6*100000</f>
        <v>50.894723633238321</v>
      </c>
      <c r="L7711" s="549">
        <f t="shared" si="1115"/>
        <v>0.22601279317697232</v>
      </c>
      <c r="M7711" s="401">
        <f>SUM(C7711,C7687,C7663,C7639,C7615,C7591,C7567)/POBLA!$B$6*100000</f>
        <v>356.26306543266827</v>
      </c>
    </row>
    <row r="7712" spans="1:13" s="360" customFormat="1" x14ac:dyDescent="0.25">
      <c r="A7712" s="361" t="s">
        <v>20</v>
      </c>
      <c r="B7712" s="29">
        <v>44214</v>
      </c>
      <c r="C7712" s="1">
        <v>343</v>
      </c>
      <c r="D7712" s="276">
        <f>C7712+D7687</f>
        <v>138083</v>
      </c>
      <c r="E7712" s="1">
        <v>11</v>
      </c>
      <c r="F7712" s="39">
        <f t="shared" si="1111"/>
        <v>193</v>
      </c>
      <c r="G7712" s="168">
        <f>SUM(C7712,C7688,C7664,C7640,C7616,C7592,C7568,C7544,C7520,C7496,C7472,C7448,C7424,C7400)/POBLA!$B$7*100000</f>
        <v>89.11167546437261</v>
      </c>
      <c r="H7712" s="256">
        <f t="shared" si="1114"/>
        <v>1.9170480549199085</v>
      </c>
      <c r="I7712" s="297">
        <f t="shared" si="1116"/>
        <v>170.83136411962965</v>
      </c>
      <c r="J7712" s="297">
        <f t="shared" si="1117"/>
        <v>268</v>
      </c>
      <c r="K7712" s="297">
        <f>J7712/POBLA!$B$7*100000</f>
        <v>7.1268066321849783</v>
      </c>
      <c r="L7712" s="549">
        <f t="shared" si="1115"/>
        <v>-0.27186440677966095</v>
      </c>
      <c r="M7712" s="401">
        <f>SUM(C7712,C7688,C7664,C7640,C7616,C7592,C7568)/POBLA!$B$7*100000</f>
        <v>49.887646425294847</v>
      </c>
    </row>
    <row r="7713" spans="1:13" x14ac:dyDescent="0.25">
      <c r="A7713" s="361" t="s">
        <v>31</v>
      </c>
      <c r="B7713" s="29">
        <v>44214</v>
      </c>
      <c r="C7713" s="1">
        <v>241</v>
      </c>
      <c r="D7713" s="276">
        <f t="shared" si="1110"/>
        <v>36732</v>
      </c>
      <c r="E7713" s="1">
        <v>5</v>
      </c>
      <c r="F7713" s="39">
        <f t="shared" si="1111"/>
        <v>640</v>
      </c>
      <c r="G7713" s="168">
        <f>SUM(C7713,C7689,C7665,C7641,C7617,C7593,C7569,C7545,C7521,C7497,C7473,C7449,C7425,C7401)/POBLA!$B$8*100000</f>
        <v>455.64052668148673</v>
      </c>
      <c r="H7713" s="256">
        <f t="shared" si="1114"/>
        <v>1.8497363796133568</v>
      </c>
      <c r="I7713" s="297">
        <f t="shared" si="1116"/>
        <v>842.81485822893637</v>
      </c>
      <c r="J7713" s="297">
        <f t="shared" si="1117"/>
        <v>430.28571428571428</v>
      </c>
      <c r="K7713" s="297">
        <f>J7713/POBLA!$B$8*100000</f>
        <v>31.046018920136586</v>
      </c>
      <c r="L7713" s="549">
        <f t="shared" si="1115"/>
        <v>8.8101725703905509E-2</v>
      </c>
      <c r="M7713" s="401">
        <f>SUM(C7713,C7689,C7665,C7641,C7617,C7593,C7569)/POBLA!$B$8*100000</f>
        <v>217.32213244095612</v>
      </c>
    </row>
    <row r="7714" spans="1:13" s="360" customFormat="1" x14ac:dyDescent="0.25">
      <c r="A7714" s="361" t="s">
        <v>41</v>
      </c>
      <c r="B7714" s="29">
        <v>44214</v>
      </c>
      <c r="C7714" s="1">
        <v>13</v>
      </c>
      <c r="D7714" s="276">
        <f t="shared" si="1110"/>
        <v>676</v>
      </c>
      <c r="E7714" s="1"/>
      <c r="F7714" s="39">
        <f t="shared" si="1111"/>
        <v>6</v>
      </c>
      <c r="G7714" s="168">
        <f>SUM(C7714,C7690,C7666,C7642,C7618,C7594,C7570,C7546,C7522,C7498,C7474,C7450,C7426,C7402)/POBLA!$B$9*100000</f>
        <v>75.182627690670586</v>
      </c>
      <c r="H7714" s="256">
        <f t="shared" si="1114"/>
        <v>25.277777777777779</v>
      </c>
      <c r="I7714" s="297">
        <f t="shared" si="1116"/>
        <v>1900.4497555141731</v>
      </c>
      <c r="J7714" s="297">
        <f t="shared" si="1117"/>
        <v>52</v>
      </c>
      <c r="K7714" s="297">
        <f>J7714/POBLA!$B$9*100000</f>
        <v>8.5923003075052087</v>
      </c>
      <c r="L7714" s="549">
        <f t="shared" si="1115"/>
        <v>-3</v>
      </c>
      <c r="M7714" s="401">
        <f>SUM(C7714,C7690,C7666,C7642,C7618,C7594,C7570)/POBLA!$B$9*100000</f>
        <v>60.146102152536471</v>
      </c>
    </row>
    <row r="7715" spans="1:13" s="360" customFormat="1" x14ac:dyDescent="0.25">
      <c r="A7715" s="361" t="s">
        <v>32</v>
      </c>
      <c r="B7715" s="29">
        <v>44214</v>
      </c>
      <c r="C7715" s="1">
        <v>56</v>
      </c>
      <c r="D7715" s="276">
        <f t="shared" si="1110"/>
        <v>18917</v>
      </c>
      <c r="E7715" s="1"/>
      <c r="F7715" s="39">
        <f t="shared" si="1111"/>
        <v>863</v>
      </c>
      <c r="G7715" s="168">
        <f>SUM(C7715,C7691,C7667,C7643,C7619,C7595,C7571,C7547,C7523,C7499,C7475,C7451,C7427,C7403)/POBLA!$B$10*100000</f>
        <v>45.143154390885236</v>
      </c>
      <c r="H7715" s="256">
        <f t="shared" si="1114"/>
        <v>4</v>
      </c>
      <c r="I7715" s="297">
        <f t="shared" si="1116"/>
        <v>180.57261756354094</v>
      </c>
      <c r="J7715" s="297">
        <f t="shared" si="1117"/>
        <v>30.571428571428573</v>
      </c>
      <c r="K7715" s="297">
        <f>J7715/POBLA!$B$10*100000</f>
        <v>3.965777930890575</v>
      </c>
      <c r="L7715" s="549">
        <f t="shared" si="1115"/>
        <v>-0.59701492537313428</v>
      </c>
      <c r="M7715" s="401">
        <f>SUM(C7715,C7691,C7667,C7643,C7619,C7595,C7571)/POBLA!$B$10*100000</f>
        <v>27.760445516234025</v>
      </c>
    </row>
    <row r="7716" spans="1:13" s="360" customFormat="1" x14ac:dyDescent="0.25">
      <c r="A7716" s="361" t="s">
        <v>33</v>
      </c>
      <c r="B7716" s="29">
        <v>44214</v>
      </c>
      <c r="C7716" s="1">
        <v>133</v>
      </c>
      <c r="D7716" s="276">
        <f t="shared" si="1110"/>
        <v>15128</v>
      </c>
      <c r="E7716" s="1">
        <v>17</v>
      </c>
      <c r="F7716" s="39">
        <f t="shared" si="1111"/>
        <v>204</v>
      </c>
      <c r="G7716" s="168">
        <f>SUM(C7716,C7692,C7668,C7644,C7620,C7596,C7572,C7548,C7524,C7500,C7476,C7452,C7428,C7404)/POBLA!$B$11*100000</f>
        <v>973.4172553483545</v>
      </c>
      <c r="H7716" s="256">
        <f t="shared" si="1114"/>
        <v>1.087932647333957</v>
      </c>
      <c r="I7716" s="297">
        <f t="shared" si="1116"/>
        <v>1059.0124115716897</v>
      </c>
      <c r="J7716" s="297">
        <f t="shared" si="1117"/>
        <v>203.57142857142858</v>
      </c>
      <c r="K7716" s="297">
        <f>J7716/POBLA!$B$11*100000</f>
        <v>56.795626617180737</v>
      </c>
      <c r="L7716" s="549">
        <f t="shared" si="1115"/>
        <v>0.30959302325581395</v>
      </c>
      <c r="M7716" s="401">
        <f>SUM(C7716,C7692,C7668,C7644,C7620,C7596,C7572)/POBLA!$B$11*100000</f>
        <v>397.56938632026515</v>
      </c>
    </row>
    <row r="7717" spans="1:13" s="360" customFormat="1" x14ac:dyDescent="0.25">
      <c r="A7717" s="361" t="s">
        <v>21</v>
      </c>
      <c r="B7717" s="29">
        <v>44214</v>
      </c>
      <c r="C7717" s="1">
        <v>12</v>
      </c>
      <c r="D7717" s="276">
        <f t="shared" si="1110"/>
        <v>9320</v>
      </c>
      <c r="E7717" s="1">
        <v>1</v>
      </c>
      <c r="F7717" s="39">
        <f t="shared" si="1111"/>
        <v>402</v>
      </c>
      <c r="G7717" s="168">
        <f>SUM(C7717,C7693,C7669,C7645,C7621,C7597,C7573,C7549,C7525,C7501,C7477,C7453,C7429,C7405)/POBLA!$B$12*100000</f>
        <v>49.04315034901952</v>
      </c>
      <c r="H7717" s="256">
        <f t="shared" si="1114"/>
        <v>1.7079646017699115</v>
      </c>
      <c r="I7717" s="297">
        <f t="shared" si="1116"/>
        <v>83.763964755405027</v>
      </c>
      <c r="J7717" s="297">
        <f t="shared" si="1117"/>
        <v>13.285714285714286</v>
      </c>
      <c r="K7717" s="297">
        <f>J7717/POBLA!$B$12*100000</f>
        <v>3.376027374136799</v>
      </c>
      <c r="L7717" s="549">
        <f t="shared" si="1115"/>
        <v>6.9999999999999951E-2</v>
      </c>
      <c r="M7717" s="401">
        <f>SUM(C7717,C7693,C7669,C7645,C7621,C7597,C7573)/POBLA!$B$12*100000</f>
        <v>23.632191618957592</v>
      </c>
    </row>
    <row r="7718" spans="1:13" s="360" customFormat="1" x14ac:dyDescent="0.25">
      <c r="A7718" s="361" t="s">
        <v>17</v>
      </c>
      <c r="B7718" s="29">
        <v>44214</v>
      </c>
      <c r="C7718" s="1">
        <v>71</v>
      </c>
      <c r="D7718" s="276">
        <f t="shared" si="1110"/>
        <v>62291</v>
      </c>
      <c r="E7718" s="1">
        <v>9</v>
      </c>
      <c r="F7718" s="39">
        <f t="shared" si="1111"/>
        <v>1295</v>
      </c>
      <c r="G7718" s="168">
        <f>SUM(C7718,C7694,C7670,C7646,C7622,C7598,C7574,C7550,C7526,C7502,C7478,C7454,C7430,C7406)/POBLA!$B$13*100000</f>
        <v>95.059231145664697</v>
      </c>
      <c r="H7718" s="256">
        <f t="shared" si="1114"/>
        <v>1.4035608308605341</v>
      </c>
      <c r="I7718" s="297">
        <f t="shared" si="1116"/>
        <v>133.42141344777269</v>
      </c>
      <c r="J7718" s="297">
        <f t="shared" si="1117"/>
        <v>128</v>
      </c>
      <c r="K7718" s="297">
        <f>J7718/POBLA!$B$13*100000</f>
        <v>6.4310684918842931</v>
      </c>
      <c r="L7718" s="549">
        <f t="shared" si="1115"/>
        <v>0.10040160642570284</v>
      </c>
      <c r="M7718" s="401">
        <f>SUM(C7718,C7694,C7670,C7646,C7622,C7598,C7574)/POBLA!$B$13*100000</f>
        <v>45.017479443190048</v>
      </c>
    </row>
    <row r="7719" spans="1:13" s="360" customFormat="1" x14ac:dyDescent="0.25">
      <c r="A7719" s="361" t="s">
        <v>23</v>
      </c>
      <c r="B7719" s="29">
        <v>44214</v>
      </c>
      <c r="C7719" s="1">
        <v>148</v>
      </c>
      <c r="D7719" s="276">
        <f t="shared" si="1110"/>
        <v>2328</v>
      </c>
      <c r="E7719" s="1">
        <v>6</v>
      </c>
      <c r="F7719" s="39">
        <f t="shared" si="1111"/>
        <v>45</v>
      </c>
      <c r="G7719" s="168">
        <f>SUM(C7719,C7695,C7671,C7647,C7623,C7599,C7575,C7551,C7527,C7503,C7479,C7455,C7431,C7407)/POBLA!$B$14*100000</f>
        <v>92.841161537278381</v>
      </c>
      <c r="H7719" s="256">
        <f t="shared" si="1114"/>
        <v>3.9965870307167237</v>
      </c>
      <c r="I7719" s="297">
        <f t="shared" si="1116"/>
        <v>371.0477821165631</v>
      </c>
      <c r="J7719" s="297">
        <f t="shared" si="1117"/>
        <v>122.57142857142857</v>
      </c>
      <c r="K7719" s="297">
        <f>J7719/POBLA!$B$14*100000</f>
        <v>9.7179110161016045</v>
      </c>
      <c r="L7719" s="549">
        <f t="shared" si="1115"/>
        <v>-1.7412140575079871</v>
      </c>
      <c r="M7719" s="401">
        <f>SUM(C7719,C7695,C7671,C7647,C7623,C7599,C7575)/POBLA!$B$14*100000</f>
        <v>68.025377112711226</v>
      </c>
    </row>
    <row r="7720" spans="1:13" s="360" customFormat="1" x14ac:dyDescent="0.25">
      <c r="A7720" s="361" t="s">
        <v>19</v>
      </c>
      <c r="B7720" s="29">
        <v>44214</v>
      </c>
      <c r="C7720" s="1">
        <v>469</v>
      </c>
      <c r="D7720" s="276">
        <f t="shared" si="1110"/>
        <v>48679</v>
      </c>
      <c r="E7720" s="1">
        <v>1</v>
      </c>
      <c r="F7720" s="39">
        <f t="shared" si="1111"/>
        <v>756</v>
      </c>
      <c r="G7720" s="168">
        <f>SUM(C7720,C7696,C7672,C7648,C7624,C7600,C7576,C7552,C7528,C7504,C7480,C7456,C7432,C7408)/POBLA!$B$15*100000</f>
        <v>971.0009833493209</v>
      </c>
      <c r="H7720" s="256">
        <f t="shared" si="1114"/>
        <v>1.6469987228607919</v>
      </c>
      <c r="I7720" s="297">
        <f t="shared" si="1116"/>
        <v>1599.2373794729046</v>
      </c>
      <c r="J7720" s="297">
        <f t="shared" si="1117"/>
        <v>446.28571428571428</v>
      </c>
      <c r="K7720" s="297">
        <f>J7720/POBLA!$B$15*100000</f>
        <v>67.205934774532054</v>
      </c>
      <c r="L7720" s="549">
        <f t="shared" si="1115"/>
        <v>6.0168471720818295E-2</v>
      </c>
      <c r="M7720" s="401">
        <f>SUM(C7720,C7696,C7672,C7648,C7624,C7600,C7576)/POBLA!$B$15*100000</f>
        <v>470.44154342172436</v>
      </c>
    </row>
    <row r="7721" spans="1:13" s="360" customFormat="1" x14ac:dyDescent="0.25">
      <c r="A7721" s="361" t="s">
        <v>18</v>
      </c>
      <c r="B7721" s="29">
        <v>44214</v>
      </c>
      <c r="C7721" s="1">
        <v>276</v>
      </c>
      <c r="D7721" s="276">
        <f t="shared" si="1110"/>
        <v>44160</v>
      </c>
      <c r="E7721" s="1">
        <v>2</v>
      </c>
      <c r="F7721" s="39">
        <f t="shared" si="1111"/>
        <v>1004</v>
      </c>
      <c r="G7721" s="168">
        <f>SUM(C7721,C7697,C7673,C7649,C7625,C7601,C7577,C7553,C7529,C7505,C7481,C7457,C7433,C7409)/POBLA!$B$16*100000</f>
        <v>641.77846738272638</v>
      </c>
      <c r="H7721" s="256">
        <f t="shared" si="1114"/>
        <v>1.3847041847041848</v>
      </c>
      <c r="I7721" s="297">
        <f t="shared" si="1116"/>
        <v>888.67332943789938</v>
      </c>
      <c r="J7721" s="297">
        <f t="shared" si="1117"/>
        <v>332.28571428571428</v>
      </c>
      <c r="K7721" s="297">
        <f>J7721/POBLA!$B$16*100000</f>
        <v>44.446397758953765</v>
      </c>
      <c r="L7721" s="549">
        <f t="shared" si="1115"/>
        <v>5.9061488673139206E-2</v>
      </c>
      <c r="M7721" s="401">
        <f>SUM(C7721,C7697,C7673,C7649,C7625,C7601,C7577)/POBLA!$B$16*100000</f>
        <v>311.12478431267641</v>
      </c>
    </row>
    <row r="7722" spans="1:13" s="360" customFormat="1" x14ac:dyDescent="0.25">
      <c r="A7722" s="361" t="s">
        <v>34</v>
      </c>
      <c r="B7722" s="29">
        <v>44214</v>
      </c>
      <c r="C7722" s="1">
        <v>22</v>
      </c>
      <c r="D7722" s="276">
        <f t="shared" si="1110"/>
        <v>23107</v>
      </c>
      <c r="E7722" s="1">
        <v>2</v>
      </c>
      <c r="F7722" s="39">
        <f t="shared" si="1111"/>
        <v>1027</v>
      </c>
      <c r="G7722" s="168">
        <f>SUM(C7722,C7698,C7674,C7650,C7626,C7602,C7578,C7554,C7530,C7506,C7482,C7458,C7434,C7410)/POBLA!$B$17*100000</f>
        <v>47.248063566547813</v>
      </c>
      <c r="H7722" s="256">
        <f t="shared" si="1114"/>
        <v>1.4535637149028078</v>
      </c>
      <c r="I7722" s="297">
        <f t="shared" si="1116"/>
        <v>68.678070799755247</v>
      </c>
      <c r="J7722" s="297">
        <f t="shared" si="1117"/>
        <v>49.714285714285715</v>
      </c>
      <c r="K7722" s="297">
        <f>J7722/POBLA!$B$17*100000</f>
        <v>3.4901987096494667</v>
      </c>
      <c r="L7722" s="549">
        <f t="shared" si="1115"/>
        <v>-7.0769230769230695E-2</v>
      </c>
      <c r="M7722" s="401">
        <f>SUM(C7722,C7698,C7674,C7650,C7626,C7602,C7578)/POBLA!$B$17*100000</f>
        <v>24.431390967546267</v>
      </c>
    </row>
    <row r="7723" spans="1:13" s="360" customFormat="1" x14ac:dyDescent="0.25">
      <c r="A7723" s="361" t="s">
        <v>35</v>
      </c>
      <c r="B7723" s="29">
        <v>44214</v>
      </c>
      <c r="C7723" s="1">
        <v>78</v>
      </c>
      <c r="D7723" s="276">
        <f t="shared" si="1110"/>
        <v>13169</v>
      </c>
      <c r="E7723" s="1">
        <v>2</v>
      </c>
      <c r="F7723" s="39">
        <f t="shared" si="1111"/>
        <v>216</v>
      </c>
      <c r="G7723" s="168">
        <f>SUM(C7723,C7699,C7675,C7651,C7627,C7603,C7579,C7555,C7531,C7507,C7483,C7459,C7435,C7411)/POBLA!$B$18*100000</f>
        <v>190.98406716699714</v>
      </c>
      <c r="H7723" s="256">
        <f t="shared" si="1114"/>
        <v>1.2806866952789699</v>
      </c>
      <c r="I7723" s="297">
        <f t="shared" si="1116"/>
        <v>244.5907538310384</v>
      </c>
      <c r="J7723" s="297">
        <f t="shared" si="1117"/>
        <v>100.14285714285714</v>
      </c>
      <c r="K7723" s="297">
        <f>J7723/POBLA!$B$18*100000</f>
        <v>12.818827181545862</v>
      </c>
      <c r="L7723" s="549">
        <f t="shared" si="1115"/>
        <v>0.11378002528445008</v>
      </c>
      <c r="M7723" s="401">
        <f>SUM(C7723,C7699,C7675,C7651,C7627,C7603,C7579)/POBLA!$B$18*100000</f>
        <v>89.731790270821037</v>
      </c>
    </row>
    <row r="7724" spans="1:13" s="360" customFormat="1" x14ac:dyDescent="0.25">
      <c r="A7724" s="361" t="s">
        <v>36</v>
      </c>
      <c r="B7724" s="29">
        <v>44214</v>
      </c>
      <c r="C7724" s="1">
        <v>89</v>
      </c>
      <c r="D7724" s="276">
        <f t="shared" si="1110"/>
        <v>16964</v>
      </c>
      <c r="E7724" s="1"/>
      <c r="F7724" s="39">
        <f t="shared" si="1111"/>
        <v>328</v>
      </c>
      <c r="G7724" s="168">
        <f>SUM(C7724,C7700,C7676,C7652,C7628,C7604,C7580,C7556,C7532,C7508,C7484,C7460,C7436,C7412)/POBLA!$B$19*100000</f>
        <v>135.93585244173053</v>
      </c>
      <c r="H7724" s="256">
        <f t="shared" si="1114"/>
        <v>2.0028985507246375</v>
      </c>
      <c r="I7724" s="297">
        <f t="shared" si="1116"/>
        <v>272.26572184706026</v>
      </c>
      <c r="J7724" s="297">
        <f t="shared" si="1117"/>
        <v>50.142857142857146</v>
      </c>
      <c r="K7724" s="297">
        <f>J7724/POBLA!$B$19*100000</f>
        <v>9.8642721122694681</v>
      </c>
      <c r="L7724" s="549">
        <f t="shared" si="1115"/>
        <v>-3.2352941176470695E-2</v>
      </c>
      <c r="M7724" s="401">
        <f>SUM(C7724,C7700,C7676,C7652,C7628,C7604,C7580)/POBLA!$B$19*100000</f>
        <v>69.049904785886284</v>
      </c>
    </row>
    <row r="7725" spans="1:13" s="360" customFormat="1" x14ac:dyDescent="0.25">
      <c r="A7725" s="361" t="s">
        <v>37</v>
      </c>
      <c r="B7725" s="29">
        <v>44214</v>
      </c>
      <c r="C7725" s="1">
        <v>299</v>
      </c>
      <c r="D7725" s="276">
        <f t="shared" si="1110"/>
        <v>29678</v>
      </c>
      <c r="E7725" s="1">
        <v>13</v>
      </c>
      <c r="F7725" s="39">
        <f t="shared" si="1111"/>
        <v>464</v>
      </c>
      <c r="G7725" s="168">
        <f>SUM(C7725,C7701,C7677,C7653,C7629,C7605,C7581,C7557,C7533,C7509,C7485,C7461,C7437,C7413)/POBLA!$B$20*100000</f>
        <v>1358.4979956138673</v>
      </c>
      <c r="H7725" s="256">
        <f t="shared" si="1114"/>
        <v>1.2847168347556246</v>
      </c>
      <c r="I7725" s="297">
        <f t="shared" si="1116"/>
        <v>1745.2852449469078</v>
      </c>
      <c r="J7725" s="297">
        <f t="shared" si="1117"/>
        <v>306</v>
      </c>
      <c r="K7725" s="297">
        <f>J7725/POBLA!$B$20*100000</f>
        <v>83.675601179115006</v>
      </c>
      <c r="L7725" s="549">
        <f t="shared" si="1115"/>
        <v>0.2420382165605095</v>
      </c>
      <c r="M7725" s="401">
        <f>SUM(C7725,C7701,C7677,C7653,C7629,C7605,C7581)/POBLA!$B$20*100000</f>
        <v>585.72920825380504</v>
      </c>
    </row>
    <row r="7726" spans="1:13" s="360" customFormat="1" x14ac:dyDescent="0.25">
      <c r="A7726" s="361" t="s">
        <v>22</v>
      </c>
      <c r="B7726" s="29">
        <v>44214</v>
      </c>
      <c r="C7726" s="1">
        <v>855</v>
      </c>
      <c r="D7726" s="276">
        <f t="shared" si="1110"/>
        <v>195917</v>
      </c>
      <c r="E7726" s="1">
        <v>37</v>
      </c>
      <c r="F7726" s="39">
        <f t="shared" si="1111"/>
        <v>3210</v>
      </c>
      <c r="G7726" s="168">
        <f>SUM(C7726,C7702,C7678,C7654,C7630,C7606,C7582,C7558,C7534,C7510,C7486,C7462,C7438,C7414)/POBLA!$B$21*100000</f>
        <v>482.4090364883337</v>
      </c>
      <c r="H7726" s="256">
        <f t="shared" si="1114"/>
        <v>1.5010998680158381</v>
      </c>
      <c r="I7726" s="297">
        <f t="shared" si="1116"/>
        <v>724.14414100228532</v>
      </c>
      <c r="J7726" s="297">
        <f t="shared" si="1117"/>
        <v>1201</v>
      </c>
      <c r="K7726" s="297">
        <f>J7726/POBLA!$B$21*100000</f>
        <v>33.960917515972376</v>
      </c>
      <c r="L7726" s="549">
        <f t="shared" si="1115"/>
        <v>2.8429446434762529E-2</v>
      </c>
      <c r="M7726" s="401">
        <f>SUM(C7726,C7702,C7678,C7654,C7630,C7606,C7582)/POBLA!$B$21*100000</f>
        <v>237.72642261180667</v>
      </c>
    </row>
    <row r="7727" spans="1:13" s="360" customFormat="1" x14ac:dyDescent="0.25">
      <c r="A7727" s="361" t="s">
        <v>38</v>
      </c>
      <c r="B7727" s="29">
        <v>44214</v>
      </c>
      <c r="C7727" s="1">
        <v>102</v>
      </c>
      <c r="D7727" s="276">
        <f t="shared" si="1110"/>
        <v>19701</v>
      </c>
      <c r="E7727" s="1">
        <v>9</v>
      </c>
      <c r="F7727" s="39">
        <f t="shared" si="1111"/>
        <v>238</v>
      </c>
      <c r="G7727" s="168">
        <f>SUM(C7727,C7703,C7679,C7655,C7631,C7607,C7583,C7559,C7535,C7511,C7487,C7463,C7439,C7415)/POBLA!$B$22*100000</f>
        <v>201.16261360116852</v>
      </c>
      <c r="H7727" s="256">
        <f t="shared" si="1114"/>
        <v>2.2963827304550759</v>
      </c>
      <c r="I7727" s="297">
        <f t="shared" si="1116"/>
        <v>461.94635188693076</v>
      </c>
      <c r="J7727" s="297">
        <f t="shared" si="1117"/>
        <v>130.42857142857142</v>
      </c>
      <c r="K7727" s="297">
        <f>J7727/POBLA!$B$22*100000</f>
        <v>13.331987965873031</v>
      </c>
      <c r="L7727" s="549">
        <f t="shared" si="1115"/>
        <v>0.13459715639810421</v>
      </c>
      <c r="M7727" s="401">
        <f>SUM(C7727,C7703,C7679,C7655,C7631,C7607,C7583)/POBLA!$B$22*100000</f>
        <v>93.323915761111223</v>
      </c>
    </row>
    <row r="7728" spans="1:13" s="360" customFormat="1" x14ac:dyDescent="0.25">
      <c r="A7728" s="361" t="s">
        <v>39</v>
      </c>
      <c r="B7728" s="29">
        <v>44214</v>
      </c>
      <c r="C7728" s="1">
        <v>125</v>
      </c>
      <c r="D7728" s="276">
        <f t="shared" si="1110"/>
        <v>20885</v>
      </c>
      <c r="E7728" s="1">
        <v>5</v>
      </c>
      <c r="F7728" s="39">
        <f t="shared" si="1111"/>
        <v>304</v>
      </c>
      <c r="G7728" s="168">
        <f>SUM(C7728,C7704,C7680,C7656,C7632,C7608,C7584,C7560,C7536,C7512,C7488,C7464,C7440,C7416)/POBLA!$B$23*100000</f>
        <v>765.14166148278014</v>
      </c>
      <c r="H7728" s="256">
        <f t="shared" si="1114"/>
        <v>1.0180586907449209</v>
      </c>
      <c r="I7728" s="297">
        <f t="shared" si="1116"/>
        <v>778.95911812355268</v>
      </c>
      <c r="J7728" s="297">
        <f t="shared" si="1117"/>
        <v>89.857142857142861</v>
      </c>
      <c r="K7728" s="297">
        <f>J7728/POBLA!$B$23*100000</f>
        <v>50.815553275543095</v>
      </c>
      <c r="L7728" s="549">
        <f t="shared" si="1115"/>
        <v>0.13121546961325969</v>
      </c>
      <c r="M7728" s="401">
        <f>SUM(C7728,C7704,C7680,C7656,C7632,C7608,C7584)/POBLA!$B$23*100000</f>
        <v>355.70887292880167</v>
      </c>
    </row>
    <row r="7729" spans="1:13" s="360" customFormat="1" ht="15.75" thickBot="1" x14ac:dyDescent="0.3">
      <c r="A7729" s="361" t="s">
        <v>40</v>
      </c>
      <c r="B7729" s="29">
        <v>44214</v>
      </c>
      <c r="C7729" s="1">
        <v>179</v>
      </c>
      <c r="D7729" s="276">
        <f t="shared" si="1110"/>
        <v>74476</v>
      </c>
      <c r="E7729" s="1">
        <v>5</v>
      </c>
      <c r="F7729" s="39">
        <f t="shared" si="1111"/>
        <v>1406</v>
      </c>
      <c r="G7729" s="177">
        <f>SUM(C7729,C7705,C7681,C7657,C7633,C7609,C7585,C7561,C7537,C7513,C7489,C7465,C7441,C7417)/POBLA!$B$24*100000</f>
        <v>170.53608519959212</v>
      </c>
      <c r="H7729" s="402">
        <f t="shared" si="1114"/>
        <v>1.6970052847915444</v>
      </c>
      <c r="I7729" s="403">
        <f t="shared" si="1116"/>
        <v>289.4006378313689</v>
      </c>
      <c r="J7729" s="403">
        <f t="shared" si="1117"/>
        <v>196.71428571428572</v>
      </c>
      <c r="K7729" s="403">
        <f>J7729/POBLA!$B$24*100000</f>
        <v>11.607918404341985</v>
      </c>
      <c r="L7729" s="550">
        <f t="shared" si="1115"/>
        <v>8.98876404494382E-2</v>
      </c>
      <c r="M7729" s="405">
        <f>SUM(C7729,C7705,C7681,C7657,C7633,C7609,C7585)/POBLA!$B$24*100000</f>
        <v>81.255428830393896</v>
      </c>
    </row>
    <row r="7730" spans="1:13" s="360" customFormat="1" x14ac:dyDescent="0.25">
      <c r="A7730" s="361" t="s">
        <v>16</v>
      </c>
      <c r="B7730" s="29">
        <v>44215</v>
      </c>
      <c r="C7730" s="1">
        <v>5123</v>
      </c>
      <c r="D7730" s="276">
        <f>C7730+D7706</f>
        <v>759568</v>
      </c>
      <c r="E7730" s="1">
        <v>124</v>
      </c>
      <c r="F7730" s="39">
        <f>E7730+F7706</f>
        <v>23691</v>
      </c>
      <c r="G7730" s="175">
        <f>SUM(C7730,C7706,C7682,C7658,C7634,C7610,C7586,C7562,C7538,C7514,C7490,C7466,C7442,C7418)/POBLA!$B$1*100000</f>
        <v>346.64221671782923</v>
      </c>
      <c r="H7730" s="300">
        <f t="shared" ref="H7730:H7753" si="1118">SUM(C7730,C7706,C7682,C7658,C7634,C7610,C7586,C7562,C7538,C7514,C7490,C7466,C7442,C7418)/SUM(C7394,C7370,C7346,C7322,C7298,C7274,C7250,C7226,C7202,C7178,C7154,C7130,C7106,C7082)</f>
        <v>1.4631358583184946</v>
      </c>
      <c r="I7730" s="301">
        <f>G7730*H7730</f>
        <v>507.1846572868667</v>
      </c>
      <c r="J7730" s="301">
        <f>AVERAGE(C7730,C7706,C7682,C7658,C7634,C7610,C7586)</f>
        <v>4146.4285714285716</v>
      </c>
      <c r="K7730" s="301">
        <f>J7730/POBLA!$B$1*100000</f>
        <v>23.638305919943129</v>
      </c>
      <c r="L7730" s="548">
        <f t="shared" ref="L7730:L7753" si="1119">1-SUM(C7730,C7706,C7682,C7658,C7634,C7610,C7586)/SUM(C7562,C7538,C7514,C7490,C7466,C7442,C7418)</f>
        <v>8.6689741976085588E-2</v>
      </c>
      <c r="M7730" s="400">
        <f>SUM(C7730,C7706,C7682,C7658,C7634,C7610,C7586)/POBLA!$B$1*100000</f>
        <v>165.46814143960191</v>
      </c>
    </row>
    <row r="7731" spans="1:13" s="360" customFormat="1" x14ac:dyDescent="0.25">
      <c r="A7731" s="361" t="s">
        <v>43</v>
      </c>
      <c r="B7731" s="29">
        <v>44215</v>
      </c>
      <c r="C7731" s="1">
        <v>1388</v>
      </c>
      <c r="D7731" s="276">
        <f t="shared" si="1110"/>
        <v>197286</v>
      </c>
      <c r="E7731" s="1">
        <v>9</v>
      </c>
      <c r="F7731" s="39">
        <f t="shared" si="1111"/>
        <v>5710</v>
      </c>
      <c r="G7731" s="168">
        <f>SUM(C7731,C7707,C7683,C7659,C7635,C7611,C7587,C7563,C7539,C7515,C7491,C7467,C7443,C7419)/POBLA!$B$2*100000</f>
        <v>594.05406213849051</v>
      </c>
      <c r="H7731" s="256">
        <f t="shared" si="1118"/>
        <v>1.5580284812825105</v>
      </c>
      <c r="I7731" s="297">
        <f t="shared" ref="I7731:I7753" si="1120">G7731*H7731</f>
        <v>925.55314823333845</v>
      </c>
      <c r="J7731" s="297">
        <f t="shared" ref="J7731:J7753" si="1121">AVERAGE(C7731,C7707,C7683,C7659,C7635,C7611,C7587)</f>
        <v>1253.7142857142858</v>
      </c>
      <c r="K7731" s="297">
        <f>J7731/POBLA!$B$2*100000</f>
        <v>40.762632816464759</v>
      </c>
      <c r="L7731" s="549">
        <f t="shared" si="1119"/>
        <v>7.5724065297525067E-2</v>
      </c>
      <c r="M7731" s="401">
        <f>SUM(C7731,C7707,C7683,C7659,C7635,C7611,C7587)/POBLA!$B$2*100000</f>
        <v>285.33842971525331</v>
      </c>
    </row>
    <row r="7732" spans="1:13" s="360" customFormat="1" x14ac:dyDescent="0.25">
      <c r="A7732" s="361" t="s">
        <v>28</v>
      </c>
      <c r="B7732" s="29">
        <v>44215</v>
      </c>
      <c r="C7732" s="1">
        <v>154</v>
      </c>
      <c r="D7732" s="276">
        <f t="shared" si="1110"/>
        <v>4394</v>
      </c>
      <c r="E7732" s="1"/>
      <c r="F7732" s="39">
        <f t="shared" si="1111"/>
        <v>17</v>
      </c>
      <c r="G7732" s="168">
        <f>SUM(C7732,C7708,C7684,C7660,C7636,C7612,C7588,C7564,C7540,C7516,C7492,C7468,C7444,C7420)/POBLA!$B$3*100000</f>
        <v>352.39915462716459</v>
      </c>
      <c r="H7732" s="256">
        <f t="shared" si="1118"/>
        <v>2.7570621468926553</v>
      </c>
      <c r="I7732" s="297">
        <f t="shared" si="1120"/>
        <v>971.58636981952725</v>
      </c>
      <c r="J7732" s="297">
        <f t="shared" si="1121"/>
        <v>158.28571428571428</v>
      </c>
      <c r="K7732" s="297">
        <f>J7732/POBLA!$B$3*100000</f>
        <v>38.100923431586494</v>
      </c>
      <c r="L7732" s="549">
        <f t="shared" si="1119"/>
        <v>-2.1123595505617976</v>
      </c>
      <c r="M7732" s="401">
        <f>SUM(C7732,C7708,C7684,C7660,C7636,C7612,C7588)/POBLA!$B$3*100000</f>
        <v>266.70646402110543</v>
      </c>
    </row>
    <row r="7733" spans="1:13" s="360" customFormat="1" x14ac:dyDescent="0.25">
      <c r="A7733" s="361" t="s">
        <v>15</v>
      </c>
      <c r="B7733" s="29">
        <v>44215</v>
      </c>
      <c r="C7733" s="1">
        <v>212</v>
      </c>
      <c r="D7733" s="276">
        <f t="shared" si="1110"/>
        <v>28864</v>
      </c>
      <c r="E7733" s="1">
        <v>2</v>
      </c>
      <c r="F7733" s="39">
        <f t="shared" si="1111"/>
        <v>767</v>
      </c>
      <c r="G7733" s="168">
        <f>SUM(C7733,C7709,C7685,C7661,C7637,C7613,C7589,C7565,C7541,C7517,C7493,C7469,C7445,C7421)/POBLA!$B$4*100000</f>
        <v>269.06514597676625</v>
      </c>
      <c r="H7733" s="256">
        <f t="shared" si="1118"/>
        <v>1.3442554956449606</v>
      </c>
      <c r="I7733" s="297">
        <f t="shared" si="1120"/>
        <v>361.6923011657816</v>
      </c>
      <c r="J7733" s="297">
        <f t="shared" si="1121"/>
        <v>216.28571428571428</v>
      </c>
      <c r="K7733" s="297">
        <f>J7733/POBLA!$B$4*100000</f>
        <v>17.955861551056735</v>
      </c>
      <c r="L7733" s="549">
        <f t="shared" si="1119"/>
        <v>0.123335263462652</v>
      </c>
      <c r="M7733" s="401">
        <f>SUM(C7733,C7709,C7685,C7661,C7637,C7613,C7589)/POBLA!$B$4*100000</f>
        <v>125.69103085739712</v>
      </c>
    </row>
    <row r="7734" spans="1:13" s="360" customFormat="1" x14ac:dyDescent="0.25">
      <c r="A7734" s="361" t="s">
        <v>29</v>
      </c>
      <c r="B7734" s="29">
        <v>44215</v>
      </c>
      <c r="C7734" s="1">
        <v>349</v>
      </c>
      <c r="D7734" s="276">
        <f t="shared" si="1110"/>
        <v>38770</v>
      </c>
      <c r="E7734" s="1">
        <v>5</v>
      </c>
      <c r="F7734" s="39">
        <f t="shared" si="1111"/>
        <v>568</v>
      </c>
      <c r="G7734" s="168">
        <f>SUM(C7734,C7710,C7686,C7662,C7638,C7614,C7590,C7566,C7542,C7518,C7494,C7470,C7446,C7422)/POBLA!$B$5*100000</f>
        <v>875.29119829917579</v>
      </c>
      <c r="H7734" s="256">
        <f t="shared" si="1118"/>
        <v>1.2183494490667865</v>
      </c>
      <c r="I7734" s="297">
        <f t="shared" si="1120"/>
        <v>1066.4105492208082</v>
      </c>
      <c r="J7734" s="297">
        <f t="shared" si="1121"/>
        <v>334.71428571428572</v>
      </c>
      <c r="K7734" s="297">
        <f>J7734/POBLA!$B$5*100000</f>
        <v>54.073914402124366</v>
      </c>
      <c r="L7734" s="549">
        <f t="shared" si="1119"/>
        <v>0.23804878048780487</v>
      </c>
      <c r="M7734" s="401">
        <f>SUM(C7734,C7710,C7686,C7662,C7638,C7614,C7590)/POBLA!$B$5*100000</f>
        <v>378.5174008148706</v>
      </c>
    </row>
    <row r="7735" spans="1:13" s="360" customFormat="1" x14ac:dyDescent="0.25">
      <c r="A7735" s="361" t="s">
        <v>30</v>
      </c>
      <c r="B7735" s="29">
        <v>44215</v>
      </c>
      <c r="C7735" s="1">
        <v>90</v>
      </c>
      <c r="D7735" s="276">
        <f>C7735+D7711</f>
        <v>15651</v>
      </c>
      <c r="E7735" s="1">
        <v>2</v>
      </c>
      <c r="F7735" s="39">
        <f t="shared" si="1111"/>
        <v>2553</v>
      </c>
      <c r="G7735" s="168">
        <f>SUM(C7735,C7711,C7687,C7663,C7639,C7615,C7591,C7567,C7543,C7519,C7495,C7471,C7447,C7423)/POBLA!$B$6*100000</f>
        <v>743.66457560262711</v>
      </c>
      <c r="H7735" s="256">
        <f t="shared" si="1118"/>
        <v>1.3274406752667622</v>
      </c>
      <c r="I7735" s="297">
        <f t="shared" si="1120"/>
        <v>987.17060640992145</v>
      </c>
      <c r="J7735" s="297">
        <f t="shared" si="1121"/>
        <v>470.42857142857144</v>
      </c>
      <c r="K7735" s="297">
        <f>J7735/POBLA!$B$6*100000</f>
        <v>41.972533164100625</v>
      </c>
      <c r="L7735" s="549">
        <f t="shared" si="1119"/>
        <v>0.34688615628718766</v>
      </c>
      <c r="M7735" s="401">
        <f>SUM(C7735,C7711,C7687,C7663,C7639,C7615,C7591)/POBLA!$B$6*100000</f>
        <v>293.80773214870436</v>
      </c>
    </row>
    <row r="7736" spans="1:13" s="360" customFormat="1" x14ac:dyDescent="0.25">
      <c r="A7736" s="361" t="s">
        <v>20</v>
      </c>
      <c r="B7736" s="29">
        <v>44215</v>
      </c>
      <c r="C7736" s="1">
        <v>668</v>
      </c>
      <c r="D7736" s="276">
        <f>C7736+D7712</f>
        <v>138751</v>
      </c>
      <c r="E7736" s="1">
        <v>8</v>
      </c>
      <c r="F7736" s="39">
        <f t="shared" si="1111"/>
        <v>201</v>
      </c>
      <c r="G7736" s="168">
        <f>SUM(C7736,C7712,C7688,C7664,C7640,C7616,C7592,C7568,C7544,C7520,C7496,C7472,C7448,C7424)/POBLA!$B$7*100000</f>
        <v>102.19521599808535</v>
      </c>
      <c r="H7736" s="256">
        <f t="shared" si="1118"/>
        <v>2.1577765300393037</v>
      </c>
      <c r="I7736" s="297">
        <f t="shared" si="1120"/>
        <v>220.51443856296572</v>
      </c>
      <c r="J7736" s="297">
        <f t="shared" si="1121"/>
        <v>328</v>
      </c>
      <c r="K7736" s="297">
        <f>J7736/POBLA!$B$7*100000</f>
        <v>8.7223603558084815</v>
      </c>
      <c r="L7736" s="549">
        <f t="shared" si="1119"/>
        <v>-0.48416289592760187</v>
      </c>
      <c r="M7736" s="401">
        <f>SUM(C7736,C7712,C7688,C7664,C7640,C7616,C7592)/POBLA!$B$7*100000</f>
        <v>61.056522490659368</v>
      </c>
    </row>
    <row r="7737" spans="1:13" x14ac:dyDescent="0.25">
      <c r="A7737" s="361" t="s">
        <v>31</v>
      </c>
      <c r="B7737" s="29">
        <v>44215</v>
      </c>
      <c r="C7737" s="1">
        <v>445</v>
      </c>
      <c r="D7737" s="276">
        <f t="shared" si="1110"/>
        <v>37177</v>
      </c>
      <c r="E7737" s="1">
        <v>7</v>
      </c>
      <c r="F7737" s="39">
        <f t="shared" si="1111"/>
        <v>647</v>
      </c>
      <c r="G7737" s="168">
        <f>SUM(C7737,C7713,C7689,C7665,C7641,C7617,C7593,C7569,C7545,C7521,C7497,C7473,C7449,C7425)/POBLA!$B$8*100000</f>
        <v>448.06455592906298</v>
      </c>
      <c r="H7737" s="256">
        <f t="shared" si="1118"/>
        <v>1.6239539748953975</v>
      </c>
      <c r="I7737" s="297">
        <f t="shared" si="1120"/>
        <v>727.63621661074296</v>
      </c>
      <c r="J7737" s="297">
        <f t="shared" si="1121"/>
        <v>424.57142857142856</v>
      </c>
      <c r="K7737" s="297">
        <f>J7737/POBLA!$B$8*100000</f>
        <v>30.633721192113526</v>
      </c>
      <c r="L7737" s="549">
        <f t="shared" si="1119"/>
        <v>8.2149474984558379E-2</v>
      </c>
      <c r="M7737" s="401">
        <f>SUM(C7737,C7713,C7689,C7665,C7641,C7617,C7593)/POBLA!$B$8*100000</f>
        <v>214.43604834479473</v>
      </c>
    </row>
    <row r="7738" spans="1:13" s="360" customFormat="1" x14ac:dyDescent="0.25">
      <c r="A7738" s="361" t="s">
        <v>41</v>
      </c>
      <c r="B7738" s="29">
        <v>44215</v>
      </c>
      <c r="C7738" s="1">
        <v>8</v>
      </c>
      <c r="D7738" s="276">
        <f t="shared" si="1110"/>
        <v>684</v>
      </c>
      <c r="E7738" s="1"/>
      <c r="F7738" s="39">
        <f t="shared" si="1111"/>
        <v>6</v>
      </c>
      <c r="G7738" s="168">
        <f>SUM(C7738,C7714,C7690,C7666,C7642,C7618,C7594,C7570,C7546,C7522,C7498,C7474,C7450,C7426)/POBLA!$B$9*100000</f>
        <v>75.678337323795873</v>
      </c>
      <c r="H7738" s="256">
        <f t="shared" si="1118"/>
        <v>28.625</v>
      </c>
      <c r="I7738" s="297">
        <f t="shared" si="1120"/>
        <v>2166.2924058936569</v>
      </c>
      <c r="J7738" s="297">
        <f t="shared" si="1121"/>
        <v>44.714285714285715</v>
      </c>
      <c r="K7738" s="297">
        <f>J7738/POBLA!$B$9*100000</f>
        <v>7.388434055629479</v>
      </c>
      <c r="L7738" s="549">
        <f t="shared" si="1119"/>
        <v>-1.1586206896551725</v>
      </c>
      <c r="M7738" s="401">
        <f>SUM(C7738,C7714,C7690,C7666,C7642,C7618,C7594)/POBLA!$B$9*100000</f>
        <v>51.71903838940635</v>
      </c>
    </row>
    <row r="7739" spans="1:13" s="360" customFormat="1" x14ac:dyDescent="0.25">
      <c r="A7739" s="361" t="s">
        <v>32</v>
      </c>
      <c r="B7739" s="29">
        <v>44215</v>
      </c>
      <c r="C7739" s="1">
        <v>25</v>
      </c>
      <c r="D7739" s="276">
        <f t="shared" si="1110"/>
        <v>18942</v>
      </c>
      <c r="E7739" s="1">
        <v>1</v>
      </c>
      <c r="F7739" s="39">
        <f t="shared" si="1111"/>
        <v>864</v>
      </c>
      <c r="G7739" s="168">
        <f>SUM(C7739,C7715,C7691,C7667,C7643,C7619,C7595,C7571,C7547,C7523,C7499,C7475,C7451,C7427)/POBLA!$B$10*100000</f>
        <v>45.921484639003943</v>
      </c>
      <c r="H7739" s="256">
        <f t="shared" si="1118"/>
        <v>3.436893203883495</v>
      </c>
      <c r="I7739" s="297">
        <f t="shared" si="1120"/>
        <v>157.82723846803296</v>
      </c>
      <c r="J7739" s="297">
        <f t="shared" si="1121"/>
        <v>31.857142857142858</v>
      </c>
      <c r="K7739" s="297">
        <f>J7739/POBLA!$B$10*100000</f>
        <v>4.13256298405887</v>
      </c>
      <c r="L7739" s="549">
        <f t="shared" si="1119"/>
        <v>-0.70229007633587792</v>
      </c>
      <c r="M7739" s="401">
        <f>SUM(C7739,C7715,C7691,C7667,C7643,C7619,C7595)/POBLA!$B$10*100000</f>
        <v>28.927940888412088</v>
      </c>
    </row>
    <row r="7740" spans="1:13" s="360" customFormat="1" x14ac:dyDescent="0.25">
      <c r="A7740" s="361" t="s">
        <v>33</v>
      </c>
      <c r="B7740" s="29">
        <v>44215</v>
      </c>
      <c r="C7740" s="1">
        <v>157</v>
      </c>
      <c r="D7740" s="276">
        <f t="shared" si="1110"/>
        <v>15285</v>
      </c>
      <c r="E7740" s="1">
        <v>1</v>
      </c>
      <c r="F7740" s="39">
        <f t="shared" si="1111"/>
        <v>205</v>
      </c>
      <c r="G7740" s="168">
        <f>SUM(C7740,C7716,C7692,C7668,C7644,C7620,C7596,C7572,C7548,C7524,C7500,C7476,C7452,C7428)/POBLA!$B$11*100000</f>
        <v>933.52081868604012</v>
      </c>
      <c r="H7740" s="256">
        <f t="shared" si="1118"/>
        <v>1.0263803680981596</v>
      </c>
      <c r="I7740" s="297">
        <f t="shared" si="1120"/>
        <v>958.1474415102731</v>
      </c>
      <c r="J7740" s="297">
        <f t="shared" si="1121"/>
        <v>175.71428571428572</v>
      </c>
      <c r="K7740" s="297">
        <f>J7740/POBLA!$B$11*100000</f>
        <v>49.023593501145477</v>
      </c>
      <c r="L7740" s="549">
        <f t="shared" si="1119"/>
        <v>0.41871455576559546</v>
      </c>
      <c r="M7740" s="401">
        <f>SUM(C7740,C7716,C7692,C7668,C7644,C7620,C7596)/POBLA!$B$11*100000</f>
        <v>343.16515450801836</v>
      </c>
    </row>
    <row r="7741" spans="1:13" s="360" customFormat="1" x14ac:dyDescent="0.25">
      <c r="A7741" s="361" t="s">
        <v>21</v>
      </c>
      <c r="B7741" s="29">
        <v>44215</v>
      </c>
      <c r="C7741" s="1">
        <v>9</v>
      </c>
      <c r="D7741" s="276">
        <f t="shared" si="1110"/>
        <v>9329</v>
      </c>
      <c r="E7741" s="1"/>
      <c r="F7741" s="39">
        <f t="shared" si="1111"/>
        <v>402</v>
      </c>
      <c r="G7741" s="168">
        <f>SUM(C7741,C7717,C7693,C7669,C7645,C7621,C7597,C7573,C7549,C7525,C7501,C7477,C7453,C7429)/POBLA!$B$12*100000</f>
        <v>48.789040761718894</v>
      </c>
      <c r="H7741" s="256">
        <f t="shared" si="1118"/>
        <v>1.6842105263157894</v>
      </c>
      <c r="I7741" s="297">
        <f t="shared" si="1120"/>
        <v>82.171016019737081</v>
      </c>
      <c r="J7741" s="297">
        <f t="shared" si="1121"/>
        <v>13.285714285714286</v>
      </c>
      <c r="K7741" s="297">
        <f>J7741/POBLA!$B$12*100000</f>
        <v>3.376027374136799</v>
      </c>
      <c r="L7741" s="549">
        <f t="shared" si="1119"/>
        <v>6.0606060606060552E-2</v>
      </c>
      <c r="M7741" s="401">
        <f>SUM(C7741,C7717,C7693,C7669,C7645,C7621,C7597)/POBLA!$B$12*100000</f>
        <v>23.632191618957592</v>
      </c>
    </row>
    <row r="7742" spans="1:13" s="360" customFormat="1" x14ac:dyDescent="0.25">
      <c r="A7742" s="361" t="s">
        <v>17</v>
      </c>
      <c r="B7742" s="29">
        <v>44215</v>
      </c>
      <c r="C7742" s="1">
        <v>148</v>
      </c>
      <c r="D7742" s="276">
        <f t="shared" si="1110"/>
        <v>62439</v>
      </c>
      <c r="E7742" s="1">
        <v>3</v>
      </c>
      <c r="F7742" s="39">
        <f t="shared" si="1111"/>
        <v>1298</v>
      </c>
      <c r="G7742" s="168">
        <f>SUM(C7742,C7718,C7694,C7670,C7646,C7622,C7598,C7574,C7550,C7526,C7502,C7478,C7454,C7430)/POBLA!$B$13*100000</f>
        <v>94.707532087514792</v>
      </c>
      <c r="H7742" s="256">
        <f t="shared" si="1118"/>
        <v>1.3809523809523809</v>
      </c>
      <c r="I7742" s="297">
        <f t="shared" si="1120"/>
        <v>130.78659193037757</v>
      </c>
      <c r="J7742" s="297">
        <f t="shared" si="1121"/>
        <v>121.14285714285714</v>
      </c>
      <c r="K7742" s="297">
        <f>J7742/POBLA!$B$13*100000</f>
        <v>6.0865469655333486</v>
      </c>
      <c r="L7742" s="549">
        <f t="shared" si="1119"/>
        <v>0.18225650916104141</v>
      </c>
      <c r="M7742" s="401">
        <f>SUM(C7742,C7718,C7694,C7670,C7646,C7622,C7598)/POBLA!$B$13*100000</f>
        <v>42.605828758733445</v>
      </c>
    </row>
    <row r="7743" spans="1:13" s="360" customFormat="1" x14ac:dyDescent="0.25">
      <c r="A7743" s="361" t="s">
        <v>23</v>
      </c>
      <c r="B7743" s="29">
        <v>44215</v>
      </c>
      <c r="C7743" s="1">
        <v>238</v>
      </c>
      <c r="D7743" s="276">
        <f t="shared" si="1110"/>
        <v>2566</v>
      </c>
      <c r="E7743" s="1">
        <v>4</v>
      </c>
      <c r="F7743" s="39">
        <f t="shared" si="1111"/>
        <v>49</v>
      </c>
      <c r="G7743" s="168">
        <f>SUM(C7743,C7719,C7695,C7671,C7647,C7623,C7599,C7575,C7551,C7527,C7503,C7479,C7455,C7431)/POBLA!$B$14*100000</f>
        <v>111.31425345716384</v>
      </c>
      <c r="H7743" s="256">
        <f t="shared" si="1118"/>
        <v>5.1240875912408761</v>
      </c>
      <c r="I7743" s="297">
        <f t="shared" si="1120"/>
        <v>570.38398486809501</v>
      </c>
      <c r="J7743" s="297">
        <f t="shared" si="1121"/>
        <v>149.42857142857142</v>
      </c>
      <c r="K7743" s="297">
        <f>J7743/POBLA!$B$14*100000</f>
        <v>11.847243499816175</v>
      </c>
      <c r="L7743" s="549">
        <f t="shared" si="1119"/>
        <v>-1.9217877094972069</v>
      </c>
      <c r="M7743" s="401">
        <f>SUM(C7743,C7719,C7695,C7671,C7647,C7623,C7599)/POBLA!$B$14*100000</f>
        <v>82.930704498713226</v>
      </c>
    </row>
    <row r="7744" spans="1:13" s="360" customFormat="1" x14ac:dyDescent="0.25">
      <c r="A7744" s="361" t="s">
        <v>19</v>
      </c>
      <c r="B7744" s="29">
        <v>44215</v>
      </c>
      <c r="C7744" s="1">
        <v>417</v>
      </c>
      <c r="D7744" s="276">
        <f t="shared" si="1110"/>
        <v>49096</v>
      </c>
      <c r="E7744" s="1">
        <v>1</v>
      </c>
      <c r="F7744" s="39">
        <f t="shared" si="1111"/>
        <v>757</v>
      </c>
      <c r="G7744" s="168">
        <f>SUM(C7744,C7720,C7696,C7672,C7648,C7624,C7600,C7576,C7552,C7528,C7504,C7480,C7456,C7432)/POBLA!$B$15*100000</f>
        <v>932.45007582180449</v>
      </c>
      <c r="H7744" s="256">
        <f t="shared" si="1118"/>
        <v>1.4531800046937338</v>
      </c>
      <c r="I7744" s="297">
        <f t="shared" si="1120"/>
        <v>1355.0178055594022</v>
      </c>
      <c r="J7744" s="297">
        <f t="shared" si="1121"/>
        <v>413.42857142857144</v>
      </c>
      <c r="K7744" s="297">
        <f>J7744/POBLA!$B$15*100000</f>
        <v>62.257994634281616</v>
      </c>
      <c r="L7744" s="549">
        <f t="shared" si="1119"/>
        <v>0.12249848392965434</v>
      </c>
      <c r="M7744" s="401">
        <f>SUM(C7744,C7720,C7696,C7672,C7648,C7624,C7600)/POBLA!$B$15*100000</f>
        <v>435.80596243997127</v>
      </c>
    </row>
    <row r="7745" spans="1:13" s="360" customFormat="1" x14ac:dyDescent="0.25">
      <c r="A7745" s="361" t="s">
        <v>18</v>
      </c>
      <c r="B7745" s="29">
        <v>44215</v>
      </c>
      <c r="C7745" s="1">
        <v>405</v>
      </c>
      <c r="D7745" s="276">
        <f t="shared" si="1110"/>
        <v>44565</v>
      </c>
      <c r="E7745" s="1">
        <v>4</v>
      </c>
      <c r="F7745" s="39">
        <f t="shared" si="1111"/>
        <v>1008</v>
      </c>
      <c r="G7745" s="168">
        <f>SUM(C7745,C7721,C7697,C7673,C7649,C7625,C7601,C7577,C7553,C7529,C7505,C7481,C7457,C7433)/POBLA!$B$16*100000</f>
        <v>644.85493773491521</v>
      </c>
      <c r="H7745" s="256">
        <f t="shared" si="1118"/>
        <v>1.3969863807592002</v>
      </c>
      <c r="I7745" s="297">
        <f t="shared" si="1120"/>
        <v>900.85356558099863</v>
      </c>
      <c r="J7745" s="297">
        <f t="shared" si="1121"/>
        <v>331.14285714285717</v>
      </c>
      <c r="K7745" s="297">
        <f>J7745/POBLA!$B$16*100000</f>
        <v>44.29352966691954</v>
      </c>
      <c r="L7745" s="549">
        <f t="shared" si="1119"/>
        <v>7.3911306432281276E-2</v>
      </c>
      <c r="M7745" s="401">
        <f>SUM(C7745,C7721,C7697,C7673,C7649,C7625,C7601)/POBLA!$B$16*100000</f>
        <v>310.05470766843678</v>
      </c>
    </row>
    <row r="7746" spans="1:13" s="360" customFormat="1" x14ac:dyDescent="0.25">
      <c r="A7746" s="361" t="s">
        <v>34</v>
      </c>
      <c r="B7746" s="29">
        <v>44215</v>
      </c>
      <c r="C7746" s="1">
        <v>45</v>
      </c>
      <c r="D7746" s="276">
        <f t="shared" si="1110"/>
        <v>23152</v>
      </c>
      <c r="E7746" s="1">
        <v>3</v>
      </c>
      <c r="F7746" s="39">
        <f t="shared" si="1111"/>
        <v>1030</v>
      </c>
      <c r="G7746" s="168">
        <f>SUM(C7746,C7722,C7698,C7674,C7650,C7626,C7602,C7578,C7554,C7530,C7506,C7482,C7458,C7434)/POBLA!$B$17*100000</f>
        <v>48.65216649571714</v>
      </c>
      <c r="H7746" s="256">
        <f t="shared" si="1118"/>
        <v>1.5643340857787811</v>
      </c>
      <c r="I7746" s="297">
        <f t="shared" si="1120"/>
        <v>76.108242396234715</v>
      </c>
      <c r="J7746" s="297">
        <f t="shared" si="1121"/>
        <v>50.857142857142854</v>
      </c>
      <c r="K7746" s="297">
        <f>J7746/POBLA!$B$17*100000</f>
        <v>3.5704331627448567</v>
      </c>
      <c r="L7746" s="549">
        <f t="shared" si="1119"/>
        <v>-5.6379821958457033E-2</v>
      </c>
      <c r="M7746" s="401">
        <f>SUM(C7746,C7722,C7698,C7674,C7650,C7626,C7602)/POBLA!$B$17*100000</f>
        <v>24.993032139213998</v>
      </c>
    </row>
    <row r="7747" spans="1:13" s="360" customFormat="1" x14ac:dyDescent="0.25">
      <c r="A7747" s="361" t="s">
        <v>35</v>
      </c>
      <c r="B7747" s="29">
        <v>44215</v>
      </c>
      <c r="C7747" s="1">
        <v>87</v>
      </c>
      <c r="D7747" s="276">
        <f t="shared" ref="D7747:D7753" si="1122">C7747+D7723</f>
        <v>13256</v>
      </c>
      <c r="E7747" s="1"/>
      <c r="F7747" s="39">
        <f t="shared" ref="F7747:F7753" si="1123">E7747+F7723</f>
        <v>216</v>
      </c>
      <c r="G7747" s="168">
        <f>SUM(C7747,C7723,C7699,C7675,C7651,C7627,C7603,C7579,C7555,C7531,C7507,C7483,C7459,C7435)/POBLA!$B$18*100000</f>
        <v>175.2394021123452</v>
      </c>
      <c r="H7747" s="256">
        <f t="shared" si="1118"/>
        <v>1.1202945990180033</v>
      </c>
      <c r="I7747" s="297">
        <f t="shared" si="1120"/>
        <v>196.31975572160442</v>
      </c>
      <c r="J7747" s="297">
        <f t="shared" si="1121"/>
        <v>82.857142857142861</v>
      </c>
      <c r="K7747" s="297">
        <f>J7747/POBLA!$B$18*100000</f>
        <v>10.606162290009417</v>
      </c>
      <c r="L7747" s="549">
        <f t="shared" si="1119"/>
        <v>0.26489226869455007</v>
      </c>
      <c r="M7747" s="401">
        <f>SUM(C7747,C7723,C7699,C7675,C7651,C7627,C7603)/POBLA!$B$18*100000</f>
        <v>74.243136030065912</v>
      </c>
    </row>
    <row r="7748" spans="1:13" s="360" customFormat="1" x14ac:dyDescent="0.25">
      <c r="A7748" s="361" t="s">
        <v>36</v>
      </c>
      <c r="B7748" s="29">
        <v>44215</v>
      </c>
      <c r="C7748" s="1">
        <v>94</v>
      </c>
      <c r="D7748" s="276">
        <f t="shared" si="1122"/>
        <v>17058</v>
      </c>
      <c r="E7748" s="1">
        <v>2</v>
      </c>
      <c r="F7748" s="39">
        <f t="shared" si="1123"/>
        <v>330</v>
      </c>
      <c r="G7748" s="168">
        <f>SUM(C7748,C7724,C7700,C7676,C7652,C7628,C7604,C7580,C7556,C7532,C7508,C7484,C7460,C7436)/POBLA!$B$19*100000</f>
        <v>142.23100045639825</v>
      </c>
      <c r="H7748" s="256">
        <f t="shared" si="1118"/>
        <v>1.8350253807106598</v>
      </c>
      <c r="I7748" s="297">
        <f t="shared" si="1120"/>
        <v>260.9974957613602</v>
      </c>
      <c r="J7748" s="297">
        <f t="shared" si="1121"/>
        <v>56.285714285714285</v>
      </c>
      <c r="K7748" s="297">
        <f>J7748/POBLA!$B$19*100000</f>
        <v>11.072715704370856</v>
      </c>
      <c r="L7748" s="549">
        <f t="shared" si="1119"/>
        <v>-0.19756838905775087</v>
      </c>
      <c r="M7748" s="401">
        <f>SUM(C7748,C7724,C7700,C7676,C7652,C7628,C7604)/POBLA!$B$19*100000</f>
        <v>77.509009930595994</v>
      </c>
    </row>
    <row r="7749" spans="1:13" s="360" customFormat="1" x14ac:dyDescent="0.25">
      <c r="A7749" s="361" t="s">
        <v>37</v>
      </c>
      <c r="B7749" s="29">
        <v>44215</v>
      </c>
      <c r="C7749" s="1">
        <v>437</v>
      </c>
      <c r="D7749" s="276">
        <f t="shared" si="1122"/>
        <v>30115</v>
      </c>
      <c r="E7749" s="1">
        <v>5</v>
      </c>
      <c r="F7749" s="39">
        <f t="shared" si="1123"/>
        <v>469</v>
      </c>
      <c r="G7749" s="168">
        <f>SUM(C7749,C7725,C7701,C7677,C7653,C7629,C7605,C7581,C7557,C7533,C7509,C7485,C7461,C7437)/POBLA!$B$20*100000</f>
        <v>1333.6140750017773</v>
      </c>
      <c r="H7749" s="256">
        <f t="shared" si="1118"/>
        <v>1.1944648542738183</v>
      </c>
      <c r="I7749" s="297">
        <f t="shared" si="1120"/>
        <v>1592.955141754511</v>
      </c>
      <c r="J7749" s="297">
        <f t="shared" si="1121"/>
        <v>312.28571428571428</v>
      </c>
      <c r="K7749" s="297">
        <f>J7749/POBLA!$B$20*100000</f>
        <v>85.394427720609428</v>
      </c>
      <c r="L7749" s="549">
        <f t="shared" si="1119"/>
        <v>0.18766257896692684</v>
      </c>
      <c r="M7749" s="401">
        <f>SUM(C7749,C7725,C7701,C7677,C7653,C7629,C7605)/POBLA!$B$20*100000</f>
        <v>597.760994044266</v>
      </c>
    </row>
    <row r="7750" spans="1:13" s="360" customFormat="1" x14ac:dyDescent="0.25">
      <c r="A7750" s="361" t="s">
        <v>22</v>
      </c>
      <c r="B7750" s="29">
        <v>44215</v>
      </c>
      <c r="C7750" s="1">
        <v>1206</v>
      </c>
      <c r="D7750" s="276">
        <f t="shared" si="1122"/>
        <v>197123</v>
      </c>
      <c r="E7750" s="1">
        <v>46</v>
      </c>
      <c r="F7750" s="39">
        <f t="shared" si="1123"/>
        <v>3256</v>
      </c>
      <c r="G7750" s="168">
        <f>SUM(C7750,C7726,C7702,C7678,C7654,C7630,C7606,C7582,C7558,C7534,C7510,C7486,C7462,C7438)/POBLA!$B$21*100000</f>
        <v>474.74591521703593</v>
      </c>
      <c r="H7750" s="256">
        <f t="shared" si="1118"/>
        <v>1.4396329960555652</v>
      </c>
      <c r="I7750" s="297">
        <f t="shared" si="1120"/>
        <v>683.45988428904275</v>
      </c>
      <c r="J7750" s="297">
        <f t="shared" si="1121"/>
        <v>1168.4285714285713</v>
      </c>
      <c r="K7750" s="297">
        <f>J7750/POBLA!$B$21*100000</f>
        <v>33.039888707403122</v>
      </c>
      <c r="L7750" s="549">
        <f t="shared" si="1119"/>
        <v>5.0058072009291577E-2</v>
      </c>
      <c r="M7750" s="401">
        <f>SUM(C7750,C7726,C7702,C7678,C7654,C7630,C7606)/POBLA!$B$21*100000</f>
        <v>231.27922095182188</v>
      </c>
    </row>
    <row r="7751" spans="1:13" s="360" customFormat="1" x14ac:dyDescent="0.25">
      <c r="A7751" s="361" t="s">
        <v>38</v>
      </c>
      <c r="B7751" s="29">
        <v>44215</v>
      </c>
      <c r="C7751" s="1">
        <v>92</v>
      </c>
      <c r="D7751" s="276">
        <f t="shared" si="1122"/>
        <v>19793</v>
      </c>
      <c r="E7751" s="1">
        <v>1</v>
      </c>
      <c r="F7751" s="39">
        <f t="shared" si="1123"/>
        <v>239</v>
      </c>
      <c r="G7751" s="168">
        <f>SUM(C7751,C7727,C7703,C7679,C7655,C7631,C7607,C7583,C7559,C7535,C7511,C7487,C7463,C7439)/POBLA!$B$22*100000</f>
        <v>198.50497744586855</v>
      </c>
      <c r="H7751" s="256">
        <f t="shared" si="1118"/>
        <v>1.9076620825147348</v>
      </c>
      <c r="I7751" s="297">
        <f t="shared" si="1120"/>
        <v>378.68041866392605</v>
      </c>
      <c r="J7751" s="297">
        <f t="shared" si="1121"/>
        <v>129.42857142857142</v>
      </c>
      <c r="K7751" s="297">
        <f>J7751/POBLA!$B$22*100000</f>
        <v>13.229771190669185</v>
      </c>
      <c r="L7751" s="549">
        <f t="shared" si="1119"/>
        <v>0.12548262548262545</v>
      </c>
      <c r="M7751" s="401">
        <f>SUM(C7751,C7727,C7703,C7679,C7655,C7631,C7607)/POBLA!$B$22*100000</f>
        <v>92.608398334684296</v>
      </c>
    </row>
    <row r="7752" spans="1:13" s="360" customFormat="1" x14ac:dyDescent="0.25">
      <c r="A7752" s="361" t="s">
        <v>39</v>
      </c>
      <c r="B7752" s="29">
        <v>44215</v>
      </c>
      <c r="C7752" s="1">
        <v>140</v>
      </c>
      <c r="D7752" s="276">
        <f t="shared" si="1122"/>
        <v>21025</v>
      </c>
      <c r="E7752" s="1">
        <v>2</v>
      </c>
      <c r="F7752" s="39">
        <f t="shared" si="1123"/>
        <v>306</v>
      </c>
      <c r="G7752" s="168">
        <f>SUM(C7752,C7728,C7704,C7680,C7656,C7632,C7608,C7584,C7560,C7536,C7512,C7488,C7464,C7440)/POBLA!$B$23*100000</f>
        <v>767.4037210880507</v>
      </c>
      <c r="H7752" s="256">
        <f t="shared" si="1118"/>
        <v>0.95968882602545968</v>
      </c>
      <c r="I7752" s="297">
        <f t="shared" si="1120"/>
        <v>736.46877617856069</v>
      </c>
      <c r="J7752" s="297">
        <f t="shared" si="1121"/>
        <v>89.714285714285708</v>
      </c>
      <c r="K7752" s="297">
        <f>J7752/POBLA!$B$23*100000</f>
        <v>50.73476543249771</v>
      </c>
      <c r="L7752" s="549">
        <f t="shared" si="1119"/>
        <v>0.13854595336076814</v>
      </c>
      <c r="M7752" s="401">
        <f>SUM(C7752,C7728,C7704,C7680,C7656,C7632,C7608)/POBLA!$B$23*100000</f>
        <v>355.14335802748406</v>
      </c>
    </row>
    <row r="7753" spans="1:13" s="360" customFormat="1" ht="15.75" thickBot="1" x14ac:dyDescent="0.3">
      <c r="A7753" s="361" t="s">
        <v>40</v>
      </c>
      <c r="B7753" s="29">
        <v>44215</v>
      </c>
      <c r="C7753" s="1">
        <v>204</v>
      </c>
      <c r="D7753" s="276">
        <f t="shared" si="1122"/>
        <v>74680</v>
      </c>
      <c r="E7753" s="1">
        <v>5</v>
      </c>
      <c r="F7753" s="39">
        <f t="shared" si="1123"/>
        <v>1411</v>
      </c>
      <c r="G7753" s="177">
        <f>SUM(C7753,C7729,C7705,C7681,C7657,C7633,C7609,C7585,C7561,C7537,C7513,C7489,C7465,C7441)/POBLA!$B$24*100000</f>
        <v>168.17572415876734</v>
      </c>
      <c r="H7753" s="402">
        <f t="shared" si="1118"/>
        <v>1.5719801434087148</v>
      </c>
      <c r="I7753" s="403">
        <f t="shared" si="1120"/>
        <v>264.36889898096354</v>
      </c>
      <c r="J7753" s="403">
        <f t="shared" si="1121"/>
        <v>192</v>
      </c>
      <c r="K7753" s="403">
        <f>J7753/POBLA!$B$24*100000</f>
        <v>11.329732995959063</v>
      </c>
      <c r="L7753" s="550">
        <f t="shared" si="1119"/>
        <v>0.10756972111553786</v>
      </c>
      <c r="M7753" s="405">
        <f>SUM(C7753,C7729,C7705,C7681,C7657,C7633,C7609)/POBLA!$B$24*100000</f>
        <v>79.308130971713439</v>
      </c>
    </row>
    <row r="7754" spans="1:13" s="360" customFormat="1" x14ac:dyDescent="0.25">
      <c r="A7754" s="361" t="s">
        <v>16</v>
      </c>
      <c r="B7754" s="29">
        <v>44216</v>
      </c>
      <c r="C7754" s="1">
        <v>4898</v>
      </c>
      <c r="D7754" s="276">
        <f>C7754+D7730</f>
        <v>764466</v>
      </c>
      <c r="E7754" s="1">
        <v>69</v>
      </c>
      <c r="F7754" s="39">
        <f>E7754+F7730</f>
        <v>23760</v>
      </c>
      <c r="G7754" s="175">
        <f>SUM(C7754,C7730,C7706,C7682,C7658,C7634,C7610,C7586,C7562,C7538,C7514,C7490,C7466,C7442)/POBLA!$B$1*100000</f>
        <v>344.6298048684518</v>
      </c>
      <c r="H7754" s="300">
        <f t="shared" ref="H7754:H7777" si="1124">SUM(C7754,C7730,C7706,C7682,C7658,C7634,C7610,C7586,C7562,C7538,C7514,C7490,C7466,C7442)/SUM(C7418,C7394,C7370,C7346,C7322,C7298,C7274,C7250,C7226,C7202,C7178,C7154,C7130,C7106)</f>
        <v>1.3947672004060727</v>
      </c>
      <c r="I7754" s="301">
        <f>G7754*H7754</f>
        <v>480.67834811286167</v>
      </c>
      <c r="J7754" s="301">
        <f>AVERAGE(C7754,C7730,C7706,C7682,C7658,C7634,C7610)</f>
        <v>4152</v>
      </c>
      <c r="K7754" s="301">
        <f>J7754/POBLA!$B$1*100000</f>
        <v>23.670067984745121</v>
      </c>
      <c r="L7754" s="548">
        <f t="shared" ref="L7754:L7777" si="1125">1-SUM(C7754,C7730,C7706,C7682,C7658,C7634,C7610)/SUM(C7586,C7562,C7538,C7514,C7490,C7466,C7442)</f>
        <v>7.4041034790365723E-2</v>
      </c>
      <c r="M7754" s="400">
        <f>SUM(C7754,C7730,C7706,C7682,C7658,C7634,C7610)/POBLA!$B$1*100000</f>
        <v>165.69047589321585</v>
      </c>
    </row>
    <row r="7755" spans="1:13" s="360" customFormat="1" x14ac:dyDescent="0.25">
      <c r="A7755" s="361" t="s">
        <v>43</v>
      </c>
      <c r="B7755" s="29">
        <v>44216</v>
      </c>
      <c r="C7755" s="1">
        <v>1272</v>
      </c>
      <c r="D7755" s="276">
        <f t="shared" ref="D7755:D7818" si="1126">C7755+D7731</f>
        <v>198558</v>
      </c>
      <c r="E7755" s="1">
        <v>22</v>
      </c>
      <c r="F7755" s="39">
        <f t="shared" ref="F7755:F7818" si="1127">E7755+F7731</f>
        <v>5732</v>
      </c>
      <c r="G7755" s="168">
        <f>SUM(C7755,C7731,C7707,C7683,C7659,C7635,C7611,C7587,C7563,C7539,C7515,C7491,C7467,C7443)/POBLA!$B$2*100000</f>
        <v>589.30709190849666</v>
      </c>
      <c r="H7755" s="256">
        <f t="shared" si="1124"/>
        <v>1.4552388598956243</v>
      </c>
      <c r="I7755" s="297">
        <f t="shared" ref="I7755:I7777" si="1128">G7755*H7755</f>
        <v>857.58258055732654</v>
      </c>
      <c r="J7755" s="297">
        <f t="shared" ref="J7755:J7777" si="1129">AVERAGE(C7755,C7731,C7707,C7683,C7659,C7635,C7611)</f>
        <v>1263.4285714285713</v>
      </c>
      <c r="K7755" s="297">
        <f>J7755/POBLA!$B$2*100000</f>
        <v>41.078478193802908</v>
      </c>
      <c r="L7755" s="549">
        <f t="shared" si="1125"/>
        <v>4.7085443378946268E-2</v>
      </c>
      <c r="M7755" s="401">
        <f>SUM(C7755,C7731,C7707,C7683,C7659,C7635,C7611)/POBLA!$B$2*100000</f>
        <v>287.54934735662039</v>
      </c>
    </row>
    <row r="7756" spans="1:13" s="360" customFormat="1" x14ac:dyDescent="0.25">
      <c r="A7756" s="361" t="s">
        <v>28</v>
      </c>
      <c r="B7756" s="29">
        <v>44216</v>
      </c>
      <c r="C7756" s="1">
        <v>88</v>
      </c>
      <c r="D7756" s="276">
        <f t="shared" si="1126"/>
        <v>4482</v>
      </c>
      <c r="E7756" s="1"/>
      <c r="F7756" s="39">
        <f t="shared" si="1127"/>
        <v>17</v>
      </c>
      <c r="G7756" s="168">
        <f>SUM(C7756,C7732,C7708,C7684,C7660,C7636,C7612,C7588,C7564,C7540,C7516,C7492,C7468,C7444)/POBLA!$B$3*100000</f>
        <v>364.19393507575137</v>
      </c>
      <c r="H7756" s="256">
        <f t="shared" si="1124"/>
        <v>2.7409420289855073</v>
      </c>
      <c r="I7756" s="297">
        <f t="shared" si="1128"/>
        <v>998.23446335074607</v>
      </c>
      <c r="J7756" s="297">
        <f t="shared" si="1129"/>
        <v>160.85714285714286</v>
      </c>
      <c r="K7756" s="297">
        <f>J7756/POBLA!$B$3*100000</f>
        <v>38.719891501774718</v>
      </c>
      <c r="L7756" s="549">
        <f t="shared" si="1125"/>
        <v>-1.909560723514212</v>
      </c>
      <c r="M7756" s="401">
        <f>SUM(C7756,C7732,C7708,C7684,C7660,C7636,C7612)/POBLA!$B$3*100000</f>
        <v>271.03924051242302</v>
      </c>
    </row>
    <row r="7757" spans="1:13" s="360" customFormat="1" x14ac:dyDescent="0.25">
      <c r="A7757" s="361" t="s">
        <v>15</v>
      </c>
      <c r="B7757" s="29">
        <v>44216</v>
      </c>
      <c r="C7757" s="1">
        <v>178</v>
      </c>
      <c r="D7757" s="276">
        <f t="shared" si="1126"/>
        <v>29042</v>
      </c>
      <c r="E7757" s="1">
        <v>4</v>
      </c>
      <c r="F7757" s="39">
        <f t="shared" si="1127"/>
        <v>771</v>
      </c>
      <c r="G7757" s="168">
        <f>SUM(C7757,C7733,C7709,C7685,C7661,C7637,C7613,C7589,C7565,C7541,C7517,C7493,C7469,C7445)/POBLA!$B$4*100000</f>
        <v>261.09530518263807</v>
      </c>
      <c r="H7757" s="256">
        <f t="shared" si="1124"/>
        <v>1.2841976316864026</v>
      </c>
      <c r="I7757" s="297">
        <f t="shared" si="1128"/>
        <v>335.29797255998233</v>
      </c>
      <c r="J7757" s="297">
        <f t="shared" si="1129"/>
        <v>200.57142857142858</v>
      </c>
      <c r="K7757" s="297">
        <f>J7757/POBLA!$B$4*100000</f>
        <v>16.651274516303602</v>
      </c>
      <c r="L7757" s="549">
        <f t="shared" si="1125"/>
        <v>0.19356691556576677</v>
      </c>
      <c r="M7757" s="401">
        <f>SUM(C7757,C7733,C7709,C7685,C7661,C7637,C7613)/POBLA!$B$4*100000</f>
        <v>116.55892161412521</v>
      </c>
    </row>
    <row r="7758" spans="1:13" s="360" customFormat="1" x14ac:dyDescent="0.25">
      <c r="A7758" s="361" t="s">
        <v>29</v>
      </c>
      <c r="B7758" s="29">
        <v>44216</v>
      </c>
      <c r="C7758" s="1">
        <v>341</v>
      </c>
      <c r="D7758" s="276">
        <f t="shared" si="1126"/>
        <v>39111</v>
      </c>
      <c r="E7758" s="1">
        <v>2</v>
      </c>
      <c r="F7758" s="39">
        <f t="shared" si="1127"/>
        <v>570</v>
      </c>
      <c r="G7758" s="168">
        <f>SUM(C7758,C7734,C7710,C7686,C7662,C7638,C7614,C7590,C7566,C7542,C7518,C7494,C7470,C7446)/POBLA!$B$5*100000</f>
        <v>851.86609240154189</v>
      </c>
      <c r="H7758" s="256">
        <f t="shared" si="1124"/>
        <v>1.1401081081081081</v>
      </c>
      <c r="I7758" s="297">
        <f t="shared" si="1128"/>
        <v>971.21943896936875</v>
      </c>
      <c r="J7758" s="297">
        <f t="shared" si="1129"/>
        <v>308</v>
      </c>
      <c r="K7758" s="297">
        <f>J7758/POBLA!$B$5*100000</f>
        <v>49.75815597566374</v>
      </c>
      <c r="L7758" s="549">
        <f t="shared" si="1125"/>
        <v>0.30830927173564326</v>
      </c>
      <c r="M7758" s="401">
        <f>SUM(C7758,C7734,C7710,C7686,C7662,C7638,C7614)/POBLA!$B$5*100000</f>
        <v>348.3070918296462</v>
      </c>
    </row>
    <row r="7759" spans="1:13" s="360" customFormat="1" x14ac:dyDescent="0.25">
      <c r="A7759" s="361" t="s">
        <v>30</v>
      </c>
      <c r="B7759" s="29">
        <v>44216</v>
      </c>
      <c r="C7759" s="1">
        <v>123</v>
      </c>
      <c r="D7759" s="276">
        <f>C7759+D7735</f>
        <v>15774</v>
      </c>
      <c r="E7759" s="1">
        <v>1</v>
      </c>
      <c r="F7759" s="39">
        <f t="shared" si="1127"/>
        <v>2554</v>
      </c>
      <c r="G7759" s="168">
        <f>SUM(C7759,C7735,C7711,C7687,C7663,C7639,C7615,C7591,C7567,C7543,C7519,C7495,C7471,C7447)/POBLA!$B$6*100000</f>
        <v>673.09004899174784</v>
      </c>
      <c r="H7759" s="256">
        <f t="shared" si="1124"/>
        <v>1.1399214264128135</v>
      </c>
      <c r="I7759" s="297">
        <f t="shared" si="1128"/>
        <v>767.26976875094374</v>
      </c>
      <c r="J7759" s="297">
        <f t="shared" si="1129"/>
        <v>371.14285714285717</v>
      </c>
      <c r="K7759" s="297">
        <f>J7759/POBLA!$B$6*100000</f>
        <v>33.114072626885338</v>
      </c>
      <c r="L7759" s="549">
        <f t="shared" si="1125"/>
        <v>0.4747270521633643</v>
      </c>
      <c r="M7759" s="401">
        <f>SUM(C7759,C7735,C7711,C7687,C7663,C7639,C7615)/POBLA!$B$6*100000</f>
        <v>231.79850838819738</v>
      </c>
    </row>
    <row r="7760" spans="1:13" s="360" customFormat="1" x14ac:dyDescent="0.25">
      <c r="A7760" s="361" t="s">
        <v>20</v>
      </c>
      <c r="B7760" s="29">
        <v>44216</v>
      </c>
      <c r="C7760" s="1">
        <v>694</v>
      </c>
      <c r="D7760" s="276">
        <f>C7760+D7736</f>
        <v>139445</v>
      </c>
      <c r="E7760" s="1">
        <v>6</v>
      </c>
      <c r="F7760" s="39">
        <f t="shared" si="1127"/>
        <v>207</v>
      </c>
      <c r="G7760" s="168">
        <f>SUM(C7760,C7736,C7712,C7688,C7664,C7640,C7616,C7592,C7568,C7544,C7520,C7496,C7472,C7448)/POBLA!$B$7*100000</f>
        <v>115.19897884561688</v>
      </c>
      <c r="H7760" s="256">
        <f t="shared" si="1124"/>
        <v>2.3973436635307137</v>
      </c>
      <c r="I7760" s="297">
        <f t="shared" si="1128"/>
        <v>276.17154198074837</v>
      </c>
      <c r="J7760" s="297">
        <f t="shared" si="1129"/>
        <v>370.71428571428572</v>
      </c>
      <c r="K7760" s="297">
        <f>J7760/POBLA!$B$7*100000</f>
        <v>9.8582426495309274</v>
      </c>
      <c r="L7760" s="549">
        <f t="shared" si="1125"/>
        <v>-0.49395509499136447</v>
      </c>
      <c r="M7760" s="401">
        <f>SUM(C7760,C7736,C7712,C7688,C7664,C7640,C7616)/POBLA!$B$7*100000</f>
        <v>69.007698546716483</v>
      </c>
    </row>
    <row r="7761" spans="1:13" x14ac:dyDescent="0.25">
      <c r="A7761" s="361" t="s">
        <v>31</v>
      </c>
      <c r="B7761" s="29">
        <v>44216</v>
      </c>
      <c r="C7761" s="1">
        <v>548</v>
      </c>
      <c r="D7761" s="276">
        <f t="shared" si="1126"/>
        <v>37725</v>
      </c>
      <c r="E7761" s="1">
        <v>6</v>
      </c>
      <c r="F7761" s="39">
        <f t="shared" si="1127"/>
        <v>653</v>
      </c>
      <c r="G7761" s="168">
        <f>SUM(C7761,C7737,C7713,C7689,C7665,C7641,C7617,C7593,C7569,C7545,C7521,C7497,C7473,C7449)/POBLA!$B$8*100000</f>
        <v>449.07468536271944</v>
      </c>
      <c r="H7761" s="256">
        <f t="shared" si="1124"/>
        <v>1.5254901960784313</v>
      </c>
      <c r="I7761" s="297">
        <f t="shared" si="1128"/>
        <v>685.05902982783471</v>
      </c>
      <c r="J7761" s="297">
        <f t="shared" si="1129"/>
        <v>419.85714285714283</v>
      </c>
      <c r="K7761" s="297">
        <f>J7761/POBLA!$B$8*100000</f>
        <v>30.2935755664945</v>
      </c>
      <c r="L7761" s="549">
        <f t="shared" si="1125"/>
        <v>0.1053272450532724</v>
      </c>
      <c r="M7761" s="401">
        <f>SUM(C7761,C7737,C7713,C7689,C7665,C7641,C7617)/POBLA!$B$8*100000</f>
        <v>212.0550289654615</v>
      </c>
    </row>
    <row r="7762" spans="1:13" s="360" customFormat="1" x14ac:dyDescent="0.25">
      <c r="A7762" s="361" t="s">
        <v>41</v>
      </c>
      <c r="B7762" s="29">
        <v>44216</v>
      </c>
      <c r="C7762" s="1">
        <v>16</v>
      </c>
      <c r="D7762" s="276">
        <f t="shared" si="1126"/>
        <v>700</v>
      </c>
      <c r="E7762" s="1"/>
      <c r="F7762" s="39">
        <f t="shared" si="1127"/>
        <v>6</v>
      </c>
      <c r="G7762" s="168">
        <f>SUM(C7762,C7738,C7714,C7690,C7666,C7642,C7618,C7594,C7570,C7546,C7522,C7498,C7474,C7450)/POBLA!$B$9*100000</f>
        <v>77.165466223171777</v>
      </c>
      <c r="H7762" s="256">
        <f t="shared" si="1124"/>
        <v>22.238095238095237</v>
      </c>
      <c r="I7762" s="297">
        <f t="shared" si="1128"/>
        <v>1716.0129869629152</v>
      </c>
      <c r="J7762" s="297">
        <f t="shared" si="1129"/>
        <v>39.285714285714285</v>
      </c>
      <c r="K7762" s="297">
        <f>J7762/POBLA!$B$9*100000</f>
        <v>6.4914356718789348</v>
      </c>
      <c r="L7762" s="549">
        <f t="shared" si="1125"/>
        <v>-0.43229166666666674</v>
      </c>
      <c r="M7762" s="401">
        <f>SUM(C7762,C7738,C7714,C7690,C7666,C7642,C7618)/POBLA!$B$9*100000</f>
        <v>45.440049703152546</v>
      </c>
    </row>
    <row r="7763" spans="1:13" s="360" customFormat="1" x14ac:dyDescent="0.25">
      <c r="A7763" s="361" t="s">
        <v>32</v>
      </c>
      <c r="B7763" s="29">
        <v>44216</v>
      </c>
      <c r="C7763" s="1">
        <v>39</v>
      </c>
      <c r="D7763" s="276">
        <f t="shared" si="1126"/>
        <v>18981</v>
      </c>
      <c r="E7763" s="1"/>
      <c r="F7763" s="39">
        <f t="shared" si="1127"/>
        <v>864</v>
      </c>
      <c r="G7763" s="168">
        <f>SUM(C7763,C7739,C7715,C7691,C7667,C7643,C7619,C7595,C7571,C7547,C7523,C7499,C7475,C7451)/POBLA!$B$10*100000</f>
        <v>49.164527339498576</v>
      </c>
      <c r="H7763" s="256">
        <f t="shared" si="1124"/>
        <v>3.4144144144144146</v>
      </c>
      <c r="I7763" s="297">
        <f t="shared" si="1128"/>
        <v>167.86807082585551</v>
      </c>
      <c r="J7763" s="297">
        <f t="shared" si="1129"/>
        <v>35</v>
      </c>
      <c r="K7763" s="297">
        <f>J7763/POBLA!$B$10*100000</f>
        <v>4.5402597806924803</v>
      </c>
      <c r="L7763" s="549">
        <f t="shared" si="1125"/>
        <v>-0.82835820895522394</v>
      </c>
      <c r="M7763" s="401">
        <f>SUM(C7763,C7739,C7715,C7691,C7667,C7643,C7619)/POBLA!$B$10*100000</f>
        <v>31.781818464847362</v>
      </c>
    </row>
    <row r="7764" spans="1:13" s="360" customFormat="1" x14ac:dyDescent="0.25">
      <c r="A7764" s="361" t="s">
        <v>33</v>
      </c>
      <c r="B7764" s="29">
        <v>44216</v>
      </c>
      <c r="C7764" s="1">
        <v>121</v>
      </c>
      <c r="D7764" s="276">
        <f t="shared" si="1126"/>
        <v>15406</v>
      </c>
      <c r="E7764" s="1">
        <v>4</v>
      </c>
      <c r="F7764" s="39">
        <f t="shared" si="1127"/>
        <v>209</v>
      </c>
      <c r="G7764" s="168">
        <f>SUM(C7764,C7740,C7716,C7692,C7668,C7644,C7620,C7596,C7572,C7548,C7524,C7500,C7476,C7452)/POBLA!$B$11*100000</f>
        <v>855.12292566428971</v>
      </c>
      <c r="H7764" s="256">
        <f t="shared" si="1124"/>
        <v>0.89567504383401519</v>
      </c>
      <c r="I7764" s="297">
        <f t="shared" si="1128"/>
        <v>765.91226392783403</v>
      </c>
      <c r="J7764" s="297">
        <f t="shared" si="1129"/>
        <v>160.28571428571428</v>
      </c>
      <c r="K7764" s="297">
        <f>J7764/POBLA!$B$11*100000</f>
        <v>44.719082852264407</v>
      </c>
      <c r="L7764" s="549">
        <f t="shared" si="1125"/>
        <v>0.42254246011322694</v>
      </c>
      <c r="M7764" s="401">
        <f>SUM(C7764,C7740,C7716,C7692,C7668,C7644,C7620)/POBLA!$B$11*100000</f>
        <v>313.03357996585089</v>
      </c>
    </row>
    <row r="7765" spans="1:13" s="360" customFormat="1" x14ac:dyDescent="0.25">
      <c r="A7765" s="361" t="s">
        <v>21</v>
      </c>
      <c r="B7765" s="29">
        <v>44216</v>
      </c>
      <c r="C7765" s="1">
        <v>30</v>
      </c>
      <c r="D7765" s="276">
        <f t="shared" si="1126"/>
        <v>9359</v>
      </c>
      <c r="E7765" s="1"/>
      <c r="F7765" s="39">
        <f t="shared" si="1127"/>
        <v>402</v>
      </c>
      <c r="G7765" s="168">
        <f>SUM(C7765,C7741,C7717,C7693,C7669,C7645,C7621,C7597,C7573,C7549,C7525,C7501,C7477,C7453)/POBLA!$B$12*100000</f>
        <v>54.125342095031897</v>
      </c>
      <c r="H7765" s="256">
        <f t="shared" si="1124"/>
        <v>2.0094339622641511</v>
      </c>
      <c r="I7765" s="297">
        <f t="shared" si="1128"/>
        <v>108.7613006249226</v>
      </c>
      <c r="J7765" s="297">
        <f t="shared" si="1129"/>
        <v>16</v>
      </c>
      <c r="K7765" s="297">
        <f>J7765/POBLA!$B$12*100000</f>
        <v>4.0657533968099084</v>
      </c>
      <c r="L7765" s="549">
        <f t="shared" si="1125"/>
        <v>-0.10891089108910901</v>
      </c>
      <c r="M7765" s="401">
        <f>SUM(C7765,C7741,C7717,C7693,C7669,C7645,C7621)/POBLA!$B$12*100000</f>
        <v>28.460273777669357</v>
      </c>
    </row>
    <row r="7766" spans="1:13" s="360" customFormat="1" x14ac:dyDescent="0.25">
      <c r="A7766" s="361" t="s">
        <v>17</v>
      </c>
      <c r="B7766" s="29">
        <v>44216</v>
      </c>
      <c r="C7766" s="1">
        <v>198</v>
      </c>
      <c r="D7766" s="276">
        <f t="shared" si="1126"/>
        <v>62637</v>
      </c>
      <c r="E7766" s="1">
        <v>4</v>
      </c>
      <c r="F7766" s="39">
        <f t="shared" si="1127"/>
        <v>1302</v>
      </c>
      <c r="G7766" s="168">
        <f>SUM(C7766,C7742,C7718,C7694,C7670,C7646,C7622,C7598,C7574,C7550,C7526,C7502,C7478,C7454)/POBLA!$B$13*100000</f>
        <v>96.767483713821477</v>
      </c>
      <c r="H7766" s="256">
        <f t="shared" si="1124"/>
        <v>1.4383868558625841</v>
      </c>
      <c r="I7766" s="297">
        <f t="shared" si="1128"/>
        <v>139.18907664885748</v>
      </c>
      <c r="J7766" s="297">
        <f t="shared" si="1129"/>
        <v>128</v>
      </c>
      <c r="K7766" s="297">
        <f>J7766/POBLA!$B$13*100000</f>
        <v>6.4310684918842931</v>
      </c>
      <c r="L7766" s="549">
        <f t="shared" si="1125"/>
        <v>0.13009708737864079</v>
      </c>
      <c r="M7766" s="401">
        <f>SUM(C7766,C7742,C7718,C7694,C7670,C7646,C7622)/POBLA!$B$13*100000</f>
        <v>45.017479443190048</v>
      </c>
    </row>
    <row r="7767" spans="1:13" s="360" customFormat="1" x14ac:dyDescent="0.25">
      <c r="A7767" s="361" t="s">
        <v>23</v>
      </c>
      <c r="B7767" s="29">
        <v>44216</v>
      </c>
      <c r="C7767" s="1">
        <v>193</v>
      </c>
      <c r="D7767" s="276">
        <f t="shared" si="1126"/>
        <v>2759</v>
      </c>
      <c r="E7767" s="1">
        <v>4</v>
      </c>
      <c r="F7767" s="39">
        <f t="shared" si="1127"/>
        <v>53</v>
      </c>
      <c r="G7767" s="168">
        <f>SUM(C7767,C7743,C7719,C7695,C7671,C7647,C7623,C7599,C7575,C7551,C7527,C7503,C7479,C7455)/POBLA!$B$14*100000</f>
        <v>126.29886449947435</v>
      </c>
      <c r="H7767" s="256">
        <f t="shared" si="1124"/>
        <v>5.9</v>
      </c>
      <c r="I7767" s="297">
        <f t="shared" si="1128"/>
        <v>745.16330054689865</v>
      </c>
      <c r="J7767" s="297">
        <f t="shared" si="1129"/>
        <v>173.14285714285714</v>
      </c>
      <c r="K7767" s="297">
        <f>J7767/POBLA!$B$14*100000</f>
        <v>13.727398777989679</v>
      </c>
      <c r="L7767" s="549">
        <f t="shared" si="1125"/>
        <v>-2.1811023622047245</v>
      </c>
      <c r="M7767" s="401">
        <f>SUM(C7767,C7743,C7719,C7695,C7671,C7647,C7623)/POBLA!$B$14*100000</f>
        <v>96.091791445927754</v>
      </c>
    </row>
    <row r="7768" spans="1:13" s="360" customFormat="1" x14ac:dyDescent="0.25">
      <c r="A7768" s="361" t="s">
        <v>19</v>
      </c>
      <c r="B7768" s="29">
        <v>44216</v>
      </c>
      <c r="C7768" s="1">
        <v>533</v>
      </c>
      <c r="D7768" s="276">
        <f t="shared" si="1126"/>
        <v>49629</v>
      </c>
      <c r="E7768" s="1"/>
      <c r="F7768" s="39">
        <f t="shared" si="1127"/>
        <v>757</v>
      </c>
      <c r="G7768" s="168">
        <f>SUM(C7768,C7744,C7720,C7696,C7672,C7648,C7624,C7600,C7576,C7552,C7528,C7504,C7480,C7456)/POBLA!$B$15*100000</f>
        <v>927.17944393327684</v>
      </c>
      <c r="H7768" s="256">
        <f t="shared" si="1124"/>
        <v>1.3399347116430904</v>
      </c>
      <c r="I7768" s="297">
        <f t="shared" si="1128"/>
        <v>1242.3599208481362</v>
      </c>
      <c r="J7768" s="297">
        <f t="shared" si="1129"/>
        <v>423.42857142857144</v>
      </c>
      <c r="K7768" s="297">
        <f>J7768/POBLA!$B$15*100000</f>
        <v>63.763889459575225</v>
      </c>
      <c r="L7768" s="549">
        <f t="shared" si="1125"/>
        <v>7.1719386157218956E-2</v>
      </c>
      <c r="M7768" s="401">
        <f>SUM(C7768,C7744,C7720,C7696,C7672,C7648,C7624)/POBLA!$B$15*100000</f>
        <v>446.3472262170265</v>
      </c>
    </row>
    <row r="7769" spans="1:13" s="360" customFormat="1" x14ac:dyDescent="0.25">
      <c r="A7769" s="361" t="s">
        <v>18</v>
      </c>
      <c r="B7769" s="29">
        <v>44216</v>
      </c>
      <c r="C7769" s="1">
        <v>442</v>
      </c>
      <c r="D7769" s="276">
        <f t="shared" si="1126"/>
        <v>45007</v>
      </c>
      <c r="E7769" s="1">
        <v>2</v>
      </c>
      <c r="F7769" s="39">
        <f t="shared" si="1127"/>
        <v>1010</v>
      </c>
      <c r="G7769" s="168">
        <f>SUM(C7769,C7745,C7721,C7697,C7673,C7649,C7625,C7601,C7577,C7553,C7529,C7505,C7481,C7457)/POBLA!$B$16*100000</f>
        <v>653.01427214724254</v>
      </c>
      <c r="H7769" s="256">
        <f t="shared" si="1124"/>
        <v>1.3960537603660281</v>
      </c>
      <c r="I7769" s="297">
        <f t="shared" si="1128"/>
        <v>911.64303020384284</v>
      </c>
      <c r="J7769" s="297">
        <f t="shared" si="1129"/>
        <v>338.14285714285717</v>
      </c>
      <c r="K7769" s="297">
        <f>J7769/POBLA!$B$16*100000</f>
        <v>45.229846730629227</v>
      </c>
      <c r="L7769" s="549">
        <f t="shared" si="1125"/>
        <v>5.8846918489065647E-2</v>
      </c>
      <c r="M7769" s="401">
        <f>SUM(C7769,C7745,C7721,C7697,C7673,C7649,C7625)/POBLA!$B$16*100000</f>
        <v>316.60892711440454</v>
      </c>
    </row>
    <row r="7770" spans="1:13" s="360" customFormat="1" x14ac:dyDescent="0.25">
      <c r="A7770" s="361" t="s">
        <v>34</v>
      </c>
      <c r="B7770" s="29">
        <v>44216</v>
      </c>
      <c r="C7770" s="1">
        <v>77</v>
      </c>
      <c r="D7770" s="276">
        <f t="shared" si="1126"/>
        <v>23229</v>
      </c>
      <c r="E7770" s="1"/>
      <c r="F7770" s="39">
        <f t="shared" si="1127"/>
        <v>1030</v>
      </c>
      <c r="G7770" s="168">
        <f>SUM(C7770,C7746,C7722,C7698,C7674,C7650,C7626,C7602,C7578,C7554,C7530,C7506,C7482,C7458)/POBLA!$B$17*100000</f>
        <v>50.547705450095727</v>
      </c>
      <c r="H7770" s="256">
        <f t="shared" si="1124"/>
        <v>1.6289592760180995</v>
      </c>
      <c r="I7770" s="297">
        <f t="shared" si="1128"/>
        <v>82.340153674364075</v>
      </c>
      <c r="J7770" s="297">
        <f t="shared" si="1129"/>
        <v>52.285714285714285</v>
      </c>
      <c r="K7770" s="297">
        <f>J7770/POBLA!$B$17*100000</f>
        <v>3.6707262291140941</v>
      </c>
      <c r="L7770" s="549">
        <f t="shared" si="1125"/>
        <v>-3.3898305084745672E-2</v>
      </c>
      <c r="M7770" s="401">
        <f>SUM(C7770,C7746,C7722,C7698,C7674,C7650,C7626)/POBLA!$B$17*100000</f>
        <v>25.695083603798661</v>
      </c>
    </row>
    <row r="7771" spans="1:13" s="360" customFormat="1" x14ac:dyDescent="0.25">
      <c r="A7771" s="361" t="s">
        <v>35</v>
      </c>
      <c r="B7771" s="29">
        <v>44216</v>
      </c>
      <c r="C7771" s="1">
        <v>96</v>
      </c>
      <c r="D7771" s="276">
        <f t="shared" si="1126"/>
        <v>13352</v>
      </c>
      <c r="E7771" s="1"/>
      <c r="F7771" s="39">
        <f t="shared" si="1127"/>
        <v>216</v>
      </c>
      <c r="G7771" s="168">
        <f>SUM(C7771,C7747,C7723,C7699,C7675,C7651,C7627,C7603,C7579,C7555,C7531,C7507,C7483,C7459)/POBLA!$B$18*100000</f>
        <v>173.06331019422259</v>
      </c>
      <c r="H7771" s="256">
        <f t="shared" si="1124"/>
        <v>1.138047138047138</v>
      </c>
      <c r="I7771" s="297">
        <f t="shared" si="1128"/>
        <v>196.9542048674991</v>
      </c>
      <c r="J7771" s="297">
        <f t="shared" si="1129"/>
        <v>73.285714285714292</v>
      </c>
      <c r="K7771" s="297">
        <f>J7771/POBLA!$B$18*100000</f>
        <v>9.3809676806462594</v>
      </c>
      <c r="L7771" s="549">
        <f t="shared" si="1125"/>
        <v>0.38855780691299169</v>
      </c>
      <c r="M7771" s="401">
        <f>SUM(C7771,C7747,C7723,C7699,C7675,C7651,C7627)/POBLA!$B$18*100000</f>
        <v>65.666773764523825</v>
      </c>
    </row>
    <row r="7772" spans="1:13" s="360" customFormat="1" x14ac:dyDescent="0.25">
      <c r="A7772" s="361" t="s">
        <v>36</v>
      </c>
      <c r="B7772" s="29">
        <v>44216</v>
      </c>
      <c r="C7772" s="1">
        <v>104</v>
      </c>
      <c r="D7772" s="276">
        <f t="shared" si="1126"/>
        <v>17162</v>
      </c>
      <c r="E7772" s="1">
        <v>3</v>
      </c>
      <c r="F7772" s="39">
        <f t="shared" si="1127"/>
        <v>333</v>
      </c>
      <c r="G7772" s="168">
        <f>SUM(C7772,C7748,C7724,C7700,C7676,C7652,C7628,C7604,C7580,C7556,C7532,C7508,C7484,C7460)/POBLA!$B$19*100000</f>
        <v>150.49338222564958</v>
      </c>
      <c r="H7772" s="256">
        <f t="shared" si="1124"/>
        <v>1.7626728110599079</v>
      </c>
      <c r="I7772" s="297">
        <f t="shared" si="1128"/>
        <v>265.2705930935989</v>
      </c>
      <c r="J7772" s="297">
        <f t="shared" si="1129"/>
        <v>65.714285714285708</v>
      </c>
      <c r="K7772" s="297">
        <f>J7772/POBLA!$B$19*100000</f>
        <v>12.927536101549729</v>
      </c>
      <c r="L7772" s="549">
        <f t="shared" si="1125"/>
        <v>-0.50819672131147531</v>
      </c>
      <c r="M7772" s="401">
        <f>SUM(C7772,C7748,C7724,C7700,C7676,C7652,C7628)/POBLA!$B$19*100000</f>
        <v>90.492752710848109</v>
      </c>
    </row>
    <row r="7773" spans="1:13" s="360" customFormat="1" x14ac:dyDescent="0.25">
      <c r="A7773" s="361" t="s">
        <v>37</v>
      </c>
      <c r="B7773" s="29">
        <v>44216</v>
      </c>
      <c r="C7773" s="1">
        <v>494</v>
      </c>
      <c r="D7773" s="276">
        <f t="shared" si="1126"/>
        <v>30609</v>
      </c>
      <c r="E7773" s="1">
        <v>4</v>
      </c>
      <c r="F7773" s="39">
        <f t="shared" si="1127"/>
        <v>473</v>
      </c>
      <c r="G7773" s="168">
        <f>SUM(C7773,C7749,C7725,C7701,C7677,C7653,C7629,C7605,C7581,C7557,C7533,C7509,C7485,C7461)/POBLA!$B$20*100000</f>
        <v>1342.6379143446231</v>
      </c>
      <c r="H7773" s="256">
        <f t="shared" si="1124"/>
        <v>1.1572000942729201</v>
      </c>
      <c r="I7773" s="297">
        <f t="shared" si="1128"/>
        <v>1553.7007210539948</v>
      </c>
      <c r="J7773" s="297">
        <f t="shared" si="1129"/>
        <v>336.71428571428572</v>
      </c>
      <c r="K7773" s="297">
        <f>J7773/POBLA!$B$20*100000</f>
        <v>92.074412688690046</v>
      </c>
      <c r="L7773" s="549">
        <f t="shared" si="1125"/>
        <v>7.6772424598511524E-2</v>
      </c>
      <c r="M7773" s="401">
        <f>SUM(C7773,C7749,C7725,C7701,C7677,C7653,C7629)/POBLA!$B$20*100000</f>
        <v>644.52088882083024</v>
      </c>
    </row>
    <row r="7774" spans="1:13" s="360" customFormat="1" x14ac:dyDescent="0.25">
      <c r="A7774" s="361" t="s">
        <v>22</v>
      </c>
      <c r="B7774" s="29">
        <v>44216</v>
      </c>
      <c r="C7774" s="1">
        <v>1222</v>
      </c>
      <c r="D7774" s="276">
        <f t="shared" si="1126"/>
        <v>198345</v>
      </c>
      <c r="E7774" s="1">
        <v>13</v>
      </c>
      <c r="F7774" s="39">
        <f t="shared" si="1127"/>
        <v>3269</v>
      </c>
      <c r="G7774" s="168">
        <f>SUM(C7774,C7750,C7726,C7702,C7678,C7654,C7630,C7606,C7582,C7558,C7534,C7510,C7486,C7462)/POBLA!$B$21*100000</f>
        <v>466.57380434100264</v>
      </c>
      <c r="H7774" s="256">
        <f t="shared" si="1124"/>
        <v>1.3557929334428924</v>
      </c>
      <c r="I7774" s="297">
        <f t="shared" si="1128"/>
        <v>632.57746685509812</v>
      </c>
      <c r="J7774" s="297">
        <f t="shared" si="1129"/>
        <v>1128.4285714285713</v>
      </c>
      <c r="K7774" s="297">
        <f>J7774/POBLA!$B$21*100000</f>
        <v>31.908800696879478</v>
      </c>
      <c r="L7774" s="549">
        <f t="shared" si="1125"/>
        <v>8.1618416463202004E-2</v>
      </c>
      <c r="M7774" s="401">
        <f>SUM(C7774,C7750,C7726,C7702,C7678,C7654,C7630)/POBLA!$B$21*100000</f>
        <v>223.36160487815638</v>
      </c>
    </row>
    <row r="7775" spans="1:13" s="360" customFormat="1" x14ac:dyDescent="0.25">
      <c r="A7775" s="361" t="s">
        <v>38</v>
      </c>
      <c r="B7775" s="29">
        <v>44216</v>
      </c>
      <c r="C7775" s="1">
        <v>166</v>
      </c>
      <c r="D7775" s="276">
        <f t="shared" si="1126"/>
        <v>19959</v>
      </c>
      <c r="E7775" s="1"/>
      <c r="F7775" s="39">
        <f t="shared" si="1127"/>
        <v>239</v>
      </c>
      <c r="G7775" s="168">
        <f>SUM(C7775,C7751,C7727,C7703,C7679,C7655,C7631,C7607,C7583,C7559,C7535,C7511,C7487,C7463)/POBLA!$B$22*100000</f>
        <v>196.97172581781089</v>
      </c>
      <c r="H7775" s="256">
        <f t="shared" si="1124"/>
        <v>1.6756521739130434</v>
      </c>
      <c r="I7775" s="297">
        <f t="shared" si="1128"/>
        <v>330.05610056601876</v>
      </c>
      <c r="J7775" s="297">
        <f t="shared" si="1129"/>
        <v>129.57142857142858</v>
      </c>
      <c r="K7775" s="297">
        <f>J7775/POBLA!$B$22*100000</f>
        <v>13.244373587126878</v>
      </c>
      <c r="L7775" s="549">
        <f t="shared" si="1125"/>
        <v>0.11078431372549025</v>
      </c>
      <c r="M7775" s="401">
        <f>SUM(C7775,C7751,C7727,C7703,C7679,C7655,C7631)/POBLA!$B$22*100000</f>
        <v>92.710615109888153</v>
      </c>
    </row>
    <row r="7776" spans="1:13" s="360" customFormat="1" x14ac:dyDescent="0.25">
      <c r="A7776" s="361" t="s">
        <v>39</v>
      </c>
      <c r="B7776" s="29">
        <v>44216</v>
      </c>
      <c r="C7776" s="1">
        <v>91</v>
      </c>
      <c r="D7776" s="276">
        <f t="shared" si="1126"/>
        <v>21116</v>
      </c>
      <c r="E7776" s="1">
        <v>1</v>
      </c>
      <c r="F7776" s="39">
        <f t="shared" si="1127"/>
        <v>307</v>
      </c>
      <c r="G7776" s="168">
        <f>SUM(C7776,C7752,C7728,C7704,C7680,C7656,C7632,C7608,C7584,C7560,C7536,C7512,C7488,C7464)/POBLA!$B$23*100000</f>
        <v>722.16252898263861</v>
      </c>
      <c r="H7776" s="256">
        <f t="shared" si="1124"/>
        <v>0.86635006784260515</v>
      </c>
      <c r="I7776" s="297">
        <f t="shared" si="1128"/>
        <v>625.64555597749631</v>
      </c>
      <c r="J7776" s="297">
        <f t="shared" si="1129"/>
        <v>88.285714285714292</v>
      </c>
      <c r="K7776" s="297">
        <f>J7776/POBLA!$B$23*100000</f>
        <v>49.926887002043934</v>
      </c>
      <c r="L7776" s="549">
        <f t="shared" si="1125"/>
        <v>6.2215477996965141E-2</v>
      </c>
      <c r="M7776" s="401">
        <f>SUM(C7776,C7752,C7728,C7704,C7680,C7656,C7632)/POBLA!$B$23*100000</f>
        <v>349.48820901430753</v>
      </c>
    </row>
    <row r="7777" spans="1:13" s="360" customFormat="1" ht="15.75" thickBot="1" x14ac:dyDescent="0.3">
      <c r="A7777" s="361" t="s">
        <v>40</v>
      </c>
      <c r="B7777" s="29">
        <v>44216</v>
      </c>
      <c r="C7777" s="1">
        <v>148</v>
      </c>
      <c r="D7777" s="276">
        <f t="shared" si="1126"/>
        <v>74828</v>
      </c>
      <c r="E7777" s="1">
        <v>4</v>
      </c>
      <c r="F7777" s="39">
        <f t="shared" si="1127"/>
        <v>1415</v>
      </c>
      <c r="G7777" s="177">
        <f>SUM(C7777,C7753,C7729,C7705,C7681,C7657,C7633,C7609,C7585,C7561,C7537,C7513,C7489,C7465)/POBLA!$B$24*100000</f>
        <v>163.39599305109709</v>
      </c>
      <c r="H7777" s="402">
        <f t="shared" si="1124"/>
        <v>1.4451983298538622</v>
      </c>
      <c r="I7777" s="403">
        <f t="shared" si="1128"/>
        <v>236.13961626225878</v>
      </c>
      <c r="J7777" s="403">
        <f t="shared" si="1129"/>
        <v>173.28571428571428</v>
      </c>
      <c r="K7777" s="403">
        <f>J7777/POBLA!$B$24*100000</f>
        <v>10.225421223287455</v>
      </c>
      <c r="L7777" s="550">
        <f t="shared" si="1125"/>
        <v>0.2204370179948586</v>
      </c>
      <c r="M7777" s="405">
        <f>SUM(C7777,C7753,C7729,C7705,C7681,C7657,C7633)/POBLA!$B$24*100000</f>
        <v>71.5779485630122</v>
      </c>
    </row>
    <row r="7778" spans="1:13" s="360" customFormat="1" x14ac:dyDescent="0.25">
      <c r="A7778" s="361" t="s">
        <v>16</v>
      </c>
      <c r="B7778" s="29">
        <v>44217</v>
      </c>
      <c r="C7778" s="1">
        <v>4630</v>
      </c>
      <c r="D7778" s="276">
        <f>C7778+D7754</f>
        <v>769096</v>
      </c>
      <c r="E7778" s="1">
        <v>45</v>
      </c>
      <c r="F7778" s="39">
        <f>E7778+F7754</f>
        <v>23805</v>
      </c>
      <c r="G7778" s="175">
        <f>SUM(C7778,C7754,C7730,C7706,C7682,C7658,C7634,C7610,C7586,C7562,C7538,C7514,C7490,C7466)/POBLA!$B$1*100000</f>
        <v>340.70189618793898</v>
      </c>
      <c r="H7778" s="300">
        <f t="shared" ref="H7778:H7801" si="1130">SUM(C7778,C7754,C7730,C7706,C7682,C7658,C7634,C7610,C7586,C7562,C7538,C7514,C7490,C7466)/SUM(C7442,C7418,C7394,C7370,C7346,C7322,C7298,C7274,C7250,C7226,C7202,C7178,C7154,C7130)</f>
        <v>1.3053250043683382</v>
      </c>
      <c r="I7778" s="301">
        <f>G7778*H7778</f>
        <v>444.72670412982256</v>
      </c>
      <c r="J7778" s="301">
        <f>AVERAGE(C7778,C7754,C7730,C7706,C7682,C7658,C7634)</f>
        <v>4072.7142857142858</v>
      </c>
      <c r="K7778" s="301">
        <f>J7778/POBLA!$B$1*100000</f>
        <v>23.218069370255254</v>
      </c>
      <c r="L7778" s="548">
        <f t="shared" ref="L7778:L7801" si="1131">1-SUM(C7778,C7754,C7730,C7706,C7682,C7658,C7634)/SUM(C7610,C7586,C7562,C7538,C7514,C7490,C7466)</f>
        <v>8.7828757918986367E-2</v>
      </c>
      <c r="M7778" s="400">
        <f>SUM(C7778,C7754,C7730,C7706,C7682,C7658,C7634)/POBLA!$B$1*100000</f>
        <v>162.52648559178675</v>
      </c>
    </row>
    <row r="7779" spans="1:13" s="360" customFormat="1" x14ac:dyDescent="0.25">
      <c r="A7779" s="361" t="s">
        <v>43</v>
      </c>
      <c r="B7779" s="29">
        <v>44217</v>
      </c>
      <c r="C7779" s="1">
        <v>1265</v>
      </c>
      <c r="D7779" s="276">
        <f t="shared" si="1126"/>
        <v>199823</v>
      </c>
      <c r="E7779" s="1">
        <v>25</v>
      </c>
      <c r="F7779" s="39">
        <f t="shared" si="1127"/>
        <v>5757</v>
      </c>
      <c r="G7779" s="168">
        <f>SUM(C7779,C7755,C7731,C7707,C7683,C7659,C7635,C7611,C7587,C7563,C7539,C7515,C7491,C7467)/POBLA!$B$2*100000</f>
        <v>579.84566494323474</v>
      </c>
      <c r="H7779" s="256">
        <f t="shared" si="1130"/>
        <v>1.3535215543412265</v>
      </c>
      <c r="I7779" s="297">
        <f t="shared" ref="I7779:I7801" si="1132">G7779*H7779</f>
        <v>784.83360569198908</v>
      </c>
      <c r="J7779" s="297">
        <f t="shared" ref="J7779:J7801" si="1133">AVERAGE(C7779,C7755,C7731,C7707,C7683,C7659,C7635)</f>
        <v>1248.8571428571429</v>
      </c>
      <c r="K7779" s="297">
        <f>J7779/POBLA!$B$2*100000</f>
        <v>40.604710127795684</v>
      </c>
      <c r="L7779" s="549">
        <f t="shared" si="1131"/>
        <v>3.8495380554333436E-2</v>
      </c>
      <c r="M7779" s="401">
        <f>SUM(C7779,C7755,C7731,C7707,C7683,C7659,C7635)/POBLA!$B$2*100000</f>
        <v>284.2329708945698</v>
      </c>
    </row>
    <row r="7780" spans="1:13" s="360" customFormat="1" x14ac:dyDescent="0.25">
      <c r="A7780" s="361" t="s">
        <v>28</v>
      </c>
      <c r="B7780" s="29">
        <v>44217</v>
      </c>
      <c r="C7780" s="1">
        <v>95</v>
      </c>
      <c r="D7780" s="276">
        <f t="shared" si="1126"/>
        <v>4577</v>
      </c>
      <c r="E7780" s="1"/>
      <c r="F7780" s="39">
        <f t="shared" si="1127"/>
        <v>17</v>
      </c>
      <c r="G7780" s="168">
        <f>SUM(C7780,C7756,C7732,C7708,C7684,C7660,C7636,C7612,C7588,C7564,C7540,C7516,C7492,C7468)/POBLA!$B$3*100000</f>
        <v>380.08078221058253</v>
      </c>
      <c r="H7780" s="256">
        <f t="shared" si="1130"/>
        <v>3.1267326732673268</v>
      </c>
      <c r="I7780" s="297">
        <f t="shared" si="1132"/>
        <v>1188.4110002188313</v>
      </c>
      <c r="J7780" s="297">
        <f t="shared" si="1133"/>
        <v>163.28571428571428</v>
      </c>
      <c r="K7780" s="297">
        <f>J7780/POBLA!$B$3*100000</f>
        <v>39.304472456952489</v>
      </c>
      <c r="L7780" s="549">
        <f t="shared" si="1131"/>
        <v>-1.6215596330275228</v>
      </c>
      <c r="M7780" s="401">
        <f>SUM(C7780,C7756,C7732,C7708,C7684,C7660,C7636)/POBLA!$B$3*100000</f>
        <v>275.13130719866746</v>
      </c>
    </row>
    <row r="7781" spans="1:13" s="360" customFormat="1" x14ac:dyDescent="0.25">
      <c r="A7781" s="361" t="s">
        <v>15</v>
      </c>
      <c r="B7781" s="29">
        <v>44217</v>
      </c>
      <c r="C7781" s="1">
        <v>281</v>
      </c>
      <c r="D7781" s="276">
        <f t="shared" si="1126"/>
        <v>29323</v>
      </c>
      <c r="E7781" s="1"/>
      <c r="F7781" s="39">
        <f t="shared" si="1127"/>
        <v>771</v>
      </c>
      <c r="G7781" s="168">
        <f>SUM(C7781,C7757,C7733,C7709,C7685,C7661,C7637,C7613,C7589,C7565,C7541,C7517,C7493,C7469)/POBLA!$B$4*100000</f>
        <v>258.02359570990114</v>
      </c>
      <c r="H7781" s="256">
        <f t="shared" si="1130"/>
        <v>1.1995368583558472</v>
      </c>
      <c r="I7781" s="297">
        <f t="shared" si="1132"/>
        <v>309.5088133795341</v>
      </c>
      <c r="J7781" s="297">
        <f t="shared" si="1133"/>
        <v>197.28571428571428</v>
      </c>
      <c r="K7781" s="297">
        <f>J7781/POBLA!$B$4*100000</f>
        <v>16.378497227218855</v>
      </c>
      <c r="L7781" s="549">
        <f t="shared" si="1131"/>
        <v>0.20034742327735955</v>
      </c>
      <c r="M7781" s="401">
        <f>SUM(C7781,C7757,C7733,C7709,C7685,C7661,C7637)/POBLA!$B$4*100000</f>
        <v>114.64948059053199</v>
      </c>
    </row>
    <row r="7782" spans="1:13" s="360" customFormat="1" x14ac:dyDescent="0.25">
      <c r="A7782" s="361" t="s">
        <v>29</v>
      </c>
      <c r="B7782" s="29">
        <v>44217</v>
      </c>
      <c r="C7782" s="1">
        <v>381</v>
      </c>
      <c r="D7782" s="276">
        <f t="shared" si="1126"/>
        <v>39492</v>
      </c>
      <c r="E7782" s="1">
        <v>8</v>
      </c>
      <c r="F7782" s="39">
        <f t="shared" si="1127"/>
        <v>578</v>
      </c>
      <c r="G7782" s="168">
        <f>SUM(C7782,C7758,C7734,C7710,C7686,C7662,C7638,C7614,C7590,C7566,C7542,C7518,C7494,C7470)/POBLA!$B$5*100000</f>
        <v>834.25687486469985</v>
      </c>
      <c r="H7782" s="256">
        <f t="shared" si="1130"/>
        <v>1.061459403905447</v>
      </c>
      <c r="I7782" s="297">
        <f t="shared" si="1132"/>
        <v>885.52980509790541</v>
      </c>
      <c r="J7782" s="297">
        <f t="shared" si="1133"/>
        <v>284.85714285714283</v>
      </c>
      <c r="K7782" s="297">
        <f>J7782/POBLA!$B$5*100000</f>
        <v>46.01937060086896</v>
      </c>
      <c r="L7782" s="549">
        <f t="shared" si="1131"/>
        <v>0.3709779179810726</v>
      </c>
      <c r="M7782" s="401">
        <f>SUM(C7782,C7758,C7734,C7710,C7686,C7662,C7638)/POBLA!$B$5*100000</f>
        <v>322.13559420608277</v>
      </c>
    </row>
    <row r="7783" spans="1:13" s="360" customFormat="1" x14ac:dyDescent="0.25">
      <c r="A7783" s="361" t="s">
        <v>30</v>
      </c>
      <c r="B7783" s="29">
        <v>44217</v>
      </c>
      <c r="C7783" s="1">
        <v>135</v>
      </c>
      <c r="D7783" s="276">
        <f>C7783+D7759</f>
        <v>15909</v>
      </c>
      <c r="E7783" s="1">
        <v>4</v>
      </c>
      <c r="F7783" s="39">
        <f t="shared" si="1127"/>
        <v>2558</v>
      </c>
      <c r="G7783" s="168">
        <f>SUM(C7783,C7759,C7735,C7711,C7687,C7663,C7639,C7615,C7591,C7567,C7543,C7519,C7495,C7471)/POBLA!$B$6*100000</f>
        <v>599.83886524012735</v>
      </c>
      <c r="H7783" s="256">
        <f t="shared" si="1130"/>
        <v>0.97237489152444312</v>
      </c>
      <c r="I7783" s="297">
        <f t="shared" si="1132"/>
        <v>583.26825152001391</v>
      </c>
      <c r="J7783" s="297">
        <f t="shared" si="1133"/>
        <v>280.42857142857144</v>
      </c>
      <c r="K7783" s="297">
        <f>J7783/POBLA!$B$6*100000</f>
        <v>25.020371272739002</v>
      </c>
      <c r="L7783" s="549">
        <f t="shared" si="1131"/>
        <v>0.58760504201680674</v>
      </c>
      <c r="M7783" s="401">
        <f>SUM(C7783,C7759,C7735,C7711,C7687,C7663,C7639)/POBLA!$B$6*100000</f>
        <v>175.14259890917299</v>
      </c>
    </row>
    <row r="7784" spans="1:13" s="360" customFormat="1" x14ac:dyDescent="0.25">
      <c r="A7784" s="361" t="s">
        <v>20</v>
      </c>
      <c r="B7784" s="29">
        <v>44217</v>
      </c>
      <c r="C7784" s="1">
        <v>649</v>
      </c>
      <c r="D7784" s="276">
        <f>C7784+D7760</f>
        <v>140094</v>
      </c>
      <c r="E7784" s="1">
        <v>7</v>
      </c>
      <c r="F7784" s="39">
        <f t="shared" si="1127"/>
        <v>214</v>
      </c>
      <c r="G7784" s="168">
        <f>SUM(C7784,C7760,C7736,C7712,C7688,C7664,C7640,C7616,C7592,C7568,C7544,C7520,C7496,C7472)/POBLA!$B$7*100000</f>
        <v>126.87311359012884</v>
      </c>
      <c r="H7784" s="256">
        <f t="shared" si="1130"/>
        <v>2.4329423763386027</v>
      </c>
      <c r="I7784" s="297">
        <f t="shared" si="1132"/>
        <v>308.67497447144552</v>
      </c>
      <c r="J7784" s="297">
        <f t="shared" si="1133"/>
        <v>404.14285714285717</v>
      </c>
      <c r="K7784" s="297">
        <f>J7784/POBLA!$B$7*100000</f>
        <v>10.74719400983545</v>
      </c>
      <c r="L7784" s="549">
        <f t="shared" si="1131"/>
        <v>-0.45674562306900102</v>
      </c>
      <c r="M7784" s="401">
        <f>SUM(C7784,C7760,C7736,C7712,C7688,C7664,C7640)/POBLA!$B$7*100000</f>
        <v>75.230358068848147</v>
      </c>
    </row>
    <row r="7785" spans="1:13" x14ac:dyDescent="0.25">
      <c r="A7785" s="361" t="s">
        <v>31</v>
      </c>
      <c r="B7785" s="29">
        <v>44217</v>
      </c>
      <c r="C7785" s="1">
        <v>445</v>
      </c>
      <c r="D7785" s="276">
        <f t="shared" si="1126"/>
        <v>38170</v>
      </c>
      <c r="E7785" s="1">
        <v>6</v>
      </c>
      <c r="F7785" s="39">
        <f t="shared" si="1127"/>
        <v>659</v>
      </c>
      <c r="G7785" s="168">
        <f>SUM(C7785,C7761,C7737,C7713,C7689,C7665,C7641,C7617,C7593,C7569,C7545,C7521,C7497,C7473)/POBLA!$B$8*100000</f>
        <v>438.82908682134632</v>
      </c>
      <c r="H7785" s="256">
        <f t="shared" si="1130"/>
        <v>1.3873175182481752</v>
      </c>
      <c r="I7785" s="297">
        <f t="shared" si="1132"/>
        <v>608.79527966410319</v>
      </c>
      <c r="J7785" s="297">
        <f t="shared" si="1133"/>
        <v>406.42857142857144</v>
      </c>
      <c r="K7785" s="297">
        <f>J7785/POBLA!$B$8*100000</f>
        <v>29.324675905640305</v>
      </c>
      <c r="L7785" s="549">
        <f t="shared" si="1131"/>
        <v>0.12109978375038621</v>
      </c>
      <c r="M7785" s="401">
        <f>SUM(C7785,C7761,C7737,C7713,C7689,C7665,C7641)/POBLA!$B$8*100000</f>
        <v>205.27273133948214</v>
      </c>
    </row>
    <row r="7786" spans="1:13" s="360" customFormat="1" x14ac:dyDescent="0.25">
      <c r="A7786" s="361" t="s">
        <v>41</v>
      </c>
      <c r="B7786" s="29">
        <v>44217</v>
      </c>
      <c r="C7786" s="1">
        <v>59</v>
      </c>
      <c r="D7786" s="276">
        <f t="shared" si="1126"/>
        <v>759</v>
      </c>
      <c r="E7786" s="1"/>
      <c r="F7786" s="39">
        <f t="shared" si="1127"/>
        <v>6</v>
      </c>
      <c r="G7786" s="168">
        <f>SUM(C7786,C7762,C7738,C7714,C7690,C7666,C7642,C7618,C7594,C7570,C7546,C7522,C7498,C7474)/POBLA!$B$9*100000</f>
        <v>86.088239619427199</v>
      </c>
      <c r="H7786" s="256">
        <f t="shared" si="1130"/>
        <v>20.84</v>
      </c>
      <c r="I7786" s="297">
        <f t="shared" si="1132"/>
        <v>1794.0789136688629</v>
      </c>
      <c r="J7786" s="297">
        <f t="shared" si="1133"/>
        <v>37</v>
      </c>
      <c r="K7786" s="297">
        <f>J7786/POBLA!$B$9*100000</f>
        <v>6.113752141878706</v>
      </c>
      <c r="L7786" s="549">
        <f t="shared" si="1131"/>
        <v>1.1450381679389277E-2</v>
      </c>
      <c r="M7786" s="401">
        <f>SUM(C7786,C7762,C7738,C7714,C7690,C7666,C7642)/POBLA!$B$9*100000</f>
        <v>42.796264993150942</v>
      </c>
    </row>
    <row r="7787" spans="1:13" s="360" customFormat="1" x14ac:dyDescent="0.25">
      <c r="A7787" s="361" t="s">
        <v>32</v>
      </c>
      <c r="B7787" s="29">
        <v>44217</v>
      </c>
      <c r="C7787" s="1">
        <v>45</v>
      </c>
      <c r="D7787" s="276">
        <f t="shared" si="1126"/>
        <v>19026</v>
      </c>
      <c r="E7787" s="1"/>
      <c r="F7787" s="39">
        <f t="shared" si="1127"/>
        <v>864</v>
      </c>
      <c r="G7787" s="168">
        <f>SUM(C7787,C7763,C7739,C7715,C7691,C7667,C7643,C7619,C7595,C7571,C7547,C7523,C7499,C7475)/POBLA!$B$10*100000</f>
        <v>53.05617858009213</v>
      </c>
      <c r="H7787" s="256">
        <f t="shared" si="1130"/>
        <v>3.3252032520325203</v>
      </c>
      <c r="I7787" s="297">
        <f t="shared" si="1132"/>
        <v>176.42257755494049</v>
      </c>
      <c r="J7787" s="297">
        <f t="shared" si="1133"/>
        <v>38.142857142857146</v>
      </c>
      <c r="K7787" s="297">
        <f>J7787/POBLA!$B$10*100000</f>
        <v>4.9479565773260914</v>
      </c>
      <c r="L7787" s="549">
        <f t="shared" si="1131"/>
        <v>-0.88028169014084501</v>
      </c>
      <c r="M7787" s="401">
        <f>SUM(C7787,C7763,C7739,C7715,C7691,C7667,C7643)/POBLA!$B$10*100000</f>
        <v>34.635696041282635</v>
      </c>
    </row>
    <row r="7788" spans="1:13" s="360" customFormat="1" x14ac:dyDescent="0.25">
      <c r="A7788" s="361" t="s">
        <v>33</v>
      </c>
      <c r="B7788" s="29">
        <v>44217</v>
      </c>
      <c r="C7788" s="1">
        <v>139</v>
      </c>
      <c r="D7788" s="276">
        <f t="shared" si="1126"/>
        <v>15545</v>
      </c>
      <c r="E7788" s="1"/>
      <c r="F7788" s="39">
        <f t="shared" si="1127"/>
        <v>209</v>
      </c>
      <c r="G7788" s="168">
        <f>SUM(C7788,C7764,C7740,C7716,C7692,C7668,C7644,C7620,C7596,C7572,C7548,C7524,C7500,C7476)/POBLA!$B$11*100000</f>
        <v>778.95700112714417</v>
      </c>
      <c r="H7788" s="256">
        <f t="shared" si="1130"/>
        <v>0.78471051152332771</v>
      </c>
      <c r="I7788" s="297">
        <f t="shared" si="1132"/>
        <v>611.25574680915861</v>
      </c>
      <c r="J7788" s="297">
        <f t="shared" si="1133"/>
        <v>143.71428571428572</v>
      </c>
      <c r="K7788" s="297">
        <f>J7788/POBLA!$B$11*100000</f>
        <v>40.095719562725492</v>
      </c>
      <c r="L7788" s="549">
        <f t="shared" si="1131"/>
        <v>0.43673012318029114</v>
      </c>
      <c r="M7788" s="401">
        <f>SUM(C7788,C7764,C7740,C7716,C7692,C7668,C7644)/POBLA!$B$11*100000</f>
        <v>280.67003693907839</v>
      </c>
    </row>
    <row r="7789" spans="1:13" s="360" customFormat="1" x14ac:dyDescent="0.25">
      <c r="A7789" s="361" t="s">
        <v>21</v>
      </c>
      <c r="B7789" s="29">
        <v>44217</v>
      </c>
      <c r="C7789" s="1">
        <v>19</v>
      </c>
      <c r="D7789" s="276">
        <f t="shared" si="1126"/>
        <v>9378</v>
      </c>
      <c r="E7789" s="1"/>
      <c r="F7789" s="39">
        <f t="shared" si="1127"/>
        <v>402</v>
      </c>
      <c r="G7789" s="168">
        <f>SUM(C7789,C7765,C7741,C7717,C7693,C7669,C7645,C7621,C7597,C7573,C7549,C7525,C7501,C7477)/POBLA!$B$12*100000</f>
        <v>53.617122920430667</v>
      </c>
      <c r="H7789" s="256">
        <f t="shared" si="1130"/>
        <v>1.8034188034188035</v>
      </c>
      <c r="I7789" s="297">
        <f t="shared" si="1132"/>
        <v>96.694127659921975</v>
      </c>
      <c r="J7789" s="297">
        <f t="shared" si="1133"/>
        <v>17</v>
      </c>
      <c r="K7789" s="297">
        <f>J7789/POBLA!$B$12*100000</f>
        <v>4.3198629841105278</v>
      </c>
      <c r="L7789" s="549">
        <f t="shared" si="1131"/>
        <v>-0.29347826086956519</v>
      </c>
      <c r="M7789" s="401">
        <f>SUM(C7789,C7765,C7741,C7717,C7693,C7669,C7645)/POBLA!$B$12*100000</f>
        <v>30.23904088877369</v>
      </c>
    </row>
    <row r="7790" spans="1:13" s="360" customFormat="1" x14ac:dyDescent="0.25">
      <c r="A7790" s="361" t="s">
        <v>17</v>
      </c>
      <c r="B7790" s="29">
        <v>44217</v>
      </c>
      <c r="C7790" s="1">
        <v>172</v>
      </c>
      <c r="D7790" s="276">
        <f t="shared" si="1126"/>
        <v>62809</v>
      </c>
      <c r="E7790" s="1">
        <v>9</v>
      </c>
      <c r="F7790" s="39">
        <f t="shared" si="1127"/>
        <v>1311</v>
      </c>
      <c r="G7790" s="168">
        <f>SUM(C7790,C7766,C7742,C7718,C7694,C7670,C7646,C7622,C7598,C7574,C7550,C7526,C7502,C7478)/POBLA!$B$13*100000</f>
        <v>96.466027378264386</v>
      </c>
      <c r="H7790" s="256">
        <f t="shared" si="1130"/>
        <v>1.3655761024182076</v>
      </c>
      <c r="I7790" s="297">
        <f t="shared" si="1132"/>
        <v>131.73170168297838</v>
      </c>
      <c r="J7790" s="297">
        <f t="shared" si="1133"/>
        <v>129.42857142857142</v>
      </c>
      <c r="K7790" s="297">
        <f>J7790/POBLA!$B$13*100000</f>
        <v>6.5028438098740731</v>
      </c>
      <c r="L7790" s="549">
        <f t="shared" si="1131"/>
        <v>0.10650887573964496</v>
      </c>
      <c r="M7790" s="401">
        <f>SUM(C7790,C7766,C7742,C7718,C7694,C7670,C7646)/POBLA!$B$13*100000</f>
        <v>45.519906669118512</v>
      </c>
    </row>
    <row r="7791" spans="1:13" s="360" customFormat="1" x14ac:dyDescent="0.25">
      <c r="A7791" s="361" t="s">
        <v>23</v>
      </c>
      <c r="B7791" s="29">
        <v>44217</v>
      </c>
      <c r="C7791" s="1">
        <v>175</v>
      </c>
      <c r="D7791" s="276">
        <f t="shared" si="1126"/>
        <v>2934</v>
      </c>
      <c r="E7791" s="1">
        <v>7</v>
      </c>
      <c r="F7791" s="39">
        <f t="shared" si="1127"/>
        <v>60</v>
      </c>
      <c r="G7791" s="168">
        <f>SUM(C7791,C7767,C7743,C7719,C7695,C7671,C7647,C7623,C7599,C7575,C7551,C7527,C7503,C7479)/POBLA!$B$14*100000</f>
        <v>139.45995144668888</v>
      </c>
      <c r="H7791" s="256">
        <f t="shared" si="1130"/>
        <v>6.3963636363636365</v>
      </c>
      <c r="I7791" s="297">
        <f t="shared" si="1132"/>
        <v>892.03656216263903</v>
      </c>
      <c r="J7791" s="297">
        <f t="shared" si="1133"/>
        <v>167.42857142857142</v>
      </c>
      <c r="K7791" s="297">
        <f>J7791/POBLA!$B$14*100000</f>
        <v>13.274349313369559</v>
      </c>
      <c r="L7791" s="549">
        <f t="shared" si="1131"/>
        <v>-0.99659284497444633</v>
      </c>
      <c r="M7791" s="401">
        <f>SUM(C7791,C7767,C7743,C7719,C7695,C7671,C7647)/POBLA!$B$14*100000</f>
        <v>92.9204451935869</v>
      </c>
    </row>
    <row r="7792" spans="1:13" s="360" customFormat="1" x14ac:dyDescent="0.25">
      <c r="A7792" s="361" t="s">
        <v>19</v>
      </c>
      <c r="B7792" s="29">
        <v>44217</v>
      </c>
      <c r="C7792" s="1">
        <v>524</v>
      </c>
      <c r="D7792" s="276">
        <f t="shared" si="1126"/>
        <v>50153</v>
      </c>
      <c r="E7792" s="1">
        <v>1</v>
      </c>
      <c r="F7792" s="39">
        <f t="shared" si="1127"/>
        <v>758</v>
      </c>
      <c r="G7792" s="168">
        <f>SUM(C7792,C7768,C7744,C7720,C7696,C7672,C7648,C7624,C7600,C7576,C7552,C7528,C7504,C7480)/POBLA!$B$15*100000</f>
        <v>916.93935912128018</v>
      </c>
      <c r="H7792" s="256">
        <f t="shared" si="1130"/>
        <v>1.2271261588069327</v>
      </c>
      <c r="I7792" s="297">
        <f t="shared" si="1132"/>
        <v>1125.2002736173872</v>
      </c>
      <c r="J7792" s="297">
        <f t="shared" si="1133"/>
        <v>422.28571428571428</v>
      </c>
      <c r="K7792" s="297">
        <f>J7792/POBLA!$B$15*100000</f>
        <v>63.591787193827379</v>
      </c>
      <c r="L7792" s="549">
        <f t="shared" si="1131"/>
        <v>5.6495371848068965E-2</v>
      </c>
      <c r="M7792" s="401">
        <f>SUM(C7792,C7768,C7744,C7720,C7696,C7672,C7648)/POBLA!$B$15*100000</f>
        <v>445.14251035679166</v>
      </c>
    </row>
    <row r="7793" spans="1:13" s="360" customFormat="1" x14ac:dyDescent="0.25">
      <c r="A7793" s="361" t="s">
        <v>18</v>
      </c>
      <c r="B7793" s="29">
        <v>44217</v>
      </c>
      <c r="C7793" s="1">
        <v>265</v>
      </c>
      <c r="D7793" s="276">
        <f t="shared" si="1126"/>
        <v>45272</v>
      </c>
      <c r="E7793" s="1">
        <v>6</v>
      </c>
      <c r="F7793" s="39">
        <f t="shared" si="1127"/>
        <v>1016</v>
      </c>
      <c r="G7793" s="168">
        <f>SUM(C7793,C7769,C7745,C7721,C7697,C7673,C7649,C7625,C7601,C7577,C7553,C7529,C7505,C7481)/POBLA!$B$16*100000</f>
        <v>627.33243268549109</v>
      </c>
      <c r="H7793" s="256">
        <f t="shared" si="1130"/>
        <v>1.260752688172043</v>
      </c>
      <c r="I7793" s="297">
        <f t="shared" si="1132"/>
        <v>790.91105088574011</v>
      </c>
      <c r="J7793" s="297">
        <f t="shared" si="1133"/>
        <v>313.57142857142856</v>
      </c>
      <c r="K7793" s="297">
        <f>J7793/POBLA!$B$16*100000</f>
        <v>41.943182751893175</v>
      </c>
      <c r="L7793" s="549">
        <f t="shared" si="1131"/>
        <v>0.12024048096192386</v>
      </c>
      <c r="M7793" s="401">
        <f>SUM(C7793,C7769,C7745,C7721,C7697,C7673,C7649)/POBLA!$B$16*100000</f>
        <v>293.60227926325223</v>
      </c>
    </row>
    <row r="7794" spans="1:13" s="360" customFormat="1" x14ac:dyDescent="0.25">
      <c r="A7794" s="361" t="s">
        <v>34</v>
      </c>
      <c r="B7794" s="29">
        <v>44217</v>
      </c>
      <c r="C7794" s="1">
        <v>75</v>
      </c>
      <c r="D7794" s="276">
        <f t="shared" si="1126"/>
        <v>23304</v>
      </c>
      <c r="E7794" s="1"/>
      <c r="F7794" s="39">
        <f t="shared" si="1127"/>
        <v>1030</v>
      </c>
      <c r="G7794" s="168">
        <f>SUM(C7794,C7770,C7746,C7722,C7698,C7674,C7650,C7626,C7602,C7578,C7554,C7530,C7506,C7482)/POBLA!$B$17*100000</f>
        <v>50.968936328846517</v>
      </c>
      <c r="H7794" s="256">
        <f t="shared" si="1130"/>
        <v>1.6351351351351351</v>
      </c>
      <c r="I7794" s="297">
        <f t="shared" si="1132"/>
        <v>83.341098591762545</v>
      </c>
      <c r="J7794" s="297">
        <f t="shared" si="1133"/>
        <v>54.857142857142854</v>
      </c>
      <c r="K7794" s="297">
        <f>J7794/POBLA!$B$17*100000</f>
        <v>3.8512537485787215</v>
      </c>
      <c r="L7794" s="549">
        <f t="shared" si="1131"/>
        <v>-0.12280701754385959</v>
      </c>
      <c r="M7794" s="401">
        <f>SUM(C7794,C7770,C7746,C7722,C7698,C7674,C7650)/POBLA!$B$17*100000</f>
        <v>26.958776240051051</v>
      </c>
    </row>
    <row r="7795" spans="1:13" s="360" customFormat="1" x14ac:dyDescent="0.25">
      <c r="A7795" s="361" t="s">
        <v>35</v>
      </c>
      <c r="B7795" s="29">
        <v>44217</v>
      </c>
      <c r="C7795" s="1">
        <v>81</v>
      </c>
      <c r="D7795" s="276">
        <f t="shared" si="1126"/>
        <v>13433</v>
      </c>
      <c r="E7795" s="1"/>
      <c r="F7795" s="39">
        <f t="shared" si="1127"/>
        <v>216</v>
      </c>
      <c r="G7795" s="168">
        <f>SUM(C7795,C7771,C7747,C7723,C7699,C7675,C7651,C7627,C7603,C7579,C7555,C7531,C7507,C7483)/POBLA!$B$18*100000</f>
        <v>165.25498037037084</v>
      </c>
      <c r="H7795" s="256">
        <f t="shared" si="1130"/>
        <v>1.0197472353870458</v>
      </c>
      <c r="I7795" s="297">
        <f t="shared" si="1132"/>
        <v>168.5183093666262</v>
      </c>
      <c r="J7795" s="297">
        <f t="shared" si="1133"/>
        <v>73.714285714285708</v>
      </c>
      <c r="K7795" s="297">
        <f>J7795/POBLA!$B$18*100000</f>
        <v>9.4358271407669978</v>
      </c>
      <c r="L7795" s="549">
        <f t="shared" si="1131"/>
        <v>0.33419354838709681</v>
      </c>
      <c r="M7795" s="401">
        <f>SUM(C7795,C7771,C7747,C7723,C7699,C7675,C7651)/POBLA!$B$18*100000</f>
        <v>66.050789985368979</v>
      </c>
    </row>
    <row r="7796" spans="1:13" s="360" customFormat="1" x14ac:dyDescent="0.25">
      <c r="A7796" s="361" t="s">
        <v>36</v>
      </c>
      <c r="B7796" s="29">
        <v>44217</v>
      </c>
      <c r="C7796" s="1">
        <v>202</v>
      </c>
      <c r="D7796" s="276">
        <f t="shared" si="1126"/>
        <v>17364</v>
      </c>
      <c r="E7796" s="1">
        <v>2</v>
      </c>
      <c r="F7796" s="39">
        <f t="shared" si="1127"/>
        <v>335</v>
      </c>
      <c r="G7796" s="168">
        <f>SUM(C7796,C7772,C7748,C7724,C7700,C7676,C7652,C7628,C7604,C7580,C7556,C7532,C7508,C7484)/POBLA!$B$19*100000</f>
        <v>180.59205867077949</v>
      </c>
      <c r="H7796" s="256">
        <f t="shared" si="1130"/>
        <v>1.9913232104121474</v>
      </c>
      <c r="I7796" s="297">
        <f t="shared" si="1132"/>
        <v>359.61715804723553</v>
      </c>
      <c r="J7796" s="297">
        <f t="shared" si="1133"/>
        <v>86.285714285714292</v>
      </c>
      <c r="K7796" s="297">
        <f>J7796/POBLA!$B$19*100000</f>
        <v>16.974416968121819</v>
      </c>
      <c r="L7796" s="549">
        <f t="shared" si="1131"/>
        <v>-0.92356687898089174</v>
      </c>
      <c r="M7796" s="401">
        <f>SUM(C7796,C7772,C7748,C7724,C7700,C7676,C7652)/POBLA!$B$19*100000</f>
        <v>118.82091877685275</v>
      </c>
    </row>
    <row r="7797" spans="1:13" s="360" customFormat="1" x14ac:dyDescent="0.25">
      <c r="A7797" s="361" t="s">
        <v>37</v>
      </c>
      <c r="B7797" s="29">
        <v>44217</v>
      </c>
      <c r="C7797" s="1">
        <v>314</v>
      </c>
      <c r="D7797" s="276">
        <f t="shared" si="1126"/>
        <v>30923</v>
      </c>
      <c r="E7797" s="1">
        <v>3</v>
      </c>
      <c r="F7797" s="39">
        <f t="shared" si="1127"/>
        <v>476</v>
      </c>
      <c r="G7797" s="168">
        <f>SUM(C7797,C7773,C7749,C7725,C7701,C7677,C7653,C7629,C7605,C7581,C7557,C7533,C7509,C7485)/POBLA!$B$20*100000</f>
        <v>1302.4408118174013</v>
      </c>
      <c r="H7797" s="256">
        <f t="shared" si="1130"/>
        <v>1.0790666062528318</v>
      </c>
      <c r="I7797" s="297">
        <f t="shared" si="1132"/>
        <v>1405.4203866529863</v>
      </c>
      <c r="J7797" s="297">
        <f t="shared" si="1133"/>
        <v>340.85714285714283</v>
      </c>
      <c r="K7797" s="297">
        <f>J7797/POBLA!$B$20*100000</f>
        <v>93.207275636493179</v>
      </c>
      <c r="L7797" s="549">
        <f t="shared" si="1131"/>
        <v>-3.786285233487563E-3</v>
      </c>
      <c r="M7797" s="401">
        <f>SUM(C7797,C7773,C7749,C7725,C7701,C7677,C7653)/POBLA!$B$20*100000</f>
        <v>652.4509294554523</v>
      </c>
    </row>
    <row r="7798" spans="1:13" s="360" customFormat="1" x14ac:dyDescent="0.25">
      <c r="A7798" s="361" t="s">
        <v>22</v>
      </c>
      <c r="B7798" s="29">
        <v>44217</v>
      </c>
      <c r="C7798" s="1">
        <v>1101</v>
      </c>
      <c r="D7798" s="276">
        <f t="shared" si="1126"/>
        <v>199446</v>
      </c>
      <c r="E7798" s="1">
        <v>13</v>
      </c>
      <c r="F7798" s="39">
        <f t="shared" si="1127"/>
        <v>3282</v>
      </c>
      <c r="G7798" s="168">
        <f>SUM(C7798,C7774,C7750,C7726,C7702,C7678,C7654,C7630,C7606,C7582,C7558,C7534,C7510,C7486)/POBLA!$B$21*100000</f>
        <v>456.81817025023628</v>
      </c>
      <c r="H7798" s="256">
        <f t="shared" si="1130"/>
        <v>1.2843854348863095</v>
      </c>
      <c r="I7798" s="297">
        <f t="shared" si="1132"/>
        <v>586.73060426081793</v>
      </c>
      <c r="J7798" s="297">
        <f t="shared" si="1133"/>
        <v>1086.4285714285713</v>
      </c>
      <c r="K7798" s="297">
        <f>J7798/POBLA!$B$21*100000</f>
        <v>30.721158285829656</v>
      </c>
      <c r="L7798" s="549">
        <f t="shared" si="1131"/>
        <v>0.11052631578947369</v>
      </c>
      <c r="M7798" s="401">
        <f>SUM(C7798,C7774,C7750,C7726,C7702,C7678,C7654)/POBLA!$B$21*100000</f>
        <v>215.04810800080759</v>
      </c>
    </row>
    <row r="7799" spans="1:13" s="360" customFormat="1" x14ac:dyDescent="0.25">
      <c r="A7799" s="361" t="s">
        <v>38</v>
      </c>
      <c r="B7799" s="29">
        <v>44217</v>
      </c>
      <c r="C7799" s="1">
        <v>100</v>
      </c>
      <c r="D7799" s="276">
        <f t="shared" si="1126"/>
        <v>20059</v>
      </c>
      <c r="E7799" s="1">
        <v>1</v>
      </c>
      <c r="F7799" s="39">
        <f t="shared" si="1127"/>
        <v>240</v>
      </c>
      <c r="G7799" s="168">
        <f>SUM(C7799,C7775,C7751,C7727,C7703,C7679,C7655,C7631,C7607,C7583,C7559,C7535,C7511,C7487)/POBLA!$B$22*100000</f>
        <v>190.12320187915321</v>
      </c>
      <c r="H7799" s="256">
        <f t="shared" si="1130"/>
        <v>1.495176848874598</v>
      </c>
      <c r="I7799" s="297">
        <f t="shared" si="1132"/>
        <v>284.26780988362134</v>
      </c>
      <c r="J7799" s="297">
        <f t="shared" si="1133"/>
        <v>115.57142857142857</v>
      </c>
      <c r="K7799" s="297">
        <f>J7799/POBLA!$B$22*100000</f>
        <v>11.813338734273037</v>
      </c>
      <c r="L7799" s="549">
        <f t="shared" si="1131"/>
        <v>0.23025689819219786</v>
      </c>
      <c r="M7799" s="401">
        <f>SUM(C7799,C7775,C7751,C7727,C7703,C7679,C7655)/POBLA!$B$22*100000</f>
        <v>82.69337113991125</v>
      </c>
    </row>
    <row r="7800" spans="1:13" s="360" customFormat="1" x14ac:dyDescent="0.25">
      <c r="A7800" s="361" t="s">
        <v>39</v>
      </c>
      <c r="B7800" s="29">
        <v>44217</v>
      </c>
      <c r="C7800" s="1">
        <v>106</v>
      </c>
      <c r="D7800" s="276">
        <f t="shared" si="1126"/>
        <v>21222</v>
      </c>
      <c r="E7800" s="1">
        <v>4</v>
      </c>
      <c r="F7800" s="39">
        <f t="shared" si="1127"/>
        <v>311</v>
      </c>
      <c r="G7800" s="168">
        <f>SUM(C7800,C7776,C7752,C7728,C7704,C7680,C7656,C7632,C7608,C7584,C7560,C7536,C7512,C7488)/POBLA!$B$23*100000</f>
        <v>740.25900582480347</v>
      </c>
      <c r="H7800" s="256">
        <f t="shared" si="1130"/>
        <v>0.88625592417061616</v>
      </c>
      <c r="I7800" s="297">
        <f t="shared" si="1132"/>
        <v>656.05892933288271</v>
      </c>
      <c r="J7800" s="297">
        <f t="shared" si="1133"/>
        <v>93.142857142857139</v>
      </c>
      <c r="K7800" s="297">
        <f>J7800/POBLA!$B$23*100000</f>
        <v>52.673673665586804</v>
      </c>
      <c r="L7800" s="549">
        <f t="shared" si="1131"/>
        <v>7.6103500761035558E-3</v>
      </c>
      <c r="M7800" s="401">
        <f>SUM(C7800,C7776,C7752,C7728,C7704,C7680,C7656)/POBLA!$B$23*100000</f>
        <v>368.71571565910762</v>
      </c>
    </row>
    <row r="7801" spans="1:13" s="360" customFormat="1" ht="15.75" thickBot="1" x14ac:dyDescent="0.3">
      <c r="A7801" s="361" t="s">
        <v>40</v>
      </c>
      <c r="B7801" s="29">
        <v>44217</v>
      </c>
      <c r="C7801" s="1">
        <v>138</v>
      </c>
      <c r="D7801" s="276">
        <f t="shared" si="1126"/>
        <v>74966</v>
      </c>
      <c r="E7801" s="1">
        <v>1</v>
      </c>
      <c r="F7801" s="39">
        <f t="shared" si="1127"/>
        <v>1416</v>
      </c>
      <c r="G7801" s="177">
        <f>SUM(C7801,C7777,C7753,C7729,C7705,C7681,C7657,C7633,C7609,C7585,C7561,C7537,C7513,C7489)/POBLA!$B$24*100000</f>
        <v>155.42977453831338</v>
      </c>
      <c r="H7801" s="402">
        <f t="shared" si="1130"/>
        <v>1.26878612716763</v>
      </c>
      <c r="I7801" s="403">
        <f t="shared" si="1132"/>
        <v>197.20714168300452</v>
      </c>
      <c r="J7801" s="403">
        <f t="shared" si="1133"/>
        <v>160</v>
      </c>
      <c r="K7801" s="403">
        <f>J7801/POBLA!$B$24*100000</f>
        <v>9.4414441632992183</v>
      </c>
      <c r="L7801" s="550">
        <f t="shared" si="1131"/>
        <v>0.26023778071334214</v>
      </c>
      <c r="M7801" s="405">
        <f>SUM(C7801,C7777,C7753,C7729,C7705,C7681,C7657)/POBLA!$B$24*100000</f>
        <v>66.090109143094523</v>
      </c>
    </row>
    <row r="7802" spans="1:13" s="360" customFormat="1" x14ac:dyDescent="0.25">
      <c r="A7802" s="361" t="s">
        <v>16</v>
      </c>
      <c r="B7802" s="29">
        <v>44218</v>
      </c>
      <c r="C7802" s="1">
        <v>4177</v>
      </c>
      <c r="D7802" s="276">
        <f>C7802+D7778</f>
        <v>773273</v>
      </c>
      <c r="E7802" s="1">
        <v>117</v>
      </c>
      <c r="F7802" s="39">
        <f>E7802+F7778</f>
        <v>23922</v>
      </c>
      <c r="G7802" s="175">
        <f>SUM(C7802,C7778,C7754,C7730,C7706,C7682,C7658,C7634,C7610,C7586,C7562,C7538,C7514,C7490)/POBLA!$B$1*100000</f>
        <v>336.36922478418023</v>
      </c>
      <c r="H7802" s="300">
        <f t="shared" ref="H7802:H7825" si="1134">SUM(C7802,C7778,C7754,C7730,C7706,C7682,C7658,C7634,C7610,C7586,C7562,C7538,C7514,C7490)/SUM(C7466,C7442,C7418,C7394,C7370,C7346,C7322,C7298,C7274,C7250,C7226,C7202,C7178,C7154)</f>
        <v>1.1891211028033617</v>
      </c>
      <c r="I7802" s="301">
        <f>G7802*H7802</f>
        <v>399.98374352447627</v>
      </c>
      <c r="J7802" s="301">
        <f>AVERAGE(C7802,C7778,C7754,C7730,C7706,C7682,C7658)</f>
        <v>3992</v>
      </c>
      <c r="K7802" s="301">
        <f>J7802/POBLA!$B$1*100000</f>
        <v>22.757926636585385</v>
      </c>
      <c r="L7802" s="548">
        <f t="shared" ref="L7802:L7825" si="1135">1-SUM(C7802,C7778,C7754,C7730,C7706,C7682,C7658)/SUM(C7634,C7610,C7586,C7562,C7538,C7514,C7490)</f>
        <v>0.10029299075952225</v>
      </c>
      <c r="M7802" s="400">
        <f>SUM(C7802,C7778,C7754,C7730,C7706,C7682,C7658)/POBLA!$B$1*100000</f>
        <v>159.3054864560977</v>
      </c>
    </row>
    <row r="7803" spans="1:13" s="360" customFormat="1" x14ac:dyDescent="0.25">
      <c r="A7803" s="361" t="s">
        <v>43</v>
      </c>
      <c r="B7803" s="29">
        <v>44218</v>
      </c>
      <c r="C7803" s="1">
        <v>1160</v>
      </c>
      <c r="D7803" s="276">
        <f t="shared" si="1126"/>
        <v>200983</v>
      </c>
      <c r="E7803" s="1">
        <v>14</v>
      </c>
      <c r="F7803" s="39">
        <f t="shared" si="1127"/>
        <v>5771</v>
      </c>
      <c r="G7803" s="168">
        <f>SUM(C7803,C7779,C7755,C7731,C7707,C7683,C7659,C7635,C7611,C7587,C7563,C7539,C7515,C7491)/POBLA!$B$2*100000</f>
        <v>570.3842379779727</v>
      </c>
      <c r="H7803" s="256">
        <f t="shared" si="1134"/>
        <v>1.2340320765334833</v>
      </c>
      <c r="I7803" s="297">
        <f t="shared" ref="I7803:I7825" si="1136">G7803*H7803</f>
        <v>703.87244561392617</v>
      </c>
      <c r="J7803" s="297">
        <f t="shared" ref="J7803:J7825" si="1137">AVERAGE(C7803,C7779,C7755,C7731,C7707,C7683,C7659)</f>
        <v>1228</v>
      </c>
      <c r="K7803" s="297">
        <f>J7803/POBLA!$B$2*100000</f>
        <v>39.92657152351083</v>
      </c>
      <c r="L7803" s="549">
        <f t="shared" si="1135"/>
        <v>3.9231027159941867E-2</v>
      </c>
      <c r="M7803" s="401">
        <f>SUM(C7803,C7779,C7755,C7731,C7707,C7683,C7659)/POBLA!$B$2*100000</f>
        <v>279.48600066457584</v>
      </c>
    </row>
    <row r="7804" spans="1:13" s="360" customFormat="1" x14ac:dyDescent="0.25">
      <c r="A7804" s="361" t="s">
        <v>28</v>
      </c>
      <c r="B7804" s="29">
        <v>44218</v>
      </c>
      <c r="C7804" s="1">
        <v>52</v>
      </c>
      <c r="D7804" s="276">
        <f t="shared" si="1126"/>
        <v>4629</v>
      </c>
      <c r="E7804" s="1"/>
      <c r="F7804" s="39">
        <f t="shared" si="1127"/>
        <v>17</v>
      </c>
      <c r="G7804" s="168">
        <f>SUM(C7804,C7780,C7756,C7732,C7708,C7684,C7660,C7636,C7612,C7588,C7564,C7540,C7516,C7492)/POBLA!$B$3*100000</f>
        <v>379.35865279536301</v>
      </c>
      <c r="H7804" s="256">
        <f t="shared" si="1134"/>
        <v>2.8864468864468864</v>
      </c>
      <c r="I7804" s="297">
        <f t="shared" si="1136"/>
        <v>1094.998602207861</v>
      </c>
      <c r="J7804" s="297">
        <f t="shared" si="1137"/>
        <v>114.28571428571429</v>
      </c>
      <c r="K7804" s="297">
        <f>J7804/POBLA!$B$3*100000</f>
        <v>27.5096920083657</v>
      </c>
      <c r="L7804" s="549">
        <f t="shared" si="1135"/>
        <v>-3.0927835051546282E-2</v>
      </c>
      <c r="M7804" s="401">
        <f>SUM(C7804,C7780,C7756,C7732,C7708,C7684,C7660)/POBLA!$B$3*100000</f>
        <v>192.56784405855987</v>
      </c>
    </row>
    <row r="7805" spans="1:13" s="360" customFormat="1" x14ac:dyDescent="0.25">
      <c r="A7805" s="361" t="s">
        <v>15</v>
      </c>
      <c r="B7805" s="29">
        <v>44218</v>
      </c>
      <c r="C7805" s="1">
        <v>182</v>
      </c>
      <c r="D7805" s="276">
        <f t="shared" si="1126"/>
        <v>29505</v>
      </c>
      <c r="E7805" s="1">
        <v>5</v>
      </c>
      <c r="F7805" s="39">
        <f t="shared" si="1127"/>
        <v>776</v>
      </c>
      <c r="G7805" s="168">
        <f>SUM(C7805,C7781,C7757,C7733,C7709,C7685,C7661,C7637,C7613,C7589,C7565,C7541,C7517,C7493)/POBLA!$B$4*100000</f>
        <v>248.39337141699616</v>
      </c>
      <c r="H7805" s="256">
        <f t="shared" si="1134"/>
        <v>1.0689531975705608</v>
      </c>
      <c r="I7805" s="297">
        <f t="shared" si="1136"/>
        <v>265.52088863153</v>
      </c>
      <c r="J7805" s="297">
        <f t="shared" si="1137"/>
        <v>191</v>
      </c>
      <c r="K7805" s="297">
        <f>J7805/POBLA!$B$4*100000</f>
        <v>15.856662413317604</v>
      </c>
      <c r="L7805" s="549">
        <f t="shared" si="1135"/>
        <v>0.19214501510574022</v>
      </c>
      <c r="M7805" s="401">
        <f>SUM(C7805,C7781,C7757,C7733,C7709,C7685,C7661)/POBLA!$B$4*100000</f>
        <v>110.99663689322323</v>
      </c>
    </row>
    <row r="7806" spans="1:13" s="360" customFormat="1" x14ac:dyDescent="0.25">
      <c r="A7806" s="361" t="s">
        <v>29</v>
      </c>
      <c r="B7806" s="29">
        <v>44218</v>
      </c>
      <c r="C7806" s="1">
        <v>457</v>
      </c>
      <c r="D7806" s="276">
        <f t="shared" si="1126"/>
        <v>39949</v>
      </c>
      <c r="E7806" s="1">
        <v>14</v>
      </c>
      <c r="F7806" s="39">
        <f t="shared" si="1127"/>
        <v>592</v>
      </c>
      <c r="G7806" s="168">
        <f>SUM(C7806,C7782,C7758,C7734,C7710,C7686,C7662,C7638,C7614,C7590,C7566,C7542,C7518,C7494)/POBLA!$B$5*100000</f>
        <v>832.47979786556891</v>
      </c>
      <c r="H7806" s="256">
        <f t="shared" si="1134"/>
        <v>0.97502365184484385</v>
      </c>
      <c r="I7806" s="297">
        <f t="shared" si="1136"/>
        <v>811.68749260194443</v>
      </c>
      <c r="J7806" s="297">
        <f t="shared" si="1137"/>
        <v>291.85714285714283</v>
      </c>
      <c r="K7806" s="297">
        <f>J7806/POBLA!$B$5*100000</f>
        <v>47.150237782134049</v>
      </c>
      <c r="L7806" s="549">
        <f t="shared" si="1135"/>
        <v>0.3430868167202572</v>
      </c>
      <c r="M7806" s="401">
        <f>SUM(C7806,C7782,C7758,C7734,C7710,C7686,C7662)/POBLA!$B$5*100000</f>
        <v>330.05166447493838</v>
      </c>
    </row>
    <row r="7807" spans="1:13" s="360" customFormat="1" x14ac:dyDescent="0.25">
      <c r="A7807" s="361" t="s">
        <v>30</v>
      </c>
      <c r="B7807" s="29">
        <v>44218</v>
      </c>
      <c r="C7807" s="1">
        <v>168</v>
      </c>
      <c r="D7807" s="276">
        <f>C7807+D7783</f>
        <v>16077</v>
      </c>
      <c r="E7807" s="1">
        <v>6</v>
      </c>
      <c r="F7807" s="39">
        <f t="shared" si="1127"/>
        <v>2564</v>
      </c>
      <c r="G7807" s="168">
        <f>SUM(C7807,C7783,C7759,C7735,C7711,C7687,C7663,C7639,C7615,C7591,C7567,C7543,C7519,C7495)/POBLA!$B$6*100000</f>
        <v>526.40923767912409</v>
      </c>
      <c r="H7807" s="256">
        <f t="shared" si="1134"/>
        <v>0.76158512972763648</v>
      </c>
      <c r="I7807" s="297">
        <f t="shared" si="1136"/>
        <v>400.90544756768196</v>
      </c>
      <c r="J7807" s="297">
        <f t="shared" si="1137"/>
        <v>211.71428571428572</v>
      </c>
      <c r="K7807" s="297">
        <f>J7807/POBLA!$B$6*100000</f>
        <v>18.889551821802954</v>
      </c>
      <c r="L7807" s="549">
        <f t="shared" si="1135"/>
        <v>0.66455409687641465</v>
      </c>
      <c r="M7807" s="401">
        <f>SUM(C7807,C7783,C7759,C7735,C7711,C7687,C7663)/POBLA!$B$6*100000</f>
        <v>132.22686275262066</v>
      </c>
    </row>
    <row r="7808" spans="1:13" s="360" customFormat="1" x14ac:dyDescent="0.25">
      <c r="A7808" s="361" t="s">
        <v>20</v>
      </c>
      <c r="B7808" s="29">
        <v>44218</v>
      </c>
      <c r="C7808" s="1">
        <v>582</v>
      </c>
      <c r="D7808" s="276">
        <f>C7808+D7784</f>
        <v>140676</v>
      </c>
      <c r="E7808" s="1">
        <v>8</v>
      </c>
      <c r="F7808" s="39">
        <f t="shared" si="1127"/>
        <v>222</v>
      </c>
      <c r="G7808" s="168">
        <f>SUM(C7808,C7784,C7760,C7736,C7712,C7688,C7664,C7640,C7616,C7592,C7568,C7544,C7520,C7496)/POBLA!$B$7*100000</f>
        <v>134.42540121528009</v>
      </c>
      <c r="H7808" s="256">
        <f t="shared" si="1134"/>
        <v>2.2729316546762588</v>
      </c>
      <c r="I7808" s="297">
        <f t="shared" si="1136"/>
        <v>305.53974961476655</v>
      </c>
      <c r="J7808" s="297">
        <f t="shared" si="1137"/>
        <v>453.71428571428572</v>
      </c>
      <c r="K7808" s="297">
        <f>J7808/POBLA!$B$7*100000</f>
        <v>12.065425300543438</v>
      </c>
      <c r="L7808" s="549">
        <f t="shared" si="1135"/>
        <v>-0.69026077700904742</v>
      </c>
      <c r="M7808" s="401">
        <f>SUM(C7808,C7784,C7760,C7736,C7712,C7688,C7664)/POBLA!$B$7*100000</f>
        <v>84.457977103804069</v>
      </c>
    </row>
    <row r="7809" spans="1:13" x14ac:dyDescent="0.25">
      <c r="A7809" s="361" t="s">
        <v>31</v>
      </c>
      <c r="B7809" s="29">
        <v>44218</v>
      </c>
      <c r="C7809" s="1">
        <v>382</v>
      </c>
      <c r="D7809" s="276">
        <f t="shared" si="1126"/>
        <v>38552</v>
      </c>
      <c r="E7809" s="1">
        <v>6</v>
      </c>
      <c r="F7809" s="39">
        <f t="shared" si="1127"/>
        <v>665</v>
      </c>
      <c r="G7809" s="168">
        <f>SUM(C7809,C7785,C7761,C7737,C7713,C7689,C7665,C7641,C7617,C7593,C7569,C7545,C7521,C7497)/POBLA!$B$8*100000</f>
        <v>424.037905828519</v>
      </c>
      <c r="H7809" s="256">
        <f t="shared" si="1134"/>
        <v>1.2150093032871614</v>
      </c>
      <c r="I7809" s="297">
        <f t="shared" si="1136"/>
        <v>515.21000052805584</v>
      </c>
      <c r="J7809" s="297">
        <f t="shared" si="1137"/>
        <v>384.28571428571428</v>
      </c>
      <c r="K7809" s="297">
        <f>J7809/POBLA!$B$8*100000</f>
        <v>27.727022209550938</v>
      </c>
      <c r="L7809" s="549">
        <f t="shared" si="1135"/>
        <v>0.15594603074992153</v>
      </c>
      <c r="M7809" s="401">
        <f>SUM(C7809,C7785,C7761,C7737,C7713,C7689,C7665)/POBLA!$B$8*100000</f>
        <v>194.08915546685657</v>
      </c>
    </row>
    <row r="7810" spans="1:13" s="360" customFormat="1" x14ac:dyDescent="0.25">
      <c r="A7810" s="361" t="s">
        <v>41</v>
      </c>
      <c r="B7810" s="29">
        <v>44218</v>
      </c>
      <c r="C7810" s="1">
        <v>38</v>
      </c>
      <c r="D7810" s="276">
        <f t="shared" si="1126"/>
        <v>797</v>
      </c>
      <c r="E7810" s="1"/>
      <c r="F7810" s="39">
        <f t="shared" si="1127"/>
        <v>6</v>
      </c>
      <c r="G7810" s="168">
        <f>SUM(C7810,C7786,C7762,C7738,C7714,C7690,C7666,C7642,C7618,C7594,C7570,C7546,C7522,C7498)/POBLA!$B$9*100000</f>
        <v>91.871518672555695</v>
      </c>
      <c r="H7810" s="256">
        <f t="shared" si="1134"/>
        <v>19.857142857142858</v>
      </c>
      <c r="I7810" s="297">
        <f t="shared" si="1136"/>
        <v>1824.305870783606</v>
      </c>
      <c r="J7810" s="297">
        <f t="shared" si="1137"/>
        <v>34.142857142857146</v>
      </c>
      <c r="K7810" s="297">
        <f>J7810/POBLA!$B$9*100000</f>
        <v>5.6416477293784206</v>
      </c>
      <c r="L7810" s="549">
        <f t="shared" si="1135"/>
        <v>0.24605678233438488</v>
      </c>
      <c r="M7810" s="401">
        <f>SUM(C7810,C7786,C7762,C7738,C7714,C7690,C7666)/POBLA!$B$9*100000</f>
        <v>39.491534105648945</v>
      </c>
    </row>
    <row r="7811" spans="1:13" s="360" customFormat="1" x14ac:dyDescent="0.25">
      <c r="A7811" s="361" t="s">
        <v>32</v>
      </c>
      <c r="B7811" s="29">
        <v>44218</v>
      </c>
      <c r="C7811" s="1">
        <v>30</v>
      </c>
      <c r="D7811" s="276">
        <f t="shared" si="1126"/>
        <v>19056</v>
      </c>
      <c r="E7811" s="1">
        <v>1</v>
      </c>
      <c r="F7811" s="39">
        <f t="shared" si="1127"/>
        <v>865</v>
      </c>
      <c r="G7811" s="168">
        <f>SUM(C7811,C7787,C7763,C7739,C7715,C7691,C7667,C7643,C7619,C7595,C7571,C7547,C7523,C7499)/POBLA!$B$10*100000</f>
        <v>51.629239791874497</v>
      </c>
      <c r="H7811" s="256">
        <f t="shared" si="1134"/>
        <v>2.4874999999999998</v>
      </c>
      <c r="I7811" s="297">
        <f t="shared" si="1136"/>
        <v>128.4277339822878</v>
      </c>
      <c r="J7811" s="297">
        <f t="shared" si="1137"/>
        <v>39.428571428571431</v>
      </c>
      <c r="K7811" s="297">
        <f>J7811/POBLA!$B$10*100000</f>
        <v>5.114741630494386</v>
      </c>
      <c r="L7811" s="549">
        <f t="shared" si="1135"/>
        <v>-1.262295081967213</v>
      </c>
      <c r="M7811" s="401">
        <f>SUM(C7811,C7787,C7763,C7739,C7715,C7691,C7667)/POBLA!$B$10*100000</f>
        <v>35.803191413460702</v>
      </c>
    </row>
    <row r="7812" spans="1:13" s="360" customFormat="1" x14ac:dyDescent="0.25">
      <c r="A7812" s="361" t="s">
        <v>33</v>
      </c>
      <c r="B7812" s="29">
        <v>44218</v>
      </c>
      <c r="C7812" s="1">
        <v>99</v>
      </c>
      <c r="D7812" s="276">
        <f t="shared" si="1126"/>
        <v>15644</v>
      </c>
      <c r="E7812" s="1"/>
      <c r="F7812" s="39">
        <f t="shared" si="1127"/>
        <v>209</v>
      </c>
      <c r="G7812" s="168">
        <f>SUM(C7812,C7788,C7764,C7740,C7716,C7692,C7668,C7644,C7620,C7596,C7572,C7548,C7524,C7500)/POBLA!$B$11*100000</f>
        <v>714.50891113417481</v>
      </c>
      <c r="H7812" s="256">
        <f t="shared" si="1134"/>
        <v>0.68329775880469579</v>
      </c>
      <c r="I7812" s="297">
        <f t="shared" si="1136"/>
        <v>488.22233762396519</v>
      </c>
      <c r="J7812" s="297">
        <f t="shared" si="1137"/>
        <v>130</v>
      </c>
      <c r="K7812" s="297">
        <f>J7812/POBLA!$B$11*100000</f>
        <v>36.269487874831206</v>
      </c>
      <c r="L7812" s="549">
        <f t="shared" si="1135"/>
        <v>0.44881889763779526</v>
      </c>
      <c r="M7812" s="401">
        <f>SUM(C7812,C7788,C7764,C7740,C7716,C7692,C7668)/POBLA!$B$11*100000</f>
        <v>253.88641512381844</v>
      </c>
    </row>
    <row r="7813" spans="1:13" s="360" customFormat="1" x14ac:dyDescent="0.25">
      <c r="A7813" s="361" t="s">
        <v>21</v>
      </c>
      <c r="B7813" s="29">
        <v>44218</v>
      </c>
      <c r="C7813" s="1">
        <v>11</v>
      </c>
      <c r="D7813" s="276">
        <f t="shared" si="1126"/>
        <v>9389</v>
      </c>
      <c r="E7813" s="1">
        <v>2</v>
      </c>
      <c r="F7813" s="39">
        <f t="shared" si="1127"/>
        <v>404</v>
      </c>
      <c r="G7813" s="168">
        <f>SUM(C7813,C7789,C7765,C7741,C7717,C7693,C7669,C7645,C7621,C7597,C7573,C7549,C7525,C7501)/POBLA!$B$12*100000</f>
        <v>52.092465396626949</v>
      </c>
      <c r="H7813" s="256">
        <f t="shared" si="1134"/>
        <v>1.6141732283464567</v>
      </c>
      <c r="I7813" s="297">
        <f t="shared" si="1136"/>
        <v>84.086263041799413</v>
      </c>
      <c r="J7813" s="297">
        <f t="shared" si="1137"/>
        <v>16.714285714285715</v>
      </c>
      <c r="K7813" s="297">
        <f>J7813/POBLA!$B$12*100000</f>
        <v>4.2472602448817787</v>
      </c>
      <c r="L7813" s="549">
        <f t="shared" si="1135"/>
        <v>-0.32954545454545459</v>
      </c>
      <c r="M7813" s="401">
        <f>SUM(C7813,C7789,C7765,C7741,C7717,C7693,C7669)/POBLA!$B$12*100000</f>
        <v>29.730821714172457</v>
      </c>
    </row>
    <row r="7814" spans="1:13" s="360" customFormat="1" x14ac:dyDescent="0.25">
      <c r="A7814" s="361" t="s">
        <v>17</v>
      </c>
      <c r="B7814" s="29">
        <v>44218</v>
      </c>
      <c r="C7814" s="1">
        <v>182</v>
      </c>
      <c r="D7814" s="276">
        <f t="shared" si="1126"/>
        <v>62991</v>
      </c>
      <c r="E7814" s="1">
        <v>2</v>
      </c>
      <c r="F7814" s="39">
        <f t="shared" si="1127"/>
        <v>1313</v>
      </c>
      <c r="G7814" s="168">
        <f>SUM(C7814,C7790,C7766,C7742,C7718,C7694,C7670,C7646,C7622,C7598,C7574,C7550,C7526,C7502)/POBLA!$B$13*100000</f>
        <v>96.566512823450097</v>
      </c>
      <c r="H7814" s="256">
        <f t="shared" si="1134"/>
        <v>1.2289002557544757</v>
      </c>
      <c r="I7814" s="297">
        <f t="shared" si="1136"/>
        <v>118.67061230605569</v>
      </c>
      <c r="J7814" s="297">
        <f t="shared" si="1137"/>
        <v>136.14285714285714</v>
      </c>
      <c r="K7814" s="297">
        <f>J7814/POBLA!$B$13*100000</f>
        <v>6.8401878044260389</v>
      </c>
      <c r="L7814" s="549">
        <f t="shared" si="1135"/>
        <v>1.6511867905056765E-2</v>
      </c>
      <c r="M7814" s="401">
        <f>SUM(C7814,C7790,C7766,C7742,C7718,C7694,C7670)/POBLA!$B$13*100000</f>
        <v>47.881314630982274</v>
      </c>
    </row>
    <row r="7815" spans="1:13" s="360" customFormat="1" x14ac:dyDescent="0.25">
      <c r="A7815" s="361" t="s">
        <v>23</v>
      </c>
      <c r="B7815" s="29">
        <v>44218</v>
      </c>
      <c r="C7815" s="1">
        <v>160</v>
      </c>
      <c r="D7815" s="276">
        <f t="shared" si="1126"/>
        <v>3094</v>
      </c>
      <c r="E7815" s="1">
        <v>3</v>
      </c>
      <c r="F7815" s="39">
        <f t="shared" si="1127"/>
        <v>63</v>
      </c>
      <c r="G7815" s="168">
        <f>SUM(C7815,C7791,C7767,C7743,C7719,C7695,C7671,C7647,C7623,C7599,C7575,C7551,C7527,C7503)/POBLA!$B$14*100000</f>
        <v>151.82820183081819</v>
      </c>
      <c r="H7815" s="256">
        <f t="shared" si="1134"/>
        <v>8.1837606837606831</v>
      </c>
      <c r="I7815" s="297">
        <f t="shared" si="1136"/>
        <v>1242.5256688291317</v>
      </c>
      <c r="J7815" s="297">
        <f t="shared" si="1137"/>
        <v>175.42857142857142</v>
      </c>
      <c r="K7815" s="297">
        <f>J7815/POBLA!$B$14*100000</f>
        <v>13.908618563837727</v>
      </c>
      <c r="L7815" s="549">
        <f t="shared" si="1135"/>
        <v>-0.78748180494905395</v>
      </c>
      <c r="M7815" s="401">
        <f>SUM(C7815,C7791,C7767,C7743,C7719,C7695,C7671)/POBLA!$B$14*100000</f>
        <v>97.360329946864098</v>
      </c>
    </row>
    <row r="7816" spans="1:13" s="360" customFormat="1" x14ac:dyDescent="0.25">
      <c r="A7816" s="361" t="s">
        <v>19</v>
      </c>
      <c r="B7816" s="29">
        <v>44218</v>
      </c>
      <c r="C7816" s="1">
        <v>442</v>
      </c>
      <c r="D7816" s="276">
        <f t="shared" si="1126"/>
        <v>50595</v>
      </c>
      <c r="E7816" s="1">
        <v>2</v>
      </c>
      <c r="F7816" s="39">
        <f t="shared" si="1127"/>
        <v>760</v>
      </c>
      <c r="G7816" s="168">
        <f>SUM(C7816,C7792,C7768,C7744,C7720,C7696,C7672,C7648,C7624,C7600,C7576,C7552,C7528,C7504)/POBLA!$B$15*100000</f>
        <v>907.3016322394011</v>
      </c>
      <c r="H7816" s="256">
        <f t="shared" si="1134"/>
        <v>1.1180181851920579</v>
      </c>
      <c r="I7816" s="297">
        <f t="shared" si="1136"/>
        <v>1014.3797242980871</v>
      </c>
      <c r="J7816" s="297">
        <f t="shared" si="1137"/>
        <v>411.85714285714283</v>
      </c>
      <c r="K7816" s="297">
        <f>J7816/POBLA!$B$15*100000</f>
        <v>62.021354018878327</v>
      </c>
      <c r="L7816" s="549">
        <f t="shared" si="1135"/>
        <v>8.2431572246976503E-2</v>
      </c>
      <c r="M7816" s="401">
        <f>SUM(C7816,C7792,C7768,C7744,C7720,C7696,C7672)/POBLA!$B$15*100000</f>
        <v>434.14947813214826</v>
      </c>
    </row>
    <row r="7817" spans="1:13" s="360" customFormat="1" x14ac:dyDescent="0.25">
      <c r="A7817" s="361" t="s">
        <v>18</v>
      </c>
      <c r="B7817" s="29">
        <v>44218</v>
      </c>
      <c r="C7817" s="1">
        <v>312</v>
      </c>
      <c r="D7817" s="276">
        <f t="shared" si="1126"/>
        <v>45584</v>
      </c>
      <c r="E7817" s="1">
        <v>7</v>
      </c>
      <c r="F7817" s="39">
        <f t="shared" si="1127"/>
        <v>1023</v>
      </c>
      <c r="G7817" s="168">
        <f>SUM(C7817,C7793,C7769,C7745,C7721,C7697,C7673,C7649,C7625,C7601,C7577,C7553,C7529,C7505)/POBLA!$B$16*100000</f>
        <v>607.00097644493781</v>
      </c>
      <c r="H7817" s="256">
        <f t="shared" si="1134"/>
        <v>1.1081807081807082</v>
      </c>
      <c r="I7817" s="297">
        <f t="shared" si="1136"/>
        <v>672.66677194313263</v>
      </c>
      <c r="J7817" s="297">
        <f t="shared" si="1137"/>
        <v>310.42857142857144</v>
      </c>
      <c r="K7817" s="297">
        <f>J7817/POBLA!$B$16*100000</f>
        <v>41.522795498799034</v>
      </c>
      <c r="L7817" s="549">
        <f t="shared" si="1135"/>
        <v>8.1183932346723053E-2</v>
      </c>
      <c r="M7817" s="401">
        <f>SUM(C7817,C7793,C7769,C7745,C7721,C7697,C7673)/POBLA!$B$16*100000</f>
        <v>290.65956849159323</v>
      </c>
    </row>
    <row r="7818" spans="1:13" s="360" customFormat="1" x14ac:dyDescent="0.25">
      <c r="A7818" s="361" t="s">
        <v>34</v>
      </c>
      <c r="B7818" s="29">
        <v>44218</v>
      </c>
      <c r="C7818" s="1">
        <v>53</v>
      </c>
      <c r="D7818" s="276">
        <f t="shared" si="1126"/>
        <v>23357</v>
      </c>
      <c r="E7818" s="1">
        <v>1</v>
      </c>
      <c r="F7818" s="39">
        <f t="shared" si="1127"/>
        <v>1031</v>
      </c>
      <c r="G7818" s="168">
        <f>SUM(C7818,C7794,C7770,C7746,C7722,C7698,C7674,C7650,C7626,C7602,C7578,C7554,C7530,C7506)/POBLA!$B$17*100000</f>
        <v>52.022013525723516</v>
      </c>
      <c r="H7818" s="256">
        <f t="shared" si="1134"/>
        <v>1.5765957446808512</v>
      </c>
      <c r="I7818" s="297">
        <f t="shared" si="1136"/>
        <v>82.017685154385376</v>
      </c>
      <c r="J7818" s="297">
        <f t="shared" si="1137"/>
        <v>54</v>
      </c>
      <c r="K7818" s="297">
        <f>J7818/POBLA!$B$17*100000</f>
        <v>3.7910779087571793</v>
      </c>
      <c r="L7818" s="549">
        <f t="shared" si="1135"/>
        <v>-4.1322314049586861E-2</v>
      </c>
      <c r="M7818" s="401">
        <f>SUM(C7818,C7794,C7770,C7746,C7722,C7698,C7674)/POBLA!$B$17*100000</f>
        <v>26.537545361300257</v>
      </c>
    </row>
    <row r="7819" spans="1:13" s="360" customFormat="1" x14ac:dyDescent="0.25">
      <c r="A7819" s="361" t="s">
        <v>35</v>
      </c>
      <c r="B7819" s="29">
        <v>44218</v>
      </c>
      <c r="C7819" s="1">
        <v>71</v>
      </c>
      <c r="D7819" s="276">
        <f t="shared" ref="D7819:D7825" si="1138">C7819+D7795</f>
        <v>13504</v>
      </c>
      <c r="E7819" s="1"/>
      <c r="F7819" s="39">
        <f t="shared" ref="F7819:F7825" si="1139">E7819+F7795</f>
        <v>216</v>
      </c>
      <c r="G7819" s="168">
        <f>SUM(C7819,C7795,C7771,C7747,C7723,C7699,C7675,C7651,C7627,C7603,C7579,C7555,C7531,C7507)/POBLA!$B$18*100000</f>
        <v>156.67861810482873</v>
      </c>
      <c r="H7819" s="256">
        <f t="shared" si="1134"/>
        <v>0.87303851640513552</v>
      </c>
      <c r="I7819" s="297">
        <f t="shared" si="1136"/>
        <v>136.78646830264648</v>
      </c>
      <c r="J7819" s="297">
        <f t="shared" si="1137"/>
        <v>68</v>
      </c>
      <c r="K7819" s="297">
        <f>J7819/POBLA!$B$18*100000</f>
        <v>8.7043676724904859</v>
      </c>
      <c r="L7819" s="549">
        <f t="shared" si="1135"/>
        <v>0.36363636363636365</v>
      </c>
      <c r="M7819" s="401">
        <f>SUM(C7819,C7795,C7771,C7747,C7723,C7699,C7675)/POBLA!$B$18*100000</f>
        <v>60.930573707433403</v>
      </c>
    </row>
    <row r="7820" spans="1:13" s="360" customFormat="1" x14ac:dyDescent="0.25">
      <c r="A7820" s="361" t="s">
        <v>36</v>
      </c>
      <c r="B7820" s="29">
        <v>44218</v>
      </c>
      <c r="C7820" s="1">
        <v>562</v>
      </c>
      <c r="D7820" s="276">
        <f t="shared" si="1138"/>
        <v>17926</v>
      </c>
      <c r="E7820" s="1"/>
      <c r="F7820" s="39">
        <f t="shared" si="1139"/>
        <v>335</v>
      </c>
      <c r="G7820" s="168">
        <f>SUM(C7820,C7796,C7772,C7748,C7724,C7700,C7676,C7652,C7628,C7604,C7580,C7556,C7532,C7508)/POBLA!$B$19*100000</f>
        <v>276.5930658944618</v>
      </c>
      <c r="H7820" s="256">
        <f t="shared" si="1134"/>
        <v>2.6428571428571428</v>
      </c>
      <c r="I7820" s="297">
        <f t="shared" si="1136"/>
        <v>730.99595986393479</v>
      </c>
      <c r="J7820" s="297">
        <f t="shared" si="1137"/>
        <v>161.85714285714286</v>
      </c>
      <c r="K7820" s="297">
        <f>J7820/POBLA!$B$19*100000</f>
        <v>31.841083484904008</v>
      </c>
      <c r="L7820" s="549">
        <f t="shared" si="1135"/>
        <v>-3.1501831501831505</v>
      </c>
      <c r="M7820" s="401">
        <f>SUM(C7820,C7796,C7772,C7748,C7724,C7700,C7676)/POBLA!$B$19*100000</f>
        <v>222.88758439432806</v>
      </c>
    </row>
    <row r="7821" spans="1:13" s="360" customFormat="1" x14ac:dyDescent="0.25">
      <c r="A7821" s="361" t="s">
        <v>37</v>
      </c>
      <c r="B7821" s="29">
        <v>44218</v>
      </c>
      <c r="C7821" s="1">
        <v>245</v>
      </c>
      <c r="D7821" s="276">
        <f t="shared" si="1138"/>
        <v>31168</v>
      </c>
      <c r="E7821" s="1">
        <v>1</v>
      </c>
      <c r="F7821" s="39">
        <f t="shared" si="1139"/>
        <v>477</v>
      </c>
      <c r="G7821" s="168">
        <f>SUM(C7821,C7797,C7773,C7749,C7725,C7701,C7677,C7653,C7629,C7605,C7581,C7557,C7533,C7509)/POBLA!$B$20*100000</f>
        <v>1256.2278163949488</v>
      </c>
      <c r="H7821" s="256">
        <f t="shared" si="1134"/>
        <v>0.97001689189189189</v>
      </c>
      <c r="I7821" s="297">
        <f t="shared" si="1136"/>
        <v>1218.5622019675666</v>
      </c>
      <c r="J7821" s="297">
        <f t="shared" si="1137"/>
        <v>328.42857142857144</v>
      </c>
      <c r="K7821" s="297">
        <f>J7821/POBLA!$B$20*100000</f>
        <v>89.808686793083766</v>
      </c>
      <c r="L7821" s="549">
        <f t="shared" si="1135"/>
        <v>-1.7429193899782813E-3</v>
      </c>
      <c r="M7821" s="401">
        <f>SUM(C7821,C7797,C7773,C7749,C7725,C7701,C7677)/POBLA!$B$20*100000</f>
        <v>628.66080755158623</v>
      </c>
    </row>
    <row r="7822" spans="1:13" s="360" customFormat="1" x14ac:dyDescent="0.25">
      <c r="A7822" s="361" t="s">
        <v>22</v>
      </c>
      <c r="B7822" s="29">
        <v>44218</v>
      </c>
      <c r="C7822" s="1">
        <v>1043</v>
      </c>
      <c r="D7822" s="276">
        <f t="shared" si="1138"/>
        <v>200489</v>
      </c>
      <c r="E7822" s="1">
        <v>17</v>
      </c>
      <c r="F7822" s="39">
        <f t="shared" si="1139"/>
        <v>3299</v>
      </c>
      <c r="G7822" s="168">
        <f>SUM(C7822,C7798,C7774,C7750,C7726,C7702,C7678,C7654,C7630,C7606,C7582,C7558,C7534,C7510)/POBLA!$B$21*100000</f>
        <v>445.93144814894617</v>
      </c>
      <c r="H7822" s="256">
        <f t="shared" si="1134"/>
        <v>1.1445783132530121</v>
      </c>
      <c r="I7822" s="297">
        <f t="shared" si="1136"/>
        <v>510.40346474879385</v>
      </c>
      <c r="J7822" s="297">
        <f t="shared" si="1137"/>
        <v>1022.8571428571429</v>
      </c>
      <c r="K7822" s="297">
        <f>J7822/POBLA!$B$21*100000</f>
        <v>28.923536269104581</v>
      </c>
      <c r="L7822" s="549">
        <f t="shared" si="1135"/>
        <v>0.16840882694541226</v>
      </c>
      <c r="M7822" s="401">
        <f>SUM(C7822,C7798,C7774,C7750,C7726,C7702,C7678)/POBLA!$B$21*100000</f>
        <v>202.46475388373207</v>
      </c>
    </row>
    <row r="7823" spans="1:13" s="360" customFormat="1" x14ac:dyDescent="0.25">
      <c r="A7823" s="361" t="s">
        <v>38</v>
      </c>
      <c r="B7823" s="29">
        <v>44218</v>
      </c>
      <c r="C7823" s="1">
        <v>99</v>
      </c>
      <c r="D7823" s="276">
        <f t="shared" si="1138"/>
        <v>20158</v>
      </c>
      <c r="E7823" s="1">
        <v>3</v>
      </c>
      <c r="F7823" s="39">
        <f t="shared" si="1139"/>
        <v>243</v>
      </c>
      <c r="G7823" s="168">
        <f>SUM(C7823,C7799,C7775,C7751,C7727,C7703,C7679,C7655,C7631,C7607,C7583,C7559,C7535,C7511)/POBLA!$B$22*100000</f>
        <v>176.93723787785709</v>
      </c>
      <c r="H7823" s="256">
        <f t="shared" si="1134"/>
        <v>1.2130343377715487</v>
      </c>
      <c r="I7823" s="297">
        <f t="shared" si="1136"/>
        <v>214.63094517629335</v>
      </c>
      <c r="J7823" s="297">
        <f t="shared" si="1137"/>
        <v>116.57142857142857</v>
      </c>
      <c r="K7823" s="297">
        <f>J7823/POBLA!$B$22*100000</f>
        <v>11.915555509476881</v>
      </c>
      <c r="L7823" s="549">
        <f t="shared" si="1135"/>
        <v>0.1081967213114754</v>
      </c>
      <c r="M7823" s="401">
        <f>SUM(C7823,C7799,C7775,C7751,C7727,C7703,C7679)/POBLA!$B$22*100000</f>
        <v>83.408888566338177</v>
      </c>
    </row>
    <row r="7824" spans="1:13" s="360" customFormat="1" x14ac:dyDescent="0.25">
      <c r="A7824" s="361" t="s">
        <v>39</v>
      </c>
      <c r="B7824" s="29">
        <v>44218</v>
      </c>
      <c r="C7824" s="1">
        <v>48</v>
      </c>
      <c r="D7824" s="276">
        <f t="shared" si="1138"/>
        <v>21270</v>
      </c>
      <c r="E7824" s="1">
        <v>9</v>
      </c>
      <c r="F7824" s="39">
        <f t="shared" si="1139"/>
        <v>320</v>
      </c>
      <c r="G7824" s="168">
        <f>SUM(C7824,C7800,C7776,C7752,C7728,C7704,C7680,C7656,C7632,C7608,C7584,C7560,C7536,C7512)/POBLA!$B$23*100000</f>
        <v>695.58332862070915</v>
      </c>
      <c r="H7824" s="256">
        <f t="shared" si="1134"/>
        <v>0.81295439524124258</v>
      </c>
      <c r="I7824" s="297">
        <f t="shared" si="1136"/>
        <v>565.47752425873909</v>
      </c>
      <c r="J7824" s="297">
        <f t="shared" si="1137"/>
        <v>87</v>
      </c>
      <c r="K7824" s="297">
        <f>J7824/POBLA!$B$23*100000</f>
        <v>49.199796414635529</v>
      </c>
      <c r="L7824" s="549">
        <f t="shared" si="1135"/>
        <v>1.9323671497584516E-2</v>
      </c>
      <c r="M7824" s="401">
        <f>SUM(C7824,C7800,C7776,C7752,C7728,C7704,C7680)/POBLA!$B$23*100000</f>
        <v>344.39857490244867</v>
      </c>
    </row>
    <row r="7825" spans="1:13" s="360" customFormat="1" ht="15.75" thickBot="1" x14ac:dyDescent="0.3">
      <c r="A7825" s="361" t="s">
        <v>40</v>
      </c>
      <c r="B7825" s="29">
        <v>44218</v>
      </c>
      <c r="C7825" s="1">
        <v>198</v>
      </c>
      <c r="D7825" s="276">
        <f t="shared" si="1138"/>
        <v>75164</v>
      </c>
      <c r="E7825" s="1">
        <v>2</v>
      </c>
      <c r="F7825" s="39">
        <f t="shared" si="1139"/>
        <v>1418</v>
      </c>
      <c r="G7825" s="177">
        <f>SUM(C7825,C7801,C7777,C7753,C7729,C7705,C7681,C7657,C7633,C7609,C7585,C7561,C7537,C7513)/POBLA!$B$24*100000</f>
        <v>151.24013369084935</v>
      </c>
      <c r="H7825" s="402">
        <f t="shared" si="1134"/>
        <v>1.1037898363479759</v>
      </c>
      <c r="I7825" s="403">
        <f t="shared" si="1136"/>
        <v>166.93732241586861</v>
      </c>
      <c r="J7825" s="403">
        <f t="shared" si="1137"/>
        <v>152.14285714285714</v>
      </c>
      <c r="K7825" s="403">
        <f>J7825/POBLA!$B$24*100000</f>
        <v>8.9778018159943453</v>
      </c>
      <c r="L7825" s="550">
        <f t="shared" si="1135"/>
        <v>0.28905206942590123</v>
      </c>
      <c r="M7825" s="405">
        <f>SUM(C7825,C7801,C7777,C7753,C7729,C7705,C7681)/POBLA!$B$24*100000</f>
        <v>62.844612711960416</v>
      </c>
    </row>
    <row r="7826" spans="1:13" s="360" customFormat="1" x14ac:dyDescent="0.25">
      <c r="A7826" s="361" t="s">
        <v>16</v>
      </c>
      <c r="B7826" s="29">
        <v>44219</v>
      </c>
      <c r="C7826" s="277">
        <v>3265</v>
      </c>
      <c r="D7826" s="276">
        <f>C7826+D7802</f>
        <v>776538</v>
      </c>
      <c r="E7826" s="1">
        <v>109</v>
      </c>
      <c r="F7826" s="39">
        <f>E7826+F7802</f>
        <v>24031</v>
      </c>
      <c r="G7826" s="175">
        <f>SUM(C7826,C7802,C7778,C7754,C7730,C7706,C7682,C7658,C7634,C7610,C7586,C7562,C7538,C7514)/POBLA!$B$1*100000</f>
        <v>329.9614318133581</v>
      </c>
      <c r="H7826" s="300">
        <f t="shared" ref="H7826:H7849" si="1140">SUM(C7826,C7802,C7778,C7754,C7730,C7706,C7682,C7658,C7634,C7610,C7586,C7562,C7538,C7514)/SUM(C7490,C7466,C7442,C7418,C7394,C7370,C7346,C7322,C7298,C7274,C7250,C7226,C7202,C7178)</f>
        <v>1.0990031330105383</v>
      </c>
      <c r="I7826" s="301">
        <f>G7826*H7826</f>
        <v>362.62864733552368</v>
      </c>
      <c r="J7826" s="301">
        <f>AVERAGE(C7826,C7802,C7778,C7754,C7730,C7706,C7682)</f>
        <v>3954</v>
      </c>
      <c r="K7826" s="301">
        <f>J7826/POBLA!$B$1*100000</f>
        <v>22.541293066397451</v>
      </c>
      <c r="L7826" s="548">
        <f t="shared" ref="L7826:L7849" si="1141">1-SUM(C7826,C7802,C7778,C7754,C7730,C7706,C7682)/SUM(C7658,C7634,C7610,C7586,C7562,C7538,C7514)</f>
        <v>8.3540280123174715E-2</v>
      </c>
      <c r="M7826" s="400">
        <f>SUM(C7826,C7802,C7778,C7754,C7730,C7706,C7682)/POBLA!$B$1*100000</f>
        <v>157.78905146478212</v>
      </c>
    </row>
    <row r="7827" spans="1:13" s="360" customFormat="1" x14ac:dyDescent="0.25">
      <c r="A7827" s="361" t="s">
        <v>43</v>
      </c>
      <c r="B7827" s="29">
        <v>44219</v>
      </c>
      <c r="C7827" s="277">
        <v>924</v>
      </c>
      <c r="D7827" s="276">
        <f t="shared" ref="D7827:D7873" si="1142">C7827+D7803</f>
        <v>201907</v>
      </c>
      <c r="E7827" s="1">
        <v>11</v>
      </c>
      <c r="F7827" s="39">
        <f t="shared" ref="F7827:F7873" si="1143">E7827+F7803</f>
        <v>5782</v>
      </c>
      <c r="G7827" s="168">
        <f>SUM(C7827,C7803,C7779,C7755,C7731,C7707,C7683,C7659,C7635,C7611,C7587,C7563,C7539,C7515)/POBLA!$B$2*100000</f>
        <v>556.53348922470275</v>
      </c>
      <c r="H7827" s="256">
        <f t="shared" si="1140"/>
        <v>1.1267855967349087</v>
      </c>
      <c r="I7827" s="297">
        <f t="shared" ref="I7827:I7849" si="1144">G7827*H7827</f>
        <v>627.09391975901758</v>
      </c>
      <c r="J7827" s="297">
        <f t="shared" ref="J7827:J7849" si="1145">AVERAGE(C7827,C7803,C7779,C7755,C7731,C7707,C7683)</f>
        <v>1196.5714285714287</v>
      </c>
      <c r="K7827" s="297">
        <f>J7827/POBLA!$B$2*100000</f>
        <v>38.904718832122704</v>
      </c>
      <c r="L7827" s="549">
        <f t="shared" si="1141"/>
        <v>4.1757236014186017E-2</v>
      </c>
      <c r="M7827" s="401">
        <f>SUM(C7827,C7803,C7779,C7755,C7731,C7707,C7683)/POBLA!$B$2*100000</f>
        <v>272.33303182485889</v>
      </c>
    </row>
    <row r="7828" spans="1:13" s="360" customFormat="1" x14ac:dyDescent="0.25">
      <c r="A7828" s="361" t="s">
        <v>28</v>
      </c>
      <c r="B7828" s="29">
        <v>44219</v>
      </c>
      <c r="C7828" s="277">
        <v>53</v>
      </c>
      <c r="D7828" s="276">
        <f t="shared" si="1142"/>
        <v>4682</v>
      </c>
      <c r="E7828" s="1"/>
      <c r="F7828" s="39">
        <f t="shared" si="1143"/>
        <v>17</v>
      </c>
      <c r="G7828" s="168">
        <f>SUM(C7828,C7804,C7780,C7756,C7732,C7708,C7684,C7660,C7636,C7612,C7588,C7564,C7540,C7516)/POBLA!$B$3*100000</f>
        <v>375.50729591419179</v>
      </c>
      <c r="H7828" s="256">
        <f t="shared" si="1140"/>
        <v>2.6351351351351351</v>
      </c>
      <c r="I7828" s="297">
        <f t="shared" si="1144"/>
        <v>989.51246896307293</v>
      </c>
      <c r="J7828" s="297">
        <f t="shared" si="1145"/>
        <v>88.285714285714292</v>
      </c>
      <c r="K7828" s="297">
        <f>J7828/POBLA!$B$3*100000</f>
        <v>21.251237076462502</v>
      </c>
      <c r="L7828" s="549">
        <f t="shared" si="1141"/>
        <v>0.3439490445859873</v>
      </c>
      <c r="M7828" s="401">
        <f>SUM(C7828,C7804,C7780,C7756,C7732,C7708,C7684)/POBLA!$B$3*100000</f>
        <v>148.75865953523748</v>
      </c>
    </row>
    <row r="7829" spans="1:13" s="360" customFormat="1" x14ac:dyDescent="0.25">
      <c r="A7829" s="361" t="s">
        <v>15</v>
      </c>
      <c r="B7829" s="29">
        <v>44219</v>
      </c>
      <c r="C7829" s="277">
        <v>172</v>
      </c>
      <c r="D7829" s="276">
        <f t="shared" si="1142"/>
        <v>29677</v>
      </c>
      <c r="E7829" s="1"/>
      <c r="F7829" s="39">
        <f t="shared" si="1143"/>
        <v>776</v>
      </c>
      <c r="G7829" s="168">
        <f>SUM(C7829,C7805,C7781,C7757,C7733,C7709,C7685,C7661,C7637,C7613,C7589,C7565,C7541,C7517)/POBLA!$B$4*100000</f>
        <v>243.9933551452379</v>
      </c>
      <c r="H7829" s="256">
        <f t="shared" si="1140"/>
        <v>0.99257007767646066</v>
      </c>
      <c r="I7829" s="297">
        <f t="shared" si="1144"/>
        <v>242.18050346904903</v>
      </c>
      <c r="J7829" s="297">
        <f t="shared" si="1145"/>
        <v>191.28571428571428</v>
      </c>
      <c r="K7829" s="297">
        <f>J7829/POBLA!$B$4*100000</f>
        <v>15.880382177585842</v>
      </c>
      <c r="L7829" s="549">
        <f t="shared" si="1141"/>
        <v>0.16312499999999996</v>
      </c>
      <c r="M7829" s="401">
        <f>SUM(C7829,C7805,C7781,C7757,C7733,C7709,C7685)/POBLA!$B$4*100000</f>
        <v>111.16267524310089</v>
      </c>
    </row>
    <row r="7830" spans="1:13" s="360" customFormat="1" x14ac:dyDescent="0.25">
      <c r="A7830" s="361" t="s">
        <v>29</v>
      </c>
      <c r="B7830" s="29">
        <v>44219</v>
      </c>
      <c r="C7830" s="277">
        <v>199</v>
      </c>
      <c r="D7830" s="276">
        <f t="shared" si="1142"/>
        <v>40148</v>
      </c>
      <c r="E7830" s="1">
        <v>2</v>
      </c>
      <c r="F7830" s="39">
        <f t="shared" si="1143"/>
        <v>594</v>
      </c>
      <c r="G7830" s="168">
        <f>SUM(C7830,C7806,C7782,C7758,C7734,C7710,C7686,C7662,C7638,C7614,C7590,C7566,C7542,C7518)/POBLA!$B$5*100000</f>
        <v>811.31642633046533</v>
      </c>
      <c r="H7830" s="256">
        <f t="shared" si="1140"/>
        <v>0.93</v>
      </c>
      <c r="I7830" s="297">
        <f t="shared" si="1144"/>
        <v>754.52427648733283</v>
      </c>
      <c r="J7830" s="297">
        <f t="shared" si="1145"/>
        <v>294.42857142857144</v>
      </c>
      <c r="K7830" s="297">
        <f>J7830/POBLA!$B$5*100000</f>
        <v>47.56565837933347</v>
      </c>
      <c r="L7830" s="549">
        <f t="shared" si="1141"/>
        <v>0.30395136778115506</v>
      </c>
      <c r="M7830" s="401">
        <f>SUM(C7830,C7806,C7782,C7758,C7734,C7710,C7686)/POBLA!$B$5*100000</f>
        <v>332.95960865533431</v>
      </c>
    </row>
    <row r="7831" spans="1:13" s="360" customFormat="1" x14ac:dyDescent="0.25">
      <c r="A7831" s="361" t="s">
        <v>30</v>
      </c>
      <c r="B7831" s="29">
        <v>44219</v>
      </c>
      <c r="C7831" s="277">
        <v>162</v>
      </c>
      <c r="D7831" s="276">
        <f>C7831+D7807</f>
        <v>16239</v>
      </c>
      <c r="E7831" s="1">
        <v>1</v>
      </c>
      <c r="F7831" s="39">
        <f t="shared" si="1143"/>
        <v>2565</v>
      </c>
      <c r="G7831" s="168">
        <f>SUM(C7831,C7807,C7783,C7759,C7735,C7711,C7687,C7663,C7639,C7615,C7591,C7567,C7543,C7519)/POBLA!$B$6*100000</f>
        <v>484.83183009294243</v>
      </c>
      <c r="H7831" s="256">
        <f t="shared" si="1140"/>
        <v>0.66171456405260598</v>
      </c>
      <c r="I7831" s="297">
        <f t="shared" si="1144"/>
        <v>320.82028308877852</v>
      </c>
      <c r="J7831" s="297">
        <f t="shared" si="1145"/>
        <v>158.28571428571428</v>
      </c>
      <c r="K7831" s="297">
        <f>J7831/POBLA!$B$6*100000</f>
        <v>14.122552914006526</v>
      </c>
      <c r="L7831" s="549">
        <f t="shared" si="1141"/>
        <v>0.74387424872861763</v>
      </c>
      <c r="M7831" s="401">
        <f>SUM(C7831,C7807,C7783,C7759,C7735,C7711,C7687)/POBLA!$B$6*100000</f>
        <v>98.857870398045677</v>
      </c>
    </row>
    <row r="7832" spans="1:13" s="360" customFormat="1" x14ac:dyDescent="0.25">
      <c r="A7832" s="361" t="s">
        <v>20</v>
      </c>
      <c r="B7832" s="29">
        <v>44219</v>
      </c>
      <c r="C7832" s="277">
        <v>544</v>
      </c>
      <c r="D7832" s="276">
        <f>C7832+D7808</f>
        <v>141220</v>
      </c>
      <c r="E7832" s="1">
        <v>17</v>
      </c>
      <c r="F7832" s="39">
        <f t="shared" si="1143"/>
        <v>239</v>
      </c>
      <c r="G7832" s="168">
        <f>SUM(C7832,C7808,C7784,C7760,C7736,C7712,C7688,C7664,C7640,C7616,C7592,C7568,C7544,C7520)/POBLA!$B$7*100000</f>
        <v>140.96717148213645</v>
      </c>
      <c r="H7832" s="256">
        <f t="shared" si="1140"/>
        <v>2.1220976781425138</v>
      </c>
      <c r="I7832" s="297">
        <f t="shared" si="1144"/>
        <v>299.14610729655936</v>
      </c>
      <c r="J7832" s="297">
        <f t="shared" si="1145"/>
        <v>520.28571428571433</v>
      </c>
      <c r="K7832" s="297">
        <f>J7832/POBLA!$B$7*100000</f>
        <v>13.835730146278088</v>
      </c>
      <c r="L7832" s="549">
        <f t="shared" si="1141"/>
        <v>-1.1952983725135624</v>
      </c>
      <c r="M7832" s="401">
        <f>SUM(C7832,C7808,C7784,C7760,C7736,C7712,C7688)/POBLA!$B$7*100000</f>
        <v>96.850111023946596</v>
      </c>
    </row>
    <row r="7833" spans="1:13" x14ac:dyDescent="0.25">
      <c r="A7833" s="361" t="s">
        <v>31</v>
      </c>
      <c r="B7833" s="29">
        <v>44219</v>
      </c>
      <c r="C7833" s="277">
        <v>302</v>
      </c>
      <c r="D7833" s="276">
        <f t="shared" si="1142"/>
        <v>38854</v>
      </c>
      <c r="E7833" s="1">
        <v>1</v>
      </c>
      <c r="F7833" s="39">
        <f t="shared" si="1143"/>
        <v>666</v>
      </c>
      <c r="G7833" s="168">
        <f>SUM(C7833,C7809,C7785,C7761,C7737,C7713,C7689,C7665,C7641,C7617,C7593,C7569,C7545,C7521)/POBLA!$B$8*100000</f>
        <v>408.5973559140553</v>
      </c>
      <c r="H7833" s="256">
        <f t="shared" si="1140"/>
        <v>1.0749810174639332</v>
      </c>
      <c r="I7833" s="297">
        <f t="shared" si="1144"/>
        <v>439.23440139356399</v>
      </c>
      <c r="J7833" s="297">
        <f t="shared" si="1145"/>
        <v>382.57142857142856</v>
      </c>
      <c r="K7833" s="297">
        <f>J7833/POBLA!$B$8*100000</f>
        <v>27.603332891144021</v>
      </c>
      <c r="L7833" s="549">
        <f t="shared" si="1141"/>
        <v>0.10284757118927979</v>
      </c>
      <c r="M7833" s="401">
        <f>SUM(C7833,C7809,C7785,C7761,C7737,C7713,C7689)/POBLA!$B$8*100000</f>
        <v>193.22333023800815</v>
      </c>
    </row>
    <row r="7834" spans="1:13" s="360" customFormat="1" x14ac:dyDescent="0.25">
      <c r="A7834" s="361" t="s">
        <v>41</v>
      </c>
      <c r="B7834" s="29">
        <v>44219</v>
      </c>
      <c r="C7834" s="277">
        <v>3</v>
      </c>
      <c r="D7834" s="276">
        <f t="shared" si="1142"/>
        <v>800</v>
      </c>
      <c r="E7834" s="1"/>
      <c r="F7834" s="39">
        <f t="shared" si="1143"/>
        <v>6</v>
      </c>
      <c r="G7834" s="168">
        <f>SUM(C7834,C7810,C7786,C7762,C7738,C7714,C7690,C7666,C7642,C7618,C7594,C7570,C7546,C7522)/POBLA!$B$9*100000</f>
        <v>89.392970506929188</v>
      </c>
      <c r="H7834" s="256">
        <f t="shared" si="1140"/>
        <v>11.760869565217391</v>
      </c>
      <c r="I7834" s="297">
        <f t="shared" si="1144"/>
        <v>1051.3390661793194</v>
      </c>
      <c r="J7834" s="297">
        <f t="shared" si="1145"/>
        <v>30.428571428571427</v>
      </c>
      <c r="K7834" s="297">
        <f>J7834/POBLA!$B$9*100000</f>
        <v>5.0279119931280478</v>
      </c>
      <c r="L7834" s="549">
        <f t="shared" si="1141"/>
        <v>0.35060975609756095</v>
      </c>
      <c r="M7834" s="401">
        <f>SUM(C7834,C7810,C7786,C7762,C7738,C7714,C7690)/POBLA!$B$9*100000</f>
        <v>35.195383951896339</v>
      </c>
    </row>
    <row r="7835" spans="1:13" s="360" customFormat="1" x14ac:dyDescent="0.25">
      <c r="A7835" s="361" t="s">
        <v>32</v>
      </c>
      <c r="B7835" s="29">
        <v>44219</v>
      </c>
      <c r="C7835" s="277">
        <v>8</v>
      </c>
      <c r="D7835" s="276">
        <f t="shared" si="1142"/>
        <v>19064</v>
      </c>
      <c r="E7835" s="1">
        <v>1</v>
      </c>
      <c r="F7835" s="39">
        <f t="shared" si="1143"/>
        <v>866</v>
      </c>
      <c r="G7835" s="168">
        <f>SUM(C7835,C7811,C7787,C7763,C7739,C7715,C7691,C7667,C7643,C7619,C7595,C7571,C7547,C7523)/POBLA!$B$10*100000</f>
        <v>51.629239791874497</v>
      </c>
      <c r="H7835" s="256">
        <f t="shared" si="1140"/>
        <v>2.3975903614457832</v>
      </c>
      <c r="I7835" s="297">
        <f t="shared" si="1144"/>
        <v>123.78576769377139</v>
      </c>
      <c r="J7835" s="297">
        <f t="shared" si="1145"/>
        <v>37.571428571428569</v>
      </c>
      <c r="K7835" s="297">
        <f>J7835/POBLA!$B$10*100000</f>
        <v>4.8738298870290704</v>
      </c>
      <c r="L7835" s="549">
        <f t="shared" si="1141"/>
        <v>-0.94814814814814818</v>
      </c>
      <c r="M7835" s="401">
        <f>SUM(C7835,C7811,C7787,C7763,C7739,C7715,C7691)/POBLA!$B$10*100000</f>
        <v>34.116809209203495</v>
      </c>
    </row>
    <row r="7836" spans="1:13" s="360" customFormat="1" x14ac:dyDescent="0.25">
      <c r="A7836" s="361" t="s">
        <v>33</v>
      </c>
      <c r="B7836" s="29">
        <v>44219</v>
      </c>
      <c r="C7836" s="277">
        <v>106</v>
      </c>
      <c r="D7836" s="276">
        <f t="shared" si="1142"/>
        <v>15750</v>
      </c>
      <c r="E7836" s="1"/>
      <c r="F7836" s="39">
        <f t="shared" si="1143"/>
        <v>209</v>
      </c>
      <c r="G7836" s="168">
        <f>SUM(C7836,C7812,C7788,C7764,C7740,C7716,C7692,C7668,C7644,C7620,C7596,C7572,C7548,C7524)/POBLA!$B$11*100000</f>
        <v>656.19873447386919</v>
      </c>
      <c r="H7836" s="256">
        <f t="shared" si="1140"/>
        <v>0.60602937387271327</v>
      </c>
      <c r="I7836" s="297">
        <f t="shared" si="1144"/>
        <v>397.67570818926578</v>
      </c>
      <c r="J7836" s="297">
        <f t="shared" si="1145"/>
        <v>129.42857142857142</v>
      </c>
      <c r="K7836" s="297">
        <f>J7836/POBLA!$B$11*100000</f>
        <v>36.110061554502281</v>
      </c>
      <c r="L7836" s="549">
        <f t="shared" si="1141"/>
        <v>0.37344398340248963</v>
      </c>
      <c r="M7836" s="401">
        <f>SUM(C7836,C7812,C7788,C7764,C7740,C7716,C7692)/POBLA!$B$11*100000</f>
        <v>252.77043088151595</v>
      </c>
    </row>
    <row r="7837" spans="1:13" s="360" customFormat="1" x14ac:dyDescent="0.25">
      <c r="A7837" s="361" t="s">
        <v>21</v>
      </c>
      <c r="B7837" s="29">
        <v>44219</v>
      </c>
      <c r="C7837" s="277">
        <v>13</v>
      </c>
      <c r="D7837" s="276">
        <f t="shared" si="1142"/>
        <v>9402</v>
      </c>
      <c r="E7837" s="1"/>
      <c r="F7837" s="39">
        <f t="shared" si="1143"/>
        <v>404</v>
      </c>
      <c r="G7837" s="168">
        <f>SUM(C7837,C7813,C7789,C7765,C7741,C7717,C7693,C7669,C7645,C7621,C7597,C7573,C7549,C7525)/POBLA!$B$12*100000</f>
        <v>51.584246222025719</v>
      </c>
      <c r="H7837" s="256">
        <f t="shared" si="1140"/>
        <v>1.4710144927536233</v>
      </c>
      <c r="I7837" s="297">
        <f t="shared" si="1144"/>
        <v>75.881173790371165</v>
      </c>
      <c r="J7837" s="297">
        <f t="shared" si="1145"/>
        <v>16.857142857142858</v>
      </c>
      <c r="K7837" s="297">
        <f>J7837/POBLA!$B$12*100000</f>
        <v>4.2835616144961532</v>
      </c>
      <c r="L7837" s="549">
        <f t="shared" si="1141"/>
        <v>-0.38823529411764701</v>
      </c>
      <c r="M7837" s="401">
        <f>SUM(C7837,C7813,C7789,C7765,C7741,C7717,C7693)/POBLA!$B$12*100000</f>
        <v>29.984931301473072</v>
      </c>
    </row>
    <row r="7838" spans="1:13" s="360" customFormat="1" x14ac:dyDescent="0.25">
      <c r="A7838" s="361" t="s">
        <v>17</v>
      </c>
      <c r="B7838" s="29">
        <v>44219</v>
      </c>
      <c r="C7838" s="277">
        <v>101</v>
      </c>
      <c r="D7838" s="276">
        <f t="shared" si="1142"/>
        <v>63092</v>
      </c>
      <c r="E7838" s="1">
        <v>2</v>
      </c>
      <c r="F7838" s="39">
        <f t="shared" si="1143"/>
        <v>1315</v>
      </c>
      <c r="G7838" s="168">
        <f>SUM(C7838,C7814,C7790,C7766,C7742,C7718,C7694,C7670,C7646,C7622,C7598,C7574,C7550,C7526)/POBLA!$B$13*100000</f>
        <v>94.355833029364859</v>
      </c>
      <c r="H7838" s="256">
        <f t="shared" si="1140"/>
        <v>1.1340579710144927</v>
      </c>
      <c r="I7838" s="297">
        <f t="shared" si="1144"/>
        <v>107.00498455866376</v>
      </c>
      <c r="J7838" s="297">
        <f t="shared" si="1145"/>
        <v>131.28571428571428</v>
      </c>
      <c r="K7838" s="297">
        <f>J7838/POBLA!$B$13*100000</f>
        <v>6.5961517232607871</v>
      </c>
      <c r="L7838" s="549">
        <f t="shared" si="1141"/>
        <v>4.1710114702815382E-2</v>
      </c>
      <c r="M7838" s="401">
        <f>SUM(C7838,C7814,C7790,C7766,C7742,C7718,C7694)/POBLA!$B$13*100000</f>
        <v>46.173062062825508</v>
      </c>
    </row>
    <row r="7839" spans="1:13" s="360" customFormat="1" x14ac:dyDescent="0.25">
      <c r="A7839" s="361" t="s">
        <v>23</v>
      </c>
      <c r="B7839" s="29">
        <v>44219</v>
      </c>
      <c r="C7839" s="277">
        <v>214</v>
      </c>
      <c r="D7839" s="276">
        <f t="shared" si="1142"/>
        <v>3308</v>
      </c>
      <c r="E7839" s="1"/>
      <c r="F7839" s="39">
        <f t="shared" si="1143"/>
        <v>63</v>
      </c>
      <c r="G7839" s="168">
        <f>SUM(C7839,C7815,C7791,C7767,C7743,C7719,C7695,C7671,C7647,C7623,C7599,C7575,C7551,C7527)/POBLA!$B$14*100000</f>
        <v>156.42665389671242</v>
      </c>
      <c r="H7839" s="256">
        <f t="shared" si="1140"/>
        <v>5.6858789625360231</v>
      </c>
      <c r="I7839" s="297">
        <f t="shared" si="1144"/>
        <v>889.42302057122083</v>
      </c>
      <c r="J7839" s="297">
        <f t="shared" si="1145"/>
        <v>185.42857142857142</v>
      </c>
      <c r="K7839" s="297">
        <f>J7839/POBLA!$B$14*100000</f>
        <v>14.701455126922941</v>
      </c>
      <c r="L7839" s="549">
        <f t="shared" si="1141"/>
        <v>-0.92296296296296299</v>
      </c>
      <c r="M7839" s="401">
        <f>SUM(C7839,C7815,C7791,C7767,C7743,C7719,C7695)/POBLA!$B$14*100000</f>
        <v>102.91018588846057</v>
      </c>
    </row>
    <row r="7840" spans="1:13" s="360" customFormat="1" x14ac:dyDescent="0.25">
      <c r="A7840" s="361" t="s">
        <v>19</v>
      </c>
      <c r="B7840" s="29">
        <v>44219</v>
      </c>
      <c r="C7840" s="277">
        <v>241</v>
      </c>
      <c r="D7840" s="276">
        <f t="shared" si="1142"/>
        <v>50836</v>
      </c>
      <c r="E7840" s="1">
        <v>1</v>
      </c>
      <c r="F7840" s="39">
        <f t="shared" si="1143"/>
        <v>761</v>
      </c>
      <c r="G7840" s="168">
        <f>SUM(C7840,C7816,C7792,C7768,C7744,C7720,C7696,C7672,C7648,C7624,C7600,C7576,C7552,C7528)/POBLA!$B$15*100000</f>
        <v>890.73678916117149</v>
      </c>
      <c r="H7840" s="256">
        <f t="shared" si="1140"/>
        <v>1.0491308974813764</v>
      </c>
      <c r="I7840" s="297">
        <f t="shared" si="1144"/>
        <v>934.4994870323394</v>
      </c>
      <c r="J7840" s="297">
        <f t="shared" si="1145"/>
        <v>406.28571428571428</v>
      </c>
      <c r="K7840" s="297">
        <f>J7840/POBLA!$B$15*100000</f>
        <v>61.182355473357596</v>
      </c>
      <c r="L7840" s="549">
        <f t="shared" si="1141"/>
        <v>7.3917290784760614E-2</v>
      </c>
      <c r="M7840" s="401">
        <f>SUM(C7840,C7816,C7792,C7768,C7744,C7720,C7696)/POBLA!$B$15*100000</f>
        <v>428.27648831350319</v>
      </c>
    </row>
    <row r="7841" spans="1:13" s="360" customFormat="1" x14ac:dyDescent="0.25">
      <c r="A7841" s="361" t="s">
        <v>18</v>
      </c>
      <c r="B7841" s="29">
        <v>44219</v>
      </c>
      <c r="C7841" s="277">
        <v>286</v>
      </c>
      <c r="D7841" s="276">
        <f t="shared" si="1142"/>
        <v>45870</v>
      </c>
      <c r="E7841" s="1">
        <v>3</v>
      </c>
      <c r="F7841" s="39">
        <f t="shared" si="1143"/>
        <v>1026</v>
      </c>
      <c r="G7841" s="168">
        <f>SUM(C7841,C7817,C7793,C7769,C7745,C7721,C7697,C7673,C7649,C7625,C7601,C7577,C7553,C7529)/POBLA!$B$16*100000</f>
        <v>613.55519589090568</v>
      </c>
      <c r="H7841" s="256">
        <f t="shared" si="1140"/>
        <v>1.1002638522427441</v>
      </c>
      <c r="I7841" s="297">
        <f t="shared" si="1144"/>
        <v>675.07260339447942</v>
      </c>
      <c r="J7841" s="297">
        <f t="shared" si="1145"/>
        <v>309</v>
      </c>
      <c r="K7841" s="297">
        <f>J7841/POBLA!$B$16*100000</f>
        <v>41.331710383756239</v>
      </c>
      <c r="L7841" s="549">
        <f t="shared" si="1141"/>
        <v>0.10767326732673266</v>
      </c>
      <c r="M7841" s="401">
        <f>SUM(C7841,C7817,C7793,C7769,C7745,C7721,C7697)/POBLA!$B$16*100000</f>
        <v>289.32197268629363</v>
      </c>
    </row>
    <row r="7842" spans="1:13" s="360" customFormat="1" x14ac:dyDescent="0.25">
      <c r="A7842" s="361" t="s">
        <v>34</v>
      </c>
      <c r="B7842" s="29">
        <v>44219</v>
      </c>
      <c r="C7842" s="277">
        <v>59</v>
      </c>
      <c r="D7842" s="276">
        <f t="shared" si="1142"/>
        <v>23416</v>
      </c>
      <c r="E7842" s="1">
        <v>2</v>
      </c>
      <c r="F7842" s="39">
        <f t="shared" si="1143"/>
        <v>1033</v>
      </c>
      <c r="G7842" s="168">
        <f>SUM(C7842,C7818,C7794,C7770,C7746,C7722,C7698,C7674,C7650,C7626,C7602,C7578,C7554,C7530)/POBLA!$B$17*100000</f>
        <v>51.039141475304987</v>
      </c>
      <c r="H7842" s="256">
        <f t="shared" si="1140"/>
        <v>1.4034749034749034</v>
      </c>
      <c r="I7842" s="297">
        <f t="shared" si="1144"/>
        <v>71.632154155495613</v>
      </c>
      <c r="J7842" s="297">
        <f t="shared" si="1145"/>
        <v>53.285714285714285</v>
      </c>
      <c r="K7842" s="297">
        <f>J7842/POBLA!$B$17*100000</f>
        <v>3.7409313755725604</v>
      </c>
      <c r="L7842" s="549">
        <f t="shared" si="1141"/>
        <v>-5.3672316384180796E-2</v>
      </c>
      <c r="M7842" s="401">
        <f>SUM(C7842,C7818,C7794,C7770,C7746,C7722,C7698)/POBLA!$B$17*100000</f>
        <v>26.186519629007925</v>
      </c>
    </row>
    <row r="7843" spans="1:13" s="360" customFormat="1" x14ac:dyDescent="0.25">
      <c r="A7843" s="361" t="s">
        <v>35</v>
      </c>
      <c r="B7843" s="29">
        <v>44219</v>
      </c>
      <c r="C7843" s="277">
        <v>32</v>
      </c>
      <c r="D7843" s="276">
        <f t="shared" si="1142"/>
        <v>13536</v>
      </c>
      <c r="E7843" s="1"/>
      <c r="F7843" s="39">
        <f t="shared" si="1143"/>
        <v>216</v>
      </c>
      <c r="G7843" s="168">
        <f>SUM(C7843,C7819,C7795,C7771,C7747,C7723,C7699,C7675,C7651,C7627,C7603,C7579,C7555,C7531)/POBLA!$B$18*100000</f>
        <v>150.66236397825443</v>
      </c>
      <c r="H7843" s="256">
        <f t="shared" si="1140"/>
        <v>0.80122532334921714</v>
      </c>
      <c r="I7843" s="297">
        <f t="shared" si="1144"/>
        <v>120.71450129503435</v>
      </c>
      <c r="J7843" s="297">
        <f t="shared" si="1145"/>
        <v>64</v>
      </c>
      <c r="K7843" s="297">
        <f>J7843/POBLA!$B$18*100000</f>
        <v>8.1923460446969276</v>
      </c>
      <c r="L7843" s="549">
        <f t="shared" si="1141"/>
        <v>0.3854595336076817</v>
      </c>
      <c r="M7843" s="401">
        <f>SUM(C7843,C7819,C7795,C7771,C7747,C7723,C7699)/POBLA!$B$18*100000</f>
        <v>57.346422312878495</v>
      </c>
    </row>
    <row r="7844" spans="1:13" s="360" customFormat="1" x14ac:dyDescent="0.25">
      <c r="A7844" s="361" t="s">
        <v>36</v>
      </c>
      <c r="B7844" s="29">
        <v>44219</v>
      </c>
      <c r="C7844" s="277">
        <v>475</v>
      </c>
      <c r="D7844" s="276">
        <f t="shared" si="1142"/>
        <v>18401</v>
      </c>
      <c r="E7844" s="1">
        <v>1</v>
      </c>
      <c r="F7844" s="39">
        <f t="shared" si="1143"/>
        <v>336</v>
      </c>
      <c r="G7844" s="168">
        <f>SUM(C7844,C7820,C7796,C7772,C7748,C7724,C7700,C7676,C7652,C7628,C7604,C7580,C7556,C7532)/POBLA!$B$19*100000</f>
        <v>366.88909522985159</v>
      </c>
      <c r="H7844" s="256">
        <f t="shared" si="1140"/>
        <v>3.4409594095940959</v>
      </c>
      <c r="I7844" s="297">
        <f t="shared" si="1144"/>
        <v>1262.4504845086221</v>
      </c>
      <c r="J7844" s="297">
        <f t="shared" si="1145"/>
        <v>226.28571428571428</v>
      </c>
      <c r="K7844" s="297">
        <f>J7844/POBLA!$B$19*100000</f>
        <v>44.515689532292981</v>
      </c>
      <c r="L7844" s="549">
        <f t="shared" si="1141"/>
        <v>-4.6370106761565832</v>
      </c>
      <c r="M7844" s="401">
        <f>SUM(C7844,C7820,C7796,C7772,C7748,C7724,C7700)/POBLA!$B$19*100000</f>
        <v>311.60982672605093</v>
      </c>
    </row>
    <row r="7845" spans="1:13" s="360" customFormat="1" x14ac:dyDescent="0.25">
      <c r="A7845" s="361" t="s">
        <v>37</v>
      </c>
      <c r="B7845" s="29">
        <v>44219</v>
      </c>
      <c r="C7845" s="277">
        <v>179</v>
      </c>
      <c r="D7845" s="276">
        <f t="shared" si="1142"/>
        <v>31347</v>
      </c>
      <c r="E7845" s="1">
        <v>4</v>
      </c>
      <c r="F7845" s="39">
        <f t="shared" si="1143"/>
        <v>481</v>
      </c>
      <c r="G7845" s="168">
        <f>SUM(C7845,C7821,C7797,C7773,C7749,C7725,C7701,C7677,C7653,C7629,C7605,C7581,C7557,C7533)/POBLA!$B$20*100000</f>
        <v>1205.3661764625456</v>
      </c>
      <c r="H7845" s="256">
        <f t="shared" si="1140"/>
        <v>0.89194658033184948</v>
      </c>
      <c r="I7845" s="297">
        <f t="shared" si="1144"/>
        <v>1075.1222391434442</v>
      </c>
      <c r="J7845" s="297">
        <f t="shared" si="1145"/>
        <v>319.14285714285717</v>
      </c>
      <c r="K7845" s="297">
        <f>J7845/POBLA!$B$20*100000</f>
        <v>87.269511220421535</v>
      </c>
      <c r="L7845" s="549">
        <f t="shared" si="1141"/>
        <v>-2.7598896044158217E-2</v>
      </c>
      <c r="M7845" s="401">
        <f>SUM(C7845,C7821,C7797,C7773,C7749,C7725,C7701)/POBLA!$B$20*100000</f>
        <v>610.88657854295082</v>
      </c>
    </row>
    <row r="7846" spans="1:13" s="360" customFormat="1" x14ac:dyDescent="0.25">
      <c r="A7846" s="361" t="s">
        <v>22</v>
      </c>
      <c r="B7846" s="29">
        <v>44219</v>
      </c>
      <c r="C7846" s="277">
        <v>698</v>
      </c>
      <c r="D7846" s="276">
        <f t="shared" si="1142"/>
        <v>201187</v>
      </c>
      <c r="E7846" s="1">
        <v>5</v>
      </c>
      <c r="F7846" s="39">
        <f t="shared" si="1143"/>
        <v>3304</v>
      </c>
      <c r="G7846" s="168">
        <f>SUM(C7846,C7822,C7798,C7774,C7750,C7726,C7702,C7678,C7654,C7630,C7606,C7582,C7558,C7534)/POBLA!$B$21*100000</f>
        <v>432.55633242450415</v>
      </c>
      <c r="H7846" s="256">
        <f t="shared" si="1140"/>
        <v>1.0530772408095828</v>
      </c>
      <c r="I7846" s="297">
        <f t="shared" si="1144"/>
        <v>455.51522904430948</v>
      </c>
      <c r="J7846" s="297">
        <f t="shared" si="1145"/>
        <v>968.57142857142856</v>
      </c>
      <c r="K7846" s="297">
        <f>J7846/POBLA!$B$21*100000</f>
        <v>27.388488254822494</v>
      </c>
      <c r="L7846" s="549">
        <f t="shared" si="1141"/>
        <v>0.20394505107432193</v>
      </c>
      <c r="M7846" s="401">
        <f>SUM(C7846,C7822,C7798,C7774,C7750,C7726,C7702)/POBLA!$B$21*100000</f>
        <v>191.71941778375745</v>
      </c>
    </row>
    <row r="7847" spans="1:13" s="360" customFormat="1" x14ac:dyDescent="0.25">
      <c r="A7847" s="361" t="s">
        <v>38</v>
      </c>
      <c r="B7847" s="29">
        <v>44219</v>
      </c>
      <c r="C7847" s="277">
        <v>170</v>
      </c>
      <c r="D7847" s="276">
        <f t="shared" si="1142"/>
        <v>20328</v>
      </c>
      <c r="E7847" s="1">
        <v>1</v>
      </c>
      <c r="F7847" s="39">
        <f t="shared" si="1143"/>
        <v>244</v>
      </c>
      <c r="G7847" s="168">
        <f>SUM(C7847,C7823,C7799,C7775,C7751,C7727,C7703,C7679,C7655,C7631,C7607,C7583,C7559,C7535)/POBLA!$B$22*100000</f>
        <v>181.53699276203014</v>
      </c>
      <c r="H7847" s="256">
        <f t="shared" si="1140"/>
        <v>1.1800664451827243</v>
      </c>
      <c r="I7847" s="297">
        <f t="shared" si="1144"/>
        <v>214.22571371785085</v>
      </c>
      <c r="J7847" s="297">
        <f t="shared" si="1145"/>
        <v>124.71428571428571</v>
      </c>
      <c r="K7847" s="297">
        <f>J7847/POBLA!$B$22*100000</f>
        <v>12.74789210756534</v>
      </c>
      <c r="L7847" s="549">
        <f t="shared" si="1141"/>
        <v>3.3222591362126241E-2</v>
      </c>
      <c r="M7847" s="401">
        <f>SUM(C7847,C7823,C7799,C7775,C7751,C7727,C7703)/POBLA!$B$22*100000</f>
        <v>89.235244752957385</v>
      </c>
    </row>
    <row r="7848" spans="1:13" s="360" customFormat="1" x14ac:dyDescent="0.25">
      <c r="A7848" s="361" t="s">
        <v>39</v>
      </c>
      <c r="B7848" s="29">
        <v>44219</v>
      </c>
      <c r="C7848" s="277">
        <v>74</v>
      </c>
      <c r="D7848" s="276">
        <f t="shared" si="1142"/>
        <v>21344</v>
      </c>
      <c r="E7848" s="1">
        <v>1</v>
      </c>
      <c r="F7848" s="39">
        <f t="shared" si="1143"/>
        <v>321</v>
      </c>
      <c r="G7848" s="168">
        <f>SUM(C7848,C7824,C7800,C7776,C7752,C7728,C7704,C7680,C7656,C7632,C7608,C7584,C7560,C7536)/POBLA!$B$23*100000</f>
        <v>705.1970819431092</v>
      </c>
      <c r="H7848" s="256">
        <f t="shared" si="1140"/>
        <v>0.86237897648686035</v>
      </c>
      <c r="I7848" s="297">
        <f t="shared" si="1144"/>
        <v>608.14713774761913</v>
      </c>
      <c r="J7848" s="297">
        <f t="shared" si="1145"/>
        <v>92</v>
      </c>
      <c r="K7848" s="297">
        <f>J7848/POBLA!$B$23*100000</f>
        <v>52.027370921223778</v>
      </c>
      <c r="L7848" s="549">
        <f t="shared" si="1141"/>
        <v>-6.7993366500829211E-2</v>
      </c>
      <c r="M7848" s="401">
        <f>SUM(C7848,C7824,C7800,C7776,C7752,C7728,C7704)/POBLA!$B$23*100000</f>
        <v>364.19159644856637</v>
      </c>
    </row>
    <row r="7849" spans="1:13" s="360" customFormat="1" ht="15.75" thickBot="1" x14ac:dyDescent="0.3">
      <c r="A7849" s="361" t="s">
        <v>40</v>
      </c>
      <c r="B7849" s="29">
        <v>44219</v>
      </c>
      <c r="C7849" s="277">
        <v>82</v>
      </c>
      <c r="D7849" s="276">
        <f t="shared" si="1142"/>
        <v>75246</v>
      </c>
      <c r="E7849" s="1"/>
      <c r="F7849" s="67">
        <f t="shared" si="1143"/>
        <v>1418</v>
      </c>
      <c r="G7849" s="177">
        <f>SUM(C7849,C7825,C7801,C7777,C7753,C7729,C7705,C7681,C7657,C7633,C7609,C7585,C7561,C7537)/POBLA!$B$24*100000</f>
        <v>148.93878167604515</v>
      </c>
      <c r="H7849" s="402">
        <f t="shared" si="1140"/>
        <v>1.0667793744716823</v>
      </c>
      <c r="I7849" s="403">
        <f t="shared" si="1144"/>
        <v>158.88482035094589</v>
      </c>
      <c r="J7849" s="403">
        <f t="shared" si="1145"/>
        <v>150.42857142857142</v>
      </c>
      <c r="K7849" s="403">
        <f>J7849/POBLA!$B$24*100000</f>
        <v>8.8766434856732825</v>
      </c>
      <c r="L7849" s="550">
        <f t="shared" si="1141"/>
        <v>0.28416043507817812</v>
      </c>
      <c r="M7849" s="405">
        <f>SUM(C7849,C7825,C7801,C7777,C7753,C7729,C7705)/POBLA!$B$24*100000</f>
        <v>62.136504399712976</v>
      </c>
    </row>
    <row r="7850" spans="1:13" s="360" customFormat="1" x14ac:dyDescent="0.25">
      <c r="A7850" s="361" t="s">
        <v>16</v>
      </c>
      <c r="B7850" s="29">
        <v>44220</v>
      </c>
      <c r="C7850" s="1">
        <v>2091</v>
      </c>
      <c r="D7850" s="276">
        <f>C7850+D7826</f>
        <v>778629</v>
      </c>
      <c r="E7850" s="1">
        <v>44</v>
      </c>
      <c r="F7850" s="39">
        <f>E7850+F7826</f>
        <v>24075</v>
      </c>
      <c r="G7850" s="175">
        <f>SUM(C7850,C7826,C7802,C7778,C7754,C7730,C7706,C7682,C7658,C7634,C7610,C7586,C7562,C7538)/POBLA!$B$1*100000</f>
        <v>323.09756816845606</v>
      </c>
      <c r="H7850" s="300">
        <f t="shared" ref="H7850:H7873" si="1146">SUM(C7850,C7826,C7802,C7778,C7754,C7730,C7706,C7682,C7658,C7634,C7610,C7586,C7562,C7538)/SUM(C7514,C7490,C7466,C7442,C7418,C7394,C7370,C7346,C7322,C7298,C7274,C7250,C7226,C7202)</f>
        <v>1.0502371951671485</v>
      </c>
      <c r="I7850" s="301">
        <f>G7850*H7850</f>
        <v>339.32908375856584</v>
      </c>
      <c r="J7850" s="301">
        <f>AVERAGE(C7850,C7826,C7802,C7778,C7754,C7730,C7706)</f>
        <v>3881.5714285714284</v>
      </c>
      <c r="K7850" s="301">
        <f>J7850/POBLA!$B$1*100000</f>
        <v>22.128386223971567</v>
      </c>
      <c r="L7850" s="548">
        <f t="shared" ref="L7850:L7873" si="1147">1-SUM(C7850,C7826,C7802,C7778,C7754,C7730,C7706)/SUM(C7682,C7658,C7634,C7610,C7586,C7562,C7538)</f>
        <v>7.907402386117135E-2</v>
      </c>
      <c r="M7850" s="400">
        <f>SUM(C7850,C7826,C7802,C7778,C7754,C7730,C7706)/POBLA!$B$1*100000</f>
        <v>154.89870356780096</v>
      </c>
    </row>
    <row r="7851" spans="1:13" s="360" customFormat="1" x14ac:dyDescent="0.25">
      <c r="A7851" s="361" t="s">
        <v>43</v>
      </c>
      <c r="B7851" s="29">
        <v>44220</v>
      </c>
      <c r="C7851" s="1">
        <v>706</v>
      </c>
      <c r="D7851" s="276">
        <f t="shared" si="1142"/>
        <v>202613</v>
      </c>
      <c r="E7851" s="1">
        <v>21</v>
      </c>
      <c r="F7851" s="39">
        <f t="shared" si="1143"/>
        <v>5803</v>
      </c>
      <c r="G7851" s="168">
        <f>SUM(C7851,C7827,C7803,C7779,C7755,C7731,C7707,C7683,C7659,C7635,C7611,C7587,C7563,C7539)/POBLA!$B$2*100000</f>
        <v>538.94368857794427</v>
      </c>
      <c r="H7851" s="256">
        <f t="shared" si="1146"/>
        <v>1.0551241247612986</v>
      </c>
      <c r="I7851" s="297">
        <f t="shared" ref="I7851:I7873" si="1148">G7851*H7851</f>
        <v>568.65248770642927</v>
      </c>
      <c r="J7851" s="297">
        <f t="shared" ref="J7851:J7873" si="1149">AVERAGE(C7851,C7827,C7803,C7779,C7755,C7731,C7707)</f>
        <v>1132.1428571428571</v>
      </c>
      <c r="K7851" s="297">
        <f>J7851/POBLA!$B$2*100000</f>
        <v>36.80992081477703</v>
      </c>
      <c r="L7851" s="549">
        <f t="shared" si="1147"/>
        <v>8.3920933996069813E-2</v>
      </c>
      <c r="M7851" s="401">
        <f>SUM(C7851,C7827,C7803,C7779,C7755,C7731,C7707)/POBLA!$B$2*100000</f>
        <v>257.66944570343924</v>
      </c>
    </row>
    <row r="7852" spans="1:13" s="360" customFormat="1" x14ac:dyDescent="0.25">
      <c r="A7852" s="361" t="s">
        <v>28</v>
      </c>
      <c r="B7852" s="29">
        <v>44220</v>
      </c>
      <c r="C7852" s="1">
        <v>49</v>
      </c>
      <c r="D7852" s="276">
        <f t="shared" si="1142"/>
        <v>4731</v>
      </c>
      <c r="E7852" s="1"/>
      <c r="F7852" s="39">
        <f t="shared" si="1143"/>
        <v>17</v>
      </c>
      <c r="G7852" s="168">
        <f>SUM(C7852,C7828,C7804,C7780,C7756,C7732,C7708,C7684,C7660,C7636,C7612,C7588,C7564,C7540)/POBLA!$B$3*100000</f>
        <v>375.02587630404537</v>
      </c>
      <c r="H7852" s="256">
        <f t="shared" si="1146"/>
        <v>2.6097152428810722</v>
      </c>
      <c r="I7852" s="297">
        <f t="shared" si="1148"/>
        <v>978.71074586549867</v>
      </c>
      <c r="J7852" s="297">
        <f t="shared" si="1149"/>
        <v>78.571428571428569</v>
      </c>
      <c r="K7852" s="297">
        <f>J7852/POBLA!$B$3*100000</f>
        <v>18.912913255751416</v>
      </c>
      <c r="L7852" s="549">
        <f t="shared" si="1147"/>
        <v>0.45436507936507942</v>
      </c>
      <c r="M7852" s="401">
        <f>SUM(C7852,C7828,C7804,C7780,C7756,C7732,C7708)/POBLA!$B$3*100000</f>
        <v>132.39039279025991</v>
      </c>
    </row>
    <row r="7853" spans="1:13" s="360" customFormat="1" x14ac:dyDescent="0.25">
      <c r="A7853" s="361" t="s">
        <v>15</v>
      </c>
      <c r="B7853" s="29">
        <v>44220</v>
      </c>
      <c r="C7853" s="1">
        <v>137</v>
      </c>
      <c r="D7853" s="276">
        <f t="shared" si="1142"/>
        <v>29814</v>
      </c>
      <c r="E7853" s="1"/>
      <c r="F7853" s="39">
        <f t="shared" si="1143"/>
        <v>776</v>
      </c>
      <c r="G7853" s="168">
        <f>SUM(C7853,C7829,C7805,C7781,C7757,C7733,C7709,C7685,C7661,C7637,C7613,C7589,C7565,C7541)/POBLA!$B$4*100000</f>
        <v>239.51031969854077</v>
      </c>
      <c r="H7853" s="256">
        <f t="shared" si="1146"/>
        <v>0.93608046722907201</v>
      </c>
      <c r="I7853" s="297">
        <f t="shared" si="1148"/>
        <v>224.20093196959445</v>
      </c>
      <c r="J7853" s="297">
        <f t="shared" si="1149"/>
        <v>186.14285714285714</v>
      </c>
      <c r="K7853" s="297">
        <f>J7853/POBLA!$B$4*100000</f>
        <v>15.453426420757545</v>
      </c>
      <c r="L7853" s="549">
        <f t="shared" si="1147"/>
        <v>0.17635903919089757</v>
      </c>
      <c r="M7853" s="401">
        <f>SUM(C7853,C7829,C7805,C7781,C7757,C7733,C7709)/POBLA!$B$4*100000</f>
        <v>108.17398494530281</v>
      </c>
    </row>
    <row r="7854" spans="1:13" s="360" customFormat="1" x14ac:dyDescent="0.25">
      <c r="A7854" s="361" t="s">
        <v>29</v>
      </c>
      <c r="B7854" s="29">
        <v>44220</v>
      </c>
      <c r="C7854" s="1">
        <v>108</v>
      </c>
      <c r="D7854" s="276">
        <f t="shared" si="1142"/>
        <v>40256</v>
      </c>
      <c r="E7854" s="1"/>
      <c r="F7854" s="39">
        <f t="shared" si="1143"/>
        <v>594</v>
      </c>
      <c r="G7854" s="168">
        <f>SUM(C7854,C7830,C7806,C7782,C7758,C7734,C7710,C7686,C7662,C7638,C7614,C7590,C7566,C7542)/POBLA!$B$5*100000</f>
        <v>797.42291524635129</v>
      </c>
      <c r="H7854" s="256">
        <f t="shared" si="1146"/>
        <v>0.90751976466262185</v>
      </c>
      <c r="I7854" s="297">
        <f t="shared" si="1148"/>
        <v>723.6770563809506</v>
      </c>
      <c r="J7854" s="297">
        <f t="shared" si="1149"/>
        <v>288.28571428571428</v>
      </c>
      <c r="K7854" s="297">
        <f>J7854/POBLA!$B$5*100000</f>
        <v>46.573264730468189</v>
      </c>
      <c r="L7854" s="549">
        <f t="shared" si="1147"/>
        <v>0.30843043180260454</v>
      </c>
      <c r="M7854" s="401">
        <f>SUM(C7854,C7830,C7806,C7782,C7758,C7734,C7710)/POBLA!$B$5*100000</f>
        <v>326.01285311327734</v>
      </c>
    </row>
    <row r="7855" spans="1:13" s="360" customFormat="1" x14ac:dyDescent="0.25">
      <c r="A7855" s="361" t="s">
        <v>30</v>
      </c>
      <c r="B7855" s="29">
        <v>44220</v>
      </c>
      <c r="C7855" s="1">
        <v>64</v>
      </c>
      <c r="D7855" s="276">
        <f>C7855+D7831</f>
        <v>16303</v>
      </c>
      <c r="E7855" s="1"/>
      <c r="F7855" s="39">
        <f t="shared" si="1143"/>
        <v>2565</v>
      </c>
      <c r="G7855" s="168">
        <f>SUM(C7855,C7831,C7807,C7783,C7759,C7735,C7711,C7687,C7663,C7639,C7615,C7591,C7567,C7543)/POBLA!$B$6*100000</f>
        <v>448.96462440700896</v>
      </c>
      <c r="H7855" s="256">
        <f t="shared" si="1146"/>
        <v>0.5954324931960715</v>
      </c>
      <c r="I7855" s="297">
        <f t="shared" si="1148"/>
        <v>267.32812566750317</v>
      </c>
      <c r="J7855" s="297">
        <f t="shared" si="1149"/>
        <v>119.42857142857143</v>
      </c>
      <c r="K7855" s="297">
        <f>J7855/POBLA!$B$6*100000</f>
        <v>10.655644617427306</v>
      </c>
      <c r="L7855" s="549">
        <f t="shared" si="1147"/>
        <v>0.80076263107721646</v>
      </c>
      <c r="M7855" s="401">
        <f>SUM(C7855,C7831,C7807,C7783,C7759,C7735,C7711)/POBLA!$B$6*100000</f>
        <v>74.589512321991151</v>
      </c>
    </row>
    <row r="7856" spans="1:13" s="360" customFormat="1" x14ac:dyDescent="0.25">
      <c r="A7856" s="361" t="s">
        <v>20</v>
      </c>
      <c r="B7856" s="29">
        <v>44220</v>
      </c>
      <c r="C7856" s="1">
        <v>264</v>
      </c>
      <c r="D7856" s="276">
        <f>C7856+D7832</f>
        <v>141484</v>
      </c>
      <c r="E7856" s="1">
        <v>4</v>
      </c>
      <c r="F7856" s="39">
        <f t="shared" si="1143"/>
        <v>243</v>
      </c>
      <c r="G7856" s="168">
        <f>SUM(C7856,C7832,C7808,C7784,C7760,C7736,C7712,C7688,C7664,C7640,C7616,C7592,C7568,C7544)/POBLA!$B$7*100000</f>
        <v>144.82309298089325</v>
      </c>
      <c r="H7856" s="256">
        <f t="shared" si="1146"/>
        <v>2.2863140218303948</v>
      </c>
      <c r="I7856" s="297">
        <f t="shared" si="1148"/>
        <v>331.11106816706325</v>
      </c>
      <c r="J7856" s="297">
        <f t="shared" si="1149"/>
        <v>534.85714285714289</v>
      </c>
      <c r="K7856" s="297">
        <f>J7856/POBLA!$B$7*100000</f>
        <v>14.223221764872367</v>
      </c>
      <c r="L7856" s="549">
        <f t="shared" si="1147"/>
        <v>-1.199764982373678</v>
      </c>
      <c r="M7856" s="401">
        <f>SUM(C7856,C7832,C7808,C7784,C7760,C7736,C7712)/POBLA!$B$7*100000</f>
        <v>99.562552354106558</v>
      </c>
    </row>
    <row r="7857" spans="1:13" x14ac:dyDescent="0.25">
      <c r="A7857" s="361" t="s">
        <v>31</v>
      </c>
      <c r="B7857" s="29">
        <v>44220</v>
      </c>
      <c r="C7857" s="1">
        <v>219</v>
      </c>
      <c r="D7857" s="276">
        <f t="shared" si="1142"/>
        <v>39073</v>
      </c>
      <c r="E7857" s="1">
        <v>4</v>
      </c>
      <c r="F7857" s="39">
        <f t="shared" si="1143"/>
        <v>670</v>
      </c>
      <c r="G7857" s="168">
        <f>SUM(C7857,C7833,C7809,C7785,C7761,C7737,C7713,C7689,C7665,C7641,C7617,C7593,C7569,C7545)/POBLA!$B$8*100000</f>
        <v>399.14543049912658</v>
      </c>
      <c r="H7857" s="256">
        <f t="shared" si="1146"/>
        <v>1.0126304228445908</v>
      </c>
      <c r="I7857" s="297">
        <f t="shared" si="1148"/>
        <v>404.1868060628168</v>
      </c>
      <c r="J7857" s="297">
        <f t="shared" si="1149"/>
        <v>368.85714285714283</v>
      </c>
      <c r="K7857" s="297">
        <f>J7857/POBLA!$B$8*100000</f>
        <v>26.613818343888671</v>
      </c>
      <c r="L7857" s="549">
        <f t="shared" si="1147"/>
        <v>0.12474576271186444</v>
      </c>
      <c r="M7857" s="401">
        <f>SUM(C7857,C7833,C7809,C7785,C7761,C7737,C7713)/POBLA!$B$8*100000</f>
        <v>186.29672840722071</v>
      </c>
    </row>
    <row r="7858" spans="1:13" s="360" customFormat="1" x14ac:dyDescent="0.25">
      <c r="A7858" s="361" t="s">
        <v>41</v>
      </c>
      <c r="B7858" s="29">
        <v>44220</v>
      </c>
      <c r="C7858" s="1">
        <v>6</v>
      </c>
      <c r="D7858" s="276">
        <f t="shared" si="1142"/>
        <v>806</v>
      </c>
      <c r="E7858" s="1"/>
      <c r="F7858" s="39">
        <f t="shared" si="1143"/>
        <v>6</v>
      </c>
      <c r="G7858" s="168">
        <f>SUM(C7858,C7834,C7810,C7786,C7762,C7738,C7714,C7690,C7666,C7642,C7618,C7594,C7570,C7546)/POBLA!$B$9*100000</f>
        <v>85.096820353176582</v>
      </c>
      <c r="H7858" s="256">
        <f t="shared" si="1146"/>
        <v>6.6883116883116882</v>
      </c>
      <c r="I7858" s="297">
        <f t="shared" si="1148"/>
        <v>569.15405820631088</v>
      </c>
      <c r="J7858" s="297">
        <f t="shared" si="1149"/>
        <v>20.428571428571427</v>
      </c>
      <c r="K7858" s="297">
        <f>J7858/POBLA!$B$9*100000</f>
        <v>3.375546549377046</v>
      </c>
      <c r="L7858" s="549">
        <f t="shared" si="1147"/>
        <v>0.61559139784946237</v>
      </c>
      <c r="M7858" s="401">
        <f>SUM(C7858,C7834,C7810,C7786,C7762,C7738,C7714)/POBLA!$B$9*100000</f>
        <v>23.628825845639327</v>
      </c>
    </row>
    <row r="7859" spans="1:13" s="360" customFormat="1" x14ac:dyDescent="0.25">
      <c r="A7859" s="361" t="s">
        <v>32</v>
      </c>
      <c r="B7859" s="29">
        <v>44220</v>
      </c>
      <c r="C7859" s="1">
        <v>29</v>
      </c>
      <c r="D7859" s="276">
        <f t="shared" si="1142"/>
        <v>19093</v>
      </c>
      <c r="E7859" s="1"/>
      <c r="F7859" s="39">
        <f t="shared" si="1143"/>
        <v>866</v>
      </c>
      <c r="G7859" s="168">
        <f>SUM(C7859,C7835,C7811,C7787,C7763,C7739,C7715,C7691,C7667,C7643,C7619,C7595,C7571,C7547)/POBLA!$B$10*100000</f>
        <v>52.796735164052556</v>
      </c>
      <c r="H7859" s="256">
        <f t="shared" si="1146"/>
        <v>2.2611111111111111</v>
      </c>
      <c r="I7859" s="297">
        <f t="shared" si="1148"/>
        <v>119.37928450982994</v>
      </c>
      <c r="J7859" s="297">
        <f t="shared" si="1149"/>
        <v>33.142857142857146</v>
      </c>
      <c r="K7859" s="297">
        <f>J7859/POBLA!$B$10*100000</f>
        <v>4.2993480372271655</v>
      </c>
      <c r="L7859" s="549">
        <f t="shared" si="1147"/>
        <v>-0.32571428571428562</v>
      </c>
      <c r="M7859" s="401">
        <f>SUM(C7859,C7835,C7811,C7787,C7763,C7739,C7715)/POBLA!$B$10*100000</f>
        <v>30.095436260590155</v>
      </c>
    </row>
    <row r="7860" spans="1:13" s="360" customFormat="1" x14ac:dyDescent="0.25">
      <c r="A7860" s="361" t="s">
        <v>33</v>
      </c>
      <c r="B7860" s="29">
        <v>44220</v>
      </c>
      <c r="C7860" s="1">
        <v>43</v>
      </c>
      <c r="D7860" s="276">
        <f t="shared" si="1142"/>
        <v>15793</v>
      </c>
      <c r="E7860" s="1">
        <v>1</v>
      </c>
      <c r="F7860" s="39">
        <f t="shared" si="1143"/>
        <v>210</v>
      </c>
      <c r="G7860" s="168">
        <f>SUM(C7860,C7836,C7812,C7788,C7764,C7740,C7716,C7692,C7668,C7644,C7620,C7596,C7572,C7548)/POBLA!$B$11*100000</f>
        <v>639.73796689990741</v>
      </c>
      <c r="H7860" s="256">
        <f t="shared" si="1146"/>
        <v>0.60437532946758044</v>
      </c>
      <c r="I7860" s="297">
        <f t="shared" si="1148"/>
        <v>386.64184451805158</v>
      </c>
      <c r="J7860" s="297">
        <f t="shared" si="1149"/>
        <v>114</v>
      </c>
      <c r="K7860" s="297">
        <f>J7860/POBLA!$B$11*100000</f>
        <v>31.805550905621214</v>
      </c>
      <c r="L7860" s="549">
        <f t="shared" si="1147"/>
        <v>0.46622073578595313</v>
      </c>
      <c r="M7860" s="401">
        <f>SUM(C7860,C7836,C7812,C7788,C7764,C7740,C7716)/POBLA!$B$11*100000</f>
        <v>222.63885633934848</v>
      </c>
    </row>
    <row r="7861" spans="1:13" s="360" customFormat="1" x14ac:dyDescent="0.25">
      <c r="A7861" s="361" t="s">
        <v>21</v>
      </c>
      <c r="B7861" s="29">
        <v>44220</v>
      </c>
      <c r="C7861" s="1">
        <v>36</v>
      </c>
      <c r="D7861" s="276">
        <f t="shared" si="1142"/>
        <v>9438</v>
      </c>
      <c r="E7861" s="1"/>
      <c r="F7861" s="39">
        <f t="shared" si="1143"/>
        <v>404</v>
      </c>
      <c r="G7861" s="168">
        <f>SUM(C7861,C7837,C7813,C7789,C7765,C7741,C7717,C7693,C7669,C7645,C7621,C7597,C7573,C7549)/POBLA!$B$12*100000</f>
        <v>56.920547555338715</v>
      </c>
      <c r="H7861" s="256">
        <f t="shared" si="1146"/>
        <v>1.5342465753424657</v>
      </c>
      <c r="I7861" s="297">
        <f t="shared" si="1148"/>
        <v>87.330155153396376</v>
      </c>
      <c r="J7861" s="297">
        <f t="shared" si="1149"/>
        <v>18.571428571428573</v>
      </c>
      <c r="K7861" s="297">
        <f>J7861/POBLA!$B$12*100000</f>
        <v>4.7191780498686438</v>
      </c>
      <c r="L7861" s="549">
        <f t="shared" si="1147"/>
        <v>-0.38297872340425543</v>
      </c>
      <c r="M7861" s="401">
        <f>SUM(C7861,C7837,C7813,C7789,C7765,C7741,C7717)/POBLA!$B$12*100000</f>
        <v>33.034246349080505</v>
      </c>
    </row>
    <row r="7862" spans="1:13" s="360" customFormat="1" x14ac:dyDescent="0.25">
      <c r="A7862" s="361" t="s">
        <v>17</v>
      </c>
      <c r="B7862" s="29">
        <v>44220</v>
      </c>
      <c r="C7862" s="1">
        <v>63</v>
      </c>
      <c r="D7862" s="276">
        <f t="shared" si="1142"/>
        <v>63155</v>
      </c>
      <c r="E7862" s="1">
        <v>2</v>
      </c>
      <c r="F7862" s="39">
        <f t="shared" si="1143"/>
        <v>1317</v>
      </c>
      <c r="G7862" s="168">
        <f>SUM(C7862,C7838,C7814,C7790,C7766,C7742,C7718,C7694,C7670,C7646,C7622,C7598,C7574,C7550)/POBLA!$B$13*100000</f>
        <v>93.702677635657864</v>
      </c>
      <c r="H7862" s="256">
        <f t="shared" si="1146"/>
        <v>1.1094586555621653</v>
      </c>
      <c r="I7862" s="297">
        <f t="shared" si="1148"/>
        <v>103.95924675223195</v>
      </c>
      <c r="J7862" s="297">
        <f t="shared" si="1149"/>
        <v>133.57142857142858</v>
      </c>
      <c r="K7862" s="297">
        <f>J7862/POBLA!$B$13*100000</f>
        <v>6.7109922320444353</v>
      </c>
      <c r="L7862" s="549">
        <f t="shared" si="1147"/>
        <v>-5.3763440860215006E-3</v>
      </c>
      <c r="M7862" s="401">
        <f>SUM(C7862,C7838,C7814,C7790,C7766,C7742,C7718)/POBLA!$B$13*100000</f>
        <v>46.97694562431105</v>
      </c>
    </row>
    <row r="7863" spans="1:13" s="360" customFormat="1" x14ac:dyDescent="0.25">
      <c r="A7863" s="361" t="s">
        <v>23</v>
      </c>
      <c r="B7863" s="29">
        <v>44220</v>
      </c>
      <c r="C7863" s="1">
        <v>159</v>
      </c>
      <c r="D7863" s="276">
        <f t="shared" si="1142"/>
        <v>3467</v>
      </c>
      <c r="E7863" s="1">
        <v>1</v>
      </c>
      <c r="F7863" s="39">
        <f t="shared" si="1143"/>
        <v>64</v>
      </c>
      <c r="G7863" s="168">
        <f>SUM(C7863,C7839,C7815,C7791,C7767,C7743,C7719,C7695,C7671,C7647,C7623,C7599,C7575,C7551)/POBLA!$B$14*100000</f>
        <v>160.31155305582996</v>
      </c>
      <c r="H7863" s="256">
        <f t="shared" si="1146"/>
        <v>4.6589861751152073</v>
      </c>
      <c r="I7863" s="297">
        <f t="shared" si="1148"/>
        <v>746.88930939835984</v>
      </c>
      <c r="J7863" s="297">
        <f t="shared" si="1149"/>
        <v>183.85714285714286</v>
      </c>
      <c r="K7863" s="297">
        <f>J7863/POBLA!$B$14*100000</f>
        <v>14.576866524152406</v>
      </c>
      <c r="L7863" s="549">
        <f t="shared" si="1147"/>
        <v>-0.75102040816326521</v>
      </c>
      <c r="M7863" s="401">
        <f>SUM(C7863,C7839,C7815,C7791,C7767,C7743,C7719)/POBLA!$B$14*100000</f>
        <v>102.03806566906684</v>
      </c>
    </row>
    <row r="7864" spans="1:13" s="360" customFormat="1" x14ac:dyDescent="0.25">
      <c r="A7864" s="361" t="s">
        <v>19</v>
      </c>
      <c r="B7864" s="29">
        <v>44220</v>
      </c>
      <c r="C7864" s="1">
        <v>149</v>
      </c>
      <c r="D7864" s="276">
        <f t="shared" si="1142"/>
        <v>50985</v>
      </c>
      <c r="E7864" s="1"/>
      <c r="F7864" s="39">
        <f t="shared" si="1143"/>
        <v>761</v>
      </c>
      <c r="G7864" s="168">
        <f>SUM(C7864,C7840,C7816,C7792,C7768,C7744,C7720,C7696,C7672,C7648,C7624,C7600,C7576,C7552)/POBLA!$B$15*100000</f>
        <v>878.6896305588225</v>
      </c>
      <c r="H7864" s="256">
        <f t="shared" si="1146"/>
        <v>1.0086430423509076</v>
      </c>
      <c r="I7864" s="297">
        <f t="shared" si="1148"/>
        <v>886.28418224904578</v>
      </c>
      <c r="J7864" s="297">
        <f t="shared" si="1149"/>
        <v>396.42857142857144</v>
      </c>
      <c r="K7864" s="297">
        <f>J7864/POBLA!$B$15*100000</f>
        <v>59.69797343128247</v>
      </c>
      <c r="L7864" s="549">
        <f t="shared" si="1147"/>
        <v>9.3137254901960786E-2</v>
      </c>
      <c r="M7864" s="401">
        <f>SUM(C7864,C7840,C7816,C7792,C7768,C7744,C7720)/POBLA!$B$15*100000</f>
        <v>417.88581401897727</v>
      </c>
    </row>
    <row r="7865" spans="1:13" s="360" customFormat="1" x14ac:dyDescent="0.25">
      <c r="A7865" s="361" t="s">
        <v>18</v>
      </c>
      <c r="B7865" s="29">
        <v>44220</v>
      </c>
      <c r="C7865" s="1">
        <v>108</v>
      </c>
      <c r="D7865" s="276">
        <f t="shared" si="1142"/>
        <v>45978</v>
      </c>
      <c r="E7865" s="1">
        <v>7</v>
      </c>
      <c r="F7865" s="39">
        <f t="shared" si="1143"/>
        <v>1033</v>
      </c>
      <c r="G7865" s="168">
        <f>SUM(C7865,C7841,C7817,C7793,C7769,C7745,C7721,C7697,C7673,C7649,C7625,C7601,C7577,C7553)/POBLA!$B$16*100000</f>
        <v>601.11555490161982</v>
      </c>
      <c r="H7865" s="256">
        <f t="shared" si="1146"/>
        <v>1.0682196339434276</v>
      </c>
      <c r="I7865" s="297">
        <f t="shared" si="1148"/>
        <v>642.12343801470865</v>
      </c>
      <c r="J7865" s="297">
        <f t="shared" si="1149"/>
        <v>299.14285714285717</v>
      </c>
      <c r="K7865" s="297">
        <f>J7865/POBLA!$B$16*100000</f>
        <v>40.013223089960967</v>
      </c>
      <c r="L7865" s="549">
        <f t="shared" si="1147"/>
        <v>0.12749999999999995</v>
      </c>
      <c r="M7865" s="401">
        <f>SUM(C7865,C7841,C7817,C7793,C7769,C7745,C7721)/POBLA!$B$16*100000</f>
        <v>280.09256162972673</v>
      </c>
    </row>
    <row r="7866" spans="1:13" s="360" customFormat="1" x14ac:dyDescent="0.25">
      <c r="A7866" s="361" t="s">
        <v>34</v>
      </c>
      <c r="B7866" s="29">
        <v>44220</v>
      </c>
      <c r="C7866" s="1">
        <v>26</v>
      </c>
      <c r="D7866" s="276">
        <f t="shared" si="1142"/>
        <v>23442</v>
      </c>
      <c r="E7866" s="1"/>
      <c r="F7866" s="39">
        <f t="shared" si="1143"/>
        <v>1033</v>
      </c>
      <c r="G7866" s="168">
        <f>SUM(C7866,C7842,C7818,C7794,C7770,C7746,C7722,C7698,C7674,C7650,C7626,C7602,C7578,C7554)/POBLA!$B$17*100000</f>
        <v>51.390167207597322</v>
      </c>
      <c r="H7866" s="256">
        <f t="shared" si="1146"/>
        <v>1.4581673306772909</v>
      </c>
      <c r="I7866" s="297">
        <f t="shared" si="1148"/>
        <v>74.935462940161841</v>
      </c>
      <c r="J7866" s="297">
        <f t="shared" si="1149"/>
        <v>51</v>
      </c>
      <c r="K7866" s="297">
        <f>J7866/POBLA!$B$17*100000</f>
        <v>3.5804624693817804</v>
      </c>
      <c r="L7866" s="549">
        <f t="shared" si="1147"/>
        <v>4.8000000000000043E-2</v>
      </c>
      <c r="M7866" s="401">
        <f>SUM(C7866,C7842,C7818,C7794,C7770,C7746,C7722)/POBLA!$B$17*100000</f>
        <v>25.063237285672464</v>
      </c>
    </row>
    <row r="7867" spans="1:13" s="360" customFormat="1" x14ac:dyDescent="0.25">
      <c r="A7867" s="361" t="s">
        <v>35</v>
      </c>
      <c r="B7867" s="29">
        <v>44220</v>
      </c>
      <c r="C7867" s="1">
        <v>9</v>
      </c>
      <c r="D7867" s="276">
        <f t="shared" si="1142"/>
        <v>13545</v>
      </c>
      <c r="E7867" s="1">
        <v>1</v>
      </c>
      <c r="F7867" s="39">
        <f t="shared" si="1143"/>
        <v>217</v>
      </c>
      <c r="G7867" s="168">
        <f>SUM(C7867,C7843,C7819,C7795,C7771,C7747,C7723,C7699,C7675,C7651,C7627,C7603,C7579,C7555)/POBLA!$B$18*100000</f>
        <v>148.87028828097698</v>
      </c>
      <c r="H7867" s="256">
        <f t="shared" si="1146"/>
        <v>0.78475033738191635</v>
      </c>
      <c r="I7867" s="297">
        <f t="shared" si="1148"/>
        <v>116.82600895463983</v>
      </c>
      <c r="J7867" s="297">
        <f t="shared" si="1149"/>
        <v>64.857142857142861</v>
      </c>
      <c r="K7867" s="297">
        <f>J7867/POBLA!$B$18*100000</f>
        <v>8.3020649649384062</v>
      </c>
      <c r="L7867" s="549">
        <f t="shared" si="1147"/>
        <v>0.35966149506346967</v>
      </c>
      <c r="M7867" s="401">
        <f>SUM(C7867,C7843,C7819,C7795,C7771,C7747,C7723)/POBLA!$B$18*100000</f>
        <v>58.114454754568825</v>
      </c>
    </row>
    <row r="7868" spans="1:13" s="360" customFormat="1" x14ac:dyDescent="0.25">
      <c r="A7868" s="361" t="s">
        <v>36</v>
      </c>
      <c r="B7868" s="29">
        <v>44220</v>
      </c>
      <c r="C7868" s="1">
        <v>52</v>
      </c>
      <c r="D7868" s="276">
        <f t="shared" si="1142"/>
        <v>18453</v>
      </c>
      <c r="E7868" s="1"/>
      <c r="F7868" s="39">
        <f t="shared" si="1143"/>
        <v>336</v>
      </c>
      <c r="G7868" s="168">
        <f>SUM(C7868,C7844,C7820,C7796,C7772,C7748,C7724,C7700,C7676,C7652,C7628,C7604,C7580,C7556)/POBLA!$B$19*100000</f>
        <v>375.54492375001968</v>
      </c>
      <c r="H7868" s="256">
        <f t="shared" si="1146"/>
        <v>3.728515625</v>
      </c>
      <c r="I7868" s="297">
        <f t="shared" si="1148"/>
        <v>1400.225116091382</v>
      </c>
      <c r="J7868" s="297">
        <f t="shared" si="1149"/>
        <v>225.42857142857142</v>
      </c>
      <c r="K7868" s="297">
        <f>J7868/POBLA!$B$19*100000</f>
        <v>44.347069496185817</v>
      </c>
      <c r="L7868" s="549">
        <f t="shared" si="1147"/>
        <v>-3.7673716012084588</v>
      </c>
      <c r="M7868" s="401">
        <f>SUM(C7868,C7844,C7820,C7796,C7772,C7748,C7724)/POBLA!$B$19*100000</f>
        <v>310.4294864733007</v>
      </c>
    </row>
    <row r="7869" spans="1:13" s="360" customFormat="1" x14ac:dyDescent="0.25">
      <c r="A7869" s="361" t="s">
        <v>37</v>
      </c>
      <c r="B7869" s="29">
        <v>44220</v>
      </c>
      <c r="C7869" s="1">
        <v>131</v>
      </c>
      <c r="D7869" s="276">
        <f t="shared" si="1142"/>
        <v>31478</v>
      </c>
      <c r="E7869" s="1"/>
      <c r="F7869" s="39">
        <f t="shared" si="1143"/>
        <v>481</v>
      </c>
      <c r="G7869" s="168">
        <f>SUM(C7869,C7845,C7821,C7797,C7773,C7749,C7725,C7701,C7677,C7653,C7629,C7605,C7581,C7557)/POBLA!$B$20*100000</f>
        <v>1171.4584165076101</v>
      </c>
      <c r="H7869" s="256">
        <f t="shared" si="1146"/>
        <v>0.8645812310797174</v>
      </c>
      <c r="I7869" s="297">
        <f t="shared" si="1148"/>
        <v>1012.8209599028459</v>
      </c>
      <c r="J7869" s="297">
        <f t="shared" si="1149"/>
        <v>299.85714285714283</v>
      </c>
      <c r="K7869" s="297">
        <f>J7869/POBLA!$B$20*100000</f>
        <v>81.995838877199986</v>
      </c>
      <c r="L7869" s="549">
        <f t="shared" si="1147"/>
        <v>3.9359267734553782E-2</v>
      </c>
      <c r="M7869" s="401">
        <f>SUM(C7869,C7845,C7821,C7797,C7773,C7749,C7725)/POBLA!$B$20*100000</f>
        <v>573.97087214040005</v>
      </c>
    </row>
    <row r="7870" spans="1:13" s="360" customFormat="1" x14ac:dyDescent="0.25">
      <c r="A7870" s="361" t="s">
        <v>22</v>
      </c>
      <c r="B7870" s="29">
        <v>44220</v>
      </c>
      <c r="C7870" s="1">
        <v>438</v>
      </c>
      <c r="D7870" s="276">
        <f t="shared" si="1142"/>
        <v>201625</v>
      </c>
      <c r="E7870" s="1">
        <v>2</v>
      </c>
      <c r="F7870" s="39">
        <f t="shared" si="1143"/>
        <v>3306</v>
      </c>
      <c r="G7870" s="168">
        <f>SUM(C7870,C7846,C7822,C7798,C7774,C7750,C7726,C7702,C7678,C7654,C7630,C7606,C7582,C7558)/POBLA!$B$21*100000</f>
        <v>429.44584039556406</v>
      </c>
      <c r="H7870" s="256">
        <f t="shared" si="1146"/>
        <v>1.0353831469866375</v>
      </c>
      <c r="I7870" s="297">
        <f t="shared" si="1148"/>
        <v>444.64098568908037</v>
      </c>
      <c r="J7870" s="297">
        <f t="shared" si="1149"/>
        <v>937.57142857142856</v>
      </c>
      <c r="K7870" s="297">
        <f>J7870/POBLA!$B$21*100000</f>
        <v>26.51189504666667</v>
      </c>
      <c r="L7870" s="549">
        <f t="shared" si="1147"/>
        <v>0.23898423005565861</v>
      </c>
      <c r="M7870" s="401">
        <f>SUM(C7870,C7846,C7822,C7798,C7774,C7750,C7726)/POBLA!$B$21*100000</f>
        <v>185.58326532666672</v>
      </c>
    </row>
    <row r="7871" spans="1:13" s="360" customFormat="1" x14ac:dyDescent="0.25">
      <c r="A7871" s="361" t="s">
        <v>38</v>
      </c>
      <c r="B7871" s="29">
        <v>44220</v>
      </c>
      <c r="C7871" s="1">
        <v>60</v>
      </c>
      <c r="D7871" s="276">
        <f t="shared" si="1142"/>
        <v>20388</v>
      </c>
      <c r="E7871" s="1">
        <v>2</v>
      </c>
      <c r="F7871" s="39">
        <f t="shared" si="1143"/>
        <v>246</v>
      </c>
      <c r="G7871" s="168">
        <f>SUM(C7871,C7847,C7823,C7799,C7775,C7751,C7727,C7703,C7679,C7655,C7631,C7607,C7583,C7559)/POBLA!$B$22*100000</f>
        <v>181.02590888601091</v>
      </c>
      <c r="H7871" s="256">
        <f t="shared" si="1146"/>
        <v>1.1455368693402328</v>
      </c>
      <c r="I7871" s="297">
        <f t="shared" si="1148"/>
        <v>207.37185293475116</v>
      </c>
      <c r="J7871" s="297">
        <f t="shared" si="1149"/>
        <v>112.71428571428571</v>
      </c>
      <c r="K7871" s="297">
        <f>J7871/POBLA!$B$22*100000</f>
        <v>11.52129080511919</v>
      </c>
      <c r="L7871" s="549">
        <f t="shared" si="1147"/>
        <v>0.19653767820773926</v>
      </c>
      <c r="M7871" s="401">
        <f>SUM(C7871,C7847,C7823,C7799,C7775,C7751,C7727)/POBLA!$B$22*100000</f>
        <v>80.649035635834338</v>
      </c>
    </row>
    <row r="7872" spans="1:13" s="360" customFormat="1" x14ac:dyDescent="0.25">
      <c r="A7872" s="361" t="s">
        <v>39</v>
      </c>
      <c r="B7872" s="29">
        <v>44220</v>
      </c>
      <c r="C7872" s="1">
        <v>46</v>
      </c>
      <c r="D7872" s="276">
        <f t="shared" si="1142"/>
        <v>21390</v>
      </c>
      <c r="E7872" s="1">
        <v>1</v>
      </c>
      <c r="F7872" s="39">
        <f t="shared" si="1143"/>
        <v>322</v>
      </c>
      <c r="G7872" s="168">
        <f>SUM(C7872,C7848,C7824,C7800,C7776,C7752,C7728,C7704,C7680,C7656,C7632,C7608,C7584,C7560)/POBLA!$B$23*100000</f>
        <v>689.36266470621501</v>
      </c>
      <c r="H7872" s="256">
        <f t="shared" si="1146"/>
        <v>0.85125698324022347</v>
      </c>
      <c r="I7872" s="297">
        <f t="shared" si="1148"/>
        <v>586.8247823162543</v>
      </c>
      <c r="J7872" s="297">
        <f t="shared" si="1149"/>
        <v>90</v>
      </c>
      <c r="K7872" s="297">
        <f>J7872/POBLA!$B$23*100000</f>
        <v>50.896341118588481</v>
      </c>
      <c r="L7872" s="549">
        <f t="shared" si="1147"/>
        <v>-6.9609507640068014E-2</v>
      </c>
      <c r="M7872" s="401">
        <f>SUM(C7872,C7848,C7824,C7800,C7776,C7752,C7728)/POBLA!$B$23*100000</f>
        <v>356.27438783011934</v>
      </c>
    </row>
    <row r="7873" spans="1:13" s="360" customFormat="1" ht="15.75" thickBot="1" x14ac:dyDescent="0.3">
      <c r="A7873" s="361" t="s">
        <v>40</v>
      </c>
      <c r="B7873" s="29">
        <v>44220</v>
      </c>
      <c r="C7873" s="1">
        <v>38</v>
      </c>
      <c r="D7873" s="276">
        <f t="shared" si="1142"/>
        <v>75284</v>
      </c>
      <c r="E7873" s="1"/>
      <c r="F7873" s="39">
        <f t="shared" si="1143"/>
        <v>1418</v>
      </c>
      <c r="G7873" s="177">
        <f>SUM(C7873,C7849,C7825,C7801,C7777,C7753,C7729,C7705,C7681,C7657,C7633,C7609,C7585,C7561)/POBLA!$B$24*100000</f>
        <v>144.33607764643679</v>
      </c>
      <c r="H7873" s="402">
        <f t="shared" si="1146"/>
        <v>1.0061703002879474</v>
      </c>
      <c r="I7873" s="403">
        <f t="shared" si="1148"/>
        <v>145.22667458789979</v>
      </c>
      <c r="J7873" s="403">
        <f t="shared" si="1149"/>
        <v>141</v>
      </c>
      <c r="K7873" s="403">
        <f>J7873/POBLA!$B$24*100000</f>
        <v>8.3202726689074353</v>
      </c>
      <c r="L7873" s="550">
        <f t="shared" si="1147"/>
        <v>0.32350925291295407</v>
      </c>
      <c r="M7873" s="405">
        <f>SUM(C7873,C7849,C7825,C7801,C7777,C7753,C7729)/POBLA!$B$24*100000</f>
        <v>58.241908682352054</v>
      </c>
    </row>
    <row r="7874" spans="1:13" s="360" customFormat="1" x14ac:dyDescent="0.25">
      <c r="A7874" s="361" t="s">
        <v>16</v>
      </c>
      <c r="B7874" s="29">
        <v>44221</v>
      </c>
      <c r="C7874" s="1">
        <v>2749</v>
      </c>
      <c r="D7874" s="276">
        <f t="shared" ref="D7874:D7905" si="1150">C7874+D7850</f>
        <v>781378</v>
      </c>
      <c r="E7874" s="1">
        <v>81</v>
      </c>
      <c r="F7874" s="39">
        <f>E7874+F7850</f>
        <v>24156</v>
      </c>
      <c r="G7874" s="175">
        <f>SUM(C7874,C7850,C7826,C7802,C7778,C7754,C7730,C7706,C7682,C7658,C7634,C7610,C7586,C7562)/POBLA!$B$1*100000</f>
        <v>320.64048741185081</v>
      </c>
      <c r="H7874" s="300">
        <f t="shared" ref="H7874:H7921" si="1151">SUM(C7874,C7850,C7826,C7802,C7778,C7754,C7730,C7706,C7682,C7658,C7634,C7610,C7586,C7562)/SUM(C7538,C7514,C7490,C7466,C7442,C7418,C7394,C7370,C7346,C7322,C7298,C7274,C7250,C7226)</f>
        <v>1.036354590849625</v>
      </c>
      <c r="I7874" s="301">
        <f>G7874*H7874</f>
        <v>332.29724114153299</v>
      </c>
      <c r="J7874" s="301">
        <f>AVERAGE(C7874,C7850,C7826,C7802,C7778,C7754,C7730)</f>
        <v>3847.5714285714284</v>
      </c>
      <c r="K7874" s="301">
        <f>J7874/POBLA!$B$1*100000</f>
        <v>21.934556187487622</v>
      </c>
      <c r="L7874" s="548">
        <f t="shared" ref="L7874:L7897" si="1152">1-SUM(C7874,C7850,C7826,C7802,C7778,C7754,C7730)/SUM(C7706,C7682,C7658,C7634,C7610,C7586,C7562)</f>
        <v>8.1129951212855267E-2</v>
      </c>
      <c r="M7874" s="400">
        <f>SUM(C7874,C7850,C7826,C7802,C7778,C7754,C7730)/POBLA!$B$1*100000</f>
        <v>153.54189331241338</v>
      </c>
    </row>
    <row r="7875" spans="1:13" s="360" customFormat="1" x14ac:dyDescent="0.25">
      <c r="A7875" s="361" t="s">
        <v>43</v>
      </c>
      <c r="B7875" s="29">
        <v>44221</v>
      </c>
      <c r="C7875" s="1">
        <v>1094</v>
      </c>
      <c r="D7875" s="276">
        <f t="shared" si="1150"/>
        <v>203707</v>
      </c>
      <c r="E7875" s="1">
        <v>26</v>
      </c>
      <c r="F7875" s="39">
        <f t="shared" ref="F7875:F7897" si="1153">E7875+F7851</f>
        <v>5829</v>
      </c>
      <c r="G7875" s="168">
        <f>SUM(C7875,C7851,C7827,C7803,C7779,C7755,C7731,C7707,C7683,C7659,C7635,C7611,C7587,C7563)/POBLA!$B$2*100000</f>
        <v>544.7636041338958</v>
      </c>
      <c r="H7875" s="256">
        <f t="shared" si="1151"/>
        <v>1.0629996193376474</v>
      </c>
      <c r="I7875" s="297">
        <f t="shared" ref="I7875:I7897" si="1154">G7875*H7875</f>
        <v>579.08350382333606</v>
      </c>
      <c r="J7875" s="297">
        <f t="shared" ref="J7875:J7897" si="1155">AVERAGE(C7875,C7851,C7827,C7803,C7779,C7755,C7731)</f>
        <v>1115.5714285714287</v>
      </c>
      <c r="K7875" s="297">
        <f>J7875/POBLA!$B$2*100000</f>
        <v>36.27112575931784</v>
      </c>
      <c r="L7875" s="549">
        <f t="shared" si="1152"/>
        <v>0.12709590878604959</v>
      </c>
      <c r="M7875" s="401">
        <f>SUM(C7875,C7851,C7827,C7803,C7779,C7755,C7731)/POBLA!$B$2*100000</f>
        <v>253.89788031522482</v>
      </c>
    </row>
    <row r="7876" spans="1:13" s="360" customFormat="1" x14ac:dyDescent="0.25">
      <c r="A7876" s="361" t="s">
        <v>28</v>
      </c>
      <c r="B7876" s="29">
        <v>44221</v>
      </c>
      <c r="C7876" s="1">
        <v>30</v>
      </c>
      <c r="D7876" s="276">
        <f t="shared" si="1150"/>
        <v>4761</v>
      </c>
      <c r="E7876" s="1"/>
      <c r="F7876" s="39">
        <f t="shared" si="1153"/>
        <v>17</v>
      </c>
      <c r="G7876" s="168">
        <f>SUM(C7876,C7852,C7828,C7804,C7780,C7756,C7732,C7708,C7684,C7660,C7636,C7612,C7588,C7564)/POBLA!$B$3*100000</f>
        <v>374.78516649897216</v>
      </c>
      <c r="H7876" s="256">
        <f t="shared" si="1151"/>
        <v>2.608040201005025</v>
      </c>
      <c r="I7876" s="297">
        <f t="shared" si="1154"/>
        <v>977.45478096968111</v>
      </c>
      <c r="J7876" s="297">
        <f t="shared" si="1155"/>
        <v>74.428571428571431</v>
      </c>
      <c r="K7876" s="297">
        <f>J7876/POBLA!$B$3*100000</f>
        <v>17.915686920448163</v>
      </c>
      <c r="L7876" s="549">
        <f t="shared" si="1152"/>
        <v>0.49710424710424705</v>
      </c>
      <c r="M7876" s="401">
        <f>SUM(C7876,C7852,C7828,C7804,C7780,C7756,C7732)/POBLA!$B$3*100000</f>
        <v>125.40980844313714</v>
      </c>
    </row>
    <row r="7877" spans="1:13" s="360" customFormat="1" x14ac:dyDescent="0.25">
      <c r="A7877" s="361" t="s">
        <v>15</v>
      </c>
      <c r="B7877" s="29">
        <v>44221</v>
      </c>
      <c r="C7877" s="1">
        <v>76</v>
      </c>
      <c r="D7877" s="276">
        <f t="shared" si="1150"/>
        <v>29890</v>
      </c>
      <c r="E7877" s="1">
        <v>5</v>
      </c>
      <c r="F7877" s="39">
        <f t="shared" si="1153"/>
        <v>781</v>
      </c>
      <c r="G7877" s="168">
        <f>SUM(C7877,C7853,C7829,C7805,C7781,C7757,C7733,C7709,C7685,C7661,C7637,C7613,C7589,C7565)/POBLA!$B$4*100000</f>
        <v>233.03482405331158</v>
      </c>
      <c r="H7877" s="256">
        <f t="shared" si="1151"/>
        <v>0.90112359550561794</v>
      </c>
      <c r="I7877" s="297">
        <f t="shared" si="1154"/>
        <v>209.99317852893918</v>
      </c>
      <c r="J7877" s="297">
        <f t="shared" si="1155"/>
        <v>176.85714285714286</v>
      </c>
      <c r="K7877" s="297">
        <f>J7877/POBLA!$B$4*100000</f>
        <v>14.682534082039787</v>
      </c>
      <c r="L7877" s="549">
        <f t="shared" si="1152"/>
        <v>0.21096239643084769</v>
      </c>
      <c r="M7877" s="401">
        <f>SUM(C7877,C7853,C7829,C7805,C7781,C7757,C7733)/POBLA!$B$4*100000</f>
        <v>102.7777385742785</v>
      </c>
    </row>
    <row r="7878" spans="1:13" s="360" customFormat="1" x14ac:dyDescent="0.25">
      <c r="A7878" s="361" t="s">
        <v>29</v>
      </c>
      <c r="B7878" s="29">
        <v>44221</v>
      </c>
      <c r="C7878" s="1">
        <v>304</v>
      </c>
      <c r="D7878" s="276">
        <f t="shared" si="1150"/>
        <v>40560</v>
      </c>
      <c r="E7878" s="1">
        <v>11</v>
      </c>
      <c r="F7878" s="39">
        <f t="shared" si="1153"/>
        <v>605</v>
      </c>
      <c r="G7878" s="168">
        <f>SUM(C7878,C7854,C7830,C7806,C7782,C7758,C7734,C7710,C7686,C7662,C7638,C7614,C7590,C7566)/POBLA!$B$5*100000</f>
        <v>764.95087189859669</v>
      </c>
      <c r="H7878" s="256">
        <f t="shared" si="1151"/>
        <v>0.86200618969597664</v>
      </c>
      <c r="I7878" s="297">
        <f t="shared" si="1154"/>
        <v>659.39238638992447</v>
      </c>
      <c r="J7878" s="297">
        <f t="shared" si="1155"/>
        <v>305.57142857142856</v>
      </c>
      <c r="K7878" s="297">
        <f>J7878/POBLA!$B$5*100000</f>
        <v>49.365814300530957</v>
      </c>
      <c r="L7878" s="549">
        <f t="shared" si="1152"/>
        <v>0.17604006163328201</v>
      </c>
      <c r="M7878" s="401">
        <f>SUM(C7878,C7854,C7830,C7806,C7782,C7758,C7734)/POBLA!$B$5*100000</f>
        <v>345.56070010371667</v>
      </c>
    </row>
    <row r="7879" spans="1:13" s="360" customFormat="1" x14ac:dyDescent="0.25">
      <c r="A7879" s="361" t="s">
        <v>30</v>
      </c>
      <c r="B7879" s="29">
        <v>44221</v>
      </c>
      <c r="C7879" s="1">
        <v>160</v>
      </c>
      <c r="D7879" s="276">
        <f t="shared" si="1150"/>
        <v>16463</v>
      </c>
      <c r="E7879" s="1">
        <v>1</v>
      </c>
      <c r="F7879" s="39">
        <f t="shared" si="1153"/>
        <v>2566</v>
      </c>
      <c r="G7879" s="168">
        <f>SUM(C7879,C7855,C7831,C7807,C7783,C7759,C7735,C7711,C7687,C7663,C7639,C7615,C7591,C7567)/POBLA!$B$6*100000</f>
        <v>436.74122346429027</v>
      </c>
      <c r="H7879" s="256">
        <f t="shared" si="1151"/>
        <v>0.57846844717560864</v>
      </c>
      <c r="I7879" s="297">
        <f t="shared" si="1154"/>
        <v>252.64101735496348</v>
      </c>
      <c r="J7879" s="297">
        <f t="shared" si="1155"/>
        <v>128.85714285714286</v>
      </c>
      <c r="K7879" s="297">
        <f>J7879/POBLA!$B$6*100000</f>
        <v>11.496879718803148</v>
      </c>
      <c r="L7879" s="549">
        <f t="shared" si="1152"/>
        <v>0.77410468319559222</v>
      </c>
      <c r="M7879" s="401">
        <f>SUM(C7879,C7855,C7831,C7807,C7783,C7759,C7735)/POBLA!$B$6*100000</f>
        <v>80.47815803162203</v>
      </c>
    </row>
    <row r="7880" spans="1:13" s="360" customFormat="1" x14ac:dyDescent="0.25">
      <c r="A7880" s="361" t="s">
        <v>20</v>
      </c>
      <c r="B7880" s="29">
        <v>44221</v>
      </c>
      <c r="C7880" s="1">
        <v>340</v>
      </c>
      <c r="D7880" s="276">
        <f t="shared" si="1150"/>
        <v>141824</v>
      </c>
      <c r="E7880" s="1">
        <v>9</v>
      </c>
      <c r="F7880" s="39">
        <f t="shared" si="1153"/>
        <v>252</v>
      </c>
      <c r="G7880" s="168">
        <f>SUM(C7880,C7856,C7832,C7808,C7784,C7760,C7736,C7712,C7688,C7664,C7640,C7616,C7592,C7568)/POBLA!$B$7*100000</f>
        <v>149.37042109322022</v>
      </c>
      <c r="H7880" s="256">
        <f t="shared" si="1151"/>
        <v>2.3720439189189189</v>
      </c>
      <c r="I7880" s="297">
        <f t="shared" si="1154"/>
        <v>354.31319902053121</v>
      </c>
      <c r="J7880" s="297">
        <f t="shared" si="1155"/>
        <v>534.42857142857144</v>
      </c>
      <c r="K7880" s="297">
        <f>J7880/POBLA!$B$7*100000</f>
        <v>14.21182495256077</v>
      </c>
      <c r="L7880" s="549">
        <f t="shared" si="1152"/>
        <v>-0.99413646055437099</v>
      </c>
      <c r="M7880" s="401">
        <f>SUM(C7880,C7856,C7832,C7808,C7784,C7760,C7736)/POBLA!$B$7*100000</f>
        <v>99.482774667925383</v>
      </c>
    </row>
    <row r="7881" spans="1:13" x14ac:dyDescent="0.25">
      <c r="A7881" s="361" t="s">
        <v>31</v>
      </c>
      <c r="B7881" s="29">
        <v>44221</v>
      </c>
      <c r="C7881" s="1">
        <v>302</v>
      </c>
      <c r="D7881" s="276">
        <f t="shared" si="1150"/>
        <v>39375</v>
      </c>
      <c r="E7881" s="1">
        <v>10</v>
      </c>
      <c r="F7881" s="39">
        <f t="shared" si="1153"/>
        <v>680</v>
      </c>
      <c r="G7881" s="168">
        <f>SUM(C7881,C7857,C7833,C7809,C7785,C7761,C7737,C7713,C7689,C7665,C7641,C7617,C7593,C7569)/POBLA!$B$8*100000</f>
        <v>408.02013909482298</v>
      </c>
      <c r="H7881" s="256">
        <f t="shared" si="1151"/>
        <v>1.0349560761346999</v>
      </c>
      <c r="I7881" s="297">
        <f t="shared" si="1154"/>
        <v>422.28292214151242</v>
      </c>
      <c r="J7881" s="297">
        <f t="shared" si="1155"/>
        <v>377.57142857142856</v>
      </c>
      <c r="K7881" s="297">
        <f>J7881/POBLA!$B$8*100000</f>
        <v>27.242572379123839</v>
      </c>
      <c r="L7881" s="549">
        <f t="shared" si="1152"/>
        <v>0.12250996015936255</v>
      </c>
      <c r="M7881" s="401">
        <f>SUM(C7881,C7857,C7833,C7809,C7785,C7761,C7737)/POBLA!$B$8*100000</f>
        <v>190.69800665386688</v>
      </c>
    </row>
    <row r="7882" spans="1:13" s="360" customFormat="1" x14ac:dyDescent="0.25">
      <c r="A7882" s="361" t="s">
        <v>41</v>
      </c>
      <c r="B7882" s="29">
        <v>44221</v>
      </c>
      <c r="C7882" s="1">
        <v>1</v>
      </c>
      <c r="D7882" s="276">
        <f t="shared" si="1150"/>
        <v>807</v>
      </c>
      <c r="E7882" s="1"/>
      <c r="F7882" s="39">
        <f t="shared" si="1153"/>
        <v>6</v>
      </c>
      <c r="G7882" s="168">
        <f>SUM(C7882,C7858,C7834,C7810,C7786,C7762,C7738,C7714,C7690,C7666,C7642,C7618,C7594,C7570)/POBLA!$B$9*100000</f>
        <v>81.792089465674593</v>
      </c>
      <c r="H7882" s="256">
        <f t="shared" si="1151"/>
        <v>5.4395604395604398</v>
      </c>
      <c r="I7882" s="297">
        <f t="shared" si="1154"/>
        <v>444.91301412647169</v>
      </c>
      <c r="J7882" s="297">
        <f t="shared" si="1155"/>
        <v>18.714285714285715</v>
      </c>
      <c r="K7882" s="297">
        <f>J7882/POBLA!$B$9*100000</f>
        <v>3.0922839018768746</v>
      </c>
      <c r="L7882" s="549">
        <f t="shared" si="1152"/>
        <v>0.64010989010989006</v>
      </c>
      <c r="M7882" s="401">
        <f>SUM(C7882,C7858,C7834,C7810,C7786,C7762,C7738)/POBLA!$B$9*100000</f>
        <v>21.645987313138122</v>
      </c>
    </row>
    <row r="7883" spans="1:13" s="360" customFormat="1" x14ac:dyDescent="0.25">
      <c r="A7883" s="361" t="s">
        <v>32</v>
      </c>
      <c r="B7883" s="29">
        <v>44221</v>
      </c>
      <c r="C7883" s="1">
        <v>7</v>
      </c>
      <c r="D7883" s="276">
        <f t="shared" si="1150"/>
        <v>19100</v>
      </c>
      <c r="E7883" s="1"/>
      <c r="F7883" s="39">
        <f t="shared" si="1153"/>
        <v>866</v>
      </c>
      <c r="G7883" s="168">
        <f>SUM(C7883,C7859,C7835,C7811,C7787,C7763,C7739,C7715,C7691,C7667,C7643,C7619,C7595,C7571)/POBLA!$B$10*100000</f>
        <v>51.499518083854703</v>
      </c>
      <c r="H7883" s="256">
        <f t="shared" si="1151"/>
        <v>2.0463917525773194</v>
      </c>
      <c r="I7883" s="297">
        <f t="shared" si="1154"/>
        <v>105.38818906850678</v>
      </c>
      <c r="J7883" s="297">
        <f t="shared" si="1155"/>
        <v>26.142857142857142</v>
      </c>
      <c r="K7883" s="297">
        <f>J7883/POBLA!$B$10*100000</f>
        <v>3.3912960810886692</v>
      </c>
      <c r="L7883" s="549">
        <f t="shared" si="1152"/>
        <v>0.14485981308411211</v>
      </c>
      <c r="M7883" s="401">
        <f>SUM(C7883,C7859,C7835,C7811,C7787,C7763,C7739)/POBLA!$B$10*100000</f>
        <v>23.739072567620685</v>
      </c>
    </row>
    <row r="7884" spans="1:13" s="360" customFormat="1" x14ac:dyDescent="0.25">
      <c r="A7884" s="361" t="s">
        <v>33</v>
      </c>
      <c r="B7884" s="29">
        <v>44221</v>
      </c>
      <c r="C7884" s="1">
        <v>101</v>
      </c>
      <c r="D7884" s="276">
        <f t="shared" si="1150"/>
        <v>15894</v>
      </c>
      <c r="E7884" s="1">
        <v>12</v>
      </c>
      <c r="F7884" s="39">
        <f t="shared" si="1153"/>
        <v>222</v>
      </c>
      <c r="G7884" s="168">
        <f>SUM(C7884,C7860,C7836,C7812,C7788,C7764,C7740,C7716,C7692,C7668,C7644,C7620,C7596,C7572)/POBLA!$B$11*100000</f>
        <v>611.28036872119367</v>
      </c>
      <c r="H7884" s="256">
        <f t="shared" si="1151"/>
        <v>0.57825283716020059</v>
      </c>
      <c r="I7884" s="297">
        <f t="shared" si="1154"/>
        <v>353.47460751336376</v>
      </c>
      <c r="J7884" s="297">
        <f t="shared" si="1155"/>
        <v>109.42857142857143</v>
      </c>
      <c r="K7884" s="297">
        <f>J7884/POBLA!$B$11*100000</f>
        <v>30.530140342989785</v>
      </c>
      <c r="L7884" s="549">
        <f t="shared" si="1152"/>
        <v>0.46245614035087723</v>
      </c>
      <c r="M7884" s="401">
        <f>SUM(C7884,C7860,C7836,C7812,C7788,C7764,C7740)/POBLA!$B$11*100000</f>
        <v>213.71098240092851</v>
      </c>
    </row>
    <row r="7885" spans="1:13" s="360" customFormat="1" x14ac:dyDescent="0.25">
      <c r="A7885" s="361" t="s">
        <v>21</v>
      </c>
      <c r="B7885" s="29">
        <v>44221</v>
      </c>
      <c r="C7885" s="1">
        <v>3</v>
      </c>
      <c r="D7885" s="276">
        <f t="shared" si="1150"/>
        <v>9441</v>
      </c>
      <c r="E7885" s="1">
        <v>1</v>
      </c>
      <c r="F7885" s="39">
        <f t="shared" si="1153"/>
        <v>405</v>
      </c>
      <c r="G7885" s="168">
        <f>SUM(C7885,C7861,C7837,C7813,C7789,C7765,C7741,C7717,C7693,C7669,C7645,C7621,C7597,C7573)/POBLA!$B$12*100000</f>
        <v>54.379451682332522</v>
      </c>
      <c r="H7885" s="256">
        <f t="shared" si="1151"/>
        <v>1.3806451612903226</v>
      </c>
      <c r="I7885" s="297">
        <f t="shared" si="1154"/>
        <v>75.07872683883329</v>
      </c>
      <c r="J7885" s="297">
        <f t="shared" si="1155"/>
        <v>17.285714285714285</v>
      </c>
      <c r="K7885" s="297">
        <f>J7885/POBLA!$B$12*100000</f>
        <v>4.3924657233392761</v>
      </c>
      <c r="L7885" s="549">
        <f t="shared" si="1152"/>
        <v>-0.30107526881720426</v>
      </c>
      <c r="M7885" s="401">
        <f>SUM(C7885,C7861,C7837,C7813,C7789,C7765,C7741)/POBLA!$B$12*100000</f>
        <v>30.747260063374931</v>
      </c>
    </row>
    <row r="7886" spans="1:13" s="360" customFormat="1" x14ac:dyDescent="0.25">
      <c r="A7886" s="361" t="s">
        <v>17</v>
      </c>
      <c r="B7886" s="29">
        <v>44221</v>
      </c>
      <c r="C7886" s="1">
        <v>55</v>
      </c>
      <c r="D7886" s="276">
        <f t="shared" si="1150"/>
        <v>63210</v>
      </c>
      <c r="E7886" s="1">
        <v>3</v>
      </c>
      <c r="F7886" s="39">
        <f t="shared" si="1153"/>
        <v>1320</v>
      </c>
      <c r="G7886" s="168">
        <f>SUM(C7886,C7862,C7838,C7814,C7790,C7766,C7742,C7718,C7694,C7670,C7646,C7622,C7598,C7574)/POBLA!$B$13*100000</f>
        <v>91.190541506015563</v>
      </c>
      <c r="H7886" s="256">
        <f t="shared" si="1151"/>
        <v>1.0620245757753073</v>
      </c>
      <c r="I7886" s="297">
        <f t="shared" si="1154"/>
        <v>96.846596157646729</v>
      </c>
      <c r="J7886" s="297">
        <f t="shared" si="1155"/>
        <v>131.28571428571428</v>
      </c>
      <c r="K7886" s="297">
        <f>J7886/POBLA!$B$13*100000</f>
        <v>6.5961517232607871</v>
      </c>
      <c r="L7886" s="549">
        <f t="shared" si="1152"/>
        <v>-2.5669642857142794E-2</v>
      </c>
      <c r="M7886" s="401">
        <f>SUM(C7886,C7862,C7838,C7814,C7790,C7766,C7742)/POBLA!$B$13*100000</f>
        <v>46.173062062825508</v>
      </c>
    </row>
    <row r="7887" spans="1:13" s="360" customFormat="1" x14ac:dyDescent="0.25">
      <c r="A7887" s="361" t="s">
        <v>23</v>
      </c>
      <c r="B7887" s="29">
        <v>44221</v>
      </c>
      <c r="C7887" s="1">
        <v>145</v>
      </c>
      <c r="D7887" s="276">
        <f t="shared" si="1150"/>
        <v>3612</v>
      </c>
      <c r="E7887" s="1"/>
      <c r="F7887" s="39">
        <f t="shared" si="1153"/>
        <v>64</v>
      </c>
      <c r="G7887" s="168">
        <f>SUM(C7887,C7863,C7839,C7815,C7791,C7767,C7743,C7719,C7695,C7671,C7647,C7623,C7599,C7575)/POBLA!$B$14*100000</f>
        <v>169.82559181285251</v>
      </c>
      <c r="H7887" s="256">
        <f t="shared" si="1151"/>
        <v>4.6973684210526319</v>
      </c>
      <c r="I7887" s="297">
        <f t="shared" si="1154"/>
        <v>797.73337206826773</v>
      </c>
      <c r="J7887" s="297">
        <f t="shared" si="1155"/>
        <v>183.42857142857142</v>
      </c>
      <c r="K7887" s="297">
        <f>J7887/POBLA!$B$14*100000</f>
        <v>14.542887814305896</v>
      </c>
      <c r="L7887" s="549">
        <f t="shared" si="1152"/>
        <v>-0.49650349650349646</v>
      </c>
      <c r="M7887" s="401">
        <f>SUM(C7887,C7863,C7839,C7815,C7791,C7767,C7743)/POBLA!$B$14*100000</f>
        <v>101.80021470014128</v>
      </c>
    </row>
    <row r="7888" spans="1:13" s="360" customFormat="1" x14ac:dyDescent="0.25">
      <c r="A7888" s="361" t="s">
        <v>19</v>
      </c>
      <c r="B7888" s="29">
        <v>44221</v>
      </c>
      <c r="C7888" s="1">
        <v>552</v>
      </c>
      <c r="D7888" s="276">
        <f t="shared" si="1150"/>
        <v>51537</v>
      </c>
      <c r="E7888" s="1">
        <v>2</v>
      </c>
      <c r="F7888" s="39">
        <f t="shared" si="1153"/>
        <v>763</v>
      </c>
      <c r="G7888" s="168">
        <f>SUM(C7888,C7864,C7840,C7816,C7792,C7768,C7744,C7720,C7696,C7672,C7648,C7624,C7600,C7576)/POBLA!$B$15*100000</f>
        <v>900.82628449063861</v>
      </c>
      <c r="H7888" s="256">
        <f t="shared" si="1151"/>
        <v>0.99966577540106949</v>
      </c>
      <c r="I7888" s="297">
        <f t="shared" si="1154"/>
        <v>900.52520618699862</v>
      </c>
      <c r="J7888" s="297">
        <f t="shared" si="1155"/>
        <v>408.28571428571428</v>
      </c>
      <c r="K7888" s="297">
        <f>J7888/POBLA!$B$15*100000</f>
        <v>61.483534438416321</v>
      </c>
      <c r="L7888" s="549">
        <f t="shared" si="1152"/>
        <v>8.5147247119078062E-2</v>
      </c>
      <c r="M7888" s="401">
        <f>SUM(C7888,C7864,C7840,C7816,C7792,C7768,C7744)/POBLA!$B$15*100000</f>
        <v>430.38474106891431</v>
      </c>
    </row>
    <row r="7889" spans="1:13" s="360" customFormat="1" x14ac:dyDescent="0.25">
      <c r="A7889" s="361" t="s">
        <v>18</v>
      </c>
      <c r="B7889" s="29">
        <v>44221</v>
      </c>
      <c r="C7889" s="1">
        <v>255</v>
      </c>
      <c r="D7889" s="276">
        <f t="shared" si="1150"/>
        <v>46233</v>
      </c>
      <c r="E7889" s="1">
        <v>4</v>
      </c>
      <c r="F7889" s="39">
        <f t="shared" si="1153"/>
        <v>1037</v>
      </c>
      <c r="G7889" s="168">
        <f>SUM(C7889,C7865,C7841,C7817,C7793,C7769,C7745,C7721,C7697,C7673,C7649,C7625,C7601,C7577)/POBLA!$B$16*100000</f>
        <v>588.40839475127416</v>
      </c>
      <c r="H7889" s="256">
        <f t="shared" si="1151"/>
        <v>1.0244527247321844</v>
      </c>
      <c r="I7889" s="297">
        <f t="shared" si="1154"/>
        <v>602.79658325823357</v>
      </c>
      <c r="J7889" s="297">
        <f t="shared" si="1155"/>
        <v>296.14285714285717</v>
      </c>
      <c r="K7889" s="297">
        <f>J7889/POBLA!$B$16*100000</f>
        <v>39.611944348371097</v>
      </c>
      <c r="L7889" s="549">
        <f t="shared" si="1152"/>
        <v>0.1087704213241617</v>
      </c>
      <c r="M7889" s="401">
        <f>SUM(C7889,C7865,C7841,C7817,C7793,C7769,C7745)/POBLA!$B$16*100000</f>
        <v>277.28361043859769</v>
      </c>
    </row>
    <row r="7890" spans="1:13" s="360" customFormat="1" x14ac:dyDescent="0.25">
      <c r="A7890" s="361" t="s">
        <v>34</v>
      </c>
      <c r="B7890" s="29">
        <v>44221</v>
      </c>
      <c r="C7890" s="1">
        <v>22</v>
      </c>
      <c r="D7890" s="276">
        <f t="shared" si="1150"/>
        <v>23464</v>
      </c>
      <c r="E7890" s="1">
        <v>1</v>
      </c>
      <c r="F7890" s="39">
        <f t="shared" si="1153"/>
        <v>1034</v>
      </c>
      <c r="G7890" s="168">
        <f>SUM(C7890,C7866,C7842,C7818,C7794,C7770,C7746,C7722,C7698,C7674,C7650,C7626,C7602,C7578)/POBLA!$B$17*100000</f>
        <v>49.494628253218735</v>
      </c>
      <c r="H7890" s="256">
        <f t="shared" si="1151"/>
        <v>1.298342541436464</v>
      </c>
      <c r="I7890" s="297">
        <f t="shared" si="1154"/>
        <v>64.26098143373703</v>
      </c>
      <c r="J7890" s="297">
        <f t="shared" si="1155"/>
        <v>51</v>
      </c>
      <c r="K7890" s="297">
        <f>J7890/POBLA!$B$17*100000</f>
        <v>3.5804624693817804</v>
      </c>
      <c r="L7890" s="549">
        <f t="shared" si="1152"/>
        <v>-2.5862068965517349E-2</v>
      </c>
      <c r="M7890" s="401">
        <f>SUM(C7890,C7866,C7842,C7818,C7794,C7770,C7746)/POBLA!$B$17*100000</f>
        <v>25.063237285672464</v>
      </c>
    </row>
    <row r="7891" spans="1:13" s="360" customFormat="1" x14ac:dyDescent="0.25">
      <c r="A7891" s="361" t="s">
        <v>35</v>
      </c>
      <c r="B7891" s="29">
        <v>44221</v>
      </c>
      <c r="C7891" s="1">
        <v>80</v>
      </c>
      <c r="D7891" s="276">
        <f t="shared" si="1150"/>
        <v>13625</v>
      </c>
      <c r="E7891" s="1"/>
      <c r="F7891" s="39">
        <f t="shared" si="1153"/>
        <v>217</v>
      </c>
      <c r="G7891" s="168">
        <f>SUM(C7891,C7867,C7843,C7819,C7795,C7771,C7747,C7723,C7699,C7675,C7651,C7627,C7603,C7579)/POBLA!$B$18*100000</f>
        <v>148.10225583928664</v>
      </c>
      <c r="H7891" s="256">
        <f t="shared" si="1151"/>
        <v>0.81593794076163606</v>
      </c>
      <c r="I7891" s="297">
        <f t="shared" si="1154"/>
        <v>120.84224965166054</v>
      </c>
      <c r="J7891" s="297">
        <f t="shared" si="1155"/>
        <v>65.142857142857139</v>
      </c>
      <c r="K7891" s="297">
        <f>J7891/POBLA!$B$18*100000</f>
        <v>8.33863793835223</v>
      </c>
      <c r="L7891" s="549">
        <f t="shared" si="1152"/>
        <v>0.3495007132667618</v>
      </c>
      <c r="M7891" s="401">
        <f>SUM(C7891,C7867,C7843,C7819,C7795,C7771,C7747)/POBLA!$B$18*100000</f>
        <v>58.370465568465612</v>
      </c>
    </row>
    <row r="7892" spans="1:13" s="360" customFormat="1" x14ac:dyDescent="0.25">
      <c r="A7892" s="361" t="s">
        <v>36</v>
      </c>
      <c r="B7892" s="29">
        <v>44221</v>
      </c>
      <c r="C7892" s="1">
        <v>300</v>
      </c>
      <c r="D7892" s="276">
        <f t="shared" si="1150"/>
        <v>18753</v>
      </c>
      <c r="E7892" s="1">
        <v>7</v>
      </c>
      <c r="F7892" s="39">
        <f t="shared" si="1153"/>
        <v>343</v>
      </c>
      <c r="G7892" s="168">
        <f>SUM(C7892,C7868,C7844,C7820,C7796,C7772,C7748,C7724,C7700,C7676,C7652,C7628,C7604,C7580)/POBLA!$B$19*100000</f>
        <v>420.98802348090214</v>
      </c>
      <c r="H7892" s="256">
        <f t="shared" si="1151"/>
        <v>3.9122486288848264</v>
      </c>
      <c r="I7892" s="297">
        <f t="shared" si="1154"/>
        <v>1647.0098176400925</v>
      </c>
      <c r="J7892" s="297">
        <f t="shared" si="1155"/>
        <v>255.57142857142858</v>
      </c>
      <c r="K7892" s="297">
        <f>J7892/POBLA!$B$19*100000</f>
        <v>50.27687409928798</v>
      </c>
      <c r="L7892" s="549">
        <f t="shared" si="1152"/>
        <v>-4.0968660968660968</v>
      </c>
      <c r="M7892" s="401">
        <f>SUM(C7892,C7868,C7844,C7820,C7796,C7772,C7748)/POBLA!$B$19*100000</f>
        <v>351.93811869501582</v>
      </c>
    </row>
    <row r="7893" spans="1:13" s="360" customFormat="1" x14ac:dyDescent="0.25">
      <c r="A7893" s="361" t="s">
        <v>37</v>
      </c>
      <c r="B7893" s="29">
        <v>44221</v>
      </c>
      <c r="C7893" s="1">
        <v>167</v>
      </c>
      <c r="D7893" s="276">
        <f t="shared" si="1150"/>
        <v>31645</v>
      </c>
      <c r="E7893" s="1">
        <v>1</v>
      </c>
      <c r="F7893" s="39">
        <f t="shared" si="1153"/>
        <v>482</v>
      </c>
      <c r="G7893" s="168">
        <f>SUM(C7893,C7869,C7845,C7821,C7797,C7773,C7749,C7725,C7701,C7677,C7653,C7629,C7605,C7581)/POBLA!$B$20*100000</f>
        <v>1123.6047230228221</v>
      </c>
      <c r="H7893" s="256">
        <f t="shared" si="1151"/>
        <v>0.81657392686804453</v>
      </c>
      <c r="I7893" s="297">
        <f t="shared" si="1154"/>
        <v>917.50632092622732</v>
      </c>
      <c r="J7893" s="297">
        <f t="shared" si="1155"/>
        <v>281</v>
      </c>
      <c r="K7893" s="297">
        <f>J7893/POBLA!$B$20*100000</f>
        <v>76.839359252716719</v>
      </c>
      <c r="L7893" s="549">
        <f t="shared" si="1152"/>
        <v>8.1699346405228801E-2</v>
      </c>
      <c r="M7893" s="401">
        <f>SUM(C7893,C7869,C7845,C7821,C7797,C7773,C7749)/POBLA!$B$20*100000</f>
        <v>537.87551476901706</v>
      </c>
    </row>
    <row r="7894" spans="1:13" s="360" customFormat="1" x14ac:dyDescent="0.25">
      <c r="A7894" s="361" t="s">
        <v>22</v>
      </c>
      <c r="B7894" s="29">
        <v>44221</v>
      </c>
      <c r="C7894" s="1">
        <v>482</v>
      </c>
      <c r="D7894" s="276">
        <f t="shared" si="1150"/>
        <v>202107</v>
      </c>
      <c r="E7894" s="1">
        <v>32</v>
      </c>
      <c r="F7894" s="39">
        <f t="shared" si="1153"/>
        <v>3338</v>
      </c>
      <c r="G7894" s="168">
        <f>SUM(C7894,C7870,C7846,C7822,C7798,C7774,C7750,C7726,C7702,C7678,C7654,C7630,C7606,C7582)/POBLA!$B$21*100000</f>
        <v>412.76229224034034</v>
      </c>
      <c r="H7894" s="256">
        <f t="shared" si="1151"/>
        <v>0.97170816136333382</v>
      </c>
      <c r="I7894" s="297">
        <f t="shared" si="1154"/>
        <v>401.08448807297617</v>
      </c>
      <c r="J7894" s="297">
        <f t="shared" si="1155"/>
        <v>884.28571428571433</v>
      </c>
      <c r="K7894" s="297">
        <f>J7894/POBLA!$B$21*100000</f>
        <v>25.005124232647674</v>
      </c>
      <c r="L7894" s="549">
        <f t="shared" si="1152"/>
        <v>0.26370881408350189</v>
      </c>
      <c r="M7894" s="401">
        <f>SUM(C7894,C7870,C7846,C7822,C7798,C7774,C7750)/POBLA!$B$21*100000</f>
        <v>175.03586962853373</v>
      </c>
    </row>
    <row r="7895" spans="1:13" s="360" customFormat="1" x14ac:dyDescent="0.25">
      <c r="A7895" s="361" t="s">
        <v>38</v>
      </c>
      <c r="B7895" s="29">
        <v>44221</v>
      </c>
      <c r="C7895" s="1">
        <v>84</v>
      </c>
      <c r="D7895" s="276">
        <f t="shared" si="1150"/>
        <v>20472</v>
      </c>
      <c r="E7895" s="1"/>
      <c r="F7895" s="39">
        <f t="shared" si="1153"/>
        <v>246</v>
      </c>
      <c r="G7895" s="168">
        <f>SUM(C7895,C7871,C7847,C7823,C7799,C7775,C7751,C7727,C7703,C7679,C7655,C7631,C7607,C7583)/POBLA!$B$22*100000</f>
        <v>172.13304944327632</v>
      </c>
      <c r="H7895" s="256">
        <f t="shared" si="1151"/>
        <v>1.0169082125603865</v>
      </c>
      <c r="I7895" s="297">
        <f t="shared" si="1154"/>
        <v>175.04351163193076</v>
      </c>
      <c r="J7895" s="297">
        <f t="shared" si="1155"/>
        <v>110.14285714285714</v>
      </c>
      <c r="K7895" s="297">
        <f>J7895/POBLA!$B$22*100000</f>
        <v>11.258447668880731</v>
      </c>
      <c r="L7895" s="549">
        <f t="shared" si="1152"/>
        <v>0.15553121577217965</v>
      </c>
      <c r="M7895" s="401">
        <f>SUM(C7895,C7871,C7847,C7823,C7799,C7775,C7751)/POBLA!$B$22*100000</f>
        <v>78.809133682165111</v>
      </c>
    </row>
    <row r="7896" spans="1:13" s="360" customFormat="1" x14ac:dyDescent="0.25">
      <c r="A7896" s="361" t="s">
        <v>39</v>
      </c>
      <c r="B7896" s="29">
        <v>44221</v>
      </c>
      <c r="C7896" s="1">
        <v>130</v>
      </c>
      <c r="D7896" s="276">
        <f t="shared" si="1150"/>
        <v>21520</v>
      </c>
      <c r="E7896" s="1">
        <v>2</v>
      </c>
      <c r="F7896" s="39">
        <f t="shared" si="1153"/>
        <v>324</v>
      </c>
      <c r="G7896" s="168">
        <f>SUM(C7896,C7872,C7848,C7824,C7800,C7776,C7752,C7728,C7704,C7680,C7656,C7632,C7608,C7584)/POBLA!$B$23*100000</f>
        <v>714.81083526550924</v>
      </c>
      <c r="H7896" s="256">
        <f t="shared" si="1151"/>
        <v>0.86932599724896842</v>
      </c>
      <c r="I7896" s="297">
        <f t="shared" si="1154"/>
        <v>621.40364221155687</v>
      </c>
      <c r="J7896" s="297">
        <f t="shared" si="1155"/>
        <v>90.714285714285708</v>
      </c>
      <c r="K7896" s="297">
        <f>J7896/POBLA!$B$23*100000</f>
        <v>51.300280333815365</v>
      </c>
      <c r="L7896" s="549">
        <f t="shared" si="1152"/>
        <v>-9.5389507154213238E-3</v>
      </c>
      <c r="M7896" s="401">
        <f>SUM(C7896,C7872,C7848,C7824,C7800,C7776,C7752)/POBLA!$B$23*100000</f>
        <v>359.10196233670757</v>
      </c>
    </row>
    <row r="7897" spans="1:13" s="360" customFormat="1" ht="15.75" thickBot="1" x14ac:dyDescent="0.3">
      <c r="A7897" s="359" t="s">
        <v>40</v>
      </c>
      <c r="B7897" s="278">
        <v>44221</v>
      </c>
      <c r="C7897" s="232">
        <v>139</v>
      </c>
      <c r="D7897" s="279">
        <f t="shared" si="1150"/>
        <v>75423</v>
      </c>
      <c r="E7897" s="232"/>
      <c r="F7897" s="67">
        <f t="shared" si="1153"/>
        <v>1418</v>
      </c>
      <c r="G7897" s="177">
        <f>SUM(C7897,C7873,C7849,C7825,C7801,C7777,C7753,C7729,C7705,C7681,C7657,C7633,C7609,C7585)/POBLA!$B$24*100000</f>
        <v>137.13697647192114</v>
      </c>
      <c r="H7897" s="402">
        <f t="shared" si="1151"/>
        <v>0.91785150078988942</v>
      </c>
      <c r="I7897" s="403">
        <f t="shared" si="1154"/>
        <v>125.87137966854058</v>
      </c>
      <c r="J7897" s="403">
        <f t="shared" si="1155"/>
        <v>135.28571428571428</v>
      </c>
      <c r="K7897" s="403">
        <f>J7897/POBLA!$B$24*100000</f>
        <v>7.9830782345038918</v>
      </c>
      <c r="L7897" s="550">
        <f t="shared" si="1152"/>
        <v>0.31227305737109656</v>
      </c>
      <c r="M7897" s="405">
        <f>SUM(C7897,C7873,C7849,C7825,C7801,C7777,C7753)/POBLA!$B$24*100000</f>
        <v>55.881547641527249</v>
      </c>
    </row>
    <row r="7898" spans="1:13" s="360" customFormat="1" x14ac:dyDescent="0.25">
      <c r="A7898" s="363" t="s">
        <v>16</v>
      </c>
      <c r="B7898" s="280">
        <v>44222</v>
      </c>
      <c r="C7898" s="43">
        <v>4574</v>
      </c>
      <c r="D7898" s="281">
        <f t="shared" si="1150"/>
        <v>785952</v>
      </c>
      <c r="E7898" s="43">
        <v>74</v>
      </c>
      <c r="F7898" s="174">
        <f>E7898+F7874</f>
        <v>24230</v>
      </c>
      <c r="G7898" s="175">
        <f>SUM(C7898,C7874,C7850,C7826,C7802,C7778,C7754,C7730,C7706,C7682,C7658,C7634,C7610,C7586)/POBLA!$B$1*100000</f>
        <v>315.88024975114217</v>
      </c>
      <c r="H7898" s="300">
        <f t="shared" si="1151"/>
        <v>1.0026419123102257</v>
      </c>
      <c r="I7898" s="301">
        <f>G7898*H7898</f>
        <v>316.71477767151691</v>
      </c>
      <c r="J7898" s="301">
        <f>AVERAGE(C7898,C7874,C7850,C7826,C7802,C7778,C7754)</f>
        <v>3769.1428571428573</v>
      </c>
      <c r="K7898" s="301">
        <f>J7898/POBLA!$B$1*100000</f>
        <v>21.487444044505757</v>
      </c>
      <c r="L7898" s="548">
        <f t="shared" ref="L7898:L7921" si="1156">1-SUM(C7898,C7874,C7850,C7826,C7802,C7778,C7754)/SUM(C7730,C7706,C7682,C7658,C7634,C7610,C7586)</f>
        <v>9.0990525409130107E-2</v>
      </c>
      <c r="M7898" s="400">
        <f>SUM(C7898,C7874,C7850,C7826,C7802,C7778,C7754)/POBLA!$B$1*100000</f>
        <v>150.41210831154027</v>
      </c>
    </row>
    <row r="7899" spans="1:13" s="360" customFormat="1" x14ac:dyDescent="0.25">
      <c r="A7899" s="367" t="s">
        <v>43</v>
      </c>
      <c r="B7899" s="29">
        <v>44222</v>
      </c>
      <c r="C7899" s="1">
        <v>1290</v>
      </c>
      <c r="D7899" s="276">
        <f t="shared" si="1150"/>
        <v>204997</v>
      </c>
      <c r="E7899" s="1">
        <v>16</v>
      </c>
      <c r="F7899" s="39">
        <f t="shared" ref="F7899:F7921" si="1157">E7899+F7875</f>
        <v>5845</v>
      </c>
      <c r="G7899" s="168">
        <f>SUM(C7899,C7875,C7851,C7827,C7803,C7779,C7755,C7731,C7707,C7683,C7659,C7635,C7611,C7587)/POBLA!$B$2*100000</f>
        <v>536.04998754733151</v>
      </c>
      <c r="H7899" s="256">
        <f t="shared" si="1151"/>
        <v>1.0099852977211468</v>
      </c>
      <c r="I7899" s="297">
        <f t="shared" ref="I7899:I7921" si="1158">G7899*H7899</f>
        <v>541.40260626640861</v>
      </c>
      <c r="J7899" s="297">
        <f t="shared" ref="J7899:J7921" si="1159">AVERAGE(C7899,C7875,C7851,C7827,C7803,C7779,C7755)</f>
        <v>1101.5714285714287</v>
      </c>
      <c r="K7899" s="297">
        <f>J7899/POBLA!$B$2*100000</f>
        <v>35.815936833154034</v>
      </c>
      <c r="L7899" s="549">
        <f t="shared" si="1156"/>
        <v>0.12135369188696443</v>
      </c>
      <c r="M7899" s="401">
        <f>SUM(C7899,C7875,C7851,C7827,C7803,C7779,C7755)/POBLA!$B$2*100000</f>
        <v>250.71155783207823</v>
      </c>
    </row>
    <row r="7900" spans="1:13" s="360" customFormat="1" x14ac:dyDescent="0.25">
      <c r="A7900" s="367" t="s">
        <v>28</v>
      </c>
      <c r="B7900" s="29">
        <v>44222</v>
      </c>
      <c r="C7900" s="1">
        <v>77</v>
      </c>
      <c r="D7900" s="276">
        <f t="shared" si="1150"/>
        <v>4838</v>
      </c>
      <c r="E7900" s="1"/>
      <c r="F7900" s="39">
        <f t="shared" si="1157"/>
        <v>17</v>
      </c>
      <c r="G7900" s="168">
        <f>SUM(C7900,C7876,C7852,C7828,C7804,C7780,C7756,C7732,C7708,C7684,C7660,C7636,C7612,C7588)/POBLA!$B$3*100000</f>
        <v>373.58161747360617</v>
      </c>
      <c r="H7900" s="256">
        <f t="shared" si="1151"/>
        <v>2.3408748114630469</v>
      </c>
      <c r="I7900" s="297">
        <f t="shared" si="1158"/>
        <v>874.50779836958793</v>
      </c>
      <c r="J7900" s="297">
        <f t="shared" si="1159"/>
        <v>63.428571428571431</v>
      </c>
      <c r="K7900" s="297">
        <f>J7900/POBLA!$B$3*100000</f>
        <v>15.267879064642962</v>
      </c>
      <c r="L7900" s="549">
        <f t="shared" si="1156"/>
        <v>0.59927797833935026</v>
      </c>
      <c r="M7900" s="401">
        <f>SUM(C7900,C7876,C7852,C7828,C7804,C7780,C7756)/POBLA!$B$3*100000</f>
        <v>106.87515345250073</v>
      </c>
    </row>
    <row r="7901" spans="1:13" s="360" customFormat="1" x14ac:dyDescent="0.25">
      <c r="A7901" s="367" t="s">
        <v>15</v>
      </c>
      <c r="B7901" s="29">
        <v>44222</v>
      </c>
      <c r="C7901" s="1">
        <v>177</v>
      </c>
      <c r="D7901" s="276">
        <f t="shared" si="1150"/>
        <v>30067</v>
      </c>
      <c r="E7901" s="1">
        <v>6</v>
      </c>
      <c r="F7901" s="39">
        <f t="shared" si="1157"/>
        <v>787</v>
      </c>
      <c r="G7901" s="168">
        <f>SUM(C7901,C7877,C7853,C7829,C7805,C7781,C7757,C7733,C7709,C7685,C7661,C7637,C7613,C7589)/POBLA!$B$4*100000</f>
        <v>225.56309830881639</v>
      </c>
      <c r="H7901" s="256">
        <f t="shared" si="1151"/>
        <v>0.88328998699609884</v>
      </c>
      <c r="I7901" s="297">
        <f t="shared" si="1158"/>
        <v>199.23762617199421</v>
      </c>
      <c r="J7901" s="297">
        <f t="shared" si="1159"/>
        <v>171.85714285714286</v>
      </c>
      <c r="K7901" s="297">
        <f>J7901/POBLA!$B$4*100000</f>
        <v>14.267438207345609</v>
      </c>
      <c r="L7901" s="549">
        <f t="shared" si="1156"/>
        <v>0.20541611624834877</v>
      </c>
      <c r="M7901" s="401">
        <f>SUM(C7901,C7877,C7853,C7829,C7805,C7781,C7757)/POBLA!$B$4*100000</f>
        <v>99.872067451419255</v>
      </c>
    </row>
    <row r="7902" spans="1:13" s="360" customFormat="1" x14ac:dyDescent="0.25">
      <c r="A7902" s="367" t="s">
        <v>29</v>
      </c>
      <c r="B7902" s="29">
        <v>44222</v>
      </c>
      <c r="C7902" s="1">
        <v>320</v>
      </c>
      <c r="D7902" s="276">
        <f t="shared" si="1150"/>
        <v>40880</v>
      </c>
      <c r="E7902" s="1">
        <v>11</v>
      </c>
      <c r="F7902" s="39">
        <f t="shared" si="1157"/>
        <v>616</v>
      </c>
      <c r="G7902" s="168">
        <f>SUM(C7902,C7878,C7854,C7830,C7806,C7782,C7758,C7734,C7710,C7686,C7662,C7638,C7614,C7590)/POBLA!$B$5*100000</f>
        <v>719.39307973906045</v>
      </c>
      <c r="H7902" s="256">
        <f t="shared" si="1151"/>
        <v>0.81125888139916191</v>
      </c>
      <c r="I7902" s="297">
        <f t="shared" si="1158"/>
        <v>583.61402515540829</v>
      </c>
      <c r="J7902" s="297">
        <f t="shared" si="1159"/>
        <v>301.42857142857144</v>
      </c>
      <c r="K7902" s="297">
        <f>J7902/POBLA!$B$5*100000</f>
        <v>48.696525560598559</v>
      </c>
      <c r="L7902" s="549">
        <f t="shared" si="1156"/>
        <v>9.9445155783183914E-2</v>
      </c>
      <c r="M7902" s="401">
        <f>SUM(C7902,C7878,C7854,C7830,C7806,C7782,C7758)/POBLA!$B$5*100000</f>
        <v>340.87567892418991</v>
      </c>
    </row>
    <row r="7903" spans="1:13" s="360" customFormat="1" x14ac:dyDescent="0.25">
      <c r="A7903" s="367" t="s">
        <v>30</v>
      </c>
      <c r="B7903" s="29">
        <v>44222</v>
      </c>
      <c r="C7903" s="1">
        <v>167</v>
      </c>
      <c r="D7903" s="276">
        <f t="shared" si="1150"/>
        <v>16630</v>
      </c>
      <c r="E7903" s="1">
        <v>3</v>
      </c>
      <c r="F7903" s="39">
        <f t="shared" si="1157"/>
        <v>2569</v>
      </c>
      <c r="G7903" s="168">
        <f>SUM(C7903,C7879,C7855,C7831,C7807,C7783,C7759,C7735,C7711,C7687,C7663,C7639,C7615,C7591)/POBLA!$B$6*100000</f>
        <v>381.15597684156239</v>
      </c>
      <c r="H7903" s="256">
        <f t="shared" si="1151"/>
        <v>0.50395186976524708</v>
      </c>
      <c r="I7903" s="297">
        <f t="shared" si="1158"/>
        <v>192.08426720150459</v>
      </c>
      <c r="J7903" s="297">
        <f t="shared" si="1159"/>
        <v>139.85714285714286</v>
      </c>
      <c r="K7903" s="297">
        <f>J7903/POBLA!$B$6*100000</f>
        <v>12.478320670408294</v>
      </c>
      <c r="L7903" s="549">
        <f t="shared" si="1156"/>
        <v>0.70270270270270263</v>
      </c>
      <c r="M7903" s="401">
        <f>SUM(C7903,C7879,C7855,C7831,C7807,C7783,C7759)/POBLA!$B$6*100000</f>
        <v>87.34824469285806</v>
      </c>
    </row>
    <row r="7904" spans="1:13" s="360" customFormat="1" x14ac:dyDescent="0.25">
      <c r="A7904" s="367" t="s">
        <v>20</v>
      </c>
      <c r="B7904" s="29">
        <v>44222</v>
      </c>
      <c r="C7904" s="1">
        <v>662</v>
      </c>
      <c r="D7904" s="276">
        <f t="shared" si="1150"/>
        <v>142486</v>
      </c>
      <c r="E7904" s="1">
        <v>7</v>
      </c>
      <c r="F7904" s="39">
        <f t="shared" si="1157"/>
        <v>259</v>
      </c>
      <c r="G7904" s="168">
        <f>SUM(C7904,C7880,C7856,C7832,C7808,C7784,C7760,C7736,C7712,C7688,C7664,C7640,C7616,C7592)/POBLA!$B$7*100000</f>
        <v>160.37974178622238</v>
      </c>
      <c r="H7904" s="256">
        <f t="shared" si="1151"/>
        <v>2.5129166666666665</v>
      </c>
      <c r="I7904" s="297">
        <f t="shared" si="1158"/>
        <v>403.02092613029464</v>
      </c>
      <c r="J7904" s="297">
        <f t="shared" si="1159"/>
        <v>533.57142857142856</v>
      </c>
      <c r="K7904" s="297">
        <f>J7904/POBLA!$B$7*100000</f>
        <v>14.189031327937576</v>
      </c>
      <c r="L7904" s="549">
        <f t="shared" si="1156"/>
        <v>-0.62674216027874574</v>
      </c>
      <c r="M7904" s="401">
        <f>SUM(C7904,C7880,C7856,C7832,C7808,C7784,C7760)/POBLA!$B$7*100000</f>
        <v>99.323219295563035</v>
      </c>
    </row>
    <row r="7905" spans="1:13" x14ac:dyDescent="0.25">
      <c r="A7905" s="367" t="s">
        <v>31</v>
      </c>
      <c r="B7905" s="29">
        <v>44222</v>
      </c>
      <c r="C7905" s="1">
        <v>332</v>
      </c>
      <c r="D7905" s="276">
        <f t="shared" si="1150"/>
        <v>39707</v>
      </c>
      <c r="E7905" s="1">
        <v>14</v>
      </c>
      <c r="F7905" s="39">
        <f t="shared" si="1157"/>
        <v>694</v>
      </c>
      <c r="G7905" s="168">
        <f>SUM(C7905,C7881,C7857,C7833,C7809,C7785,C7761,C7737,C7713,C7689,C7665,C7641,C7617,C7593)/POBLA!$B$8*100000</f>
        <v>396.98086742700553</v>
      </c>
      <c r="H7905" s="256">
        <f t="shared" si="1151"/>
        <v>0.97865528281750269</v>
      </c>
      <c r="I7905" s="297">
        <f t="shared" si="1158"/>
        <v>388.50742308491363</v>
      </c>
      <c r="J7905" s="297">
        <f t="shared" si="1159"/>
        <v>361.42857142857144</v>
      </c>
      <c r="K7905" s="297">
        <f>J7905/POBLA!$B$8*100000</f>
        <v>26.077831297458694</v>
      </c>
      <c r="L7905" s="549">
        <f t="shared" si="1156"/>
        <v>0.14872139973082099</v>
      </c>
      <c r="M7905" s="401">
        <f>SUM(C7905,C7881,C7857,C7833,C7809,C7785,C7761)/POBLA!$B$8*100000</f>
        <v>182.54481908221084</v>
      </c>
    </row>
    <row r="7906" spans="1:13" s="360" customFormat="1" x14ac:dyDescent="0.25">
      <c r="A7906" s="367" t="s">
        <v>41</v>
      </c>
      <c r="B7906" s="29">
        <v>44222</v>
      </c>
      <c r="C7906" s="1">
        <v>7</v>
      </c>
      <c r="D7906" s="276">
        <f t="shared" ref="D7906:D7937" si="1160">C7906+D7882</f>
        <v>814</v>
      </c>
      <c r="E7906" s="1"/>
      <c r="F7906" s="39">
        <f t="shared" si="1157"/>
        <v>6</v>
      </c>
      <c r="G7906" s="168">
        <f>SUM(C7906,C7882,C7858,C7834,C7810,C7786,C7762,C7738,C7714,C7690,C7666,C7642,C7618,C7594)/POBLA!$B$9*100000</f>
        <v>73.199789158169381</v>
      </c>
      <c r="H7906" s="256">
        <f t="shared" si="1151"/>
        <v>2.7861635220125787</v>
      </c>
      <c r="I7906" s="297">
        <f t="shared" si="1158"/>
        <v>203.94658237150338</v>
      </c>
      <c r="J7906" s="297">
        <f t="shared" si="1159"/>
        <v>18.571428571428573</v>
      </c>
      <c r="K7906" s="297">
        <f>J7906/POBLA!$B$9*100000</f>
        <v>3.0686786812518605</v>
      </c>
      <c r="L7906" s="549">
        <f t="shared" si="1156"/>
        <v>0.58466453674121399</v>
      </c>
      <c r="M7906" s="401">
        <f>SUM(C7906,C7882,C7858,C7834,C7810,C7786,C7762)/POBLA!$B$9*100000</f>
        <v>21.480750768763023</v>
      </c>
    </row>
    <row r="7907" spans="1:13" s="360" customFormat="1" x14ac:dyDescent="0.25">
      <c r="A7907" s="367" t="s">
        <v>32</v>
      </c>
      <c r="B7907" s="29">
        <v>44222</v>
      </c>
      <c r="C7907" s="1">
        <v>57</v>
      </c>
      <c r="D7907" s="276">
        <f t="shared" si="1160"/>
        <v>19157</v>
      </c>
      <c r="E7907" s="1"/>
      <c r="F7907" s="39">
        <f t="shared" si="1157"/>
        <v>866</v>
      </c>
      <c r="G7907" s="168">
        <f>SUM(C7907,C7883,C7859,C7835,C7811,C7787,C7763,C7739,C7715,C7691,C7667,C7643,C7619,C7595)/POBLA!$B$10*100000</f>
        <v>56.818108112665897</v>
      </c>
      <c r="H7907" s="256">
        <f t="shared" si="1151"/>
        <v>2.2346938775510203</v>
      </c>
      <c r="I7907" s="297">
        <f t="shared" si="1158"/>
        <v>126.97107833340644</v>
      </c>
      <c r="J7907" s="297">
        <f t="shared" si="1159"/>
        <v>30.714285714285715</v>
      </c>
      <c r="K7907" s="297">
        <f>J7907/POBLA!$B$10*100000</f>
        <v>3.9843096034648298</v>
      </c>
      <c r="L7907" s="549">
        <f t="shared" si="1156"/>
        <v>3.5874439461883401E-2</v>
      </c>
      <c r="M7907" s="401">
        <f>SUM(C7907,C7883,C7859,C7835,C7811,C7787,C7763)/POBLA!$B$10*100000</f>
        <v>27.890167224253808</v>
      </c>
    </row>
    <row r="7908" spans="1:13" s="360" customFormat="1" x14ac:dyDescent="0.25">
      <c r="A7908" s="367" t="s">
        <v>33</v>
      </c>
      <c r="B7908" s="29">
        <v>44222</v>
      </c>
      <c r="C7908" s="1">
        <v>96</v>
      </c>
      <c r="D7908" s="276">
        <f t="shared" si="1160"/>
        <v>15990</v>
      </c>
      <c r="E7908" s="1">
        <v>15</v>
      </c>
      <c r="F7908" s="39">
        <f t="shared" si="1157"/>
        <v>237</v>
      </c>
      <c r="G7908" s="168">
        <f>SUM(C7908,C7884,C7860,C7836,C7812,C7788,C7764,C7740,C7716,C7692,C7668,C7644,C7620,C7596)/POBLA!$B$11*100000</f>
        <v>539.85737721383373</v>
      </c>
      <c r="H7908" s="256">
        <f t="shared" si="1151"/>
        <v>0.5056179775280899</v>
      </c>
      <c r="I7908" s="297">
        <f t="shared" si="1158"/>
        <v>272.96159522047776</v>
      </c>
      <c r="J7908" s="297">
        <f t="shared" si="1159"/>
        <v>100.71428571428571</v>
      </c>
      <c r="K7908" s="297">
        <f>J7908/POBLA!$B$11*100000</f>
        <v>28.098888957973625</v>
      </c>
      <c r="L7908" s="549">
        <f t="shared" si="1156"/>
        <v>0.42682926829268297</v>
      </c>
      <c r="M7908" s="401">
        <f>SUM(C7908,C7884,C7860,C7836,C7812,C7788,C7764)/POBLA!$B$11*100000</f>
        <v>196.69222270581537</v>
      </c>
    </row>
    <row r="7909" spans="1:13" s="360" customFormat="1" x14ac:dyDescent="0.25">
      <c r="A7909" s="367" t="s">
        <v>21</v>
      </c>
      <c r="B7909" s="29">
        <v>44222</v>
      </c>
      <c r="C7909" s="1">
        <v>11</v>
      </c>
      <c r="D7909" s="276">
        <f t="shared" si="1160"/>
        <v>9452</v>
      </c>
      <c r="E7909" s="1"/>
      <c r="F7909" s="39">
        <f t="shared" si="1157"/>
        <v>405</v>
      </c>
      <c r="G7909" s="168">
        <f>SUM(C7909,C7885,C7861,C7837,C7813,C7789,C7765,C7741,C7717,C7693,C7669,C7645,C7621,C7597)/POBLA!$B$12*100000</f>
        <v>54.887670856933767</v>
      </c>
      <c r="H7909" s="256">
        <f t="shared" si="1151"/>
        <v>1.3416149068322982</v>
      </c>
      <c r="I7909" s="297">
        <f t="shared" si="1158"/>
        <v>73.638117422967042</v>
      </c>
      <c r="J7909" s="297">
        <f t="shared" si="1159"/>
        <v>17.571428571428573</v>
      </c>
      <c r="K7909" s="297">
        <f>J7909/POBLA!$B$12*100000</f>
        <v>4.4650684625680244</v>
      </c>
      <c r="L7909" s="549">
        <f t="shared" si="1156"/>
        <v>-0.32258064516129026</v>
      </c>
      <c r="M7909" s="401">
        <f>SUM(C7909,C7885,C7861,C7837,C7813,C7789,C7765)/POBLA!$B$12*100000</f>
        <v>31.255479237976168</v>
      </c>
    </row>
    <row r="7910" spans="1:13" s="360" customFormat="1" x14ac:dyDescent="0.25">
      <c r="A7910" s="367" t="s">
        <v>17</v>
      </c>
      <c r="B7910" s="29">
        <v>44222</v>
      </c>
      <c r="C7910" s="1">
        <v>112</v>
      </c>
      <c r="D7910" s="276">
        <f t="shared" si="1160"/>
        <v>63322</v>
      </c>
      <c r="E7910" s="1">
        <v>5</v>
      </c>
      <c r="F7910" s="39">
        <f t="shared" si="1157"/>
        <v>1325</v>
      </c>
      <c r="G7910" s="168">
        <f>SUM(C7910,C7886,C7862,C7838,C7814,C7790,C7766,C7742,C7718,C7694,C7670,C7646,C7622,C7598)/POBLA!$B$13*100000</f>
        <v>86.970152808216497</v>
      </c>
      <c r="H7910" s="256">
        <f t="shared" si="1151"/>
        <v>0.99254587155963303</v>
      </c>
      <c r="I7910" s="297">
        <f t="shared" si="1158"/>
        <v>86.321866118705714</v>
      </c>
      <c r="J7910" s="297">
        <f t="shared" si="1159"/>
        <v>126.14285714285714</v>
      </c>
      <c r="K7910" s="297">
        <f>J7910/POBLA!$B$13*100000</f>
        <v>6.3377605784975781</v>
      </c>
      <c r="L7910" s="549">
        <f t="shared" si="1156"/>
        <v>-4.1273584905660465E-2</v>
      </c>
      <c r="M7910" s="401">
        <f>SUM(C7910,C7886,C7862,C7838,C7814,C7790,C7766)/POBLA!$B$13*100000</f>
        <v>44.364324049483052</v>
      </c>
    </row>
    <row r="7911" spans="1:13" s="360" customFormat="1" x14ac:dyDescent="0.25">
      <c r="A7911" s="367" t="s">
        <v>23</v>
      </c>
      <c r="B7911" s="29">
        <v>44222</v>
      </c>
      <c r="C7911" s="1">
        <v>169</v>
      </c>
      <c r="D7911" s="276">
        <f t="shared" si="1160"/>
        <v>3781</v>
      </c>
      <c r="E7911" s="1">
        <v>5</v>
      </c>
      <c r="F7911" s="39">
        <f t="shared" si="1157"/>
        <v>69</v>
      </c>
      <c r="G7911" s="168">
        <f>SUM(C7911,C7887,C7863,C7839,C7815,C7791,C7767,C7743,C7719,C7695,C7671,C7647,C7623,C7599)/POBLA!$B$14*100000</f>
        <v>179.26034691356654</v>
      </c>
      <c r="H7911" s="256">
        <f t="shared" si="1151"/>
        <v>4.75</v>
      </c>
      <c r="I7911" s="297">
        <f t="shared" si="1158"/>
        <v>851.48664783944105</v>
      </c>
      <c r="J7911" s="297">
        <f t="shared" si="1159"/>
        <v>173.57142857142858</v>
      </c>
      <c r="K7911" s="297">
        <f>J7911/POBLA!$B$14*100000</f>
        <v>13.761377487836189</v>
      </c>
      <c r="L7911" s="549">
        <f t="shared" si="1156"/>
        <v>-0.16156787762906299</v>
      </c>
      <c r="M7911" s="401">
        <f>SUM(C7911,C7887,C7863,C7839,C7815,C7791,C7767)/POBLA!$B$14*100000</f>
        <v>96.329642414853311</v>
      </c>
    </row>
    <row r="7912" spans="1:13" s="360" customFormat="1" x14ac:dyDescent="0.25">
      <c r="A7912" s="367" t="s">
        <v>19</v>
      </c>
      <c r="B7912" s="29">
        <v>44222</v>
      </c>
      <c r="C7912" s="1">
        <v>506</v>
      </c>
      <c r="D7912" s="276">
        <f t="shared" si="1160"/>
        <v>52043</v>
      </c>
      <c r="E7912" s="1">
        <v>3</v>
      </c>
      <c r="F7912" s="39">
        <f t="shared" si="1157"/>
        <v>766</v>
      </c>
      <c r="G7912" s="168">
        <f>SUM(C7912,C7888,C7864,C7840,C7816,C7792,C7768,C7744,C7720,C7696,C7672,C7648,C7624,C7600)/POBLA!$B$15*100000</f>
        <v>879.5931674539986</v>
      </c>
      <c r="H7912" s="256">
        <f t="shared" si="1151"/>
        <v>0.96179812283879462</v>
      </c>
      <c r="I7912" s="297">
        <f t="shared" si="1158"/>
        <v>845.99105731908537</v>
      </c>
      <c r="J7912" s="297">
        <f t="shared" si="1159"/>
        <v>421</v>
      </c>
      <c r="K7912" s="297">
        <f>J7912/POBLA!$B$15*100000</f>
        <v>63.398172144861064</v>
      </c>
      <c r="L7912" s="549">
        <f t="shared" si="1156"/>
        <v>-1.8313752591568866E-2</v>
      </c>
      <c r="M7912" s="401">
        <f>SUM(C7912,C7888,C7864,C7840,C7816,C7792,C7768)/POBLA!$B$15*100000</f>
        <v>443.78720501402739</v>
      </c>
    </row>
    <row r="7913" spans="1:13" s="360" customFormat="1" x14ac:dyDescent="0.25">
      <c r="A7913" s="367" t="s">
        <v>18</v>
      </c>
      <c r="B7913" s="29">
        <v>44222</v>
      </c>
      <c r="C7913" s="1">
        <v>393</v>
      </c>
      <c r="D7913" s="276">
        <f t="shared" si="1160"/>
        <v>46626</v>
      </c>
      <c r="E7913" s="1">
        <v>4</v>
      </c>
      <c r="F7913" s="39">
        <f t="shared" si="1157"/>
        <v>1041</v>
      </c>
      <c r="G7913" s="168">
        <f>SUM(C7913,C7889,C7865,C7841,C7817,C7793,C7769,C7745,C7721,C7697,C7673,C7649,C7625,C7601)/POBLA!$B$16*100000</f>
        <v>585.73320314067496</v>
      </c>
      <c r="H7913" s="256">
        <f t="shared" si="1151"/>
        <v>1.0136574074074074</v>
      </c>
      <c r="I7913" s="297">
        <f t="shared" si="1158"/>
        <v>593.73280012801285</v>
      </c>
      <c r="J7913" s="297">
        <f t="shared" si="1159"/>
        <v>294.42857142857144</v>
      </c>
      <c r="K7913" s="297">
        <f>J7913/POBLA!$B$16*100000</f>
        <v>39.382642210319744</v>
      </c>
      <c r="L7913" s="549">
        <f t="shared" si="1156"/>
        <v>0.11087144089732526</v>
      </c>
      <c r="M7913" s="401">
        <f>SUM(C7913,C7889,C7865,C7841,C7817,C7793,C7769)/POBLA!$B$16*100000</f>
        <v>275.67849547223818</v>
      </c>
    </row>
    <row r="7914" spans="1:13" s="360" customFormat="1" x14ac:dyDescent="0.25">
      <c r="A7914" s="367" t="s">
        <v>34</v>
      </c>
      <c r="B7914" s="29">
        <v>44222</v>
      </c>
      <c r="C7914" s="1">
        <v>66</v>
      </c>
      <c r="D7914" s="276">
        <f t="shared" si="1160"/>
        <v>23530</v>
      </c>
      <c r="E7914" s="1">
        <v>2</v>
      </c>
      <c r="F7914" s="39">
        <f t="shared" si="1157"/>
        <v>1036</v>
      </c>
      <c r="G7914" s="168">
        <f>SUM(C7914,C7890,C7866,C7842,C7818,C7794,C7770,C7746,C7722,C7698,C7674,C7650,C7626,C7602)/POBLA!$B$17*100000</f>
        <v>51.530577500514248</v>
      </c>
      <c r="H7914" s="256">
        <f t="shared" si="1151"/>
        <v>1.3592592592592592</v>
      </c>
      <c r="I7914" s="297">
        <f t="shared" si="1158"/>
        <v>70.04341460255084</v>
      </c>
      <c r="J7914" s="297">
        <f t="shared" si="1159"/>
        <v>54</v>
      </c>
      <c r="K7914" s="297">
        <f>J7914/POBLA!$B$17*100000</f>
        <v>3.7910779087571793</v>
      </c>
      <c r="L7914" s="549">
        <f t="shared" si="1156"/>
        <v>-6.1797752808988804E-2</v>
      </c>
      <c r="M7914" s="401">
        <f>SUM(C7914,C7890,C7866,C7842,C7818,C7794,C7770)/POBLA!$B$17*100000</f>
        <v>26.537545361300257</v>
      </c>
    </row>
    <row r="7915" spans="1:13" s="360" customFormat="1" x14ac:dyDescent="0.25">
      <c r="A7915" s="367" t="s">
        <v>35</v>
      </c>
      <c r="B7915" s="29">
        <v>44222</v>
      </c>
      <c r="C7915" s="1">
        <v>78</v>
      </c>
      <c r="D7915" s="276">
        <f t="shared" si="1160"/>
        <v>13703</v>
      </c>
      <c r="E7915" s="1"/>
      <c r="F7915" s="39">
        <f t="shared" si="1157"/>
        <v>217</v>
      </c>
      <c r="G7915" s="168">
        <f>SUM(C7915,C7891,C7867,C7843,C7819,C7795,C7771,C7747,C7723,C7699,C7675,C7651,C7627,C7603)/POBLA!$B$18*100000</f>
        <v>131.46155293599602</v>
      </c>
      <c r="H7915" s="256">
        <f t="shared" si="1151"/>
        <v>0.77744133232399693</v>
      </c>
      <c r="I7915" s="297">
        <f t="shared" si="1158"/>
        <v>102.2036448639424</v>
      </c>
      <c r="J7915" s="297">
        <f t="shared" si="1159"/>
        <v>63.857142857142854</v>
      </c>
      <c r="K7915" s="297">
        <f>J7915/POBLA!$B$18*100000</f>
        <v>8.1740595579900148</v>
      </c>
      <c r="L7915" s="549">
        <f t="shared" si="1156"/>
        <v>0.22931034482758617</v>
      </c>
      <c r="M7915" s="401">
        <f>SUM(C7915,C7891,C7867,C7843,C7819,C7795,C7771)/POBLA!$B$18*100000</f>
        <v>57.218416905930106</v>
      </c>
    </row>
    <row r="7916" spans="1:13" s="360" customFormat="1" x14ac:dyDescent="0.25">
      <c r="A7916" s="367" t="s">
        <v>36</v>
      </c>
      <c r="B7916" s="29">
        <v>44222</v>
      </c>
      <c r="C7916" s="1">
        <v>45</v>
      </c>
      <c r="D7916" s="276">
        <f t="shared" si="1160"/>
        <v>18798</v>
      </c>
      <c r="E7916" s="1">
        <v>1</v>
      </c>
      <c r="F7916" s="39">
        <f t="shared" si="1157"/>
        <v>344</v>
      </c>
      <c r="G7916" s="168">
        <f>SUM(C7916,C7892,C7868,C7844,C7820,C7796,C7772,C7748,C7724,C7700,C7676,C7652,C7628,C7604)/POBLA!$B$19*100000</f>
        <v>419.80768322815192</v>
      </c>
      <c r="H7916" s="256">
        <f t="shared" si="1151"/>
        <v>3.9300184162062615</v>
      </c>
      <c r="I7916" s="297">
        <f t="shared" si="1158"/>
        <v>1649.8519263515216</v>
      </c>
      <c r="J7916" s="297">
        <f t="shared" si="1159"/>
        <v>248.57142857142858</v>
      </c>
      <c r="K7916" s="297">
        <f>J7916/POBLA!$B$19*100000</f>
        <v>48.899810471079419</v>
      </c>
      <c r="L7916" s="549">
        <f t="shared" si="1156"/>
        <v>-3.4162436548223347</v>
      </c>
      <c r="M7916" s="401">
        <f>SUM(C7916,C7892,C7868,C7844,C7820,C7796,C7772)/POBLA!$B$19*100000</f>
        <v>342.29867329755592</v>
      </c>
    </row>
    <row r="7917" spans="1:13" s="360" customFormat="1" x14ac:dyDescent="0.25">
      <c r="A7917" s="367" t="s">
        <v>37</v>
      </c>
      <c r="B7917" s="29">
        <v>44222</v>
      </c>
      <c r="C7917" s="1">
        <v>181</v>
      </c>
      <c r="D7917" s="276">
        <f t="shared" si="1160"/>
        <v>31826</v>
      </c>
      <c r="E7917" s="1">
        <v>6</v>
      </c>
      <c r="F7917" s="39">
        <f t="shared" si="1157"/>
        <v>488</v>
      </c>
      <c r="G7917" s="168">
        <f>SUM(C7917,C7893,C7869,C7845,C7821,C7797,C7773,C7749,C7725,C7701,C7677,C7653,C7629,C7605)/POBLA!$B$20*100000</f>
        <v>1065.6333914869647</v>
      </c>
      <c r="H7917" s="256">
        <f t="shared" si="1151"/>
        <v>0.77505966587112174</v>
      </c>
      <c r="I7917" s="297">
        <f t="shared" si="1158"/>
        <v>825.92946034699708</v>
      </c>
      <c r="J7917" s="297">
        <f t="shared" si="1159"/>
        <v>244.42857142857142</v>
      </c>
      <c r="K7917" s="297">
        <f>J7917/POBLA!$B$20*100000</f>
        <v>66.838913920385522</v>
      </c>
      <c r="L7917" s="549">
        <f t="shared" si="1156"/>
        <v>0.21729185727355904</v>
      </c>
      <c r="M7917" s="401">
        <f>SUM(C7917,C7893,C7869,C7845,C7821,C7797,C7773)/POBLA!$B$20*100000</f>
        <v>467.87239744269863</v>
      </c>
    </row>
    <row r="7918" spans="1:13" s="360" customFormat="1" x14ac:dyDescent="0.25">
      <c r="A7918" s="367" t="s">
        <v>22</v>
      </c>
      <c r="B7918" s="29">
        <v>44222</v>
      </c>
      <c r="C7918" s="1">
        <v>770</v>
      </c>
      <c r="D7918" s="276">
        <f t="shared" si="1160"/>
        <v>202877</v>
      </c>
      <c r="E7918" s="1">
        <v>43</v>
      </c>
      <c r="F7918" s="39">
        <f t="shared" si="1157"/>
        <v>3381</v>
      </c>
      <c r="G7918" s="168">
        <f>SUM(C7918,C7894,C7870,C7846,C7822,C7798,C7774,C7750,C7726,C7702,C7678,C7654,C7630,C7606)/POBLA!$B$21*100000</f>
        <v>393.98623126564786</v>
      </c>
      <c r="H7918" s="256">
        <f t="shared" si="1151"/>
        <v>0.91483913328956012</v>
      </c>
      <c r="I7918" s="297">
        <f t="shared" si="1158"/>
        <v>360.43402233908546</v>
      </c>
      <c r="J7918" s="297">
        <f t="shared" si="1159"/>
        <v>822</v>
      </c>
      <c r="K7918" s="297">
        <f>J7918/POBLA!$B$21*100000</f>
        <v>23.243858616260862</v>
      </c>
      <c r="L7918" s="549">
        <f t="shared" si="1156"/>
        <v>0.29649101357134122</v>
      </c>
      <c r="M7918" s="401">
        <f>SUM(C7918,C7894,C7870,C7846,C7822,C7798,C7774)/POBLA!$B$21*100000</f>
        <v>162.70701031382603</v>
      </c>
    </row>
    <row r="7919" spans="1:13" s="360" customFormat="1" x14ac:dyDescent="0.25">
      <c r="A7919" s="367" t="s">
        <v>38</v>
      </c>
      <c r="B7919" s="29">
        <v>44222</v>
      </c>
      <c r="C7919" s="1">
        <v>79</v>
      </c>
      <c r="D7919" s="276">
        <f t="shared" si="1160"/>
        <v>20551</v>
      </c>
      <c r="E7919" s="1">
        <v>1</v>
      </c>
      <c r="F7919" s="39">
        <f t="shared" si="1157"/>
        <v>247</v>
      </c>
      <c r="G7919" s="168">
        <f>SUM(C7919,C7895,C7871,C7847,C7823,C7799,C7775,C7751,C7727,C7703,C7679,C7655,C7631,C7607)/POBLA!$B$22*100000</f>
        <v>170.08871393919941</v>
      </c>
      <c r="H7919" s="256">
        <f t="shared" si="1151"/>
        <v>0.99047619047619051</v>
      </c>
      <c r="I7919" s="297">
        <f t="shared" si="1158"/>
        <v>168.46882142549276</v>
      </c>
      <c r="J7919" s="297">
        <f t="shared" si="1159"/>
        <v>108.28571428571429</v>
      </c>
      <c r="K7919" s="297">
        <f>J7919/POBLA!$B$22*100000</f>
        <v>11.068616514930731</v>
      </c>
      <c r="L7919" s="549">
        <f t="shared" si="1156"/>
        <v>0.16335540838852092</v>
      </c>
      <c r="M7919" s="401">
        <f>SUM(C7919,C7895,C7871,C7847,C7823,C7799,C7775)/POBLA!$B$22*100000</f>
        <v>77.480315604515127</v>
      </c>
    </row>
    <row r="7920" spans="1:13" s="360" customFormat="1" x14ac:dyDescent="0.25">
      <c r="A7920" s="367" t="s">
        <v>39</v>
      </c>
      <c r="B7920" s="29">
        <v>44222</v>
      </c>
      <c r="C7920" s="1">
        <v>52</v>
      </c>
      <c r="D7920" s="276">
        <f t="shared" si="1160"/>
        <v>21572</v>
      </c>
      <c r="E7920" s="1"/>
      <c r="F7920" s="39">
        <f t="shared" si="1157"/>
        <v>324</v>
      </c>
      <c r="G7920" s="168">
        <f>SUM(C7920,C7896,C7872,C7848,C7824,C7800,C7776,C7752,C7728,C7704,C7680,C7656,C7632,C7608)/POBLA!$B$23*100000</f>
        <v>664.48000904823834</v>
      </c>
      <c r="H7920" s="256">
        <f t="shared" si="1151"/>
        <v>0.81824512534818938</v>
      </c>
      <c r="I7920" s="297">
        <f t="shared" si="1158"/>
        <v>543.70752829504181</v>
      </c>
      <c r="J7920" s="297">
        <f t="shared" si="1159"/>
        <v>78.142857142857139</v>
      </c>
      <c r="K7920" s="297">
        <f>J7920/POBLA!$B$23*100000</f>
        <v>44.19095014582205</v>
      </c>
      <c r="L7920" s="549">
        <f t="shared" si="1156"/>
        <v>0.12898089171974525</v>
      </c>
      <c r="M7920" s="401">
        <f>SUM(C7920,C7896,C7872,C7848,C7824,C7800,C7776)/POBLA!$B$23*100000</f>
        <v>309.3366510207544</v>
      </c>
    </row>
    <row r="7921" spans="1:13" s="360" customFormat="1" ht="15.75" thickBot="1" x14ac:dyDescent="0.3">
      <c r="A7921" s="369" t="s">
        <v>40</v>
      </c>
      <c r="B7921" s="282">
        <v>44222</v>
      </c>
      <c r="C7921" s="44">
        <v>188</v>
      </c>
      <c r="D7921" s="283">
        <f t="shared" si="1160"/>
        <v>75611</v>
      </c>
      <c r="E7921" s="44">
        <v>3</v>
      </c>
      <c r="F7921" s="176">
        <f t="shared" si="1157"/>
        <v>1421</v>
      </c>
      <c r="G7921" s="177">
        <f>SUM(C7921,C7897,C7873,C7849,C7825,C7801,C7777,C7753,C7729,C7705,C7681,C7657,C7633,C7609)/POBLA!$B$24*100000</f>
        <v>134.24553419691077</v>
      </c>
      <c r="H7921" s="402">
        <f t="shared" si="1151"/>
        <v>0.91255515443241075</v>
      </c>
      <c r="I7921" s="403">
        <f t="shared" si="1158"/>
        <v>122.50645419092338</v>
      </c>
      <c r="J7921" s="403">
        <f t="shared" si="1159"/>
        <v>133</v>
      </c>
      <c r="K7921" s="403">
        <f>J7921/POBLA!$B$24*100000</f>
        <v>7.8482004607424747</v>
      </c>
      <c r="L7921" s="550">
        <f t="shared" si="1156"/>
        <v>0.30729166666666663</v>
      </c>
      <c r="M7921" s="405">
        <f>SUM(C7921,C7897,C7873,C7849,C7825,C7801,C7777)/POBLA!$B$24*100000</f>
        <v>54.937403225197329</v>
      </c>
    </row>
    <row r="7922" spans="1:13" s="360" customFormat="1" ht="15.75" thickBot="1" x14ac:dyDescent="0.3">
      <c r="A7922" s="363" t="s">
        <v>16</v>
      </c>
      <c r="B7922" s="282">
        <v>44223</v>
      </c>
      <c r="C7922" s="225">
        <v>4445</v>
      </c>
      <c r="D7922" s="281">
        <f t="shared" si="1160"/>
        <v>790397</v>
      </c>
      <c r="E7922" s="225">
        <v>44</v>
      </c>
      <c r="F7922" s="174">
        <f>E7922+F7898</f>
        <v>24274</v>
      </c>
      <c r="G7922" s="175">
        <f>SUM(C7922,C7898,C7874,C7850,C7826,C7802,C7778,C7754,C7730,C7706,C7682,C7658,C7634,C7610)/POBLA!$B$1*100000</f>
        <v>313.52008401277891</v>
      </c>
      <c r="H7922" s="300">
        <f t="shared" ref="H7922:H7945" si="1161">SUM(C7922,C7898,C7874,C7850,C7826,C7802,C7778,C7754,C7730,C7706,C7682,C7658,C7634,C7610)/SUM(C7586,C7562,C7538,C7514,C7490,C7466,C7442,C7418,C7394,C7370,C7346,C7322,C7298,C7274)</f>
        <v>0.99338884774480229</v>
      </c>
      <c r="I7922" s="301">
        <f>G7922*H7922</f>
        <v>311.44735500230803</v>
      </c>
      <c r="J7922" s="301">
        <f>AVERAGE(C7922,C7898,C7874,C7850,C7826,C7802,C7778)</f>
        <v>3704.4285714285716</v>
      </c>
      <c r="K7922" s="301">
        <f>J7922/POBLA!$B$1*100000</f>
        <v>21.118515445651862</v>
      </c>
      <c r="L7922" s="548">
        <f t="shared" ref="L7922:L7945" si="1162">1-SUM(C7922,C7898,C7874,C7850,C7826,C7802,C7778)/SUM(C7754,C7730,C7706,C7682,C7658,C7634,C7610)</f>
        <v>0.10779658684282967</v>
      </c>
      <c r="M7922" s="400">
        <f>SUM(C7922,C7898,C7874,C7850,C7826,C7802,C7778)/POBLA!$B$1*100000</f>
        <v>147.82960811956303</v>
      </c>
    </row>
    <row r="7923" spans="1:13" s="360" customFormat="1" ht="15.75" thickBot="1" x14ac:dyDescent="0.3">
      <c r="A7923" s="367" t="s">
        <v>43</v>
      </c>
      <c r="B7923" s="282">
        <v>44223</v>
      </c>
      <c r="C7923" s="1">
        <v>1247</v>
      </c>
      <c r="D7923" s="276">
        <f t="shared" si="1160"/>
        <v>206244</v>
      </c>
      <c r="E7923" s="1">
        <v>25</v>
      </c>
      <c r="F7923" s="39">
        <f t="shared" ref="F7923:F7945" si="1163">E7923+F7899</f>
        <v>5870</v>
      </c>
      <c r="G7923" s="168">
        <f>SUM(C7923,C7899,C7875,C7851,C7827,C7803,C7779,C7755,C7731,C7707,C7683,C7659,C7635,C7611)/POBLA!$B$2*100000</f>
        <v>537.44806782054889</v>
      </c>
      <c r="H7923" s="256">
        <f t="shared" si="1161"/>
        <v>1.0047410649161197</v>
      </c>
      <c r="I7923" s="297">
        <f t="shared" ref="I7923:I7945" si="1164">G7923*H7923</f>
        <v>539.99614399912923</v>
      </c>
      <c r="J7923" s="297">
        <f t="shared" ref="J7923:J7945" si="1165">AVERAGE(C7923,C7899,C7875,C7851,C7827,C7803,C7779)</f>
        <v>1098</v>
      </c>
      <c r="K7923" s="297">
        <f>J7923/POBLA!$B$2*100000</f>
        <v>35.699817209132654</v>
      </c>
      <c r="L7923" s="549">
        <f t="shared" si="1162"/>
        <v>0.13093622795115334</v>
      </c>
      <c r="M7923" s="401">
        <f>SUM(C7923,C7899,C7875,C7851,C7827,C7803,C7779)/POBLA!$B$2*100000</f>
        <v>249.89872046392853</v>
      </c>
    </row>
    <row r="7924" spans="1:13" s="360" customFormat="1" ht="15.75" thickBot="1" x14ac:dyDescent="0.3">
      <c r="A7924" s="367" t="s">
        <v>28</v>
      </c>
      <c r="B7924" s="282">
        <v>44223</v>
      </c>
      <c r="C7924" s="1">
        <v>116</v>
      </c>
      <c r="D7924" s="276">
        <f t="shared" si="1160"/>
        <v>4954</v>
      </c>
      <c r="E7924" s="1"/>
      <c r="F7924" s="39">
        <f t="shared" si="1163"/>
        <v>17</v>
      </c>
      <c r="G7924" s="168">
        <f>SUM(C7924,C7900,C7876,C7852,C7828,C7804,C7780,C7756,C7732,C7708,C7684,C7660,C7636,C7612)/POBLA!$B$3*100000</f>
        <v>384.65426850697338</v>
      </c>
      <c r="H7924" s="256">
        <f t="shared" si="1161"/>
        <v>2.3815201192250375</v>
      </c>
      <c r="I7924" s="297">
        <f t="shared" si="1164"/>
        <v>916.06187939514678</v>
      </c>
      <c r="J7924" s="297">
        <f t="shared" si="1165"/>
        <v>67.428571428571431</v>
      </c>
      <c r="K7924" s="297">
        <f>J7924/POBLA!$B$3*100000</f>
        <v>16.230718284935762</v>
      </c>
      <c r="L7924" s="549">
        <f t="shared" si="1162"/>
        <v>0.58081705150976903</v>
      </c>
      <c r="M7924" s="401">
        <f>SUM(C7924,C7900,C7876,C7852,C7828,C7804,C7780)/POBLA!$B$3*100000</f>
        <v>113.61502799455033</v>
      </c>
    </row>
    <row r="7925" spans="1:13" s="360" customFormat="1" ht="15.75" thickBot="1" x14ac:dyDescent="0.3">
      <c r="A7925" s="367" t="s">
        <v>15</v>
      </c>
      <c r="B7925" s="282">
        <v>44223</v>
      </c>
      <c r="C7925" s="1">
        <v>146</v>
      </c>
      <c r="D7925" s="276">
        <f t="shared" si="1160"/>
        <v>30213</v>
      </c>
      <c r="E7925" s="1">
        <v>3</v>
      </c>
      <c r="F7925" s="39">
        <f t="shared" si="1163"/>
        <v>790</v>
      </c>
      <c r="G7925" s="168">
        <f>SUM(C7925,C7901,C7877,C7853,C7829,C7805,C7781,C7757,C7733,C7709,C7685,C7661,C7637,C7613)/POBLA!$B$4*100000</f>
        <v>213.77437546750176</v>
      </c>
      <c r="H7925" s="256">
        <f t="shared" si="1161"/>
        <v>0.826645264847512</v>
      </c>
      <c r="I7925" s="297">
        <f t="shared" si="1164"/>
        <v>176.71557522594446</v>
      </c>
      <c r="J7925" s="297">
        <f t="shared" si="1165"/>
        <v>167.28571428571428</v>
      </c>
      <c r="K7925" s="297">
        <f>J7925/POBLA!$B$4*100000</f>
        <v>13.887921979053786</v>
      </c>
      <c r="L7925" s="549">
        <f t="shared" si="1162"/>
        <v>0.16595441595441596</v>
      </c>
      <c r="M7925" s="401">
        <f>SUM(C7925,C7901,C7877,C7853,C7829,C7805,C7781)/POBLA!$B$4*100000</f>
        <v>97.215453853376516</v>
      </c>
    </row>
    <row r="7926" spans="1:13" s="360" customFormat="1" ht="15.75" thickBot="1" x14ac:dyDescent="0.3">
      <c r="A7926" s="367" t="s">
        <v>29</v>
      </c>
      <c r="B7926" s="282">
        <v>44223</v>
      </c>
      <c r="C7926" s="1">
        <v>395</v>
      </c>
      <c r="D7926" s="276">
        <f t="shared" si="1160"/>
        <v>41275</v>
      </c>
      <c r="E7926" s="1">
        <v>28</v>
      </c>
      <c r="F7926" s="39">
        <f t="shared" si="1163"/>
        <v>644</v>
      </c>
      <c r="G7926" s="168">
        <f>SUM(C7926,C7902,C7878,C7854,C7830,C7806,C7782,C7758,C7734,C7710,C7686,C7662,C7638,C7614)/POBLA!$B$5*100000</f>
        <v>697.90660329502384</v>
      </c>
      <c r="H7926" s="256">
        <f t="shared" si="1161"/>
        <v>0.78846504836649023</v>
      </c>
      <c r="I7926" s="297">
        <f t="shared" si="1164"/>
        <v>550.27496372230394</v>
      </c>
      <c r="J7926" s="297">
        <f t="shared" si="1165"/>
        <v>309.14285714285717</v>
      </c>
      <c r="K7926" s="297">
        <f>J7926/POBLA!$B$5*100000</f>
        <v>49.942787352196817</v>
      </c>
      <c r="L7926" s="549">
        <f t="shared" si="1162"/>
        <v>-3.7105751391466324E-3</v>
      </c>
      <c r="M7926" s="401">
        <f>SUM(C7926,C7902,C7878,C7854,C7830,C7806,C7782)/POBLA!$B$5*100000</f>
        <v>349.5995114653777</v>
      </c>
    </row>
    <row r="7927" spans="1:13" s="360" customFormat="1" ht="15.75" thickBot="1" x14ac:dyDescent="0.3">
      <c r="A7927" s="367" t="s">
        <v>30</v>
      </c>
      <c r="B7927" s="282">
        <v>44223</v>
      </c>
      <c r="C7927" s="1">
        <v>224</v>
      </c>
      <c r="D7927" s="276">
        <f t="shared" si="1160"/>
        <v>16854</v>
      </c>
      <c r="E7927" s="1">
        <v>3</v>
      </c>
      <c r="F7927" s="39">
        <f t="shared" si="1163"/>
        <v>2572</v>
      </c>
      <c r="G7927" s="168">
        <f>SUM(C7927,C7903,C7879,C7855,C7831,C7807,C7783,C7759,C7735,C7711,C7687,C7663,C7639,C7615)/POBLA!$B$6*100000</f>
        <v>328.15816545488445</v>
      </c>
      <c r="H7927" s="256">
        <f t="shared" si="1161"/>
        <v>0.4310829817158931</v>
      </c>
      <c r="I7927" s="297">
        <f t="shared" si="1164"/>
        <v>141.46340043870899</v>
      </c>
      <c r="J7927" s="297">
        <f t="shared" si="1165"/>
        <v>154.28571428571428</v>
      </c>
      <c r="K7927" s="297">
        <f>J7927/POBLA!$B$6*100000</f>
        <v>13.765665295241018</v>
      </c>
      <c r="L7927" s="549">
        <f t="shared" si="1162"/>
        <v>0.58429561200923785</v>
      </c>
      <c r="M7927" s="401">
        <f>SUM(C7927,C7903,C7879,C7855,C7831,C7807,C7783)/POBLA!$B$6*100000</f>
        <v>96.35965706668712</v>
      </c>
    </row>
    <row r="7928" spans="1:13" s="360" customFormat="1" ht="15.75" thickBot="1" x14ac:dyDescent="0.3">
      <c r="A7928" s="367" t="s">
        <v>20</v>
      </c>
      <c r="B7928" s="282">
        <v>44223</v>
      </c>
      <c r="C7928" s="1">
        <v>687</v>
      </c>
      <c r="D7928" s="276">
        <f t="shared" si="1160"/>
        <v>143173</v>
      </c>
      <c r="E7928" s="1">
        <v>11</v>
      </c>
      <c r="F7928" s="39">
        <f t="shared" si="1163"/>
        <v>270</v>
      </c>
      <c r="G7928" s="168">
        <f>SUM(C7928,C7904,C7880,C7856,C7832,C7808,C7784,C7760,C7736,C7712,C7688,C7664,C7640,C7616)/POBLA!$B$7*100000</f>
        <v>168.14476990785678</v>
      </c>
      <c r="H7928" s="256">
        <f t="shared" si="1161"/>
        <v>2.361972357116175</v>
      </c>
      <c r="I7928" s="297">
        <f t="shared" si="1164"/>
        <v>397.1532985160174</v>
      </c>
      <c r="J7928" s="297">
        <f t="shared" si="1165"/>
        <v>532.57142857142856</v>
      </c>
      <c r="K7928" s="297">
        <f>J7928/POBLA!$B$7*100000</f>
        <v>14.162438765877184</v>
      </c>
      <c r="L7928" s="549">
        <f t="shared" si="1162"/>
        <v>-0.4366088631984586</v>
      </c>
      <c r="M7928" s="401">
        <f>SUM(C7928,C7904,C7880,C7856,C7832,C7808,C7784)/POBLA!$B$7*100000</f>
        <v>99.137071361140286</v>
      </c>
    </row>
    <row r="7929" spans="1:13" ht="15.75" thickBot="1" x14ac:dyDescent="0.3">
      <c r="A7929" s="367" t="s">
        <v>31</v>
      </c>
      <c r="B7929" s="282">
        <v>44223</v>
      </c>
      <c r="C7929" s="1">
        <v>293</v>
      </c>
      <c r="D7929" s="276">
        <f t="shared" si="1160"/>
        <v>40000</v>
      </c>
      <c r="E7929" s="1">
        <v>8</v>
      </c>
      <c r="F7929" s="39">
        <f t="shared" si="1163"/>
        <v>702</v>
      </c>
      <c r="G7929" s="168">
        <f>SUM(C7929,C7905,C7881,C7857,C7833,C7809,C7785,C7761,C7737,C7713,C7689,C7665,C7641,C7617)/POBLA!$B$8*100000</f>
        <v>376.20106193464318</v>
      </c>
      <c r="H7929" s="256">
        <f t="shared" si="1161"/>
        <v>0.90145228215767637</v>
      </c>
      <c r="I7929" s="297">
        <f t="shared" si="1164"/>
        <v>339.12730583112545</v>
      </c>
      <c r="J7929" s="297">
        <f t="shared" si="1165"/>
        <v>325</v>
      </c>
      <c r="K7929" s="297">
        <f>J7929/POBLA!$B$8*100000</f>
        <v>23.44943328131167</v>
      </c>
      <c r="L7929" s="549">
        <f t="shared" si="1162"/>
        <v>0.22592718611772711</v>
      </c>
      <c r="M7929" s="401">
        <f>SUM(C7929,C7905,C7881,C7857,C7833,C7809,C7785)/POBLA!$B$8*100000</f>
        <v>164.14603296918168</v>
      </c>
    </row>
    <row r="7930" spans="1:13" s="360" customFormat="1" ht="15.75" thickBot="1" x14ac:dyDescent="0.3">
      <c r="A7930" s="367" t="s">
        <v>41</v>
      </c>
      <c r="B7930" s="282">
        <v>44223</v>
      </c>
      <c r="C7930" s="1">
        <v>14</v>
      </c>
      <c r="D7930" s="276">
        <f t="shared" si="1160"/>
        <v>828</v>
      </c>
      <c r="E7930" s="1"/>
      <c r="F7930" s="39">
        <f t="shared" si="1163"/>
        <v>6</v>
      </c>
      <c r="G7930" s="168">
        <f>SUM(C7930,C7906,C7882,C7858,C7834,C7810,C7786,C7762,C7738,C7714,C7690,C7666,C7642,C7618)/POBLA!$B$9*100000</f>
        <v>66.590327383165373</v>
      </c>
      <c r="H7930" s="256">
        <f t="shared" si="1161"/>
        <v>1.892018779342723</v>
      </c>
      <c r="I7930" s="297">
        <f t="shared" si="1164"/>
        <v>125.99014993152885</v>
      </c>
      <c r="J7930" s="297">
        <f t="shared" si="1165"/>
        <v>18.285714285714285</v>
      </c>
      <c r="K7930" s="297">
        <f>J7930/POBLA!$B$9*100000</f>
        <v>3.0214682400018318</v>
      </c>
      <c r="L7930" s="549">
        <f t="shared" si="1162"/>
        <v>0.53454545454545455</v>
      </c>
      <c r="M7930" s="401">
        <f>SUM(C7930,C7906,C7882,C7858,C7834,C7810,C7786)/POBLA!$B$9*100000</f>
        <v>21.150277680012824</v>
      </c>
    </row>
    <row r="7931" spans="1:13" s="360" customFormat="1" ht="15.75" thickBot="1" x14ac:dyDescent="0.3">
      <c r="A7931" s="367" t="s">
        <v>32</v>
      </c>
      <c r="B7931" s="282">
        <v>44223</v>
      </c>
      <c r="C7931" s="1">
        <v>49</v>
      </c>
      <c r="D7931" s="276">
        <f t="shared" si="1160"/>
        <v>19206</v>
      </c>
      <c r="E7931" s="1"/>
      <c r="F7931" s="39">
        <f t="shared" si="1163"/>
        <v>866</v>
      </c>
      <c r="G7931" s="168">
        <f>SUM(C7931,C7907,C7883,C7859,C7835,C7811,C7787,C7763,C7739,C7715,C7691,C7667,C7643,C7619)/POBLA!$B$10*100000</f>
        <v>60.969202769299024</v>
      </c>
      <c r="H7931" s="256">
        <f t="shared" si="1161"/>
        <v>2.4607329842931938</v>
      </c>
      <c r="I7931" s="297">
        <f t="shared" si="1164"/>
        <v>150.02892828047405</v>
      </c>
      <c r="J7931" s="297">
        <f t="shared" si="1165"/>
        <v>32.142857142857146</v>
      </c>
      <c r="K7931" s="297">
        <f>J7931/POBLA!$B$10*100000</f>
        <v>4.1696263292073796</v>
      </c>
      <c r="L7931" s="549">
        <f t="shared" si="1162"/>
        <v>8.1632653061224469E-2</v>
      </c>
      <c r="M7931" s="401">
        <f>SUM(C7931,C7907,C7883,C7859,C7835,C7811,C7787)/POBLA!$B$10*100000</f>
        <v>29.187384304451658</v>
      </c>
    </row>
    <row r="7932" spans="1:13" s="360" customFormat="1" ht="15.75" thickBot="1" x14ac:dyDescent="0.3">
      <c r="A7932" s="367" t="s">
        <v>33</v>
      </c>
      <c r="B7932" s="282">
        <v>44223</v>
      </c>
      <c r="C7932" s="1">
        <v>130</v>
      </c>
      <c r="D7932" s="276">
        <f t="shared" si="1160"/>
        <v>16120</v>
      </c>
      <c r="E7932" s="1"/>
      <c r="F7932" s="39">
        <f t="shared" si="1163"/>
        <v>237</v>
      </c>
      <c r="G7932" s="168">
        <f>SUM(C7932,C7908,C7884,C7860,C7836,C7812,C7788,C7764,C7740,C7716,C7692,C7668,C7644,C7620)/POBLA!$B$11*100000</f>
        <v>512.23676721684694</v>
      </c>
      <c r="H7932" s="256">
        <f t="shared" si="1161"/>
        <v>0.49156626506024098</v>
      </c>
      <c r="I7932" s="297">
        <f t="shared" si="1164"/>
        <v>251.79831448731755</v>
      </c>
      <c r="J7932" s="297">
        <f t="shared" si="1165"/>
        <v>102</v>
      </c>
      <c r="K7932" s="297">
        <f>J7932/POBLA!$B$11*100000</f>
        <v>28.457598178713717</v>
      </c>
      <c r="L7932" s="549">
        <f t="shared" si="1162"/>
        <v>0.36363636363636365</v>
      </c>
      <c r="M7932" s="401">
        <f>SUM(C7932,C7908,C7884,C7860,C7836,C7812,C7788)/POBLA!$B$11*100000</f>
        <v>199.20318725099602</v>
      </c>
    </row>
    <row r="7933" spans="1:13" s="360" customFormat="1" ht="15.75" thickBot="1" x14ac:dyDescent="0.3">
      <c r="A7933" s="367" t="s">
        <v>21</v>
      </c>
      <c r="B7933" s="282">
        <v>44223</v>
      </c>
      <c r="C7933" s="1">
        <v>36</v>
      </c>
      <c r="D7933" s="276">
        <f t="shared" si="1160"/>
        <v>9488</v>
      </c>
      <c r="E7933" s="1"/>
      <c r="F7933" s="39">
        <f t="shared" si="1163"/>
        <v>405</v>
      </c>
      <c r="G7933" s="168">
        <f>SUM(C7933,C7909,C7885,C7861,C7837,C7813,C7789,C7765,C7741,C7717,C7693,C7669,C7645,C7621)/POBLA!$B$12*100000</f>
        <v>61.240410539449236</v>
      </c>
      <c r="H7933" s="256">
        <f t="shared" si="1161"/>
        <v>1.4876543209876543</v>
      </c>
      <c r="I7933" s="297">
        <f t="shared" si="1164"/>
        <v>91.104561358069546</v>
      </c>
      <c r="J7933" s="297">
        <f t="shared" si="1165"/>
        <v>18.428571428571427</v>
      </c>
      <c r="K7933" s="297">
        <f>J7933/POBLA!$B$12*100000</f>
        <v>4.6828766802542692</v>
      </c>
      <c r="L7933" s="549">
        <f t="shared" si="1162"/>
        <v>-0.15178571428571419</v>
      </c>
      <c r="M7933" s="401">
        <f>SUM(C7933,C7909,C7885,C7861,C7837,C7813,C7789)/POBLA!$B$12*100000</f>
        <v>32.780136761779886</v>
      </c>
    </row>
    <row r="7934" spans="1:13" s="360" customFormat="1" ht="15.75" thickBot="1" x14ac:dyDescent="0.3">
      <c r="A7934" s="367" t="s">
        <v>17</v>
      </c>
      <c r="B7934" s="282">
        <v>44223</v>
      </c>
      <c r="C7934" s="1">
        <v>149</v>
      </c>
      <c r="D7934" s="276">
        <f t="shared" si="1160"/>
        <v>63471</v>
      </c>
      <c r="E7934" s="1">
        <v>11</v>
      </c>
      <c r="F7934" s="39">
        <f t="shared" si="1163"/>
        <v>1336</v>
      </c>
      <c r="G7934" s="168">
        <f>SUM(C7934,C7910,C7886,C7862,C7838,C7814,C7790,C7766,C7742,C7718,C7694,C7670,C7646,C7622)/POBLA!$B$13*100000</f>
        <v>86.919910085623656</v>
      </c>
      <c r="H7934" s="256">
        <f t="shared" si="1161"/>
        <v>1.0028985507246377</v>
      </c>
      <c r="I7934" s="297">
        <f t="shared" si="1164"/>
        <v>87.171851853987789</v>
      </c>
      <c r="J7934" s="297">
        <f t="shared" si="1165"/>
        <v>119.14285714285714</v>
      </c>
      <c r="K7934" s="297">
        <f>J7934/POBLA!$B$13*100000</f>
        <v>5.9860615203476568</v>
      </c>
      <c r="L7934" s="549">
        <f t="shared" si="1162"/>
        <v>6.9196428571428603E-2</v>
      </c>
      <c r="M7934" s="401">
        <f>SUM(C7934,C7910,C7886,C7862,C7838,C7814,C7790)/POBLA!$B$13*100000</f>
        <v>41.9024306424336</v>
      </c>
    </row>
    <row r="7935" spans="1:13" s="360" customFormat="1" ht="15.75" thickBot="1" x14ac:dyDescent="0.3">
      <c r="A7935" s="367" t="s">
        <v>23</v>
      </c>
      <c r="B7935" s="282">
        <v>44223</v>
      </c>
      <c r="C7935" s="1">
        <v>241</v>
      </c>
      <c r="D7935" s="276">
        <f t="shared" si="1160"/>
        <v>4022</v>
      </c>
      <c r="E7935" s="1">
        <v>5</v>
      </c>
      <c r="F7935" s="39">
        <f t="shared" si="1163"/>
        <v>74</v>
      </c>
      <c r="G7935" s="168">
        <f>SUM(C7935,C7911,C7887,C7863,C7839,C7815,C7791,C7767,C7743,C7719,C7695,C7671,C7647,C7623)/POBLA!$B$14*100000</f>
        <v>196.22704936359008</v>
      </c>
      <c r="H7935" s="256">
        <f t="shared" si="1161"/>
        <v>5.2547770700636942</v>
      </c>
      <c r="I7935" s="297">
        <f t="shared" si="1164"/>
        <v>1031.1293995220499</v>
      </c>
      <c r="J7935" s="297">
        <f t="shared" si="1165"/>
        <v>180.42857142857142</v>
      </c>
      <c r="K7935" s="297">
        <f>J7935/POBLA!$B$14*100000</f>
        <v>14.305036845380334</v>
      </c>
      <c r="L7935" s="549">
        <f t="shared" si="1162"/>
        <v>-4.2079207920792117E-2</v>
      </c>
      <c r="M7935" s="401">
        <f>SUM(C7935,C7911,C7887,C7863,C7839,C7815,C7791)/POBLA!$B$14*100000</f>
        <v>100.13525791766234</v>
      </c>
    </row>
    <row r="7936" spans="1:13" s="360" customFormat="1" ht="15.75" thickBot="1" x14ac:dyDescent="0.3">
      <c r="A7936" s="367" t="s">
        <v>19</v>
      </c>
      <c r="B7936" s="282">
        <v>44223</v>
      </c>
      <c r="C7936" s="1">
        <v>538</v>
      </c>
      <c r="D7936" s="276">
        <f t="shared" si="1160"/>
        <v>52581</v>
      </c>
      <c r="E7936" s="1"/>
      <c r="F7936" s="39">
        <f t="shared" si="1163"/>
        <v>766</v>
      </c>
      <c r="G7936" s="168">
        <f>SUM(C7936,C7912,C7888,C7864,C7840,C7816,C7792,C7768,C7744,C7720,C7696,C7672,C7648,C7624)/POBLA!$B$15*100000</f>
        <v>890.88737864370069</v>
      </c>
      <c r="H7936" s="256">
        <f t="shared" si="1161"/>
        <v>0.98305084745762716</v>
      </c>
      <c r="I7936" s="297">
        <f t="shared" si="1164"/>
        <v>875.78759256499393</v>
      </c>
      <c r="J7936" s="297">
        <f t="shared" si="1165"/>
        <v>421.71428571428572</v>
      </c>
      <c r="K7936" s="297">
        <f>J7936/POBLA!$B$15*100000</f>
        <v>63.50573606095346</v>
      </c>
      <c r="L7936" s="549">
        <f t="shared" si="1162"/>
        <v>4.0485829959514552E-3</v>
      </c>
      <c r="M7936" s="401">
        <f>SUM(C7936,C7912,C7888,C7864,C7840,C7816,C7792)/POBLA!$B$15*100000</f>
        <v>444.54015242667418</v>
      </c>
    </row>
    <row r="7937" spans="1:13" s="360" customFormat="1" ht="15.75" thickBot="1" x14ac:dyDescent="0.3">
      <c r="A7937" s="367" t="s">
        <v>18</v>
      </c>
      <c r="B7937" s="282">
        <v>44223</v>
      </c>
      <c r="C7937" s="1">
        <v>365</v>
      </c>
      <c r="D7937" s="276">
        <f t="shared" si="1160"/>
        <v>46991</v>
      </c>
      <c r="E7937" s="1">
        <v>10</v>
      </c>
      <c r="F7937" s="39">
        <f t="shared" si="1163"/>
        <v>1051</v>
      </c>
      <c r="G7937" s="168">
        <f>SUM(C7937,C7913,C7889,C7865,C7841,C7817,C7793,C7769,C7745,C7721,C7697,C7673,C7649,C7625)/POBLA!$B$16*100000</f>
        <v>581.98793488583624</v>
      </c>
      <c r="H7937" s="256">
        <f t="shared" si="1161"/>
        <v>1.0057790106333795</v>
      </c>
      <c r="I7937" s="297">
        <f t="shared" si="1164"/>
        <v>585.35124935004001</v>
      </c>
      <c r="J7937" s="297">
        <f t="shared" si="1165"/>
        <v>283.42857142857144</v>
      </c>
      <c r="K7937" s="297">
        <f>J7937/POBLA!$B$16*100000</f>
        <v>37.911286824490233</v>
      </c>
      <c r="L7937" s="549">
        <f t="shared" si="1162"/>
        <v>0.16180819602872831</v>
      </c>
      <c r="M7937" s="401">
        <f>SUM(C7937,C7913,C7889,C7865,C7841,C7817,C7793)/POBLA!$B$16*100000</f>
        <v>265.37900777143165</v>
      </c>
    </row>
    <row r="7938" spans="1:13" s="360" customFormat="1" ht="15.75" thickBot="1" x14ac:dyDescent="0.3">
      <c r="A7938" s="367" t="s">
        <v>34</v>
      </c>
      <c r="B7938" s="282">
        <v>44223</v>
      </c>
      <c r="C7938" s="1">
        <v>65</v>
      </c>
      <c r="D7938" s="276">
        <f t="shared" ref="D7938:D7969" si="1166">C7938+D7914</f>
        <v>23595</v>
      </c>
      <c r="E7938" s="1"/>
      <c r="F7938" s="39">
        <f t="shared" si="1163"/>
        <v>1036</v>
      </c>
      <c r="G7938" s="168">
        <f>SUM(C7938,C7914,C7890,C7866,C7842,C7818,C7794,C7770,C7746,C7722,C7698,C7674,C7650,C7626)/POBLA!$B$17*100000</f>
        <v>51.390167207597322</v>
      </c>
      <c r="H7938" s="256">
        <f t="shared" si="1161"/>
        <v>1.318918918918919</v>
      </c>
      <c r="I7938" s="297">
        <f t="shared" si="1164"/>
        <v>67.779463776506745</v>
      </c>
      <c r="J7938" s="297">
        <f t="shared" si="1165"/>
        <v>52.285714285714285</v>
      </c>
      <c r="K7938" s="297">
        <f>J7938/POBLA!$B$17*100000</f>
        <v>3.6707262291140941</v>
      </c>
      <c r="L7938" s="549">
        <f t="shared" si="1162"/>
        <v>0</v>
      </c>
      <c r="M7938" s="401">
        <f>SUM(C7938,C7914,C7890,C7866,C7842,C7818,C7794)/POBLA!$B$17*100000</f>
        <v>25.695083603798661</v>
      </c>
    </row>
    <row r="7939" spans="1:13" s="360" customFormat="1" ht="15.75" thickBot="1" x14ac:dyDescent="0.3">
      <c r="A7939" s="367" t="s">
        <v>35</v>
      </c>
      <c r="B7939" s="282">
        <v>44223</v>
      </c>
      <c r="C7939" s="1">
        <v>58</v>
      </c>
      <c r="D7939" s="276">
        <f t="shared" si="1166"/>
        <v>13761</v>
      </c>
      <c r="E7939" s="1"/>
      <c r="F7939" s="39">
        <f t="shared" si="1163"/>
        <v>217</v>
      </c>
      <c r="G7939" s="168">
        <f>SUM(C7939,C7915,C7891,C7867,C7843,C7819,C7795,C7771,C7747,C7723,C7699,C7675,C7651,C7627)/POBLA!$B$18*100000</f>
        <v>118.02098520641512</v>
      </c>
      <c r="H7939" s="256">
        <f t="shared" si="1161"/>
        <v>0.69011976047904189</v>
      </c>
      <c r="I7939" s="297">
        <f t="shared" si="1164"/>
        <v>81.448614042151746</v>
      </c>
      <c r="J7939" s="297">
        <f t="shared" si="1165"/>
        <v>58.428571428571431</v>
      </c>
      <c r="K7939" s="297">
        <f>J7939/POBLA!$B$18*100000</f>
        <v>7.4791730631273294</v>
      </c>
      <c r="L7939" s="549">
        <f t="shared" si="1162"/>
        <v>0.20272904483430798</v>
      </c>
      <c r="M7939" s="401">
        <f>SUM(C7939,C7915,C7891,C7867,C7843,C7819,C7795)/POBLA!$B$18*100000</f>
        <v>52.354211441891302</v>
      </c>
    </row>
    <row r="7940" spans="1:13" s="360" customFormat="1" ht="15.75" thickBot="1" x14ac:dyDescent="0.3">
      <c r="A7940" s="367" t="s">
        <v>36</v>
      </c>
      <c r="B7940" s="282">
        <v>44223</v>
      </c>
      <c r="C7940" s="1">
        <v>81</v>
      </c>
      <c r="D7940" s="276">
        <f t="shared" si="1166"/>
        <v>18879</v>
      </c>
      <c r="E7940" s="1"/>
      <c r="F7940" s="39">
        <f t="shared" si="1163"/>
        <v>344</v>
      </c>
      <c r="G7940" s="168">
        <f>SUM(C7940,C7916,C7892,C7868,C7844,C7820,C7796,C7772,C7748,C7724,C7700,C7676,C7652,C7628)/POBLA!$B$19*100000</f>
        <v>428.26678837286158</v>
      </c>
      <c r="H7940" s="256">
        <f t="shared" si="1161"/>
        <v>4.0092081031307547</v>
      </c>
      <c r="I7940" s="297">
        <f t="shared" si="1164"/>
        <v>1717.0106782462608</v>
      </c>
      <c r="J7940" s="297">
        <f t="shared" si="1165"/>
        <v>245.28571428571428</v>
      </c>
      <c r="K7940" s="297">
        <f>J7940/POBLA!$B$19*100000</f>
        <v>48.253433666001925</v>
      </c>
      <c r="L7940" s="549">
        <f t="shared" si="1162"/>
        <v>-2.732608695652174</v>
      </c>
      <c r="M7940" s="401">
        <f>SUM(C7940,C7916,C7892,C7868,C7844,C7820,C7796)/POBLA!$B$19*100000</f>
        <v>337.77403566201349</v>
      </c>
    </row>
    <row r="7941" spans="1:13" s="360" customFormat="1" ht="15.75" thickBot="1" x14ac:dyDescent="0.3">
      <c r="A7941" s="367" t="s">
        <v>37</v>
      </c>
      <c r="B7941" s="282">
        <v>44223</v>
      </c>
      <c r="C7941" s="1">
        <v>167</v>
      </c>
      <c r="D7941" s="276">
        <f t="shared" si="1166"/>
        <v>31993</v>
      </c>
      <c r="E7941" s="1">
        <v>2</v>
      </c>
      <c r="F7941" s="39">
        <f t="shared" si="1163"/>
        <v>490</v>
      </c>
      <c r="G7941" s="168">
        <f>SUM(C7941,C7917,C7893,C7869,C7845,C7821,C7797,C7773,C7749,C7725,C7701,C7677,C7653,C7629)/POBLA!$B$20*100000</f>
        <v>1022.9752418662393</v>
      </c>
      <c r="H7941" s="256">
        <f t="shared" si="1161"/>
        <v>0.76082977425259302</v>
      </c>
      <c r="I7941" s="297">
        <f t="shared" si="1164"/>
        <v>778.31002233508264</v>
      </c>
      <c r="J7941" s="297">
        <f t="shared" si="1165"/>
        <v>197.71428571428572</v>
      </c>
      <c r="K7941" s="297">
        <f>J7941/POBLA!$B$20*100000</f>
        <v>54.064907577915577</v>
      </c>
      <c r="L7941" s="549">
        <f t="shared" si="1162"/>
        <v>0.41281289775137886</v>
      </c>
      <c r="M7941" s="401">
        <f>SUM(C7941,C7917,C7893,C7869,C7845,C7821,C7797)/POBLA!$B$20*100000</f>
        <v>378.45435304540905</v>
      </c>
    </row>
    <row r="7942" spans="1:13" s="360" customFormat="1" ht="15.75" thickBot="1" x14ac:dyDescent="0.3">
      <c r="A7942" s="367" t="s">
        <v>22</v>
      </c>
      <c r="B7942" s="282">
        <v>44223</v>
      </c>
      <c r="C7942" s="1">
        <v>924</v>
      </c>
      <c r="D7942" s="276">
        <f t="shared" si="1166"/>
        <v>203801</v>
      </c>
      <c r="E7942" s="1">
        <v>29</v>
      </c>
      <c r="F7942" s="39">
        <f t="shared" si="1163"/>
        <v>3410</v>
      </c>
      <c r="G7942" s="168">
        <f>SUM(C7942,C7918,C7894,C7870,C7846,C7822,C7798,C7774,C7750,C7726,C7702,C7678,C7654,C7630)/POBLA!$B$21*100000</f>
        <v>377.64200951358123</v>
      </c>
      <c r="H7942" s="256">
        <f t="shared" si="1161"/>
        <v>0.86580226904376012</v>
      </c>
      <c r="I7942" s="297">
        <f t="shared" si="1164"/>
        <v>326.96330872310386</v>
      </c>
      <c r="J7942" s="297">
        <f t="shared" si="1165"/>
        <v>779.42857142857144</v>
      </c>
      <c r="K7942" s="297">
        <f>J7942/POBLA!$B$21*100000</f>
        <v>22.040057805060698</v>
      </c>
      <c r="L7942" s="549">
        <f t="shared" si="1162"/>
        <v>0.30927965565261428</v>
      </c>
      <c r="M7942" s="401">
        <f>SUM(C7942,C7918,C7894,C7870,C7846,C7822,C7798)/POBLA!$B$21*100000</f>
        <v>154.28040463542487</v>
      </c>
    </row>
    <row r="7943" spans="1:13" s="360" customFormat="1" ht="15.75" thickBot="1" x14ac:dyDescent="0.3">
      <c r="A7943" s="367" t="s">
        <v>38</v>
      </c>
      <c r="B7943" s="282">
        <v>44223</v>
      </c>
      <c r="C7943" s="1">
        <v>101</v>
      </c>
      <c r="D7943" s="276">
        <f t="shared" si="1166"/>
        <v>20652</v>
      </c>
      <c r="E7943" s="1">
        <v>2</v>
      </c>
      <c r="F7943" s="39">
        <f t="shared" si="1163"/>
        <v>249</v>
      </c>
      <c r="G7943" s="168">
        <f>SUM(C7943,C7919,C7895,C7871,C7847,C7823,C7799,C7775,C7751,C7727,C7703,C7679,C7655,C7631)/POBLA!$B$22*100000</f>
        <v>163.54684032615327</v>
      </c>
      <c r="H7943" s="256">
        <f t="shared" si="1161"/>
        <v>0.92915214866434381</v>
      </c>
      <c r="I7943" s="297">
        <f t="shared" si="1164"/>
        <v>151.95989809630967</v>
      </c>
      <c r="J7943" s="297">
        <f t="shared" si="1165"/>
        <v>99</v>
      </c>
      <c r="K7943" s="297">
        <f>J7943/POBLA!$B$22*100000</f>
        <v>10.119460745180733</v>
      </c>
      <c r="L7943" s="549">
        <f t="shared" si="1162"/>
        <v>0.2359426681367145</v>
      </c>
      <c r="M7943" s="401">
        <f>SUM(C7943,C7919,C7895,C7871,C7847,C7823,C7799)/POBLA!$B$22*100000</f>
        <v>70.836225216265149</v>
      </c>
    </row>
    <row r="7944" spans="1:13" s="360" customFormat="1" ht="15.75" thickBot="1" x14ac:dyDescent="0.3">
      <c r="A7944" s="367" t="s">
        <v>39</v>
      </c>
      <c r="B7944" s="282">
        <v>44223</v>
      </c>
      <c r="C7944" s="1">
        <v>85</v>
      </c>
      <c r="D7944" s="276">
        <f t="shared" si="1166"/>
        <v>21657</v>
      </c>
      <c r="E7944" s="1">
        <v>1</v>
      </c>
      <c r="F7944" s="39">
        <f t="shared" si="1163"/>
        <v>325</v>
      </c>
      <c r="G7944" s="168">
        <f>SUM(C7944,C7920,C7896,C7872,C7848,C7824,C7800,C7776,C7752,C7728,C7704,C7680,C7656,C7632)/POBLA!$B$23*100000</f>
        <v>655.43177062715597</v>
      </c>
      <c r="H7944" s="256">
        <f t="shared" si="1161"/>
        <v>0.78843537414965992</v>
      </c>
      <c r="I7944" s="297">
        <f t="shared" si="1164"/>
        <v>516.76559330399584</v>
      </c>
      <c r="J7944" s="297">
        <f t="shared" si="1165"/>
        <v>77.285714285714292</v>
      </c>
      <c r="K7944" s="297">
        <f>J7944/POBLA!$B$23*100000</f>
        <v>43.706223087549795</v>
      </c>
      <c r="L7944" s="549">
        <f t="shared" si="1162"/>
        <v>0.12459546925566345</v>
      </c>
      <c r="M7944" s="401">
        <f>SUM(C7944,C7920,C7896,C7872,C7848,C7824,C7800)/POBLA!$B$23*100000</f>
        <v>305.9435616128485</v>
      </c>
    </row>
    <row r="7945" spans="1:13" s="360" customFormat="1" ht="15.75" thickBot="1" x14ac:dyDescent="0.3">
      <c r="A7945" s="369" t="s">
        <v>40</v>
      </c>
      <c r="B7945" s="282">
        <v>44223</v>
      </c>
      <c r="C7945" s="1">
        <v>287</v>
      </c>
      <c r="D7945" s="283">
        <f t="shared" si="1166"/>
        <v>75898</v>
      </c>
      <c r="E7945" s="1"/>
      <c r="F7945" s="176">
        <f t="shared" si="1163"/>
        <v>1421</v>
      </c>
      <c r="G7945" s="177">
        <f>SUM(C7945,C7921,C7897,C7873,C7849,C7825,C7801,C7777,C7753,C7729,C7705,C7681,C7657,C7633)/POBLA!$B$24*100000</f>
        <v>134.71760640507571</v>
      </c>
      <c r="H7945" s="402">
        <f t="shared" si="1161"/>
        <v>0.87104158718046543</v>
      </c>
      <c r="I7945" s="403">
        <f t="shared" si="1164"/>
        <v>117.34463770423038</v>
      </c>
      <c r="J7945" s="403">
        <f t="shared" si="1165"/>
        <v>152.85714285714286</v>
      </c>
      <c r="K7945" s="403">
        <f>J7945/POBLA!$B$24*100000</f>
        <v>9.0199511202947882</v>
      </c>
      <c r="L7945" s="550">
        <f t="shared" si="1162"/>
        <v>0.11788953009068426</v>
      </c>
      <c r="M7945" s="405">
        <f>SUM(C7945,C7921,C7897,C7873,C7849,C7825,C7801)/POBLA!$B$24*100000</f>
        <v>63.139657842063514</v>
      </c>
    </row>
    <row r="7946" spans="1:13" s="360" customFormat="1" ht="15.75" thickBot="1" x14ac:dyDescent="0.3">
      <c r="A7946" s="363" t="s">
        <v>16</v>
      </c>
      <c r="B7946" s="282">
        <v>44224</v>
      </c>
      <c r="C7946" s="1">
        <v>4175</v>
      </c>
      <c r="D7946" s="281">
        <f t="shared" si="1166"/>
        <v>794572</v>
      </c>
      <c r="E7946" s="1">
        <v>91</v>
      </c>
      <c r="F7946" s="174">
        <f>E7946+F7922</f>
        <v>24365</v>
      </c>
      <c r="G7946" s="175">
        <f>SUM(C7946,C7922,C7898,C7874,C7850,C7826,C7802,C7778,C7754,C7730,C7706,C7682,C7658,C7634)/POBLA!$B$1*100000</f>
        <v>307.76219175252055</v>
      </c>
      <c r="H7946" s="300">
        <f t="shared" ref="H7946:H7969" si="1167">SUM(C7946,C7922,C7898,C7874,C7850,C7826,C7802,C7778,C7754,C7730,C7706,C7682,C7658,C7634)/SUM(C7610,C7586,C7562,C7538,C7514,C7490,C7466,C7442,C7418,C7394,C7370,C7346,C7322,C7298)</f>
        <v>0.96709182759485512</v>
      </c>
      <c r="I7946" s="301">
        <f>G7946*H7946</f>
        <v>297.63430048654334</v>
      </c>
      <c r="J7946" s="301">
        <f>AVERAGE(C7946,C7922,C7898,C7874,C7850,C7826,C7802)</f>
        <v>3639.4285714285716</v>
      </c>
      <c r="K7946" s="301">
        <f>J7946/POBLA!$B$1*100000</f>
        <v>20.747958022961971</v>
      </c>
      <c r="L7946" s="548">
        <f t="shared" ref="L7946:L7969" si="1168">1-SUM(C7946,C7922,C7898,C7874,C7850,C7826,C7802)/SUM(C7778,C7754,C7730,C7706,C7682,C7658,C7634)</f>
        <v>0.10638745659265492</v>
      </c>
      <c r="M7946" s="400">
        <f>SUM(C7946,C7922,C7898,C7874,C7850,C7826,C7802)/POBLA!$B$1*100000</f>
        <v>145.23570616073377</v>
      </c>
    </row>
    <row r="7947" spans="1:13" s="360" customFormat="1" ht="15.75" thickBot="1" x14ac:dyDescent="0.3">
      <c r="A7947" s="367" t="s">
        <v>43</v>
      </c>
      <c r="B7947" s="282">
        <v>44224</v>
      </c>
      <c r="C7947" s="1">
        <v>1101</v>
      </c>
      <c r="D7947" s="276">
        <f t="shared" si="1166"/>
        <v>207345</v>
      </c>
      <c r="E7947" s="1">
        <v>9</v>
      </c>
      <c r="F7947" s="39">
        <f t="shared" ref="F7947:F7969" si="1169">E7947+F7923</f>
        <v>5879</v>
      </c>
      <c r="G7947" s="168">
        <f>SUM(C7947,C7923,C7899,C7875,C7851,C7827,C7803,C7779,C7755,C7731,C7707,C7683,C7659,C7635)/POBLA!$B$2*100000</f>
        <v>528.79947822343661</v>
      </c>
      <c r="H7947" s="256">
        <f t="shared" si="1167"/>
        <v>0.98677344982405046</v>
      </c>
      <c r="I7947" s="297">
        <f t="shared" ref="I7947:I7969" si="1170">G7947*H7947</f>
        <v>521.80528539169836</v>
      </c>
      <c r="J7947" s="297">
        <f t="shared" ref="J7947:J7969" si="1171">AVERAGE(C7947,C7923,C7899,C7875,C7851,C7827,C7803)</f>
        <v>1074.5714285714287</v>
      </c>
      <c r="K7947" s="297">
        <f>J7947/POBLA!$B$2*100000</f>
        <v>34.93807247555241</v>
      </c>
      <c r="L7947" s="549">
        <f t="shared" si="1168"/>
        <v>0.13955616563715401</v>
      </c>
      <c r="M7947" s="401">
        <f>SUM(C7947,C7923,C7899,C7875,C7851,C7827,C7803)/POBLA!$B$2*100000</f>
        <v>244.56650732886686</v>
      </c>
    </row>
    <row r="7948" spans="1:13" s="360" customFormat="1" ht="15.75" thickBot="1" x14ac:dyDescent="0.3">
      <c r="A7948" s="367" t="s">
        <v>28</v>
      </c>
      <c r="B7948" s="282">
        <v>44224</v>
      </c>
      <c r="C7948" s="1">
        <v>86</v>
      </c>
      <c r="D7948" s="276">
        <f t="shared" si="1166"/>
        <v>5040</v>
      </c>
      <c r="E7948" s="1"/>
      <c r="F7948" s="39">
        <f t="shared" si="1169"/>
        <v>17</v>
      </c>
      <c r="G7948" s="168">
        <f>SUM(C7948,C7924,C7900,C7876,C7852,C7828,C7804,C7780,C7756,C7732,C7708,C7684,C7660,C7636)/POBLA!$B$3*100000</f>
        <v>386.57994694755894</v>
      </c>
      <c r="H7948" s="256">
        <f t="shared" si="1167"/>
        <v>2.4077961019490255</v>
      </c>
      <c r="I7948" s="297">
        <f t="shared" si="1170"/>
        <v>930.80568935199346</v>
      </c>
      <c r="J7948" s="297">
        <f t="shared" si="1171"/>
        <v>66.142857142857139</v>
      </c>
      <c r="K7948" s="297">
        <f>J7948/POBLA!$B$3*100000</f>
        <v>15.921234249841648</v>
      </c>
      <c r="L7948" s="549">
        <f t="shared" si="1168"/>
        <v>0.59492563429571299</v>
      </c>
      <c r="M7948" s="401">
        <f>SUM(C7948,C7924,C7900,C7876,C7852,C7828,C7804)/POBLA!$B$3*100000</f>
        <v>111.44863974889152</v>
      </c>
    </row>
    <row r="7949" spans="1:13" s="360" customFormat="1" ht="15.75" thickBot="1" x14ac:dyDescent="0.3">
      <c r="A7949" s="367" t="s">
        <v>15</v>
      </c>
      <c r="B7949" s="282">
        <v>44224</v>
      </c>
      <c r="C7949" s="1">
        <v>137</v>
      </c>
      <c r="D7949" s="276">
        <f t="shared" si="1166"/>
        <v>30350</v>
      </c>
      <c r="E7949" s="1">
        <v>3</v>
      </c>
      <c r="F7949" s="39">
        <f t="shared" si="1169"/>
        <v>793</v>
      </c>
      <c r="G7949" s="168">
        <f>SUM(C7949,C7925,C7901,C7877,C7853,C7829,C7805,C7781,C7757,C7733,C7709,C7685,C7661,C7637)/POBLA!$B$4*100000</f>
        <v>199.91017325271619</v>
      </c>
      <c r="H7949" s="256">
        <f t="shared" si="1167"/>
        <v>0.76202531645569616</v>
      </c>
      <c r="I7949" s="297">
        <f t="shared" si="1170"/>
        <v>152.33661303561411</v>
      </c>
      <c r="J7949" s="297">
        <f t="shared" si="1171"/>
        <v>146.71428571428572</v>
      </c>
      <c r="K7949" s="297">
        <f>J7949/POBLA!$B$4*100000</f>
        <v>12.180098951740598</v>
      </c>
      <c r="L7949" s="549">
        <f t="shared" si="1168"/>
        <v>0.25633598841419258</v>
      </c>
      <c r="M7949" s="401">
        <f>SUM(C7949,C7925,C7901,C7877,C7853,C7829,C7805)/POBLA!$B$4*100000</f>
        <v>85.260692662184184</v>
      </c>
    </row>
    <row r="7950" spans="1:13" s="360" customFormat="1" ht="15.75" thickBot="1" x14ac:dyDescent="0.3">
      <c r="A7950" s="367" t="s">
        <v>29</v>
      </c>
      <c r="B7950" s="282">
        <v>44224</v>
      </c>
      <c r="C7950" s="1">
        <v>316</v>
      </c>
      <c r="D7950" s="276">
        <f t="shared" si="1166"/>
        <v>41591</v>
      </c>
      <c r="E7950" s="1">
        <v>8</v>
      </c>
      <c r="F7950" s="39">
        <f t="shared" si="1169"/>
        <v>652</v>
      </c>
      <c r="G7950" s="168">
        <f>SUM(C7950,C7926,C7902,C7878,C7854,C7830,C7806,C7782,C7758,C7734,C7710,C7686,C7662,C7638)/POBLA!$B$5*100000</f>
        <v>661.23419613114186</v>
      </c>
      <c r="H7950" s="256">
        <f t="shared" si="1167"/>
        <v>0.73522543560265852</v>
      </c>
      <c r="I7950" s="297">
        <f t="shared" si="1170"/>
        <v>486.15619988589253</v>
      </c>
      <c r="J7950" s="297">
        <f t="shared" si="1171"/>
        <v>299.85714285714283</v>
      </c>
      <c r="K7950" s="297">
        <f>J7950/POBLA!$B$5*100000</f>
        <v>48.442657417865576</v>
      </c>
      <c r="L7950" s="549">
        <f t="shared" si="1168"/>
        <v>-5.2657973921765189E-2</v>
      </c>
      <c r="M7950" s="401">
        <f>SUM(C7950,C7926,C7902,C7878,C7854,C7830,C7806)/POBLA!$B$5*100000</f>
        <v>339.09860192505909</v>
      </c>
    </row>
    <row r="7951" spans="1:13" s="360" customFormat="1" ht="15.75" thickBot="1" x14ac:dyDescent="0.3">
      <c r="A7951" s="367" t="s">
        <v>30</v>
      </c>
      <c r="B7951" s="282">
        <v>44224</v>
      </c>
      <c r="C7951" s="1">
        <v>108</v>
      </c>
      <c r="D7951" s="276">
        <f t="shared" si="1166"/>
        <v>16962</v>
      </c>
      <c r="E7951" s="1">
        <v>2</v>
      </c>
      <c r="F7951" s="39">
        <f t="shared" si="1169"/>
        <v>2574</v>
      </c>
      <c r="G7951" s="168">
        <f>SUM(C7951,C7927,C7903,C7879,C7855,C7831,C7807,C7783,C7759,C7735,C7711,C7687,C7663,C7639)/POBLA!$B$6*100000</f>
        <v>269.09326454919295</v>
      </c>
      <c r="H7951" s="256">
        <f t="shared" si="1167"/>
        <v>0.35390753344285381</v>
      </c>
      <c r="I7951" s="297">
        <f t="shared" si="1170"/>
        <v>95.234133522690215</v>
      </c>
      <c r="J7951" s="297">
        <f t="shared" si="1171"/>
        <v>150.42857142857142</v>
      </c>
      <c r="K7951" s="297">
        <f>J7951/POBLA!$B$6*100000</f>
        <v>13.421523662859991</v>
      </c>
      <c r="L7951" s="549">
        <f t="shared" si="1168"/>
        <v>0.46357615894039739</v>
      </c>
      <c r="M7951" s="401">
        <f>SUM(C7951,C7927,C7903,C7879,C7855,C7831,C7807)/POBLA!$B$6*100000</f>
        <v>93.950665640019949</v>
      </c>
    </row>
    <row r="7952" spans="1:13" s="360" customFormat="1" ht="15.75" thickBot="1" x14ac:dyDescent="0.3">
      <c r="A7952" s="367" t="s">
        <v>20</v>
      </c>
      <c r="B7952" s="282">
        <v>44224</v>
      </c>
      <c r="C7952" s="1">
        <v>678</v>
      </c>
      <c r="D7952" s="276">
        <f t="shared" si="1166"/>
        <v>143851</v>
      </c>
      <c r="E7952" s="1">
        <v>6</v>
      </c>
      <c r="F7952" s="39">
        <f t="shared" si="1169"/>
        <v>276</v>
      </c>
      <c r="G7952" s="168">
        <f>SUM(C7952,C7928,C7904,C7880,C7856,C7832,C7808,C7784,C7760,C7736,C7712,C7688,C7664,C7640)/POBLA!$B$7*100000</f>
        <v>175.1386137297398</v>
      </c>
      <c r="H7952" s="256">
        <f t="shared" si="1167"/>
        <v>2.1829632084852504</v>
      </c>
      <c r="I7952" s="297">
        <f t="shared" si="1170"/>
        <v>382.32115015713174</v>
      </c>
      <c r="J7952" s="297">
        <f t="shared" si="1171"/>
        <v>536.71428571428567</v>
      </c>
      <c r="K7952" s="297">
        <f>J7952/POBLA!$B$7*100000</f>
        <v>14.272607951555948</v>
      </c>
      <c r="L7952" s="549">
        <f t="shared" si="1168"/>
        <v>-0.32803110639802058</v>
      </c>
      <c r="M7952" s="401">
        <f>SUM(C7952,C7928,C7904,C7880,C7856,C7832,C7808)/POBLA!$B$7*100000</f>
        <v>99.908255660891641</v>
      </c>
    </row>
    <row r="7953" spans="1:13" ht="15.75" thickBot="1" x14ac:dyDescent="0.3">
      <c r="A7953" s="367" t="s">
        <v>31</v>
      </c>
      <c r="B7953" s="282">
        <v>44224</v>
      </c>
      <c r="C7953" s="1">
        <v>316</v>
      </c>
      <c r="D7953" s="276">
        <f t="shared" si="1166"/>
        <v>40316</v>
      </c>
      <c r="E7953" s="1">
        <v>3</v>
      </c>
      <c r="F7953" s="39">
        <f t="shared" si="1169"/>
        <v>705</v>
      </c>
      <c r="G7953" s="168">
        <f>SUM(C7953,C7929,C7905,C7881,C7857,C7833,C7809,C7785,C7761,C7737,C7713,C7689,C7665,C7641)/POBLA!$B$8*100000</f>
        <v>360.11114309854321</v>
      </c>
      <c r="H7953" s="256">
        <f t="shared" si="1167"/>
        <v>0.85579561042524011</v>
      </c>
      <c r="I7953" s="297">
        <f t="shared" si="1170"/>
        <v>308.18153552894876</v>
      </c>
      <c r="J7953" s="297">
        <f t="shared" si="1171"/>
        <v>306.57142857142856</v>
      </c>
      <c r="K7953" s="297">
        <f>J7953/POBLA!$B$8*100000</f>
        <v>22.11977310843729</v>
      </c>
      <c r="L7953" s="549">
        <f t="shared" si="1168"/>
        <v>0.24569420035149381</v>
      </c>
      <c r="M7953" s="401">
        <f>SUM(C7953,C7929,C7905,C7881,C7857,C7833,C7809)/POBLA!$B$8*100000</f>
        <v>154.83841175906105</v>
      </c>
    </row>
    <row r="7954" spans="1:13" s="360" customFormat="1" ht="15.75" thickBot="1" x14ac:dyDescent="0.3">
      <c r="A7954" s="367" t="s">
        <v>41</v>
      </c>
      <c r="B7954" s="282">
        <v>44224</v>
      </c>
      <c r="C7954" s="1">
        <v>5</v>
      </c>
      <c r="D7954" s="276">
        <f t="shared" si="1166"/>
        <v>833</v>
      </c>
      <c r="E7954" s="1"/>
      <c r="F7954" s="39">
        <f t="shared" si="1169"/>
        <v>6</v>
      </c>
      <c r="G7954" s="168">
        <f>SUM(C7954,C7930,C7906,C7882,C7858,C7834,C7810,C7786,C7762,C7738,C7714,C7690,C7666,C7642)/POBLA!$B$9*100000</f>
        <v>55.023769276908361</v>
      </c>
      <c r="H7954" s="256">
        <f t="shared" si="1167"/>
        <v>1.1808510638297873</v>
      </c>
      <c r="I7954" s="297">
        <f t="shared" si="1170"/>
        <v>64.97487648656201</v>
      </c>
      <c r="J7954" s="297">
        <f t="shared" si="1171"/>
        <v>10.571428571428571</v>
      </c>
      <c r="K7954" s="297">
        <f>J7954/POBLA!$B$9*100000</f>
        <v>1.7467863262510588</v>
      </c>
      <c r="L7954" s="549">
        <f t="shared" si="1168"/>
        <v>0.7142857142857143</v>
      </c>
      <c r="M7954" s="401">
        <f>SUM(C7954,C7930,C7906,C7882,C7858,C7834,C7810)/POBLA!$B$9*100000</f>
        <v>12.227504283757412</v>
      </c>
    </row>
    <row r="7955" spans="1:13" s="360" customFormat="1" ht="15.75" thickBot="1" x14ac:dyDescent="0.3">
      <c r="A7955" s="367" t="s">
        <v>32</v>
      </c>
      <c r="B7955" s="282">
        <v>44224</v>
      </c>
      <c r="C7955" s="1">
        <v>40</v>
      </c>
      <c r="D7955" s="276">
        <f t="shared" si="1166"/>
        <v>19246</v>
      </c>
      <c r="E7955" s="1"/>
      <c r="F7955" s="39">
        <f t="shared" si="1169"/>
        <v>866</v>
      </c>
      <c r="G7955" s="168">
        <f>SUM(C7955,C7931,C7907,C7883,C7859,C7835,C7811,C7787,C7763,C7739,C7715,C7691,C7667,C7643)/POBLA!$B$10*100000</f>
        <v>63.17447180563537</v>
      </c>
      <c r="H7955" s="256">
        <f t="shared" si="1167"/>
        <v>2.3413461538461537</v>
      </c>
      <c r="I7955" s="297">
        <f t="shared" si="1170"/>
        <v>147.91330658338666</v>
      </c>
      <c r="J7955" s="297">
        <f t="shared" si="1171"/>
        <v>31.428571428571427</v>
      </c>
      <c r="K7955" s="297">
        <f>J7955/POBLA!$B$10*100000</f>
        <v>4.0769679663361051</v>
      </c>
      <c r="L7955" s="549">
        <f t="shared" si="1168"/>
        <v>0.17602996254681647</v>
      </c>
      <c r="M7955" s="401">
        <f>SUM(C7955,C7931,C7907,C7883,C7859,C7835,C7811)/POBLA!$B$10*100000</f>
        <v>28.538775764352735</v>
      </c>
    </row>
    <row r="7956" spans="1:13" s="360" customFormat="1" ht="15.75" thickBot="1" x14ac:dyDescent="0.3">
      <c r="A7956" s="367" t="s">
        <v>33</v>
      </c>
      <c r="B7956" s="282">
        <v>44224</v>
      </c>
      <c r="C7956" s="1">
        <v>118</v>
      </c>
      <c r="D7956" s="276">
        <f t="shared" si="1166"/>
        <v>16238</v>
      </c>
      <c r="E7956" s="1"/>
      <c r="F7956" s="39">
        <f t="shared" si="1169"/>
        <v>237</v>
      </c>
      <c r="G7956" s="168">
        <f>SUM(C7956,C7932,C7908,C7884,C7860,C7836,C7812,C7788,C7764,C7740,C7716,C7692,C7668,C7644)/POBLA!$B$11*100000</f>
        <v>474.01430691798629</v>
      </c>
      <c r="H7956" s="256">
        <f t="shared" si="1167"/>
        <v>0.46068329718004336</v>
      </c>
      <c r="I7956" s="297">
        <f t="shared" si="1170"/>
        <v>218.37047382149098</v>
      </c>
      <c r="J7956" s="297">
        <f t="shared" si="1171"/>
        <v>99</v>
      </c>
      <c r="K7956" s="297">
        <f>J7956/POBLA!$B$11*100000</f>
        <v>27.62060999698684</v>
      </c>
      <c r="L7956" s="549">
        <f t="shared" si="1168"/>
        <v>0.31113320079522866</v>
      </c>
      <c r="M7956" s="401">
        <f>SUM(C7956,C7932,C7908,C7884,C7860,C7836,C7812)/POBLA!$B$11*100000</f>
        <v>193.3442699789079</v>
      </c>
    </row>
    <row r="7957" spans="1:13" s="360" customFormat="1" ht="15.75" thickBot="1" x14ac:dyDescent="0.3">
      <c r="A7957" s="367" t="s">
        <v>21</v>
      </c>
      <c r="B7957" s="282">
        <v>44224</v>
      </c>
      <c r="C7957" s="1">
        <v>10</v>
      </c>
      <c r="D7957" s="276">
        <f t="shared" si="1166"/>
        <v>9498</v>
      </c>
      <c r="E7957" s="1">
        <v>1</v>
      </c>
      <c r="F7957" s="39">
        <f t="shared" si="1169"/>
        <v>406</v>
      </c>
      <c r="G7957" s="168">
        <f>SUM(C7957,C7933,C7909,C7885,C7861,C7837,C7813,C7789,C7765,C7741,C7717,C7693,C7669,C7645)/POBLA!$B$12*100000</f>
        <v>60.732191364848006</v>
      </c>
      <c r="H7957" s="256">
        <f t="shared" si="1167"/>
        <v>1.4484848484848485</v>
      </c>
      <c r="I7957" s="297">
        <f t="shared" si="1170"/>
        <v>87.969659007264681</v>
      </c>
      <c r="J7957" s="297">
        <f t="shared" si="1171"/>
        <v>17.142857142857142</v>
      </c>
      <c r="K7957" s="297">
        <f>J7957/POBLA!$B$12*100000</f>
        <v>4.3561643537249015</v>
      </c>
      <c r="L7957" s="549">
        <f t="shared" si="1168"/>
        <v>-8.4033613445377853E-3</v>
      </c>
      <c r="M7957" s="401">
        <f>SUM(C7957,C7933,C7909,C7885,C7861,C7837,C7813)/POBLA!$B$12*100000</f>
        <v>30.493150476074312</v>
      </c>
    </row>
    <row r="7958" spans="1:13" s="360" customFormat="1" ht="15.75" thickBot="1" x14ac:dyDescent="0.3">
      <c r="A7958" s="367" t="s">
        <v>17</v>
      </c>
      <c r="B7958" s="282">
        <v>44224</v>
      </c>
      <c r="C7958" s="1">
        <v>101</v>
      </c>
      <c r="D7958" s="276">
        <f t="shared" si="1166"/>
        <v>63572</v>
      </c>
      <c r="E7958" s="1">
        <v>3</v>
      </c>
      <c r="F7958" s="39">
        <f t="shared" si="1169"/>
        <v>1339</v>
      </c>
      <c r="G7958" s="168">
        <f>SUM(C7958,C7934,C7910,C7886,C7862,C7838,C7814,C7790,C7766,C7742,C7718,C7694,C7670,C7646)/POBLA!$B$13*100000</f>
        <v>83.855104007460042</v>
      </c>
      <c r="H7958" s="256">
        <f t="shared" si="1167"/>
        <v>0.95045558086560367</v>
      </c>
      <c r="I7958" s="297">
        <f t="shared" si="1170"/>
        <v>79.700551587956042</v>
      </c>
      <c r="J7958" s="297">
        <f t="shared" si="1171"/>
        <v>109</v>
      </c>
      <c r="K7958" s="297">
        <f>J7958/POBLA!$B$13*100000</f>
        <v>5.4764567626202183</v>
      </c>
      <c r="L7958" s="549">
        <f t="shared" si="1168"/>
        <v>0.15783664459161151</v>
      </c>
      <c r="M7958" s="401">
        <f>SUM(C7958,C7934,C7910,C7886,C7862,C7838,C7814)/POBLA!$B$13*100000</f>
        <v>38.33519733834153</v>
      </c>
    </row>
    <row r="7959" spans="1:13" s="360" customFormat="1" ht="15.75" thickBot="1" x14ac:dyDescent="0.3">
      <c r="A7959" s="367" t="s">
        <v>23</v>
      </c>
      <c r="B7959" s="282">
        <v>44224</v>
      </c>
      <c r="C7959" s="1">
        <v>130</v>
      </c>
      <c r="D7959" s="276">
        <f t="shared" si="1166"/>
        <v>4152</v>
      </c>
      <c r="E7959" s="1">
        <v>5</v>
      </c>
      <c r="F7959" s="39">
        <f t="shared" si="1169"/>
        <v>79</v>
      </c>
      <c r="G7959" s="168">
        <f>SUM(C7959,C7935,C7911,C7887,C7863,C7839,C7815,C7791,C7767,C7743,C7719,C7695,C7671,C7647)/POBLA!$B$14*100000</f>
        <v>189.48793857736578</v>
      </c>
      <c r="H7959" s="256">
        <f t="shared" si="1167"/>
        <v>3.5147058823529411</v>
      </c>
      <c r="I7959" s="297">
        <f t="shared" si="1170"/>
        <v>665.99437235280027</v>
      </c>
      <c r="J7959" s="297">
        <f t="shared" si="1171"/>
        <v>174</v>
      </c>
      <c r="K7959" s="297">
        <f>J7959/POBLA!$B$14*100000</f>
        <v>13.795356197682699</v>
      </c>
      <c r="L7959" s="549">
        <f t="shared" si="1168"/>
        <v>-3.924914675767921E-2</v>
      </c>
      <c r="M7959" s="401">
        <f>SUM(C7959,C7935,C7911,C7887,C7863,C7839,C7815)/POBLA!$B$14*100000</f>
        <v>96.567493383778881</v>
      </c>
    </row>
    <row r="7960" spans="1:13" s="360" customFormat="1" ht="15.75" thickBot="1" x14ac:dyDescent="0.3">
      <c r="A7960" s="367" t="s">
        <v>19</v>
      </c>
      <c r="B7960" s="282">
        <v>44224</v>
      </c>
      <c r="C7960" s="1">
        <v>463</v>
      </c>
      <c r="D7960" s="276">
        <f t="shared" si="1166"/>
        <v>53044</v>
      </c>
      <c r="E7960" s="1"/>
      <c r="F7960" s="39">
        <f t="shared" si="1169"/>
        <v>766</v>
      </c>
      <c r="G7960" s="168">
        <f>SUM(C7960,C7936,C7912,C7888,C7864,C7840,C7816,C7792,C7768,C7744,C7720,C7696,C7672,C7648)/POBLA!$B$15*100000</f>
        <v>880.49670434917482</v>
      </c>
      <c r="H7960" s="256">
        <f t="shared" si="1167"/>
        <v>0.95119570522205954</v>
      </c>
      <c r="I7960" s="297">
        <f t="shared" si="1170"/>
        <v>837.5246836391126</v>
      </c>
      <c r="J7960" s="297">
        <f t="shared" si="1171"/>
        <v>413</v>
      </c>
      <c r="K7960" s="297">
        <f>J7960/POBLA!$B$15*100000</f>
        <v>62.193456284626166</v>
      </c>
      <c r="L7960" s="549">
        <f t="shared" si="1168"/>
        <v>2.198917456021654E-2</v>
      </c>
      <c r="M7960" s="401">
        <f>SUM(C7960,C7936,C7912,C7888,C7864,C7840,C7816)/POBLA!$B$15*100000</f>
        <v>435.35419399238322</v>
      </c>
    </row>
    <row r="7961" spans="1:13" s="360" customFormat="1" ht="15.75" thickBot="1" x14ac:dyDescent="0.3">
      <c r="A7961" s="367" t="s">
        <v>18</v>
      </c>
      <c r="B7961" s="282">
        <v>44224</v>
      </c>
      <c r="C7961" s="1">
        <v>311</v>
      </c>
      <c r="D7961" s="276">
        <f t="shared" si="1166"/>
        <v>47302</v>
      </c>
      <c r="E7961" s="1">
        <v>5</v>
      </c>
      <c r="F7961" s="39">
        <f t="shared" si="1169"/>
        <v>1056</v>
      </c>
      <c r="G7961" s="168">
        <f>SUM(C7961,C7937,C7913,C7889,C7865,C7841,C7817,C7793,C7769,C7745,C7721,C7697,C7673,C7649)/POBLA!$B$16*100000</f>
        <v>565.13422773906188</v>
      </c>
      <c r="H7961" s="256">
        <f t="shared" si="1167"/>
        <v>0.94077042974838565</v>
      </c>
      <c r="I7961" s="297">
        <f t="shared" si="1170"/>
        <v>531.66157029559929</v>
      </c>
      <c r="J7961" s="297">
        <f t="shared" si="1171"/>
        <v>290</v>
      </c>
      <c r="K7961" s="297">
        <f>J7961/POBLA!$B$16*100000</f>
        <v>38.790278353687086</v>
      </c>
      <c r="L7961" s="549">
        <f t="shared" si="1168"/>
        <v>7.5170842824601403E-2</v>
      </c>
      <c r="M7961" s="401">
        <f>SUM(C7961,C7937,C7913,C7889,C7865,C7841,C7817)/POBLA!$B$16*100000</f>
        <v>271.5319484758096</v>
      </c>
    </row>
    <row r="7962" spans="1:13" s="360" customFormat="1" ht="15.75" thickBot="1" x14ac:dyDescent="0.3">
      <c r="A7962" s="367" t="s">
        <v>34</v>
      </c>
      <c r="B7962" s="282">
        <v>44224</v>
      </c>
      <c r="C7962" s="1">
        <v>85</v>
      </c>
      <c r="D7962" s="276">
        <f t="shared" si="1166"/>
        <v>23680</v>
      </c>
      <c r="E7962" s="1"/>
      <c r="F7962" s="39">
        <f t="shared" si="1169"/>
        <v>1036</v>
      </c>
      <c r="G7962" s="168">
        <f>SUM(C7962,C7938,C7914,C7890,C7866,C7842,C7818,C7794,C7770,C7746,C7722,C7698,C7674,C7650)/POBLA!$B$17*100000</f>
        <v>53.355911308434372</v>
      </c>
      <c r="H7962" s="256">
        <f t="shared" si="1167"/>
        <v>1.4048059149722736</v>
      </c>
      <c r="I7962" s="297">
        <f t="shared" si="1170"/>
        <v>74.954699804824628</v>
      </c>
      <c r="J7962" s="297">
        <f t="shared" si="1171"/>
        <v>53.714285714285715</v>
      </c>
      <c r="K7962" s="297">
        <f>J7962/POBLA!$B$17*100000</f>
        <v>3.7710192954833319</v>
      </c>
      <c r="L7962" s="549">
        <f t="shared" si="1168"/>
        <v>2.083333333333337E-2</v>
      </c>
      <c r="M7962" s="401">
        <f>SUM(C7962,C7938,C7914,C7890,C7866,C7842,C7818)/POBLA!$B$17*100000</f>
        <v>26.397135068383321</v>
      </c>
    </row>
    <row r="7963" spans="1:13" s="360" customFormat="1" ht="15.75" thickBot="1" x14ac:dyDescent="0.3">
      <c r="A7963" s="367" t="s">
        <v>35</v>
      </c>
      <c r="B7963" s="282">
        <v>44224</v>
      </c>
      <c r="C7963" s="1">
        <v>74</v>
      </c>
      <c r="D7963" s="276">
        <f t="shared" si="1166"/>
        <v>13835</v>
      </c>
      <c r="E7963" s="1">
        <v>2</v>
      </c>
      <c r="F7963" s="39">
        <f t="shared" si="1169"/>
        <v>219</v>
      </c>
      <c r="G7963" s="168">
        <f>SUM(C7963,C7939,C7915,C7891,C7867,C7843,C7819,C7795,C7771,C7747,C7723,C7699,C7675,C7651)/POBLA!$B$18*100000</f>
        <v>117.50896357862156</v>
      </c>
      <c r="H7963" s="256">
        <f t="shared" si="1167"/>
        <v>0.67056245434623818</v>
      </c>
      <c r="I7963" s="297">
        <f t="shared" si="1170"/>
        <v>78.797099024963188</v>
      </c>
      <c r="J7963" s="297">
        <f t="shared" si="1171"/>
        <v>57.428571428571431</v>
      </c>
      <c r="K7963" s="297">
        <f>J7963/POBLA!$B$18*100000</f>
        <v>7.3511676561789399</v>
      </c>
      <c r="L7963" s="549">
        <f t="shared" si="1168"/>
        <v>0.22093023255813948</v>
      </c>
      <c r="M7963" s="401">
        <f>SUM(C7963,C7939,C7915,C7891,C7867,C7843,C7819)/POBLA!$B$18*100000</f>
        <v>51.458173593252582</v>
      </c>
    </row>
    <row r="7964" spans="1:13" s="360" customFormat="1" ht="15.75" thickBot="1" x14ac:dyDescent="0.3">
      <c r="A7964" s="367" t="s">
        <v>36</v>
      </c>
      <c r="B7964" s="282">
        <v>44224</v>
      </c>
      <c r="C7964" s="1">
        <v>68</v>
      </c>
      <c r="D7964" s="276">
        <f t="shared" si="1166"/>
        <v>18947</v>
      </c>
      <c r="E7964" s="1">
        <v>4</v>
      </c>
      <c r="F7964" s="39">
        <f t="shared" si="1169"/>
        <v>348</v>
      </c>
      <c r="G7964" s="168">
        <f>SUM(C7964,C7940,C7916,C7892,C7868,C7844,C7820,C7796,C7772,C7748,C7724,C7700,C7676,C7652)/POBLA!$B$19*100000</f>
        <v>430.23402212744526</v>
      </c>
      <c r="H7964" s="256">
        <f t="shared" si="1167"/>
        <v>3.8435852372583481</v>
      </c>
      <c r="I7964" s="297">
        <f t="shared" si="1170"/>
        <v>1653.6411360153302</v>
      </c>
      <c r="J7964" s="297">
        <f t="shared" si="1171"/>
        <v>226.14285714285714</v>
      </c>
      <c r="K7964" s="297">
        <f>J7964/POBLA!$B$19*100000</f>
        <v>44.487586192941791</v>
      </c>
      <c r="L7964" s="549">
        <f t="shared" si="1168"/>
        <v>-1.620860927152318</v>
      </c>
      <c r="M7964" s="401">
        <f>SUM(C7964,C7940,C7916,C7892,C7868,C7844,C7820)/POBLA!$B$19*100000</f>
        <v>311.41310335059256</v>
      </c>
    </row>
    <row r="7965" spans="1:13" s="360" customFormat="1" ht="15.75" thickBot="1" x14ac:dyDescent="0.3">
      <c r="A7965" s="367" t="s">
        <v>37</v>
      </c>
      <c r="B7965" s="282">
        <v>44224</v>
      </c>
      <c r="C7965" s="1">
        <v>147</v>
      </c>
      <c r="D7965" s="276">
        <f t="shared" si="1166"/>
        <v>32140</v>
      </c>
      <c r="E7965" s="1">
        <v>1</v>
      </c>
      <c r="F7965" s="39">
        <f t="shared" si="1169"/>
        <v>491</v>
      </c>
      <c r="G7965" s="168">
        <f>SUM(C7965,C7941,C7917,C7893,C7869,C7845,C7821,C7797,C7773,C7749,C7725,C7701,C7677,C7653)/POBLA!$B$20*100000</f>
        <v>985.23918643252091</v>
      </c>
      <c r="H7965" s="256">
        <f t="shared" si="1167"/>
        <v>0.75345043914680054</v>
      </c>
      <c r="I7965" s="297">
        <f t="shared" si="1170"/>
        <v>742.32889768221935</v>
      </c>
      <c r="J7965" s="297">
        <f t="shared" si="1171"/>
        <v>173.85714285714286</v>
      </c>
      <c r="K7965" s="297">
        <f>J7965/POBLA!$B$20*100000</f>
        <v>47.541179568152643</v>
      </c>
      <c r="L7965" s="549">
        <f t="shared" si="1168"/>
        <v>0.48994132439228832</v>
      </c>
      <c r="M7965" s="401">
        <f>SUM(C7965,C7941,C7917,C7893,C7869,C7845,C7821)/POBLA!$B$20*100000</f>
        <v>332.7882569770685</v>
      </c>
    </row>
    <row r="7966" spans="1:13" s="360" customFormat="1" ht="15.75" thickBot="1" x14ac:dyDescent="0.3">
      <c r="A7966" s="367" t="s">
        <v>22</v>
      </c>
      <c r="B7966" s="282">
        <v>44224</v>
      </c>
      <c r="C7966" s="1">
        <v>662</v>
      </c>
      <c r="D7966" s="276">
        <f t="shared" si="1166"/>
        <v>204463</v>
      </c>
      <c r="E7966" s="1">
        <v>19</v>
      </c>
      <c r="F7966" s="39">
        <f t="shared" si="1169"/>
        <v>3429</v>
      </c>
      <c r="G7966" s="168">
        <f>SUM(C7966,C7942,C7918,C7894,C7870,C7846,C7822,C7798,C7774,C7750,C7726,C7702,C7678,C7654)/POBLA!$B$21*100000</f>
        <v>356.91482172073546</v>
      </c>
      <c r="H7966" s="256">
        <f t="shared" si="1167"/>
        <v>0.81611276348118456</v>
      </c>
      <c r="I7966" s="297">
        <f t="shared" si="1170"/>
        <v>291.28274148190371</v>
      </c>
      <c r="J7966" s="297">
        <f t="shared" si="1171"/>
        <v>716.71428571428567</v>
      </c>
      <c r="K7966" s="297">
        <f>J7966/POBLA!$B$21*100000</f>
        <v>20.266673388561127</v>
      </c>
      <c r="L7966" s="549">
        <f t="shared" si="1168"/>
        <v>0.34030243261012494</v>
      </c>
      <c r="M7966" s="401">
        <f>SUM(C7966,C7942,C7918,C7894,C7870,C7846,C7822)/POBLA!$B$21*100000</f>
        <v>141.8667137199279</v>
      </c>
    </row>
    <row r="7967" spans="1:13" s="360" customFormat="1" ht="15.75" thickBot="1" x14ac:dyDescent="0.3">
      <c r="A7967" s="367" t="s">
        <v>38</v>
      </c>
      <c r="B7967" s="282">
        <v>44224</v>
      </c>
      <c r="C7967" s="1">
        <v>71</v>
      </c>
      <c r="D7967" s="276">
        <f t="shared" si="1166"/>
        <v>20723</v>
      </c>
      <c r="E7967" s="1"/>
      <c r="F7967" s="39">
        <f t="shared" si="1169"/>
        <v>249</v>
      </c>
      <c r="G7967" s="168">
        <f>SUM(C7967,C7943,C7919,C7895,C7871,C7847,C7823,C7799,C7775,C7751,C7727,C7703,C7679,C7655)/POBLA!$B$22*100000</f>
        <v>150.56530987526486</v>
      </c>
      <c r="H7967" s="256">
        <f t="shared" si="1167"/>
        <v>0.80934065934065935</v>
      </c>
      <c r="I7967" s="297">
        <f t="shared" si="1170"/>
        <v>121.85862716827755</v>
      </c>
      <c r="J7967" s="297">
        <f t="shared" si="1171"/>
        <v>94.857142857142861</v>
      </c>
      <c r="K7967" s="297">
        <f>J7967/POBLA!$B$22*100000</f>
        <v>9.69599124790766</v>
      </c>
      <c r="L7967" s="549">
        <f t="shared" si="1168"/>
        <v>0.17923362175525337</v>
      </c>
      <c r="M7967" s="401">
        <f>SUM(C7967,C7943,C7919,C7895,C7871,C7847,C7823)/POBLA!$B$22*100000</f>
        <v>67.871938735353609</v>
      </c>
    </row>
    <row r="7968" spans="1:13" s="360" customFormat="1" ht="15.75" thickBot="1" x14ac:dyDescent="0.3">
      <c r="A7968" s="367" t="s">
        <v>39</v>
      </c>
      <c r="B7968" s="282">
        <v>44224</v>
      </c>
      <c r="C7968" s="1">
        <v>37</v>
      </c>
      <c r="D7968" s="276">
        <f t="shared" si="1166"/>
        <v>21694</v>
      </c>
      <c r="E7968" s="1">
        <v>4</v>
      </c>
      <c r="F7968" s="39">
        <f t="shared" si="1169"/>
        <v>329</v>
      </c>
      <c r="G7968" s="168">
        <f>SUM(C7968,C7944,C7920,C7896,C7872,C7848,C7824,C7800,C7776,C7752,C7728,C7704,C7680,C7656)/POBLA!$B$23*100000</f>
        <v>635.63874908103821</v>
      </c>
      <c r="H7968" s="256">
        <f t="shared" si="1167"/>
        <v>0.78546470999301188</v>
      </c>
      <c r="I7968" s="297">
        <f t="shared" si="1170"/>
        <v>499.27180570725852</v>
      </c>
      <c r="J7968" s="297">
        <f t="shared" si="1171"/>
        <v>67.428571428571431</v>
      </c>
      <c r="K7968" s="297">
        <f>J7968/POBLA!$B$23*100000</f>
        <v>38.131861917418668</v>
      </c>
      <c r="L7968" s="549">
        <f t="shared" si="1168"/>
        <v>0.2760736196319018</v>
      </c>
      <c r="M7968" s="401">
        <f>SUM(C7968,C7944,C7920,C7896,C7872,C7848,C7824)/POBLA!$B$23*100000</f>
        <v>266.92303342193065</v>
      </c>
    </row>
    <row r="7969" spans="1:13" s="360" customFormat="1" ht="15.75" thickBot="1" x14ac:dyDescent="0.3">
      <c r="A7969" s="369" t="s">
        <v>40</v>
      </c>
      <c r="B7969" s="282">
        <v>44224</v>
      </c>
      <c r="C7969" s="1">
        <v>232</v>
      </c>
      <c r="D7969" s="283">
        <f t="shared" si="1166"/>
        <v>76130</v>
      </c>
      <c r="E7969" s="1"/>
      <c r="F7969" s="176">
        <f t="shared" si="1169"/>
        <v>1421</v>
      </c>
      <c r="G7969" s="177">
        <f>SUM(C7969,C7945,C7921,C7897,C7873,C7849,C7825,C7801,C7777,C7753,C7729,C7705,C7681,C7657)/POBLA!$B$24*100000</f>
        <v>134.77661543109633</v>
      </c>
      <c r="H7969" s="402">
        <f t="shared" si="1167"/>
        <v>0.83479532163742687</v>
      </c>
      <c r="I7969" s="403">
        <f t="shared" si="1170"/>
        <v>112.51088802800585</v>
      </c>
      <c r="J7969" s="403">
        <f t="shared" si="1171"/>
        <v>166.28571428571428</v>
      </c>
      <c r="K7969" s="403">
        <f>J7969/POBLA!$B$24*100000</f>
        <v>9.8123580411431153</v>
      </c>
      <c r="L7969" s="550">
        <f t="shared" si="1168"/>
        <v>-3.9285714285714368E-2</v>
      </c>
      <c r="M7969" s="405">
        <f>SUM(C7969,C7945,C7921,C7897,C7873,C7849,C7825)/POBLA!$B$24*100000</f>
        <v>68.686506288001809</v>
      </c>
    </row>
    <row r="7970" spans="1:13" s="360" customFormat="1" ht="15.75" thickBot="1" x14ac:dyDescent="0.3">
      <c r="A7970" s="363" t="s">
        <v>16</v>
      </c>
      <c r="B7970" s="282">
        <v>44225</v>
      </c>
      <c r="C7970" s="1">
        <v>4483</v>
      </c>
      <c r="D7970" s="281">
        <f t="shared" ref="D7970:D8001" si="1172">C7970+D7946</f>
        <v>799055</v>
      </c>
      <c r="E7970" s="1">
        <v>79</v>
      </c>
      <c r="F7970" s="174">
        <v>24351</v>
      </c>
      <c r="G7970" s="175">
        <f>SUM(C7970,C7946,C7922,C7898,C7874,C7850,C7826,C7802,C7778,C7754,C7730,C7706,C7682,C7658)/POBLA!$B$1*100000</f>
        <v>306.28566294518697</v>
      </c>
      <c r="H7970" s="300">
        <f t="shared" ref="H7970:H7993" si="1173">SUM(C7970,C7946,C7922,C7898,C7874,C7850,C7826,C7802,C7778,C7754,C7730,C7706,C7682,C7658)/SUM(C7634,C7610,C7586,C7562,C7538,C7514,C7490,C7466,C7442,C7418,C7394,C7370,C7346,C7322)</f>
        <v>0.90940790141846373</v>
      </c>
      <c r="I7970" s="301">
        <f>G7970*H7970</f>
        <v>278.53860197354538</v>
      </c>
      <c r="J7970" s="301">
        <f>AVERAGE(C7970,C7946,C7922,C7898,C7874,C7850,C7826)</f>
        <v>3683.1428571428573</v>
      </c>
      <c r="K7970" s="301">
        <f>J7970/POBLA!$B$1*100000</f>
        <v>20.997168069869897</v>
      </c>
      <c r="L7970" s="548">
        <f t="shared" ref="L7970:L7993" si="1174">1-SUM(C7970,C7946,C7922,C7898,C7874,C7850,C7826)/SUM(C7802,C7778,C7754,C7730,C7706,C7682,C7658)</f>
        <v>7.7369023761809319E-2</v>
      </c>
      <c r="M7970" s="400">
        <f>SUM(C7970,C7946,C7922,C7898,C7874,C7850,C7826)/POBLA!$B$1*100000</f>
        <v>146.98017648908927</v>
      </c>
    </row>
    <row r="7971" spans="1:13" s="360" customFormat="1" ht="15.75" thickBot="1" x14ac:dyDescent="0.3">
      <c r="A7971" s="367" t="s">
        <v>43</v>
      </c>
      <c r="B7971" s="282">
        <v>44225</v>
      </c>
      <c r="C7971" s="1">
        <v>1195</v>
      </c>
      <c r="D7971" s="276">
        <f t="shared" si="1172"/>
        <v>208540</v>
      </c>
      <c r="E7971" s="1">
        <v>9</v>
      </c>
      <c r="F7971" s="39">
        <v>6039</v>
      </c>
      <c r="G7971" s="168">
        <f>SUM(C7971,C7947,C7923,C7899,C7875,C7851,C7827,C7803,C7779,C7755,C7731,C7707,C7683,C7659)/POBLA!$B$2*100000</f>
        <v>525.19048030885222</v>
      </c>
      <c r="H7971" s="256">
        <f t="shared" si="1173"/>
        <v>0.938364122226095</v>
      </c>
      <c r="I7971" s="297">
        <f t="shared" ref="I7971:I7993" si="1175">G7971*H7971</f>
        <v>492.81990405651732</v>
      </c>
      <c r="J7971" s="297">
        <f t="shared" ref="J7971:J7993" si="1176">AVERAGE(C7971,C7947,C7923,C7899,C7875,C7851,C7827)</f>
        <v>1079.5714285714287</v>
      </c>
      <c r="K7971" s="297">
        <f>J7971/POBLA!$B$2*100000</f>
        <v>35.100639949182344</v>
      </c>
      <c r="L7971" s="549">
        <f t="shared" si="1174"/>
        <v>0.12087017217310381</v>
      </c>
      <c r="M7971" s="401">
        <f>SUM(C7971,C7947,C7923,C7899,C7875,C7851,C7827)/POBLA!$B$2*100000</f>
        <v>245.70447964427635</v>
      </c>
    </row>
    <row r="7972" spans="1:13" s="360" customFormat="1" ht="15.75" thickBot="1" x14ac:dyDescent="0.3">
      <c r="A7972" s="367" t="s">
        <v>28</v>
      </c>
      <c r="B7972" s="282">
        <v>44225</v>
      </c>
      <c r="C7972" s="1">
        <v>115</v>
      </c>
      <c r="D7972" s="276">
        <f t="shared" si="1172"/>
        <v>5155</v>
      </c>
      <c r="E7972" s="1"/>
      <c r="F7972" s="39">
        <v>17</v>
      </c>
      <c r="G7972" s="168">
        <f>SUM(C7972,C7948,C7924,C7900,C7876,C7852,C7828,C7804,C7780,C7756,C7732,C7708,C7684,C7660)/POBLA!$B$3*100000</f>
        <v>319.18120152706297</v>
      </c>
      <c r="H7972" s="256">
        <f t="shared" si="1173"/>
        <v>1.2485875706214689</v>
      </c>
      <c r="I7972" s="297">
        <f t="shared" si="1175"/>
        <v>398.52568100271702</v>
      </c>
      <c r="J7972" s="297">
        <f t="shared" si="1176"/>
        <v>75.142857142857139</v>
      </c>
      <c r="K7972" s="297">
        <f>J7972/POBLA!$B$3*100000</f>
        <v>18.087622495500444</v>
      </c>
      <c r="L7972" s="549">
        <f t="shared" si="1174"/>
        <v>0.34250000000000003</v>
      </c>
      <c r="M7972" s="401">
        <f>SUM(C7972,C7948,C7924,C7900,C7876,C7852,C7828)/POBLA!$B$3*100000</f>
        <v>126.61335746850311</v>
      </c>
    </row>
    <row r="7973" spans="1:13" s="360" customFormat="1" ht="15.75" thickBot="1" x14ac:dyDescent="0.3">
      <c r="A7973" s="367" t="s">
        <v>15</v>
      </c>
      <c r="B7973" s="282">
        <v>44225</v>
      </c>
      <c r="C7973" s="1">
        <v>202</v>
      </c>
      <c r="D7973" s="276">
        <f t="shared" si="1172"/>
        <v>30552</v>
      </c>
      <c r="E7973" s="1">
        <v>2</v>
      </c>
      <c r="F7973" s="39">
        <v>788</v>
      </c>
      <c r="G7973" s="168">
        <f>SUM(C7973,C7949,C7925,C7901,C7877,C7853,C7829,C7805,C7781,C7757,C7733,C7709,C7685,C7661)/POBLA!$B$4*100000</f>
        <v>197.91771305418411</v>
      </c>
      <c r="H7973" s="256">
        <f t="shared" si="1173"/>
        <v>0.72572298325722984</v>
      </c>
      <c r="I7973" s="297">
        <f t="shared" si="1175"/>
        <v>143.63343315713087</v>
      </c>
      <c r="J7973" s="297">
        <f t="shared" si="1176"/>
        <v>149.57142857142858</v>
      </c>
      <c r="K7973" s="297">
        <f>J7973/POBLA!$B$4*100000</f>
        <v>12.417296594422986</v>
      </c>
      <c r="L7973" s="549">
        <f t="shared" si="1174"/>
        <v>0.2169035153328347</v>
      </c>
      <c r="M7973" s="401">
        <f>SUM(C7973,C7949,C7925,C7901,C7877,C7853,C7829)/POBLA!$B$4*100000</f>
        <v>86.921076160960894</v>
      </c>
    </row>
    <row r="7974" spans="1:13" s="360" customFormat="1" ht="15.75" thickBot="1" x14ac:dyDescent="0.3">
      <c r="A7974" s="367" t="s">
        <v>29</v>
      </c>
      <c r="B7974" s="282">
        <v>44225</v>
      </c>
      <c r="C7974" s="1">
        <v>392</v>
      </c>
      <c r="D7974" s="276">
        <f t="shared" si="1172"/>
        <v>41983</v>
      </c>
      <c r="E7974" s="1">
        <v>6</v>
      </c>
      <c r="F7974" s="39">
        <v>610</v>
      </c>
      <c r="G7974" s="168">
        <f>SUM(C7974,C7950,C7926,C7902,C7878,C7854,C7830,C7806,C7782,C7758,C7734,C7710,C7686,C7662)/POBLA!$B$5*100000</f>
        <v>658.64935685967873</v>
      </c>
      <c r="H7974" s="256">
        <f t="shared" si="1173"/>
        <v>0.69597132127005801</v>
      </c>
      <c r="I7974" s="297">
        <f t="shared" si="1175"/>
        <v>458.40106314730457</v>
      </c>
      <c r="J7974" s="297">
        <f t="shared" si="1176"/>
        <v>290.57142857142856</v>
      </c>
      <c r="K7974" s="297">
        <f>J7974/POBLA!$B$5*100000</f>
        <v>46.942527483534334</v>
      </c>
      <c r="L7974" s="549">
        <f t="shared" si="1174"/>
        <v>4.405286343612369E-3</v>
      </c>
      <c r="M7974" s="401">
        <f>SUM(C7974,C7950,C7926,C7902,C7878,C7854,C7830)/POBLA!$B$5*100000</f>
        <v>328.59769238474041</v>
      </c>
    </row>
    <row r="7975" spans="1:13" s="360" customFormat="1" ht="15.75" thickBot="1" x14ac:dyDescent="0.3">
      <c r="A7975" s="367" t="s">
        <v>30</v>
      </c>
      <c r="B7975" s="282">
        <v>44225</v>
      </c>
      <c r="C7975" s="1">
        <v>178</v>
      </c>
      <c r="D7975" s="276">
        <f t="shared" si="1172"/>
        <v>17140</v>
      </c>
      <c r="E7975" s="1"/>
      <c r="F7975" s="39">
        <v>2694</v>
      </c>
      <c r="G7975" s="168">
        <f>SUM(C7975,C7951,C7927,C7903,C7879,C7855,C7831,C7807,C7783,C7759,C7735,C7711,C7687,C7663)/POBLA!$B$6*100000</f>
        <v>227.06974743955439</v>
      </c>
      <c r="H7975" s="256">
        <f t="shared" si="1173"/>
        <v>0.28509017587095331</v>
      </c>
      <c r="I7975" s="297">
        <f t="shared" si="1175"/>
        <v>64.735354232515505</v>
      </c>
      <c r="J7975" s="297">
        <f t="shared" si="1176"/>
        <v>151.85714285714286</v>
      </c>
      <c r="K7975" s="297">
        <f>J7975/POBLA!$B$6*100000</f>
        <v>13.548983526704818</v>
      </c>
      <c r="L7975" s="549">
        <f t="shared" si="1174"/>
        <v>0.28272604588394057</v>
      </c>
      <c r="M7975" s="401">
        <f>SUM(C7975,C7951,C7927,C7903,C7879,C7855,C7831)/POBLA!$B$6*100000</f>
        <v>94.842884686933715</v>
      </c>
    </row>
    <row r="7976" spans="1:13" s="360" customFormat="1" ht="15.75" thickBot="1" x14ac:dyDescent="0.3">
      <c r="A7976" s="367" t="s">
        <v>20</v>
      </c>
      <c r="B7976" s="282">
        <v>44225</v>
      </c>
      <c r="C7976" s="1">
        <v>606</v>
      </c>
      <c r="D7976" s="276">
        <f t="shared" si="1172"/>
        <v>144457</v>
      </c>
      <c r="E7976" s="1">
        <v>11</v>
      </c>
      <c r="F7976" s="39">
        <v>199</v>
      </c>
      <c r="G7976" s="168">
        <f>SUM(C7976,C7952,C7928,C7904,C7880,C7856,C7832,C7808,C7784,C7760,C7736,C7712,C7688,C7664)/POBLA!$B$7*100000</f>
        <v>185.00445425414512</v>
      </c>
      <c r="H7976" s="256">
        <f t="shared" si="1173"/>
        <v>2.1659402241594021</v>
      </c>
      <c r="I7976" s="297">
        <f t="shared" si="1175"/>
        <v>400.70858911771091</v>
      </c>
      <c r="J7976" s="297">
        <f t="shared" si="1176"/>
        <v>540.14285714285711</v>
      </c>
      <c r="K7976" s="297">
        <f>J7976/POBLA!$B$7*100000</f>
        <v>14.363782450048721</v>
      </c>
      <c r="L7976" s="549">
        <f t="shared" si="1174"/>
        <v>-0.19049118387909325</v>
      </c>
      <c r="M7976" s="401">
        <f>SUM(C7976,C7952,C7928,C7904,C7880,C7856,C7832)/POBLA!$B$7*100000</f>
        <v>100.54647715034106</v>
      </c>
    </row>
    <row r="7977" spans="1:13" ht="15.75" thickBot="1" x14ac:dyDescent="0.3">
      <c r="A7977" s="367" t="s">
        <v>31</v>
      </c>
      <c r="B7977" s="282">
        <v>44225</v>
      </c>
      <c r="C7977" s="1">
        <v>306</v>
      </c>
      <c r="D7977" s="276">
        <f t="shared" si="1172"/>
        <v>40622</v>
      </c>
      <c r="E7977" s="1">
        <v>7</v>
      </c>
      <c r="F7977" s="39">
        <v>714</v>
      </c>
      <c r="G7977" s="168">
        <f>SUM(C7977,C7953,C7929,C7905,C7881,C7857,C7833,C7809,C7785,C7761,C7737,C7713,C7689,C7665)/POBLA!$B$8*100000</f>
        <v>343.44400744321086</v>
      </c>
      <c r="H7977" s="256">
        <f t="shared" si="1173"/>
        <v>0.77905073649754497</v>
      </c>
      <c r="I7977" s="297">
        <f t="shared" si="1175"/>
        <v>267.56030694430171</v>
      </c>
      <c r="J7977" s="297">
        <f t="shared" si="1176"/>
        <v>295.71428571428572</v>
      </c>
      <c r="K7977" s="297">
        <f>J7977/POBLA!$B$8*100000</f>
        <v>21.336407425193475</v>
      </c>
      <c r="L7977" s="549">
        <f t="shared" si="1174"/>
        <v>0.23048327137546465</v>
      </c>
      <c r="M7977" s="401">
        <f>SUM(C7977,C7953,C7929,C7905,C7881,C7857,C7833)/POBLA!$B$8*100000</f>
        <v>149.3548519763543</v>
      </c>
    </row>
    <row r="7978" spans="1:13" s="360" customFormat="1" ht="15.75" thickBot="1" x14ac:dyDescent="0.3">
      <c r="A7978" s="367" t="s">
        <v>41</v>
      </c>
      <c r="B7978" s="282">
        <v>44225</v>
      </c>
      <c r="C7978" s="1">
        <v>8</v>
      </c>
      <c r="D7978" s="276">
        <f t="shared" si="1172"/>
        <v>841</v>
      </c>
      <c r="E7978" s="1"/>
      <c r="F7978" s="39">
        <v>5</v>
      </c>
      <c r="G7978" s="168">
        <f>SUM(C7978,C7954,C7930,C7906,C7882,C7858,C7834,C7810,C7786,C7762,C7738,C7714,C7690,C7666)/POBLA!$B$9*100000</f>
        <v>46.761942058153345</v>
      </c>
      <c r="H7978" s="256">
        <f t="shared" si="1173"/>
        <v>0.83480825958702065</v>
      </c>
      <c r="I7978" s="297">
        <f t="shared" si="1175"/>
        <v>39.037255464476097</v>
      </c>
      <c r="J7978" s="297">
        <f t="shared" si="1176"/>
        <v>6.2857142857142856</v>
      </c>
      <c r="K7978" s="297">
        <f>J7978/POBLA!$B$9*100000</f>
        <v>1.0386297075006297</v>
      </c>
      <c r="L7978" s="549">
        <f t="shared" si="1174"/>
        <v>0.81589958158995812</v>
      </c>
      <c r="M7978" s="401">
        <f>SUM(C7978,C7954,C7930,C7906,C7882,C7858,C7834)/POBLA!$B$9*100000</f>
        <v>7.2704079525044074</v>
      </c>
    </row>
    <row r="7979" spans="1:13" s="360" customFormat="1" ht="15.75" thickBot="1" x14ac:dyDescent="0.3">
      <c r="A7979" s="367" t="s">
        <v>32</v>
      </c>
      <c r="B7979" s="282">
        <v>44225</v>
      </c>
      <c r="C7979" s="1">
        <v>29</v>
      </c>
      <c r="D7979" s="276">
        <f t="shared" si="1172"/>
        <v>19275</v>
      </c>
      <c r="E7979" s="1">
        <v>1</v>
      </c>
      <c r="F7979" s="39">
        <v>872</v>
      </c>
      <c r="G7979" s="168">
        <f>SUM(C7979,C7955,C7931,C7907,C7883,C7859,C7835,C7811,C7787,C7763,C7739,C7715,C7691,C7667)/POBLA!$B$10*100000</f>
        <v>64.212245469793643</v>
      </c>
      <c r="H7979" s="256">
        <f t="shared" si="1173"/>
        <v>2.2811059907834101</v>
      </c>
      <c r="I7979" s="297">
        <f t="shared" si="1175"/>
        <v>146.47493782280117</v>
      </c>
      <c r="J7979" s="297">
        <f t="shared" si="1176"/>
        <v>31.285714285714285</v>
      </c>
      <c r="K7979" s="297">
        <f>J7979/POBLA!$B$10*100000</f>
        <v>4.0584362937618499</v>
      </c>
      <c r="L7979" s="549">
        <f t="shared" si="1174"/>
        <v>0.20652173913043481</v>
      </c>
      <c r="M7979" s="401">
        <f>SUM(C7979,C7955,C7931,C7907,C7883,C7859,C7835)/POBLA!$B$10*100000</f>
        <v>28.409054056332948</v>
      </c>
    </row>
    <row r="7980" spans="1:13" s="360" customFormat="1" ht="15.75" thickBot="1" x14ac:dyDescent="0.3">
      <c r="A7980" s="367" t="s">
        <v>33</v>
      </c>
      <c r="B7980" s="282">
        <v>44225</v>
      </c>
      <c r="C7980" s="1">
        <v>82</v>
      </c>
      <c r="D7980" s="276">
        <f t="shared" si="1172"/>
        <v>16320</v>
      </c>
      <c r="E7980" s="1"/>
      <c r="F7980" s="39">
        <v>237</v>
      </c>
      <c r="G7980" s="168">
        <f>SUM(C7980,C7956,C7932,C7908,C7884,C7860,C7836,C7812,C7788,C7764,C7740,C7716,C7692,C7668)/POBLA!$B$11*100000</f>
        <v>442.48775207294074</v>
      </c>
      <c r="H7980" s="256">
        <f t="shared" si="1173"/>
        <v>0.43368881596937381</v>
      </c>
      <c r="I7980" s="297">
        <f t="shared" si="1175"/>
        <v>191.90198927746349</v>
      </c>
      <c r="J7980" s="297">
        <f t="shared" si="1176"/>
        <v>96.571428571428569</v>
      </c>
      <c r="K7980" s="297">
        <f>J7980/POBLA!$B$11*100000</f>
        <v>26.943048135588899</v>
      </c>
      <c r="L7980" s="549">
        <f t="shared" si="1174"/>
        <v>0.25714285714285712</v>
      </c>
      <c r="M7980" s="401">
        <f>SUM(C7980,C7956,C7932,C7908,C7884,C7860,C7836)/POBLA!$B$11*100000</f>
        <v>188.60133694912227</v>
      </c>
    </row>
    <row r="7981" spans="1:13" s="360" customFormat="1" ht="15.75" thickBot="1" x14ac:dyDescent="0.3">
      <c r="A7981" s="367" t="s">
        <v>21</v>
      </c>
      <c r="B7981" s="282">
        <v>44225</v>
      </c>
      <c r="C7981" s="1">
        <v>17</v>
      </c>
      <c r="D7981" s="276">
        <f t="shared" si="1172"/>
        <v>9515</v>
      </c>
      <c r="E7981" s="1"/>
      <c r="F7981" s="39">
        <v>411</v>
      </c>
      <c r="G7981" s="168">
        <f>SUM(C7981,C7957,C7933,C7909,C7885,C7861,C7837,C7813,C7789,C7765,C7741,C7717,C7693,C7669)/POBLA!$B$12*100000</f>
        <v>61.74862971405048</v>
      </c>
      <c r="H7981" s="256">
        <f t="shared" si="1173"/>
        <v>1.51875</v>
      </c>
      <c r="I7981" s="297">
        <f t="shared" si="1175"/>
        <v>93.78073137821417</v>
      </c>
      <c r="J7981" s="297">
        <f t="shared" si="1176"/>
        <v>18</v>
      </c>
      <c r="K7981" s="297">
        <f>J7981/POBLA!$B$12*100000</f>
        <v>4.5739725714111472</v>
      </c>
      <c r="L7981" s="549">
        <f t="shared" si="1174"/>
        <v>-7.6923076923076872E-2</v>
      </c>
      <c r="M7981" s="401">
        <f>SUM(C7981,C7957,C7933,C7909,C7885,C7861,C7837)/POBLA!$B$12*100000</f>
        <v>32.017807999878031</v>
      </c>
    </row>
    <row r="7982" spans="1:13" s="360" customFormat="1" ht="15.75" thickBot="1" x14ac:dyDescent="0.3">
      <c r="A7982" s="367" t="s">
        <v>17</v>
      </c>
      <c r="B7982" s="282">
        <v>44225</v>
      </c>
      <c r="C7982" s="1">
        <v>118</v>
      </c>
      <c r="D7982" s="276">
        <f t="shared" si="1172"/>
        <v>63690</v>
      </c>
      <c r="E7982" s="1">
        <v>8</v>
      </c>
      <c r="F7982" s="39">
        <v>1359</v>
      </c>
      <c r="G7982" s="168">
        <f>SUM(C7982,C7958,C7934,C7910,C7886,C7862,C7838,C7814,C7790,C7766,C7742,C7718,C7694,C7670)/POBLA!$B$13*100000</f>
        <v>83.000977723381652</v>
      </c>
      <c r="H7982" s="256">
        <f t="shared" si="1173"/>
        <v>0.89297297297297296</v>
      </c>
      <c r="I7982" s="297">
        <f t="shared" si="1175"/>
        <v>74.117629837311611</v>
      </c>
      <c r="J7982" s="297">
        <f t="shared" si="1176"/>
        <v>99.857142857142861</v>
      </c>
      <c r="K7982" s="297">
        <f>J7982/POBLA!$B$13*100000</f>
        <v>5.0170947274856266</v>
      </c>
      <c r="L7982" s="549">
        <f t="shared" si="1174"/>
        <v>0.26652675760755506</v>
      </c>
      <c r="M7982" s="401">
        <f>SUM(C7982,C7958,C7934,C7910,C7886,C7862,C7838)/POBLA!$B$13*100000</f>
        <v>35.119663092399385</v>
      </c>
    </row>
    <row r="7983" spans="1:13" s="360" customFormat="1" ht="15.75" thickBot="1" x14ac:dyDescent="0.3">
      <c r="A7983" s="367" t="s">
        <v>23</v>
      </c>
      <c r="B7983" s="282">
        <v>44225</v>
      </c>
      <c r="C7983" s="1">
        <v>217</v>
      </c>
      <c r="D7983" s="276">
        <f t="shared" si="1172"/>
        <v>4369</v>
      </c>
      <c r="E7983" s="1">
        <v>3</v>
      </c>
      <c r="F7983" s="39">
        <v>82</v>
      </c>
      <c r="G7983" s="168">
        <f>SUM(C7983,C7959,C7935,C7911,C7887,C7863,C7839,C7815,C7791,C7767,C7743,C7719,C7695,C7671)/POBLA!$B$14*100000</f>
        <v>198.4469917402287</v>
      </c>
      <c r="H7983" s="256">
        <f t="shared" si="1173"/>
        <v>3.1926020408163267</v>
      </c>
      <c r="I7983" s="297">
        <f t="shared" si="1175"/>
        <v>633.56227082371481</v>
      </c>
      <c r="J7983" s="297">
        <f t="shared" si="1176"/>
        <v>182.14285714285714</v>
      </c>
      <c r="K7983" s="297">
        <f>J7983/POBLA!$B$14*100000</f>
        <v>14.44095168476637</v>
      </c>
      <c r="L7983" s="549">
        <f t="shared" si="1174"/>
        <v>-3.8273615635179059E-2</v>
      </c>
      <c r="M7983" s="401">
        <f>SUM(C7983,C7959,C7935,C7911,C7887,C7863,C7839)/POBLA!$B$14*100000</f>
        <v>101.08666179336458</v>
      </c>
    </row>
    <row r="7984" spans="1:13" s="360" customFormat="1" ht="15.75" thickBot="1" x14ac:dyDescent="0.3">
      <c r="A7984" s="367" t="s">
        <v>19</v>
      </c>
      <c r="B7984" s="282">
        <v>44225</v>
      </c>
      <c r="C7984" s="1">
        <v>485</v>
      </c>
      <c r="D7984" s="276">
        <f t="shared" si="1172"/>
        <v>53529</v>
      </c>
      <c r="E7984" s="1"/>
      <c r="F7984" s="39">
        <v>768</v>
      </c>
      <c r="G7984" s="168">
        <f>SUM(C7984,C7960,C7936,C7912,C7888,C7864,C7840,C7816,C7792,C7768,C7744,C7720,C7696,C7672)/POBLA!$B$15*100000</f>
        <v>875.97901987329396</v>
      </c>
      <c r="H7984" s="256">
        <f t="shared" si="1173"/>
        <v>0.90004641807210273</v>
      </c>
      <c r="I7984" s="297">
        <f t="shared" si="1175"/>
        <v>788.42177914326953</v>
      </c>
      <c r="J7984" s="297">
        <f t="shared" si="1176"/>
        <v>419.14285714285717</v>
      </c>
      <c r="K7984" s="297">
        <f>J7984/POBLA!$B$15*100000</f>
        <v>63.118505963020823</v>
      </c>
      <c r="L7984" s="549">
        <f t="shared" si="1174"/>
        <v>-1.7689906347554629E-2</v>
      </c>
      <c r="M7984" s="401">
        <f>SUM(C7984,C7960,C7936,C7912,C7888,C7864,C7840)/POBLA!$B$15*100000</f>
        <v>441.8295417411457</v>
      </c>
    </row>
    <row r="7985" spans="1:13" s="360" customFormat="1" ht="15.75" thickBot="1" x14ac:dyDescent="0.3">
      <c r="A7985" s="367" t="s">
        <v>18</v>
      </c>
      <c r="B7985" s="282">
        <v>44225</v>
      </c>
      <c r="C7985" s="1">
        <v>330</v>
      </c>
      <c r="D7985" s="276">
        <f t="shared" si="1172"/>
        <v>47632</v>
      </c>
      <c r="E7985" s="1">
        <v>9</v>
      </c>
      <c r="F7985" s="39">
        <v>1072</v>
      </c>
      <c r="G7985" s="168">
        <f>SUM(C7985,C7961,C7937,C7913,C7889,C7865,C7841,C7817,C7793,C7769,C7745,C7721,C7697,C7673)/POBLA!$B$16*100000</f>
        <v>564.59918941694207</v>
      </c>
      <c r="H7985" s="256">
        <f t="shared" si="1173"/>
        <v>0.89598811292719172</v>
      </c>
      <c r="I7985" s="297">
        <f t="shared" si="1175"/>
        <v>505.87416228590797</v>
      </c>
      <c r="J7985" s="297">
        <f t="shared" si="1176"/>
        <v>292.57142857142856</v>
      </c>
      <c r="K7985" s="297">
        <f>J7985/POBLA!$B$16*100000</f>
        <v>39.134231560764107</v>
      </c>
      <c r="L7985" s="549">
        <f t="shared" si="1174"/>
        <v>5.7524160147261805E-2</v>
      </c>
      <c r="M7985" s="401">
        <f>SUM(C7985,C7961,C7937,C7913,C7889,C7865,C7841)/POBLA!$B$16*100000</f>
        <v>273.93962092534878</v>
      </c>
    </row>
    <row r="7986" spans="1:13" s="360" customFormat="1" ht="15.75" thickBot="1" x14ac:dyDescent="0.3">
      <c r="A7986" s="367" t="s">
        <v>34</v>
      </c>
      <c r="B7986" s="282">
        <v>44225</v>
      </c>
      <c r="C7986" s="1">
        <v>44</v>
      </c>
      <c r="D7986" s="276">
        <f t="shared" si="1172"/>
        <v>23724</v>
      </c>
      <c r="E7986" s="1">
        <v>3</v>
      </c>
      <c r="F7986" s="39">
        <v>1043</v>
      </c>
      <c r="G7986" s="168">
        <f>SUM(C7986,C7962,C7938,C7914,C7890,C7866,C7842,C7818,C7794,C7770,C7746,C7722,C7698,C7674)/POBLA!$B$17*100000</f>
        <v>52.302834111557388</v>
      </c>
      <c r="H7986" s="256">
        <f t="shared" si="1173"/>
        <v>1.2713310580204777</v>
      </c>
      <c r="I7986" s="297">
        <f t="shared" si="1175"/>
        <v>66.494217428515782</v>
      </c>
      <c r="J7986" s="297">
        <f t="shared" si="1176"/>
        <v>52.428571428571431</v>
      </c>
      <c r="K7986" s="297">
        <f>J7986/POBLA!$B$17*100000</f>
        <v>3.6807555357510187</v>
      </c>
      <c r="L7986" s="549">
        <f t="shared" si="1174"/>
        <v>2.9100529100529071E-2</v>
      </c>
      <c r="M7986" s="401">
        <f>SUM(C7986,C7962,C7938,C7914,C7890,C7866,C7842)/POBLA!$B$17*100000</f>
        <v>25.765288750257124</v>
      </c>
    </row>
    <row r="7987" spans="1:13" s="360" customFormat="1" ht="15.75" thickBot="1" x14ac:dyDescent="0.3">
      <c r="A7987" s="367" t="s">
        <v>35</v>
      </c>
      <c r="B7987" s="282">
        <v>44225</v>
      </c>
      <c r="C7987" s="1">
        <v>71</v>
      </c>
      <c r="D7987" s="276">
        <f t="shared" si="1172"/>
        <v>13906</v>
      </c>
      <c r="E7987" s="1"/>
      <c r="F7987" s="39">
        <v>198</v>
      </c>
      <c r="G7987" s="168">
        <f>SUM(C7987,C7963,C7939,C7915,C7891,C7867,C7843,C7819,C7795,C7771,C7747,C7723,C7699,C7675)/POBLA!$B$18*100000</f>
        <v>112.38874730068599</v>
      </c>
      <c r="H7987" s="256">
        <f t="shared" si="1173"/>
        <v>0.59850034083162917</v>
      </c>
      <c r="I7987" s="297">
        <f t="shared" si="1175"/>
        <v>67.264703565100405</v>
      </c>
      <c r="J7987" s="297">
        <f t="shared" si="1176"/>
        <v>57.428571428571431</v>
      </c>
      <c r="K7987" s="297">
        <f>J7987/POBLA!$B$18*100000</f>
        <v>7.3511676561789399</v>
      </c>
      <c r="L7987" s="549">
        <f t="shared" si="1174"/>
        <v>0.15546218487394958</v>
      </c>
      <c r="M7987" s="401">
        <f>SUM(C7987,C7963,C7939,C7915,C7891,C7867,C7843)/POBLA!$B$18*100000</f>
        <v>51.458173593252582</v>
      </c>
    </row>
    <row r="7988" spans="1:13" s="360" customFormat="1" ht="15.75" thickBot="1" x14ac:dyDescent="0.3">
      <c r="A7988" s="367" t="s">
        <v>36</v>
      </c>
      <c r="B7988" s="282">
        <v>44225</v>
      </c>
      <c r="C7988" s="1">
        <v>14</v>
      </c>
      <c r="D7988" s="276">
        <f t="shared" si="1172"/>
        <v>18961</v>
      </c>
      <c r="E7988" s="1"/>
      <c r="F7988" s="39">
        <v>330</v>
      </c>
      <c r="G7988" s="168">
        <f>SUM(C7988,C7964,C7940,C7916,C7892,C7868,C7844,C7820,C7796,C7772,C7748,C7724,C7700,C7676)/POBLA!$B$19*100000</f>
        <v>426.49627799373638</v>
      </c>
      <c r="H7988" s="256">
        <f t="shared" si="1173"/>
        <v>3.6498316498316496</v>
      </c>
      <c r="I7988" s="297">
        <f t="shared" si="1175"/>
        <v>1556.6396139569367</v>
      </c>
      <c r="J7988" s="297">
        <f t="shared" si="1176"/>
        <v>147.85714285714286</v>
      </c>
      <c r="K7988" s="297">
        <f>J7988/POBLA!$B$19*100000</f>
        <v>29.086956228486898</v>
      </c>
      <c r="L7988" s="549">
        <f t="shared" si="1174"/>
        <v>8.6496028243601031E-2</v>
      </c>
      <c r="M7988" s="401">
        <f>SUM(C7988,C7964,C7940,C7916,C7892,C7868,C7844)/POBLA!$B$19*100000</f>
        <v>203.60869359940824</v>
      </c>
    </row>
    <row r="7989" spans="1:13" s="360" customFormat="1" ht="15.75" thickBot="1" x14ac:dyDescent="0.3">
      <c r="A7989" s="367" t="s">
        <v>37</v>
      </c>
      <c r="B7989" s="282">
        <v>44225</v>
      </c>
      <c r="C7989" s="1">
        <v>164</v>
      </c>
      <c r="D7989" s="276">
        <f t="shared" si="1172"/>
        <v>32304</v>
      </c>
      <c r="E7989" s="1">
        <v>2</v>
      </c>
      <c r="F7989" s="39">
        <v>489</v>
      </c>
      <c r="G7989" s="168">
        <f>SUM(C7989,C7965,C7941,C7917,C7893,C7869,C7845,C7821,C7797,C7773,C7749,C7725,C7701,C7677)/POBLA!$B$20*100000</f>
        <v>939.29964068712445</v>
      </c>
      <c r="H7989" s="256">
        <f t="shared" si="1173"/>
        <v>0.68975903614457834</v>
      </c>
      <c r="I7989" s="297">
        <f t="shared" si="1175"/>
        <v>647.89041481129971</v>
      </c>
      <c r="J7989" s="297">
        <f t="shared" si="1176"/>
        <v>162.28571428571428</v>
      </c>
      <c r="K7989" s="297">
        <f>J7989/POBLA!$B$20*100000</f>
        <v>44.376976162219719</v>
      </c>
      <c r="L7989" s="549">
        <f t="shared" si="1174"/>
        <v>0.50587211831230972</v>
      </c>
      <c r="M7989" s="401">
        <f>SUM(C7989,C7965,C7941,C7917,C7893,C7869,C7845)/POBLA!$B$20*100000</f>
        <v>310.63883313553805</v>
      </c>
    </row>
    <row r="7990" spans="1:13" s="360" customFormat="1" ht="15.75" thickBot="1" x14ac:dyDescent="0.3">
      <c r="A7990" s="367" t="s">
        <v>22</v>
      </c>
      <c r="B7990" s="282">
        <v>44225</v>
      </c>
      <c r="C7990" s="1">
        <v>631</v>
      </c>
      <c r="D7990" s="276">
        <f t="shared" si="1172"/>
        <v>205094</v>
      </c>
      <c r="E7990" s="1">
        <v>27</v>
      </c>
      <c r="F7990" s="39">
        <v>3494</v>
      </c>
      <c r="G7990" s="168">
        <f>SUM(C7990,C7966,C7942,C7918,C7894,C7870,C7846,C7822,C7798,C7774,C7750,C7726,C7702,C7678)/POBLA!$B$21*100000</f>
        <v>332.68126109526645</v>
      </c>
      <c r="H7990" s="256">
        <f t="shared" si="1173"/>
        <v>0.70864956029394044</v>
      </c>
      <c r="I7990" s="297">
        <f t="shared" si="1175"/>
        <v>235.75442939319416</v>
      </c>
      <c r="J7990" s="297">
        <f t="shared" si="1176"/>
        <v>657.85714285714289</v>
      </c>
      <c r="K7990" s="297">
        <f>J7990/POBLA!$B$21*100000</f>
        <v>18.602358173076343</v>
      </c>
      <c r="L7990" s="549">
        <f t="shared" si="1174"/>
        <v>0.35684357541899436</v>
      </c>
      <c r="M7990" s="401">
        <f>SUM(C7990,C7966,C7942,C7918,C7894,C7870,C7846)/POBLA!$B$21*100000</f>
        <v>130.21650721153438</v>
      </c>
    </row>
    <row r="7991" spans="1:13" s="360" customFormat="1" ht="15.75" thickBot="1" x14ac:dyDescent="0.3">
      <c r="A7991" s="367" t="s">
        <v>38</v>
      </c>
      <c r="B7991" s="282">
        <v>44225</v>
      </c>
      <c r="C7991" s="1">
        <v>-53</v>
      </c>
      <c r="D7991" s="276">
        <f t="shared" si="1172"/>
        <v>20670</v>
      </c>
      <c r="E7991" s="1">
        <v>1</v>
      </c>
      <c r="F7991" s="39">
        <v>242</v>
      </c>
      <c r="G7991" s="168">
        <f>SUM(C7991,C7967,C7943,C7919,C7895,C7871,C7847,C7823,C7799,C7775,C7751,C7727,C7703,C7679)/POBLA!$B$22*100000</f>
        <v>135.74387747070722</v>
      </c>
      <c r="H7991" s="256">
        <f t="shared" si="1173"/>
        <v>0.69784550709406201</v>
      </c>
      <c r="I7991" s="297">
        <f t="shared" si="1175"/>
        <v>94.728255008459897</v>
      </c>
      <c r="J7991" s="297">
        <f t="shared" si="1176"/>
        <v>73.142857142857139</v>
      </c>
      <c r="K7991" s="297">
        <f>J7991/POBLA!$B$22*100000</f>
        <v>7.4764269863384358</v>
      </c>
      <c r="L7991" s="549">
        <f t="shared" si="1174"/>
        <v>0.37254901960784315</v>
      </c>
      <c r="M7991" s="401">
        <f>SUM(C7991,C7967,C7943,C7919,C7895,C7871,C7847)/POBLA!$B$22*100000</f>
        <v>52.334988904369055</v>
      </c>
    </row>
    <row r="7992" spans="1:13" s="360" customFormat="1" ht="15.75" thickBot="1" x14ac:dyDescent="0.3">
      <c r="A7992" s="367" t="s">
        <v>39</v>
      </c>
      <c r="B7992" s="282">
        <v>44225</v>
      </c>
      <c r="C7992" s="1">
        <v>66</v>
      </c>
      <c r="D7992" s="276">
        <f t="shared" si="1172"/>
        <v>21760</v>
      </c>
      <c r="E7992" s="1"/>
      <c r="F7992" s="39">
        <v>332</v>
      </c>
      <c r="G7992" s="168">
        <f>SUM(C7992,C7968,C7944,C7920,C7896,C7872,C7848,C7824,C7800,C7776,C7752,C7728,C7704,C7680)/POBLA!$B$23*100000</f>
        <v>621.50087654809704</v>
      </c>
      <c r="H7992" s="256">
        <f t="shared" si="1173"/>
        <v>0.7631944444444444</v>
      </c>
      <c r="I7992" s="297">
        <f t="shared" si="1175"/>
        <v>474.32601619886015</v>
      </c>
      <c r="J7992" s="297">
        <f t="shared" si="1176"/>
        <v>70</v>
      </c>
      <c r="K7992" s="297">
        <f>J7992/POBLA!$B$23*100000</f>
        <v>39.586043092235478</v>
      </c>
      <c r="L7992" s="549">
        <f t="shared" si="1174"/>
        <v>0.1954022988505747</v>
      </c>
      <c r="M7992" s="401">
        <f>SUM(C7992,C7968,C7944,C7920,C7896,C7872,C7848)/POBLA!$B$23*100000</f>
        <v>277.10230164564837</v>
      </c>
    </row>
    <row r="7993" spans="1:13" s="360" customFormat="1" ht="15.75" thickBot="1" x14ac:dyDescent="0.3">
      <c r="A7993" s="368" t="s">
        <v>40</v>
      </c>
      <c r="B7993" s="278">
        <v>44225</v>
      </c>
      <c r="C7993" s="232">
        <v>138</v>
      </c>
      <c r="D7993" s="279">
        <f t="shared" si="1172"/>
        <v>76268</v>
      </c>
      <c r="E7993" s="232">
        <v>6</v>
      </c>
      <c r="F7993" s="67">
        <v>1427</v>
      </c>
      <c r="G7993" s="177">
        <f>SUM(C7993,C7969,C7945,C7921,C7897,C7873,C7849,C7825,C7801,C7777,C7753,C7729,C7705,C7681)/POBLA!$B$24*100000</f>
        <v>127.99057743872503</v>
      </c>
      <c r="H7993" s="402">
        <f t="shared" si="1173"/>
        <v>0.73425863236289779</v>
      </c>
      <c r="I7993" s="403">
        <f t="shared" si="1175"/>
        <v>93.9781863454958</v>
      </c>
      <c r="J7993" s="403">
        <f t="shared" si="1176"/>
        <v>157.71428571428572</v>
      </c>
      <c r="K7993" s="403">
        <f>J7993/POBLA!$B$24*100000</f>
        <v>9.3065663895378012</v>
      </c>
      <c r="L7993" s="550">
        <f t="shared" si="1174"/>
        <v>-3.6619718309859106E-2</v>
      </c>
      <c r="M7993" s="405">
        <f>SUM(C7993,C7969,C7945,C7921,C7897,C7873,C7849)/POBLA!$B$24*100000</f>
        <v>65.145964726764603</v>
      </c>
    </row>
    <row r="7994" spans="1:13" s="360" customFormat="1" x14ac:dyDescent="0.25">
      <c r="A7994" s="363" t="s">
        <v>16</v>
      </c>
      <c r="B7994" s="265">
        <v>44226</v>
      </c>
      <c r="C7994" s="43">
        <v>3066</v>
      </c>
      <c r="D7994" s="174">
        <f t="shared" si="1172"/>
        <v>802121</v>
      </c>
      <c r="E7994" s="43">
        <v>120</v>
      </c>
      <c r="F7994" s="174">
        <f>E7994+F7970</f>
        <v>24471</v>
      </c>
      <c r="G7994" s="175">
        <f>SUM(C7994,C7970,C7946,C7922,C7898,C7874,C7850,C7826,C7802,C7778,C7754,C7730,C7706,C7682)/POBLA!$B$1*100000</f>
        <v>303.63475215209775</v>
      </c>
      <c r="H7994" s="300">
        <f t="shared" ref="H7994:H8017" si="1177">SUM(C7994,C7970,C7946,C7922,C7898,C7874,C7850,C7826,C7802,C7778,C7754,C7730,C7706,C7682)/SUM(C7658,C7634,C7610,C7586,C7562,C7538,C7514,C7490,C7466,C7442,C7418,C7394,C7370,C7346)</f>
        <v>0.88018707342466662</v>
      </c>
      <c r="I7994" s="301">
        <f>G7994*H7994</f>
        <v>267.25538388677893</v>
      </c>
      <c r="J7994" s="301">
        <f>AVERAGE(C7994,C7970,C7946,C7922,C7898,C7874,C7850)</f>
        <v>3654.7142857142858</v>
      </c>
      <c r="K7994" s="301">
        <f>J7994/POBLA!$B$1*100000</f>
        <v>20.835100098187944</v>
      </c>
      <c r="L7994" s="548">
        <f t="shared" ref="L7994:L8017" si="1178">1-SUM(C7994,C7970,C7946,C7922,C7898,C7874,C7850)/SUM(C7826,C7802,C7778,C7754,C7730,C7706,C7682)</f>
        <v>7.5691885251824575E-2</v>
      </c>
      <c r="M7994" s="400">
        <f>SUM(C7994,C7970,C7946,C7922,C7898,C7874,C7850)/POBLA!$B$1*100000</f>
        <v>145.84570068731563</v>
      </c>
    </row>
    <row r="7995" spans="1:13" s="360" customFormat="1" x14ac:dyDescent="0.25">
      <c r="A7995" s="367" t="s">
        <v>43</v>
      </c>
      <c r="B7995" s="2">
        <v>44226</v>
      </c>
      <c r="C7995" s="1">
        <v>951</v>
      </c>
      <c r="D7995" s="39">
        <f t="shared" si="1172"/>
        <v>209491</v>
      </c>
      <c r="E7995" s="1">
        <v>5</v>
      </c>
      <c r="F7995" s="39">
        <f>E7995+F7971</f>
        <v>6044</v>
      </c>
      <c r="G7995" s="168">
        <f>SUM(C7995,C7971,C7947,C7923,C7899,C7875,C7851,C7827,C7803,C7779,C7755,C7731,C7707,C7683)/POBLA!$B$2*100000</f>
        <v>518.91537582673698</v>
      </c>
      <c r="H7995" s="256">
        <f t="shared" si="1177"/>
        <v>0.89346694284274752</v>
      </c>
      <c r="I7995" s="297">
        <f t="shared" ref="I7995:I8017" si="1179">G7995*H7995</f>
        <v>463.63373443401008</v>
      </c>
      <c r="J7995" s="297">
        <f t="shared" ref="J7995:J8017" si="1180">AVERAGE(C7995,C7971,C7947,C7923,C7899,C7875,C7851)</f>
        <v>1083.4285714285713</v>
      </c>
      <c r="K7995" s="297">
        <f>J7995/POBLA!$B$2*100000</f>
        <v>35.226049143125422</v>
      </c>
      <c r="L7995" s="549">
        <f t="shared" si="1178"/>
        <v>9.4555873925501466E-2</v>
      </c>
      <c r="M7995" s="401">
        <f>SUM(C7995,C7971,C7947,C7923,C7899,C7875,C7851)/POBLA!$B$2*100000</f>
        <v>246.582344001878</v>
      </c>
    </row>
    <row r="7996" spans="1:13" s="360" customFormat="1" x14ac:dyDescent="0.25">
      <c r="A7996" s="367" t="s">
        <v>28</v>
      </c>
      <c r="B7996" s="2">
        <v>44226</v>
      </c>
      <c r="C7996" s="1">
        <v>86</v>
      </c>
      <c r="D7996" s="39">
        <f t="shared" si="1172"/>
        <v>5241</v>
      </c>
      <c r="E7996" s="1"/>
      <c r="F7996" s="39">
        <f>E7996+F7972</f>
        <v>17</v>
      </c>
      <c r="G7996" s="168">
        <f>SUM(C7996,C7972,C7948,C7924,C7900,C7876,C7852,C7828,C7804,C7780,C7756,C7732,C7708,C7684)/POBLA!$B$3*100000</f>
        <v>283.31544057115622</v>
      </c>
      <c r="H7996" s="256">
        <f t="shared" si="1177"/>
        <v>0.9446227929373997</v>
      </c>
      <c r="I7996" s="297">
        <f t="shared" si="1179"/>
        <v>267.62622275461547</v>
      </c>
      <c r="J7996" s="297">
        <f t="shared" si="1180"/>
        <v>79.857142857142861</v>
      </c>
      <c r="K7996" s="297">
        <f>J7996/POBLA!$B$3*100000</f>
        <v>19.222397290845532</v>
      </c>
      <c r="L7996" s="549">
        <f t="shared" si="1178"/>
        <v>9.5469255663430452E-2</v>
      </c>
      <c r="M7996" s="401">
        <f>SUM(C7996,C7972,C7948,C7924,C7900,C7876,C7852)/POBLA!$B$3*100000</f>
        <v>134.5567810359187</v>
      </c>
    </row>
    <row r="7997" spans="1:13" s="360" customFormat="1" x14ac:dyDescent="0.25">
      <c r="A7997" s="367" t="s">
        <v>15</v>
      </c>
      <c r="B7997" s="2">
        <v>44226</v>
      </c>
      <c r="C7997" s="1">
        <v>116</v>
      </c>
      <c r="D7997" s="39">
        <f t="shared" si="1172"/>
        <v>30668</v>
      </c>
      <c r="E7997" s="1"/>
      <c r="F7997" s="39">
        <f t="shared" ref="F7997:F8017" si="1181">E7997+F7973</f>
        <v>788</v>
      </c>
      <c r="G7997" s="168">
        <f>SUM(C7997,C7973,C7949,C7925,C7901,C7877,C7853,C7829,C7805,C7781,C7757,C7733,C7709,C7685)/POBLA!$B$4*100000</f>
        <v>193.434677607487</v>
      </c>
      <c r="H7997" s="256">
        <f t="shared" si="1177"/>
        <v>0.70541931577353922</v>
      </c>
      <c r="I7997" s="297">
        <f t="shared" si="1179"/>
        <v>136.45255792474862</v>
      </c>
      <c r="J7997" s="297">
        <f t="shared" si="1180"/>
        <v>141.57142857142858</v>
      </c>
      <c r="K7997" s="297">
        <f>J7997/POBLA!$B$4*100000</f>
        <v>11.753143194912301</v>
      </c>
      <c r="L7997" s="549">
        <f t="shared" si="1178"/>
        <v>0.25989544436146383</v>
      </c>
      <c r="M7997" s="401">
        <f>SUM(C7997,C7973,C7949,C7925,C7901,C7877,C7853)/POBLA!$B$4*100000</f>
        <v>82.272002364386111</v>
      </c>
    </row>
    <row r="7998" spans="1:13" s="360" customFormat="1" x14ac:dyDescent="0.25">
      <c r="A7998" s="367" t="s">
        <v>29</v>
      </c>
      <c r="B7998" s="2">
        <v>44226</v>
      </c>
      <c r="C7998" s="1">
        <v>233</v>
      </c>
      <c r="D7998" s="39">
        <f t="shared" si="1172"/>
        <v>42216</v>
      </c>
      <c r="E7998" s="1">
        <v>7</v>
      </c>
      <c r="F7998" s="39">
        <f t="shared" si="1181"/>
        <v>617</v>
      </c>
      <c r="G7998" s="168">
        <f>SUM(C7998,C7974,C7950,C7926,C7902,C7878,C7854,C7830,C7806,C7782,C7758,C7734,C7710,C7686)/POBLA!$B$5*100000</f>
        <v>667.05008449193372</v>
      </c>
      <c r="H7998" s="256">
        <f t="shared" si="1177"/>
        <v>0.70762639245929737</v>
      </c>
      <c r="I7998" s="297">
        <f t="shared" si="1179"/>
        <v>472.02224487869654</v>
      </c>
      <c r="J7998" s="297">
        <f t="shared" si="1180"/>
        <v>295.42857142857144</v>
      </c>
      <c r="K7998" s="297">
        <f>J7998/POBLA!$B$5*100000</f>
        <v>47.727210833799916</v>
      </c>
      <c r="L7998" s="549">
        <f t="shared" si="1178"/>
        <v>-3.3964095099465741E-3</v>
      </c>
      <c r="M7998" s="401">
        <f>SUM(C7998,C7974,C7950,C7926,C7902,C7878,C7854)/POBLA!$B$5*100000</f>
        <v>334.09047583659935</v>
      </c>
    </row>
    <row r="7999" spans="1:13" s="360" customFormat="1" x14ac:dyDescent="0.25">
      <c r="A7999" s="367" t="s">
        <v>30</v>
      </c>
      <c r="B7999" s="2">
        <v>44226</v>
      </c>
      <c r="C7999" s="1">
        <v>192</v>
      </c>
      <c r="D7999" s="39">
        <f t="shared" si="1172"/>
        <v>17332</v>
      </c>
      <c r="E7999" s="1"/>
      <c r="F7999" s="39">
        <f>E8000+F7976</f>
        <v>204</v>
      </c>
      <c r="G7999" s="168">
        <f>SUM(C7999,C7975,C7951,C7927,C7903,C7879,C7855,C7831,C7807,C7783,C7759,C7735,C7711,C7687)/POBLA!$B$6*100000</f>
        <v>196.37741222572072</v>
      </c>
      <c r="H7999" s="256">
        <f t="shared" si="1177"/>
        <v>0.23464818763326226</v>
      </c>
      <c r="I7999" s="297">
        <f t="shared" si="1179"/>
        <v>46.079603870875403</v>
      </c>
      <c r="J7999" s="297">
        <f t="shared" si="1180"/>
        <v>156.14285714285714</v>
      </c>
      <c r="K7999" s="297">
        <f>J7999/POBLA!$B$6*100000</f>
        <v>13.93136311823929</v>
      </c>
      <c r="L7999" s="549">
        <f t="shared" si="1178"/>
        <v>1.3537906137184086E-2</v>
      </c>
      <c r="M7999" s="401">
        <f>SUM(C7999,C7975,C7951,C7927,C7903,C7879,C7855)/POBLA!$B$6*100000</f>
        <v>97.519541827675027</v>
      </c>
    </row>
    <row r="8000" spans="1:13" s="360" customFormat="1" x14ac:dyDescent="0.25">
      <c r="A8000" s="367" t="s">
        <v>20</v>
      </c>
      <c r="B8000" s="2">
        <v>44226</v>
      </c>
      <c r="C8000" s="1">
        <v>239</v>
      </c>
      <c r="D8000" s="39">
        <f t="shared" si="1172"/>
        <v>144696</v>
      </c>
      <c r="E8000" s="1">
        <v>5</v>
      </c>
      <c r="F8000" s="39">
        <f>E7999+F7975</f>
        <v>2694</v>
      </c>
      <c r="G8000" s="168">
        <f>SUM(C8000,C7976,C7952,C7928,C7904,C7880,C7856,C7832,C7808,C7784,C7760,C7736,C7712,C7688)/POBLA!$B$7*100000</f>
        <v>189.28585674586819</v>
      </c>
      <c r="H8000" s="256">
        <f t="shared" si="1177"/>
        <v>2.2334483840602446</v>
      </c>
      <c r="I8000" s="297">
        <f t="shared" si="1179"/>
        <v>422.76019087451823</v>
      </c>
      <c r="J8000" s="297">
        <f t="shared" si="1180"/>
        <v>496.57142857142856</v>
      </c>
      <c r="K8000" s="297">
        <f>J8000/POBLA!$B$7*100000</f>
        <v>13.20510653170308</v>
      </c>
      <c r="L8000" s="549">
        <f t="shared" si="1178"/>
        <v>4.5579352004393225E-2</v>
      </c>
      <c r="M8000" s="401">
        <f>SUM(C8000,C7976,C7952,C7928,C7904,C7880,C7856)/POBLA!$B$7*100000</f>
        <v>92.435745721921577</v>
      </c>
    </row>
    <row r="8001" spans="1:13" x14ac:dyDescent="0.25">
      <c r="A8001" s="367" t="s">
        <v>31</v>
      </c>
      <c r="B8001" s="2">
        <v>44226</v>
      </c>
      <c r="C8001" s="1">
        <v>240</v>
      </c>
      <c r="D8001" s="39">
        <f t="shared" si="1172"/>
        <v>40862</v>
      </c>
      <c r="E8001" s="1">
        <v>5</v>
      </c>
      <c r="F8001" s="39">
        <f t="shared" si="1181"/>
        <v>719</v>
      </c>
      <c r="G8001" s="168">
        <f>SUM(C8001,C7977,C7953,C7929,C7905,C7881,C7857,C7833,C7809,C7785,C7761,C7737,C7713,C7689)/POBLA!$B$8*100000</f>
        <v>338.10475186531221</v>
      </c>
      <c r="H8001" s="256">
        <f t="shared" si="1177"/>
        <v>0.74605954465849389</v>
      </c>
      <c r="I8001" s="297">
        <f t="shared" si="1179"/>
        <v>252.24627722350789</v>
      </c>
      <c r="J8001" s="297">
        <f t="shared" si="1180"/>
        <v>286.85714285714283</v>
      </c>
      <c r="K8001" s="297">
        <f>J8001/POBLA!$B$8*100000</f>
        <v>20.697345946757725</v>
      </c>
      <c r="L8001" s="549">
        <f t="shared" si="1178"/>
        <v>0.25018670649738606</v>
      </c>
      <c r="M8001" s="401">
        <f>SUM(C8001,C7977,C7953,C7929,C7905,C7881,C7857)/POBLA!$B$8*100000</f>
        <v>144.88142162730409</v>
      </c>
    </row>
    <row r="8002" spans="1:13" s="360" customFormat="1" x14ac:dyDescent="0.25">
      <c r="A8002" s="367" t="s">
        <v>41</v>
      </c>
      <c r="B8002" s="2">
        <v>44226</v>
      </c>
      <c r="C8002" s="1">
        <v>2</v>
      </c>
      <c r="D8002" s="39">
        <f t="shared" ref="D8002:D8066" si="1182">C8002+D7978</f>
        <v>843</v>
      </c>
      <c r="E8002" s="1"/>
      <c r="F8002" s="39">
        <f t="shared" si="1181"/>
        <v>5</v>
      </c>
      <c r="G8002" s="168">
        <f>SUM(C8002,C7978,C7954,C7930,C7906,C7882,C7858,C7834,C7810,C7786,C7762,C7738,C7714,C7690)/POBLA!$B$9*100000</f>
        <v>42.300555360025648</v>
      </c>
      <c r="H8002" s="256">
        <f t="shared" si="1177"/>
        <v>0.6975476839237057</v>
      </c>
      <c r="I8002" s="297">
        <f t="shared" si="1179"/>
        <v>29.506654420072387</v>
      </c>
      <c r="J8002" s="297">
        <f t="shared" si="1180"/>
        <v>6.1428571428571432</v>
      </c>
      <c r="K8002" s="297">
        <f>J8002/POBLA!$B$9*100000</f>
        <v>1.0150244868756155</v>
      </c>
      <c r="L8002" s="549">
        <f t="shared" si="1178"/>
        <v>0.7981220657276995</v>
      </c>
      <c r="M8002" s="401">
        <f>SUM(C8002,C7978,C7954,C7930,C7906,C7882,C7858)/POBLA!$B$9*100000</f>
        <v>7.1051714081293076</v>
      </c>
    </row>
    <row r="8003" spans="1:13" s="360" customFormat="1" x14ac:dyDescent="0.25">
      <c r="A8003" s="367" t="s">
        <v>32</v>
      </c>
      <c r="B8003" s="2">
        <v>44226</v>
      </c>
      <c r="C8003" s="1">
        <v>17</v>
      </c>
      <c r="D8003" s="39">
        <f t="shared" si="1182"/>
        <v>19292</v>
      </c>
      <c r="E8003" s="1"/>
      <c r="F8003" s="39">
        <f t="shared" si="1181"/>
        <v>872</v>
      </c>
      <c r="G8003" s="168">
        <f>SUM(C8003,C7979,C7955,C7931,C7907,C7883,C7859,C7835,C7811,C7787,C7763,C7739,C7715,C7691)/POBLA!$B$10*100000</f>
        <v>63.69335863771451</v>
      </c>
      <c r="H8003" s="256">
        <f t="shared" si="1177"/>
        <v>2.0543933054393304</v>
      </c>
      <c r="I8003" s="297">
        <f t="shared" si="1179"/>
        <v>130.85120958626703</v>
      </c>
      <c r="J8003" s="297">
        <f t="shared" si="1180"/>
        <v>32.571428571428569</v>
      </c>
      <c r="K8003" s="297">
        <f>J8003/POBLA!$B$10*100000</f>
        <v>4.2252213469301445</v>
      </c>
      <c r="L8003" s="549">
        <f t="shared" si="1178"/>
        <v>0.13307984790874527</v>
      </c>
      <c r="M8003" s="401">
        <f>SUM(C8003,C7979,C7955,C7931,C7907,C7883,C7859)/POBLA!$B$10*100000</f>
        <v>29.576549428511015</v>
      </c>
    </row>
    <row r="8004" spans="1:13" s="360" customFormat="1" x14ac:dyDescent="0.25">
      <c r="A8004" s="367" t="s">
        <v>33</v>
      </c>
      <c r="B8004" s="2">
        <v>44226</v>
      </c>
      <c r="C8004" s="1">
        <v>70</v>
      </c>
      <c r="D8004" s="39">
        <f t="shared" si="1182"/>
        <v>16390</v>
      </c>
      <c r="E8004" s="1"/>
      <c r="F8004" s="39">
        <f t="shared" si="1181"/>
        <v>237</v>
      </c>
      <c r="G8004" s="168">
        <f>SUM(C8004,C7980,C7956,C7932,C7908,C7884,C7860,C7836,C7812,C7788,C7764,C7740,C7716,C7692)/POBLA!$B$11*100000</f>
        <v>431.32790964991574</v>
      </c>
      <c r="H8004" s="256">
        <f t="shared" si="1177"/>
        <v>0.43305322128851542</v>
      </c>
      <c r="I8004" s="297">
        <f t="shared" si="1179"/>
        <v>186.78794070553775</v>
      </c>
      <c r="J8004" s="297">
        <f t="shared" si="1180"/>
        <v>91.428571428571431</v>
      </c>
      <c r="K8004" s="297">
        <f>J8004/POBLA!$B$11*100000</f>
        <v>25.508211252628545</v>
      </c>
      <c r="L8004" s="549">
        <f t="shared" si="1178"/>
        <v>0.29359823399558493</v>
      </c>
      <c r="M8004" s="401">
        <f>SUM(C8004,C7980,C7956,C7932,C7908,C7884,C7860)/POBLA!$B$11*100000</f>
        <v>178.55747876839979</v>
      </c>
    </row>
    <row r="8005" spans="1:13" s="360" customFormat="1" x14ac:dyDescent="0.25">
      <c r="A8005" s="367" t="s">
        <v>21</v>
      </c>
      <c r="B8005" s="2">
        <v>44226</v>
      </c>
      <c r="C8005" s="1">
        <v>17</v>
      </c>
      <c r="D8005" s="39">
        <f t="shared" si="1182"/>
        <v>9532</v>
      </c>
      <c r="E8005" s="1"/>
      <c r="F8005" s="39">
        <f t="shared" si="1181"/>
        <v>411</v>
      </c>
      <c r="G8005" s="168">
        <f>SUM(C8005,C7981,C7957,C7933,C7909,C7885,C7861,C7837,C7813,C7789,C7765,C7741,C7717,C7693)/POBLA!$B$12*100000</f>
        <v>63.019177650553573</v>
      </c>
      <c r="H8005" s="256">
        <f t="shared" si="1177"/>
        <v>1.5214723926380369</v>
      </c>
      <c r="I8005" s="297">
        <f t="shared" si="1179"/>
        <v>95.881939002069245</v>
      </c>
      <c r="J8005" s="297">
        <f t="shared" si="1180"/>
        <v>18.571428571428573</v>
      </c>
      <c r="K8005" s="297">
        <f>J8005/POBLA!$B$12*100000</f>
        <v>4.7191780498686438</v>
      </c>
      <c r="L8005" s="549">
        <f t="shared" si="1178"/>
        <v>-0.10169491525423724</v>
      </c>
      <c r="M8005" s="401">
        <f>SUM(C8005,C7981,C7957,C7933,C7909,C7885,C7861)/POBLA!$B$12*100000</f>
        <v>33.034246349080505</v>
      </c>
    </row>
    <row r="8006" spans="1:13" s="360" customFormat="1" x14ac:dyDescent="0.25">
      <c r="A8006" s="367" t="s">
        <v>17</v>
      </c>
      <c r="B8006" s="2">
        <v>44226</v>
      </c>
      <c r="C8006" s="1">
        <v>78</v>
      </c>
      <c r="D8006" s="39">
        <f t="shared" si="1182"/>
        <v>63768</v>
      </c>
      <c r="E8006" s="1"/>
      <c r="F8006" s="39">
        <f t="shared" si="1181"/>
        <v>1359</v>
      </c>
      <c r="G8006" s="168">
        <f>SUM(C8006,C7982,C7958,C7934,C7910,C7886,C7862,C7838,C7814,C7790,C7766,C7742,C7718,C7694)/POBLA!$B$13*100000</f>
        <v>80.137142535589433</v>
      </c>
      <c r="H8006" s="256">
        <f t="shared" si="1177"/>
        <v>0.83072916666666663</v>
      </c>
      <c r="I8006" s="297">
        <f t="shared" si="1179"/>
        <v>66.572261637638093</v>
      </c>
      <c r="J8006" s="297">
        <f t="shared" si="1180"/>
        <v>96.571428571428569</v>
      </c>
      <c r="K8006" s="297">
        <f>J8006/POBLA!$B$13*100000</f>
        <v>4.8520114961091316</v>
      </c>
      <c r="L8006" s="549">
        <f t="shared" si="1178"/>
        <v>0.26441784548422198</v>
      </c>
      <c r="M8006" s="401">
        <f>SUM(C8006,C7982,C7958,C7934,C7910,C7886,C7862)/POBLA!$B$13*100000</f>
        <v>33.964080472763925</v>
      </c>
    </row>
    <row r="8007" spans="1:13" s="360" customFormat="1" x14ac:dyDescent="0.25">
      <c r="A8007" s="367" t="s">
        <v>23</v>
      </c>
      <c r="B8007" s="2">
        <v>44226</v>
      </c>
      <c r="C8007" s="1">
        <v>208</v>
      </c>
      <c r="D8007" s="39">
        <f t="shared" si="1182"/>
        <v>4577</v>
      </c>
      <c r="E8007" s="1">
        <v>2</v>
      </c>
      <c r="F8007" s="39">
        <f t="shared" si="1181"/>
        <v>84</v>
      </c>
      <c r="G8007" s="168">
        <f>SUM(C8007,C7983,C7959,C7935,C7911,C7887,C7863,C7839,C7815,C7791,C7767,C7743,C7719,C7695)/POBLA!$B$14*100000</f>
        <v>203.52114574397405</v>
      </c>
      <c r="H8007" s="256">
        <f t="shared" si="1177"/>
        <v>2.7721382289416847</v>
      </c>
      <c r="I8007" s="297">
        <f t="shared" si="1179"/>
        <v>564.18874851488272</v>
      </c>
      <c r="J8007" s="297">
        <f t="shared" si="1180"/>
        <v>181.28571428571428</v>
      </c>
      <c r="K8007" s="297">
        <f>J8007/POBLA!$B$14*100000</f>
        <v>14.37299426507335</v>
      </c>
      <c r="L8007" s="549">
        <f t="shared" si="1178"/>
        <v>2.2342064714946042E-2</v>
      </c>
      <c r="M8007" s="401">
        <f>SUM(C8007,C7983,C7959,C7935,C7911,C7887,C7863)/POBLA!$B$14*100000</f>
        <v>100.61095985551347</v>
      </c>
    </row>
    <row r="8008" spans="1:13" s="360" customFormat="1" x14ac:dyDescent="0.25">
      <c r="A8008" s="367" t="s">
        <v>19</v>
      </c>
      <c r="B8008" s="2">
        <v>44226</v>
      </c>
      <c r="C8008" s="1">
        <v>275</v>
      </c>
      <c r="D8008" s="39">
        <f t="shared" si="1182"/>
        <v>53804</v>
      </c>
      <c r="E8008" s="1"/>
      <c r="F8008" s="39">
        <f t="shared" si="1181"/>
        <v>768</v>
      </c>
      <c r="G8008" s="168">
        <f>SUM(C8008,C7984,C7960,C7936,C7912,C7888,C7864,C7840,C7816,C7792,C7768,C7744,C7720,C7696)/POBLA!$B$15*100000</f>
        <v>875.22607246064717</v>
      </c>
      <c r="H8008" s="256">
        <f t="shared" si="1177"/>
        <v>0.9027648337993166</v>
      </c>
      <c r="I8008" s="297">
        <f t="shared" si="1179"/>
        <v>790.12331984176478</v>
      </c>
      <c r="J8008" s="297">
        <f t="shared" si="1180"/>
        <v>424</v>
      </c>
      <c r="K8008" s="297">
        <f>J8008/POBLA!$B$15*100000</f>
        <v>63.849940592449144</v>
      </c>
      <c r="L8008" s="549">
        <f t="shared" si="1178"/>
        <v>-4.3600562587904346E-2</v>
      </c>
      <c r="M8008" s="401">
        <f>SUM(C8008,C7984,C7960,C7936,C7912,C7888,C7864)/POBLA!$B$15*100000</f>
        <v>446.94958414714398</v>
      </c>
    </row>
    <row r="8009" spans="1:13" s="360" customFormat="1" x14ac:dyDescent="0.25">
      <c r="A8009" s="367" t="s">
        <v>18</v>
      </c>
      <c r="B8009" s="2">
        <v>44226</v>
      </c>
      <c r="C8009" s="1">
        <v>182</v>
      </c>
      <c r="D8009" s="39">
        <f t="shared" si="1182"/>
        <v>47814</v>
      </c>
      <c r="E8009" s="1">
        <v>2</v>
      </c>
      <c r="F8009" s="39">
        <f t="shared" si="1181"/>
        <v>1074</v>
      </c>
      <c r="G8009" s="168">
        <f>SUM(C8009,C7985,C7961,C7937,C7913,C7889,C7865,C7841,C7817,C7793,C7769,C7745,C7721,C7697)/POBLA!$B$16*100000</f>
        <v>549.35059723652705</v>
      </c>
      <c r="H8009" s="256">
        <f t="shared" si="1177"/>
        <v>0.84732824427480913</v>
      </c>
      <c r="I8009" s="297">
        <f t="shared" si="1179"/>
        <v>465.48027704774427</v>
      </c>
      <c r="J8009" s="297">
        <f t="shared" si="1180"/>
        <v>277.71428571428572</v>
      </c>
      <c r="K8009" s="297">
        <f>J8009/POBLA!$B$16*100000</f>
        <v>37.146946364319064</v>
      </c>
      <c r="L8009" s="549">
        <f t="shared" si="1178"/>
        <v>0.10124826629680994</v>
      </c>
      <c r="M8009" s="401">
        <f>SUM(C8009,C7985,C7961,C7937,C7913,C7889,C7865)/POBLA!$B$16*100000</f>
        <v>260.02862455023342</v>
      </c>
    </row>
    <row r="8010" spans="1:13" s="360" customFormat="1" x14ac:dyDescent="0.25">
      <c r="A8010" s="367" t="s">
        <v>34</v>
      </c>
      <c r="B8010" s="2">
        <v>44226</v>
      </c>
      <c r="C8010" s="1">
        <v>54</v>
      </c>
      <c r="D8010" s="39">
        <f t="shared" si="1182"/>
        <v>23778</v>
      </c>
      <c r="E8010" s="1"/>
      <c r="F8010" s="39">
        <f t="shared" si="1181"/>
        <v>1043</v>
      </c>
      <c r="G8010" s="168">
        <f>SUM(C8010,C7986,C7962,C7938,C7914,C7890,C7866,C7842,C7818,C7794,C7770,C7746,C7722,C7698)/POBLA!$B$17*100000</f>
        <v>51.600782646972718</v>
      </c>
      <c r="H8010" s="256">
        <f t="shared" si="1177"/>
        <v>1.152037617554859</v>
      </c>
      <c r="I8010" s="297">
        <f t="shared" si="1179"/>
        <v>59.446042704584563</v>
      </c>
      <c r="J8010" s="297">
        <f t="shared" si="1180"/>
        <v>51.714285714285715</v>
      </c>
      <c r="K8010" s="297">
        <f>J8010/POBLA!$B$17*100000</f>
        <v>3.6306090025663993</v>
      </c>
      <c r="L8010" s="549">
        <f t="shared" si="1178"/>
        <v>2.9490616621983934E-2</v>
      </c>
      <c r="M8010" s="401">
        <f>SUM(C8010,C7986,C7962,C7938,C7914,C7890,C7866)/POBLA!$B$17*100000</f>
        <v>25.414263017964796</v>
      </c>
    </row>
    <row r="8011" spans="1:13" s="360" customFormat="1" x14ac:dyDescent="0.25">
      <c r="A8011" s="367" t="s">
        <v>35</v>
      </c>
      <c r="B8011" s="2">
        <v>44226</v>
      </c>
      <c r="C8011" s="1">
        <v>33</v>
      </c>
      <c r="D8011" s="39">
        <f t="shared" si="1182"/>
        <v>13939</v>
      </c>
      <c r="E8011" s="1"/>
      <c r="F8011" s="39">
        <f t="shared" si="1181"/>
        <v>198</v>
      </c>
      <c r="G8011" s="168">
        <f>SUM(C8011,C7987,C7963,C7939,C7915,C7891,C7867,C7843,C7819,C7795,C7771,C7747,C7723,C7699)/POBLA!$B$18*100000</f>
        <v>108.93260131307947</v>
      </c>
      <c r="H8011" s="256">
        <f t="shared" si="1177"/>
        <v>0.5587655942219304</v>
      </c>
      <c r="I8011" s="297">
        <f t="shared" si="1179"/>
        <v>60.867789702843488</v>
      </c>
      <c r="J8011" s="297">
        <f t="shared" si="1180"/>
        <v>57.571428571428569</v>
      </c>
      <c r="K8011" s="297">
        <f>J8011/POBLA!$B$18*100000</f>
        <v>7.3694541428858527</v>
      </c>
      <c r="L8011" s="549">
        <f t="shared" si="1178"/>
        <v>0.1004464285714286</v>
      </c>
      <c r="M8011" s="401">
        <f>SUM(C8011,C7987,C7963,C7939,C7915,C7891,C7867)/POBLA!$B$18*100000</f>
        <v>51.586179000200971</v>
      </c>
    </row>
    <row r="8012" spans="1:13" s="360" customFormat="1" x14ac:dyDescent="0.25">
      <c r="A8012" s="367" t="s">
        <v>36</v>
      </c>
      <c r="B8012" s="2">
        <v>44226</v>
      </c>
      <c r="C8012" s="1">
        <v>27</v>
      </c>
      <c r="D8012" s="39">
        <f t="shared" si="1182"/>
        <v>18988</v>
      </c>
      <c r="E8012" s="1"/>
      <c r="F8012" s="39">
        <f t="shared" si="1181"/>
        <v>330</v>
      </c>
      <c r="G8012" s="168">
        <f>SUM(C8012,C7988,C7964,C7940,C7916,C7892,C7868,C7844,C7820,C7796,C7772,C7748,C7724,C7700)/POBLA!$B$19*100000</f>
        <v>427.08644812011147</v>
      </c>
      <c r="H8012" s="256">
        <f t="shared" si="1177"/>
        <v>3.5243506493506493</v>
      </c>
      <c r="I8012" s="297">
        <f t="shared" si="1179"/>
        <v>1505.2024007609773</v>
      </c>
      <c r="J8012" s="297">
        <f t="shared" si="1180"/>
        <v>83.857142857142861</v>
      </c>
      <c r="K8012" s="297">
        <f>J8012/POBLA!$B$19*100000</f>
        <v>16.496660199151506</v>
      </c>
      <c r="L8012" s="549">
        <f t="shared" si="1178"/>
        <v>0.62941919191919193</v>
      </c>
      <c r="M8012" s="401">
        <f>SUM(C8012,C7988,C7964,C7940,C7916,C7892,C7868)/POBLA!$B$19*100000</f>
        <v>115.47662139406053</v>
      </c>
    </row>
    <row r="8013" spans="1:13" s="360" customFormat="1" x14ac:dyDescent="0.25">
      <c r="A8013" s="367" t="s">
        <v>37</v>
      </c>
      <c r="B8013" s="2">
        <v>44226</v>
      </c>
      <c r="C8013" s="1">
        <v>137</v>
      </c>
      <c r="D8013" s="39">
        <f t="shared" si="1182"/>
        <v>32441</v>
      </c>
      <c r="E8013" s="1">
        <v>4</v>
      </c>
      <c r="F8013" s="39">
        <f t="shared" si="1181"/>
        <v>493</v>
      </c>
      <c r="G8013" s="168">
        <f>SUM(C8013,C7989,C7965,C7941,C7917,C7893,C7869,C7845,C7821,C7797,C7773,C7749,C7725,C7701)/POBLA!$B$20*100000</f>
        <v>910.04052524213967</v>
      </c>
      <c r="H8013" s="256">
        <f t="shared" si="1177"/>
        <v>0.67656027647895911</v>
      </c>
      <c r="I8013" s="297">
        <f t="shared" si="1179"/>
        <v>615.69726936487916</v>
      </c>
      <c r="J8013" s="297">
        <f t="shared" si="1180"/>
        <v>156.28571428571428</v>
      </c>
      <c r="K8013" s="297">
        <f>J8013/POBLA!$B$20*100000</f>
        <v>42.736278099884132</v>
      </c>
      <c r="L8013" s="549">
        <f t="shared" si="1178"/>
        <v>0.51029543419874668</v>
      </c>
      <c r="M8013" s="401">
        <f>SUM(C8013,C7989,C7965,C7941,C7917,C7893,C7869)/POBLA!$B$20*100000</f>
        <v>299.15394669918896</v>
      </c>
    </row>
    <row r="8014" spans="1:13" s="360" customFormat="1" x14ac:dyDescent="0.25">
      <c r="A8014" s="367" t="s">
        <v>22</v>
      </c>
      <c r="B8014" s="2">
        <v>44226</v>
      </c>
      <c r="C8014" s="1">
        <v>515</v>
      </c>
      <c r="D8014" s="39">
        <f t="shared" si="1182"/>
        <v>205609</v>
      </c>
      <c r="E8014" s="1">
        <v>6</v>
      </c>
      <c r="F8014" s="39">
        <f t="shared" si="1181"/>
        <v>3500</v>
      </c>
      <c r="G8014" s="168">
        <f>SUM(C8014,C7990,C7966,C7942,C7918,C7894,C7870,C7846,C7822,C7798,C7774,C7750,C7726,C7702)/POBLA!$B$21*100000</f>
        <v>316.76119734714615</v>
      </c>
      <c r="H8014" s="256">
        <f t="shared" si="1177"/>
        <v>0.65462833099579243</v>
      </c>
      <c r="I8014" s="297">
        <f t="shared" si="1179"/>
        <v>207.36085394359111</v>
      </c>
      <c r="J8014" s="297">
        <f t="shared" si="1180"/>
        <v>631.71428571428567</v>
      </c>
      <c r="K8014" s="297">
        <f>J8014/POBLA!$B$21*100000</f>
        <v>17.863111366198385</v>
      </c>
      <c r="L8014" s="549">
        <f t="shared" si="1178"/>
        <v>0.34778761061946906</v>
      </c>
      <c r="M8014" s="401">
        <f>SUM(C8014,C7990,C7966,C7942,C7918,C7894,C7870)/POBLA!$B$21*100000</f>
        <v>125.04177956338872</v>
      </c>
    </row>
    <row r="8015" spans="1:13" s="360" customFormat="1" x14ac:dyDescent="0.25">
      <c r="A8015" s="367" t="s">
        <v>38</v>
      </c>
      <c r="B8015" s="2">
        <v>44226</v>
      </c>
      <c r="C8015" s="1">
        <v>92</v>
      </c>
      <c r="D8015" s="39">
        <f t="shared" si="1182"/>
        <v>20762</v>
      </c>
      <c r="E8015" s="1"/>
      <c r="F8015" s="39">
        <f t="shared" si="1181"/>
        <v>242</v>
      </c>
      <c r="G8015" s="168">
        <f>SUM(C8015,C7991,C7967,C7943,C7919,C7895,C7871,C7847,C7823,C7799,C7775,C7751,C7727,C7703)/POBLA!$B$22*100000</f>
        <v>133.59732519142648</v>
      </c>
      <c r="H8015" s="256">
        <f t="shared" si="1177"/>
        <v>0.69226694915254239</v>
      </c>
      <c r="I8015" s="297">
        <f t="shared" si="1179"/>
        <v>92.485012725208904</v>
      </c>
      <c r="J8015" s="297">
        <f t="shared" si="1180"/>
        <v>62</v>
      </c>
      <c r="K8015" s="297">
        <f>J8015/POBLA!$B$22*100000</f>
        <v>6.3374400626384393</v>
      </c>
      <c r="L8015" s="549">
        <f t="shared" si="1178"/>
        <v>0.50286368843069873</v>
      </c>
      <c r="M8015" s="401">
        <f>SUM(C8015,C7991,C7967,C7943,C7919,C7895,C7871)/POBLA!$B$22*100000</f>
        <v>44.362080438469079</v>
      </c>
    </row>
    <row r="8016" spans="1:13" s="360" customFormat="1" x14ac:dyDescent="0.25">
      <c r="A8016" s="367" t="s">
        <v>39</v>
      </c>
      <c r="B8016" s="2">
        <v>44226</v>
      </c>
      <c r="C8016" s="1">
        <v>15</v>
      </c>
      <c r="D8016" s="39">
        <f t="shared" si="1182"/>
        <v>21775</v>
      </c>
      <c r="E8016" s="1"/>
      <c r="F8016" s="39">
        <f t="shared" si="1181"/>
        <v>332</v>
      </c>
      <c r="G8016" s="168">
        <f>SUM(C8016,C7992,C7968,C7944,C7920,C7896,C7872,C7848,C7824,C7800,C7776,C7752,C7728,C7704)/POBLA!$B$23*100000</f>
        <v>607.92851891647342</v>
      </c>
      <c r="H8016" s="256">
        <f t="shared" si="1177"/>
        <v>0.78409919766593728</v>
      </c>
      <c r="I8016" s="297">
        <f t="shared" si="1179"/>
        <v>476.67626392064841</v>
      </c>
      <c r="J8016" s="297">
        <f t="shared" si="1180"/>
        <v>61.571428571428569</v>
      </c>
      <c r="K8016" s="297">
        <f>J8016/POBLA!$B$23*100000</f>
        <v>34.819560352558142</v>
      </c>
      <c r="L8016" s="549">
        <f t="shared" si="1178"/>
        <v>0.33074534161490687</v>
      </c>
      <c r="M8016" s="401">
        <f>SUM(C8016,C7992,C7968,C7944,C7920,C7896,C7872)/POBLA!$B$23*100000</f>
        <v>243.73692246790705</v>
      </c>
    </row>
    <row r="8017" spans="1:13" s="360" customFormat="1" ht="15.75" thickBot="1" x14ac:dyDescent="0.3">
      <c r="A8017" s="369" t="s">
        <v>40</v>
      </c>
      <c r="B8017" s="266">
        <v>44226</v>
      </c>
      <c r="C8017" s="44">
        <v>57</v>
      </c>
      <c r="D8017" s="176">
        <f t="shared" si="1182"/>
        <v>76325</v>
      </c>
      <c r="E8017" s="44"/>
      <c r="F8017" s="176">
        <f t="shared" si="1181"/>
        <v>1427</v>
      </c>
      <c r="G8017" s="177">
        <f>SUM(C8017,C7993,C7969,C7945,C7921,C7897,C7873,C7849,C7825,C7801,C7777,C7753,C7729,C7705)/POBLA!$B$24*100000</f>
        <v>125.8072434759621</v>
      </c>
      <c r="H8017" s="402">
        <f t="shared" si="1177"/>
        <v>0.71019320453031309</v>
      </c>
      <c r="I8017" s="403">
        <f t="shared" si="1179"/>
        <v>89.34744939731884</v>
      </c>
      <c r="J8017" s="403">
        <f t="shared" si="1180"/>
        <v>154.14285714285714</v>
      </c>
      <c r="K8017" s="403">
        <f>J8017/POBLA!$B$24*100000</f>
        <v>9.0958198680355871</v>
      </c>
      <c r="L8017" s="550">
        <f t="shared" si="1178"/>
        <v>-2.4691358024691468E-2</v>
      </c>
      <c r="M8017" s="405">
        <f>SUM(C8017,C7993,C7969,C7945,C7921,C7897,C7873)/POBLA!$B$24*100000</f>
        <v>63.670739076249106</v>
      </c>
    </row>
    <row r="8018" spans="1:13" s="360" customFormat="1" ht="15.75" thickBot="1" x14ac:dyDescent="0.3">
      <c r="A8018" s="363" t="s">
        <v>16</v>
      </c>
      <c r="B8018" s="266">
        <v>44227</v>
      </c>
      <c r="C8018" s="225">
        <v>2227</v>
      </c>
      <c r="D8018" s="174">
        <f t="shared" si="1182"/>
        <v>804348</v>
      </c>
      <c r="E8018" s="225">
        <v>13</v>
      </c>
      <c r="F8018" s="174">
        <f>E8018+F7994</f>
        <v>24484</v>
      </c>
      <c r="G8018" s="175">
        <f>SUM(C8018,C7994,C7970,C7946,C7922,C7898,C7874,C7850,C7826,C7802,C7778,C7754,C7730,C7706)/POBLA!$B$1*100000</f>
        <v>301.51972440105237</v>
      </c>
      <c r="H8018" s="300">
        <f t="shared" ref="H8018:H8041" si="1183">SUM(C8018,C7994,C7970,C7946,C7922,C7898,C7874,C7850,C7826,C7802,C7778,C7754,C7730,C7706)/SUM(C7682,C7658,C7634,C7610,C7586,C7562,C7538,C7514,C7490,C7466,C7442,C7418,C7394,C7370)</f>
        <v>0.86598444535407282</v>
      </c>
      <c r="I8018" s="301">
        <f>G8018*H8018</f>
        <v>261.11139129875824</v>
      </c>
      <c r="J8018" s="301">
        <f>AVERAGE(C8018,C7994,C7970,C7946,C7922,C7898,C7874)</f>
        <v>3674.1428571428573</v>
      </c>
      <c r="K8018" s="301">
        <f>J8018/POBLA!$B$1*100000</f>
        <v>20.945860119035913</v>
      </c>
      <c r="L8018" s="548">
        <f t="shared" ref="L8018:L8041" si="1184">1-SUM(C8018,C7994,C7970,C7946,C7922,C7898,C7874)/SUM(C7850,C7826,C7802,C7778,C7754,C7730,C7706)</f>
        <v>5.3439328696036181E-2</v>
      </c>
      <c r="M8018" s="400">
        <f>SUM(C8018,C7994,C7970,C7946,C7922,C7898,C7874)/POBLA!$B$1*100000</f>
        <v>146.62102083325138</v>
      </c>
    </row>
    <row r="8019" spans="1:13" s="360" customFormat="1" ht="15.75" thickBot="1" x14ac:dyDescent="0.3">
      <c r="A8019" s="367" t="s">
        <v>43</v>
      </c>
      <c r="B8019" s="266">
        <v>44227</v>
      </c>
      <c r="C8019" s="1">
        <v>757</v>
      </c>
      <c r="D8019" s="39">
        <f t="shared" si="1182"/>
        <v>210248</v>
      </c>
      <c r="E8019" s="1">
        <v>2</v>
      </c>
      <c r="F8019" s="39">
        <f t="shared" ref="F8019:F8041" si="1185">E8019+F7995</f>
        <v>6046</v>
      </c>
      <c r="G8019" s="168">
        <f>SUM(C8019,C7995,C7971,C7947,C7923,C7899,C7875,C7851,C7827,C7803,C7779,C7755,C7731,C7707)/POBLA!$B$2*100000</f>
        <v>505.90997793634244</v>
      </c>
      <c r="H8019" s="256">
        <f t="shared" si="1183"/>
        <v>0.85527400648601115</v>
      </c>
      <c r="I8019" s="297">
        <f t="shared" ref="I8019:I8041" si="1186">G8019*H8019</f>
        <v>432.6916537508651</v>
      </c>
      <c r="J8019" s="297">
        <f t="shared" ref="J8019:J8041" si="1187">AVERAGE(C8019,C7995,C7971,C7947,C7923,C7899,C7875)</f>
        <v>1090.7142857142858</v>
      </c>
      <c r="K8019" s="297">
        <f>J8019/POBLA!$B$2*100000</f>
        <v>35.462933176129042</v>
      </c>
      <c r="L8019" s="549">
        <f t="shared" si="1184"/>
        <v>3.6593059936908534E-2</v>
      </c>
      <c r="M8019" s="401">
        <f>SUM(C8019,C7995,C7971,C7947,C7923,C7899,C7875)/POBLA!$B$2*100000</f>
        <v>248.24053223290329</v>
      </c>
    </row>
    <row r="8020" spans="1:13" s="360" customFormat="1" ht="15.75" thickBot="1" x14ac:dyDescent="0.3">
      <c r="A8020" s="367" t="s">
        <v>28</v>
      </c>
      <c r="B8020" s="266">
        <v>44227</v>
      </c>
      <c r="C8020" s="1">
        <v>142</v>
      </c>
      <c r="D8020" s="39">
        <f t="shared" si="1182"/>
        <v>5383</v>
      </c>
      <c r="E8020" s="1"/>
      <c r="F8020" s="39">
        <f t="shared" si="1185"/>
        <v>17</v>
      </c>
      <c r="G8020" s="168">
        <f>SUM(C8020,C7996,C7972,C7948,C7924,C7900,C7876,C7852,C7828,C7804,C7780,C7756,C7732,C7708)/POBLA!$B$3*100000</f>
        <v>289.33318569798621</v>
      </c>
      <c r="H8020" s="256">
        <f t="shared" si="1183"/>
        <v>0.90375939849624065</v>
      </c>
      <c r="I8020" s="297">
        <f t="shared" si="1186"/>
        <v>261.4875858714131</v>
      </c>
      <c r="J8020" s="297">
        <f t="shared" si="1187"/>
        <v>93.142857142857139</v>
      </c>
      <c r="K8020" s="297">
        <f>J8020/POBLA!$B$3*100000</f>
        <v>22.420398986818043</v>
      </c>
      <c r="L8020" s="549">
        <f t="shared" si="1184"/>
        <v>-0.18545454545454554</v>
      </c>
      <c r="M8020" s="401">
        <f>SUM(C8020,C7996,C7972,C7948,C7924,C7900,C7876)/POBLA!$B$3*100000</f>
        <v>156.9427929077263</v>
      </c>
    </row>
    <row r="8021" spans="1:13" s="360" customFormat="1" ht="15.75" thickBot="1" x14ac:dyDescent="0.3">
      <c r="A8021" s="367" t="s">
        <v>15</v>
      </c>
      <c r="B8021" s="266">
        <v>44227</v>
      </c>
      <c r="C8021" s="1">
        <v>86</v>
      </c>
      <c r="D8021" s="39">
        <f t="shared" si="1182"/>
        <v>30754</v>
      </c>
      <c r="E8021" s="1"/>
      <c r="F8021" s="39">
        <f t="shared" si="1185"/>
        <v>788</v>
      </c>
      <c r="G8021" s="168">
        <f>SUM(C8021,C7997,C7973,C7949,C7925,C7901,C7877,C7853,C7829,C7805,C7781,C7757,C7733,C7709)/POBLA!$B$4*100000</f>
        <v>186.21200938780828</v>
      </c>
      <c r="H8021" s="256">
        <f t="shared" si="1183"/>
        <v>0.66696402022004164</v>
      </c>
      <c r="I8021" s="297">
        <f t="shared" si="1186"/>
        <v>124.19671039454475</v>
      </c>
      <c r="J8021" s="297">
        <f t="shared" si="1187"/>
        <v>134.28571428571428</v>
      </c>
      <c r="K8021" s="297">
        <f>J8021/POBLA!$B$4*100000</f>
        <v>11.148289206072212</v>
      </c>
      <c r="L8021" s="549">
        <f t="shared" si="1184"/>
        <v>0.27858787413660779</v>
      </c>
      <c r="M8021" s="401">
        <f>SUM(C8021,C7997,C7973,C7949,C7925,C7901,C7877)/POBLA!$B$4*100000</f>
        <v>78.038024442505488</v>
      </c>
    </row>
    <row r="8022" spans="1:13" s="360" customFormat="1" ht="15.75" thickBot="1" x14ac:dyDescent="0.3">
      <c r="A8022" s="367" t="s">
        <v>29</v>
      </c>
      <c r="B8022" s="266">
        <v>44227</v>
      </c>
      <c r="C8022" s="1">
        <v>90</v>
      </c>
      <c r="D8022" s="39">
        <f t="shared" si="1182"/>
        <v>42306</v>
      </c>
      <c r="E8022" s="1"/>
      <c r="F8022" s="39">
        <f t="shared" si="1185"/>
        <v>617</v>
      </c>
      <c r="G8022" s="168">
        <f>SUM(C8022,C7998,C7974,C7950,C7926,C7902,C7878,C7854,C7830,C7806,C7782,C7758,C7734,C7710)/POBLA!$B$5*100000</f>
        <v>657.19538476948082</v>
      </c>
      <c r="H8022" s="256">
        <f t="shared" si="1183"/>
        <v>0.70331950207468885</v>
      </c>
      <c r="I8022" s="297">
        <f t="shared" si="1186"/>
        <v>462.21833078185483</v>
      </c>
      <c r="J8022" s="297">
        <f t="shared" si="1187"/>
        <v>292.85714285714283</v>
      </c>
      <c r="K8022" s="297">
        <f>J8022/POBLA!$B$5*100000</f>
        <v>47.311790236600487</v>
      </c>
      <c r="L8022" s="549">
        <f t="shared" si="1184"/>
        <v>-1.5857284440039754E-2</v>
      </c>
      <c r="M8022" s="401">
        <f>SUM(C8022,C7998,C7974,C7950,C7926,C7902,C7878)/POBLA!$B$5*100000</f>
        <v>331.18253165620342</v>
      </c>
    </row>
    <row r="8023" spans="1:13" s="360" customFormat="1" ht="15.75" thickBot="1" x14ac:dyDescent="0.3">
      <c r="A8023" s="367" t="s">
        <v>30</v>
      </c>
      <c r="B8023" s="266">
        <v>44227</v>
      </c>
      <c r="C8023" s="1">
        <v>41</v>
      </c>
      <c r="D8023" s="39">
        <f t="shared" si="1182"/>
        <v>17373</v>
      </c>
      <c r="E8023" s="1"/>
      <c r="F8023" s="39">
        <f t="shared" ref="F8023:F8028" si="1188">E8023+F7999</f>
        <v>204</v>
      </c>
      <c r="G8023" s="168">
        <f>SUM(C8023,C7999,C7975,C7951,C7927,C7903,C7879,C7855,C7831,C7807,C7783,C7759,C7735,C7711)/POBLA!$B$6*100000</f>
        <v>170.05695034176452</v>
      </c>
      <c r="H8023" s="256">
        <f t="shared" si="1183"/>
        <v>0.20363247863247863</v>
      </c>
      <c r="I8023" s="297">
        <f t="shared" si="1186"/>
        <v>34.62911830677384</v>
      </c>
      <c r="J8023" s="297">
        <f t="shared" si="1187"/>
        <v>152.85714285714286</v>
      </c>
      <c r="K8023" s="297">
        <f>J8023/POBLA!$B$6*100000</f>
        <v>13.638205431396193</v>
      </c>
      <c r="L8023" s="549">
        <f t="shared" si="1184"/>
        <v>-0.27990430622009566</v>
      </c>
      <c r="M8023" s="401">
        <f>SUM(C8023,C7999,C7975,C7951,C7927,C7903,C7879)/POBLA!$B$6*100000</f>
        <v>95.467438019773368</v>
      </c>
    </row>
    <row r="8024" spans="1:13" s="360" customFormat="1" ht="15.75" thickBot="1" x14ac:dyDescent="0.3">
      <c r="A8024" s="367" t="s">
        <v>20</v>
      </c>
      <c r="B8024" s="266">
        <v>44227</v>
      </c>
      <c r="C8024" s="1">
        <v>344</v>
      </c>
      <c r="D8024" s="39">
        <f t="shared" si="1182"/>
        <v>145040</v>
      </c>
      <c r="E8024" s="1">
        <v>1</v>
      </c>
      <c r="F8024" s="39">
        <f t="shared" si="1188"/>
        <v>2695</v>
      </c>
      <c r="G8024" s="168">
        <f>SUM(C8024,C8000,C7976,C7952,C7928,C7904,C7880,C7856,C7832,C7808,C7784,C7760,C7736,C7712)/POBLA!$B$7*100000</f>
        <v>194.12570304085946</v>
      </c>
      <c r="H8024" s="256">
        <f t="shared" si="1183"/>
        <v>2.2496147919876734</v>
      </c>
      <c r="I8024" s="297">
        <f t="shared" si="1186"/>
        <v>436.7080530657239</v>
      </c>
      <c r="J8024" s="297">
        <f t="shared" si="1187"/>
        <v>508</v>
      </c>
      <c r="K8024" s="297">
        <f>J8024/POBLA!$B$7*100000</f>
        <v>13.509021526678989</v>
      </c>
      <c r="L8024" s="549">
        <f t="shared" si="1184"/>
        <v>5.0213675213675257E-2</v>
      </c>
      <c r="M8024" s="401">
        <f>SUM(C8024,C8000,C7976,C7952,C7928,C7904,C7880)/POBLA!$B$7*100000</f>
        <v>94.563150686752905</v>
      </c>
    </row>
    <row r="8025" spans="1:13" ht="15.75" thickBot="1" x14ac:dyDescent="0.3">
      <c r="A8025" s="367" t="s">
        <v>31</v>
      </c>
      <c r="B8025" s="266">
        <v>44227</v>
      </c>
      <c r="C8025" s="1">
        <v>127</v>
      </c>
      <c r="D8025" s="39">
        <f t="shared" si="1182"/>
        <v>40989</v>
      </c>
      <c r="E8025" s="1">
        <v>5</v>
      </c>
      <c r="F8025" s="39">
        <f t="shared" si="1188"/>
        <v>724</v>
      </c>
      <c r="G8025" s="168">
        <f>SUM(C8025,C8001,C7977,C7953,C7929,C7905,C7881,C7857,C7833,C7809,C7785,C7761,C7737,C7713)/POBLA!$B$8*100000</f>
        <v>324.54015661335347</v>
      </c>
      <c r="H8025" s="256">
        <f t="shared" si="1183"/>
        <v>0.7103600758054327</v>
      </c>
      <c r="I8025" s="297">
        <f t="shared" si="1186"/>
        <v>230.54037025376877</v>
      </c>
      <c r="J8025" s="297">
        <f t="shared" si="1187"/>
        <v>273.71428571428572</v>
      </c>
      <c r="K8025" s="297">
        <f>J8025/POBLA!$B$8*100000</f>
        <v>19.749061172304685</v>
      </c>
      <c r="L8025" s="549">
        <f t="shared" si="1184"/>
        <v>0.25793958171959719</v>
      </c>
      <c r="M8025" s="401">
        <f>SUM(C8025,C8001,C7977,C7953,C7929,C7905,C7881)/POBLA!$B$8*100000</f>
        <v>138.24342820613279</v>
      </c>
    </row>
    <row r="8026" spans="1:13" s="360" customFormat="1" ht="15.75" thickBot="1" x14ac:dyDescent="0.3">
      <c r="A8026" s="367" t="s">
        <v>41</v>
      </c>
      <c r="B8026" s="266">
        <v>44227</v>
      </c>
      <c r="C8026" s="1">
        <v>0</v>
      </c>
      <c r="D8026" s="39">
        <f t="shared" si="1182"/>
        <v>843</v>
      </c>
      <c r="E8026" s="1"/>
      <c r="F8026" s="39">
        <f t="shared" si="1188"/>
        <v>5</v>
      </c>
      <c r="G8026" s="168">
        <f>SUM(C8026,C8002,C7978,C7954,C7930,C7906,C7882,C7858,C7834,C7810,C7786,C7762,C7738,C7714)/POBLA!$B$9*100000</f>
        <v>29.742577987518033</v>
      </c>
      <c r="H8026" s="256">
        <f t="shared" si="1183"/>
        <v>0.40723981900452488</v>
      </c>
      <c r="I8026" s="297">
        <f t="shared" si="1186"/>
        <v>12.112362076364809</v>
      </c>
      <c r="J8026" s="297">
        <f t="shared" si="1187"/>
        <v>5.2857142857142856</v>
      </c>
      <c r="K8026" s="297">
        <f>J8026/POBLA!$B$9*100000</f>
        <v>0.87339316312552939</v>
      </c>
      <c r="L8026" s="549">
        <f t="shared" si="1184"/>
        <v>0.74125874125874125</v>
      </c>
      <c r="M8026" s="401">
        <f>SUM(C8026,C8002,C7978,C7954,C7930,C7906,C7882)/POBLA!$B$9*100000</f>
        <v>6.113752141878706</v>
      </c>
    </row>
    <row r="8027" spans="1:13" s="360" customFormat="1" ht="15.75" thickBot="1" x14ac:dyDescent="0.3">
      <c r="A8027" s="367" t="s">
        <v>32</v>
      </c>
      <c r="B8027" s="266">
        <v>44227</v>
      </c>
      <c r="C8027" s="1">
        <v>17</v>
      </c>
      <c r="D8027" s="39">
        <f t="shared" si="1182"/>
        <v>19309</v>
      </c>
      <c r="E8027" s="1">
        <v>1</v>
      </c>
      <c r="F8027" s="39">
        <f t="shared" si="1188"/>
        <v>873</v>
      </c>
      <c r="G8027" s="168">
        <f>SUM(C8027,C8003,C7979,C7955,C7931,C7907,C7883,C7859,C7835,C7811,C7787,C7763,C7739,C7715)/POBLA!$B$10*100000</f>
        <v>58.11532519286375</v>
      </c>
      <c r="H8027" s="256">
        <f t="shared" si="1183"/>
        <v>1.5238095238095237</v>
      </c>
      <c r="I8027" s="297">
        <f t="shared" si="1186"/>
        <v>88.55668600817333</v>
      </c>
      <c r="J8027" s="297">
        <f t="shared" si="1187"/>
        <v>30.857142857142858</v>
      </c>
      <c r="K8027" s="297">
        <f>J8027/POBLA!$B$10*100000</f>
        <v>4.0028412760390841</v>
      </c>
      <c r="L8027" s="549">
        <f t="shared" si="1184"/>
        <v>6.8965517241379337E-2</v>
      </c>
      <c r="M8027" s="401">
        <f>SUM(C8027,C8003,C7979,C7955,C7931,C7907,C7883)/POBLA!$B$10*100000</f>
        <v>28.019888932273595</v>
      </c>
    </row>
    <row r="8028" spans="1:13" s="360" customFormat="1" ht="15.75" thickBot="1" x14ac:dyDescent="0.3">
      <c r="A8028" s="367" t="s">
        <v>33</v>
      </c>
      <c r="B8028" s="266">
        <v>44227</v>
      </c>
      <c r="C8028" s="1">
        <v>49</v>
      </c>
      <c r="D8028" s="39">
        <f t="shared" si="1182"/>
        <v>16439</v>
      </c>
      <c r="E8028" s="1">
        <v>1</v>
      </c>
      <c r="F8028" s="39">
        <f t="shared" si="1188"/>
        <v>238</v>
      </c>
      <c r="G8028" s="168">
        <f>SUM(C8028,C8004,C7980,C7956,C7932,C7908,C7884,C7860,C7836,C7812,C7788,C7764,C7740,C7716)/POBLA!$B$11*100000</f>
        <v>402.870311471202</v>
      </c>
      <c r="H8028" s="256">
        <f t="shared" si="1183"/>
        <v>0.40941309895094979</v>
      </c>
      <c r="I8028" s="297">
        <f t="shared" si="1186"/>
        <v>164.94038269475919</v>
      </c>
      <c r="J8028" s="297">
        <f t="shared" si="1187"/>
        <v>92.285714285714292</v>
      </c>
      <c r="K8028" s="297">
        <f>J8028/POBLA!$B$11*100000</f>
        <v>25.747350733121934</v>
      </c>
      <c r="L8028" s="549">
        <f t="shared" si="1184"/>
        <v>0.19047619047619047</v>
      </c>
      <c r="M8028" s="401">
        <f>SUM(C8028,C8004,C7980,C7956,C7932,C7908,C7884)/POBLA!$B$11*100000</f>
        <v>180.23145513185355</v>
      </c>
    </row>
    <row r="8029" spans="1:13" s="360" customFormat="1" ht="15.75" thickBot="1" x14ac:dyDescent="0.3">
      <c r="A8029" s="367" t="s">
        <v>21</v>
      </c>
      <c r="B8029" s="266">
        <v>44227</v>
      </c>
      <c r="C8029" s="1">
        <v>16</v>
      </c>
      <c r="D8029" s="39">
        <f t="shared" si="1182"/>
        <v>9548</v>
      </c>
      <c r="E8029" s="1"/>
      <c r="F8029" s="39">
        <f t="shared" si="1185"/>
        <v>411</v>
      </c>
      <c r="G8029" s="168">
        <f>SUM(C8029,C8005,C7981,C7957,C7933,C7909,C7885,C7861,C7837,C7813,C7789,C7765,C7741,C7717)/POBLA!$B$12*100000</f>
        <v>60.986300952148625</v>
      </c>
      <c r="H8029" s="256">
        <f t="shared" si="1183"/>
        <v>1.3043478260869565</v>
      </c>
      <c r="I8029" s="297">
        <f t="shared" si="1186"/>
        <v>79.54734906801994</v>
      </c>
      <c r="J8029" s="297">
        <f t="shared" si="1187"/>
        <v>15.714285714285714</v>
      </c>
      <c r="K8029" s="297">
        <f>J8029/POBLA!$B$12*100000</f>
        <v>3.9931506575811602</v>
      </c>
      <c r="L8029" s="549">
        <f t="shared" si="1184"/>
        <v>0.15384615384615385</v>
      </c>
      <c r="M8029" s="401">
        <f>SUM(C8029,C8005,C7981,C7957,C7933,C7909,C7885)/POBLA!$B$12*100000</f>
        <v>27.952054603068117</v>
      </c>
    </row>
    <row r="8030" spans="1:13" s="360" customFormat="1" ht="15.75" thickBot="1" x14ac:dyDescent="0.3">
      <c r="A8030" s="367" t="s">
        <v>17</v>
      </c>
      <c r="B8030" s="266">
        <v>44227</v>
      </c>
      <c r="C8030" s="1">
        <v>45</v>
      </c>
      <c r="D8030" s="39">
        <f t="shared" si="1182"/>
        <v>63813</v>
      </c>
      <c r="E8030" s="1">
        <v>3</v>
      </c>
      <c r="F8030" s="39">
        <f t="shared" si="1185"/>
        <v>1362</v>
      </c>
      <c r="G8030" s="168">
        <f>SUM(C8030,C8006,C7982,C7958,C7934,C7910,C7886,C7862,C7838,C7814,C7790,C7766,C7742,C7718)/POBLA!$B$13*100000</f>
        <v>80.036657090403736</v>
      </c>
      <c r="H8030" s="256">
        <f t="shared" si="1183"/>
        <v>0.84285714285714286</v>
      </c>
      <c r="I8030" s="297">
        <f t="shared" si="1186"/>
        <v>67.459468119054577</v>
      </c>
      <c r="J8030" s="297">
        <f t="shared" si="1187"/>
        <v>94</v>
      </c>
      <c r="K8030" s="297">
        <f>J8030/POBLA!$B$13*100000</f>
        <v>4.722815923727528</v>
      </c>
      <c r="L8030" s="549">
        <f t="shared" si="1184"/>
        <v>0.29625668449197862</v>
      </c>
      <c r="M8030" s="401">
        <f>SUM(C8030,C8006,C7982,C7958,C7934,C7910,C7886)/POBLA!$B$13*100000</f>
        <v>33.059711466092693</v>
      </c>
    </row>
    <row r="8031" spans="1:13" s="360" customFormat="1" ht="15.75" thickBot="1" x14ac:dyDescent="0.3">
      <c r="A8031" s="367" t="s">
        <v>23</v>
      </c>
      <c r="B8031" s="266">
        <v>44227</v>
      </c>
      <c r="C8031" s="1">
        <v>132</v>
      </c>
      <c r="D8031" s="39">
        <f t="shared" si="1182"/>
        <v>4709</v>
      </c>
      <c r="E8031" s="1"/>
      <c r="F8031" s="39">
        <f t="shared" si="1185"/>
        <v>84</v>
      </c>
      <c r="G8031" s="168">
        <f>SUM(C8031,C8007,C7983,C7959,C7935,C7911,C7887,C7863,C7839,C7815,C7791,C7767,C7743,C7719)/POBLA!$B$14*100000</f>
        <v>200.50836680425024</v>
      </c>
      <c r="H8031" s="256">
        <f t="shared" si="1183"/>
        <v>2.3948863636363638</v>
      </c>
      <c r="I8031" s="297">
        <f t="shared" si="1186"/>
        <v>480.19475345449706</v>
      </c>
      <c r="J8031" s="297">
        <f t="shared" si="1187"/>
        <v>177.42857142857142</v>
      </c>
      <c r="K8031" s="297">
        <f>J8031/POBLA!$B$14*100000</f>
        <v>14.067185876454769</v>
      </c>
      <c r="L8031" s="549">
        <f t="shared" si="1184"/>
        <v>3.4965034965035002E-2</v>
      </c>
      <c r="M8031" s="401">
        <f>SUM(C8031,C8007,C7983,C7959,C7935,C7911,C7887)/POBLA!$B$14*100000</f>
        <v>98.470301135183391</v>
      </c>
    </row>
    <row r="8032" spans="1:13" s="360" customFormat="1" ht="15.75" thickBot="1" x14ac:dyDescent="0.3">
      <c r="A8032" s="367" t="s">
        <v>19</v>
      </c>
      <c r="B8032" s="266">
        <v>44227</v>
      </c>
      <c r="C8032" s="1">
        <v>253</v>
      </c>
      <c r="D8032" s="39">
        <f t="shared" si="1182"/>
        <v>54057</v>
      </c>
      <c r="E8032" s="1">
        <v>2</v>
      </c>
      <c r="F8032" s="39">
        <f t="shared" si="1185"/>
        <v>770</v>
      </c>
      <c r="G8032" s="168">
        <f>SUM(C8032,C8008,C7984,C7960,C7936,C7912,C7888,C7864,C7840,C7816,C7792,C7768,C7744,C7720)/POBLA!$B$15*100000</f>
        <v>880.49670434917482</v>
      </c>
      <c r="H8032" s="256">
        <f t="shared" si="1183"/>
        <v>0.93045830681094843</v>
      </c>
      <c r="I8032" s="297">
        <f t="shared" si="1186"/>
        <v>819.26547268135346</v>
      </c>
      <c r="J8032" s="297">
        <f t="shared" si="1187"/>
        <v>438.85714285714283</v>
      </c>
      <c r="K8032" s="297">
        <f>J8032/POBLA!$B$15*100000</f>
        <v>66.087270047171074</v>
      </c>
      <c r="L8032" s="549">
        <f t="shared" si="1184"/>
        <v>-0.10702702702702704</v>
      </c>
      <c r="M8032" s="401">
        <f>SUM(C8032,C8008,C7984,C7960,C7936,C7912,C7888)/POBLA!$B$15*100000</f>
        <v>462.61089033019749</v>
      </c>
    </row>
    <row r="8033" spans="1:13" s="360" customFormat="1" ht="15.75" thickBot="1" x14ac:dyDescent="0.3">
      <c r="A8033" s="367" t="s">
        <v>18</v>
      </c>
      <c r="B8033" s="266">
        <v>44227</v>
      </c>
      <c r="C8033" s="1">
        <v>74</v>
      </c>
      <c r="D8033" s="39">
        <f t="shared" si="1182"/>
        <v>47888</v>
      </c>
      <c r="E8033" s="1">
        <v>1</v>
      </c>
      <c r="F8033" s="39">
        <f t="shared" si="1185"/>
        <v>1075</v>
      </c>
      <c r="G8033" s="168">
        <f>SUM(C8033,C8009,C7985,C7961,C7937,C7913,C7889,C7865,C7841,C7817,C7793,C7769,C7745,C7721)/POBLA!$B$16*100000</f>
        <v>535.57336044194165</v>
      </c>
      <c r="H8033" s="256">
        <f t="shared" si="1183"/>
        <v>0.83208645054031583</v>
      </c>
      <c r="I8033" s="297">
        <f t="shared" si="1186"/>
        <v>445.64333649408439</v>
      </c>
      <c r="J8033" s="297">
        <f t="shared" si="1187"/>
        <v>272.85714285714283</v>
      </c>
      <c r="K8033" s="297">
        <f>J8033/POBLA!$B$16*100000</f>
        <v>36.497256973173556</v>
      </c>
      <c r="L8033" s="549">
        <f t="shared" si="1184"/>
        <v>8.7870105062082149E-2</v>
      </c>
      <c r="M8033" s="401">
        <f>SUM(C8033,C8009,C7985,C7961,C7937,C7913,C7889)/POBLA!$B$16*100000</f>
        <v>255.48079881221494</v>
      </c>
    </row>
    <row r="8034" spans="1:13" s="360" customFormat="1" ht="15.75" thickBot="1" x14ac:dyDescent="0.3">
      <c r="A8034" s="367" t="s">
        <v>34</v>
      </c>
      <c r="B8034" s="266">
        <v>44227</v>
      </c>
      <c r="C8034" s="1">
        <v>28</v>
      </c>
      <c r="D8034" s="39">
        <f t="shared" si="1182"/>
        <v>23806</v>
      </c>
      <c r="E8034" s="1">
        <v>3</v>
      </c>
      <c r="F8034" s="39">
        <f t="shared" si="1185"/>
        <v>1046</v>
      </c>
      <c r="G8034" s="168">
        <f>SUM(C8034,C8010,C7986,C7962,C7938,C7914,C7890,C7866,C7842,C7818,C7794,C7770,C7746,C7722)/POBLA!$B$17*100000</f>
        <v>50.617910596554196</v>
      </c>
      <c r="H8034" s="256">
        <f t="shared" si="1183"/>
        <v>1.0729166666666667</v>
      </c>
      <c r="I8034" s="297">
        <f t="shared" si="1186"/>
        <v>54.308799910886279</v>
      </c>
      <c r="J8034" s="297">
        <f t="shared" si="1187"/>
        <v>52</v>
      </c>
      <c r="K8034" s="297">
        <f>J8034/POBLA!$B$17*100000</f>
        <v>3.6506676158402467</v>
      </c>
      <c r="L8034" s="549">
        <f t="shared" si="1184"/>
        <v>-1.9607843137254832E-2</v>
      </c>
      <c r="M8034" s="401">
        <f>SUM(C8034,C8010,C7986,C7962,C7938,C7914,C7890)/POBLA!$B$17*100000</f>
        <v>25.554673310881729</v>
      </c>
    </row>
    <row r="8035" spans="1:13" s="360" customFormat="1" ht="15.75" thickBot="1" x14ac:dyDescent="0.3">
      <c r="A8035" s="367" t="s">
        <v>35</v>
      </c>
      <c r="B8035" s="266">
        <v>44227</v>
      </c>
      <c r="C8035" s="1">
        <v>11</v>
      </c>
      <c r="D8035" s="39">
        <f t="shared" si="1182"/>
        <v>13950</v>
      </c>
      <c r="E8035" s="1"/>
      <c r="F8035" s="39">
        <f t="shared" si="1185"/>
        <v>198</v>
      </c>
      <c r="G8035" s="168">
        <f>SUM(C8035,C8011,C7987,C7963,C7939,C7915,C7891,C7867,C7843,C7819,C7795,C7771,C7747,C7723)/POBLA!$B$18*100000</f>
        <v>109.95664456866658</v>
      </c>
      <c r="H8035" s="256">
        <f t="shared" si="1183"/>
        <v>0.57535164099129266</v>
      </c>
      <c r="I8035" s="297">
        <f t="shared" si="1186"/>
        <v>63.263735890478621</v>
      </c>
      <c r="J8035" s="297">
        <f t="shared" si="1187"/>
        <v>57.857142857142854</v>
      </c>
      <c r="K8035" s="297">
        <f>J8035/POBLA!$B$18*100000</f>
        <v>7.4060271162996782</v>
      </c>
      <c r="L8035" s="549">
        <f t="shared" si="1184"/>
        <v>0.10792951541850215</v>
      </c>
      <c r="M8035" s="401">
        <f>SUM(C8035,C8011,C7987,C7963,C7939,C7915,C7891)/POBLA!$B$18*100000</f>
        <v>51.84218981409775</v>
      </c>
    </row>
    <row r="8036" spans="1:13" s="360" customFormat="1" ht="15.75" thickBot="1" x14ac:dyDescent="0.3">
      <c r="A8036" s="367" t="s">
        <v>36</v>
      </c>
      <c r="B8036" s="266">
        <v>44227</v>
      </c>
      <c r="C8036" s="1">
        <v>22</v>
      </c>
      <c r="D8036" s="39">
        <f t="shared" si="1182"/>
        <v>19010</v>
      </c>
      <c r="E8036" s="1"/>
      <c r="F8036" s="39">
        <f t="shared" si="1185"/>
        <v>330</v>
      </c>
      <c r="G8036" s="168">
        <f>SUM(C8036,C8012,C7988,C7964,C7940,C7916,C7892,C7868,C7844,C7820,C7796,C7772,C7748,C7724)/POBLA!$B$19*100000</f>
        <v>420.00440660361028</v>
      </c>
      <c r="H8036" s="256">
        <f t="shared" si="1183"/>
        <v>3.2846153846153845</v>
      </c>
      <c r="I8036" s="297">
        <f t="shared" si="1186"/>
        <v>1379.5529355364738</v>
      </c>
      <c r="J8036" s="297">
        <f t="shared" si="1187"/>
        <v>79.571428571428569</v>
      </c>
      <c r="K8036" s="297">
        <f>J8036/POBLA!$B$19*100000</f>
        <v>15.653560018615652</v>
      </c>
      <c r="L8036" s="549">
        <f t="shared" si="1184"/>
        <v>0.64702154626108999</v>
      </c>
      <c r="M8036" s="401">
        <f>SUM(C8036,C8012,C7988,C7964,C7940,C7916,C7892)/POBLA!$B$19*100000</f>
        <v>109.57492013030955</v>
      </c>
    </row>
    <row r="8037" spans="1:13" s="360" customFormat="1" ht="15.75" thickBot="1" x14ac:dyDescent="0.3">
      <c r="A8037" s="367" t="s">
        <v>37</v>
      </c>
      <c r="B8037" s="266">
        <v>44227</v>
      </c>
      <c r="C8037" s="1">
        <v>97</v>
      </c>
      <c r="D8037" s="39">
        <f t="shared" si="1182"/>
        <v>32538</v>
      </c>
      <c r="E8037" s="1"/>
      <c r="F8037" s="39">
        <f t="shared" si="1185"/>
        <v>493</v>
      </c>
      <c r="G8037" s="168">
        <f>SUM(C8037,C8013,C7989,C7965,C7941,C7917,C7893,C7869,C7845,C7821,C7797,C7773,C7749,C7725)/POBLA!$B$20*100000</f>
        <v>863.82752981968724</v>
      </c>
      <c r="H8037" s="256">
        <f t="shared" si="1183"/>
        <v>0.63459220570510244</v>
      </c>
      <c r="I8037" s="297">
        <f t="shared" si="1186"/>
        <v>548.17821749706548</v>
      </c>
      <c r="J8037" s="297">
        <f t="shared" si="1187"/>
        <v>151.42857142857142</v>
      </c>
      <c r="K8037" s="297">
        <f>J8037/POBLA!$B$20*100000</f>
        <v>41.408093954183897</v>
      </c>
      <c r="L8037" s="549">
        <f t="shared" si="1184"/>
        <v>0.494997617913292</v>
      </c>
      <c r="M8037" s="401">
        <f>SUM(C8037,C8013,C7989,C7965,C7941,C7917,C7893)/POBLA!$B$20*100000</f>
        <v>289.85665767928731</v>
      </c>
    </row>
    <row r="8038" spans="1:13" s="360" customFormat="1" ht="15.75" thickBot="1" x14ac:dyDescent="0.3">
      <c r="A8038" s="367" t="s">
        <v>22</v>
      </c>
      <c r="B8038" s="266">
        <v>44227</v>
      </c>
      <c r="C8038" s="1">
        <v>217</v>
      </c>
      <c r="D8038" s="39">
        <f t="shared" si="1182"/>
        <v>205826</v>
      </c>
      <c r="E8038" s="1">
        <v>8</v>
      </c>
      <c r="F8038" s="39">
        <f t="shared" si="1185"/>
        <v>3508</v>
      </c>
      <c r="G8038" s="168">
        <f>SUM(C8038,C8014,C7990,C7966,C7942,C7918,C7894,C7870,C7846,C7822,C7798,C7774,C7750,C7726)/POBLA!$B$21*100000</f>
        <v>304.37578363191227</v>
      </c>
      <c r="H8038" s="256">
        <f t="shared" si="1183"/>
        <v>0.62396382818387341</v>
      </c>
      <c r="I8038" s="297">
        <f t="shared" si="1186"/>
        <v>189.91947916143434</v>
      </c>
      <c r="J8038" s="297">
        <f t="shared" si="1187"/>
        <v>600.14285714285711</v>
      </c>
      <c r="K8038" s="297">
        <f>J8038/POBLA!$B$21*100000</f>
        <v>16.970359757892226</v>
      </c>
      <c r="L8038" s="549">
        <f t="shared" si="1184"/>
        <v>0.35989638884656405</v>
      </c>
      <c r="M8038" s="401">
        <f>SUM(C8038,C8014,C7990,C7966,C7942,C7918,C7894)/POBLA!$B$21*100000</f>
        <v>118.79251830524558</v>
      </c>
    </row>
    <row r="8039" spans="1:13" s="360" customFormat="1" ht="15.75" thickBot="1" x14ac:dyDescent="0.3">
      <c r="A8039" s="367" t="s">
        <v>38</v>
      </c>
      <c r="B8039" s="266">
        <v>44227</v>
      </c>
      <c r="C8039" s="1">
        <v>88</v>
      </c>
      <c r="D8039" s="39">
        <f t="shared" si="1182"/>
        <v>20850</v>
      </c>
      <c r="E8039" s="1">
        <v>1</v>
      </c>
      <c r="F8039" s="39">
        <f t="shared" si="1185"/>
        <v>243</v>
      </c>
      <c r="G8039" s="168">
        <f>SUM(C8039,C8015,C7991,C7967,C7943,C7919,C7895,C7871,C7847,C7823,C7799,C7775,C7751,C7727)/POBLA!$B$22*100000</f>
        <v>127.87318578001111</v>
      </c>
      <c r="H8039" s="256">
        <f t="shared" si="1183"/>
        <v>0.63118062563067612</v>
      </c>
      <c r="I8039" s="297">
        <f t="shared" si="1186"/>
        <v>80.711077402015093</v>
      </c>
      <c r="J8039" s="297">
        <f t="shared" si="1187"/>
        <v>66</v>
      </c>
      <c r="K8039" s="297">
        <f>J8039/POBLA!$B$22*100000</f>
        <v>6.7463071634538228</v>
      </c>
      <c r="L8039" s="549">
        <f t="shared" si="1184"/>
        <v>0.4144486692015209</v>
      </c>
      <c r="M8039" s="401">
        <f>SUM(C8039,C8015,C7991,C7967,C7943,C7919,C7895)/POBLA!$B$22*100000</f>
        <v>47.224150144176761</v>
      </c>
    </row>
    <row r="8040" spans="1:13" s="360" customFormat="1" ht="15.75" thickBot="1" x14ac:dyDescent="0.3">
      <c r="A8040" s="367" t="s">
        <v>39</v>
      </c>
      <c r="B8040" s="266">
        <v>44227</v>
      </c>
      <c r="C8040" s="1">
        <v>41</v>
      </c>
      <c r="D8040" s="39">
        <f t="shared" si="1182"/>
        <v>21816</v>
      </c>
      <c r="E8040" s="1">
        <v>2</v>
      </c>
      <c r="F8040" s="39">
        <f t="shared" si="1185"/>
        <v>334</v>
      </c>
      <c r="G8040" s="168">
        <f>SUM(C8040,C8016,C7992,C7968,C7944,C7920,C7896,C7872,C7848,C7824,C7800,C7776,C7752,C7728)/POBLA!$B$23*100000</f>
        <v>597.18373579143815</v>
      </c>
      <c r="H8040" s="256">
        <f t="shared" si="1183"/>
        <v>0.79518072289156627</v>
      </c>
      <c r="I8040" s="297">
        <f t="shared" si="1186"/>
        <v>474.8689947257219</v>
      </c>
      <c r="J8040" s="297">
        <f t="shared" si="1187"/>
        <v>60.857142857142854</v>
      </c>
      <c r="K8040" s="297">
        <f>J8040/POBLA!$B$23*100000</f>
        <v>34.415621137331257</v>
      </c>
      <c r="L8040" s="549">
        <f t="shared" si="1184"/>
        <v>0.32380952380952377</v>
      </c>
      <c r="M8040" s="401">
        <f>SUM(C8040,C8016,C7992,C7968,C7944,C7920,C7896)/POBLA!$B$23*100000</f>
        <v>240.90934796131879</v>
      </c>
    </row>
    <row r="8041" spans="1:13" s="360" customFormat="1" ht="15.75" thickBot="1" x14ac:dyDescent="0.3">
      <c r="A8041" s="368" t="s">
        <v>40</v>
      </c>
      <c r="B8041" s="34">
        <v>44227</v>
      </c>
      <c r="C8041" s="232">
        <v>71</v>
      </c>
      <c r="D8041" s="67">
        <f t="shared" si="1182"/>
        <v>76396</v>
      </c>
      <c r="E8041" s="232"/>
      <c r="F8041" s="67">
        <f t="shared" si="1185"/>
        <v>1427</v>
      </c>
      <c r="G8041" s="177">
        <f>SUM(C8041,C8017,C7993,C7969,C7945,C7921,C7897,C7873,C7849,C7825,C7801,C7777,C7753,C7729)/POBLA!$B$24*100000</f>
        <v>123.85994561728162</v>
      </c>
      <c r="H8041" s="402">
        <f t="shared" si="1183"/>
        <v>0.69966666666666666</v>
      </c>
      <c r="I8041" s="403">
        <f t="shared" si="1186"/>
        <v>86.660675283558049</v>
      </c>
      <c r="J8041" s="403">
        <f t="shared" si="1187"/>
        <v>158.85714285714286</v>
      </c>
      <c r="K8041" s="403">
        <f>J8041/POBLA!$B$24*100000</f>
        <v>9.3740052764185098</v>
      </c>
      <c r="L8041" s="550">
        <f t="shared" si="1184"/>
        <v>-0.12664640324214793</v>
      </c>
      <c r="M8041" s="405">
        <f>SUM(C8041,C8017,C7993,C7969,C7945,C7921,C7897)/POBLA!$B$24*100000</f>
        <v>65.618036934929563</v>
      </c>
    </row>
    <row r="8042" spans="1:13" s="360" customFormat="1" x14ac:dyDescent="0.25">
      <c r="A8042" s="361" t="s">
        <v>16</v>
      </c>
      <c r="B8042" s="2">
        <v>44228</v>
      </c>
      <c r="C8042" s="1">
        <v>2566</v>
      </c>
      <c r="D8042" s="39">
        <f t="shared" si="1182"/>
        <v>806914</v>
      </c>
      <c r="E8042" s="1">
        <v>144</v>
      </c>
      <c r="F8042" s="39">
        <f>E8042+F8018</f>
        <v>24628</v>
      </c>
      <c r="G8042" s="175">
        <f>SUM(C8042,C8018,C7994,C7970,C7946,C7922,C7898,C7874,C7850,C7826,C7802,C7778,C7754,C7730)/POBLA!$B$1*100000</f>
        <v>299.11965247870705</v>
      </c>
      <c r="H8042" s="300">
        <f t="shared" ref="H8042:H8065" si="1189">SUM(C8042,C8018,C7994,C7970,C7946,C7922,C7898,C7874,C7850,C7826,C7802,C7778,C7754,C7730)/SUM(C7706,C7682,C7658,C7634,C7610,C7586,C7562,C7538,C7514,C7490,C7466,C7442,C7418,C7394)</f>
        <v>0.85872571643671958</v>
      </c>
      <c r="I8042" s="301">
        <f>G8042*H8042</f>
        <v>256.86173787508028</v>
      </c>
      <c r="J8042" s="301">
        <f>AVERAGE(C8042,C8018,C7994,C7970,C7946,C7922,C7898)</f>
        <v>3648</v>
      </c>
      <c r="K8042" s="301">
        <f>J8042/POBLA!$B$1*100000</f>
        <v>20.796822738041957</v>
      </c>
      <c r="L8042" s="548">
        <f t="shared" ref="L8042:L8065" si="1190">1-SUM(C8042,C8018,C7994,C7970,C7946,C7922,C7898)/SUM(C7874,C7850,C7826,C7802,C7778,C7754,C7730)</f>
        <v>5.1869453829874179E-2</v>
      </c>
      <c r="M8042" s="400">
        <f>SUM(C8042,C8018,C7994,C7970,C7946,C7922,C7898)/POBLA!$B$1*100000</f>
        <v>145.57775916629367</v>
      </c>
    </row>
    <row r="8043" spans="1:13" s="360" customFormat="1" x14ac:dyDescent="0.25">
      <c r="A8043" s="361" t="s">
        <v>43</v>
      </c>
      <c r="B8043" s="2">
        <v>44228</v>
      </c>
      <c r="C8043" s="1">
        <v>868</v>
      </c>
      <c r="D8043" s="39">
        <f t="shared" si="1182"/>
        <v>211116</v>
      </c>
      <c r="E8043" s="1">
        <v>28</v>
      </c>
      <c r="F8043" s="39">
        <f t="shared" ref="F8043:F8065" si="1191">E8043+F8019</f>
        <v>6074</v>
      </c>
      <c r="G8043" s="168">
        <f>SUM(C8043,C8019,C7995,C7971,C7947,C7923,C7899,C7875,C7851,C7827,C7803,C7779,C7755,C7731)/POBLA!$B$2*100000</f>
        <v>494.79036274005523</v>
      </c>
      <c r="H8043" s="256">
        <f t="shared" si="1189"/>
        <v>0.83031427324312523</v>
      </c>
      <c r="I8043" s="297">
        <f t="shared" ref="I8043:I8065" si="1192">G8043*H8043</f>
        <v>410.83150044621129</v>
      </c>
      <c r="J8043" s="297">
        <f t="shared" ref="J8043:J8065" si="1193">AVERAGE(C8043,C8019,C7995,C7971,C7947,C7923,C7899)</f>
        <v>1058.4285714285713</v>
      </c>
      <c r="K8043" s="297">
        <f>J8043/POBLA!$B$2*100000</f>
        <v>34.413211774975771</v>
      </c>
      <c r="L8043" s="549">
        <f t="shared" si="1190"/>
        <v>5.1222947880650516E-2</v>
      </c>
      <c r="M8043" s="401">
        <f>SUM(C8043,C8019,C7995,C7971,C7947,C7923,C7899)/POBLA!$B$2*100000</f>
        <v>240.89248242483043</v>
      </c>
    </row>
    <row r="8044" spans="1:13" s="360" customFormat="1" x14ac:dyDescent="0.25">
      <c r="A8044" s="361" t="s">
        <v>28</v>
      </c>
      <c r="B8044" s="2">
        <v>44228</v>
      </c>
      <c r="C8044" s="1">
        <v>160</v>
      </c>
      <c r="D8044" s="39">
        <f t="shared" si="1182"/>
        <v>5543</v>
      </c>
      <c r="E8044" s="1"/>
      <c r="F8044" s="39">
        <f t="shared" si="1191"/>
        <v>17</v>
      </c>
      <c r="G8044" s="168">
        <f>SUM(C8044,C8020,C7996,C7972,C7948,C7924,C7900,C7876,C7852,C7828,C7804,C7780,C7756,C7732)/POBLA!$B$3*100000</f>
        <v>313.64487601037939</v>
      </c>
      <c r="H8044" s="256">
        <f t="shared" si="1189"/>
        <v>0.95040116703136401</v>
      </c>
      <c r="I8044" s="297">
        <f t="shared" si="1192"/>
        <v>298.08845619367202</v>
      </c>
      <c r="J8044" s="297">
        <f t="shared" si="1193"/>
        <v>111.71428571428571</v>
      </c>
      <c r="K8044" s="297">
        <f>J8044/POBLA!$B$3*100000</f>
        <v>26.890723938177469</v>
      </c>
      <c r="L8044" s="549">
        <f t="shared" si="1190"/>
        <v>-0.50095969289827247</v>
      </c>
      <c r="M8044" s="401">
        <f>SUM(C8044,C8020,C7996,C7972,C7948,C7924,C7900)/POBLA!$B$3*100000</f>
        <v>188.23506756724228</v>
      </c>
    </row>
    <row r="8045" spans="1:13" s="360" customFormat="1" x14ac:dyDescent="0.25">
      <c r="A8045" s="361" t="s">
        <v>15</v>
      </c>
      <c r="B8045" s="2">
        <v>44228</v>
      </c>
      <c r="C8045" s="1">
        <v>93</v>
      </c>
      <c r="D8045" s="39">
        <f t="shared" si="1182"/>
        <v>30847</v>
      </c>
      <c r="E8045" s="1">
        <v>8</v>
      </c>
      <c r="F8045" s="39">
        <f t="shared" si="1191"/>
        <v>796</v>
      </c>
      <c r="G8045" s="168">
        <f>SUM(C8045,C8021,C7997,C7973,C7949,C7925,C7901,C7877,C7853,C7829,C7805,C7781,C7757,C7733)/POBLA!$B$4*100000</f>
        <v>182.22708899074419</v>
      </c>
      <c r="H8045" s="256">
        <f t="shared" si="1189"/>
        <v>0.65935716431360769</v>
      </c>
      <c r="I8045" s="297">
        <f t="shared" si="1192"/>
        <v>120.15273665806053</v>
      </c>
      <c r="J8045" s="297">
        <f t="shared" si="1193"/>
        <v>136.71428571428572</v>
      </c>
      <c r="K8045" s="297">
        <f>J8045/POBLA!$B$4*100000</f>
        <v>11.349907202352242</v>
      </c>
      <c r="L8045" s="549">
        <f t="shared" si="1190"/>
        <v>0.22697899838449109</v>
      </c>
      <c r="M8045" s="401">
        <f>SUM(C8045,C8021,C7997,C7973,C7949,C7925,C7901)/POBLA!$B$4*100000</f>
        <v>79.449350416465691</v>
      </c>
    </row>
    <row r="8046" spans="1:13" s="360" customFormat="1" x14ac:dyDescent="0.25">
      <c r="A8046" s="361" t="s">
        <v>29</v>
      </c>
      <c r="B8046" s="2">
        <v>44228</v>
      </c>
      <c r="C8046" s="1">
        <v>216</v>
      </c>
      <c r="D8046" s="39">
        <f t="shared" si="1182"/>
        <v>42522</v>
      </c>
      <c r="E8046" s="1">
        <v>19</v>
      </c>
      <c r="F8046" s="39">
        <f t="shared" si="1191"/>
        <v>636</v>
      </c>
      <c r="G8046" s="168">
        <f>SUM(C8046,C8022,C7998,C7974,C7950,C7926,C7902,C7878,C7854,C7830,C7806,C7782,C7758,C7734)/POBLA!$B$5*100000</f>
        <v>662.52661576687331</v>
      </c>
      <c r="H8046" s="256">
        <f t="shared" si="1189"/>
        <v>0.72558386411889597</v>
      </c>
      <c r="I8046" s="297">
        <f t="shared" si="1192"/>
        <v>480.71862194974301</v>
      </c>
      <c r="J8046" s="297">
        <f t="shared" si="1193"/>
        <v>280.28571428571428</v>
      </c>
      <c r="K8046" s="297">
        <f>J8046/POBLA!$B$5*100000</f>
        <v>45.280845094736662</v>
      </c>
      <c r="L8046" s="549">
        <f t="shared" si="1190"/>
        <v>8.2748948106591835E-2</v>
      </c>
      <c r="M8046" s="401">
        <f>SUM(C8046,C8022,C7998,C7974,C7950,C7926,C7902)/POBLA!$B$5*100000</f>
        <v>316.96591566315669</v>
      </c>
    </row>
    <row r="8047" spans="1:13" s="360" customFormat="1" x14ac:dyDescent="0.25">
      <c r="A8047" s="361" t="s">
        <v>30</v>
      </c>
      <c r="B8047" s="2">
        <v>44228</v>
      </c>
      <c r="C8047" s="1">
        <v>190</v>
      </c>
      <c r="D8047" s="39">
        <f t="shared" si="1182"/>
        <v>17563</v>
      </c>
      <c r="E8047" s="1">
        <v>2</v>
      </c>
      <c r="F8047" s="39">
        <f t="shared" si="1191"/>
        <v>206</v>
      </c>
      <c r="G8047" s="168">
        <f>SUM(C8047,C8023,C7999,C7975,C7951,C7927,C7903,C7879,C7855,C7831,C7807,C7783,C7759,C7735)/POBLA!$B$6*100000</f>
        <v>178.6222531921367</v>
      </c>
      <c r="H8047" s="256">
        <f t="shared" si="1189"/>
        <v>0.21875</v>
      </c>
      <c r="I8047" s="297">
        <f t="shared" si="1192"/>
        <v>39.073617885779903</v>
      </c>
      <c r="J8047" s="297">
        <f t="shared" si="1193"/>
        <v>157.14285714285714</v>
      </c>
      <c r="K8047" s="297">
        <f>J8047/POBLA!$B$6*100000</f>
        <v>14.020585022930666</v>
      </c>
      <c r="L8047" s="549">
        <f t="shared" si="1190"/>
        <v>-0.21951219512195119</v>
      </c>
      <c r="M8047" s="401">
        <f>SUM(C8047,C8023,C7999,C7975,C7951,C7927,C7903)/POBLA!$B$6*100000</f>
        <v>98.144095160514681</v>
      </c>
    </row>
    <row r="8048" spans="1:13" s="360" customFormat="1" x14ac:dyDescent="0.25">
      <c r="A8048" s="361" t="s">
        <v>20</v>
      </c>
      <c r="B8048" s="2">
        <v>44228</v>
      </c>
      <c r="C8048" s="1">
        <v>298</v>
      </c>
      <c r="D8048" s="39">
        <f t="shared" si="1182"/>
        <v>145338</v>
      </c>
      <c r="E8048" s="1">
        <v>4</v>
      </c>
      <c r="F8048" s="39">
        <f t="shared" si="1191"/>
        <v>2699</v>
      </c>
      <c r="G8048" s="168">
        <f>SUM(C8048,C8024,C8000,C7976,C7952,C7928,C7904,C7880,C7856,C7832,C7808,C7784,C7760,C7736)/POBLA!$B$7*100000</f>
        <v>192.92903774814184</v>
      </c>
      <c r="H8048" s="256">
        <f t="shared" si="1189"/>
        <v>2.1650253655625185</v>
      </c>
      <c r="I8048" s="297">
        <f t="shared" si="1192"/>
        <v>417.6962604782957</v>
      </c>
      <c r="J8048" s="297">
        <f t="shared" si="1193"/>
        <v>502</v>
      </c>
      <c r="K8048" s="297">
        <f>J8048/POBLA!$B$7*100000</f>
        <v>13.349466154316636</v>
      </c>
      <c r="L8048" s="549">
        <f t="shared" si="1190"/>
        <v>6.0678962844159301E-2</v>
      </c>
      <c r="M8048" s="401">
        <f>SUM(C8048,C8024,C8000,C7976,C7952,C7928,C7904)/POBLA!$B$7*100000</f>
        <v>93.446263080216468</v>
      </c>
    </row>
    <row r="8049" spans="1:13" x14ac:dyDescent="0.25">
      <c r="A8049" s="361" t="s">
        <v>31</v>
      </c>
      <c r="B8049" s="2">
        <v>44228</v>
      </c>
      <c r="C8049" s="1">
        <v>179</v>
      </c>
      <c r="D8049" s="39">
        <f t="shared" si="1182"/>
        <v>41168</v>
      </c>
      <c r="E8049" s="1">
        <v>5</v>
      </c>
      <c r="F8049" s="39">
        <f t="shared" si="1191"/>
        <v>729</v>
      </c>
      <c r="G8049" s="168">
        <f>SUM(C8049,C8025,C8001,C7977,C7953,C7929,C7905,C7881,C7857,C7833,C7809,C7785,C7761,C7737)/POBLA!$B$8*100000</f>
        <v>320.06672626430327</v>
      </c>
      <c r="H8049" s="256">
        <f t="shared" si="1189"/>
        <v>0.7024544734758511</v>
      </c>
      <c r="I8049" s="297">
        <f t="shared" si="1192"/>
        <v>224.8323036751305</v>
      </c>
      <c r="J8049" s="297">
        <f t="shared" si="1193"/>
        <v>256.14285714285717</v>
      </c>
      <c r="K8049" s="297">
        <f>J8049/POBLA!$B$8*100000</f>
        <v>18.481245658633767</v>
      </c>
      <c r="L8049" s="549">
        <f t="shared" si="1190"/>
        <v>0.32160423760877788</v>
      </c>
      <c r="M8049" s="401">
        <f>SUM(C8049,C8025,C8001,C7977,C7953,C7929,C7905)/POBLA!$B$8*100000</f>
        <v>129.36871961043636</v>
      </c>
    </row>
    <row r="8050" spans="1:13" s="360" customFormat="1" x14ac:dyDescent="0.25">
      <c r="A8050" s="361" t="s">
        <v>41</v>
      </c>
      <c r="B8050" s="2">
        <v>44228</v>
      </c>
      <c r="C8050" s="1">
        <v>4</v>
      </c>
      <c r="D8050" s="39">
        <f t="shared" si="1182"/>
        <v>847</v>
      </c>
      <c r="E8050" s="1"/>
      <c r="F8050" s="39">
        <f t="shared" si="1191"/>
        <v>5</v>
      </c>
      <c r="G8050" s="168">
        <f>SUM(C8050,C8026,C8002,C7978,C7954,C7930,C7906,C7882,C7858,C7834,C7810,C7786,C7762,C7738)/POBLA!$B$9*100000</f>
        <v>28.255449088142129</v>
      </c>
      <c r="H8050" s="256">
        <f t="shared" si="1189"/>
        <v>0.37582417582417582</v>
      </c>
      <c r="I8050" s="297">
        <f t="shared" si="1192"/>
        <v>10.619080866092975</v>
      </c>
      <c r="J8050" s="297">
        <f t="shared" si="1193"/>
        <v>5.7142857142857144</v>
      </c>
      <c r="K8050" s="297">
        <f>J8050/POBLA!$B$9*100000</f>
        <v>0.94420882500057246</v>
      </c>
      <c r="L8050" s="549">
        <f t="shared" si="1190"/>
        <v>0.69465648854961826</v>
      </c>
      <c r="M8050" s="401">
        <f>SUM(C8050,C8026,C8002,C7978,C7954,C7930,C7906)/POBLA!$B$9*100000</f>
        <v>6.6094617750040063</v>
      </c>
    </row>
    <row r="8051" spans="1:13" s="360" customFormat="1" x14ac:dyDescent="0.25">
      <c r="A8051" s="361" t="s">
        <v>32</v>
      </c>
      <c r="B8051" s="2">
        <v>44228</v>
      </c>
      <c r="C8051" s="1">
        <v>40</v>
      </c>
      <c r="D8051" s="39">
        <f t="shared" si="1182"/>
        <v>19349</v>
      </c>
      <c r="E8051" s="1"/>
      <c r="F8051" s="39">
        <f t="shared" si="1191"/>
        <v>873</v>
      </c>
      <c r="G8051" s="168">
        <f>SUM(C8051,C8027,C8003,C7979,C7955,C7931,C7907,C7883,C7859,C7835,C7811,C7787,C7763,C7739)/POBLA!$B$10*100000</f>
        <v>56.03977786454719</v>
      </c>
      <c r="H8051" s="256">
        <f t="shared" si="1189"/>
        <v>1.2413793103448276</v>
      </c>
      <c r="I8051" s="297">
        <f t="shared" si="1192"/>
        <v>69.566620797368927</v>
      </c>
      <c r="J8051" s="297">
        <f t="shared" si="1193"/>
        <v>35.571428571428569</v>
      </c>
      <c r="K8051" s="297">
        <f>J8051/POBLA!$B$10*100000</f>
        <v>4.6143864709895004</v>
      </c>
      <c r="L8051" s="549">
        <f t="shared" si="1190"/>
        <v>-0.36065573770491799</v>
      </c>
      <c r="M8051" s="401">
        <f>SUM(C8051,C8027,C8003,C7979,C7955,C7931,C7907)/POBLA!$B$10*100000</f>
        <v>32.300705296926502</v>
      </c>
    </row>
    <row r="8052" spans="1:13" s="360" customFormat="1" x14ac:dyDescent="0.25">
      <c r="A8052" s="361" t="s">
        <v>33</v>
      </c>
      <c r="B8052" s="2">
        <v>44228</v>
      </c>
      <c r="C8052" s="1">
        <v>74</v>
      </c>
      <c r="D8052" s="39">
        <f t="shared" si="1182"/>
        <v>16513</v>
      </c>
      <c r="E8052" s="1">
        <v>1</v>
      </c>
      <c r="F8052" s="39">
        <f t="shared" si="1191"/>
        <v>239</v>
      </c>
      <c r="G8052" s="168">
        <f>SUM(C8052,C8028,C8004,C7980,C7956,C7932,C7908,C7884,C7860,C7836,C7812,C7788,C7764,C7740)/POBLA!$B$11*100000</f>
        <v>386.40954389724016</v>
      </c>
      <c r="H8052" s="256">
        <f t="shared" si="1189"/>
        <v>0.39696188019489825</v>
      </c>
      <c r="I8052" s="297">
        <f t="shared" si="1192"/>
        <v>153.38985907070153</v>
      </c>
      <c r="J8052" s="297">
        <f t="shared" si="1193"/>
        <v>88.428571428571431</v>
      </c>
      <c r="K8052" s="297">
        <f>J8052/POBLA!$B$11*100000</f>
        <v>24.671223070901668</v>
      </c>
      <c r="L8052" s="549">
        <f t="shared" si="1190"/>
        <v>0.19190600522193213</v>
      </c>
      <c r="M8052" s="401">
        <f>SUM(C8052,C8028,C8004,C7980,C7956,C7932,C7908)/POBLA!$B$11*100000</f>
        <v>172.69856149631167</v>
      </c>
    </row>
    <row r="8053" spans="1:13" s="360" customFormat="1" x14ac:dyDescent="0.25">
      <c r="A8053" s="361" t="s">
        <v>21</v>
      </c>
      <c r="B8053" s="2">
        <v>44228</v>
      </c>
      <c r="C8053" s="1">
        <v>11</v>
      </c>
      <c r="D8053" s="39">
        <f t="shared" si="1182"/>
        <v>9559</v>
      </c>
      <c r="E8053" s="1">
        <v>3</v>
      </c>
      <c r="F8053" s="39">
        <f t="shared" si="1191"/>
        <v>414</v>
      </c>
      <c r="G8053" s="168">
        <f>SUM(C8053,C8029,C8005,C7981,C7957,C7933,C7909,C7885,C7861,C7837,C7813,C7789,C7765,C7741)/POBLA!$B$12*100000</f>
        <v>60.732191364848006</v>
      </c>
      <c r="H8053" s="256">
        <f t="shared" si="1189"/>
        <v>1.2383419689119171</v>
      </c>
      <c r="I8053" s="297">
        <f t="shared" si="1192"/>
        <v>75.207221431081209</v>
      </c>
      <c r="J8053" s="297">
        <f t="shared" si="1193"/>
        <v>16.857142857142858</v>
      </c>
      <c r="K8053" s="297">
        <f>J8053/POBLA!$B$12*100000</f>
        <v>4.2835616144961532</v>
      </c>
      <c r="L8053" s="549">
        <f t="shared" si="1190"/>
        <v>2.4793388429752095E-2</v>
      </c>
      <c r="M8053" s="401">
        <f>SUM(C8053,C8029,C8005,C7981,C7957,C7933,C7909)/POBLA!$B$12*100000</f>
        <v>29.984931301473072</v>
      </c>
    </row>
    <row r="8054" spans="1:13" s="360" customFormat="1" x14ac:dyDescent="0.25">
      <c r="A8054" s="361" t="s">
        <v>17</v>
      </c>
      <c r="B8054" s="2">
        <v>44228</v>
      </c>
      <c r="C8054" s="1">
        <v>82</v>
      </c>
      <c r="D8054" s="39">
        <f t="shared" si="1182"/>
        <v>63895</v>
      </c>
      <c r="E8054" s="1">
        <v>6</v>
      </c>
      <c r="F8054" s="39">
        <f t="shared" si="1191"/>
        <v>1368</v>
      </c>
      <c r="G8054" s="168">
        <f>SUM(C8054,C8030,C8006,C7982,C7958,C7934,C7910,C7886,C7862,C7838,C7814,C7790,C7766,C7742)/POBLA!$B$13*100000</f>
        <v>80.589327038925049</v>
      </c>
      <c r="H8054" s="256">
        <f t="shared" si="1189"/>
        <v>0.84778012684989434</v>
      </c>
      <c r="I8054" s="297">
        <f t="shared" si="1192"/>
        <v>68.322029899807504</v>
      </c>
      <c r="J8054" s="297">
        <f t="shared" si="1193"/>
        <v>97.857142857142861</v>
      </c>
      <c r="K8054" s="297">
        <f>J8054/POBLA!$B$13*100000</f>
        <v>4.9166092822999339</v>
      </c>
      <c r="L8054" s="549">
        <f t="shared" si="1190"/>
        <v>0.25462459194776932</v>
      </c>
      <c r="M8054" s="401">
        <f>SUM(C8054,C8030,C8006,C7982,C7958,C7934,C7910)/POBLA!$B$13*100000</f>
        <v>34.416264976099534</v>
      </c>
    </row>
    <row r="8055" spans="1:13" s="360" customFormat="1" x14ac:dyDescent="0.25">
      <c r="A8055" s="361" t="s">
        <v>23</v>
      </c>
      <c r="B8055" s="2">
        <v>44228</v>
      </c>
      <c r="C8055" s="1">
        <v>150</v>
      </c>
      <c r="D8055" s="39">
        <f t="shared" si="1182"/>
        <v>4859</v>
      </c>
      <c r="E8055" s="1">
        <v>5</v>
      </c>
      <c r="F8055" s="39">
        <f t="shared" si="1191"/>
        <v>89</v>
      </c>
      <c r="G8055" s="168">
        <f>SUM(C8055,C8031,C8007,C7983,C7959,C7935,C7911,C7887,C7863,C7839,C7815,C7791,C7767,C7743)/POBLA!$B$14*100000</f>
        <v>200.66693411686728</v>
      </c>
      <c r="H8055" s="256">
        <f t="shared" si="1189"/>
        <v>2.161400512382579</v>
      </c>
      <c r="I8055" s="297">
        <f t="shared" si="1192"/>
        <v>433.72161421843816</v>
      </c>
      <c r="J8055" s="297">
        <f t="shared" si="1193"/>
        <v>178.14285714285714</v>
      </c>
      <c r="K8055" s="297">
        <f>J8055/POBLA!$B$14*100000</f>
        <v>14.123817059532286</v>
      </c>
      <c r="L8055" s="549">
        <f t="shared" si="1190"/>
        <v>2.8816199376947016E-2</v>
      </c>
      <c r="M8055" s="401">
        <f>SUM(C8055,C8031,C8007,C7983,C7959,C7935,C7911)/POBLA!$B$14*100000</f>
        <v>98.866719416725985</v>
      </c>
    </row>
    <row r="8056" spans="1:13" s="360" customFormat="1" x14ac:dyDescent="0.25">
      <c r="A8056" s="361" t="s">
        <v>19</v>
      </c>
      <c r="B8056" s="2">
        <v>44228</v>
      </c>
      <c r="C8056" s="1">
        <v>373</v>
      </c>
      <c r="D8056" s="39">
        <f t="shared" si="1182"/>
        <v>54430</v>
      </c>
      <c r="E8056" s="1">
        <v>4</v>
      </c>
      <c r="F8056" s="39">
        <f t="shared" si="1191"/>
        <v>774</v>
      </c>
      <c r="G8056" s="168">
        <f>SUM(C8056,C8032,C8008,C7984,C7960,C7936,C7912,C7888,C7864,C7840,C7816,C7792,C7768,C7744)/POBLA!$B$15*100000</f>
        <v>866.04011402635615</v>
      </c>
      <c r="H8056" s="256">
        <f t="shared" si="1189"/>
        <v>0.89190446650124067</v>
      </c>
      <c r="I8056" s="297">
        <f t="shared" si="1192"/>
        <v>772.42504586935081</v>
      </c>
      <c r="J8056" s="297">
        <f t="shared" si="1193"/>
        <v>413.28571428571428</v>
      </c>
      <c r="K8056" s="297">
        <f>J8056/POBLA!$B$15*100000</f>
        <v>62.236481851063125</v>
      </c>
      <c r="L8056" s="549">
        <f t="shared" si="1190"/>
        <v>-1.2246326102169247E-2</v>
      </c>
      <c r="M8056" s="401">
        <f>SUM(C8056,C8032,C8008,C7984,C7960,C7936,C7912)/POBLA!$B$15*100000</f>
        <v>435.6553729574419</v>
      </c>
    </row>
    <row r="8057" spans="1:13" s="360" customFormat="1" x14ac:dyDescent="0.25">
      <c r="A8057" s="361" t="s">
        <v>18</v>
      </c>
      <c r="B8057" s="2">
        <v>44228</v>
      </c>
      <c r="C8057" s="1">
        <v>298</v>
      </c>
      <c r="D8057" s="39">
        <f t="shared" si="1182"/>
        <v>48186</v>
      </c>
      <c r="E8057" s="1">
        <v>6</v>
      </c>
      <c r="F8057" s="39">
        <f t="shared" si="1191"/>
        <v>1081</v>
      </c>
      <c r="G8057" s="168">
        <f>SUM(C8057,C8033,C8009,C7985,C7961,C7937,C7913,C7889,C7865,C7841,C7817,C7793,C7769,C7745)/POBLA!$B$16*100000</f>
        <v>538.51607121360064</v>
      </c>
      <c r="H8057" s="256">
        <f t="shared" si="1189"/>
        <v>0.83909962484368483</v>
      </c>
      <c r="I8057" s="297">
        <f t="shared" si="1192"/>
        <v>451.86863332762738</v>
      </c>
      <c r="J8057" s="297">
        <f t="shared" si="1193"/>
        <v>279</v>
      </c>
      <c r="K8057" s="297">
        <f>J8057/POBLA!$B$16*100000</f>
        <v>37.318922967857574</v>
      </c>
      <c r="L8057" s="549">
        <f t="shared" si="1190"/>
        <v>5.7887120115774238E-2</v>
      </c>
      <c r="M8057" s="401">
        <f>SUM(C8057,C8033,C8009,C7985,C7961,C7937,C7913)/POBLA!$B$16*100000</f>
        <v>261.23246077500301</v>
      </c>
    </row>
    <row r="8058" spans="1:13" s="360" customFormat="1" x14ac:dyDescent="0.25">
      <c r="A8058" s="361" t="s">
        <v>34</v>
      </c>
      <c r="B8058" s="2">
        <v>44228</v>
      </c>
      <c r="C8058" s="1">
        <v>20</v>
      </c>
      <c r="D8058" s="39">
        <f t="shared" si="1182"/>
        <v>23826</v>
      </c>
      <c r="E8058" s="1"/>
      <c r="F8058" s="39">
        <f t="shared" si="1191"/>
        <v>1046</v>
      </c>
      <c r="G8058" s="168">
        <f>SUM(C8058,C8034,C8010,C7986,C7962,C7938,C7914,C7890,C7866,C7842,C7818,C7794,C7770,C7746)/POBLA!$B$17*100000</f>
        <v>50.477500303637257</v>
      </c>
      <c r="H8058" s="256">
        <f t="shared" si="1189"/>
        <v>1.0683506686478454</v>
      </c>
      <c r="I8058" s="297">
        <f t="shared" si="1192"/>
        <v>53.927671201062687</v>
      </c>
      <c r="J8058" s="297">
        <f t="shared" si="1193"/>
        <v>51.714285714285715</v>
      </c>
      <c r="K8058" s="297">
        <f>J8058/POBLA!$B$17*100000</f>
        <v>3.6306090025663993</v>
      </c>
      <c r="L8058" s="549">
        <f t="shared" si="1190"/>
        <v>-1.4005602240896309E-2</v>
      </c>
      <c r="M8058" s="401">
        <f>SUM(C8058,C8034,C8010,C7986,C7962,C7938,C7914)/POBLA!$B$17*100000</f>
        <v>25.414263017964796</v>
      </c>
    </row>
    <row r="8059" spans="1:13" s="360" customFormat="1" x14ac:dyDescent="0.25">
      <c r="A8059" s="361" t="s">
        <v>35</v>
      </c>
      <c r="B8059" s="2">
        <v>44228</v>
      </c>
      <c r="C8059" s="1">
        <v>47</v>
      </c>
      <c r="D8059" s="39">
        <f t="shared" si="1182"/>
        <v>13997</v>
      </c>
      <c r="E8059" s="1">
        <v>2</v>
      </c>
      <c r="F8059" s="39">
        <f t="shared" si="1191"/>
        <v>200</v>
      </c>
      <c r="G8059" s="168">
        <f>SUM(C8059,C8035,C8011,C7987,C7963,C7939,C7915,C7891,C7867,C7843,C7819,C7795,C7771,C7747)/POBLA!$B$18*100000</f>
        <v>105.98847695326651</v>
      </c>
      <c r="H8059" s="256">
        <f t="shared" si="1189"/>
        <v>0.55495978552278824</v>
      </c>
      <c r="I8059" s="297">
        <f t="shared" si="1192"/>
        <v>58.819342437871768</v>
      </c>
      <c r="J8059" s="297">
        <f t="shared" si="1193"/>
        <v>53.142857142857146</v>
      </c>
      <c r="K8059" s="297">
        <f>J8059/POBLA!$B$18*100000</f>
        <v>6.8025730549715568</v>
      </c>
      <c r="L8059" s="549">
        <f t="shared" si="1190"/>
        <v>0.18421052631578949</v>
      </c>
      <c r="M8059" s="401">
        <f>SUM(C8059,C8035,C8011,C7987,C7963,C7939,C7915)/POBLA!$B$18*100000</f>
        <v>47.618011384800894</v>
      </c>
    </row>
    <row r="8060" spans="1:13" s="360" customFormat="1" x14ac:dyDescent="0.25">
      <c r="A8060" s="361" t="s">
        <v>36</v>
      </c>
      <c r="B8060" s="2">
        <v>44228</v>
      </c>
      <c r="C8060" s="1">
        <v>6</v>
      </c>
      <c r="D8060" s="39">
        <f t="shared" si="1182"/>
        <v>19016</v>
      </c>
      <c r="E8060" s="1"/>
      <c r="F8060" s="39">
        <f t="shared" si="1191"/>
        <v>330</v>
      </c>
      <c r="G8060" s="168">
        <f>SUM(C8060,C8036,C8012,C7988,C7964,C7940,C7916,C7892,C7868,C7844,C7820,C7796,C7772,C7748)/POBLA!$B$19*100000</f>
        <v>403.67636644056597</v>
      </c>
      <c r="H8060" s="256">
        <f t="shared" si="1189"/>
        <v>2.9696092619392185</v>
      </c>
      <c r="I8060" s="297">
        <f t="shared" si="1192"/>
        <v>1198.7610766078747</v>
      </c>
      <c r="J8060" s="297">
        <f t="shared" si="1193"/>
        <v>37.571428571428569</v>
      </c>
      <c r="K8060" s="297">
        <f>J8060/POBLA!$B$19*100000</f>
        <v>7.3911782493643017</v>
      </c>
      <c r="L8060" s="549">
        <f t="shared" si="1190"/>
        <v>0.8529904974846283</v>
      </c>
      <c r="M8060" s="401">
        <f>SUM(C8060,C8036,C8012,C7988,C7964,C7940,C7916)/POBLA!$B$19*100000</f>
        <v>51.738247745550119</v>
      </c>
    </row>
    <row r="8061" spans="1:13" s="360" customFormat="1" x14ac:dyDescent="0.25">
      <c r="A8061" s="361" t="s">
        <v>37</v>
      </c>
      <c r="B8061" s="2">
        <v>44228</v>
      </c>
      <c r="C8061" s="1">
        <v>140</v>
      </c>
      <c r="D8061" s="39">
        <f t="shared" si="1182"/>
        <v>32678</v>
      </c>
      <c r="E8061" s="1">
        <v>12</v>
      </c>
      <c r="F8061" s="39">
        <f t="shared" si="1191"/>
        <v>505</v>
      </c>
      <c r="G8061" s="168">
        <f>SUM(C8061,C8037,C8013,C7989,C7965,C7941,C7917,C7893,C7869,C7845,C7821,C7797,C7773,C7749)/POBLA!$B$20*100000</f>
        <v>820.34903116779412</v>
      </c>
      <c r="H8061" s="256">
        <f t="shared" si="1189"/>
        <v>0.60386473429951693</v>
      </c>
      <c r="I8061" s="297">
        <f t="shared" si="1192"/>
        <v>495.37984973900615</v>
      </c>
      <c r="J8061" s="297">
        <f t="shared" si="1193"/>
        <v>147.57142857142858</v>
      </c>
      <c r="K8061" s="297">
        <f>J8061/POBLA!$B$20*100000</f>
        <v>40.353359485539592</v>
      </c>
      <c r="L8061" s="549">
        <f t="shared" si="1190"/>
        <v>0.4748347737671581</v>
      </c>
      <c r="M8061" s="401">
        <f>SUM(C8061,C8037,C8013,C7989,C7965,C7941,C7917)/POBLA!$B$20*100000</f>
        <v>282.47351639877712</v>
      </c>
    </row>
    <row r="8062" spans="1:13" s="360" customFormat="1" x14ac:dyDescent="0.25">
      <c r="A8062" s="361" t="s">
        <v>22</v>
      </c>
      <c r="B8062" s="2">
        <v>44228</v>
      </c>
      <c r="C8062" s="1">
        <v>523</v>
      </c>
      <c r="D8062" s="39">
        <f t="shared" si="1182"/>
        <v>206349</v>
      </c>
      <c r="E8062" s="1">
        <v>22</v>
      </c>
      <c r="F8062" s="39">
        <f t="shared" si="1191"/>
        <v>3530</v>
      </c>
      <c r="G8062" s="168">
        <f>SUM(C8062,C8038,C8014,C7990,C7966,C7942,C7918,C7894,C7870,C7846,C7822,C7798,C7774,C7750)/POBLA!$B$21*100000</f>
        <v>294.98775314456606</v>
      </c>
      <c r="H8062" s="256">
        <f t="shared" si="1189"/>
        <v>0.61148886283704573</v>
      </c>
      <c r="I8062" s="297">
        <f t="shared" si="1192"/>
        <v>180.38172572122585</v>
      </c>
      <c r="J8062" s="297">
        <f t="shared" si="1193"/>
        <v>606</v>
      </c>
      <c r="K8062" s="297">
        <f>J8062/POBLA!$B$21*100000</f>
        <v>17.13598335943319</v>
      </c>
      <c r="L8062" s="549">
        <f t="shared" si="1190"/>
        <v>0.31470113085621976</v>
      </c>
      <c r="M8062" s="401">
        <f>SUM(C8062,C8038,C8014,C7990,C7966,C7942,C7918)/POBLA!$B$21*100000</f>
        <v>119.95188351603231</v>
      </c>
    </row>
    <row r="8063" spans="1:13" s="360" customFormat="1" x14ac:dyDescent="0.25">
      <c r="A8063" s="361" t="s">
        <v>38</v>
      </c>
      <c r="B8063" s="2">
        <v>44228</v>
      </c>
      <c r="C8063" s="1">
        <v>104</v>
      </c>
      <c r="D8063" s="39">
        <f t="shared" si="1182"/>
        <v>20954</v>
      </c>
      <c r="E8063" s="1">
        <v>1</v>
      </c>
      <c r="F8063" s="39">
        <f t="shared" si="1191"/>
        <v>244</v>
      </c>
      <c r="G8063" s="168">
        <f>SUM(C8063,C8039,C8015,C7991,C7967,C7943,C7919,C7895,C7871,C7847,C7823,C7799,C7775,C7751)/POBLA!$B$22*100000</f>
        <v>128.0776193304188</v>
      </c>
      <c r="H8063" s="256">
        <f t="shared" si="1189"/>
        <v>0.63668699186991873</v>
      </c>
      <c r="I8063" s="297">
        <f t="shared" si="1192"/>
        <v>81.545354177344905</v>
      </c>
      <c r="J8063" s="297">
        <f t="shared" si="1193"/>
        <v>68.857142857142861</v>
      </c>
      <c r="K8063" s="297">
        <f>J8063/POBLA!$B$22*100000</f>
        <v>7.0383550926076683</v>
      </c>
      <c r="L8063" s="549">
        <f t="shared" si="1190"/>
        <v>0.3748378728923476</v>
      </c>
      <c r="M8063" s="401">
        <f>SUM(C8063,C8039,C8015,C7991,C7967,C7943,C7919)/POBLA!$B$22*100000</f>
        <v>49.268485648253673</v>
      </c>
    </row>
    <row r="8064" spans="1:13" s="360" customFormat="1" x14ac:dyDescent="0.25">
      <c r="A8064" s="361" t="s">
        <v>39</v>
      </c>
      <c r="B8064" s="2">
        <v>44228</v>
      </c>
      <c r="C8064" s="1">
        <v>36</v>
      </c>
      <c r="D8064" s="39">
        <f t="shared" si="1182"/>
        <v>21852</v>
      </c>
      <c r="E8064" s="1"/>
      <c r="F8064" s="39">
        <f t="shared" si="1191"/>
        <v>334</v>
      </c>
      <c r="G8064" s="168">
        <f>SUM(C8064,C8040,C8016,C7992,C7968,C7944,C7920,C7896,C7872,C7848,C7824,C7800,C7776,C7752)/POBLA!$B$23*100000</f>
        <v>546.85290957416726</v>
      </c>
      <c r="H8064" s="256">
        <f t="shared" si="1189"/>
        <v>0.71470805617147082</v>
      </c>
      <c r="I8064" s="297">
        <f t="shared" si="1192"/>
        <v>390.84018001346618</v>
      </c>
      <c r="J8064" s="297">
        <f t="shared" si="1193"/>
        <v>47.428571428571431</v>
      </c>
      <c r="K8064" s="297">
        <f>J8064/POBLA!$B$23*100000</f>
        <v>26.821563891065672</v>
      </c>
      <c r="L8064" s="549">
        <f t="shared" si="1190"/>
        <v>0.47716535433070861</v>
      </c>
      <c r="M8064" s="401">
        <f>SUM(C8064,C8040,C8016,C7992,C7968,C7944,C7920)/POBLA!$B$23*100000</f>
        <v>187.75094723745971</v>
      </c>
    </row>
    <row r="8065" spans="1:13" s="360" customFormat="1" ht="15.75" thickBot="1" x14ac:dyDescent="0.3">
      <c r="A8065" s="359" t="s">
        <v>40</v>
      </c>
      <c r="B8065" s="34">
        <v>44228</v>
      </c>
      <c r="C8065" s="232">
        <v>136</v>
      </c>
      <c r="D8065" s="67">
        <f t="shared" si="1182"/>
        <v>76532</v>
      </c>
      <c r="E8065" s="232">
        <v>2</v>
      </c>
      <c r="F8065" s="67">
        <f t="shared" si="1191"/>
        <v>1429</v>
      </c>
      <c r="G8065" s="177">
        <f>SUM(C8065,C8041,C8017,C7993,C7969,C7945,C7921,C7897,C7873,C7849,C7825,C7801,C7777,C7753)/POBLA!$B$24*100000</f>
        <v>121.32255749839496</v>
      </c>
      <c r="H8065" s="402">
        <f t="shared" si="1189"/>
        <v>0.71141868512110729</v>
      </c>
      <c r="I8065" s="403">
        <f t="shared" si="1192"/>
        <v>86.311134331038076</v>
      </c>
      <c r="J8065" s="403">
        <f t="shared" si="1193"/>
        <v>158.42857142857142</v>
      </c>
      <c r="K8065" s="403">
        <f>J8065/POBLA!$B$24*100000</f>
        <v>9.3487156938382441</v>
      </c>
      <c r="L8065" s="550">
        <f t="shared" si="1190"/>
        <v>-0.1710665258711721</v>
      </c>
      <c r="M8065" s="405">
        <f>SUM(C8065,C8041,C8017,C7993,C7969,C7945,C7921)/POBLA!$B$24*100000</f>
        <v>65.441009856867709</v>
      </c>
    </row>
    <row r="8066" spans="1:13" s="360" customFormat="1" x14ac:dyDescent="0.25">
      <c r="A8066" s="363" t="s">
        <v>16</v>
      </c>
      <c r="B8066" s="265">
        <v>44229</v>
      </c>
      <c r="C8066" s="43">
        <v>4243</v>
      </c>
      <c r="D8066" s="174">
        <f t="shared" si="1182"/>
        <v>811157</v>
      </c>
      <c r="E8066" s="43">
        <v>42</v>
      </c>
      <c r="F8066" s="174">
        <f>E8066+F8042</f>
        <v>24670</v>
      </c>
      <c r="G8066" s="175">
        <f>SUM(C8066,C8042,C8018,C7994,C7970,C7946,C7922,C7898,C7874,C7850,C7826,C7802,C7778,C7754)/POBLA!$B$1*100000</f>
        <v>294.10287506382849</v>
      </c>
      <c r="H8066" s="300">
        <f t="shared" ref="H8066:H8089" si="1194">SUM(C8066,C8042,C8018,C7994,C7970,C7946,C7922,C7898,C7874,C7850,C7826,C7802,C7778,C7754)/SUM(C7730,C7706,C7682,C7658,C7634,C7610,C7586,C7562,C7538,C7514,C7490,C7466,C7442,C7418)</f>
        <v>0.8484335169805115</v>
      </c>
      <c r="I8066" s="301">
        <f>G8066*H8066</f>
        <v>249.52673664448398</v>
      </c>
      <c r="J8066" s="301">
        <f>AVERAGE(C8066,C8042,C8018,C7994,C7970,C7946,C7922)</f>
        <v>3600.7142857142858</v>
      </c>
      <c r="K8066" s="301">
        <f>J8066/POBLA!$B$1*100000</f>
        <v>20.527252393184035</v>
      </c>
      <c r="L8066" s="548">
        <f t="shared" ref="L8066:L8089" si="1195">1-SUM(C8066,C8042,C8018,C7994,C7970,C7946,C7922)/SUM(C7898,C7874,C7850,C7826,C7802,C7778,C7754)</f>
        <v>4.4686173438447496E-2</v>
      </c>
      <c r="M8066" s="400">
        <f>SUM(C8066,C8042,C8018,C7994,C7970,C7946,C7922)/POBLA!$B$1*100000</f>
        <v>143.69076675228823</v>
      </c>
    </row>
    <row r="8067" spans="1:13" s="360" customFormat="1" x14ac:dyDescent="0.25">
      <c r="A8067" s="367" t="s">
        <v>43</v>
      </c>
      <c r="B8067" s="2">
        <v>44229</v>
      </c>
      <c r="C8067" s="1">
        <v>1270</v>
      </c>
      <c r="D8067" s="39">
        <f t="shared" ref="D8067:D8130" si="1196">C8067+D8043</f>
        <v>212386</v>
      </c>
      <c r="E8067" s="1">
        <v>15</v>
      </c>
      <c r="F8067" s="39">
        <f t="shared" ref="F8067:F8089" si="1197">E8067+F8043</f>
        <v>6089</v>
      </c>
      <c r="G8067" s="168">
        <f>SUM(C8067,C8043,C8019,C7995,C7971,C7947,C7923,C7899,C7875,C7851,C7827,C7803,C7779,C7755)/POBLA!$B$2*100000</f>
        <v>490.95377036238892</v>
      </c>
      <c r="H8067" s="256">
        <f t="shared" si="1194"/>
        <v>0.82644628099173556</v>
      </c>
      <c r="I8067" s="297">
        <f t="shared" ref="I8067:I8089" si="1198">G8067*H8067</f>
        <v>405.74691765486688</v>
      </c>
      <c r="J8067" s="297">
        <f t="shared" ref="J8067:J8089" si="1199">AVERAGE(C8067,C8043,C8019,C7995,C7971,C7947,C7923)</f>
        <v>1055.5714285714287</v>
      </c>
      <c r="K8067" s="297">
        <f>J8067/POBLA!$B$2*100000</f>
        <v>34.320316075758676</v>
      </c>
      <c r="L8067" s="549">
        <f t="shared" si="1195"/>
        <v>4.1758526779924754E-2</v>
      </c>
      <c r="M8067" s="401">
        <f>SUM(C8067,C8043,C8019,C7995,C7971,C7947,C7923)/POBLA!$B$2*100000</f>
        <v>240.2422125303107</v>
      </c>
    </row>
    <row r="8068" spans="1:13" s="360" customFormat="1" x14ac:dyDescent="0.25">
      <c r="A8068" s="367" t="s">
        <v>28</v>
      </c>
      <c r="B8068" s="2">
        <v>44229</v>
      </c>
      <c r="C8068" s="1">
        <v>135</v>
      </c>
      <c r="D8068" s="39">
        <f t="shared" si="1196"/>
        <v>5678</v>
      </c>
      <c r="E8068" s="1"/>
      <c r="F8068" s="39">
        <f t="shared" si="1197"/>
        <v>17</v>
      </c>
      <c r="G8068" s="168">
        <f>SUM(C8068,C8044,C8020,C7996,C7972,C7948,C7924,C7900,C7876,C7852,C7828,C7804,C7780,C7756)/POBLA!$B$3*100000</f>
        <v>309.07138971398859</v>
      </c>
      <c r="H8068" s="256">
        <f t="shared" si="1194"/>
        <v>0.87704918032786883</v>
      </c>
      <c r="I8068" s="297">
        <f t="shared" si="1198"/>
        <v>271.070809011449</v>
      </c>
      <c r="J8068" s="297">
        <f t="shared" si="1199"/>
        <v>120</v>
      </c>
      <c r="K8068" s="297">
        <f>J8068/POBLA!$B$3*100000</f>
        <v>28.885176608783983</v>
      </c>
      <c r="L8068" s="549">
        <f t="shared" si="1195"/>
        <v>-0.89189189189189189</v>
      </c>
      <c r="M8068" s="401">
        <f>SUM(C8068,C8044,C8020,C7996,C7972,C7948,C7924)/POBLA!$B$3*100000</f>
        <v>202.19623626148785</v>
      </c>
    </row>
    <row r="8069" spans="1:13" s="360" customFormat="1" x14ac:dyDescent="0.25">
      <c r="A8069" s="367" t="s">
        <v>15</v>
      </c>
      <c r="B8069" s="2">
        <v>44229</v>
      </c>
      <c r="C8069" s="1">
        <v>161</v>
      </c>
      <c r="D8069" s="39">
        <f t="shared" si="1196"/>
        <v>31008</v>
      </c>
      <c r="E8069" s="1">
        <v>2</v>
      </c>
      <c r="F8069" s="39">
        <f t="shared" si="1197"/>
        <v>798</v>
      </c>
      <c r="G8069" s="168">
        <f>SUM(C8069,C8045,C8021,C7997,C7973,C7949,C7925,C7901,C7877,C7853,C7829,C7805,C7781,C7757)/POBLA!$B$4*100000</f>
        <v>177.99311106886358</v>
      </c>
      <c r="H8069" s="256">
        <f t="shared" si="1194"/>
        <v>0.66152422091946927</v>
      </c>
      <c r="I8069" s="297">
        <f t="shared" si="1198"/>
        <v>117.74675412886255</v>
      </c>
      <c r="J8069" s="297">
        <f t="shared" si="1199"/>
        <v>134.42857142857142</v>
      </c>
      <c r="K8069" s="297">
        <f>J8069/POBLA!$B$4*100000</f>
        <v>11.16014908820633</v>
      </c>
      <c r="L8069" s="549">
        <f t="shared" si="1195"/>
        <v>0.21778886118038243</v>
      </c>
      <c r="M8069" s="401">
        <f>SUM(C8069,C8045,C8021,C7997,C7973,C7949,C7925)/POBLA!$B$4*100000</f>
        <v>78.121043617444315</v>
      </c>
    </row>
    <row r="8070" spans="1:13" s="360" customFormat="1" x14ac:dyDescent="0.25">
      <c r="A8070" s="367" t="s">
        <v>29</v>
      </c>
      <c r="B8070" s="2">
        <v>44229</v>
      </c>
      <c r="C8070" s="1">
        <v>327</v>
      </c>
      <c r="D8070" s="39">
        <f t="shared" si="1196"/>
        <v>42849</v>
      </c>
      <c r="E8070" s="1">
        <v>21</v>
      </c>
      <c r="F8070" s="39">
        <f t="shared" si="1197"/>
        <v>657</v>
      </c>
      <c r="G8070" s="168">
        <f>SUM(C8070,C8046,C8022,C7998,C7974,C7950,C7926,C7902,C7878,C7854,C7830,C7806,C7782,C7758)/POBLA!$B$5*100000</f>
        <v>658.97246176861165</v>
      </c>
      <c r="H8070" s="256">
        <f t="shared" si="1194"/>
        <v>0.75286083425618311</v>
      </c>
      <c r="I8070" s="297">
        <f t="shared" si="1198"/>
        <v>496.11455731896768</v>
      </c>
      <c r="J8070" s="297">
        <f t="shared" si="1199"/>
        <v>281.28571428571428</v>
      </c>
      <c r="K8070" s="297">
        <f>J8070/POBLA!$B$5*100000</f>
        <v>45.442397549203108</v>
      </c>
      <c r="L8070" s="549">
        <f t="shared" si="1195"/>
        <v>6.6824644549763001E-2</v>
      </c>
      <c r="M8070" s="401">
        <f>SUM(C8070,C8046,C8022,C7998,C7974,C7950,C7926)/POBLA!$B$5*100000</f>
        <v>318.09678284442174</v>
      </c>
    </row>
    <row r="8071" spans="1:13" s="360" customFormat="1" x14ac:dyDescent="0.25">
      <c r="A8071" s="367" t="s">
        <v>30</v>
      </c>
      <c r="B8071" s="2">
        <v>44229</v>
      </c>
      <c r="C8071" s="1">
        <v>175</v>
      </c>
      <c r="D8071" s="39">
        <f t="shared" si="1196"/>
        <v>17738</v>
      </c>
      <c r="E8071" s="1"/>
      <c r="F8071" s="39">
        <f t="shared" si="1197"/>
        <v>206</v>
      </c>
      <c r="G8071" s="168">
        <f>SUM(C8071,C8047,C8023,C7999,C7975,C7951,C7927,C7903,C7879,C7855,C7831,C7807,C7783,C7759)/POBLA!$B$6*100000</f>
        <v>186.20611509090372</v>
      </c>
      <c r="H8071" s="256">
        <f t="shared" si="1194"/>
        <v>0.2503899220155969</v>
      </c>
      <c r="I8071" s="297">
        <f t="shared" si="1198"/>
        <v>46.624134636438647</v>
      </c>
      <c r="J8071" s="297">
        <f t="shared" si="1199"/>
        <v>158.28571428571428</v>
      </c>
      <c r="K8071" s="297">
        <f>J8071/POBLA!$B$6*100000</f>
        <v>14.122552914006526</v>
      </c>
      <c r="L8071" s="549">
        <f t="shared" si="1195"/>
        <v>-0.13176710929519908</v>
      </c>
      <c r="M8071" s="401">
        <f>SUM(C8071,C8047,C8023,C7999,C7975,C7951,C7927)/POBLA!$B$6*100000</f>
        <v>98.857870398045677</v>
      </c>
    </row>
    <row r="8072" spans="1:13" s="360" customFormat="1" x14ac:dyDescent="0.25">
      <c r="A8072" s="367" t="s">
        <v>20</v>
      </c>
      <c r="B8072" s="2">
        <v>44229</v>
      </c>
      <c r="C8072" s="1">
        <v>571</v>
      </c>
      <c r="D8072" s="39">
        <f t="shared" si="1196"/>
        <v>145909</v>
      </c>
      <c r="E8072" s="1">
        <v>5</v>
      </c>
      <c r="F8072" s="39">
        <f t="shared" si="1197"/>
        <v>2704</v>
      </c>
      <c r="G8072" s="168">
        <f>SUM(C8072,C8048,C8024,C8000,C7976,C7952,C7928,C7904,C7880,C7856,C7832,C7808,C7784,C7760)/POBLA!$B$7*100000</f>
        <v>190.34955922828385</v>
      </c>
      <c r="H8072" s="256">
        <f t="shared" si="1194"/>
        <v>1.8626073380171742</v>
      </c>
      <c r="I8072" s="297">
        <f t="shared" si="1198"/>
        <v>354.54648580693623</v>
      </c>
      <c r="J8072" s="297">
        <f t="shared" si="1199"/>
        <v>489</v>
      </c>
      <c r="K8072" s="297">
        <f>J8072/POBLA!$B$7*100000</f>
        <v>13.003762847531547</v>
      </c>
      <c r="L8072" s="549">
        <f t="shared" si="1195"/>
        <v>8.353413654618469E-2</v>
      </c>
      <c r="M8072" s="401">
        <f>SUM(C8072,C8048,C8024,C8000,C7976,C7952,C7928)/POBLA!$B$7*100000</f>
        <v>91.026339932720816</v>
      </c>
    </row>
    <row r="8073" spans="1:13" x14ac:dyDescent="0.25">
      <c r="A8073" s="367" t="s">
        <v>31</v>
      </c>
      <c r="B8073" s="2">
        <v>44229</v>
      </c>
      <c r="C8073" s="1">
        <v>284</v>
      </c>
      <c r="D8073" s="39">
        <f t="shared" si="1196"/>
        <v>41452</v>
      </c>
      <c r="E8073" s="1">
        <v>12</v>
      </c>
      <c r="F8073" s="39">
        <f t="shared" si="1197"/>
        <v>741</v>
      </c>
      <c r="G8073" s="168">
        <f>SUM(C8073,C8049,C8025,C8001,C7977,C7953,C7929,C7905,C7881,C7857,C7833,C7809,C7785,C7761)/POBLA!$B$8*100000</f>
        <v>308.45023777725351</v>
      </c>
      <c r="H8073" s="256">
        <f t="shared" si="1194"/>
        <v>0.68840579710144922</v>
      </c>
      <c r="I8073" s="297">
        <f t="shared" si="1198"/>
        <v>212.33893180318174</v>
      </c>
      <c r="J8073" s="297">
        <f t="shared" si="1199"/>
        <v>249.28571428571428</v>
      </c>
      <c r="K8073" s="297">
        <f>J8073/POBLA!$B$8*100000</f>
        <v>17.986488385006091</v>
      </c>
      <c r="L8073" s="549">
        <f t="shared" si="1195"/>
        <v>0.31027667984189722</v>
      </c>
      <c r="M8073" s="401">
        <f>SUM(C8073,C8049,C8025,C8001,C7977,C7953,C7929)/POBLA!$B$8*100000</f>
        <v>125.90541869504264</v>
      </c>
    </row>
    <row r="8074" spans="1:13" s="360" customFormat="1" x14ac:dyDescent="0.25">
      <c r="A8074" s="367" t="s">
        <v>41</v>
      </c>
      <c r="B8074" s="2">
        <v>44229</v>
      </c>
      <c r="C8074" s="1">
        <v>4</v>
      </c>
      <c r="D8074" s="39">
        <f t="shared" si="1196"/>
        <v>851</v>
      </c>
      <c r="E8074" s="1"/>
      <c r="F8074" s="39">
        <f t="shared" si="1197"/>
        <v>5</v>
      </c>
      <c r="G8074" s="168">
        <f>SUM(C8074,C8050,C8026,C8002,C7978,C7954,C7930,C7906,C7882,C7858,C7834,C7810,C7786,C7762)/POBLA!$B$9*100000</f>
        <v>27.594502910641729</v>
      </c>
      <c r="H8074" s="256">
        <f t="shared" si="1194"/>
        <v>0.36462882096069871</v>
      </c>
      <c r="I8074" s="297">
        <f t="shared" si="1198"/>
        <v>10.061751061303863</v>
      </c>
      <c r="J8074" s="297">
        <f t="shared" si="1199"/>
        <v>5.2857142857142856</v>
      </c>
      <c r="K8074" s="297">
        <f>J8074/POBLA!$B$9*100000</f>
        <v>0.87339316312552939</v>
      </c>
      <c r="L8074" s="549">
        <f t="shared" si="1195"/>
        <v>0.7153846153846154</v>
      </c>
      <c r="M8074" s="401">
        <f>SUM(C8074,C8050,C8026,C8002,C7978,C7954,C7930)/POBLA!$B$9*100000</f>
        <v>6.113752141878706</v>
      </c>
    </row>
    <row r="8075" spans="1:13" s="360" customFormat="1" x14ac:dyDescent="0.25">
      <c r="A8075" s="367" t="s">
        <v>32</v>
      </c>
      <c r="B8075" s="2">
        <v>44229</v>
      </c>
      <c r="C8075" s="1">
        <v>22</v>
      </c>
      <c r="D8075" s="39">
        <f t="shared" si="1196"/>
        <v>19371</v>
      </c>
      <c r="E8075" s="1"/>
      <c r="F8075" s="39">
        <f t="shared" si="1197"/>
        <v>873</v>
      </c>
      <c r="G8075" s="168">
        <f>SUM(C8075,C8051,C8027,C8003,C7979,C7955,C7931,C7907,C7883,C7859,C7835,C7811,C7787,C7763)/POBLA!$B$10*100000</f>
        <v>55.65061274048783</v>
      </c>
      <c r="H8075" s="256">
        <f t="shared" si="1194"/>
        <v>1.2118644067796611</v>
      </c>
      <c r="I8075" s="297">
        <f t="shared" si="1198"/>
        <v>67.440996795675929</v>
      </c>
      <c r="J8075" s="297">
        <f t="shared" si="1199"/>
        <v>30.571428571428573</v>
      </c>
      <c r="K8075" s="297">
        <f>J8075/POBLA!$B$10*100000</f>
        <v>3.965777930890575</v>
      </c>
      <c r="L8075" s="549">
        <f t="shared" si="1195"/>
        <v>4.6511627906976605E-3</v>
      </c>
      <c r="M8075" s="401">
        <f>SUM(C8075,C8051,C8027,C8003,C7979,C7955,C7931)/POBLA!$B$10*100000</f>
        <v>27.760445516234025</v>
      </c>
    </row>
    <row r="8076" spans="1:13" s="360" customFormat="1" x14ac:dyDescent="0.25">
      <c r="A8076" s="367" t="s">
        <v>33</v>
      </c>
      <c r="B8076" s="2">
        <v>44229</v>
      </c>
      <c r="C8076" s="1">
        <v>88</v>
      </c>
      <c r="D8076" s="39">
        <f t="shared" si="1196"/>
        <v>16601</v>
      </c>
      <c r="E8076" s="1">
        <v>11</v>
      </c>
      <c r="F8076" s="39">
        <f t="shared" si="1197"/>
        <v>250</v>
      </c>
      <c r="G8076" s="168">
        <f>SUM(C8076,C8052,C8028,C8004,C7980,C7956,C7932,C7908,C7884,C7860,C7836,C7812,C7788,C7764)/POBLA!$B$11*100000</f>
        <v>367.15881571752209</v>
      </c>
      <c r="H8076" s="256">
        <f t="shared" si="1194"/>
        <v>0.39330543933054396</v>
      </c>
      <c r="I8076" s="297">
        <f t="shared" si="1198"/>
        <v>144.40555931986225</v>
      </c>
      <c r="J8076" s="297">
        <f t="shared" si="1199"/>
        <v>87.285714285714292</v>
      </c>
      <c r="K8076" s="297">
        <f>J8076/POBLA!$B$11*100000</f>
        <v>24.352370430243813</v>
      </c>
      <c r="L8076" s="549">
        <f t="shared" si="1195"/>
        <v>0.1333333333333333</v>
      </c>
      <c r="M8076" s="401">
        <f>SUM(C8076,C8052,C8028,C8004,C7980,C7956,C7932)/POBLA!$B$11*100000</f>
        <v>170.46659301170666</v>
      </c>
    </row>
    <row r="8077" spans="1:13" s="360" customFormat="1" x14ac:dyDescent="0.25">
      <c r="A8077" s="367" t="s">
        <v>21</v>
      </c>
      <c r="B8077" s="2">
        <v>44229</v>
      </c>
      <c r="C8077" s="1">
        <v>6</v>
      </c>
      <c r="D8077" s="39">
        <f t="shared" si="1196"/>
        <v>9565</v>
      </c>
      <c r="E8077" s="1"/>
      <c r="F8077" s="39">
        <f t="shared" si="1197"/>
        <v>414</v>
      </c>
      <c r="G8077" s="168">
        <f>SUM(C8077,C8053,C8029,C8005,C7981,C7957,C7933,C7909,C7885,C7861,C7837,C7813,C7789,C7765)/POBLA!$B$12*100000</f>
        <v>59.969862602946144</v>
      </c>
      <c r="H8077" s="256">
        <f t="shared" si="1194"/>
        <v>1.2291666666666667</v>
      </c>
      <c r="I8077" s="297">
        <f t="shared" si="1198"/>
        <v>73.712956116121305</v>
      </c>
      <c r="J8077" s="297">
        <f t="shared" si="1199"/>
        <v>16.142857142857142</v>
      </c>
      <c r="K8077" s="297">
        <f>J8077/POBLA!$B$12*100000</f>
        <v>4.1020547664242821</v>
      </c>
      <c r="L8077" s="549">
        <f t="shared" si="1195"/>
        <v>8.1300813008130079E-2</v>
      </c>
      <c r="M8077" s="401">
        <f>SUM(C8077,C8053,C8029,C8005,C7981,C7957,C7933)/POBLA!$B$12*100000</f>
        <v>28.714383364969979</v>
      </c>
    </row>
    <row r="8078" spans="1:13" s="360" customFormat="1" x14ac:dyDescent="0.25">
      <c r="A8078" s="367" t="s">
        <v>17</v>
      </c>
      <c r="B8078" s="2">
        <v>44229</v>
      </c>
      <c r="C8078" s="1">
        <v>146</v>
      </c>
      <c r="D8078" s="39">
        <f t="shared" si="1196"/>
        <v>64041</v>
      </c>
      <c r="E8078" s="1">
        <v>3</v>
      </c>
      <c r="F8078" s="39">
        <f t="shared" si="1197"/>
        <v>1371</v>
      </c>
      <c r="G8078" s="168">
        <f>SUM(C8078,C8054,C8030,C8006,C7982,C7958,C7934,C7910,C7886,C7862,C7838,C7814,C7790,C7766)/POBLA!$B$13*100000</f>
        <v>80.488841593739366</v>
      </c>
      <c r="H8078" s="256">
        <f t="shared" si="1194"/>
        <v>0.84986737400530499</v>
      </c>
      <c r="I8078" s="297">
        <f t="shared" si="1198"/>
        <v>68.404840442000236</v>
      </c>
      <c r="J8078" s="297">
        <f t="shared" si="1199"/>
        <v>102.71428571428571</v>
      </c>
      <c r="K8078" s="297">
        <f>J8078/POBLA!$B$13*100000</f>
        <v>5.1606453634651857</v>
      </c>
      <c r="L8078" s="549">
        <f t="shared" si="1195"/>
        <v>0.1857304643261608</v>
      </c>
      <c r="M8078" s="401">
        <f>SUM(C8078,C8054,C8030,C8006,C7982,C7958,C7934)/POBLA!$B$13*100000</f>
        <v>36.124517544256307</v>
      </c>
    </row>
    <row r="8079" spans="1:13" s="360" customFormat="1" x14ac:dyDescent="0.25">
      <c r="A8079" s="367" t="s">
        <v>23</v>
      </c>
      <c r="B8079" s="2">
        <v>44229</v>
      </c>
      <c r="C8079" s="1">
        <v>284</v>
      </c>
      <c r="D8079" s="39">
        <f t="shared" si="1196"/>
        <v>5143</v>
      </c>
      <c r="E8079" s="1">
        <v>3</v>
      </c>
      <c r="F8079" s="39">
        <f t="shared" si="1197"/>
        <v>92</v>
      </c>
      <c r="G8079" s="168">
        <f>SUM(C8079,C8055,C8031,C8007,C7983,C7959,C7935,C7911,C7887,C7863,C7839,C7815,C7791,C7767)/POBLA!$B$14*100000</f>
        <v>204.31398230705923</v>
      </c>
      <c r="H8079" s="256">
        <f t="shared" si="1194"/>
        <v>1.8354700854700854</v>
      </c>
      <c r="I8079" s="297">
        <f t="shared" si="1198"/>
        <v>375.01220256787155</v>
      </c>
      <c r="J8079" s="297">
        <f t="shared" si="1199"/>
        <v>194.57142857142858</v>
      </c>
      <c r="K8079" s="297">
        <f>J8079/POBLA!$B$14*100000</f>
        <v>15.426334270315136</v>
      </c>
      <c r="L8079" s="549">
        <f t="shared" si="1195"/>
        <v>-0.12098765432098757</v>
      </c>
      <c r="M8079" s="401">
        <f>SUM(C8079,C8055,C8031,C8007,C7983,C7959,C7935)/POBLA!$B$14*100000</f>
        <v>107.98433989220595</v>
      </c>
    </row>
    <row r="8080" spans="1:13" s="360" customFormat="1" x14ac:dyDescent="0.25">
      <c r="A8080" s="367" t="s">
        <v>19</v>
      </c>
      <c r="B8080" s="2">
        <v>44229</v>
      </c>
      <c r="C8080" s="1">
        <v>499</v>
      </c>
      <c r="D8080" s="39">
        <f t="shared" si="1196"/>
        <v>54929</v>
      </c>
      <c r="E8080" s="1">
        <v>2</v>
      </c>
      <c r="F8080" s="39">
        <f t="shared" si="1197"/>
        <v>776</v>
      </c>
      <c r="G8080" s="168">
        <f>SUM(C8080,C8056,C8032,C8008,C7984,C7960,C7936,C7912,C7888,C7864,C7840,C7816,C7792,C7768)/POBLA!$B$15*100000</f>
        <v>878.38845159376388</v>
      </c>
      <c r="H8080" s="256">
        <f t="shared" si="1194"/>
        <v>0.94202196382428938</v>
      </c>
      <c r="I8080" s="297">
        <f t="shared" si="1198"/>
        <v>827.46121417093423</v>
      </c>
      <c r="J8080" s="297">
        <f t="shared" si="1199"/>
        <v>412.28571428571428</v>
      </c>
      <c r="K8080" s="297">
        <f>J8080/POBLA!$B$15*100000</f>
        <v>62.08589236853377</v>
      </c>
      <c r="L8080" s="549">
        <f t="shared" si="1195"/>
        <v>2.0699015948422161E-2</v>
      </c>
      <c r="M8080" s="401">
        <f>SUM(C8080,C8056,C8032,C8008,C7984,C7960,C7936)/POBLA!$B$15*100000</f>
        <v>434.60124657973643</v>
      </c>
    </row>
    <row r="8081" spans="1:13" s="360" customFormat="1" x14ac:dyDescent="0.25">
      <c r="A8081" s="367" t="s">
        <v>18</v>
      </c>
      <c r="B8081" s="2">
        <v>44229</v>
      </c>
      <c r="C8081" s="1">
        <v>294</v>
      </c>
      <c r="D8081" s="39">
        <f t="shared" si="1196"/>
        <v>48480</v>
      </c>
      <c r="E8081" s="1">
        <v>4</v>
      </c>
      <c r="F8081" s="39">
        <f t="shared" si="1197"/>
        <v>1085</v>
      </c>
      <c r="G8081" s="168">
        <f>SUM(C8081,C8057,C8033,C8009,C7985,C7961,C7937,C7913,C7889,C7865,C7841,C7817,C7793,C7769)/POBLA!$B$16*100000</f>
        <v>523.6687577747756</v>
      </c>
      <c r="H8081" s="256">
        <f t="shared" si="1194"/>
        <v>0.81207218419415061</v>
      </c>
      <c r="I8081" s="297">
        <f t="shared" si="1198"/>
        <v>425.25683192039963</v>
      </c>
      <c r="J8081" s="297">
        <f t="shared" si="1199"/>
        <v>264.85714285714283</v>
      </c>
      <c r="K8081" s="297">
        <f>J8081/POBLA!$B$16*100000</f>
        <v>35.427180328933915</v>
      </c>
      <c r="L8081" s="549">
        <f t="shared" si="1195"/>
        <v>0.10043668122270744</v>
      </c>
      <c r="M8081" s="401">
        <f>SUM(C8081,C8057,C8033,C8009,C7985,C7961,C7937)/POBLA!$B$16*100000</f>
        <v>247.99026230253745</v>
      </c>
    </row>
    <row r="8082" spans="1:13" s="360" customFormat="1" x14ac:dyDescent="0.25">
      <c r="A8082" s="367" t="s">
        <v>34</v>
      </c>
      <c r="B8082" s="2">
        <v>44229</v>
      </c>
      <c r="C8082" s="1">
        <v>57</v>
      </c>
      <c r="D8082" s="39">
        <f t="shared" si="1196"/>
        <v>23883</v>
      </c>
      <c r="E8082" s="1"/>
      <c r="F8082" s="39">
        <f t="shared" si="1197"/>
        <v>1046</v>
      </c>
      <c r="G8082" s="168">
        <f>SUM(C8082,C8058,C8034,C8010,C7986,C7962,C7938,C7914,C7890,C7866,C7842,C7818,C7794,C7770)/POBLA!$B$17*100000</f>
        <v>51.319962061138853</v>
      </c>
      <c r="H8082" s="256">
        <f t="shared" si="1194"/>
        <v>1.0548340548340549</v>
      </c>
      <c r="I8082" s="297">
        <f t="shared" si="1198"/>
        <v>54.134043674880957</v>
      </c>
      <c r="J8082" s="297">
        <f t="shared" si="1199"/>
        <v>50.428571428571431</v>
      </c>
      <c r="K8082" s="297">
        <f>J8082/POBLA!$B$17*100000</f>
        <v>3.5403452428340856</v>
      </c>
      <c r="L8082" s="549">
        <f t="shared" si="1195"/>
        <v>6.6137566137566162E-2</v>
      </c>
      <c r="M8082" s="401">
        <f>SUM(C8082,C8058,C8034,C8010,C7986,C7962,C7938)/POBLA!$B$17*100000</f>
        <v>24.782416699838599</v>
      </c>
    </row>
    <row r="8083" spans="1:13" s="360" customFormat="1" x14ac:dyDescent="0.25">
      <c r="A8083" s="367" t="s">
        <v>35</v>
      </c>
      <c r="B8083" s="2">
        <v>44229</v>
      </c>
      <c r="C8083" s="1">
        <v>83</v>
      </c>
      <c r="D8083" s="39">
        <f t="shared" si="1196"/>
        <v>14080</v>
      </c>
      <c r="E8083" s="1">
        <v>1</v>
      </c>
      <c r="F8083" s="39">
        <f t="shared" si="1197"/>
        <v>201</v>
      </c>
      <c r="G8083" s="168">
        <f>SUM(C8083,C8059,C8035,C8011,C7987,C7963,C7939,C7915,C7891,C7867,C7843,C7819,C7795,C7771)/POBLA!$B$18*100000</f>
        <v>105.47645532547295</v>
      </c>
      <c r="H8083" s="256">
        <f t="shared" si="1194"/>
        <v>0.60189919649379109</v>
      </c>
      <c r="I8083" s="297">
        <f t="shared" si="1198"/>
        <v>63.486193709415424</v>
      </c>
      <c r="J8083" s="297">
        <f t="shared" si="1199"/>
        <v>53.857142857142854</v>
      </c>
      <c r="K8083" s="297">
        <f>J8083/POBLA!$B$18*100000</f>
        <v>6.8940054885061208</v>
      </c>
      <c r="L8083" s="549">
        <f t="shared" si="1195"/>
        <v>0.15659955257270697</v>
      </c>
      <c r="M8083" s="401">
        <f>SUM(C8083,C8059,C8035,C8011,C7987,C7963,C7939)/POBLA!$B$18*100000</f>
        <v>48.258038419542842</v>
      </c>
    </row>
    <row r="8084" spans="1:13" s="360" customFormat="1" x14ac:dyDescent="0.25">
      <c r="A8084" s="367" t="s">
        <v>36</v>
      </c>
      <c r="B8084" s="2">
        <v>44229</v>
      </c>
      <c r="C8084" s="1">
        <v>63</v>
      </c>
      <c r="D8084" s="39">
        <f t="shared" si="1196"/>
        <v>19079</v>
      </c>
      <c r="E8084" s="1">
        <v>2</v>
      </c>
      <c r="F8084" s="39">
        <f t="shared" si="1197"/>
        <v>332</v>
      </c>
      <c r="G8084" s="168">
        <f>SUM(C8084,C8060,C8036,C8012,C7988,C7964,C7940,C7916,C7892,C7868,C7844,C7820,C7796,C7772)/POBLA!$B$19*100000</f>
        <v>397.57794180135659</v>
      </c>
      <c r="H8084" s="256">
        <f t="shared" si="1194"/>
        <v>2.7952973720608574</v>
      </c>
      <c r="I8084" s="297">
        <f t="shared" si="1198"/>
        <v>1111.3485759066966</v>
      </c>
      <c r="J8084" s="297">
        <f t="shared" si="1199"/>
        <v>40.142857142857146</v>
      </c>
      <c r="K8084" s="297">
        <f>J8084/POBLA!$B$19*100000</f>
        <v>7.8970383576858136</v>
      </c>
      <c r="L8084" s="549">
        <f t="shared" si="1195"/>
        <v>0.83850574712643677</v>
      </c>
      <c r="M8084" s="401">
        <f>SUM(C8084,C8060,C8036,C8012,C7988,C7964,C7940)/POBLA!$B$19*100000</f>
        <v>55.279268503800701</v>
      </c>
    </row>
    <row r="8085" spans="1:13" s="360" customFormat="1" x14ac:dyDescent="0.25">
      <c r="A8085" s="367" t="s">
        <v>37</v>
      </c>
      <c r="B8085" s="2">
        <v>44229</v>
      </c>
      <c r="C8085" s="1">
        <v>158</v>
      </c>
      <c r="D8085" s="39">
        <f t="shared" si="1196"/>
        <v>32836</v>
      </c>
      <c r="E8085" s="1">
        <v>2</v>
      </c>
      <c r="F8085" s="39">
        <f t="shared" si="1197"/>
        <v>507</v>
      </c>
      <c r="G8085" s="168">
        <f>SUM(C8085,C8061,C8037,C8013,C7989,C7965,C7941,C7917,C7893,C7869,C7845,C7821,C7797,C7773)/POBLA!$B$20*100000</f>
        <v>744.05657126918925</v>
      </c>
      <c r="H8085" s="256">
        <f t="shared" si="1194"/>
        <v>0.55792495386508101</v>
      </c>
      <c r="I8085" s="297">
        <f t="shared" si="1198"/>
        <v>415.12772819837278</v>
      </c>
      <c r="J8085" s="297">
        <f t="shared" si="1199"/>
        <v>144.28571428571428</v>
      </c>
      <c r="K8085" s="297">
        <f>J8085/POBLA!$B$20*100000</f>
        <v>39.454881975212956</v>
      </c>
      <c r="L8085" s="549">
        <f t="shared" si="1195"/>
        <v>0.40970192869666866</v>
      </c>
      <c r="M8085" s="401">
        <f>SUM(C8085,C8061,C8037,C8013,C7989,C7965,C7941)/POBLA!$B$20*100000</f>
        <v>276.18417382649073</v>
      </c>
    </row>
    <row r="8086" spans="1:13" s="360" customFormat="1" x14ac:dyDescent="0.25">
      <c r="A8086" s="367" t="s">
        <v>22</v>
      </c>
      <c r="B8086" s="2">
        <v>44229</v>
      </c>
      <c r="C8086" s="1">
        <v>515</v>
      </c>
      <c r="D8086" s="39">
        <f t="shared" si="1196"/>
        <v>206864</v>
      </c>
      <c r="E8086" s="1">
        <v>47</v>
      </c>
      <c r="F8086" s="39">
        <f t="shared" si="1197"/>
        <v>3577</v>
      </c>
      <c r="G8086" s="168">
        <f>SUM(C8086,C8062,C8038,C8014,C7990,C7966,C7942,C7918,C7894,C7870,C7846,C7822,C7798,C7774)/POBLA!$B$21*100000</f>
        <v>275.4482077627701</v>
      </c>
      <c r="H8086" s="256">
        <f t="shared" si="1194"/>
        <v>0.58020132229435939</v>
      </c>
      <c r="I8086" s="297">
        <f t="shared" si="1198"/>
        <v>159.81541436757064</v>
      </c>
      <c r="J8086" s="297">
        <f t="shared" si="1199"/>
        <v>569.57142857142856</v>
      </c>
      <c r="K8086" s="297">
        <f>J8086/POBLA!$B$21*100000</f>
        <v>16.105885349849157</v>
      </c>
      <c r="L8086" s="549">
        <f t="shared" si="1195"/>
        <v>0.30709071949947864</v>
      </c>
      <c r="M8086" s="401">
        <f>SUM(C8086,C8062,C8038,C8014,C7990,C7966,C7942)/POBLA!$B$21*100000</f>
        <v>112.74119744894411</v>
      </c>
    </row>
    <row r="8087" spans="1:13" s="360" customFormat="1" x14ac:dyDescent="0.25">
      <c r="A8087" s="367" t="s">
        <v>38</v>
      </c>
      <c r="B8087" s="2">
        <v>44229</v>
      </c>
      <c r="C8087" s="1">
        <v>69</v>
      </c>
      <c r="D8087" s="39">
        <f t="shared" si="1196"/>
        <v>21023</v>
      </c>
      <c r="E8087" s="1">
        <v>2</v>
      </c>
      <c r="F8087" s="39">
        <f t="shared" si="1197"/>
        <v>246</v>
      </c>
      <c r="G8087" s="168">
        <f>SUM(C8087,C8063,C8039,C8015,C7991,C7967,C7943,C7919,C7895,C7871,C7847,C7823,C7799,C7775)/POBLA!$B$22*100000</f>
        <v>125.72663350073033</v>
      </c>
      <c r="H8087" s="256">
        <f t="shared" si="1194"/>
        <v>0.6333676622039135</v>
      </c>
      <c r="I8087" s="297">
        <f t="shared" si="1198"/>
        <v>79.631183937125797</v>
      </c>
      <c r="J8087" s="297">
        <f t="shared" si="1199"/>
        <v>67.428571428571431</v>
      </c>
      <c r="K8087" s="297">
        <f>J8087/POBLA!$B$22*100000</f>
        <v>6.8923311280307455</v>
      </c>
      <c r="L8087" s="549">
        <f t="shared" si="1195"/>
        <v>0.37730870712401055</v>
      </c>
      <c r="M8087" s="401">
        <f>SUM(C8087,C8063,C8039,C8015,C7991,C7967,C7943)/POBLA!$B$22*100000</f>
        <v>48.246317896215217</v>
      </c>
    </row>
    <row r="8088" spans="1:13" s="360" customFormat="1" x14ac:dyDescent="0.25">
      <c r="A8088" s="367" t="s">
        <v>39</v>
      </c>
      <c r="B8088" s="2">
        <v>44229</v>
      </c>
      <c r="C8088" s="1">
        <v>58</v>
      </c>
      <c r="D8088" s="39">
        <f t="shared" si="1196"/>
        <v>21910</v>
      </c>
      <c r="E8088" s="1">
        <v>2</v>
      </c>
      <c r="F8088" s="39">
        <f t="shared" si="1197"/>
        <v>336</v>
      </c>
      <c r="G8088" s="168">
        <f>SUM(C8088,C8064,C8040,C8016,C7992,C7968,C7944,C7920,C7896,C7872,C7848,C7824,C7800,C7776)/POBLA!$B$23*100000</f>
        <v>500.48068766611999</v>
      </c>
      <c r="H8088" s="256">
        <f t="shared" si="1194"/>
        <v>0.65217391304347827</v>
      </c>
      <c r="I8088" s="297">
        <f t="shared" si="1198"/>
        <v>326.40044847790432</v>
      </c>
      <c r="J8088" s="297">
        <f t="shared" si="1199"/>
        <v>48.285714285714285</v>
      </c>
      <c r="K8088" s="297">
        <f>J8088/POBLA!$B$23*100000</f>
        <v>27.306290949337946</v>
      </c>
      <c r="L8088" s="549">
        <f t="shared" si="1195"/>
        <v>0.38208409506398533</v>
      </c>
      <c r="M8088" s="401">
        <f>SUM(C8088,C8064,C8040,C8016,C7992,C7968,C7944)/POBLA!$B$23*100000</f>
        <v>191.14403664536559</v>
      </c>
    </row>
    <row r="8089" spans="1:13" s="360" customFormat="1" ht="15.75" thickBot="1" x14ac:dyDescent="0.3">
      <c r="A8089" s="369" t="s">
        <v>40</v>
      </c>
      <c r="B8089" s="266">
        <v>44229</v>
      </c>
      <c r="C8089" s="44">
        <v>183</v>
      </c>
      <c r="D8089" s="176">
        <f t="shared" si="1196"/>
        <v>76715</v>
      </c>
      <c r="E8089" s="44"/>
      <c r="F8089" s="176">
        <f t="shared" si="1197"/>
        <v>1429</v>
      </c>
      <c r="G8089" s="177">
        <f>SUM(C8089,C8065,C8041,C8017,C7993,C7969,C7945,C7921,C7897,C7873,C7849,C7825,C7801,C7777)/POBLA!$B$24*100000</f>
        <v>120.08336795196193</v>
      </c>
      <c r="H8089" s="402">
        <f t="shared" si="1194"/>
        <v>0.71403508771929824</v>
      </c>
      <c r="I8089" s="403">
        <f t="shared" si="1198"/>
        <v>85.743738169207901</v>
      </c>
      <c r="J8089" s="403">
        <f t="shared" si="1199"/>
        <v>157.71428571428572</v>
      </c>
      <c r="K8089" s="403">
        <f>J8089/POBLA!$B$24*100000</f>
        <v>9.3065663895378012</v>
      </c>
      <c r="L8089" s="550">
        <f t="shared" si="1195"/>
        <v>-0.18582169709989249</v>
      </c>
      <c r="M8089" s="405">
        <f>SUM(C8089,C8065,C8041,C8017,C7993,C7969,C7945)/POBLA!$B$24*100000</f>
        <v>65.145964726764603</v>
      </c>
    </row>
    <row r="8090" spans="1:13" s="360" customFormat="1" x14ac:dyDescent="0.25">
      <c r="A8090" s="363" t="s">
        <v>16</v>
      </c>
      <c r="B8090" s="274">
        <v>44230</v>
      </c>
      <c r="C8090" s="17">
        <v>3688</v>
      </c>
      <c r="D8090" s="174">
        <f t="shared" si="1196"/>
        <v>814845</v>
      </c>
      <c r="E8090" s="43">
        <v>35</v>
      </c>
      <c r="F8090" s="174">
        <f>E8090+F8066</f>
        <v>24705</v>
      </c>
      <c r="G8090" s="175">
        <f>SUM(C8090,C8066,C8042,C8018,C7994,C7970,C7946,C7922,C7898,C7874,C7850,C7826,C7802,C7778)/POBLA!$B$1*100000</f>
        <v>287.20480611837053</v>
      </c>
      <c r="H8090" s="300">
        <f t="shared" ref="H8090:H8113" si="1200">SUM(C8090,C8066,C8042,C8018,C7994,C7970,C7946,C7922,C7898,C7874,C7850,C7826,C7802,C7778)/SUM(C7754,C7730,C7706,C7682,C7658,C7634,C7610,C7586,C7562,C7538,C7514,C7490,C7466,C7442)</f>
        <v>0.83337193144974531</v>
      </c>
      <c r="I8090" s="301">
        <f>G8090*H8090</f>
        <v>239.34842399651606</v>
      </c>
      <c r="J8090" s="301">
        <f>AVERAGE(C8090,C8066,C8042,C8018,C7994,C7970,C7946)</f>
        <v>3492.5714285714284</v>
      </c>
      <c r="K8090" s="301">
        <f>J8090/POBLA!$B$1*100000</f>
        <v>19.910742571258211</v>
      </c>
      <c r="L8090" s="548">
        <f t="shared" ref="L8090:L8113" si="1201">1-SUM(C8090,C8066,C8042,C8018,C7994,C7970,C7946)/SUM(C7922,C7898,C7874,C7850,C7826,C7802,C7778)</f>
        <v>5.7190235625313335E-2</v>
      </c>
      <c r="M8090" s="400">
        <f>SUM(C8090,C8066,C8042,C8018,C7994,C7970,C7946)/POBLA!$B$1*100000</f>
        <v>139.37519799880749</v>
      </c>
    </row>
    <row r="8091" spans="1:13" s="360" customFormat="1" x14ac:dyDescent="0.25">
      <c r="A8091" s="367" t="s">
        <v>43</v>
      </c>
      <c r="B8091" s="2">
        <v>44230</v>
      </c>
      <c r="C8091" s="17">
        <v>1071</v>
      </c>
      <c r="D8091" s="39">
        <f t="shared" si="1196"/>
        <v>213457</v>
      </c>
      <c r="E8091" s="1">
        <v>7</v>
      </c>
      <c r="F8091" s="39">
        <f t="shared" ref="F8091:F8113" si="1202">E8091+F8067</f>
        <v>6096</v>
      </c>
      <c r="G8091" s="168">
        <f>SUM(C8091,C8067,C8043,C8019,C7995,C7971,C7947,C7923,C7899,C7875,C7851,C7827,C7803,C7779)/POBLA!$B$2*100000</f>
        <v>484.41855792246571</v>
      </c>
      <c r="H8091" s="256">
        <f t="shared" si="1200"/>
        <v>0.82201379310344824</v>
      </c>
      <c r="I8091" s="297">
        <f t="shared" ref="I8091:I8113" si="1203">G8091*H8091</f>
        <v>398.19873624754848</v>
      </c>
      <c r="J8091" s="297">
        <f t="shared" ref="J8091:J8113" si="1204">AVERAGE(C8091,C8067,C8043,C8019,C7995,C7971,C7947)</f>
        <v>1030.4285714285713</v>
      </c>
      <c r="K8091" s="297">
        <f>J8091/POBLA!$B$2*100000</f>
        <v>33.502833922648165</v>
      </c>
      <c r="L8091" s="549">
        <f t="shared" si="1201"/>
        <v>6.1540463179807436E-2</v>
      </c>
      <c r="M8091" s="401">
        <f>SUM(C8091,C8067,C8043,C8019,C7995,C7971,C7947)/POBLA!$B$2*100000</f>
        <v>234.51983745853715</v>
      </c>
    </row>
    <row r="8092" spans="1:13" s="360" customFormat="1" x14ac:dyDescent="0.25">
      <c r="A8092" s="367" t="s">
        <v>28</v>
      </c>
      <c r="B8092" s="2">
        <v>44230</v>
      </c>
      <c r="C8092" s="17">
        <v>139</v>
      </c>
      <c r="D8092" s="39">
        <f t="shared" si="1196"/>
        <v>5817</v>
      </c>
      <c r="E8092" s="1"/>
      <c r="F8092" s="39">
        <f t="shared" si="1202"/>
        <v>17</v>
      </c>
      <c r="G8092" s="168">
        <f>SUM(C8092,C8068,C8044,C8020,C7996,C7972,C7948,C7924,C7900,C7876,C7852,C7828,C7804,C7780)/POBLA!$B$3*100000</f>
        <v>321.34758977272179</v>
      </c>
      <c r="H8092" s="256">
        <f t="shared" si="1200"/>
        <v>0.88235294117647056</v>
      </c>
      <c r="I8092" s="297">
        <f t="shared" si="1203"/>
        <v>283.54199097593096</v>
      </c>
      <c r="J8092" s="297">
        <f t="shared" si="1204"/>
        <v>123.28571428571429</v>
      </c>
      <c r="K8092" s="297">
        <f>J8092/POBLA!$B$3*100000</f>
        <v>29.676080254024495</v>
      </c>
      <c r="L8092" s="549">
        <f t="shared" si="1201"/>
        <v>-0.82838983050847448</v>
      </c>
      <c r="M8092" s="401">
        <f>SUM(C8092,C8068,C8044,C8020,C7996,C7972,C7948)/POBLA!$B$3*100000</f>
        <v>207.73256177817149</v>
      </c>
    </row>
    <row r="8093" spans="1:13" s="360" customFormat="1" x14ac:dyDescent="0.25">
      <c r="A8093" s="367" t="s">
        <v>15</v>
      </c>
      <c r="B8093" s="2">
        <v>44230</v>
      </c>
      <c r="C8093" s="17">
        <v>117</v>
      </c>
      <c r="D8093" s="39">
        <f t="shared" si="1196"/>
        <v>31125</v>
      </c>
      <c r="E8093" s="1"/>
      <c r="F8093" s="39">
        <f t="shared" si="1202"/>
        <v>798</v>
      </c>
      <c r="G8093" s="168">
        <f>SUM(C8093,C8069,C8045,C8021,C7997,C7973,C7949,C7925,C7901,C7877,C7853,C7829,C7805,C7781)/POBLA!$B$4*100000</f>
        <v>172.9289413975946</v>
      </c>
      <c r="H8093" s="256">
        <f t="shared" si="1200"/>
        <v>0.66232114467408587</v>
      </c>
      <c r="I8093" s="297">
        <f t="shared" si="1203"/>
        <v>114.53449441373277</v>
      </c>
      <c r="J8093" s="297">
        <f t="shared" si="1204"/>
        <v>130.28571428571428</v>
      </c>
      <c r="K8093" s="297">
        <f>J8093/POBLA!$B$4*100000</f>
        <v>10.816212506316869</v>
      </c>
      <c r="L8093" s="549">
        <f t="shared" si="1201"/>
        <v>0.22117847993168227</v>
      </c>
      <c r="M8093" s="401">
        <f>SUM(C8093,C8069,C8045,C8021,C7997,C7973,C7949)/POBLA!$B$4*100000</f>
        <v>75.713487544218083</v>
      </c>
    </row>
    <row r="8094" spans="1:13" s="360" customFormat="1" x14ac:dyDescent="0.25">
      <c r="A8094" s="367" t="s">
        <v>29</v>
      </c>
      <c r="B8094" s="2">
        <v>44230</v>
      </c>
      <c r="C8094" s="17">
        <v>299</v>
      </c>
      <c r="D8094" s="39">
        <f t="shared" si="1196"/>
        <v>43148</v>
      </c>
      <c r="E8094" s="1">
        <v>4</v>
      </c>
      <c r="F8094" s="39">
        <f t="shared" si="1202"/>
        <v>661</v>
      </c>
      <c r="G8094" s="168">
        <f>SUM(C8094,C8070,C8046,C8022,C7998,C7974,C7950,C7926,C7902,C7878,C7854,C7830,C7806,C7782)/POBLA!$B$5*100000</f>
        <v>652.18725868102115</v>
      </c>
      <c r="H8094" s="256">
        <f t="shared" si="1200"/>
        <v>0.76559833112080411</v>
      </c>
      <c r="I8094" s="297">
        <f t="shared" si="1203"/>
        <v>499.31347682444198</v>
      </c>
      <c r="J8094" s="297">
        <f t="shared" si="1204"/>
        <v>267.57142857142856</v>
      </c>
      <c r="K8094" s="297">
        <f>J8094/POBLA!$B$5*100000</f>
        <v>43.226821030806207</v>
      </c>
      <c r="L8094" s="549">
        <f t="shared" si="1201"/>
        <v>0.13447319778188538</v>
      </c>
      <c r="M8094" s="401">
        <f>SUM(C8094,C8070,C8046,C8022,C7998,C7974,C7950)/POBLA!$B$5*100000</f>
        <v>302.58774721564345</v>
      </c>
    </row>
    <row r="8095" spans="1:13" s="360" customFormat="1" x14ac:dyDescent="0.25">
      <c r="A8095" s="367" t="s">
        <v>30</v>
      </c>
      <c r="B8095" s="2">
        <v>44230</v>
      </c>
      <c r="C8095" s="17">
        <v>232</v>
      </c>
      <c r="D8095" s="39">
        <f t="shared" si="1196"/>
        <v>17970</v>
      </c>
      <c r="E8095" s="1"/>
      <c r="F8095" s="39">
        <f t="shared" si="1202"/>
        <v>206</v>
      </c>
      <c r="G8095" s="168">
        <f>SUM(C8095,C8071,C8047,C8023,C7999,C7975,C7951,C7927,C7903,C7879,C7855,C7831,C7807,C7783)/POBLA!$B$6*100000</f>
        <v>195.93130270226382</v>
      </c>
      <c r="H8095" s="256">
        <f t="shared" si="1200"/>
        <v>0.29109225874867445</v>
      </c>
      <c r="I8095" s="297">
        <f t="shared" si="1203"/>
        <v>57.034085463172239</v>
      </c>
      <c r="J8095" s="297">
        <f t="shared" si="1204"/>
        <v>159.42857142857142</v>
      </c>
      <c r="K8095" s="297">
        <f>J8095/POBLA!$B$6*100000</f>
        <v>14.224520805082385</v>
      </c>
      <c r="L8095" s="549">
        <f t="shared" si="1201"/>
        <v>-3.3333333333333437E-2</v>
      </c>
      <c r="M8095" s="401">
        <f>SUM(C8095,C8071,C8047,C8023,C7999,C7975,C7951)/POBLA!$B$6*100000</f>
        <v>99.571645635576701</v>
      </c>
    </row>
    <row r="8096" spans="1:13" s="360" customFormat="1" x14ac:dyDescent="0.25">
      <c r="A8096" s="367" t="s">
        <v>20</v>
      </c>
      <c r="B8096" s="2">
        <v>44230</v>
      </c>
      <c r="C8096" s="17">
        <v>603</v>
      </c>
      <c r="D8096" s="39">
        <f t="shared" si="1196"/>
        <v>146512</v>
      </c>
      <c r="E8096" s="1">
        <v>6</v>
      </c>
      <c r="F8096" s="39">
        <f t="shared" si="1202"/>
        <v>2710</v>
      </c>
      <c r="G8096" s="168">
        <f>SUM(C8096,C8072,C8048,C8024,C8000,C7976,C7952,C7928,C7904,C7880,C7856,C7832,C7808,C7784)/POBLA!$B$7*100000</f>
        <v>187.92963608078819</v>
      </c>
      <c r="H8096" s="256">
        <f t="shared" si="1200"/>
        <v>1.6313481071098799</v>
      </c>
      <c r="I8096" s="297">
        <f t="shared" si="1203"/>
        <v>306.57865609024242</v>
      </c>
      <c r="J8096" s="297">
        <f t="shared" si="1204"/>
        <v>477</v>
      </c>
      <c r="K8096" s="297">
        <f>J8096/POBLA!$B$7*100000</f>
        <v>12.684652102806844</v>
      </c>
      <c r="L8096" s="549">
        <f t="shared" si="1201"/>
        <v>0.10434549356223177</v>
      </c>
      <c r="M8096" s="401">
        <f>SUM(C8096,C8072,C8048,C8024,C8000,C7976,C7952)/POBLA!$B$7*100000</f>
        <v>88.792564719647913</v>
      </c>
    </row>
    <row r="8097" spans="1:13" x14ac:dyDescent="0.25">
      <c r="A8097" s="367" t="s">
        <v>31</v>
      </c>
      <c r="B8097" s="2">
        <v>44230</v>
      </c>
      <c r="C8097" s="17">
        <v>265</v>
      </c>
      <c r="D8097" s="39">
        <f t="shared" si="1196"/>
        <v>41717</v>
      </c>
      <c r="E8097" s="1">
        <v>4</v>
      </c>
      <c r="F8097" s="39">
        <f t="shared" si="1202"/>
        <v>745</v>
      </c>
      <c r="G8097" s="168">
        <f>SUM(C8097,C8073,C8049,C8025,C8001,C7977,C7953,C7929,C7905,C7881,C7857,C7833,C7809,C7785)/POBLA!$B$8*100000</f>
        <v>288.03119279691128</v>
      </c>
      <c r="H8097" s="256">
        <f t="shared" si="1200"/>
        <v>0.6413881748071979</v>
      </c>
      <c r="I8097" s="297">
        <f t="shared" si="1203"/>
        <v>184.73980103555107</v>
      </c>
      <c r="J8097" s="297">
        <f t="shared" si="1204"/>
        <v>245.28571428571428</v>
      </c>
      <c r="K8097" s="297">
        <f>J8097/POBLA!$B$8*100000</f>
        <v>17.697879975389949</v>
      </c>
      <c r="L8097" s="549">
        <f t="shared" si="1201"/>
        <v>0.24527472527472527</v>
      </c>
      <c r="M8097" s="401">
        <f>SUM(C8097,C8073,C8049,C8025,C8001,C7977,C7953)/POBLA!$B$8*100000</f>
        <v>123.88515982772964</v>
      </c>
    </row>
    <row r="8098" spans="1:13" s="360" customFormat="1" x14ac:dyDescent="0.25">
      <c r="A8098" s="367" t="s">
        <v>41</v>
      </c>
      <c r="B8098" s="2">
        <v>44230</v>
      </c>
      <c r="C8098" s="17">
        <v>4</v>
      </c>
      <c r="D8098" s="39">
        <f t="shared" si="1196"/>
        <v>855</v>
      </c>
      <c r="E8098" s="1">
        <v>2</v>
      </c>
      <c r="F8098" s="39">
        <f t="shared" si="1202"/>
        <v>7</v>
      </c>
      <c r="G8098" s="168">
        <f>SUM(C8098,C8074,C8050,C8026,C8002,C7978,C7954,C7930,C7906,C7882,C7858,C7834,C7810,C7786)/POBLA!$B$9*100000</f>
        <v>25.611664378140528</v>
      </c>
      <c r="H8098" s="256">
        <f t="shared" si="1200"/>
        <v>0.33190578158458245</v>
      </c>
      <c r="I8098" s="297">
        <f t="shared" si="1203"/>
        <v>8.5006594831087412</v>
      </c>
      <c r="J8098" s="297">
        <f t="shared" si="1204"/>
        <v>3.8571428571428572</v>
      </c>
      <c r="K8098" s="297">
        <f>J8098/POBLA!$B$9*100000</f>
        <v>0.63734095687538639</v>
      </c>
      <c r="L8098" s="549">
        <f t="shared" si="1201"/>
        <v>0.7890625</v>
      </c>
      <c r="M8098" s="401">
        <f>SUM(C8098,C8074,C8050,C8026,C8002,C7978,C7954)/POBLA!$B$9*100000</f>
        <v>4.4613866981277051</v>
      </c>
    </row>
    <row r="8099" spans="1:13" s="360" customFormat="1" x14ac:dyDescent="0.25">
      <c r="A8099" s="367" t="s">
        <v>32</v>
      </c>
      <c r="B8099" s="2">
        <v>44230</v>
      </c>
      <c r="C8099" s="17">
        <v>34</v>
      </c>
      <c r="D8099" s="39">
        <f t="shared" si="1196"/>
        <v>19405</v>
      </c>
      <c r="E8099" s="1">
        <v>1</v>
      </c>
      <c r="F8099" s="39">
        <f t="shared" si="1202"/>
        <v>874</v>
      </c>
      <c r="G8099" s="168">
        <f>SUM(C8099,C8075,C8051,C8027,C8003,C7979,C7955,C7931,C7907,C7883,C7859,C7835,C7811,C7787)/POBLA!$B$10*100000</f>
        <v>55.00200420038891</v>
      </c>
      <c r="H8099" s="256">
        <f t="shared" si="1200"/>
        <v>1.1187335092348285</v>
      </c>
      <c r="I8099" s="297">
        <f t="shared" si="1203"/>
        <v>61.532585174049863</v>
      </c>
      <c r="J8099" s="297">
        <f t="shared" si="1204"/>
        <v>28.428571428571427</v>
      </c>
      <c r="K8099" s="297">
        <f>J8099/POBLA!$B$10*100000</f>
        <v>3.6878028422767493</v>
      </c>
      <c r="L8099" s="549">
        <f t="shared" si="1201"/>
        <v>0.11555555555555552</v>
      </c>
      <c r="M8099" s="401">
        <f>SUM(C8099,C8075,C8051,C8027,C8003,C7979,C7955)/POBLA!$B$10*100000</f>
        <v>25.814619895937248</v>
      </c>
    </row>
    <row r="8100" spans="1:13" s="360" customFormat="1" x14ac:dyDescent="0.25">
      <c r="A8100" s="367" t="s">
        <v>33</v>
      </c>
      <c r="B8100" s="2">
        <v>44230</v>
      </c>
      <c r="C8100" s="17">
        <v>100</v>
      </c>
      <c r="D8100" s="39">
        <f t="shared" si="1196"/>
        <v>16701</v>
      </c>
      <c r="E8100" s="1">
        <v>2</v>
      </c>
      <c r="F8100" s="39">
        <f t="shared" si="1202"/>
        <v>252</v>
      </c>
      <c r="G8100" s="168">
        <f>SUM(C8100,C8076,C8052,C8028,C8004,C7980,C7956,C7932,C7908,C7884,C7860,C7836,C7812,C7788)/POBLA!$B$11*100000</f>
        <v>361.29989844543394</v>
      </c>
      <c r="H8100" s="256">
        <f t="shared" si="1200"/>
        <v>0.42251223491027734</v>
      </c>
      <c r="I8100" s="297">
        <f t="shared" si="1203"/>
        <v>152.65362756503654</v>
      </c>
      <c r="J8100" s="297">
        <f t="shared" si="1204"/>
        <v>83</v>
      </c>
      <c r="K8100" s="297">
        <f>J8100/POBLA!$B$11*100000</f>
        <v>23.156673027776847</v>
      </c>
      <c r="L8100" s="549">
        <f t="shared" si="1201"/>
        <v>0.18627450980392157</v>
      </c>
      <c r="M8100" s="401">
        <f>SUM(C8100,C8076,C8052,C8028,C8004,C7980,C7956)/POBLA!$B$11*100000</f>
        <v>162.09671119443794</v>
      </c>
    </row>
    <row r="8101" spans="1:13" s="360" customFormat="1" x14ac:dyDescent="0.25">
      <c r="A8101" s="367" t="s">
        <v>21</v>
      </c>
      <c r="B8101" s="2">
        <v>44230</v>
      </c>
      <c r="C8101" s="17">
        <v>20</v>
      </c>
      <c r="D8101" s="39">
        <f t="shared" si="1196"/>
        <v>9585</v>
      </c>
      <c r="E8101" s="1"/>
      <c r="F8101" s="39">
        <f t="shared" si="1202"/>
        <v>414</v>
      </c>
      <c r="G8101" s="168">
        <f>SUM(C8101,C8077,C8053,C8029,C8005,C7981,C7957,C7933,C7909,C7885,C7861,C7837,C7813,C7789)/POBLA!$B$12*100000</f>
        <v>57.428766729939959</v>
      </c>
      <c r="H8101" s="256">
        <f t="shared" si="1200"/>
        <v>1.0610328638497653</v>
      </c>
      <c r="I8101" s="297">
        <f t="shared" si="1203"/>
        <v>60.933808830828312</v>
      </c>
      <c r="J8101" s="297">
        <f t="shared" si="1204"/>
        <v>13.857142857142858</v>
      </c>
      <c r="K8101" s="297">
        <f>J8101/POBLA!$B$12*100000</f>
        <v>3.5212328525942955</v>
      </c>
      <c r="L8101" s="549">
        <f t="shared" si="1201"/>
        <v>0.24806201550387597</v>
      </c>
      <c r="M8101" s="401">
        <f>SUM(C8101,C8077,C8053,C8029,C8005,C7981,C7957)/POBLA!$B$12*100000</f>
        <v>24.648629968160069</v>
      </c>
    </row>
    <row r="8102" spans="1:13" s="360" customFormat="1" x14ac:dyDescent="0.25">
      <c r="A8102" s="367" t="s">
        <v>17</v>
      </c>
      <c r="B8102" s="2">
        <v>44230</v>
      </c>
      <c r="C8102" s="17">
        <v>158</v>
      </c>
      <c r="D8102" s="39">
        <f t="shared" si="1196"/>
        <v>64199</v>
      </c>
      <c r="E8102" s="1">
        <v>4</v>
      </c>
      <c r="F8102" s="39">
        <f t="shared" si="1202"/>
        <v>1375</v>
      </c>
      <c r="G8102" s="168">
        <f>SUM(C8102,C8078,C8054,C8030,C8006,C7982,C7958,C7934,C7910,C7886,C7862,C7838,C7814,C7790)/POBLA!$B$13*100000</f>
        <v>78.479132690025509</v>
      </c>
      <c r="H8102" s="256">
        <f t="shared" si="1200"/>
        <v>0.81100726895119424</v>
      </c>
      <c r="I8102" s="297">
        <f t="shared" si="1203"/>
        <v>63.647147072595978</v>
      </c>
      <c r="J8102" s="297">
        <f t="shared" si="1204"/>
        <v>104</v>
      </c>
      <c r="K8102" s="297">
        <f>J8102/POBLA!$B$13*100000</f>
        <v>5.2252431496559879</v>
      </c>
      <c r="L8102" s="549">
        <f t="shared" si="1201"/>
        <v>0.12709832134292565</v>
      </c>
      <c r="M8102" s="401">
        <f>SUM(C8102,C8078,C8054,C8030,C8006,C7982,C7958)/POBLA!$B$13*100000</f>
        <v>36.576702047591915</v>
      </c>
    </row>
    <row r="8103" spans="1:13" s="360" customFormat="1" x14ac:dyDescent="0.25">
      <c r="A8103" s="367" t="s">
        <v>23</v>
      </c>
      <c r="B8103" s="2">
        <v>44230</v>
      </c>
      <c r="C8103" s="17">
        <v>190</v>
      </c>
      <c r="D8103" s="39">
        <f t="shared" si="1196"/>
        <v>5333</v>
      </c>
      <c r="E8103" s="1">
        <v>5</v>
      </c>
      <c r="F8103" s="39">
        <f t="shared" si="1202"/>
        <v>97</v>
      </c>
      <c r="G8103" s="168">
        <f>SUM(C8103,C8079,C8055,C8031,C8007,C7983,C7959,C7935,C7911,C7887,C7863,C7839,C7815,C7791)/POBLA!$B$14*100000</f>
        <v>204.07613133813368</v>
      </c>
      <c r="H8103" s="256">
        <f t="shared" si="1200"/>
        <v>1.615819209039548</v>
      </c>
      <c r="I8103" s="297">
        <f t="shared" si="1203"/>
        <v>329.75013312263405</v>
      </c>
      <c r="J8103" s="297">
        <f t="shared" si="1204"/>
        <v>187.28571428571428</v>
      </c>
      <c r="K8103" s="297">
        <f>J8103/POBLA!$B$14*100000</f>
        <v>14.848696202924479</v>
      </c>
      <c r="L8103" s="549">
        <f t="shared" si="1201"/>
        <v>-3.8004750593824133E-2</v>
      </c>
      <c r="M8103" s="401">
        <f>SUM(C8103,C8079,C8055,C8031,C8007,C7983,C7959)/POBLA!$B$14*100000</f>
        <v>103.94087342047136</v>
      </c>
    </row>
    <row r="8104" spans="1:13" s="360" customFormat="1" x14ac:dyDescent="0.25">
      <c r="A8104" s="367" t="s">
        <v>19</v>
      </c>
      <c r="B8104" s="2">
        <v>44230</v>
      </c>
      <c r="C8104" s="17">
        <v>456</v>
      </c>
      <c r="D8104" s="39">
        <f t="shared" si="1196"/>
        <v>55385</v>
      </c>
      <c r="E8104" s="1">
        <v>8</v>
      </c>
      <c r="F8104" s="39">
        <f t="shared" si="1202"/>
        <v>784</v>
      </c>
      <c r="G8104" s="168">
        <f>SUM(C8104,C8080,C8056,C8032,C8008,C7984,C7960,C7936,C7912,C7888,C7864,C7840,C7816,C7792)/POBLA!$B$15*100000</f>
        <v>866.79306143900294</v>
      </c>
      <c r="H8104" s="256">
        <f t="shared" si="1200"/>
        <v>0.93487087867467922</v>
      </c>
      <c r="I8104" s="297">
        <f t="shared" si="1203"/>
        <v>810.3395909765959</v>
      </c>
      <c r="J8104" s="297">
        <f t="shared" si="1204"/>
        <v>400.57142857142856</v>
      </c>
      <c r="K8104" s="297">
        <f>J8104/POBLA!$B$15*100000</f>
        <v>60.321844144618396</v>
      </c>
      <c r="L8104" s="549">
        <f t="shared" si="1201"/>
        <v>5.0135501355013545E-2</v>
      </c>
      <c r="M8104" s="401">
        <f>SUM(C8104,C8080,C8056,C8032,C8008,C7984,C7960)/POBLA!$B$15*100000</f>
        <v>422.25290901232876</v>
      </c>
    </row>
    <row r="8105" spans="1:13" s="360" customFormat="1" x14ac:dyDescent="0.25">
      <c r="A8105" s="367" t="s">
        <v>18</v>
      </c>
      <c r="B8105" s="2">
        <v>44230</v>
      </c>
      <c r="C8105" s="17">
        <v>280</v>
      </c>
      <c r="D8105" s="39">
        <f t="shared" si="1196"/>
        <v>48760</v>
      </c>
      <c r="E8105" s="1">
        <v>8</v>
      </c>
      <c r="F8105" s="39">
        <f t="shared" si="1202"/>
        <v>1093</v>
      </c>
      <c r="G8105" s="168">
        <f>SUM(C8105,C8081,C8057,C8033,C8009,C7985,C7961,C7937,C7913,C7889,C7865,C7841,C7817,C7793)/POBLA!$B$16*100000</f>
        <v>501.99970572892278</v>
      </c>
      <c r="H8105" s="256">
        <f t="shared" si="1200"/>
        <v>0.76874231872183529</v>
      </c>
      <c r="I8105" s="297">
        <f t="shared" si="1203"/>
        <v>385.90841777973105</v>
      </c>
      <c r="J8105" s="297">
        <f t="shared" si="1204"/>
        <v>252.71428571428572</v>
      </c>
      <c r="K8105" s="297">
        <f>J8105/POBLA!$B$16*100000</f>
        <v>33.802956851070171</v>
      </c>
      <c r="L8105" s="549">
        <f t="shared" si="1201"/>
        <v>0.108366935483871</v>
      </c>
      <c r="M8105" s="401">
        <f>SUM(C8105,C8081,C8057,C8033,C8009,C7985,C7961)/POBLA!$B$16*100000</f>
        <v>236.62069795749122</v>
      </c>
    </row>
    <row r="8106" spans="1:13" s="360" customFormat="1" x14ac:dyDescent="0.25">
      <c r="A8106" s="367" t="s">
        <v>34</v>
      </c>
      <c r="B8106" s="2">
        <v>44230</v>
      </c>
      <c r="C8106" s="17">
        <v>90</v>
      </c>
      <c r="D8106" s="39">
        <f t="shared" si="1196"/>
        <v>23973</v>
      </c>
      <c r="E8106" s="1">
        <v>1</v>
      </c>
      <c r="F8106" s="39">
        <f t="shared" si="1202"/>
        <v>1047</v>
      </c>
      <c r="G8106" s="168">
        <f>SUM(C8106,C8082,C8058,C8034,C8010,C7986,C7962,C7938,C7914,C7890,C7866,C7842,C7818,C7794)/POBLA!$B$17*100000</f>
        <v>52.232628965098911</v>
      </c>
      <c r="H8106" s="256">
        <f t="shared" si="1200"/>
        <v>1.0333333333333334</v>
      </c>
      <c r="I8106" s="297">
        <f t="shared" si="1203"/>
        <v>53.973716597268883</v>
      </c>
      <c r="J8106" s="297">
        <f t="shared" si="1204"/>
        <v>54</v>
      </c>
      <c r="K8106" s="297">
        <f>J8106/POBLA!$B$17*100000</f>
        <v>3.7910779087571793</v>
      </c>
      <c r="L8106" s="549">
        <f t="shared" si="1201"/>
        <v>-3.2786885245901676E-2</v>
      </c>
      <c r="M8106" s="401">
        <f>SUM(C8106,C8082,C8058,C8034,C8010,C7986,C7962)/POBLA!$B$17*100000</f>
        <v>26.537545361300257</v>
      </c>
    </row>
    <row r="8107" spans="1:13" s="360" customFormat="1" x14ac:dyDescent="0.25">
      <c r="A8107" s="367" t="s">
        <v>35</v>
      </c>
      <c r="B8107" s="2">
        <v>44230</v>
      </c>
      <c r="C8107" s="17">
        <v>59</v>
      </c>
      <c r="D8107" s="39">
        <f t="shared" si="1196"/>
        <v>14139</v>
      </c>
      <c r="E8107" s="1">
        <v>1</v>
      </c>
      <c r="F8107" s="39">
        <f t="shared" si="1202"/>
        <v>202</v>
      </c>
      <c r="G8107" s="168">
        <f>SUM(C8107,C8083,C8059,C8035,C8011,C7987,C7963,C7939,C7915,C7891,C7867,C7843,C7819,C7795)/POBLA!$B$18*100000</f>
        <v>100.74025526838253</v>
      </c>
      <c r="H8107" s="256">
        <f t="shared" si="1200"/>
        <v>0.58210059171597628</v>
      </c>
      <c r="I8107" s="297">
        <f t="shared" si="1203"/>
        <v>58.640962201343967</v>
      </c>
      <c r="J8107" s="297">
        <f t="shared" si="1204"/>
        <v>54</v>
      </c>
      <c r="K8107" s="297">
        <f>J8107/POBLA!$B$18*100000</f>
        <v>6.9122919752130327</v>
      </c>
      <c r="L8107" s="549">
        <f t="shared" si="1201"/>
        <v>7.5794621026894826E-2</v>
      </c>
      <c r="M8107" s="401">
        <f>SUM(C8107,C8083,C8059,C8035,C8011,C7987,C7963)/POBLA!$B$18*100000</f>
        <v>48.386043826491232</v>
      </c>
    </row>
    <row r="8108" spans="1:13" s="360" customFormat="1" x14ac:dyDescent="0.25">
      <c r="A8108" s="367" t="s">
        <v>36</v>
      </c>
      <c r="B8108" s="2">
        <v>44230</v>
      </c>
      <c r="C8108" s="17">
        <v>9</v>
      </c>
      <c r="D8108" s="39">
        <f t="shared" si="1196"/>
        <v>19088</v>
      </c>
      <c r="E8108" s="1">
        <v>2</v>
      </c>
      <c r="F8108" s="39">
        <f t="shared" si="1202"/>
        <v>334</v>
      </c>
      <c r="G8108" s="168">
        <f>SUM(C8108,C8084,C8060,C8036,C8012,C7988,C7964,C7940,C7916,C7892,C7868,C7844,C7820,C7796)/POBLA!$B$19*100000</f>
        <v>378.88922113281188</v>
      </c>
      <c r="H8108" s="256">
        <f t="shared" si="1200"/>
        <v>2.5176470588235293</v>
      </c>
      <c r="I8108" s="297">
        <f t="shared" si="1203"/>
        <v>953.90933320496163</v>
      </c>
      <c r="J8108" s="297">
        <f t="shared" si="1204"/>
        <v>29.857142857142858</v>
      </c>
      <c r="K8108" s="297">
        <f>J8108/POBLA!$B$19*100000</f>
        <v>5.8735979243997694</v>
      </c>
      <c r="L8108" s="549">
        <f t="shared" si="1201"/>
        <v>0.87827606290040772</v>
      </c>
      <c r="M8108" s="401">
        <f>SUM(C8108,C8084,C8060,C8036,C8012,C7988,C7964)/POBLA!$B$19*100000</f>
        <v>41.11518547079838</v>
      </c>
    </row>
    <row r="8109" spans="1:13" s="360" customFormat="1" x14ac:dyDescent="0.25">
      <c r="A8109" s="367" t="s">
        <v>37</v>
      </c>
      <c r="B8109" s="2">
        <v>44230</v>
      </c>
      <c r="C8109" s="17">
        <v>421</v>
      </c>
      <c r="D8109" s="39">
        <f t="shared" si="1196"/>
        <v>33257</v>
      </c>
      <c r="E8109" s="1">
        <v>1</v>
      </c>
      <c r="F8109" s="39">
        <f t="shared" si="1202"/>
        <v>508</v>
      </c>
      <c r="G8109" s="168">
        <f>SUM(C8109,C8085,C8061,C8037,C8013,C7989,C7965,C7941,C7917,C7893,C7869,C7845,C7821,C7797)/POBLA!$B$20*100000</f>
        <v>724.09474484410634</v>
      </c>
      <c r="H8109" s="256">
        <f t="shared" si="1200"/>
        <v>0.53930753564154787</v>
      </c>
      <c r="I8109" s="297">
        <f t="shared" si="1203"/>
        <v>390.5097524128704</v>
      </c>
      <c r="J8109" s="297">
        <f t="shared" si="1204"/>
        <v>180.57142857142858</v>
      </c>
      <c r="K8109" s="297">
        <f>J8109/POBLA!$B$20*100000</f>
        <v>49.377198828385325</v>
      </c>
      <c r="L8109" s="549">
        <f t="shared" si="1201"/>
        <v>8.6705202312138741E-2</v>
      </c>
      <c r="M8109" s="401">
        <f>SUM(C8109,C8085,C8061,C8037,C8013,C7989,C7965)/POBLA!$B$20*100000</f>
        <v>345.64039179869729</v>
      </c>
    </row>
    <row r="8110" spans="1:13" s="360" customFormat="1" x14ac:dyDescent="0.25">
      <c r="A8110" s="367" t="s">
        <v>22</v>
      </c>
      <c r="B8110" s="2">
        <v>44230</v>
      </c>
      <c r="C8110" s="17">
        <v>688</v>
      </c>
      <c r="D8110" s="39">
        <f t="shared" si="1196"/>
        <v>207552</v>
      </c>
      <c r="E8110" s="1">
        <v>16</v>
      </c>
      <c r="F8110" s="39">
        <f t="shared" si="1202"/>
        <v>3593</v>
      </c>
      <c r="G8110" s="168">
        <f>SUM(C8110,C8086,C8062,C8038,C8014,C7990,C7966,C7942,C7918,C7894,C7870,C7846,C7822,C7798)/POBLA!$B$21*100000</f>
        <v>260.34818282227951</v>
      </c>
      <c r="H8110" s="256">
        <f t="shared" si="1200"/>
        <v>0.55800000000000005</v>
      </c>
      <c r="I8110" s="297">
        <f t="shared" si="1203"/>
        <v>145.27428601483197</v>
      </c>
      <c r="J8110" s="297">
        <f t="shared" si="1204"/>
        <v>535.85714285714289</v>
      </c>
      <c r="K8110" s="297">
        <f>J8110/POBLA!$B$21*100000</f>
        <v>15.152539740979231</v>
      </c>
      <c r="L8110" s="549">
        <f t="shared" si="1201"/>
        <v>0.3125</v>
      </c>
      <c r="M8110" s="401">
        <f>SUM(C8110,C8086,C8062,C8038,C8014,C7990,C7966)/POBLA!$B$21*100000</f>
        <v>106.06777818685461</v>
      </c>
    </row>
    <row r="8111" spans="1:13" s="360" customFormat="1" x14ac:dyDescent="0.25">
      <c r="A8111" s="367" t="s">
        <v>38</v>
      </c>
      <c r="B8111" s="2">
        <v>44230</v>
      </c>
      <c r="C8111" s="17">
        <v>91</v>
      </c>
      <c r="D8111" s="39">
        <f t="shared" si="1196"/>
        <v>21114</v>
      </c>
      <c r="E8111" s="1"/>
      <c r="F8111" s="39">
        <f t="shared" si="1202"/>
        <v>246</v>
      </c>
      <c r="G8111" s="168">
        <f>SUM(C8111,C8087,C8063,C8039,C8015,C7991,C7967,C7943,C7919,C7895,C7871,C7847,C7823,C7799)/POBLA!$B$22*100000</f>
        <v>118.0603753604419</v>
      </c>
      <c r="H8111" s="256">
        <f t="shared" si="1200"/>
        <v>0.59937727036844834</v>
      </c>
      <c r="I8111" s="297">
        <f t="shared" si="1203"/>
        <v>70.762705522216081</v>
      </c>
      <c r="J8111" s="297">
        <f t="shared" si="1204"/>
        <v>66</v>
      </c>
      <c r="K8111" s="297">
        <f>J8111/POBLA!$B$22*100000</f>
        <v>6.7463071634538228</v>
      </c>
      <c r="L8111" s="549">
        <f t="shared" si="1201"/>
        <v>0.33333333333333337</v>
      </c>
      <c r="M8111" s="401">
        <f>SUM(C8111,C8087,C8063,C8039,C8015,C7991,C7967)/POBLA!$B$22*100000</f>
        <v>47.224150144176761</v>
      </c>
    </row>
    <row r="8112" spans="1:13" s="360" customFormat="1" x14ac:dyDescent="0.25">
      <c r="A8112" s="367" t="s">
        <v>39</v>
      </c>
      <c r="B8112" s="2">
        <v>44230</v>
      </c>
      <c r="C8112" s="17">
        <v>57</v>
      </c>
      <c r="D8112" s="39">
        <f t="shared" si="1196"/>
        <v>21967</v>
      </c>
      <c r="E8112" s="1"/>
      <c r="F8112" s="39">
        <f t="shared" si="1202"/>
        <v>336</v>
      </c>
      <c r="G8112" s="168">
        <f>SUM(C8112,C8088,C8064,C8040,C8016,C7992,C7968,C7944,C7920,C7896,C7872,C7848,C7824,C7800)/POBLA!$B$23*100000</f>
        <v>481.25318102131985</v>
      </c>
      <c r="H8112" s="256">
        <f t="shared" si="1200"/>
        <v>0.66640563821456533</v>
      </c>
      <c r="I8112" s="297">
        <f t="shared" si="1203"/>
        <v>320.70983324130242</v>
      </c>
      <c r="J8112" s="297">
        <f t="shared" si="1204"/>
        <v>44.285714285714285</v>
      </c>
      <c r="K8112" s="297">
        <f>J8112/POBLA!$B$23*100000</f>
        <v>25.044231344067345</v>
      </c>
      <c r="L8112" s="549">
        <f t="shared" si="1201"/>
        <v>0.42698706099815154</v>
      </c>
      <c r="M8112" s="401">
        <f>SUM(C8112,C8088,C8064,C8040,C8016,C7992,C7968)/POBLA!$B$23*100000</f>
        <v>175.30961940847143</v>
      </c>
    </row>
    <row r="8113" spans="1:13" s="360" customFormat="1" ht="15.75" thickBot="1" x14ac:dyDescent="0.3">
      <c r="A8113" s="369" t="s">
        <v>40</v>
      </c>
      <c r="B8113" s="2">
        <v>44230</v>
      </c>
      <c r="C8113" s="17">
        <v>125</v>
      </c>
      <c r="D8113" s="176">
        <f t="shared" si="1196"/>
        <v>76840</v>
      </c>
      <c r="E8113" s="44">
        <v>6</v>
      </c>
      <c r="F8113" s="176">
        <f t="shared" si="1202"/>
        <v>1435</v>
      </c>
      <c r="G8113" s="177">
        <f>SUM(C8113,C8089,C8065,C8041,C8017,C7993,C7969,C7945,C7921,C7897,C7873,C7849,C7825,C7801)/POBLA!$B$24*100000</f>
        <v>118.72616035348766</v>
      </c>
      <c r="H8113" s="402">
        <f t="shared" si="1200"/>
        <v>0.72661610689779699</v>
      </c>
      <c r="I8113" s="403">
        <f t="shared" si="1203"/>
        <v>86.268340422974774</v>
      </c>
      <c r="J8113" s="403">
        <f t="shared" si="1204"/>
        <v>134.57142857142858</v>
      </c>
      <c r="K8113" s="403">
        <f>J8113/POBLA!$B$24*100000</f>
        <v>7.9409289302034498</v>
      </c>
      <c r="L8113" s="550">
        <f t="shared" si="1201"/>
        <v>0.11962616822429906</v>
      </c>
      <c r="M8113" s="405">
        <f>SUM(C8113,C8089,C8065,C8041,C8017,C7993,C7969)/POBLA!$B$24*100000</f>
        <v>55.586502511424143</v>
      </c>
    </row>
    <row r="8114" spans="1:13" s="360" customFormat="1" x14ac:dyDescent="0.25">
      <c r="A8114" s="363" t="s">
        <v>16</v>
      </c>
      <c r="B8114" s="2">
        <v>44231</v>
      </c>
      <c r="C8114" s="1">
        <v>3709</v>
      </c>
      <c r="D8114" s="174">
        <f t="shared" si="1196"/>
        <v>818554</v>
      </c>
      <c r="E8114" s="1">
        <v>41</v>
      </c>
      <c r="F8114" s="174">
        <f>E8114+F8090</f>
        <v>24746</v>
      </c>
      <c r="G8114" s="175">
        <f>SUM(C8114,C8090,C8066,C8042,C8018,C7994,C7970,C7946,C7922,C7898,C7874,C7850,C7826,C7802)/POBLA!$B$1*100000</f>
        <v>281.95429248302605</v>
      </c>
      <c r="H8114" s="300">
        <f t="shared" ref="H8114:H8137" si="1205">SUM(C8114,C8090,C8066,C8042,C8018,C7994,C7970,C7946,C7922,C7898,C7874,C7850,C7826,C7802)/SUM(C7778,C7754,C7730,C7706,C7682,C7658,C7634,C7610,C7586,C7562,C7538,C7514,C7490,C7466)</f>
        <v>0.82756889714371773</v>
      </c>
      <c r="I8114" s="301">
        <f>G8114*H8114</f>
        <v>233.33660287511509</v>
      </c>
      <c r="J8114" s="301">
        <f>AVERAGE(C8114,C8090,C8066,C8042,C8018,C7994,C7970)</f>
        <v>3426</v>
      </c>
      <c r="K8114" s="301">
        <f>J8114/POBLA!$B$1*100000</f>
        <v>19.531226617470324</v>
      </c>
      <c r="L8114" s="548">
        <f t="shared" ref="L8114:L8137" si="1206">1-SUM(C8114,C8090,C8066,C8042,C8018,C7994,C7970)/SUM(C7946,C7922,C7898,C7874,C7850,C7826,C7802)</f>
        <v>5.86434291097504E-2</v>
      </c>
      <c r="M8114" s="400">
        <f>SUM(C8114,C8090,C8066,C8042,C8018,C7994,C7970)/POBLA!$B$1*100000</f>
        <v>136.71858632229225</v>
      </c>
    </row>
    <row r="8115" spans="1:13" s="360" customFormat="1" x14ac:dyDescent="0.25">
      <c r="A8115" s="367" t="s">
        <v>43</v>
      </c>
      <c r="B8115" s="2">
        <v>44231</v>
      </c>
      <c r="C8115" s="1">
        <v>1214</v>
      </c>
      <c r="D8115" s="39">
        <f t="shared" si="1196"/>
        <v>214671</v>
      </c>
      <c r="E8115" s="1">
        <v>3</v>
      </c>
      <c r="F8115" s="39">
        <f t="shared" ref="F8115:F8137" si="1207">E8115+F8091</f>
        <v>6099</v>
      </c>
      <c r="G8115" s="168">
        <f>SUM(C8115,C8091,C8067,C8043,C8019,C7995,C7971,C7947,C7923,C7899,C7875,C7851,C7827,C7803)/POBLA!$B$2*100000</f>
        <v>482.76036969144042</v>
      </c>
      <c r="H8115" s="256">
        <f t="shared" si="1205"/>
        <v>0.83256700684086571</v>
      </c>
      <c r="I8115" s="297">
        <f t="shared" ref="I8115:I8137" si="1208">G8115*H8115</f>
        <v>401.93035601539231</v>
      </c>
      <c r="J8115" s="297">
        <f t="shared" ref="J8115:J8137" si="1209">AVERAGE(C8115,C8091,C8067,C8043,C8019,C7995,C7971)</f>
        <v>1046.5714285714287</v>
      </c>
      <c r="K8115" s="297">
        <f>J8115/POBLA!$B$2*100000</f>
        <v>34.027694623224804</v>
      </c>
      <c r="L8115" s="549">
        <f t="shared" si="1206"/>
        <v>2.6056899760701913E-2</v>
      </c>
      <c r="M8115" s="401">
        <f>SUM(C8115,C8091,C8067,C8043,C8019,C7995,C7971)/POBLA!$B$2*100000</f>
        <v>238.19386236257358</v>
      </c>
    </row>
    <row r="8116" spans="1:13" s="360" customFormat="1" x14ac:dyDescent="0.25">
      <c r="A8116" s="367" t="s">
        <v>28</v>
      </c>
      <c r="B8116" s="2">
        <v>44231</v>
      </c>
      <c r="C8116" s="1">
        <v>124</v>
      </c>
      <c r="D8116" s="39">
        <f t="shared" si="1196"/>
        <v>5941</v>
      </c>
      <c r="E8116" s="1"/>
      <c r="F8116" s="39">
        <f t="shared" si="1207"/>
        <v>17</v>
      </c>
      <c r="G8116" s="168">
        <f>SUM(C8116,C8092,C8068,C8044,C8020,C7996,C7972,C7948,C7924,C7900,C7876,C7852,C7828,C7804)/POBLA!$B$3*100000</f>
        <v>328.32817411984456</v>
      </c>
      <c r="H8116" s="256">
        <f t="shared" si="1205"/>
        <v>0.86383787207093099</v>
      </c>
      <c r="I8116" s="297">
        <f t="shared" si="1208"/>
        <v>283.62231127262066</v>
      </c>
      <c r="J8116" s="297">
        <f t="shared" si="1209"/>
        <v>128.71428571428572</v>
      </c>
      <c r="K8116" s="297">
        <f>J8116/POBLA!$B$3*100000</f>
        <v>30.98279062442187</v>
      </c>
      <c r="L8116" s="549">
        <f t="shared" si="1206"/>
        <v>-0.94600431965442766</v>
      </c>
      <c r="M8116" s="401">
        <f>SUM(C8116,C8092,C8068,C8044,C8020,C7996,C7972)/POBLA!$B$3*100000</f>
        <v>216.87953437095308</v>
      </c>
    </row>
    <row r="8117" spans="1:13" s="360" customFormat="1" x14ac:dyDescent="0.25">
      <c r="A8117" s="367" t="s">
        <v>15</v>
      </c>
      <c r="B8117" s="2">
        <v>44231</v>
      </c>
      <c r="C8117" s="1">
        <v>133</v>
      </c>
      <c r="D8117" s="39">
        <f t="shared" si="1196"/>
        <v>31258</v>
      </c>
      <c r="E8117" s="1">
        <v>4</v>
      </c>
      <c r="F8117" s="39">
        <f t="shared" si="1207"/>
        <v>802</v>
      </c>
      <c r="G8117" s="168">
        <f>SUM(C8117,C8093,C8069,C8045,C8021,C7997,C7973,C7949,C7925,C7901,C7877,C7853,C7829,C7805)/POBLA!$B$4*100000</f>
        <v>160.64210350664692</v>
      </c>
      <c r="H8117" s="256">
        <f t="shared" si="1205"/>
        <v>0.62258687258687262</v>
      </c>
      <c r="I8117" s="297">
        <f t="shared" si="1208"/>
        <v>100.01366482797999</v>
      </c>
      <c r="J8117" s="297">
        <f t="shared" si="1209"/>
        <v>129.71428571428572</v>
      </c>
      <c r="K8117" s="297">
        <f>J8117/POBLA!$B$4*100000</f>
        <v>10.768772977780394</v>
      </c>
      <c r="L8117" s="549">
        <f t="shared" si="1206"/>
        <v>0.11587147030185008</v>
      </c>
      <c r="M8117" s="401">
        <f>SUM(C8117,C8093,C8069,C8045,C8021,C7997,C7973)/POBLA!$B$4*100000</f>
        <v>75.381410844462735</v>
      </c>
    </row>
    <row r="8118" spans="1:13" s="360" customFormat="1" x14ac:dyDescent="0.25">
      <c r="A8118" s="367" t="s">
        <v>29</v>
      </c>
      <c r="B8118" s="2">
        <v>44231</v>
      </c>
      <c r="C8118" s="1">
        <v>274</v>
      </c>
      <c r="D8118" s="39">
        <f t="shared" si="1196"/>
        <v>43422</v>
      </c>
      <c r="E8118" s="1">
        <v>4</v>
      </c>
      <c r="F8118" s="39">
        <f t="shared" si="1207"/>
        <v>665</v>
      </c>
      <c r="G8118" s="168">
        <f>SUM(C8118,C8094,C8070,C8046,C8022,C7998,C7974,C7950,C7926,C7902,C7878,C7854,C7830,C7806)/POBLA!$B$5*100000</f>
        <v>634.90114605311203</v>
      </c>
      <c r="H8118" s="256">
        <f t="shared" si="1205"/>
        <v>0.7610379550735864</v>
      </c>
      <c r="I8118" s="297">
        <f t="shared" si="1208"/>
        <v>483.18386986613677</v>
      </c>
      <c r="J8118" s="297">
        <f t="shared" si="1209"/>
        <v>261.57142857142856</v>
      </c>
      <c r="K8118" s="297">
        <f>J8118/POBLA!$B$5*100000</f>
        <v>42.257506304007563</v>
      </c>
      <c r="L8118" s="549">
        <f t="shared" si="1206"/>
        <v>0.12767984754645068</v>
      </c>
      <c r="M8118" s="401">
        <f>SUM(C8118,C8094,C8070,C8046,C8022,C7998,C7974)/POBLA!$B$5*100000</f>
        <v>295.80254412805294</v>
      </c>
    </row>
    <row r="8119" spans="1:13" s="360" customFormat="1" x14ac:dyDescent="0.25">
      <c r="A8119" s="367" t="s">
        <v>30</v>
      </c>
      <c r="B8119" s="2">
        <v>44231</v>
      </c>
      <c r="C8119" s="1">
        <v>196</v>
      </c>
      <c r="D8119" s="39">
        <f t="shared" si="1196"/>
        <v>18166</v>
      </c>
      <c r="E8119" s="1"/>
      <c r="F8119" s="39">
        <f t="shared" si="1207"/>
        <v>206</v>
      </c>
      <c r="G8119" s="168">
        <f>SUM(C8119,C8095,C8071,C8047,C8023,C7999,C7975,C7951,C7927,C7903,C7879,C7855,C7831,C7807)/POBLA!$B$6*100000</f>
        <v>201.37383888843783</v>
      </c>
      <c r="H8119" s="256">
        <f t="shared" si="1205"/>
        <v>0.33571322326342407</v>
      </c>
      <c r="I8119" s="297">
        <f t="shared" si="1208"/>
        <v>67.603860534166913</v>
      </c>
      <c r="J8119" s="297">
        <f t="shared" si="1209"/>
        <v>172</v>
      </c>
      <c r="K8119" s="297">
        <f>J8119/POBLA!$B$6*100000</f>
        <v>15.34616760691684</v>
      </c>
      <c r="L8119" s="549">
        <f t="shared" si="1206"/>
        <v>-0.14339981006647684</v>
      </c>
      <c r="M8119" s="401">
        <f>SUM(C8119,C8095,C8071,C8047,C8023,C7999,C7975)/POBLA!$B$6*100000</f>
        <v>107.42317324841787</v>
      </c>
    </row>
    <row r="8120" spans="1:13" s="360" customFormat="1" x14ac:dyDescent="0.25">
      <c r="A8120" s="367" t="s">
        <v>20</v>
      </c>
      <c r="B8120" s="2">
        <v>44231</v>
      </c>
      <c r="C8120" s="1">
        <v>532</v>
      </c>
      <c r="D8120" s="39">
        <f t="shared" si="1196"/>
        <v>147044</v>
      </c>
      <c r="E8120" s="1">
        <v>7</v>
      </c>
      <c r="F8120" s="39">
        <f t="shared" si="1207"/>
        <v>2717</v>
      </c>
      <c r="G8120" s="168">
        <f>SUM(C8120,C8096,C8072,C8048,C8024,C8000,C7976,C7952,C7928,C7904,C7880,C7856,C7832,C7808)/POBLA!$B$7*100000</f>
        <v>184.81830631972238</v>
      </c>
      <c r="H8120" s="256">
        <f t="shared" si="1205"/>
        <v>1.4567176692517292</v>
      </c>
      <c r="I8120" s="297">
        <f t="shared" si="1208"/>
        <v>269.22809241711809</v>
      </c>
      <c r="J8120" s="297">
        <f t="shared" si="1209"/>
        <v>456.14285714285717</v>
      </c>
      <c r="K8120" s="297">
        <f>J8120/POBLA!$B$7*100000</f>
        <v>12.130007236975818</v>
      </c>
      <c r="L8120" s="549">
        <f t="shared" si="1206"/>
        <v>0.1501197764173543</v>
      </c>
      <c r="M8120" s="401">
        <f>SUM(C8120,C8096,C8072,C8048,C8024,C8000,C7976)/POBLA!$B$7*100000</f>
        <v>84.910050658830727</v>
      </c>
    </row>
    <row r="8121" spans="1:13" x14ac:dyDescent="0.25">
      <c r="A8121" s="367" t="s">
        <v>31</v>
      </c>
      <c r="B8121" s="2">
        <v>44231</v>
      </c>
      <c r="C8121" s="1">
        <v>218</v>
      </c>
      <c r="D8121" s="39">
        <f t="shared" si="1196"/>
        <v>41935</v>
      </c>
      <c r="E8121" s="1">
        <v>11</v>
      </c>
      <c r="F8121" s="39">
        <f t="shared" si="1207"/>
        <v>756</v>
      </c>
      <c r="G8121" s="168">
        <f>SUM(C8121,C8097,C8073,C8049,C8025,C8001,C7977,C7953,C7929,C7905,C7881,C7857,C7833,C7809)/POBLA!$B$8*100000</f>
        <v>271.65266555119513</v>
      </c>
      <c r="H8121" s="256">
        <f t="shared" si="1205"/>
        <v>0.6190397895429135</v>
      </c>
      <c r="I8121" s="297">
        <f t="shared" si="1208"/>
        <v>168.16380891158329</v>
      </c>
      <c r="J8121" s="297">
        <f t="shared" si="1209"/>
        <v>231.28571428571428</v>
      </c>
      <c r="K8121" s="297">
        <f>J8121/POBLA!$B$8*100000</f>
        <v>16.687750541733447</v>
      </c>
      <c r="L8121" s="549">
        <f t="shared" si="1206"/>
        <v>0.24557315936626278</v>
      </c>
      <c r="M8121" s="401">
        <f>SUM(C8121,C8097,C8073,C8049,C8025,C8001,C7977)/POBLA!$B$8*100000</f>
        <v>116.81425379213412</v>
      </c>
    </row>
    <row r="8122" spans="1:13" s="360" customFormat="1" x14ac:dyDescent="0.25">
      <c r="A8122" s="367" t="s">
        <v>41</v>
      </c>
      <c r="B8122" s="2">
        <v>44231</v>
      </c>
      <c r="C8122" s="1">
        <v>3</v>
      </c>
      <c r="D8122" s="39">
        <f t="shared" si="1196"/>
        <v>858</v>
      </c>
      <c r="E8122" s="1"/>
      <c r="F8122" s="39">
        <f t="shared" si="1207"/>
        <v>7</v>
      </c>
      <c r="G8122" s="168">
        <f>SUM(C8122,C8098,C8074,C8050,C8026,C8002,C7978,C7954,C7930,C7906,C7882,C7858,C7834,C7810)/POBLA!$B$9*100000</f>
        <v>16.358417893134916</v>
      </c>
      <c r="H8122" s="256">
        <f t="shared" si="1205"/>
        <v>0.19001919385796545</v>
      </c>
      <c r="I8122" s="297">
        <f t="shared" si="1208"/>
        <v>3.1084133808452146</v>
      </c>
      <c r="J8122" s="297">
        <f t="shared" si="1209"/>
        <v>3.5714285714285716</v>
      </c>
      <c r="K8122" s="297">
        <f>J8122/POBLA!$B$9*100000</f>
        <v>0.59013051562535779</v>
      </c>
      <c r="L8122" s="549">
        <f t="shared" si="1206"/>
        <v>0.66216216216216217</v>
      </c>
      <c r="M8122" s="401">
        <f>SUM(C8122,C8098,C8074,C8050,C8026,C8002,C7978)/POBLA!$B$9*100000</f>
        <v>4.1309136093775045</v>
      </c>
    </row>
    <row r="8123" spans="1:13" s="360" customFormat="1" x14ac:dyDescent="0.25">
      <c r="A8123" s="367" t="s">
        <v>32</v>
      </c>
      <c r="B8123" s="2">
        <v>44231</v>
      </c>
      <c r="C8123" s="1">
        <v>28</v>
      </c>
      <c r="D8123" s="39">
        <f t="shared" si="1196"/>
        <v>19433</v>
      </c>
      <c r="E8123" s="1">
        <v>2</v>
      </c>
      <c r="F8123" s="39">
        <f t="shared" si="1207"/>
        <v>876</v>
      </c>
      <c r="G8123" s="168">
        <f>SUM(C8123,C8099,C8075,C8051,C8027,C8003,C7979,C7955,C7931,C7907,C7883,C7859,C7835,C7811)/POBLA!$B$10*100000</f>
        <v>52.796735164052556</v>
      </c>
      <c r="H8123" s="256">
        <f t="shared" si="1205"/>
        <v>0.99511002444987773</v>
      </c>
      <c r="I8123" s="297">
        <f t="shared" si="1208"/>
        <v>52.538560419974061</v>
      </c>
      <c r="J8123" s="297">
        <f t="shared" si="1209"/>
        <v>26.714285714285715</v>
      </c>
      <c r="K8123" s="297">
        <f>J8123/POBLA!$B$10*100000</f>
        <v>3.4654227713856898</v>
      </c>
      <c r="L8123" s="549">
        <f t="shared" si="1206"/>
        <v>0.15000000000000002</v>
      </c>
      <c r="M8123" s="401">
        <f>SUM(C8123,C8099,C8075,C8051,C8027,C8003,C7979)/POBLA!$B$10*100000</f>
        <v>24.257959399699825</v>
      </c>
    </row>
    <row r="8124" spans="1:13" s="360" customFormat="1" x14ac:dyDescent="0.25">
      <c r="A8124" s="367" t="s">
        <v>33</v>
      </c>
      <c r="B8124" s="2">
        <v>44231</v>
      </c>
      <c r="C8124" s="1">
        <v>174</v>
      </c>
      <c r="D8124" s="39">
        <f t="shared" si="1196"/>
        <v>16875</v>
      </c>
      <c r="E8124" s="1">
        <v>4</v>
      </c>
      <c r="F8124" s="39">
        <f t="shared" si="1207"/>
        <v>256</v>
      </c>
      <c r="G8124" s="168">
        <f>SUM(C8124,C8100,C8076,C8052,C8028,C8004,C7980,C7956,C7932,C7908,C7884,C7860,C7836,C7812)/POBLA!$B$11*100000</f>
        <v>371.0647605655808</v>
      </c>
      <c r="H8124" s="256">
        <f t="shared" si="1205"/>
        <v>0.47636103151862463</v>
      </c>
      <c r="I8124" s="297">
        <f t="shared" si="1208"/>
        <v>176.76079210323155</v>
      </c>
      <c r="J8124" s="297">
        <f t="shared" si="1209"/>
        <v>91</v>
      </c>
      <c r="K8124" s="297">
        <f>J8124/POBLA!$B$11*100000</f>
        <v>25.388641512381845</v>
      </c>
      <c r="L8124" s="549">
        <f t="shared" si="1206"/>
        <v>8.0808080808080773E-2</v>
      </c>
      <c r="M8124" s="401">
        <f>SUM(C8124,C8100,C8076,C8052,C8028,C8004,C7980)/POBLA!$B$11*100000</f>
        <v>177.72049058667292</v>
      </c>
    </row>
    <row r="8125" spans="1:13" s="360" customFormat="1" x14ac:dyDescent="0.25">
      <c r="A8125" s="367" t="s">
        <v>21</v>
      </c>
      <c r="B8125" s="2">
        <v>44231</v>
      </c>
      <c r="C8125" s="1">
        <v>13</v>
      </c>
      <c r="D8125" s="39">
        <f t="shared" si="1196"/>
        <v>9598</v>
      </c>
      <c r="E8125" s="1"/>
      <c r="F8125" s="39">
        <f t="shared" si="1207"/>
        <v>414</v>
      </c>
      <c r="G8125" s="168">
        <f>SUM(C8125,C8101,C8077,C8053,C8029,C8005,C7981,C7957,C7933,C7909,C7885,C7861,C7837,C7813)/POBLA!$B$12*100000</f>
        <v>55.904109206136233</v>
      </c>
      <c r="H8125" s="256">
        <f t="shared" si="1205"/>
        <v>1.0426540284360191</v>
      </c>
      <c r="I8125" s="297">
        <f t="shared" si="1208"/>
        <v>58.288644669905082</v>
      </c>
      <c r="J8125" s="297">
        <f t="shared" si="1209"/>
        <v>14.285714285714286</v>
      </c>
      <c r="K8125" s="297">
        <f>J8125/POBLA!$B$12*100000</f>
        <v>3.6301369614374184</v>
      </c>
      <c r="L8125" s="549">
        <f t="shared" si="1206"/>
        <v>0.16666666666666663</v>
      </c>
      <c r="M8125" s="401">
        <f>SUM(C8125,C8101,C8077,C8053,C8029,C8005,C7981)/POBLA!$B$12*100000</f>
        <v>25.410958730061925</v>
      </c>
    </row>
    <row r="8126" spans="1:13" s="360" customFormat="1" x14ac:dyDescent="0.25">
      <c r="A8126" s="367" t="s">
        <v>17</v>
      </c>
      <c r="B8126" s="2">
        <v>44231</v>
      </c>
      <c r="C8126" s="1">
        <v>190</v>
      </c>
      <c r="D8126" s="39">
        <f t="shared" si="1196"/>
        <v>64389</v>
      </c>
      <c r="E8126" s="1">
        <v>5</v>
      </c>
      <c r="F8126" s="39">
        <f t="shared" si="1207"/>
        <v>1380</v>
      </c>
      <c r="G8126" s="168">
        <f>SUM(C8126,C8102,C8078,C8054,C8030,C8006,C7982,C7958,C7934,C7910,C7886,C7862,C7838,C7814)/POBLA!$B$13*100000</f>
        <v>79.38350169669674</v>
      </c>
      <c r="H8126" s="256">
        <f t="shared" si="1205"/>
        <v>0.82291666666666663</v>
      </c>
      <c r="I8126" s="297">
        <f t="shared" si="1208"/>
        <v>65.326006604573351</v>
      </c>
      <c r="J8126" s="297">
        <f t="shared" si="1209"/>
        <v>116.71428571428571</v>
      </c>
      <c r="K8126" s="297">
        <f>J8126/POBLA!$B$13*100000</f>
        <v>5.86404347976503</v>
      </c>
      <c r="L8126" s="549">
        <f t="shared" si="1206"/>
        <v>-7.0773263433813849E-2</v>
      </c>
      <c r="M8126" s="401">
        <f>SUM(C8126,C8102,C8078,C8054,C8030,C8006,C7982)/POBLA!$B$13*100000</f>
        <v>41.048304358355217</v>
      </c>
    </row>
    <row r="8127" spans="1:13" s="360" customFormat="1" x14ac:dyDescent="0.25">
      <c r="A8127" s="367" t="s">
        <v>23</v>
      </c>
      <c r="B8127" s="2">
        <v>44231</v>
      </c>
      <c r="C8127" s="1">
        <v>200</v>
      </c>
      <c r="D8127" s="39">
        <f t="shared" si="1196"/>
        <v>5533</v>
      </c>
      <c r="E8127" s="1">
        <v>3</v>
      </c>
      <c r="F8127" s="39">
        <f t="shared" si="1207"/>
        <v>100</v>
      </c>
      <c r="G8127" s="168">
        <f>SUM(C8127,C8103,C8079,C8055,C8031,C8007,C7983,C7959,C7935,C7911,C7887,C7863,C7839,C7815)/POBLA!$B$14*100000</f>
        <v>206.05822274584673</v>
      </c>
      <c r="H8127" s="256">
        <f t="shared" si="1205"/>
        <v>1.4775440591245026</v>
      </c>
      <c r="I8127" s="297">
        <f t="shared" si="1208"/>
        <v>304.4601028518793</v>
      </c>
      <c r="J8127" s="297">
        <f t="shared" si="1209"/>
        <v>197.28571428571428</v>
      </c>
      <c r="K8127" s="297">
        <f>J8127/POBLA!$B$14*100000</f>
        <v>15.641532766009691</v>
      </c>
      <c r="L8127" s="549">
        <f t="shared" si="1206"/>
        <v>-0.13382594417077165</v>
      </c>
      <c r="M8127" s="401">
        <f>SUM(C8127,C8103,C8079,C8055,C8031,C8007,C7983)/POBLA!$B$14*100000</f>
        <v>109.49072936206785</v>
      </c>
    </row>
    <row r="8128" spans="1:13" s="360" customFormat="1" x14ac:dyDescent="0.25">
      <c r="A8128" s="367" t="s">
        <v>19</v>
      </c>
      <c r="B8128" s="2">
        <v>44231</v>
      </c>
      <c r="C8128" s="1">
        <v>489</v>
      </c>
      <c r="D8128" s="39">
        <f t="shared" si="1196"/>
        <v>55874</v>
      </c>
      <c r="E8128" s="1">
        <v>4</v>
      </c>
      <c r="F8128" s="39">
        <f t="shared" si="1207"/>
        <v>788</v>
      </c>
      <c r="G8128" s="168">
        <f>SUM(C8128,C8104,C8080,C8056,C8032,C8008,C7984,C7960,C7936,C7912,C7888,C7864,C7840,C7816)/POBLA!$B$15*100000</f>
        <v>861.52242955047541</v>
      </c>
      <c r="H8128" s="256">
        <f t="shared" si="1205"/>
        <v>0.93956314665790774</v>
      </c>
      <c r="I8128" s="297">
        <f t="shared" si="1208"/>
        <v>809.45472482481034</v>
      </c>
      <c r="J8128" s="297">
        <f t="shared" si="1209"/>
        <v>404.28571428571428</v>
      </c>
      <c r="K8128" s="297">
        <f>J8128/POBLA!$B$15*100000</f>
        <v>60.881176508298871</v>
      </c>
      <c r="L8128" s="549">
        <f t="shared" si="1206"/>
        <v>2.1099965409892785E-2</v>
      </c>
      <c r="M8128" s="401">
        <f>SUM(C8128,C8104,C8080,C8056,C8032,C8008,C7984)/POBLA!$B$15*100000</f>
        <v>426.16823555809214</v>
      </c>
    </row>
    <row r="8129" spans="1:13" s="360" customFormat="1" x14ac:dyDescent="0.25">
      <c r="A8129" s="367" t="s">
        <v>18</v>
      </c>
      <c r="B8129" s="2">
        <v>44231</v>
      </c>
      <c r="C8129" s="1">
        <v>189</v>
      </c>
      <c r="D8129" s="39">
        <f t="shared" si="1196"/>
        <v>48949</v>
      </c>
      <c r="E8129" s="1">
        <v>2</v>
      </c>
      <c r="F8129" s="39">
        <f t="shared" si="1207"/>
        <v>1095</v>
      </c>
      <c r="G8129" s="168">
        <f>SUM(C8129,C8105,C8081,C8057,C8033,C8009,C7985,C7961,C7937,C7913,C7889,C7865,C7841,C7817)/POBLA!$B$16*100000</f>
        <v>491.83397760864625</v>
      </c>
      <c r="H8129" s="256">
        <f t="shared" si="1205"/>
        <v>0.78400852878464822</v>
      </c>
      <c r="I8129" s="297">
        <f t="shared" si="1208"/>
        <v>385.60203319125634</v>
      </c>
      <c r="J8129" s="297">
        <f t="shared" si="1209"/>
        <v>235.28571428571428</v>
      </c>
      <c r="K8129" s="297">
        <f>J8129/POBLA!$B$16*100000</f>
        <v>31.471718447548088</v>
      </c>
      <c r="L8129" s="549">
        <f t="shared" si="1206"/>
        <v>0.18866995073891624</v>
      </c>
      <c r="M8129" s="401">
        <f>SUM(C8129,C8105,C8081,C8057,C8033,C8009,C7985)/POBLA!$B$16*100000</f>
        <v>220.30202913283662</v>
      </c>
    </row>
    <row r="8130" spans="1:13" s="360" customFormat="1" x14ac:dyDescent="0.25">
      <c r="A8130" s="367" t="s">
        <v>34</v>
      </c>
      <c r="B8130" s="2">
        <v>44231</v>
      </c>
      <c r="C8130" s="1">
        <v>94</v>
      </c>
      <c r="D8130" s="39">
        <f t="shared" si="1196"/>
        <v>24067</v>
      </c>
      <c r="E8130" s="1">
        <v>2</v>
      </c>
      <c r="F8130" s="39">
        <f t="shared" si="1207"/>
        <v>1049</v>
      </c>
      <c r="G8130" s="168">
        <f>SUM(C8130,C8106,C8082,C8058,C8034,C8010,C7986,C7962,C7938,C7914,C7890,C7866,C7842,C7818)/POBLA!$B$17*100000</f>
        <v>53.566526747809775</v>
      </c>
      <c r="H8130" s="256">
        <f t="shared" si="1205"/>
        <v>1.0509641873278237</v>
      </c>
      <c r="I8130" s="297">
        <f t="shared" si="1208"/>
        <v>56.296501251486028</v>
      </c>
      <c r="J8130" s="297">
        <f t="shared" si="1209"/>
        <v>55.285714285714285</v>
      </c>
      <c r="K8130" s="297">
        <f>J8130/POBLA!$B$17*100000</f>
        <v>3.881341668489493</v>
      </c>
      <c r="L8130" s="549">
        <f t="shared" si="1206"/>
        <v>-2.9255319148936199E-2</v>
      </c>
      <c r="M8130" s="401">
        <f>SUM(C8130,C8106,C8082,C8058,C8034,C8010,C7986)/POBLA!$B$17*100000</f>
        <v>27.16939167942645</v>
      </c>
    </row>
    <row r="8131" spans="1:13" s="360" customFormat="1" x14ac:dyDescent="0.25">
      <c r="A8131" s="367" t="s">
        <v>35</v>
      </c>
      <c r="B8131" s="2">
        <v>44231</v>
      </c>
      <c r="C8131" s="1">
        <v>84</v>
      </c>
      <c r="D8131" s="39">
        <f t="shared" ref="D8131:D8194" si="1210">C8131+D8107</f>
        <v>14223</v>
      </c>
      <c r="E8131" s="1"/>
      <c r="F8131" s="39">
        <f t="shared" si="1207"/>
        <v>202</v>
      </c>
      <c r="G8131" s="168">
        <f>SUM(C8131,C8107,C8083,C8059,C8035,C8011,C7987,C7963,C7939,C7915,C7891,C7867,C7843,C7819)/POBLA!$B$18*100000</f>
        <v>101.1242714892277</v>
      </c>
      <c r="H8131" s="256">
        <f t="shared" si="1205"/>
        <v>0.61192873741285825</v>
      </c>
      <c r="I8131" s="297">
        <f t="shared" si="1208"/>
        <v>61.880847774198202</v>
      </c>
      <c r="J8131" s="297">
        <f t="shared" si="1209"/>
        <v>55.428571428571431</v>
      </c>
      <c r="K8131" s="297">
        <f>J8131/POBLA!$B$18*100000</f>
        <v>7.0951568422821607</v>
      </c>
      <c r="L8131" s="549">
        <f t="shared" si="1206"/>
        <v>3.4825870646766122E-2</v>
      </c>
      <c r="M8131" s="401">
        <f>SUM(C8131,C8107,C8083,C8059,C8035,C8011,C7987)/POBLA!$B$18*100000</f>
        <v>49.666097895975128</v>
      </c>
    </row>
    <row r="8132" spans="1:13" s="360" customFormat="1" x14ac:dyDescent="0.25">
      <c r="A8132" s="367" t="s">
        <v>36</v>
      </c>
      <c r="B8132" s="2">
        <v>44231</v>
      </c>
      <c r="C8132" s="1">
        <v>4</v>
      </c>
      <c r="D8132" s="39">
        <f t="shared" si="1210"/>
        <v>19092</v>
      </c>
      <c r="E8132" s="1">
        <v>1</v>
      </c>
      <c r="F8132" s="39">
        <f t="shared" si="1207"/>
        <v>335</v>
      </c>
      <c r="G8132" s="168">
        <f>SUM(C8132,C8108,C8084,C8060,C8036,C8012,C7988,C7964,C7940,C7916,C7892,C7868,C7844,C7820)/POBLA!$B$19*100000</f>
        <v>339.93799279205552</v>
      </c>
      <c r="H8132" s="256">
        <f t="shared" si="1205"/>
        <v>1.8823529411764706</v>
      </c>
      <c r="I8132" s="297">
        <f t="shared" si="1208"/>
        <v>639.88328054975159</v>
      </c>
      <c r="J8132" s="297">
        <f t="shared" si="1209"/>
        <v>20.714285714285715</v>
      </c>
      <c r="K8132" s="297">
        <f>J8132/POBLA!$B$19*100000</f>
        <v>4.0749842059232844</v>
      </c>
      <c r="L8132" s="549">
        <f t="shared" si="1206"/>
        <v>0.90840176879343015</v>
      </c>
      <c r="M8132" s="401">
        <f>SUM(C8132,C8108,C8084,C8060,C8036,C8012,C7988)/POBLA!$B$19*100000</f>
        <v>28.524889441462992</v>
      </c>
    </row>
    <row r="8133" spans="1:13" s="360" customFormat="1" x14ac:dyDescent="0.25">
      <c r="A8133" s="367" t="s">
        <v>37</v>
      </c>
      <c r="B8133" s="2">
        <v>44231</v>
      </c>
      <c r="C8133" s="1">
        <v>181</v>
      </c>
      <c r="D8133" s="39">
        <f t="shared" si="1210"/>
        <v>33438</v>
      </c>
      <c r="E8133" s="1">
        <v>5</v>
      </c>
      <c r="F8133" s="39">
        <f t="shared" si="1207"/>
        <v>513</v>
      </c>
      <c r="G8133" s="168">
        <f>SUM(C8133,C8109,C8085,C8061,C8037,C8013,C7989,C7965,C7941,C7917,C7893,C7869,C7845,C7821)/POBLA!$B$20*100000</f>
        <v>687.72593779566751</v>
      </c>
      <c r="H8133" s="256">
        <f t="shared" si="1205"/>
        <v>0.52802855343271049</v>
      </c>
      <c r="I8133" s="297">
        <f t="shared" si="1208"/>
        <v>363.13893209240052</v>
      </c>
      <c r="J8133" s="297">
        <f t="shared" si="1209"/>
        <v>185.42857142857142</v>
      </c>
      <c r="K8133" s="297">
        <f>J8133/POBLA!$B$20*100000</f>
        <v>50.705382974085559</v>
      </c>
      <c r="L8133" s="549">
        <f t="shared" si="1206"/>
        <v>-6.6557107641741942E-2</v>
      </c>
      <c r="M8133" s="401">
        <f>SUM(C8133,C8109,C8085,C8061,C8037,C8013,C7989)/POBLA!$B$20*100000</f>
        <v>354.93768081859895</v>
      </c>
    </row>
    <row r="8134" spans="1:13" s="360" customFormat="1" x14ac:dyDescent="0.25">
      <c r="A8134" s="367" t="s">
        <v>22</v>
      </c>
      <c r="B8134" s="2">
        <v>44231</v>
      </c>
      <c r="C8134" s="1">
        <v>570</v>
      </c>
      <c r="D8134" s="39">
        <f t="shared" si="1210"/>
        <v>208122</v>
      </c>
      <c r="E8134" s="1">
        <v>64</v>
      </c>
      <c r="F8134" s="39">
        <f t="shared" si="1207"/>
        <v>3657</v>
      </c>
      <c r="G8134" s="168">
        <f>SUM(C8134,C8110,C8086,C8062,C8038,C8014,C7990,C7966,C7942,C7918,C7894,C7870,C7846,C7822)/POBLA!$B$21*100000</f>
        <v>245.33298948257814</v>
      </c>
      <c r="H8134" s="256">
        <f t="shared" si="1205"/>
        <v>0.53704735376044566</v>
      </c>
      <c r="I8134" s="297">
        <f t="shared" si="1208"/>
        <v>131.75543279175784</v>
      </c>
      <c r="J8134" s="297">
        <f t="shared" si="1209"/>
        <v>522.71428571428567</v>
      </c>
      <c r="K8134" s="297">
        <f>J8134/POBLA!$B$21*100000</f>
        <v>14.780896537521459</v>
      </c>
      <c r="L8134" s="549">
        <f t="shared" si="1206"/>
        <v>0.27067968905720552</v>
      </c>
      <c r="M8134" s="401">
        <f>SUM(C8134,C8110,C8086,C8062,C8038,C8014,C7990)/POBLA!$B$21*100000</f>
        <v>103.46627576265023</v>
      </c>
    </row>
    <row r="8135" spans="1:13" s="360" customFormat="1" x14ac:dyDescent="0.25">
      <c r="A8135" s="367" t="s">
        <v>38</v>
      </c>
      <c r="B8135" s="2">
        <v>44231</v>
      </c>
      <c r="C8135" s="1">
        <v>75</v>
      </c>
      <c r="D8135" s="39">
        <f t="shared" si="1210"/>
        <v>21189</v>
      </c>
      <c r="E8135" s="1"/>
      <c r="F8135" s="39">
        <f t="shared" si="1207"/>
        <v>246</v>
      </c>
      <c r="G8135" s="168">
        <f>SUM(C8135,C8111,C8087,C8063,C8039,C8015,C7991,C7967,C7943,C7919,C7895,C7871,C7847,C7823)/POBLA!$B$22*100000</f>
        <v>115.50495598034576</v>
      </c>
      <c r="H8135" s="256">
        <f t="shared" si="1205"/>
        <v>0.60752688172043012</v>
      </c>
      <c r="I8135" s="297">
        <f t="shared" si="1208"/>
        <v>70.172365729995008</v>
      </c>
      <c r="J8135" s="297">
        <f t="shared" si="1209"/>
        <v>66.571428571428569</v>
      </c>
      <c r="K8135" s="297">
        <f>J8135/POBLA!$B$22*100000</f>
        <v>6.8047167492845926</v>
      </c>
      <c r="L8135" s="549">
        <f t="shared" si="1206"/>
        <v>0.29819277108433739</v>
      </c>
      <c r="M8135" s="401">
        <f>SUM(C8135,C8111,C8087,C8063,C8039,C8015,C7991)/POBLA!$B$22*100000</f>
        <v>47.633017244992146</v>
      </c>
    </row>
    <row r="8136" spans="1:13" s="360" customFormat="1" x14ac:dyDescent="0.25">
      <c r="A8136" s="367" t="s">
        <v>39</v>
      </c>
      <c r="B8136" s="2">
        <v>44231</v>
      </c>
      <c r="C8136" s="1">
        <v>29</v>
      </c>
      <c r="D8136" s="39">
        <f t="shared" si="1210"/>
        <v>21996</v>
      </c>
      <c r="E8136" s="1"/>
      <c r="F8136" s="39">
        <f t="shared" si="1207"/>
        <v>336</v>
      </c>
      <c r="G8136" s="168">
        <f>SUM(C8136,C8112,C8088,C8064,C8040,C8016,C7992,C7968,C7944,C7920,C7896,C7872,C7848,C7824)/POBLA!$B$23*100000</f>
        <v>437.70853361986093</v>
      </c>
      <c r="H8136" s="256">
        <f t="shared" si="1205"/>
        <v>0.59129106187929714</v>
      </c>
      <c r="I8136" s="297">
        <f t="shared" si="1208"/>
        <v>258.81314363771759</v>
      </c>
      <c r="J8136" s="297">
        <f t="shared" si="1209"/>
        <v>43.142857142857146</v>
      </c>
      <c r="K8136" s="297">
        <f>J8136/POBLA!$B$23*100000</f>
        <v>24.397928599704318</v>
      </c>
      <c r="L8136" s="549">
        <f t="shared" si="1206"/>
        <v>0.36016949152542377</v>
      </c>
      <c r="M8136" s="401">
        <f>SUM(C8136,C8112,C8088,C8064,C8040,C8016,C7992)/POBLA!$B$23*100000</f>
        <v>170.78550019793022</v>
      </c>
    </row>
    <row r="8137" spans="1:13" s="360" customFormat="1" ht="15.75" thickBot="1" x14ac:dyDescent="0.3">
      <c r="A8137" s="369" t="s">
        <v>40</v>
      </c>
      <c r="B8137" s="2">
        <v>44231</v>
      </c>
      <c r="C8137" s="1">
        <v>168</v>
      </c>
      <c r="D8137" s="176">
        <f t="shared" si="1210"/>
        <v>77008</v>
      </c>
      <c r="E8137" s="1"/>
      <c r="F8137" s="176">
        <f t="shared" si="1207"/>
        <v>1435</v>
      </c>
      <c r="G8137" s="177">
        <f>SUM(C8137,C8113,C8089,C8065,C8041,C8017,C7993,C7969,C7945,C7921,C7897,C7873,C7849,C7825)/POBLA!$B$24*100000</f>
        <v>120.49643113410627</v>
      </c>
      <c r="H8137" s="402">
        <f t="shared" si="1205"/>
        <v>0.77524677296886868</v>
      </c>
      <c r="I8137" s="403">
        <f t="shared" si="1208"/>
        <v>93.414469390981409</v>
      </c>
      <c r="J8137" s="403">
        <f t="shared" si="1209"/>
        <v>125.42857142857143</v>
      </c>
      <c r="K8137" s="403">
        <f>J8137/POBLA!$B$24*100000</f>
        <v>7.4014178351577797</v>
      </c>
      <c r="L8137" s="550">
        <f t="shared" si="1206"/>
        <v>0.24570446735395191</v>
      </c>
      <c r="M8137" s="405">
        <f>SUM(C8137,C8113,C8089,C8065,C8041,C8017,C7993)/POBLA!$B$24*100000</f>
        <v>51.809924846104465</v>
      </c>
    </row>
    <row r="8138" spans="1:13" s="360" customFormat="1" x14ac:dyDescent="0.25">
      <c r="A8138" s="361" t="s">
        <v>16</v>
      </c>
      <c r="B8138" s="2">
        <v>44232</v>
      </c>
      <c r="C8138" s="1">
        <v>3483</v>
      </c>
      <c r="D8138" s="174">
        <f t="shared" si="1210"/>
        <v>822037</v>
      </c>
      <c r="E8138" s="1">
        <v>158</v>
      </c>
      <c r="F8138" s="174">
        <f>E8138+F8114</f>
        <v>24904</v>
      </c>
      <c r="G8138" s="175">
        <f>SUM(C8138,C8114,C8090,C8066,C8042,C8018,C7994,C7970,C7946,C7922,C7898,C7874,C7850,C7826)/POBLA!$B$1*100000</f>
        <v>277.99787938538316</v>
      </c>
      <c r="H8138" s="300">
        <f t="shared" ref="H8138:H8161" si="1211">SUM(C8138,C8114,C8090,C8066,C8042,C8018,C7994,C7970,C7946,C7922,C7898,C7874,C7850,C7826)/SUM(C7802,C7778,C7754,C7730,C7706,C7682,C7658,C7634,C7610,C7586,C7562,C7538,C7514,C7490)</f>
        <v>0.82646645085843096</v>
      </c>
      <c r="I8138" s="301">
        <f>G8138*H8138</f>
        <v>229.7559207218078</v>
      </c>
      <c r="J8138" s="301">
        <f>AVERAGE(C8138,C8114,C8090,C8066,C8042,C8018,C7994)</f>
        <v>3283.1428571428573</v>
      </c>
      <c r="K8138" s="301">
        <f>J8138/POBLA!$B$1*100000</f>
        <v>18.716814699470561</v>
      </c>
      <c r="L8138" s="548">
        <f t="shared" ref="L8138:L8161" si="1212">1-SUM(C8138,C8114,C8090,C8066,C8042,C8018,C7994)/SUM(C7970,C7946,C7922,C7898,C7874,C7850,C7826)</f>
        <v>0.10860290124893335</v>
      </c>
      <c r="M8138" s="400">
        <f>SUM(C8138,C8114,C8090,C8066,C8042,C8018,C7994)/POBLA!$B$1*100000</f>
        <v>131.01770289629391</v>
      </c>
    </row>
    <row r="8139" spans="1:13" s="360" customFormat="1" x14ac:dyDescent="0.25">
      <c r="A8139" s="361" t="s">
        <v>43</v>
      </c>
      <c r="B8139" s="2">
        <v>44232</v>
      </c>
      <c r="C8139" s="1">
        <v>1086</v>
      </c>
      <c r="D8139" s="39">
        <f t="shared" si="1210"/>
        <v>215757</v>
      </c>
      <c r="E8139" s="1">
        <v>27</v>
      </c>
      <c r="F8139" s="39">
        <f t="shared" ref="F8139:F8161" si="1213">E8139+F8115</f>
        <v>6126</v>
      </c>
      <c r="G8139" s="168">
        <f>SUM(C8139,C8115,C8091,C8067,C8043,C8019,C7995,C7971,C7947,C7923,C7899,C7875,C7851,C7827)/POBLA!$B$2*100000</f>
        <v>480.35437108171749</v>
      </c>
      <c r="H8139" s="256">
        <f t="shared" si="1211"/>
        <v>0.84215926580402445</v>
      </c>
      <c r="I8139" s="297">
        <f t="shared" ref="I8139:I8161" si="1214">G8139*H8139</f>
        <v>404.5348844759331</v>
      </c>
      <c r="J8139" s="297">
        <f t="shared" ref="J8139:J8161" si="1215">AVERAGE(C8139,C8115,C8091,C8067,C8043,C8019,C7995)</f>
        <v>1031</v>
      </c>
      <c r="K8139" s="297">
        <f>J8139/POBLA!$B$2*100000</f>
        <v>33.521413062491582</v>
      </c>
      <c r="L8139" s="549">
        <f t="shared" si="1212"/>
        <v>4.4991398703189134E-2</v>
      </c>
      <c r="M8139" s="401">
        <f>SUM(C8139,C8115,C8091,C8067,C8043,C8019,C7995)/POBLA!$B$2*100000</f>
        <v>234.64989143744111</v>
      </c>
    </row>
    <row r="8140" spans="1:13" s="360" customFormat="1" x14ac:dyDescent="0.25">
      <c r="A8140" s="361" t="s">
        <v>28</v>
      </c>
      <c r="B8140" s="2">
        <v>44232</v>
      </c>
      <c r="C8140" s="1">
        <v>110</v>
      </c>
      <c r="D8140" s="39">
        <f t="shared" si="1210"/>
        <v>6051</v>
      </c>
      <c r="E8140" s="1"/>
      <c r="F8140" s="39">
        <f t="shared" si="1213"/>
        <v>17</v>
      </c>
      <c r="G8140" s="168">
        <f>SUM(C8140,C8116,C8092,C8068,C8044,C8020,C7996,C7972,C7948,C7924,C7900,C7876,C7852,C7828)/POBLA!$B$3*100000</f>
        <v>342.28934281409016</v>
      </c>
      <c r="H8140" s="256">
        <f t="shared" si="1211"/>
        <v>0.90228426395939088</v>
      </c>
      <c r="I8140" s="297">
        <f t="shared" si="1214"/>
        <v>308.84228774215495</v>
      </c>
      <c r="J8140" s="297">
        <f t="shared" si="1215"/>
        <v>128</v>
      </c>
      <c r="K8140" s="297">
        <f>J8140/POBLA!$B$3*100000</f>
        <v>30.810855049369579</v>
      </c>
      <c r="L8140" s="549">
        <f t="shared" si="1212"/>
        <v>-0.70342205323193907</v>
      </c>
      <c r="M8140" s="401">
        <f>SUM(C8140,C8116,C8092,C8068,C8044,C8020,C7996)/POBLA!$B$3*100000</f>
        <v>215.67598534558704</v>
      </c>
    </row>
    <row r="8141" spans="1:13" s="360" customFormat="1" x14ac:dyDescent="0.25">
      <c r="A8141" s="361" t="s">
        <v>15</v>
      </c>
      <c r="B8141" s="2">
        <v>44232</v>
      </c>
      <c r="C8141" s="1">
        <v>159</v>
      </c>
      <c r="D8141" s="39">
        <f t="shared" si="1210"/>
        <v>31417</v>
      </c>
      <c r="E8141" s="1">
        <v>5</v>
      </c>
      <c r="F8141" s="39">
        <f t="shared" si="1213"/>
        <v>807</v>
      </c>
      <c r="G8141" s="168">
        <f>SUM(C8141,C8117,C8093,C8069,C8045,C8021,C7997,C7973,C7949,C7925,C7901,C7877,C7853,C7829)/POBLA!$B$4*100000</f>
        <v>158.7326624830537</v>
      </c>
      <c r="H8141" s="256">
        <f t="shared" si="1211"/>
        <v>0.63903743315508021</v>
      </c>
      <c r="I8141" s="297">
        <f t="shared" si="1214"/>
        <v>101.43611319104234</v>
      </c>
      <c r="J8141" s="297">
        <f t="shared" si="1215"/>
        <v>123.57142857142857</v>
      </c>
      <c r="K8141" s="297">
        <f>J8141/POBLA!$B$4*100000</f>
        <v>10.258798046013258</v>
      </c>
      <c r="L8141" s="549">
        <f t="shared" si="1212"/>
        <v>0.17382999044890157</v>
      </c>
      <c r="M8141" s="401">
        <f>SUM(C8141,C8117,C8093,C8069,C8045,C8021,C7997)/POBLA!$B$4*100000</f>
        <v>71.811586322092822</v>
      </c>
    </row>
    <row r="8142" spans="1:13" s="360" customFormat="1" x14ac:dyDescent="0.25">
      <c r="A8142" s="361" t="s">
        <v>29</v>
      </c>
      <c r="B8142" s="2">
        <v>44232</v>
      </c>
      <c r="C8142" s="1">
        <v>273</v>
      </c>
      <c r="D8142" s="39">
        <f t="shared" si="1210"/>
        <v>43695</v>
      </c>
      <c r="E8142" s="1">
        <v>5</v>
      </c>
      <c r="F8142" s="39">
        <f t="shared" si="1213"/>
        <v>670</v>
      </c>
      <c r="G8142" s="168">
        <f>SUM(C8142,C8118,C8094,C8070,C8046,C8022,C7998,C7974,C7950,C7926,C7902,C7878,C7854,C7830)/POBLA!$B$5*100000</f>
        <v>605.17549443128689</v>
      </c>
      <c r="H8142" s="256">
        <f t="shared" si="1211"/>
        <v>0.72695517174461477</v>
      </c>
      <c r="I8142" s="297">
        <f t="shared" si="1214"/>
        <v>439.9354554899283</v>
      </c>
      <c r="J8142" s="297">
        <f t="shared" si="1215"/>
        <v>244.57142857142858</v>
      </c>
      <c r="K8142" s="297">
        <f>J8142/POBLA!$B$5*100000</f>
        <v>39.511114578078072</v>
      </c>
      <c r="L8142" s="549">
        <f t="shared" si="1212"/>
        <v>0.15830875122910526</v>
      </c>
      <c r="M8142" s="401">
        <f>SUM(C8142,C8118,C8094,C8070,C8046,C8022,C7998)/POBLA!$B$5*100000</f>
        <v>276.57780204654648</v>
      </c>
    </row>
    <row r="8143" spans="1:13" s="360" customFormat="1" x14ac:dyDescent="0.25">
      <c r="A8143" s="361" t="s">
        <v>30</v>
      </c>
      <c r="B8143" s="2">
        <v>44232</v>
      </c>
      <c r="C8143" s="1">
        <v>256</v>
      </c>
      <c r="D8143" s="39">
        <f t="shared" si="1210"/>
        <v>18422</v>
      </c>
      <c r="E8143" s="1"/>
      <c r="F8143" s="39">
        <f t="shared" si="1213"/>
        <v>206</v>
      </c>
      <c r="G8143" s="168">
        <f>SUM(C8143,C8119,C8095,C8071,C8047,C8023,C7999,C7975,C7951,C7927,C7903,C7879,C7855,C7831)/POBLA!$B$6*100000</f>
        <v>209.22536650127901</v>
      </c>
      <c r="H8143" s="256">
        <f t="shared" si="1211"/>
        <v>0.39745762711864407</v>
      </c>
      <c r="I8143" s="297">
        <f t="shared" si="1214"/>
        <v>83.158217702626999</v>
      </c>
      <c r="J8143" s="297">
        <f t="shared" si="1215"/>
        <v>183.14285714285714</v>
      </c>
      <c r="K8143" s="297">
        <f>J8143/POBLA!$B$6*100000</f>
        <v>16.340354544906468</v>
      </c>
      <c r="L8143" s="549">
        <f t="shared" si="1212"/>
        <v>-0.20602069614299157</v>
      </c>
      <c r="M8143" s="401">
        <f>SUM(C8143,C8119,C8095,C8071,C8047,C8023,C7999)/POBLA!$B$6*100000</f>
        <v>114.38248181434528</v>
      </c>
    </row>
    <row r="8144" spans="1:13" s="360" customFormat="1" x14ac:dyDescent="0.25">
      <c r="A8144" s="361" t="s">
        <v>20</v>
      </c>
      <c r="B8144" s="2">
        <v>44232</v>
      </c>
      <c r="C8144" s="1">
        <v>549</v>
      </c>
      <c r="D8144" s="39">
        <f t="shared" si="1210"/>
        <v>147593</v>
      </c>
      <c r="E8144" s="1">
        <v>11</v>
      </c>
      <c r="F8144" s="39">
        <f t="shared" si="1213"/>
        <v>2728</v>
      </c>
      <c r="G8144" s="168">
        <f>SUM(C8144,C8120,C8096,C8072,C8048,C8024,C8000,C7976,C7952,C7928,C7904,C7880,C7856,C7832)/POBLA!$B$7*100000</f>
        <v>183.94075177172945</v>
      </c>
      <c r="H8144" s="256">
        <f t="shared" si="1211"/>
        <v>1.3683481701285856</v>
      </c>
      <c r="I8144" s="297">
        <f t="shared" si="1214"/>
        <v>251.69499109892237</v>
      </c>
      <c r="J8144" s="297">
        <f t="shared" si="1215"/>
        <v>448</v>
      </c>
      <c r="K8144" s="297">
        <f>J8144/POBLA!$B$7*100000</f>
        <v>11.913467803055486</v>
      </c>
      <c r="L8144" s="549">
        <f t="shared" si="1212"/>
        <v>0.17058979106056604</v>
      </c>
      <c r="M8144" s="401">
        <f>SUM(C8144,C8120,C8096,C8072,C8048,C8024,C8000)/POBLA!$B$7*100000</f>
        <v>83.394274621388391</v>
      </c>
    </row>
    <row r="8145" spans="1:13" x14ac:dyDescent="0.25">
      <c r="A8145" s="361" t="s">
        <v>31</v>
      </c>
      <c r="B8145" s="2">
        <v>44232</v>
      </c>
      <c r="C8145" s="1">
        <v>254</v>
      </c>
      <c r="D8145" s="39">
        <f t="shared" si="1210"/>
        <v>42189</v>
      </c>
      <c r="E8145" s="1">
        <v>2</v>
      </c>
      <c r="F8145" s="39">
        <f t="shared" si="1213"/>
        <v>758</v>
      </c>
      <c r="G8145" s="168">
        <f>SUM(C8145,C8121,C8097,C8073,C8049,C8025,C8001,C7977,C7953,C7929,C7905,C7881,C7857,C7833)/POBLA!$B$8*100000</f>
        <v>262.41719644347859</v>
      </c>
      <c r="H8145" s="256">
        <f t="shared" si="1211"/>
        <v>0.61885315637229876</v>
      </c>
      <c r="I8145" s="297">
        <f t="shared" si="1214"/>
        <v>162.3977103054163</v>
      </c>
      <c r="J8145" s="297">
        <f t="shared" si="1215"/>
        <v>223.85714285714286</v>
      </c>
      <c r="K8145" s="297">
        <f>J8145/POBLA!$B$8*100000</f>
        <v>16.151763495303463</v>
      </c>
      <c r="L8145" s="549">
        <f t="shared" si="1212"/>
        <v>0.24299516908212559</v>
      </c>
      <c r="M8145" s="401">
        <f>SUM(C8145,C8121,C8097,C8073,C8049,C8025,C8001)/POBLA!$B$8*100000</f>
        <v>113.06234446712426</v>
      </c>
    </row>
    <row r="8146" spans="1:13" s="360" customFormat="1" x14ac:dyDescent="0.25">
      <c r="A8146" s="361" t="s">
        <v>41</v>
      </c>
      <c r="B8146" s="2">
        <v>44232</v>
      </c>
      <c r="C8146" s="1">
        <v>9</v>
      </c>
      <c r="D8146" s="39">
        <f t="shared" si="1210"/>
        <v>867</v>
      </c>
      <c r="E8146" s="1">
        <v>2</v>
      </c>
      <c r="F8146" s="39">
        <f t="shared" si="1213"/>
        <v>9</v>
      </c>
      <c r="G8146" s="168">
        <f>SUM(C8146,C8122,C8098,C8074,C8050,C8026,C8002,C7978,C7954,C7930,C7906,C7882,C7858,C7834)/POBLA!$B$9*100000</f>
        <v>11.566558106257013</v>
      </c>
      <c r="H8146" s="256">
        <f t="shared" si="1211"/>
        <v>0.12589928057553956</v>
      </c>
      <c r="I8146" s="297">
        <f t="shared" si="1214"/>
        <v>1.4562213443129333</v>
      </c>
      <c r="J8146" s="297">
        <f t="shared" si="1215"/>
        <v>3.7142857142857144</v>
      </c>
      <c r="K8146" s="297">
        <f>J8146/POBLA!$B$9*100000</f>
        <v>0.61373573625037214</v>
      </c>
      <c r="L8146" s="549">
        <f t="shared" si="1212"/>
        <v>0.40909090909090906</v>
      </c>
      <c r="M8146" s="401">
        <f>SUM(C8146,C8122,C8098,C8074,C8050,C8026,C8002)/POBLA!$B$9*100000</f>
        <v>4.2961501537526043</v>
      </c>
    </row>
    <row r="8147" spans="1:13" s="360" customFormat="1" x14ac:dyDescent="0.25">
      <c r="A8147" s="361" t="s">
        <v>32</v>
      </c>
      <c r="B8147" s="2">
        <v>44232</v>
      </c>
      <c r="C8147" s="1">
        <v>43</v>
      </c>
      <c r="D8147" s="39">
        <f t="shared" si="1210"/>
        <v>19476</v>
      </c>
      <c r="E8147" s="1">
        <v>3</v>
      </c>
      <c r="F8147" s="39">
        <f t="shared" si="1213"/>
        <v>879</v>
      </c>
      <c r="G8147" s="168">
        <f>SUM(C8147,C8123,C8099,C8075,C8051,C8027,C8003,C7979,C7955,C7931,C7907,C7883,C7859,C7835)/POBLA!$B$10*100000</f>
        <v>54.48311736830977</v>
      </c>
      <c r="H8147" s="256">
        <f t="shared" si="1211"/>
        <v>1.0552763819095476</v>
      </c>
      <c r="I8147" s="297">
        <f t="shared" si="1214"/>
        <v>57.494746971583169</v>
      </c>
      <c r="J8147" s="297">
        <f t="shared" si="1215"/>
        <v>28.714285714285715</v>
      </c>
      <c r="K8147" s="297">
        <f>J8147/POBLA!$B$10*100000</f>
        <v>3.7248661874252598</v>
      </c>
      <c r="L8147" s="549">
        <f t="shared" si="1212"/>
        <v>8.2191780821917804E-2</v>
      </c>
      <c r="M8147" s="401">
        <f>SUM(C8147,C8123,C8099,C8075,C8051,C8027,C8003)/POBLA!$B$10*100000</f>
        <v>26.074063311976818</v>
      </c>
    </row>
    <row r="8148" spans="1:13" s="360" customFormat="1" x14ac:dyDescent="0.25">
      <c r="A8148" s="361" t="s">
        <v>33</v>
      </c>
      <c r="B8148" s="2">
        <v>44232</v>
      </c>
      <c r="C8148" s="1">
        <v>90</v>
      </c>
      <c r="D8148" s="39">
        <f t="shared" si="1210"/>
        <v>16965</v>
      </c>
      <c r="E8148" s="1">
        <v>3</v>
      </c>
      <c r="F8148" s="39">
        <f t="shared" si="1213"/>
        <v>259</v>
      </c>
      <c r="G8148" s="168">
        <f>SUM(C8148,C8124,C8100,C8076,C8052,C8028,C8004,C7980,C7956,C7932,C7908,C7884,C7860,C7836)/POBLA!$B$11*100000</f>
        <v>368.55379602040017</v>
      </c>
      <c r="H8148" s="256">
        <f t="shared" si="1211"/>
        <v>0.51581413510347518</v>
      </c>
      <c r="I8148" s="297">
        <f t="shared" si="1214"/>
        <v>190.10525753336532</v>
      </c>
      <c r="J8148" s="297">
        <f t="shared" si="1215"/>
        <v>92.142857142857139</v>
      </c>
      <c r="K8148" s="297">
        <f>J8148/POBLA!$B$11*100000</f>
        <v>25.707494153039697</v>
      </c>
      <c r="L8148" s="549">
        <f t="shared" si="1212"/>
        <v>4.585798816568043E-2</v>
      </c>
      <c r="M8148" s="401">
        <f>SUM(C8148,C8124,C8100,C8076,C8052,C8028,C8004)/POBLA!$B$11*100000</f>
        <v>179.9524590712779</v>
      </c>
    </row>
    <row r="8149" spans="1:13" s="360" customFormat="1" x14ac:dyDescent="0.25">
      <c r="A8149" s="361" t="s">
        <v>21</v>
      </c>
      <c r="B8149" s="2">
        <v>44232</v>
      </c>
      <c r="C8149" s="1">
        <v>24</v>
      </c>
      <c r="D8149" s="39">
        <f t="shared" si="1210"/>
        <v>9622</v>
      </c>
      <c r="E8149" s="1"/>
      <c r="F8149" s="39">
        <f t="shared" si="1213"/>
        <v>414</v>
      </c>
      <c r="G8149" s="168">
        <f>SUM(C8149,C8125,C8101,C8077,C8053,C8029,C8005,C7981,C7957,C7933,C7909,C7885,C7861,C7837)/POBLA!$B$12*100000</f>
        <v>59.207533841044288</v>
      </c>
      <c r="H8149" s="256">
        <f t="shared" si="1211"/>
        <v>1.1365853658536584</v>
      </c>
      <c r="I8149" s="297">
        <f t="shared" si="1214"/>
        <v>67.294416512016184</v>
      </c>
      <c r="J8149" s="297">
        <f t="shared" si="1215"/>
        <v>15.285714285714286</v>
      </c>
      <c r="K8149" s="297">
        <f>J8149/POBLA!$B$12*100000</f>
        <v>3.8842465487380378</v>
      </c>
      <c r="L8149" s="549">
        <f t="shared" si="1212"/>
        <v>0.15079365079365081</v>
      </c>
      <c r="M8149" s="401">
        <f>SUM(C8149,C8125,C8101,C8077,C8053,C8029,C8005)/POBLA!$B$12*100000</f>
        <v>27.189725841166261</v>
      </c>
    </row>
    <row r="8150" spans="1:13" s="360" customFormat="1" x14ac:dyDescent="0.25">
      <c r="A8150" s="361" t="s">
        <v>17</v>
      </c>
      <c r="B8150" s="2">
        <v>44232</v>
      </c>
      <c r="C8150" s="1">
        <v>180</v>
      </c>
      <c r="D8150" s="39">
        <f t="shared" si="1210"/>
        <v>64569</v>
      </c>
      <c r="E8150" s="1">
        <v>12</v>
      </c>
      <c r="F8150" s="39">
        <f t="shared" si="1213"/>
        <v>1392</v>
      </c>
      <c r="G8150" s="168">
        <f>SUM(C8150,C8126,C8102,C8078,C8054,C8030,C8006,C7982,C7958,C7934,C7910,C7886,C7862,C7838)/POBLA!$B$13*100000</f>
        <v>79.283016251511057</v>
      </c>
      <c r="H8150" s="256">
        <f t="shared" si="1211"/>
        <v>0.82101977107180024</v>
      </c>
      <c r="I8150" s="297">
        <f t="shared" si="1214"/>
        <v>65.092923852697425</v>
      </c>
      <c r="J8150" s="297">
        <f t="shared" si="1215"/>
        <v>125.57142857142857</v>
      </c>
      <c r="K8150" s="297">
        <f>J8150/POBLA!$B$13*100000</f>
        <v>6.3090504513016672</v>
      </c>
      <c r="L8150" s="549">
        <f t="shared" si="1212"/>
        <v>-0.257510729613734</v>
      </c>
      <c r="M8150" s="401">
        <f>SUM(C8150,C8126,C8102,C8078,C8054,C8030,C8006)/POBLA!$B$13*100000</f>
        <v>44.163353159111672</v>
      </c>
    </row>
    <row r="8151" spans="1:13" s="360" customFormat="1" x14ac:dyDescent="0.25">
      <c r="A8151" s="361" t="s">
        <v>23</v>
      </c>
      <c r="B8151" s="2">
        <v>44232</v>
      </c>
      <c r="C8151" s="1">
        <v>198</v>
      </c>
      <c r="D8151" s="39">
        <f t="shared" si="1210"/>
        <v>5731</v>
      </c>
      <c r="E8151" s="1">
        <v>2</v>
      </c>
      <c r="F8151" s="39">
        <f t="shared" si="1213"/>
        <v>102</v>
      </c>
      <c r="G8151" s="168">
        <f>SUM(C8151,C8127,C8103,C8079,C8055,C8031,C8007,C7983,C7959,C7935,C7911,C7887,C7863,C7839)/POBLA!$B$14*100000</f>
        <v>209.07100168557051</v>
      </c>
      <c r="H8151" s="256">
        <f t="shared" si="1211"/>
        <v>1.3770234986945169</v>
      </c>
      <c r="I8151" s="297">
        <f t="shared" si="1214"/>
        <v>287.89568221663154</v>
      </c>
      <c r="J8151" s="297">
        <f t="shared" si="1215"/>
        <v>194.57142857142858</v>
      </c>
      <c r="K8151" s="297">
        <f>J8151/POBLA!$B$14*100000</f>
        <v>15.426334270315136</v>
      </c>
      <c r="L8151" s="549">
        <f t="shared" si="1212"/>
        <v>-6.823529411764695E-2</v>
      </c>
      <c r="M8151" s="401">
        <f>SUM(C8151,C8127,C8103,C8079,C8055,C8031,C8007)/POBLA!$B$14*100000</f>
        <v>107.98433989220595</v>
      </c>
    </row>
    <row r="8152" spans="1:13" s="360" customFormat="1" x14ac:dyDescent="0.25">
      <c r="A8152" s="361" t="s">
        <v>19</v>
      </c>
      <c r="B8152" s="2">
        <v>44232</v>
      </c>
      <c r="C8152" s="1">
        <v>319</v>
      </c>
      <c r="D8152" s="39">
        <f t="shared" si="1210"/>
        <v>56193</v>
      </c>
      <c r="E8152" s="1">
        <v>3</v>
      </c>
      <c r="F8152" s="39">
        <f t="shared" si="1213"/>
        <v>791</v>
      </c>
      <c r="G8152" s="168">
        <f>SUM(C8152,C8128,C8104,C8080,C8056,C8032,C8008,C7984,C7960,C7936,C7912,C7888,C7864,C7840)/POBLA!$B$15*100000</f>
        <v>842.99992319936382</v>
      </c>
      <c r="H8152" s="256">
        <f t="shared" si="1211"/>
        <v>0.9291286307053942</v>
      </c>
      <c r="I8152" s="297">
        <f t="shared" si="1214"/>
        <v>783.25536432697743</v>
      </c>
      <c r="J8152" s="297">
        <f t="shared" si="1215"/>
        <v>380.57142857142856</v>
      </c>
      <c r="K8152" s="297">
        <f>J8152/POBLA!$B$15*100000</f>
        <v>57.310054494031171</v>
      </c>
      <c r="L8152" s="549">
        <f t="shared" si="1212"/>
        <v>9.2024539877300637E-2</v>
      </c>
      <c r="M8152" s="401">
        <f>SUM(C8152,C8128,C8104,C8080,C8056,C8032,C8008)/POBLA!$B$15*100000</f>
        <v>401.17038145821823</v>
      </c>
    </row>
    <row r="8153" spans="1:13" s="360" customFormat="1" x14ac:dyDescent="0.25">
      <c r="A8153" s="361" t="s">
        <v>18</v>
      </c>
      <c r="B8153" s="2">
        <v>44232</v>
      </c>
      <c r="C8153" s="1">
        <v>233</v>
      </c>
      <c r="D8153" s="39">
        <f t="shared" si="1210"/>
        <v>49182</v>
      </c>
      <c r="E8153" s="1">
        <v>2</v>
      </c>
      <c r="F8153" s="39">
        <f t="shared" si="1213"/>
        <v>1097</v>
      </c>
      <c r="G8153" s="168">
        <f>SUM(C8153,C8129,C8105,C8081,C8057,C8033,C8009,C7985,C7961,C7937,C7913,C7889,C7865,C7841)/POBLA!$B$16*100000</f>
        <v>481.26697074677975</v>
      </c>
      <c r="H8153" s="256">
        <f t="shared" si="1211"/>
        <v>0.79286029087703835</v>
      </c>
      <c r="I8153" s="297">
        <f t="shared" si="1214"/>
        <v>381.57747041580291</v>
      </c>
      <c r="J8153" s="297">
        <f t="shared" si="1215"/>
        <v>221.42857142857142</v>
      </c>
      <c r="K8153" s="297">
        <f>J8153/POBLA!$B$16*100000</f>
        <v>29.618192831632992</v>
      </c>
      <c r="L8153" s="549">
        <f t="shared" si="1212"/>
        <v>0.2431640625</v>
      </c>
      <c r="M8153" s="401">
        <f>SUM(C8153,C8129,C8105,C8081,C8057,C8033,C8009)/POBLA!$B$16*100000</f>
        <v>207.32734982143097</v>
      </c>
    </row>
    <row r="8154" spans="1:13" s="360" customFormat="1" x14ac:dyDescent="0.25">
      <c r="A8154" s="361" t="s">
        <v>34</v>
      </c>
      <c r="B8154" s="2">
        <v>44232</v>
      </c>
      <c r="C8154" s="1">
        <v>90</v>
      </c>
      <c r="D8154" s="39">
        <f t="shared" si="1210"/>
        <v>24157</v>
      </c>
      <c r="E8154" s="1">
        <v>1</v>
      </c>
      <c r="F8154" s="39">
        <f t="shared" si="1213"/>
        <v>1050</v>
      </c>
      <c r="G8154" s="168">
        <f>SUM(C8154,C8130,C8106,C8082,C8058,C8034,C8010,C7986,C7962,C7938,C7914,C7890,C7866,C7842)/POBLA!$B$17*100000</f>
        <v>56.164117166773025</v>
      </c>
      <c r="H8154" s="256">
        <f t="shared" si="1211"/>
        <v>1.0796221322537112</v>
      </c>
      <c r="I8154" s="297">
        <f t="shared" si="1214"/>
        <v>60.636023931738755</v>
      </c>
      <c r="J8154" s="297">
        <f t="shared" si="1215"/>
        <v>61.857142857142854</v>
      </c>
      <c r="K8154" s="297">
        <f>J8154/POBLA!$B$17*100000</f>
        <v>4.3426897737879857</v>
      </c>
      <c r="L8154" s="549">
        <f t="shared" si="1212"/>
        <v>-0.17983651226158037</v>
      </c>
      <c r="M8154" s="401">
        <f>SUM(C8154,C8130,C8106,C8082,C8058,C8034,C8010)/POBLA!$B$17*100000</f>
        <v>30.398828416515901</v>
      </c>
    </row>
    <row r="8155" spans="1:13" s="360" customFormat="1" x14ac:dyDescent="0.25">
      <c r="A8155" s="361" t="s">
        <v>35</v>
      </c>
      <c r="B8155" s="2">
        <v>44232</v>
      </c>
      <c r="C8155" s="1">
        <v>45</v>
      </c>
      <c r="D8155" s="39">
        <f t="shared" si="1210"/>
        <v>14268</v>
      </c>
      <c r="E8155" s="1"/>
      <c r="F8155" s="39">
        <f t="shared" si="1213"/>
        <v>202</v>
      </c>
      <c r="G8155" s="168">
        <f>SUM(C8155,C8131,C8107,C8083,C8059,C8035,C8011,C7987,C7963,C7939,C7915,C7891,C7867,C7843)/POBLA!$B$18*100000</f>
        <v>97.796130908569566</v>
      </c>
      <c r="H8155" s="256">
        <f t="shared" si="1211"/>
        <v>0.62418300653594772</v>
      </c>
      <c r="I8155" s="297">
        <f t="shared" si="1214"/>
        <v>61.042683018094074</v>
      </c>
      <c r="J8155" s="297">
        <f t="shared" si="1215"/>
        <v>51.714285714285715</v>
      </c>
      <c r="K8155" s="297">
        <f>J8155/POBLA!$B$18*100000</f>
        <v>6.6197081879024289</v>
      </c>
      <c r="L8155" s="549">
        <f t="shared" si="1212"/>
        <v>9.9502487562189046E-2</v>
      </c>
      <c r="M8155" s="401">
        <f>SUM(C8155,C8131,C8107,C8083,C8059,C8035,C8011)/POBLA!$B$18*100000</f>
        <v>46.337957315316999</v>
      </c>
    </row>
    <row r="8156" spans="1:13" s="360" customFormat="1" x14ac:dyDescent="0.25">
      <c r="A8156" s="361" t="s">
        <v>36</v>
      </c>
      <c r="B8156" s="2">
        <v>44232</v>
      </c>
      <c r="C8156" s="1">
        <v>10</v>
      </c>
      <c r="D8156" s="39">
        <f t="shared" si="1210"/>
        <v>19102</v>
      </c>
      <c r="E8156" s="1">
        <v>2</v>
      </c>
      <c r="F8156" s="39">
        <f t="shared" si="1213"/>
        <v>337</v>
      </c>
      <c r="G8156" s="168">
        <f>SUM(C8156,C8132,C8108,C8084,C8060,C8036,C8012,C7988,C7964,C7940,C7916,C7892,C7868,C7844)/POBLA!$B$19*100000</f>
        <v>231.34668953903778</v>
      </c>
      <c r="H8156" s="256">
        <f t="shared" si="1211"/>
        <v>0.83641536273115225</v>
      </c>
      <c r="I8156" s="297">
        <f t="shared" si="1214"/>
        <v>193.50192524744554</v>
      </c>
      <c r="J8156" s="297">
        <f t="shared" si="1215"/>
        <v>20.142857142857142</v>
      </c>
      <c r="K8156" s="297">
        <f>J8156/POBLA!$B$19*100000</f>
        <v>3.9625708485185043</v>
      </c>
      <c r="L8156" s="549">
        <f t="shared" si="1212"/>
        <v>0.86376811594202896</v>
      </c>
      <c r="M8156" s="401">
        <f>SUM(C8156,C8132,C8108,C8084,C8060,C8036,C8012)/POBLA!$B$19*100000</f>
        <v>27.737995939629528</v>
      </c>
    </row>
    <row r="8157" spans="1:13" s="360" customFormat="1" x14ac:dyDescent="0.25">
      <c r="A8157" s="361" t="s">
        <v>37</v>
      </c>
      <c r="B8157" s="2">
        <v>44232</v>
      </c>
      <c r="C8157" s="1">
        <v>185</v>
      </c>
      <c r="D8157" s="39">
        <f t="shared" si="1210"/>
        <v>33623</v>
      </c>
      <c r="E8157" s="1">
        <v>1</v>
      </c>
      <c r="F8157" s="39">
        <f t="shared" si="1213"/>
        <v>514</v>
      </c>
      <c r="G8157" s="168">
        <f>SUM(C8157,C8133,C8109,C8085,C8061,C8037,C8013,C7989,C7965,C7941,C7917,C7893,C7869,C7845)/POBLA!$B$20*100000</f>
        <v>671.31895717231157</v>
      </c>
      <c r="H8157" s="256">
        <f t="shared" si="1211"/>
        <v>0.53439268611232038</v>
      </c>
      <c r="I8157" s="297">
        <f t="shared" si="1214"/>
        <v>358.74794076143337</v>
      </c>
      <c r="J8157" s="297">
        <f t="shared" si="1215"/>
        <v>188.42857142857142</v>
      </c>
      <c r="K8157" s="297">
        <f>J8157/POBLA!$B$20*100000</f>
        <v>51.52573200525336</v>
      </c>
      <c r="L8157" s="549">
        <f t="shared" si="1212"/>
        <v>-0.16109154929577474</v>
      </c>
      <c r="M8157" s="401">
        <f>SUM(C8157,C8133,C8109,C8085,C8061,C8037,C8013)/POBLA!$B$20*100000</f>
        <v>360.68012403677352</v>
      </c>
    </row>
    <row r="8158" spans="1:13" s="360" customFormat="1" x14ac:dyDescent="0.25">
      <c r="A8158" s="361" t="s">
        <v>22</v>
      </c>
      <c r="B8158" s="2">
        <v>44232</v>
      </c>
      <c r="C8158" s="1">
        <v>495</v>
      </c>
      <c r="D8158" s="39">
        <f t="shared" si="1210"/>
        <v>208617</v>
      </c>
      <c r="E8158" s="1">
        <v>39</v>
      </c>
      <c r="F8158" s="39">
        <f t="shared" si="1213"/>
        <v>3696</v>
      </c>
      <c r="G8158" s="168">
        <f>SUM(C8158,C8134,C8110,C8086,C8062,C8038,C8014,C7990,C7966,C7942,C7918,C7894,C7870,C7846)/POBLA!$B$21*100000</f>
        <v>229.83708373840423</v>
      </c>
      <c r="H8158" s="256">
        <f t="shared" si="1211"/>
        <v>0.51540900443880788</v>
      </c>
      <c r="I8158" s="297">
        <f t="shared" si="1214"/>
        <v>118.46010251272985</v>
      </c>
      <c r="J8158" s="297">
        <f t="shared" si="1215"/>
        <v>503.28571428571428</v>
      </c>
      <c r="K8158" s="297">
        <f>J8158/POBLA!$B$21*100000</f>
        <v>14.231510932409977</v>
      </c>
      <c r="L8158" s="549">
        <f t="shared" si="1212"/>
        <v>0.23496199782844729</v>
      </c>
      <c r="M8158" s="401">
        <f>SUM(C8158,C8134,C8110,C8086,C8062,C8038,C8014)/POBLA!$B$21*100000</f>
        <v>99.62057652686984</v>
      </c>
    </row>
    <row r="8159" spans="1:13" s="360" customFormat="1" x14ac:dyDescent="0.25">
      <c r="A8159" s="361" t="s">
        <v>38</v>
      </c>
      <c r="B8159" s="2">
        <v>44232</v>
      </c>
      <c r="C8159" s="1">
        <v>90</v>
      </c>
      <c r="D8159" s="39">
        <f t="shared" si="1210"/>
        <v>21279</v>
      </c>
      <c r="E8159" s="1">
        <v>1</v>
      </c>
      <c r="F8159" s="39">
        <f t="shared" si="1213"/>
        <v>247</v>
      </c>
      <c r="G8159" s="168">
        <f>SUM(C8159,C8135,C8111,C8087,C8063,C8039,C8015,C7991,C7967,C7943,C7919,C7895,C7871,C7847)/POBLA!$B$22*100000</f>
        <v>114.58500500351114</v>
      </c>
      <c r="H8159" s="256">
        <f t="shared" si="1211"/>
        <v>0.64760254188330446</v>
      </c>
      <c r="I8159" s="297">
        <f t="shared" si="1214"/>
        <v>74.20554050198497</v>
      </c>
      <c r="J8159" s="297">
        <f t="shared" si="1215"/>
        <v>87</v>
      </c>
      <c r="K8159" s="297">
        <f>J8159/POBLA!$B$22*100000</f>
        <v>8.8928594427345846</v>
      </c>
      <c r="L8159" s="549">
        <f t="shared" si="1212"/>
        <v>-0.189453125</v>
      </c>
      <c r="M8159" s="401">
        <f>SUM(C8159,C8135,C8111,C8087,C8063,C8039,C8015)/POBLA!$B$22*100000</f>
        <v>62.250016099142094</v>
      </c>
    </row>
    <row r="8160" spans="1:13" s="360" customFormat="1" x14ac:dyDescent="0.25">
      <c r="A8160" s="361" t="s">
        <v>39</v>
      </c>
      <c r="B8160" s="2">
        <v>44232</v>
      </c>
      <c r="C8160" s="1">
        <v>49</v>
      </c>
      <c r="D8160" s="39">
        <f t="shared" si="1210"/>
        <v>22045</v>
      </c>
      <c r="E8160" s="1">
        <v>2</v>
      </c>
      <c r="F8160" s="39">
        <f t="shared" si="1213"/>
        <v>338</v>
      </c>
      <c r="G8160" s="168">
        <f>SUM(C8160,C8136,C8112,C8088,C8064,C8040,C8016,C7992,C7968,C7944,C7920,C7896,C7872,C7848)/POBLA!$B$23*100000</f>
        <v>438.27404852117854</v>
      </c>
      <c r="H8160" s="256">
        <f t="shared" si="1211"/>
        <v>0.63008130081300817</v>
      </c>
      <c r="I8160" s="297">
        <f t="shared" si="1214"/>
        <v>276.14828260480766</v>
      </c>
      <c r="J8160" s="297">
        <f t="shared" si="1215"/>
        <v>40.714285714285715</v>
      </c>
      <c r="K8160" s="297">
        <f>J8160/POBLA!$B$23*100000</f>
        <v>23.024535267932883</v>
      </c>
      <c r="L8160" s="549">
        <f t="shared" si="1212"/>
        <v>0.41836734693877553</v>
      </c>
      <c r="M8160" s="401">
        <f>SUM(C8160,C8136,C8112,C8088,C8064,C8040,C8016)/POBLA!$B$23*100000</f>
        <v>161.17174687553018</v>
      </c>
    </row>
    <row r="8161" spans="1:13" s="360" customFormat="1" ht="15.75" thickBot="1" x14ac:dyDescent="0.3">
      <c r="A8161" s="361" t="s">
        <v>40</v>
      </c>
      <c r="B8161" s="2">
        <v>44232</v>
      </c>
      <c r="C8161" s="1">
        <v>144</v>
      </c>
      <c r="D8161" s="176">
        <f t="shared" si="1210"/>
        <v>77152</v>
      </c>
      <c r="E8161" s="1">
        <v>3</v>
      </c>
      <c r="F8161" s="176">
        <f t="shared" si="1213"/>
        <v>1438</v>
      </c>
      <c r="G8161" s="177">
        <f>SUM(C8161,C8137,C8113,C8089,C8065,C8041,C8017,C7993,C7969,C7945,C7921,C7897,C7873,C7849)/POBLA!$B$24*100000</f>
        <v>117.30994372899279</v>
      </c>
      <c r="H8161" s="402">
        <f t="shared" si="1211"/>
        <v>0.77565353101833789</v>
      </c>
      <c r="I8161" s="403">
        <f t="shared" si="1214"/>
        <v>90.991872076955786</v>
      </c>
      <c r="J8161" s="403">
        <f t="shared" si="1215"/>
        <v>126.28571428571429</v>
      </c>
      <c r="K8161" s="403">
        <f>J8161/POBLA!$B$24*100000</f>
        <v>7.451997000318312</v>
      </c>
      <c r="L8161" s="550">
        <f t="shared" si="1212"/>
        <v>0.19927536231884058</v>
      </c>
      <c r="M8161" s="405">
        <f>SUM(C8161,C8137,C8113,C8089,C8065,C8041,C8017)/POBLA!$B$24*100000</f>
        <v>52.163979002228182</v>
      </c>
    </row>
    <row r="8162" spans="1:13" s="360" customFormat="1" x14ac:dyDescent="0.25">
      <c r="A8162" s="361" t="s">
        <v>16</v>
      </c>
      <c r="B8162" s="2">
        <v>44233</v>
      </c>
      <c r="C8162" s="1">
        <v>2946</v>
      </c>
      <c r="D8162" s="174">
        <f t="shared" si="1210"/>
        <v>824983</v>
      </c>
      <c r="E8162" s="1">
        <v>77</v>
      </c>
      <c r="F8162" s="174">
        <f>E8162+F8138</f>
        <v>24981</v>
      </c>
      <c r="G8162" s="175">
        <f>SUM(C8162,C8138,C8114,C8090,C8066,C8042,C8018,C7994,C7970,C7946,C7922,C7898,C7874,C7850)/POBLA!$B$1*100000</f>
        <v>276.17929757248976</v>
      </c>
      <c r="H8162" s="300">
        <f t="shared" ref="H8162:H8185" si="1216">SUM(C8162,C8138,C8114,C8090,C8066,C8042,C8018,C7994,C7970,C7946,C7922,C7898,C7874,C7850)/SUM(C7826,C7802,C7778,C7754,C7730,C7706,C7682,C7658,C7634,C7610,C7586,C7562,C7538,C7514)</f>
        <v>0.83700478584633464</v>
      </c>
      <c r="I8162" s="301">
        <f>G8162*H8162</f>
        <v>231.16339381985293</v>
      </c>
      <c r="J8162" s="301">
        <f>AVERAGE(C8162,C8138,C8114,C8090,C8066,C8042,C8018)</f>
        <v>3266</v>
      </c>
      <c r="K8162" s="301">
        <f>J8162/POBLA!$B$1*100000</f>
        <v>18.619085269310588</v>
      </c>
      <c r="L8162" s="548">
        <f t="shared" ref="L8162:L8185" si="1217">1-SUM(C8162,C8138,C8114,C8090,C8066,C8042,C8018)/SUM(C7994,C7970,C7946,C7922,C7898,C7874,C7850)</f>
        <v>0.10635969198295747</v>
      </c>
      <c r="M8162" s="400">
        <f>SUM(C8162,C8138,C8114,C8090,C8066,C8042,C8018)/POBLA!$B$1*100000</f>
        <v>130.3335968851741</v>
      </c>
    </row>
    <row r="8163" spans="1:13" s="360" customFormat="1" x14ac:dyDescent="0.25">
      <c r="A8163" s="361" t="s">
        <v>43</v>
      </c>
      <c r="B8163" s="2">
        <v>44233</v>
      </c>
      <c r="C8163" s="1">
        <v>733</v>
      </c>
      <c r="D8163" s="39">
        <f t="shared" si="1210"/>
        <v>216490</v>
      </c>
      <c r="E8163" s="1">
        <v>18</v>
      </c>
      <c r="F8163" s="39">
        <f t="shared" ref="F8163:F8185" si="1218">E8163+F8139</f>
        <v>6144</v>
      </c>
      <c r="G8163" s="168">
        <f>SUM(C8163,C8139,C8115,C8091,C8067,C8043,C8019,C7995,C7971,C7947,C7923,C7899,C7875,C7851)/POBLA!$B$2*100000</f>
        <v>474.14429358905414</v>
      </c>
      <c r="H8163" s="256">
        <f t="shared" si="1216"/>
        <v>0.85196003972658763</v>
      </c>
      <c r="I8163" s="297">
        <f t="shared" ref="I8163:I8185" si="1219">G8163*H8163</f>
        <v>403.95199120226539</v>
      </c>
      <c r="J8163" s="297">
        <f t="shared" ref="J8163:J8185" si="1220">AVERAGE(C8163,C8139,C8115,C8091,C8067,C8043,C8019)</f>
        <v>999.85714285714289</v>
      </c>
      <c r="K8163" s="297">
        <f>J8163/POBLA!$B$2*100000</f>
        <v>32.508849941025169</v>
      </c>
      <c r="L8163" s="549">
        <f t="shared" si="1217"/>
        <v>7.7136075949367111E-2</v>
      </c>
      <c r="M8163" s="401">
        <f>SUM(C8163,C8139,C8115,C8091,C8067,C8043,C8019)/POBLA!$B$2*100000</f>
        <v>227.56194958717617</v>
      </c>
    </row>
    <row r="8164" spans="1:13" s="360" customFormat="1" x14ac:dyDescent="0.25">
      <c r="A8164" s="361" t="s">
        <v>28</v>
      </c>
      <c r="B8164" s="2">
        <v>44233</v>
      </c>
      <c r="C8164" s="1">
        <v>77</v>
      </c>
      <c r="D8164" s="39">
        <f t="shared" si="1210"/>
        <v>6128</v>
      </c>
      <c r="E8164" s="1"/>
      <c r="F8164" s="39">
        <f t="shared" si="1218"/>
        <v>17</v>
      </c>
      <c r="G8164" s="168">
        <f>SUM(C8164,C8140,C8116,C8092,C8068,C8044,C8020,C7996,C7972,C7948,C7924,C7900,C7876,C7852)/POBLA!$B$3*100000</f>
        <v>348.066378135847</v>
      </c>
      <c r="H8164" s="256">
        <f t="shared" si="1216"/>
        <v>0.92692307692307696</v>
      </c>
      <c r="I8164" s="297">
        <f t="shared" si="1219"/>
        <v>322.63075819515052</v>
      </c>
      <c r="J8164" s="297">
        <f t="shared" si="1220"/>
        <v>126.71428571428571</v>
      </c>
      <c r="K8164" s="297">
        <f>J8164/POBLA!$B$3*100000</f>
        <v>30.501371014275463</v>
      </c>
      <c r="L8164" s="549">
        <f t="shared" si="1217"/>
        <v>-0.58676207513416823</v>
      </c>
      <c r="M8164" s="401">
        <f>SUM(C8164,C8140,C8116,C8092,C8068,C8044,C8020)/POBLA!$B$3*100000</f>
        <v>213.50959709992827</v>
      </c>
    </row>
    <row r="8165" spans="1:13" s="360" customFormat="1" x14ac:dyDescent="0.25">
      <c r="A8165" s="361" t="s">
        <v>15</v>
      </c>
      <c r="B8165" s="2">
        <v>44233</v>
      </c>
      <c r="C8165" s="1">
        <v>144</v>
      </c>
      <c r="D8165" s="39">
        <f t="shared" si="1210"/>
        <v>31561</v>
      </c>
      <c r="E8165" s="1">
        <v>2</v>
      </c>
      <c r="F8165" s="39">
        <f t="shared" si="1218"/>
        <v>809</v>
      </c>
      <c r="G8165" s="168">
        <f>SUM(C8165,C8141,C8117,C8093,C8069,C8045,C8021,C7997,C7973,C7949,C7925,C7901,C7877,C7853)/POBLA!$B$4*100000</f>
        <v>156.40812558476631</v>
      </c>
      <c r="H8165" s="256">
        <f t="shared" si="1216"/>
        <v>0.64103436543041847</v>
      </c>
      <c r="I8165" s="297">
        <f t="shared" si="1219"/>
        <v>100.26298353239187</v>
      </c>
      <c r="J8165" s="297">
        <f t="shared" si="1220"/>
        <v>127.57142857142857</v>
      </c>
      <c r="K8165" s="297">
        <f>J8165/POBLA!$B$4*100000</f>
        <v>10.590874745768602</v>
      </c>
      <c r="L8165" s="549">
        <f t="shared" si="1217"/>
        <v>9.8890010090817326E-2</v>
      </c>
      <c r="M8165" s="401">
        <f>SUM(C8165,C8141,C8117,C8093,C8069,C8045,C8021)/POBLA!$B$4*100000</f>
        <v>74.136123220380213</v>
      </c>
    </row>
    <row r="8166" spans="1:13" s="360" customFormat="1" x14ac:dyDescent="0.25">
      <c r="A8166" s="361" t="s">
        <v>29</v>
      </c>
      <c r="B8166" s="2">
        <v>44233</v>
      </c>
      <c r="C8166" s="1">
        <v>155</v>
      </c>
      <c r="D8166" s="39">
        <f t="shared" si="1210"/>
        <v>43850</v>
      </c>
      <c r="E8166" s="1"/>
      <c r="F8166" s="39">
        <f t="shared" si="1218"/>
        <v>670</v>
      </c>
      <c r="G8166" s="168">
        <f>SUM(C8166,C8142,C8118,C8094,C8070,C8046,C8022,C7998,C7974,C7950,C7926,C7902,C7878,C7854)/POBLA!$B$5*100000</f>
        <v>598.06718643476347</v>
      </c>
      <c r="H8166" s="256">
        <f t="shared" si="1216"/>
        <v>0.73715651135005977</v>
      </c>
      <c r="I8166" s="297">
        <f t="shared" si="1219"/>
        <v>440.86912070519605</v>
      </c>
      <c r="J8166" s="297">
        <f t="shared" si="1220"/>
        <v>233.42857142857142</v>
      </c>
      <c r="K8166" s="297">
        <f>J8166/POBLA!$B$5*100000</f>
        <v>37.710958656880585</v>
      </c>
      <c r="L8166" s="549">
        <f t="shared" si="1217"/>
        <v>0.20986460348162472</v>
      </c>
      <c r="M8166" s="401">
        <f>SUM(C8166,C8142,C8118,C8094,C8070,C8046,C8022)/POBLA!$B$5*100000</f>
        <v>263.97671059816412</v>
      </c>
    </row>
    <row r="8167" spans="1:13" s="360" customFormat="1" x14ac:dyDescent="0.25">
      <c r="A8167" s="361" t="s">
        <v>30</v>
      </c>
      <c r="B8167" s="2">
        <v>44233</v>
      </c>
      <c r="C8167" s="1">
        <v>297</v>
      </c>
      <c r="D8167" s="39">
        <f t="shared" si="1210"/>
        <v>18719</v>
      </c>
      <c r="E8167" s="1"/>
      <c r="F8167" s="39">
        <f t="shared" si="1218"/>
        <v>206</v>
      </c>
      <c r="G8167" s="168">
        <f>SUM(C8167,C8143,C8119,C8095,C8071,C8047,C8023,C7999,C7975,C7951,C7927,C7903,C7879,C7855)/POBLA!$B$6*100000</f>
        <v>221.27032363461487</v>
      </c>
      <c r="H8167" s="256">
        <f t="shared" si="1216"/>
        <v>0.45638571954361429</v>
      </c>
      <c r="I8167" s="297">
        <f t="shared" si="1219"/>
        <v>100.98461586563211</v>
      </c>
      <c r="J8167" s="297">
        <f t="shared" si="1220"/>
        <v>198.14285714285714</v>
      </c>
      <c r="K8167" s="297">
        <f>J8167/POBLA!$B$6*100000</f>
        <v>17.678683115277121</v>
      </c>
      <c r="L8167" s="549">
        <f t="shared" si="1217"/>
        <v>-0.26898444647758457</v>
      </c>
      <c r="M8167" s="401">
        <f>SUM(C8167,C8143,C8119,C8095,C8071,C8047,C8023)/POBLA!$B$6*100000</f>
        <v>123.75078180693986</v>
      </c>
    </row>
    <row r="8168" spans="1:13" s="360" customFormat="1" x14ac:dyDescent="0.25">
      <c r="A8168" s="361" t="s">
        <v>20</v>
      </c>
      <c r="B8168" s="2">
        <v>44233</v>
      </c>
      <c r="C8168" s="1">
        <v>453</v>
      </c>
      <c r="D8168" s="39">
        <f t="shared" si="1210"/>
        <v>148046</v>
      </c>
      <c r="E8168" s="1">
        <v>5</v>
      </c>
      <c r="F8168" s="39">
        <f t="shared" si="1218"/>
        <v>2733</v>
      </c>
      <c r="G8168" s="168">
        <f>SUM(C8168,C8144,C8120,C8096,C8072,C8048,C8024,C8000,C7976,C7952,C7928,C7904,C7880,C7856)/POBLA!$B$7*100000</f>
        <v>181.52082862423379</v>
      </c>
      <c r="H8168" s="256">
        <f t="shared" si="1216"/>
        <v>1.2876815695151858</v>
      </c>
      <c r="I8168" s="297">
        <f t="shared" si="1219"/>
        <v>233.74102550255043</v>
      </c>
      <c r="J8168" s="297">
        <f t="shared" si="1220"/>
        <v>478.57142857142856</v>
      </c>
      <c r="K8168" s="297">
        <f>J8168/POBLA!$B$7*100000</f>
        <v>12.726440414616031</v>
      </c>
      <c r="L8168" s="549">
        <f t="shared" si="1217"/>
        <v>3.6248561565017212E-2</v>
      </c>
      <c r="M8168" s="401">
        <f>SUM(C8168,C8144,C8120,C8096,C8072,C8048,C8024)/POBLA!$B$7*100000</f>
        <v>89.085082902312223</v>
      </c>
    </row>
    <row r="8169" spans="1:13" x14ac:dyDescent="0.25">
      <c r="A8169" s="361" t="s">
        <v>31</v>
      </c>
      <c r="B8169" s="2">
        <v>44233</v>
      </c>
      <c r="C8169" s="1">
        <v>228</v>
      </c>
      <c r="D8169" s="39">
        <f t="shared" si="1210"/>
        <v>42417</v>
      </c>
      <c r="E8169" s="1">
        <v>2</v>
      </c>
      <c r="F8169" s="39">
        <f t="shared" si="1218"/>
        <v>760</v>
      </c>
      <c r="G8169" s="168">
        <f>SUM(C8169,C8145,C8121,C8097,C8073,C8049,C8025,C8001,C7977,C7953,C7929,C7905,C7881,C7857)/POBLA!$B$8*100000</f>
        <v>257.07794086557988</v>
      </c>
      <c r="H8169" s="256">
        <f t="shared" si="1216"/>
        <v>0.62917181705809644</v>
      </c>
      <c r="I8169" s="297">
        <f t="shared" si="1219"/>
        <v>161.74619517995075</v>
      </c>
      <c r="J8169" s="297">
        <f t="shared" si="1220"/>
        <v>222.14285714285714</v>
      </c>
      <c r="K8169" s="297">
        <f>J8169/POBLA!$B$8*100000</f>
        <v>16.028074176896546</v>
      </c>
      <c r="L8169" s="549">
        <f t="shared" si="1217"/>
        <v>0.22559760956175301</v>
      </c>
      <c r="M8169" s="401">
        <f>SUM(C8169,C8145,C8121,C8097,C8073,C8049,C8025)/POBLA!$B$8*100000</f>
        <v>112.19651923827583</v>
      </c>
    </row>
    <row r="8170" spans="1:13" s="360" customFormat="1" x14ac:dyDescent="0.25">
      <c r="A8170" s="361" t="s">
        <v>41</v>
      </c>
      <c r="B8170" s="2">
        <v>44233</v>
      </c>
      <c r="C8170" s="1">
        <v>1</v>
      </c>
      <c r="D8170" s="39">
        <f t="shared" si="1210"/>
        <v>868</v>
      </c>
      <c r="E8170" s="1"/>
      <c r="F8170" s="39">
        <f t="shared" si="1218"/>
        <v>9</v>
      </c>
      <c r="G8170" s="168">
        <f>SUM(C8170,C8146,C8122,C8098,C8074,C8050,C8026,C8002,C7978,C7954,C7930,C7906,C7882,C7858)/POBLA!$B$9*100000</f>
        <v>11.236085017506813</v>
      </c>
      <c r="H8170" s="256">
        <f t="shared" si="1216"/>
        <v>0.1256931608133087</v>
      </c>
      <c r="I8170" s="297">
        <f t="shared" si="1219"/>
        <v>1.4122990410174923</v>
      </c>
      <c r="J8170" s="297">
        <f t="shared" si="1220"/>
        <v>3.5714285714285716</v>
      </c>
      <c r="K8170" s="297">
        <f>J8170/POBLA!$B$9*100000</f>
        <v>0.59013051562535779</v>
      </c>
      <c r="L8170" s="549">
        <f t="shared" si="1217"/>
        <v>0.41860465116279066</v>
      </c>
      <c r="M8170" s="401">
        <f>SUM(C8170,C8146,C8122,C8098,C8074,C8050,C8026)/POBLA!$B$9*100000</f>
        <v>4.1309136093775045</v>
      </c>
    </row>
    <row r="8171" spans="1:13" s="360" customFormat="1" x14ac:dyDescent="0.25">
      <c r="A8171" s="361" t="s">
        <v>32</v>
      </c>
      <c r="B8171" s="2">
        <v>44233</v>
      </c>
      <c r="C8171" s="1">
        <v>27</v>
      </c>
      <c r="D8171" s="39">
        <f t="shared" si="1210"/>
        <v>19503</v>
      </c>
      <c r="E8171" s="1">
        <v>3</v>
      </c>
      <c r="F8171" s="39">
        <f t="shared" si="1218"/>
        <v>882</v>
      </c>
      <c r="G8171" s="168">
        <f>SUM(C8171,C8147,C8123,C8099,C8075,C8051,C8027,C8003,C7979,C7955,C7931,C7907,C7883,C7859)/POBLA!$B$10*100000</f>
        <v>56.947829820685691</v>
      </c>
      <c r="H8171" s="256">
        <f t="shared" si="1216"/>
        <v>1.1030150753768844</v>
      </c>
      <c r="I8171" s="297">
        <f t="shared" si="1219"/>
        <v>62.814314802213609</v>
      </c>
      <c r="J8171" s="297">
        <f t="shared" si="1220"/>
        <v>30.142857142857142</v>
      </c>
      <c r="K8171" s="297">
        <f>J8171/POBLA!$B$10*100000</f>
        <v>3.9101829131678092</v>
      </c>
      <c r="L8171" s="549">
        <f t="shared" si="1217"/>
        <v>7.456140350877194E-2</v>
      </c>
      <c r="M8171" s="401">
        <f>SUM(C8171,C8147,C8123,C8099,C8075,C8051,C8027)/POBLA!$B$10*100000</f>
        <v>27.371280392174668</v>
      </c>
    </row>
    <row r="8172" spans="1:13" s="360" customFormat="1" x14ac:dyDescent="0.25">
      <c r="A8172" s="361" t="s">
        <v>33</v>
      </c>
      <c r="B8172" s="2">
        <v>44233</v>
      </c>
      <c r="C8172" s="1">
        <v>65</v>
      </c>
      <c r="D8172" s="39">
        <f t="shared" si="1210"/>
        <v>17030</v>
      </c>
      <c r="E8172" s="1">
        <v>1</v>
      </c>
      <c r="F8172" s="39">
        <f t="shared" si="1218"/>
        <v>260</v>
      </c>
      <c r="G8172" s="168">
        <f>SUM(C8172,C8148,C8124,C8100,C8076,C8052,C8028,C8004,C7980,C7956,C7932,C7908,C7884,C7860)/POBLA!$B$11*100000</f>
        <v>357.11495753679958</v>
      </c>
      <c r="H8172" s="256">
        <f t="shared" si="1216"/>
        <v>0.54421768707482998</v>
      </c>
      <c r="I8172" s="297">
        <f t="shared" si="1219"/>
        <v>194.3482762105032</v>
      </c>
      <c r="J8172" s="297">
        <f t="shared" si="1220"/>
        <v>91.428571428571431</v>
      </c>
      <c r="K8172" s="297">
        <f>J8172/POBLA!$B$11*100000</f>
        <v>25.508211252628545</v>
      </c>
      <c r="L8172" s="549">
        <f t="shared" si="1217"/>
        <v>0</v>
      </c>
      <c r="M8172" s="401">
        <f>SUM(C8172,C8148,C8124,C8100,C8076,C8052,C8028)/POBLA!$B$11*100000</f>
        <v>178.55747876839979</v>
      </c>
    </row>
    <row r="8173" spans="1:13" s="360" customFormat="1" x14ac:dyDescent="0.25">
      <c r="A8173" s="361" t="s">
        <v>21</v>
      </c>
      <c r="B8173" s="2">
        <v>44233</v>
      </c>
      <c r="C8173" s="1">
        <v>31</v>
      </c>
      <c r="D8173" s="39">
        <f t="shared" si="1210"/>
        <v>9653</v>
      </c>
      <c r="E8173" s="1"/>
      <c r="F8173" s="39">
        <f t="shared" si="1218"/>
        <v>414</v>
      </c>
      <c r="G8173" s="168">
        <f>SUM(C8173,C8149,C8125,C8101,C8077,C8053,C8029,C8005,C7981,C7957,C7933,C7909,C7885,C7861)/POBLA!$B$12*100000</f>
        <v>63.781506412455428</v>
      </c>
      <c r="H8173" s="256">
        <f t="shared" si="1216"/>
        <v>1.2364532019704433</v>
      </c>
      <c r="I8173" s="297">
        <f t="shared" si="1219"/>
        <v>78.862847830178879</v>
      </c>
      <c r="J8173" s="297">
        <f t="shared" si="1220"/>
        <v>17.285714285714285</v>
      </c>
      <c r="K8173" s="297">
        <f>J8173/POBLA!$B$12*100000</f>
        <v>4.3924657233392761</v>
      </c>
      <c r="L8173" s="549">
        <f t="shared" si="1217"/>
        <v>6.9230769230769207E-2</v>
      </c>
      <c r="M8173" s="401">
        <f>SUM(C8173,C8149,C8125,C8101,C8077,C8053,C8029)/POBLA!$B$12*100000</f>
        <v>30.747260063374931</v>
      </c>
    </row>
    <row r="8174" spans="1:13" s="360" customFormat="1" x14ac:dyDescent="0.25">
      <c r="A8174" s="361" t="s">
        <v>17</v>
      </c>
      <c r="B8174" s="2">
        <v>44233</v>
      </c>
      <c r="C8174" s="1">
        <v>121</v>
      </c>
      <c r="D8174" s="39">
        <f t="shared" si="1210"/>
        <v>64690</v>
      </c>
      <c r="E8174" s="1">
        <v>3</v>
      </c>
      <c r="F8174" s="39">
        <f t="shared" si="1218"/>
        <v>1395</v>
      </c>
      <c r="G8174" s="168">
        <f>SUM(C8174,C8150,C8126,C8102,C8078,C8054,C8030,C8006,C7982,C7958,C7934,C7910,C7886,C7862)/POBLA!$B$13*100000</f>
        <v>80.287870703367972</v>
      </c>
      <c r="H8174" s="256">
        <f t="shared" si="1216"/>
        <v>0.85090521831735888</v>
      </c>
      <c r="I8174" s="297">
        <f t="shared" si="1219"/>
        <v>68.317368149085212</v>
      </c>
      <c r="J8174" s="297">
        <f t="shared" si="1220"/>
        <v>131.71428571428572</v>
      </c>
      <c r="K8174" s="297">
        <f>J8174/POBLA!$B$13*100000</f>
        <v>6.6176843186577212</v>
      </c>
      <c r="L8174" s="549">
        <f t="shared" si="1217"/>
        <v>-0.36390532544378695</v>
      </c>
      <c r="M8174" s="401">
        <f>SUM(C8174,C8150,C8126,C8102,C8078,C8054,C8030)/POBLA!$B$13*100000</f>
        <v>46.323790230604047</v>
      </c>
    </row>
    <row r="8175" spans="1:13" s="360" customFormat="1" x14ac:dyDescent="0.25">
      <c r="A8175" s="361" t="s">
        <v>23</v>
      </c>
      <c r="B8175" s="2">
        <v>44233</v>
      </c>
      <c r="C8175" s="1">
        <v>127</v>
      </c>
      <c r="D8175" s="39">
        <f t="shared" si="1210"/>
        <v>5858</v>
      </c>
      <c r="E8175" s="1">
        <v>1</v>
      </c>
      <c r="F8175" s="39">
        <f t="shared" si="1218"/>
        <v>103</v>
      </c>
      <c r="G8175" s="168">
        <f>SUM(C8175,C8151,C8127,C8103,C8079,C8055,C8031,C8007,C7983,C7959,C7935,C7911,C7887,C7863)/POBLA!$B$14*100000</f>
        <v>202.17332358672917</v>
      </c>
      <c r="H8175" s="256">
        <f t="shared" si="1216"/>
        <v>1.2924480486568677</v>
      </c>
      <c r="I8175" s="297">
        <f t="shared" si="1219"/>
        <v>261.29851756014159</v>
      </c>
      <c r="J8175" s="297">
        <f t="shared" si="1220"/>
        <v>183</v>
      </c>
      <c r="K8175" s="297">
        <f>J8175/POBLA!$B$14*100000</f>
        <v>14.50890910445939</v>
      </c>
      <c r="L8175" s="549">
        <f t="shared" si="1217"/>
        <v>-9.4562647754137252E-3</v>
      </c>
      <c r="M8175" s="401">
        <f>SUM(C8175,C8151,C8127,C8103,C8079,C8055,C8031)/POBLA!$B$14*100000</f>
        <v>101.56236373121573</v>
      </c>
    </row>
    <row r="8176" spans="1:13" s="360" customFormat="1" x14ac:dyDescent="0.25">
      <c r="A8176" s="361" t="s">
        <v>19</v>
      </c>
      <c r="B8176" s="2">
        <v>44233</v>
      </c>
      <c r="C8176" s="1">
        <v>300</v>
      </c>
      <c r="D8176" s="39">
        <f t="shared" si="1210"/>
        <v>56493</v>
      </c>
      <c r="E8176" s="1">
        <v>2</v>
      </c>
      <c r="F8176" s="39">
        <f t="shared" si="1218"/>
        <v>793</v>
      </c>
      <c r="G8176" s="168">
        <f>SUM(C8176,C8152,C8128,C8104,C8080,C8056,C8032,C8008,C7984,C7960,C7936,C7912,C7888,C7864)/POBLA!$B$15*100000</f>
        <v>851.88470266859622</v>
      </c>
      <c r="H8176" s="256">
        <f t="shared" si="1216"/>
        <v>0.95638207945900255</v>
      </c>
      <c r="I8176" s="297">
        <f t="shared" si="1219"/>
        <v>814.72726339750614</v>
      </c>
      <c r="J8176" s="297">
        <f t="shared" si="1220"/>
        <v>384.14285714285717</v>
      </c>
      <c r="K8176" s="297">
        <f>J8176/POBLA!$B$15*100000</f>
        <v>57.847874074493177</v>
      </c>
      <c r="L8176" s="549">
        <f t="shared" si="1217"/>
        <v>9.4002695417789717E-2</v>
      </c>
      <c r="M8176" s="401">
        <f>SUM(C8176,C8152,C8128,C8104,C8080,C8056,C8032)/POBLA!$B$15*100000</f>
        <v>404.93511852145224</v>
      </c>
    </row>
    <row r="8177" spans="1:13" s="360" customFormat="1" x14ac:dyDescent="0.25">
      <c r="A8177" s="361" t="s">
        <v>18</v>
      </c>
      <c r="B8177" s="2">
        <v>44233</v>
      </c>
      <c r="C8177" s="1">
        <v>136</v>
      </c>
      <c r="D8177" s="39">
        <f t="shared" si="1210"/>
        <v>49318</v>
      </c>
      <c r="E8177" s="1">
        <v>1</v>
      </c>
      <c r="F8177" s="39">
        <f t="shared" si="1218"/>
        <v>1098</v>
      </c>
      <c r="G8177" s="168">
        <f>SUM(C8177,C8153,C8129,C8105,C8081,C8057,C8033,C8009,C7985,C7961,C7937,C7913,C7889,C7865)/POBLA!$B$16*100000</f>
        <v>461.20303366728643</v>
      </c>
      <c r="H8177" s="256">
        <f t="shared" si="1216"/>
        <v>0.75168955744495314</v>
      </c>
      <c r="I8177" s="297">
        <f t="shared" si="1219"/>
        <v>346.68150426963234</v>
      </c>
      <c r="J8177" s="297">
        <f t="shared" si="1220"/>
        <v>214.85714285714286</v>
      </c>
      <c r="K8177" s="297">
        <f>J8177/POBLA!$B$16*100000</f>
        <v>28.739201302436147</v>
      </c>
      <c r="L8177" s="549">
        <f t="shared" si="1217"/>
        <v>0.22633744855967075</v>
      </c>
      <c r="M8177" s="401">
        <f>SUM(C8177,C8153,C8129,C8105,C8081,C8057,C8033)/POBLA!$B$16*100000</f>
        <v>201.17440911705302</v>
      </c>
    </row>
    <row r="8178" spans="1:13" s="360" customFormat="1" x14ac:dyDescent="0.25">
      <c r="A8178" s="361" t="s">
        <v>34</v>
      </c>
      <c r="B8178" s="2">
        <v>44233</v>
      </c>
      <c r="C8178" s="1">
        <v>92</v>
      </c>
      <c r="D8178" s="39">
        <f t="shared" si="1210"/>
        <v>24249</v>
      </c>
      <c r="E8178" s="1">
        <v>2</v>
      </c>
      <c r="F8178" s="39">
        <f t="shared" si="1218"/>
        <v>1052</v>
      </c>
      <c r="G8178" s="168">
        <f>SUM(C8178,C8154,C8130,C8106,C8082,C8058,C8034,C8010,C7986,C7962,C7938,C7914,C7890,C7866)/POBLA!$B$17*100000</f>
        <v>58.48088699990241</v>
      </c>
      <c r="H8178" s="256">
        <f t="shared" si="1216"/>
        <v>1.1458046767537826</v>
      </c>
      <c r="I8178" s="297">
        <f t="shared" si="1219"/>
        <v>67.007673825197671</v>
      </c>
      <c r="J8178" s="297">
        <f t="shared" si="1220"/>
        <v>67.285714285714292</v>
      </c>
      <c r="K8178" s="297">
        <f>J8178/POBLA!$B$17*100000</f>
        <v>4.7238034259910888</v>
      </c>
      <c r="L8178" s="549">
        <f t="shared" si="1217"/>
        <v>-0.30110497237569067</v>
      </c>
      <c r="M8178" s="401">
        <f>SUM(C8178,C8154,C8130,C8106,C8082,C8058,C8034)/POBLA!$B$17*100000</f>
        <v>33.066623981937617</v>
      </c>
    </row>
    <row r="8179" spans="1:13" s="360" customFormat="1" x14ac:dyDescent="0.25">
      <c r="A8179" s="361" t="s">
        <v>35</v>
      </c>
      <c r="B8179" s="2">
        <v>44233</v>
      </c>
      <c r="C8179" s="1">
        <v>12</v>
      </c>
      <c r="D8179" s="39">
        <f t="shared" si="1210"/>
        <v>14280</v>
      </c>
      <c r="E8179" s="1"/>
      <c r="F8179" s="39">
        <f t="shared" si="1218"/>
        <v>202</v>
      </c>
      <c r="G8179" s="168">
        <f>SUM(C8179,C8155,C8131,C8107,C8083,C8059,C8035,C8011,C7987,C7963,C7939,C7915,C7891,C7867)/POBLA!$B$18*100000</f>
        <v>95.236022769601789</v>
      </c>
      <c r="H8179" s="256">
        <f t="shared" si="1216"/>
        <v>0.63211554800339842</v>
      </c>
      <c r="I8179" s="297">
        <f t="shared" si="1219"/>
        <v>60.200170722670961</v>
      </c>
      <c r="J8179" s="297">
        <f t="shared" si="1220"/>
        <v>48.714285714285715</v>
      </c>
      <c r="K8179" s="297">
        <f>J8179/POBLA!$B$18*100000</f>
        <v>6.2356919670572601</v>
      </c>
      <c r="L8179" s="549">
        <f t="shared" si="1217"/>
        <v>0.15384615384615385</v>
      </c>
      <c r="M8179" s="401">
        <f>SUM(C8179,C8155,C8131,C8107,C8083,C8059,C8035)/POBLA!$B$18*100000</f>
        <v>43.649843769400825</v>
      </c>
    </row>
    <row r="8180" spans="1:13" s="360" customFormat="1" x14ac:dyDescent="0.25">
      <c r="A8180" s="361" t="s">
        <v>36</v>
      </c>
      <c r="B8180" s="2">
        <v>44233</v>
      </c>
      <c r="C8180" s="1">
        <v>3</v>
      </c>
      <c r="D8180" s="39">
        <f t="shared" si="1210"/>
        <v>19105</v>
      </c>
      <c r="E8180" s="1">
        <v>1</v>
      </c>
      <c r="F8180" s="39">
        <f t="shared" si="1218"/>
        <v>338</v>
      </c>
      <c r="G8180" s="168">
        <f>SUM(C8180,C8156,C8132,C8108,C8084,C8060,C8036,C8012,C7988,C7964,C7940,C7916,C7892,C7868)/POBLA!$B$19*100000</f>
        <v>138.49325632268929</v>
      </c>
      <c r="H8180" s="256">
        <f t="shared" si="1216"/>
        <v>0.3774798927613941</v>
      </c>
      <c r="I8180" s="297">
        <f t="shared" si="1219"/>
        <v>52.278419544865017</v>
      </c>
      <c r="J8180" s="297">
        <f t="shared" si="1220"/>
        <v>16.714285714285715</v>
      </c>
      <c r="K8180" s="297">
        <f>J8180/POBLA!$B$19*100000</f>
        <v>3.2880907040898233</v>
      </c>
      <c r="L8180" s="549">
        <f t="shared" si="1217"/>
        <v>0.80068143100511069</v>
      </c>
      <c r="M8180" s="401">
        <f>SUM(C8180,C8156,C8132,C8108,C8084,C8060,C8036)/POBLA!$B$19*100000</f>
        <v>23.016634928628761</v>
      </c>
    </row>
    <row r="8181" spans="1:13" s="360" customFormat="1" x14ac:dyDescent="0.25">
      <c r="A8181" s="361" t="s">
        <v>37</v>
      </c>
      <c r="B8181" s="2">
        <v>44233</v>
      </c>
      <c r="C8181" s="1">
        <v>122</v>
      </c>
      <c r="D8181" s="39">
        <f t="shared" si="1210"/>
        <v>33745</v>
      </c>
      <c r="E8181" s="1">
        <v>1</v>
      </c>
      <c r="F8181" s="39">
        <f t="shared" si="1218"/>
        <v>515</v>
      </c>
      <c r="G8181" s="168">
        <f>SUM(C8181,C8157,C8133,C8109,C8085,C8061,C8037,C8013,C7989,C7965,C7941,C7917,C7893,C7869)/POBLA!$B$20*100000</f>
        <v>655.73232558012342</v>
      </c>
      <c r="H8181" s="256">
        <f t="shared" si="1216"/>
        <v>0.54401088929219599</v>
      </c>
      <c r="I8181" s="297">
        <f t="shared" si="1219"/>
        <v>356.72552557648271</v>
      </c>
      <c r="J8181" s="297">
        <f t="shared" si="1220"/>
        <v>186.28571428571428</v>
      </c>
      <c r="K8181" s="297">
        <f>J8181/POBLA!$B$20*100000</f>
        <v>50.939768411562078</v>
      </c>
      <c r="L8181" s="549">
        <f t="shared" si="1217"/>
        <v>-0.19195612431444231</v>
      </c>
      <c r="M8181" s="401">
        <f>SUM(C8181,C8157,C8133,C8109,C8085,C8061,C8037)/POBLA!$B$20*100000</f>
        <v>356.57837888093457</v>
      </c>
    </row>
    <row r="8182" spans="1:13" s="360" customFormat="1" x14ac:dyDescent="0.25">
      <c r="A8182" s="361" t="s">
        <v>22</v>
      </c>
      <c r="B8182" s="2">
        <v>44233</v>
      </c>
      <c r="C8182" s="1">
        <v>431</v>
      </c>
      <c r="D8182" s="39">
        <f t="shared" si="1210"/>
        <v>209048</v>
      </c>
      <c r="E8182" s="1">
        <v>6</v>
      </c>
      <c r="F8182" s="39">
        <f t="shared" si="1218"/>
        <v>3702</v>
      </c>
      <c r="G8182" s="168">
        <f>SUM(C8182,C8158,C8134,C8110,C8086,C8062,C8038,C8014,C7990,C7966,C7942,C7918,C7894,C7870)/POBLA!$B$21*100000</f>
        <v>222.28707126815891</v>
      </c>
      <c r="H8182" s="256">
        <f t="shared" si="1216"/>
        <v>0.51389161273452311</v>
      </c>
      <c r="I8182" s="297">
        <f t="shared" si="1219"/>
        <v>114.23146154402805</v>
      </c>
      <c r="J8182" s="297">
        <f t="shared" si="1220"/>
        <v>491.28571428571428</v>
      </c>
      <c r="K8182" s="297">
        <f>J8182/POBLA!$B$21*100000</f>
        <v>13.892184529252884</v>
      </c>
      <c r="L8182" s="549">
        <f t="shared" si="1217"/>
        <v>0.22229760289461786</v>
      </c>
      <c r="M8182" s="401">
        <f>SUM(C8182,C8158,C8134,C8110,C8086,C8062,C8038)/POBLA!$B$21*100000</f>
        <v>97.245291704770196</v>
      </c>
    </row>
    <row r="8183" spans="1:13" s="360" customFormat="1" x14ac:dyDescent="0.25">
      <c r="A8183" s="361" t="s">
        <v>38</v>
      </c>
      <c r="B8183" s="2">
        <v>44233</v>
      </c>
      <c r="C8183" s="1">
        <v>70</v>
      </c>
      <c r="D8183" s="39">
        <f t="shared" si="1210"/>
        <v>21349</v>
      </c>
      <c r="E8183" s="1"/>
      <c r="F8183" s="39">
        <f t="shared" si="1218"/>
        <v>247</v>
      </c>
      <c r="G8183" s="168">
        <f>SUM(C8183,C8159,C8135,C8111,C8087,C8063,C8039,C8015,C7991,C7967,C7943,C7919,C7895,C7871)/POBLA!$B$22*100000</f>
        <v>104.36332748312655</v>
      </c>
      <c r="H8183" s="256">
        <f t="shared" si="1216"/>
        <v>0.57488738738738743</v>
      </c>
      <c r="I8183" s="297">
        <f t="shared" si="1219"/>
        <v>59.997160675828951</v>
      </c>
      <c r="J8183" s="297">
        <f t="shared" si="1220"/>
        <v>83.857142857142861</v>
      </c>
      <c r="K8183" s="297">
        <f>J8183/POBLA!$B$22*100000</f>
        <v>8.5716067206653559</v>
      </c>
      <c r="L8183" s="549">
        <f t="shared" si="1217"/>
        <v>-0.35253456221198154</v>
      </c>
      <c r="M8183" s="401">
        <f>SUM(C8183,C8159,C8135,C8111,C8087,C8063,C8039)/POBLA!$B$22*100000</f>
        <v>60.001247044657482</v>
      </c>
    </row>
    <row r="8184" spans="1:13" s="360" customFormat="1" x14ac:dyDescent="0.25">
      <c r="A8184" s="361" t="s">
        <v>39</v>
      </c>
      <c r="B8184" s="2">
        <v>44233</v>
      </c>
      <c r="C8184" s="1">
        <v>17</v>
      </c>
      <c r="D8184" s="39">
        <f t="shared" si="1210"/>
        <v>22062</v>
      </c>
      <c r="E8184" s="1"/>
      <c r="F8184" s="39">
        <f t="shared" si="1218"/>
        <v>338</v>
      </c>
      <c r="G8184" s="168">
        <f>SUM(C8184,C8160,C8136,C8112,C8088,C8064,C8040,C8016,C7992,C7968,C7944,C7920,C7896,C7872)/POBLA!$B$23*100000</f>
        <v>406.03969914607251</v>
      </c>
      <c r="H8184" s="256">
        <f t="shared" si="1216"/>
        <v>0.57578187650360868</v>
      </c>
      <c r="I8184" s="297">
        <f t="shared" si="1219"/>
        <v>233.79029990928635</v>
      </c>
      <c r="J8184" s="297">
        <f t="shared" si="1220"/>
        <v>41</v>
      </c>
      <c r="K8184" s="297">
        <f>J8184/POBLA!$B$23*100000</f>
        <v>23.186110954023636</v>
      </c>
      <c r="L8184" s="549">
        <f t="shared" si="1217"/>
        <v>0.33410672853828305</v>
      </c>
      <c r="M8184" s="401">
        <f>SUM(C8184,C8160,C8136,C8112,C8088,C8064,C8040)/POBLA!$B$23*100000</f>
        <v>162.30277667816546</v>
      </c>
    </row>
    <row r="8185" spans="1:13" s="360" customFormat="1" ht="15.75" thickBot="1" x14ac:dyDescent="0.3">
      <c r="A8185" s="361" t="s">
        <v>40</v>
      </c>
      <c r="B8185" s="2">
        <v>44233</v>
      </c>
      <c r="C8185" s="1">
        <v>92</v>
      </c>
      <c r="D8185" s="176">
        <f t="shared" si="1210"/>
        <v>77244</v>
      </c>
      <c r="E8185" s="1"/>
      <c r="F8185" s="176">
        <f t="shared" si="1218"/>
        <v>1438</v>
      </c>
      <c r="G8185" s="177">
        <f>SUM(C8185,C8161,C8137,C8113,C8089,C8065,C8041,C8017,C7993,C7969,C7945,C7921,C7897,C7873)/POBLA!$B$24*100000</f>
        <v>117.90003398919899</v>
      </c>
      <c r="H8185" s="402">
        <f t="shared" si="1216"/>
        <v>0.79160063391442159</v>
      </c>
      <c r="I8185" s="403">
        <f t="shared" si="1219"/>
        <v>93.32974164438177</v>
      </c>
      <c r="J8185" s="403">
        <f t="shared" si="1220"/>
        <v>131.28571428571428</v>
      </c>
      <c r="K8185" s="403">
        <f>J8185/POBLA!$B$24*100000</f>
        <v>7.7470421304214119</v>
      </c>
      <c r="L8185" s="550">
        <f t="shared" si="1217"/>
        <v>0.14828544949026878</v>
      </c>
      <c r="M8185" s="405">
        <f>SUM(C8185,C8161,C8137,C8113,C8089,C8065,C8041)/POBLA!$B$24*100000</f>
        <v>54.229294912949882</v>
      </c>
    </row>
    <row r="8186" spans="1:13" s="360" customFormat="1" x14ac:dyDescent="0.25">
      <c r="A8186" s="361" t="s">
        <v>16</v>
      </c>
      <c r="B8186" s="2">
        <v>44234</v>
      </c>
      <c r="C8186" s="1">
        <v>1498</v>
      </c>
      <c r="D8186" s="174">
        <f t="shared" si="1210"/>
        <v>826481</v>
      </c>
      <c r="E8186" s="1">
        <v>14</v>
      </c>
      <c r="F8186" s="174">
        <f>E8186+F8162</f>
        <v>24995</v>
      </c>
      <c r="G8186" s="175">
        <f>SUM(C8186,C8162,C8138,C8114,C8090,C8066,C8042,C8018,C7994,C7970,C7946,C7922,C7898,C7874)/POBLA!$B$1*100000</f>
        <v>272.79867370087271</v>
      </c>
      <c r="H8186" s="300">
        <f t="shared" ref="H8186:H8209" si="1221">SUM(C8186,C8162,C8138,C8114,C8090,C8066,C8042,C8018,C7994,C7970,C7946,C7922,C7898,C7874)/SUM(C7850,C7826,C7802,C7778,C7754,C7730,C7706,C7682,C7658,C7634,C7610,C7586,C7562,C7538)</f>
        <v>0.84432289369210412</v>
      </c>
      <c r="I8186" s="301">
        <f>G8186*H8186</f>
        <v>230.33016557448894</v>
      </c>
      <c r="J8186" s="301">
        <f>AVERAGE(C8186,C8162,C8138,C8114,C8090,C8066,C8042)</f>
        <v>3161.8571428571427</v>
      </c>
      <c r="K8186" s="301">
        <f>J8186/POBLA!$B$1*100000</f>
        <v>18.02537898108876</v>
      </c>
      <c r="L8186" s="548">
        <f t="shared" ref="L8186:L8209" si="1222">1-SUM(C8186,C8162,C8138,C8114,C8090,C8066,C8042)/SUM(C8018,C7994,C7970,C7946,C7922,C7898,C7874)</f>
        <v>0.13942999339010065</v>
      </c>
      <c r="M8186" s="400">
        <f>SUM(C8186,C8162,C8138,C8114,C8090,C8066,C8042)/POBLA!$B$1*100000</f>
        <v>126.17765286762133</v>
      </c>
    </row>
    <row r="8187" spans="1:13" s="360" customFormat="1" x14ac:dyDescent="0.25">
      <c r="A8187" s="361" t="s">
        <v>43</v>
      </c>
      <c r="B8187" s="2">
        <v>44234</v>
      </c>
      <c r="C8187" s="1">
        <v>577</v>
      </c>
      <c r="D8187" s="39">
        <f t="shared" si="1210"/>
        <v>217067</v>
      </c>
      <c r="E8187" s="1">
        <v>26</v>
      </c>
      <c r="F8187" s="39">
        <f t="shared" ref="F8187:F8209" si="1223">E8187+F8163</f>
        <v>6170</v>
      </c>
      <c r="G8187" s="168">
        <f>SUM(C8187,C8163,C8139,C8115,C8091,C8067,C8043,C8019,C7995,C7971,C7947,C7923,C7899,C7875)/POBLA!$B$2*100000</f>
        <v>469.95005276940191</v>
      </c>
      <c r="H8187" s="256">
        <f t="shared" si="1221"/>
        <v>0.87198359073359077</v>
      </c>
      <c r="I8187" s="297">
        <f t="shared" ref="I8187:I8209" si="1224">G8187*H8187</f>
        <v>409.78873447930351</v>
      </c>
      <c r="J8187" s="297">
        <f t="shared" ref="J8187:J8209" si="1225">AVERAGE(C8187,C8163,C8139,C8115,C8091,C8067,C8043)</f>
        <v>974.14285714285711</v>
      </c>
      <c r="K8187" s="297">
        <f>J8187/POBLA!$B$2*100000</f>
        <v>31.67278864807124</v>
      </c>
      <c r="L8187" s="549">
        <f t="shared" si="1222"/>
        <v>0.1068762278978389</v>
      </c>
      <c r="M8187" s="401">
        <f>SUM(C8187,C8163,C8139,C8115,C8091,C8067,C8043)/POBLA!$B$2*100000</f>
        <v>221.70952053649867</v>
      </c>
    </row>
    <row r="8188" spans="1:13" s="360" customFormat="1" x14ac:dyDescent="0.25">
      <c r="A8188" s="361" t="s">
        <v>28</v>
      </c>
      <c r="B8188" s="2">
        <v>44234</v>
      </c>
      <c r="C8188" s="1">
        <v>63</v>
      </c>
      <c r="D8188" s="39">
        <f t="shared" si="1210"/>
        <v>6191</v>
      </c>
      <c r="E8188" s="1"/>
      <c r="F8188" s="39">
        <f t="shared" si="1223"/>
        <v>17</v>
      </c>
      <c r="G8188" s="168">
        <f>SUM(C8188,C8164,C8140,C8116,C8092,C8068,C8044,C8020,C7996,C7972,C7948,C7924,C7900,C7876)/POBLA!$B$3*100000</f>
        <v>351.43631540687176</v>
      </c>
      <c r="H8188" s="256">
        <f t="shared" si="1221"/>
        <v>0.93709884467265725</v>
      </c>
      <c r="I8188" s="297">
        <f t="shared" si="1224"/>
        <v>329.33056514379507</v>
      </c>
      <c r="J8188" s="297">
        <f t="shared" si="1225"/>
        <v>115.42857142857143</v>
      </c>
      <c r="K8188" s="297">
        <f>J8188/POBLA!$B$3*100000</f>
        <v>27.784788928449355</v>
      </c>
      <c r="L8188" s="549">
        <f t="shared" si="1222"/>
        <v>-0.23926380368098155</v>
      </c>
      <c r="M8188" s="401">
        <f>SUM(C8188,C8164,C8140,C8116,C8092,C8068,C8044)/POBLA!$B$3*100000</f>
        <v>194.49352249914548</v>
      </c>
    </row>
    <row r="8189" spans="1:13" s="360" customFormat="1" x14ac:dyDescent="0.25">
      <c r="A8189" s="361" t="s">
        <v>15</v>
      </c>
      <c r="B8189" s="2">
        <v>44234</v>
      </c>
      <c r="C8189" s="1">
        <v>105</v>
      </c>
      <c r="D8189" s="39">
        <f t="shared" si="1210"/>
        <v>31666</v>
      </c>
      <c r="E8189" s="1"/>
      <c r="F8189" s="39">
        <f t="shared" si="1223"/>
        <v>809</v>
      </c>
      <c r="G8189" s="168">
        <f>SUM(C8189,C8165,C8141,C8117,C8093,C8069,C8045,C8021,C7997,C7973,C7949,C7925,C7901,C7877)/POBLA!$B$4*100000</f>
        <v>153.75151198672356</v>
      </c>
      <c r="H8189" s="256">
        <f t="shared" si="1221"/>
        <v>0.64194107452339688</v>
      </c>
      <c r="I8189" s="297">
        <f t="shared" si="1224"/>
        <v>98.699410814354252</v>
      </c>
      <c r="J8189" s="297">
        <f t="shared" si="1225"/>
        <v>130.28571428571428</v>
      </c>
      <c r="K8189" s="297">
        <f>J8189/POBLA!$B$4*100000</f>
        <v>10.816212506316869</v>
      </c>
      <c r="L8189" s="549">
        <f t="shared" si="1222"/>
        <v>2.9787234042553234E-2</v>
      </c>
      <c r="M8189" s="401">
        <f>SUM(C8189,C8165,C8141,C8117,C8093,C8069,C8045)/POBLA!$B$4*100000</f>
        <v>75.713487544218083</v>
      </c>
    </row>
    <row r="8190" spans="1:13" s="360" customFormat="1" x14ac:dyDescent="0.25">
      <c r="A8190" s="361" t="s">
        <v>29</v>
      </c>
      <c r="B8190" s="2">
        <v>44234</v>
      </c>
      <c r="C8190" s="1">
        <v>62</v>
      </c>
      <c r="D8190" s="39">
        <f t="shared" si="1210"/>
        <v>43912</v>
      </c>
      <c r="E8190" s="1">
        <v>1</v>
      </c>
      <c r="F8190" s="39">
        <f t="shared" si="1223"/>
        <v>671</v>
      </c>
      <c r="G8190" s="168">
        <f>SUM(C8190,C8166,C8142,C8118,C8094,C8070,C8046,C8022,C7998,C7974,C7950,C7926,C7902,C7878)/POBLA!$B$5*100000</f>
        <v>590.63577352930724</v>
      </c>
      <c r="H8190" s="256">
        <f t="shared" si="1221"/>
        <v>0.74068071312803885</v>
      </c>
      <c r="I8190" s="297">
        <f t="shared" si="1224"/>
        <v>437.47252593661813</v>
      </c>
      <c r="J8190" s="297">
        <f t="shared" si="1225"/>
        <v>229.42857142857142</v>
      </c>
      <c r="K8190" s="297">
        <f>J8190/POBLA!$B$5*100000</f>
        <v>37.064748839014825</v>
      </c>
      <c r="L8190" s="549">
        <f t="shared" si="1222"/>
        <v>0.21658536585365851</v>
      </c>
      <c r="M8190" s="401">
        <f>SUM(C8190,C8166,C8142,C8118,C8094,C8070,C8046)/POBLA!$B$5*100000</f>
        <v>259.45324187310376</v>
      </c>
    </row>
    <row r="8191" spans="1:13" s="360" customFormat="1" x14ac:dyDescent="0.25">
      <c r="A8191" s="361" t="s">
        <v>30</v>
      </c>
      <c r="B8191" s="2">
        <v>44234</v>
      </c>
      <c r="C8191" s="1">
        <v>14</v>
      </c>
      <c r="D8191" s="39">
        <f t="shared" si="1210"/>
        <v>18733</v>
      </c>
      <c r="E8191" s="1"/>
      <c r="F8191" s="39">
        <f t="shared" si="1223"/>
        <v>206</v>
      </c>
      <c r="G8191" s="168">
        <f>SUM(C8191,C8167,C8143,C8119,C8095,C8071,C8047,C8023,C7999,C7975,C7951,C7927,C7903,C7879)/POBLA!$B$6*100000</f>
        <v>216.80922840004601</v>
      </c>
      <c r="H8191" s="256">
        <f t="shared" si="1221"/>
        <v>0.48290937996820349</v>
      </c>
      <c r="I8191" s="297">
        <f t="shared" si="1224"/>
        <v>104.69921005805084</v>
      </c>
      <c r="J8191" s="297">
        <f t="shared" si="1225"/>
        <v>194.28571428571428</v>
      </c>
      <c r="K8191" s="297">
        <f>J8191/POBLA!$B$6*100000</f>
        <v>17.334541482896096</v>
      </c>
      <c r="L8191" s="549">
        <f t="shared" si="1222"/>
        <v>-0.27102803738317749</v>
      </c>
      <c r="M8191" s="401">
        <f>SUM(C8191,C8167,C8143,C8119,C8095,C8071,C8047)/POBLA!$B$6*100000</f>
        <v>121.34179038027267</v>
      </c>
    </row>
    <row r="8192" spans="1:13" s="360" customFormat="1" x14ac:dyDescent="0.25">
      <c r="A8192" s="361" t="s">
        <v>20</v>
      </c>
      <c r="B8192" s="2">
        <v>44234</v>
      </c>
      <c r="C8192" s="1">
        <v>225</v>
      </c>
      <c r="D8192" s="39">
        <f t="shared" si="1210"/>
        <v>148271</v>
      </c>
      <c r="E8192" s="1">
        <v>3</v>
      </c>
      <c r="F8192" s="39">
        <f t="shared" si="1223"/>
        <v>2736</v>
      </c>
      <c r="G8192" s="168">
        <f>SUM(C8192,C8168,C8144,C8120,C8096,C8072,C8048,C8024,C8000,C7976,C7952,C7928,C7904,C7880)/POBLA!$B$7*100000</f>
        <v>180.48371870387851</v>
      </c>
      <c r="H8192" s="256">
        <f t="shared" si="1221"/>
        <v>1.2462357693720161</v>
      </c>
      <c r="I8192" s="297">
        <f t="shared" si="1224"/>
        <v>224.92526603805055</v>
      </c>
      <c r="J8192" s="297">
        <f t="shared" si="1225"/>
        <v>461.57142857142856</v>
      </c>
      <c r="K8192" s="297">
        <f>J8192/POBLA!$B$7*100000</f>
        <v>12.274366859589374</v>
      </c>
      <c r="L8192" s="549">
        <f t="shared" si="1222"/>
        <v>9.1394825646794131E-2</v>
      </c>
      <c r="M8192" s="401">
        <f>SUM(C8192,C8168,C8144,C8120,C8096,C8072,C8048)/POBLA!$B$7*100000</f>
        <v>85.920568017125603</v>
      </c>
    </row>
    <row r="8193" spans="1:13" x14ac:dyDescent="0.25">
      <c r="A8193" s="361" t="s">
        <v>31</v>
      </c>
      <c r="B8193" s="2">
        <v>44234</v>
      </c>
      <c r="C8193" s="1">
        <v>105</v>
      </c>
      <c r="D8193" s="39">
        <f t="shared" si="1210"/>
        <v>42522</v>
      </c>
      <c r="E8193" s="1">
        <v>1</v>
      </c>
      <c r="F8193" s="39">
        <f t="shared" si="1223"/>
        <v>761</v>
      </c>
      <c r="G8193" s="168">
        <f>SUM(C8193,C8169,C8145,C8121,C8097,C8073,C8049,C8025,C8001,C7977,C7953,C7929,C7905,C7881)/POBLA!$B$8*100000</f>
        <v>248.8526011915198</v>
      </c>
      <c r="H8193" s="256">
        <f t="shared" si="1221"/>
        <v>0.62346348517715111</v>
      </c>
      <c r="I8193" s="297">
        <f t="shared" si="1224"/>
        <v>155.15051003426461</v>
      </c>
      <c r="J8193" s="297">
        <f t="shared" si="1225"/>
        <v>219</v>
      </c>
      <c r="K8193" s="297">
        <f>J8193/POBLA!$B$8*100000</f>
        <v>15.801310426483862</v>
      </c>
      <c r="L8193" s="549">
        <f t="shared" si="1222"/>
        <v>0.19989561586638827</v>
      </c>
      <c r="M8193" s="401">
        <f>SUM(C8193,C8169,C8145,C8121,C8097,C8073,C8049)/POBLA!$B$8*100000</f>
        <v>110.60917298538703</v>
      </c>
    </row>
    <row r="8194" spans="1:13" s="360" customFormat="1" x14ac:dyDescent="0.25">
      <c r="A8194" s="361" t="s">
        <v>41</v>
      </c>
      <c r="B8194" s="2">
        <v>44234</v>
      </c>
      <c r="C8194" s="1">
        <v>10</v>
      </c>
      <c r="D8194" s="39">
        <f t="shared" si="1210"/>
        <v>878</v>
      </c>
      <c r="E8194" s="1"/>
      <c r="F8194" s="39">
        <f t="shared" si="1223"/>
        <v>9</v>
      </c>
      <c r="G8194" s="168">
        <f>SUM(C8194,C8170,C8146,C8122,C8098,C8074,C8050,C8026,C8002,C7978,C7954,C7930,C7906,C7882)/POBLA!$B$9*100000</f>
        <v>11.897031195007214</v>
      </c>
      <c r="H8194" s="256">
        <f t="shared" si="1221"/>
        <v>0.13980582524271845</v>
      </c>
      <c r="I8194" s="297">
        <f t="shared" si="1224"/>
        <v>1.6632742641563485</v>
      </c>
      <c r="J8194" s="297">
        <f t="shared" si="1225"/>
        <v>5</v>
      </c>
      <c r="K8194" s="297">
        <f>J8194/POBLA!$B$9*100000</f>
        <v>0.82618272187550079</v>
      </c>
      <c r="L8194" s="549">
        <f t="shared" si="1222"/>
        <v>5.4054054054054057E-2</v>
      </c>
      <c r="M8194" s="401">
        <f>SUM(C8194,C8170,C8146,C8122,C8098,C8074,C8050)/POBLA!$B$9*100000</f>
        <v>5.7832790531285063</v>
      </c>
    </row>
    <row r="8195" spans="1:13" s="360" customFormat="1" x14ac:dyDescent="0.25">
      <c r="A8195" s="361" t="s">
        <v>32</v>
      </c>
      <c r="B8195" s="2">
        <v>44234</v>
      </c>
      <c r="C8195" s="1">
        <v>17</v>
      </c>
      <c r="D8195" s="39">
        <f t="shared" ref="D8195:D8258" si="1226">C8195+D8171</f>
        <v>19520</v>
      </c>
      <c r="E8195" s="1">
        <v>3</v>
      </c>
      <c r="F8195" s="39">
        <f t="shared" si="1223"/>
        <v>885</v>
      </c>
      <c r="G8195" s="168">
        <f>SUM(C8195,C8171,C8147,C8123,C8099,C8075,C8051,C8027,C8003,C7979,C7955,C7931,C7907,C7883)/POBLA!$B$10*100000</f>
        <v>55.391169324448256</v>
      </c>
      <c r="H8195" s="256">
        <f t="shared" si="1221"/>
        <v>1.0491400491400491</v>
      </c>
      <c r="I8195" s="297">
        <f t="shared" si="1224"/>
        <v>58.113094106976426</v>
      </c>
      <c r="J8195" s="297">
        <f t="shared" si="1225"/>
        <v>30.142857142857142</v>
      </c>
      <c r="K8195" s="297">
        <f>J8195/POBLA!$B$10*100000</f>
        <v>3.9101829131678092</v>
      </c>
      <c r="L8195" s="549">
        <f t="shared" si="1222"/>
        <v>2.314814814814814E-2</v>
      </c>
      <c r="M8195" s="401">
        <f>SUM(C8195,C8171,C8147,C8123,C8099,C8075,C8051)/POBLA!$B$10*100000</f>
        <v>27.371280392174668</v>
      </c>
    </row>
    <row r="8196" spans="1:13" s="360" customFormat="1" x14ac:dyDescent="0.25">
      <c r="A8196" s="361" t="s">
        <v>33</v>
      </c>
      <c r="B8196" s="2">
        <v>44234</v>
      </c>
      <c r="C8196" s="1">
        <v>58</v>
      </c>
      <c r="D8196" s="39">
        <f t="shared" si="1226"/>
        <v>17088</v>
      </c>
      <c r="E8196" s="1"/>
      <c r="F8196" s="39">
        <f t="shared" si="1223"/>
        <v>260</v>
      </c>
      <c r="G8196" s="168">
        <f>SUM(C8196,C8172,C8148,C8124,C8100,C8076,C8052,C8028,C8004,C7980,C7956,C7932,C7908,C7884)/POBLA!$B$11*100000</f>
        <v>361.29989844543394</v>
      </c>
      <c r="H8196" s="256">
        <f t="shared" si="1221"/>
        <v>0.56476232010466643</v>
      </c>
      <c r="I8196" s="297">
        <f t="shared" si="1224"/>
        <v>204.04856889962363</v>
      </c>
      <c r="J8196" s="297">
        <f t="shared" si="1225"/>
        <v>92.714285714285708</v>
      </c>
      <c r="K8196" s="297">
        <f>J8196/POBLA!$B$11*100000</f>
        <v>25.866920473368626</v>
      </c>
      <c r="L8196" s="549">
        <f t="shared" si="1222"/>
        <v>-4.6439628482972672E-3</v>
      </c>
      <c r="M8196" s="401">
        <f>SUM(C8196,C8172,C8148,C8124,C8100,C8076,C8052)/POBLA!$B$11*100000</f>
        <v>181.06844331358042</v>
      </c>
    </row>
    <row r="8197" spans="1:13" s="360" customFormat="1" x14ac:dyDescent="0.25">
      <c r="A8197" s="361" t="s">
        <v>21</v>
      </c>
      <c r="B8197" s="2">
        <v>44234</v>
      </c>
      <c r="C8197" s="1">
        <v>32</v>
      </c>
      <c r="D8197" s="39">
        <f t="shared" si="1226"/>
        <v>9685</v>
      </c>
      <c r="E8197" s="1"/>
      <c r="F8197" s="39">
        <f t="shared" si="1223"/>
        <v>414</v>
      </c>
      <c r="G8197" s="168">
        <f>SUM(C8197,C8173,C8149,C8125,C8101,C8077,C8053,C8029,C8005,C7981,C7957,C7933,C7909,C7885)/POBLA!$B$12*100000</f>
        <v>62.765068063252961</v>
      </c>
      <c r="H8197" s="256">
        <f t="shared" si="1221"/>
        <v>1.1026785714285714</v>
      </c>
      <c r="I8197" s="297">
        <f t="shared" si="1224"/>
        <v>69.209695587604827</v>
      </c>
      <c r="J8197" s="297">
        <f t="shared" si="1225"/>
        <v>19.571428571428573</v>
      </c>
      <c r="K8197" s="297">
        <f>J8197/POBLA!$B$12*100000</f>
        <v>4.9732876371692631</v>
      </c>
      <c r="L8197" s="549">
        <f t="shared" si="1222"/>
        <v>-0.24545454545454537</v>
      </c>
      <c r="M8197" s="401">
        <f>SUM(C8197,C8173,C8149,C8125,C8101,C8077,C8053)/POBLA!$B$12*100000</f>
        <v>34.813013460184834</v>
      </c>
    </row>
    <row r="8198" spans="1:13" s="360" customFormat="1" x14ac:dyDescent="0.25">
      <c r="A8198" s="361" t="s">
        <v>17</v>
      </c>
      <c r="B8198" s="2">
        <v>44234</v>
      </c>
      <c r="C8198" s="1">
        <v>38</v>
      </c>
      <c r="D8198" s="39">
        <f t="shared" si="1226"/>
        <v>64728</v>
      </c>
      <c r="E8198" s="1">
        <v>3</v>
      </c>
      <c r="F8198" s="39">
        <f t="shared" si="1223"/>
        <v>1398</v>
      </c>
      <c r="G8198" s="168">
        <f>SUM(C8198,C8174,C8150,C8126,C8102,C8078,C8054,C8030,C8006,C7982,C7958,C7934,C7910,C7886)/POBLA!$B$13*100000</f>
        <v>79.031802638546822</v>
      </c>
      <c r="H8198" s="256">
        <f t="shared" si="1221"/>
        <v>0.84343163538874</v>
      </c>
      <c r="I8198" s="297">
        <f t="shared" si="1224"/>
        <v>66.657922547149681</v>
      </c>
      <c r="J8198" s="297">
        <f t="shared" si="1225"/>
        <v>130.71428571428572</v>
      </c>
      <c r="K8198" s="297">
        <f>J8198/POBLA!$B$13*100000</f>
        <v>6.5674415960648762</v>
      </c>
      <c r="L8198" s="549">
        <f t="shared" si="1222"/>
        <v>-0.39057750759878429</v>
      </c>
      <c r="M8198" s="401">
        <f>SUM(C8198,C8174,C8150,C8126,C8102,C8078,C8054)/POBLA!$B$13*100000</f>
        <v>45.972091172454121</v>
      </c>
    </row>
    <row r="8199" spans="1:13" s="360" customFormat="1" x14ac:dyDescent="0.25">
      <c r="A8199" s="361" t="s">
        <v>23</v>
      </c>
      <c r="B8199" s="2">
        <v>44234</v>
      </c>
      <c r="C8199" s="1">
        <v>204</v>
      </c>
      <c r="D8199" s="39">
        <f t="shared" si="1226"/>
        <v>6062</v>
      </c>
      <c r="E8199" s="1">
        <v>2</v>
      </c>
      <c r="F8199" s="39">
        <f t="shared" si="1223"/>
        <v>105</v>
      </c>
      <c r="G8199" s="168">
        <f>SUM(C8199,C8175,C8151,C8127,C8103,C8079,C8055,C8031,C8007,C7983,C7959,C7935,C7911,C7887)/POBLA!$B$14*100000</f>
        <v>205.74108812061263</v>
      </c>
      <c r="H8199" s="256">
        <f t="shared" si="1221"/>
        <v>1.2833827893175074</v>
      </c>
      <c r="I8199" s="297">
        <f t="shared" si="1224"/>
        <v>264.04457154945089</v>
      </c>
      <c r="J8199" s="297">
        <f t="shared" si="1225"/>
        <v>193.28571428571428</v>
      </c>
      <c r="K8199" s="297">
        <f>J8199/POBLA!$B$14*100000</f>
        <v>15.324398140775607</v>
      </c>
      <c r="L8199" s="549">
        <f t="shared" si="1222"/>
        <v>-8.9371980676328455E-2</v>
      </c>
      <c r="M8199" s="401">
        <f>SUM(C8199,C8175,C8151,C8127,C8103,C8079,C8055)/POBLA!$B$14*100000</f>
        <v>107.27078698542925</v>
      </c>
    </row>
    <row r="8200" spans="1:13" s="360" customFormat="1" x14ac:dyDescent="0.25">
      <c r="A8200" s="361" t="s">
        <v>19</v>
      </c>
      <c r="B8200" s="2">
        <v>44234</v>
      </c>
      <c r="C8200" s="1">
        <v>162</v>
      </c>
      <c r="D8200" s="39">
        <f t="shared" si="1226"/>
        <v>56655</v>
      </c>
      <c r="E8200" s="1">
        <v>1</v>
      </c>
      <c r="F8200" s="39">
        <f t="shared" si="1223"/>
        <v>794</v>
      </c>
      <c r="G8200" s="168">
        <f>SUM(C8200,C8176,C8152,C8128,C8104,C8080,C8056,C8032,C8008,C7984,C7960,C7936,C7912,C7888)/POBLA!$B$15*100000</f>
        <v>853.84236594147796</v>
      </c>
      <c r="H8200" s="256">
        <f t="shared" si="1221"/>
        <v>0.97172236503856046</v>
      </c>
      <c r="I8200" s="297">
        <f t="shared" si="1224"/>
        <v>829.69772320277298</v>
      </c>
      <c r="J8200" s="297">
        <f t="shared" si="1225"/>
        <v>371.14285714285717</v>
      </c>
      <c r="K8200" s="297">
        <f>J8200/POBLA!$B$15*100000</f>
        <v>55.890210801611481</v>
      </c>
      <c r="L8200" s="549">
        <f t="shared" si="1222"/>
        <v>0.154296875</v>
      </c>
      <c r="M8200" s="401">
        <f>SUM(C8200,C8176,C8152,C8128,C8104,C8080,C8056)/POBLA!$B$15*100000</f>
        <v>391.23147561128036</v>
      </c>
    </row>
    <row r="8201" spans="1:13" s="360" customFormat="1" x14ac:dyDescent="0.25">
      <c r="A8201" s="361" t="s">
        <v>18</v>
      </c>
      <c r="B8201" s="2">
        <v>44234</v>
      </c>
      <c r="C8201" s="1">
        <v>59</v>
      </c>
      <c r="D8201" s="39">
        <f t="shared" si="1226"/>
        <v>49377</v>
      </c>
      <c r="E8201" s="1"/>
      <c r="F8201" s="39">
        <f t="shared" si="1223"/>
        <v>1098</v>
      </c>
      <c r="G8201" s="168">
        <f>SUM(C8201,C8177,C8153,C8129,C8105,C8081,C8057,C8033,C8009,C7985,C7961,C7937,C7913,C7889)/POBLA!$B$16*100000</f>
        <v>454.64881422131862</v>
      </c>
      <c r="H8201" s="256">
        <f t="shared" si="1221"/>
        <v>0.75634178905206939</v>
      </c>
      <c r="I8201" s="297">
        <f t="shared" si="1224"/>
        <v>343.86989753855403</v>
      </c>
      <c r="J8201" s="297">
        <f t="shared" si="1225"/>
        <v>212.71428571428572</v>
      </c>
      <c r="K8201" s="297">
        <f>J8201/POBLA!$B$16*100000</f>
        <v>28.452573629871956</v>
      </c>
      <c r="L8201" s="549">
        <f t="shared" si="1222"/>
        <v>0.22041884816753932</v>
      </c>
      <c r="M8201" s="401">
        <f>SUM(C8201,C8177,C8153,C8129,C8105,C8081,C8057)/POBLA!$B$16*100000</f>
        <v>199.16801540910367</v>
      </c>
    </row>
    <row r="8202" spans="1:13" s="360" customFormat="1" x14ac:dyDescent="0.25">
      <c r="A8202" s="361" t="s">
        <v>34</v>
      </c>
      <c r="B8202" s="2">
        <v>44234</v>
      </c>
      <c r="C8202" s="1">
        <v>43</v>
      </c>
      <c r="D8202" s="39">
        <f t="shared" si="1226"/>
        <v>24292</v>
      </c>
      <c r="E8202" s="1">
        <v>1</v>
      </c>
      <c r="F8202" s="39">
        <f t="shared" si="1223"/>
        <v>1053</v>
      </c>
      <c r="G8202" s="168">
        <f>SUM(C8202,C8178,C8154,C8130,C8106,C8082,C8058,C8034,C8010,C7986,C7962,C7938,C7914,C7890)/POBLA!$B$17*100000</f>
        <v>59.674374489696341</v>
      </c>
      <c r="H8202" s="256">
        <f t="shared" si="1221"/>
        <v>1.1612021857923498</v>
      </c>
      <c r="I8202" s="297">
        <f t="shared" si="1224"/>
        <v>69.294014093226636</v>
      </c>
      <c r="J8202" s="297">
        <f t="shared" si="1225"/>
        <v>69.428571428571431</v>
      </c>
      <c r="K8202" s="297">
        <f>J8202/POBLA!$B$17*100000</f>
        <v>4.8742430255449447</v>
      </c>
      <c r="L8202" s="549">
        <f t="shared" si="1222"/>
        <v>-0.33516483516483508</v>
      </c>
      <c r="M8202" s="401">
        <f>SUM(C8202,C8178,C8154,C8130,C8106,C8082,C8058)/POBLA!$B$17*100000</f>
        <v>34.119701178814616</v>
      </c>
    </row>
    <row r="8203" spans="1:13" s="360" customFormat="1" x14ac:dyDescent="0.25">
      <c r="A8203" s="361" t="s">
        <v>35</v>
      </c>
      <c r="B8203" s="2">
        <v>44234</v>
      </c>
      <c r="C8203" s="1">
        <v>9</v>
      </c>
      <c r="D8203" s="39">
        <f t="shared" si="1226"/>
        <v>14289</v>
      </c>
      <c r="E8203" s="1"/>
      <c r="F8203" s="39">
        <f t="shared" si="1223"/>
        <v>202</v>
      </c>
      <c r="G8203" s="168">
        <f>SUM(C8203,C8179,C8155,C8131,C8107,C8083,C8059,C8035,C8011,C7987,C7963,C7939,C7915,C7891)/POBLA!$B$18*100000</f>
        <v>95.236022769601789</v>
      </c>
      <c r="H8203" s="256">
        <f t="shared" si="1221"/>
        <v>0.63972484952708508</v>
      </c>
      <c r="I8203" s="297">
        <f t="shared" si="1224"/>
        <v>60.924850335841555</v>
      </c>
      <c r="J8203" s="297">
        <f t="shared" si="1225"/>
        <v>48.428571428571431</v>
      </c>
      <c r="K8203" s="297">
        <f>J8203/POBLA!$B$18*100000</f>
        <v>6.1991189936434345</v>
      </c>
      <c r="L8203" s="549">
        <f t="shared" si="1222"/>
        <v>0.16296296296296298</v>
      </c>
      <c r="M8203" s="401">
        <f>SUM(C8203,C8179,C8155,C8131,C8107,C8083,C8059)/POBLA!$B$18*100000</f>
        <v>43.393832955504038</v>
      </c>
    </row>
    <row r="8204" spans="1:13" s="360" customFormat="1" x14ac:dyDescent="0.25">
      <c r="A8204" s="361" t="s">
        <v>36</v>
      </c>
      <c r="B8204" s="2">
        <v>44234</v>
      </c>
      <c r="C8204" s="1">
        <v>1</v>
      </c>
      <c r="D8204" s="39">
        <f t="shared" si="1226"/>
        <v>19106</v>
      </c>
      <c r="E8204" s="1"/>
      <c r="F8204" s="39">
        <f t="shared" si="1223"/>
        <v>338</v>
      </c>
      <c r="G8204" s="168">
        <f>SUM(C8204,C8180,C8156,C8132,C8108,C8084,C8060,C8036,C8012,C7988,C7964,C7940,C7916,C7892)/POBLA!$B$19*100000</f>
        <v>128.46036417431264</v>
      </c>
      <c r="H8204" s="256">
        <f t="shared" si="1221"/>
        <v>0.34206390780513357</v>
      </c>
      <c r="I8204" s="297">
        <f t="shared" si="1224"/>
        <v>43.941654167535965</v>
      </c>
      <c r="J8204" s="297">
        <f t="shared" si="1225"/>
        <v>13.714285714285714</v>
      </c>
      <c r="K8204" s="297">
        <f>J8204/POBLA!$B$19*100000</f>
        <v>2.6979205777147262</v>
      </c>
      <c r="L8204" s="549">
        <f t="shared" si="1222"/>
        <v>0.82764811490125667</v>
      </c>
      <c r="M8204" s="401">
        <f>SUM(C8204,C8180,C8156,C8132,C8108,C8084,C8060)/POBLA!$B$19*100000</f>
        <v>18.885444044003084</v>
      </c>
    </row>
    <row r="8205" spans="1:13" s="360" customFormat="1" x14ac:dyDescent="0.25">
      <c r="A8205" s="361" t="s">
        <v>37</v>
      </c>
      <c r="B8205" s="2">
        <v>44234</v>
      </c>
      <c r="C8205" s="1">
        <v>49</v>
      </c>
      <c r="D8205" s="39">
        <f t="shared" si="1226"/>
        <v>33794</v>
      </c>
      <c r="E8205" s="1">
        <v>1</v>
      </c>
      <c r="F8205" s="39">
        <f t="shared" si="1223"/>
        <v>516</v>
      </c>
      <c r="G8205" s="168">
        <f>SUM(C8205,C8181,C8157,C8133,C8109,C8085,C8061,C8037,C8013,C7989,C7965,C7941,C7917,C7893)/POBLA!$B$20*100000</f>
        <v>633.30945206153717</v>
      </c>
      <c r="H8205" s="256">
        <f t="shared" si="1221"/>
        <v>0.54061624649859941</v>
      </c>
      <c r="I8205" s="297">
        <f t="shared" si="1224"/>
        <v>342.37737884559289</v>
      </c>
      <c r="J8205" s="297">
        <f t="shared" si="1225"/>
        <v>179.42857142857142</v>
      </c>
      <c r="K8205" s="297">
        <f>J8205/POBLA!$B$20*100000</f>
        <v>49.064684911749971</v>
      </c>
      <c r="L8205" s="549">
        <f t="shared" si="1222"/>
        <v>-0.18490566037735845</v>
      </c>
      <c r="M8205" s="401">
        <f>SUM(C8205,C8181,C8157,C8133,C8109,C8085,C8061)/POBLA!$B$20*100000</f>
        <v>343.45279438224981</v>
      </c>
    </row>
    <row r="8206" spans="1:13" s="360" customFormat="1" x14ac:dyDescent="0.25">
      <c r="A8206" s="361" t="s">
        <v>22</v>
      </c>
      <c r="B8206" s="2">
        <v>44234</v>
      </c>
      <c r="C8206" s="1">
        <v>157</v>
      </c>
      <c r="D8206" s="39">
        <f t="shared" si="1226"/>
        <v>209205</v>
      </c>
      <c r="E8206" s="1">
        <v>3</v>
      </c>
      <c r="F8206" s="39">
        <f t="shared" si="1223"/>
        <v>3705</v>
      </c>
      <c r="G8206" s="168">
        <f>SUM(C8206,C8182,C8158,C8134,C8110,C8086,C8062,C8038,C8014,C7990,C7966,C7942,C7918,C7894)/POBLA!$B$21*100000</f>
        <v>214.34117799423029</v>
      </c>
      <c r="H8206" s="256">
        <f t="shared" si="1221"/>
        <v>0.49911108184631592</v>
      </c>
      <c r="I8206" s="297">
        <f t="shared" si="1224"/>
        <v>106.98005723291405</v>
      </c>
      <c r="J8206" s="297">
        <f t="shared" si="1225"/>
        <v>482.71428571428572</v>
      </c>
      <c r="K8206" s="297">
        <f>J8206/POBLA!$B$21*100000</f>
        <v>13.649808526997818</v>
      </c>
      <c r="L8206" s="549">
        <f t="shared" si="1222"/>
        <v>0.19566769816710305</v>
      </c>
      <c r="M8206" s="401">
        <f>SUM(C8206,C8182,C8158,C8134,C8110,C8086,C8062)/POBLA!$B$21*100000</f>
        <v>95.548659688984728</v>
      </c>
    </row>
    <row r="8207" spans="1:13" s="360" customFormat="1" x14ac:dyDescent="0.25">
      <c r="A8207" s="361" t="s">
        <v>38</v>
      </c>
      <c r="B8207" s="2">
        <v>44234</v>
      </c>
      <c r="C8207" s="1">
        <v>84</v>
      </c>
      <c r="D8207" s="39">
        <f t="shared" si="1226"/>
        <v>21433</v>
      </c>
      <c r="E8207" s="1"/>
      <c r="F8207" s="39">
        <f t="shared" si="1223"/>
        <v>247</v>
      </c>
      <c r="G8207" s="168">
        <f>SUM(C8207,C8183,C8159,C8135,C8111,C8087,C8063,C8039,C8015,C7991,C7967,C7943,C7919,C7895)/POBLA!$B$22*100000</f>
        <v>106.81653008801887</v>
      </c>
      <c r="H8207" s="256">
        <f t="shared" si="1221"/>
        <v>0.59006211180124224</v>
      </c>
      <c r="I8207" s="297">
        <f t="shared" si="1224"/>
        <v>63.028387319017341</v>
      </c>
      <c r="J8207" s="297">
        <f t="shared" si="1225"/>
        <v>83.285714285714292</v>
      </c>
      <c r="K8207" s="297">
        <f>J8207/POBLA!$B$22*100000</f>
        <v>8.5131971348345861</v>
      </c>
      <c r="L8207" s="549">
        <f t="shared" si="1222"/>
        <v>-0.26190476190476186</v>
      </c>
      <c r="M8207" s="401">
        <f>SUM(C8207,C8183,C8159,C8135,C8111,C8087,C8063)/POBLA!$B$22*100000</f>
        <v>59.592379943842097</v>
      </c>
    </row>
    <row r="8208" spans="1:13" s="360" customFormat="1" x14ac:dyDescent="0.25">
      <c r="A8208" s="361" t="s">
        <v>39</v>
      </c>
      <c r="B8208" s="2">
        <v>44234</v>
      </c>
      <c r="C8208" s="1">
        <v>20</v>
      </c>
      <c r="D8208" s="39">
        <f t="shared" si="1226"/>
        <v>22082</v>
      </c>
      <c r="E8208" s="1">
        <v>2</v>
      </c>
      <c r="F8208" s="39">
        <f t="shared" si="1223"/>
        <v>340</v>
      </c>
      <c r="G8208" s="168">
        <f>SUM(C8208,C8184,C8160,C8136,C8112,C8088,C8064,C8040,C8016,C7992,C7968,C7944,C7920,C7896)/POBLA!$B$23*100000</f>
        <v>391.33631171181361</v>
      </c>
      <c r="H8208" s="256">
        <f t="shared" si="1221"/>
        <v>0.5676784249384742</v>
      </c>
      <c r="I8208" s="297">
        <f t="shared" si="1224"/>
        <v>222.15318105379413</v>
      </c>
      <c r="J8208" s="297">
        <f t="shared" si="1225"/>
        <v>38</v>
      </c>
      <c r="K8208" s="297">
        <f>J8208/POBLA!$B$23*100000</f>
        <v>21.489566250070691</v>
      </c>
      <c r="L8208" s="549">
        <f t="shared" si="1222"/>
        <v>0.37558685446009388</v>
      </c>
      <c r="M8208" s="401">
        <f>SUM(C8208,C8184,C8160,C8136,C8112,C8088,C8064)/POBLA!$B$23*100000</f>
        <v>150.42696375049482</v>
      </c>
    </row>
    <row r="8209" spans="1:13" s="360" customFormat="1" ht="15.75" thickBot="1" x14ac:dyDescent="0.3">
      <c r="A8209" s="361" t="s">
        <v>40</v>
      </c>
      <c r="B8209" s="2">
        <v>44234</v>
      </c>
      <c r="C8209" s="1">
        <v>66</v>
      </c>
      <c r="D8209" s="176">
        <f t="shared" si="1226"/>
        <v>77310</v>
      </c>
      <c r="E8209" s="1"/>
      <c r="F8209" s="176">
        <f t="shared" si="1223"/>
        <v>1438</v>
      </c>
      <c r="G8209" s="177">
        <f>SUM(C8209,C8185,C8161,C8137,C8113,C8089,C8065,C8041,C8017,C7993,C7969,C7945,C7921,C7897)/POBLA!$B$24*100000</f>
        <v>119.55228671777635</v>
      </c>
      <c r="H8209" s="402">
        <f t="shared" si="1221"/>
        <v>0.8282910874897792</v>
      </c>
      <c r="I8209" s="403">
        <f t="shared" si="1224"/>
        <v>99.024093577356865</v>
      </c>
      <c r="J8209" s="403">
        <f t="shared" si="1225"/>
        <v>130.57142857142858</v>
      </c>
      <c r="K8209" s="403">
        <f>J8209/POBLA!$B$24*100000</f>
        <v>7.7048928261209708</v>
      </c>
      <c r="L8209" s="550">
        <f t="shared" si="1222"/>
        <v>0.17805755395683454</v>
      </c>
      <c r="M8209" s="405">
        <f>SUM(C8209,C8185,C8161,C8137,C8113,C8089,C8065)/POBLA!$B$24*100000</f>
        <v>53.934249782846784</v>
      </c>
    </row>
    <row r="8210" spans="1:13" s="360" customFormat="1" x14ac:dyDescent="0.25">
      <c r="A8210" s="361" t="s">
        <v>16</v>
      </c>
      <c r="B8210" s="2">
        <v>44235</v>
      </c>
      <c r="C8210" s="1">
        <v>2095</v>
      </c>
      <c r="D8210" s="174">
        <f t="shared" si="1226"/>
        <v>828576</v>
      </c>
      <c r="E8210" s="1">
        <v>112</v>
      </c>
      <c r="F8210" s="174">
        <f>E8210+F8186</f>
        <v>25107</v>
      </c>
      <c r="G8210" s="175">
        <f>SUM(C8210,C8186,C8162,C8138,C8114,C8090,C8066,C8042,C8018,C7994,C7970,C7946,C7922,C7898)/POBLA!$B$1*100000</f>
        <v>269.07029594026983</v>
      </c>
      <c r="H8210" s="300">
        <f t="shared" ref="H8210:H8233" si="1227">SUM(C8210,C8186,C8162,C8138,C8114,C8090,C8066,C8042,C8018,C7994,C7970,C7946,C7922,C7898)/SUM(C7874,C7850,C7826,C7802,C7778,C7754,C7730,C7706,C7682,C7658,C7634,C7610,C7586,C7562)</f>
        <v>0.83916506649598177</v>
      </c>
      <c r="I8210" s="301">
        <f>G8210*H8210</f>
        <v>225.79439278481001</v>
      </c>
      <c r="J8210" s="301">
        <f>AVERAGE(C8210,C8186,C8162,C8138,C8114,C8090,C8066)</f>
        <v>3094.5714285714284</v>
      </c>
      <c r="K8210" s="301">
        <f>J8210/POBLA!$B$1*100000</f>
        <v>17.641790967710872</v>
      </c>
      <c r="L8210" s="548">
        <f t="shared" ref="L8210:L8233" si="1228">1-SUM(C8210,C8186,C8162,C8138,C8114,C8090,C8066)/SUM(C8042,C8018,C7994,C7970,C7946,C7922,C7898)</f>
        <v>0.15170739348370932</v>
      </c>
      <c r="M8210" s="400">
        <f>SUM(C8210,C8186,C8162,C8138,C8114,C8090,C8066)/POBLA!$B$1*100000</f>
        <v>123.4925367739761</v>
      </c>
    </row>
    <row r="8211" spans="1:13" s="360" customFormat="1" x14ac:dyDescent="0.25">
      <c r="A8211" s="361" t="s">
        <v>43</v>
      </c>
      <c r="B8211" s="2">
        <v>44235</v>
      </c>
      <c r="C8211" s="1">
        <v>699</v>
      </c>
      <c r="D8211" s="39">
        <f t="shared" si="1226"/>
        <v>217766</v>
      </c>
      <c r="E8211" s="1">
        <v>29</v>
      </c>
      <c r="F8211" s="39">
        <f t="shared" ref="F8211:F8233" si="1229">E8211+F8187</f>
        <v>6199</v>
      </c>
      <c r="G8211" s="168">
        <f>SUM(C8211,C8187,C8163,C8139,C8115,C8091,C8067,C8043,C8019,C7995,C7971,C7947,C7923,C7899)/POBLA!$B$2*100000</f>
        <v>457.10722235263745</v>
      </c>
      <c r="H8211" s="256">
        <f t="shared" si="1227"/>
        <v>0.83909280811698006</v>
      </c>
      <c r="I8211" s="297">
        <f t="shared" ref="I8211:I8233" si="1230">G8211*H8211</f>
        <v>383.55538281442733</v>
      </c>
      <c r="J8211" s="297">
        <f t="shared" ref="J8211:J8233" si="1231">AVERAGE(C8211,C8187,C8163,C8139,C8115,C8091,C8067)</f>
        <v>950</v>
      </c>
      <c r="K8211" s="297">
        <f>J8211/POBLA!$B$2*100000</f>
        <v>30.887819989686719</v>
      </c>
      <c r="L8211" s="549">
        <f t="shared" si="1228"/>
        <v>0.10244297476042652</v>
      </c>
      <c r="M8211" s="401">
        <f>SUM(C8211,C8187,C8163,C8139,C8115,C8091,C8067)/POBLA!$B$2*100000</f>
        <v>216.21473992780705</v>
      </c>
    </row>
    <row r="8212" spans="1:13" s="360" customFormat="1" x14ac:dyDescent="0.25">
      <c r="A8212" s="361" t="s">
        <v>28</v>
      </c>
      <c r="B8212" s="2">
        <v>44235</v>
      </c>
      <c r="C8212" s="1">
        <v>133</v>
      </c>
      <c r="D8212" s="39">
        <f t="shared" si="1226"/>
        <v>6324</v>
      </c>
      <c r="E8212" s="1"/>
      <c r="F8212" s="39">
        <f t="shared" si="1229"/>
        <v>17</v>
      </c>
      <c r="G8212" s="168">
        <f>SUM(C8212,C8188,C8164,C8140,C8116,C8092,C8068,C8044,C8020,C7996,C7972,C7948,C7924,C7900)/POBLA!$B$3*100000</f>
        <v>376.22942532941136</v>
      </c>
      <c r="H8212" s="256">
        <f t="shared" si="1227"/>
        <v>1.0038535645472062</v>
      </c>
      <c r="I8212" s="297">
        <f t="shared" si="1230"/>
        <v>377.67924970447655</v>
      </c>
      <c r="J8212" s="297">
        <f t="shared" si="1231"/>
        <v>111.57142857142857</v>
      </c>
      <c r="K8212" s="297">
        <f>J8212/POBLA!$B$3*100000</f>
        <v>26.856336823167013</v>
      </c>
      <c r="L8212" s="549">
        <f t="shared" si="1228"/>
        <v>1.2787723785165905E-3</v>
      </c>
      <c r="M8212" s="401">
        <f>SUM(C8212,C8188,C8164,C8140,C8116,C8092,C8068)/POBLA!$B$3*100000</f>
        <v>187.99435776216907</v>
      </c>
    </row>
    <row r="8213" spans="1:13" s="360" customFormat="1" x14ac:dyDescent="0.25">
      <c r="A8213" s="361" t="s">
        <v>15</v>
      </c>
      <c r="B8213" s="2">
        <v>44235</v>
      </c>
      <c r="C8213" s="1">
        <v>64</v>
      </c>
      <c r="D8213" s="39">
        <f t="shared" si="1226"/>
        <v>31730</v>
      </c>
      <c r="E8213" s="1">
        <v>12</v>
      </c>
      <c r="F8213" s="39">
        <f t="shared" si="1229"/>
        <v>821</v>
      </c>
      <c r="G8213" s="168">
        <f>SUM(C8213,C8189,C8165,C8141,C8117,C8093,C8069,C8045,C8021,C7997,C7973,C7949,C7925,C7901)/POBLA!$B$4*100000</f>
        <v>152.75528188745756</v>
      </c>
      <c r="H8213" s="256">
        <f t="shared" si="1227"/>
        <v>0.65550409690060563</v>
      </c>
      <c r="I8213" s="297">
        <f t="shared" si="1230"/>
        <v>100.13171310043531</v>
      </c>
      <c r="J8213" s="297">
        <f t="shared" si="1231"/>
        <v>126.14285714285714</v>
      </c>
      <c r="K8213" s="297">
        <f>J8213/POBLA!$B$4*100000</f>
        <v>10.472275924427407</v>
      </c>
      <c r="L8213" s="549">
        <f t="shared" si="1228"/>
        <v>7.7324973876698011E-2</v>
      </c>
      <c r="M8213" s="401">
        <f>SUM(C8213,C8189,C8165,C8141,C8117,C8093,C8069)/POBLA!$B$4*100000</f>
        <v>73.305931470991865</v>
      </c>
    </row>
    <row r="8214" spans="1:13" s="360" customFormat="1" x14ac:dyDescent="0.25">
      <c r="A8214" s="361" t="s">
        <v>29</v>
      </c>
      <c r="B8214" s="2">
        <v>44235</v>
      </c>
      <c r="C8214" s="1">
        <v>238</v>
      </c>
      <c r="D8214" s="39">
        <f t="shared" si="1226"/>
        <v>44150</v>
      </c>
      <c r="E8214" s="1">
        <v>4</v>
      </c>
      <c r="F8214" s="39">
        <f t="shared" si="1229"/>
        <v>675</v>
      </c>
      <c r="G8214" s="168">
        <f>SUM(C8214,C8190,C8166,C8142,C8118,C8094,C8070,C8046,C8022,C7998,C7974,C7950,C7926,C7902)/POBLA!$B$5*100000</f>
        <v>579.97331153452217</v>
      </c>
      <c r="H8214" s="256">
        <f t="shared" si="1227"/>
        <v>0.7581837381203802</v>
      </c>
      <c r="I8214" s="297">
        <f t="shared" si="1230"/>
        <v>439.72633334929986</v>
      </c>
      <c r="J8214" s="297">
        <f t="shared" si="1231"/>
        <v>232.57142857142858</v>
      </c>
      <c r="K8214" s="297">
        <f>J8214/POBLA!$B$5*100000</f>
        <v>37.572485124480785</v>
      </c>
      <c r="L8214" s="549">
        <f t="shared" si="1228"/>
        <v>0.17023445463812437</v>
      </c>
      <c r="M8214" s="401">
        <f>SUM(C8214,C8190,C8166,C8142,C8118,C8094,C8070)/POBLA!$B$5*100000</f>
        <v>263.00739587136547</v>
      </c>
    </row>
    <row r="8215" spans="1:13" s="360" customFormat="1" x14ac:dyDescent="0.25">
      <c r="A8215" s="361" t="s">
        <v>30</v>
      </c>
      <c r="B8215" s="2">
        <v>44235</v>
      </c>
      <c r="C8215" s="1">
        <v>82</v>
      </c>
      <c r="D8215" s="39">
        <f t="shared" si="1226"/>
        <v>18815</v>
      </c>
      <c r="E8215" s="1">
        <v>2</v>
      </c>
      <c r="F8215" s="39">
        <f t="shared" si="1229"/>
        <v>208</v>
      </c>
      <c r="G8215" s="168">
        <f>SUM(C8215,C8191,C8167,C8143,C8119,C8095,C8071,C8047,C8023,C7999,C7975,C7951,C7927,C7903)/POBLA!$B$6*100000</f>
        <v>209.84991983411865</v>
      </c>
      <c r="H8215" s="256">
        <f t="shared" si="1227"/>
        <v>0.48049029622063327</v>
      </c>
      <c r="I8215" s="297">
        <f t="shared" si="1230"/>
        <v>100.83085014297181</v>
      </c>
      <c r="J8215" s="297">
        <f t="shared" si="1231"/>
        <v>178.85714285714286</v>
      </c>
      <c r="K8215" s="297">
        <f>J8215/POBLA!$B$6*100000</f>
        <v>15.957974953371995</v>
      </c>
      <c r="L8215" s="549">
        <f t="shared" si="1228"/>
        <v>-0.13818181818181818</v>
      </c>
      <c r="M8215" s="401">
        <f>SUM(C8215,C8191,C8167,C8143,C8119,C8095,C8071)/POBLA!$B$6*100000</f>
        <v>111.70582467360396</v>
      </c>
    </row>
    <row r="8216" spans="1:13" s="360" customFormat="1" x14ac:dyDescent="0.25">
      <c r="A8216" s="361" t="s">
        <v>20</v>
      </c>
      <c r="B8216" s="2">
        <v>44235</v>
      </c>
      <c r="C8216" s="1">
        <v>198</v>
      </c>
      <c r="D8216" s="39">
        <f t="shared" si="1226"/>
        <v>148469</v>
      </c>
      <c r="E8216" s="1">
        <v>4</v>
      </c>
      <c r="F8216" s="39">
        <f t="shared" si="1229"/>
        <v>2740</v>
      </c>
      <c r="G8216" s="168">
        <f>SUM(C8216,C8192,C8168,C8144,C8120,C8096,C8072,C8048,C8024,C8000,C7976,C7952,C7928,C7904)/POBLA!$B$7*100000</f>
        <v>176.7075748913029</v>
      </c>
      <c r="H8216" s="256">
        <f t="shared" si="1227"/>
        <v>1.1830158447569876</v>
      </c>
      <c r="I8216" s="297">
        <f t="shared" si="1230"/>
        <v>209.04786098499335</v>
      </c>
      <c r="J8216" s="297">
        <f t="shared" si="1231"/>
        <v>447.28571428571428</v>
      </c>
      <c r="K8216" s="297">
        <f>J8216/POBLA!$B$7*100000</f>
        <v>11.894473115869491</v>
      </c>
      <c r="L8216" s="549">
        <f t="shared" si="1228"/>
        <v>0.1089926010244735</v>
      </c>
      <c r="M8216" s="401">
        <f>SUM(C8216,C8192,C8168,C8144,C8120,C8096,C8072)/POBLA!$B$7*100000</f>
        <v>83.261311811086429</v>
      </c>
    </row>
    <row r="8217" spans="1:13" x14ac:dyDescent="0.25">
      <c r="A8217" s="361" t="s">
        <v>31</v>
      </c>
      <c r="B8217" s="2">
        <v>44235</v>
      </c>
      <c r="C8217" s="1">
        <v>70</v>
      </c>
      <c r="D8217" s="39">
        <f t="shared" si="1226"/>
        <v>42592</v>
      </c>
      <c r="E8217" s="1">
        <v>8</v>
      </c>
      <c r="F8217" s="39">
        <f t="shared" si="1229"/>
        <v>769</v>
      </c>
      <c r="G8217" s="168">
        <f>SUM(C8217,C8193,C8169,C8145,C8121,C8097,C8073,C8049,C8025,C8001,C7977,C7953,C7929,C7905)/POBLA!$B$8*100000</f>
        <v>232.1133134337835</v>
      </c>
      <c r="H8217" s="256">
        <f t="shared" si="1227"/>
        <v>0.56887709991158264</v>
      </c>
      <c r="I8217" s="297">
        <f t="shared" si="1230"/>
        <v>132.04394859707895</v>
      </c>
      <c r="J8217" s="297">
        <f t="shared" si="1231"/>
        <v>203.42857142857142</v>
      </c>
      <c r="K8217" s="297">
        <f>J8217/POBLA!$B$8*100000</f>
        <v>14.677799117621015</v>
      </c>
      <c r="L8217" s="549">
        <f t="shared" si="1228"/>
        <v>0.2058003346346905</v>
      </c>
      <c r="M8217" s="401">
        <f>SUM(C8217,C8193,C8169,C8145,C8121,C8097,C8073)/POBLA!$B$8*100000</f>
        <v>102.74459382334713</v>
      </c>
    </row>
    <row r="8218" spans="1:13" s="360" customFormat="1" x14ac:dyDescent="0.25">
      <c r="A8218" s="361" t="s">
        <v>41</v>
      </c>
      <c r="B8218" s="2">
        <v>44235</v>
      </c>
      <c r="C8218" s="1">
        <v>7</v>
      </c>
      <c r="D8218" s="39">
        <f t="shared" si="1226"/>
        <v>885</v>
      </c>
      <c r="E8218" s="1"/>
      <c r="F8218" s="39">
        <f t="shared" si="1229"/>
        <v>9</v>
      </c>
      <c r="G8218" s="168">
        <f>SUM(C8218,C8194,C8170,C8146,C8122,C8098,C8074,C8050,C8026,C8002,C7978,C7954,C7930,C7906)/POBLA!$B$9*100000</f>
        <v>12.888450461257813</v>
      </c>
      <c r="H8218" s="256">
        <f t="shared" si="1227"/>
        <v>0.15757575757575756</v>
      </c>
      <c r="I8218" s="297">
        <f t="shared" si="1230"/>
        <v>2.0309073454103217</v>
      </c>
      <c r="J8218" s="297">
        <f t="shared" si="1231"/>
        <v>5.4285714285714288</v>
      </c>
      <c r="K8218" s="297">
        <f>J8218/POBLA!$B$9*100000</f>
        <v>0.89699838375054386</v>
      </c>
      <c r="L8218" s="549">
        <f t="shared" si="1228"/>
        <v>5.0000000000000044E-2</v>
      </c>
      <c r="M8218" s="401">
        <f>SUM(C8218,C8194,C8170,C8146,C8122,C8098,C8074)/POBLA!$B$9*100000</f>
        <v>6.2789886862538067</v>
      </c>
    </row>
    <row r="8219" spans="1:13" s="360" customFormat="1" x14ac:dyDescent="0.25">
      <c r="A8219" s="361" t="s">
        <v>32</v>
      </c>
      <c r="B8219" s="2">
        <v>44235</v>
      </c>
      <c r="C8219" s="1">
        <v>27</v>
      </c>
      <c r="D8219" s="39">
        <f t="shared" si="1226"/>
        <v>19547</v>
      </c>
      <c r="E8219" s="1"/>
      <c r="F8219" s="39">
        <f t="shared" si="1229"/>
        <v>885</v>
      </c>
      <c r="G8219" s="168">
        <f>SUM(C8219,C8195,C8171,C8147,C8123,C8099,C8075,C8051,C8027,C8003,C7979,C7955,C7931,C7907)/POBLA!$B$10*100000</f>
        <v>57.985603484843971</v>
      </c>
      <c r="H8219" s="256">
        <f t="shared" si="1227"/>
        <v>1.1259445843828715</v>
      </c>
      <c r="I8219" s="297">
        <f t="shared" si="1230"/>
        <v>65.288576215932622</v>
      </c>
      <c r="J8219" s="297">
        <f t="shared" si="1231"/>
        <v>28.285714285714285</v>
      </c>
      <c r="K8219" s="297">
        <f>J8219/POBLA!$B$10*100000</f>
        <v>3.6692711697024945</v>
      </c>
      <c r="L8219" s="549">
        <f t="shared" si="1228"/>
        <v>0.20481927710843373</v>
      </c>
      <c r="M8219" s="401">
        <f>SUM(C8219,C8195,C8171,C8147,C8123,C8099,C8075)/POBLA!$B$10*100000</f>
        <v>25.684898187917458</v>
      </c>
    </row>
    <row r="8220" spans="1:13" s="360" customFormat="1" x14ac:dyDescent="0.25">
      <c r="A8220" s="361" t="s">
        <v>33</v>
      </c>
      <c r="B8220" s="2">
        <v>44235</v>
      </c>
      <c r="C8220" s="1">
        <v>103</v>
      </c>
      <c r="D8220" s="39">
        <f t="shared" si="1226"/>
        <v>17191</v>
      </c>
      <c r="E8220" s="1">
        <v>5</v>
      </c>
      <c r="F8220" s="39">
        <f t="shared" si="1229"/>
        <v>265</v>
      </c>
      <c r="G8220" s="168">
        <f>SUM(C8220,C8196,C8172,C8148,C8124,C8100,C8076,C8052,C8028,C8004,C7980,C7956,C7932,C7908)/POBLA!$B$11*100000</f>
        <v>361.85789056658518</v>
      </c>
      <c r="H8220" s="256">
        <f t="shared" si="1227"/>
        <v>0.59196713829301684</v>
      </c>
      <c r="I8220" s="297">
        <f t="shared" si="1230"/>
        <v>214.20797994744908</v>
      </c>
      <c r="J8220" s="297">
        <f t="shared" si="1231"/>
        <v>96.857142857142861</v>
      </c>
      <c r="K8220" s="297">
        <f>J8220/POBLA!$B$11*100000</f>
        <v>27.022761295753362</v>
      </c>
      <c r="L8220" s="549">
        <f t="shared" si="1228"/>
        <v>-9.5315024232633272E-2</v>
      </c>
      <c r="M8220" s="401">
        <f>SUM(C8220,C8196,C8172,C8148,C8124,C8100,C8076)/POBLA!$B$11*100000</f>
        <v>189.15932907027354</v>
      </c>
    </row>
    <row r="8221" spans="1:13" s="360" customFormat="1" x14ac:dyDescent="0.25">
      <c r="A8221" s="361" t="s">
        <v>21</v>
      </c>
      <c r="B8221" s="2">
        <v>44235</v>
      </c>
      <c r="C8221" s="1">
        <v>10</v>
      </c>
      <c r="D8221" s="39">
        <f t="shared" si="1226"/>
        <v>9695</v>
      </c>
      <c r="E8221" s="1">
        <v>1</v>
      </c>
      <c r="F8221" s="39">
        <f t="shared" si="1229"/>
        <v>415</v>
      </c>
      <c r="G8221" s="168">
        <f>SUM(C8221,C8197,C8173,C8149,C8125,C8101,C8077,C8053,C8029,C8005,C7981,C7957,C7933,C7909)/POBLA!$B$12*100000</f>
        <v>64.543835174357298</v>
      </c>
      <c r="H8221" s="256">
        <f t="shared" si="1227"/>
        <v>1.1869158878504673</v>
      </c>
      <c r="I8221" s="297">
        <f t="shared" si="1230"/>
        <v>76.608103431246519</v>
      </c>
      <c r="J8221" s="297">
        <f t="shared" si="1231"/>
        <v>19.428571428571427</v>
      </c>
      <c r="K8221" s="297">
        <f>J8221/POBLA!$B$12*100000</f>
        <v>4.9369862675548886</v>
      </c>
      <c r="L8221" s="549">
        <f t="shared" si="1228"/>
        <v>-0.15254237288135597</v>
      </c>
      <c r="M8221" s="401">
        <f>SUM(C8221,C8197,C8173,C8149,C8125,C8101,C8077)/POBLA!$B$12*100000</f>
        <v>34.558903872884223</v>
      </c>
    </row>
    <row r="8222" spans="1:13" s="360" customFormat="1" x14ac:dyDescent="0.25">
      <c r="A8222" s="361" t="s">
        <v>17</v>
      </c>
      <c r="B8222" s="2">
        <v>44235</v>
      </c>
      <c r="C8222" s="1">
        <v>118</v>
      </c>
      <c r="D8222" s="39">
        <f t="shared" si="1226"/>
        <v>64846</v>
      </c>
      <c r="E8222" s="1">
        <v>3</v>
      </c>
      <c r="F8222" s="39">
        <f t="shared" si="1229"/>
        <v>1401</v>
      </c>
      <c r="G8222" s="168">
        <f>SUM(C8222,C8198,C8174,C8150,C8126,C8102,C8078,C8054,C8030,C8006,C7982,C7958,C7934,C7910)/POBLA!$B$13*100000</f>
        <v>82.197094161896118</v>
      </c>
      <c r="H8222" s="256">
        <f t="shared" si="1227"/>
        <v>0.90137741046831954</v>
      </c>
      <c r="I8222" s="297">
        <f t="shared" si="1230"/>
        <v>74.090603883670553</v>
      </c>
      <c r="J8222" s="297">
        <f t="shared" si="1231"/>
        <v>135.85714285714286</v>
      </c>
      <c r="K8222" s="297">
        <f>J8222/POBLA!$B$13*100000</f>
        <v>6.8258327408280834</v>
      </c>
      <c r="L8222" s="549">
        <f t="shared" si="1228"/>
        <v>-0.38832116788321169</v>
      </c>
      <c r="M8222" s="401">
        <f>SUM(C8222,C8198,C8174,C8150,C8126,C8102,C8078)/POBLA!$B$13*100000</f>
        <v>47.780829185796584</v>
      </c>
    </row>
    <row r="8223" spans="1:13" s="360" customFormat="1" x14ac:dyDescent="0.25">
      <c r="A8223" s="361" t="s">
        <v>23</v>
      </c>
      <c r="B8223" s="2">
        <v>44235</v>
      </c>
      <c r="C8223" s="1">
        <v>56</v>
      </c>
      <c r="D8223" s="39">
        <f t="shared" si="1226"/>
        <v>6118</v>
      </c>
      <c r="E8223" s="1">
        <v>2</v>
      </c>
      <c r="F8223" s="39">
        <f t="shared" si="1229"/>
        <v>107</v>
      </c>
      <c r="G8223" s="168">
        <f>SUM(C8223,C8199,C8175,C8151,C8127,C8103,C8079,C8055,C8031,C8007,C7983,C7959,C7935,C7911)/POBLA!$B$14*100000</f>
        <v>198.68484270915425</v>
      </c>
      <c r="H8223" s="256">
        <f t="shared" si="1227"/>
        <v>1.1699346405228759</v>
      </c>
      <c r="I8223" s="297">
        <f t="shared" si="1230"/>
        <v>232.44828003227852</v>
      </c>
      <c r="J8223" s="297">
        <f t="shared" si="1231"/>
        <v>179.85714285714286</v>
      </c>
      <c r="K8223" s="297">
        <f>J8223/POBLA!$B$14*100000</f>
        <v>14.259731898918321</v>
      </c>
      <c r="L8223" s="549">
        <f t="shared" si="1228"/>
        <v>-9.6230954290297266E-3</v>
      </c>
      <c r="M8223" s="401">
        <f>SUM(C8223,C8199,C8175,C8151,C8127,C8103,C8079)/POBLA!$B$14*100000</f>
        <v>99.818123292428268</v>
      </c>
    </row>
    <row r="8224" spans="1:13" s="360" customFormat="1" x14ac:dyDescent="0.25">
      <c r="A8224" s="361" t="s">
        <v>19</v>
      </c>
      <c r="B8224" s="2">
        <v>44235</v>
      </c>
      <c r="C8224" s="1">
        <v>272</v>
      </c>
      <c r="D8224" s="39">
        <f t="shared" si="1226"/>
        <v>56927</v>
      </c>
      <c r="E8224" s="1">
        <v>1</v>
      </c>
      <c r="F8224" s="39">
        <f t="shared" si="1229"/>
        <v>795</v>
      </c>
      <c r="G8224" s="168">
        <f>SUM(C8224,C8200,C8176,C8152,C8128,C8104,C8080,C8056,C8032,C8008,C7984,C7960,C7936,C7912)/POBLA!$B$15*100000</f>
        <v>811.6773108332568</v>
      </c>
      <c r="H8224" s="256">
        <f t="shared" si="1227"/>
        <v>0.90103644266131733</v>
      </c>
      <c r="I8224" s="297">
        <f t="shared" si="1230"/>
        <v>731.35083674210205</v>
      </c>
      <c r="J8224" s="297">
        <f t="shared" si="1231"/>
        <v>356.71428571428572</v>
      </c>
      <c r="K8224" s="297">
        <f>J8224/POBLA!$B$15*100000</f>
        <v>53.717419696544987</v>
      </c>
      <c r="L8224" s="549">
        <f t="shared" si="1228"/>
        <v>0.13688212927756649</v>
      </c>
      <c r="M8224" s="401">
        <f>SUM(C8224,C8200,C8176,C8152,C8128,C8104,C8080)/POBLA!$B$15*100000</f>
        <v>376.0219378758149</v>
      </c>
    </row>
    <row r="8225" spans="1:13" s="360" customFormat="1" x14ac:dyDescent="0.25">
      <c r="A8225" s="361" t="s">
        <v>18</v>
      </c>
      <c r="B8225" s="2">
        <v>44235</v>
      </c>
      <c r="C8225" s="1">
        <v>213</v>
      </c>
      <c r="D8225" s="39">
        <f t="shared" si="1226"/>
        <v>49590</v>
      </c>
      <c r="E8225" s="1">
        <v>4</v>
      </c>
      <c r="F8225" s="39">
        <f t="shared" si="1229"/>
        <v>1102</v>
      </c>
      <c r="G8225" s="168">
        <f>SUM(C8225,C8201,C8177,C8153,C8129,C8105,C8081,C8057,C8033,C8009,C7985,C7961,C7937,C7913)/POBLA!$B$16*100000</f>
        <v>449.03091183906054</v>
      </c>
      <c r="H8225" s="256">
        <f t="shared" si="1227"/>
        <v>0.76312798363264378</v>
      </c>
      <c r="I8225" s="297">
        <f t="shared" si="1230"/>
        <v>342.66805434046972</v>
      </c>
      <c r="J8225" s="297">
        <f t="shared" si="1231"/>
        <v>200.57142857142858</v>
      </c>
      <c r="K8225" s="297">
        <f>J8225/POBLA!$B$16*100000</f>
        <v>26.828350152008209</v>
      </c>
      <c r="L8225" s="549">
        <f t="shared" si="1228"/>
        <v>0.28110599078341014</v>
      </c>
      <c r="M8225" s="401">
        <f>SUM(C8225,C8201,C8177,C8153,C8129,C8105,C8081)/POBLA!$B$16*100000</f>
        <v>187.79845106405747</v>
      </c>
    </row>
    <row r="8226" spans="1:13" s="360" customFormat="1" x14ac:dyDescent="0.25">
      <c r="A8226" s="361" t="s">
        <v>34</v>
      </c>
      <c r="B8226" s="2">
        <v>44235</v>
      </c>
      <c r="C8226" s="1">
        <v>26</v>
      </c>
      <c r="D8226" s="39">
        <f t="shared" si="1226"/>
        <v>24318</v>
      </c>
      <c r="E8226" s="1"/>
      <c r="F8226" s="39">
        <f t="shared" si="1229"/>
        <v>1053</v>
      </c>
      <c r="G8226" s="168">
        <f>SUM(C8226,C8202,C8178,C8154,C8130,C8106,C8082,C8058,C8034,C8010,C7986,C7962,C7938,C7914)/POBLA!$B$17*100000</f>
        <v>59.955195075530213</v>
      </c>
      <c r="H8226" s="256">
        <f t="shared" si="1227"/>
        <v>1.2113475177304964</v>
      </c>
      <c r="I8226" s="297">
        <f t="shared" si="1230"/>
        <v>72.626576729791211</v>
      </c>
      <c r="J8226" s="297">
        <f t="shared" si="1231"/>
        <v>70.285714285714292</v>
      </c>
      <c r="K8226" s="297">
        <f>J8226/POBLA!$B$17*100000</f>
        <v>4.9344188653664878</v>
      </c>
      <c r="L8226" s="549">
        <f t="shared" si="1228"/>
        <v>-0.3591160220994476</v>
      </c>
      <c r="M8226" s="401">
        <f>SUM(C8226,C8202,C8178,C8154,C8130,C8106,C8082)/POBLA!$B$17*100000</f>
        <v>34.540932057565414</v>
      </c>
    </row>
    <row r="8227" spans="1:13" s="360" customFormat="1" x14ac:dyDescent="0.25">
      <c r="A8227" s="361" t="s">
        <v>35</v>
      </c>
      <c r="B8227" s="2">
        <v>44235</v>
      </c>
      <c r="C8227" s="1">
        <v>48</v>
      </c>
      <c r="D8227" s="39">
        <f t="shared" si="1226"/>
        <v>14337</v>
      </c>
      <c r="E8227" s="1"/>
      <c r="F8227" s="39">
        <f t="shared" si="1229"/>
        <v>202</v>
      </c>
      <c r="G8227" s="168">
        <f>SUM(C8227,C8203,C8179,C8155,C8131,C8107,C8083,C8059,C8035,C8011,C7987,C7963,C7939,C7915)/POBLA!$B$18*100000</f>
        <v>91.139849747253322</v>
      </c>
      <c r="H8227" s="256">
        <f t="shared" si="1227"/>
        <v>0.61538461538461542</v>
      </c>
      <c r="I8227" s="297">
        <f t="shared" si="1230"/>
        <v>56.086061382925124</v>
      </c>
      <c r="J8227" s="297">
        <f t="shared" si="1231"/>
        <v>48.571428571428569</v>
      </c>
      <c r="K8227" s="297">
        <f>J8227/POBLA!$B$18*100000</f>
        <v>6.2174054803503473</v>
      </c>
      <c r="L8227" s="549">
        <f t="shared" si="1228"/>
        <v>8.6021505376344121E-2</v>
      </c>
      <c r="M8227" s="401">
        <f>SUM(C8227,C8203,C8179,C8155,C8131,C8107,C8083)/POBLA!$B$18*100000</f>
        <v>43.521838362452428</v>
      </c>
    </row>
    <row r="8228" spans="1:13" s="360" customFormat="1" x14ac:dyDescent="0.25">
      <c r="A8228" s="361" t="s">
        <v>36</v>
      </c>
      <c r="B8228" s="2">
        <v>44235</v>
      </c>
      <c r="C8228" s="1">
        <v>6</v>
      </c>
      <c r="D8228" s="39">
        <f t="shared" si="1226"/>
        <v>19112</v>
      </c>
      <c r="E8228" s="1"/>
      <c r="F8228" s="39">
        <f t="shared" si="1229"/>
        <v>338</v>
      </c>
      <c r="G8228" s="168">
        <f>SUM(C8228,C8204,C8180,C8156,C8132,C8108,C8084,C8060,C8036,C8012,C7988,C7964,C7940,C7916)/POBLA!$B$19*100000</f>
        <v>70.623691789553206</v>
      </c>
      <c r="H8228" s="256">
        <f t="shared" si="1227"/>
        <v>0.16775700934579441</v>
      </c>
      <c r="I8228" s="297">
        <f t="shared" si="1230"/>
        <v>11.84761932357458</v>
      </c>
      <c r="J8228" s="297">
        <f t="shared" si="1231"/>
        <v>13.714285714285714</v>
      </c>
      <c r="K8228" s="297">
        <f>J8228/POBLA!$B$19*100000</f>
        <v>2.6979205777147262</v>
      </c>
      <c r="L8228" s="549">
        <f t="shared" si="1228"/>
        <v>0.63498098859315588</v>
      </c>
      <c r="M8228" s="401">
        <f>SUM(C8228,C8204,C8180,C8156,C8132,C8108,C8084)/POBLA!$B$19*100000</f>
        <v>18.885444044003084</v>
      </c>
    </row>
    <row r="8229" spans="1:13" s="360" customFormat="1" x14ac:dyDescent="0.25">
      <c r="A8229" s="361" t="s">
        <v>37</v>
      </c>
      <c r="B8229" s="2">
        <v>44235</v>
      </c>
      <c r="C8229" s="1">
        <v>133</v>
      </c>
      <c r="D8229" s="39">
        <f t="shared" si="1226"/>
        <v>33927</v>
      </c>
      <c r="E8229" s="1">
        <v>1</v>
      </c>
      <c r="F8229" s="39">
        <f t="shared" si="1229"/>
        <v>517</v>
      </c>
      <c r="G8229" s="168">
        <f>SUM(C8229,C8205,C8181,C8157,C8133,C8109,C8085,C8061,C8037,C8013,C7989,C7965,C7941,C7917)/POBLA!$B$20*100000</f>
        <v>624.0121630416354</v>
      </c>
      <c r="H8229" s="256">
        <f t="shared" si="1227"/>
        <v>0.55536626916524701</v>
      </c>
      <c r="I8229" s="297">
        <f t="shared" si="1230"/>
        <v>346.55530690216887</v>
      </c>
      <c r="J8229" s="297">
        <f t="shared" si="1231"/>
        <v>178.42857142857142</v>
      </c>
      <c r="K8229" s="297">
        <f>J8229/POBLA!$B$20*100000</f>
        <v>48.791235234694042</v>
      </c>
      <c r="L8229" s="549">
        <f t="shared" si="1228"/>
        <v>-0.20909970958373658</v>
      </c>
      <c r="M8229" s="401">
        <f>SUM(C8229,C8205,C8181,C8157,C8133,C8109,C8085)/POBLA!$B$20*100000</f>
        <v>341.53864664285834</v>
      </c>
    </row>
    <row r="8230" spans="1:13" s="360" customFormat="1" x14ac:dyDescent="0.25">
      <c r="A8230" s="361" t="s">
        <v>22</v>
      </c>
      <c r="B8230" s="2">
        <v>44235</v>
      </c>
      <c r="C8230" s="1">
        <v>297</v>
      </c>
      <c r="D8230" s="39">
        <f t="shared" si="1226"/>
        <v>209502</v>
      </c>
      <c r="E8230" s="1">
        <v>32</v>
      </c>
      <c r="F8230" s="39">
        <f t="shared" si="1229"/>
        <v>3737</v>
      </c>
      <c r="G8230" s="168">
        <f>SUM(C8230,C8206,C8182,C8158,C8134,C8110,C8086,C8062,C8038,C8014,C7990,C7966,C7942,C7918)/POBLA!$B$21*100000</f>
        <v>209.10989594555849</v>
      </c>
      <c r="H8230" s="256">
        <f t="shared" si="1227"/>
        <v>0.5066109474549565</v>
      </c>
      <c r="I8230" s="297">
        <f t="shared" si="1230"/>
        <v>105.93736250718675</v>
      </c>
      <c r="J8230" s="297">
        <f t="shared" si="1231"/>
        <v>450.42857142857144</v>
      </c>
      <c r="K8230" s="297">
        <f>J8230/POBLA!$B$21*100000</f>
        <v>12.736858918503737</v>
      </c>
      <c r="L8230" s="549">
        <f t="shared" si="1228"/>
        <v>0.25671852899575676</v>
      </c>
      <c r="M8230" s="401">
        <f>SUM(C8230,C8206,C8182,C8158,C8134,C8110,C8086)/POBLA!$B$21*100000</f>
        <v>89.158012429526153</v>
      </c>
    </row>
    <row r="8231" spans="1:13" s="360" customFormat="1" x14ac:dyDescent="0.25">
      <c r="A8231" s="361" t="s">
        <v>38</v>
      </c>
      <c r="B8231" s="2">
        <v>44235</v>
      </c>
      <c r="C8231" s="1">
        <v>59</v>
      </c>
      <c r="D8231" s="39">
        <f t="shared" si="1226"/>
        <v>21492</v>
      </c>
      <c r="E8231" s="1">
        <v>4</v>
      </c>
      <c r="F8231" s="39">
        <f t="shared" si="1229"/>
        <v>251</v>
      </c>
      <c r="G8231" s="168">
        <f>SUM(C8231,C8207,C8183,C8159,C8135,C8111,C8087,C8063,C8039,C8015,C7991,C7967,C7943,C7919)/POBLA!$B$22*100000</f>
        <v>104.26111070792271</v>
      </c>
      <c r="H8231" s="256">
        <f t="shared" si="1227"/>
        <v>0.60570071258907365</v>
      </c>
      <c r="I8231" s="297">
        <f t="shared" si="1230"/>
        <v>63.151029051117085</v>
      </c>
      <c r="J8231" s="297">
        <f t="shared" si="1231"/>
        <v>76.857142857142861</v>
      </c>
      <c r="K8231" s="297">
        <f>J8231/POBLA!$B$22*100000</f>
        <v>7.8560892942384344</v>
      </c>
      <c r="L8231" s="549">
        <f t="shared" si="1228"/>
        <v>-0.11618257261410792</v>
      </c>
      <c r="M8231" s="401">
        <f>SUM(C8231,C8207,C8183,C8159,C8135,C8111,C8087)/POBLA!$B$22*100000</f>
        <v>54.992625059669038</v>
      </c>
    </row>
    <row r="8232" spans="1:13" s="360" customFormat="1" x14ac:dyDescent="0.25">
      <c r="A8232" s="361" t="s">
        <v>39</v>
      </c>
      <c r="B8232" s="2">
        <v>44235</v>
      </c>
      <c r="C8232" s="1">
        <v>93</v>
      </c>
      <c r="D8232" s="39">
        <f t="shared" si="1226"/>
        <v>22175</v>
      </c>
      <c r="E8232" s="1">
        <v>2</v>
      </c>
      <c r="F8232" s="39">
        <f t="shared" si="1229"/>
        <v>342</v>
      </c>
      <c r="G8232" s="168">
        <f>SUM(C8232,C8208,C8184,C8160,C8136,C8112,C8088,C8064,C8040,C8016,C7992,C7968,C7944,C7920)/POBLA!$B$23*100000</f>
        <v>370.41226036306057</v>
      </c>
      <c r="H8232" s="256">
        <f t="shared" si="1227"/>
        <v>0.51819620253164556</v>
      </c>
      <c r="I8232" s="297">
        <f t="shared" si="1230"/>
        <v>191.94622669130115</v>
      </c>
      <c r="J8232" s="297">
        <f t="shared" si="1231"/>
        <v>46.142857142857146</v>
      </c>
      <c r="K8232" s="297">
        <f>J8232/POBLA!$B$23*100000</f>
        <v>26.094473303657267</v>
      </c>
      <c r="L8232" s="549">
        <f t="shared" si="1228"/>
        <v>2.7108433734939763E-2</v>
      </c>
      <c r="M8232" s="401">
        <f>SUM(C8232,C8208,C8184,C8160,C8136,C8112,C8088)/POBLA!$B$23*100000</f>
        <v>182.66131312560086</v>
      </c>
    </row>
    <row r="8233" spans="1:13" s="360" customFormat="1" ht="15.75" thickBot="1" x14ac:dyDescent="0.3">
      <c r="A8233" s="361" t="s">
        <v>40</v>
      </c>
      <c r="B8233" s="2">
        <v>44235</v>
      </c>
      <c r="C8233" s="1">
        <v>107</v>
      </c>
      <c r="D8233" s="176">
        <f t="shared" si="1226"/>
        <v>77417</v>
      </c>
      <c r="E8233" s="1"/>
      <c r="F8233" s="176">
        <f t="shared" si="1229"/>
        <v>1438</v>
      </c>
      <c r="G8233" s="177">
        <f>SUM(C8233,C8209,C8185,C8161,C8137,C8113,C8089,C8065,C8041,C8017,C7993,C7969,C7945,C7921)/POBLA!$B$24*100000</f>
        <v>117.6639978851165</v>
      </c>
      <c r="H8233" s="402">
        <f t="shared" si="1227"/>
        <v>0.85800344234079173</v>
      </c>
      <c r="I8233" s="403">
        <f t="shared" si="1230"/>
        <v>100.9561152250096</v>
      </c>
      <c r="J8233" s="403">
        <f t="shared" si="1231"/>
        <v>126.42857142857143</v>
      </c>
      <c r="K8233" s="403">
        <f>J8233/POBLA!$B$24*100000</f>
        <v>7.4604268611783997</v>
      </c>
      <c r="L8233" s="550">
        <f t="shared" si="1228"/>
        <v>0.2019837691614067</v>
      </c>
      <c r="M8233" s="405">
        <f>SUM(C8233,C8209,C8185,C8161,C8137,C8113,C8089)/POBLA!$B$24*100000</f>
        <v>52.2229880282488</v>
      </c>
    </row>
    <row r="8234" spans="1:13" s="360" customFormat="1" x14ac:dyDescent="0.25">
      <c r="A8234" s="361" t="s">
        <v>16</v>
      </c>
      <c r="B8234" s="2">
        <v>44236</v>
      </c>
      <c r="C8234" s="1">
        <v>3363</v>
      </c>
      <c r="D8234" s="174">
        <f t="shared" si="1226"/>
        <v>831939</v>
      </c>
      <c r="E8234" s="1">
        <v>97</v>
      </c>
      <c r="F8234" s="174">
        <f>E8234+F8210</f>
        <v>25204</v>
      </c>
      <c r="G8234" s="175">
        <f>SUM(C8234,C8210,C8186,C8162,C8138,C8114,C8090,C8066,C8042,C8018,C7994,C7970,C7946,C7922)/POBLA!$B$1*100000</f>
        <v>262.16652611138579</v>
      </c>
      <c r="H8234" s="300">
        <f t="shared" ref="H8234:H8257" si="1232">SUM(C8234,C8210,C8186,C8162,C8138,C8114,C8090,C8066,C8042,C8018,C7994,C7970,C7946,C7922)/SUM(C7898,C7874,C7850,C7826,C7802,C7778,C7754,C7730,C7706,C7682,C7658,C7634,C7610,C7586)</f>
        <v>0.82995542240430253</v>
      </c>
      <c r="I8234" s="301">
        <f>G8234*H8234</f>
        <v>217.58652991904381</v>
      </c>
      <c r="J8234" s="301">
        <f>AVERAGE(C8234,C8210,C8186,C8162,C8138,C8114,C8090)</f>
        <v>2968.8571428571427</v>
      </c>
      <c r="K8234" s="301">
        <f>J8234/POBLA!$B$1*100000</f>
        <v>16.925108479871078</v>
      </c>
      <c r="L8234" s="548">
        <f t="shared" ref="L8234:L8257" si="1233">1-SUM(C8234,C8210,C8186,C8162,C8138,C8114,C8090)/SUM(C8066,C8042,C8018,C7994,C7970,C7946,C7922)</f>
        <v>0.17548105534616143</v>
      </c>
      <c r="M8234" s="400">
        <f>SUM(C8234,C8210,C8186,C8162,C8138,C8114,C8090)/POBLA!$B$1*100000</f>
        <v>118.47575935909757</v>
      </c>
    </row>
    <row r="8235" spans="1:13" s="360" customFormat="1" x14ac:dyDescent="0.25">
      <c r="A8235" s="361" t="s">
        <v>43</v>
      </c>
      <c r="B8235" s="2">
        <v>44236</v>
      </c>
      <c r="C8235" s="1">
        <v>986</v>
      </c>
      <c r="D8235" s="39">
        <f t="shared" si="1226"/>
        <v>218752</v>
      </c>
      <c r="E8235" s="1">
        <v>3</v>
      </c>
      <c r="F8235" s="39">
        <f t="shared" ref="F8235:F8257" si="1234">E8235+F8211</f>
        <v>6202</v>
      </c>
      <c r="G8235" s="168">
        <f>SUM(C8235,C8211,C8187,C8163,C8139,C8115,C8091,C8067,C8043,C8019,C7995,C7971,C7947,C7923)/POBLA!$B$2*100000</f>
        <v>447.2231199559377</v>
      </c>
      <c r="H8235" s="256">
        <f t="shared" si="1232"/>
        <v>0.83429368593437259</v>
      </c>
      <c r="I8235" s="297">
        <f t="shared" ref="I8235:I8257" si="1235">G8235*H8235</f>
        <v>373.11542518310932</v>
      </c>
      <c r="J8235" s="297">
        <f t="shared" ref="J8235:J8257" si="1236">AVERAGE(C8235,C8211,C8187,C8163,C8139,C8115,C8091)</f>
        <v>909.42857142857144</v>
      </c>
      <c r="K8235" s="297">
        <f>J8235/POBLA!$B$2*100000</f>
        <v>29.568701060803857</v>
      </c>
      <c r="L8235" s="549">
        <f t="shared" si="1233"/>
        <v>0.1384490458790093</v>
      </c>
      <c r="M8235" s="401">
        <f>SUM(C8235,C8211,C8187,C8163,C8139,C8115,C8091)/POBLA!$B$2*100000</f>
        <v>206.98090742562701</v>
      </c>
    </row>
    <row r="8236" spans="1:13" s="360" customFormat="1" x14ac:dyDescent="0.25">
      <c r="A8236" s="361" t="s">
        <v>28</v>
      </c>
      <c r="B8236" s="2">
        <v>44236</v>
      </c>
      <c r="C8236" s="1">
        <v>83</v>
      </c>
      <c r="D8236" s="39">
        <f t="shared" si="1226"/>
        <v>6407</v>
      </c>
      <c r="E8236" s="1"/>
      <c r="F8236" s="39">
        <f t="shared" si="1234"/>
        <v>17</v>
      </c>
      <c r="G8236" s="168">
        <f>SUM(C8236,C8212,C8188,C8164,C8140,C8116,C8092,C8068,C8044,C8020,C7996,C7972,C7948,C7924)/POBLA!$B$3*100000</f>
        <v>377.67368415985061</v>
      </c>
      <c r="H8236" s="256">
        <f t="shared" si="1232"/>
        <v>1.0109536082474226</v>
      </c>
      <c r="I8236" s="297">
        <f t="shared" si="1235"/>
        <v>381.81057374149844</v>
      </c>
      <c r="J8236" s="297">
        <f t="shared" si="1236"/>
        <v>104.14285714285714</v>
      </c>
      <c r="K8236" s="297">
        <f>J8236/POBLA!$B$3*100000</f>
        <v>25.068206842623241</v>
      </c>
      <c r="L8236" s="549">
        <f t="shared" si="1233"/>
        <v>0.13214285714285712</v>
      </c>
      <c r="M8236" s="401">
        <f>SUM(C8236,C8212,C8188,C8164,C8140,C8116,C8092)/POBLA!$B$3*100000</f>
        <v>175.4774478983627</v>
      </c>
    </row>
    <row r="8237" spans="1:13" s="360" customFormat="1" x14ac:dyDescent="0.25">
      <c r="A8237" s="361" t="s">
        <v>15</v>
      </c>
      <c r="B8237" s="2">
        <v>44236</v>
      </c>
      <c r="C8237" s="1">
        <v>161</v>
      </c>
      <c r="D8237" s="39">
        <f t="shared" si="1226"/>
        <v>31891</v>
      </c>
      <c r="E8237" s="1">
        <v>2</v>
      </c>
      <c r="F8237" s="39">
        <f t="shared" si="1234"/>
        <v>823</v>
      </c>
      <c r="G8237" s="168">
        <f>SUM(C8237,C8213,C8189,C8165,C8141,C8117,C8093,C8069,C8045,C8021,C7997,C7973,C7949,C7925)/POBLA!$B$4*100000</f>
        <v>151.42697508843617</v>
      </c>
      <c r="H8237" s="256">
        <f t="shared" si="1232"/>
        <v>0.67132867132867136</v>
      </c>
      <c r="I8237" s="297">
        <f t="shared" si="1235"/>
        <v>101.65726998943967</v>
      </c>
      <c r="J8237" s="297">
        <f t="shared" si="1236"/>
        <v>126.14285714285714</v>
      </c>
      <c r="K8237" s="297">
        <f>J8237/POBLA!$B$4*100000</f>
        <v>10.472275924427407</v>
      </c>
      <c r="L8237" s="549">
        <f t="shared" si="1233"/>
        <v>6.1636556854410163E-2</v>
      </c>
      <c r="M8237" s="401">
        <f>SUM(C8237,C8213,C8189,C8165,C8141,C8117,C8093)/POBLA!$B$4*100000</f>
        <v>73.305931470991865</v>
      </c>
    </row>
    <row r="8238" spans="1:13" s="360" customFormat="1" x14ac:dyDescent="0.25">
      <c r="A8238" s="361" t="s">
        <v>29</v>
      </c>
      <c r="B8238" s="2">
        <v>44236</v>
      </c>
      <c r="C8238" s="1">
        <v>251</v>
      </c>
      <c r="D8238" s="39">
        <f t="shared" si="1226"/>
        <v>44401</v>
      </c>
      <c r="E8238" s="1">
        <v>2</v>
      </c>
      <c r="F8238" s="39">
        <f t="shared" si="1234"/>
        <v>677</v>
      </c>
      <c r="G8238" s="168">
        <f>SUM(C8238,C8214,C8190,C8166,C8142,C8118,C8094,C8070,C8046,C8022,C7998,C7974,C7950,C7926)/POBLA!$B$5*100000</f>
        <v>568.82619217633771</v>
      </c>
      <c r="H8238" s="256">
        <f t="shared" si="1232"/>
        <v>0.79070289692342244</v>
      </c>
      <c r="I8238" s="297">
        <f t="shared" si="1235"/>
        <v>449.77251799974965</v>
      </c>
      <c r="J8238" s="297">
        <f t="shared" si="1236"/>
        <v>221.71428571428572</v>
      </c>
      <c r="K8238" s="297">
        <f>J8238/POBLA!$B$5*100000</f>
        <v>35.818487047416568</v>
      </c>
      <c r="L8238" s="549">
        <f t="shared" si="1233"/>
        <v>0.21178263077704418</v>
      </c>
      <c r="M8238" s="401">
        <f>SUM(C8238,C8214,C8190,C8166,C8142,C8118,C8094)/POBLA!$B$5*100000</f>
        <v>250.72940933191597</v>
      </c>
    </row>
    <row r="8239" spans="1:13" s="360" customFormat="1" x14ac:dyDescent="0.25">
      <c r="A8239" s="361" t="s">
        <v>30</v>
      </c>
      <c r="B8239" s="2">
        <v>44236</v>
      </c>
      <c r="C8239" s="1">
        <v>159</v>
      </c>
      <c r="D8239" s="39">
        <f t="shared" si="1226"/>
        <v>18974</v>
      </c>
      <c r="E8239" s="1"/>
      <c r="F8239" s="39">
        <f t="shared" si="1234"/>
        <v>208</v>
      </c>
      <c r="G8239" s="168">
        <f>SUM(C8239,C8215,C8191,C8167,C8143,C8119,C8095,C8071,C8047,C8023,C7999,C7975,C7951,C7927)/POBLA!$B$6*100000</f>
        <v>209.1361445965876</v>
      </c>
      <c r="H8239" s="256">
        <f t="shared" si="1232"/>
        <v>0.54868913857677903</v>
      </c>
      <c r="I8239" s="297">
        <f t="shared" si="1235"/>
        <v>114.75073102397035</v>
      </c>
      <c r="J8239" s="297">
        <f t="shared" si="1236"/>
        <v>176.57142857142858</v>
      </c>
      <c r="K8239" s="297">
        <f>J8239/POBLA!$B$6*100000</f>
        <v>15.754039171220278</v>
      </c>
      <c r="L8239" s="549">
        <f t="shared" si="1233"/>
        <v>-0.11552346570397121</v>
      </c>
      <c r="M8239" s="401">
        <f>SUM(C8239,C8215,C8191,C8167,C8143,C8119,C8095)/POBLA!$B$6*100000</f>
        <v>110.27827419854194</v>
      </c>
    </row>
    <row r="8240" spans="1:13" s="360" customFormat="1" x14ac:dyDescent="0.25">
      <c r="A8240" s="361" t="s">
        <v>20</v>
      </c>
      <c r="B8240" s="2">
        <v>44236</v>
      </c>
      <c r="C8240" s="1">
        <v>680</v>
      </c>
      <c r="D8240" s="39">
        <f t="shared" si="1226"/>
        <v>149149</v>
      </c>
      <c r="E8240" s="1">
        <v>5</v>
      </c>
      <c r="F8240" s="39">
        <f t="shared" si="1234"/>
        <v>2745</v>
      </c>
      <c r="G8240" s="168">
        <f>SUM(C8240,C8216,C8192,C8168,C8144,C8120,C8096,C8072,C8048,C8024,C8000,C7976,C7952,C7928)/POBLA!$B$7*100000</f>
        <v>177.18624100838994</v>
      </c>
      <c r="H8240" s="256">
        <f t="shared" si="1232"/>
        <v>1.1047919084728901</v>
      </c>
      <c r="I8240" s="297">
        <f t="shared" si="1235"/>
        <v>195.75392535879658</v>
      </c>
      <c r="J8240" s="297">
        <f t="shared" si="1236"/>
        <v>462.85714285714283</v>
      </c>
      <c r="K8240" s="297">
        <f>J8240/POBLA!$B$7*100000</f>
        <v>12.308557296524162</v>
      </c>
      <c r="L8240" s="549">
        <f t="shared" si="1233"/>
        <v>5.3461875547765159E-2</v>
      </c>
      <c r="M8240" s="401">
        <f>SUM(C8240,C8216,C8192,C8168,C8144,C8120,C8096)/POBLA!$B$7*100000</f>
        <v>86.15990107566914</v>
      </c>
    </row>
    <row r="8241" spans="1:13" x14ac:dyDescent="0.25">
      <c r="A8241" s="361" t="s">
        <v>31</v>
      </c>
      <c r="B8241" s="2">
        <v>44236</v>
      </c>
      <c r="C8241" s="1">
        <v>200</v>
      </c>
      <c r="D8241" s="39">
        <f t="shared" si="1226"/>
        <v>42792</v>
      </c>
      <c r="E8241" s="1">
        <v>3</v>
      </c>
      <c r="F8241" s="39">
        <f t="shared" si="1234"/>
        <v>772</v>
      </c>
      <c r="G8241" s="168">
        <f>SUM(C8241,C8217,C8193,C8169,C8145,C8121,C8097,C8073,C8049,C8025,C8001,C7977,C7953,C7929)/POBLA!$B$8*100000</f>
        <v>222.58923591645072</v>
      </c>
      <c r="H8241" s="256">
        <f t="shared" si="1232"/>
        <v>0.56070519810977826</v>
      </c>
      <c r="I8241" s="297">
        <f t="shared" si="1235"/>
        <v>124.80694162163768</v>
      </c>
      <c r="J8241" s="297">
        <f t="shared" si="1236"/>
        <v>191.42857142857142</v>
      </c>
      <c r="K8241" s="297">
        <f>J8241/POBLA!$B$8*100000</f>
        <v>13.811973888772584</v>
      </c>
      <c r="L8241" s="549">
        <f t="shared" si="1233"/>
        <v>0.23209169054441259</v>
      </c>
      <c r="M8241" s="401">
        <f>SUM(C8241,C8217,C8193,C8169,C8145,C8121,C8097)/POBLA!$B$8*100000</f>
        <v>96.683817221408106</v>
      </c>
    </row>
    <row r="8242" spans="1:13" s="360" customFormat="1" x14ac:dyDescent="0.25">
      <c r="A8242" s="361" t="s">
        <v>41</v>
      </c>
      <c r="B8242" s="2">
        <v>44236</v>
      </c>
      <c r="C8242" s="1">
        <v>3</v>
      </c>
      <c r="D8242" s="39">
        <f t="shared" si="1226"/>
        <v>888</v>
      </c>
      <c r="E8242" s="1"/>
      <c r="F8242" s="39">
        <f t="shared" si="1234"/>
        <v>9</v>
      </c>
      <c r="G8242" s="168">
        <f>SUM(C8242,C8218,C8194,C8170,C8146,C8122,C8098,C8074,C8050,C8026,C8002,C7978,C7954,C7930)/POBLA!$B$9*100000</f>
        <v>12.227504283757412</v>
      </c>
      <c r="H8242" s="256">
        <f t="shared" si="1232"/>
        <v>0.1670428893905192</v>
      </c>
      <c r="I8242" s="297">
        <f t="shared" si="1235"/>
        <v>2.0425176455937892</v>
      </c>
      <c r="J8242" s="297">
        <f t="shared" si="1236"/>
        <v>5.2857142857142856</v>
      </c>
      <c r="K8242" s="297">
        <f>J8242/POBLA!$B$9*100000</f>
        <v>0.87339316312552939</v>
      </c>
      <c r="L8242" s="549">
        <f t="shared" si="1233"/>
        <v>0</v>
      </c>
      <c r="M8242" s="401">
        <f>SUM(C8242,C8218,C8194,C8170,C8146,C8122,C8098)/POBLA!$B$9*100000</f>
        <v>6.113752141878706</v>
      </c>
    </row>
    <row r="8243" spans="1:13" s="360" customFormat="1" x14ac:dyDescent="0.25">
      <c r="A8243" s="361" t="s">
        <v>32</v>
      </c>
      <c r="B8243" s="2">
        <v>44236</v>
      </c>
      <c r="C8243" s="1">
        <v>45</v>
      </c>
      <c r="D8243" s="39">
        <f t="shared" si="1226"/>
        <v>19592</v>
      </c>
      <c r="E8243" s="1">
        <v>2</v>
      </c>
      <c r="F8243" s="39">
        <f t="shared" si="1234"/>
        <v>887</v>
      </c>
      <c r="G8243" s="168">
        <f>SUM(C8243,C8219,C8195,C8171,C8147,C8123,C8099,C8075,C8051,C8027,C8003,C7979,C7955,C7931)/POBLA!$B$10*100000</f>
        <v>56.428942988606536</v>
      </c>
      <c r="H8243" s="256">
        <f t="shared" si="1232"/>
        <v>0.99315068493150682</v>
      </c>
      <c r="I8243" s="297">
        <f t="shared" si="1235"/>
        <v>56.042443379095531</v>
      </c>
      <c r="J8243" s="297">
        <f t="shared" si="1236"/>
        <v>31.571428571428573</v>
      </c>
      <c r="K8243" s="297">
        <f>J8243/POBLA!$B$10*100000</f>
        <v>4.0954996389103595</v>
      </c>
      <c r="L8243" s="549">
        <f t="shared" si="1233"/>
        <v>-3.2710280373831724E-2</v>
      </c>
      <c r="M8243" s="401">
        <f>SUM(C8243,C8219,C8195,C8171,C8147,C8123,C8099)/POBLA!$B$10*100000</f>
        <v>28.668497472372518</v>
      </c>
    </row>
    <row r="8244" spans="1:13" s="360" customFormat="1" x14ac:dyDescent="0.25">
      <c r="A8244" s="361" t="s">
        <v>33</v>
      </c>
      <c r="B8244" s="2">
        <v>44236</v>
      </c>
      <c r="C8244" s="1">
        <v>99</v>
      </c>
      <c r="D8244" s="39">
        <f t="shared" si="1226"/>
        <v>17290</v>
      </c>
      <c r="E8244" s="1"/>
      <c r="F8244" s="39">
        <f t="shared" si="1234"/>
        <v>265</v>
      </c>
      <c r="G8244" s="168">
        <f>SUM(C8244,C8220,C8196,C8172,C8148,C8124,C8100,C8076,C8052,C8028,C8004,C7980,C7956,C7932)/POBLA!$B$11*100000</f>
        <v>362.69487874831208</v>
      </c>
      <c r="H8244" s="256">
        <f t="shared" si="1232"/>
        <v>0.67183462532299743</v>
      </c>
      <c r="I8244" s="297">
        <f t="shared" si="1235"/>
        <v>243.67097797044224</v>
      </c>
      <c r="J8244" s="297">
        <f t="shared" si="1236"/>
        <v>98.428571428571431</v>
      </c>
      <c r="K8244" s="297">
        <f>J8244/POBLA!$B$11*100000</f>
        <v>27.461183676657917</v>
      </c>
      <c r="L8244" s="549">
        <f t="shared" si="1233"/>
        <v>-0.12765957446808507</v>
      </c>
      <c r="M8244" s="401">
        <f>SUM(C8244,C8220,C8196,C8172,C8148,C8124,C8100)/POBLA!$B$11*100000</f>
        <v>192.22828573660541</v>
      </c>
    </row>
    <row r="8245" spans="1:13" s="360" customFormat="1" x14ac:dyDescent="0.25">
      <c r="A8245" s="361" t="s">
        <v>21</v>
      </c>
      <c r="B8245" s="2">
        <v>44236</v>
      </c>
      <c r="C8245" s="1">
        <v>9</v>
      </c>
      <c r="D8245" s="39">
        <f t="shared" si="1226"/>
        <v>9704</v>
      </c>
      <c r="E8245" s="1"/>
      <c r="F8245" s="39">
        <f t="shared" si="1234"/>
        <v>415</v>
      </c>
      <c r="G8245" s="168">
        <f>SUM(C8245,C8221,C8197,C8173,C8149,C8125,C8101,C8077,C8053,C8029,C8005,C7981,C7957,C7933)/POBLA!$B$12*100000</f>
        <v>64.035615999756061</v>
      </c>
      <c r="H8245" s="256">
        <f t="shared" si="1232"/>
        <v>1.1666666666666667</v>
      </c>
      <c r="I8245" s="297">
        <f t="shared" si="1235"/>
        <v>74.708218666382081</v>
      </c>
      <c r="J8245" s="297">
        <f t="shared" si="1236"/>
        <v>19.857142857142858</v>
      </c>
      <c r="K8245" s="297">
        <f>J8245/POBLA!$B$12*100000</f>
        <v>5.0458903763980114</v>
      </c>
      <c r="L8245" s="549">
        <f t="shared" si="1233"/>
        <v>-0.23008849557522115</v>
      </c>
      <c r="M8245" s="401">
        <f>SUM(C8245,C8221,C8197,C8173,C8149,C8125,C8101)/POBLA!$B$12*100000</f>
        <v>35.321232634786078</v>
      </c>
    </row>
    <row r="8246" spans="1:13" s="360" customFormat="1" x14ac:dyDescent="0.25">
      <c r="A8246" s="361" t="s">
        <v>17</v>
      </c>
      <c r="B8246" s="2">
        <v>44236</v>
      </c>
      <c r="C8246" s="1">
        <v>194</v>
      </c>
      <c r="D8246" s="39">
        <f t="shared" si="1226"/>
        <v>65040</v>
      </c>
      <c r="E8246" s="1">
        <v>3</v>
      </c>
      <c r="F8246" s="39">
        <f t="shared" si="1234"/>
        <v>1404</v>
      </c>
      <c r="G8246" s="168">
        <f>SUM(C8246,C8222,C8198,C8174,C8150,C8126,C8102,C8078,C8054,C8030,C8006,C7982,C7958,C7934)/POBLA!$B$13*100000</f>
        <v>86.316997414509501</v>
      </c>
      <c r="H8246" s="256">
        <f t="shared" si="1232"/>
        <v>0.9924898902368573</v>
      </c>
      <c r="I8246" s="297">
        <f t="shared" si="1235"/>
        <v>85.668747289501624</v>
      </c>
      <c r="J8246" s="297">
        <f t="shared" si="1236"/>
        <v>142.71428571428572</v>
      </c>
      <c r="K8246" s="297">
        <f>J8246/POBLA!$B$13*100000</f>
        <v>7.1703542671790279</v>
      </c>
      <c r="L8246" s="549">
        <f t="shared" si="1233"/>
        <v>-0.38942976356050063</v>
      </c>
      <c r="M8246" s="401">
        <f>SUM(C8246,C8222,C8198,C8174,C8150,C8126,C8102)/POBLA!$B$13*100000</f>
        <v>50.192479870253187</v>
      </c>
    </row>
    <row r="8247" spans="1:13" s="360" customFormat="1" x14ac:dyDescent="0.25">
      <c r="A8247" s="361" t="s">
        <v>23</v>
      </c>
      <c r="B8247" s="2">
        <v>44236</v>
      </c>
      <c r="C8247" s="1">
        <v>97</v>
      </c>
      <c r="D8247" s="39">
        <f t="shared" si="1226"/>
        <v>6215</v>
      </c>
      <c r="E8247" s="1">
        <v>2</v>
      </c>
      <c r="F8247" s="39">
        <f t="shared" si="1234"/>
        <v>109</v>
      </c>
      <c r="G8247" s="168">
        <f>SUM(C8247,C8223,C8199,C8175,C8151,C8127,C8103,C8079,C8055,C8031,C8007,C7983,C7959,C7935)/POBLA!$B$14*100000</f>
        <v>192.97641945494073</v>
      </c>
      <c r="H8247" s="256">
        <f t="shared" si="1232"/>
        <v>1.076514816452897</v>
      </c>
      <c r="I8247" s="297">
        <f t="shared" si="1235"/>
        <v>207.74197476927279</v>
      </c>
      <c r="J8247" s="297">
        <f t="shared" si="1236"/>
        <v>153.14285714285714</v>
      </c>
      <c r="K8247" s="297">
        <f>J8247/POBLA!$B$14*100000</f>
        <v>12.141725651819254</v>
      </c>
      <c r="L8247" s="549">
        <f t="shared" si="1233"/>
        <v>0.21292217327459617</v>
      </c>
      <c r="M8247" s="401">
        <f>SUM(C8247,C8223,C8199,C8175,C8151,C8127,C8103)/POBLA!$B$14*100000</f>
        <v>84.992079562734773</v>
      </c>
    </row>
    <row r="8248" spans="1:13" s="360" customFormat="1" x14ac:dyDescent="0.25">
      <c r="A8248" s="361" t="s">
        <v>19</v>
      </c>
      <c r="B8248" s="2">
        <v>44236</v>
      </c>
      <c r="C8248" s="1">
        <v>309</v>
      </c>
      <c r="D8248" s="39">
        <f t="shared" si="1226"/>
        <v>57236</v>
      </c>
      <c r="E8248" s="1">
        <v>7</v>
      </c>
      <c r="F8248" s="39">
        <f t="shared" si="1234"/>
        <v>802</v>
      </c>
      <c r="G8248" s="168">
        <f>SUM(C8248,C8224,C8200,C8176,C8152,C8128,C8104,C8080,C8056,C8032,C8008,C7984,C7960,C7936)/POBLA!$B$15*100000</f>
        <v>782.01118277497255</v>
      </c>
      <c r="H8248" s="256">
        <f t="shared" si="1232"/>
        <v>0.88906009244992301</v>
      </c>
      <c r="I8248" s="297">
        <f t="shared" si="1235"/>
        <v>695.25493445479071</v>
      </c>
      <c r="J8248" s="297">
        <f t="shared" si="1236"/>
        <v>329.57142857142856</v>
      </c>
      <c r="K8248" s="297">
        <f>J8248/POBLA!$B$15*100000</f>
        <v>49.629990885033749</v>
      </c>
      <c r="L8248" s="549">
        <f t="shared" si="1233"/>
        <v>0.20062370062370061</v>
      </c>
      <c r="M8248" s="401">
        <f>SUM(C8248,C8224,C8200,C8176,C8152,C8128,C8104)/POBLA!$B$15*100000</f>
        <v>347.40993619523624</v>
      </c>
    </row>
    <row r="8249" spans="1:13" s="360" customFormat="1" x14ac:dyDescent="0.25">
      <c r="A8249" s="361" t="s">
        <v>18</v>
      </c>
      <c r="B8249" s="2">
        <v>44236</v>
      </c>
      <c r="C8249" s="1">
        <v>206</v>
      </c>
      <c r="D8249" s="39">
        <f t="shared" si="1226"/>
        <v>49796</v>
      </c>
      <c r="E8249" s="1">
        <v>3</v>
      </c>
      <c r="F8249" s="39">
        <f t="shared" si="1234"/>
        <v>1105</v>
      </c>
      <c r="G8249" s="168">
        <f>SUM(C8249,C8225,C8201,C8177,C8153,C8129,C8105,C8081,C8057,C8033,C8009,C7985,C7961,C7937)/POBLA!$B$16*100000</f>
        <v>424.01787027995886</v>
      </c>
      <c r="H8249" s="256">
        <f t="shared" si="1232"/>
        <v>0.72390956839461063</v>
      </c>
      <c r="I8249" s="297">
        <f t="shared" si="1235"/>
        <v>306.95059346596702</v>
      </c>
      <c r="J8249" s="297">
        <f t="shared" si="1236"/>
        <v>188</v>
      </c>
      <c r="K8249" s="297">
        <f>J8249/POBLA!$B$16*100000</f>
        <v>25.146801139631627</v>
      </c>
      <c r="L8249" s="549">
        <f t="shared" si="1233"/>
        <v>0.29018338727076587</v>
      </c>
      <c r="M8249" s="401">
        <f>SUM(C8249,C8225,C8201,C8177,C8153,C8129,C8105)/POBLA!$B$16*100000</f>
        <v>176.02760797742138</v>
      </c>
    </row>
    <row r="8250" spans="1:13" s="360" customFormat="1" x14ac:dyDescent="0.25">
      <c r="A8250" s="361" t="s">
        <v>34</v>
      </c>
      <c r="B8250" s="2">
        <v>44236</v>
      </c>
      <c r="C8250" s="1">
        <v>95</v>
      </c>
      <c r="D8250" s="39">
        <f t="shared" si="1226"/>
        <v>24413</v>
      </c>
      <c r="E8250" s="1"/>
      <c r="F8250" s="39">
        <f t="shared" si="1234"/>
        <v>1053</v>
      </c>
      <c r="G8250" s="168">
        <f>SUM(C8250,C8226,C8202,C8178,C8154,C8130,C8106,C8082,C8058,C8034,C8010,C7986,C7962,C7938)/POBLA!$B$17*100000</f>
        <v>61.991144322825726</v>
      </c>
      <c r="H8250" s="256">
        <f t="shared" si="1232"/>
        <v>1.2029972752043596</v>
      </c>
      <c r="I8250" s="297">
        <f t="shared" si="1235"/>
        <v>74.575177707159554</v>
      </c>
      <c r="J8250" s="297">
        <f t="shared" si="1236"/>
        <v>75.714285714285708</v>
      </c>
      <c r="K8250" s="297">
        <f>J8250/POBLA!$B$17*100000</f>
        <v>5.3155325175695891</v>
      </c>
      <c r="L8250" s="549">
        <f t="shared" si="1233"/>
        <v>-0.50141643059490093</v>
      </c>
      <c r="M8250" s="401">
        <f>SUM(C8250,C8226,C8202,C8178,C8154,C8130,C8106)/POBLA!$B$17*100000</f>
        <v>37.208727622987126</v>
      </c>
    </row>
    <row r="8251" spans="1:13" s="360" customFormat="1" x14ac:dyDescent="0.25">
      <c r="A8251" s="361" t="s">
        <v>35</v>
      </c>
      <c r="B8251" s="2">
        <v>44236</v>
      </c>
      <c r="C8251" s="1">
        <v>68</v>
      </c>
      <c r="D8251" s="39">
        <f t="shared" si="1226"/>
        <v>14405</v>
      </c>
      <c r="E8251" s="1">
        <v>1</v>
      </c>
      <c r="F8251" s="39">
        <f t="shared" si="1234"/>
        <v>203</v>
      </c>
      <c r="G8251" s="168">
        <f>SUM(C8251,C8227,C8203,C8179,C8155,C8131,C8107,C8083,C8059,C8035,C8011,C7987,C7963,C7939)/POBLA!$B$18*100000</f>
        <v>89.859795677769426</v>
      </c>
      <c r="H8251" s="256">
        <f t="shared" si="1232"/>
        <v>0.68354430379746833</v>
      </c>
      <c r="I8251" s="297">
        <f t="shared" si="1235"/>
        <v>61.423151475943655</v>
      </c>
      <c r="J8251" s="297">
        <f t="shared" si="1236"/>
        <v>46.428571428571431</v>
      </c>
      <c r="K8251" s="297">
        <f>J8251/POBLA!$B$18*100000</f>
        <v>5.9431081797466554</v>
      </c>
      <c r="L8251" s="549">
        <f t="shared" si="1233"/>
        <v>0.13793103448275867</v>
      </c>
      <c r="M8251" s="401">
        <f>SUM(C8251,C8227,C8203,C8179,C8155,C8131,C8107)/POBLA!$B$18*100000</f>
        <v>41.601757258226584</v>
      </c>
    </row>
    <row r="8252" spans="1:13" s="360" customFormat="1" x14ac:dyDescent="0.25">
      <c r="A8252" s="361" t="s">
        <v>36</v>
      </c>
      <c r="B8252" s="2">
        <v>44236</v>
      </c>
      <c r="C8252" s="1">
        <v>7</v>
      </c>
      <c r="D8252" s="39">
        <f t="shared" si="1226"/>
        <v>19119</v>
      </c>
      <c r="E8252" s="1"/>
      <c r="F8252" s="39">
        <f t="shared" si="1234"/>
        <v>338</v>
      </c>
      <c r="G8252" s="168">
        <f>SUM(C8252,C8228,C8204,C8180,C8156,C8132,C8108,C8084,C8060,C8036,C8012,C7988,C7964,C7940)/POBLA!$B$19*100000</f>
        <v>63.148203522135312</v>
      </c>
      <c r="H8252" s="256">
        <f t="shared" si="1232"/>
        <v>0.15042174320524837</v>
      </c>
      <c r="I8252" s="297">
        <f t="shared" si="1235"/>
        <v>9.4988628540793982</v>
      </c>
      <c r="J8252" s="297">
        <f t="shared" si="1236"/>
        <v>5.7142857142857144</v>
      </c>
      <c r="K8252" s="297">
        <f>J8252/POBLA!$B$19*100000</f>
        <v>1.1241335740478027</v>
      </c>
      <c r="L8252" s="549">
        <f t="shared" si="1233"/>
        <v>0.85765124555160144</v>
      </c>
      <c r="M8252" s="401">
        <f>SUM(C8252,C8228,C8204,C8180,C8156,C8132,C8108)/POBLA!$B$19*100000</f>
        <v>7.8689350183346178</v>
      </c>
    </row>
    <row r="8253" spans="1:13" s="360" customFormat="1" x14ac:dyDescent="0.25">
      <c r="A8253" s="361" t="s">
        <v>37</v>
      </c>
      <c r="B8253" s="2">
        <v>44236</v>
      </c>
      <c r="C8253" s="1">
        <v>123</v>
      </c>
      <c r="D8253" s="39">
        <f t="shared" si="1226"/>
        <v>34050</v>
      </c>
      <c r="E8253" s="1">
        <v>3</v>
      </c>
      <c r="F8253" s="39">
        <f t="shared" si="1234"/>
        <v>520</v>
      </c>
      <c r="G8253" s="168">
        <f>SUM(C8253,C8229,C8205,C8181,C8157,C8133,C8109,C8085,C8061,C8037,C8013,C7989,C7965,C7941)/POBLA!$B$20*100000</f>
        <v>608.15208177239151</v>
      </c>
      <c r="H8253" s="256">
        <f t="shared" si="1232"/>
        <v>0.57069540672312036</v>
      </c>
      <c r="I8253" s="297">
        <f t="shared" si="1235"/>
        <v>347.06959965660735</v>
      </c>
      <c r="J8253" s="297">
        <f t="shared" si="1236"/>
        <v>173.42857142857142</v>
      </c>
      <c r="K8253" s="297">
        <f>J8253/POBLA!$B$20*100000</f>
        <v>47.423986849414383</v>
      </c>
      <c r="L8253" s="549">
        <f t="shared" si="1233"/>
        <v>-0.20198019801980194</v>
      </c>
      <c r="M8253" s="401">
        <f>SUM(C8253,C8229,C8205,C8181,C8157,C8133,C8109)/POBLA!$B$20*100000</f>
        <v>331.96790794590072</v>
      </c>
    </row>
    <row r="8254" spans="1:13" s="360" customFormat="1" x14ac:dyDescent="0.25">
      <c r="A8254" s="361" t="s">
        <v>22</v>
      </c>
      <c r="B8254" s="2">
        <v>44236</v>
      </c>
      <c r="C8254" s="1">
        <v>479</v>
      </c>
      <c r="D8254" s="39">
        <f t="shared" si="1226"/>
        <v>209981</v>
      </c>
      <c r="E8254" s="1">
        <v>22</v>
      </c>
      <c r="F8254" s="39">
        <f t="shared" si="1234"/>
        <v>3759</v>
      </c>
      <c r="G8254" s="168">
        <f>SUM(C8254,C8230,C8206,C8182,C8158,C8134,C8110,C8086,C8062,C8038,C8014,C7990,C7966,C7942)/POBLA!$B$21*100000</f>
        <v>200.881230668999</v>
      </c>
      <c r="H8254" s="256">
        <f t="shared" si="1232"/>
        <v>0.50986865714490781</v>
      </c>
      <c r="I8254" s="297">
        <f t="shared" si="1235"/>
        <v>102.42304332681898</v>
      </c>
      <c r="J8254" s="297">
        <f t="shared" si="1236"/>
        <v>445.28571428571428</v>
      </c>
      <c r="K8254" s="297">
        <f>J8254/POBLA!$B$21*100000</f>
        <v>12.591433317150695</v>
      </c>
      <c r="L8254" s="549">
        <f t="shared" si="1233"/>
        <v>0.21820917983446197</v>
      </c>
      <c r="M8254" s="401">
        <f>SUM(C8254,C8230,C8206,C8182,C8158,C8134,C8110)/POBLA!$B$21*100000</f>
        <v>88.140033220054875</v>
      </c>
    </row>
    <row r="8255" spans="1:13" s="360" customFormat="1" x14ac:dyDescent="0.25">
      <c r="A8255" s="361" t="s">
        <v>38</v>
      </c>
      <c r="B8255" s="2">
        <v>44236</v>
      </c>
      <c r="C8255" s="1">
        <v>50</v>
      </c>
      <c r="D8255" s="39">
        <f t="shared" si="1226"/>
        <v>21542</v>
      </c>
      <c r="E8255" s="1">
        <v>2</v>
      </c>
      <c r="F8255" s="39">
        <f t="shared" si="1234"/>
        <v>253</v>
      </c>
      <c r="G8255" s="168">
        <f>SUM(C8255,C8231,C8207,C8183,C8159,C8135,C8111,C8087,C8063,C8039,C8015,C7991,C7967,C7943)/POBLA!$B$22*100000</f>
        <v>101.29682422701119</v>
      </c>
      <c r="H8255" s="256">
        <f t="shared" si="1232"/>
        <v>0.59555288461538458</v>
      </c>
      <c r="I8255" s="297">
        <f t="shared" si="1235"/>
        <v>60.327615870774089</v>
      </c>
      <c r="J8255" s="297">
        <f t="shared" si="1236"/>
        <v>74.142857142857139</v>
      </c>
      <c r="K8255" s="297">
        <f>J8255/POBLA!$B$22*100000</f>
        <v>7.5786437615422821</v>
      </c>
      <c r="L8255" s="549">
        <f t="shared" si="1233"/>
        <v>-9.9576271186440746E-2</v>
      </c>
      <c r="M8255" s="401">
        <f>SUM(C8255,C8231,C8207,C8183,C8159,C8135,C8111)/POBLA!$B$22*100000</f>
        <v>53.050506330795969</v>
      </c>
    </row>
    <row r="8256" spans="1:13" s="360" customFormat="1" x14ac:dyDescent="0.25">
      <c r="A8256" s="361" t="s">
        <v>39</v>
      </c>
      <c r="B8256" s="2">
        <v>44236</v>
      </c>
      <c r="C8256" s="1">
        <v>33</v>
      </c>
      <c r="D8256" s="39">
        <f t="shared" si="1226"/>
        <v>22208</v>
      </c>
      <c r="E8256" s="1"/>
      <c r="F8256" s="39">
        <f t="shared" si="1234"/>
        <v>342</v>
      </c>
      <c r="G8256" s="168">
        <f>SUM(C8256,C8232,C8208,C8184,C8160,C8136,C8112,C8088,C8064,C8040,C8016,C7992,C7968,C7944)/POBLA!$B$23*100000</f>
        <v>359.66747723802524</v>
      </c>
      <c r="H8256" s="256">
        <f t="shared" si="1232"/>
        <v>0.5412765957446809</v>
      </c>
      <c r="I8256" s="297">
        <f t="shared" si="1235"/>
        <v>194.67958767947582</v>
      </c>
      <c r="J8256" s="297">
        <f t="shared" si="1236"/>
        <v>42.571428571428569</v>
      </c>
      <c r="K8256" s="297">
        <f>J8256/POBLA!$B$23*100000</f>
        <v>24.074777227522802</v>
      </c>
      <c r="L8256" s="549">
        <f t="shared" si="1233"/>
        <v>0.11834319526627224</v>
      </c>
      <c r="M8256" s="401">
        <f>SUM(C8256,C8232,C8208,C8184,C8160,C8136,C8112)/POBLA!$B$23*100000</f>
        <v>168.52344059265963</v>
      </c>
    </row>
    <row r="8257" spans="1:13" s="360" customFormat="1" ht="15.75" thickBot="1" x14ac:dyDescent="0.3">
      <c r="A8257" s="361" t="s">
        <v>40</v>
      </c>
      <c r="B8257" s="2">
        <v>44236</v>
      </c>
      <c r="C8257" s="1">
        <v>94</v>
      </c>
      <c r="D8257" s="176">
        <f t="shared" si="1226"/>
        <v>77511</v>
      </c>
      <c r="E8257" s="1">
        <v>11</v>
      </c>
      <c r="F8257" s="176">
        <f t="shared" si="1234"/>
        <v>1449</v>
      </c>
      <c r="G8257" s="177">
        <f>SUM(C8257,C8233,C8209,C8185,C8161,C8137,C8113,C8089,C8065,C8041,C8017,C7993,C7969,C7945)/POBLA!$B$24*100000</f>
        <v>112.11714943917821</v>
      </c>
      <c r="H8257" s="402">
        <f t="shared" si="1232"/>
        <v>0.8351648351648352</v>
      </c>
      <c r="I8257" s="403">
        <f t="shared" si="1235"/>
        <v>93.636300630522456</v>
      </c>
      <c r="J8257" s="403">
        <f t="shared" si="1236"/>
        <v>113.71428571428571</v>
      </c>
      <c r="K8257" s="403">
        <f>J8257/POBLA!$B$24*100000</f>
        <v>6.7101692446305146</v>
      </c>
      <c r="L8257" s="550">
        <f t="shared" si="1233"/>
        <v>0.27898550724637683</v>
      </c>
      <c r="M8257" s="405">
        <f>SUM(C8257,C8233,C8209,C8185,C8161,C8137,C8113)/POBLA!$B$24*100000</f>
        <v>46.97118471241361</v>
      </c>
    </row>
    <row r="8258" spans="1:13" s="360" customFormat="1" x14ac:dyDescent="0.25">
      <c r="A8258" s="361" t="s">
        <v>16</v>
      </c>
      <c r="B8258" s="2">
        <v>44237</v>
      </c>
      <c r="C8258" s="1">
        <v>3265</v>
      </c>
      <c r="D8258" s="174">
        <f t="shared" si="1226"/>
        <v>835204</v>
      </c>
      <c r="E8258" s="1">
        <v>26</v>
      </c>
      <c r="F8258" s="174">
        <f>E8258+F8234</f>
        <v>25230</v>
      </c>
      <c r="G8258" s="175">
        <f>SUM(C8258,C8234,C8210,C8186,C8162,C8138,C8114,C8090,C8066,C8042,C8018,C7994,C7970,C7946)/POBLA!$B$1*100000</f>
        <v>255.43948366870774</v>
      </c>
      <c r="H8258" s="300">
        <f t="shared" ref="H8258:H8281" si="1237">SUM(C8258,C8234,C8210,C8186,C8162,C8138,C8114,C8090,C8066,C8042,C8018,C7994,C7970,C7946)/SUM(C7922,C7898,C7874,C7850,C7826,C7802,C7778,C7754,C7730,C7706,C7682,C7658,C7634,C7610)</f>
        <v>0.8147467951631967</v>
      </c>
      <c r="I8258" s="301">
        <f>G8258*H8258</f>
        <v>208.11850067722136</v>
      </c>
      <c r="J8258" s="301">
        <f>AVERAGE(C8258,C8234,C8210,C8186,C8162,C8138,C8114)</f>
        <v>2908.4285714285716</v>
      </c>
      <c r="K8258" s="301">
        <f>J8258/POBLA!$B$1*100000</f>
        <v>16.580612238557183</v>
      </c>
      <c r="L8258" s="548">
        <f t="shared" ref="L8258:L8281" si="1238">1-SUM(C8258,C8234,C8210,C8186,C8162,C8138,C8114)/SUM(C8090,C8066,C8042,C8018,C7994,C7970,C7946)</f>
        <v>0.16725294502617805</v>
      </c>
      <c r="M8258" s="400">
        <f>SUM(C8258,C8234,C8210,C8186,C8162,C8138,C8114)/POBLA!$B$1*100000</f>
        <v>116.06428566990027</v>
      </c>
    </row>
    <row r="8259" spans="1:13" s="360" customFormat="1" x14ac:dyDescent="0.25">
      <c r="A8259" s="361" t="s">
        <v>43</v>
      </c>
      <c r="B8259" s="2">
        <v>44237</v>
      </c>
      <c r="C8259" s="1">
        <v>915</v>
      </c>
      <c r="D8259" s="39">
        <f t="shared" ref="D8259:D8322" si="1239">C8259+D8235</f>
        <v>219667</v>
      </c>
      <c r="E8259" s="1">
        <v>30</v>
      </c>
      <c r="F8259" s="39">
        <f t="shared" ref="F8259:F8281" si="1240">E8259+F8235</f>
        <v>6232</v>
      </c>
      <c r="G8259" s="168">
        <f>SUM(C8259,C8235,C8211,C8187,C8163,C8139,C8115,C8091,C8067,C8043,C8019,C7995,C7971,C7947)/POBLA!$B$2*100000</f>
        <v>436.42863970691036</v>
      </c>
      <c r="H8259" s="256">
        <f t="shared" si="1237"/>
        <v>0.81203871748336354</v>
      </c>
      <c r="I8259" s="297">
        <f t="shared" ref="I8259:I8281" si="1241">G8259*H8259</f>
        <v>354.39695286060845</v>
      </c>
      <c r="J8259" s="297">
        <f t="shared" ref="J8259:J8281" si="1242">AVERAGE(C8259,C8235,C8211,C8187,C8163,C8139,C8115)</f>
        <v>887.14285714285711</v>
      </c>
      <c r="K8259" s="297">
        <f>J8259/POBLA!$B$2*100000</f>
        <v>28.844114606910452</v>
      </c>
      <c r="L8259" s="549">
        <f t="shared" si="1238"/>
        <v>0.13905448495771522</v>
      </c>
      <c r="M8259" s="401">
        <f>SUM(C8259,C8235,C8211,C8187,C8163,C8139,C8115)/POBLA!$B$2*100000</f>
        <v>201.90880224837321</v>
      </c>
    </row>
    <row r="8260" spans="1:13" s="360" customFormat="1" x14ac:dyDescent="0.25">
      <c r="A8260" s="361" t="s">
        <v>28</v>
      </c>
      <c r="B8260" s="2">
        <v>44237</v>
      </c>
      <c r="C8260" s="1">
        <v>54</v>
      </c>
      <c r="D8260" s="39">
        <f t="shared" si="1239"/>
        <v>6461</v>
      </c>
      <c r="E8260" s="1"/>
      <c r="F8260" s="39">
        <f t="shared" si="1240"/>
        <v>17</v>
      </c>
      <c r="G8260" s="168">
        <f>SUM(C8260,C8236,C8212,C8188,C8164,C8140,C8116,C8092,C8068,C8044,C8020,C7996,C7972,C7948)/POBLA!$B$3*100000</f>
        <v>362.74967624531217</v>
      </c>
      <c r="H8260" s="256">
        <f t="shared" si="1237"/>
        <v>0.94305381727158943</v>
      </c>
      <c r="I8260" s="297">
        <f t="shared" si="1241"/>
        <v>342.09246689717486</v>
      </c>
      <c r="J8260" s="297">
        <f t="shared" si="1242"/>
        <v>92</v>
      </c>
      <c r="K8260" s="297">
        <f>J8260/POBLA!$B$3*100000</f>
        <v>22.145302066734388</v>
      </c>
      <c r="L8260" s="549">
        <f t="shared" si="1238"/>
        <v>0.25376593279258397</v>
      </c>
      <c r="M8260" s="401">
        <f>SUM(C8260,C8236,C8212,C8188,C8164,C8140,C8116)/POBLA!$B$3*100000</f>
        <v>155.01711446714069</v>
      </c>
    </row>
    <row r="8261" spans="1:13" s="360" customFormat="1" x14ac:dyDescent="0.25">
      <c r="A8261" s="361" t="s">
        <v>15</v>
      </c>
      <c r="B8261" s="2">
        <v>44237</v>
      </c>
      <c r="C8261" s="1">
        <v>143</v>
      </c>
      <c r="D8261" s="39">
        <f t="shared" si="1239"/>
        <v>32034</v>
      </c>
      <c r="E8261" s="1">
        <v>4</v>
      </c>
      <c r="F8261" s="39">
        <f t="shared" si="1240"/>
        <v>827</v>
      </c>
      <c r="G8261" s="168">
        <f>SUM(C8261,C8237,C8213,C8189,C8165,C8141,C8117,C8093,C8069,C8045,C8021,C7997,C7973,C7949)/POBLA!$B$4*100000</f>
        <v>151.17791756361967</v>
      </c>
      <c r="H8261" s="256">
        <f t="shared" si="1237"/>
        <v>0.70718446601941742</v>
      </c>
      <c r="I8261" s="297">
        <f t="shared" si="1241"/>
        <v>106.91067490615589</v>
      </c>
      <c r="J8261" s="297">
        <f t="shared" si="1242"/>
        <v>129.85714285714286</v>
      </c>
      <c r="K8261" s="297">
        <f>J8261/POBLA!$B$4*100000</f>
        <v>10.780632859914512</v>
      </c>
      <c r="L8261" s="549">
        <f t="shared" si="1238"/>
        <v>3.2894736842105088E-3</v>
      </c>
      <c r="M8261" s="401">
        <f>SUM(C8261,C8237,C8213,C8189,C8165,C8141,C8117)/POBLA!$B$4*100000</f>
        <v>75.46443001940159</v>
      </c>
    </row>
    <row r="8262" spans="1:13" s="360" customFormat="1" x14ac:dyDescent="0.25">
      <c r="A8262" s="361" t="s">
        <v>29</v>
      </c>
      <c r="B8262" s="2">
        <v>44237</v>
      </c>
      <c r="C8262" s="1">
        <v>164</v>
      </c>
      <c r="D8262" s="39">
        <f t="shared" si="1239"/>
        <v>44565</v>
      </c>
      <c r="E8262" s="1">
        <v>2</v>
      </c>
      <c r="F8262" s="39">
        <f t="shared" si="1240"/>
        <v>679</v>
      </c>
      <c r="G8262" s="168">
        <f>SUM(C8262,C8238,C8214,C8190,C8166,C8142,C8118,C8094,C8070,C8046,C8022,C7998,C7974,C7950)/POBLA!$B$5*100000</f>
        <v>531.50757519459</v>
      </c>
      <c r="H8262" s="256">
        <f t="shared" si="1237"/>
        <v>0.76157407407407407</v>
      </c>
      <c r="I8262" s="297">
        <f t="shared" si="1241"/>
        <v>404.78238944217617</v>
      </c>
      <c r="J8262" s="297">
        <f t="shared" si="1242"/>
        <v>202.42857142857142</v>
      </c>
      <c r="K8262" s="297">
        <f>J8262/POBLA!$B$5*100000</f>
        <v>32.702832568420924</v>
      </c>
      <c r="L8262" s="549">
        <f t="shared" si="1238"/>
        <v>0.24345969033635884</v>
      </c>
      <c r="M8262" s="401">
        <f>SUM(C8262,C8238,C8214,C8190,C8166,C8142,C8118)/POBLA!$B$5*100000</f>
        <v>228.91982797894647</v>
      </c>
    </row>
    <row r="8263" spans="1:13" s="360" customFormat="1" x14ac:dyDescent="0.25">
      <c r="A8263" s="361" t="s">
        <v>30</v>
      </c>
      <c r="B8263" s="2">
        <v>44237</v>
      </c>
      <c r="C8263" s="1">
        <v>109</v>
      </c>
      <c r="D8263" s="39">
        <f t="shared" si="1239"/>
        <v>19083</v>
      </c>
      <c r="E8263" s="1">
        <v>3</v>
      </c>
      <c r="F8263" s="39">
        <f t="shared" si="1240"/>
        <v>211</v>
      </c>
      <c r="G8263" s="168">
        <f>SUM(C8263,C8239,C8215,C8191,C8167,C8143,C8119,C8095,C8071,C8047,C8023,C7999,C7975,C7951)/POBLA!$B$6*100000</f>
        <v>198.87562555707927</v>
      </c>
      <c r="H8263" s="256">
        <f t="shared" si="1237"/>
        <v>0.60603588907014683</v>
      </c>
      <c r="I8263" s="297">
        <f t="shared" si="1241"/>
        <v>120.52576654886616</v>
      </c>
      <c r="J8263" s="297">
        <f t="shared" si="1242"/>
        <v>159</v>
      </c>
      <c r="K8263" s="297">
        <f>J8263/POBLA!$B$6*100000</f>
        <v>14.186282845928938</v>
      </c>
      <c r="L8263" s="549">
        <f t="shared" si="1238"/>
        <v>2.6881720430107503E-3</v>
      </c>
      <c r="M8263" s="401">
        <f>SUM(C8263,C8239,C8215,C8191,C8167,C8143,C8119)/POBLA!$B$6*100000</f>
        <v>99.303979921502574</v>
      </c>
    </row>
    <row r="8264" spans="1:13" s="360" customFormat="1" x14ac:dyDescent="0.25">
      <c r="A8264" s="361" t="s">
        <v>20</v>
      </c>
      <c r="B8264" s="2">
        <v>44237</v>
      </c>
      <c r="C8264" s="1">
        <v>759</v>
      </c>
      <c r="D8264" s="39">
        <f t="shared" si="1239"/>
        <v>149908</v>
      </c>
      <c r="E8264" s="1">
        <v>12</v>
      </c>
      <c r="F8264" s="39">
        <f t="shared" si="1240"/>
        <v>2757</v>
      </c>
      <c r="G8264" s="168">
        <f>SUM(C8264,C8240,C8216,C8192,C8168,C8144,C8120,C8096,C8072,C8048,C8024,C8000,C7976,C7952)/POBLA!$B$7*100000</f>
        <v>179.10090547673815</v>
      </c>
      <c r="H8264" s="256">
        <f t="shared" si="1237"/>
        <v>1.0651589435394591</v>
      </c>
      <c r="I8264" s="297">
        <f t="shared" si="1241"/>
        <v>190.77093126456293</v>
      </c>
      <c r="J8264" s="297">
        <f t="shared" si="1242"/>
        <v>485.14285714285717</v>
      </c>
      <c r="K8264" s="297">
        <f>J8264/POBLA!$B$7*100000</f>
        <v>12.901191536727179</v>
      </c>
      <c r="L8264" s="549">
        <f t="shared" si="1238"/>
        <v>-1.7070979335130243E-2</v>
      </c>
      <c r="M8264" s="401">
        <f>SUM(C8264,C8240,C8216,C8192,C8168,C8144,C8120)/POBLA!$B$7*100000</f>
        <v>90.308340757090249</v>
      </c>
    </row>
    <row r="8265" spans="1:13" x14ac:dyDescent="0.25">
      <c r="A8265" s="361" t="s">
        <v>31</v>
      </c>
      <c r="B8265" s="2">
        <v>44237</v>
      </c>
      <c r="C8265" s="1">
        <v>195</v>
      </c>
      <c r="D8265" s="39">
        <f t="shared" si="1239"/>
        <v>42987</v>
      </c>
      <c r="E8265" s="1">
        <v>6</v>
      </c>
      <c r="F8265" s="39">
        <f t="shared" si="1240"/>
        <v>778</v>
      </c>
      <c r="G8265" s="168">
        <f>SUM(C8265,C8241,C8217,C8193,C8169,C8145,C8121,C8097,C8073,C8049,C8025,C8001,C7977,C7953)/POBLA!$B$8*100000</f>
        <v>215.51832988085522</v>
      </c>
      <c r="H8265" s="256">
        <f t="shared" si="1237"/>
        <v>0.57288070579209815</v>
      </c>
      <c r="I8265" s="297">
        <f t="shared" si="1241"/>
        <v>123.46629293327858</v>
      </c>
      <c r="J8265" s="297">
        <f t="shared" si="1242"/>
        <v>181.42857142857142</v>
      </c>
      <c r="K8265" s="297">
        <f>J8265/POBLA!$B$8*100000</f>
        <v>13.090452864732228</v>
      </c>
      <c r="L8265" s="549">
        <f t="shared" si="1238"/>
        <v>0.26033779848573091</v>
      </c>
      <c r="M8265" s="401">
        <f>SUM(C8265,C8241,C8217,C8193,C8169,C8145,C8121)/POBLA!$B$8*100000</f>
        <v>91.633170053125582</v>
      </c>
    </row>
    <row r="8266" spans="1:13" s="360" customFormat="1" x14ac:dyDescent="0.25">
      <c r="A8266" s="361" t="s">
        <v>41</v>
      </c>
      <c r="B8266" s="2">
        <v>44237</v>
      </c>
      <c r="C8266" s="1">
        <v>5</v>
      </c>
      <c r="D8266" s="39">
        <f t="shared" si="1239"/>
        <v>893</v>
      </c>
      <c r="E8266" s="1"/>
      <c r="F8266" s="39">
        <f t="shared" si="1240"/>
        <v>9</v>
      </c>
      <c r="G8266" s="168">
        <f>SUM(C8266,C8242,C8218,C8194,C8170,C8146,C8122,C8098,C8074,C8050,C8026,C8002,C7978,C7954)/POBLA!$B$9*100000</f>
        <v>10.740375384381512</v>
      </c>
      <c r="H8266" s="256">
        <f t="shared" si="1237"/>
        <v>0.16129032258064516</v>
      </c>
      <c r="I8266" s="297">
        <f t="shared" si="1241"/>
        <v>1.7323186103841148</v>
      </c>
      <c r="J8266" s="297">
        <f t="shared" si="1242"/>
        <v>5.4285714285714288</v>
      </c>
      <c r="K8266" s="297">
        <f>J8266/POBLA!$B$9*100000</f>
        <v>0.89699838375054386</v>
      </c>
      <c r="L8266" s="549">
        <f t="shared" si="1238"/>
        <v>-0.40740740740740744</v>
      </c>
      <c r="M8266" s="401">
        <f>SUM(C8266,C8242,C8218,C8194,C8170,C8146,C8122)/POBLA!$B$9*100000</f>
        <v>6.2789886862538067</v>
      </c>
    </row>
    <row r="8267" spans="1:13" s="360" customFormat="1" x14ac:dyDescent="0.25">
      <c r="A8267" s="361" t="s">
        <v>32</v>
      </c>
      <c r="B8267" s="2">
        <v>44237</v>
      </c>
      <c r="C8267" s="1">
        <v>41</v>
      </c>
      <c r="D8267" s="39">
        <f t="shared" si="1239"/>
        <v>19633</v>
      </c>
      <c r="E8267" s="1"/>
      <c r="F8267" s="39">
        <f t="shared" si="1240"/>
        <v>887</v>
      </c>
      <c r="G8267" s="168">
        <f>SUM(C8267,C8243,C8219,C8195,C8171,C8147,C8123,C8099,C8075,C8051,C8027,C8003,C7979,C7955)/POBLA!$B$10*100000</f>
        <v>55.391169324448256</v>
      </c>
      <c r="H8267" s="256">
        <f t="shared" si="1237"/>
        <v>0.90851063829787237</v>
      </c>
      <c r="I8267" s="297">
        <f t="shared" si="1241"/>
        <v>50.323466599020016</v>
      </c>
      <c r="J8267" s="297">
        <f t="shared" si="1242"/>
        <v>32.571428571428569</v>
      </c>
      <c r="K8267" s="297">
        <f>J8267/POBLA!$B$10*100000</f>
        <v>4.2252213469301445</v>
      </c>
      <c r="L8267" s="549">
        <f t="shared" si="1238"/>
        <v>-0.14572864321608048</v>
      </c>
      <c r="M8267" s="401">
        <f>SUM(C8267,C8243,C8219,C8195,C8171,C8147,C8123)/POBLA!$B$10*100000</f>
        <v>29.576549428511015</v>
      </c>
    </row>
    <row r="8268" spans="1:13" s="360" customFormat="1" x14ac:dyDescent="0.25">
      <c r="A8268" s="361" t="s">
        <v>33</v>
      </c>
      <c r="B8268" s="2">
        <v>44237</v>
      </c>
      <c r="C8268" s="1">
        <v>63</v>
      </c>
      <c r="D8268" s="39">
        <f t="shared" si="1239"/>
        <v>17353</v>
      </c>
      <c r="E8268" s="1"/>
      <c r="F8268" s="39">
        <f t="shared" si="1240"/>
        <v>265</v>
      </c>
      <c r="G8268" s="168">
        <f>SUM(C8268,C8244,C8220,C8196,C8172,C8148,C8124,C8100,C8076,C8052,C8028,C8004,C7980,C7956)/POBLA!$B$11*100000</f>
        <v>344.00214268974526</v>
      </c>
      <c r="H8268" s="256">
        <f t="shared" si="1237"/>
        <v>0.67156862745098034</v>
      </c>
      <c r="I8268" s="297">
        <f t="shared" si="1241"/>
        <v>231.02104680634852</v>
      </c>
      <c r="J8268" s="297">
        <f t="shared" si="1242"/>
        <v>93.142857142857139</v>
      </c>
      <c r="K8268" s="297">
        <f>J8268/POBLA!$B$11*100000</f>
        <v>25.986490213615326</v>
      </c>
      <c r="L8268" s="549">
        <f t="shared" si="1238"/>
        <v>-0.12220309810671259</v>
      </c>
      <c r="M8268" s="401">
        <f>SUM(C8268,C8244,C8220,C8196,C8172,C8148,C8124)/POBLA!$B$11*100000</f>
        <v>181.90543149530728</v>
      </c>
    </row>
    <row r="8269" spans="1:13" s="360" customFormat="1" x14ac:dyDescent="0.25">
      <c r="A8269" s="361" t="s">
        <v>21</v>
      </c>
      <c r="B8269" s="2">
        <v>44237</v>
      </c>
      <c r="C8269" s="1">
        <v>28</v>
      </c>
      <c r="D8269" s="39">
        <f t="shared" si="1239"/>
        <v>9732</v>
      </c>
      <c r="E8269" s="1"/>
      <c r="F8269" s="39">
        <f t="shared" si="1240"/>
        <v>415</v>
      </c>
      <c r="G8269" s="168">
        <f>SUM(C8269,C8245,C8221,C8197,C8173,C8149,C8125,C8101,C8077,C8053,C8029,C8005,C7981,C7957)/POBLA!$B$12*100000</f>
        <v>62.002739301351106</v>
      </c>
      <c r="H8269" s="256">
        <f t="shared" si="1237"/>
        <v>1.0124481327800829</v>
      </c>
      <c r="I8269" s="297">
        <f t="shared" si="1241"/>
        <v>62.774557632903189</v>
      </c>
      <c r="J8269" s="297">
        <f t="shared" si="1242"/>
        <v>21</v>
      </c>
      <c r="K8269" s="297">
        <f>J8269/POBLA!$B$12*100000</f>
        <v>5.3363013333130045</v>
      </c>
      <c r="L8269" s="549">
        <f t="shared" si="1238"/>
        <v>-0.51546391752577314</v>
      </c>
      <c r="M8269" s="401">
        <f>SUM(C8269,C8245,C8221,C8197,C8173,C8149,C8125)/POBLA!$B$12*100000</f>
        <v>37.354109333191033</v>
      </c>
    </row>
    <row r="8270" spans="1:13" s="360" customFormat="1" x14ac:dyDescent="0.25">
      <c r="A8270" s="361" t="s">
        <v>17</v>
      </c>
      <c r="B8270" s="2">
        <v>44237</v>
      </c>
      <c r="C8270" s="1">
        <v>187</v>
      </c>
      <c r="D8270" s="39">
        <f t="shared" si="1239"/>
        <v>65227</v>
      </c>
      <c r="E8270" s="1">
        <v>4</v>
      </c>
      <c r="F8270" s="39">
        <f t="shared" si="1240"/>
        <v>1408</v>
      </c>
      <c r="G8270" s="168">
        <f>SUM(C8270,C8246,C8222,C8198,C8174,C8150,C8126,C8102,C8078,C8054,C8030,C8006,C7982,C7958)/POBLA!$B$13*100000</f>
        <v>88.226220873037647</v>
      </c>
      <c r="H8270" s="256">
        <f t="shared" si="1237"/>
        <v>1.0150289017341041</v>
      </c>
      <c r="I8270" s="297">
        <f t="shared" si="1241"/>
        <v>89.552164076909889</v>
      </c>
      <c r="J8270" s="297">
        <f t="shared" si="1242"/>
        <v>146.85714285714286</v>
      </c>
      <c r="K8270" s="297">
        <f>J8270/POBLA!$B$13*100000</f>
        <v>7.3785026893493901</v>
      </c>
      <c r="L8270" s="549">
        <f t="shared" si="1238"/>
        <v>-0.41208791208791218</v>
      </c>
      <c r="M8270" s="401">
        <f>SUM(C8270,C8246,C8222,C8198,C8174,C8150,C8126)/POBLA!$B$13*100000</f>
        <v>51.649518825445732</v>
      </c>
    </row>
    <row r="8271" spans="1:13" s="360" customFormat="1" x14ac:dyDescent="0.25">
      <c r="A8271" s="361" t="s">
        <v>23</v>
      </c>
      <c r="B8271" s="2">
        <v>44237</v>
      </c>
      <c r="C8271" s="1">
        <v>78</v>
      </c>
      <c r="D8271" s="39">
        <f t="shared" si="1239"/>
        <v>6293</v>
      </c>
      <c r="E8271" s="1">
        <v>3</v>
      </c>
      <c r="F8271" s="39">
        <f t="shared" si="1240"/>
        <v>112</v>
      </c>
      <c r="G8271" s="168">
        <f>SUM(C8271,C8247,C8223,C8199,C8175,C8151,C8127,C8103,C8079,C8055,C8031,C8007,C7983,C7959)/POBLA!$B$14*100000</f>
        <v>180.05318347665175</v>
      </c>
      <c r="H8271" s="256">
        <f t="shared" si="1237"/>
        <v>0.9175757575757576</v>
      </c>
      <c r="I8271" s="297">
        <f t="shared" si="1241"/>
        <v>165.21243623251561</v>
      </c>
      <c r="J8271" s="297">
        <f t="shared" si="1242"/>
        <v>137.14285714285714</v>
      </c>
      <c r="K8271" s="297">
        <f>J8271/POBLA!$B$14*100000</f>
        <v>10.873187150882913</v>
      </c>
      <c r="L8271" s="549">
        <f t="shared" si="1238"/>
        <v>0.26773455377574373</v>
      </c>
      <c r="M8271" s="401">
        <f>SUM(C8271,C8247,C8223,C8199,C8175,C8151,C8127)/POBLA!$B$14*100000</f>
        <v>76.112310056180391</v>
      </c>
    </row>
    <row r="8272" spans="1:13" s="360" customFormat="1" x14ac:dyDescent="0.25">
      <c r="A8272" s="361" t="s">
        <v>19</v>
      </c>
      <c r="B8272" s="2">
        <v>44237</v>
      </c>
      <c r="C8272" s="1">
        <v>386</v>
      </c>
      <c r="D8272" s="39">
        <f t="shared" si="1239"/>
        <v>57622</v>
      </c>
      <c r="E8272" s="1">
        <v>4</v>
      </c>
      <c r="F8272" s="39">
        <f t="shared" si="1240"/>
        <v>806</v>
      </c>
      <c r="G8272" s="168">
        <f>SUM(C8272,C8248,C8224,C8200,C8176,C8152,C8128,C8104,C8080,C8056,C8032,C8008,C7984,C7960)/POBLA!$B$15*100000</f>
        <v>759.12158143050976</v>
      </c>
      <c r="H8272" s="256">
        <f t="shared" si="1237"/>
        <v>0.85209601081812036</v>
      </c>
      <c r="I8272" s="297">
        <f t="shared" si="1241"/>
        <v>646.84447126288023</v>
      </c>
      <c r="J8272" s="297">
        <f t="shared" si="1242"/>
        <v>319.57142857142856</v>
      </c>
      <c r="K8272" s="297">
        <f>J8272/POBLA!$B$15*100000</f>
        <v>48.124096059740133</v>
      </c>
      <c r="L8272" s="549">
        <f t="shared" si="1238"/>
        <v>0.20221112696148358</v>
      </c>
      <c r="M8272" s="401">
        <f>SUM(C8272,C8248,C8224,C8200,C8176,C8152,C8128)/POBLA!$B$15*100000</f>
        <v>336.86867241818095</v>
      </c>
    </row>
    <row r="8273" spans="1:13" s="360" customFormat="1" x14ac:dyDescent="0.25">
      <c r="A8273" s="361" t="s">
        <v>18</v>
      </c>
      <c r="B8273" s="2">
        <v>44237</v>
      </c>
      <c r="C8273" s="1">
        <v>221</v>
      </c>
      <c r="D8273" s="39">
        <f t="shared" si="1239"/>
        <v>50017</v>
      </c>
      <c r="E8273" s="1">
        <v>3</v>
      </c>
      <c r="F8273" s="39">
        <f t="shared" si="1240"/>
        <v>1108</v>
      </c>
      <c r="G8273" s="168">
        <f>SUM(C8273,C8249,C8225,C8201,C8177,C8153,C8129,C8105,C8081,C8057,C8033,C8009,C7985,C7961)/POBLA!$B$16*100000</f>
        <v>404.75649068364521</v>
      </c>
      <c r="H8273" s="256">
        <f t="shared" si="1237"/>
        <v>0.6954723052171915</v>
      </c>
      <c r="I8273" s="297">
        <f t="shared" si="1241"/>
        <v>281.49692962737544</v>
      </c>
      <c r="J8273" s="297">
        <f t="shared" si="1242"/>
        <v>179.57142857142858</v>
      </c>
      <c r="K8273" s="297">
        <f>J8273/POBLA!$B$16*100000</f>
        <v>24.019398960879148</v>
      </c>
      <c r="L8273" s="549">
        <f t="shared" si="1238"/>
        <v>0.2894290559638214</v>
      </c>
      <c r="M8273" s="401">
        <f>SUM(C8273,C8249,C8225,C8201,C8177,C8153,C8129)/POBLA!$B$16*100000</f>
        <v>168.13579272615402</v>
      </c>
    </row>
    <row r="8274" spans="1:13" s="360" customFormat="1" x14ac:dyDescent="0.25">
      <c r="A8274" s="361" t="s">
        <v>34</v>
      </c>
      <c r="B8274" s="2">
        <v>44237</v>
      </c>
      <c r="C8274" s="1">
        <v>100</v>
      </c>
      <c r="D8274" s="39">
        <f t="shared" si="1239"/>
        <v>24513</v>
      </c>
      <c r="E8274" s="1">
        <v>2</v>
      </c>
      <c r="F8274" s="39">
        <f t="shared" si="1240"/>
        <v>1055</v>
      </c>
      <c r="G8274" s="168">
        <f>SUM(C8274,C8250,C8226,C8202,C8178,C8154,C8130,C8106,C8082,C8058,C8034,C8010,C7986,C7962)/POBLA!$B$17*100000</f>
        <v>64.448324448872043</v>
      </c>
      <c r="H8274" s="256">
        <f t="shared" si="1237"/>
        <v>1.2540983606557377</v>
      </c>
      <c r="I8274" s="297">
        <f t="shared" si="1241"/>
        <v>80.824538038339526</v>
      </c>
      <c r="J8274" s="297">
        <f t="shared" si="1242"/>
        <v>77.142857142857139</v>
      </c>
      <c r="K8274" s="297">
        <f>J8274/POBLA!$B$17*100000</f>
        <v>5.4158255839388278</v>
      </c>
      <c r="L8274" s="549">
        <f t="shared" si="1238"/>
        <v>-0.4285714285714286</v>
      </c>
      <c r="M8274" s="401">
        <f>SUM(C8274,C8250,C8226,C8202,C8178,C8154,C8130)/POBLA!$B$17*100000</f>
        <v>37.910779087571797</v>
      </c>
    </row>
    <row r="8275" spans="1:13" s="360" customFormat="1" x14ac:dyDescent="0.25">
      <c r="A8275" s="361" t="s">
        <v>35</v>
      </c>
      <c r="B8275" s="2">
        <v>44237</v>
      </c>
      <c r="C8275" s="1">
        <v>52</v>
      </c>
      <c r="D8275" s="39">
        <f t="shared" si="1239"/>
        <v>14457</v>
      </c>
      <c r="E8275" s="1"/>
      <c r="F8275" s="39">
        <f t="shared" si="1240"/>
        <v>203</v>
      </c>
      <c r="G8275" s="168">
        <f>SUM(C8275,C8251,C8227,C8203,C8179,C8155,C8131,C8107,C8083,C8059,C8035,C8011,C7987,C7963)/POBLA!$B$18*100000</f>
        <v>89.091763236079089</v>
      </c>
      <c r="H8275" s="256">
        <f t="shared" si="1237"/>
        <v>0.75488069414316705</v>
      </c>
      <c r="I8275" s="297">
        <f t="shared" si="1241"/>
        <v>67.25365207409007</v>
      </c>
      <c r="J8275" s="297">
        <f t="shared" si="1242"/>
        <v>45.428571428571431</v>
      </c>
      <c r="K8275" s="297">
        <f>J8275/POBLA!$B$18*100000</f>
        <v>5.8151027727982667</v>
      </c>
      <c r="L8275" s="549">
        <f t="shared" si="1238"/>
        <v>0.15873015873015872</v>
      </c>
      <c r="M8275" s="401">
        <f>SUM(C8275,C8251,C8227,C8203,C8179,C8155,C8131)/POBLA!$B$18*100000</f>
        <v>40.705719409587857</v>
      </c>
    </row>
    <row r="8276" spans="1:13" s="360" customFormat="1" x14ac:dyDescent="0.25">
      <c r="A8276" s="361" t="s">
        <v>36</v>
      </c>
      <c r="B8276" s="2">
        <v>44237</v>
      </c>
      <c r="C8276" s="1">
        <v>5</v>
      </c>
      <c r="D8276" s="39">
        <f t="shared" si="1239"/>
        <v>19124</v>
      </c>
      <c r="E8276" s="1"/>
      <c r="F8276" s="39">
        <f t="shared" si="1240"/>
        <v>338</v>
      </c>
      <c r="G8276" s="168">
        <f>SUM(C8276,C8252,C8228,C8204,C8180,C8156,C8132,C8108,C8084,C8060,C8036,C8012,C7988,C7964)/POBLA!$B$19*100000</f>
        <v>48.197226987299537</v>
      </c>
      <c r="H8276" s="256">
        <f t="shared" si="1237"/>
        <v>0.11254019292604502</v>
      </c>
      <c r="I8276" s="297">
        <f t="shared" si="1241"/>
        <v>5.4241252236510729</v>
      </c>
      <c r="J8276" s="297">
        <f t="shared" si="1242"/>
        <v>5.1428571428571432</v>
      </c>
      <c r="K8276" s="297">
        <f>J8276/POBLA!$B$19*100000</f>
        <v>1.0117202166430226</v>
      </c>
      <c r="L8276" s="549">
        <f t="shared" si="1238"/>
        <v>0.82775119617224879</v>
      </c>
      <c r="M8276" s="401">
        <f>SUM(C8276,C8252,C8228,C8204,C8180,C8156,C8132)/POBLA!$B$19*100000</f>
        <v>7.0820415165011568</v>
      </c>
    </row>
    <row r="8277" spans="1:13" s="360" customFormat="1" x14ac:dyDescent="0.25">
      <c r="A8277" s="361" t="s">
        <v>37</v>
      </c>
      <c r="B8277" s="2">
        <v>44237</v>
      </c>
      <c r="C8277" s="1">
        <v>127</v>
      </c>
      <c r="D8277" s="39">
        <f t="shared" si="1239"/>
        <v>34177</v>
      </c>
      <c r="E8277" s="1">
        <v>3</v>
      </c>
      <c r="F8277" s="39">
        <f t="shared" si="1240"/>
        <v>523</v>
      </c>
      <c r="G8277" s="168">
        <f>SUM(C8277,C8253,C8229,C8205,C8181,C8157,C8133,C8109,C8085,C8061,C8037,C8013,C7989,C7965)/POBLA!$B$20*100000</f>
        <v>597.21409469015418</v>
      </c>
      <c r="H8277" s="256">
        <f t="shared" si="1237"/>
        <v>0.58380112269446671</v>
      </c>
      <c r="I8277" s="297">
        <f t="shared" si="1241"/>
        <v>348.65425896907158</v>
      </c>
      <c r="J8277" s="297">
        <f t="shared" si="1242"/>
        <v>131.42857142857142</v>
      </c>
      <c r="K8277" s="297">
        <f>J8277/POBLA!$B$20*100000</f>
        <v>35.939100413065269</v>
      </c>
      <c r="L8277" s="549">
        <f t="shared" si="1238"/>
        <v>0.27215189873417722</v>
      </c>
      <c r="M8277" s="401">
        <f>SUM(C8277,C8253,C8229,C8205,C8181,C8157,C8133)/POBLA!$B$20*100000</f>
        <v>251.57370289145686</v>
      </c>
    </row>
    <row r="8278" spans="1:13" s="360" customFormat="1" x14ac:dyDescent="0.25">
      <c r="A8278" s="361" t="s">
        <v>22</v>
      </c>
      <c r="B8278" s="2">
        <v>44237</v>
      </c>
      <c r="C8278" s="1">
        <v>533</v>
      </c>
      <c r="D8278" s="39">
        <f t="shared" si="1239"/>
        <v>210514</v>
      </c>
      <c r="E8278" s="1">
        <v>3</v>
      </c>
      <c r="F8278" s="39">
        <f t="shared" si="1240"/>
        <v>3762</v>
      </c>
      <c r="G8278" s="168">
        <f>SUM(C8278,C8254,C8230,C8206,C8182,C8158,C8134,C8110,C8086,C8062,C8038,C8014,C7990,C7966)/POBLA!$B$21*100000</f>
        <v>189.82484536613035</v>
      </c>
      <c r="H8278" s="256">
        <f t="shared" si="1237"/>
        <v>0.50265818045675781</v>
      </c>
      <c r="I8278" s="297">
        <f t="shared" si="1241"/>
        <v>95.417011377224497</v>
      </c>
      <c r="J8278" s="297">
        <f t="shared" si="1242"/>
        <v>423.14285714285717</v>
      </c>
      <c r="K8278" s="297">
        <f>J8278/POBLA!$B$21*100000</f>
        <v>11.965295311325109</v>
      </c>
      <c r="L8278" s="549">
        <f t="shared" si="1238"/>
        <v>0.21034390829112237</v>
      </c>
      <c r="M8278" s="401">
        <f>SUM(C8278,C8254,C8230,C8206,C8182,C8158,C8134)/POBLA!$B$21*100000</f>
        <v>83.757067179275751</v>
      </c>
    </row>
    <row r="8279" spans="1:13" s="360" customFormat="1" x14ac:dyDescent="0.25">
      <c r="A8279" s="361" t="s">
        <v>38</v>
      </c>
      <c r="B8279" s="2">
        <v>44237</v>
      </c>
      <c r="C8279" s="1">
        <v>91</v>
      </c>
      <c r="D8279" s="39">
        <f t="shared" si="1239"/>
        <v>21633</v>
      </c>
      <c r="E8279" s="1">
        <v>2</v>
      </c>
      <c r="F8279" s="39">
        <f t="shared" si="1240"/>
        <v>255</v>
      </c>
      <c r="G8279" s="168">
        <f>SUM(C8279,C8255,C8231,C8207,C8183,C8159,C8135,C8111,C8087,C8063,C8039,C8015,C7991,C7967)/POBLA!$B$22*100000</f>
        <v>100.27465647497273</v>
      </c>
      <c r="H8279" s="256">
        <f t="shared" si="1237"/>
        <v>0.61312500000000003</v>
      </c>
      <c r="I8279" s="297">
        <f t="shared" si="1241"/>
        <v>61.480898751217659</v>
      </c>
      <c r="J8279" s="297">
        <f t="shared" si="1242"/>
        <v>74.142857142857139</v>
      </c>
      <c r="K8279" s="297">
        <f>J8279/POBLA!$B$22*100000</f>
        <v>7.5786437615422821</v>
      </c>
      <c r="L8279" s="549">
        <f t="shared" si="1238"/>
        <v>-0.12337662337662336</v>
      </c>
      <c r="M8279" s="401">
        <f>SUM(C8279,C8255,C8231,C8207,C8183,C8159,C8135)/POBLA!$B$22*100000</f>
        <v>53.050506330795969</v>
      </c>
    </row>
    <row r="8280" spans="1:13" s="360" customFormat="1" x14ac:dyDescent="0.25">
      <c r="A8280" s="361" t="s">
        <v>39</v>
      </c>
      <c r="B8280" s="2">
        <v>44237</v>
      </c>
      <c r="C8280" s="1">
        <v>110</v>
      </c>
      <c r="D8280" s="39">
        <f t="shared" si="1239"/>
        <v>22318</v>
      </c>
      <c r="E8280" s="1"/>
      <c r="F8280" s="39">
        <f t="shared" si="1240"/>
        <v>342</v>
      </c>
      <c r="G8280" s="168">
        <f>SUM(C8280,C8256,C8232,C8208,C8184,C8160,C8136,C8112,C8088,C8064,C8040,C8016,C7992,C7968)/POBLA!$B$23*100000</f>
        <v>373.80534977096647</v>
      </c>
      <c r="H8280" s="256">
        <f t="shared" si="1237"/>
        <v>0.5703192407247627</v>
      </c>
      <c r="I8280" s="297">
        <f t="shared" si="1241"/>
        <v>213.18838326023194</v>
      </c>
      <c r="J8280" s="297">
        <f t="shared" si="1242"/>
        <v>50.142857142857146</v>
      </c>
      <c r="K8280" s="297">
        <f>J8280/POBLA!$B$23*100000</f>
        <v>28.356532908927868</v>
      </c>
      <c r="L8280" s="549">
        <f t="shared" si="1238"/>
        <v>-0.13225806451612909</v>
      </c>
      <c r="M8280" s="401">
        <f>SUM(C8280,C8256,C8232,C8208,C8184,C8160,C8136)/POBLA!$B$23*100000</f>
        <v>198.49573036249507</v>
      </c>
    </row>
    <row r="8281" spans="1:13" s="360" customFormat="1" ht="15.75" thickBot="1" x14ac:dyDescent="0.3">
      <c r="A8281" s="361" t="s">
        <v>40</v>
      </c>
      <c r="B8281" s="2">
        <v>44237</v>
      </c>
      <c r="C8281" s="1">
        <v>108</v>
      </c>
      <c r="D8281" s="176">
        <f t="shared" si="1239"/>
        <v>77619</v>
      </c>
      <c r="E8281" s="1">
        <v>2</v>
      </c>
      <c r="F8281" s="176">
        <f t="shared" si="1240"/>
        <v>1451</v>
      </c>
      <c r="G8281" s="177">
        <f>SUM(C8281,C8257,C8233,C8209,C8185,C8161,C8137,C8113,C8089,C8065,C8041,C8017,C7993,C7969)/POBLA!$B$24*100000</f>
        <v>101.55453378148721</v>
      </c>
      <c r="H8281" s="402">
        <f t="shared" si="1237"/>
        <v>0.75383267630310991</v>
      </c>
      <c r="I8281" s="403">
        <f t="shared" si="1241"/>
        <v>76.555125991213089</v>
      </c>
      <c r="J8281" s="403">
        <f t="shared" si="1242"/>
        <v>111.28571428571429</v>
      </c>
      <c r="K8281" s="403">
        <f>J8281/POBLA!$B$24*100000</f>
        <v>6.5668616100090107</v>
      </c>
      <c r="L8281" s="550">
        <f t="shared" si="1238"/>
        <v>0.17303609341825898</v>
      </c>
      <c r="M8281" s="405">
        <f>SUM(C8281,C8257,C8233,C8209,C8185,C8161,C8137)/POBLA!$B$24*100000</f>
        <v>45.968031270063072</v>
      </c>
    </row>
    <row r="8282" spans="1:13" s="360" customFormat="1" x14ac:dyDescent="0.25">
      <c r="A8282" s="361" t="s">
        <v>16</v>
      </c>
      <c r="B8282" s="2">
        <v>44238</v>
      </c>
      <c r="C8282" s="1">
        <v>3150</v>
      </c>
      <c r="D8282" s="174">
        <f t="shared" si="1239"/>
        <v>838354</v>
      </c>
      <c r="E8282" s="1">
        <v>99</v>
      </c>
      <c r="F8282" s="174">
        <f>E8282+F8258</f>
        <v>25329</v>
      </c>
      <c r="G8282" s="175">
        <f>SUM(C8282,C8258,C8234,C8210,C8186,C8162,C8138,C8114,C8090,C8066,C8042,C8018,C7994,C7970)/POBLA!$B$1*100000</f>
        <v>249.59607815705945</v>
      </c>
      <c r="H8282" s="300">
        <f t="shared" ref="H8282:H8305" si="1243">SUM(C8282,C8258,C8234,C8210,C8186,C8162,C8138,C8114,C8090,C8066,C8042,C8018,C7994,C7970)/SUM(C7946,C7922,C7898,C7874,C7850,C7826,C7802,C7778,C7754,C7730,C7706,C7682,C7658,C7634)</f>
        <v>0.81100305640455683</v>
      </c>
      <c r="I8282" s="301">
        <f>G8282*H8282</f>
        <v>202.42318225196587</v>
      </c>
      <c r="J8282" s="301">
        <f>AVERAGE(C8282,C8258,C8234,C8210,C8186,C8162,C8138)</f>
        <v>2828.5714285714284</v>
      </c>
      <c r="K8282" s="301">
        <f>J8282/POBLA!$B$1*100000</f>
        <v>16.125355976395312</v>
      </c>
      <c r="L8282" s="548">
        <f t="shared" ref="L8282:L8305" si="1244">1-SUM(C8282,C8258,C8234,C8210,C8186,C8162,C8138)/SUM(C8114,C8090,C8066,C8042,C8018,C7994,C7970)</f>
        <v>0.1743807855891919</v>
      </c>
      <c r="M8282" s="400">
        <f>SUM(C8282,C8258,C8234,C8210,C8186,C8162,C8138)/POBLA!$B$1*100000</f>
        <v>112.8774918347672</v>
      </c>
    </row>
    <row r="8283" spans="1:13" s="360" customFormat="1" x14ac:dyDescent="0.25">
      <c r="A8283" s="361" t="s">
        <v>43</v>
      </c>
      <c r="B8283" s="2">
        <v>44238</v>
      </c>
      <c r="C8283" s="1">
        <v>766</v>
      </c>
      <c r="D8283" s="39">
        <f t="shared" si="1239"/>
        <v>220433</v>
      </c>
      <c r="E8283" s="1">
        <v>8</v>
      </c>
      <c r="F8283" s="39">
        <f t="shared" ref="F8283:F8305" si="1245">E8283+F8259</f>
        <v>6240</v>
      </c>
      <c r="G8283" s="168">
        <f>SUM(C8283,C8259,C8235,C8211,C8187,C8163,C8139,C8115,C8091,C8067,C8043,C8019,C7995,C7971)/POBLA!$B$2*100000</f>
        <v>425.53661897370506</v>
      </c>
      <c r="H8283" s="256">
        <f t="shared" si="1243"/>
        <v>0.80472208558780123</v>
      </c>
      <c r="I8283" s="297">
        <f t="shared" ref="I8283:I8305" si="1246">G8283*H8283</f>
        <v>342.43871551450144</v>
      </c>
      <c r="J8283" s="297">
        <f t="shared" ref="J8283:J8305" si="1247">AVERAGE(C8283,C8259,C8235,C8211,C8187,C8163,C8139)</f>
        <v>823.14285714285711</v>
      </c>
      <c r="K8283" s="297">
        <f>J8283/POBLA!$B$2*100000</f>
        <v>26.76325094444735</v>
      </c>
      <c r="L8283" s="549">
        <f t="shared" si="1244"/>
        <v>0.21348621348621344</v>
      </c>
      <c r="M8283" s="401">
        <f>SUM(C8283,C8259,C8235,C8211,C8187,C8163,C8139)/POBLA!$B$2*100000</f>
        <v>187.34275661113145</v>
      </c>
    </row>
    <row r="8284" spans="1:13" s="360" customFormat="1" x14ac:dyDescent="0.25">
      <c r="A8284" s="361" t="s">
        <v>28</v>
      </c>
      <c r="B8284" s="2">
        <v>44238</v>
      </c>
      <c r="C8284" s="1">
        <v>100</v>
      </c>
      <c r="D8284" s="39">
        <f t="shared" si="1239"/>
        <v>6561</v>
      </c>
      <c r="E8284" s="1"/>
      <c r="F8284" s="39">
        <f t="shared" si="1245"/>
        <v>17</v>
      </c>
      <c r="G8284" s="168">
        <f>SUM(C8284,C8260,C8236,C8212,C8188,C8164,C8140,C8116,C8092,C8068,C8044,C8020,C7996,C7972)/POBLA!$B$3*100000</f>
        <v>366.11961351633698</v>
      </c>
      <c r="H8284" s="256">
        <f t="shared" si="1243"/>
        <v>0.94707347447073476</v>
      </c>
      <c r="I8284" s="297">
        <f t="shared" si="1246"/>
        <v>346.74217444479984</v>
      </c>
      <c r="J8284" s="297">
        <f t="shared" si="1247"/>
        <v>88.571428571428569</v>
      </c>
      <c r="K8284" s="297">
        <f>J8284/POBLA!$B$3*100000</f>
        <v>21.320011306483416</v>
      </c>
      <c r="L8284" s="549">
        <f t="shared" si="1244"/>
        <v>0.31187569367369594</v>
      </c>
      <c r="M8284" s="401">
        <f>SUM(C8284,C8260,C8236,C8212,C8188,C8164,C8140)/POBLA!$B$3*100000</f>
        <v>149.2400791453839</v>
      </c>
    </row>
    <row r="8285" spans="1:13" s="360" customFormat="1" x14ac:dyDescent="0.25">
      <c r="A8285" s="361" t="s">
        <v>15</v>
      </c>
      <c r="B8285" s="2">
        <v>44238</v>
      </c>
      <c r="C8285" s="1">
        <v>138</v>
      </c>
      <c r="D8285" s="39">
        <f t="shared" si="1239"/>
        <v>32172</v>
      </c>
      <c r="E8285" s="1">
        <v>3</v>
      </c>
      <c r="F8285" s="39">
        <f t="shared" si="1245"/>
        <v>830</v>
      </c>
      <c r="G8285" s="168">
        <f>SUM(C8285,C8261,C8237,C8213,C8189,C8165,C8141,C8117,C8093,C8069,C8045,C8021,C7997,C7973)/POBLA!$B$4*100000</f>
        <v>151.26093673855851</v>
      </c>
      <c r="H8285" s="256">
        <f t="shared" si="1243"/>
        <v>0.75664451827242529</v>
      </c>
      <c r="I8285" s="297">
        <f t="shared" si="1246"/>
        <v>114.45075861198241</v>
      </c>
      <c r="J8285" s="297">
        <f t="shared" si="1247"/>
        <v>130.57142857142858</v>
      </c>
      <c r="K8285" s="297">
        <f>J8285/POBLA!$B$4*100000</f>
        <v>10.839932270585109</v>
      </c>
      <c r="L8285" s="549">
        <f t="shared" si="1244"/>
        <v>-6.6079295154184425E-3</v>
      </c>
      <c r="M8285" s="401">
        <f>SUM(C8285,C8261,C8237,C8213,C8189,C8165,C8141)/POBLA!$B$4*100000</f>
        <v>75.879525894095764</v>
      </c>
    </row>
    <row r="8286" spans="1:13" s="360" customFormat="1" x14ac:dyDescent="0.25">
      <c r="A8286" s="361" t="s">
        <v>29</v>
      </c>
      <c r="B8286" s="2">
        <v>44238</v>
      </c>
      <c r="C8286" s="1">
        <v>240</v>
      </c>
      <c r="D8286" s="39">
        <f t="shared" si="1239"/>
        <v>44805</v>
      </c>
      <c r="E8286" s="1">
        <v>5</v>
      </c>
      <c r="F8286" s="39">
        <f t="shared" si="1245"/>
        <v>684</v>
      </c>
      <c r="G8286" s="168">
        <f>SUM(C8286,C8262,C8238,C8214,C8190,C8166,C8142,C8118,C8094,C8070,C8046,C8022,C7998,C7974)/POBLA!$B$5*100000</f>
        <v>519.22958865514045</v>
      </c>
      <c r="H8286" s="256">
        <f t="shared" si="1243"/>
        <v>0.78524309797214753</v>
      </c>
      <c r="I8286" s="297">
        <f t="shared" si="1246"/>
        <v>407.72145075436629</v>
      </c>
      <c r="J8286" s="297">
        <f t="shared" si="1247"/>
        <v>197.57142857142858</v>
      </c>
      <c r="K8286" s="297">
        <f>J8286/POBLA!$B$5*100000</f>
        <v>31.918149218155357</v>
      </c>
      <c r="L8286" s="549">
        <f t="shared" si="1244"/>
        <v>0.24467504096122339</v>
      </c>
      <c r="M8286" s="401">
        <f>SUM(C8286,C8262,C8238,C8214,C8190,C8166,C8142)/POBLA!$B$5*100000</f>
        <v>223.42704452708747</v>
      </c>
    </row>
    <row r="8287" spans="1:13" s="360" customFormat="1" x14ac:dyDescent="0.25">
      <c r="A8287" s="361" t="s">
        <v>30</v>
      </c>
      <c r="B8287" s="2">
        <v>44238</v>
      </c>
      <c r="C8287" s="1">
        <v>69</v>
      </c>
      <c r="D8287" s="39">
        <f t="shared" si="1239"/>
        <v>19152</v>
      </c>
      <c r="E8287" s="1">
        <v>7</v>
      </c>
      <c r="F8287" s="39">
        <f t="shared" si="1245"/>
        <v>218</v>
      </c>
      <c r="G8287" s="168">
        <f>SUM(C8287,C8263,C8239,C8215,C8191,C8167,C8143,C8119,C8095,C8071,C8047,C8023,C7999,C7975)/POBLA!$B$6*100000</f>
        <v>195.39597127411554</v>
      </c>
      <c r="H8287" s="256">
        <f t="shared" si="1243"/>
        <v>0.72612732095490717</v>
      </c>
      <c r="I8287" s="297">
        <f t="shared" si="1246"/>
        <v>141.8823531466555</v>
      </c>
      <c r="J8287" s="297">
        <f t="shared" si="1247"/>
        <v>140.85714285714286</v>
      </c>
      <c r="K8287" s="297">
        <f>J8287/POBLA!$B$6*100000</f>
        <v>12.567542575099672</v>
      </c>
      <c r="L8287" s="549">
        <f t="shared" si="1244"/>
        <v>0.18106312292358806</v>
      </c>
      <c r="M8287" s="401">
        <f>SUM(C8287,C8263,C8239,C8215,C8191,C8167,C8143)/POBLA!$B$6*100000</f>
        <v>87.972798025697685</v>
      </c>
    </row>
    <row r="8288" spans="1:13" s="360" customFormat="1" x14ac:dyDescent="0.25">
      <c r="A8288" s="361" t="s">
        <v>20</v>
      </c>
      <c r="B8288" s="2">
        <v>44238</v>
      </c>
      <c r="C8288" s="1">
        <v>656</v>
      </c>
      <c r="D8288" s="39">
        <f t="shared" si="1239"/>
        <v>150564</v>
      </c>
      <c r="E8288" s="1">
        <v>8</v>
      </c>
      <c r="F8288" s="39">
        <f t="shared" si="1245"/>
        <v>2765</v>
      </c>
      <c r="G8288" s="168">
        <f>SUM(C8288,C8264,C8240,C8216,C8192,C8168,C8144,C8120,C8096,C8072,C8048,C8024,C8000,C7976)/POBLA!$B$7*100000</f>
        <v>178.51586911140956</v>
      </c>
      <c r="H8288" s="256">
        <f t="shared" si="1243"/>
        <v>1.0192833282720923</v>
      </c>
      <c r="I8288" s="297">
        <f t="shared" si="1246"/>
        <v>181.95824921726273</v>
      </c>
      <c r="J8288" s="297">
        <f t="shared" si="1247"/>
        <v>502.85714285714283</v>
      </c>
      <c r="K8288" s="297">
        <f>J8288/POBLA!$B$7*100000</f>
        <v>13.37225977893983</v>
      </c>
      <c r="L8288" s="549">
        <f t="shared" si="1244"/>
        <v>-0.10241152521139996</v>
      </c>
      <c r="M8288" s="401">
        <f>SUM(C8288,C8264,C8240,C8216,C8192,C8168,C8144)/POBLA!$B$7*100000</f>
        <v>93.605818452578816</v>
      </c>
    </row>
    <row r="8289" spans="1:13" x14ac:dyDescent="0.25">
      <c r="A8289" s="361" t="s">
        <v>31</v>
      </c>
      <c r="B8289" s="2">
        <v>44238</v>
      </c>
      <c r="C8289" s="1">
        <v>165</v>
      </c>
      <c r="D8289" s="39">
        <f t="shared" si="1239"/>
        <v>43152</v>
      </c>
      <c r="E8289" s="1">
        <v>6</v>
      </c>
      <c r="F8289" s="39">
        <f t="shared" si="1245"/>
        <v>784</v>
      </c>
      <c r="G8289" s="168">
        <f>SUM(C8289,C8265,C8241,C8217,C8193,C8169,C8145,C8121,C8097,C8073,C8049,C8025,C8001,C7977)/POBLA!$B$8*100000</f>
        <v>204.62336241784581</v>
      </c>
      <c r="H8289" s="256">
        <f t="shared" si="1243"/>
        <v>0.56822280104187539</v>
      </c>
      <c r="I8289" s="297">
        <f t="shared" si="1246"/>
        <v>116.27166015167516</v>
      </c>
      <c r="J8289" s="297">
        <f t="shared" si="1247"/>
        <v>173.85714285714286</v>
      </c>
      <c r="K8289" s="297">
        <f>J8289/POBLA!$B$8*100000</f>
        <v>12.544158375101672</v>
      </c>
      <c r="L8289" s="549">
        <f t="shared" si="1244"/>
        <v>0.24830142063001848</v>
      </c>
      <c r="M8289" s="401">
        <f>SUM(C8289,C8265,C8241,C8217,C8193,C8169,C8145)/POBLA!$B$8*100000</f>
        <v>87.809108625711687</v>
      </c>
    </row>
    <row r="8290" spans="1:13" s="360" customFormat="1" x14ac:dyDescent="0.25">
      <c r="A8290" s="361" t="s">
        <v>41</v>
      </c>
      <c r="B8290" s="2">
        <v>44238</v>
      </c>
      <c r="C8290" s="1">
        <v>19</v>
      </c>
      <c r="D8290" s="39">
        <f t="shared" si="1239"/>
        <v>912</v>
      </c>
      <c r="E8290" s="1"/>
      <c r="F8290" s="39">
        <f t="shared" si="1245"/>
        <v>9</v>
      </c>
      <c r="G8290" s="168">
        <f>SUM(C8290,C8266,C8242,C8218,C8194,C8170,C8146,C8122,C8098,C8074,C8050,C8026,C8002,C7978)/POBLA!$B$9*100000</f>
        <v>13.053687005632915</v>
      </c>
      <c r="H8290" s="256">
        <f t="shared" si="1243"/>
        <v>0.23723723723723725</v>
      </c>
      <c r="I8290" s="297">
        <f t="shared" si="1246"/>
        <v>3.0968206409759769</v>
      </c>
      <c r="J8290" s="297">
        <f t="shared" si="1247"/>
        <v>7.7142857142857144</v>
      </c>
      <c r="K8290" s="297">
        <f>J8290/POBLA!$B$9*100000</f>
        <v>1.2746819137507728</v>
      </c>
      <c r="L8290" s="549">
        <f t="shared" si="1244"/>
        <v>-1.1600000000000001</v>
      </c>
      <c r="M8290" s="401">
        <f>SUM(C8290,C8266,C8242,C8218,C8194,C8170,C8146)/POBLA!$B$9*100000</f>
        <v>8.9227733962554101</v>
      </c>
    </row>
    <row r="8291" spans="1:13" s="360" customFormat="1" x14ac:dyDescent="0.25">
      <c r="A8291" s="361" t="s">
        <v>32</v>
      </c>
      <c r="B8291" s="2">
        <v>44238</v>
      </c>
      <c r="C8291" s="1">
        <v>27</v>
      </c>
      <c r="D8291" s="39">
        <f t="shared" si="1239"/>
        <v>19660</v>
      </c>
      <c r="E8291" s="1">
        <v>1</v>
      </c>
      <c r="F8291" s="39">
        <f t="shared" si="1245"/>
        <v>888</v>
      </c>
      <c r="G8291" s="168">
        <f>SUM(C8291,C8267,C8243,C8219,C8195,C8171,C8147,C8123,C8099,C8075,C8051,C8027,C8003,C7979)/POBLA!$B$10*100000</f>
        <v>53.704787120191057</v>
      </c>
      <c r="H8291" s="256">
        <f t="shared" si="1243"/>
        <v>0.85010266940451751</v>
      </c>
      <c r="I8291" s="297">
        <f t="shared" si="1246"/>
        <v>45.654582890675769</v>
      </c>
      <c r="J8291" s="297">
        <f t="shared" si="1247"/>
        <v>32.428571428571431</v>
      </c>
      <c r="K8291" s="297">
        <f>J8291/POBLA!$B$10*100000</f>
        <v>4.2066896743558901</v>
      </c>
      <c r="L8291" s="549">
        <f t="shared" si="1244"/>
        <v>-0.21390374331550799</v>
      </c>
      <c r="M8291" s="401">
        <f>SUM(C8291,C8267,C8243,C8219,C8195,C8171,C8147)/POBLA!$B$10*100000</f>
        <v>29.446827720491228</v>
      </c>
    </row>
    <row r="8292" spans="1:13" s="360" customFormat="1" x14ac:dyDescent="0.25">
      <c r="A8292" s="361" t="s">
        <v>33</v>
      </c>
      <c r="B8292" s="2">
        <v>44238</v>
      </c>
      <c r="C8292" s="1">
        <v>122</v>
      </c>
      <c r="D8292" s="39">
        <f t="shared" si="1239"/>
        <v>17475</v>
      </c>
      <c r="E8292" s="1">
        <v>3</v>
      </c>
      <c r="F8292" s="39">
        <f t="shared" si="1245"/>
        <v>268</v>
      </c>
      <c r="G8292" s="168">
        <f>SUM(C8292,C8268,C8244,C8220,C8196,C8172,C8148,C8124,C8100,C8076,C8052,C8028,C8004,C7980)/POBLA!$B$11*100000</f>
        <v>345.11812693204774</v>
      </c>
      <c r="H8292" s="256">
        <f t="shared" si="1243"/>
        <v>0.72807533843437311</v>
      </c>
      <c r="I8292" s="297">
        <f t="shared" si="1246"/>
        <v>251.2719970658876</v>
      </c>
      <c r="J8292" s="297">
        <f t="shared" si="1247"/>
        <v>85.714285714285708</v>
      </c>
      <c r="K8292" s="297">
        <f>J8292/POBLA!$B$11*100000</f>
        <v>23.913948049339254</v>
      </c>
      <c r="L8292" s="549">
        <f t="shared" si="1244"/>
        <v>5.8084772370486704E-2</v>
      </c>
      <c r="M8292" s="401">
        <f>SUM(C8292,C8268,C8244,C8220,C8196,C8172,C8148)/POBLA!$B$11*100000</f>
        <v>167.39763634537479</v>
      </c>
    </row>
    <row r="8293" spans="1:13" s="360" customFormat="1" x14ac:dyDescent="0.25">
      <c r="A8293" s="361" t="s">
        <v>21</v>
      </c>
      <c r="B8293" s="2">
        <v>44238</v>
      </c>
      <c r="C8293" s="1">
        <v>23</v>
      </c>
      <c r="D8293" s="39">
        <f t="shared" si="1239"/>
        <v>9755</v>
      </c>
      <c r="E8293" s="1"/>
      <c r="F8293" s="39">
        <f t="shared" si="1245"/>
        <v>415</v>
      </c>
      <c r="G8293" s="168">
        <f>SUM(C8293,C8269,C8245,C8221,C8197,C8173,C8149,C8125,C8101,C8077,C8053,C8029,C8005,C7981)/POBLA!$B$12*100000</f>
        <v>65.306163936259154</v>
      </c>
      <c r="H8293" s="256">
        <f t="shared" si="1243"/>
        <v>1.0753138075313808</v>
      </c>
      <c r="I8293" s="297">
        <f t="shared" si="1246"/>
        <v>70.224619797567385</v>
      </c>
      <c r="J8293" s="297">
        <f t="shared" si="1247"/>
        <v>22.428571428571427</v>
      </c>
      <c r="K8293" s="297">
        <f>J8293/POBLA!$B$12*100000</f>
        <v>5.6993150294567458</v>
      </c>
      <c r="L8293" s="549">
        <f t="shared" si="1244"/>
        <v>-0.57000000000000006</v>
      </c>
      <c r="M8293" s="401">
        <f>SUM(C8293,C8269,C8245,C8221,C8197,C8173,C8149)/POBLA!$B$12*100000</f>
        <v>39.895205206197225</v>
      </c>
    </row>
    <row r="8294" spans="1:13" s="360" customFormat="1" x14ac:dyDescent="0.25">
      <c r="A8294" s="361" t="s">
        <v>17</v>
      </c>
      <c r="B8294" s="2">
        <v>44238</v>
      </c>
      <c r="C8294" s="1">
        <v>148</v>
      </c>
      <c r="D8294" s="39">
        <f t="shared" si="1239"/>
        <v>65375</v>
      </c>
      <c r="E8294" s="1">
        <v>3</v>
      </c>
      <c r="F8294" s="39">
        <f t="shared" si="1245"/>
        <v>1411</v>
      </c>
      <c r="G8294" s="168">
        <f>SUM(C8294,C8270,C8246,C8222,C8198,C8174,C8150,C8126,C8102,C8078,C8054,C8030,C8006,C7982)/POBLA!$B$13*100000</f>
        <v>90.587628834901409</v>
      </c>
      <c r="H8294" s="256">
        <f t="shared" si="1243"/>
        <v>1.0802875973636907</v>
      </c>
      <c r="I8294" s="297">
        <f t="shared" si="1246"/>
        <v>97.860691904929439</v>
      </c>
      <c r="J8294" s="297">
        <f t="shared" si="1247"/>
        <v>140.85714285714286</v>
      </c>
      <c r="K8294" s="297">
        <f>J8294/POBLA!$B$13*100000</f>
        <v>7.0770463537923138</v>
      </c>
      <c r="L8294" s="549">
        <f t="shared" si="1244"/>
        <v>-0.20685434516523871</v>
      </c>
      <c r="M8294" s="401">
        <f>SUM(C8294,C8270,C8246,C8222,C8198,C8174,C8150)/POBLA!$B$13*100000</f>
        <v>49.539324476546192</v>
      </c>
    </row>
    <row r="8295" spans="1:13" s="360" customFormat="1" x14ac:dyDescent="0.25">
      <c r="A8295" s="361" t="s">
        <v>23</v>
      </c>
      <c r="B8295" s="2">
        <v>44238</v>
      </c>
      <c r="C8295" s="1">
        <v>122</v>
      </c>
      <c r="D8295" s="39">
        <f t="shared" si="1239"/>
        <v>6415</v>
      </c>
      <c r="E8295" s="1">
        <v>3</v>
      </c>
      <c r="F8295" s="39">
        <f t="shared" si="1245"/>
        <v>115</v>
      </c>
      <c r="G8295" s="168">
        <f>SUM(C8295,C8271,C8247,C8223,C8199,C8175,C8151,C8127,C8103,C8079,C8055,C8031,C8007,C7983)/POBLA!$B$14*100000</f>
        <v>179.41891422618357</v>
      </c>
      <c r="H8295" s="256">
        <f t="shared" si="1243"/>
        <v>0.94686192468619246</v>
      </c>
      <c r="I8295" s="297">
        <f t="shared" si="1246"/>
        <v>169.88493844931105</v>
      </c>
      <c r="J8295" s="297">
        <f t="shared" si="1247"/>
        <v>126</v>
      </c>
      <c r="K8295" s="297">
        <f>J8295/POBLA!$B$14*100000</f>
        <v>9.989740694873678</v>
      </c>
      <c r="L8295" s="549">
        <f t="shared" si="1244"/>
        <v>0.36133236784938449</v>
      </c>
      <c r="M8295" s="401">
        <f>SUM(C8295,C8271,C8247,C8223,C8199,C8175,C8151)/POBLA!$B$14*100000</f>
        <v>69.928184864115735</v>
      </c>
    </row>
    <row r="8296" spans="1:13" s="360" customFormat="1" x14ac:dyDescent="0.25">
      <c r="A8296" s="361" t="s">
        <v>19</v>
      </c>
      <c r="B8296" s="2">
        <v>44238</v>
      </c>
      <c r="C8296" s="1">
        <v>316</v>
      </c>
      <c r="D8296" s="39">
        <f t="shared" si="1239"/>
        <v>57938</v>
      </c>
      <c r="E8296" s="1">
        <v>10</v>
      </c>
      <c r="F8296" s="39">
        <f t="shared" si="1245"/>
        <v>816</v>
      </c>
      <c r="G8296" s="168">
        <f>SUM(C8296,C8272,C8248,C8224,C8200,C8176,C8152,C8128,C8104,C8080,C8056,C8032,C8008,C7984)/POBLA!$B$15*100000</f>
        <v>736.98492749869365</v>
      </c>
      <c r="H8296" s="256">
        <f t="shared" si="1243"/>
        <v>0.83701043270053022</v>
      </c>
      <c r="I8296" s="297">
        <f t="shared" si="1246"/>
        <v>616.86407305945045</v>
      </c>
      <c r="J8296" s="297">
        <f t="shared" si="1247"/>
        <v>294.85714285714283</v>
      </c>
      <c r="K8296" s="297">
        <f>J8296/POBLA!$B$15*100000</f>
        <v>44.40238456294307</v>
      </c>
      <c r="L8296" s="549">
        <f t="shared" si="1244"/>
        <v>0.27067137809187281</v>
      </c>
      <c r="M8296" s="401">
        <f>SUM(C8296,C8272,C8248,C8224,C8200,C8176,C8152)/POBLA!$B$15*100000</f>
        <v>310.81669194060146</v>
      </c>
    </row>
    <row r="8297" spans="1:13" s="360" customFormat="1" x14ac:dyDescent="0.25">
      <c r="A8297" s="361" t="s">
        <v>18</v>
      </c>
      <c r="B8297" s="2">
        <v>44238</v>
      </c>
      <c r="C8297" s="1">
        <v>223</v>
      </c>
      <c r="D8297" s="39">
        <f t="shared" si="1239"/>
        <v>50240</v>
      </c>
      <c r="E8297" s="1">
        <v>3</v>
      </c>
      <c r="F8297" s="39">
        <f t="shared" si="1245"/>
        <v>1111</v>
      </c>
      <c r="G8297" s="168">
        <f>SUM(C8297,C8273,C8249,C8225,C8201,C8177,C8153,C8129,C8105,C8081,C8057,C8033,C8009,C7985)/POBLA!$B$16*100000</f>
        <v>392.98564759700912</v>
      </c>
      <c r="H8297" s="256">
        <f t="shared" si="1243"/>
        <v>0.69538461538461538</v>
      </c>
      <c r="I8297" s="297">
        <f t="shared" si="1246"/>
        <v>273.27617340592019</v>
      </c>
      <c r="J8297" s="297">
        <f t="shared" si="1247"/>
        <v>184.42857142857142</v>
      </c>
      <c r="K8297" s="297">
        <f>J8297/POBLA!$B$16*100000</f>
        <v>24.669088352024641</v>
      </c>
      <c r="L8297" s="549">
        <f t="shared" si="1244"/>
        <v>0.21615057680631455</v>
      </c>
      <c r="M8297" s="401">
        <f>SUM(C8297,C8273,C8249,C8225,C8201,C8177,C8153)/POBLA!$B$16*100000</f>
        <v>172.6836184641725</v>
      </c>
    </row>
    <row r="8298" spans="1:13" s="360" customFormat="1" x14ac:dyDescent="0.25">
      <c r="A8298" s="361" t="s">
        <v>34</v>
      </c>
      <c r="B8298" s="2">
        <v>44238</v>
      </c>
      <c r="C8298" s="1">
        <v>96</v>
      </c>
      <c r="D8298" s="39">
        <f t="shared" si="1239"/>
        <v>24609</v>
      </c>
      <c r="E8298" s="1">
        <v>4</v>
      </c>
      <c r="F8298" s="39">
        <f t="shared" si="1245"/>
        <v>1059</v>
      </c>
      <c r="G8298" s="168">
        <f>SUM(C8298,C8274,C8250,C8226,C8202,C8178,C8154,C8130,C8106,C8082,C8058,C8034,C8010,C7986)/POBLA!$B$17*100000</f>
        <v>65.220581059915176</v>
      </c>
      <c r="H8298" s="256">
        <f t="shared" si="1243"/>
        <v>1.2223684210526315</v>
      </c>
      <c r="I8298" s="297">
        <f t="shared" si="1246"/>
        <v>79.723578690343686</v>
      </c>
      <c r="J8298" s="297">
        <f t="shared" si="1247"/>
        <v>77.428571428571431</v>
      </c>
      <c r="K8298" s="297">
        <f>J8298/POBLA!$B$17*100000</f>
        <v>5.4358841972126752</v>
      </c>
      <c r="L8298" s="549">
        <f t="shared" si="1244"/>
        <v>-0.40051679586563305</v>
      </c>
      <c r="M8298" s="401">
        <f>SUM(C8298,C8274,C8250,C8226,C8202,C8178,C8154)/POBLA!$B$17*100000</f>
        <v>38.051189380488722</v>
      </c>
    </row>
    <row r="8299" spans="1:13" s="360" customFormat="1" x14ac:dyDescent="0.25">
      <c r="A8299" s="361" t="s">
        <v>35</v>
      </c>
      <c r="B8299" s="2">
        <v>44238</v>
      </c>
      <c r="C8299" s="1">
        <v>80</v>
      </c>
      <c r="D8299" s="39">
        <f t="shared" si="1239"/>
        <v>14537</v>
      </c>
      <c r="E8299" s="1"/>
      <c r="F8299" s="39">
        <f t="shared" si="1245"/>
        <v>203</v>
      </c>
      <c r="G8299" s="168">
        <f>SUM(C8299,C8275,C8251,C8227,C8203,C8179,C8155,C8131,C8107,C8083,C8059,C8035,C8011,C7987)/POBLA!$B$18*100000</f>
        <v>89.859795677769426</v>
      </c>
      <c r="H8299" s="256">
        <f t="shared" si="1243"/>
        <v>0.76470588235294112</v>
      </c>
      <c r="I8299" s="297">
        <f t="shared" si="1246"/>
        <v>68.716314341823676</v>
      </c>
      <c r="J8299" s="297">
        <f t="shared" si="1247"/>
        <v>44.857142857142854</v>
      </c>
      <c r="K8299" s="297">
        <f>J8299/POBLA!$B$18*100000</f>
        <v>5.7419568259706146</v>
      </c>
      <c r="L8299" s="549">
        <f t="shared" si="1244"/>
        <v>0.19072164948453607</v>
      </c>
      <c r="M8299" s="401">
        <f>SUM(C8299,C8275,C8251,C8227,C8203,C8179,C8155)/POBLA!$B$18*100000</f>
        <v>40.193697781794306</v>
      </c>
    </row>
    <row r="8300" spans="1:13" s="360" customFormat="1" x14ac:dyDescent="0.25">
      <c r="A8300" s="361" t="s">
        <v>36</v>
      </c>
      <c r="B8300" s="2">
        <v>44238</v>
      </c>
      <c r="C8300" s="1">
        <v>21</v>
      </c>
      <c r="D8300" s="39">
        <f t="shared" si="1239"/>
        <v>19145</v>
      </c>
      <c r="E8300" s="1">
        <v>6</v>
      </c>
      <c r="F8300" s="39">
        <f t="shared" si="1245"/>
        <v>344</v>
      </c>
      <c r="G8300" s="168">
        <f>SUM(C8300,C8276,C8252,C8228,C8204,C8180,C8156,C8132,C8108,C8084,C8060,C8036,C8012,C7988)/POBLA!$B$19*100000</f>
        <v>38.951228340756366</v>
      </c>
      <c r="H8300" s="256">
        <f t="shared" si="1243"/>
        <v>9.0534979423868317E-2</v>
      </c>
      <c r="I8300" s="297">
        <f t="shared" si="1246"/>
        <v>3.5264486563647739</v>
      </c>
      <c r="J8300" s="297">
        <f t="shared" si="1247"/>
        <v>7.5714285714285712</v>
      </c>
      <c r="K8300" s="297">
        <f>J8300/POBLA!$B$19*100000</f>
        <v>1.4894769856133385</v>
      </c>
      <c r="L8300" s="549">
        <f t="shared" si="1244"/>
        <v>0.63448275862068959</v>
      </c>
      <c r="M8300" s="401">
        <f>SUM(C8300,C8276,C8252,C8228,C8204,C8180,C8156)/POBLA!$B$19*100000</f>
        <v>10.42633889929337</v>
      </c>
    </row>
    <row r="8301" spans="1:13" s="360" customFormat="1" x14ac:dyDescent="0.25">
      <c r="A8301" s="361" t="s">
        <v>37</v>
      </c>
      <c r="B8301" s="2">
        <v>44238</v>
      </c>
      <c r="C8301" s="1">
        <v>114</v>
      </c>
      <c r="D8301" s="39">
        <f t="shared" si="1239"/>
        <v>34291</v>
      </c>
      <c r="E8301" s="1">
        <v>3</v>
      </c>
      <c r="F8301" s="39">
        <f t="shared" si="1245"/>
        <v>526</v>
      </c>
      <c r="G8301" s="168">
        <f>SUM(C8301,C8277,C8253,C8229,C8205,C8181,C8157,C8133,C8109,C8085,C8061,C8037,C8013,C7989)/POBLA!$B$20*100000</f>
        <v>588.19025534730849</v>
      </c>
      <c r="H8301" s="256">
        <f t="shared" si="1243"/>
        <v>0.59700249791840132</v>
      </c>
      <c r="I8301" s="297">
        <f t="shared" si="1246"/>
        <v>351.1510516936055</v>
      </c>
      <c r="J8301" s="297">
        <f t="shared" si="1247"/>
        <v>121.85714285714286</v>
      </c>
      <c r="K8301" s="297">
        <f>J8301/POBLA!$B$20*100000</f>
        <v>33.321796361244211</v>
      </c>
      <c r="L8301" s="549">
        <f t="shared" si="1244"/>
        <v>0.34283513097072416</v>
      </c>
      <c r="M8301" s="401">
        <f>SUM(C8301,C8277,C8253,C8229,C8205,C8181,C8157)/POBLA!$B$20*100000</f>
        <v>233.25257452870949</v>
      </c>
    </row>
    <row r="8302" spans="1:13" s="360" customFormat="1" x14ac:dyDescent="0.25">
      <c r="A8302" s="361" t="s">
        <v>22</v>
      </c>
      <c r="B8302" s="2">
        <v>44238</v>
      </c>
      <c r="C8302" s="1">
        <v>456</v>
      </c>
      <c r="D8302" s="39">
        <f t="shared" si="1239"/>
        <v>210970</v>
      </c>
      <c r="E8302" s="1">
        <v>21</v>
      </c>
      <c r="F8302" s="39">
        <f t="shared" si="1245"/>
        <v>3783</v>
      </c>
      <c r="G8302" s="168">
        <f>SUM(C8302,C8278,C8254,C8230,C8206,C8182,C8158,C8134,C8110,C8086,C8062,C8038,C8014,C7990)/POBLA!$B$21*100000</f>
        <v>183.99974211193359</v>
      </c>
      <c r="H8302" s="256">
        <f t="shared" si="1243"/>
        <v>0.51552844240215501</v>
      </c>
      <c r="I8302" s="297">
        <f t="shared" si="1246"/>
        <v>94.85710045336333</v>
      </c>
      <c r="J8302" s="297">
        <f t="shared" si="1247"/>
        <v>406.85714285714283</v>
      </c>
      <c r="K8302" s="297">
        <f>J8302/POBLA!$B$21*100000</f>
        <v>11.504780907040482</v>
      </c>
      <c r="L8302" s="549">
        <f t="shared" si="1244"/>
        <v>0.22164525826728609</v>
      </c>
      <c r="M8302" s="401">
        <f>SUM(C8302,C8278,C8254,C8230,C8206,C8182,C8158)/POBLA!$B$21*100000</f>
        <v>80.533466349283373</v>
      </c>
    </row>
    <row r="8303" spans="1:13" s="360" customFormat="1" x14ac:dyDescent="0.25">
      <c r="A8303" s="361" t="s">
        <v>38</v>
      </c>
      <c r="B8303" s="2">
        <v>44238</v>
      </c>
      <c r="C8303" s="1">
        <v>89</v>
      </c>
      <c r="D8303" s="39">
        <f t="shared" si="1239"/>
        <v>21722</v>
      </c>
      <c r="E8303" s="1">
        <v>1</v>
      </c>
      <c r="F8303" s="39">
        <f t="shared" si="1245"/>
        <v>256</v>
      </c>
      <c r="G8303" s="168">
        <f>SUM(C8303,C8279,C8255,C8231,C8207,C8183,C8159,C8135,C8111,C8087,C8063,C8039,C8015,C7991)/POBLA!$B$22*100000</f>
        <v>102.11455842864196</v>
      </c>
      <c r="H8303" s="256">
        <f t="shared" si="1243"/>
        <v>0.67820773930753564</v>
      </c>
      <c r="I8303" s="297">
        <f t="shared" si="1246"/>
        <v>69.254883822276526</v>
      </c>
      <c r="J8303" s="297">
        <f t="shared" si="1247"/>
        <v>76.142857142857139</v>
      </c>
      <c r="K8303" s="297">
        <f>J8303/POBLA!$B$22*100000</f>
        <v>7.783077311949973</v>
      </c>
      <c r="L8303" s="549">
        <f t="shared" si="1244"/>
        <v>-0.14377682403433467</v>
      </c>
      <c r="M8303" s="401">
        <f>SUM(C8303,C8279,C8255,C8231,C8207,C8183,C8159)/POBLA!$B$22*100000</f>
        <v>54.48154118364981</v>
      </c>
    </row>
    <row r="8304" spans="1:13" s="360" customFormat="1" x14ac:dyDescent="0.25">
      <c r="A8304" s="361" t="s">
        <v>39</v>
      </c>
      <c r="B8304" s="2">
        <v>44238</v>
      </c>
      <c r="C8304" s="1">
        <v>48</v>
      </c>
      <c r="D8304" s="39">
        <f t="shared" si="1239"/>
        <v>22366</v>
      </c>
      <c r="E8304" s="1">
        <v>1</v>
      </c>
      <c r="F8304" s="39">
        <f t="shared" si="1245"/>
        <v>343</v>
      </c>
      <c r="G8304" s="168">
        <f>SUM(C8304,C8280,C8256,C8232,C8208,C8184,C8160,C8136,C8112,C8088,C8064,C8040,C8016,C7992)/POBLA!$B$23*100000</f>
        <v>380.02601368546061</v>
      </c>
      <c r="H8304" s="256">
        <f t="shared" si="1243"/>
        <v>0.59786476868327398</v>
      </c>
      <c r="I8304" s="297">
        <f t="shared" si="1246"/>
        <v>227.20416476568462</v>
      </c>
      <c r="J8304" s="297">
        <f t="shared" si="1247"/>
        <v>52.857142857142854</v>
      </c>
      <c r="K8304" s="297">
        <f>J8304/POBLA!$B$23*100000</f>
        <v>29.891501926790056</v>
      </c>
      <c r="L8304" s="549">
        <f t="shared" si="1244"/>
        <v>-0.22516556291390732</v>
      </c>
      <c r="M8304" s="401">
        <f>SUM(C8304,C8280,C8256,C8232,C8208,C8184,C8160)/POBLA!$B$23*100000</f>
        <v>209.24051348753039</v>
      </c>
    </row>
    <row r="8305" spans="1:13" s="360" customFormat="1" ht="15.75" thickBot="1" x14ac:dyDescent="0.3">
      <c r="A8305" s="361" t="s">
        <v>40</v>
      </c>
      <c r="B8305" s="2">
        <v>44238</v>
      </c>
      <c r="C8305" s="1">
        <v>123</v>
      </c>
      <c r="D8305" s="176">
        <f t="shared" si="1239"/>
        <v>77742</v>
      </c>
      <c r="E8305" s="1">
        <v>1</v>
      </c>
      <c r="F8305" s="176">
        <f t="shared" si="1245"/>
        <v>1452</v>
      </c>
      <c r="G8305" s="177">
        <f>SUM(C8305,C8281,C8257,C8233,C8209,C8185,C8161,C8137,C8113,C8089,C8065,C8041,C8017,C7993)/POBLA!$B$24*100000</f>
        <v>95.122549945239626</v>
      </c>
      <c r="H8305" s="402">
        <f t="shared" si="1243"/>
        <v>0.70577933450087571</v>
      </c>
      <c r="I8305" s="403">
        <f t="shared" si="1246"/>
        <v>67.135529996377528</v>
      </c>
      <c r="J8305" s="403">
        <f t="shared" si="1247"/>
        <v>104.85714285714286</v>
      </c>
      <c r="K8305" s="403">
        <f>J8305/POBLA!$B$24*100000</f>
        <v>6.1875178713050234</v>
      </c>
      <c r="L8305" s="550">
        <f t="shared" si="1244"/>
        <v>0.16400911161731202</v>
      </c>
      <c r="M8305" s="405">
        <f>SUM(C8305,C8281,C8257,C8233,C8209,C8185,C8161)/POBLA!$B$24*100000</f>
        <v>43.312625099135168</v>
      </c>
    </row>
    <row r="8306" spans="1:13" s="360" customFormat="1" x14ac:dyDescent="0.25">
      <c r="A8306" s="361" t="s">
        <v>16</v>
      </c>
      <c r="B8306" s="2">
        <v>44239</v>
      </c>
      <c r="C8306" s="1">
        <v>3207</v>
      </c>
      <c r="D8306" s="174">
        <f t="shared" si="1239"/>
        <v>841561</v>
      </c>
      <c r="E8306" s="1">
        <v>82</v>
      </c>
      <c r="F8306" s="174">
        <f>E8306+F8282</f>
        <v>25411</v>
      </c>
      <c r="G8306" s="175">
        <f>SUM(C8306,C8282,C8258,C8234,C8210,C8186,C8162,C8138,C8114,C8090,C8066,C8042,C8018,C7994)/POBLA!$B$1*100000</f>
        <v>242.32175090548557</v>
      </c>
      <c r="H8306" s="300">
        <f t="shared" ref="H8306:H8329" si="1248">SUM(C8306,C8282,C8258,C8234,C8210,C8186,C8162,C8138,C8114,C8090,C8066,C8042,C8018,C7994)/SUM(C7970,C7946,C7922,C7898,C7874,C7850,C7826,C7802,C7778,C7754,C7730,C7706,C7682,C7658)</f>
        <v>0.79116256561069132</v>
      </c>
      <c r="I8306" s="301">
        <f>G8306*H8306</f>
        <v>191.71589814965884</v>
      </c>
      <c r="J8306" s="301">
        <f>AVERAGE(C8306,C8282,C8258,C8234,C8210,C8186,C8162)</f>
        <v>2789.1428571428573</v>
      </c>
      <c r="K8306" s="301">
        <f>J8306/POBLA!$B$1*100000</f>
        <v>15.900578287027381</v>
      </c>
      <c r="L8306" s="548">
        <f t="shared" ref="L8306:L8329" si="1249">1-SUM(C8306,C8282,C8258,C8234,C8210,C8186,C8162)/SUM(C8138,C8114,C8090,C8066,C8042,C8018,C7994)</f>
        <v>0.15046558175963798</v>
      </c>
      <c r="M8306" s="400">
        <f>SUM(C8306,C8282,C8258,C8234,C8210,C8186,C8162)/POBLA!$B$1*100000</f>
        <v>111.30404800919166</v>
      </c>
    </row>
    <row r="8307" spans="1:13" s="360" customFormat="1" x14ac:dyDescent="0.25">
      <c r="A8307" s="361" t="s">
        <v>43</v>
      </c>
      <c r="B8307" s="2">
        <v>44239</v>
      </c>
      <c r="C8307" s="1">
        <v>812</v>
      </c>
      <c r="D8307" s="39">
        <f t="shared" si="1239"/>
        <v>221245</v>
      </c>
      <c r="E8307" s="1">
        <v>12</v>
      </c>
      <c r="F8307" s="39">
        <f t="shared" ref="F8307:F8329" si="1250">E8307+F8283</f>
        <v>6252</v>
      </c>
      <c r="G8307" s="168">
        <f>SUM(C8307,C8283,C8259,C8235,C8211,C8187,C8163,C8139,C8115,C8091,C8067,C8043,C8019,C7995)/POBLA!$B$2*100000</f>
        <v>413.08395049365237</v>
      </c>
      <c r="H8307" s="256">
        <f t="shared" si="1248"/>
        <v>0.78654119977713122</v>
      </c>
      <c r="I8307" s="297">
        <f t="shared" ref="I8307:I8329" si="1251">G8307*H8307</f>
        <v>324.9075460299544</v>
      </c>
      <c r="J8307" s="297">
        <f t="shared" ref="J8307:J8329" si="1252">AVERAGE(C8307,C8283,C8259,C8235,C8211,C8187,C8163)</f>
        <v>784</v>
      </c>
      <c r="K8307" s="297">
        <f>J8307/POBLA!$B$2*100000</f>
        <v>25.490579865173039</v>
      </c>
      <c r="L8307" s="549">
        <f t="shared" si="1249"/>
        <v>0.23957322987390883</v>
      </c>
      <c r="M8307" s="401">
        <f>SUM(C8307,C8283,C8259,C8235,C8211,C8187,C8163)/POBLA!$B$2*100000</f>
        <v>178.43405905621128</v>
      </c>
    </row>
    <row r="8308" spans="1:13" s="360" customFormat="1" x14ac:dyDescent="0.25">
      <c r="A8308" s="361" t="s">
        <v>28</v>
      </c>
      <c r="B8308" s="2">
        <v>44239</v>
      </c>
      <c r="C8308" s="1">
        <v>122</v>
      </c>
      <c r="D8308" s="39">
        <f t="shared" si="1239"/>
        <v>6683</v>
      </c>
      <c r="E8308" s="1"/>
      <c r="F8308" s="39">
        <f t="shared" si="1250"/>
        <v>17</v>
      </c>
      <c r="G8308" s="168">
        <f>SUM(C8308,C8284,C8260,C8236,C8212,C8188,C8164,C8140,C8116,C8092,C8068,C8044,C8020,C7996)/POBLA!$B$3*100000</f>
        <v>367.80458215184939</v>
      </c>
      <c r="H8308" s="256">
        <f t="shared" si="1248"/>
        <v>1.1523378582202111</v>
      </c>
      <c r="I8308" s="297">
        <f t="shared" si="1251"/>
        <v>423.83514444044181</v>
      </c>
      <c r="J8308" s="297">
        <f t="shared" si="1252"/>
        <v>90.285714285714292</v>
      </c>
      <c r="K8308" s="297">
        <f>J8308/POBLA!$B$3*100000</f>
        <v>21.732656686608902</v>
      </c>
      <c r="L8308" s="549">
        <f t="shared" si="1249"/>
        <v>0.2946428571428571</v>
      </c>
      <c r="M8308" s="401">
        <f>SUM(C8308,C8284,C8260,C8236,C8212,C8188,C8164)/POBLA!$B$3*100000</f>
        <v>152.12859680626232</v>
      </c>
    </row>
    <row r="8309" spans="1:13" s="360" customFormat="1" x14ac:dyDescent="0.25">
      <c r="A8309" s="361" t="s">
        <v>15</v>
      </c>
      <c r="B8309" s="2">
        <v>44239</v>
      </c>
      <c r="C8309" s="1">
        <v>119</v>
      </c>
      <c r="D8309" s="39">
        <f t="shared" si="1239"/>
        <v>32291</v>
      </c>
      <c r="E8309" s="1">
        <v>1</v>
      </c>
      <c r="F8309" s="39">
        <f t="shared" si="1250"/>
        <v>831</v>
      </c>
      <c r="G8309" s="168">
        <f>SUM(C8309,C8285,C8261,C8237,C8213,C8189,C8165,C8141,C8117,C8093,C8069,C8045,C8021,C7997)/POBLA!$B$4*100000</f>
        <v>144.37034521863515</v>
      </c>
      <c r="H8309" s="256">
        <f t="shared" si="1248"/>
        <v>0.72944630872483218</v>
      </c>
      <c r="I8309" s="297">
        <f t="shared" si="1251"/>
        <v>105.31041540906314</v>
      </c>
      <c r="J8309" s="297">
        <f t="shared" si="1252"/>
        <v>124.85714285714286</v>
      </c>
      <c r="K8309" s="297">
        <f>J8309/POBLA!$B$4*100000</f>
        <v>10.365536985220334</v>
      </c>
      <c r="L8309" s="549">
        <f t="shared" si="1249"/>
        <v>-1.0404624277456698E-2</v>
      </c>
      <c r="M8309" s="401">
        <f>SUM(C8309,C8285,C8261,C8237,C8213,C8189,C8165)/POBLA!$B$4*100000</f>
        <v>72.558758896542344</v>
      </c>
    </row>
    <row r="8310" spans="1:13" s="360" customFormat="1" x14ac:dyDescent="0.25">
      <c r="A8310" s="361" t="s">
        <v>29</v>
      </c>
      <c r="B8310" s="2">
        <v>44239</v>
      </c>
      <c r="C8310" s="1">
        <v>232</v>
      </c>
      <c r="D8310" s="39">
        <f t="shared" si="1239"/>
        <v>45037</v>
      </c>
      <c r="E8310" s="1"/>
      <c r="F8310" s="39">
        <f t="shared" si="1250"/>
        <v>684</v>
      </c>
      <c r="G8310" s="168">
        <f>SUM(C8310,C8286,C8262,C8238,C8214,C8190,C8166,C8142,C8118,C8094,C8070,C8046,C8022,C7998)/POBLA!$B$5*100000</f>
        <v>493.38119594050994</v>
      </c>
      <c r="H8310" s="256">
        <f t="shared" si="1248"/>
        <v>0.74908020603384839</v>
      </c>
      <c r="I8310" s="297">
        <f t="shared" si="1251"/>
        <v>369.58208790834374</v>
      </c>
      <c r="J8310" s="297">
        <f t="shared" si="1252"/>
        <v>191.71428571428572</v>
      </c>
      <c r="K8310" s="297">
        <f>J8310/POBLA!$B$5*100000</f>
        <v>30.971913413423348</v>
      </c>
      <c r="L8310" s="549">
        <f t="shared" si="1249"/>
        <v>0.21612149532710279</v>
      </c>
      <c r="M8310" s="401">
        <f>SUM(C8310,C8286,C8262,C8238,C8214,C8190,C8166)/POBLA!$B$5*100000</f>
        <v>216.8033938939634</v>
      </c>
    </row>
    <row r="8311" spans="1:13" s="360" customFormat="1" x14ac:dyDescent="0.25">
      <c r="A8311" s="361" t="s">
        <v>30</v>
      </c>
      <c r="B8311" s="2">
        <v>44239</v>
      </c>
      <c r="C8311" s="1">
        <v>56</v>
      </c>
      <c r="D8311" s="39">
        <f t="shared" si="1239"/>
        <v>19208</v>
      </c>
      <c r="E8311" s="1">
        <v>2</v>
      </c>
      <c r="F8311" s="39">
        <f t="shared" si="1250"/>
        <v>220</v>
      </c>
      <c r="G8311" s="168">
        <f>SUM(C8311,C8287,C8263,C8239,C8215,C8191,C8167,C8143,C8119,C8095,C8071,C8047,C8023,C7999)/POBLA!$B$6*100000</f>
        <v>184.51089890176758</v>
      </c>
      <c r="H8311" s="256">
        <f t="shared" si="1248"/>
        <v>0.81257367387033397</v>
      </c>
      <c r="I8311" s="297">
        <f t="shared" si="1251"/>
        <v>149.92869898972705</v>
      </c>
      <c r="J8311" s="297">
        <f t="shared" si="1252"/>
        <v>112.28571428571429</v>
      </c>
      <c r="K8311" s="297">
        <f>J8311/POBLA!$B$6*100000</f>
        <v>10.018345298203187</v>
      </c>
      <c r="L8311" s="549">
        <f t="shared" si="1249"/>
        <v>0.38689547581903272</v>
      </c>
      <c r="M8311" s="401">
        <f>SUM(C8311,C8287,C8263,C8239,C8215,C8191,C8167)/POBLA!$B$6*100000</f>
        <v>70.128417087422307</v>
      </c>
    </row>
    <row r="8312" spans="1:13" s="360" customFormat="1" x14ac:dyDescent="0.25">
      <c r="A8312" s="361" t="s">
        <v>20</v>
      </c>
      <c r="B8312" s="2">
        <v>44239</v>
      </c>
      <c r="C8312" s="1">
        <v>649</v>
      </c>
      <c r="D8312" s="39">
        <f t="shared" si="1239"/>
        <v>151213</v>
      </c>
      <c r="E8312" s="1">
        <v>5</v>
      </c>
      <c r="F8312" s="39">
        <f t="shared" si="1250"/>
        <v>2770</v>
      </c>
      <c r="G8312" s="168">
        <f>SUM(C8312,C8288,C8264,C8240,C8216,C8192,C8168,C8144,C8120,C8096,C8072,C8048,C8024,C8000)/POBLA!$B$7*100000</f>
        <v>179.65934928000638</v>
      </c>
      <c r="H8312" s="256">
        <f t="shared" si="1248"/>
        <v>0.97110823630875376</v>
      </c>
      <c r="I8312" s="297">
        <f t="shared" si="1251"/>
        <v>174.46867381568538</v>
      </c>
      <c r="J8312" s="297">
        <f t="shared" si="1252"/>
        <v>517.14285714285711</v>
      </c>
      <c r="K8312" s="297">
        <f>J8312/POBLA!$B$7*100000</f>
        <v>13.752153522659711</v>
      </c>
      <c r="L8312" s="549">
        <f t="shared" si="1249"/>
        <v>-0.15433673469387754</v>
      </c>
      <c r="M8312" s="401">
        <f>SUM(C8312,C8288,C8264,C8240,C8216,C8192,C8168)/POBLA!$B$7*100000</f>
        <v>96.265074658617976</v>
      </c>
    </row>
    <row r="8313" spans="1:13" x14ac:dyDescent="0.25">
      <c r="A8313" s="361" t="s">
        <v>31</v>
      </c>
      <c r="B8313" s="2">
        <v>44239</v>
      </c>
      <c r="C8313" s="1">
        <v>169</v>
      </c>
      <c r="D8313" s="39">
        <f t="shared" si="1239"/>
        <v>43321</v>
      </c>
      <c r="E8313" s="1">
        <v>5</v>
      </c>
      <c r="F8313" s="39">
        <f t="shared" si="1250"/>
        <v>789</v>
      </c>
      <c r="G8313" s="168">
        <f>SUM(C8313,C8289,C8265,C8241,C8217,C8193,C8169,C8145,C8121,C8097,C8073,C8049,C8025,C8001)/POBLA!$B$8*100000</f>
        <v>194.73852438849289</v>
      </c>
      <c r="H8313" s="256">
        <f t="shared" si="1248"/>
        <v>0.56701680672268906</v>
      </c>
      <c r="I8313" s="297">
        <f t="shared" si="1251"/>
        <v>110.42001624465175</v>
      </c>
      <c r="J8313" s="297">
        <f t="shared" si="1252"/>
        <v>161.71428571428572</v>
      </c>
      <c r="K8313" s="297">
        <f>J8313/POBLA!$B$8*100000</f>
        <v>11.668025703052663</v>
      </c>
      <c r="L8313" s="549">
        <f t="shared" si="1249"/>
        <v>0.27760051052967449</v>
      </c>
      <c r="M8313" s="401">
        <f>SUM(C8313,C8289,C8265,C8241,C8217,C8193,C8169)/POBLA!$B$8*100000</f>
        <v>81.676179921368643</v>
      </c>
    </row>
    <row r="8314" spans="1:13" s="360" customFormat="1" x14ac:dyDescent="0.25">
      <c r="A8314" s="361" t="s">
        <v>41</v>
      </c>
      <c r="B8314" s="2">
        <v>44239</v>
      </c>
      <c r="C8314" s="1">
        <v>25</v>
      </c>
      <c r="D8314" s="39">
        <f t="shared" si="1239"/>
        <v>937</v>
      </c>
      <c r="E8314" s="1"/>
      <c r="F8314" s="39">
        <f t="shared" si="1250"/>
        <v>9</v>
      </c>
      <c r="G8314" s="168">
        <f>SUM(C8314,C8290,C8266,C8242,C8218,C8194,C8170,C8146,C8122,C8098,C8074,C8050,C8026,C8002)/POBLA!$B$9*100000</f>
        <v>15.862708260009617</v>
      </c>
      <c r="H8314" s="256">
        <f t="shared" si="1248"/>
        <v>0.33922261484098942</v>
      </c>
      <c r="I8314" s="297">
        <f t="shared" si="1251"/>
        <v>5.3809893744202242</v>
      </c>
      <c r="J8314" s="297">
        <f t="shared" si="1252"/>
        <v>10</v>
      </c>
      <c r="K8314" s="297">
        <f>J8314/POBLA!$B$9*100000</f>
        <v>1.6523654437510016</v>
      </c>
      <c r="L8314" s="549">
        <f t="shared" si="1249"/>
        <v>-1.6923076923076925</v>
      </c>
      <c r="M8314" s="401">
        <f>SUM(C8314,C8290,C8266,C8242,C8218,C8194,C8170)/POBLA!$B$9*100000</f>
        <v>11.566558106257013</v>
      </c>
    </row>
    <row r="8315" spans="1:13" s="360" customFormat="1" x14ac:dyDescent="0.25">
      <c r="A8315" s="361" t="s">
        <v>32</v>
      </c>
      <c r="B8315" s="2">
        <v>44239</v>
      </c>
      <c r="C8315" s="1">
        <v>35</v>
      </c>
      <c r="D8315" s="39">
        <f t="shared" si="1239"/>
        <v>19695</v>
      </c>
      <c r="E8315" s="1">
        <v>1</v>
      </c>
      <c r="F8315" s="39">
        <f t="shared" si="1250"/>
        <v>889</v>
      </c>
      <c r="G8315" s="168">
        <f>SUM(C8315,C8291,C8267,C8243,C8219,C8195,C8171,C8147,C8123,C8099,C8075,C8051,C8027,C8003)/POBLA!$B$10*100000</f>
        <v>54.48311736830977</v>
      </c>
      <c r="H8315" s="256">
        <f t="shared" si="1248"/>
        <v>0.84848484848484851</v>
      </c>
      <c r="I8315" s="297">
        <f t="shared" si="1251"/>
        <v>46.228099585232535</v>
      </c>
      <c r="J8315" s="297">
        <f t="shared" si="1252"/>
        <v>31.285714285714285</v>
      </c>
      <c r="K8315" s="297">
        <f>J8315/POBLA!$B$10*100000</f>
        <v>4.0584362937618499</v>
      </c>
      <c r="L8315" s="549">
        <f t="shared" si="1249"/>
        <v>-8.9552238805970186E-2</v>
      </c>
      <c r="M8315" s="401">
        <f>SUM(C8315,C8291,C8267,C8243,C8219,C8195,C8171)/POBLA!$B$10*100000</f>
        <v>28.409054056332948</v>
      </c>
    </row>
    <row r="8316" spans="1:13" s="360" customFormat="1" x14ac:dyDescent="0.25">
      <c r="A8316" s="361" t="s">
        <v>33</v>
      </c>
      <c r="B8316" s="2">
        <v>44239</v>
      </c>
      <c r="C8316" s="1">
        <v>71</v>
      </c>
      <c r="D8316" s="39">
        <f t="shared" si="1239"/>
        <v>17546</v>
      </c>
      <c r="E8316" s="1"/>
      <c r="F8316" s="39">
        <f t="shared" si="1250"/>
        <v>268</v>
      </c>
      <c r="G8316" s="168">
        <f>SUM(C8316,C8292,C8268,C8244,C8220,C8196,C8172,C8148,C8124,C8100,C8076,C8052,C8028,C8004)/POBLA!$B$11*100000</f>
        <v>342.04917026571587</v>
      </c>
      <c r="H8316" s="256">
        <f t="shared" si="1248"/>
        <v>0.77301387137452715</v>
      </c>
      <c r="I8316" s="297">
        <f t="shared" si="1251"/>
        <v>264.40875330754585</v>
      </c>
      <c r="J8316" s="297">
        <f t="shared" si="1252"/>
        <v>83</v>
      </c>
      <c r="K8316" s="297">
        <f>J8316/POBLA!$B$11*100000</f>
        <v>23.156673027776847</v>
      </c>
      <c r="L8316" s="549">
        <f t="shared" si="1249"/>
        <v>9.9224806201550386E-2</v>
      </c>
      <c r="M8316" s="401">
        <f>SUM(C8316,C8292,C8268,C8244,C8220,C8196,C8172)/POBLA!$B$11*100000</f>
        <v>162.09671119443794</v>
      </c>
    </row>
    <row r="8317" spans="1:13" s="360" customFormat="1" x14ac:dyDescent="0.25">
      <c r="A8317" s="361" t="s">
        <v>21</v>
      </c>
      <c r="B8317" s="2">
        <v>44239</v>
      </c>
      <c r="C8317" s="1">
        <v>29</v>
      </c>
      <c r="D8317" s="39">
        <f t="shared" si="1239"/>
        <v>9784</v>
      </c>
      <c r="E8317" s="1"/>
      <c r="F8317" s="39">
        <f t="shared" si="1250"/>
        <v>415</v>
      </c>
      <c r="G8317" s="168">
        <f>SUM(C8317,C8293,C8269,C8245,C8221,C8197,C8173,C8149,C8125,C8101,C8077,C8053,C8029,C8005)/POBLA!$B$12*100000</f>
        <v>68.355478983866576</v>
      </c>
      <c r="H8317" s="256">
        <f t="shared" si="1248"/>
        <v>1.1069958847736625</v>
      </c>
      <c r="I8317" s="297">
        <f t="shared" si="1251"/>
        <v>75.669233936872871</v>
      </c>
      <c r="J8317" s="297">
        <f t="shared" si="1252"/>
        <v>23.142857142857142</v>
      </c>
      <c r="K8317" s="297">
        <f>J8317/POBLA!$B$12*100000</f>
        <v>5.880821877528617</v>
      </c>
      <c r="L8317" s="549">
        <f t="shared" si="1249"/>
        <v>-0.51401869158878499</v>
      </c>
      <c r="M8317" s="401">
        <f>SUM(C8317,C8293,C8269,C8245,C8221,C8197,C8173)/POBLA!$B$12*100000</f>
        <v>41.165753142700318</v>
      </c>
    </row>
    <row r="8318" spans="1:13" s="360" customFormat="1" x14ac:dyDescent="0.25">
      <c r="A8318" s="361" t="s">
        <v>17</v>
      </c>
      <c r="B8318" s="2">
        <v>44239</v>
      </c>
      <c r="C8318" s="1">
        <v>144</v>
      </c>
      <c r="D8318" s="39">
        <f t="shared" si="1239"/>
        <v>65519</v>
      </c>
      <c r="E8318" s="1">
        <v>2</v>
      </c>
      <c r="F8318" s="39">
        <f t="shared" si="1250"/>
        <v>1413</v>
      </c>
      <c r="G8318" s="168">
        <f>SUM(C8318,C8294,C8270,C8246,C8222,C8198,C8174,C8150,C8126,C8102,C8078,C8054,C8030,C8006)/POBLA!$B$13*100000</f>
        <v>91.893939622315401</v>
      </c>
      <c r="H8318" s="256">
        <f t="shared" si="1248"/>
        <v>1.1071428571428572</v>
      </c>
      <c r="I8318" s="297">
        <f t="shared" si="1251"/>
        <v>101.73971886756348</v>
      </c>
      <c r="J8318" s="297">
        <f t="shared" si="1252"/>
        <v>135.71428571428572</v>
      </c>
      <c r="K8318" s="297">
        <f>J8318/POBLA!$B$13*100000</f>
        <v>6.8186552090291057</v>
      </c>
      <c r="L8318" s="549">
        <f t="shared" si="1249"/>
        <v>-8.0773606370875939E-2</v>
      </c>
      <c r="M8318" s="401">
        <f>SUM(C8318,C8294,C8270,C8246,C8222,C8198,C8174)/POBLA!$B$13*100000</f>
        <v>47.730586463203736</v>
      </c>
    </row>
    <row r="8319" spans="1:13" s="360" customFormat="1" x14ac:dyDescent="0.25">
      <c r="A8319" s="361" t="s">
        <v>23</v>
      </c>
      <c r="B8319" s="2">
        <v>44239</v>
      </c>
      <c r="C8319" s="1">
        <v>105</v>
      </c>
      <c r="D8319" s="39">
        <f t="shared" si="1239"/>
        <v>6520</v>
      </c>
      <c r="E8319" s="1">
        <v>2</v>
      </c>
      <c r="F8319" s="39">
        <f t="shared" si="1250"/>
        <v>117</v>
      </c>
      <c r="G8319" s="168">
        <f>SUM(C8319,C8295,C8271,C8247,C8223,C8199,C8175,C8151,C8127,C8103,C8079,C8055,C8031,C8007)/POBLA!$B$14*100000</f>
        <v>170.53914471962921</v>
      </c>
      <c r="H8319" s="256">
        <f t="shared" si="1248"/>
        <v>0.85936875749101083</v>
      </c>
      <c r="I8319" s="297">
        <f t="shared" si="1251"/>
        <v>146.55601290128743</v>
      </c>
      <c r="J8319" s="297">
        <f t="shared" si="1252"/>
        <v>112.71428571428571</v>
      </c>
      <c r="K8319" s="297">
        <f>J8319/POBLA!$B$14*100000</f>
        <v>8.9364006896318937</v>
      </c>
      <c r="L8319" s="549">
        <f t="shared" si="1249"/>
        <v>0.42070484581497802</v>
      </c>
      <c r="M8319" s="401">
        <f>SUM(C8319,C8295,C8271,C8247,C8223,C8199,C8175)/POBLA!$B$14*100000</f>
        <v>62.554804827423268</v>
      </c>
    </row>
    <row r="8320" spans="1:13" s="360" customFormat="1" x14ac:dyDescent="0.25">
      <c r="A8320" s="361" t="s">
        <v>19</v>
      </c>
      <c r="B8320" s="2">
        <v>44239</v>
      </c>
      <c r="C8320" s="1">
        <v>310</v>
      </c>
      <c r="D8320" s="39">
        <f t="shared" si="1239"/>
        <v>58248</v>
      </c>
      <c r="E8320" s="1">
        <v>8</v>
      </c>
      <c r="F8320" s="39">
        <f t="shared" si="1250"/>
        <v>824</v>
      </c>
      <c r="G8320" s="168">
        <f>SUM(C8320,C8296,C8272,C8248,C8224,C8200,C8176,C8152,C8128,C8104,C8080,C8056,C8032,C8008)/POBLA!$B$15*100000</f>
        <v>710.63176805605542</v>
      </c>
      <c r="H8320" s="256">
        <f t="shared" si="1248"/>
        <v>0.81124290871583293</v>
      </c>
      <c r="I8320" s="297">
        <f t="shared" si="1251"/>
        <v>576.49498254366949</v>
      </c>
      <c r="J8320" s="297">
        <f t="shared" si="1252"/>
        <v>293.57142857142856</v>
      </c>
      <c r="K8320" s="297">
        <f>J8320/POBLA!$B$15*100000</f>
        <v>44.208769513976748</v>
      </c>
      <c r="L8320" s="549">
        <f t="shared" si="1249"/>
        <v>0.22860360360360366</v>
      </c>
      <c r="M8320" s="401">
        <f>SUM(C8320,C8296,C8272,C8248,C8224,C8200,C8176)/POBLA!$B$15*100000</f>
        <v>309.46138659783725</v>
      </c>
    </row>
    <row r="8321" spans="1:13" s="360" customFormat="1" x14ac:dyDescent="0.25">
      <c r="A8321" s="361" t="s">
        <v>18</v>
      </c>
      <c r="B8321" s="2">
        <v>44239</v>
      </c>
      <c r="C8321" s="1">
        <v>155</v>
      </c>
      <c r="D8321" s="39">
        <f t="shared" si="1239"/>
        <v>50395</v>
      </c>
      <c r="E8321" s="1">
        <v>2</v>
      </c>
      <c r="F8321" s="39">
        <f t="shared" si="1250"/>
        <v>1113</v>
      </c>
      <c r="G8321" s="168">
        <f>SUM(C8321,C8297,C8273,C8249,C8225,C8201,C8177,C8153,C8129,C8105,C8081,C8057,C8033,C8009)/POBLA!$B$16*100000</f>
        <v>369.57772100426695</v>
      </c>
      <c r="H8321" s="256">
        <f t="shared" si="1248"/>
        <v>0.65458422174840081</v>
      </c>
      <c r="I8321" s="297">
        <f t="shared" si="1251"/>
        <v>241.91974487912569</v>
      </c>
      <c r="J8321" s="297">
        <f t="shared" si="1252"/>
        <v>173.28571428571428</v>
      </c>
      <c r="K8321" s="297">
        <f>J8321/POBLA!$B$16*100000</f>
        <v>23.178624454690851</v>
      </c>
      <c r="L8321" s="549">
        <f t="shared" si="1249"/>
        <v>0.21741935483870967</v>
      </c>
      <c r="M8321" s="401">
        <f>SUM(C8321,C8297,C8273,C8249,C8225,C8201,C8177)/POBLA!$B$16*100000</f>
        <v>162.25037118283598</v>
      </c>
    </row>
    <row r="8322" spans="1:13" s="360" customFormat="1" x14ac:dyDescent="0.25">
      <c r="A8322" s="361" t="s">
        <v>34</v>
      </c>
      <c r="B8322" s="2">
        <v>44239</v>
      </c>
      <c r="C8322" s="1">
        <v>91</v>
      </c>
      <c r="D8322" s="39">
        <f t="shared" si="1239"/>
        <v>24700</v>
      </c>
      <c r="E8322" s="1"/>
      <c r="F8322" s="39">
        <f t="shared" si="1250"/>
        <v>1059</v>
      </c>
      <c r="G8322" s="168">
        <f>SUM(C8322,C8298,C8274,C8250,C8226,C8202,C8178,C8154,C8130,C8106,C8082,C8058,C8034,C8010)/POBLA!$B$17*100000</f>
        <v>68.520222943463096</v>
      </c>
      <c r="H8322" s="256">
        <f t="shared" si="1248"/>
        <v>1.3100671140939597</v>
      </c>
      <c r="I8322" s="297">
        <f t="shared" si="1251"/>
        <v>89.766090728617428</v>
      </c>
      <c r="J8322" s="297">
        <f t="shared" si="1252"/>
        <v>77.571428571428569</v>
      </c>
      <c r="K8322" s="297">
        <f>J8322/POBLA!$B$17*100000</f>
        <v>5.4459135038495985</v>
      </c>
      <c r="L8322" s="549">
        <f t="shared" si="1249"/>
        <v>-0.25404157043879905</v>
      </c>
      <c r="M8322" s="401">
        <f>SUM(C8322,C8298,C8274,C8250,C8226,C8202,C8178)/POBLA!$B$17*100000</f>
        <v>38.121394526947192</v>
      </c>
    </row>
    <row r="8323" spans="1:13" s="360" customFormat="1" x14ac:dyDescent="0.25">
      <c r="A8323" s="361" t="s">
        <v>35</v>
      </c>
      <c r="B8323" s="2">
        <v>44239</v>
      </c>
      <c r="C8323" s="1">
        <v>61</v>
      </c>
      <c r="D8323" s="39">
        <f t="shared" ref="D8323:D8353" si="1253">C8323+D8299</f>
        <v>14598</v>
      </c>
      <c r="E8323" s="1"/>
      <c r="F8323" s="39">
        <f t="shared" si="1250"/>
        <v>203</v>
      </c>
      <c r="G8323" s="168">
        <f>SUM(C8323,C8299,C8275,C8251,C8227,C8203,C8179,C8155,C8131,C8107,C8083,C8059,C8035,C8011)/POBLA!$B$18*100000</f>
        <v>88.579741608285531</v>
      </c>
      <c r="H8323" s="256">
        <f t="shared" si="1248"/>
        <v>0.78815489749430523</v>
      </c>
      <c r="I8323" s="297">
        <f t="shared" si="1251"/>
        <v>69.81455716735033</v>
      </c>
      <c r="J8323" s="297">
        <f t="shared" si="1252"/>
        <v>47.142857142857146</v>
      </c>
      <c r="K8323" s="297">
        <f>J8323/POBLA!$B$18*100000</f>
        <v>6.0345406132812194</v>
      </c>
      <c r="L8323" s="549">
        <f t="shared" si="1249"/>
        <v>8.8397790055248615E-2</v>
      </c>
      <c r="M8323" s="401">
        <f>SUM(C8323,C8299,C8275,C8251,C8227,C8203,C8179)/POBLA!$B$18*100000</f>
        <v>42.241784292968532</v>
      </c>
    </row>
    <row r="8324" spans="1:13" s="360" customFormat="1" x14ac:dyDescent="0.25">
      <c r="A8324" s="361" t="s">
        <v>36</v>
      </c>
      <c r="B8324" s="2">
        <v>44239</v>
      </c>
      <c r="C8324" s="1">
        <v>10</v>
      </c>
      <c r="D8324" s="39">
        <f t="shared" si="1253"/>
        <v>19155</v>
      </c>
      <c r="E8324" s="1">
        <v>1</v>
      </c>
      <c r="F8324" s="39">
        <f t="shared" si="1250"/>
        <v>345</v>
      </c>
      <c r="G8324" s="168">
        <f>SUM(C8324,C8300,C8276,C8252,C8228,C8204,C8180,C8156,C8132,C8108,C8084,C8060,C8036,C8012)/POBLA!$B$19*100000</f>
        <v>38.164334838922898</v>
      </c>
      <c r="H8324" s="256">
        <f t="shared" si="1248"/>
        <v>8.9483394833948335E-2</v>
      </c>
      <c r="I8324" s="297">
        <f t="shared" si="1251"/>
        <v>3.4150742429663477</v>
      </c>
      <c r="J8324" s="297">
        <f t="shared" si="1252"/>
        <v>7.5714285714285712</v>
      </c>
      <c r="K8324" s="297">
        <f>J8324/POBLA!$B$19*100000</f>
        <v>1.4894769856133385</v>
      </c>
      <c r="L8324" s="549">
        <f t="shared" si="1249"/>
        <v>0.62411347517730498</v>
      </c>
      <c r="M8324" s="401">
        <f>SUM(C8324,C8300,C8276,C8252,C8228,C8204,C8180)/POBLA!$B$19*100000</f>
        <v>10.42633889929337</v>
      </c>
    </row>
    <row r="8325" spans="1:13" s="360" customFormat="1" x14ac:dyDescent="0.25">
      <c r="A8325" s="361" t="s">
        <v>37</v>
      </c>
      <c r="B8325" s="2">
        <v>44239</v>
      </c>
      <c r="C8325" s="1">
        <v>121</v>
      </c>
      <c r="D8325" s="39">
        <f t="shared" si="1253"/>
        <v>34412</v>
      </c>
      <c r="E8325" s="1">
        <v>9</v>
      </c>
      <c r="F8325" s="39">
        <f t="shared" si="1250"/>
        <v>535</v>
      </c>
      <c r="G8325" s="168">
        <f>SUM(C8325,C8301,C8277,C8253,C8229,C8205,C8181,C8157,C8133,C8109,C8085,C8061,C8037,C8013)/POBLA!$B$20*100000</f>
        <v>576.43191923390339</v>
      </c>
      <c r="H8325" s="256">
        <f t="shared" si="1248"/>
        <v>0.61368267831149925</v>
      </c>
      <c r="I8325" s="297">
        <f t="shared" si="1251"/>
        <v>353.74628405969963</v>
      </c>
      <c r="J8325" s="297">
        <f t="shared" si="1252"/>
        <v>112.71428571428571</v>
      </c>
      <c r="K8325" s="297">
        <f>J8325/POBLA!$B$20*100000</f>
        <v>30.821685028161411</v>
      </c>
      <c r="L8325" s="549">
        <f t="shared" si="1249"/>
        <v>0.40181956027293408</v>
      </c>
      <c r="M8325" s="401">
        <f>SUM(C8325,C8301,C8277,C8253,C8229,C8205,C8181)/POBLA!$B$20*100000</f>
        <v>215.75179519712987</v>
      </c>
    </row>
    <row r="8326" spans="1:13" s="360" customFormat="1" x14ac:dyDescent="0.25">
      <c r="A8326" s="361" t="s">
        <v>22</v>
      </c>
      <c r="B8326" s="2">
        <v>44239</v>
      </c>
      <c r="C8326" s="1">
        <v>330</v>
      </c>
      <c r="D8326" s="39">
        <f t="shared" si="1253"/>
        <v>211300</v>
      </c>
      <c r="E8326" s="1">
        <v>23</v>
      </c>
      <c r="F8326" s="39">
        <f t="shared" si="1250"/>
        <v>3806</v>
      </c>
      <c r="G8326" s="168">
        <f>SUM(C8326,C8302,C8278,C8254,C8230,C8206,C8182,C8158,C8134,C8110,C8086,C8062,C8038,C8014)/POBLA!$B$21*100000</f>
        <v>175.48830483274318</v>
      </c>
      <c r="H8326" s="256">
        <f t="shared" si="1248"/>
        <v>0.5274968125796855</v>
      </c>
      <c r="I8326" s="297">
        <f t="shared" si="1251"/>
        <v>92.569521444284248</v>
      </c>
      <c r="J8326" s="297">
        <f t="shared" si="1252"/>
        <v>383.28571428571428</v>
      </c>
      <c r="K8326" s="297">
        <f>J8326/POBLA!$B$21*100000</f>
        <v>10.838246900839049</v>
      </c>
      <c r="L8326" s="549">
        <f t="shared" si="1249"/>
        <v>0.23843315356230488</v>
      </c>
      <c r="M8326" s="401">
        <f>SUM(C8326,C8302,C8278,C8254,C8230,C8206,C8182)/POBLA!$B$21*100000</f>
        <v>75.867728305873342</v>
      </c>
    </row>
    <row r="8327" spans="1:13" s="360" customFormat="1" x14ac:dyDescent="0.25">
      <c r="A8327" s="361" t="s">
        <v>38</v>
      </c>
      <c r="B8327" s="2">
        <v>44239</v>
      </c>
      <c r="C8327" s="1">
        <v>52</v>
      </c>
      <c r="D8327" s="39">
        <f t="shared" si="1253"/>
        <v>21774</v>
      </c>
      <c r="E8327" s="1">
        <v>1</v>
      </c>
      <c r="F8327" s="39">
        <f t="shared" si="1250"/>
        <v>257</v>
      </c>
      <c r="G8327" s="168">
        <f>SUM(C8327,C8303,C8279,C8255,C8231,C8207,C8183,C8159,C8135,C8111,C8087,C8063,C8039,C8015)/POBLA!$B$22*100000</f>
        <v>112.84731982504577</v>
      </c>
      <c r="H8327" s="256">
        <f t="shared" si="1248"/>
        <v>0.83132530120481929</v>
      </c>
      <c r="I8327" s="297">
        <f t="shared" si="1251"/>
        <v>93.812832143712754</v>
      </c>
      <c r="J8327" s="297">
        <f t="shared" si="1252"/>
        <v>70.714285714285708</v>
      </c>
      <c r="K8327" s="297">
        <f>J8327/POBLA!$B$22*100000</f>
        <v>7.2281862465576667</v>
      </c>
      <c r="L8327" s="549">
        <f t="shared" si="1249"/>
        <v>0.18719211822660098</v>
      </c>
      <c r="M8327" s="401">
        <f>SUM(C8327,C8303,C8279,C8255,C8231,C8207,C8183)/POBLA!$B$22*100000</f>
        <v>50.597303725903672</v>
      </c>
    </row>
    <row r="8328" spans="1:13" s="360" customFormat="1" x14ac:dyDescent="0.25">
      <c r="A8328" s="361" t="s">
        <v>39</v>
      </c>
      <c r="B8328" s="2">
        <v>44239</v>
      </c>
      <c r="C8328" s="1">
        <v>47</v>
      </c>
      <c r="D8328" s="39">
        <f t="shared" si="1253"/>
        <v>22413</v>
      </c>
      <c r="E8328" s="1">
        <v>1</v>
      </c>
      <c r="F8328" s="39">
        <f t="shared" si="1250"/>
        <v>344</v>
      </c>
      <c r="G8328" s="168">
        <f>SUM(C8328,C8304,C8280,C8256,C8232,C8208,C8184,C8160,C8136,C8112,C8088,C8064,C8040,C8016)/POBLA!$B$23*100000</f>
        <v>369.28123056042529</v>
      </c>
      <c r="H8328" s="256">
        <f t="shared" si="1248"/>
        <v>0.59417652411282984</v>
      </c>
      <c r="I8328" s="297">
        <f t="shared" si="1251"/>
        <v>219.41823799450202</v>
      </c>
      <c r="J8328" s="297">
        <f t="shared" si="1252"/>
        <v>52.571428571428569</v>
      </c>
      <c r="K8328" s="297">
        <f>J8328/POBLA!$B$23*100000</f>
        <v>29.729926240699299</v>
      </c>
      <c r="L8328" s="549">
        <f t="shared" si="1249"/>
        <v>-0.29122807017543861</v>
      </c>
      <c r="M8328" s="401">
        <f>SUM(C8328,C8304,C8280,C8256,C8232,C8208,C8184)/POBLA!$B$23*100000</f>
        <v>208.10948368489511</v>
      </c>
    </row>
    <row r="8329" spans="1:13" s="360" customFormat="1" ht="15.75" thickBot="1" x14ac:dyDescent="0.3">
      <c r="A8329" s="361" t="s">
        <v>40</v>
      </c>
      <c r="B8329" s="2">
        <v>44239</v>
      </c>
      <c r="C8329" s="1">
        <v>199</v>
      </c>
      <c r="D8329" s="176">
        <f t="shared" si="1253"/>
        <v>77941</v>
      </c>
      <c r="E8329" s="1">
        <v>1</v>
      </c>
      <c r="F8329" s="176">
        <f t="shared" si="1250"/>
        <v>1453</v>
      </c>
      <c r="G8329" s="177">
        <f>SUM(C8329,C8305,C8281,C8257,C8233,C8209,C8185,C8161,C8137,C8113,C8089,C8065,C8041,C8017)/POBLA!$B$24*100000</f>
        <v>98.72210053249745</v>
      </c>
      <c r="H8329" s="402">
        <f t="shared" si="1248"/>
        <v>0.77132319041032738</v>
      </c>
      <c r="I8329" s="403">
        <f t="shared" si="1251"/>
        <v>76.146645546735016</v>
      </c>
      <c r="J8329" s="403">
        <f t="shared" si="1252"/>
        <v>112.71428571428571</v>
      </c>
      <c r="K8329" s="403">
        <f>J8329/POBLA!$B$24*100000</f>
        <v>6.6511602186098964</v>
      </c>
      <c r="L8329" s="550">
        <f t="shared" si="1249"/>
        <v>0.10746606334841624</v>
      </c>
      <c r="M8329" s="405">
        <f>SUM(C8329,C8305,C8281,C8257,C8233,C8209,C8185)/POBLA!$B$24*100000</f>
        <v>46.558121530269268</v>
      </c>
    </row>
    <row r="8330" spans="1:13" s="360" customFormat="1" x14ac:dyDescent="0.25">
      <c r="A8330" s="361" t="s">
        <v>16</v>
      </c>
      <c r="B8330" s="2">
        <v>44240</v>
      </c>
      <c r="C8330" s="1">
        <v>2448</v>
      </c>
      <c r="D8330" s="174">
        <f t="shared" si="1253"/>
        <v>844009</v>
      </c>
      <c r="E8330" s="1">
        <v>54</v>
      </c>
      <c r="F8330" s="174">
        <f>E8330+F8306</f>
        <v>25465</v>
      </c>
      <c r="G8330" s="175">
        <f>SUM(C8330,C8306,C8282,C8258,C8234,C8210,C8186,C8162,C8138,C8114,C8090,C8066,C8042,C8018)/POBLA!$B$1*100000</f>
        <v>238.79860494821861</v>
      </c>
      <c r="H8330" s="300">
        <f t="shared" ref="H8330:H8353" si="1254">SUM(C8330,C8306,C8282,C8258,C8234,C8210,C8186,C8162,C8138,C8114,C8090,C8066,C8042,C8018)/SUM(C7994,C7970,C7946,C7922,C7898,C7874,C7850,C7826,C7802,C7778,C7754,C7730,C7706,C7682)</f>
        <v>0.7864666453878072</v>
      </c>
      <c r="I8330" s="301">
        <f>G8330*H8330</f>
        <v>187.8071377569137</v>
      </c>
      <c r="J8330" s="301">
        <f>AVERAGE(C8330,C8306,C8282,C8258,C8234,C8210,C8186)</f>
        <v>2718</v>
      </c>
      <c r="K8330" s="301">
        <f>J8330/POBLA!$B$1*100000</f>
        <v>15.495001151863494</v>
      </c>
      <c r="L8330" s="548">
        <f t="shared" ref="L8330:L8353" si="1255">1-SUM(C8330,C8306,C8282,C8258,C8234,C8210,C8186)/SUM(C8162,C8138,C8114,C8090,C8066,C8042,C8018)</f>
        <v>0.16778934476423757</v>
      </c>
      <c r="M8330" s="400">
        <f>SUM(C8330,C8306,C8282,C8258,C8234,C8210,C8186)/POBLA!$B$1*100000</f>
        <v>108.46500806304448</v>
      </c>
    </row>
    <row r="8331" spans="1:13" s="360" customFormat="1" x14ac:dyDescent="0.25">
      <c r="A8331" s="361" t="s">
        <v>43</v>
      </c>
      <c r="B8331" s="2">
        <v>44240</v>
      </c>
      <c r="C8331" s="1">
        <v>541</v>
      </c>
      <c r="D8331" s="39">
        <f t="shared" si="1253"/>
        <v>221786</v>
      </c>
      <c r="E8331" s="1">
        <v>35</v>
      </c>
      <c r="F8331" s="39">
        <f t="shared" ref="F8331:F8353" si="1256">E8331+F8307</f>
        <v>6287</v>
      </c>
      <c r="G8331" s="168">
        <f>SUM(C8331,C8307,C8283,C8259,C8235,C8211,C8187,C8163,C8139,C8115,C8091,C8067,C8043,C8019)/POBLA!$B$2*100000</f>
        <v>399.75341765599813</v>
      </c>
      <c r="H8331" s="256">
        <f t="shared" si="1254"/>
        <v>0.77036340852130325</v>
      </c>
      <c r="I8331" s="297">
        <f t="shared" ref="I8331:I8353" si="1257">G8331*H8331</f>
        <v>307.95540539351487</v>
      </c>
      <c r="J8331" s="297">
        <f t="shared" ref="J8331:J8353" si="1258">AVERAGE(C8331,C8307,C8283,C8259,C8235,C8211,C8187)</f>
        <v>756.57142857142856</v>
      </c>
      <c r="K8331" s="297">
        <f>J8331/POBLA!$B$2*100000</f>
        <v>24.598781152688851</v>
      </c>
      <c r="L8331" s="549">
        <f t="shared" si="1255"/>
        <v>0.24332047435347903</v>
      </c>
      <c r="M8331" s="401">
        <f>SUM(C8331,C8307,C8283,C8259,C8235,C8211,C8187)/POBLA!$B$2*100000</f>
        <v>172.19146806882196</v>
      </c>
    </row>
    <row r="8332" spans="1:13" s="360" customFormat="1" x14ac:dyDescent="0.25">
      <c r="A8332" s="361" t="s">
        <v>28</v>
      </c>
      <c r="B8332" s="2">
        <v>44240</v>
      </c>
      <c r="C8332" s="1">
        <v>78</v>
      </c>
      <c r="D8332" s="39">
        <f t="shared" si="1253"/>
        <v>6761</v>
      </c>
      <c r="E8332" s="1"/>
      <c r="F8332" s="39">
        <f t="shared" si="1256"/>
        <v>17</v>
      </c>
      <c r="G8332" s="168">
        <f>SUM(C8332,C8308,C8284,C8260,C8236,C8212,C8188,C8164,C8140,C8116,C8092,C8068,C8044,C8020)/POBLA!$B$3*100000</f>
        <v>365.87890371126377</v>
      </c>
      <c r="H8332" s="256">
        <f t="shared" si="1254"/>
        <v>1.2914188615123194</v>
      </c>
      <c r="I8332" s="297">
        <f t="shared" si="1257"/>
        <v>472.50291728217582</v>
      </c>
      <c r="J8332" s="297">
        <f t="shared" si="1258"/>
        <v>90.428571428571431</v>
      </c>
      <c r="K8332" s="297">
        <f>J8332/POBLA!$B$3*100000</f>
        <v>21.767043801619359</v>
      </c>
      <c r="L8332" s="549">
        <f t="shared" si="1255"/>
        <v>0.28635851183765504</v>
      </c>
      <c r="M8332" s="401">
        <f>SUM(C8332,C8308,C8284,C8260,C8236,C8212,C8188)/POBLA!$B$3*100000</f>
        <v>152.3693066113355</v>
      </c>
    </row>
    <row r="8333" spans="1:13" s="360" customFormat="1" x14ac:dyDescent="0.25">
      <c r="A8333" s="361" t="s">
        <v>15</v>
      </c>
      <c r="B8333" s="2">
        <v>44240</v>
      </c>
      <c r="C8333" s="1">
        <v>75</v>
      </c>
      <c r="D8333" s="39">
        <f t="shared" si="1253"/>
        <v>32366</v>
      </c>
      <c r="E8333" s="1">
        <v>1</v>
      </c>
      <c r="F8333" s="39">
        <f t="shared" si="1256"/>
        <v>832</v>
      </c>
      <c r="G8333" s="168">
        <f>SUM(C8333,C8309,C8285,C8261,C8237,C8213,C8189,C8165,C8141,C8117,C8093,C8069,C8045,C8021)/POBLA!$B$4*100000</f>
        <v>140.96655904614289</v>
      </c>
      <c r="H8333" s="256">
        <f t="shared" si="1254"/>
        <v>0.72875536480686698</v>
      </c>
      <c r="I8333" s="297">
        <f t="shared" si="1257"/>
        <v>102.73013616324062</v>
      </c>
      <c r="J8333" s="297">
        <f t="shared" si="1258"/>
        <v>115</v>
      </c>
      <c r="K8333" s="297">
        <f>J8333/POBLA!$B$4*100000</f>
        <v>9.5472051179660973</v>
      </c>
      <c r="L8333" s="549">
        <f t="shared" si="1255"/>
        <v>9.85442329227324E-2</v>
      </c>
      <c r="M8333" s="401">
        <f>SUM(C8333,C8309,C8285,C8261,C8237,C8213,C8189)/POBLA!$B$4*100000</f>
        <v>66.830435825762677</v>
      </c>
    </row>
    <row r="8334" spans="1:13" s="360" customFormat="1" x14ac:dyDescent="0.25">
      <c r="A8334" s="361" t="s">
        <v>29</v>
      </c>
      <c r="B8334" s="2">
        <v>44240</v>
      </c>
      <c r="C8334" s="1">
        <v>112</v>
      </c>
      <c r="D8334" s="39">
        <f t="shared" si="1253"/>
        <v>45149</v>
      </c>
      <c r="E8334" s="1">
        <v>3</v>
      </c>
      <c r="F8334" s="39">
        <f t="shared" si="1256"/>
        <v>687</v>
      </c>
      <c r="G8334" s="168">
        <f>SUM(C8334,C8310,C8286,C8262,C8238,C8214,C8190,C8166,C8142,C8118,C8094,C8070,C8046,C8022)/POBLA!$B$5*100000</f>
        <v>473.83334895007062</v>
      </c>
      <c r="H8334" s="256">
        <f t="shared" si="1254"/>
        <v>0.71034148704286748</v>
      </c>
      <c r="I8334" s="297">
        <f t="shared" si="1257"/>
        <v>336.58348570369509</v>
      </c>
      <c r="J8334" s="297">
        <f t="shared" si="1258"/>
        <v>185.57142857142858</v>
      </c>
      <c r="K8334" s="297">
        <f>J8334/POBLA!$B$5*100000</f>
        <v>29.979519764558074</v>
      </c>
      <c r="L8334" s="549">
        <f t="shared" si="1255"/>
        <v>0.20501835985312122</v>
      </c>
      <c r="M8334" s="401">
        <f>SUM(C8334,C8310,C8286,C8262,C8238,C8214,C8190)/POBLA!$B$5*100000</f>
        <v>209.85663835190647</v>
      </c>
    </row>
    <row r="8335" spans="1:13" s="360" customFormat="1" x14ac:dyDescent="0.25">
      <c r="A8335" s="361" t="s">
        <v>30</v>
      </c>
      <c r="B8335" s="2">
        <v>44240</v>
      </c>
      <c r="C8335" s="1">
        <v>53</v>
      </c>
      <c r="D8335" s="39">
        <f t="shared" si="1253"/>
        <v>19261</v>
      </c>
      <c r="E8335" s="1">
        <v>36</v>
      </c>
      <c r="F8335" s="39">
        <f t="shared" si="1256"/>
        <v>256</v>
      </c>
      <c r="G8335" s="168">
        <f>SUM(C8335,C8311,C8287,C8263,C8239,C8215,C8191,C8167,C8143,C8119,C8095,C8071,C8047,C8023)/POBLA!$B$6*100000</f>
        <v>172.10905414966618</v>
      </c>
      <c r="H8335" s="256">
        <f t="shared" si="1254"/>
        <v>0.8764198091776465</v>
      </c>
      <c r="I8335" s="297">
        <f t="shared" si="1257"/>
        <v>150.83978439559567</v>
      </c>
      <c r="J8335" s="297">
        <f t="shared" si="1258"/>
        <v>77.428571428571431</v>
      </c>
      <c r="K8335" s="297">
        <f>J8335/POBLA!$B$6*100000</f>
        <v>6.9083246203894744</v>
      </c>
      <c r="L8335" s="549">
        <f t="shared" si="1255"/>
        <v>0.60922855082912764</v>
      </c>
      <c r="M8335" s="401">
        <f>SUM(C8335,C8311,C8287,C8263,C8239,C8215,C8191)/POBLA!$B$6*100000</f>
        <v>48.358272342726316</v>
      </c>
    </row>
    <row r="8336" spans="1:13" s="360" customFormat="1" x14ac:dyDescent="0.25">
      <c r="A8336" s="361" t="s">
        <v>20</v>
      </c>
      <c r="B8336" s="2">
        <v>44240</v>
      </c>
      <c r="C8336" s="1">
        <v>554</v>
      </c>
      <c r="D8336" s="39">
        <f t="shared" si="1253"/>
        <v>151767</v>
      </c>
      <c r="E8336" s="1">
        <v>2</v>
      </c>
      <c r="F8336" s="39">
        <f t="shared" si="1256"/>
        <v>2772</v>
      </c>
      <c r="G8336" s="168">
        <f>SUM(C8336,C8312,C8288,C8264,C8240,C8216,C8192,C8168,C8144,C8120,C8096,C8072,C8048,C8024)/POBLA!$B$7*100000</f>
        <v>188.03600632902976</v>
      </c>
      <c r="H8336" s="256">
        <f t="shared" si="1254"/>
        <v>0.99339702163529087</v>
      </c>
      <c r="I8336" s="297">
        <f t="shared" si="1257"/>
        <v>186.79440864745285</v>
      </c>
      <c r="J8336" s="297">
        <f t="shared" si="1258"/>
        <v>531.57142857142856</v>
      </c>
      <c r="K8336" s="297">
        <f>J8336/POBLA!$B$7*100000</f>
        <v>14.13584620381679</v>
      </c>
      <c r="L8336" s="549">
        <f t="shared" si="1255"/>
        <v>-0.11074626865671644</v>
      </c>
      <c r="M8336" s="401">
        <f>SUM(C8336,C8312,C8288,C8264,C8240,C8216,C8192)/POBLA!$B$7*100000</f>
        <v>98.950923426717551</v>
      </c>
    </row>
    <row r="8337" spans="1:13" x14ac:dyDescent="0.25">
      <c r="A8337" s="361" t="s">
        <v>31</v>
      </c>
      <c r="B8337" s="2">
        <v>44240</v>
      </c>
      <c r="C8337" s="1">
        <v>110</v>
      </c>
      <c r="D8337" s="39">
        <f t="shared" si="1253"/>
        <v>43431</v>
      </c>
      <c r="E8337" s="1">
        <v>2</v>
      </c>
      <c r="F8337" s="39">
        <f t="shared" si="1256"/>
        <v>791</v>
      </c>
      <c r="G8337" s="168">
        <f>SUM(C8337,C8313,C8289,C8265,C8241,C8217,C8193,C8169,C8145,C8121,C8097,C8073,C8049,C8025)/POBLA!$B$8*100000</f>
        <v>185.35875107596823</v>
      </c>
      <c r="H8337" s="256">
        <f t="shared" si="1254"/>
        <v>0.54822876653862573</v>
      </c>
      <c r="I8337" s="297">
        <f t="shared" si="1257"/>
        <v>101.61899946951823</v>
      </c>
      <c r="J8337" s="297">
        <f t="shared" si="1258"/>
        <v>144.85714285714286</v>
      </c>
      <c r="K8337" s="297">
        <f>J8337/POBLA!$B$8*100000</f>
        <v>10.45174740538463</v>
      </c>
      <c r="L8337" s="549">
        <f t="shared" si="1255"/>
        <v>0.3479099678456592</v>
      </c>
      <c r="M8337" s="401">
        <f>SUM(C8337,C8313,C8289,C8265,C8241,C8217,C8193)/POBLA!$B$8*100000</f>
        <v>73.162231837692403</v>
      </c>
    </row>
    <row r="8338" spans="1:13" s="360" customFormat="1" x14ac:dyDescent="0.25">
      <c r="A8338" s="361" t="s">
        <v>41</v>
      </c>
      <c r="B8338" s="2">
        <v>44240</v>
      </c>
      <c r="C8338" s="1">
        <v>21</v>
      </c>
      <c r="D8338" s="39">
        <f t="shared" si="1253"/>
        <v>958</v>
      </c>
      <c r="E8338" s="1"/>
      <c r="F8338" s="39">
        <f t="shared" si="1256"/>
        <v>9</v>
      </c>
      <c r="G8338" s="168">
        <f>SUM(C8338,C8314,C8290,C8266,C8242,C8218,C8194,C8170,C8146,C8122,C8098,C8074,C8050,C8026)/POBLA!$B$9*100000</f>
        <v>19.002202603136521</v>
      </c>
      <c r="H8338" s="256">
        <f t="shared" si="1254"/>
        <v>0.44921875</v>
      </c>
      <c r="I8338" s="297">
        <f t="shared" si="1257"/>
        <v>8.5361457006277348</v>
      </c>
      <c r="J8338" s="297">
        <f t="shared" si="1258"/>
        <v>12.857142857142858</v>
      </c>
      <c r="K8338" s="297">
        <f>J8338/POBLA!$B$9*100000</f>
        <v>2.124469856251288</v>
      </c>
      <c r="L8338" s="549">
        <f t="shared" si="1255"/>
        <v>-2.6</v>
      </c>
      <c r="M8338" s="401">
        <f>SUM(C8338,C8314,C8290,C8266,C8242,C8218,C8194)/POBLA!$B$9*100000</f>
        <v>14.871288993759016</v>
      </c>
    </row>
    <row r="8339" spans="1:13" s="360" customFormat="1" x14ac:dyDescent="0.25">
      <c r="A8339" s="361" t="s">
        <v>32</v>
      </c>
      <c r="B8339" s="2">
        <v>44240</v>
      </c>
      <c r="C8339" s="1">
        <v>25</v>
      </c>
      <c r="D8339" s="39">
        <f t="shared" si="1253"/>
        <v>19720</v>
      </c>
      <c r="E8339" s="1">
        <v>1</v>
      </c>
      <c r="F8339" s="39">
        <f t="shared" si="1256"/>
        <v>890</v>
      </c>
      <c r="G8339" s="168">
        <f>SUM(C8339,C8315,C8291,C8267,C8243,C8219,C8195,C8171,C8147,C8123,C8099,C8075,C8051,C8027)/POBLA!$B$10*100000</f>
        <v>55.52089103246805</v>
      </c>
      <c r="H8339" s="256">
        <f t="shared" si="1254"/>
        <v>0.8716904276985743</v>
      </c>
      <c r="I8339" s="297">
        <f t="shared" si="1257"/>
        <v>48.397029250298012</v>
      </c>
      <c r="J8339" s="297">
        <f t="shared" si="1258"/>
        <v>31</v>
      </c>
      <c r="K8339" s="297">
        <f>J8339/POBLA!$B$10*100000</f>
        <v>4.0213729486133394</v>
      </c>
      <c r="L8339" s="549">
        <f t="shared" si="1255"/>
        <v>-2.8436018957346043E-2</v>
      </c>
      <c r="M8339" s="401">
        <f>SUM(C8339,C8315,C8291,C8267,C8243,C8219,C8195)/POBLA!$B$10*100000</f>
        <v>28.149610640293378</v>
      </c>
    </row>
    <row r="8340" spans="1:13" s="360" customFormat="1" x14ac:dyDescent="0.25">
      <c r="A8340" s="361" t="s">
        <v>33</v>
      </c>
      <c r="B8340" s="2">
        <v>44240</v>
      </c>
      <c r="C8340" s="1">
        <v>122</v>
      </c>
      <c r="D8340" s="39">
        <f t="shared" si="1253"/>
        <v>17668</v>
      </c>
      <c r="E8340" s="1"/>
      <c r="F8340" s="39">
        <f t="shared" si="1256"/>
        <v>268</v>
      </c>
      <c r="G8340" s="168">
        <f>SUM(C8340,C8316,C8292,C8268,C8244,C8220,C8196,C8172,C8148,C8124,C8100,C8076,C8052,C8028)/POBLA!$B$11*100000</f>
        <v>356.55696541564834</v>
      </c>
      <c r="H8340" s="256">
        <f t="shared" si="1254"/>
        <v>0.82664941785252266</v>
      </c>
      <c r="I8340" s="297">
        <f t="shared" si="1257"/>
        <v>294.74760789210774</v>
      </c>
      <c r="J8340" s="297">
        <f t="shared" si="1258"/>
        <v>91.142857142857139</v>
      </c>
      <c r="K8340" s="297">
        <f>J8340/POBLA!$B$11*100000</f>
        <v>25.428498092464075</v>
      </c>
      <c r="L8340" s="549">
        <f t="shared" si="1255"/>
        <v>3.1250000000000444E-3</v>
      </c>
      <c r="M8340" s="401">
        <f>SUM(C8340,C8316,C8292,C8268,C8244,C8220,C8196)/POBLA!$B$11*100000</f>
        <v>177.99948664724855</v>
      </c>
    </row>
    <row r="8341" spans="1:13" s="360" customFormat="1" x14ac:dyDescent="0.25">
      <c r="A8341" s="361" t="s">
        <v>21</v>
      </c>
      <c r="B8341" s="2">
        <v>44240</v>
      </c>
      <c r="C8341" s="1">
        <v>32</v>
      </c>
      <c r="D8341" s="39">
        <f t="shared" si="1253"/>
        <v>9816</v>
      </c>
      <c r="E8341" s="1"/>
      <c r="F8341" s="39">
        <f t="shared" si="1256"/>
        <v>415</v>
      </c>
      <c r="G8341" s="168">
        <f>SUM(C8341,C8317,C8293,C8269,C8245,C8221,C8197,C8173,C8149,C8125,C8101,C8077,C8053,C8029)/POBLA!$B$12*100000</f>
        <v>72.167122793375867</v>
      </c>
      <c r="H8341" s="256">
        <f t="shared" si="1254"/>
        <v>1.1451612903225807</v>
      </c>
      <c r="I8341" s="297">
        <f t="shared" si="1257"/>
        <v>82.642995456930436</v>
      </c>
      <c r="J8341" s="297">
        <f t="shared" si="1258"/>
        <v>23.285714285714285</v>
      </c>
      <c r="K8341" s="297">
        <f>J8341/POBLA!$B$12*100000</f>
        <v>5.9171232471429906</v>
      </c>
      <c r="L8341" s="549">
        <f t="shared" si="1255"/>
        <v>-0.34710743801652888</v>
      </c>
      <c r="M8341" s="401">
        <f>SUM(C8341,C8317,C8293,C8269,C8245,C8221,C8197)/POBLA!$B$12*100000</f>
        <v>41.419862730000943</v>
      </c>
    </row>
    <row r="8342" spans="1:13" s="360" customFormat="1" x14ac:dyDescent="0.25">
      <c r="A8342" s="361" t="s">
        <v>17</v>
      </c>
      <c r="B8342" s="2">
        <v>44240</v>
      </c>
      <c r="C8342" s="1">
        <v>101</v>
      </c>
      <c r="D8342" s="39">
        <f t="shared" si="1253"/>
        <v>65620</v>
      </c>
      <c r="E8342" s="1"/>
      <c r="F8342" s="39">
        <f t="shared" si="1256"/>
        <v>1413</v>
      </c>
      <c r="G8342" s="168">
        <f>SUM(C8342,C8318,C8294,C8270,C8246,C8222,C8198,C8174,C8150,C8126,C8102,C8078,C8054,C8030)/POBLA!$B$13*100000</f>
        <v>93.049522241950868</v>
      </c>
      <c r="H8342" s="256">
        <f t="shared" si="1254"/>
        <v>1.161128526645768</v>
      </c>
      <c r="I8342" s="297">
        <f t="shared" si="1257"/>
        <v>108.04245466588904</v>
      </c>
      <c r="J8342" s="297">
        <f t="shared" si="1258"/>
        <v>132.85714285714286</v>
      </c>
      <c r="K8342" s="297">
        <f>J8342/POBLA!$B$13*100000</f>
        <v>6.6751045730495449</v>
      </c>
      <c r="L8342" s="549">
        <f t="shared" si="1255"/>
        <v>-8.6767895878525625E-3</v>
      </c>
      <c r="M8342" s="401">
        <f>SUM(C8342,C8318,C8294,C8270,C8246,C8222,C8198)/POBLA!$B$13*100000</f>
        <v>46.725732011346821</v>
      </c>
    </row>
    <row r="8343" spans="1:13" s="360" customFormat="1" x14ac:dyDescent="0.25">
      <c r="A8343" s="361" t="s">
        <v>23</v>
      </c>
      <c r="B8343" s="2">
        <v>44240</v>
      </c>
      <c r="C8343" s="1">
        <v>99</v>
      </c>
      <c r="D8343" s="39">
        <f t="shared" si="1253"/>
        <v>6619</v>
      </c>
      <c r="E8343" s="1">
        <v>2</v>
      </c>
      <c r="F8343" s="39">
        <f t="shared" si="1256"/>
        <v>119</v>
      </c>
      <c r="G8343" s="168">
        <f>SUM(C8343,C8319,C8295,C8271,C8247,C8223,C8199,C8175,C8151,C8127,C8103,C8079,C8055,C8031)/POBLA!$B$14*100000</f>
        <v>161.8972261820004</v>
      </c>
      <c r="H8343" s="256">
        <f t="shared" si="1254"/>
        <v>0.79548110634982472</v>
      </c>
      <c r="I8343" s="297">
        <f t="shared" si="1257"/>
        <v>128.78618459822547</v>
      </c>
      <c r="J8343" s="297">
        <f t="shared" si="1258"/>
        <v>108.71428571428571</v>
      </c>
      <c r="K8343" s="297">
        <f>J8343/POBLA!$B$14*100000</f>
        <v>8.6192660643978094</v>
      </c>
      <c r="L8343" s="549">
        <f t="shared" si="1255"/>
        <v>0.4059328649492584</v>
      </c>
      <c r="M8343" s="401">
        <f>SUM(C8343,C8319,C8295,C8271,C8247,C8223,C8199)/POBLA!$B$14*100000</f>
        <v>60.334862450784669</v>
      </c>
    </row>
    <row r="8344" spans="1:13" s="360" customFormat="1" x14ac:dyDescent="0.25">
      <c r="A8344" s="361" t="s">
        <v>19</v>
      </c>
      <c r="B8344" s="2">
        <v>44240</v>
      </c>
      <c r="C8344" s="1">
        <v>183</v>
      </c>
      <c r="D8344" s="39">
        <f t="shared" si="1253"/>
        <v>58431</v>
      </c>
      <c r="E8344" s="1">
        <v>17</v>
      </c>
      <c r="F8344" s="39">
        <f t="shared" si="1256"/>
        <v>841</v>
      </c>
      <c r="G8344" s="168">
        <f>SUM(C8344,C8320,C8296,C8272,C8248,C8224,C8200,C8176,C8152,C8128,C8104,C8080,C8056,C8032)/POBLA!$B$15*100000</f>
        <v>696.77753566335423</v>
      </c>
      <c r="H8344" s="256">
        <f t="shared" si="1254"/>
        <v>0.79611149346180321</v>
      </c>
      <c r="I8344" s="297">
        <f t="shared" si="1257"/>
        <v>554.71260452758781</v>
      </c>
      <c r="J8344" s="297">
        <f t="shared" si="1258"/>
        <v>276.85714285714283</v>
      </c>
      <c r="K8344" s="297">
        <f>J8344/POBLA!$B$15*100000</f>
        <v>41.691773877414562</v>
      </c>
      <c r="L8344" s="549">
        <f t="shared" si="1255"/>
        <v>0.27928597991818516</v>
      </c>
      <c r="M8344" s="401">
        <f>SUM(C8344,C8320,C8296,C8272,C8248,C8224,C8200)/POBLA!$B$15*100000</f>
        <v>291.84241714190199</v>
      </c>
    </row>
    <row r="8345" spans="1:13" s="360" customFormat="1" x14ac:dyDescent="0.25">
      <c r="A8345" s="361" t="s">
        <v>18</v>
      </c>
      <c r="B8345" s="2">
        <v>44240</v>
      </c>
      <c r="C8345" s="1">
        <v>115</v>
      </c>
      <c r="D8345" s="39">
        <f t="shared" si="1253"/>
        <v>50510</v>
      </c>
      <c r="E8345" s="1">
        <v>2</v>
      </c>
      <c r="F8345" s="39">
        <f t="shared" si="1256"/>
        <v>1115</v>
      </c>
      <c r="G8345" s="168">
        <f>SUM(C8345,C8321,C8297,C8273,C8249,C8225,C8201,C8177,C8153,C8129,C8105,C8081,C8057,C8033)/POBLA!$B$16*100000</f>
        <v>360.61582910875995</v>
      </c>
      <c r="H8345" s="256">
        <f t="shared" si="1254"/>
        <v>0.65644022400779156</v>
      </c>
      <c r="I8345" s="297">
        <f t="shared" si="1257"/>
        <v>236.72273564090986</v>
      </c>
      <c r="J8345" s="297">
        <f t="shared" si="1258"/>
        <v>170.28571428571428</v>
      </c>
      <c r="K8345" s="297">
        <f>J8345/POBLA!$B$16*100000</f>
        <v>22.777345713100985</v>
      </c>
      <c r="L8345" s="549">
        <f t="shared" si="1255"/>
        <v>0.20744680851063835</v>
      </c>
      <c r="M8345" s="401">
        <f>SUM(C8345,C8321,C8297,C8273,C8249,C8225,C8201)/POBLA!$B$16*100000</f>
        <v>159.44141999170691</v>
      </c>
    </row>
    <row r="8346" spans="1:13" s="360" customFormat="1" x14ac:dyDescent="0.25">
      <c r="A8346" s="361" t="s">
        <v>34</v>
      </c>
      <c r="B8346" s="2">
        <v>44240</v>
      </c>
      <c r="C8346" s="1">
        <v>103</v>
      </c>
      <c r="D8346" s="39">
        <f t="shared" si="1253"/>
        <v>24803</v>
      </c>
      <c r="E8346" s="1">
        <v>2</v>
      </c>
      <c r="F8346" s="39">
        <f t="shared" si="1256"/>
        <v>1061</v>
      </c>
      <c r="G8346" s="168">
        <f>SUM(C8346,C8322,C8298,C8274,C8250,C8226,C8202,C8178,C8154,C8130,C8106,C8082,C8058,C8034)/POBLA!$B$17*100000</f>
        <v>71.960275119927942</v>
      </c>
      <c r="H8346" s="256">
        <f t="shared" si="1254"/>
        <v>1.3945578231292517</v>
      </c>
      <c r="I8346" s="297">
        <f t="shared" si="1257"/>
        <v>100.35276462302876</v>
      </c>
      <c r="J8346" s="297">
        <f t="shared" si="1258"/>
        <v>79.142857142857139</v>
      </c>
      <c r="K8346" s="297">
        <f>J8346/POBLA!$B$17*100000</f>
        <v>5.5562358768557605</v>
      </c>
      <c r="L8346" s="549">
        <f t="shared" si="1255"/>
        <v>-0.17622080679405516</v>
      </c>
      <c r="M8346" s="401">
        <f>SUM(C8346,C8322,C8298,C8274,C8250,C8226,C8202)/POBLA!$B$17*100000</f>
        <v>38.893651137990318</v>
      </c>
    </row>
    <row r="8347" spans="1:13" s="360" customFormat="1" x14ac:dyDescent="0.25">
      <c r="A8347" s="361" t="s">
        <v>35</v>
      </c>
      <c r="B8347" s="2">
        <v>44240</v>
      </c>
      <c r="C8347" s="1">
        <v>6</v>
      </c>
      <c r="D8347" s="39">
        <f t="shared" si="1253"/>
        <v>14604</v>
      </c>
      <c r="E8347" s="1"/>
      <c r="F8347" s="39">
        <f t="shared" si="1256"/>
        <v>203</v>
      </c>
      <c r="G8347" s="168">
        <f>SUM(C8347,C8323,C8299,C8275,C8251,C8227,C8203,C8179,C8155,C8131,C8107,C8083,C8059,C8035)/POBLA!$B$18*100000</f>
        <v>85.123595620679012</v>
      </c>
      <c r="H8347" s="256">
        <f t="shared" si="1254"/>
        <v>0.78143360752056401</v>
      </c>
      <c r="I8347" s="297">
        <f t="shared" si="1257"/>
        <v>66.518438410988878</v>
      </c>
      <c r="J8347" s="297">
        <f t="shared" si="1258"/>
        <v>46.285714285714285</v>
      </c>
      <c r="K8347" s="297">
        <f>J8347/POBLA!$B$18*100000</f>
        <v>5.9248216930397426</v>
      </c>
      <c r="L8347" s="549">
        <f t="shared" si="1255"/>
        <v>4.9853372434017551E-2</v>
      </c>
      <c r="M8347" s="401">
        <f>SUM(C8347,C8323,C8299,C8275,C8251,C8227,C8203)/POBLA!$B$18*100000</f>
        <v>41.473751851278195</v>
      </c>
    </row>
    <row r="8348" spans="1:13" s="360" customFormat="1" x14ac:dyDescent="0.25">
      <c r="A8348" s="361" t="s">
        <v>36</v>
      </c>
      <c r="B8348" s="2">
        <v>44240</v>
      </c>
      <c r="C8348" s="1">
        <v>627</v>
      </c>
      <c r="D8348" s="39">
        <f t="shared" si="1253"/>
        <v>19782</v>
      </c>
      <c r="E8348" s="1"/>
      <c r="F8348" s="39">
        <f t="shared" si="1256"/>
        <v>345</v>
      </c>
      <c r="G8348" s="168">
        <f>SUM(C8348,C8324,C8300,C8276,C8252,C8228,C8204,C8180,C8156,C8132,C8108,C8084,C8060,C8036)/POBLA!$B$19*100000</f>
        <v>156.19836011394219</v>
      </c>
      <c r="H8348" s="256">
        <f t="shared" si="1254"/>
        <v>0.3657300783049286</v>
      </c>
      <c r="I8348" s="297">
        <f t="shared" si="1257"/>
        <v>57.126438475573508</v>
      </c>
      <c r="J8348" s="297">
        <f t="shared" si="1258"/>
        <v>96.714285714285708</v>
      </c>
      <c r="K8348" s="297">
        <f>J8348/POBLA!$B$19*100000</f>
        <v>19.025960740759057</v>
      </c>
      <c r="L8348" s="549">
        <f t="shared" si="1255"/>
        <v>-4.7863247863247862</v>
      </c>
      <c r="M8348" s="401">
        <f>SUM(C8348,C8324,C8300,C8276,C8252,C8228,C8204)/POBLA!$B$19*100000</f>
        <v>133.18172518531341</v>
      </c>
    </row>
    <row r="8349" spans="1:13" s="360" customFormat="1" x14ac:dyDescent="0.25">
      <c r="A8349" s="361" t="s">
        <v>37</v>
      </c>
      <c r="B8349" s="2">
        <v>44240</v>
      </c>
      <c r="C8349" s="1">
        <v>65</v>
      </c>
      <c r="D8349" s="39">
        <f t="shared" si="1253"/>
        <v>34477</v>
      </c>
      <c r="E8349" s="1">
        <v>1</v>
      </c>
      <c r="F8349" s="39">
        <f t="shared" si="1256"/>
        <v>536</v>
      </c>
      <c r="G8349" s="168">
        <f>SUM(C8349,C8325,C8301,C8277,C8253,C8229,C8205,C8181,C8157,C8133,C8109,C8085,C8061,C8037)/POBLA!$B$20*100000</f>
        <v>556.74354248587633</v>
      </c>
      <c r="H8349" s="256">
        <f t="shared" si="1254"/>
        <v>0.61177884615384615</v>
      </c>
      <c r="I8349" s="297">
        <f t="shared" si="1257"/>
        <v>340.60392202561422</v>
      </c>
      <c r="J8349" s="297">
        <f t="shared" si="1258"/>
        <v>104.57142857142857</v>
      </c>
      <c r="K8349" s="297">
        <f>J8349/POBLA!$B$20*100000</f>
        <v>28.595023372134538</v>
      </c>
      <c r="L8349" s="549">
        <f t="shared" si="1255"/>
        <v>0.43865030674846628</v>
      </c>
      <c r="M8349" s="401">
        <f>SUM(C8349,C8325,C8301,C8277,C8253,C8229,C8205)/POBLA!$B$20*100000</f>
        <v>200.16516360494177</v>
      </c>
    </row>
    <row r="8350" spans="1:13" s="360" customFormat="1" x14ac:dyDescent="0.25">
      <c r="A8350" s="361" t="s">
        <v>22</v>
      </c>
      <c r="B8350" s="2">
        <v>44240</v>
      </c>
      <c r="C8350" s="1">
        <v>424</v>
      </c>
      <c r="D8350" s="39">
        <f t="shared" si="1253"/>
        <v>211724</v>
      </c>
      <c r="E8350" s="1">
        <v>1</v>
      </c>
      <c r="F8350" s="39">
        <f t="shared" si="1256"/>
        <v>3807</v>
      </c>
      <c r="G8350" s="168">
        <f>SUM(C8350,C8326,C8302,C8278,C8254,C8230,C8206,C8182,C8158,C8134,C8110,C8086,C8062,C8038)/POBLA!$B$21*100000</f>
        <v>172.9150796088019</v>
      </c>
      <c r="H8350" s="256">
        <f t="shared" si="1254"/>
        <v>0.54588466345295483</v>
      </c>
      <c r="I8350" s="297">
        <f t="shared" si="1257"/>
        <v>94.391690038191726</v>
      </c>
      <c r="J8350" s="297">
        <f t="shared" si="1258"/>
        <v>382.28571428571428</v>
      </c>
      <c r="K8350" s="297">
        <f>J8350/POBLA!$B$21*100000</f>
        <v>10.809969700575959</v>
      </c>
      <c r="L8350" s="549">
        <f t="shared" si="1255"/>
        <v>0.22186682175050887</v>
      </c>
      <c r="M8350" s="401">
        <f>SUM(C8350,C8326,C8302,C8278,C8254,C8230,C8206)/POBLA!$B$21*100000</f>
        <v>75.669787904031708</v>
      </c>
    </row>
    <row r="8351" spans="1:13" s="360" customFormat="1" x14ac:dyDescent="0.25">
      <c r="A8351" s="361" t="s">
        <v>38</v>
      </c>
      <c r="B8351" s="2">
        <v>44240</v>
      </c>
      <c r="C8351" s="1">
        <v>59</v>
      </c>
      <c r="D8351" s="39">
        <f t="shared" si="1253"/>
        <v>21833</v>
      </c>
      <c r="E8351" s="1"/>
      <c r="F8351" s="39">
        <f t="shared" si="1256"/>
        <v>257</v>
      </c>
      <c r="G8351" s="168">
        <f>SUM(C8351,C8327,C8303,C8279,C8255,C8231,C8207,C8183,C8159,C8135,C8111,C8087,C8063,C8039)/POBLA!$B$22*100000</f>
        <v>109.47416624331886</v>
      </c>
      <c r="H8351" s="256">
        <f t="shared" si="1254"/>
        <v>0.81943381790359604</v>
      </c>
      <c r="I8351" s="297">
        <f t="shared" si="1257"/>
        <v>89.706834006575747</v>
      </c>
      <c r="J8351" s="297">
        <f t="shared" si="1258"/>
        <v>69.142857142857139</v>
      </c>
      <c r="K8351" s="297">
        <f>J8351/POBLA!$B$22*100000</f>
        <v>7.0675598855230524</v>
      </c>
      <c r="L8351" s="549">
        <f t="shared" si="1255"/>
        <v>0.17546848381601365</v>
      </c>
      <c r="M8351" s="401">
        <f>SUM(C8351,C8327,C8303,C8279,C8255,C8231,C8207)/POBLA!$B$22*100000</f>
        <v>49.472919198661373</v>
      </c>
    </row>
    <row r="8352" spans="1:13" s="360" customFormat="1" x14ac:dyDescent="0.25">
      <c r="A8352" s="361" t="s">
        <v>39</v>
      </c>
      <c r="B8352" s="2">
        <v>44240</v>
      </c>
      <c r="C8352" s="1">
        <v>14</v>
      </c>
      <c r="D8352" s="39">
        <f t="shared" si="1253"/>
        <v>22427</v>
      </c>
      <c r="E8352" s="1"/>
      <c r="F8352" s="39">
        <f t="shared" si="1256"/>
        <v>344</v>
      </c>
      <c r="G8352" s="168">
        <f>SUM(C8352,C8328,C8304,C8280,C8256,C8232,C8208,C8184,C8160,C8136,C8112,C8088,C8064,C8040)/POBLA!$B$23*100000</f>
        <v>368.71571565910762</v>
      </c>
      <c r="H8352" s="256">
        <f t="shared" si="1254"/>
        <v>0.60651162790697677</v>
      </c>
      <c r="I8352" s="297">
        <f t="shared" si="1257"/>
        <v>223.63036893929132</v>
      </c>
      <c r="J8352" s="297">
        <f t="shared" si="1258"/>
        <v>52.142857142857146</v>
      </c>
      <c r="K8352" s="297">
        <f>J8352/POBLA!$B$23*100000</f>
        <v>29.487562711563168</v>
      </c>
      <c r="L8352" s="549">
        <f t="shared" si="1255"/>
        <v>-0.27177700348432055</v>
      </c>
      <c r="M8352" s="401">
        <f>SUM(C8352,C8328,C8304,C8280,C8256,C8232,C8208)/POBLA!$B$23*100000</f>
        <v>206.41293898094213</v>
      </c>
    </row>
    <row r="8353" spans="1:13" s="360" customFormat="1" ht="15.75" thickBot="1" x14ac:dyDescent="0.3">
      <c r="A8353" s="361" t="s">
        <v>40</v>
      </c>
      <c r="B8353" s="2">
        <v>44240</v>
      </c>
      <c r="C8353" s="1">
        <v>90</v>
      </c>
      <c r="D8353" s="176">
        <f t="shared" si="1253"/>
        <v>78031</v>
      </c>
      <c r="E8353" s="1"/>
      <c r="F8353" s="176">
        <f t="shared" si="1256"/>
        <v>1453</v>
      </c>
      <c r="G8353" s="177">
        <f>SUM(C8353,C8329,C8305,C8281,C8257,C8233,C8209,C8185,C8161,C8137,C8113,C8089,C8065,C8041)/POBLA!$B$24*100000</f>
        <v>100.66939839117792</v>
      </c>
      <c r="H8353" s="402">
        <f t="shared" si="1254"/>
        <v>0.80018761726078802</v>
      </c>
      <c r="I8353" s="403">
        <f t="shared" si="1257"/>
        <v>80.554406029713661</v>
      </c>
      <c r="J8353" s="403">
        <f t="shared" si="1258"/>
        <v>112.42857142857143</v>
      </c>
      <c r="K8353" s="403">
        <f>J8353/POBLA!$B$24*100000</f>
        <v>6.6343004968897183</v>
      </c>
      <c r="L8353" s="550">
        <f t="shared" si="1255"/>
        <v>0.14363438520130578</v>
      </c>
      <c r="M8353" s="405">
        <f>SUM(C8353,C8329,C8305,C8281,C8257,C8233,C8209)/POBLA!$B$24*100000</f>
        <v>46.440103478228025</v>
      </c>
    </row>
    <row r="8354" spans="1:13" s="360" customFormat="1" x14ac:dyDescent="0.25">
      <c r="A8354" s="361" t="s">
        <v>16</v>
      </c>
      <c r="B8354" s="2">
        <v>44241</v>
      </c>
      <c r="C8354" s="1">
        <v>1590</v>
      </c>
      <c r="D8354" s="174">
        <f t="shared" ref="D8354:D8417" si="1259">C8354+D8330</f>
        <v>845599</v>
      </c>
      <c r="E8354" s="1">
        <v>3</v>
      </c>
      <c r="F8354" s="174">
        <f>E8354+F8330</f>
        <v>25468</v>
      </c>
      <c r="G8354" s="175">
        <f>SUM(C8354,C8330,C8306,C8282,C8258,C8234,C8210,C8186,C8162,C8138,C8114,C8090,C8066,C8042)/POBLA!$B$1*100000</f>
        <v>235.16714220585766</v>
      </c>
      <c r="H8354" s="300">
        <f t="shared" ref="H8354:H8377" si="1260">SUM(C8354,C8330,C8306,C8282,C8258,C8234,C8210,C8186,C8162,C8138,C8114,C8090,C8066,C8042)/SUM(C8018,C7994,C7970,C7946,C7922,C7898,C7874,C7850,C7826,C7802,C7778,C7754,C7730,C7706)</f>
        <v>0.77993949706938925</v>
      </c>
      <c r="I8354" s="301">
        <f>G8354*H8354</f>
        <v>183.41614261928217</v>
      </c>
      <c r="J8354" s="301">
        <f>AVERAGE(C8354,C8330,C8306,C8282,C8258,C8234,C8210)</f>
        <v>2731.1428571428573</v>
      </c>
      <c r="K8354" s="301">
        <f>J8354/POBLA!$B$1*100000</f>
        <v>15.569927048319476</v>
      </c>
      <c r="L8354" s="548">
        <f t="shared" ref="L8354:L8377" si="1261">1-SUM(C8354,C8330,C8306,C8282,C8258,C8234,C8210)/SUM(C8186,C8162,C8138,C8114,C8090,C8066,C8042)</f>
        <v>0.13622193105317848</v>
      </c>
      <c r="M8354" s="400">
        <f>SUM(C8354,C8330,C8306,C8282,C8258,C8234,C8210)/POBLA!$B$1*100000</f>
        <v>108.98948933823633</v>
      </c>
    </row>
    <row r="8355" spans="1:13" s="360" customFormat="1" x14ac:dyDescent="0.25">
      <c r="A8355" s="361" t="s">
        <v>43</v>
      </c>
      <c r="B8355" s="2">
        <v>44241</v>
      </c>
      <c r="C8355" s="1">
        <v>657</v>
      </c>
      <c r="D8355" s="39">
        <f t="shared" si="1259"/>
        <v>222443</v>
      </c>
      <c r="E8355" s="1">
        <v>7</v>
      </c>
      <c r="F8355" s="39">
        <f t="shared" ref="F8355:F8377" si="1262">E8355+F8331</f>
        <v>6294</v>
      </c>
      <c r="G8355" s="168">
        <f>SUM(C8355,C8331,C8307,C8283,C8259,C8235,C8211,C8187,C8163,C8139,C8115,C8091,C8067,C8043)/POBLA!$B$2*100000</f>
        <v>396.5020681833995</v>
      </c>
      <c r="H8355" s="256">
        <f t="shared" si="1260"/>
        <v>0.78374035989717228</v>
      </c>
      <c r="I8355" s="297">
        <f t="shared" ref="I8355:I8377" si="1263">G8355*H8355</f>
        <v>310.75467361803067</v>
      </c>
      <c r="J8355" s="297">
        <f t="shared" ref="J8355:J8377" si="1264">AVERAGE(C8355,C8331,C8307,C8283,C8259,C8235,C8211)</f>
        <v>768</v>
      </c>
      <c r="K8355" s="297">
        <f>J8355/POBLA!$B$2*100000</f>
        <v>24.970363949557264</v>
      </c>
      <c r="L8355" s="549">
        <f t="shared" si="1261"/>
        <v>0.21161460624725037</v>
      </c>
      <c r="M8355" s="401">
        <f>SUM(C8355,C8331,C8307,C8283,C8259,C8235,C8211)/POBLA!$B$2*100000</f>
        <v>174.79254764690086</v>
      </c>
    </row>
    <row r="8356" spans="1:13" s="360" customFormat="1" x14ac:dyDescent="0.25">
      <c r="A8356" s="361" t="s">
        <v>28</v>
      </c>
      <c r="B8356" s="2">
        <v>44241</v>
      </c>
      <c r="C8356" s="1">
        <v>32</v>
      </c>
      <c r="D8356" s="39">
        <f t="shared" si="1259"/>
        <v>6793</v>
      </c>
      <c r="E8356" s="1"/>
      <c r="F8356" s="39">
        <f t="shared" si="1262"/>
        <v>17</v>
      </c>
      <c r="G8356" s="168">
        <f>SUM(C8356,C8332,C8308,C8284,C8260,C8236,C8212,C8188,C8164,C8140,C8116,C8092,C8068,C8044)/POBLA!$B$3*100000</f>
        <v>339.40082515321183</v>
      </c>
      <c r="H8356" s="256">
        <f t="shared" si="1260"/>
        <v>1.1730449251247921</v>
      </c>
      <c r="I8356" s="297">
        <f t="shared" si="1263"/>
        <v>398.13241552914201</v>
      </c>
      <c r="J8356" s="297">
        <f t="shared" si="1264"/>
        <v>86</v>
      </c>
      <c r="K8356" s="297">
        <f>J8356/POBLA!$B$3*100000</f>
        <v>20.701043236295188</v>
      </c>
      <c r="L8356" s="549">
        <f t="shared" si="1261"/>
        <v>0.25495049504950495</v>
      </c>
      <c r="M8356" s="401">
        <f>SUM(C8356,C8332,C8308,C8284,C8260,C8236,C8212)/POBLA!$B$3*100000</f>
        <v>144.90730265406631</v>
      </c>
    </row>
    <row r="8357" spans="1:13" s="360" customFormat="1" x14ac:dyDescent="0.25">
      <c r="A8357" s="361" t="s">
        <v>15</v>
      </c>
      <c r="B8357" s="2">
        <v>44241</v>
      </c>
      <c r="C8357" s="1">
        <v>80</v>
      </c>
      <c r="D8357" s="39">
        <f t="shared" si="1259"/>
        <v>32446</v>
      </c>
      <c r="E8357" s="1">
        <v>1</v>
      </c>
      <c r="F8357" s="39">
        <f t="shared" si="1262"/>
        <v>833</v>
      </c>
      <c r="G8357" s="168">
        <f>SUM(C8357,C8333,C8309,C8285,C8261,C8237,C8213,C8189,C8165,C8141,C8117,C8093,C8069,C8045)/POBLA!$B$4*100000</f>
        <v>140.46844399650988</v>
      </c>
      <c r="H8357" s="256">
        <f t="shared" si="1260"/>
        <v>0.75434685688809633</v>
      </c>
      <c r="I8357" s="297">
        <f t="shared" si="1263"/>
        <v>105.96192922072881</v>
      </c>
      <c r="J8357" s="297">
        <f t="shared" si="1264"/>
        <v>111.42857142857143</v>
      </c>
      <c r="K8357" s="297">
        <f>J8357/POBLA!$B$4*100000</f>
        <v>9.2507080646131126</v>
      </c>
      <c r="L8357" s="549">
        <f t="shared" si="1261"/>
        <v>0.14473684210526316</v>
      </c>
      <c r="M8357" s="401">
        <f>SUM(C8357,C8333,C8309,C8285,C8261,C8237,C8213)/POBLA!$B$4*100000</f>
        <v>64.754956452291793</v>
      </c>
    </row>
    <row r="8358" spans="1:13" s="360" customFormat="1" x14ac:dyDescent="0.25">
      <c r="A8358" s="361" t="s">
        <v>29</v>
      </c>
      <c r="B8358" s="2">
        <v>44241</v>
      </c>
      <c r="C8358" s="1">
        <v>82</v>
      </c>
      <c r="D8358" s="39">
        <f t="shared" si="1259"/>
        <v>45231</v>
      </c>
      <c r="E8358" s="1"/>
      <c r="F8358" s="39">
        <f>E8358+F8334</f>
        <v>687</v>
      </c>
      <c r="G8358" s="168">
        <f>SUM(C8358,C8334,C8310,C8286,C8262,C8238,C8214,C8190,C8166,C8142,C8118,C8094,C8070,C8046)/POBLA!$B$5*100000</f>
        <v>472.54092931433905</v>
      </c>
      <c r="H8358" s="256">
        <f t="shared" si="1260"/>
        <v>0.71902654867256632</v>
      </c>
      <c r="I8358" s="297">
        <f t="shared" si="1263"/>
        <v>339.76947351141632</v>
      </c>
      <c r="J8358" s="297">
        <f t="shared" si="1264"/>
        <v>188.42857142857142</v>
      </c>
      <c r="K8358" s="297">
        <f>J8358/POBLA!$B$5*100000</f>
        <v>30.441098205890754</v>
      </c>
      <c r="L8358" s="549">
        <f t="shared" si="1261"/>
        <v>0.17870485678704862</v>
      </c>
      <c r="M8358" s="401">
        <f>SUM(C8358,C8334,C8310,C8286,C8262,C8238,C8214)/POBLA!$B$5*100000</f>
        <v>213.08768744123532</v>
      </c>
    </row>
    <row r="8359" spans="1:13" s="360" customFormat="1" x14ac:dyDescent="0.25">
      <c r="A8359" s="361" t="s">
        <v>30</v>
      </c>
      <c r="B8359" s="2">
        <v>44241</v>
      </c>
      <c r="C8359" s="1">
        <v>88</v>
      </c>
      <c r="D8359" s="39">
        <f t="shared" si="1259"/>
        <v>19349</v>
      </c>
      <c r="E8359" s="1">
        <v>29</v>
      </c>
      <c r="F8359" s="39">
        <f>E8359+F8335</f>
        <v>285</v>
      </c>
      <c r="G8359" s="168">
        <f>SUM(C8359,C8335,C8311,C8287,C8263,C8239,C8215,C8191,C8167,C8143,C8119,C8095,C8071,C8047)/POBLA!$B$6*100000</f>
        <v>176.30248367016091</v>
      </c>
      <c r="H8359" s="256">
        <f t="shared" si="1260"/>
        <v>1.036726128016789</v>
      </c>
      <c r="I8359" s="297">
        <f t="shared" si="1263"/>
        <v>182.77739125510908</v>
      </c>
      <c r="J8359" s="297">
        <f t="shared" si="1264"/>
        <v>88</v>
      </c>
      <c r="K8359" s="297">
        <f>J8359/POBLA!$B$6*100000</f>
        <v>7.8515276128411742</v>
      </c>
      <c r="L8359" s="549">
        <f t="shared" si="1261"/>
        <v>0.54705882352941182</v>
      </c>
      <c r="M8359" s="401">
        <f>SUM(C8359,C8335,C8311,C8287,C8263,C8239,C8215)/POBLA!$B$6*100000</f>
        <v>54.960693289888219</v>
      </c>
    </row>
    <row r="8360" spans="1:13" s="360" customFormat="1" x14ac:dyDescent="0.25">
      <c r="A8360" s="361" t="s">
        <v>20</v>
      </c>
      <c r="B8360" s="2">
        <v>44241</v>
      </c>
      <c r="C8360" s="1">
        <v>278</v>
      </c>
      <c r="D8360" s="39">
        <f t="shared" si="1259"/>
        <v>152045</v>
      </c>
      <c r="E8360" s="1">
        <v>2</v>
      </c>
      <c r="F8360" s="39">
        <f>E8360+F8336</f>
        <v>2774</v>
      </c>
      <c r="G8360" s="168">
        <f>SUM(C8360,C8336,C8312,C8288,C8264,C8240,C8216,C8192,C8168,C8144,C8120,C8096,C8072,C8048)/POBLA!$B$7*100000</f>
        <v>186.2808972330439</v>
      </c>
      <c r="H8360" s="256">
        <f t="shared" si="1260"/>
        <v>0.95958904109589038</v>
      </c>
      <c r="I8360" s="297">
        <f t="shared" si="1263"/>
        <v>178.75310755033871</v>
      </c>
      <c r="J8360" s="297">
        <f t="shared" si="1264"/>
        <v>539.14285714285711</v>
      </c>
      <c r="K8360" s="297">
        <f>J8360/POBLA!$B$7*100000</f>
        <v>14.337189887988329</v>
      </c>
      <c r="L8360" s="549">
        <f t="shared" si="1261"/>
        <v>-0.16805942432683385</v>
      </c>
      <c r="M8360" s="401">
        <f>SUM(C8360,C8336,C8312,C8288,C8264,C8240,C8216)/POBLA!$B$7*100000</f>
        <v>100.36032921591831</v>
      </c>
    </row>
    <row r="8361" spans="1:13" x14ac:dyDescent="0.25">
      <c r="A8361" s="361" t="s">
        <v>31</v>
      </c>
      <c r="B8361" s="2">
        <v>44241</v>
      </c>
      <c r="C8361" s="1">
        <v>115</v>
      </c>
      <c r="D8361" s="39">
        <f t="shared" si="1259"/>
        <v>43546</v>
      </c>
      <c r="E8361" s="1">
        <v>1</v>
      </c>
      <c r="F8361" s="39">
        <f t="shared" si="1262"/>
        <v>792</v>
      </c>
      <c r="G8361" s="168">
        <f>SUM(C8361,C8337,C8313,C8289,C8265,C8241,C8217,C8193,C8169,C8145,C8121,C8097,C8073,C8049)/POBLA!$B$8*100000</f>
        <v>184.49292584711981</v>
      </c>
      <c r="H8361" s="256">
        <f t="shared" si="1260"/>
        <v>0.56847487772343264</v>
      </c>
      <c r="I8361" s="297">
        <f t="shared" si="1263"/>
        <v>104.87959346177976</v>
      </c>
      <c r="J8361" s="297">
        <f t="shared" si="1264"/>
        <v>146.28571428571428</v>
      </c>
      <c r="K8361" s="297">
        <f>J8361/POBLA!$B$8*100000</f>
        <v>10.554821837390394</v>
      </c>
      <c r="L8361" s="549">
        <f t="shared" si="1261"/>
        <v>0.33202870189171563</v>
      </c>
      <c r="M8361" s="401">
        <f>SUM(C8361,C8337,C8313,C8289,C8265,C8241,C8217)/POBLA!$B$8*100000</f>
        <v>73.883752861732759</v>
      </c>
    </row>
    <row r="8362" spans="1:13" s="360" customFormat="1" x14ac:dyDescent="0.25">
      <c r="A8362" s="361" t="s">
        <v>41</v>
      </c>
      <c r="B8362" s="2">
        <v>44241</v>
      </c>
      <c r="C8362" s="1">
        <v>10</v>
      </c>
      <c r="D8362" s="39">
        <f t="shared" si="1259"/>
        <v>968</v>
      </c>
      <c r="E8362" s="1"/>
      <c r="F8362" s="39">
        <f t="shared" si="1262"/>
        <v>9</v>
      </c>
      <c r="G8362" s="168">
        <f>SUM(C8362,C8338,C8314,C8290,C8266,C8242,C8218,C8194,C8170,C8146,C8122,C8098,C8074,C8050)/POBLA!$B$9*100000</f>
        <v>20.654568046887523</v>
      </c>
      <c r="H8362" s="256">
        <f t="shared" si="1260"/>
        <v>0.69444444444444442</v>
      </c>
      <c r="I8362" s="297">
        <f t="shared" si="1263"/>
        <v>14.34345003256078</v>
      </c>
      <c r="J8362" s="297">
        <f t="shared" si="1264"/>
        <v>12.857142857142858</v>
      </c>
      <c r="K8362" s="297">
        <f>J8362/POBLA!$B$9*100000</f>
        <v>2.124469856251288</v>
      </c>
      <c r="L8362" s="549">
        <f t="shared" si="1261"/>
        <v>-1.5714285714285716</v>
      </c>
      <c r="M8362" s="401">
        <f>SUM(C8362,C8338,C8314,C8290,C8266,C8242,C8218)/POBLA!$B$9*100000</f>
        <v>14.871288993759016</v>
      </c>
    </row>
    <row r="8363" spans="1:13" s="360" customFormat="1" x14ac:dyDescent="0.25">
      <c r="A8363" s="361" t="s">
        <v>32</v>
      </c>
      <c r="B8363" s="2">
        <v>44241</v>
      </c>
      <c r="C8363" s="1">
        <v>49</v>
      </c>
      <c r="D8363" s="39">
        <f t="shared" si="1259"/>
        <v>19769</v>
      </c>
      <c r="E8363" s="1">
        <v>1</v>
      </c>
      <c r="F8363" s="39">
        <f t="shared" si="1262"/>
        <v>891</v>
      </c>
      <c r="G8363" s="168">
        <f>SUM(C8363,C8339,C8315,C8291,C8267,C8243,C8219,C8195,C8171,C8147,C8123,C8099,C8075,C8051)/POBLA!$B$10*100000</f>
        <v>59.67198568910117</v>
      </c>
      <c r="H8363" s="256">
        <f t="shared" si="1260"/>
        <v>1.0267857142857142</v>
      </c>
      <c r="I8363" s="297">
        <f t="shared" si="1263"/>
        <v>61.270342448630657</v>
      </c>
      <c r="J8363" s="297">
        <f t="shared" si="1264"/>
        <v>35.571428571428569</v>
      </c>
      <c r="K8363" s="297">
        <f>J8363/POBLA!$B$10*100000</f>
        <v>4.6143864709895004</v>
      </c>
      <c r="L8363" s="549">
        <f t="shared" si="1261"/>
        <v>-0.1800947867298579</v>
      </c>
      <c r="M8363" s="401">
        <f>SUM(C8363,C8339,C8315,C8291,C8267,C8243,C8219)/POBLA!$B$10*100000</f>
        <v>32.300705296926502</v>
      </c>
    </row>
    <row r="8364" spans="1:13" s="360" customFormat="1" x14ac:dyDescent="0.25">
      <c r="A8364" s="361" t="s">
        <v>33</v>
      </c>
      <c r="B8364" s="2">
        <v>44241</v>
      </c>
      <c r="C8364" s="1">
        <v>46</v>
      </c>
      <c r="D8364" s="39">
        <f t="shared" si="1259"/>
        <v>17714</v>
      </c>
      <c r="E8364" s="1"/>
      <c r="F8364" s="39">
        <f t="shared" si="1262"/>
        <v>268</v>
      </c>
      <c r="G8364" s="168">
        <f>SUM(C8364,C8340,C8316,C8292,C8268,C8244,C8220,C8196,C8172,C8148,C8124,C8100,C8076,C8052)/POBLA!$B$11*100000</f>
        <v>355.7199772339215</v>
      </c>
      <c r="H8364" s="256">
        <f t="shared" si="1260"/>
        <v>0.88296398891966754</v>
      </c>
      <c r="I8364" s="297">
        <f t="shared" si="1263"/>
        <v>314.08793003687663</v>
      </c>
      <c r="J8364" s="297">
        <f t="shared" si="1264"/>
        <v>89.428571428571431</v>
      </c>
      <c r="K8364" s="297">
        <f>J8364/POBLA!$B$11*100000</f>
        <v>24.95021913147729</v>
      </c>
      <c r="L8364" s="549">
        <f t="shared" si="1261"/>
        <v>3.5439137134052334E-2</v>
      </c>
      <c r="M8364" s="401">
        <f>SUM(C8364,C8340,C8316,C8292,C8268,C8244,C8220)/POBLA!$B$11*100000</f>
        <v>174.65153392034105</v>
      </c>
    </row>
    <row r="8365" spans="1:13" s="360" customFormat="1" x14ac:dyDescent="0.25">
      <c r="A8365" s="361" t="s">
        <v>21</v>
      </c>
      <c r="B8365" s="2">
        <v>44241</v>
      </c>
      <c r="C8365" s="1">
        <v>31</v>
      </c>
      <c r="D8365" s="39">
        <f t="shared" si="1259"/>
        <v>9847</v>
      </c>
      <c r="E8365" s="1"/>
      <c r="F8365" s="39">
        <f t="shared" si="1262"/>
        <v>415</v>
      </c>
      <c r="G8365" s="168">
        <f>SUM(C8365,C8341,C8317,C8293,C8269,C8245,C8221,C8197,C8173,C8149,C8125,C8101,C8077,C8053)/POBLA!$B$12*100000</f>
        <v>75.978766602885159</v>
      </c>
      <c r="H8365" s="256">
        <f t="shared" si="1260"/>
        <v>1.2458333333333333</v>
      </c>
      <c r="I8365" s="297">
        <f t="shared" si="1263"/>
        <v>94.656880059427763</v>
      </c>
      <c r="J8365" s="297">
        <f t="shared" si="1264"/>
        <v>23.142857142857142</v>
      </c>
      <c r="K8365" s="297">
        <f>J8365/POBLA!$B$12*100000</f>
        <v>5.880821877528617</v>
      </c>
      <c r="L8365" s="549">
        <f t="shared" si="1261"/>
        <v>-0.18248175182481763</v>
      </c>
      <c r="M8365" s="401">
        <f>SUM(C8365,C8341,C8317,C8293,C8269,C8245,C8221)/POBLA!$B$12*100000</f>
        <v>41.165753142700318</v>
      </c>
    </row>
    <row r="8366" spans="1:13" s="360" customFormat="1" x14ac:dyDescent="0.25">
      <c r="A8366" s="361" t="s">
        <v>17</v>
      </c>
      <c r="B8366" s="2">
        <v>44241</v>
      </c>
      <c r="C8366" s="1">
        <v>43</v>
      </c>
      <c r="D8366" s="39">
        <f t="shared" si="1259"/>
        <v>65663</v>
      </c>
      <c r="E8366" s="1"/>
      <c r="F8366" s="39">
        <f t="shared" si="1262"/>
        <v>1413</v>
      </c>
      <c r="G8366" s="168">
        <f>SUM(C8366,C8342,C8318,C8294,C8270,C8246,C8222,C8198,C8174,C8150,C8126,C8102,C8078,C8054)/POBLA!$B$13*100000</f>
        <v>92.949036796765171</v>
      </c>
      <c r="H8366" s="256">
        <f t="shared" si="1260"/>
        <v>1.1613308223477714</v>
      </c>
      <c r="I8366" s="297">
        <f t="shared" si="1263"/>
        <v>107.94458133962056</v>
      </c>
      <c r="J8366" s="297">
        <f t="shared" si="1264"/>
        <v>133.57142857142858</v>
      </c>
      <c r="K8366" s="297">
        <f>J8366/POBLA!$B$13*100000</f>
        <v>6.7109922320444353</v>
      </c>
      <c r="L8366" s="549">
        <f t="shared" si="1261"/>
        <v>-2.1857923497267784E-2</v>
      </c>
      <c r="M8366" s="401">
        <f>SUM(C8366,C8342,C8318,C8294,C8270,C8246,C8222)/POBLA!$B$13*100000</f>
        <v>46.97694562431105</v>
      </c>
    </row>
    <row r="8367" spans="1:13" s="360" customFormat="1" x14ac:dyDescent="0.25">
      <c r="A8367" s="361" t="s">
        <v>23</v>
      </c>
      <c r="B8367" s="2">
        <v>44241</v>
      </c>
      <c r="C8367" s="1">
        <v>117</v>
      </c>
      <c r="D8367" s="39">
        <f t="shared" si="1259"/>
        <v>6736</v>
      </c>
      <c r="E8367" s="1"/>
      <c r="F8367" s="39">
        <f t="shared" si="1262"/>
        <v>119</v>
      </c>
      <c r="G8367" s="168">
        <f>SUM(C8367,C8343,C8319,C8295,C8271,C8247,C8223,C8199,C8175,C8151,C8127,C8103,C8079,C8055)/POBLA!$B$14*100000</f>
        <v>160.70797133737258</v>
      </c>
      <c r="H8367" s="256">
        <f t="shared" si="1260"/>
        <v>0.80150257018584425</v>
      </c>
      <c r="I8367" s="297">
        <f t="shared" si="1263"/>
        <v>128.80785207625712</v>
      </c>
      <c r="J8367" s="297">
        <f t="shared" si="1264"/>
        <v>96.285714285714292</v>
      </c>
      <c r="K8367" s="297">
        <f>J8367/POBLA!$B$14*100000</f>
        <v>7.6338834788490466</v>
      </c>
      <c r="L8367" s="549">
        <f t="shared" si="1261"/>
        <v>0.50184774575018476</v>
      </c>
      <c r="M8367" s="401">
        <f>SUM(C8367,C8343,C8319,C8295,C8271,C8247,C8223)/POBLA!$B$14*100000</f>
        <v>53.437184351943316</v>
      </c>
    </row>
    <row r="8368" spans="1:13" s="360" customFormat="1" x14ac:dyDescent="0.25">
      <c r="A8368" s="361" t="s">
        <v>19</v>
      </c>
      <c r="B8368" s="2">
        <v>44241</v>
      </c>
      <c r="C8368" s="1">
        <v>232</v>
      </c>
      <c r="D8368" s="39">
        <f t="shared" si="1259"/>
        <v>58663</v>
      </c>
      <c r="E8368" s="1">
        <v>1</v>
      </c>
      <c r="F8368" s="39">
        <f t="shared" si="1262"/>
        <v>842</v>
      </c>
      <c r="G8368" s="168">
        <f>SUM(C8368,C8344,C8320,C8296,C8272,C8248,C8224,C8200,C8176,C8152,C8128,C8104,C8080,C8056)/POBLA!$B$15*100000</f>
        <v>693.61515653023764</v>
      </c>
      <c r="H8368" s="256">
        <f t="shared" si="1260"/>
        <v>0.78775440396784679</v>
      </c>
      <c r="I8368" s="297">
        <f t="shared" si="1263"/>
        <v>546.39839421554211</v>
      </c>
      <c r="J8368" s="297">
        <f t="shared" si="1264"/>
        <v>286.85714285714283</v>
      </c>
      <c r="K8368" s="297">
        <f>J8368/POBLA!$B$15*100000</f>
        <v>43.197668702708178</v>
      </c>
      <c r="L8368" s="549">
        <f t="shared" si="1261"/>
        <v>0.22709776751347188</v>
      </c>
      <c r="M8368" s="401">
        <f>SUM(C8368,C8344,C8320,C8296,C8272,C8248,C8224)/POBLA!$B$15*100000</f>
        <v>302.38368091895728</v>
      </c>
    </row>
    <row r="8369" spans="1:13" s="360" customFormat="1" x14ac:dyDescent="0.25">
      <c r="A8369" s="361" t="s">
        <v>18</v>
      </c>
      <c r="B8369" s="2">
        <v>44241</v>
      </c>
      <c r="C8369" s="1">
        <v>87</v>
      </c>
      <c r="D8369" s="39">
        <f t="shared" si="1259"/>
        <v>50597</v>
      </c>
      <c r="E8369" s="1"/>
      <c r="F8369" s="39">
        <f t="shared" si="1262"/>
        <v>1115</v>
      </c>
      <c r="G8369" s="168">
        <f>SUM(C8369,C8345,C8321,C8297,C8273,C8249,C8225,C8201,C8177,C8153,C8129,C8105,C8081,C8057)/POBLA!$B$16*100000</f>
        <v>362.35470365564936</v>
      </c>
      <c r="H8369" s="256">
        <f t="shared" si="1260"/>
        <v>0.67657342657342656</v>
      </c>
      <c r="I8369" s="297">
        <f t="shared" si="1263"/>
        <v>245.15956348730123</v>
      </c>
      <c r="J8369" s="297">
        <f t="shared" si="1264"/>
        <v>174.28571428571428</v>
      </c>
      <c r="K8369" s="297">
        <f>J8369/POBLA!$B$16*100000</f>
        <v>23.312384035220809</v>
      </c>
      <c r="L8369" s="549">
        <f t="shared" si="1261"/>
        <v>0.18065815983881794</v>
      </c>
      <c r="M8369" s="401">
        <f>SUM(C8369,C8345,C8321,C8297,C8273,C8249,C8225)/POBLA!$B$16*100000</f>
        <v>163.18668824654566</v>
      </c>
    </row>
    <row r="8370" spans="1:13" s="360" customFormat="1" x14ac:dyDescent="0.25">
      <c r="A8370" s="361" t="s">
        <v>34</v>
      </c>
      <c r="B8370" s="2">
        <v>44241</v>
      </c>
      <c r="C8370" s="1">
        <v>34</v>
      </c>
      <c r="D8370" s="39">
        <f t="shared" si="1259"/>
        <v>24837</v>
      </c>
      <c r="E8370" s="1">
        <v>2</v>
      </c>
      <c r="F8370" s="39">
        <f t="shared" si="1262"/>
        <v>1063</v>
      </c>
      <c r="G8370" s="168">
        <f>SUM(C8370,C8346,C8322,C8298,C8274,C8250,C8226,C8202,C8178,C8154,C8130,C8106,C8082,C8058)/POBLA!$B$17*100000</f>
        <v>72.381505998678733</v>
      </c>
      <c r="H8370" s="256">
        <f t="shared" si="1260"/>
        <v>1.4299583911234397</v>
      </c>
      <c r="I8370" s="297">
        <f t="shared" si="1263"/>
        <v>103.50254186496224</v>
      </c>
      <c r="J8370" s="297">
        <f t="shared" si="1264"/>
        <v>77.857142857142861</v>
      </c>
      <c r="K8370" s="297">
        <f>J8370/POBLA!$B$17*100000</f>
        <v>5.4659721171234468</v>
      </c>
      <c r="L8370" s="549">
        <f t="shared" si="1261"/>
        <v>-0.12139917695473246</v>
      </c>
      <c r="M8370" s="401">
        <f>SUM(C8370,C8346,C8322,C8298,C8274,C8250,C8226)/POBLA!$B$17*100000</f>
        <v>38.261804819864125</v>
      </c>
    </row>
    <row r="8371" spans="1:13" s="360" customFormat="1" x14ac:dyDescent="0.25">
      <c r="A8371" s="361" t="s">
        <v>35</v>
      </c>
      <c r="B8371" s="2">
        <v>44241</v>
      </c>
      <c r="C8371" s="1">
        <v>7</v>
      </c>
      <c r="D8371" s="39">
        <f t="shared" si="1259"/>
        <v>14611</v>
      </c>
      <c r="E8371" s="1"/>
      <c r="F8371" s="39">
        <f t="shared" si="1262"/>
        <v>203</v>
      </c>
      <c r="G8371" s="168">
        <f>SUM(C8371,C8347,C8323,C8299,C8275,C8251,C8227,C8203,C8179,C8155,C8131,C8107,C8083,C8059)/POBLA!$B$18*100000</f>
        <v>84.611573992885454</v>
      </c>
      <c r="H8371" s="256">
        <f t="shared" si="1260"/>
        <v>0.76949941792782306</v>
      </c>
      <c r="I8371" s="297">
        <f t="shared" si="1263"/>
        <v>65.108556937482291</v>
      </c>
      <c r="J8371" s="297">
        <f t="shared" si="1264"/>
        <v>46</v>
      </c>
      <c r="K8371" s="297">
        <f>J8371/POBLA!$B$18*100000</f>
        <v>5.888248719625917</v>
      </c>
      <c r="L8371" s="549">
        <f t="shared" si="1261"/>
        <v>5.0147492625368773E-2</v>
      </c>
      <c r="M8371" s="401">
        <f>SUM(C8371,C8347,C8323,C8299,C8275,C8251,C8227)/POBLA!$B$18*100000</f>
        <v>41.217741037381423</v>
      </c>
    </row>
    <row r="8372" spans="1:13" s="360" customFormat="1" x14ac:dyDescent="0.25">
      <c r="A8372" s="361" t="s">
        <v>36</v>
      </c>
      <c r="B8372" s="2">
        <v>44241</v>
      </c>
      <c r="C8372" s="1">
        <v>293</v>
      </c>
      <c r="D8372" s="39">
        <f t="shared" si="1259"/>
        <v>20075</v>
      </c>
      <c r="E8372" s="1"/>
      <c r="F8372" s="39">
        <f t="shared" si="1262"/>
        <v>345</v>
      </c>
      <c r="G8372" s="168">
        <f>SUM(C8372,C8348,C8324,C8300,C8276,C8252,C8228,C8204,C8180,C8156,C8132,C8108,C8084,C8060)/POBLA!$B$19*100000</f>
        <v>209.51039486315921</v>
      </c>
      <c r="H8372" s="256">
        <f t="shared" si="1260"/>
        <v>0.49882903981264637</v>
      </c>
      <c r="I8372" s="297">
        <f t="shared" si="1263"/>
        <v>104.5098691003581</v>
      </c>
      <c r="J8372" s="297">
        <f t="shared" si="1264"/>
        <v>138.42857142857142</v>
      </c>
      <c r="K8372" s="297">
        <f>J8372/POBLA!$B$19*100000</f>
        <v>27.232135831308018</v>
      </c>
      <c r="L8372" s="549">
        <f t="shared" si="1261"/>
        <v>-9.09375</v>
      </c>
      <c r="M8372" s="401">
        <f>SUM(C8372,C8348,C8324,C8300,C8276,C8252,C8228)/POBLA!$B$19*100000</f>
        <v>190.62495081915614</v>
      </c>
    </row>
    <row r="8373" spans="1:13" s="360" customFormat="1" x14ac:dyDescent="0.25">
      <c r="A8373" s="361" t="s">
        <v>37</v>
      </c>
      <c r="B8373" s="2">
        <v>44241</v>
      </c>
      <c r="C8373" s="1">
        <v>60</v>
      </c>
      <c r="D8373" s="39">
        <f t="shared" si="1259"/>
        <v>34537</v>
      </c>
      <c r="E8373" s="1"/>
      <c r="F8373" s="39">
        <f t="shared" si="1262"/>
        <v>536</v>
      </c>
      <c r="G8373" s="168">
        <f>SUM(C8373,C8349,C8325,C8301,C8277,C8253,C8229,C8205,C8181,C8157,C8133,C8109,C8085,C8061)/POBLA!$B$20*100000</f>
        <v>546.6259044348069</v>
      </c>
      <c r="H8373" s="256">
        <f t="shared" si="1260"/>
        <v>0.63279518835074389</v>
      </c>
      <c r="I8373" s="297">
        <f t="shared" si="1263"/>
        <v>345.90224215421938</v>
      </c>
      <c r="J8373" s="297">
        <f t="shared" si="1264"/>
        <v>106.14285714285714</v>
      </c>
      <c r="K8373" s="297">
        <f>J8373/POBLA!$B$20*100000</f>
        <v>29.024730007508147</v>
      </c>
      <c r="L8373" s="549">
        <f t="shared" si="1261"/>
        <v>0.40843949044585992</v>
      </c>
      <c r="M8373" s="401">
        <f>SUM(C8373,C8349,C8325,C8301,C8277,C8253,C8229)/POBLA!$B$20*100000</f>
        <v>203.17311005255704</v>
      </c>
    </row>
    <row r="8374" spans="1:13" s="360" customFormat="1" x14ac:dyDescent="0.25">
      <c r="A8374" s="361" t="s">
        <v>22</v>
      </c>
      <c r="B8374" s="2">
        <v>44241</v>
      </c>
      <c r="C8374" s="1">
        <v>193</v>
      </c>
      <c r="D8374" s="39">
        <f t="shared" si="1259"/>
        <v>211917</v>
      </c>
      <c r="E8374" s="1"/>
      <c r="F8374" s="39">
        <f t="shared" si="1262"/>
        <v>3807</v>
      </c>
      <c r="G8374" s="168">
        <f>SUM(C8374,C8350,C8326,C8302,C8278,C8254,C8230,C8206,C8182,C8158,C8134,C8110,C8086,C8062)/POBLA!$B$21*100000</f>
        <v>172.2364268024877</v>
      </c>
      <c r="H8374" s="256">
        <f t="shared" si="1260"/>
        <v>0.56586770717205503</v>
      </c>
      <c r="I8374" s="297">
        <f t="shared" si="1263"/>
        <v>97.463031926231196</v>
      </c>
      <c r="J8374" s="297">
        <f t="shared" si="1264"/>
        <v>387.42857142857144</v>
      </c>
      <c r="K8374" s="297">
        <f>J8374/POBLA!$B$21*100000</f>
        <v>10.955395301928998</v>
      </c>
      <c r="L8374" s="549">
        <f t="shared" si="1261"/>
        <v>0.1973956791950281</v>
      </c>
      <c r="M8374" s="401">
        <f>SUM(C8374,C8350,C8326,C8302,C8278,C8254,C8230)/POBLA!$B$21*100000</f>
        <v>76.687767113502986</v>
      </c>
    </row>
    <row r="8375" spans="1:13" s="360" customFormat="1" x14ac:dyDescent="0.25">
      <c r="A8375" s="361" t="s">
        <v>38</v>
      </c>
      <c r="B8375" s="2">
        <v>44241</v>
      </c>
      <c r="C8375" s="1">
        <v>29</v>
      </c>
      <c r="D8375" s="39">
        <f t="shared" si="1259"/>
        <v>21862</v>
      </c>
      <c r="E8375" s="1"/>
      <c r="F8375" s="39">
        <f t="shared" si="1262"/>
        <v>257</v>
      </c>
      <c r="G8375" s="168">
        <f>SUM(C8375,C8351,C8327,C8303,C8279,C8255,C8231,C8207,C8183,C8159,C8135,C8111,C8087,C8063)/POBLA!$B$22*100000</f>
        <v>103.44337650629194</v>
      </c>
      <c r="H8375" s="256">
        <f t="shared" si="1260"/>
        <v>0.80895283772981619</v>
      </c>
      <c r="I8375" s="297">
        <f t="shared" si="1263"/>
        <v>83.680812969118662</v>
      </c>
      <c r="J8375" s="297">
        <f t="shared" si="1264"/>
        <v>61.285714285714285</v>
      </c>
      <c r="K8375" s="297">
        <f>J8375/POBLA!$B$22*100000</f>
        <v>6.2644280803499788</v>
      </c>
      <c r="L8375" s="549">
        <f t="shared" si="1261"/>
        <v>0.26415094339622647</v>
      </c>
      <c r="M8375" s="401">
        <f>SUM(C8375,C8351,C8327,C8303,C8279,C8255,C8231)/POBLA!$B$22*100000</f>
        <v>43.850996562449851</v>
      </c>
    </row>
    <row r="8376" spans="1:13" s="360" customFormat="1" x14ac:dyDescent="0.25">
      <c r="A8376" s="361" t="s">
        <v>39</v>
      </c>
      <c r="B8376" s="2">
        <v>44241</v>
      </c>
      <c r="C8376" s="1">
        <v>27</v>
      </c>
      <c r="D8376" s="39">
        <f t="shared" si="1259"/>
        <v>22454</v>
      </c>
      <c r="E8376" s="1"/>
      <c r="F8376" s="39">
        <f t="shared" si="1262"/>
        <v>344</v>
      </c>
      <c r="G8376" s="168">
        <f>SUM(C8376,C8352,C8328,C8304,C8280,C8256,C8232,C8208,C8184,C8160,C8136,C8112,C8088,C8064)/POBLA!$B$23*100000</f>
        <v>360.79850704066052</v>
      </c>
      <c r="H8376" s="256">
        <f t="shared" si="1260"/>
        <v>0.60416666666666663</v>
      </c>
      <c r="I8376" s="297">
        <f t="shared" si="1263"/>
        <v>217.98243133706572</v>
      </c>
      <c r="J8376" s="297">
        <f t="shared" si="1264"/>
        <v>53.142857142857146</v>
      </c>
      <c r="K8376" s="297">
        <f>J8376/POBLA!$B$23*100000</f>
        <v>30.053077612880816</v>
      </c>
      <c r="L8376" s="549">
        <f t="shared" si="1261"/>
        <v>-0.39849624060150379</v>
      </c>
      <c r="M8376" s="401">
        <f>SUM(C8376,C8352,C8328,C8304,C8280,C8256,C8232)/POBLA!$B$23*100000</f>
        <v>210.3715432901657</v>
      </c>
    </row>
    <row r="8377" spans="1:13" s="360" customFormat="1" ht="15.75" thickBot="1" x14ac:dyDescent="0.3">
      <c r="A8377" s="361" t="s">
        <v>40</v>
      </c>
      <c r="B8377" s="2">
        <v>44241</v>
      </c>
      <c r="C8377" s="1">
        <v>65</v>
      </c>
      <c r="D8377" s="176">
        <f t="shared" si="1259"/>
        <v>78096</v>
      </c>
      <c r="E8377" s="1"/>
      <c r="F8377" s="176">
        <f t="shared" si="1262"/>
        <v>1453</v>
      </c>
      <c r="G8377" s="177">
        <f>SUM(C8377,C8353,C8329,C8305,C8281,C8257,C8233,C8209,C8185,C8161,C8137,C8113,C8089,C8065)/POBLA!$B$24*100000</f>
        <v>100.3153442350542</v>
      </c>
      <c r="H8377" s="402">
        <f t="shared" si="1260"/>
        <v>0.80990948070509772</v>
      </c>
      <c r="I8377" s="403">
        <f t="shared" si="1263"/>
        <v>81.246348356165868</v>
      </c>
      <c r="J8377" s="403">
        <f t="shared" si="1264"/>
        <v>112.28571428571429</v>
      </c>
      <c r="K8377" s="403">
        <f>J8377/POBLA!$B$24*100000</f>
        <v>6.6258706360296307</v>
      </c>
      <c r="L8377" s="550">
        <f t="shared" si="1261"/>
        <v>0.14004376367614879</v>
      </c>
      <c r="M8377" s="405">
        <f>SUM(C8377,C8353,C8329,C8305,C8281,C8257,C8233)/POBLA!$B$24*100000</f>
        <v>46.381094452207407</v>
      </c>
    </row>
    <row r="8378" spans="1:13" s="360" customFormat="1" x14ac:dyDescent="0.25">
      <c r="A8378" s="361" t="s">
        <v>16</v>
      </c>
      <c r="B8378" s="2">
        <v>44242</v>
      </c>
      <c r="C8378" s="1">
        <v>1369</v>
      </c>
      <c r="D8378" s="174">
        <f t="shared" si="1259"/>
        <v>846968</v>
      </c>
      <c r="E8378" s="1">
        <v>63</v>
      </c>
      <c r="F8378" s="174">
        <f t="shared" ref="F8378:F8384" si="1265">E8378+F8354</f>
        <v>25531</v>
      </c>
      <c r="G8378" s="175">
        <f>SUM(C8378,C8354,C8330,C8306,C8282,C8258,C8234,C8210,C8186,C8162,C8138,C8114,C8090,C8066)/POBLA!$B$1*100000</f>
        <v>228.34318474493762</v>
      </c>
      <c r="H8378" s="300">
        <f t="shared" ref="H8378:H8401" si="1266">SUM(C8378,C8354,C8330,C8306,C8282,C8258,C8234,C8210,C8186,C8162,C8138,C8114,C8090,C8066)/SUM(C8042,C8018,C7994,C7970,C7946,C7922,C7898,C7874,C7850,C7826,C7802,C7778,C7754,C7730)</f>
        <v>0.76338409346471248</v>
      </c>
      <c r="I8378" s="301">
        <f>G8378*H8378</f>
        <v>174.31355508535955</v>
      </c>
      <c r="J8378" s="301">
        <f>AVERAGE(C8378,C8354,C8330,C8306,C8282,C8258,C8234)</f>
        <v>2627.4285714285716</v>
      </c>
      <c r="K8378" s="301">
        <f>J8378/POBLA!$B$1*100000</f>
        <v>14.978663995851647</v>
      </c>
      <c r="L8378" s="548">
        <f t="shared" ref="L8378:L8401" si="1267">1-SUM(C8378,C8354,C8330,C8306,C8282,C8258,C8234)/SUM(C8210,C8186,C8162,C8138,C8114,C8090,C8066)</f>
        <v>0.15095559043486284</v>
      </c>
      <c r="M8378" s="400">
        <f>SUM(C8378,C8354,C8330,C8306,C8282,C8258,C8234)/POBLA!$B$1*100000</f>
        <v>104.85064797096152</v>
      </c>
    </row>
    <row r="8379" spans="1:13" s="360" customFormat="1" x14ac:dyDescent="0.25">
      <c r="A8379" s="361" t="s">
        <v>43</v>
      </c>
      <c r="B8379" s="2">
        <v>44242</v>
      </c>
      <c r="C8379" s="1">
        <v>491</v>
      </c>
      <c r="D8379" s="39">
        <f t="shared" si="1259"/>
        <v>222934</v>
      </c>
      <c r="E8379" s="1">
        <v>9</v>
      </c>
      <c r="F8379" s="39">
        <f t="shared" si="1265"/>
        <v>6303</v>
      </c>
      <c r="G8379" s="168">
        <f>SUM(C8379,C8355,C8331,C8307,C8283,C8259,C8235,C8211,C8187,C8163,C8139,C8115,C8091,C8067)/POBLA!$B$2*100000</f>
        <v>384.24448067170277</v>
      </c>
      <c r="H8379" s="256">
        <f t="shared" si="1266"/>
        <v>0.7765803653568143</v>
      </c>
      <c r="I8379" s="297">
        <f t="shared" ref="I8379:I8401" si="1268">G8379*H8379</f>
        <v>298.39671918637032</v>
      </c>
      <c r="J8379" s="297">
        <f t="shared" ref="J8379:J8401" si="1269">AVERAGE(C8379,C8355,C8331,C8307,C8283,C8259,C8235)</f>
        <v>738.28571428571433</v>
      </c>
      <c r="K8379" s="297">
        <f>J8379/POBLA!$B$2*100000</f>
        <v>24.004248677699394</v>
      </c>
      <c r="L8379" s="549">
        <f t="shared" si="1267"/>
        <v>0.22285714285714286</v>
      </c>
      <c r="M8379" s="401">
        <f>SUM(C8379,C8355,C8331,C8307,C8283,C8259,C8235)/POBLA!$B$2*100000</f>
        <v>168.02974074389576</v>
      </c>
    </row>
    <row r="8380" spans="1:13" s="360" customFormat="1" x14ac:dyDescent="0.25">
      <c r="A8380" s="361" t="s">
        <v>28</v>
      </c>
      <c r="B8380" s="2">
        <v>44242</v>
      </c>
      <c r="C8380" s="1">
        <v>85</v>
      </c>
      <c r="D8380" s="39">
        <f t="shared" si="1259"/>
        <v>6878</v>
      </c>
      <c r="E8380" s="1"/>
      <c r="F8380" s="39">
        <f t="shared" si="1265"/>
        <v>17</v>
      </c>
      <c r="G8380" s="168">
        <f>SUM(C8380,C8356,C8332,C8308,C8284,C8260,C8236,C8212,C8188,C8164,C8140,C8116,C8092,C8068)/POBLA!$B$3*100000</f>
        <v>321.34758977272179</v>
      </c>
      <c r="H8380" s="256">
        <f t="shared" si="1266"/>
        <v>1.0245587106676899</v>
      </c>
      <c r="I8380" s="297">
        <f t="shared" si="1268"/>
        <v>329.23947225370955</v>
      </c>
      <c r="J8380" s="297">
        <f t="shared" si="1269"/>
        <v>79.142857142857139</v>
      </c>
      <c r="K8380" s="297">
        <f>J8380/POBLA!$B$3*100000</f>
        <v>19.050461715793247</v>
      </c>
      <c r="L8380" s="549">
        <f t="shared" si="1267"/>
        <v>0.29065300896286816</v>
      </c>
      <c r="M8380" s="401">
        <f>SUM(C8380,C8356,C8332,C8308,C8284,C8260,C8236)/POBLA!$B$3*100000</f>
        <v>133.35323201055272</v>
      </c>
    </row>
    <row r="8381" spans="1:13" s="360" customFormat="1" x14ac:dyDescent="0.25">
      <c r="A8381" s="361" t="s">
        <v>15</v>
      </c>
      <c r="B8381" s="2">
        <v>44242</v>
      </c>
      <c r="C8381" s="1">
        <v>63</v>
      </c>
      <c r="D8381" s="39">
        <f t="shared" si="1259"/>
        <v>32509</v>
      </c>
      <c r="E8381" s="1">
        <v>1</v>
      </c>
      <c r="F8381" s="39">
        <f t="shared" si="1265"/>
        <v>834</v>
      </c>
      <c r="G8381" s="168">
        <f>SUM(C8381,C8357,C8333,C8309,C8285,C8261,C8237,C8213,C8189,C8165,C8141,C8117,C8093,C8069)/POBLA!$B$4*100000</f>
        <v>137.9778687483448</v>
      </c>
      <c r="H8381" s="256">
        <f t="shared" si="1266"/>
        <v>0.75717539863325745</v>
      </c>
      <c r="I8381" s="297">
        <f t="shared" si="1268"/>
        <v>104.47344777209526</v>
      </c>
      <c r="J8381" s="297">
        <f t="shared" si="1269"/>
        <v>111.28571428571429</v>
      </c>
      <c r="K8381" s="297">
        <f>J8381/POBLA!$B$4*100000</f>
        <v>9.2388481824789928</v>
      </c>
      <c r="L8381" s="549">
        <f t="shared" si="1267"/>
        <v>0.11778029445073612</v>
      </c>
      <c r="M8381" s="401">
        <f>SUM(C8381,C8357,C8333,C8309,C8285,C8261,C8237)/POBLA!$B$4*100000</f>
        <v>64.671937277352953</v>
      </c>
    </row>
    <row r="8382" spans="1:13" s="360" customFormat="1" x14ac:dyDescent="0.25">
      <c r="A8382" s="361" t="s">
        <v>29</v>
      </c>
      <c r="B8382" s="2">
        <v>44242</v>
      </c>
      <c r="C8382" s="1">
        <v>61</v>
      </c>
      <c r="D8382" s="39">
        <f t="shared" si="1259"/>
        <v>45292</v>
      </c>
      <c r="E8382" s="1"/>
      <c r="F8382" s="39">
        <f t="shared" si="1265"/>
        <v>687</v>
      </c>
      <c r="G8382" s="168">
        <f>SUM(C8382,C8358,C8334,C8310,C8286,C8262,C8238,C8214,C8190,C8166,C8142,C8118,C8094,C8070)/POBLA!$B$5*100000</f>
        <v>447.50029887204073</v>
      </c>
      <c r="H8382" s="256">
        <f t="shared" si="1266"/>
        <v>0.67544501341136309</v>
      </c>
      <c r="I8382" s="297">
        <f t="shared" si="1268"/>
        <v>302.26184537321456</v>
      </c>
      <c r="J8382" s="297">
        <f t="shared" si="1269"/>
        <v>163.14285714285714</v>
      </c>
      <c r="K8382" s="297">
        <f>J8382/POBLA!$B$5*100000</f>
        <v>26.35612900009647</v>
      </c>
      <c r="L8382" s="549">
        <f t="shared" si="1267"/>
        <v>0.29852579852579852</v>
      </c>
      <c r="M8382" s="401">
        <f>SUM(C8382,C8358,C8334,C8310,C8286,C8262,C8238)/POBLA!$B$5*100000</f>
        <v>184.49290300067528</v>
      </c>
    </row>
    <row r="8383" spans="1:13" s="360" customFormat="1" x14ac:dyDescent="0.25">
      <c r="A8383" s="361" t="s">
        <v>30</v>
      </c>
      <c r="B8383" s="2">
        <v>44242</v>
      </c>
      <c r="C8383" s="1">
        <v>297</v>
      </c>
      <c r="D8383" s="39">
        <f t="shared" si="1259"/>
        <v>19646</v>
      </c>
      <c r="E8383" s="1"/>
      <c r="F8383" s="39">
        <f t="shared" si="1265"/>
        <v>285</v>
      </c>
      <c r="G8383" s="168">
        <f>SUM(C8383,C8359,C8335,C8311,C8287,C8263,C8239,C8215,C8191,C8167,C8143,C8119,C8095,C8071)/POBLA!$B$6*100000</f>
        <v>185.84922747213824</v>
      </c>
      <c r="H8383" s="256">
        <f t="shared" si="1266"/>
        <v>1.0404595404595405</v>
      </c>
      <c r="I8383" s="297">
        <f t="shared" si="1268"/>
        <v>193.36860181042155</v>
      </c>
      <c r="J8383" s="297">
        <f t="shared" si="1269"/>
        <v>118.71428571428571</v>
      </c>
      <c r="K8383" s="297">
        <f>J8383/POBLA!$B$6*100000</f>
        <v>10.591914685504895</v>
      </c>
      <c r="L8383" s="549">
        <f t="shared" si="1267"/>
        <v>0.33626198083067094</v>
      </c>
      <c r="M8383" s="401">
        <f>SUM(C8383,C8359,C8335,C8311,C8287,C8263,C8239)/POBLA!$B$6*100000</f>
        <v>74.143402798534254</v>
      </c>
    </row>
    <row r="8384" spans="1:13" s="360" customFormat="1" x14ac:dyDescent="0.25">
      <c r="A8384" s="361" t="s">
        <v>20</v>
      </c>
      <c r="B8384" s="2">
        <v>44242</v>
      </c>
      <c r="C8384" s="1">
        <v>125</v>
      </c>
      <c r="D8384" s="39">
        <f t="shared" si="1259"/>
        <v>152170</v>
      </c>
      <c r="E8384" s="1">
        <v>1</v>
      </c>
      <c r="F8384" s="39">
        <f t="shared" si="1265"/>
        <v>2775</v>
      </c>
      <c r="G8384" s="168">
        <f>SUM(C8384,C8360,C8336,C8312,C8288,C8264,C8240,C8216,C8192,C8168,C8144,C8120,C8096,C8072)/POBLA!$B$7*100000</f>
        <v>181.68038399659613</v>
      </c>
      <c r="H8384" s="256">
        <f t="shared" si="1266"/>
        <v>0.9416953824948312</v>
      </c>
      <c r="I8384" s="297">
        <f t="shared" si="1268"/>
        <v>171.08757869948241</v>
      </c>
      <c r="J8384" s="297">
        <f t="shared" si="1269"/>
        <v>528.71428571428567</v>
      </c>
      <c r="K8384" s="297">
        <f>J8384/POBLA!$B$7*100000</f>
        <v>14.059867455072816</v>
      </c>
      <c r="L8384" s="549">
        <f t="shared" si="1267"/>
        <v>-0.18205046311082729</v>
      </c>
      <c r="M8384" s="401">
        <f>SUM(C8384,C8360,C8336,C8312,C8288,C8264,C8240)/POBLA!$B$7*100000</f>
        <v>98.419072185509719</v>
      </c>
    </row>
    <row r="8385" spans="1:13" x14ac:dyDescent="0.25">
      <c r="A8385" s="361" t="s">
        <v>31</v>
      </c>
      <c r="B8385" s="2">
        <v>44242</v>
      </c>
      <c r="C8385" s="1">
        <v>33</v>
      </c>
      <c r="D8385" s="39">
        <f t="shared" si="1259"/>
        <v>43579</v>
      </c>
      <c r="F8385" s="39">
        <f t="shared" ref="F8385:F8401" si="1270">E8385+F8361</f>
        <v>792</v>
      </c>
      <c r="G8385" s="168">
        <f>SUM(C8385,C8361,C8337,C8313,C8289,C8265,C8241,C8217,C8193,C8169,C8145,C8121,C8097,C8073)/POBLA!$B$8*100000</f>
        <v>173.95871889613056</v>
      </c>
      <c r="H8385" s="256">
        <f t="shared" si="1266"/>
        <v>0.54350766456266908</v>
      </c>
      <c r="I8385" s="297">
        <f t="shared" si="1268"/>
        <v>94.547897037549774</v>
      </c>
      <c r="J8385" s="297">
        <f t="shared" si="1269"/>
        <v>141</v>
      </c>
      <c r="K8385" s="297">
        <f>J8385/POBLA!$B$8*100000</f>
        <v>10.173446438969062</v>
      </c>
      <c r="L8385" s="549">
        <f t="shared" si="1267"/>
        <v>0.3068820224719101</v>
      </c>
      <c r="M8385" s="401">
        <f>SUM(C8385,C8361,C8337,C8313,C8289,C8265,C8241)/POBLA!$B$8*100000</f>
        <v>71.214125072783432</v>
      </c>
    </row>
    <row r="8386" spans="1:13" s="360" customFormat="1" x14ac:dyDescent="0.25">
      <c r="A8386" s="361" t="s">
        <v>41</v>
      </c>
      <c r="B8386" s="2">
        <v>44242</v>
      </c>
      <c r="C8386" s="1">
        <v>6</v>
      </c>
      <c r="D8386" s="39">
        <f t="shared" si="1259"/>
        <v>974</v>
      </c>
      <c r="E8386" s="1"/>
      <c r="F8386" s="39">
        <f t="shared" si="1270"/>
        <v>9</v>
      </c>
      <c r="G8386" s="168">
        <f>SUM(C8386,C8362,C8338,C8314,C8290,C8266,C8242,C8218,C8194,C8170,C8146,C8122,C8098,C8074)/POBLA!$B$9*100000</f>
        <v>20.985041135637722</v>
      </c>
      <c r="H8386" s="256">
        <f t="shared" si="1266"/>
        <v>0.74269005847953218</v>
      </c>
      <c r="I8386" s="297">
        <f t="shared" si="1268"/>
        <v>15.585381428222169</v>
      </c>
      <c r="J8386" s="297">
        <f t="shared" si="1269"/>
        <v>12.714285714285714</v>
      </c>
      <c r="K8386" s="297">
        <f>J8386/POBLA!$B$9*100000</f>
        <v>2.1008646356262735</v>
      </c>
      <c r="L8386" s="549">
        <f t="shared" si="1267"/>
        <v>-1.3421052631578947</v>
      </c>
      <c r="M8386" s="401">
        <f>SUM(C8386,C8362,C8338,C8314,C8290,C8266,C8242)/POBLA!$B$9*100000</f>
        <v>14.706052449383916</v>
      </c>
    </row>
    <row r="8387" spans="1:13" s="360" customFormat="1" x14ac:dyDescent="0.25">
      <c r="A8387" s="361" t="s">
        <v>32</v>
      </c>
      <c r="B8387" s="2">
        <v>44242</v>
      </c>
      <c r="C8387" s="1">
        <v>29</v>
      </c>
      <c r="D8387" s="39">
        <f t="shared" si="1259"/>
        <v>19798</v>
      </c>
      <c r="E8387" s="1"/>
      <c r="F8387" s="39">
        <f t="shared" si="1270"/>
        <v>891</v>
      </c>
      <c r="G8387" s="168">
        <f>SUM(C8387,C8363,C8339,C8315,C8291,C8267,C8243,C8219,C8195,C8171,C8147,C8123,C8099,C8075)/POBLA!$B$10*100000</f>
        <v>58.24504690088353</v>
      </c>
      <c r="H8387" s="256">
        <f t="shared" si="1266"/>
        <v>1.0393518518518519</v>
      </c>
      <c r="I8387" s="297">
        <f t="shared" si="1268"/>
        <v>60.537097357631261</v>
      </c>
      <c r="J8387" s="297">
        <f t="shared" si="1269"/>
        <v>35.857142857142854</v>
      </c>
      <c r="K8387" s="297">
        <f>J8387/POBLA!$B$10*100000</f>
        <v>4.65144981613801</v>
      </c>
      <c r="L8387" s="549">
        <f t="shared" si="1267"/>
        <v>-0.26767676767676774</v>
      </c>
      <c r="M8387" s="401">
        <f>SUM(C8387,C8363,C8339,C8315,C8291,C8267,C8243)/POBLA!$B$10*100000</f>
        <v>32.560148712966075</v>
      </c>
    </row>
    <row r="8388" spans="1:13" s="360" customFormat="1" x14ac:dyDescent="0.25">
      <c r="A8388" s="361" t="s">
        <v>33</v>
      </c>
      <c r="B8388" s="2">
        <v>44242</v>
      </c>
      <c r="C8388" s="1">
        <v>31</v>
      </c>
      <c r="D8388" s="39">
        <f t="shared" si="1259"/>
        <v>17745</v>
      </c>
      <c r="E8388" s="1"/>
      <c r="F8388" s="39">
        <f t="shared" si="1270"/>
        <v>268</v>
      </c>
      <c r="G8388" s="168">
        <f>SUM(C8388,C8364,C8340,C8316,C8292,C8268,C8244,C8220,C8196,C8172,C8148,C8124,C8100,C8076)/POBLA!$B$11*100000</f>
        <v>343.72314662916961</v>
      </c>
      <c r="H8388" s="256">
        <f t="shared" si="1266"/>
        <v>0.8895306859205776</v>
      </c>
      <c r="I8388" s="297">
        <f t="shared" si="1268"/>
        <v>305.75228638782448</v>
      </c>
      <c r="J8388" s="297">
        <f t="shared" si="1269"/>
        <v>79.142857142857139</v>
      </c>
      <c r="K8388" s="297">
        <f>J8388/POBLA!$B$11*100000</f>
        <v>22.080545365556581</v>
      </c>
      <c r="L8388" s="549">
        <f t="shared" si="1267"/>
        <v>0.18289085545722716</v>
      </c>
      <c r="M8388" s="401">
        <f>SUM(C8388,C8364,C8340,C8316,C8292,C8268,C8244)/POBLA!$B$11*100000</f>
        <v>154.56381755889606</v>
      </c>
    </row>
    <row r="8389" spans="1:13" s="360" customFormat="1" x14ac:dyDescent="0.25">
      <c r="A8389" s="361" t="s">
        <v>21</v>
      </c>
      <c r="B8389" s="2">
        <v>44242</v>
      </c>
      <c r="C8389" s="1">
        <v>14</v>
      </c>
      <c r="D8389" s="39">
        <f t="shared" si="1259"/>
        <v>9861</v>
      </c>
      <c r="E8389" s="1">
        <v>1</v>
      </c>
      <c r="F8389" s="39">
        <f t="shared" si="1270"/>
        <v>416</v>
      </c>
      <c r="G8389" s="168">
        <f>SUM(C8389,C8365,C8341,C8317,C8293,C8269,C8245,C8221,C8197,C8173,C8149,C8125,C8101,C8077)/POBLA!$B$12*100000</f>
        <v>76.741095364787014</v>
      </c>
      <c r="H8389" s="256">
        <f t="shared" si="1266"/>
        <v>1.2635983263598327</v>
      </c>
      <c r="I8389" s="297">
        <f t="shared" si="1268"/>
        <v>96.969919665965193</v>
      </c>
      <c r="J8389" s="297">
        <f t="shared" si="1269"/>
        <v>23.714285714285715</v>
      </c>
      <c r="K8389" s="297">
        <f>J8389/POBLA!$B$12*100000</f>
        <v>6.0260273559861144</v>
      </c>
      <c r="L8389" s="549">
        <f t="shared" si="1267"/>
        <v>-0.22058823529411775</v>
      </c>
      <c r="M8389" s="401">
        <f>SUM(C8389,C8365,C8341,C8317,C8293,C8269,C8245)/POBLA!$B$12*100000</f>
        <v>42.182191491902799</v>
      </c>
    </row>
    <row r="8390" spans="1:13" s="360" customFormat="1" x14ac:dyDescent="0.25">
      <c r="A8390" s="361" t="s">
        <v>17</v>
      </c>
      <c r="B8390" s="2">
        <v>44242</v>
      </c>
      <c r="C8390" s="1">
        <v>21</v>
      </c>
      <c r="D8390" s="39">
        <f t="shared" si="1259"/>
        <v>65684</v>
      </c>
      <c r="E8390" s="1">
        <v>1</v>
      </c>
      <c r="F8390" s="39">
        <f t="shared" si="1270"/>
        <v>1414</v>
      </c>
      <c r="G8390" s="168">
        <f>SUM(C8390,C8366,C8342,C8318,C8294,C8270,C8246,C8222,C8198,C8174,C8150,C8126,C8102,C8078)/POBLA!$B$13*100000</f>
        <v>89.884230718601557</v>
      </c>
      <c r="H8390" s="256">
        <f t="shared" si="1266"/>
        <v>1.1153366583541147</v>
      </c>
      <c r="I8390" s="297">
        <f t="shared" si="1268"/>
        <v>100.25117752841533</v>
      </c>
      <c r="J8390" s="297">
        <f t="shared" si="1269"/>
        <v>119.71428571428571</v>
      </c>
      <c r="K8390" s="297">
        <f>J8390/POBLA!$B$13*100000</f>
        <v>6.0147716475435677</v>
      </c>
      <c r="L8390" s="549">
        <f t="shared" si="1267"/>
        <v>0.11882229232386965</v>
      </c>
      <c r="M8390" s="401">
        <f>SUM(C8390,C8366,C8342,C8318,C8294,C8270,C8246)/POBLA!$B$13*100000</f>
        <v>42.10340153280498</v>
      </c>
    </row>
    <row r="8391" spans="1:13" s="360" customFormat="1" x14ac:dyDescent="0.25">
      <c r="A8391" s="361" t="s">
        <v>23</v>
      </c>
      <c r="B8391" s="2">
        <v>44242</v>
      </c>
      <c r="C8391" s="1">
        <v>113</v>
      </c>
      <c r="D8391" s="39">
        <f t="shared" si="1259"/>
        <v>6849</v>
      </c>
      <c r="E8391" s="1"/>
      <c r="F8391" s="39">
        <f t="shared" si="1270"/>
        <v>119</v>
      </c>
      <c r="G8391" s="168">
        <f>SUM(C8391,C8367,C8343,C8319,C8295,C8271,C8247,C8223,C8199,C8175,C8151,C8127,C8103,C8079)/POBLA!$B$14*100000</f>
        <v>157.77447605395727</v>
      </c>
      <c r="H8391" s="256">
        <f t="shared" si="1266"/>
        <v>0.78625049387593837</v>
      </c>
      <c r="I8391" s="297">
        <f t="shared" si="1268"/>
        <v>124.05025971844132</v>
      </c>
      <c r="J8391" s="297">
        <f t="shared" si="1269"/>
        <v>104.42857142857143</v>
      </c>
      <c r="K8391" s="297">
        <f>J8391/POBLA!$B$14*100000</f>
        <v>8.2794789659327197</v>
      </c>
      <c r="L8391" s="549">
        <f t="shared" si="1267"/>
        <v>0.41938046068308177</v>
      </c>
      <c r="M8391" s="401">
        <f>SUM(C8391,C8367,C8343,C8319,C8295,C8271,C8247)/POBLA!$B$14*100000</f>
        <v>57.956352761529025</v>
      </c>
    </row>
    <row r="8392" spans="1:13" s="360" customFormat="1" x14ac:dyDescent="0.25">
      <c r="A8392" s="361" t="s">
        <v>19</v>
      </c>
      <c r="B8392" s="2">
        <v>44242</v>
      </c>
      <c r="C8392" s="1">
        <v>148</v>
      </c>
      <c r="D8392" s="39">
        <f t="shared" si="1259"/>
        <v>58811</v>
      </c>
      <c r="E8392" s="1">
        <v>9</v>
      </c>
      <c r="F8392" s="39">
        <f t="shared" si="1270"/>
        <v>851</v>
      </c>
      <c r="G8392" s="168">
        <f>SUM(C8392,C8368,C8344,C8320,C8296,C8272,C8248,C8224,C8200,C8176,C8152,C8128,C8104,C8080)/POBLA!$B$15*100000</f>
        <v>659.73252296113139</v>
      </c>
      <c r="H8392" s="256">
        <f t="shared" si="1266"/>
        <v>0.76178055990262561</v>
      </c>
      <c r="I8392" s="297">
        <f t="shared" si="1268"/>
        <v>502.57141072730246</v>
      </c>
      <c r="J8392" s="297">
        <f t="shared" si="1269"/>
        <v>269.14285714285717</v>
      </c>
      <c r="K8392" s="297">
        <f>J8392/POBLA!$B$15*100000</f>
        <v>40.530083583616644</v>
      </c>
      <c r="L8392" s="549">
        <f t="shared" si="1267"/>
        <v>0.2454945935122147</v>
      </c>
      <c r="M8392" s="401">
        <f>SUM(C8392,C8368,C8344,C8320,C8296,C8272,C8248)/POBLA!$B$15*100000</f>
        <v>283.7105850853165</v>
      </c>
    </row>
    <row r="8393" spans="1:13" s="360" customFormat="1" x14ac:dyDescent="0.25">
      <c r="A8393" s="361" t="s">
        <v>18</v>
      </c>
      <c r="B8393" s="2">
        <v>44242</v>
      </c>
      <c r="C8393" s="1">
        <v>87</v>
      </c>
      <c r="D8393" s="39">
        <f t="shared" si="1259"/>
        <v>50684</v>
      </c>
      <c r="E8393" s="1">
        <v>1</v>
      </c>
      <c r="F8393" s="39">
        <f t="shared" si="1270"/>
        <v>1116</v>
      </c>
      <c r="G8393" s="168">
        <f>SUM(C8393,C8369,C8345,C8321,C8297,C8273,C8249,C8225,C8201,C8177,C8153,C8129,C8105,C8081)/POBLA!$B$16*100000</f>
        <v>334.13143216382872</v>
      </c>
      <c r="H8393" s="256">
        <f t="shared" si="1266"/>
        <v>0.62046696472925977</v>
      </c>
      <c r="I8393" s="297">
        <f t="shared" si="1268"/>
        <v>207.31751553533138</v>
      </c>
      <c r="J8393" s="297">
        <f t="shared" si="1269"/>
        <v>156.28571428571428</v>
      </c>
      <c r="K8393" s="297">
        <f>J8393/POBLA!$B$16*100000</f>
        <v>20.904711585681611</v>
      </c>
      <c r="L8393" s="549">
        <f t="shared" si="1267"/>
        <v>0.22079772079772075</v>
      </c>
      <c r="M8393" s="401">
        <f>SUM(C8393,C8369,C8345,C8321,C8297,C8273,C8249)/POBLA!$B$16*100000</f>
        <v>146.33298109977127</v>
      </c>
    </row>
    <row r="8394" spans="1:13" s="360" customFormat="1" x14ac:dyDescent="0.25">
      <c r="A8394" s="361" t="s">
        <v>34</v>
      </c>
      <c r="B8394" s="2">
        <v>44242</v>
      </c>
      <c r="C8394" s="1">
        <v>18</v>
      </c>
      <c r="D8394" s="39">
        <f t="shared" si="1259"/>
        <v>24855</v>
      </c>
      <c r="E8394" s="1">
        <v>1</v>
      </c>
      <c r="F8394" s="39">
        <f t="shared" si="1270"/>
        <v>1064</v>
      </c>
      <c r="G8394" s="168">
        <f>SUM(C8394,C8370,C8346,C8322,C8298,C8274,C8250,C8226,C8202,C8178,C8154,C8130,C8106,C8082)/POBLA!$B$17*100000</f>
        <v>72.241095705761808</v>
      </c>
      <c r="H8394" s="256">
        <f t="shared" si="1266"/>
        <v>1.4311543810848402</v>
      </c>
      <c r="I8394" s="297">
        <f t="shared" si="1268"/>
        <v>103.38816061367025</v>
      </c>
      <c r="J8394" s="297">
        <f t="shared" si="1269"/>
        <v>76.714285714285708</v>
      </c>
      <c r="K8394" s="297">
        <f>J8394/POBLA!$B$17*100000</f>
        <v>5.3857376640280554</v>
      </c>
      <c r="L8394" s="549">
        <f t="shared" si="1267"/>
        <v>-9.1463414634146423E-2</v>
      </c>
      <c r="M8394" s="401">
        <f>SUM(C8394,C8370,C8346,C8322,C8298,C8274,C8250)/POBLA!$B$17*100000</f>
        <v>37.700163648196394</v>
      </c>
    </row>
    <row r="8395" spans="1:13" s="360" customFormat="1" x14ac:dyDescent="0.25">
      <c r="A8395" s="361" t="s">
        <v>35</v>
      </c>
      <c r="B8395" s="2">
        <v>44242</v>
      </c>
      <c r="C8395" s="1">
        <v>5</v>
      </c>
      <c r="D8395" s="39">
        <f t="shared" si="1259"/>
        <v>14616</v>
      </c>
      <c r="E8395" s="1"/>
      <c r="F8395" s="39">
        <f t="shared" si="1270"/>
        <v>203</v>
      </c>
      <c r="G8395" s="168">
        <f>SUM(C8395,C8371,C8347,C8323,C8299,C8275,C8251,C8227,C8203,C8179,C8155,C8131,C8107,C8083)/POBLA!$B$18*100000</f>
        <v>79.235346901053106</v>
      </c>
      <c r="H8395" s="256">
        <f t="shared" si="1266"/>
        <v>0.74758454106280192</v>
      </c>
      <c r="I8395" s="297">
        <f t="shared" si="1268"/>
        <v>59.235120448975692</v>
      </c>
      <c r="J8395" s="297">
        <f t="shared" si="1269"/>
        <v>39.857142857142854</v>
      </c>
      <c r="K8395" s="297">
        <f>J8395/POBLA!$B$18*100000</f>
        <v>5.1019297912286667</v>
      </c>
      <c r="L8395" s="549">
        <f t="shared" si="1267"/>
        <v>0.17941176470588238</v>
      </c>
      <c r="M8395" s="401">
        <f>SUM(C8395,C8371,C8347,C8323,C8299,C8275,C8251)/POBLA!$B$18*100000</f>
        <v>35.713508538600671</v>
      </c>
    </row>
    <row r="8396" spans="1:13" s="360" customFormat="1" x14ac:dyDescent="0.25">
      <c r="A8396" s="361" t="s">
        <v>36</v>
      </c>
      <c r="B8396" s="2">
        <v>44242</v>
      </c>
      <c r="C8396" s="1">
        <v>8</v>
      </c>
      <c r="D8396" s="39">
        <f t="shared" si="1259"/>
        <v>20083</v>
      </c>
      <c r="E8396" s="1">
        <v>1</v>
      </c>
      <c r="F8396" s="39">
        <f t="shared" si="1270"/>
        <v>346</v>
      </c>
      <c r="G8396" s="168">
        <f>SUM(C8396,C8372,C8348,C8324,C8300,C8276,C8252,C8228,C8204,C8180,C8156,C8132,C8108,C8084)/POBLA!$B$19*100000</f>
        <v>209.90384161407596</v>
      </c>
      <c r="H8396" s="256">
        <f t="shared" si="1266"/>
        <v>0.5199805068226121</v>
      </c>
      <c r="I8396" s="297">
        <f t="shared" si="1268"/>
        <v>109.14590594650052</v>
      </c>
      <c r="J8396" s="297">
        <f t="shared" si="1269"/>
        <v>138.71428571428572</v>
      </c>
      <c r="K8396" s="297">
        <f>J8396/POBLA!$B$19*100000</f>
        <v>27.288342510010413</v>
      </c>
      <c r="L8396" s="549">
        <f t="shared" si="1267"/>
        <v>-9.1145833333333339</v>
      </c>
      <c r="M8396" s="401">
        <f>SUM(C8396,C8372,C8348,C8324,C8300,C8276,C8252)/POBLA!$B$19*100000</f>
        <v>191.01839757007286</v>
      </c>
    </row>
    <row r="8397" spans="1:13" s="360" customFormat="1" x14ac:dyDescent="0.25">
      <c r="A8397" s="361" t="s">
        <v>37</v>
      </c>
      <c r="B8397" s="2">
        <v>44242</v>
      </c>
      <c r="C8397" s="1">
        <v>44</v>
      </c>
      <c r="D8397" s="39">
        <f t="shared" si="1259"/>
        <v>34581</v>
      </c>
      <c r="E8397" s="1">
        <v>1</v>
      </c>
      <c r="F8397" s="39">
        <f t="shared" si="1270"/>
        <v>537</v>
      </c>
      <c r="G8397" s="168">
        <f>SUM(C8397,C8373,C8349,C8325,C8301,C8277,C8253,C8229,C8205,C8181,C8157,C8133,C8109,C8085)/POBLA!$B$20*100000</f>
        <v>520.37473543743738</v>
      </c>
      <c r="H8397" s="256">
        <f t="shared" si="1266"/>
        <v>0.6343333333333333</v>
      </c>
      <c r="I8397" s="297">
        <f t="shared" si="1268"/>
        <v>330.09104051248107</v>
      </c>
      <c r="J8397" s="297">
        <f t="shared" si="1269"/>
        <v>93.428571428571431</v>
      </c>
      <c r="K8397" s="297">
        <f>J8397/POBLA!$B$20*100000</f>
        <v>25.548012684939877</v>
      </c>
      <c r="L8397" s="549">
        <f t="shared" si="1267"/>
        <v>0.47638110488390717</v>
      </c>
      <c r="M8397" s="401">
        <f>SUM(C8397,C8373,C8349,C8325,C8301,C8277,C8253)/POBLA!$B$20*100000</f>
        <v>178.83608879457913</v>
      </c>
    </row>
    <row r="8398" spans="1:13" s="360" customFormat="1" x14ac:dyDescent="0.25">
      <c r="A8398" s="361" t="s">
        <v>22</v>
      </c>
      <c r="B8398" s="2">
        <v>44242</v>
      </c>
      <c r="C8398" s="1">
        <v>150</v>
      </c>
      <c r="D8398" s="39">
        <f t="shared" si="1259"/>
        <v>212067</v>
      </c>
      <c r="E8398" s="1"/>
      <c r="F8398" s="39">
        <f t="shared" si="1270"/>
        <v>3807</v>
      </c>
      <c r="G8398" s="168">
        <f>SUM(C8398,C8374,C8350,C8326,C8302,C8278,C8254,C8230,C8206,C8182,C8158,C8134,C8110,C8086)/POBLA!$B$21*100000</f>
        <v>161.68903110435474</v>
      </c>
      <c r="H8398" s="256">
        <f t="shared" si="1266"/>
        <v>0.54812116564417179</v>
      </c>
      <c r="I8398" s="297">
        <f t="shared" si="1268"/>
        <v>88.625180200795668</v>
      </c>
      <c r="J8398" s="297">
        <f t="shared" si="1269"/>
        <v>366.42857142857144</v>
      </c>
      <c r="K8398" s="297">
        <f>J8398/POBLA!$B$21*100000</f>
        <v>10.361574096404086</v>
      </c>
      <c r="L8398" s="549">
        <f t="shared" si="1267"/>
        <v>0.18648905803996196</v>
      </c>
      <c r="M8398" s="401">
        <f>SUM(C8398,C8374,C8350,C8326,C8302,C8278,C8254)/POBLA!$B$21*100000</f>
        <v>72.531018674828601</v>
      </c>
    </row>
    <row r="8399" spans="1:13" s="360" customFormat="1" x14ac:dyDescent="0.25">
      <c r="A8399" s="361" t="s">
        <v>38</v>
      </c>
      <c r="B8399" s="2">
        <v>44242</v>
      </c>
      <c r="C8399" s="1">
        <v>23</v>
      </c>
      <c r="D8399" s="39">
        <f t="shared" si="1259"/>
        <v>21885</v>
      </c>
      <c r="E8399" s="1">
        <v>2</v>
      </c>
      <c r="F8399" s="39">
        <f t="shared" si="1270"/>
        <v>259</v>
      </c>
      <c r="G8399" s="168">
        <f>SUM(C8399,C8375,C8351,C8327,C8303,C8279,C8255,C8231,C8207,C8183,C8159,C8135,C8111,C8087)/POBLA!$B$22*100000</f>
        <v>95.16381771478045</v>
      </c>
      <c r="H8399" s="256">
        <f t="shared" si="1266"/>
        <v>0.74301675977653636</v>
      </c>
      <c r="I8399" s="297">
        <f t="shared" si="1268"/>
        <v>70.708311486401115</v>
      </c>
      <c r="J8399" s="297">
        <f t="shared" si="1269"/>
        <v>56.142857142857146</v>
      </c>
      <c r="K8399" s="297">
        <f>J8399/POBLA!$B$22*100000</f>
        <v>5.7387418078730574</v>
      </c>
      <c r="L8399" s="549">
        <f t="shared" si="1267"/>
        <v>0.26951672862453535</v>
      </c>
      <c r="M8399" s="401">
        <f>SUM(C8399,C8375,C8351,C8327,C8303,C8279,C8255)/POBLA!$B$22*100000</f>
        <v>40.171192655111398</v>
      </c>
    </row>
    <row r="8400" spans="1:13" s="360" customFormat="1" x14ac:dyDescent="0.25">
      <c r="A8400" s="361" t="s">
        <v>39</v>
      </c>
      <c r="B8400" s="2">
        <v>44242</v>
      </c>
      <c r="C8400" s="1">
        <v>7</v>
      </c>
      <c r="D8400" s="39">
        <f t="shared" si="1259"/>
        <v>22461</v>
      </c>
      <c r="E8400" s="1"/>
      <c r="F8400" s="39">
        <f t="shared" si="1270"/>
        <v>344</v>
      </c>
      <c r="G8400" s="168">
        <f>SUM(C8400,C8376,C8352,C8328,C8304,C8280,C8256,C8232,C8208,C8184,C8160,C8136,C8112,C8088)/POBLA!$B$23*100000</f>
        <v>344.39857490244867</v>
      </c>
      <c r="H8400" s="256">
        <f t="shared" si="1266"/>
        <v>0.62978283350568764</v>
      </c>
      <c r="I8400" s="297">
        <f t="shared" si="1268"/>
        <v>216.89631035738492</v>
      </c>
      <c r="J8400" s="297">
        <f t="shared" si="1269"/>
        <v>40.857142857142854</v>
      </c>
      <c r="K8400" s="297">
        <f>J8400/POBLA!$B$23*100000</f>
        <v>23.105323110978258</v>
      </c>
      <c r="L8400" s="549">
        <f t="shared" si="1267"/>
        <v>0.11455108359133126</v>
      </c>
      <c r="M8400" s="401">
        <f>SUM(C8400,C8376,C8352,C8328,C8304,C8280,C8256)/POBLA!$B$23*100000</f>
        <v>161.73726177684782</v>
      </c>
    </row>
    <row r="8401" spans="1:13" s="360" customFormat="1" ht="15.75" thickBot="1" x14ac:dyDescent="0.3">
      <c r="A8401" s="361" t="s">
        <v>40</v>
      </c>
      <c r="B8401" s="2">
        <v>44242</v>
      </c>
      <c r="C8401" s="1">
        <v>31</v>
      </c>
      <c r="D8401" s="176">
        <f t="shared" si="1259"/>
        <v>78127</v>
      </c>
      <c r="E8401" s="1"/>
      <c r="F8401" s="176">
        <f t="shared" si="1270"/>
        <v>1453</v>
      </c>
      <c r="G8401" s="177">
        <f>SUM(C8401,C8377,C8353,C8329,C8305,C8281,C8257,C8233,C8209,C8185,C8161,C8137,C8113,C8089)/POBLA!$B$24*100000</f>
        <v>94.119396502889074</v>
      </c>
      <c r="H8401" s="402">
        <f t="shared" si="1266"/>
        <v>0.77577821011673154</v>
      </c>
      <c r="I8401" s="403">
        <f t="shared" si="1268"/>
        <v>73.015776956278245</v>
      </c>
      <c r="J8401" s="403">
        <f t="shared" si="1269"/>
        <v>101.42857142857143</v>
      </c>
      <c r="K8401" s="403">
        <f>J8401/POBLA!$B$24*100000</f>
        <v>5.9852012106628978</v>
      </c>
      <c r="L8401" s="550">
        <f t="shared" si="1267"/>
        <v>0.19774011299435024</v>
      </c>
      <c r="M8401" s="405">
        <f>SUM(C8401,C8377,C8353,C8329,C8305,C8281,C8257)/POBLA!$B$24*100000</f>
        <v>41.896408474640282</v>
      </c>
    </row>
    <row r="8402" spans="1:13" s="360" customFormat="1" x14ac:dyDescent="0.25">
      <c r="A8402" s="361" t="s">
        <v>16</v>
      </c>
      <c r="B8402" s="2">
        <v>44243</v>
      </c>
      <c r="C8402" s="1">
        <v>1486</v>
      </c>
      <c r="D8402" s="174">
        <f t="shared" si="1259"/>
        <v>848454</v>
      </c>
      <c r="E8402" s="1">
        <v>38</v>
      </c>
      <c r="F8402" s="174">
        <f t="shared" ref="F8402:F8408" si="1271">E8402+F8378</f>
        <v>25569</v>
      </c>
      <c r="G8402" s="175">
        <f>SUM(C8402,C8378,C8354,C8330,C8306,C8282,C8258,C8234,C8210,C8186,C8162,C8138,C8114,C8090)/POBLA!$B$1*100000</f>
        <v>212.6258491394602</v>
      </c>
      <c r="H8402" s="300">
        <f t="shared" ref="H8402:H8425" si="1272">SUM(C8402,C8378,C8354,C8330,C8306,C8282,C8258,C8234,C8210,C8186,C8162,C8138,C8114,C8090)/SUM(C8066,C8042,C8018,C7994,C7970,C7946,C7922,C7898,C7874,C7850,C7826,C7802,C7778,C7754)</f>
        <v>0.72296419779410337</v>
      </c>
      <c r="I8402" s="301">
        <f>G8402*H8402</f>
        <v>153.72087645339988</v>
      </c>
      <c r="J8402" s="301">
        <f>AVERAGE(C8402,C8378,C8354,C8330,C8306,C8282,C8258)</f>
        <v>2359.2857142857142</v>
      </c>
      <c r="K8402" s="301">
        <f>J8402/POBLA!$B$1*100000</f>
        <v>13.450012825766091</v>
      </c>
      <c r="L8402" s="548">
        <f t="shared" ref="L8402:L8425" si="1273">1-SUM(C8402,C8378,C8354,C8330,C8306,C8282,C8258)/SUM(C8234,C8210,C8186,C8162,C8138,C8114,C8090)</f>
        <v>0.20532191319411031</v>
      </c>
      <c r="M8402" s="400">
        <f>SUM(C8402,C8378,C8354,C8330,C8306,C8282,C8258)/POBLA!$B$1*100000</f>
        <v>94.150089780362634</v>
      </c>
    </row>
    <row r="8403" spans="1:13" s="360" customFormat="1" x14ac:dyDescent="0.25">
      <c r="A8403" s="361" t="s">
        <v>43</v>
      </c>
      <c r="B8403" s="2">
        <v>44243</v>
      </c>
      <c r="C8403" s="1">
        <v>439</v>
      </c>
      <c r="D8403" s="39">
        <f t="shared" si="1259"/>
        <v>223373</v>
      </c>
      <c r="E8403" s="1">
        <v>9</v>
      </c>
      <c r="F8403" s="39">
        <f t="shared" si="1271"/>
        <v>6312</v>
      </c>
      <c r="G8403" s="168">
        <f>SUM(C8403,C8379,C8355,C8331,C8307,C8283,C8259,C8235,C8211,C8187,C8163,C8139,C8115,C8091)/POBLA!$B$2*100000</f>
        <v>357.22576655440838</v>
      </c>
      <c r="H8403" s="256">
        <f t="shared" si="1272"/>
        <v>0.72761589403973514</v>
      </c>
      <c r="I8403" s="297">
        <f t="shared" ref="I8403:I8425" si="1274">G8403*H8403</f>
        <v>259.92314550551555</v>
      </c>
      <c r="J8403" s="297">
        <f t="shared" ref="J8403:J8425" si="1275">AVERAGE(C8403,C8379,C8355,C8331,C8307,C8283,C8259)</f>
        <v>660.14285714285711</v>
      </c>
      <c r="K8403" s="297">
        <f>J8403/POBLA!$B$2*100000</f>
        <v>21.463551304111629</v>
      </c>
      <c r="L8403" s="549">
        <f t="shared" si="1273"/>
        <v>0.27411247251021054</v>
      </c>
      <c r="M8403" s="401">
        <f>SUM(C8403,C8379,C8355,C8331,C8307,C8283,C8259)/POBLA!$B$2*100000</f>
        <v>150.2448591287814</v>
      </c>
    </row>
    <row r="8404" spans="1:13" s="360" customFormat="1" x14ac:dyDescent="0.25">
      <c r="A8404" s="361" t="s">
        <v>28</v>
      </c>
      <c r="B8404" s="2">
        <v>44243</v>
      </c>
      <c r="C8404" s="1">
        <v>4</v>
      </c>
      <c r="D8404" s="39">
        <f t="shared" si="1259"/>
        <v>6882</v>
      </c>
      <c r="E8404" s="1"/>
      <c r="F8404" s="39">
        <f t="shared" si="1271"/>
        <v>17</v>
      </c>
      <c r="G8404" s="168">
        <f>SUM(C8404,C8380,C8356,C8332,C8308,C8284,C8260,C8236,C8212,C8188,C8164,C8140,C8116,C8092)/POBLA!$B$3*100000</f>
        <v>289.81460530813263</v>
      </c>
      <c r="H8404" s="256">
        <f t="shared" si="1272"/>
        <v>0.93769470404984423</v>
      </c>
      <c r="I8404" s="297">
        <f t="shared" si="1274"/>
        <v>271.75762055373184</v>
      </c>
      <c r="J8404" s="297">
        <f t="shared" si="1275"/>
        <v>67.857142857142861</v>
      </c>
      <c r="K8404" s="297">
        <f>J8404/POBLA!$B$3*100000</f>
        <v>16.333879629967136</v>
      </c>
      <c r="L8404" s="549">
        <f t="shared" si="1273"/>
        <v>0.34842249657064472</v>
      </c>
      <c r="M8404" s="401">
        <f>SUM(C8404,C8380,C8356,C8332,C8308,C8284,C8260)/POBLA!$B$3*100000</f>
        <v>114.33715740976993</v>
      </c>
    </row>
    <row r="8405" spans="1:13" s="360" customFormat="1" x14ac:dyDescent="0.25">
      <c r="A8405" s="361" t="s">
        <v>15</v>
      </c>
      <c r="B8405" s="2">
        <v>44243</v>
      </c>
      <c r="C8405" s="1">
        <v>71</v>
      </c>
      <c r="D8405" s="39">
        <f t="shared" si="1259"/>
        <v>32580</v>
      </c>
      <c r="E8405" s="1">
        <v>2</v>
      </c>
      <c r="F8405" s="39">
        <f t="shared" si="1271"/>
        <v>836</v>
      </c>
      <c r="G8405" s="168">
        <f>SUM(C8405,C8381,C8357,C8333,C8309,C8285,C8261,C8237,C8213,C8189,C8165,C8141,C8117,C8093)/POBLA!$B$4*100000</f>
        <v>130.50614300384962</v>
      </c>
      <c r="H8405" s="256">
        <f t="shared" si="1272"/>
        <v>0.73320895522388063</v>
      </c>
      <c r="I8405" s="297">
        <f t="shared" si="1274"/>
        <v>95.68827276215093</v>
      </c>
      <c r="J8405" s="297">
        <f t="shared" si="1275"/>
        <v>98.428571428571431</v>
      </c>
      <c r="K8405" s="297">
        <f>J8405/POBLA!$B$4*100000</f>
        <v>8.1714587904082503</v>
      </c>
      <c r="L8405" s="549">
        <f t="shared" si="1273"/>
        <v>0.2197055492638732</v>
      </c>
      <c r="M8405" s="401">
        <f>SUM(C8405,C8381,C8357,C8333,C8309,C8285,C8261)/POBLA!$B$4*100000</f>
        <v>57.20021153285775</v>
      </c>
    </row>
    <row r="8406" spans="1:13" s="360" customFormat="1" x14ac:dyDescent="0.25">
      <c r="A8406" s="361" t="s">
        <v>29</v>
      </c>
      <c r="B8406" s="2">
        <v>44243</v>
      </c>
      <c r="C8406" s="1">
        <v>41</v>
      </c>
      <c r="D8406" s="39">
        <f t="shared" si="1259"/>
        <v>45333</v>
      </c>
      <c r="E8406" s="1"/>
      <c r="F8406" s="39">
        <f t="shared" si="1271"/>
        <v>687</v>
      </c>
      <c r="G8406" s="168">
        <f>SUM(C8406,C8382,C8358,C8334,C8310,C8286,C8262,C8238,C8214,C8190,C8166,C8142,C8118,C8094)/POBLA!$B$5*100000</f>
        <v>401.29629689463866</v>
      </c>
      <c r="H8406" s="256">
        <f t="shared" si="1272"/>
        <v>0.60897278744790395</v>
      </c>
      <c r="I8406" s="297">
        <f t="shared" si="1274"/>
        <v>244.37852451244976</v>
      </c>
      <c r="J8406" s="297">
        <f t="shared" si="1275"/>
        <v>133.14285714285714</v>
      </c>
      <c r="K8406" s="297">
        <f>J8406/POBLA!$B$5*100000</f>
        <v>21.509555366103246</v>
      </c>
      <c r="L8406" s="549">
        <f t="shared" si="1273"/>
        <v>0.39948453608247425</v>
      </c>
      <c r="M8406" s="401">
        <f>SUM(C8406,C8382,C8358,C8334,C8310,C8286,C8262)/POBLA!$B$5*100000</f>
        <v>150.56688756272274</v>
      </c>
    </row>
    <row r="8407" spans="1:13" s="360" customFormat="1" x14ac:dyDescent="0.25">
      <c r="A8407" s="361" t="s">
        <v>30</v>
      </c>
      <c r="B8407" s="2">
        <v>44243</v>
      </c>
      <c r="C8407" s="1">
        <v>486</v>
      </c>
      <c r="D8407" s="39">
        <f t="shared" si="1259"/>
        <v>20132</v>
      </c>
      <c r="E8407" s="1"/>
      <c r="F8407" s="39">
        <f t="shared" si="1271"/>
        <v>285</v>
      </c>
      <c r="G8407" s="168">
        <f>SUM(C8407,C8383,C8359,C8335,C8311,C8287,C8263,C8239,C8215,C8191,C8167,C8143,C8119,C8095)/POBLA!$B$6*100000</f>
        <v>213.59723983115646</v>
      </c>
      <c r="H8407" s="256">
        <f t="shared" si="1272"/>
        <v>1.1471011020603736</v>
      </c>
      <c r="I8407" s="297">
        <f t="shared" si="1274"/>
        <v>245.01762920737352</v>
      </c>
      <c r="J8407" s="297">
        <f t="shared" si="1275"/>
        <v>165.42857142857142</v>
      </c>
      <c r="K8407" s="297">
        <f>J8407/POBLA!$B$6*100000</f>
        <v>14.759852233230646</v>
      </c>
      <c r="L8407" s="549">
        <f t="shared" si="1273"/>
        <v>6.3106796116504826E-2</v>
      </c>
      <c r="M8407" s="401">
        <f>SUM(C8407,C8383,C8359,C8335,C8311,C8287,C8263)/POBLA!$B$6*100000</f>
        <v>103.31896563261452</v>
      </c>
    </row>
    <row r="8408" spans="1:13" s="360" customFormat="1" x14ac:dyDescent="0.25">
      <c r="A8408" s="361" t="s">
        <v>20</v>
      </c>
      <c r="B8408" s="2">
        <v>44243</v>
      </c>
      <c r="C8408" s="1">
        <v>303</v>
      </c>
      <c r="D8408" s="39">
        <f t="shared" si="1259"/>
        <v>152473</v>
      </c>
      <c r="E8408" s="1">
        <v>5</v>
      </c>
      <c r="F8408" s="39">
        <f t="shared" si="1271"/>
        <v>2780</v>
      </c>
      <c r="G8408" s="168">
        <f>SUM(C8408,C8384,C8360,C8336,C8312,C8288,C8264,C8240,C8216,C8192,C8168,C8144,C8120,C8096)/POBLA!$B$7*100000</f>
        <v>174.55357736441118</v>
      </c>
      <c r="H8408" s="256">
        <f t="shared" si="1272"/>
        <v>0.91701592623637884</v>
      </c>
      <c r="I8408" s="297">
        <f t="shared" si="1274"/>
        <v>160.06841042469892</v>
      </c>
      <c r="J8408" s="297">
        <f t="shared" si="1275"/>
        <v>474.85714285714283</v>
      </c>
      <c r="K8408" s="297">
        <f>J8408/POBLA!$B$7*100000</f>
        <v>12.627668041248862</v>
      </c>
      <c r="L8408" s="549">
        <f t="shared" si="1273"/>
        <v>-2.5925925925925908E-2</v>
      </c>
      <c r="M8408" s="401">
        <f>SUM(C8408,C8384,C8360,C8336,C8312,C8288,C8264)/POBLA!$B$7*100000</f>
        <v>88.393676288742043</v>
      </c>
    </row>
    <row r="8409" spans="1:13" x14ac:dyDescent="0.25">
      <c r="A8409" s="361" t="s">
        <v>31</v>
      </c>
      <c r="B8409" s="2">
        <v>44243</v>
      </c>
      <c r="C8409" s="1">
        <v>103</v>
      </c>
      <c r="D8409" s="39">
        <f t="shared" si="1259"/>
        <v>43682</v>
      </c>
      <c r="F8409" s="39">
        <f t="shared" ref="F8409:F8425" si="1276">E8409+F8385</f>
        <v>792</v>
      </c>
      <c r="G8409" s="168">
        <f>SUM(C8409,C8385,C8361,C8337,C8313,C8289,C8265,C8241,C8217,C8193,C8169,C8145,C8121,C8097)/POBLA!$B$8*100000</f>
        <v>160.89918836100006</v>
      </c>
      <c r="H8409" s="256">
        <f t="shared" si="1272"/>
        <v>0.52163742690058479</v>
      </c>
      <c r="I8409" s="297">
        <f t="shared" si="1274"/>
        <v>83.93103860702459</v>
      </c>
      <c r="J8409" s="297">
        <f t="shared" si="1275"/>
        <v>127.14285714285714</v>
      </c>
      <c r="K8409" s="297">
        <f>J8409/POBLA!$B$8*100000</f>
        <v>9.1736244485131344</v>
      </c>
      <c r="L8409" s="549">
        <f t="shared" si="1273"/>
        <v>0.33582089552238803</v>
      </c>
      <c r="M8409" s="401">
        <f>SUM(C8409,C8385,C8361,C8337,C8313,C8289,C8265)/POBLA!$B$8*100000</f>
        <v>64.215371139591952</v>
      </c>
    </row>
    <row r="8410" spans="1:13" s="360" customFormat="1" x14ac:dyDescent="0.25">
      <c r="A8410" s="361" t="s">
        <v>41</v>
      </c>
      <c r="B8410" s="2">
        <v>44243</v>
      </c>
      <c r="C8410" s="1">
        <v>4</v>
      </c>
      <c r="D8410" s="39">
        <f t="shared" si="1259"/>
        <v>978</v>
      </c>
      <c r="E8410" s="1">
        <v>7</v>
      </c>
      <c r="F8410" s="39">
        <f t="shared" si="1276"/>
        <v>16</v>
      </c>
      <c r="G8410" s="168">
        <f>SUM(C8410,C8386,C8362,C8338,C8314,C8290,C8266,C8242,C8218,C8194,C8170,C8146,C8122,C8098)/POBLA!$B$9*100000</f>
        <v>20.985041135637722</v>
      </c>
      <c r="H8410" s="256">
        <f t="shared" si="1272"/>
        <v>0.76047904191616766</v>
      </c>
      <c r="I8410" s="297">
        <f t="shared" si="1274"/>
        <v>15.958683977401142</v>
      </c>
      <c r="J8410" s="297">
        <f t="shared" si="1275"/>
        <v>12.857142857142858</v>
      </c>
      <c r="K8410" s="297">
        <f>J8410/POBLA!$B$9*100000</f>
        <v>2.124469856251288</v>
      </c>
      <c r="L8410" s="549">
        <f t="shared" si="1273"/>
        <v>-1.4324324324324325</v>
      </c>
      <c r="M8410" s="401">
        <f>SUM(C8410,C8386,C8362,C8338,C8314,C8290,C8266)/POBLA!$B$9*100000</f>
        <v>14.871288993759016</v>
      </c>
    </row>
    <row r="8411" spans="1:13" s="360" customFormat="1" x14ac:dyDescent="0.25">
      <c r="A8411" s="361" t="s">
        <v>32</v>
      </c>
      <c r="B8411" s="2">
        <v>44243</v>
      </c>
      <c r="C8411" s="1">
        <v>29</v>
      </c>
      <c r="D8411" s="39">
        <f t="shared" si="1259"/>
        <v>19827</v>
      </c>
      <c r="E8411" s="1">
        <v>2</v>
      </c>
      <c r="F8411" s="39">
        <f t="shared" si="1276"/>
        <v>893</v>
      </c>
      <c r="G8411" s="168">
        <f>SUM(C8411,C8387,C8363,C8339,C8315,C8291,C8267,C8243,C8219,C8195,C8171,C8147,C8123,C8099)/POBLA!$B$10*100000</f>
        <v>59.15309885702203</v>
      </c>
      <c r="H8411" s="256">
        <f t="shared" si="1272"/>
        <v>1.0629370629370629</v>
      </c>
      <c r="I8411" s="297">
        <f t="shared" si="1274"/>
        <v>62.876021162708732</v>
      </c>
      <c r="J8411" s="297">
        <f t="shared" si="1275"/>
        <v>33.571428571428569</v>
      </c>
      <c r="K8411" s="297">
        <f>J8411/POBLA!$B$10*100000</f>
        <v>4.3549430549499295</v>
      </c>
      <c r="L8411" s="549">
        <f t="shared" si="1273"/>
        <v>-6.3348416289592757E-2</v>
      </c>
      <c r="M8411" s="401">
        <f>SUM(C8411,C8387,C8363,C8339,C8315,C8291,C8267)/POBLA!$B$10*100000</f>
        <v>30.484601384649512</v>
      </c>
    </row>
    <row r="8412" spans="1:13" s="360" customFormat="1" x14ac:dyDescent="0.25">
      <c r="A8412" s="361" t="s">
        <v>33</v>
      </c>
      <c r="B8412" s="2">
        <v>44243</v>
      </c>
      <c r="C8412" s="1">
        <v>53</v>
      </c>
      <c r="D8412" s="39">
        <f t="shared" si="1259"/>
        <v>17798</v>
      </c>
      <c r="E8412" s="1">
        <v>2</v>
      </c>
      <c r="F8412" s="39">
        <f t="shared" si="1276"/>
        <v>270</v>
      </c>
      <c r="G8412" s="168">
        <f>SUM(C8412,C8388,C8364,C8340,C8316,C8292,C8268,C8244,C8220,C8196,C8172,C8148,C8124,C8100)/POBLA!$B$11*100000</f>
        <v>333.95828450902275</v>
      </c>
      <c r="H8412" s="256">
        <f t="shared" si="1272"/>
        <v>0.90957446808510634</v>
      </c>
      <c r="I8412" s="297">
        <f t="shared" si="1274"/>
        <v>303.75992899490899</v>
      </c>
      <c r="J8412" s="297">
        <f t="shared" si="1275"/>
        <v>72.571428571428569</v>
      </c>
      <c r="K8412" s="297">
        <f>J8412/POBLA!$B$11*100000</f>
        <v>20.247142681773905</v>
      </c>
      <c r="L8412" s="549">
        <f t="shared" si="1273"/>
        <v>0.26269956458635702</v>
      </c>
      <c r="M8412" s="401">
        <f>SUM(C8412,C8388,C8364,C8340,C8316,C8292,C8268)/POBLA!$B$11*100000</f>
        <v>141.72999877241733</v>
      </c>
    </row>
    <row r="8413" spans="1:13" s="360" customFormat="1" x14ac:dyDescent="0.25">
      <c r="A8413" s="361" t="s">
        <v>21</v>
      </c>
      <c r="B8413" s="2">
        <v>44243</v>
      </c>
      <c r="C8413" s="1">
        <v>20</v>
      </c>
      <c r="D8413" s="39">
        <f t="shared" si="1259"/>
        <v>9881</v>
      </c>
      <c r="E8413" s="1">
        <v>1</v>
      </c>
      <c r="F8413" s="39">
        <f t="shared" si="1276"/>
        <v>417</v>
      </c>
      <c r="G8413" s="168">
        <f>SUM(C8413,C8389,C8365,C8341,C8317,C8293,C8269,C8245,C8221,C8197,C8173,C8149,C8125,C8101)/POBLA!$B$12*100000</f>
        <v>80.298629586995688</v>
      </c>
      <c r="H8413" s="256">
        <f t="shared" si="1272"/>
        <v>1.3389830508474576</v>
      </c>
      <c r="I8413" s="297">
        <f t="shared" si="1274"/>
        <v>107.51850402326541</v>
      </c>
      <c r="J8413" s="297">
        <f t="shared" si="1275"/>
        <v>25.285714285714285</v>
      </c>
      <c r="K8413" s="297">
        <f>J8413/POBLA!$B$12*100000</f>
        <v>6.4253424217442294</v>
      </c>
      <c r="L8413" s="549">
        <f t="shared" si="1273"/>
        <v>-0.27338129496402885</v>
      </c>
      <c r="M8413" s="401">
        <f>SUM(C8413,C8389,C8365,C8341,C8317,C8293,C8269)/POBLA!$B$12*100000</f>
        <v>44.97739695220961</v>
      </c>
    </row>
    <row r="8414" spans="1:13" s="360" customFormat="1" x14ac:dyDescent="0.25">
      <c r="A8414" s="361" t="s">
        <v>17</v>
      </c>
      <c r="B8414" s="2">
        <v>44243</v>
      </c>
      <c r="C8414" s="1">
        <v>46</v>
      </c>
      <c r="D8414" s="39">
        <f t="shared" si="1259"/>
        <v>65730</v>
      </c>
      <c r="E8414" s="1"/>
      <c r="F8414" s="39">
        <f t="shared" si="1276"/>
        <v>1414</v>
      </c>
      <c r="G8414" s="168">
        <f>SUM(C8414,C8390,C8366,C8342,C8318,C8294,C8270,C8246,C8222,C8198,C8174,C8150,C8126,C8102)/POBLA!$B$13*100000</f>
        <v>84.859958459316957</v>
      </c>
      <c r="H8414" s="256">
        <f t="shared" si="1272"/>
        <v>1.0543071161048689</v>
      </c>
      <c r="I8414" s="297">
        <f t="shared" si="1274"/>
        <v>89.468458076021435</v>
      </c>
      <c r="J8414" s="297">
        <f t="shared" si="1275"/>
        <v>98.571428571428569</v>
      </c>
      <c r="K8414" s="297">
        <f>J8414/POBLA!$B$13*100000</f>
        <v>4.9524969412948243</v>
      </c>
      <c r="L8414" s="549">
        <f t="shared" si="1273"/>
        <v>0.30930930930930933</v>
      </c>
      <c r="M8414" s="401">
        <f>SUM(C8414,C8390,C8366,C8342,C8318,C8294,C8270)/POBLA!$B$13*100000</f>
        <v>34.667478589063769</v>
      </c>
    </row>
    <row r="8415" spans="1:13" s="360" customFormat="1" x14ac:dyDescent="0.25">
      <c r="A8415" s="361" t="s">
        <v>23</v>
      </c>
      <c r="B8415" s="2">
        <v>44243</v>
      </c>
      <c r="C8415" s="1">
        <v>115</v>
      </c>
      <c r="D8415" s="39">
        <f t="shared" si="1259"/>
        <v>6964</v>
      </c>
      <c r="E8415" s="1">
        <v>1</v>
      </c>
      <c r="F8415" s="39">
        <f t="shared" si="1276"/>
        <v>120</v>
      </c>
      <c r="G8415" s="168">
        <f>SUM(C8415,C8391,C8367,C8343,C8319,C8295,C8271,C8247,C8223,C8199,C8175,C8151,C8127,C8103)/POBLA!$B$14*100000</f>
        <v>144.37553813781719</v>
      </c>
      <c r="H8415" s="256">
        <f t="shared" si="1272"/>
        <v>0.70663562281722936</v>
      </c>
      <c r="I8415" s="297">
        <f t="shared" si="1274"/>
        <v>102.02089831158909</v>
      </c>
      <c r="J8415" s="297">
        <f t="shared" si="1275"/>
        <v>107</v>
      </c>
      <c r="K8415" s="297">
        <f>J8415/POBLA!$B$14*100000</f>
        <v>8.4833512250117735</v>
      </c>
      <c r="L8415" s="549">
        <f t="shared" si="1273"/>
        <v>0.30130597014925375</v>
      </c>
      <c r="M8415" s="401">
        <f>SUM(C8415,C8391,C8367,C8343,C8319,C8295,C8271)/POBLA!$B$14*100000</f>
        <v>59.383458575082415</v>
      </c>
    </row>
    <row r="8416" spans="1:13" s="360" customFormat="1" x14ac:dyDescent="0.25">
      <c r="A8416" s="361" t="s">
        <v>19</v>
      </c>
      <c r="B8416" s="2">
        <v>44243</v>
      </c>
      <c r="C8416" s="1">
        <v>112</v>
      </c>
      <c r="D8416" s="39">
        <f t="shared" si="1259"/>
        <v>58923</v>
      </c>
      <c r="E8416" s="1">
        <v>15</v>
      </c>
      <c r="F8416" s="39">
        <f t="shared" si="1276"/>
        <v>866</v>
      </c>
      <c r="G8416" s="168">
        <f>SUM(C8416,C8392,C8368,C8344,C8320,C8296,C8272,C8248,C8224,C8200,C8176,C8152,C8128,C8104)/POBLA!$B$15*100000</f>
        <v>601.45439322226855</v>
      </c>
      <c r="H8416" s="256">
        <f t="shared" si="1272"/>
        <v>0.68472484141950973</v>
      </c>
      <c r="I8416" s="297">
        <f t="shared" si="1274"/>
        <v>411.83076402018526</v>
      </c>
      <c r="J8416" s="297">
        <f t="shared" si="1275"/>
        <v>241</v>
      </c>
      <c r="K8416" s="297">
        <f>J8416/POBLA!$B$15*100000</f>
        <v>36.292065289576044</v>
      </c>
      <c r="L8416" s="549">
        <f t="shared" si="1273"/>
        <v>0.26874729085392279</v>
      </c>
      <c r="M8416" s="401">
        <f>SUM(C8416,C8392,C8368,C8344,C8320,C8296,C8272)/POBLA!$B$15*100000</f>
        <v>254.04445702703234</v>
      </c>
    </row>
    <row r="8417" spans="1:13" s="360" customFormat="1" x14ac:dyDescent="0.25">
      <c r="A8417" s="361" t="s">
        <v>18</v>
      </c>
      <c r="B8417" s="2">
        <v>44243</v>
      </c>
      <c r="C8417" s="1">
        <v>113</v>
      </c>
      <c r="D8417" s="39">
        <f t="shared" si="1259"/>
        <v>50797</v>
      </c>
      <c r="E8417" s="1">
        <v>3</v>
      </c>
      <c r="F8417" s="39">
        <f t="shared" si="1276"/>
        <v>1119</v>
      </c>
      <c r="G8417" s="168">
        <f>SUM(C8417,C8393,C8369,C8345,C8321,C8297,C8273,C8249,C8225,C8201,C8177,C8153,C8129,C8105)/POBLA!$B$16*100000</f>
        <v>309.92094808790677</v>
      </c>
      <c r="H8417" s="256">
        <f t="shared" si="1272"/>
        <v>0.59182630906768841</v>
      </c>
      <c r="I8417" s="297">
        <f t="shared" si="1274"/>
        <v>183.41937080962452</v>
      </c>
      <c r="J8417" s="297">
        <f t="shared" si="1275"/>
        <v>143</v>
      </c>
      <c r="K8417" s="297">
        <f>J8417/POBLA!$B$16*100000</f>
        <v>19.127620015783631</v>
      </c>
      <c r="L8417" s="549">
        <f t="shared" si="1273"/>
        <v>0.23936170212765961</v>
      </c>
      <c r="M8417" s="401">
        <f>SUM(C8417,C8393,C8369,C8345,C8321,C8297,C8273)/POBLA!$B$16*100000</f>
        <v>133.89334011048541</v>
      </c>
    </row>
    <row r="8418" spans="1:13" s="360" customFormat="1" x14ac:dyDescent="0.25">
      <c r="A8418" s="361" t="s">
        <v>34</v>
      </c>
      <c r="B8418" s="2">
        <v>44243</v>
      </c>
      <c r="C8418" s="1">
        <v>46</v>
      </c>
      <c r="D8418" s="39">
        <f t="shared" ref="D8418:D8481" si="1277">C8418+D8394</f>
        <v>24901</v>
      </c>
      <c r="E8418" s="1">
        <v>5</v>
      </c>
      <c r="F8418" s="39">
        <f t="shared" si="1276"/>
        <v>1069</v>
      </c>
      <c r="G8418" s="168">
        <f>SUM(C8418,C8394,C8370,C8346,C8322,C8298,C8274,C8250,C8226,C8202,C8178,C8154,C8130,C8106)/POBLA!$B$17*100000</f>
        <v>71.468839094718675</v>
      </c>
      <c r="H8418" s="256">
        <f t="shared" si="1272"/>
        <v>1.3926128590971272</v>
      </c>
      <c r="I8418" s="297">
        <f t="shared" si="1274"/>
        <v>99.528424348048716</v>
      </c>
      <c r="J8418" s="297">
        <f t="shared" si="1275"/>
        <v>69.714285714285708</v>
      </c>
      <c r="K8418" s="297">
        <f>J8418/POBLA!$B$17*100000</f>
        <v>4.8943016388187921</v>
      </c>
      <c r="L8418" s="549">
        <f t="shared" si="1273"/>
        <v>7.9245283018867907E-2</v>
      </c>
      <c r="M8418" s="401">
        <f>SUM(C8418,C8394,C8370,C8346,C8322,C8298,C8274)/POBLA!$B$17*100000</f>
        <v>34.260111471731548</v>
      </c>
    </row>
    <row r="8419" spans="1:13" s="360" customFormat="1" x14ac:dyDescent="0.25">
      <c r="A8419" s="361" t="s">
        <v>35</v>
      </c>
      <c r="B8419" s="2">
        <v>44243</v>
      </c>
      <c r="C8419" s="1">
        <v>44</v>
      </c>
      <c r="D8419" s="39">
        <f t="shared" si="1277"/>
        <v>14660</v>
      </c>
      <c r="E8419" s="1"/>
      <c r="F8419" s="39">
        <f t="shared" si="1276"/>
        <v>203</v>
      </c>
      <c r="G8419" s="168">
        <f>SUM(C8419,C8395,C8371,C8347,C8323,C8299,C8275,C8251,C8227,C8203,C8179,C8155,C8131,C8107)/POBLA!$B$18*100000</f>
        <v>74.243136030065912</v>
      </c>
      <c r="H8419" s="256">
        <f t="shared" si="1272"/>
        <v>0.70388349514563109</v>
      </c>
      <c r="I8419" s="297">
        <f t="shared" si="1274"/>
        <v>52.258518079415325</v>
      </c>
      <c r="J8419" s="297">
        <f t="shared" si="1275"/>
        <v>36.428571428571431</v>
      </c>
      <c r="K8419" s="297">
        <f>J8419/POBLA!$B$18*100000</f>
        <v>4.6630541102627605</v>
      </c>
      <c r="L8419" s="549">
        <f t="shared" si="1273"/>
        <v>0.2153846153846154</v>
      </c>
      <c r="M8419" s="401">
        <f>SUM(C8419,C8395,C8371,C8347,C8323,C8299,C8275)/POBLA!$B$18*100000</f>
        <v>32.641378771839321</v>
      </c>
    </row>
    <row r="8420" spans="1:13" s="360" customFormat="1" x14ac:dyDescent="0.25">
      <c r="A8420" s="361" t="s">
        <v>36</v>
      </c>
      <c r="B8420" s="2">
        <v>44243</v>
      </c>
      <c r="C8420" s="1">
        <v>138</v>
      </c>
      <c r="D8420" s="39">
        <f t="shared" si="1277"/>
        <v>20221</v>
      </c>
      <c r="E8420" s="1">
        <v>1</v>
      </c>
      <c r="F8420" s="39">
        <f t="shared" si="1276"/>
        <v>347</v>
      </c>
      <c r="G8420" s="168">
        <f>SUM(C8420,C8396,C8372,C8348,C8324,C8300,C8276,C8252,C8228,C8204,C8180,C8156,C8132,C8108)/POBLA!$B$19*100000</f>
        <v>224.65809477345334</v>
      </c>
      <c r="H8420" s="256">
        <f t="shared" si="1272"/>
        <v>0.56506679861454723</v>
      </c>
      <c r="I8420" s="297">
        <f t="shared" si="1274"/>
        <v>126.94683039647883</v>
      </c>
      <c r="J8420" s="297">
        <f t="shared" si="1275"/>
        <v>157.42857142857142</v>
      </c>
      <c r="K8420" s="297">
        <f>J8420/POBLA!$B$19*100000</f>
        <v>30.969879965016961</v>
      </c>
      <c r="L8420" s="549">
        <f t="shared" si="1273"/>
        <v>-26.55</v>
      </c>
      <c r="M8420" s="401">
        <f>SUM(C8420,C8396,C8372,C8348,C8324,C8300,C8276)/POBLA!$B$19*100000</f>
        <v>216.78915975511873</v>
      </c>
    </row>
    <row r="8421" spans="1:13" s="360" customFormat="1" x14ac:dyDescent="0.25">
      <c r="A8421" s="361" t="s">
        <v>37</v>
      </c>
      <c r="B8421" s="2">
        <v>44243</v>
      </c>
      <c r="C8421" s="1">
        <v>52</v>
      </c>
      <c r="D8421" s="39">
        <f t="shared" si="1277"/>
        <v>34633</v>
      </c>
      <c r="E8421" s="1">
        <v>3</v>
      </c>
      <c r="F8421" s="39">
        <f t="shared" si="1276"/>
        <v>540</v>
      </c>
      <c r="G8421" s="168">
        <f>SUM(C8421,C8397,C8373,C8349,C8325,C8301,C8277,C8253,C8229,C8205,C8181,C8157,C8133,C8109)/POBLA!$B$20*100000</f>
        <v>491.38906966950867</v>
      </c>
      <c r="H8421" s="256">
        <f t="shared" si="1272"/>
        <v>0.66041896361631758</v>
      </c>
      <c r="I8421" s="297">
        <f t="shared" si="1274"/>
        <v>324.52266012352339</v>
      </c>
      <c r="J8421" s="297">
        <f t="shared" si="1275"/>
        <v>83.285714285714292</v>
      </c>
      <c r="K8421" s="297">
        <f>J8421/POBLA!$B$20*100000</f>
        <v>22.774451674801146</v>
      </c>
      <c r="L8421" s="549">
        <f t="shared" si="1273"/>
        <v>0.51976935749588138</v>
      </c>
      <c r="M8421" s="401">
        <f>SUM(C8421,C8397,C8373,C8349,C8325,C8301,C8277)/POBLA!$B$20*100000</f>
        <v>159.42116172360801</v>
      </c>
    </row>
    <row r="8422" spans="1:13" s="360" customFormat="1" x14ac:dyDescent="0.25">
      <c r="A8422" s="361" t="s">
        <v>22</v>
      </c>
      <c r="B8422" s="2">
        <v>44243</v>
      </c>
      <c r="C8422" s="1">
        <v>180</v>
      </c>
      <c r="D8422" s="39">
        <f t="shared" si="1277"/>
        <v>212247</v>
      </c>
      <c r="E8422" s="1">
        <v>5</v>
      </c>
      <c r="F8422" s="39">
        <f t="shared" si="1276"/>
        <v>3812</v>
      </c>
      <c r="G8422" s="168">
        <f>SUM(C8422,C8398,C8374,C8350,C8326,C8302,C8278,C8254,C8230,C8206,C8182,C8158,C8134,C8110)/POBLA!$B$21*100000</f>
        <v>152.21616901621923</v>
      </c>
      <c r="H8422" s="256">
        <f t="shared" si="1272"/>
        <v>0.55261266810389076</v>
      </c>
      <c r="I8422" s="297">
        <f t="shared" si="1274"/>
        <v>84.116583288605696</v>
      </c>
      <c r="J8422" s="297">
        <f t="shared" si="1275"/>
        <v>323.71428571428572</v>
      </c>
      <c r="K8422" s="297">
        <f>J8422/POBLA!$B$21*100000</f>
        <v>9.1537336851663387</v>
      </c>
      <c r="L8422" s="549">
        <f t="shared" si="1273"/>
        <v>0.2730189284568495</v>
      </c>
      <c r="M8422" s="401">
        <f>SUM(C8422,C8398,C8374,C8350,C8326,C8302,C8278)/POBLA!$B$21*100000</f>
        <v>64.076135796164365</v>
      </c>
    </row>
    <row r="8423" spans="1:13" s="360" customFormat="1" x14ac:dyDescent="0.25">
      <c r="A8423" s="361" t="s">
        <v>38</v>
      </c>
      <c r="B8423" s="2">
        <v>44243</v>
      </c>
      <c r="C8423" s="1">
        <v>29</v>
      </c>
      <c r="D8423" s="39">
        <f t="shared" si="1277"/>
        <v>21914</v>
      </c>
      <c r="E8423" s="1"/>
      <c r="F8423" s="39">
        <f t="shared" si="1276"/>
        <v>259</v>
      </c>
      <c r="G8423" s="168">
        <f>SUM(C8423,C8399,C8375,C8351,C8327,C8303,C8279,C8255,C8231,C8207,C8183,C8159,C8135,C8111)/POBLA!$B$22*100000</f>
        <v>91.075146706626612</v>
      </c>
      <c r="H8423" s="256">
        <f t="shared" si="1272"/>
        <v>0.724390243902439</v>
      </c>
      <c r="I8423" s="297">
        <f t="shared" si="1274"/>
        <v>65.973947736263668</v>
      </c>
      <c r="J8423" s="297">
        <f t="shared" si="1275"/>
        <v>53.142857142857146</v>
      </c>
      <c r="K8423" s="297">
        <f>J8423/POBLA!$B$22*100000</f>
        <v>5.4320914822615203</v>
      </c>
      <c r="L8423" s="549">
        <f t="shared" si="1273"/>
        <v>0.2832369942196532</v>
      </c>
      <c r="M8423" s="401">
        <f>SUM(C8423,C8399,C8375,C8351,C8327,C8303,C8279)/POBLA!$B$22*100000</f>
        <v>38.024640375830643</v>
      </c>
    </row>
    <row r="8424" spans="1:13" s="360" customFormat="1" x14ac:dyDescent="0.25">
      <c r="A8424" s="361" t="s">
        <v>39</v>
      </c>
      <c r="B8424" s="2">
        <v>44243</v>
      </c>
      <c r="C8424" s="1">
        <v>22</v>
      </c>
      <c r="D8424" s="39">
        <f t="shared" si="1277"/>
        <v>22483</v>
      </c>
      <c r="E8424" s="1"/>
      <c r="F8424" s="39">
        <f t="shared" si="1276"/>
        <v>344</v>
      </c>
      <c r="G8424" s="168">
        <f>SUM(C8424,C8400,C8376,C8352,C8328,C8304,C8280,C8256,C8232,C8208,C8184,C8160,C8136,C8112)/POBLA!$B$23*100000</f>
        <v>324.0400384550133</v>
      </c>
      <c r="H8424" s="256">
        <f t="shared" si="1272"/>
        <v>0.64745762711864407</v>
      </c>
      <c r="I8424" s="297">
        <f t="shared" si="1274"/>
        <v>209.8021943895171</v>
      </c>
      <c r="J8424" s="297">
        <f t="shared" si="1275"/>
        <v>39.285714285714285</v>
      </c>
      <c r="K8424" s="297">
        <f>J8424/POBLA!$B$23*100000</f>
        <v>22.216656837479096</v>
      </c>
      <c r="L8424" s="549">
        <f t="shared" si="1273"/>
        <v>7.718120805369133E-2</v>
      </c>
      <c r="M8424" s="401">
        <f>SUM(C8424,C8400,C8376,C8352,C8328,C8304,C8280)/POBLA!$B$23*100000</f>
        <v>155.51659786235368</v>
      </c>
    </row>
    <row r="8425" spans="1:13" s="360" customFormat="1" ht="15.75" thickBot="1" x14ac:dyDescent="0.3">
      <c r="A8425" s="359" t="s">
        <v>40</v>
      </c>
      <c r="B8425" s="34">
        <v>44243</v>
      </c>
      <c r="C8425" s="232">
        <v>67</v>
      </c>
      <c r="D8425" s="67">
        <f t="shared" si="1277"/>
        <v>78194</v>
      </c>
      <c r="E8425" s="232">
        <v>6</v>
      </c>
      <c r="F8425" s="67">
        <f t="shared" si="1276"/>
        <v>1459</v>
      </c>
      <c r="G8425" s="177">
        <f>SUM(C8425,C8401,C8377,C8353,C8329,C8305,C8281,C8257,C8233,C8209,C8185,C8161,C8137,C8113)/POBLA!$B$24*100000</f>
        <v>87.274349484497151</v>
      </c>
      <c r="H8425" s="402">
        <f t="shared" si="1272"/>
        <v>0.72678132678132679</v>
      </c>
      <c r="I8425" s="403">
        <f t="shared" si="1274"/>
        <v>63.429367512320042</v>
      </c>
      <c r="J8425" s="403">
        <f t="shared" si="1275"/>
        <v>97.571428571428569</v>
      </c>
      <c r="K8425" s="403">
        <f>J8425/POBLA!$B$24*100000</f>
        <v>5.7575949674405047</v>
      </c>
      <c r="L8425" s="550">
        <f t="shared" si="1273"/>
        <v>0.14195979899497491</v>
      </c>
      <c r="M8425" s="405">
        <f>SUM(C8425,C8401,C8377,C8353,C8329,C8305,C8281)/POBLA!$B$24*100000</f>
        <v>40.303164772083541</v>
      </c>
    </row>
    <row r="8426" spans="1:13" s="360" customFormat="1" x14ac:dyDescent="0.25">
      <c r="A8426" s="363" t="s">
        <v>16</v>
      </c>
      <c r="B8426" s="265">
        <v>44244</v>
      </c>
      <c r="C8426" s="43">
        <v>2602</v>
      </c>
      <c r="D8426" s="174">
        <f t="shared" si="1277"/>
        <v>851056</v>
      </c>
      <c r="E8426" s="43">
        <v>67</v>
      </c>
      <c r="F8426" s="174">
        <f t="shared" ref="F8426:F8432" si="1278">E8426+F8402</f>
        <v>25636</v>
      </c>
      <c r="G8426" s="175">
        <f>SUM(C8426,C8402,C8378,C8354,C8330,C8306,C8282,C8258,C8234,C8210,C8186,C8162,C8138,C8114)/POBLA!$B$1*100000</f>
        <v>206.43468973882599</v>
      </c>
      <c r="H8426" s="300">
        <f t="shared" ref="H8426:H8449" si="1279">SUM(C8426,C8402,C8378,C8354,C8330,C8306,C8282,C8258,C8234,C8210,C8186,C8162,C8138,C8114)/SUM(C8090,C8066,C8042,C8018,C7994,C7970,C7946,C7922,C7898,C7874,C7850,C7826,C7802,C7778)</f>
        <v>0.7187717104349034</v>
      </c>
      <c r="I8426" s="301">
        <f>G8426*H8426</f>
        <v>148.37941503667457</v>
      </c>
      <c r="J8426" s="301">
        <f>AVERAGE(C8426,C8402,C8378,C8354,C8330,C8306,C8282)</f>
        <v>2264.5714285714284</v>
      </c>
      <c r="K8426" s="301">
        <f>J8426/POBLA!$B$1*100000</f>
        <v>12.910057724132248</v>
      </c>
      <c r="L8426" s="548">
        <f t="shared" ref="L8426:L8449" si="1280">1-SUM(C8426,C8402,C8378,C8354,C8330,C8306,C8282)/SUM(C8258,C8234,C8210,C8186,C8162,C8138,C8114)</f>
        <v>0.22137629549584947</v>
      </c>
      <c r="M8426" s="400">
        <f>SUM(C8426,C8402,C8378,C8354,C8330,C8306,C8282)/POBLA!$B$1*100000</f>
        <v>90.370404068925737</v>
      </c>
    </row>
    <row r="8427" spans="1:13" s="360" customFormat="1" x14ac:dyDescent="0.25">
      <c r="A8427" s="367" t="s">
        <v>43</v>
      </c>
      <c r="B8427" s="2">
        <v>44244</v>
      </c>
      <c r="C8427" s="1">
        <v>764</v>
      </c>
      <c r="D8427" s="39">
        <f t="shared" si="1277"/>
        <v>224137</v>
      </c>
      <c r="E8427" s="1">
        <v>7</v>
      </c>
      <c r="F8427" s="39">
        <f t="shared" si="1278"/>
        <v>6319</v>
      </c>
      <c r="G8427" s="168">
        <f>SUM(C8427,C8403,C8379,C8355,C8331,C8307,C8283,C8259,C8235,C8211,C8187,C8163,C8139,C8115)/POBLA!$B$2*100000</f>
        <v>347.24412367353068</v>
      </c>
      <c r="H8427" s="256">
        <f t="shared" si="1279"/>
        <v>0.71682663265991009</v>
      </c>
      <c r="I8427" s="297">
        <f t="shared" ref="I8427:I8449" si="1281">G8427*H8427</f>
        <v>248.91383588383837</v>
      </c>
      <c r="J8427" s="297">
        <f t="shared" ref="J8427:J8449" si="1282">AVERAGE(C8427,C8403,C8379,C8355,C8331,C8307,C8283)</f>
        <v>638.57142857142856</v>
      </c>
      <c r="K8427" s="297">
        <f>J8427/POBLA!$B$2*100000</f>
        <v>20.762188775022501</v>
      </c>
      <c r="L8427" s="549">
        <f t="shared" si="1280"/>
        <v>0.28019323671497587</v>
      </c>
      <c r="M8427" s="401">
        <f>SUM(C8427,C8403,C8379,C8355,C8331,C8307,C8283)/POBLA!$B$2*100000</f>
        <v>145.3353214251575</v>
      </c>
    </row>
    <row r="8428" spans="1:13" s="360" customFormat="1" x14ac:dyDescent="0.25">
      <c r="A8428" s="367" t="s">
        <v>28</v>
      </c>
      <c r="B8428" s="2">
        <v>44244</v>
      </c>
      <c r="C8428" s="1">
        <v>81</v>
      </c>
      <c r="D8428" s="39">
        <f t="shared" si="1277"/>
        <v>6963</v>
      </c>
      <c r="E8428" s="1"/>
      <c r="F8428" s="39">
        <f t="shared" si="1278"/>
        <v>17</v>
      </c>
      <c r="G8428" s="168">
        <f>SUM(C8428,C8404,C8380,C8356,C8332,C8308,C8284,C8260,C8236,C8212,C8188,C8164,C8140,C8116)/POBLA!$B$3*100000</f>
        <v>275.85343661388703</v>
      </c>
      <c r="H8428" s="256">
        <f t="shared" si="1279"/>
        <v>0.85842696629213489</v>
      </c>
      <c r="I8428" s="297">
        <f t="shared" si="1281"/>
        <v>236.80002873371876</v>
      </c>
      <c r="J8428" s="297">
        <f t="shared" si="1282"/>
        <v>71.714285714285708</v>
      </c>
      <c r="K8428" s="297">
        <f>J8428/POBLA!$B$3*100000</f>
        <v>17.262331735249475</v>
      </c>
      <c r="L8428" s="549">
        <f t="shared" si="1280"/>
        <v>0.22049689440993792</v>
      </c>
      <c r="M8428" s="401">
        <f>SUM(C8428,C8404,C8380,C8356,C8332,C8308,C8284)/POBLA!$B$3*100000</f>
        <v>120.83632214674634</v>
      </c>
    </row>
    <row r="8429" spans="1:13" s="360" customFormat="1" x14ac:dyDescent="0.25">
      <c r="A8429" s="367" t="s">
        <v>15</v>
      </c>
      <c r="B8429" s="2">
        <v>44244</v>
      </c>
      <c r="C8429" s="1">
        <v>104</v>
      </c>
      <c r="D8429" s="39">
        <f t="shared" si="1277"/>
        <v>32684</v>
      </c>
      <c r="E8429" s="1">
        <v>11</v>
      </c>
      <c r="F8429" s="39">
        <f t="shared" si="1278"/>
        <v>847</v>
      </c>
      <c r="G8429" s="168">
        <f>SUM(C8429,C8405,C8381,C8357,C8333,C8309,C8285,C8261,C8237,C8213,C8189,C8165,C8141,C8117)/POBLA!$B$4*100000</f>
        <v>129.42689372964475</v>
      </c>
      <c r="H8429" s="256">
        <f t="shared" si="1279"/>
        <v>0.74843975036005761</v>
      </c>
      <c r="I8429" s="297">
        <f t="shared" si="1281"/>
        <v>96.868232032893019</v>
      </c>
      <c r="J8429" s="297">
        <f t="shared" si="1282"/>
        <v>92.857142857142861</v>
      </c>
      <c r="K8429" s="297">
        <f>J8429/POBLA!$B$4*100000</f>
        <v>7.7089233871775944</v>
      </c>
      <c r="L8429" s="549">
        <f t="shared" si="1280"/>
        <v>0.2849284928492849</v>
      </c>
      <c r="M8429" s="401">
        <f>SUM(C8429,C8405,C8381,C8357,C8333,C8309,C8285)/POBLA!$B$4*100000</f>
        <v>53.962463710243149</v>
      </c>
    </row>
    <row r="8430" spans="1:13" s="360" customFormat="1" x14ac:dyDescent="0.25">
      <c r="A8430" s="367" t="s">
        <v>29</v>
      </c>
      <c r="B8430" s="2">
        <v>44244</v>
      </c>
      <c r="C8430" s="1">
        <v>175</v>
      </c>
      <c r="D8430" s="39">
        <f t="shared" si="1277"/>
        <v>45508</v>
      </c>
      <c r="E8430" s="1">
        <v>7</v>
      </c>
      <c r="F8430" s="39">
        <f t="shared" si="1278"/>
        <v>694</v>
      </c>
      <c r="G8430" s="168">
        <f>SUM(C8430,C8406,C8382,C8358,C8334,C8310,C8286,C8262,C8238,C8214,C8190,C8166,C8142,C8118)/POBLA!$B$5*100000</f>
        <v>381.26379254080007</v>
      </c>
      <c r="H8430" s="256">
        <f t="shared" si="1279"/>
        <v>0.58459251919742383</v>
      </c>
      <c r="I8430" s="297">
        <f t="shared" si="1281"/>
        <v>222.88396096019028</v>
      </c>
      <c r="J8430" s="297">
        <f t="shared" si="1282"/>
        <v>134.71428571428572</v>
      </c>
      <c r="K8430" s="297">
        <f>J8430/POBLA!$B$5*100000</f>
        <v>21.76342350883623</v>
      </c>
      <c r="L8430" s="549">
        <f t="shared" si="1280"/>
        <v>0.33450952717007765</v>
      </c>
      <c r="M8430" s="401">
        <f>SUM(C8430,C8406,C8382,C8358,C8334,C8310,C8286)/POBLA!$B$5*100000</f>
        <v>152.3439645618536</v>
      </c>
    </row>
    <row r="8431" spans="1:13" s="360" customFormat="1" x14ac:dyDescent="0.25">
      <c r="A8431" s="367" t="s">
        <v>30</v>
      </c>
      <c r="B8431" s="2">
        <v>44244</v>
      </c>
      <c r="C8431" s="1">
        <v>289</v>
      </c>
      <c r="D8431" s="39">
        <f t="shared" si="1277"/>
        <v>20421</v>
      </c>
      <c r="E8431" s="1">
        <v>1</v>
      </c>
      <c r="F8431" s="39">
        <f t="shared" si="1278"/>
        <v>286</v>
      </c>
      <c r="G8431" s="168">
        <f>SUM(C8431,C8407,C8383,C8359,C8335,C8311,C8287,C8263,C8239,C8215,C8191,C8167,C8143,C8119)/POBLA!$B$6*100000</f>
        <v>218.68288839856496</v>
      </c>
      <c r="H8431" s="256">
        <f t="shared" si="1279"/>
        <v>1.1161202185792349</v>
      </c>
      <c r="I8431" s="297">
        <f t="shared" si="1281"/>
        <v>244.07639319894477</v>
      </c>
      <c r="J8431" s="297">
        <f t="shared" si="1282"/>
        <v>191.14285714285714</v>
      </c>
      <c r="K8431" s="297">
        <f>J8431/POBLA!$B$6*100000</f>
        <v>17.054129782437482</v>
      </c>
      <c r="L8431" s="549">
        <f t="shared" si="1280"/>
        <v>-0.20215633423180601</v>
      </c>
      <c r="M8431" s="401">
        <f>SUM(C8431,C8407,C8383,C8359,C8335,C8311,C8287)/POBLA!$B$6*100000</f>
        <v>119.3789084770624</v>
      </c>
    </row>
    <row r="8432" spans="1:13" s="360" customFormat="1" x14ac:dyDescent="0.25">
      <c r="A8432" s="367" t="s">
        <v>20</v>
      </c>
      <c r="B8432" s="2">
        <v>44244</v>
      </c>
      <c r="C8432" s="1">
        <v>438</v>
      </c>
      <c r="D8432" s="39">
        <f t="shared" si="1277"/>
        <v>152911</v>
      </c>
      <c r="E8432" s="1">
        <v>5</v>
      </c>
      <c r="F8432" s="39">
        <f t="shared" si="1278"/>
        <v>2785</v>
      </c>
      <c r="G8432" s="168">
        <f>SUM(C8432,C8408,C8384,C8360,C8336,C8312,C8288,C8264,C8240,C8216,C8192,C8168,C8144,C8120)/POBLA!$B$7*100000</f>
        <v>170.16580462444654</v>
      </c>
      <c r="H8432" s="256">
        <f t="shared" si="1279"/>
        <v>0.90547615678505733</v>
      </c>
      <c r="I8432" s="297">
        <f t="shared" si="1281"/>
        <v>154.08107878758079</v>
      </c>
      <c r="J8432" s="297">
        <f t="shared" si="1282"/>
        <v>429</v>
      </c>
      <c r="K8432" s="297">
        <f>J8432/POBLA!$B$7*100000</f>
        <v>11.408209123908042</v>
      </c>
      <c r="L8432" s="549">
        <f t="shared" si="1280"/>
        <v>0.11572438162544174</v>
      </c>
      <c r="M8432" s="401">
        <f>SUM(C8432,C8408,C8384,C8360,C8336,C8312,C8288)/POBLA!$B$7*100000</f>
        <v>79.857463867356302</v>
      </c>
    </row>
    <row r="8433" spans="1:13" x14ac:dyDescent="0.25">
      <c r="A8433" s="367" t="s">
        <v>31</v>
      </c>
      <c r="B8433" s="2">
        <v>44244</v>
      </c>
      <c r="C8433" s="1">
        <v>85</v>
      </c>
      <c r="D8433" s="39">
        <f t="shared" si="1277"/>
        <v>43767</v>
      </c>
      <c r="E8433" s="1">
        <v>4</v>
      </c>
      <c r="F8433" s="39">
        <f t="shared" ref="F8433:F8449" si="1283">E8433+F8409</f>
        <v>796</v>
      </c>
      <c r="G8433" s="168">
        <f>SUM(C8433,C8409,C8385,C8361,C8337,C8313,C8289,C8265,C8241,C8217,C8193,C8169,C8145,C8121)/POBLA!$B$8*100000</f>
        <v>147.91180992827358</v>
      </c>
      <c r="H8433" s="256">
        <f t="shared" si="1279"/>
        <v>0.51352705410821642</v>
      </c>
      <c r="I8433" s="297">
        <f t="shared" si="1281"/>
        <v>75.956716020280766</v>
      </c>
      <c r="J8433" s="297">
        <f t="shared" si="1282"/>
        <v>111.42857142857143</v>
      </c>
      <c r="K8433" s="297">
        <f>J8433/POBLA!$B$8*100000</f>
        <v>8.0398056964497151</v>
      </c>
      <c r="L8433" s="549">
        <f t="shared" si="1280"/>
        <v>0.38582677165354329</v>
      </c>
      <c r="M8433" s="401">
        <f>SUM(C8433,C8409,C8385,C8361,C8337,C8313,C8289)/POBLA!$B$8*100000</f>
        <v>56.278639875147995</v>
      </c>
    </row>
    <row r="8434" spans="1:13" s="360" customFormat="1" x14ac:dyDescent="0.25">
      <c r="A8434" s="367" t="s">
        <v>41</v>
      </c>
      <c r="B8434" s="2">
        <v>44244</v>
      </c>
      <c r="C8434" s="1">
        <v>10</v>
      </c>
      <c r="D8434" s="39">
        <f t="shared" si="1277"/>
        <v>988</v>
      </c>
      <c r="E8434" s="1">
        <v>2</v>
      </c>
      <c r="F8434" s="39">
        <f t="shared" si="1283"/>
        <v>18</v>
      </c>
      <c r="G8434" s="168">
        <f>SUM(C8434,C8410,C8386,C8362,C8338,C8314,C8290,C8266,C8242,C8218,C8194,C8170,C8146,C8122)/POBLA!$B$9*100000</f>
        <v>21.976460401888321</v>
      </c>
      <c r="H8434" s="256">
        <f t="shared" si="1279"/>
        <v>0.85806451612903223</v>
      </c>
      <c r="I8434" s="297">
        <f t="shared" si="1281"/>
        <v>18.85722086097514</v>
      </c>
      <c r="J8434" s="297">
        <f t="shared" si="1282"/>
        <v>13.571428571428571</v>
      </c>
      <c r="K8434" s="297">
        <f>J8434/POBLA!$B$9*100000</f>
        <v>2.2424959593763596</v>
      </c>
      <c r="L8434" s="549">
        <f t="shared" si="1280"/>
        <v>-1.5</v>
      </c>
      <c r="M8434" s="401">
        <f>SUM(C8434,C8410,C8386,C8362,C8338,C8314,C8290)/POBLA!$B$9*100000</f>
        <v>15.697471715634517</v>
      </c>
    </row>
    <row r="8435" spans="1:13" s="360" customFormat="1" x14ac:dyDescent="0.25">
      <c r="A8435" s="367" t="s">
        <v>32</v>
      </c>
      <c r="B8435" s="2">
        <v>44244</v>
      </c>
      <c r="C8435" s="1">
        <v>51</v>
      </c>
      <c r="D8435" s="39">
        <f t="shared" si="1277"/>
        <v>19878</v>
      </c>
      <c r="E8435" s="1">
        <v>1</v>
      </c>
      <c r="F8435" s="39">
        <f t="shared" si="1283"/>
        <v>894</v>
      </c>
      <c r="G8435" s="168">
        <f>SUM(C8435,C8411,C8387,C8363,C8339,C8315,C8291,C8267,C8243,C8219,C8195,C8171,C8147,C8123)/POBLA!$B$10*100000</f>
        <v>61.358367893358377</v>
      </c>
      <c r="H8435" s="256">
        <f t="shared" si="1279"/>
        <v>1.1155660377358489</v>
      </c>
      <c r="I8435" s="297">
        <f t="shared" si="1281"/>
        <v>68.449311352732337</v>
      </c>
      <c r="J8435" s="297">
        <f t="shared" si="1282"/>
        <v>35</v>
      </c>
      <c r="K8435" s="297">
        <f>J8435/POBLA!$B$10*100000</f>
        <v>4.5402597806924803</v>
      </c>
      <c r="L8435" s="549">
        <f t="shared" si="1280"/>
        <v>-7.4561403508771829E-2</v>
      </c>
      <c r="M8435" s="401">
        <f>SUM(C8435,C8411,C8387,C8363,C8339,C8315,C8291)/POBLA!$B$10*100000</f>
        <v>31.781818464847362</v>
      </c>
    </row>
    <row r="8436" spans="1:13" s="360" customFormat="1" x14ac:dyDescent="0.25">
      <c r="A8436" s="367" t="s">
        <v>33</v>
      </c>
      <c r="B8436" s="2">
        <v>44244</v>
      </c>
      <c r="C8436" s="1">
        <v>43</v>
      </c>
      <c r="D8436" s="39">
        <f t="shared" si="1277"/>
        <v>17841</v>
      </c>
      <c r="E8436" s="1">
        <v>8</v>
      </c>
      <c r="F8436" s="39">
        <f t="shared" si="1283"/>
        <v>278</v>
      </c>
      <c r="G8436" s="168">
        <f>SUM(C8436,C8412,C8388,C8364,C8340,C8316,C8292,C8268,C8244,C8220,C8196,C8172,C8148,C8124)/POBLA!$B$11*100000</f>
        <v>318.05550905621214</v>
      </c>
      <c r="H8436" s="256">
        <f t="shared" si="1279"/>
        <v>0.88030888030888033</v>
      </c>
      <c r="I8436" s="297">
        <f t="shared" si="1281"/>
        <v>279.98708905334507</v>
      </c>
      <c r="J8436" s="297">
        <f t="shared" si="1282"/>
        <v>69.714285714285708</v>
      </c>
      <c r="K8436" s="297">
        <f>J8436/POBLA!$B$11*100000</f>
        <v>19.450011080129261</v>
      </c>
      <c r="L8436" s="549">
        <f t="shared" si="1280"/>
        <v>0.25153374233128833</v>
      </c>
      <c r="M8436" s="401">
        <f>SUM(C8436,C8412,C8388,C8364,C8340,C8316,C8292)/POBLA!$B$11*100000</f>
        <v>136.15007756090483</v>
      </c>
    </row>
    <row r="8437" spans="1:13" s="360" customFormat="1" x14ac:dyDescent="0.25">
      <c r="A8437" s="367" t="s">
        <v>21</v>
      </c>
      <c r="B8437" s="2">
        <v>44244</v>
      </c>
      <c r="C8437" s="1">
        <v>35</v>
      </c>
      <c r="D8437" s="39">
        <f t="shared" si="1277"/>
        <v>9916</v>
      </c>
      <c r="E8437" s="1">
        <v>13</v>
      </c>
      <c r="F8437" s="39">
        <f t="shared" si="1283"/>
        <v>430</v>
      </c>
      <c r="G8437" s="168">
        <f>SUM(C8437,C8413,C8389,C8365,C8341,C8317,C8293,C8269,C8245,C8221,C8197,C8173,C8149,C8125)/POBLA!$B$12*100000</f>
        <v>84.110273396504979</v>
      </c>
      <c r="H8437" s="256">
        <f t="shared" si="1279"/>
        <v>1.4646017699115044</v>
      </c>
      <c r="I8437" s="297">
        <f t="shared" si="1281"/>
        <v>123.18805528426171</v>
      </c>
      <c r="J8437" s="297">
        <f t="shared" si="1282"/>
        <v>26.285714285714285</v>
      </c>
      <c r="K8437" s="297">
        <f>J8437/POBLA!$B$12*100000</f>
        <v>6.6794520090448488</v>
      </c>
      <c r="L8437" s="549">
        <f t="shared" si="1280"/>
        <v>-0.2517006802721089</v>
      </c>
      <c r="M8437" s="401">
        <f>SUM(C8437,C8413,C8389,C8365,C8341,C8317,C8293)/POBLA!$B$12*100000</f>
        <v>46.756164063313946</v>
      </c>
    </row>
    <row r="8438" spans="1:13" s="360" customFormat="1" x14ac:dyDescent="0.25">
      <c r="A8438" s="367" t="s">
        <v>17</v>
      </c>
      <c r="B8438" s="2">
        <v>44244</v>
      </c>
      <c r="C8438" s="1">
        <v>134</v>
      </c>
      <c r="D8438" s="39">
        <f t="shared" si="1277"/>
        <v>65864</v>
      </c>
      <c r="E8438" s="1">
        <v>1</v>
      </c>
      <c r="F8438" s="39">
        <f t="shared" si="1283"/>
        <v>1415</v>
      </c>
      <c r="G8438" s="168">
        <f>SUM(C8438,C8414,C8390,C8366,C8342,C8318,C8294,C8270,C8246,C8222,C8198,C8174,C8150,C8126)/POBLA!$B$13*100000</f>
        <v>83.654133117088648</v>
      </c>
      <c r="H8438" s="256">
        <f t="shared" si="1279"/>
        <v>1.0659411011523687</v>
      </c>
      <c r="I8438" s="297">
        <f t="shared" si="1281"/>
        <v>89.17037877077631</v>
      </c>
      <c r="J8438" s="297">
        <f t="shared" si="1282"/>
        <v>91</v>
      </c>
      <c r="K8438" s="297">
        <f>J8438/POBLA!$B$13*100000</f>
        <v>4.5720877559489894</v>
      </c>
      <c r="L8438" s="549">
        <f t="shared" si="1280"/>
        <v>0.38035019455252916</v>
      </c>
      <c r="M8438" s="401">
        <f>SUM(C8438,C8414,C8390,C8366,C8342,C8318,C8294)/POBLA!$B$13*100000</f>
        <v>32.00461429164293</v>
      </c>
    </row>
    <row r="8439" spans="1:13" s="360" customFormat="1" x14ac:dyDescent="0.25">
      <c r="A8439" s="367" t="s">
        <v>23</v>
      </c>
      <c r="B8439" s="2">
        <v>44244</v>
      </c>
      <c r="C8439" s="1">
        <v>95</v>
      </c>
      <c r="D8439" s="39">
        <f t="shared" si="1277"/>
        <v>7059</v>
      </c>
      <c r="E8439" s="1">
        <v>2</v>
      </c>
      <c r="F8439" s="39">
        <f t="shared" si="1283"/>
        <v>122</v>
      </c>
      <c r="G8439" s="168">
        <f>SUM(C8439,C8415,C8391,C8367,C8343,C8319,C8295,C8271,C8247,C8223,C8199,C8175,C8151,C8127)/POBLA!$B$14*100000</f>
        <v>136.84359078850767</v>
      </c>
      <c r="H8439" s="256">
        <f t="shared" si="1279"/>
        <v>0.67055167055167053</v>
      </c>
      <c r="I8439" s="297">
        <f t="shared" si="1281"/>
        <v>91.760698407523009</v>
      </c>
      <c r="J8439" s="297">
        <f t="shared" si="1282"/>
        <v>109.42857142857143</v>
      </c>
      <c r="K8439" s="297">
        <f>J8439/POBLA!$B$14*100000</f>
        <v>8.6758972474753264</v>
      </c>
      <c r="L8439" s="549">
        <f t="shared" si="1280"/>
        <v>0.20208333333333328</v>
      </c>
      <c r="M8439" s="401">
        <f>SUM(C8439,C8415,C8391,C8367,C8343,C8319,C8295)/POBLA!$B$14*100000</f>
        <v>60.731280732327271</v>
      </c>
    </row>
    <row r="8440" spans="1:13" s="360" customFormat="1" x14ac:dyDescent="0.25">
      <c r="A8440" s="367" t="s">
        <v>19</v>
      </c>
      <c r="B8440" s="2">
        <v>44244</v>
      </c>
      <c r="C8440" s="1">
        <v>225</v>
      </c>
      <c r="D8440" s="39">
        <f t="shared" si="1277"/>
        <v>59148</v>
      </c>
      <c r="E8440" s="1">
        <v>4</v>
      </c>
      <c r="F8440" s="39">
        <f t="shared" si="1283"/>
        <v>870</v>
      </c>
      <c r="G8440" s="168">
        <f>SUM(C8440,C8416,C8392,C8368,C8344,C8320,C8296,C8272,C8248,C8224,C8200,C8176,C8152,C8128)/POBLA!$B$15*100000</f>
        <v>566.66822275798609</v>
      </c>
      <c r="H8440" s="256">
        <f t="shared" si="1279"/>
        <v>0.65375260597637253</v>
      </c>
      <c r="I8440" s="297">
        <f t="shared" si="1281"/>
        <v>370.46082735203299</v>
      </c>
      <c r="J8440" s="297">
        <f t="shared" si="1282"/>
        <v>218</v>
      </c>
      <c r="K8440" s="297">
        <f>J8440/POBLA!$B$15*100000</f>
        <v>32.828507191400739</v>
      </c>
      <c r="L8440" s="549">
        <f t="shared" si="1280"/>
        <v>0.31783638801966918</v>
      </c>
      <c r="M8440" s="401">
        <f>SUM(C8440,C8416,C8392,C8368,C8344,C8320,C8296)/POBLA!$B$15*100000</f>
        <v>229.79955033980517</v>
      </c>
    </row>
    <row r="8441" spans="1:13" s="360" customFormat="1" x14ac:dyDescent="0.25">
      <c r="A8441" s="367" t="s">
        <v>18</v>
      </c>
      <c r="B8441" s="2">
        <v>44244</v>
      </c>
      <c r="C8441" s="1">
        <v>151</v>
      </c>
      <c r="D8441" s="39">
        <f t="shared" si="1277"/>
        <v>50948</v>
      </c>
      <c r="E8441" s="1">
        <v>10</v>
      </c>
      <c r="F8441" s="39">
        <f t="shared" si="1283"/>
        <v>1129</v>
      </c>
      <c r="G8441" s="168">
        <f>SUM(C8441,C8417,C8393,C8369,C8345,C8321,C8297,C8273,C8249,C8225,C8201,C8177,C8153,C8129)/POBLA!$B$16*100000</f>
        <v>292.66596219954255</v>
      </c>
      <c r="H8441" s="256">
        <f t="shared" si="1279"/>
        <v>0.58300026645350389</v>
      </c>
      <c r="I8441" s="297">
        <f t="shared" si="1281"/>
        <v>170.62433394420441</v>
      </c>
      <c r="J8441" s="297">
        <f t="shared" si="1282"/>
        <v>133</v>
      </c>
      <c r="K8441" s="297">
        <f>J8441/POBLA!$B$16*100000</f>
        <v>17.790024210484074</v>
      </c>
      <c r="L8441" s="549">
        <f t="shared" si="1280"/>
        <v>0.2593476531424026</v>
      </c>
      <c r="M8441" s="401">
        <f>SUM(C8441,C8417,C8393,C8369,C8345,C8321,C8297)/POBLA!$B$16*100000</f>
        <v>124.53016947338853</v>
      </c>
    </row>
    <row r="8442" spans="1:13" s="360" customFormat="1" x14ac:dyDescent="0.25">
      <c r="A8442" s="367" t="s">
        <v>34</v>
      </c>
      <c r="B8442" s="2">
        <v>44244</v>
      </c>
      <c r="C8442" s="1">
        <v>34</v>
      </c>
      <c r="D8442" s="39">
        <f t="shared" si="1277"/>
        <v>24935</v>
      </c>
      <c r="E8442" s="1">
        <v>2</v>
      </c>
      <c r="F8442" s="39">
        <f t="shared" si="1283"/>
        <v>1071</v>
      </c>
      <c r="G8442" s="168">
        <f>SUM(C8442,C8418,C8394,C8370,C8346,C8322,C8298,C8274,C8250,C8226,C8202,C8178,C8154,C8130)/POBLA!$B$17*100000</f>
        <v>67.537350893044575</v>
      </c>
      <c r="H8442" s="256">
        <f t="shared" si="1279"/>
        <v>1.293010752688172</v>
      </c>
      <c r="I8442" s="297">
        <f t="shared" si="1281"/>
        <v>87.326520912780751</v>
      </c>
      <c r="J8442" s="297">
        <f t="shared" si="1282"/>
        <v>60.285714285714285</v>
      </c>
      <c r="K8442" s="297">
        <f>J8442/POBLA!$B$17*100000</f>
        <v>4.2323674007818246</v>
      </c>
      <c r="L8442" s="549">
        <f t="shared" si="1280"/>
        <v>0.21851851851851856</v>
      </c>
      <c r="M8442" s="401">
        <f>SUM(C8442,C8418,C8394,C8370,C8346,C8322,C8298)/POBLA!$B$17*100000</f>
        <v>29.626571805472768</v>
      </c>
    </row>
    <row r="8443" spans="1:13" s="360" customFormat="1" x14ac:dyDescent="0.25">
      <c r="A8443" s="367" t="s">
        <v>35</v>
      </c>
      <c r="B8443" s="2">
        <v>44244</v>
      </c>
      <c r="C8443" s="1">
        <v>82</v>
      </c>
      <c r="D8443" s="39">
        <f t="shared" si="1277"/>
        <v>14742</v>
      </c>
      <c r="E8443" s="1">
        <v>1</v>
      </c>
      <c r="F8443" s="39">
        <f t="shared" si="1283"/>
        <v>204</v>
      </c>
      <c r="G8443" s="168">
        <f>SUM(C8443,C8419,C8395,C8371,C8347,C8323,C8299,C8275,C8251,C8227,C8203,C8179,C8155,C8131)/POBLA!$B$18*100000</f>
        <v>77.187260389878873</v>
      </c>
      <c r="H8443" s="256">
        <f t="shared" si="1279"/>
        <v>0.76620076238881829</v>
      </c>
      <c r="I8443" s="297">
        <f t="shared" si="1281"/>
        <v>59.140937757429427</v>
      </c>
      <c r="J8443" s="297">
        <f t="shared" si="1282"/>
        <v>40.714285714285715</v>
      </c>
      <c r="K8443" s="297">
        <f>J8443/POBLA!$B$18*100000</f>
        <v>5.2116487114701444</v>
      </c>
      <c r="L8443" s="549">
        <f t="shared" si="1280"/>
        <v>0.10377358490566035</v>
      </c>
      <c r="M8443" s="401">
        <f>SUM(C8443,C8419,C8395,C8371,C8347,C8323,C8299)/POBLA!$B$18*100000</f>
        <v>36.481540980291008</v>
      </c>
    </row>
    <row r="8444" spans="1:13" s="360" customFormat="1" x14ac:dyDescent="0.25">
      <c r="A8444" s="367" t="s">
        <v>36</v>
      </c>
      <c r="B8444" s="2">
        <v>44244</v>
      </c>
      <c r="C8444" s="1">
        <v>6</v>
      </c>
      <c r="D8444" s="39">
        <f t="shared" si="1277"/>
        <v>20227</v>
      </c>
      <c r="E8444" s="1">
        <v>1</v>
      </c>
      <c r="F8444" s="39">
        <f t="shared" si="1283"/>
        <v>348</v>
      </c>
      <c r="G8444" s="168">
        <f>SUM(C8444,C8420,C8396,C8372,C8348,C8324,C8300,C8276,C8252,C8228,C8204,C8180,C8156,C8132)/POBLA!$B$19*100000</f>
        <v>224.06792464707829</v>
      </c>
      <c r="H8444" s="256">
        <f t="shared" si="1279"/>
        <v>0.59138110072689509</v>
      </c>
      <c r="I8444" s="297">
        <f t="shared" si="1281"/>
        <v>132.50953591538016</v>
      </c>
      <c r="J8444" s="297">
        <f t="shared" si="1282"/>
        <v>157.57142857142858</v>
      </c>
      <c r="K8444" s="297">
        <f>J8444/POBLA!$B$19*100000</f>
        <v>30.997983304368162</v>
      </c>
      <c r="L8444" s="549">
        <f t="shared" si="1280"/>
        <v>-29.638888888888889</v>
      </c>
      <c r="M8444" s="401">
        <f>SUM(C8444,C8420,C8396,C8372,C8348,C8324,C8300)/POBLA!$B$19*100000</f>
        <v>216.98588313057709</v>
      </c>
    </row>
    <row r="8445" spans="1:13" s="360" customFormat="1" x14ac:dyDescent="0.25">
      <c r="A8445" s="367" t="s">
        <v>37</v>
      </c>
      <c r="B8445" s="2">
        <v>44244</v>
      </c>
      <c r="C8445" s="1">
        <v>117</v>
      </c>
      <c r="D8445" s="39">
        <f t="shared" si="1277"/>
        <v>34750</v>
      </c>
      <c r="E8445" s="1">
        <v>15</v>
      </c>
      <c r="F8445" s="39">
        <f t="shared" si="1283"/>
        <v>555</v>
      </c>
      <c r="G8445" s="168">
        <f>SUM(C8445,C8421,C8397,C8373,C8349,C8325,C8301,C8277,C8253,C8229,C8205,C8181,C8157,C8133)/POBLA!$B$20*100000</f>
        <v>408.26036784450559</v>
      </c>
      <c r="H8445" s="256">
        <f t="shared" si="1279"/>
        <v>0.56382175226586106</v>
      </c>
      <c r="I8445" s="297">
        <f t="shared" si="1281"/>
        <v>230.18607597879415</v>
      </c>
      <c r="J8445" s="297">
        <f t="shared" si="1282"/>
        <v>81.857142857142861</v>
      </c>
      <c r="K8445" s="297">
        <f>J8445/POBLA!$B$20*100000</f>
        <v>22.383809279006957</v>
      </c>
      <c r="L8445" s="549">
        <f t="shared" si="1280"/>
        <v>0.37717391304347825</v>
      </c>
      <c r="M8445" s="401">
        <f>SUM(C8445,C8421,C8397,C8373,C8349,C8325,C8301)/POBLA!$B$20*100000</f>
        <v>156.68666495304871</v>
      </c>
    </row>
    <row r="8446" spans="1:13" s="360" customFormat="1" x14ac:dyDescent="0.25">
      <c r="A8446" s="367" t="s">
        <v>22</v>
      </c>
      <c r="B8446" s="2">
        <v>44244</v>
      </c>
      <c r="C8446" s="1">
        <v>320</v>
      </c>
      <c r="D8446" s="39">
        <f t="shared" si="1277"/>
        <v>212567</v>
      </c>
      <c r="E8446" s="1">
        <v>18</v>
      </c>
      <c r="F8446" s="39">
        <f t="shared" si="1283"/>
        <v>3830</v>
      </c>
      <c r="G8446" s="168">
        <f>SUM(C8446,C8422,C8398,C8374,C8350,C8326,C8302,C8278,C8254,C8230,C8206,C8182,C8158,C8134)/POBLA!$B$21*100000</f>
        <v>141.81015931940172</v>
      </c>
      <c r="H8446" s="256">
        <f t="shared" si="1279"/>
        <v>0.54469425437167374</v>
      </c>
      <c r="I8446" s="297">
        <f t="shared" si="1281"/>
        <v>77.243178992809774</v>
      </c>
      <c r="J8446" s="297">
        <f t="shared" si="1282"/>
        <v>293.28571428571428</v>
      </c>
      <c r="K8446" s="297">
        <f>J8446/POBLA!$B$21*100000</f>
        <v>8.2932988771608525</v>
      </c>
      <c r="L8446" s="549">
        <f t="shared" si="1280"/>
        <v>0.30688723835246456</v>
      </c>
      <c r="M8446" s="401">
        <f>SUM(C8446,C8422,C8398,C8374,C8350,C8326,C8302)/POBLA!$B$21*100000</f>
        <v>58.053092140125962</v>
      </c>
    </row>
    <row r="8447" spans="1:13" s="360" customFormat="1" x14ac:dyDescent="0.25">
      <c r="A8447" s="367" t="s">
        <v>38</v>
      </c>
      <c r="B8447" s="2">
        <v>44244</v>
      </c>
      <c r="C8447" s="1">
        <v>48</v>
      </c>
      <c r="D8447" s="39">
        <f t="shared" si="1277"/>
        <v>21962</v>
      </c>
      <c r="E8447" s="1">
        <v>2</v>
      </c>
      <c r="F8447" s="39">
        <f t="shared" si="1283"/>
        <v>261</v>
      </c>
      <c r="G8447" s="168">
        <f>SUM(C8447,C8423,C8399,C8375,C8351,C8327,C8303,C8279,C8255,C8231,C8207,C8183,C8159,C8135)/POBLA!$B$22*100000</f>
        <v>86.679825372861245</v>
      </c>
      <c r="H8447" s="256">
        <f t="shared" si="1279"/>
        <v>0.73419913419913418</v>
      </c>
      <c r="I8447" s="297">
        <f t="shared" si="1281"/>
        <v>63.640252741286872</v>
      </c>
      <c r="J8447" s="297">
        <f t="shared" si="1282"/>
        <v>47</v>
      </c>
      <c r="K8447" s="297">
        <f>J8447/POBLA!$B$22*100000</f>
        <v>4.8041884345807535</v>
      </c>
      <c r="L8447" s="549">
        <f t="shared" si="1280"/>
        <v>0.36608863198458574</v>
      </c>
      <c r="M8447" s="401">
        <f>SUM(C8447,C8423,C8399,C8375,C8351,C8327,C8303)/POBLA!$B$22*100000</f>
        <v>33.629319042065269</v>
      </c>
    </row>
    <row r="8448" spans="1:13" s="360" customFormat="1" x14ac:dyDescent="0.25">
      <c r="A8448" s="367" t="s">
        <v>39</v>
      </c>
      <c r="B8448" s="2">
        <v>44244</v>
      </c>
      <c r="C8448" s="1">
        <v>46</v>
      </c>
      <c r="D8448" s="39">
        <f t="shared" si="1277"/>
        <v>22529</v>
      </c>
      <c r="E8448" s="1">
        <v>1</v>
      </c>
      <c r="F8448" s="39">
        <f t="shared" si="1283"/>
        <v>345</v>
      </c>
      <c r="G8448" s="168">
        <f>SUM(C8448,C8424,C8400,C8376,C8352,C8328,C8304,C8280,C8256,C8232,C8208,C8184,C8160,C8136)/POBLA!$B$23*100000</f>
        <v>317.81937454051911</v>
      </c>
      <c r="H8448" s="256">
        <f t="shared" si="1279"/>
        <v>0.66039952996474738</v>
      </c>
      <c r="I8448" s="297">
        <f t="shared" si="1281"/>
        <v>209.88776556024882</v>
      </c>
      <c r="J8448" s="297">
        <f t="shared" si="1282"/>
        <v>30.142857142857142</v>
      </c>
      <c r="K8448" s="297">
        <f>J8448/POBLA!$B$23*100000</f>
        <v>17.046234882574868</v>
      </c>
      <c r="L8448" s="549">
        <f t="shared" si="1280"/>
        <v>0.39886039886039881</v>
      </c>
      <c r="M8448" s="401">
        <f>SUM(C8448,C8424,C8400,C8376,C8352,C8328,C8304)/POBLA!$B$23*100000</f>
        <v>119.3236441780241</v>
      </c>
    </row>
    <row r="8449" spans="1:13" s="360" customFormat="1" ht="15.75" thickBot="1" x14ac:dyDescent="0.3">
      <c r="A8449" s="369" t="s">
        <v>40</v>
      </c>
      <c r="B8449" s="266">
        <v>44244</v>
      </c>
      <c r="C8449" s="44">
        <v>129</v>
      </c>
      <c r="D8449" s="176">
        <f t="shared" si="1277"/>
        <v>78323</v>
      </c>
      <c r="E8449" s="44"/>
      <c r="F8449" s="176">
        <f t="shared" si="1283"/>
        <v>1459</v>
      </c>
      <c r="G8449" s="177">
        <f>SUM(C8449,C8425,C8401,C8377,C8353,C8329,C8305,C8281,C8257,C8233,C8209,C8185,C8161,C8137)/POBLA!$B$24*100000</f>
        <v>87.510385588579624</v>
      </c>
      <c r="H8449" s="402">
        <f t="shared" si="1279"/>
        <v>0.73707753479125249</v>
      </c>
      <c r="I8449" s="403">
        <f t="shared" si="1281"/>
        <v>64.501939278262213</v>
      </c>
      <c r="J8449" s="403">
        <f t="shared" si="1282"/>
        <v>100.57142857142857</v>
      </c>
      <c r="K8449" s="403">
        <f>J8449/POBLA!$B$24*100000</f>
        <v>5.9346220455023655</v>
      </c>
      <c r="L8449" s="550">
        <f t="shared" si="1280"/>
        <v>9.6277278562259316E-2</v>
      </c>
      <c r="M8449" s="405">
        <f>SUM(C8449,C8425,C8401,C8377,C8353,C8329,C8305)/POBLA!$B$24*100000</f>
        <v>41.542354318516566</v>
      </c>
    </row>
    <row r="8450" spans="1:13" s="360" customFormat="1" x14ac:dyDescent="0.25">
      <c r="A8450" s="363" t="s">
        <v>16</v>
      </c>
      <c r="B8450" s="267">
        <v>44245</v>
      </c>
      <c r="C8450" s="225">
        <v>3254</v>
      </c>
      <c r="D8450" s="174">
        <f t="shared" si="1277"/>
        <v>854310</v>
      </c>
      <c r="E8450" s="225">
        <v>154</v>
      </c>
      <c r="F8450" s="174">
        <f t="shared" ref="F8450:F8456" si="1284">E8450+F8426</f>
        <v>25790</v>
      </c>
      <c r="G8450" s="175">
        <f>SUM(C8450,C8426,C8402,C8378,C8354,C8330,C8306,C8282,C8258,C8234,C8210,C8186,C8162,C8138)/POBLA!$B$1*100000</f>
        <v>203.84078777999676</v>
      </c>
      <c r="H8450" s="300">
        <f t="shared" ref="H8450:H8473" si="1285">SUM(C8450,C8426,C8402,C8378,C8354,C8330,C8306,C8282,C8258,C8234,C8210,C8186,C8162,C8138)/SUM(C8114,C8090,C8066,C8042,C8018,C7994,C7970,C7946,C7922,C7898,C7874,C7850,C7826,C7802)</f>
        <v>0.7229568522787011</v>
      </c>
      <c r="I8450" s="301">
        <f>G8450*H8450</f>
        <v>147.36809429943719</v>
      </c>
      <c r="J8450" s="301">
        <f>AVERAGE(C8450,C8426,C8402,C8378,C8354,C8330,C8306)</f>
        <v>2279.4285714285716</v>
      </c>
      <c r="K8450" s="301">
        <f>J8450/POBLA!$B$1*100000</f>
        <v>12.994756563604223</v>
      </c>
      <c r="L8450" s="548">
        <f t="shared" ref="L8450:L8473" si="1286">1-SUM(C8450,C8426,C8402,C8378,C8354,C8330,C8306)/SUM(C8282,C8258,C8234,C8210,C8186,C8162,C8138)</f>
        <v>0.19414141414141417</v>
      </c>
      <c r="M8450" s="400">
        <f>SUM(C8450,C8426,C8402,C8378,C8354,C8330,C8306)/POBLA!$B$1*100000</f>
        <v>90.963295945229561</v>
      </c>
    </row>
    <row r="8451" spans="1:13" s="360" customFormat="1" x14ac:dyDescent="0.25">
      <c r="A8451" s="367" t="s">
        <v>43</v>
      </c>
      <c r="B8451" s="267">
        <v>44245</v>
      </c>
      <c r="C8451" s="1">
        <v>794</v>
      </c>
      <c r="D8451" s="39">
        <f t="shared" si="1277"/>
        <v>224931</v>
      </c>
      <c r="E8451" s="1">
        <v>36</v>
      </c>
      <c r="F8451" s="39">
        <f t="shared" si="1284"/>
        <v>6355</v>
      </c>
      <c r="G8451" s="168">
        <f>SUM(C8451,C8427,C8403,C8379,C8355,C8331,C8307,C8283,C8259,C8235,C8211,C8187,C8163,C8139)/POBLA!$B$2*100000</f>
        <v>333.58845588861658</v>
      </c>
      <c r="H8451" s="256">
        <f t="shared" si="1285"/>
        <v>0.69100215517241381</v>
      </c>
      <c r="I8451" s="297">
        <f t="shared" ref="I8451:I8473" si="1287">G8451*H8451</f>
        <v>230.51034195967176</v>
      </c>
      <c r="J8451" s="297">
        <f t="shared" ref="J8451:J8473" si="1288">AVERAGE(C8451,C8427,C8403,C8379,C8355,C8331,C8307)</f>
        <v>642.57142857142856</v>
      </c>
      <c r="K8451" s="297">
        <f>J8451/POBLA!$B$2*100000</f>
        <v>20.892242753926446</v>
      </c>
      <c r="L8451" s="549">
        <f t="shared" si="1286"/>
        <v>0.21936827490454702</v>
      </c>
      <c r="M8451" s="401">
        <f>SUM(C8451,C8427,C8403,C8379,C8355,C8331,C8307)/POBLA!$B$2*100000</f>
        <v>146.24569927748513</v>
      </c>
    </row>
    <row r="8452" spans="1:13" s="360" customFormat="1" x14ac:dyDescent="0.25">
      <c r="A8452" s="367" t="s">
        <v>28</v>
      </c>
      <c r="B8452" s="267">
        <v>44245</v>
      </c>
      <c r="C8452" s="1">
        <v>68</v>
      </c>
      <c r="D8452" s="39">
        <f t="shared" si="1277"/>
        <v>7031</v>
      </c>
      <c r="E8452" s="1"/>
      <c r="F8452" s="39">
        <f t="shared" si="1284"/>
        <v>17</v>
      </c>
      <c r="G8452" s="168">
        <f>SUM(C8452,C8428,C8404,C8380,C8356,C8332,C8308,C8284,C8260,C8236,C8212,C8188,C8164,C8140)/POBLA!$B$3*100000</f>
        <v>262.37368752978784</v>
      </c>
      <c r="H8452" s="256">
        <f t="shared" si="1285"/>
        <v>0.79912023460410553</v>
      </c>
      <c r="I8452" s="297">
        <f t="shared" si="1287"/>
        <v>209.66812273274834</v>
      </c>
      <c r="J8452" s="297">
        <f t="shared" si="1288"/>
        <v>67.142857142857139</v>
      </c>
      <c r="K8452" s="297">
        <f>J8452/POBLA!$B$3*100000</f>
        <v>16.161944054914844</v>
      </c>
      <c r="L8452" s="549">
        <f t="shared" si="1286"/>
        <v>0.24193548387096775</v>
      </c>
      <c r="M8452" s="401">
        <f>SUM(C8452,C8428,C8404,C8380,C8356,C8332,C8308)/POBLA!$B$3*100000</f>
        <v>113.13360838440393</v>
      </c>
    </row>
    <row r="8453" spans="1:13" s="360" customFormat="1" x14ac:dyDescent="0.25">
      <c r="A8453" s="367" t="s">
        <v>15</v>
      </c>
      <c r="B8453" s="267">
        <v>44245</v>
      </c>
      <c r="C8453" s="1">
        <v>100</v>
      </c>
      <c r="D8453" s="39">
        <f t="shared" si="1277"/>
        <v>32784</v>
      </c>
      <c r="E8453" s="1">
        <v>3</v>
      </c>
      <c r="F8453" s="39">
        <f t="shared" si="1284"/>
        <v>850</v>
      </c>
      <c r="G8453" s="168">
        <f>SUM(C8453,C8429,C8405,C8381,C8357,C8333,C8309,C8285,C8261,C8237,C8213,C8189,C8165,C8141)/POBLA!$B$4*100000</f>
        <v>126.68726095666317</v>
      </c>
      <c r="H8453" s="256">
        <f t="shared" si="1285"/>
        <v>0.78863049095607241</v>
      </c>
      <c r="I8453" s="297">
        <f t="shared" si="1287"/>
        <v>99.909436806133343</v>
      </c>
      <c r="J8453" s="297">
        <f t="shared" si="1288"/>
        <v>87.428571428571431</v>
      </c>
      <c r="K8453" s="297">
        <f>J8453/POBLA!$B$4*100000</f>
        <v>7.2582478660810574</v>
      </c>
      <c r="L8453" s="549">
        <f t="shared" si="1286"/>
        <v>0.33041575492341357</v>
      </c>
      <c r="M8453" s="401">
        <f>SUM(C8453,C8429,C8405,C8381,C8357,C8333,C8309)/POBLA!$B$4*100000</f>
        <v>50.807735062567403</v>
      </c>
    </row>
    <row r="8454" spans="1:13" s="360" customFormat="1" x14ac:dyDescent="0.25">
      <c r="A8454" s="367" t="s">
        <v>29</v>
      </c>
      <c r="B8454" s="267">
        <v>44245</v>
      </c>
      <c r="C8454" s="1">
        <v>314</v>
      </c>
      <c r="D8454" s="39">
        <f t="shared" si="1277"/>
        <v>45822</v>
      </c>
      <c r="E8454" s="1">
        <v>3</v>
      </c>
      <c r="F8454" s="39">
        <f t="shared" si="1284"/>
        <v>697</v>
      </c>
      <c r="G8454" s="168">
        <f>SUM(C8454,C8430,C8406,C8382,C8358,C8334,C8310,C8286,C8262,C8238,C8214,C8190,C8166,C8142)/POBLA!$B$5*100000</f>
        <v>387.72589071945771</v>
      </c>
      <c r="H8454" s="256">
        <f t="shared" si="1285"/>
        <v>0.61068702290076338</v>
      </c>
      <c r="I8454" s="297">
        <f t="shared" si="1287"/>
        <v>236.77916990501234</v>
      </c>
      <c r="J8454" s="297">
        <f t="shared" si="1288"/>
        <v>145.28571428571428</v>
      </c>
      <c r="K8454" s="297">
        <f>J8454/POBLA!$B$5*100000</f>
        <v>23.471263741767167</v>
      </c>
      <c r="L8454" s="549">
        <f t="shared" si="1286"/>
        <v>0.26464208242950105</v>
      </c>
      <c r="M8454" s="401">
        <f>SUM(C8454,C8430,C8406,C8382,C8358,C8334,C8310)/POBLA!$B$5*100000</f>
        <v>164.29884619237021</v>
      </c>
    </row>
    <row r="8455" spans="1:13" s="360" customFormat="1" x14ac:dyDescent="0.25">
      <c r="A8455" s="367" t="s">
        <v>30</v>
      </c>
      <c r="B8455" s="267">
        <v>44245</v>
      </c>
      <c r="C8455" s="1">
        <v>147</v>
      </c>
      <c r="D8455" s="39">
        <f t="shared" si="1277"/>
        <v>20568</v>
      </c>
      <c r="E8455" s="1"/>
      <c r="F8455" s="39">
        <f t="shared" si="1284"/>
        <v>286</v>
      </c>
      <c r="G8455" s="168">
        <f>SUM(C8455,C8431,C8407,C8383,C8359,C8335,C8311,C8287,C8263,C8239,C8215,C8191,C8167,C8143)/POBLA!$B$6*100000</f>
        <v>214.31101506868751</v>
      </c>
      <c r="H8455" s="256">
        <f t="shared" si="1285"/>
        <v>1.0642445724412937</v>
      </c>
      <c r="I8455" s="297">
        <f t="shared" si="1287"/>
        <v>228.07933460123499</v>
      </c>
      <c r="J8455" s="297">
        <f t="shared" si="1288"/>
        <v>202.28571428571428</v>
      </c>
      <c r="K8455" s="297">
        <f>J8455/POBLA!$B$6*100000</f>
        <v>18.048316720427113</v>
      </c>
      <c r="L8455" s="549">
        <f t="shared" si="1286"/>
        <v>-0.43610547667342803</v>
      </c>
      <c r="M8455" s="401">
        <f>SUM(C8455,C8431,C8407,C8383,C8359,C8335,C8311)/POBLA!$B$6*100000</f>
        <v>126.33821704298978</v>
      </c>
    </row>
    <row r="8456" spans="1:13" s="360" customFormat="1" x14ac:dyDescent="0.25">
      <c r="A8456" s="367" t="s">
        <v>20</v>
      </c>
      <c r="B8456" s="267">
        <v>44245</v>
      </c>
      <c r="C8456" s="1">
        <v>848</v>
      </c>
      <c r="D8456" s="39">
        <f t="shared" si="1277"/>
        <v>153759</v>
      </c>
      <c r="E8456" s="1">
        <v>5</v>
      </c>
      <c r="F8456" s="39">
        <f t="shared" si="1284"/>
        <v>2790</v>
      </c>
      <c r="G8456" s="168">
        <f>SUM(C8456,C8432,C8408,C8384,C8360,C8336,C8312,C8288,C8264,C8240,C8216,C8192,C8168,C8144)/POBLA!$B$7*100000</f>
        <v>178.56905423553033</v>
      </c>
      <c r="H8456" s="256">
        <f t="shared" si="1285"/>
        <v>0.9661870503597122</v>
      </c>
      <c r="I8456" s="297">
        <f t="shared" si="1287"/>
        <v>172.53110779735053</v>
      </c>
      <c r="J8456" s="297">
        <f t="shared" si="1288"/>
        <v>456.42857142857144</v>
      </c>
      <c r="K8456" s="297">
        <f>J8456/POBLA!$B$7*100000</f>
        <v>12.137605111850215</v>
      </c>
      <c r="L8456" s="549">
        <f t="shared" si="1286"/>
        <v>9.2329545454545414E-2</v>
      </c>
      <c r="M8456" s="401">
        <f>SUM(C8456,C8432,C8408,C8384,C8360,C8336,C8312)/POBLA!$B$7*100000</f>
        <v>84.9632357829515</v>
      </c>
    </row>
    <row r="8457" spans="1:13" x14ac:dyDescent="0.25">
      <c r="A8457" s="367" t="s">
        <v>31</v>
      </c>
      <c r="B8457" s="267">
        <v>44245</v>
      </c>
      <c r="C8457" s="1">
        <v>193</v>
      </c>
      <c r="D8457" s="39">
        <f t="shared" si="1277"/>
        <v>43960</v>
      </c>
      <c r="E8457" s="1">
        <v>7</v>
      </c>
      <c r="F8457" s="39">
        <f t="shared" ref="F8457:F8473" si="1289">E8457+F8433</f>
        <v>803</v>
      </c>
      <c r="G8457" s="168">
        <f>SUM(C8457,C8433,C8409,C8385,C8361,C8337,C8313,C8289,C8265,C8241,C8217,C8193,C8169,C8145)/POBLA!$B$8*100000</f>
        <v>146.10800736817271</v>
      </c>
      <c r="H8457" s="256">
        <f t="shared" si="1285"/>
        <v>0.53784860557768921</v>
      </c>
      <c r="I8457" s="297">
        <f t="shared" si="1287"/>
        <v>78.583988026706436</v>
      </c>
      <c r="J8457" s="297">
        <f t="shared" si="1288"/>
        <v>115.42857142857143</v>
      </c>
      <c r="K8457" s="297">
        <f>J8457/POBLA!$B$8*100000</f>
        <v>8.3284141060658587</v>
      </c>
      <c r="L8457" s="549">
        <f t="shared" si="1286"/>
        <v>0.33607230895645024</v>
      </c>
      <c r="M8457" s="401">
        <f>SUM(C8457,C8433,C8409,C8385,C8361,C8337,C8313)/POBLA!$B$8*100000</f>
        <v>58.298898742461006</v>
      </c>
    </row>
    <row r="8458" spans="1:13" s="360" customFormat="1" x14ac:dyDescent="0.25">
      <c r="A8458" s="367" t="s">
        <v>41</v>
      </c>
      <c r="B8458" s="267">
        <v>44245</v>
      </c>
      <c r="C8458" s="1">
        <v>52</v>
      </c>
      <c r="D8458" s="39">
        <f t="shared" si="1277"/>
        <v>1040</v>
      </c>
      <c r="E8458" s="1"/>
      <c r="F8458" s="39">
        <f t="shared" si="1289"/>
        <v>18</v>
      </c>
      <c r="G8458" s="168">
        <f>SUM(C8458,C8434,C8410,C8386,C8362,C8338,C8314,C8290,C8266,C8242,C8218,C8194,C8170,C8146)/POBLA!$B$9*100000</f>
        <v>30.073051076268236</v>
      </c>
      <c r="H8458" s="256">
        <f t="shared" si="1285"/>
        <v>1.8383838383838385</v>
      </c>
      <c r="I8458" s="297">
        <f t="shared" si="1287"/>
        <v>55.285811069503225</v>
      </c>
      <c r="J8458" s="297">
        <f t="shared" si="1288"/>
        <v>18.285714285714285</v>
      </c>
      <c r="K8458" s="297">
        <f>J8458/POBLA!$B$9*100000</f>
        <v>3.0214682400018318</v>
      </c>
      <c r="L8458" s="549">
        <f t="shared" si="1286"/>
        <v>-1.3703703703703702</v>
      </c>
      <c r="M8458" s="401">
        <f>SUM(C8458,C8434,C8410,C8386,C8362,C8338,C8314)/POBLA!$B$9*100000</f>
        <v>21.150277680012824</v>
      </c>
    </row>
    <row r="8459" spans="1:13" s="360" customFormat="1" x14ac:dyDescent="0.25">
      <c r="A8459" s="367" t="s">
        <v>32</v>
      </c>
      <c r="B8459" s="267">
        <v>44245</v>
      </c>
      <c r="C8459" s="1">
        <v>45</v>
      </c>
      <c r="D8459" s="39">
        <f t="shared" si="1277"/>
        <v>19923</v>
      </c>
      <c r="E8459" s="1"/>
      <c r="F8459" s="39">
        <f t="shared" si="1289"/>
        <v>894</v>
      </c>
      <c r="G8459" s="168">
        <f>SUM(C8459,C8435,C8411,C8387,C8363,C8339,C8315,C8291,C8267,C8243,C8219,C8195,C8171,C8147)/POBLA!$B$10*100000</f>
        <v>63.563636929694724</v>
      </c>
      <c r="H8459" s="256">
        <f t="shared" si="1285"/>
        <v>1.203931203931204</v>
      </c>
      <c r="I8459" s="297">
        <f t="shared" si="1287"/>
        <v>76.526245935013307</v>
      </c>
      <c r="J8459" s="297">
        <f t="shared" si="1288"/>
        <v>37.571428571428569</v>
      </c>
      <c r="K8459" s="297">
        <f>J8459/POBLA!$B$10*100000</f>
        <v>4.8738298870290704</v>
      </c>
      <c r="L8459" s="549">
        <f t="shared" si="1286"/>
        <v>-0.15859030837004395</v>
      </c>
      <c r="M8459" s="401">
        <f>SUM(C8459,C8435,C8411,C8387,C8363,C8339,C8315)/POBLA!$B$10*100000</f>
        <v>34.116809209203495</v>
      </c>
    </row>
    <row r="8460" spans="1:13" s="360" customFormat="1" x14ac:dyDescent="0.25">
      <c r="A8460" s="367" t="s">
        <v>33</v>
      </c>
      <c r="B8460" s="267">
        <v>44245</v>
      </c>
      <c r="C8460" s="1">
        <v>100</v>
      </c>
      <c r="D8460" s="39">
        <f t="shared" si="1277"/>
        <v>17941</v>
      </c>
      <c r="E8460" s="1">
        <v>1</v>
      </c>
      <c r="F8460" s="39">
        <f t="shared" si="1289"/>
        <v>279</v>
      </c>
      <c r="G8460" s="168">
        <f>SUM(C8460,C8436,C8412,C8388,C8364,C8340,C8316,C8292,C8268,C8244,C8220,C8196,C8172,C8148)/POBLA!$B$11*100000</f>
        <v>297.40980057361588</v>
      </c>
      <c r="H8460" s="256">
        <f t="shared" si="1285"/>
        <v>0.80150375939849627</v>
      </c>
      <c r="I8460" s="297">
        <f t="shared" si="1287"/>
        <v>238.3750732417102</v>
      </c>
      <c r="J8460" s="297">
        <f t="shared" si="1288"/>
        <v>66.571428571428569</v>
      </c>
      <c r="K8460" s="297">
        <f>J8460/POBLA!$B$11*100000</f>
        <v>18.573166318320158</v>
      </c>
      <c r="L8460" s="549">
        <f t="shared" si="1286"/>
        <v>0.22333333333333338</v>
      </c>
      <c r="M8460" s="401">
        <f>SUM(C8460,C8436,C8412,C8388,C8364,C8340,C8316)/POBLA!$B$11*100000</f>
        <v>130.01216422824112</v>
      </c>
    </row>
    <row r="8461" spans="1:13" s="360" customFormat="1" x14ac:dyDescent="0.25">
      <c r="A8461" s="367" t="s">
        <v>21</v>
      </c>
      <c r="B8461" s="267">
        <v>44245</v>
      </c>
      <c r="C8461" s="1">
        <v>29</v>
      </c>
      <c r="D8461" s="39">
        <f t="shared" si="1277"/>
        <v>9945</v>
      </c>
      <c r="E8461" s="1">
        <v>4</v>
      </c>
      <c r="F8461" s="39">
        <f t="shared" si="1289"/>
        <v>434</v>
      </c>
      <c r="G8461" s="168">
        <f>SUM(C8461,C8437,C8413,C8389,C8365,C8341,C8317,C8293,C8269,C8245,C8221,C8197,C8173,C8149)/POBLA!$B$12*100000</f>
        <v>88.17602679331489</v>
      </c>
      <c r="H8461" s="256">
        <f t="shared" si="1285"/>
        <v>1.5772727272727274</v>
      </c>
      <c r="I8461" s="297">
        <f t="shared" si="1287"/>
        <v>139.07764226036485</v>
      </c>
      <c r="J8461" s="297">
        <f t="shared" si="1288"/>
        <v>27.142857142857142</v>
      </c>
      <c r="K8461" s="297">
        <f>J8461/POBLA!$B$12*100000</f>
        <v>6.8972602267310936</v>
      </c>
      <c r="L8461" s="549">
        <f t="shared" si="1286"/>
        <v>-0.21019108280254772</v>
      </c>
      <c r="M8461" s="401">
        <f>SUM(C8461,C8437,C8413,C8389,C8365,C8341,C8317)/POBLA!$B$12*100000</f>
        <v>48.280821587117664</v>
      </c>
    </row>
    <row r="8462" spans="1:13" s="360" customFormat="1" x14ac:dyDescent="0.25">
      <c r="A8462" s="367" t="s">
        <v>17</v>
      </c>
      <c r="B8462" s="267">
        <v>44245</v>
      </c>
      <c r="C8462" s="1">
        <v>164</v>
      </c>
      <c r="D8462" s="39">
        <f t="shared" si="1277"/>
        <v>66028</v>
      </c>
      <c r="E8462" s="1"/>
      <c r="F8462" s="39">
        <f t="shared" si="1289"/>
        <v>1415</v>
      </c>
      <c r="G8462" s="168">
        <f>SUM(C8462,C8438,C8414,C8390,C8366,C8342,C8318,C8294,C8270,C8246,C8222,C8198,C8174,C8150)/POBLA!$B$13*100000</f>
        <v>82.347822329674656</v>
      </c>
      <c r="H8462" s="256">
        <f t="shared" si="1285"/>
        <v>1.0373417721518987</v>
      </c>
      <c r="I8462" s="297">
        <f t="shared" si="1287"/>
        <v>85.4228359483144</v>
      </c>
      <c r="J8462" s="297">
        <f t="shared" si="1288"/>
        <v>93.285714285714292</v>
      </c>
      <c r="K8462" s="297">
        <f>J8462/POBLA!$B$13*100000</f>
        <v>4.6869282647326385</v>
      </c>
      <c r="L8462" s="549">
        <f t="shared" si="1286"/>
        <v>0.33772819472616633</v>
      </c>
      <c r="M8462" s="401">
        <f>SUM(C8462,C8438,C8414,C8390,C8366,C8342,C8318)/POBLA!$B$13*100000</f>
        <v>32.808497853128465</v>
      </c>
    </row>
    <row r="8463" spans="1:13" s="360" customFormat="1" x14ac:dyDescent="0.25">
      <c r="A8463" s="367" t="s">
        <v>23</v>
      </c>
      <c r="B8463" s="267">
        <v>44245</v>
      </c>
      <c r="C8463" s="1">
        <v>102</v>
      </c>
      <c r="D8463" s="39">
        <f t="shared" si="1277"/>
        <v>7161</v>
      </c>
      <c r="E8463" s="1">
        <v>2</v>
      </c>
      <c r="F8463" s="39">
        <f t="shared" si="1289"/>
        <v>124</v>
      </c>
      <c r="G8463" s="168">
        <f>SUM(C8463,C8439,C8415,C8391,C8367,C8343,C8319,C8295,C8271,C8247,C8223,C8199,C8175,C8151)/POBLA!$B$14*100000</f>
        <v>129.07379247027259</v>
      </c>
      <c r="H8463" s="256">
        <f t="shared" si="1285"/>
        <v>0.62639476721816079</v>
      </c>
      <c r="I8463" s="297">
        <f t="shared" si="1287"/>
        <v>80.8511481883816</v>
      </c>
      <c r="J8463" s="297">
        <f t="shared" si="1288"/>
        <v>106.57142857142857</v>
      </c>
      <c r="K8463" s="297">
        <f>J8463/POBLA!$B$14*100000</f>
        <v>8.4493725151652637</v>
      </c>
      <c r="L8463" s="549">
        <f t="shared" si="1286"/>
        <v>0.1541950113378685</v>
      </c>
      <c r="M8463" s="401">
        <f>SUM(C8463,C8439,C8415,C8391,C8367,C8343,C8319)/POBLA!$B$14*100000</f>
        <v>59.145607606156844</v>
      </c>
    </row>
    <row r="8464" spans="1:13" s="360" customFormat="1" x14ac:dyDescent="0.25">
      <c r="A8464" s="367" t="s">
        <v>19</v>
      </c>
      <c r="B8464" s="267">
        <v>44245</v>
      </c>
      <c r="C8464" s="1">
        <v>294</v>
      </c>
      <c r="D8464" s="39">
        <f t="shared" si="1277"/>
        <v>59442</v>
      </c>
      <c r="E8464" s="1">
        <v>5</v>
      </c>
      <c r="F8464" s="39">
        <f t="shared" si="1289"/>
        <v>875</v>
      </c>
      <c r="G8464" s="168">
        <f>SUM(C8464,C8440,C8416,C8392,C8368,C8344,C8320,C8296,C8272,C8248,C8224,C8200,C8176,C8152)/POBLA!$B$15*100000</f>
        <v>537.3032736647607</v>
      </c>
      <c r="H8464" s="256">
        <f t="shared" si="1285"/>
        <v>0.6236671910505156</v>
      </c>
      <c r="I8464" s="297">
        <f t="shared" si="1287"/>
        <v>335.09842342874776</v>
      </c>
      <c r="J8464" s="297">
        <f t="shared" si="1288"/>
        <v>214.85714285714286</v>
      </c>
      <c r="K8464" s="297">
        <f>J8464/POBLA!$B$15*100000</f>
        <v>32.355225960594176</v>
      </c>
      <c r="L8464" s="549">
        <f t="shared" si="1286"/>
        <v>0.27131782945736438</v>
      </c>
      <c r="M8464" s="401">
        <f>SUM(C8464,C8440,C8416,C8392,C8368,C8344,C8320)/POBLA!$B$15*100000</f>
        <v>226.48658172415921</v>
      </c>
    </row>
    <row r="8465" spans="1:13" s="360" customFormat="1" x14ac:dyDescent="0.25">
      <c r="A8465" s="367" t="s">
        <v>18</v>
      </c>
      <c r="B8465" s="267">
        <v>44245</v>
      </c>
      <c r="C8465" s="1">
        <v>221</v>
      </c>
      <c r="D8465" s="39">
        <f t="shared" si="1277"/>
        <v>51169</v>
      </c>
      <c r="E8465" s="1">
        <v>8</v>
      </c>
      <c r="F8465" s="39">
        <f t="shared" si="1289"/>
        <v>1137</v>
      </c>
      <c r="G8465" s="168">
        <f>SUM(C8465,C8441,C8417,C8393,C8369,C8345,C8321,C8297,C8273,C8249,C8225,C8201,C8177,C8153)/POBLA!$B$16*100000</f>
        <v>296.94626877650114</v>
      </c>
      <c r="H8465" s="256">
        <f t="shared" si="1285"/>
        <v>0.60375305955942349</v>
      </c>
      <c r="I8465" s="297">
        <f t="shared" si="1287"/>
        <v>179.28221829856747</v>
      </c>
      <c r="J8465" s="297">
        <f t="shared" si="1288"/>
        <v>132.71428571428572</v>
      </c>
      <c r="K8465" s="297">
        <f>J8465/POBLA!$B$16*100000</f>
        <v>17.751807187475517</v>
      </c>
      <c r="L8465" s="549">
        <f t="shared" si="1286"/>
        <v>0.28040278853601863</v>
      </c>
      <c r="M8465" s="401">
        <f>SUM(C8465,C8441,C8417,C8393,C8369,C8345,C8321)/POBLA!$B$16*100000</f>
        <v>124.26265031232862</v>
      </c>
    </row>
    <row r="8466" spans="1:13" s="360" customFormat="1" x14ac:dyDescent="0.25">
      <c r="A8466" s="367" t="s">
        <v>34</v>
      </c>
      <c r="B8466" s="267">
        <v>44245</v>
      </c>
      <c r="C8466" s="1">
        <v>89</v>
      </c>
      <c r="D8466" s="39">
        <f t="shared" si="1277"/>
        <v>25024</v>
      </c>
      <c r="E8466" s="1"/>
      <c r="F8466" s="39">
        <f t="shared" si="1289"/>
        <v>1071</v>
      </c>
      <c r="G8466" s="168">
        <f>SUM(C8466,C8442,C8418,C8394,C8370,C8346,C8322,C8298,C8274,C8250,C8226,C8202,C8178,C8154)/POBLA!$B$17*100000</f>
        <v>67.186325160752233</v>
      </c>
      <c r="H8466" s="256">
        <f t="shared" si="1285"/>
        <v>1.254259501965924</v>
      </c>
      <c r="I8466" s="297">
        <f t="shared" si="1287"/>
        <v>84.269086735045718</v>
      </c>
      <c r="J8466" s="297">
        <f t="shared" si="1288"/>
        <v>59.285714285714285</v>
      </c>
      <c r="K8466" s="297">
        <f>J8466/POBLA!$B$17*100000</f>
        <v>4.1621622543233583</v>
      </c>
      <c r="L8466" s="549">
        <f t="shared" si="1286"/>
        <v>0.23431734317343178</v>
      </c>
      <c r="M8466" s="401">
        <f>SUM(C8466,C8442,C8418,C8394,C8370,C8346,C8322)/POBLA!$B$17*100000</f>
        <v>29.135135780263511</v>
      </c>
    </row>
    <row r="8467" spans="1:13" s="360" customFormat="1" x14ac:dyDescent="0.25">
      <c r="A8467" s="367" t="s">
        <v>35</v>
      </c>
      <c r="B8467" s="267">
        <v>44245</v>
      </c>
      <c r="C8467" s="1">
        <v>79</v>
      </c>
      <c r="D8467" s="39">
        <f t="shared" si="1277"/>
        <v>14821</v>
      </c>
      <c r="E8467" s="1"/>
      <c r="F8467" s="39">
        <f t="shared" si="1289"/>
        <v>204</v>
      </c>
      <c r="G8467" s="168">
        <f>SUM(C8467,C8443,C8419,C8395,C8371,C8347,C8323,C8299,C8275,C8251,C8227,C8203,C8179,C8155)/POBLA!$B$18*100000</f>
        <v>76.547233355136925</v>
      </c>
      <c r="H8467" s="256">
        <f t="shared" si="1285"/>
        <v>0.75696202531645573</v>
      </c>
      <c r="I8467" s="297">
        <f t="shared" si="1287"/>
        <v>57.943348792875803</v>
      </c>
      <c r="J8467" s="297">
        <f t="shared" si="1288"/>
        <v>40.571428571428569</v>
      </c>
      <c r="K8467" s="297">
        <f>J8467/POBLA!$B$18*100000</f>
        <v>5.1933622247632316</v>
      </c>
      <c r="L8467" s="549">
        <f t="shared" si="1286"/>
        <v>9.5541401273885329E-2</v>
      </c>
      <c r="M8467" s="401">
        <f>SUM(C8467,C8443,C8419,C8395,C8371,C8347,C8323)/POBLA!$B$18*100000</f>
        <v>36.353535573342619</v>
      </c>
    </row>
    <row r="8468" spans="1:13" s="360" customFormat="1" x14ac:dyDescent="0.25">
      <c r="A8468" s="367" t="s">
        <v>36</v>
      </c>
      <c r="B8468" s="267">
        <v>44245</v>
      </c>
      <c r="C8468" s="1">
        <v>17</v>
      </c>
      <c r="D8468" s="39">
        <f t="shared" si="1277"/>
        <v>20244</v>
      </c>
      <c r="E8468" s="1">
        <v>4</v>
      </c>
      <c r="F8468" s="39">
        <f t="shared" si="1289"/>
        <v>352</v>
      </c>
      <c r="G8468" s="168">
        <f>SUM(C8468,C8444,C8420,C8396,C8372,C8348,C8324,C8300,C8276,C8252,C8228,C8204,C8180,C8156)/POBLA!$B$19*100000</f>
        <v>226.62532852803702</v>
      </c>
      <c r="H8468" s="256">
        <f t="shared" si="1285"/>
        <v>0.66666666666666663</v>
      </c>
      <c r="I8468" s="297">
        <f t="shared" si="1287"/>
        <v>151.08355235202467</v>
      </c>
      <c r="J8468" s="297">
        <f t="shared" si="1288"/>
        <v>157</v>
      </c>
      <c r="K8468" s="297">
        <f>J8468/POBLA!$B$19*100000</f>
        <v>30.885569946963376</v>
      </c>
      <c r="L8468" s="549">
        <f t="shared" si="1286"/>
        <v>-19.735849056603772</v>
      </c>
      <c r="M8468" s="401">
        <f>SUM(C8468,C8444,C8420,C8396,C8372,C8348,C8324)/POBLA!$B$19*100000</f>
        <v>216.19898962874367</v>
      </c>
    </row>
    <row r="8469" spans="1:13" s="360" customFormat="1" x14ac:dyDescent="0.25">
      <c r="A8469" s="367" t="s">
        <v>37</v>
      </c>
      <c r="B8469" s="267">
        <v>44245</v>
      </c>
      <c r="C8469" s="1">
        <v>114</v>
      </c>
      <c r="D8469" s="39">
        <f t="shared" si="1277"/>
        <v>34864</v>
      </c>
      <c r="E8469" s="1">
        <v>3</v>
      </c>
      <c r="F8469" s="39">
        <f t="shared" si="1289"/>
        <v>558</v>
      </c>
      <c r="G8469" s="168">
        <f>SUM(C8469,C8445,C8421,C8397,C8373,C8349,C8325,C8301,C8277,C8253,C8229,C8205,C8181,C8157)/POBLA!$B$20*100000</f>
        <v>389.93923948175814</v>
      </c>
      <c r="H8469" s="256">
        <f t="shared" si="1285"/>
        <v>0.56699801192842947</v>
      </c>
      <c r="I8469" s="297">
        <f t="shared" si="1287"/>
        <v>221.09477355904062</v>
      </c>
      <c r="J8469" s="297">
        <f t="shared" si="1288"/>
        <v>81.857142857142861</v>
      </c>
      <c r="K8469" s="297">
        <f>J8469/POBLA!$B$20*100000</f>
        <v>22.383809279006957</v>
      </c>
      <c r="L8469" s="549">
        <f t="shared" si="1286"/>
        <v>0.32825322391559197</v>
      </c>
      <c r="M8469" s="401">
        <f>SUM(C8469,C8445,C8421,C8397,C8373,C8349,C8325)/POBLA!$B$20*100000</f>
        <v>156.68666495304871</v>
      </c>
    </row>
    <row r="8470" spans="1:13" s="360" customFormat="1" x14ac:dyDescent="0.25">
      <c r="A8470" s="367" t="s">
        <v>22</v>
      </c>
      <c r="B8470" s="267">
        <v>44245</v>
      </c>
      <c r="C8470" s="1">
        <v>402</v>
      </c>
      <c r="D8470" s="39">
        <f t="shared" si="1277"/>
        <v>212969</v>
      </c>
      <c r="E8470" s="1">
        <v>3</v>
      </c>
      <c r="F8470" s="39">
        <f t="shared" si="1289"/>
        <v>3833</v>
      </c>
      <c r="G8470" s="168">
        <f>SUM(C8470,C8446,C8422,C8398,C8374,C8350,C8326,C8302,C8278,C8254,C8230,C8206,C8182,C8158)/POBLA!$B$21*100000</f>
        <v>137.05958967520243</v>
      </c>
      <c r="H8470" s="256">
        <f t="shared" si="1285"/>
        <v>0.55866758875057632</v>
      </c>
      <c r="I8470" s="297">
        <f t="shared" si="1287"/>
        <v>76.570750478988728</v>
      </c>
      <c r="J8470" s="297">
        <f t="shared" si="1288"/>
        <v>285.57142857142856</v>
      </c>
      <c r="K8470" s="297">
        <f>J8470/POBLA!$B$21*100000</f>
        <v>8.0751604751312929</v>
      </c>
      <c r="L8470" s="549">
        <f t="shared" si="1286"/>
        <v>0.2981039325842697</v>
      </c>
      <c r="M8470" s="401">
        <f>SUM(C8470,C8446,C8422,C8398,C8374,C8350,C8326)/POBLA!$B$21*100000</f>
        <v>56.526123325919059</v>
      </c>
    </row>
    <row r="8471" spans="1:13" s="360" customFormat="1" x14ac:dyDescent="0.25">
      <c r="A8471" s="367" t="s">
        <v>38</v>
      </c>
      <c r="B8471" s="267">
        <v>44245</v>
      </c>
      <c r="C8471" s="1">
        <v>70</v>
      </c>
      <c r="D8471" s="39">
        <f t="shared" si="1277"/>
        <v>22032</v>
      </c>
      <c r="E8471" s="1"/>
      <c r="F8471" s="39">
        <f t="shared" si="1289"/>
        <v>261</v>
      </c>
      <c r="G8471" s="168">
        <f>SUM(C8471,C8447,C8423,C8399,C8375,C8351,C8327,C8303,C8279,C8255,C8231,C8207,C8183,C8159)/POBLA!$B$22*100000</f>
        <v>86.168741496842017</v>
      </c>
      <c r="H8471" s="256">
        <f t="shared" si="1285"/>
        <v>0.74601769911504423</v>
      </c>
      <c r="I8471" s="297">
        <f t="shared" si="1287"/>
        <v>64.283406267113108</v>
      </c>
      <c r="J8471" s="297">
        <f t="shared" si="1288"/>
        <v>44.285714285714285</v>
      </c>
      <c r="K8471" s="297">
        <f>J8471/POBLA!$B$22*100000</f>
        <v>4.5267429018846004</v>
      </c>
      <c r="L8471" s="549">
        <f t="shared" si="1286"/>
        <v>0.41838649155722329</v>
      </c>
      <c r="M8471" s="401">
        <f>SUM(C8471,C8447,C8423,C8399,C8375,C8351,C8327)/POBLA!$B$22*100000</f>
        <v>31.687200313192196</v>
      </c>
    </row>
    <row r="8472" spans="1:13" s="360" customFormat="1" x14ac:dyDescent="0.25">
      <c r="A8472" s="367" t="s">
        <v>39</v>
      </c>
      <c r="B8472" s="267">
        <v>44245</v>
      </c>
      <c r="C8472" s="1">
        <v>55</v>
      </c>
      <c r="D8472" s="39">
        <f t="shared" si="1277"/>
        <v>22584</v>
      </c>
      <c r="E8472" s="1">
        <v>1</v>
      </c>
      <c r="F8472" s="39">
        <f t="shared" si="1289"/>
        <v>346</v>
      </c>
      <c r="G8472" s="168">
        <f>SUM(C8472,C8448,C8424,C8400,C8376,C8352,C8328,C8304,C8280,C8256,C8232,C8208,C8184,C8160)/POBLA!$B$23*100000</f>
        <v>332.52276197477806</v>
      </c>
      <c r="H8472" s="256">
        <f t="shared" si="1285"/>
        <v>0.75968992248062017</v>
      </c>
      <c r="I8472" s="297">
        <f t="shared" si="1287"/>
        <v>252.61419126766086</v>
      </c>
      <c r="J8472" s="297">
        <f t="shared" si="1288"/>
        <v>31.142857142857142</v>
      </c>
      <c r="K8472" s="297">
        <f>J8472/POBLA!$B$23*100000</f>
        <v>17.61174978389252</v>
      </c>
      <c r="L8472" s="549">
        <f t="shared" si="1286"/>
        <v>0.41081081081081083</v>
      </c>
      <c r="M8472" s="401">
        <f>SUM(C8472,C8448,C8424,C8400,C8376,C8352,C8328)/POBLA!$B$23*100000</f>
        <v>123.28224848724763</v>
      </c>
    </row>
    <row r="8473" spans="1:13" s="360" customFormat="1" ht="15.75" thickBot="1" x14ac:dyDescent="0.3">
      <c r="A8473" s="369" t="s">
        <v>40</v>
      </c>
      <c r="B8473" s="267">
        <v>44245</v>
      </c>
      <c r="C8473" s="1">
        <v>120</v>
      </c>
      <c r="D8473" s="176">
        <f t="shared" si="1277"/>
        <v>78443</v>
      </c>
      <c r="E8473" s="1">
        <v>3</v>
      </c>
      <c r="F8473" s="176">
        <f t="shared" si="1289"/>
        <v>1462</v>
      </c>
      <c r="G8473" s="177">
        <f>SUM(C8473,C8449,C8425,C8401,C8377,C8353,C8329,C8305,C8281,C8257,C8233,C8209,C8185,C8161)/POBLA!$B$24*100000</f>
        <v>84.677952339589865</v>
      </c>
      <c r="H8473" s="402">
        <f t="shared" si="1285"/>
        <v>0.70274240940254651</v>
      </c>
      <c r="I8473" s="403">
        <f t="shared" si="1287"/>
        <v>59.506788250397385</v>
      </c>
      <c r="J8473" s="403">
        <f t="shared" si="1288"/>
        <v>100.14285714285714</v>
      </c>
      <c r="K8473" s="403">
        <f>J8473/POBLA!$B$24*100000</f>
        <v>5.9093324629220998</v>
      </c>
      <c r="L8473" s="550">
        <f t="shared" si="1286"/>
        <v>4.4959128065395149E-2</v>
      </c>
      <c r="M8473" s="405">
        <f>SUM(C8473,C8449,C8425,C8401,C8377,C8353,C8329)/POBLA!$B$24*100000</f>
        <v>41.365327240454697</v>
      </c>
    </row>
    <row r="8474" spans="1:13" s="360" customFormat="1" x14ac:dyDescent="0.25">
      <c r="A8474" s="363" t="s">
        <v>16</v>
      </c>
      <c r="B8474" s="267">
        <v>44246</v>
      </c>
      <c r="C8474" s="17">
        <v>3549</v>
      </c>
      <c r="D8474" s="174">
        <f t="shared" si="1277"/>
        <v>857859</v>
      </c>
      <c r="E8474" s="1">
        <v>32</v>
      </c>
      <c r="F8474" s="174">
        <f t="shared" ref="F8474:F8480" si="1290">E8474+F8450</f>
        <v>25822</v>
      </c>
      <c r="G8474" s="175">
        <f>SUM(C8474,C8450,C8426,C8402,C8378,C8354,C8330,C8306,C8282,C8258,C8234,C8210,C8186,C8162)/POBLA!$B$1*100000</f>
        <v>204.21704608611265</v>
      </c>
      <c r="H8474" s="300">
        <f t="shared" ref="H8474:H8497" si="1291">SUM(C8474,C8450,C8426,C8402,C8378,C8354,C8330,C8306,C8282,C8258,C8234,C8210,C8186,C8162)/SUM(C8138,C8114,C8090,C8066,C8042,C8018,C7994,C7970,C7946,C7922,C7898,C7874,C7850,C7826)</f>
        <v>0.73459929456156181</v>
      </c>
      <c r="I8474" s="301">
        <f>G8474*H8474</f>
        <v>150.01769799230431</v>
      </c>
      <c r="J8474" s="301">
        <f>AVERAGE(C8474,C8450,C8426,C8402,C8378,C8354,C8330)</f>
        <v>2328.2857142857142</v>
      </c>
      <c r="K8474" s="301">
        <f>J8474/POBLA!$B$1*100000</f>
        <v>13.273285439560141</v>
      </c>
      <c r="L8474" s="548">
        <f t="shared" ref="L8474:L8497" si="1292">1-SUM(C8474,C8450,C8426,C8402,C8378,C8354,C8330)/SUM(C8306,C8282,C8258,C8234,C8210,C8186,C8162)</f>
        <v>0.16523253431673834</v>
      </c>
      <c r="M8474" s="400">
        <f>SUM(C8474,C8450,C8426,C8402,C8378,C8354,C8330)/POBLA!$B$1*100000</f>
        <v>92.912998076920999</v>
      </c>
    </row>
    <row r="8475" spans="1:13" s="360" customFormat="1" x14ac:dyDescent="0.25">
      <c r="A8475" s="367" t="s">
        <v>43</v>
      </c>
      <c r="B8475" s="267">
        <v>44246</v>
      </c>
      <c r="C8475" s="17">
        <v>847</v>
      </c>
      <c r="D8475" s="39">
        <f t="shared" si="1277"/>
        <v>225778</v>
      </c>
      <c r="E8475" s="1">
        <v>12</v>
      </c>
      <c r="F8475" s="39">
        <f t="shared" si="1290"/>
        <v>6367</v>
      </c>
      <c r="G8475" s="168">
        <f>SUM(C8475,C8451,C8427,C8403,C8379,C8355,C8331,C8307,C8283,C8259,C8235,C8211,C8187,C8163)/POBLA!$B$2*100000</f>
        <v>325.8177306491059</v>
      </c>
      <c r="H8475" s="256">
        <f t="shared" si="1291"/>
        <v>0.67828617842155137</v>
      </c>
      <c r="I8475" s="297">
        <f t="shared" ref="I8475:I8497" si="1293">G8475*H8475</f>
        <v>220.99766338396441</v>
      </c>
      <c r="J8475" s="297">
        <f t="shared" ref="J8475:J8497" si="1294">AVERAGE(C8475,C8451,C8427,C8403,C8379,C8355,C8331)</f>
        <v>647.57142857142856</v>
      </c>
      <c r="K8475" s="297">
        <f>J8475/POBLA!$B$2*100000</f>
        <v>21.054810227556374</v>
      </c>
      <c r="L8475" s="549">
        <f t="shared" si="1292"/>
        <v>0.17401603498542273</v>
      </c>
      <c r="M8475" s="401">
        <f>SUM(C8475,C8451,C8427,C8403,C8379,C8355,C8331)/POBLA!$B$2*100000</f>
        <v>147.38367159289464</v>
      </c>
    </row>
    <row r="8476" spans="1:13" s="360" customFormat="1" x14ac:dyDescent="0.25">
      <c r="A8476" s="367" t="s">
        <v>28</v>
      </c>
      <c r="B8476" s="267">
        <v>44246</v>
      </c>
      <c r="C8476" s="17">
        <v>98</v>
      </c>
      <c r="D8476" s="39">
        <f t="shared" si="1277"/>
        <v>7129</v>
      </c>
      <c r="E8476" s="1"/>
      <c r="F8476" s="39">
        <f t="shared" si="1290"/>
        <v>17</v>
      </c>
      <c r="G8476" s="168">
        <f>SUM(C8476,C8452,C8428,C8404,C8380,C8356,C8332,C8308,C8284,C8260,C8236,C8212,C8188,C8164)/POBLA!$B$3*100000</f>
        <v>259.48516986890945</v>
      </c>
      <c r="H8476" s="256">
        <f t="shared" si="1291"/>
        <v>0.7580872011251758</v>
      </c>
      <c r="I8476" s="297">
        <f t="shared" si="1293"/>
        <v>196.71238615941238</v>
      </c>
      <c r="J8476" s="297">
        <f t="shared" si="1294"/>
        <v>63.714285714285715</v>
      </c>
      <c r="K8476" s="297">
        <f>J8476/POBLA!$B$3*100000</f>
        <v>15.336653294663877</v>
      </c>
      <c r="L8476" s="549">
        <f t="shared" si="1292"/>
        <v>0.29430379746835444</v>
      </c>
      <c r="M8476" s="401">
        <f>SUM(C8476,C8452,C8428,C8404,C8380,C8356,C8332)/POBLA!$B$3*100000</f>
        <v>107.35657306264713</v>
      </c>
    </row>
    <row r="8477" spans="1:13" s="360" customFormat="1" x14ac:dyDescent="0.25">
      <c r="A8477" s="367" t="s">
        <v>15</v>
      </c>
      <c r="B8477" s="267">
        <v>44246</v>
      </c>
      <c r="C8477" s="17">
        <v>165</v>
      </c>
      <c r="D8477" s="39">
        <f t="shared" si="1277"/>
        <v>32949</v>
      </c>
      <c r="E8477" s="1">
        <v>2</v>
      </c>
      <c r="F8477" s="39">
        <f t="shared" si="1290"/>
        <v>852</v>
      </c>
      <c r="G8477" s="168">
        <f>SUM(C8477,C8453,C8429,C8405,C8381,C8357,C8333,C8309,C8285,C8261,C8237,C8213,C8189,C8165)/POBLA!$B$4*100000</f>
        <v>127.18537600629617</v>
      </c>
      <c r="H8477" s="256">
        <f t="shared" si="1291"/>
        <v>0.80125523012552302</v>
      </c>
      <c r="I8477" s="297">
        <f t="shared" si="1293"/>
        <v>101.90794772052601</v>
      </c>
      <c r="J8477" s="297">
        <f t="shared" si="1294"/>
        <v>94</v>
      </c>
      <c r="K8477" s="297">
        <f>J8477/POBLA!$B$4*100000</f>
        <v>7.8038024442505485</v>
      </c>
      <c r="L8477" s="549">
        <f t="shared" si="1292"/>
        <v>0.24713958810068648</v>
      </c>
      <c r="M8477" s="401">
        <f>SUM(C8477,C8453,C8429,C8405,C8381,C8357,C8333)/POBLA!$B$4*100000</f>
        <v>54.626617109753838</v>
      </c>
    </row>
    <row r="8478" spans="1:13" s="360" customFormat="1" x14ac:dyDescent="0.25">
      <c r="A8478" s="367" t="s">
        <v>29</v>
      </c>
      <c r="B8478" s="267">
        <v>44246</v>
      </c>
      <c r="C8478" s="17">
        <v>177</v>
      </c>
      <c r="D8478" s="39">
        <f t="shared" si="1277"/>
        <v>45999</v>
      </c>
      <c r="E8478" s="1">
        <v>50</v>
      </c>
      <c r="F8478" s="39">
        <f t="shared" si="1290"/>
        <v>747</v>
      </c>
      <c r="G8478" s="168">
        <f>SUM(C8478,C8454,C8430,C8406,C8382,C8358,C8334,C8310,C8286,C8262,C8238,C8214,C8190,C8166)/POBLA!$B$5*100000</f>
        <v>372.21685509067936</v>
      </c>
      <c r="H8478" s="256">
        <f t="shared" si="1291"/>
        <v>0.61505605979711697</v>
      </c>
      <c r="I8478" s="297">
        <f t="shared" si="1293"/>
        <v>228.93423228214772</v>
      </c>
      <c r="J8478" s="297">
        <f t="shared" si="1294"/>
        <v>137.42857142857142</v>
      </c>
      <c r="K8478" s="297">
        <f>J8478/POBLA!$B$5*100000</f>
        <v>22.201923028102279</v>
      </c>
      <c r="L8478" s="549">
        <f t="shared" si="1292"/>
        <v>0.28315946348733234</v>
      </c>
      <c r="M8478" s="401">
        <f>SUM(C8478,C8454,C8430,C8406,C8382,C8358,C8334)/POBLA!$B$5*100000</f>
        <v>155.41346119671596</v>
      </c>
    </row>
    <row r="8479" spans="1:13" s="360" customFormat="1" x14ac:dyDescent="0.25">
      <c r="A8479" s="367" t="s">
        <v>30</v>
      </c>
      <c r="B8479" s="267">
        <v>44246</v>
      </c>
      <c r="C8479" s="17">
        <v>121</v>
      </c>
      <c r="D8479" s="39">
        <f t="shared" si="1277"/>
        <v>20689</v>
      </c>
      <c r="E8479" s="1">
        <v>6</v>
      </c>
      <c r="F8479" s="39">
        <f t="shared" si="1290"/>
        <v>292</v>
      </c>
      <c r="G8479" s="168">
        <f>SUM(C8479,C8455,C8431,C8407,C8383,C8359,C8335,C8311,C8287,C8263,C8239,C8215,C8191,C8167)/POBLA!$B$6*100000</f>
        <v>202.2660579353516</v>
      </c>
      <c r="H8479" s="256">
        <f t="shared" si="1291"/>
        <v>0.96673773987206824</v>
      </c>
      <c r="I8479" s="297">
        <f t="shared" si="1293"/>
        <v>195.5382317012546</v>
      </c>
      <c r="J8479" s="297">
        <f t="shared" si="1294"/>
        <v>211.57142857142858</v>
      </c>
      <c r="K8479" s="297">
        <f>J8479/POBLA!$B$6*100000</f>
        <v>18.87680583541847</v>
      </c>
      <c r="L8479" s="549">
        <f t="shared" si="1292"/>
        <v>-0.88422391857506355</v>
      </c>
      <c r="M8479" s="401">
        <f>SUM(C8479,C8455,C8431,C8407,C8383,C8359,C8335)/POBLA!$B$6*100000</f>
        <v>132.13764084792928</v>
      </c>
    </row>
    <row r="8480" spans="1:13" s="360" customFormat="1" x14ac:dyDescent="0.25">
      <c r="A8480" s="367" t="s">
        <v>20</v>
      </c>
      <c r="B8480" s="267">
        <v>44246</v>
      </c>
      <c r="C8480" s="17">
        <v>825</v>
      </c>
      <c r="D8480" s="39">
        <f t="shared" si="1277"/>
        <v>154584</v>
      </c>
      <c r="E8480" s="1">
        <v>6</v>
      </c>
      <c r="F8480" s="39">
        <f t="shared" si="1290"/>
        <v>2796</v>
      </c>
      <c r="G8480" s="168">
        <f>SUM(C8480,C8456,C8432,C8408,C8384,C8360,C8336,C8312,C8288,C8264,C8240,C8216,C8192,C8168)/POBLA!$B$7*100000</f>
        <v>185.90860136419843</v>
      </c>
      <c r="H8480" s="256">
        <f t="shared" si="1291"/>
        <v>1.0106982796009831</v>
      </c>
      <c r="I8480" s="297">
        <f t="shared" si="1293"/>
        <v>187.89750356182034</v>
      </c>
      <c r="J8480" s="297">
        <f t="shared" si="1294"/>
        <v>481.57142857142856</v>
      </c>
      <c r="K8480" s="297">
        <f>J8480/POBLA!$B$7*100000</f>
        <v>12.806218100797206</v>
      </c>
      <c r="L8480" s="549">
        <f t="shared" si="1292"/>
        <v>6.8784530386740372E-2</v>
      </c>
      <c r="M8480" s="401">
        <f>SUM(C8480,C8456,C8432,C8408,C8384,C8360,C8336)/POBLA!$B$7*100000</f>
        <v>89.643526705580442</v>
      </c>
    </row>
    <row r="8481" spans="1:13" x14ac:dyDescent="0.25">
      <c r="A8481" s="367" t="s">
        <v>31</v>
      </c>
      <c r="B8481" s="267">
        <v>44246</v>
      </c>
      <c r="C8481" s="17">
        <v>155</v>
      </c>
      <c r="D8481" s="39">
        <f t="shared" si="1277"/>
        <v>44115</v>
      </c>
      <c r="E8481" s="1">
        <v>3</v>
      </c>
      <c r="F8481" s="39">
        <f t="shared" ref="F8481:F8497" si="1295">E8481+F8457</f>
        <v>806</v>
      </c>
      <c r="G8481" s="168">
        <f>SUM(C8481,C8457,C8433,C8409,C8385,C8361,C8337,C8313,C8289,C8265,C8241,C8217,C8193,C8169)/POBLA!$B$8*100000</f>
        <v>138.96494923017315</v>
      </c>
      <c r="H8481" s="256">
        <f t="shared" si="1291"/>
        <v>0.52955732746769313</v>
      </c>
      <c r="I8481" s="297">
        <f t="shared" si="1293"/>
        <v>73.589907126014154</v>
      </c>
      <c r="J8481" s="297">
        <f t="shared" si="1294"/>
        <v>113.42857142857143</v>
      </c>
      <c r="K8481" s="297">
        <f>J8481/POBLA!$B$8*100000</f>
        <v>8.184109901257786</v>
      </c>
      <c r="L8481" s="549">
        <f t="shared" si="1292"/>
        <v>0.29858657243816256</v>
      </c>
      <c r="M8481" s="401">
        <f>SUM(C8481,C8457,C8433,C8409,C8385,C8361,C8337)/POBLA!$B$8*100000</f>
        <v>57.288769308804511</v>
      </c>
    </row>
    <row r="8482" spans="1:13" s="360" customFormat="1" x14ac:dyDescent="0.25">
      <c r="A8482" s="367" t="s">
        <v>41</v>
      </c>
      <c r="B8482" s="267">
        <v>44246</v>
      </c>
      <c r="C8482" s="17">
        <v>17</v>
      </c>
      <c r="D8482" s="39">
        <f t="shared" ref="D8482:D8546" si="1296">C8482+D8458</f>
        <v>1057</v>
      </c>
      <c r="E8482" s="1"/>
      <c r="F8482" s="39">
        <f t="shared" si="1295"/>
        <v>18</v>
      </c>
      <c r="G8482" s="168">
        <f>SUM(C8482,C8458,C8434,C8410,C8386,C8362,C8338,C8314,C8290,C8266,C8242,C8218,C8194,C8170)/POBLA!$B$9*100000</f>
        <v>31.394943431269034</v>
      </c>
      <c r="H8482" s="256">
        <f t="shared" si="1291"/>
        <v>2.7142857142857144</v>
      </c>
      <c r="I8482" s="297">
        <f t="shared" si="1293"/>
        <v>85.214846456301672</v>
      </c>
      <c r="J8482" s="297">
        <f t="shared" si="1294"/>
        <v>17.142857142857142</v>
      </c>
      <c r="K8482" s="297">
        <f>J8482/POBLA!$B$9*100000</f>
        <v>2.8326264750017174</v>
      </c>
      <c r="L8482" s="549">
        <f t="shared" si="1292"/>
        <v>-0.71428571428571419</v>
      </c>
      <c r="M8482" s="401">
        <f>SUM(C8482,C8458,C8434,C8410,C8386,C8362,C8338)/POBLA!$B$9*100000</f>
        <v>19.828385325012022</v>
      </c>
    </row>
    <row r="8483" spans="1:13" s="360" customFormat="1" x14ac:dyDescent="0.25">
      <c r="A8483" s="367" t="s">
        <v>32</v>
      </c>
      <c r="B8483" s="267">
        <v>44246</v>
      </c>
      <c r="C8483" s="17">
        <v>51</v>
      </c>
      <c r="D8483" s="39">
        <f t="shared" si="1296"/>
        <v>19974</v>
      </c>
      <c r="E8483" s="1">
        <v>1</v>
      </c>
      <c r="F8483" s="39">
        <f t="shared" si="1295"/>
        <v>895</v>
      </c>
      <c r="G8483" s="168">
        <f>SUM(C8483,C8459,C8435,C8411,C8387,C8363,C8339,C8315,C8291,C8267,C8243,C8219,C8195,C8171)/POBLA!$B$10*100000</f>
        <v>64.601410593853004</v>
      </c>
      <c r="H8483" s="256">
        <f t="shared" si="1291"/>
        <v>1.1857142857142857</v>
      </c>
      <c r="I8483" s="297">
        <f t="shared" si="1293"/>
        <v>76.598815418425701</v>
      </c>
      <c r="J8483" s="297">
        <f t="shared" si="1294"/>
        <v>39.857142857142854</v>
      </c>
      <c r="K8483" s="297">
        <f>J8483/POBLA!$B$10*100000</f>
        <v>5.1703366482171509</v>
      </c>
      <c r="L8483" s="549">
        <f t="shared" si="1292"/>
        <v>-0.27397260273972601</v>
      </c>
      <c r="M8483" s="401">
        <f>SUM(C8483,C8459,C8435,C8411,C8387,C8363,C8339)/POBLA!$B$10*100000</f>
        <v>36.192356537520062</v>
      </c>
    </row>
    <row r="8484" spans="1:13" s="360" customFormat="1" x14ac:dyDescent="0.25">
      <c r="A8484" s="367" t="s">
        <v>33</v>
      </c>
      <c r="B8484" s="267">
        <v>44246</v>
      </c>
      <c r="C8484" s="17">
        <v>70</v>
      </c>
      <c r="D8484" s="39">
        <f t="shared" si="1296"/>
        <v>18011</v>
      </c>
      <c r="E8484" s="1">
        <v>3</v>
      </c>
      <c r="F8484" s="39">
        <f t="shared" si="1295"/>
        <v>282</v>
      </c>
      <c r="G8484" s="168">
        <f>SUM(C8484,C8460,C8436,C8412,C8388,C8364,C8340,C8316,C8292,C8268,C8244,C8220,C8196,C8172)/POBLA!$B$11*100000</f>
        <v>291.82987936210338</v>
      </c>
      <c r="H8484" s="256">
        <f t="shared" si="1291"/>
        <v>0.79182437547312645</v>
      </c>
      <c r="I8484" s="297">
        <f t="shared" si="1293"/>
        <v>231.07801197029534</v>
      </c>
      <c r="J8484" s="297">
        <f t="shared" si="1294"/>
        <v>66.428571428571431</v>
      </c>
      <c r="K8484" s="297">
        <f>J8484/POBLA!$B$11*100000</f>
        <v>18.533309738237925</v>
      </c>
      <c r="L8484" s="549">
        <f t="shared" si="1292"/>
        <v>0.19965576592082612</v>
      </c>
      <c r="M8484" s="401">
        <f>SUM(C8484,C8460,C8436,C8412,C8388,C8364,C8340)/POBLA!$B$11*100000</f>
        <v>129.73316816766547</v>
      </c>
    </row>
    <row r="8485" spans="1:13" s="360" customFormat="1" x14ac:dyDescent="0.25">
      <c r="A8485" s="367" t="s">
        <v>21</v>
      </c>
      <c r="B8485" s="267">
        <v>44246</v>
      </c>
      <c r="C8485" s="17">
        <v>33</v>
      </c>
      <c r="D8485" s="39">
        <f t="shared" si="1296"/>
        <v>9978</v>
      </c>
      <c r="E8485" s="1"/>
      <c r="F8485" s="39">
        <f t="shared" si="1295"/>
        <v>434</v>
      </c>
      <c r="G8485" s="168">
        <f>SUM(C8485,C8461,C8437,C8413,C8389,C8365,C8341,C8317,C8293,C8269,C8245,C8221,C8197,C8173)/POBLA!$B$12*100000</f>
        <v>90.463013079020456</v>
      </c>
      <c r="H8485" s="256">
        <f t="shared" si="1291"/>
        <v>1.5278969957081545</v>
      </c>
      <c r="I8485" s="297">
        <f t="shared" si="1293"/>
        <v>138.21816590614284</v>
      </c>
      <c r="J8485" s="297">
        <f t="shared" si="1294"/>
        <v>27.714285714285715</v>
      </c>
      <c r="K8485" s="297">
        <f>J8485/POBLA!$B$12*100000</f>
        <v>7.0424657051885911</v>
      </c>
      <c r="L8485" s="549">
        <f t="shared" si="1292"/>
        <v>-0.19753086419753085</v>
      </c>
      <c r="M8485" s="401">
        <f>SUM(C8485,C8461,C8437,C8413,C8389,C8365,C8341)/POBLA!$B$12*100000</f>
        <v>49.297259936320138</v>
      </c>
    </row>
    <row r="8486" spans="1:13" s="360" customFormat="1" x14ac:dyDescent="0.25">
      <c r="A8486" s="367" t="s">
        <v>17</v>
      </c>
      <c r="B8486" s="267">
        <v>44246</v>
      </c>
      <c r="C8486" s="17">
        <v>139</v>
      </c>
      <c r="D8486" s="39">
        <f t="shared" si="1296"/>
        <v>66167</v>
      </c>
      <c r="E8486" s="1">
        <v>5</v>
      </c>
      <c r="F8486" s="39">
        <f t="shared" si="1295"/>
        <v>1420</v>
      </c>
      <c r="G8486" s="168">
        <f>SUM(C8486,C8462,C8438,C8414,C8390,C8366,C8342,C8318,C8294,C8270,C8246,C8222,C8198,C8174)/POBLA!$B$13*100000</f>
        <v>80.287870703367972</v>
      </c>
      <c r="H8486" s="256">
        <f t="shared" si="1291"/>
        <v>1.0126742712294043</v>
      </c>
      <c r="I8486" s="297">
        <f t="shared" si="1293"/>
        <v>81.3054609530938</v>
      </c>
      <c r="J8486" s="297">
        <f t="shared" si="1294"/>
        <v>92.571428571428569</v>
      </c>
      <c r="K8486" s="297">
        <f>J8486/POBLA!$B$13*100000</f>
        <v>4.6510406057377471</v>
      </c>
      <c r="L8486" s="549">
        <f t="shared" si="1292"/>
        <v>0.31789473684210523</v>
      </c>
      <c r="M8486" s="401">
        <f>SUM(C8486,C8462,C8438,C8414,C8390,C8366,C8342)/POBLA!$B$13*100000</f>
        <v>32.557284240164236</v>
      </c>
    </row>
    <row r="8487" spans="1:13" s="360" customFormat="1" x14ac:dyDescent="0.25">
      <c r="A8487" s="367" t="s">
        <v>23</v>
      </c>
      <c r="B8487" s="267">
        <v>44246</v>
      </c>
      <c r="C8487" s="17">
        <v>104</v>
      </c>
      <c r="D8487" s="39">
        <f t="shared" si="1296"/>
        <v>7265</v>
      </c>
      <c r="E8487" s="1">
        <v>1</v>
      </c>
      <c r="F8487" s="39">
        <f t="shared" si="1295"/>
        <v>125</v>
      </c>
      <c r="G8487" s="168">
        <f>SUM(C8487,C8463,C8439,C8415,C8391,C8367,C8343,C8319,C8295,C8271,C8247,C8223,C8199,C8175)/POBLA!$B$14*100000</f>
        <v>121.62112877727161</v>
      </c>
      <c r="H8487" s="256">
        <f t="shared" si="1291"/>
        <v>0.58172165339400839</v>
      </c>
      <c r="I8487" s="297">
        <f t="shared" si="1293"/>
        <v>70.749644119960053</v>
      </c>
      <c r="J8487" s="297">
        <f t="shared" si="1294"/>
        <v>106.42857142857143</v>
      </c>
      <c r="K8487" s="297">
        <f>J8487/POBLA!$B$14*100000</f>
        <v>8.438046278549761</v>
      </c>
      <c r="L8487" s="549">
        <f t="shared" si="1292"/>
        <v>5.5766793409378956E-2</v>
      </c>
      <c r="M8487" s="401">
        <f>SUM(C8487,C8463,C8439,C8415,C8391,C8367,C8343)/POBLA!$B$14*100000</f>
        <v>59.066323949848325</v>
      </c>
    </row>
    <row r="8488" spans="1:13" s="360" customFormat="1" x14ac:dyDescent="0.25">
      <c r="A8488" s="367" t="s">
        <v>19</v>
      </c>
      <c r="B8488" s="267">
        <v>44246</v>
      </c>
      <c r="C8488" s="17">
        <v>262</v>
      </c>
      <c r="D8488" s="39">
        <f t="shared" si="1296"/>
        <v>59704</v>
      </c>
      <c r="E8488" s="1">
        <v>4</v>
      </c>
      <c r="F8488" s="39">
        <f t="shared" si="1295"/>
        <v>879</v>
      </c>
      <c r="G8488" s="168">
        <f>SUM(C8488,C8464,C8440,C8416,C8392,C8368,C8344,C8320,C8296,C8272,C8248,C8224,C8200,C8176)/POBLA!$B$15*100000</f>
        <v>528.71967316058715</v>
      </c>
      <c r="H8488" s="256">
        <f t="shared" si="1291"/>
        <v>0.62718828152911754</v>
      </c>
      <c r="I8488" s="297">
        <f t="shared" si="1293"/>
        <v>331.60678322022534</v>
      </c>
      <c r="J8488" s="297">
        <f t="shared" si="1294"/>
        <v>208</v>
      </c>
      <c r="K8488" s="297">
        <f>J8488/POBLA!$B$15*100000</f>
        <v>31.322612366107123</v>
      </c>
      <c r="L8488" s="549">
        <f t="shared" si="1292"/>
        <v>0.29148418491484185</v>
      </c>
      <c r="M8488" s="401">
        <f>SUM(C8488,C8464,C8440,C8416,C8392,C8368,C8344)/POBLA!$B$15*100000</f>
        <v>219.25828656274987</v>
      </c>
    </row>
    <row r="8489" spans="1:13" s="360" customFormat="1" x14ac:dyDescent="0.25">
      <c r="A8489" s="367" t="s">
        <v>18</v>
      </c>
      <c r="B8489" s="267">
        <v>44246</v>
      </c>
      <c r="C8489" s="17">
        <v>137</v>
      </c>
      <c r="D8489" s="39">
        <f t="shared" si="1296"/>
        <v>51306</v>
      </c>
      <c r="E8489" s="1">
        <v>6</v>
      </c>
      <c r="F8489" s="39">
        <f t="shared" si="1295"/>
        <v>1143</v>
      </c>
      <c r="G8489" s="168">
        <f>SUM(C8489,C8465,C8441,C8417,C8393,C8369,C8345,C8321,C8297,C8273,C8249,C8225,C8201,C8177)/POBLA!$B$16*100000</f>
        <v>284.10534904562536</v>
      </c>
      <c r="H8489" s="256">
        <f t="shared" si="1291"/>
        <v>0.59032795997776544</v>
      </c>
      <c r="I8489" s="297">
        <f t="shared" si="1293"/>
        <v>167.71533112087502</v>
      </c>
      <c r="J8489" s="297">
        <f t="shared" si="1294"/>
        <v>130.14285714285714</v>
      </c>
      <c r="K8489" s="297">
        <f>J8489/POBLA!$B$16*100000</f>
        <v>17.407853980398489</v>
      </c>
      <c r="L8489" s="549">
        <f t="shared" si="1292"/>
        <v>0.24896949711459193</v>
      </c>
      <c r="M8489" s="401">
        <f>SUM(C8489,C8465,C8441,C8417,C8393,C8369,C8345)/POBLA!$B$16*100000</f>
        <v>121.85497786278941</v>
      </c>
    </row>
    <row r="8490" spans="1:13" s="360" customFormat="1" x14ac:dyDescent="0.25">
      <c r="A8490" s="367" t="s">
        <v>34</v>
      </c>
      <c r="B8490" s="267">
        <v>44246</v>
      </c>
      <c r="C8490" s="17">
        <v>152</v>
      </c>
      <c r="D8490" s="39">
        <f t="shared" si="1296"/>
        <v>25176</v>
      </c>
      <c r="E8490" s="1">
        <v>2</v>
      </c>
      <c r="F8490" s="39">
        <f t="shared" si="1295"/>
        <v>1073</v>
      </c>
      <c r="G8490" s="168">
        <f>SUM(C8490,C8466,C8442,C8418,C8394,C8370,C8346,C8322,C8298,C8274,C8250,C8226,C8202,C8178)/POBLA!$B$17*100000</f>
        <v>71.539044241177152</v>
      </c>
      <c r="H8490" s="256">
        <f t="shared" si="1291"/>
        <v>1.2737499999999999</v>
      </c>
      <c r="I8490" s="297">
        <f t="shared" si="1293"/>
        <v>91.122857602199389</v>
      </c>
      <c r="J8490" s="297">
        <f t="shared" si="1294"/>
        <v>68</v>
      </c>
      <c r="K8490" s="297">
        <f>J8490/POBLA!$B$17*100000</f>
        <v>4.7739499591757077</v>
      </c>
      <c r="L8490" s="549">
        <f t="shared" si="1292"/>
        <v>0.12338858195211788</v>
      </c>
      <c r="M8490" s="401">
        <f>SUM(C8490,C8466,C8442,C8418,C8394,C8370,C8346)/POBLA!$B$17*100000</f>
        <v>33.417649714229945</v>
      </c>
    </row>
    <row r="8491" spans="1:13" s="360" customFormat="1" x14ac:dyDescent="0.25">
      <c r="A8491" s="367" t="s">
        <v>35</v>
      </c>
      <c r="B8491" s="267">
        <v>44246</v>
      </c>
      <c r="C8491" s="17">
        <v>69</v>
      </c>
      <c r="D8491" s="39">
        <f t="shared" si="1296"/>
        <v>14890</v>
      </c>
      <c r="E8491" s="1">
        <v>2</v>
      </c>
      <c r="F8491" s="39">
        <f t="shared" si="1295"/>
        <v>206</v>
      </c>
      <c r="G8491" s="168">
        <f>SUM(C8491,C8467,C8443,C8419,C8395,C8371,C8347,C8323,C8299,C8275,C8251,C8227,C8203,C8179)/POBLA!$B$18*100000</f>
        <v>79.619363121898274</v>
      </c>
      <c r="H8491" s="256">
        <f t="shared" si="1291"/>
        <v>0.81413612565445026</v>
      </c>
      <c r="I8491" s="297">
        <f t="shared" si="1293"/>
        <v>64.820999819137072</v>
      </c>
      <c r="J8491" s="297">
        <f t="shared" si="1294"/>
        <v>41.714285714285715</v>
      </c>
      <c r="K8491" s="297">
        <f>J8491/POBLA!$B$18*100000</f>
        <v>5.339654118418534</v>
      </c>
      <c r="L8491" s="549">
        <f t="shared" si="1292"/>
        <v>0.11515151515151512</v>
      </c>
      <c r="M8491" s="401">
        <f>SUM(C8491,C8467,C8443,C8419,C8395,C8371,C8347)/POBLA!$B$18*100000</f>
        <v>37.377578828929735</v>
      </c>
    </row>
    <row r="8492" spans="1:13" s="360" customFormat="1" x14ac:dyDescent="0.25">
      <c r="A8492" s="367" t="s">
        <v>36</v>
      </c>
      <c r="B8492" s="267">
        <v>44246</v>
      </c>
      <c r="C8492" s="17">
        <v>9</v>
      </c>
      <c r="D8492" s="39">
        <f t="shared" si="1296"/>
        <v>20253</v>
      </c>
      <c r="E8492" s="1"/>
      <c r="F8492" s="39">
        <f t="shared" si="1295"/>
        <v>352</v>
      </c>
      <c r="G8492" s="168">
        <f>SUM(C8492,C8468,C8444,C8420,C8396,C8372,C8348,C8324,C8300,C8276,C8252,C8228,C8204,C8180)/POBLA!$B$19*100000</f>
        <v>226.42860515257865</v>
      </c>
      <c r="H8492" s="256">
        <f t="shared" si="1291"/>
        <v>0.9787414965986394</v>
      </c>
      <c r="I8492" s="297">
        <f t="shared" si="1293"/>
        <v>221.61507187977722</v>
      </c>
      <c r="J8492" s="297">
        <f t="shared" si="1294"/>
        <v>156.85714285714286</v>
      </c>
      <c r="K8492" s="297">
        <f>J8492/POBLA!$B$19*100000</f>
        <v>30.857466607612182</v>
      </c>
      <c r="L8492" s="549">
        <f t="shared" si="1292"/>
        <v>-19.716981132075471</v>
      </c>
      <c r="M8492" s="401">
        <f>SUM(C8492,C8468,C8444,C8420,C8396,C8372,C8348)/POBLA!$B$19*100000</f>
        <v>216.00226625328528</v>
      </c>
    </row>
    <row r="8493" spans="1:13" s="360" customFormat="1" x14ac:dyDescent="0.25">
      <c r="A8493" s="367" t="s">
        <v>37</v>
      </c>
      <c r="B8493" s="267">
        <v>44246</v>
      </c>
      <c r="C8493" s="17">
        <v>138</v>
      </c>
      <c r="D8493" s="39">
        <f t="shared" si="1296"/>
        <v>35002</v>
      </c>
      <c r="E8493" s="1">
        <v>2</v>
      </c>
      <c r="F8493" s="39">
        <f t="shared" si="1295"/>
        <v>560</v>
      </c>
      <c r="G8493" s="168">
        <f>SUM(C8493,C8469,C8445,C8421,C8397,C8373,C8349,C8325,C8301,C8277,C8253,C8229,C8205,C8181)/POBLA!$B$20*100000</f>
        <v>377.0871046601294</v>
      </c>
      <c r="H8493" s="256">
        <f t="shared" si="1291"/>
        <v>0.56171079429735238</v>
      </c>
      <c r="I8493" s="297">
        <f t="shared" si="1293"/>
        <v>211.81389707793014</v>
      </c>
      <c r="J8493" s="297">
        <f t="shared" si="1294"/>
        <v>84.285714285714292</v>
      </c>
      <c r="K8493" s="297">
        <f>J8493/POBLA!$B$20*100000</f>
        <v>23.047901351857078</v>
      </c>
      <c r="L8493" s="549">
        <f t="shared" si="1292"/>
        <v>0.25221799746514573</v>
      </c>
      <c r="M8493" s="401">
        <f>SUM(C8493,C8469,C8445,C8421,C8397,C8373,C8349)/POBLA!$B$20*100000</f>
        <v>161.33530946299953</v>
      </c>
    </row>
    <row r="8494" spans="1:13" s="360" customFormat="1" x14ac:dyDescent="0.25">
      <c r="A8494" s="367" t="s">
        <v>22</v>
      </c>
      <c r="B8494" s="267">
        <v>44246</v>
      </c>
      <c r="C8494" s="17">
        <v>507</v>
      </c>
      <c r="D8494" s="39">
        <f t="shared" si="1296"/>
        <v>213476</v>
      </c>
      <c r="E8494" s="1">
        <v>3</v>
      </c>
      <c r="F8494" s="39">
        <f t="shared" si="1295"/>
        <v>3836</v>
      </c>
      <c r="G8494" s="168">
        <f>SUM(C8494,C8470,C8446,C8422,C8398,C8374,C8350,C8326,C8302,C8278,C8254,C8230,C8206,C8182)/POBLA!$B$21*100000</f>
        <v>137.39891607835952</v>
      </c>
      <c r="H8494" s="256">
        <f t="shared" si="1291"/>
        <v>0.59781003937007871</v>
      </c>
      <c r="I8494" s="297">
        <f t="shared" si="1293"/>
        <v>82.138451430210239</v>
      </c>
      <c r="J8494" s="297">
        <f t="shared" si="1294"/>
        <v>310.85714285714283</v>
      </c>
      <c r="K8494" s="297">
        <f>J8494/POBLA!$B$21*100000</f>
        <v>8.7901696817837376</v>
      </c>
      <c r="L8494" s="549">
        <f t="shared" si="1292"/>
        <v>0.18896757361162875</v>
      </c>
      <c r="M8494" s="401">
        <f>SUM(C8494,C8470,C8446,C8422,C8398,C8374,C8350)/POBLA!$B$21*100000</f>
        <v>61.531187772486177</v>
      </c>
    </row>
    <row r="8495" spans="1:13" s="360" customFormat="1" x14ac:dyDescent="0.25">
      <c r="A8495" s="367" t="s">
        <v>38</v>
      </c>
      <c r="B8495" s="267">
        <v>44246</v>
      </c>
      <c r="C8495" s="17">
        <v>54</v>
      </c>
      <c r="D8495" s="39">
        <f t="shared" si="1296"/>
        <v>22086</v>
      </c>
      <c r="E8495" s="1">
        <v>1</v>
      </c>
      <c r="F8495" s="39">
        <f t="shared" si="1295"/>
        <v>262</v>
      </c>
      <c r="G8495" s="168">
        <f>SUM(C8495,C8471,C8447,C8423,C8399,C8375,C8351,C8327,C8303,C8279,C8255,C8231,C8207,C8183)/POBLA!$B$22*100000</f>
        <v>82.488937589503564</v>
      </c>
      <c r="H8495" s="256">
        <f t="shared" si="1291"/>
        <v>0.71989295272078502</v>
      </c>
      <c r="I8495" s="297">
        <f t="shared" si="1293"/>
        <v>59.383204848108278</v>
      </c>
      <c r="J8495" s="297">
        <f t="shared" si="1294"/>
        <v>44.571428571428569</v>
      </c>
      <c r="K8495" s="297">
        <f>J8495/POBLA!$B$22*100000</f>
        <v>4.5559476947999844</v>
      </c>
      <c r="L8495" s="549">
        <f t="shared" si="1292"/>
        <v>0.36969696969696975</v>
      </c>
      <c r="M8495" s="401">
        <f>SUM(C8495,C8471,C8447,C8423,C8399,C8375,C8351)/POBLA!$B$22*100000</f>
        <v>31.891633863599889</v>
      </c>
    </row>
    <row r="8496" spans="1:13" s="360" customFormat="1" x14ac:dyDescent="0.25">
      <c r="A8496" s="367" t="s">
        <v>39</v>
      </c>
      <c r="B8496" s="267">
        <v>44246</v>
      </c>
      <c r="C8496" s="17">
        <v>49</v>
      </c>
      <c r="D8496" s="39">
        <f t="shared" si="1296"/>
        <v>22633</v>
      </c>
      <c r="E8496" s="1"/>
      <c r="F8496" s="39">
        <f t="shared" si="1295"/>
        <v>346</v>
      </c>
      <c r="G8496" s="168">
        <f>SUM(C8496,C8472,C8448,C8424,C8400,C8376,C8352,C8328,C8304,C8280,C8256,C8232,C8208,C8184)/POBLA!$B$23*100000</f>
        <v>332.52276197477806</v>
      </c>
      <c r="H8496" s="256">
        <f t="shared" si="1291"/>
        <v>0.7587096774193548</v>
      </c>
      <c r="I8496" s="297">
        <f t="shared" si="1293"/>
        <v>252.28823747247677</v>
      </c>
      <c r="J8496" s="297">
        <f t="shared" si="1294"/>
        <v>31.428571428571427</v>
      </c>
      <c r="K8496" s="297">
        <f>J8496/POBLA!$B$23*100000</f>
        <v>17.773325469983277</v>
      </c>
      <c r="L8496" s="549">
        <f t="shared" si="1292"/>
        <v>0.40217391304347827</v>
      </c>
      <c r="M8496" s="401">
        <f>SUM(C8496,C8472,C8448,C8424,C8400,C8376,C8352)/POBLA!$B$23*100000</f>
        <v>124.41327828988294</v>
      </c>
    </row>
    <row r="8497" spans="1:13" s="360" customFormat="1" ht="15.75" thickBot="1" x14ac:dyDescent="0.3">
      <c r="A8497" s="369" t="s">
        <v>40</v>
      </c>
      <c r="B8497" s="267">
        <v>44246</v>
      </c>
      <c r="C8497" s="17">
        <v>158</v>
      </c>
      <c r="D8497" s="176">
        <f t="shared" si="1296"/>
        <v>78601</v>
      </c>
      <c r="E8497" s="1">
        <v>2</v>
      </c>
      <c r="F8497" s="176">
        <f t="shared" si="1295"/>
        <v>1464</v>
      </c>
      <c r="G8497" s="177">
        <f>SUM(C8497,C8473,C8449,C8425,C8401,C8377,C8353,C8329,C8305,C8281,C8257,C8233,C8209,C8185)/POBLA!$B$24*100000</f>
        <v>85.504078703878548</v>
      </c>
      <c r="H8497" s="402">
        <f t="shared" si="1291"/>
        <v>0.72887323943661975</v>
      </c>
      <c r="I8497" s="403">
        <f t="shared" si="1293"/>
        <v>62.321634829939647</v>
      </c>
      <c r="J8497" s="403">
        <f t="shared" si="1294"/>
        <v>94.285714285714292</v>
      </c>
      <c r="K8497" s="403">
        <f>J8497/POBLA!$B$24*100000</f>
        <v>5.5637081676584685</v>
      </c>
      <c r="L8497" s="550">
        <f t="shared" si="1292"/>
        <v>0.16349809885931554</v>
      </c>
      <c r="M8497" s="405">
        <f>SUM(C8497,C8473,C8449,C8425,C8401,C8377,C8353)/POBLA!$B$24*100000</f>
        <v>38.945957173609273</v>
      </c>
    </row>
    <row r="8498" spans="1:13" s="360" customFormat="1" x14ac:dyDescent="0.25">
      <c r="A8498" s="363" t="s">
        <v>16</v>
      </c>
      <c r="B8498" s="267">
        <v>44247</v>
      </c>
      <c r="C8498" s="17">
        <v>2510</v>
      </c>
      <c r="D8498" s="174">
        <f t="shared" si="1296"/>
        <v>860369</v>
      </c>
      <c r="E8498" s="1">
        <v>65</v>
      </c>
      <c r="F8498" s="174">
        <f t="shared" ref="F8498:F8504" si="1297">E8498+F8474</f>
        <v>25887</v>
      </c>
      <c r="G8498" s="175">
        <f>SUM(C8498,C8474,C8450,C8426,C8402,C8378,C8354,C8330,C8306,C8282,C8258,C8234,C8210,C8186)/POBLA!$B$1*100000</f>
        <v>201.73146091237737</v>
      </c>
      <c r="H8498" s="300">
        <f t="shared" ref="H8498:H8521" si="1298">SUM(C8498,C8474,C8450,C8426,C8402,C8378,C8354,C8330,C8306,C8282,C8258,C8234,C8210,C8186)/SUM(C8162,C8138,C8114,C8090,C8066,C8042,C8018,C7994,C7970,C7946,C7922,C7898,C7874,C7850)</f>
        <v>0.73043657756218394</v>
      </c>
      <c r="I8498" s="301">
        <f>G8498*H8498</f>
        <v>147.35203789545642</v>
      </c>
      <c r="J8498" s="301">
        <f>AVERAGE(C8498,C8474,C8450,C8426,C8402,C8378,C8354)</f>
        <v>2337.1428571428573</v>
      </c>
      <c r="K8498" s="301">
        <f>J8498/POBLA!$B$1*100000</f>
        <v>13.323778978476129</v>
      </c>
      <c r="L8498" s="548">
        <f t="shared" ref="L8498:L8521" si="1299">1-SUM(C8498,C8474,C8450,C8426,C8402,C8378,C8354)/SUM(C8330,C8306,C8282,C8258,C8234,C8210,C8186)</f>
        <v>0.14012404078629248</v>
      </c>
      <c r="M8498" s="400">
        <f>SUM(C8498,C8474,C8450,C8426,C8402,C8378,C8354)/POBLA!$B$1*100000</f>
        <v>93.266452849332893</v>
      </c>
    </row>
    <row r="8499" spans="1:13" s="360" customFormat="1" x14ac:dyDescent="0.25">
      <c r="A8499" s="367" t="s">
        <v>43</v>
      </c>
      <c r="B8499" s="267">
        <v>44247</v>
      </c>
      <c r="C8499" s="17">
        <v>596</v>
      </c>
      <c r="D8499" s="39">
        <f t="shared" si="1296"/>
        <v>226374</v>
      </c>
      <c r="E8499" s="1">
        <v>33</v>
      </c>
      <c r="F8499" s="39">
        <f t="shared" si="1297"/>
        <v>6400</v>
      </c>
      <c r="G8499" s="168">
        <f>SUM(C8499,C8475,C8451,C8427,C8403,C8379,C8355,C8331,C8307,C8283,C8259,C8235,C8211,C8187)/POBLA!$B$2*100000</f>
        <v>321.36338187164586</v>
      </c>
      <c r="H8499" s="256">
        <f t="shared" si="1298"/>
        <v>0.67777549201124598</v>
      </c>
      <c r="I8499" s="297">
        <f t="shared" ref="I8499:I8521" si="1300">G8499*H8499</f>
        <v>217.8122242624527</v>
      </c>
      <c r="J8499" s="297">
        <f t="shared" ref="J8499:J8521" si="1301">AVERAGE(C8499,C8475,C8451,C8427,C8403,C8379,C8355)</f>
        <v>655.42857142857144</v>
      </c>
      <c r="K8499" s="297">
        <f>J8499/POBLA!$B$2*100000</f>
        <v>21.31027340040341</v>
      </c>
      <c r="L8499" s="549">
        <f t="shared" si="1299"/>
        <v>0.13368580060422963</v>
      </c>
      <c r="M8499" s="401">
        <f>SUM(C8499,C8475,C8451,C8427,C8403,C8379,C8355)/POBLA!$B$2*100000</f>
        <v>149.17191380282387</v>
      </c>
    </row>
    <row r="8500" spans="1:13" s="360" customFormat="1" x14ac:dyDescent="0.25">
      <c r="A8500" s="367" t="s">
        <v>28</v>
      </c>
      <c r="B8500" s="267">
        <v>44247</v>
      </c>
      <c r="C8500" s="17">
        <v>52</v>
      </c>
      <c r="D8500" s="39">
        <f t="shared" si="1296"/>
        <v>7181</v>
      </c>
      <c r="E8500" s="1"/>
      <c r="F8500" s="39">
        <f t="shared" si="1297"/>
        <v>17</v>
      </c>
      <c r="G8500" s="168">
        <f>SUM(C8500,C8476,C8452,C8428,C8404,C8380,C8356,C8332,C8308,C8284,C8260,C8236,C8212,C8188)/POBLA!$B$3*100000</f>
        <v>253.46742474207946</v>
      </c>
      <c r="H8500" s="256">
        <f t="shared" si="1298"/>
        <v>0.72821576763485474</v>
      </c>
      <c r="I8500" s="297">
        <f t="shared" si="1300"/>
        <v>184.57897527898317</v>
      </c>
      <c r="J8500" s="297">
        <f t="shared" si="1301"/>
        <v>60</v>
      </c>
      <c r="K8500" s="297">
        <f>J8500/POBLA!$B$3*100000</f>
        <v>14.442588304391991</v>
      </c>
      <c r="L8500" s="549">
        <f t="shared" si="1299"/>
        <v>0.3364928909952607</v>
      </c>
      <c r="M8500" s="401">
        <f>SUM(C8500,C8476,C8452,C8428,C8404,C8380,C8356)/POBLA!$B$3*100000</f>
        <v>101.09811813074393</v>
      </c>
    </row>
    <row r="8501" spans="1:13" s="360" customFormat="1" x14ac:dyDescent="0.25">
      <c r="A8501" s="367" t="s">
        <v>15</v>
      </c>
      <c r="B8501" s="267">
        <v>44247</v>
      </c>
      <c r="C8501" s="17">
        <v>176</v>
      </c>
      <c r="D8501" s="39">
        <f t="shared" si="1296"/>
        <v>33125</v>
      </c>
      <c r="E8501" s="1"/>
      <c r="F8501" s="39">
        <f t="shared" si="1297"/>
        <v>852</v>
      </c>
      <c r="G8501" s="168">
        <f>SUM(C8501,C8477,C8453,C8429,C8405,C8381,C8357,C8333,C8309,C8285,C8261,C8237,C8213,C8189)/POBLA!$B$4*100000</f>
        <v>129.84198960433892</v>
      </c>
      <c r="H8501" s="256">
        <f t="shared" si="1298"/>
        <v>0.83014861995753719</v>
      </c>
      <c r="I8501" s="297">
        <f t="shared" si="1300"/>
        <v>107.78814848258284</v>
      </c>
      <c r="J8501" s="297">
        <f t="shared" si="1301"/>
        <v>108.42857142857143</v>
      </c>
      <c r="K8501" s="297">
        <f>J8501/POBLA!$B$4*100000</f>
        <v>9.0016505397966053</v>
      </c>
      <c r="L8501" s="549">
        <f t="shared" si="1299"/>
        <v>5.7142857142857162E-2</v>
      </c>
      <c r="M8501" s="401">
        <f>SUM(C8501,C8477,C8453,C8429,C8405,C8381,C8357)/POBLA!$B$4*100000</f>
        <v>63.011553778576243</v>
      </c>
    </row>
    <row r="8502" spans="1:13" s="360" customFormat="1" x14ac:dyDescent="0.25">
      <c r="A8502" s="367" t="s">
        <v>29</v>
      </c>
      <c r="B8502" s="267">
        <v>44247</v>
      </c>
      <c r="C8502" s="17">
        <v>56</v>
      </c>
      <c r="D8502" s="39">
        <f t="shared" si="1296"/>
        <v>46055</v>
      </c>
      <c r="E8502" s="1"/>
      <c r="F8502" s="39">
        <f t="shared" si="1297"/>
        <v>747</v>
      </c>
      <c r="G8502" s="168">
        <f>SUM(C8502,C8478,C8454,C8430,C8406,C8382,C8358,C8334,C8310,C8286,C8262,C8238,C8214,C8190)/POBLA!$B$5*100000</f>
        <v>356.22316209850175</v>
      </c>
      <c r="H8502" s="256">
        <f t="shared" si="1298"/>
        <v>0.59562398703403563</v>
      </c>
      <c r="I8502" s="297">
        <f t="shared" si="1300"/>
        <v>212.17506008298119</v>
      </c>
      <c r="J8502" s="297">
        <f t="shared" si="1301"/>
        <v>129.42857142857142</v>
      </c>
      <c r="K8502" s="297">
        <f>J8502/POBLA!$B$5*100000</f>
        <v>20.909503392370752</v>
      </c>
      <c r="L8502" s="549">
        <f t="shared" si="1299"/>
        <v>0.30254041570438794</v>
      </c>
      <c r="M8502" s="401">
        <f>SUM(C8502,C8478,C8454,C8430,C8406,C8382,C8358)/POBLA!$B$5*100000</f>
        <v>146.36652374659528</v>
      </c>
    </row>
    <row r="8503" spans="1:13" s="360" customFormat="1" x14ac:dyDescent="0.25">
      <c r="A8503" s="367" t="s">
        <v>30</v>
      </c>
      <c r="B8503" s="267">
        <v>44247</v>
      </c>
      <c r="C8503" s="17">
        <v>125</v>
      </c>
      <c r="D8503" s="39">
        <f t="shared" si="1296"/>
        <v>20814</v>
      </c>
      <c r="E8503" s="1"/>
      <c r="F8503" s="39">
        <f t="shared" si="1297"/>
        <v>292</v>
      </c>
      <c r="G8503" s="168">
        <f>SUM(C8503,C8479,C8455,C8431,C8407,C8383,C8359,C8335,C8311,C8287,C8263,C8239,C8215,C8191)/POBLA!$B$6*100000</f>
        <v>186.91989032843475</v>
      </c>
      <c r="H8503" s="256">
        <f t="shared" si="1298"/>
        <v>0.844758064516129</v>
      </c>
      <c r="I8503" s="297">
        <f t="shared" si="1300"/>
        <v>157.90208477341562</v>
      </c>
      <c r="J8503" s="297">
        <f t="shared" si="1301"/>
        <v>221.85714285714286</v>
      </c>
      <c r="K8503" s="297">
        <f>J8503/POBLA!$B$6*100000</f>
        <v>19.794516855101207</v>
      </c>
      <c r="L8503" s="549">
        <f t="shared" si="1299"/>
        <v>-1.8653136531365315</v>
      </c>
      <c r="M8503" s="401">
        <f>SUM(C8503,C8479,C8455,C8431,C8407,C8383,C8359)/POBLA!$B$6*100000</f>
        <v>138.56161798570844</v>
      </c>
    </row>
    <row r="8504" spans="1:13" s="360" customFormat="1" x14ac:dyDescent="0.25">
      <c r="A8504" s="367" t="s">
        <v>20</v>
      </c>
      <c r="B8504" s="267">
        <v>44247</v>
      </c>
      <c r="C8504" s="17">
        <v>591</v>
      </c>
      <c r="D8504" s="39">
        <f t="shared" si="1296"/>
        <v>155175</v>
      </c>
      <c r="E8504" s="1">
        <v>3</v>
      </c>
      <c r="F8504" s="39">
        <f t="shared" si="1297"/>
        <v>2799</v>
      </c>
      <c r="G8504" s="168">
        <f>SUM(C8504,C8480,C8456,C8432,C8408,C8384,C8360,C8336,C8312,C8288,C8264,C8240,C8216,C8192)/POBLA!$B$7*100000</f>
        <v>189.57837492853247</v>
      </c>
      <c r="H8504" s="256">
        <f t="shared" si="1298"/>
        <v>1.0443891004980954</v>
      </c>
      <c r="I8504" s="297">
        <f t="shared" si="1300"/>
        <v>197.99358846550072</v>
      </c>
      <c r="J8504" s="297">
        <f t="shared" si="1301"/>
        <v>486.85714285714283</v>
      </c>
      <c r="K8504" s="297">
        <f>J8504/POBLA!$B$7*100000</f>
        <v>12.946778785973562</v>
      </c>
      <c r="L8504" s="549">
        <f t="shared" si="1299"/>
        <v>8.4117172803009899E-2</v>
      </c>
      <c r="M8504" s="401">
        <f>SUM(C8504,C8480,C8456,C8432,C8408,C8384,C8360)/POBLA!$B$7*100000</f>
        <v>90.627451501814946</v>
      </c>
    </row>
    <row r="8505" spans="1:13" x14ac:dyDescent="0.25">
      <c r="A8505" s="367" t="s">
        <v>31</v>
      </c>
      <c r="B8505" s="267">
        <v>44247</v>
      </c>
      <c r="C8505" s="17">
        <v>116</v>
      </c>
      <c r="D8505" s="39">
        <f t="shared" si="1296"/>
        <v>44231</v>
      </c>
      <c r="E8505" s="1">
        <v>2</v>
      </c>
      <c r="F8505" s="39">
        <f t="shared" ref="F8505:F8521" si="1302">E8505+F8481</f>
        <v>808</v>
      </c>
      <c r="G8505" s="168">
        <f>SUM(C8505,C8481,C8457,C8433,C8409,C8385,C8361,C8337,C8313,C8289,C8265,C8241,C8217,C8193)/POBLA!$B$8*100000</f>
        <v>130.8839137609211</v>
      </c>
      <c r="H8505" s="256">
        <f t="shared" si="1298"/>
        <v>0.50912152680325573</v>
      </c>
      <c r="I8505" s="297">
        <f t="shared" si="1300"/>
        <v>66.635818007945801</v>
      </c>
      <c r="J8505" s="297">
        <f t="shared" si="1301"/>
        <v>114.28571428571429</v>
      </c>
      <c r="K8505" s="297">
        <f>J8505/POBLA!$B$8*100000</f>
        <v>8.2459545604612465</v>
      </c>
      <c r="L8505" s="549">
        <f t="shared" si="1299"/>
        <v>0.21104536489151871</v>
      </c>
      <c r="M8505" s="401">
        <f>SUM(C8505,C8481,C8457,C8433,C8409,C8385,C8361)/POBLA!$B$8*100000</f>
        <v>57.721681923228722</v>
      </c>
    </row>
    <row r="8506" spans="1:13" s="360" customFormat="1" x14ac:dyDescent="0.25">
      <c r="A8506" s="367" t="s">
        <v>41</v>
      </c>
      <c r="B8506" s="267">
        <v>44247</v>
      </c>
      <c r="C8506" s="17">
        <v>13</v>
      </c>
      <c r="D8506" s="39">
        <f t="shared" si="1296"/>
        <v>1070</v>
      </c>
      <c r="E8506" s="1"/>
      <c r="F8506" s="39">
        <f t="shared" si="1302"/>
        <v>18</v>
      </c>
      <c r="G8506" s="168">
        <f>SUM(C8506,C8482,C8458,C8434,C8410,C8386,C8362,C8338,C8314,C8290,C8266,C8242,C8218,C8194)/POBLA!$B$9*100000</f>
        <v>33.377781963770232</v>
      </c>
      <c r="H8506" s="256">
        <f t="shared" si="1298"/>
        <v>2.9705882352941178</v>
      </c>
      <c r="I8506" s="297">
        <f t="shared" si="1300"/>
        <v>99.151646421788044</v>
      </c>
      <c r="J8506" s="297">
        <f t="shared" si="1301"/>
        <v>16</v>
      </c>
      <c r="K8506" s="297">
        <f>J8506/POBLA!$B$9*100000</f>
        <v>2.643784710001603</v>
      </c>
      <c r="L8506" s="549">
        <f t="shared" si="1299"/>
        <v>-0.24444444444444446</v>
      </c>
      <c r="M8506" s="401">
        <f>SUM(C8506,C8482,C8458,C8434,C8410,C8386,C8362)/POBLA!$B$9*100000</f>
        <v>18.50649297001122</v>
      </c>
    </row>
    <row r="8507" spans="1:13" s="360" customFormat="1" x14ac:dyDescent="0.25">
      <c r="A8507" s="367" t="s">
        <v>32</v>
      </c>
      <c r="B8507" s="267">
        <v>44247</v>
      </c>
      <c r="C8507" s="17">
        <v>68</v>
      </c>
      <c r="D8507" s="39">
        <f t="shared" si="1296"/>
        <v>20042</v>
      </c>
      <c r="E8507" s="1">
        <v>2</v>
      </c>
      <c r="F8507" s="39">
        <f t="shared" si="1302"/>
        <v>897</v>
      </c>
      <c r="G8507" s="168">
        <f>SUM(C8507,C8483,C8459,C8435,C8411,C8387,C8363,C8339,C8315,C8291,C8267,C8243,C8219,C8195)/POBLA!$B$10*100000</f>
        <v>69.920000622664205</v>
      </c>
      <c r="H8507" s="256">
        <f t="shared" si="1298"/>
        <v>1.2277904328018223</v>
      </c>
      <c r="I8507" s="297">
        <f t="shared" si="1300"/>
        <v>85.847107826004574</v>
      </c>
      <c r="J8507" s="297">
        <f t="shared" si="1301"/>
        <v>46</v>
      </c>
      <c r="K8507" s="297">
        <f>J8507/POBLA!$B$10*100000</f>
        <v>5.967198568910117</v>
      </c>
      <c r="L8507" s="549">
        <f t="shared" si="1299"/>
        <v>-0.4838709677419355</v>
      </c>
      <c r="M8507" s="401">
        <f>SUM(C8507,C8483,C8459,C8435,C8411,C8387,C8363)/POBLA!$B$10*100000</f>
        <v>41.770389982370816</v>
      </c>
    </row>
    <row r="8508" spans="1:13" s="360" customFormat="1" x14ac:dyDescent="0.25">
      <c r="A8508" s="367" t="s">
        <v>33</v>
      </c>
      <c r="B8508" s="267">
        <v>44247</v>
      </c>
      <c r="C8508" s="17">
        <v>60</v>
      </c>
      <c r="D8508" s="39">
        <f t="shared" si="1296"/>
        <v>18071</v>
      </c>
      <c r="E8508" s="1"/>
      <c r="F8508" s="39">
        <f t="shared" si="1302"/>
        <v>282</v>
      </c>
      <c r="G8508" s="168">
        <f>SUM(C8508,C8484,C8460,C8436,C8412,C8388,C8364,C8340,C8316,C8292,C8268,C8244,C8220,C8196)/POBLA!$B$11*100000</f>
        <v>290.4348990592253</v>
      </c>
      <c r="H8508" s="256">
        <f t="shared" si="1298"/>
        <v>0.81328124999999996</v>
      </c>
      <c r="I8508" s="297">
        <f t="shared" si="1300"/>
        <v>236.20525775051055</v>
      </c>
      <c r="J8508" s="297">
        <f t="shared" si="1301"/>
        <v>57.571428571428569</v>
      </c>
      <c r="K8508" s="297">
        <f>J8508/POBLA!$B$11*100000</f>
        <v>16.062201773139535</v>
      </c>
      <c r="L8508" s="549">
        <f t="shared" si="1299"/>
        <v>0.36833855799373039</v>
      </c>
      <c r="M8508" s="401">
        <f>SUM(C8508,C8484,C8460,C8436,C8412,C8388,C8364)/POBLA!$B$11*100000</f>
        <v>112.43541241197674</v>
      </c>
    </row>
    <row r="8509" spans="1:13" s="360" customFormat="1" x14ac:dyDescent="0.25">
      <c r="A8509" s="367" t="s">
        <v>21</v>
      </c>
      <c r="B8509" s="267">
        <v>44247</v>
      </c>
      <c r="C8509" s="17">
        <v>16</v>
      </c>
      <c r="D8509" s="39">
        <f t="shared" si="1296"/>
        <v>9994</v>
      </c>
      <c r="E8509" s="1">
        <v>1</v>
      </c>
      <c r="F8509" s="39">
        <f t="shared" si="1302"/>
        <v>435</v>
      </c>
      <c r="G8509" s="168">
        <f>SUM(C8509,C8485,C8461,C8437,C8413,C8389,C8365,C8341,C8317,C8293,C8269,C8245,C8221,C8197)/POBLA!$B$12*100000</f>
        <v>86.651369269511179</v>
      </c>
      <c r="H8509" s="256">
        <f t="shared" si="1298"/>
        <v>1.3585657370517927</v>
      </c>
      <c r="I8509" s="297">
        <f t="shared" si="1300"/>
        <v>117.72158135818052</v>
      </c>
      <c r="J8509" s="297">
        <f t="shared" si="1301"/>
        <v>25.428571428571427</v>
      </c>
      <c r="K8509" s="297">
        <f>J8509/POBLA!$B$12*100000</f>
        <v>6.461643791358604</v>
      </c>
      <c r="L8509" s="549">
        <f t="shared" si="1299"/>
        <v>-9.2024539877300526E-2</v>
      </c>
      <c r="M8509" s="401">
        <f>SUM(C8509,C8485,C8461,C8437,C8413,C8389,C8365)/POBLA!$B$12*100000</f>
        <v>45.231506539510228</v>
      </c>
    </row>
    <row r="8510" spans="1:13" s="360" customFormat="1" x14ac:dyDescent="0.25">
      <c r="A8510" s="367" t="s">
        <v>17</v>
      </c>
      <c r="B8510" s="267">
        <v>44247</v>
      </c>
      <c r="C8510" s="17">
        <v>127</v>
      </c>
      <c r="D8510" s="39">
        <f t="shared" si="1296"/>
        <v>66294</v>
      </c>
      <c r="E8510" s="1">
        <v>3</v>
      </c>
      <c r="F8510" s="39">
        <f t="shared" si="1302"/>
        <v>1423</v>
      </c>
      <c r="G8510" s="168">
        <f>SUM(C8510,C8486,C8462,C8438,C8414,C8390,C8366,C8342,C8318,C8294,C8270,C8246,C8222,C8198)/POBLA!$B$13*100000</f>
        <v>80.589327038925049</v>
      </c>
      <c r="H8510" s="256">
        <f t="shared" si="1298"/>
        <v>1.0037546933667083</v>
      </c>
      <c r="I8510" s="297">
        <f t="shared" si="1300"/>
        <v>80.891915250585583</v>
      </c>
      <c r="J8510" s="297">
        <f t="shared" si="1301"/>
        <v>96.285714285714292</v>
      </c>
      <c r="K8510" s="297">
        <f>J8510/POBLA!$B$13*100000</f>
        <v>4.8376564325111762</v>
      </c>
      <c r="L8510" s="549">
        <f t="shared" si="1299"/>
        <v>0.27526881720430108</v>
      </c>
      <c r="M8510" s="401">
        <f>SUM(C8510,C8486,C8462,C8438,C8414,C8390,C8366)/POBLA!$B$13*100000</f>
        <v>33.863595027578235</v>
      </c>
    </row>
    <row r="8511" spans="1:13" s="360" customFormat="1" x14ac:dyDescent="0.25">
      <c r="A8511" s="367" t="s">
        <v>23</v>
      </c>
      <c r="B8511" s="267">
        <v>44247</v>
      </c>
      <c r="C8511" s="17">
        <v>100</v>
      </c>
      <c r="D8511" s="39">
        <f t="shared" si="1296"/>
        <v>7365</v>
      </c>
      <c r="E8511" s="1">
        <v>1</v>
      </c>
      <c r="F8511" s="39">
        <f t="shared" si="1302"/>
        <v>126</v>
      </c>
      <c r="G8511" s="168">
        <f>SUM(C8511,C8487,C8463,C8439,C8415,C8391,C8367,C8343,C8319,C8295,C8271,C8247,C8223,C8199)/POBLA!$B$14*100000</f>
        <v>119.48047005694153</v>
      </c>
      <c r="H8511" s="256">
        <f t="shared" si="1298"/>
        <v>0.59098039215686271</v>
      </c>
      <c r="I8511" s="297">
        <f t="shared" si="1300"/>
        <v>70.610615049337596</v>
      </c>
      <c r="J8511" s="297">
        <f t="shared" si="1301"/>
        <v>106.57142857142857</v>
      </c>
      <c r="K8511" s="297">
        <f>J8511/POBLA!$B$14*100000</f>
        <v>8.4493725151652637</v>
      </c>
      <c r="L8511" s="549">
        <f t="shared" si="1299"/>
        <v>1.9710906701708275E-2</v>
      </c>
      <c r="M8511" s="401">
        <f>SUM(C8511,C8487,C8463,C8439,C8415,C8391,C8367)/POBLA!$B$14*100000</f>
        <v>59.145607606156844</v>
      </c>
    </row>
    <row r="8512" spans="1:13" s="360" customFormat="1" x14ac:dyDescent="0.25">
      <c r="A8512" s="367" t="s">
        <v>19</v>
      </c>
      <c r="B8512" s="267">
        <v>44247</v>
      </c>
      <c r="C8512" s="17">
        <v>162</v>
      </c>
      <c r="D8512" s="39">
        <f t="shared" si="1296"/>
        <v>59866</v>
      </c>
      <c r="E8512" s="1">
        <v>3</v>
      </c>
      <c r="F8512" s="39">
        <f t="shared" si="1302"/>
        <v>882</v>
      </c>
      <c r="G8512" s="168">
        <f>SUM(C8512,C8488,C8464,C8440,C8416,C8392,C8368,C8344,C8320,C8296,C8272,C8248,C8224,C8200)/POBLA!$B$15*100000</f>
        <v>507.93832457153525</v>
      </c>
      <c r="H8512" s="256">
        <f t="shared" si="1298"/>
        <v>0.59625243061693478</v>
      </c>
      <c r="I8512" s="297">
        <f t="shared" si="1300"/>
        <v>302.85946062927144</v>
      </c>
      <c r="J8512" s="297">
        <f t="shared" si="1301"/>
        <v>205</v>
      </c>
      <c r="K8512" s="297">
        <f>J8512/POBLA!$B$15*100000</f>
        <v>30.870843918519043</v>
      </c>
      <c r="L8512" s="549">
        <f t="shared" si="1299"/>
        <v>0.25954592363261098</v>
      </c>
      <c r="M8512" s="401">
        <f>SUM(C8512,C8488,C8464,C8440,C8416,C8392,C8368)/POBLA!$B$15*100000</f>
        <v>216.09590742963331</v>
      </c>
    </row>
    <row r="8513" spans="1:13" s="360" customFormat="1" x14ac:dyDescent="0.25">
      <c r="A8513" s="367" t="s">
        <v>18</v>
      </c>
      <c r="B8513" s="267">
        <v>44247</v>
      </c>
      <c r="C8513" s="17">
        <v>79</v>
      </c>
      <c r="D8513" s="39">
        <f t="shared" si="1296"/>
        <v>51385</v>
      </c>
      <c r="E8513" s="1">
        <v>3</v>
      </c>
      <c r="F8513" s="39">
        <f t="shared" si="1302"/>
        <v>1146</v>
      </c>
      <c r="G8513" s="168">
        <f>SUM(C8513,C8489,C8465,C8441,C8417,C8393,C8369,C8345,C8321,C8297,C8273,C8249,C8225,C8201)/POBLA!$B$16*100000</f>
        <v>276.48105295541797</v>
      </c>
      <c r="H8513" s="256">
        <f t="shared" si="1298"/>
        <v>0.59947795823665895</v>
      </c>
      <c r="I8513" s="297">
        <f t="shared" si="1300"/>
        <v>165.74429711683555</v>
      </c>
      <c r="J8513" s="297">
        <f t="shared" si="1301"/>
        <v>125</v>
      </c>
      <c r="K8513" s="297">
        <f>J8513/POBLA!$B$16*100000</f>
        <v>16.719947566244432</v>
      </c>
      <c r="L8513" s="549">
        <f t="shared" si="1299"/>
        <v>0.26593959731543626</v>
      </c>
      <c r="M8513" s="401">
        <f>SUM(C8513,C8489,C8465,C8441,C8417,C8393,C8369)/POBLA!$B$16*100000</f>
        <v>117.03963296371103</v>
      </c>
    </row>
    <row r="8514" spans="1:13" s="360" customFormat="1" x14ac:dyDescent="0.25">
      <c r="A8514" s="367" t="s">
        <v>34</v>
      </c>
      <c r="B8514" s="267">
        <v>44247</v>
      </c>
      <c r="C8514" s="17">
        <v>146</v>
      </c>
      <c r="D8514" s="39">
        <f t="shared" si="1296"/>
        <v>25322</v>
      </c>
      <c r="E8514" s="1">
        <v>3</v>
      </c>
      <c r="F8514" s="39">
        <f t="shared" si="1302"/>
        <v>1076</v>
      </c>
      <c r="G8514" s="168">
        <f>SUM(C8514,C8490,C8466,C8442,C8418,C8394,C8370,C8346,C8322,C8298,C8274,C8250,C8226,C8202)/POBLA!$B$17*100000</f>
        <v>75.330122149934326</v>
      </c>
      <c r="H8514" s="256">
        <f t="shared" si="1298"/>
        <v>1.2881152460984393</v>
      </c>
      <c r="I8514" s="297">
        <f t="shared" si="1300"/>
        <v>97.033878831788144</v>
      </c>
      <c r="J8514" s="297">
        <f t="shared" si="1301"/>
        <v>74.142857142857139</v>
      </c>
      <c r="K8514" s="297">
        <f>J8514/POBLA!$B$17*100000</f>
        <v>5.2052101445634289</v>
      </c>
      <c r="L8514" s="549">
        <f t="shared" si="1299"/>
        <v>6.3176895306859215E-2</v>
      </c>
      <c r="M8514" s="401">
        <f>SUM(C8514,C8490,C8466,C8442,C8418,C8394,C8370)/POBLA!$B$17*100000</f>
        <v>36.436471011944001</v>
      </c>
    </row>
    <row r="8515" spans="1:13" s="360" customFormat="1" x14ac:dyDescent="0.25">
      <c r="A8515" s="367" t="s">
        <v>35</v>
      </c>
      <c r="B8515" s="267">
        <v>44247</v>
      </c>
      <c r="C8515" s="17">
        <v>26</v>
      </c>
      <c r="D8515" s="39">
        <f t="shared" si="1296"/>
        <v>14916</v>
      </c>
      <c r="E8515" s="1"/>
      <c r="F8515" s="39">
        <f t="shared" si="1302"/>
        <v>206</v>
      </c>
      <c r="G8515" s="168">
        <f>SUM(C8515,C8491,C8467,C8443,C8419,C8395,C8371,C8347,C8323,C8299,C8275,C8251,C8227,C8203)/POBLA!$B$18*100000</f>
        <v>81.411438819175714</v>
      </c>
      <c r="H8515" s="256">
        <f t="shared" si="1298"/>
        <v>0.85483870967741937</v>
      </c>
      <c r="I8515" s="297">
        <f t="shared" si="1300"/>
        <v>69.593649313166338</v>
      </c>
      <c r="J8515" s="297">
        <f t="shared" si="1301"/>
        <v>44.571428571428569</v>
      </c>
      <c r="K8515" s="297">
        <f>J8515/POBLA!$B$18*100000</f>
        <v>5.705383852556789</v>
      </c>
      <c r="L8515" s="549">
        <f t="shared" si="1299"/>
        <v>3.703703703703709E-2</v>
      </c>
      <c r="M8515" s="401">
        <f>SUM(C8515,C8491,C8467,C8443,C8419,C8395,C8371)/POBLA!$B$18*100000</f>
        <v>39.93768696789752</v>
      </c>
    </row>
    <row r="8516" spans="1:13" s="360" customFormat="1" x14ac:dyDescent="0.25">
      <c r="A8516" s="367" t="s">
        <v>36</v>
      </c>
      <c r="B8516" s="267">
        <v>44247</v>
      </c>
      <c r="C8516" s="17">
        <v>264</v>
      </c>
      <c r="D8516" s="39">
        <f t="shared" si="1296"/>
        <v>20517</v>
      </c>
      <c r="E8516" s="1">
        <v>1</v>
      </c>
      <c r="F8516" s="39">
        <f t="shared" si="1302"/>
        <v>353</v>
      </c>
      <c r="G8516" s="168">
        <f>SUM(C8516,C8492,C8468,C8444,C8420,C8396,C8372,C8348,C8324,C8300,C8276,C8252,C8228,C8204)/POBLA!$B$19*100000</f>
        <v>277.77340614721203</v>
      </c>
      <c r="H8516" s="256">
        <f t="shared" si="1298"/>
        <v>2.0056818181818183</v>
      </c>
      <c r="I8516" s="297">
        <f t="shared" si="1300"/>
        <v>557.12507028389689</v>
      </c>
      <c r="J8516" s="297">
        <f t="shared" si="1301"/>
        <v>105</v>
      </c>
      <c r="K8516" s="297">
        <f>J8516/POBLA!$B$19*100000</f>
        <v>20.655954423128374</v>
      </c>
      <c r="L8516" s="549">
        <f t="shared" si="1299"/>
        <v>-8.5672082717872966E-2</v>
      </c>
      <c r="M8516" s="401">
        <f>SUM(C8516,C8492,C8468,C8444,C8420,C8396,C8372)/POBLA!$B$19*100000</f>
        <v>144.59168096189862</v>
      </c>
    </row>
    <row r="8517" spans="1:13" s="360" customFormat="1" x14ac:dyDescent="0.25">
      <c r="A8517" s="367" t="s">
        <v>37</v>
      </c>
      <c r="B8517" s="267">
        <v>44247</v>
      </c>
      <c r="C8517" s="17">
        <v>106</v>
      </c>
      <c r="D8517" s="39">
        <f t="shared" si="1296"/>
        <v>35108</v>
      </c>
      <c r="E8517" s="1">
        <v>1</v>
      </c>
      <c r="F8517" s="39">
        <f t="shared" si="1302"/>
        <v>561</v>
      </c>
      <c r="G8517" s="168">
        <f>SUM(C8517,C8493,C8469,C8445,C8421,C8397,C8373,C8349,C8325,C8301,C8277,C8253,C8229,C8205)/POBLA!$B$20*100000</f>
        <v>372.71190982723448</v>
      </c>
      <c r="H8517" s="256">
        <f t="shared" si="1298"/>
        <v>0.56839032527105926</v>
      </c>
      <c r="I8517" s="297">
        <f t="shared" si="1300"/>
        <v>211.8458436590995</v>
      </c>
      <c r="J8517" s="297">
        <f t="shared" si="1301"/>
        <v>90.142857142857139</v>
      </c>
      <c r="K8517" s="297">
        <f>J8517/POBLA!$B$20*100000</f>
        <v>24.649535174613245</v>
      </c>
      <c r="L8517" s="549">
        <f t="shared" si="1299"/>
        <v>0.13797814207650272</v>
      </c>
      <c r="M8517" s="401">
        <f>SUM(C8517,C8493,C8469,C8445,C8421,C8397,C8373)/POBLA!$B$20*100000</f>
        <v>172.54674622229271</v>
      </c>
    </row>
    <row r="8518" spans="1:13" s="360" customFormat="1" x14ac:dyDescent="0.25">
      <c r="A8518" s="367" t="s">
        <v>22</v>
      </c>
      <c r="B8518" s="267">
        <v>44247</v>
      </c>
      <c r="C8518" s="17">
        <v>376</v>
      </c>
      <c r="D8518" s="39">
        <f t="shared" si="1296"/>
        <v>213852</v>
      </c>
      <c r="E8518" s="1"/>
      <c r="F8518" s="39">
        <f t="shared" si="1302"/>
        <v>3836</v>
      </c>
      <c r="G8518" s="168">
        <f>SUM(C8518,C8494,C8470,C8446,C8422,C8398,C8374,C8350,C8326,C8302,C8278,C8254,C8230,C8206)/POBLA!$B$21*100000</f>
        <v>135.8436700638895</v>
      </c>
      <c r="H8518" s="256">
        <f t="shared" si="1298"/>
        <v>0.61111817834881055</v>
      </c>
      <c r="I8518" s="297">
        <f t="shared" si="1300"/>
        <v>83.016536189660997</v>
      </c>
      <c r="J8518" s="297">
        <f t="shared" si="1301"/>
        <v>304</v>
      </c>
      <c r="K8518" s="297">
        <f>J8518/POBLA!$B$21*100000</f>
        <v>8.5962688799796858</v>
      </c>
      <c r="L8518" s="549">
        <f t="shared" si="1299"/>
        <v>0.20478325859491775</v>
      </c>
      <c r="M8518" s="401">
        <f>SUM(C8518,C8494,C8470,C8446,C8422,C8398,C8374)/POBLA!$B$21*100000</f>
        <v>60.173882159857804</v>
      </c>
    </row>
    <row r="8519" spans="1:13" s="360" customFormat="1" x14ac:dyDescent="0.25">
      <c r="A8519" s="367" t="s">
        <v>38</v>
      </c>
      <c r="B8519" s="267">
        <v>44247</v>
      </c>
      <c r="C8519" s="17">
        <v>54</v>
      </c>
      <c r="D8519" s="39">
        <f t="shared" si="1296"/>
        <v>22140</v>
      </c>
      <c r="E8519" s="1"/>
      <c r="F8519" s="39">
        <f t="shared" si="1302"/>
        <v>262</v>
      </c>
      <c r="G8519" s="168">
        <f>SUM(C8519,C8495,C8471,C8447,C8423,C8399,C8375,C8351,C8327,C8303,C8279,C8255,C8231,C8207)/POBLA!$B$22*100000</f>
        <v>80.853469186242023</v>
      </c>
      <c r="H8519" s="256">
        <f t="shared" si="1298"/>
        <v>0.77473065621939274</v>
      </c>
      <c r="I8519" s="297">
        <f t="shared" si="1300"/>
        <v>62.639661240271735</v>
      </c>
      <c r="J8519" s="297">
        <f t="shared" si="1301"/>
        <v>43.857142857142854</v>
      </c>
      <c r="K8519" s="297">
        <f>J8519/POBLA!$B$22*100000</f>
        <v>4.482935712511523</v>
      </c>
      <c r="L8519" s="549">
        <f t="shared" si="1299"/>
        <v>0.36570247933884292</v>
      </c>
      <c r="M8519" s="401">
        <f>SUM(C8519,C8495,C8471,C8447,C8423,C8399,C8375)/POBLA!$B$22*100000</f>
        <v>31.380549987580661</v>
      </c>
    </row>
    <row r="8520" spans="1:13" s="360" customFormat="1" x14ac:dyDescent="0.25">
      <c r="A8520" s="367" t="s">
        <v>39</v>
      </c>
      <c r="B8520" s="267">
        <v>44247</v>
      </c>
      <c r="C8520" s="17">
        <v>33</v>
      </c>
      <c r="D8520" s="39">
        <f t="shared" si="1296"/>
        <v>22666</v>
      </c>
      <c r="E8520" s="1">
        <v>1</v>
      </c>
      <c r="F8520" s="39">
        <f t="shared" si="1302"/>
        <v>347</v>
      </c>
      <c r="G8520" s="168">
        <f>SUM(C8520,C8496,C8472,C8448,C8424,C8400,C8376,C8352,C8328,C8304,C8280,C8256,C8232,C8208)/POBLA!$B$23*100000</f>
        <v>341.57100039586044</v>
      </c>
      <c r="H8520" s="256">
        <f t="shared" si="1298"/>
        <v>0.84122562674094703</v>
      </c>
      <c r="I8520" s="297">
        <f t="shared" si="1300"/>
        <v>287.33827888453999</v>
      </c>
      <c r="J8520" s="297">
        <f t="shared" si="1301"/>
        <v>34.142857142857146</v>
      </c>
      <c r="K8520" s="297">
        <f>J8520/POBLA!$B$23*100000</f>
        <v>19.308294487845473</v>
      </c>
      <c r="L8520" s="549">
        <f t="shared" si="1299"/>
        <v>0.34520547945205482</v>
      </c>
      <c r="M8520" s="401">
        <f>SUM(C8520,C8496,C8472,C8448,C8424,C8400,C8376)/POBLA!$B$23*100000</f>
        <v>135.15806141491828</v>
      </c>
    </row>
    <row r="8521" spans="1:13" s="360" customFormat="1" ht="15.75" thickBot="1" x14ac:dyDescent="0.3">
      <c r="A8521" s="369" t="s">
        <v>40</v>
      </c>
      <c r="B8521" s="267">
        <v>44247</v>
      </c>
      <c r="C8521" s="17">
        <v>92</v>
      </c>
      <c r="D8521" s="176">
        <f t="shared" si="1296"/>
        <v>78693</v>
      </c>
      <c r="E8521" s="1"/>
      <c r="F8521" s="176">
        <f t="shared" si="1302"/>
        <v>1464</v>
      </c>
      <c r="G8521" s="177">
        <f>SUM(C8521,C8497,C8473,C8449,C8425,C8401,C8377,C8353,C8329,C8305,C8281,C8257,C8233,C8209)/POBLA!$B$24*100000</f>
        <v>85.504078703878548</v>
      </c>
      <c r="H8521" s="402">
        <f t="shared" si="1298"/>
        <v>0.72522522522522526</v>
      </c>
      <c r="I8521" s="403">
        <f t="shared" si="1300"/>
        <v>62.009714735695709</v>
      </c>
      <c r="J8521" s="403">
        <f t="shared" si="1301"/>
        <v>94.571428571428569</v>
      </c>
      <c r="K8521" s="403">
        <f>J8521/POBLA!$B$24*100000</f>
        <v>5.5805678893786448</v>
      </c>
      <c r="L8521" s="550">
        <f t="shared" si="1299"/>
        <v>0.15883100381194404</v>
      </c>
      <c r="M8521" s="405">
        <f>SUM(C8521,C8497,C8473,C8449,C8425,C8401,C8377)/POBLA!$B$24*100000</f>
        <v>39.063975225650516</v>
      </c>
    </row>
    <row r="8522" spans="1:13" s="360" customFormat="1" x14ac:dyDescent="0.25">
      <c r="A8522" s="363" t="s">
        <v>16</v>
      </c>
      <c r="B8522" s="267">
        <v>44248</v>
      </c>
      <c r="C8522" s="1">
        <v>1503</v>
      </c>
      <c r="D8522" s="174">
        <f t="shared" si="1296"/>
        <v>861872</v>
      </c>
      <c r="E8522" s="1">
        <v>51</v>
      </c>
      <c r="F8522" s="174">
        <f t="shared" ref="F8522:F8528" si="1303">E8522+F8498</f>
        <v>25938</v>
      </c>
      <c r="G8522" s="175">
        <f>SUM(C8522,C8498,C8474,C8450,C8426,C8402,C8378,C8354,C8330,C8306,C8282,C8258,C8234,C8210)/POBLA!$B$1*100000</f>
        <v>201.75996532950737</v>
      </c>
      <c r="H8522" s="300">
        <f t="shared" ref="H8522:H8545" si="1304">SUM(C8522,C8498,C8474,C8450,C8426,C8402,C8378,C8354,C8330,C8306,C8282,C8258,C8234,C8210)/SUM(C8186,C8162,C8138,C8114,C8090,C8066,C8042,C8018,C7994,C7970,C7946,C7922,C7898,C7874)</f>
        <v>0.7395929114770543</v>
      </c>
      <c r="I8522" s="301">
        <f>G8522*H8522</f>
        <v>149.2202401775599</v>
      </c>
      <c r="J8522" s="301">
        <f>AVERAGE(C8522,C8498,C8474,C8450,C8426,C8402,C8378)</f>
        <v>2324.7142857142858</v>
      </c>
      <c r="K8522" s="301">
        <f>J8522/POBLA!$B$1*100000</f>
        <v>13.252925141610147</v>
      </c>
      <c r="L8522" s="548">
        <f t="shared" ref="L8522:L8545" si="1305">1-SUM(C8522,C8498,C8474,C8450,C8426,C8402,C8378)/SUM(C8354,C8330,C8306,C8282,C8258,C8234,C8210)</f>
        <v>0.14881263730515748</v>
      </c>
      <c r="M8522" s="400">
        <f>SUM(C8522,C8498,C8474,C8450,C8426,C8402,C8378)/POBLA!$B$1*100000</f>
        <v>92.770475991271041</v>
      </c>
    </row>
    <row r="8523" spans="1:13" s="360" customFormat="1" x14ac:dyDescent="0.25">
      <c r="A8523" s="367" t="s">
        <v>43</v>
      </c>
      <c r="B8523" s="267">
        <v>44248</v>
      </c>
      <c r="C8523" s="1">
        <v>351</v>
      </c>
      <c r="D8523" s="39">
        <f t="shared" si="1296"/>
        <v>226725</v>
      </c>
      <c r="E8523" s="1">
        <v>8</v>
      </c>
      <c r="F8523" s="39">
        <f t="shared" si="1303"/>
        <v>6408</v>
      </c>
      <c r="G8523" s="168">
        <f>SUM(C8523,C8499,C8475,C8451,C8427,C8403,C8379,C8355,C8331,C8307,C8283,C8259,C8235,C8211)/POBLA!$B$2*100000</f>
        <v>314.015332063573</v>
      </c>
      <c r="H8523" s="256">
        <f t="shared" si="1304"/>
        <v>0.66818873668188739</v>
      </c>
      <c r="I8523" s="297">
        <f t="shared" ref="I8523:I8545" si="1306">G8523*H8523</f>
        <v>209.8215080303022</v>
      </c>
      <c r="J8523" s="297">
        <f t="shared" ref="J8523:J8545" si="1307">AVERAGE(C8523,C8499,C8475,C8451,C8427,C8403,C8379)</f>
        <v>611.71428571428567</v>
      </c>
      <c r="K8523" s="297">
        <f>J8523/POBLA!$B$2*100000</f>
        <v>19.88896920238173</v>
      </c>
      <c r="L8523" s="549">
        <f t="shared" si="1305"/>
        <v>0.20349702380952384</v>
      </c>
      <c r="M8523" s="401">
        <f>SUM(C8523,C8499,C8475,C8451,C8427,C8403,C8379)/POBLA!$B$2*100000</f>
        <v>139.22278441667214</v>
      </c>
    </row>
    <row r="8524" spans="1:13" s="360" customFormat="1" x14ac:dyDescent="0.25">
      <c r="A8524" s="367" t="s">
        <v>28</v>
      </c>
      <c r="B8524" s="267">
        <v>44248</v>
      </c>
      <c r="C8524" s="1">
        <v>110</v>
      </c>
      <c r="D8524" s="39">
        <f t="shared" si="1296"/>
        <v>7291</v>
      </c>
      <c r="E8524" s="1"/>
      <c r="F8524" s="39">
        <f t="shared" si="1303"/>
        <v>17</v>
      </c>
      <c r="G8524" s="168">
        <f>SUM(C8524,C8500,C8476,C8452,C8428,C8404,C8380,C8356,C8332,C8308,C8284,C8260,C8236,C8212)/POBLA!$B$3*100000</f>
        <v>264.78078558051982</v>
      </c>
      <c r="H8524" s="256">
        <f t="shared" si="1304"/>
        <v>0.75342465753424659</v>
      </c>
      <c r="I8524" s="297">
        <f t="shared" si="1306"/>
        <v>199.49237269765192</v>
      </c>
      <c r="J8524" s="297">
        <f t="shared" si="1307"/>
        <v>71.142857142857139</v>
      </c>
      <c r="K8524" s="297">
        <f>J8524/POBLA!$B$3*100000</f>
        <v>17.124783275207648</v>
      </c>
      <c r="L8524" s="549">
        <f t="shared" si="1305"/>
        <v>0.1727574750830565</v>
      </c>
      <c r="M8524" s="401">
        <f>SUM(C8524,C8500,C8476,C8452,C8428,C8404,C8380)/POBLA!$B$3*100000</f>
        <v>119.87348292645352</v>
      </c>
    </row>
    <row r="8525" spans="1:13" s="360" customFormat="1" x14ac:dyDescent="0.25">
      <c r="A8525" s="367" t="s">
        <v>15</v>
      </c>
      <c r="B8525" s="267">
        <v>44248</v>
      </c>
      <c r="C8525" s="1">
        <v>81</v>
      </c>
      <c r="D8525" s="39">
        <f t="shared" si="1296"/>
        <v>33206</v>
      </c>
      <c r="E8525" s="1"/>
      <c r="F8525" s="39">
        <f t="shared" si="1303"/>
        <v>852</v>
      </c>
      <c r="G8525" s="168">
        <f>SUM(C8525,C8501,C8477,C8453,C8429,C8405,C8381,C8357,C8333,C8309,C8285,C8261,C8237,C8213)/POBLA!$B$4*100000</f>
        <v>127.84952940580686</v>
      </c>
      <c r="H8525" s="256">
        <f t="shared" si="1304"/>
        <v>0.83153347732181426</v>
      </c>
      <c r="I8525" s="297">
        <f t="shared" si="1306"/>
        <v>106.31116376076812</v>
      </c>
      <c r="J8525" s="297">
        <f t="shared" si="1307"/>
        <v>108.57142857142857</v>
      </c>
      <c r="K8525" s="297">
        <f>J8525/POBLA!$B$4*100000</f>
        <v>9.0135104219307252</v>
      </c>
      <c r="L8525" s="549">
        <f t="shared" si="1305"/>
        <v>2.5641025641025661E-2</v>
      </c>
      <c r="M8525" s="401">
        <f>SUM(C8525,C8501,C8477,C8453,C8429,C8405,C8381)/POBLA!$B$4*100000</f>
        <v>63.094572953515076</v>
      </c>
    </row>
    <row r="8526" spans="1:13" s="360" customFormat="1" x14ac:dyDescent="0.25">
      <c r="A8526" s="367" t="s">
        <v>29</v>
      </c>
      <c r="B8526" s="267">
        <v>44248</v>
      </c>
      <c r="C8526" s="1">
        <v>36</v>
      </c>
      <c r="D8526" s="39">
        <f t="shared" si="1296"/>
        <v>46091</v>
      </c>
      <c r="E8526" s="1"/>
      <c r="F8526" s="39">
        <f t="shared" si="1303"/>
        <v>747</v>
      </c>
      <c r="G8526" s="168">
        <f>SUM(C8526,C8502,C8478,C8454,C8430,C8406,C8382,C8358,C8334,C8310,C8286,C8262,C8238,C8214)/POBLA!$B$5*100000</f>
        <v>352.02279828237431</v>
      </c>
      <c r="H8526" s="256">
        <f t="shared" si="1304"/>
        <v>0.59600656455142231</v>
      </c>
      <c r="I8526" s="297">
        <f t="shared" si="1306"/>
        <v>209.80789864805624</v>
      </c>
      <c r="J8526" s="297">
        <f t="shared" si="1307"/>
        <v>122.85714285714286</v>
      </c>
      <c r="K8526" s="297">
        <f>J8526/POBLA!$B$5*100000</f>
        <v>19.847872977305574</v>
      </c>
      <c r="L8526" s="549">
        <f t="shared" si="1305"/>
        <v>0.34799090219863538</v>
      </c>
      <c r="M8526" s="401">
        <f>SUM(C8526,C8502,C8478,C8454,C8430,C8406,C8382)/POBLA!$B$5*100000</f>
        <v>138.93511084113902</v>
      </c>
    </row>
    <row r="8527" spans="1:13" s="360" customFormat="1" x14ac:dyDescent="0.25">
      <c r="A8527" s="367" t="s">
        <v>30</v>
      </c>
      <c r="B8527" s="267">
        <v>44248</v>
      </c>
      <c r="C8527" s="1">
        <v>146</v>
      </c>
      <c r="D8527" s="39">
        <f t="shared" si="1296"/>
        <v>20960</v>
      </c>
      <c r="E8527" s="1"/>
      <c r="F8527" s="39">
        <f t="shared" si="1303"/>
        <v>292</v>
      </c>
      <c r="G8527" s="168">
        <f>SUM(C8527,C8503,C8479,C8455,C8431,C8407,C8383,C8359,C8335,C8311,C8287,C8263,C8239,C8215)/POBLA!$B$6*100000</f>
        <v>198.6971817476965</v>
      </c>
      <c r="H8527" s="256">
        <f t="shared" si="1304"/>
        <v>0.91646090534979419</v>
      </c>
      <c r="I8527" s="297">
        <f t="shared" si="1306"/>
        <v>182.09819907494654</v>
      </c>
      <c r="J8527" s="297">
        <f t="shared" si="1307"/>
        <v>230.14285714285714</v>
      </c>
      <c r="K8527" s="297">
        <f>J8527/POBLA!$B$6*100000</f>
        <v>20.533784065401186</v>
      </c>
      <c r="L8527" s="549">
        <f t="shared" si="1305"/>
        <v>-1.6152597402597402</v>
      </c>
      <c r="M8527" s="401">
        <f>SUM(C8527,C8503,C8479,C8455,C8431,C8407,C8383)/POBLA!$B$6*100000</f>
        <v>143.73648845780832</v>
      </c>
    </row>
    <row r="8528" spans="1:13" s="360" customFormat="1" x14ac:dyDescent="0.25">
      <c r="A8528" s="367" t="s">
        <v>20</v>
      </c>
      <c r="B8528" s="267">
        <v>44248</v>
      </c>
      <c r="C8528" s="1">
        <v>399</v>
      </c>
      <c r="D8528" s="39">
        <f t="shared" si="1296"/>
        <v>155574</v>
      </c>
      <c r="E8528" s="1"/>
      <c r="F8528" s="39">
        <f t="shared" si="1303"/>
        <v>2799</v>
      </c>
      <c r="G8528" s="168">
        <f>SUM(C8528,C8504,C8480,C8456,C8432,C8408,C8384,C8360,C8336,C8312,C8288,C8264,C8240,C8216)/POBLA!$B$7*100000</f>
        <v>194.20548072704065</v>
      </c>
      <c r="H8528" s="256">
        <f t="shared" si="1304"/>
        <v>1.076027700014734</v>
      </c>
      <c r="I8528" s="297">
        <f t="shared" si="1306"/>
        <v>208.97047675697331</v>
      </c>
      <c r="J8528" s="297">
        <f t="shared" si="1307"/>
        <v>504.14285714285717</v>
      </c>
      <c r="K8528" s="297">
        <f>J8528/POBLA!$B$7*100000</f>
        <v>13.406450215874621</v>
      </c>
      <c r="L8528" s="549">
        <f t="shared" si="1305"/>
        <v>6.4917859035506065E-2</v>
      </c>
      <c r="M8528" s="401">
        <f>SUM(C8528,C8504,C8480,C8456,C8432,C8408,C8384)/POBLA!$B$7*100000</f>
        <v>93.845151511122339</v>
      </c>
    </row>
    <row r="8529" spans="1:13" x14ac:dyDescent="0.25">
      <c r="A8529" s="367" t="s">
        <v>31</v>
      </c>
      <c r="B8529" s="267">
        <v>44248</v>
      </c>
      <c r="C8529" s="1">
        <v>87</v>
      </c>
      <c r="D8529" s="39">
        <f t="shared" si="1296"/>
        <v>44318</v>
      </c>
      <c r="E8529" s="1">
        <v>1</v>
      </c>
      <c r="F8529" s="39">
        <f t="shared" ref="F8529:F8545" si="1308">E8529+F8505</f>
        <v>809</v>
      </c>
      <c r="G8529" s="168">
        <f>SUM(C8529,C8505,C8481,C8457,C8433,C8409,C8385,C8361,C8337,C8313,C8289,C8265,C8241,C8217)/POBLA!$B$8*100000</f>
        <v>129.58517591764846</v>
      </c>
      <c r="H8529" s="256">
        <f t="shared" si="1304"/>
        <v>0.52073064656422152</v>
      </c>
      <c r="I8529" s="297">
        <f t="shared" si="1306"/>
        <v>67.478972440735475</v>
      </c>
      <c r="J8529" s="297">
        <f t="shared" si="1307"/>
        <v>110.28571428571429</v>
      </c>
      <c r="K8529" s="297">
        <f>J8529/POBLA!$B$8*100000</f>
        <v>7.957346150845102</v>
      </c>
      <c r="L8529" s="549">
        <f t="shared" si="1305"/>
        <v>0.24609375</v>
      </c>
      <c r="M8529" s="401">
        <f>SUM(C8529,C8505,C8481,C8457,C8433,C8409,C8385)/POBLA!$B$8*100000</f>
        <v>55.701423055915718</v>
      </c>
    </row>
    <row r="8530" spans="1:13" s="360" customFormat="1" x14ac:dyDescent="0.25">
      <c r="A8530" s="367" t="s">
        <v>41</v>
      </c>
      <c r="B8530" s="267">
        <v>44248</v>
      </c>
      <c r="C8530" s="1">
        <v>9</v>
      </c>
      <c r="D8530" s="39">
        <f t="shared" si="1296"/>
        <v>1079</v>
      </c>
      <c r="E8530" s="1"/>
      <c r="F8530" s="39">
        <f t="shared" si="1308"/>
        <v>18</v>
      </c>
      <c r="G8530" s="168">
        <f>SUM(C8530,C8506,C8482,C8458,C8434,C8410,C8386,C8362,C8338,C8314,C8290,C8266,C8242,C8218)/POBLA!$B$9*100000</f>
        <v>33.212545419395134</v>
      </c>
      <c r="H8530" s="256">
        <f t="shared" si="1304"/>
        <v>2.7916666666666665</v>
      </c>
      <c r="I8530" s="297">
        <f t="shared" si="1306"/>
        <v>92.718355962478071</v>
      </c>
      <c r="J8530" s="297">
        <f t="shared" si="1307"/>
        <v>15.857142857142858</v>
      </c>
      <c r="K8530" s="297">
        <f>J8530/POBLA!$B$9*100000</f>
        <v>2.6201794893765888</v>
      </c>
      <c r="L8530" s="549">
        <f t="shared" si="1305"/>
        <v>-0.23333333333333339</v>
      </c>
      <c r="M8530" s="401">
        <f>SUM(C8530,C8506,C8482,C8458,C8434,C8410,C8386)/POBLA!$B$9*100000</f>
        <v>18.341256425636118</v>
      </c>
    </row>
    <row r="8531" spans="1:13" s="360" customFormat="1" x14ac:dyDescent="0.25">
      <c r="A8531" s="367" t="s">
        <v>32</v>
      </c>
      <c r="B8531" s="267">
        <v>44248</v>
      </c>
      <c r="C8531" s="1">
        <v>73</v>
      </c>
      <c r="D8531" s="39">
        <f t="shared" si="1296"/>
        <v>20115</v>
      </c>
      <c r="E8531" s="1"/>
      <c r="F8531" s="39">
        <f t="shared" si="1308"/>
        <v>897</v>
      </c>
      <c r="G8531" s="168">
        <f>SUM(C8531,C8507,C8483,C8459,C8435,C8411,C8387,C8363,C8339,C8315,C8291,C8267,C8243,C8219)/POBLA!$B$10*100000</f>
        <v>77.184416271772179</v>
      </c>
      <c r="H8531" s="256">
        <f t="shared" si="1304"/>
        <v>1.3934426229508197</v>
      </c>
      <c r="I8531" s="297">
        <f t="shared" si="1306"/>
        <v>107.55205546066615</v>
      </c>
      <c r="J8531" s="297">
        <f t="shared" si="1307"/>
        <v>49.428571428571431</v>
      </c>
      <c r="K8531" s="297">
        <f>J8531/POBLA!$B$10*100000</f>
        <v>6.4119587106922378</v>
      </c>
      <c r="L8531" s="549">
        <f t="shared" si="1305"/>
        <v>-0.38955823293172687</v>
      </c>
      <c r="M8531" s="401">
        <f>SUM(C8531,C8507,C8483,C8459,C8435,C8411,C8387)/POBLA!$B$10*100000</f>
        <v>44.883710974845663</v>
      </c>
    </row>
    <row r="8532" spans="1:13" s="360" customFormat="1" x14ac:dyDescent="0.25">
      <c r="A8532" s="367" t="s">
        <v>33</v>
      </c>
      <c r="B8532" s="267">
        <v>44248</v>
      </c>
      <c r="C8532" s="1">
        <v>19</v>
      </c>
      <c r="D8532" s="39">
        <f t="shared" si="1296"/>
        <v>18090</v>
      </c>
      <c r="E8532" s="1"/>
      <c r="F8532" s="39">
        <f t="shared" si="1308"/>
        <v>282</v>
      </c>
      <c r="G8532" s="168">
        <f>SUM(C8532,C8508,C8484,C8460,C8436,C8412,C8388,C8364,C8340,C8316,C8292,C8268,C8244,C8220)/POBLA!$B$11*100000</f>
        <v>279.55405269677595</v>
      </c>
      <c r="H8532" s="256">
        <f t="shared" si="1304"/>
        <v>0.77374517374517371</v>
      </c>
      <c r="I8532" s="297">
        <f t="shared" si="1306"/>
        <v>216.30359907503436</v>
      </c>
      <c r="J8532" s="297">
        <f t="shared" si="1307"/>
        <v>53.714285714285715</v>
      </c>
      <c r="K8532" s="297">
        <f>J8532/POBLA!$B$11*100000</f>
        <v>14.986074110919269</v>
      </c>
      <c r="L8532" s="549">
        <f t="shared" si="1305"/>
        <v>0.39936102236421722</v>
      </c>
      <c r="M8532" s="401">
        <f>SUM(C8532,C8508,C8484,C8460,C8436,C8412,C8388)/POBLA!$B$11*100000</f>
        <v>104.90251877643489</v>
      </c>
    </row>
    <row r="8533" spans="1:13" s="360" customFormat="1" x14ac:dyDescent="0.25">
      <c r="A8533" s="367" t="s">
        <v>21</v>
      </c>
      <c r="B8533" s="267">
        <v>44248</v>
      </c>
      <c r="C8533" s="1">
        <v>25</v>
      </c>
      <c r="D8533" s="39">
        <f t="shared" si="1296"/>
        <v>10019</v>
      </c>
      <c r="E8533" s="1"/>
      <c r="F8533" s="39">
        <f t="shared" si="1308"/>
        <v>435</v>
      </c>
      <c r="G8533" s="168">
        <f>SUM(C8533,C8509,C8485,C8461,C8437,C8413,C8389,C8365,C8341,C8317,C8293,C8269,C8245,C8221)/POBLA!$B$12*100000</f>
        <v>84.872602158406835</v>
      </c>
      <c r="H8533" s="256">
        <f t="shared" si="1304"/>
        <v>1.3522267206477734</v>
      </c>
      <c r="I8533" s="297">
        <f t="shared" si="1306"/>
        <v>114.76700048950561</v>
      </c>
      <c r="J8533" s="297">
        <f t="shared" si="1307"/>
        <v>24.571428571428573</v>
      </c>
      <c r="K8533" s="297">
        <f>J8533/POBLA!$B$12*100000</f>
        <v>6.2438355736723592</v>
      </c>
      <c r="L8533" s="549">
        <f t="shared" si="1305"/>
        <v>-6.1728395061728447E-2</v>
      </c>
      <c r="M8533" s="401">
        <f>SUM(C8533,C8509,C8485,C8461,C8437,C8413,C8389)/POBLA!$B$12*100000</f>
        <v>43.706849015706517</v>
      </c>
    </row>
    <row r="8534" spans="1:13" s="360" customFormat="1" x14ac:dyDescent="0.25">
      <c r="A8534" s="367" t="s">
        <v>17</v>
      </c>
      <c r="B8534" s="267">
        <v>44248</v>
      </c>
      <c r="C8534" s="1">
        <v>39</v>
      </c>
      <c r="D8534" s="39">
        <f t="shared" si="1296"/>
        <v>66333</v>
      </c>
      <c r="E8534" s="1"/>
      <c r="F8534" s="39">
        <f t="shared" si="1308"/>
        <v>1423</v>
      </c>
      <c r="G8534" s="168">
        <f>SUM(C8534,C8510,C8486,C8462,C8438,C8414,C8390,C8366,C8342,C8318,C8294,C8270,C8246,C8222)/POBLA!$B$13*100000</f>
        <v>80.63956976151789</v>
      </c>
      <c r="H8534" s="256">
        <f t="shared" si="1304"/>
        <v>1.0203432930705658</v>
      </c>
      <c r="I8534" s="297">
        <f t="shared" si="1306"/>
        <v>82.280044162260779</v>
      </c>
      <c r="J8534" s="297">
        <f t="shared" si="1307"/>
        <v>95.714285714285708</v>
      </c>
      <c r="K8534" s="297">
        <f>J8534/POBLA!$B$13*100000</f>
        <v>4.8089463053152635</v>
      </c>
      <c r="L8534" s="549">
        <f t="shared" si="1305"/>
        <v>0.28342245989304815</v>
      </c>
      <c r="M8534" s="401">
        <f>SUM(C8534,C8510,C8486,C8462,C8438,C8414,C8390)/POBLA!$B$13*100000</f>
        <v>33.662624137206848</v>
      </c>
    </row>
    <row r="8535" spans="1:13" s="360" customFormat="1" x14ac:dyDescent="0.25">
      <c r="A8535" s="367" t="s">
        <v>23</v>
      </c>
      <c r="B8535" s="267">
        <v>44248</v>
      </c>
      <c r="C8535" s="1">
        <v>117</v>
      </c>
      <c r="D8535" s="39">
        <f t="shared" si="1296"/>
        <v>7482</v>
      </c>
      <c r="E8535" s="1"/>
      <c r="F8535" s="39">
        <f t="shared" si="1308"/>
        <v>126</v>
      </c>
      <c r="G8535" s="168">
        <f>SUM(C8535,C8511,C8487,C8463,C8439,C8415,C8391,C8367,C8343,C8319,C8295,C8271,C8247,C8223)/POBLA!$B$14*100000</f>
        <v>112.58279195810016</v>
      </c>
      <c r="H8535" s="256">
        <f t="shared" si="1304"/>
        <v>0.54720616570327552</v>
      </c>
      <c r="I8535" s="297">
        <f t="shared" si="1306"/>
        <v>61.605997911561552</v>
      </c>
      <c r="J8535" s="297">
        <f t="shared" si="1307"/>
        <v>106.57142857142857</v>
      </c>
      <c r="K8535" s="297">
        <f>J8535/POBLA!$B$14*100000</f>
        <v>8.4493725151652637</v>
      </c>
      <c r="L8535" s="549">
        <f t="shared" si="1305"/>
        <v>-0.10682492581602365</v>
      </c>
      <c r="M8535" s="401">
        <f>SUM(C8535,C8511,C8487,C8463,C8439,C8415,C8391)/POBLA!$B$14*100000</f>
        <v>59.145607606156844</v>
      </c>
    </row>
    <row r="8536" spans="1:13" s="360" customFormat="1" x14ac:dyDescent="0.25">
      <c r="A8536" s="367" t="s">
        <v>19</v>
      </c>
      <c r="B8536" s="267">
        <v>44248</v>
      </c>
      <c r="C8536" s="1">
        <v>116</v>
      </c>
      <c r="D8536" s="39">
        <f t="shared" si="1296"/>
        <v>59982</v>
      </c>
      <c r="E8536" s="1">
        <v>5</v>
      </c>
      <c r="F8536" s="39">
        <f t="shared" si="1308"/>
        <v>887</v>
      </c>
      <c r="G8536" s="168">
        <f>SUM(C8536,C8512,C8488,C8464,C8440,C8416,C8392,C8368,C8344,C8320,C8296,C8272,C8248,C8224)/POBLA!$B$15*100000</f>
        <v>501.01120837518465</v>
      </c>
      <c r="H8536" s="256">
        <f t="shared" si="1304"/>
        <v>0.58677248677248672</v>
      </c>
      <c r="I8536" s="297">
        <f t="shared" si="1306"/>
        <v>293.97959263919563</v>
      </c>
      <c r="J8536" s="297">
        <f t="shared" si="1307"/>
        <v>188.42857142857142</v>
      </c>
      <c r="K8536" s="297">
        <f>J8536/POBLA!$B$15*100000</f>
        <v>28.375361065175344</v>
      </c>
      <c r="L8536" s="549">
        <f t="shared" si="1305"/>
        <v>0.34312749003984067</v>
      </c>
      <c r="M8536" s="401">
        <f>SUM(C8536,C8512,C8488,C8464,C8440,C8416,C8392)/POBLA!$B$15*100000</f>
        <v>198.6275274562274</v>
      </c>
    </row>
    <row r="8537" spans="1:13" s="360" customFormat="1" x14ac:dyDescent="0.25">
      <c r="A8537" s="367" t="s">
        <v>18</v>
      </c>
      <c r="B8537" s="267">
        <v>44248</v>
      </c>
      <c r="C8537" s="1">
        <v>69</v>
      </c>
      <c r="D8537" s="39">
        <f t="shared" si="1296"/>
        <v>51454</v>
      </c>
      <c r="E8537" s="1">
        <v>1</v>
      </c>
      <c r="F8537" s="39">
        <f t="shared" si="1308"/>
        <v>1147</v>
      </c>
      <c r="G8537" s="168">
        <f>SUM(C8537,C8513,C8489,C8465,C8441,C8417,C8393,C8369,C8345,C8321,C8297,C8273,C8249,C8225)/POBLA!$B$16*100000</f>
        <v>277.81864876071751</v>
      </c>
      <c r="H8537" s="256">
        <f t="shared" si="1304"/>
        <v>0.61106207708149451</v>
      </c>
      <c r="I8537" s="297">
        <f t="shared" si="1306"/>
        <v>169.7644405636982</v>
      </c>
      <c r="J8537" s="297">
        <f t="shared" si="1307"/>
        <v>122.42857142857143</v>
      </c>
      <c r="K8537" s="297">
        <f>J8537/POBLA!$B$16*100000</f>
        <v>16.375994359167404</v>
      </c>
      <c r="L8537" s="549">
        <f t="shared" si="1305"/>
        <v>0.29754098360655734</v>
      </c>
      <c r="M8537" s="401">
        <f>SUM(C8537,C8513,C8489,C8465,C8441,C8417,C8393)/POBLA!$B$16*100000</f>
        <v>114.63196051417182</v>
      </c>
    </row>
    <row r="8538" spans="1:13" s="360" customFormat="1" x14ac:dyDescent="0.25">
      <c r="A8538" s="367" t="s">
        <v>34</v>
      </c>
      <c r="B8538" s="267">
        <v>44248</v>
      </c>
      <c r="C8538" s="1">
        <v>83</v>
      </c>
      <c r="D8538" s="39">
        <f t="shared" si="1296"/>
        <v>25405</v>
      </c>
      <c r="E8538" s="1">
        <v>4</v>
      </c>
      <c r="F8538" s="39">
        <f t="shared" si="1308"/>
        <v>1080</v>
      </c>
      <c r="G8538" s="168">
        <f>SUM(C8538,C8514,C8490,C8466,C8442,C8418,C8394,C8370,C8346,C8322,C8298,C8274,C8250,C8226)/POBLA!$B$17*100000</f>
        <v>78.138328008272978</v>
      </c>
      <c r="H8538" s="256">
        <f t="shared" si="1304"/>
        <v>1.3094117647058823</v>
      </c>
      <c r="I8538" s="297">
        <f t="shared" si="1306"/>
        <v>102.31524596847979</v>
      </c>
      <c r="J8538" s="297">
        <f t="shared" si="1307"/>
        <v>81.142857142857139</v>
      </c>
      <c r="K8538" s="297">
        <f>J8538/POBLA!$B$17*100000</f>
        <v>5.6966461697726931</v>
      </c>
      <c r="L8538" s="549">
        <f t="shared" si="1305"/>
        <v>-4.2201834862385379E-2</v>
      </c>
      <c r="M8538" s="401">
        <f>SUM(C8538,C8514,C8490,C8466,C8442,C8418,C8394)/POBLA!$B$17*100000</f>
        <v>39.876523188408854</v>
      </c>
    </row>
    <row r="8539" spans="1:13" s="360" customFormat="1" x14ac:dyDescent="0.25">
      <c r="A8539" s="367" t="s">
        <v>35</v>
      </c>
      <c r="B8539" s="267">
        <v>44248</v>
      </c>
      <c r="C8539" s="1">
        <v>3</v>
      </c>
      <c r="D8539" s="39">
        <f t="shared" si="1296"/>
        <v>14919</v>
      </c>
      <c r="E8539" s="1"/>
      <c r="F8539" s="39">
        <f t="shared" si="1308"/>
        <v>206</v>
      </c>
      <c r="G8539" s="168">
        <f>SUM(C8539,C8515,C8491,C8467,C8443,C8419,C8395,C8371,C8347,C8323,C8299,C8275,C8251,C8227)/POBLA!$B$18*100000</f>
        <v>80.643406377485391</v>
      </c>
      <c r="H8539" s="256">
        <f t="shared" si="1304"/>
        <v>0.84677419354838712</v>
      </c>
      <c r="I8539" s="297">
        <f t="shared" si="1306"/>
        <v>68.286755400290048</v>
      </c>
      <c r="J8539" s="297">
        <f t="shared" si="1307"/>
        <v>44</v>
      </c>
      <c r="K8539" s="297">
        <f>J8539/POBLA!$B$18*100000</f>
        <v>5.6322379057291379</v>
      </c>
      <c r="L8539" s="549">
        <f t="shared" si="1305"/>
        <v>4.3478260869565188E-2</v>
      </c>
      <c r="M8539" s="401">
        <f>SUM(C8539,C8515,C8491,C8467,C8443,C8419,C8395)/POBLA!$B$18*100000</f>
        <v>39.425665340103969</v>
      </c>
    </row>
    <row r="8540" spans="1:13" s="360" customFormat="1" x14ac:dyDescent="0.25">
      <c r="A8540" s="367" t="s">
        <v>36</v>
      </c>
      <c r="B8540" s="267">
        <v>44248</v>
      </c>
      <c r="C8540" s="1">
        <v>2</v>
      </c>
      <c r="D8540" s="39">
        <f t="shared" si="1296"/>
        <v>20519</v>
      </c>
      <c r="E8540" s="1"/>
      <c r="F8540" s="39">
        <f t="shared" si="1308"/>
        <v>353</v>
      </c>
      <c r="G8540" s="168">
        <f>SUM(C8540,C8516,C8492,C8468,C8444,C8420,C8396,C8372,C8348,C8324,C8300,C8276,C8252,C8228)/POBLA!$B$19*100000</f>
        <v>277.97012952267039</v>
      </c>
      <c r="H8540" s="256">
        <f t="shared" si="1304"/>
        <v>2.1638591117917305</v>
      </c>
      <c r="I8540" s="297">
        <f t="shared" si="1306"/>
        <v>601.48819757355784</v>
      </c>
      <c r="J8540" s="297">
        <f t="shared" si="1307"/>
        <v>63.428571428571431</v>
      </c>
      <c r="K8540" s="297">
        <f>J8540/POBLA!$B$19*100000</f>
        <v>12.47788267193061</v>
      </c>
      <c r="L8540" s="549">
        <f t="shared" si="1305"/>
        <v>0.54179566563467496</v>
      </c>
      <c r="M8540" s="401">
        <f>SUM(C8540,C8516,C8492,C8468,C8444,C8420,C8396)/POBLA!$B$19*100000</f>
        <v>87.345178703514264</v>
      </c>
    </row>
    <row r="8541" spans="1:13" s="360" customFormat="1" x14ac:dyDescent="0.25">
      <c r="A8541" s="367" t="s">
        <v>37</v>
      </c>
      <c r="B8541" s="267">
        <v>44248</v>
      </c>
      <c r="C8541" s="1">
        <v>81</v>
      </c>
      <c r="D8541" s="39">
        <f t="shared" si="1296"/>
        <v>35189</v>
      </c>
      <c r="E8541" s="1">
        <v>1</v>
      </c>
      <c r="F8541" s="39">
        <f t="shared" si="1308"/>
        <v>562</v>
      </c>
      <c r="G8541" s="168">
        <f>SUM(C8541,C8517,C8493,C8469,C8445,C8421,C8397,C8373,C8349,C8325,C8301,C8277,C8253,C8229)/POBLA!$B$20*100000</f>
        <v>381.46229949302432</v>
      </c>
      <c r="H8541" s="256">
        <f t="shared" si="1304"/>
        <v>0.60233160621761661</v>
      </c>
      <c r="I8541" s="297">
        <f t="shared" si="1306"/>
        <v>229.76679956509886</v>
      </c>
      <c r="J8541" s="297">
        <f t="shared" si="1307"/>
        <v>93.142857142857139</v>
      </c>
      <c r="K8541" s="297">
        <f>J8541/POBLA!$B$20*100000</f>
        <v>25.469884205781039</v>
      </c>
      <c r="L8541" s="549">
        <f t="shared" si="1305"/>
        <v>0.12247644683714676</v>
      </c>
      <c r="M8541" s="401">
        <f>SUM(C8541,C8517,C8493,C8469,C8445,C8421,C8397)/POBLA!$B$20*100000</f>
        <v>178.28918944046728</v>
      </c>
    </row>
    <row r="8542" spans="1:13" s="360" customFormat="1" x14ac:dyDescent="0.25">
      <c r="A8542" s="367" t="s">
        <v>22</v>
      </c>
      <c r="B8542" s="267">
        <v>44248</v>
      </c>
      <c r="C8542" s="1">
        <v>206</v>
      </c>
      <c r="D8542" s="39">
        <f t="shared" si="1296"/>
        <v>214058</v>
      </c>
      <c r="E8542" s="1">
        <v>6</v>
      </c>
      <c r="F8542" s="39">
        <f t="shared" si="1308"/>
        <v>3842</v>
      </c>
      <c r="G8542" s="168">
        <f>SUM(C8542,C8518,C8494,C8470,C8446,C8422,C8398,C8374,C8350,C8326,C8302,C8278,C8254,C8230)/POBLA!$B$21*100000</f>
        <v>137.22925287678098</v>
      </c>
      <c r="H8542" s="256">
        <f t="shared" si="1304"/>
        <v>0.64023746701846962</v>
      </c>
      <c r="I8542" s="297">
        <f t="shared" si="1306"/>
        <v>87.859309262667281</v>
      </c>
      <c r="J8542" s="297">
        <f t="shared" si="1307"/>
        <v>305.85714285714283</v>
      </c>
      <c r="K8542" s="297">
        <f>J8542/POBLA!$B$21*100000</f>
        <v>8.6487836804682825</v>
      </c>
      <c r="L8542" s="549">
        <f t="shared" si="1305"/>
        <v>0.21054572271386429</v>
      </c>
      <c r="M8542" s="401">
        <f>SUM(C8542,C8518,C8494,C8470,C8446,C8422,C8398)/POBLA!$B$21*100000</f>
        <v>60.54148576327799</v>
      </c>
    </row>
    <row r="8543" spans="1:13" s="360" customFormat="1" x14ac:dyDescent="0.25">
      <c r="A8543" s="367" t="s">
        <v>38</v>
      </c>
      <c r="B8543" s="267">
        <v>44248</v>
      </c>
      <c r="C8543" s="1">
        <v>41</v>
      </c>
      <c r="D8543" s="39">
        <f t="shared" si="1296"/>
        <v>22181</v>
      </c>
      <c r="E8543" s="1"/>
      <c r="F8543" s="39">
        <f t="shared" si="1308"/>
        <v>262</v>
      </c>
      <c r="G8543" s="168">
        <f>SUM(C8543,C8519,C8495,C8471,C8447,C8423,C8399,C8375,C8351,C8327,C8303,C8279,C8255,C8231)/POBLA!$B$22*100000</f>
        <v>76.458147852476671</v>
      </c>
      <c r="H8543" s="256">
        <f t="shared" si="1304"/>
        <v>0.71578947368421053</v>
      </c>
      <c r="I8543" s="297">
        <f t="shared" si="1306"/>
        <v>54.727937410193825</v>
      </c>
      <c r="J8543" s="297">
        <f t="shared" si="1307"/>
        <v>45.571428571428569</v>
      </c>
      <c r="K8543" s="297">
        <f>J8543/POBLA!$B$22*100000</f>
        <v>4.6581644700038298</v>
      </c>
      <c r="L8543" s="549">
        <f t="shared" si="1305"/>
        <v>0.25641025641025639</v>
      </c>
      <c r="M8543" s="401">
        <f>SUM(C8543,C8519,C8495,C8471,C8447,C8423,C8399)/POBLA!$B$22*100000</f>
        <v>32.607151290026806</v>
      </c>
    </row>
    <row r="8544" spans="1:13" s="360" customFormat="1" x14ac:dyDescent="0.25">
      <c r="A8544" s="367" t="s">
        <v>39</v>
      </c>
      <c r="B8544" s="267">
        <v>44248</v>
      </c>
      <c r="C8544" s="1">
        <v>40</v>
      </c>
      <c r="D8544" s="39">
        <f t="shared" si="1296"/>
        <v>22706</v>
      </c>
      <c r="E8544" s="1"/>
      <c r="F8544" s="39">
        <f t="shared" si="1308"/>
        <v>347</v>
      </c>
      <c r="G8544" s="168">
        <f>SUM(C8544,C8520,C8496,C8472,C8448,C8424,C8400,C8376,C8352,C8328,C8304,C8280,C8256,C8232)/POBLA!$B$23*100000</f>
        <v>352.88129842221343</v>
      </c>
      <c r="H8544" s="256">
        <f t="shared" si="1304"/>
        <v>0.90173410404624277</v>
      </c>
      <c r="I8544" s="297">
        <f t="shared" si="1306"/>
        <v>318.20510146742947</v>
      </c>
      <c r="J8544" s="297">
        <f t="shared" si="1307"/>
        <v>36</v>
      </c>
      <c r="K8544" s="297">
        <f>J8544/POBLA!$B$23*100000</f>
        <v>20.358536447435391</v>
      </c>
      <c r="L8544" s="549">
        <f t="shared" si="1305"/>
        <v>0.32258064516129037</v>
      </c>
      <c r="M8544" s="401">
        <f>SUM(C8544,C8520,C8496,C8472,C8448,C8424,C8400)/POBLA!$B$23*100000</f>
        <v>142.50975513204773</v>
      </c>
    </row>
    <row r="8545" spans="1:13" s="360" customFormat="1" ht="15.75" thickBot="1" x14ac:dyDescent="0.3">
      <c r="A8545" s="368" t="s">
        <v>40</v>
      </c>
      <c r="B8545" s="268">
        <v>44248</v>
      </c>
      <c r="C8545" s="232">
        <v>73</v>
      </c>
      <c r="D8545" s="67">
        <f t="shared" si="1296"/>
        <v>78766</v>
      </c>
      <c r="E8545" s="232"/>
      <c r="F8545" s="67">
        <f t="shared" si="1308"/>
        <v>1464</v>
      </c>
      <c r="G8545" s="177">
        <f>SUM(C8545,C8521,C8497,C8473,C8449,C8425,C8401,C8377,C8353,C8329,C8305,C8281,C8257,C8233)/POBLA!$B$24*100000</f>
        <v>85.91714188602289</v>
      </c>
      <c r="H8545" s="402">
        <f t="shared" si="1304"/>
        <v>0.71865745310957552</v>
      </c>
      <c r="I8545" s="403">
        <f t="shared" si="1306"/>
        <v>61.744994366263242</v>
      </c>
      <c r="J8545" s="403">
        <f t="shared" si="1307"/>
        <v>95.714285714285708</v>
      </c>
      <c r="K8545" s="403">
        <f>J8545/POBLA!$B$24*100000</f>
        <v>5.6480067762593533</v>
      </c>
      <c r="L8545" s="550">
        <f t="shared" si="1305"/>
        <v>0.1475826972010178</v>
      </c>
      <c r="M8545" s="405">
        <f>SUM(C8545,C8521,C8497,C8473,C8449,C8425,C8401)/POBLA!$B$24*100000</f>
        <v>39.536047433815476</v>
      </c>
    </row>
    <row r="8546" spans="1:13" s="360" customFormat="1" x14ac:dyDescent="0.25">
      <c r="A8546" s="363" t="s">
        <v>16</v>
      </c>
      <c r="B8546" s="265">
        <v>44249</v>
      </c>
      <c r="C8546" s="43">
        <v>1999</v>
      </c>
      <c r="D8546" s="174">
        <f t="shared" si="1296"/>
        <v>863871</v>
      </c>
      <c r="E8546" s="43">
        <v>76</v>
      </c>
      <c r="F8546" s="174">
        <f t="shared" ref="F8546:F8552" si="1309">E8546+F8522</f>
        <v>26014</v>
      </c>
      <c r="G8546" s="175">
        <f>SUM(C8546,C8522,C8498,C8474,C8450,C8426,C8402,C8378,C8354,C8330,C8306,C8282,C8258,C8234)/POBLA!$B$1*100000</f>
        <v>201.21268052061151</v>
      </c>
      <c r="H8546" s="300">
        <f t="shared" ref="H8546:H8569" si="1310">SUM(C8546,C8522,C8498,C8474,C8450,C8426,C8402,C8378,C8354,C8330,C8306,C8282,C8258,C8234)/SUM(C8210,C8186,C8162,C8138,C8114,C8090,C8066,C8042,C8018,C7994,C7970,C7946,C7922,C7898)</f>
        <v>0.74780711047078263</v>
      </c>
      <c r="I8546" s="301">
        <f>G8546*H8546</f>
        <v>150.46827321019921</v>
      </c>
      <c r="J8546" s="301">
        <f>AVERAGE(C8546,C8522,C8498,C8474,C8450,C8426,C8402)</f>
        <v>2414.7142857142858</v>
      </c>
      <c r="K8546" s="301">
        <f>J8546/POBLA!$B$1*100000</f>
        <v>13.76600464995</v>
      </c>
      <c r="L8546" s="548">
        <f t="shared" ref="L8546:L8569" si="1311">1-SUM(C8546,C8522,C8498,C8474,C8450,C8426,C8402)/SUM(C8378,C8354,C8330,C8306,C8282,C8258,C8234)</f>
        <v>8.0959112657677301E-2</v>
      </c>
      <c r="M8546" s="400">
        <f>SUM(C8546,C8522,C8498,C8474,C8450,C8426,C8402)/POBLA!$B$1*100000</f>
        <v>96.362032549649982</v>
      </c>
    </row>
    <row r="8547" spans="1:13" s="360" customFormat="1" x14ac:dyDescent="0.25">
      <c r="A8547" s="367" t="s">
        <v>43</v>
      </c>
      <c r="B8547" s="267">
        <v>44249</v>
      </c>
      <c r="C8547" s="1">
        <v>825</v>
      </c>
      <c r="D8547" s="39">
        <f t="shared" ref="D8547:D8610" si="1312">C8547+D8523</f>
        <v>227550</v>
      </c>
      <c r="E8547" s="1">
        <v>22</v>
      </c>
      <c r="F8547" s="39">
        <f t="shared" si="1309"/>
        <v>6430</v>
      </c>
      <c r="G8547" s="168">
        <f>SUM(C8547,C8523,C8499,C8475,C8451,C8427,C8403,C8379,C8355,C8331,C8307,C8283,C8259,C8235)/POBLA!$B$2*100000</f>
        <v>318.11203239904722</v>
      </c>
      <c r="H8547" s="256">
        <f t="shared" si="1310"/>
        <v>0.69592431894160323</v>
      </c>
      <c r="I8547" s="297">
        <f t="shared" ref="I8547:I8569" si="1313">G8547*H8547</f>
        <v>221.38189949443617</v>
      </c>
      <c r="J8547" s="297">
        <f t="shared" ref="J8547:J8569" si="1314">AVERAGE(C8547,C8523,C8499,C8475,C8451,C8427,C8403)</f>
        <v>659.42857142857144</v>
      </c>
      <c r="K8547" s="297">
        <f>J8547/POBLA!$B$2*100000</f>
        <v>21.440327379307352</v>
      </c>
      <c r="L8547" s="549">
        <f t="shared" si="1311"/>
        <v>0.10681114551083593</v>
      </c>
      <c r="M8547" s="401">
        <f>SUM(C8547,C8523,C8499,C8475,C8451,C8427,C8403)/POBLA!$B$2*100000</f>
        <v>150.08229165515147</v>
      </c>
    </row>
    <row r="8548" spans="1:13" s="360" customFormat="1" x14ac:dyDescent="0.25">
      <c r="A8548" s="367" t="s">
        <v>28</v>
      </c>
      <c r="B8548" s="267">
        <v>44249</v>
      </c>
      <c r="C8548" s="1">
        <v>85</v>
      </c>
      <c r="D8548" s="39">
        <f t="shared" si="1312"/>
        <v>7376</v>
      </c>
      <c r="E8548" s="1"/>
      <c r="F8548" s="39">
        <f t="shared" si="1309"/>
        <v>17</v>
      </c>
      <c r="G8548" s="168">
        <f>SUM(C8548,C8524,C8500,C8476,C8452,C8428,C8404,C8380,C8356,C8332,C8308,C8284,C8260,C8236)/POBLA!$B$3*100000</f>
        <v>253.22671493700622</v>
      </c>
      <c r="H8548" s="256">
        <f t="shared" si="1310"/>
        <v>0.67306461932181705</v>
      </c>
      <c r="I8548" s="297">
        <f t="shared" si="1313"/>
        <v>170.43794249119037</v>
      </c>
      <c r="J8548" s="297">
        <f t="shared" si="1314"/>
        <v>71.142857142857139</v>
      </c>
      <c r="K8548" s="297">
        <f>J8548/POBLA!$B$3*100000</f>
        <v>17.124783275207648</v>
      </c>
      <c r="L8548" s="549">
        <f t="shared" si="1311"/>
        <v>0.10108303249097472</v>
      </c>
      <c r="M8548" s="401">
        <f>SUM(C8548,C8524,C8500,C8476,C8452,C8428,C8404)/POBLA!$B$3*100000</f>
        <v>119.87348292645352</v>
      </c>
    </row>
    <row r="8549" spans="1:13" s="360" customFormat="1" x14ac:dyDescent="0.25">
      <c r="A8549" s="367" t="s">
        <v>15</v>
      </c>
      <c r="B8549" s="267">
        <v>44249</v>
      </c>
      <c r="C8549" s="1">
        <v>124</v>
      </c>
      <c r="D8549" s="39">
        <f t="shared" si="1312"/>
        <v>33330</v>
      </c>
      <c r="E8549" s="1">
        <v>3</v>
      </c>
      <c r="F8549" s="39">
        <f t="shared" si="1309"/>
        <v>855</v>
      </c>
      <c r="G8549" s="168">
        <f>SUM(C8549,C8525,C8501,C8477,C8453,C8429,C8405,C8381,C8357,C8333,C8309,C8285,C8261,C8237)/POBLA!$B$4*100000</f>
        <v>132.83067990213698</v>
      </c>
      <c r="H8549" s="256">
        <f t="shared" si="1310"/>
        <v>0.86956521739130432</v>
      </c>
      <c r="I8549" s="297">
        <f t="shared" si="1313"/>
        <v>115.5049390453365</v>
      </c>
      <c r="J8549" s="297">
        <f t="shared" si="1314"/>
        <v>117.28571428571429</v>
      </c>
      <c r="K8549" s="297">
        <f>J8549/POBLA!$B$4*100000</f>
        <v>9.7369632321120072</v>
      </c>
      <c r="L8549" s="549">
        <f t="shared" si="1311"/>
        <v>-5.3915275994865119E-2</v>
      </c>
      <c r="M8549" s="401">
        <f>SUM(C8549,C8525,C8501,C8477,C8453,C8429,C8405)/POBLA!$B$4*100000</f>
        <v>68.158742624784054</v>
      </c>
    </row>
    <row r="8550" spans="1:13" s="360" customFormat="1" x14ac:dyDescent="0.25">
      <c r="A8550" s="367" t="s">
        <v>29</v>
      </c>
      <c r="B8550" s="267">
        <v>44249</v>
      </c>
      <c r="C8550" s="1">
        <v>141</v>
      </c>
      <c r="D8550" s="39">
        <f t="shared" si="1312"/>
        <v>46232</v>
      </c>
      <c r="E8550" s="1">
        <v>6</v>
      </c>
      <c r="F8550" s="39">
        <f t="shared" si="1309"/>
        <v>753</v>
      </c>
      <c r="G8550" s="168">
        <f>SUM(C8550,C8526,C8502,C8478,C8454,C8430,C8406,C8382,C8358,C8334,C8310,C8286,C8262,C8238)/POBLA!$B$5*100000</f>
        <v>336.35221019912956</v>
      </c>
      <c r="H8550" s="256">
        <f t="shared" si="1310"/>
        <v>0.57994428969359335</v>
      </c>
      <c r="I8550" s="297">
        <f t="shared" si="1313"/>
        <v>195.0655436308044</v>
      </c>
      <c r="J8550" s="297">
        <f t="shared" si="1314"/>
        <v>134.28571428571428</v>
      </c>
      <c r="K8550" s="297">
        <f>J8550/POBLA!$B$5*100000</f>
        <v>21.694186742636322</v>
      </c>
      <c r="L8550" s="549">
        <f t="shared" si="1311"/>
        <v>0.17688266199649738</v>
      </c>
      <c r="M8550" s="401">
        <f>SUM(C8550,C8526,C8502,C8478,C8454,C8430,C8406)/POBLA!$B$5*100000</f>
        <v>151.85930719845427</v>
      </c>
    </row>
    <row r="8551" spans="1:13" s="360" customFormat="1" x14ac:dyDescent="0.25">
      <c r="A8551" s="367" t="s">
        <v>30</v>
      </c>
      <c r="B8551" s="267">
        <v>44249</v>
      </c>
      <c r="C8551" s="1">
        <v>142</v>
      </c>
      <c r="D8551" s="39">
        <f t="shared" si="1312"/>
        <v>21102</v>
      </c>
      <c r="E8551" s="1"/>
      <c r="F8551" s="39">
        <f t="shared" si="1309"/>
        <v>292</v>
      </c>
      <c r="G8551" s="168">
        <f>SUM(C8551,C8527,C8503,C8479,C8455,C8431,C8407,C8383,C8359,C8335,C8311,C8287,C8263,C8239)/POBLA!$B$6*100000</f>
        <v>204.05049602917913</v>
      </c>
      <c r="H8551" s="256">
        <f t="shared" si="1310"/>
        <v>0.97236394557823125</v>
      </c>
      <c r="I8551" s="297">
        <f t="shared" si="1313"/>
        <v>198.41134541612783</v>
      </c>
      <c r="J8551" s="297">
        <f t="shared" si="1314"/>
        <v>208</v>
      </c>
      <c r="K8551" s="297">
        <f>J8551/POBLA!$B$6*100000</f>
        <v>18.55815617580641</v>
      </c>
      <c r="L8551" s="549">
        <f t="shared" si="1311"/>
        <v>-0.75210589651022874</v>
      </c>
      <c r="M8551" s="401">
        <f>SUM(C8551,C8527,C8503,C8479,C8455,C8431,C8407)/POBLA!$B$6*100000</f>
        <v>129.90709323064488</v>
      </c>
    </row>
    <row r="8552" spans="1:13" s="360" customFormat="1" x14ac:dyDescent="0.25">
      <c r="A8552" s="367" t="s">
        <v>20</v>
      </c>
      <c r="B8552" s="267">
        <v>44249</v>
      </c>
      <c r="C8552" s="1">
        <v>402</v>
      </c>
      <c r="D8552" s="39">
        <f t="shared" si="1312"/>
        <v>155976</v>
      </c>
      <c r="E8552" s="1">
        <v>4</v>
      </c>
      <c r="F8552" s="39">
        <f t="shared" si="1309"/>
        <v>2803</v>
      </c>
      <c r="G8552" s="168">
        <f>SUM(C8552,C8528,C8504,C8480,C8456,C8432,C8408,C8384,C8360,C8336,C8312,C8288,C8264,C8240)/POBLA!$B$7*100000</f>
        <v>199.63036338736055</v>
      </c>
      <c r="H8552" s="256">
        <f t="shared" si="1310"/>
        <v>1.1297215951843491</v>
      </c>
      <c r="I8552" s="297">
        <f t="shared" si="1313"/>
        <v>225.52673257320023</v>
      </c>
      <c r="J8552" s="297">
        <f t="shared" si="1314"/>
        <v>543.71428571428567</v>
      </c>
      <c r="K8552" s="297">
        <f>J8552/POBLA!$B$7*100000</f>
        <v>14.45875588597869</v>
      </c>
      <c r="L8552" s="549">
        <f t="shared" si="1311"/>
        <v>-2.8370710618751627E-2</v>
      </c>
      <c r="M8552" s="401">
        <f>SUM(C8552,C8528,C8504,C8480,C8456,C8432,C8408)/POBLA!$B$7*100000</f>
        <v>101.21129120185084</v>
      </c>
    </row>
    <row r="8553" spans="1:13" x14ac:dyDescent="0.25">
      <c r="A8553" s="367" t="s">
        <v>31</v>
      </c>
      <c r="B8553" s="267">
        <v>44249</v>
      </c>
      <c r="C8553" s="1">
        <v>110</v>
      </c>
      <c r="D8553" s="39">
        <f t="shared" si="1312"/>
        <v>44428</v>
      </c>
      <c r="E8553" s="1">
        <v>10</v>
      </c>
      <c r="F8553" s="39">
        <f t="shared" ref="F8553:F8569" si="1315">E8553+F8529</f>
        <v>819</v>
      </c>
      <c r="G8553" s="168">
        <f>SUM(C8553,C8529,C8505,C8481,C8457,C8433,C8409,C8385,C8361,C8337,C8313,C8289,C8265,C8241)/POBLA!$B$8*100000</f>
        <v>132.47126001380991</v>
      </c>
      <c r="H8553" s="256">
        <f t="shared" si="1310"/>
        <v>0.57071806030463168</v>
      </c>
      <c r="I8553" s="297">
        <f t="shared" si="1313"/>
        <v>75.603740561192112</v>
      </c>
      <c r="J8553" s="297">
        <f t="shared" si="1314"/>
        <v>121.28571428571429</v>
      </c>
      <c r="K8553" s="297">
        <f>J8553/POBLA!$B$8*100000</f>
        <v>8.7510192772894975</v>
      </c>
      <c r="L8553" s="549">
        <f t="shared" si="1311"/>
        <v>0.13981762917933127</v>
      </c>
      <c r="M8553" s="401">
        <f>SUM(C8553,C8529,C8505,C8481,C8457,C8433,C8409)/POBLA!$B$8*100000</f>
        <v>61.257134941026486</v>
      </c>
    </row>
    <row r="8554" spans="1:13" s="360" customFormat="1" x14ac:dyDescent="0.25">
      <c r="A8554" s="367" t="s">
        <v>41</v>
      </c>
      <c r="B8554" s="267">
        <v>44249</v>
      </c>
      <c r="C8554" s="1">
        <v>57</v>
      </c>
      <c r="D8554" s="39">
        <f t="shared" si="1312"/>
        <v>1136</v>
      </c>
      <c r="E8554" s="1"/>
      <c r="F8554" s="39">
        <f t="shared" si="1315"/>
        <v>18</v>
      </c>
      <c r="G8554" s="168">
        <f>SUM(C8554,C8530,C8506,C8482,C8458,C8434,C8410,C8386,C8362,C8338,C8314,C8290,C8266,C8242)/POBLA!$B$9*100000</f>
        <v>41.474372638150143</v>
      </c>
      <c r="H8554" s="256">
        <f t="shared" si="1310"/>
        <v>3.2179487179487181</v>
      </c>
      <c r="I8554" s="297">
        <f t="shared" si="1313"/>
        <v>133.46240425866264</v>
      </c>
      <c r="J8554" s="297">
        <f t="shared" si="1314"/>
        <v>23.142857142857142</v>
      </c>
      <c r="K8554" s="297">
        <f>J8554/POBLA!$B$9*100000</f>
        <v>3.8240457412523181</v>
      </c>
      <c r="L8554" s="549">
        <f t="shared" si="1311"/>
        <v>-0.8202247191011236</v>
      </c>
      <c r="M8554" s="401">
        <f>SUM(C8554,C8530,C8506,C8482,C8458,C8434,C8410)/POBLA!$B$9*100000</f>
        <v>26.768320188766229</v>
      </c>
    </row>
    <row r="8555" spans="1:13" s="360" customFormat="1" x14ac:dyDescent="0.25">
      <c r="A8555" s="367" t="s">
        <v>32</v>
      </c>
      <c r="B8555" s="267">
        <v>44249</v>
      </c>
      <c r="C8555" s="1">
        <v>48</v>
      </c>
      <c r="D8555" s="39">
        <f t="shared" si="1312"/>
        <v>20163</v>
      </c>
      <c r="E8555" s="1">
        <v>1</v>
      </c>
      <c r="F8555" s="39">
        <f t="shared" si="1315"/>
        <v>898</v>
      </c>
      <c r="G8555" s="168">
        <f>SUM(C8555,C8531,C8507,C8483,C8459,C8435,C8411,C8387,C8363,C8339,C8315,C8291,C8267,C8243)/POBLA!$B$10*100000</f>
        <v>79.908572140187658</v>
      </c>
      <c r="H8555" s="256">
        <f t="shared" si="1310"/>
        <v>1.378076062639821</v>
      </c>
      <c r="I8555" s="297">
        <f t="shared" si="1313"/>
        <v>110.1200904661199</v>
      </c>
      <c r="J8555" s="297">
        <f t="shared" si="1314"/>
        <v>52.142857142857146</v>
      </c>
      <c r="K8555" s="297">
        <f>J8555/POBLA!$B$10*100000</f>
        <v>6.7640604896030831</v>
      </c>
      <c r="L8555" s="549">
        <f t="shared" si="1311"/>
        <v>-0.45418326693227096</v>
      </c>
      <c r="M8555" s="401">
        <f>SUM(C8555,C8531,C8507,C8483,C8459,C8435,C8411)/POBLA!$B$10*100000</f>
        <v>47.348423427221583</v>
      </c>
    </row>
    <row r="8556" spans="1:13" s="360" customFormat="1" x14ac:dyDescent="0.25">
      <c r="A8556" s="367" t="s">
        <v>33</v>
      </c>
      <c r="B8556" s="267">
        <v>44249</v>
      </c>
      <c r="C8556" s="1">
        <v>71</v>
      </c>
      <c r="D8556" s="39">
        <f t="shared" si="1312"/>
        <v>18161</v>
      </c>
      <c r="E8556" s="1">
        <v>2</v>
      </c>
      <c r="F8556" s="39">
        <f t="shared" si="1315"/>
        <v>284</v>
      </c>
      <c r="G8556" s="168">
        <f>SUM(C8556,C8532,C8508,C8484,C8460,C8436,C8412,C8388,C8364,C8340,C8316,C8292,C8268,C8244)/POBLA!$B$11*100000</f>
        <v>270.62617875835593</v>
      </c>
      <c r="H8556" s="256">
        <f t="shared" si="1310"/>
        <v>0.74787972243639167</v>
      </c>
      <c r="I8556" s="297">
        <f t="shared" si="1313"/>
        <v>202.39583145382056</v>
      </c>
      <c r="J8556" s="297">
        <f t="shared" si="1314"/>
        <v>59.428571428571431</v>
      </c>
      <c r="K8556" s="297">
        <f>J8556/POBLA!$B$11*100000</f>
        <v>16.580337314208553</v>
      </c>
      <c r="L8556" s="549">
        <f t="shared" si="1311"/>
        <v>0.24909747292418771</v>
      </c>
      <c r="M8556" s="401">
        <f>SUM(C8556,C8532,C8508,C8484,C8460,C8436,C8412)/POBLA!$B$11*100000</f>
        <v>116.06236119945986</v>
      </c>
    </row>
    <row r="8557" spans="1:13" s="360" customFormat="1" x14ac:dyDescent="0.25">
      <c r="A8557" s="367" t="s">
        <v>21</v>
      </c>
      <c r="B8557" s="267">
        <v>44249</v>
      </c>
      <c r="C8557" s="1">
        <v>28</v>
      </c>
      <c r="D8557" s="39">
        <f t="shared" si="1312"/>
        <v>10047</v>
      </c>
      <c r="E8557" s="1"/>
      <c r="F8557" s="39">
        <f t="shared" si="1315"/>
        <v>435</v>
      </c>
      <c r="G8557" s="168">
        <f>SUM(C8557,C8533,C8509,C8485,C8461,C8437,C8413,C8389,C8365,C8341,C8317,C8293,C8269,C8245)/POBLA!$B$12*100000</f>
        <v>89.446574729817982</v>
      </c>
      <c r="H8557" s="256">
        <f t="shared" si="1310"/>
        <v>1.3858267716535433</v>
      </c>
      <c r="I8557" s="297">
        <f t="shared" si="1313"/>
        <v>123.95745789329106</v>
      </c>
      <c r="J8557" s="297">
        <f t="shared" si="1314"/>
        <v>26.571428571428573</v>
      </c>
      <c r="K8557" s="297">
        <f>J8557/POBLA!$B$12*100000</f>
        <v>6.752054748273598</v>
      </c>
      <c r="L8557" s="549">
        <f t="shared" si="1311"/>
        <v>-0.12048192771084332</v>
      </c>
      <c r="M8557" s="401">
        <f>SUM(C8557,C8533,C8509,C8485,C8461,C8437,C8413)/POBLA!$B$12*100000</f>
        <v>47.264383237915183</v>
      </c>
    </row>
    <row r="8558" spans="1:13" s="360" customFormat="1" x14ac:dyDescent="0.25">
      <c r="A8558" s="367" t="s">
        <v>17</v>
      </c>
      <c r="B8558" s="267">
        <v>44249</v>
      </c>
      <c r="C8558" s="1">
        <v>78</v>
      </c>
      <c r="D8558" s="39">
        <f t="shared" si="1312"/>
        <v>66411</v>
      </c>
      <c r="E8558" s="1">
        <v>2</v>
      </c>
      <c r="F8558" s="39">
        <f t="shared" si="1315"/>
        <v>1425</v>
      </c>
      <c r="G8558" s="168">
        <f>SUM(C8558,C8534,C8510,C8486,C8462,C8438,C8414,C8390,C8366,C8342,C8318,C8294,C8270,C8246)/POBLA!$B$13*100000</f>
        <v>78.629860857804061</v>
      </c>
      <c r="H8558" s="256">
        <f t="shared" si="1310"/>
        <v>0.95660146699266502</v>
      </c>
      <c r="I8558" s="297">
        <f t="shared" si="1313"/>
        <v>75.2174402460045</v>
      </c>
      <c r="J8558" s="297">
        <f t="shared" si="1314"/>
        <v>103.85714285714286</v>
      </c>
      <c r="K8558" s="297">
        <f>J8558/POBLA!$B$13*100000</f>
        <v>5.2180656178570102</v>
      </c>
      <c r="L8558" s="549">
        <f t="shared" si="1311"/>
        <v>0.13245823389021483</v>
      </c>
      <c r="M8558" s="401">
        <f>SUM(C8558,C8534,C8510,C8486,C8462,C8438,C8414)/POBLA!$B$13*100000</f>
        <v>36.526459324999074</v>
      </c>
    </row>
    <row r="8559" spans="1:13" s="360" customFormat="1" x14ac:dyDescent="0.25">
      <c r="A8559" s="367" t="s">
        <v>23</v>
      </c>
      <c r="B8559" s="267">
        <v>44249</v>
      </c>
      <c r="C8559" s="1">
        <v>127</v>
      </c>
      <c r="D8559" s="39">
        <f t="shared" si="1312"/>
        <v>7609</v>
      </c>
      <c r="E8559" s="1">
        <v>5</v>
      </c>
      <c r="F8559" s="39">
        <f t="shared" si="1315"/>
        <v>131</v>
      </c>
      <c r="G8559" s="168">
        <f>SUM(C8559,C8535,C8511,C8487,C8463,C8439,C8415,C8391,C8367,C8343,C8319,C8295,C8271,C8247)/POBLA!$B$14*100000</f>
        <v>118.21193155600517</v>
      </c>
      <c r="H8559" s="256">
        <f t="shared" si="1310"/>
        <v>0.5949720670391061</v>
      </c>
      <c r="I8559" s="297">
        <f t="shared" si="1313"/>
        <v>70.332797266561727</v>
      </c>
      <c r="J8559" s="297">
        <f t="shared" si="1314"/>
        <v>108.57142857142857</v>
      </c>
      <c r="K8559" s="297">
        <f>J8559/POBLA!$B$14*100000</f>
        <v>8.6079398277823067</v>
      </c>
      <c r="L8559" s="549">
        <f t="shared" si="1311"/>
        <v>-3.9671682626539084E-2</v>
      </c>
      <c r="M8559" s="401">
        <f>SUM(C8559,C8535,C8511,C8487,C8463,C8439,C8415)/POBLA!$B$14*100000</f>
        <v>60.255578794476151</v>
      </c>
    </row>
    <row r="8560" spans="1:13" s="360" customFormat="1" x14ac:dyDescent="0.25">
      <c r="A8560" s="367" t="s">
        <v>19</v>
      </c>
      <c r="B8560" s="267">
        <v>44249</v>
      </c>
      <c r="C8560" s="1">
        <v>210</v>
      </c>
      <c r="D8560" s="39">
        <f t="shared" si="1312"/>
        <v>60192</v>
      </c>
      <c r="E8560" s="1">
        <v>4</v>
      </c>
      <c r="F8560" s="39">
        <f t="shared" si="1315"/>
        <v>891</v>
      </c>
      <c r="G8560" s="168">
        <f>SUM(C8560,C8536,C8512,C8488,C8464,C8440,C8416,C8392,C8368,C8344,C8320,C8296,C8272,C8248)/POBLA!$B$15*100000</f>
        <v>491.67466045836426</v>
      </c>
      <c r="H8560" s="256">
        <f t="shared" si="1310"/>
        <v>0.60575139146567714</v>
      </c>
      <c r="I8560" s="297">
        <f t="shared" si="1313"/>
        <v>297.83260972106848</v>
      </c>
      <c r="J8560" s="297">
        <f t="shared" si="1314"/>
        <v>197.28571428571428</v>
      </c>
      <c r="K8560" s="297">
        <f>J8560/POBLA!$B$15*100000</f>
        <v>29.709153624721111</v>
      </c>
      <c r="L8560" s="549">
        <f t="shared" si="1311"/>
        <v>0.26698513800424628</v>
      </c>
      <c r="M8560" s="401">
        <f>SUM(C8560,C8536,C8512,C8488,C8464,C8440,C8416)/POBLA!$B$15*100000</f>
        <v>207.96407537304779</v>
      </c>
    </row>
    <row r="8561" spans="1:13" s="360" customFormat="1" x14ac:dyDescent="0.25">
      <c r="A8561" s="367" t="s">
        <v>18</v>
      </c>
      <c r="B8561" s="267">
        <v>44249</v>
      </c>
      <c r="C8561" s="1">
        <v>119</v>
      </c>
      <c r="D8561" s="39">
        <f t="shared" si="1312"/>
        <v>51573</v>
      </c>
      <c r="E8561" s="1">
        <v>10</v>
      </c>
      <c r="F8561" s="39">
        <f t="shared" si="1315"/>
        <v>1157</v>
      </c>
      <c r="G8561" s="168">
        <f>SUM(C8561,C8537,C8513,C8489,C8465,C8441,C8417,C8393,C8369,C8345,C8321,C8297,C8273,C8249)/POBLA!$B$16*100000</f>
        <v>265.24524819090163</v>
      </c>
      <c r="H8561" s="256">
        <f t="shared" si="1310"/>
        <v>0.5907059874888293</v>
      </c>
      <c r="I8561" s="297">
        <f t="shared" si="1313"/>
        <v>156.68195625932617</v>
      </c>
      <c r="J8561" s="297">
        <f t="shared" si="1314"/>
        <v>127</v>
      </c>
      <c r="K8561" s="297">
        <f>J8561/POBLA!$B$16*100000</f>
        <v>16.987466727304344</v>
      </c>
      <c r="L8561" s="549">
        <f t="shared" si="1311"/>
        <v>0.1873857404021938</v>
      </c>
      <c r="M8561" s="401">
        <f>SUM(C8561,C8537,C8513,C8489,C8465,C8441,C8417)/POBLA!$B$16*100000</f>
        <v>118.9122670911304</v>
      </c>
    </row>
    <row r="8562" spans="1:13" s="360" customFormat="1" x14ac:dyDescent="0.25">
      <c r="A8562" s="367" t="s">
        <v>34</v>
      </c>
      <c r="B8562" s="267">
        <v>44249</v>
      </c>
      <c r="C8562" s="1">
        <v>74</v>
      </c>
      <c r="D8562" s="39">
        <f t="shared" si="1312"/>
        <v>25479</v>
      </c>
      <c r="E8562" s="1"/>
      <c r="F8562" s="39">
        <f t="shared" si="1315"/>
        <v>1080</v>
      </c>
      <c r="G8562" s="168">
        <f>SUM(C8562,C8538,C8514,C8490,C8466,C8442,C8418,C8394,C8370,C8346,C8322,C8298,C8274,C8250)/POBLA!$B$17*100000</f>
        <v>81.508175038279362</v>
      </c>
      <c r="H8562" s="256">
        <f t="shared" si="1310"/>
        <v>1.3594847775175645</v>
      </c>
      <c r="I8562" s="297">
        <f t="shared" si="1313"/>
        <v>110.80912320777792</v>
      </c>
      <c r="J8562" s="297">
        <f t="shared" si="1314"/>
        <v>89.142857142857139</v>
      </c>
      <c r="K8562" s="297">
        <f>J8562/POBLA!$B$17*100000</f>
        <v>6.2582873414404228</v>
      </c>
      <c r="L8562" s="549">
        <f t="shared" si="1311"/>
        <v>-0.16201117318435765</v>
      </c>
      <c r="M8562" s="401">
        <f>SUM(C8562,C8538,C8514,C8490,C8466,C8442,C8418)/POBLA!$B$17*100000</f>
        <v>43.80801139008296</v>
      </c>
    </row>
    <row r="8563" spans="1:13" s="360" customFormat="1" x14ac:dyDescent="0.25">
      <c r="A8563" s="367" t="s">
        <v>35</v>
      </c>
      <c r="B8563" s="267">
        <v>44249</v>
      </c>
      <c r="C8563" s="1">
        <v>71</v>
      </c>
      <c r="D8563" s="39">
        <f t="shared" si="1312"/>
        <v>14990</v>
      </c>
      <c r="E8563" s="1"/>
      <c r="F8563" s="39">
        <f t="shared" si="1315"/>
        <v>206</v>
      </c>
      <c r="G8563" s="168">
        <f>SUM(C8563,C8539,C8515,C8491,C8467,C8443,C8419,C8395,C8371,C8347,C8323,C8299,C8275,C8251)/POBLA!$B$18*100000</f>
        <v>83.587530737298337</v>
      </c>
      <c r="H8563" s="256">
        <f t="shared" si="1310"/>
        <v>0.9171348314606742</v>
      </c>
      <c r="I8563" s="297">
        <f t="shared" si="1313"/>
        <v>76.661035914966035</v>
      </c>
      <c r="J8563" s="297">
        <f t="shared" si="1314"/>
        <v>53.428571428571431</v>
      </c>
      <c r="K8563" s="297">
        <f>J8563/POBLA!$B$18*100000</f>
        <v>6.8391460283853824</v>
      </c>
      <c r="L8563" s="549">
        <f t="shared" si="1311"/>
        <v>-0.34050179211469533</v>
      </c>
      <c r="M8563" s="401">
        <f>SUM(C8563,C8539,C8515,C8491,C8467,C8443,C8419)/POBLA!$B$18*100000</f>
        <v>47.874022198697674</v>
      </c>
    </row>
    <row r="8564" spans="1:13" s="360" customFormat="1" x14ac:dyDescent="0.25">
      <c r="A8564" s="367" t="s">
        <v>36</v>
      </c>
      <c r="B8564" s="267">
        <v>44249</v>
      </c>
      <c r="C8564" s="1">
        <v>23</v>
      </c>
      <c r="D8564" s="39">
        <f t="shared" si="1312"/>
        <v>20542</v>
      </c>
      <c r="E8564" s="1"/>
      <c r="F8564" s="39">
        <f t="shared" si="1315"/>
        <v>353</v>
      </c>
      <c r="G8564" s="168">
        <f>SUM(C8564,C8540,C8516,C8492,C8468,C8444,C8420,C8396,C8372,C8348,C8324,C8300,C8276,C8252)/POBLA!$B$19*100000</f>
        <v>281.31442690546265</v>
      </c>
      <c r="H8564" s="256">
        <f t="shared" si="1310"/>
        <v>3.9832869080779942</v>
      </c>
      <c r="I8564" s="297">
        <f t="shared" si="1313"/>
        <v>1120.5560737459932</v>
      </c>
      <c r="J8564" s="297">
        <f t="shared" si="1314"/>
        <v>65.571428571428569</v>
      </c>
      <c r="K8564" s="297">
        <f>J8564/POBLA!$B$19*100000</f>
        <v>12.899432762198535</v>
      </c>
      <c r="L8564" s="549">
        <f t="shared" si="1311"/>
        <v>0.52729145211122552</v>
      </c>
      <c r="M8564" s="401">
        <f>SUM(C8564,C8540,C8516,C8492,C8468,C8444,C8420)/POBLA!$B$19*100000</f>
        <v>90.296029335389747</v>
      </c>
    </row>
    <row r="8565" spans="1:13" s="360" customFormat="1" x14ac:dyDescent="0.25">
      <c r="A8565" s="367" t="s">
        <v>37</v>
      </c>
      <c r="B8565" s="267">
        <v>44249</v>
      </c>
      <c r="C8565" s="1">
        <v>124</v>
      </c>
      <c r="D8565" s="39">
        <f t="shared" si="1312"/>
        <v>35313</v>
      </c>
      <c r="E8565" s="1">
        <v>5</v>
      </c>
      <c r="F8565" s="39">
        <f t="shared" si="1315"/>
        <v>567</v>
      </c>
      <c r="G8565" s="168">
        <f>SUM(C8565,C8541,C8517,C8493,C8469,C8445,C8421,C8397,C8373,C8349,C8325,C8301,C8277,C8253)/POBLA!$B$20*100000</f>
        <v>379.00125239952092</v>
      </c>
      <c r="H8565" s="256">
        <f t="shared" si="1310"/>
        <v>0.6073619631901841</v>
      </c>
      <c r="I8565" s="297">
        <f t="shared" si="1313"/>
        <v>230.1909447089115</v>
      </c>
      <c r="J8565" s="297">
        <f t="shared" si="1314"/>
        <v>104.57142857142857</v>
      </c>
      <c r="K8565" s="297">
        <f>J8565/POBLA!$B$20*100000</f>
        <v>28.595023372134538</v>
      </c>
      <c r="L8565" s="549">
        <f t="shared" si="1311"/>
        <v>-0.11926605504587151</v>
      </c>
      <c r="M8565" s="401">
        <f>SUM(C8565,C8541,C8517,C8493,C8469,C8445,C8421)/POBLA!$B$20*100000</f>
        <v>200.16516360494177</v>
      </c>
    </row>
    <row r="8566" spans="1:13" s="360" customFormat="1" x14ac:dyDescent="0.25">
      <c r="A8566" s="367" t="s">
        <v>22</v>
      </c>
      <c r="B8566" s="267">
        <v>44249</v>
      </c>
      <c r="C8566" s="1">
        <v>330</v>
      </c>
      <c r="D8566" s="39">
        <f t="shared" si="1312"/>
        <v>214388</v>
      </c>
      <c r="E8566" s="1">
        <v>9</v>
      </c>
      <c r="F8566" s="39">
        <f t="shared" si="1315"/>
        <v>3851</v>
      </c>
      <c r="G8566" s="168">
        <f>SUM(C8566,C8542,C8518,C8494,C8470,C8446,C8422,C8398,C8374,C8350,C8326,C8302,C8278,C8254)/POBLA!$B$21*100000</f>
        <v>138.16240048546297</v>
      </c>
      <c r="H8566" s="256">
        <f t="shared" si="1310"/>
        <v>0.66071670047329278</v>
      </c>
      <c r="I8566" s="297">
        <f t="shared" si="1313"/>
        <v>91.28620537822475</v>
      </c>
      <c r="J8566" s="297">
        <f t="shared" si="1314"/>
        <v>331.57142857142856</v>
      </c>
      <c r="K8566" s="297">
        <f>J8566/POBLA!$B$21*100000</f>
        <v>9.3759116872334811</v>
      </c>
      <c r="L8566" s="549">
        <f t="shared" si="1311"/>
        <v>9.5126705653021393E-2</v>
      </c>
      <c r="M8566" s="401">
        <f>SUM(C8566,C8542,C8518,C8494,C8470,C8446,C8422)/POBLA!$B$21*100000</f>
        <v>65.63138181063438</v>
      </c>
    </row>
    <row r="8567" spans="1:13" s="360" customFormat="1" x14ac:dyDescent="0.25">
      <c r="A8567" s="367" t="s">
        <v>38</v>
      </c>
      <c r="B8567" s="267">
        <v>44249</v>
      </c>
      <c r="C8567" s="1">
        <v>36</v>
      </c>
      <c r="D8567" s="39">
        <f t="shared" si="1312"/>
        <v>22217</v>
      </c>
      <c r="E8567" s="1">
        <v>2</v>
      </c>
      <c r="F8567" s="39">
        <f t="shared" si="1315"/>
        <v>264</v>
      </c>
      <c r="G8567" s="168">
        <f>SUM(C8567,C8543,C8519,C8495,C8471,C8447,C8423,C8399,C8375,C8351,C8327,C8303,C8279,C8255)/POBLA!$B$22*100000</f>
        <v>74.107162022788216</v>
      </c>
      <c r="H8567" s="256">
        <f t="shared" si="1310"/>
        <v>0.71078431372549022</v>
      </c>
      <c r="I8567" s="297">
        <f t="shared" si="1313"/>
        <v>52.674208300511232</v>
      </c>
      <c r="J8567" s="297">
        <f t="shared" si="1314"/>
        <v>47.428571428571431</v>
      </c>
      <c r="K8567" s="297">
        <f>J8567/POBLA!$B$22*100000</f>
        <v>4.84799562395383</v>
      </c>
      <c r="L8567" s="549">
        <f t="shared" si="1311"/>
        <v>0.15521628498727735</v>
      </c>
      <c r="M8567" s="401">
        <f>SUM(C8567,C8543,C8519,C8495,C8471,C8447,C8423)/POBLA!$B$22*100000</f>
        <v>33.935969367676805</v>
      </c>
    </row>
    <row r="8568" spans="1:13" s="360" customFormat="1" x14ac:dyDescent="0.25">
      <c r="A8568" s="367" t="s">
        <v>39</v>
      </c>
      <c r="B8568" s="267">
        <v>44249</v>
      </c>
      <c r="C8568" s="1">
        <v>42</v>
      </c>
      <c r="D8568" s="39">
        <f t="shared" si="1312"/>
        <v>22748</v>
      </c>
      <c r="E8568" s="1">
        <v>2</v>
      </c>
      <c r="F8568" s="39">
        <f t="shared" si="1315"/>
        <v>349</v>
      </c>
      <c r="G8568" s="168">
        <f>SUM(C8568,C8544,C8520,C8496,C8472,C8448,C8424,C8400,C8376,C8352,C8328,C8304,C8280,C8256)/POBLA!$B$23*100000</f>
        <v>324.0400384550133</v>
      </c>
      <c r="H8568" s="256">
        <f t="shared" si="1310"/>
        <v>0.8748091603053435</v>
      </c>
      <c r="I8568" s="297">
        <f t="shared" si="1313"/>
        <v>283.47319394614141</v>
      </c>
      <c r="J8568" s="297">
        <f t="shared" si="1314"/>
        <v>41</v>
      </c>
      <c r="K8568" s="297">
        <f>J8568/POBLA!$B$23*100000</f>
        <v>23.186110954023636</v>
      </c>
      <c r="L8568" s="549">
        <f t="shared" si="1311"/>
        <v>-3.4965034965035446E-3</v>
      </c>
      <c r="M8568" s="401">
        <f>SUM(C8568,C8544,C8520,C8496,C8472,C8448,C8424)/POBLA!$B$23*100000</f>
        <v>162.30277667816546</v>
      </c>
    </row>
    <row r="8569" spans="1:13" s="360" customFormat="1" ht="15.75" thickBot="1" x14ac:dyDescent="0.3">
      <c r="A8569" s="369" t="s">
        <v>40</v>
      </c>
      <c r="B8569" s="269">
        <v>44249</v>
      </c>
      <c r="C8569" s="44">
        <v>151</v>
      </c>
      <c r="D8569" s="176">
        <f t="shared" si="1312"/>
        <v>78917</v>
      </c>
      <c r="E8569" s="44"/>
      <c r="F8569" s="176">
        <f t="shared" si="1315"/>
        <v>1464</v>
      </c>
      <c r="G8569" s="177">
        <f>SUM(C8569,C8545,C8521,C8497,C8473,C8449,C8425,C8401,C8377,C8353,C8329,C8305,C8281,C8257)/POBLA!$B$24*100000</f>
        <v>88.513539030930175</v>
      </c>
      <c r="H8569" s="402">
        <f t="shared" si="1310"/>
        <v>0.75225677031093274</v>
      </c>
      <c r="I8569" s="403">
        <f t="shared" si="1313"/>
        <v>66.584909000198223</v>
      </c>
      <c r="J8569" s="403">
        <f t="shared" si="1314"/>
        <v>112.85714285714286</v>
      </c>
      <c r="K8569" s="403">
        <f>J8569/POBLA!$B$24*100000</f>
        <v>6.659590079469984</v>
      </c>
      <c r="L8569" s="550">
        <f t="shared" si="1311"/>
        <v>-0.11267605633802824</v>
      </c>
      <c r="M8569" s="405">
        <f>SUM(C8569,C8545,C8521,C8497,C8473,C8449,C8425)/POBLA!$B$24*100000</f>
        <v>46.617130556289894</v>
      </c>
    </row>
    <row r="8570" spans="1:13" s="360" customFormat="1" ht="15.75" thickBot="1" x14ac:dyDescent="0.3">
      <c r="A8570" s="363" t="s">
        <v>16</v>
      </c>
      <c r="B8570" s="269">
        <v>44250</v>
      </c>
      <c r="C8570" s="284">
        <v>3403</v>
      </c>
      <c r="D8570" s="174">
        <f t="shared" si="1312"/>
        <v>867274</v>
      </c>
      <c r="E8570" s="225">
        <v>54</v>
      </c>
      <c r="F8570" s="174">
        <f t="shared" ref="F8570:F8576" si="1316">E8570+F8546</f>
        <v>26068</v>
      </c>
      <c r="G8570" s="175">
        <f>SUM(C8570,C8546,C8522,C8498,C8474,C8450,C8426,C8402,C8378,C8354,C8330,C8306,C8282,C8258)/POBLA!$B$1*100000</f>
        <v>201.44071585765144</v>
      </c>
      <c r="H8570" s="300">
        <f t="shared" ref="H8570:H8593" si="1317">SUM(C8570,C8546,C8522,C8498,C8474,C8450,C8426,C8402,C8378,C8354,C8330,C8306,C8282,C8258)/SUM(C8234,C8210,C8186,C8162,C8138,C8114,C8090,C8066,C8042,C8018,C7994,C7970,C7946,C7922)</f>
        <v>0.76836932176484662</v>
      </c>
      <c r="I8570" s="301">
        <f>G8570*H8570</f>
        <v>154.78086621936882</v>
      </c>
      <c r="J8570" s="301">
        <f>AVERAGE(C8570,C8546,C8522,C8498,C8474,C8450,C8426)</f>
        <v>2688.5714285714284</v>
      </c>
      <c r="K8570" s="301">
        <f>J8570/POBLA!$B$1*100000</f>
        <v>15.327232296755545</v>
      </c>
      <c r="L8570" s="548">
        <f t="shared" ref="L8570:L8593" si="1318">1-SUM(C8570,C8546,C8522,C8498,C8474,C8450,C8426)/SUM(C8402,C8378,C8354,C8330,C8306,C8282,C8258)</f>
        <v>-0.13957008779897073</v>
      </c>
      <c r="M8570" s="400">
        <f>SUM(C8570,C8546,C8522,C8498,C8474,C8450,C8426)/POBLA!$B$1*100000</f>
        <v>107.29062607728881</v>
      </c>
    </row>
    <row r="8571" spans="1:13" s="360" customFormat="1" ht="15.75" thickBot="1" x14ac:dyDescent="0.3">
      <c r="A8571" s="367" t="s">
        <v>43</v>
      </c>
      <c r="B8571" s="269">
        <v>44250</v>
      </c>
      <c r="C8571" s="284">
        <v>828</v>
      </c>
      <c r="D8571" s="39">
        <f t="shared" si="1312"/>
        <v>228378</v>
      </c>
      <c r="E8571" s="1">
        <v>31</v>
      </c>
      <c r="F8571" s="39">
        <f t="shared" si="1316"/>
        <v>6461</v>
      </c>
      <c r="G8571" s="168">
        <f>SUM(C8571,C8547,C8523,C8499,C8475,C8451,C8427,C8403,C8379,C8355,C8331,C8307,C8283,C8259)/POBLA!$B$2*100000</f>
        <v>312.97490023234144</v>
      </c>
      <c r="H8571" s="256">
        <f t="shared" si="1317"/>
        <v>0.69981824790985092</v>
      </c>
      <c r="I8571" s="297">
        <f t="shared" ref="I8571:I8593" si="1319">G8571*H8571</f>
        <v>219.02554632035759</v>
      </c>
      <c r="J8571" s="297">
        <f t="shared" ref="J8571:J8593" si="1320">AVERAGE(C8571,C8547,C8523,C8499,C8475,C8451,C8427)</f>
        <v>715</v>
      </c>
      <c r="K8571" s="297">
        <f>J8571/POBLA!$B$2*100000</f>
        <v>23.247148729080003</v>
      </c>
      <c r="L8571" s="549">
        <f t="shared" si="1318"/>
        <v>-8.3098896342783002E-2</v>
      </c>
      <c r="M8571" s="401">
        <f>SUM(C8571,C8547,C8523,C8499,C8475,C8451,C8427)/POBLA!$B$2*100000</f>
        <v>162.73004110356001</v>
      </c>
    </row>
    <row r="8572" spans="1:13" s="360" customFormat="1" ht="15.75" thickBot="1" x14ac:dyDescent="0.3">
      <c r="A8572" s="367" t="s">
        <v>28</v>
      </c>
      <c r="B8572" s="269">
        <v>44250</v>
      </c>
      <c r="C8572" s="284">
        <v>62</v>
      </c>
      <c r="D8572" s="39">
        <f t="shared" si="1312"/>
        <v>7438</v>
      </c>
      <c r="E8572" s="1"/>
      <c r="F8572" s="39">
        <f t="shared" si="1316"/>
        <v>17</v>
      </c>
      <c r="G8572" s="168">
        <f>SUM(C8572,C8548,C8524,C8500,C8476,C8452,C8428,C8404,C8380,C8356,C8332,C8308,C8284,C8260)/POBLA!$B$3*100000</f>
        <v>248.17180903046903</v>
      </c>
      <c r="H8572" s="256">
        <f t="shared" si="1317"/>
        <v>0.65710643722116002</v>
      </c>
      <c r="I8572" s="297">
        <f t="shared" si="1319"/>
        <v>163.07529325074162</v>
      </c>
      <c r="J8572" s="297">
        <f t="shared" si="1320"/>
        <v>79.428571428571431</v>
      </c>
      <c r="K8572" s="297">
        <f>J8572/POBLA!$B$3*100000</f>
        <v>19.119235945814161</v>
      </c>
      <c r="L8572" s="549">
        <f t="shared" si="1318"/>
        <v>-0.17052631578947364</v>
      </c>
      <c r="M8572" s="401">
        <f>SUM(C8572,C8548,C8524,C8500,C8476,C8452,C8428)/POBLA!$B$3*100000</f>
        <v>133.83465162069913</v>
      </c>
    </row>
    <row r="8573" spans="1:13" s="360" customFormat="1" ht="15.75" thickBot="1" x14ac:dyDescent="0.3">
      <c r="A8573" s="367" t="s">
        <v>15</v>
      </c>
      <c r="B8573" s="269">
        <v>44250</v>
      </c>
      <c r="C8573" s="284">
        <v>191</v>
      </c>
      <c r="D8573" s="39">
        <f t="shared" si="1312"/>
        <v>33521</v>
      </c>
      <c r="E8573" s="1">
        <v>3</v>
      </c>
      <c r="F8573" s="39">
        <f t="shared" si="1316"/>
        <v>858</v>
      </c>
      <c r="G8573" s="168">
        <f>SUM(C8573,C8549,C8525,C8501,C8477,C8453,C8429,C8405,C8381,C8357,C8333,C8309,C8285,C8261)/POBLA!$B$4*100000</f>
        <v>135.32125515030208</v>
      </c>
      <c r="H8573" s="256">
        <f t="shared" si="1317"/>
        <v>0.89364035087719296</v>
      </c>
      <c r="I8573" s="297">
        <f t="shared" si="1319"/>
        <v>120.9285339336581</v>
      </c>
      <c r="J8573" s="297">
        <f t="shared" si="1320"/>
        <v>134.42857142857142</v>
      </c>
      <c r="K8573" s="297">
        <f>J8573/POBLA!$B$4*100000</f>
        <v>11.16014908820633</v>
      </c>
      <c r="L8573" s="549">
        <f t="shared" si="1318"/>
        <v>-0.3657474600870827</v>
      </c>
      <c r="M8573" s="401">
        <f>SUM(C8573,C8549,C8525,C8501,C8477,C8453,C8429)/POBLA!$B$4*100000</f>
        <v>78.121043617444315</v>
      </c>
    </row>
    <row r="8574" spans="1:13" s="360" customFormat="1" ht="15.75" thickBot="1" x14ac:dyDescent="0.3">
      <c r="A8574" s="367" t="s">
        <v>29</v>
      </c>
      <c r="B8574" s="269">
        <v>44250</v>
      </c>
      <c r="C8574" s="284">
        <v>174</v>
      </c>
      <c r="D8574" s="39">
        <f t="shared" si="1312"/>
        <v>46406</v>
      </c>
      <c r="E8574" s="1">
        <v>4</v>
      </c>
      <c r="F8574" s="39">
        <f t="shared" si="1316"/>
        <v>757</v>
      </c>
      <c r="G8574" s="168">
        <f>SUM(C8574,C8550,C8526,C8502,C8478,C8454,C8430,C8406,C8382,C8358,C8334,C8310,C8286,C8262)/POBLA!$B$5*100000</f>
        <v>323.9126712052136</v>
      </c>
      <c r="H8574" s="256">
        <f t="shared" si="1317"/>
        <v>0.56944049985799494</v>
      </c>
      <c r="I8574" s="297">
        <f t="shared" si="1319"/>
        <v>184.44899340143519</v>
      </c>
      <c r="J8574" s="297">
        <f t="shared" si="1320"/>
        <v>153.28571428571428</v>
      </c>
      <c r="K8574" s="297">
        <f>J8574/POBLA!$B$5*100000</f>
        <v>24.763683377498698</v>
      </c>
      <c r="L8574" s="549">
        <f t="shared" si="1318"/>
        <v>-0.15128755364806867</v>
      </c>
      <c r="M8574" s="401">
        <f>SUM(C8574,C8550,C8526,C8502,C8478,C8454,C8430)/POBLA!$B$5*100000</f>
        <v>173.34578364249089</v>
      </c>
    </row>
    <row r="8575" spans="1:13" s="360" customFormat="1" ht="15.75" thickBot="1" x14ac:dyDescent="0.3">
      <c r="A8575" s="367" t="s">
        <v>30</v>
      </c>
      <c r="B8575" s="269">
        <v>44250</v>
      </c>
      <c r="C8575" s="284">
        <v>79</v>
      </c>
      <c r="D8575" s="39">
        <f t="shared" si="1312"/>
        <v>21181</v>
      </c>
      <c r="E8575" s="1">
        <v>1</v>
      </c>
      <c r="F8575" s="39">
        <f t="shared" si="1316"/>
        <v>293</v>
      </c>
      <c r="G8575" s="168">
        <f>SUM(C8575,C8551,C8527,C8503,C8479,C8455,C8431,C8407,C8383,C8359,C8335,C8311,C8287,C8263)/POBLA!$B$6*100000</f>
        <v>196.912743653869</v>
      </c>
      <c r="H8575" s="256">
        <f t="shared" si="1317"/>
        <v>0.94155290102389078</v>
      </c>
      <c r="I8575" s="297">
        <f t="shared" si="1319"/>
        <v>185.4037650358741</v>
      </c>
      <c r="J8575" s="297">
        <f t="shared" si="1320"/>
        <v>149.85714285714286</v>
      </c>
      <c r="K8575" s="297">
        <f>J8575/POBLA!$B$6*100000</f>
        <v>13.370539717322064</v>
      </c>
      <c r="L8575" s="549">
        <f t="shared" si="1318"/>
        <v>9.4127806563039762E-2</v>
      </c>
      <c r="M8575" s="401">
        <f>SUM(C8575,C8551,C8527,C8503,C8479,C8455,C8431)/POBLA!$B$6*100000</f>
        <v>93.593778021254437</v>
      </c>
    </row>
    <row r="8576" spans="1:13" s="360" customFormat="1" ht="15.75" thickBot="1" x14ac:dyDescent="0.3">
      <c r="A8576" s="367" t="s">
        <v>20</v>
      </c>
      <c r="B8576" s="269">
        <v>44250</v>
      </c>
      <c r="C8576" s="17">
        <v>827</v>
      </c>
      <c r="D8576" s="39">
        <f t="shared" si="1312"/>
        <v>156803</v>
      </c>
      <c r="E8576" s="1">
        <v>6</v>
      </c>
      <c r="F8576" s="39">
        <f t="shared" si="1316"/>
        <v>2809</v>
      </c>
      <c r="G8576" s="168">
        <f>SUM(C8576,C8552,C8528,C8504,C8480,C8456,C8432,C8408,C8384,C8360,C8336,C8312,C8288,C8264)/POBLA!$B$7*100000</f>
        <v>203.53947001023812</v>
      </c>
      <c r="H8576" s="256">
        <f t="shared" si="1317"/>
        <v>1.1487318024913702</v>
      </c>
      <c r="I8576" s="297">
        <f t="shared" si="1319"/>
        <v>233.81226226299901</v>
      </c>
      <c r="J8576" s="297">
        <f t="shared" si="1320"/>
        <v>618.57142857142856</v>
      </c>
      <c r="K8576" s="297">
        <f>J8576/POBLA!$B$7*100000</f>
        <v>16.449399103070871</v>
      </c>
      <c r="L8576" s="549">
        <f t="shared" si="1318"/>
        <v>-0.30264741275571594</v>
      </c>
      <c r="M8576" s="401">
        <f>SUM(C8576,C8552,C8528,C8504,C8480,C8456,C8432)/POBLA!$B$7*100000</f>
        <v>115.1457937214961</v>
      </c>
    </row>
    <row r="8577" spans="1:13" ht="15.75" thickBot="1" x14ac:dyDescent="0.3">
      <c r="A8577" s="367" t="s">
        <v>31</v>
      </c>
      <c r="B8577" s="269">
        <v>44250</v>
      </c>
      <c r="C8577" s="17">
        <v>144</v>
      </c>
      <c r="D8577" s="39">
        <f t="shared" si="1312"/>
        <v>44572</v>
      </c>
      <c r="E8577" s="1">
        <v>6</v>
      </c>
      <c r="F8577" s="39">
        <f t="shared" ref="F8577:F8593" si="1321">E8577+F8553</f>
        <v>825</v>
      </c>
      <c r="G8577" s="168">
        <f>SUM(C8577,C8553,C8529,C8505,C8481,C8457,C8433,C8409,C8385,C8361,C8337,C8313,C8289,C8265)/POBLA!$B$8*100000</f>
        <v>128.4307422791839</v>
      </c>
      <c r="H8577" s="256">
        <f t="shared" si="1317"/>
        <v>0.57698541329011344</v>
      </c>
      <c r="I8577" s="297">
        <f t="shared" si="1319"/>
        <v>74.102664913110971</v>
      </c>
      <c r="J8577" s="297">
        <f t="shared" si="1320"/>
        <v>127.14285714285714</v>
      </c>
      <c r="K8577" s="297">
        <f>J8577/POBLA!$B$8*100000</f>
        <v>9.1736244485131344</v>
      </c>
      <c r="L8577" s="549">
        <f t="shared" si="1318"/>
        <v>0</v>
      </c>
      <c r="M8577" s="401">
        <f>SUM(C8577,C8553,C8529,C8505,C8481,C8457,C8433)/POBLA!$B$8*100000</f>
        <v>64.215371139591952</v>
      </c>
    </row>
    <row r="8578" spans="1:13" s="360" customFormat="1" ht="15.75" thickBot="1" x14ac:dyDescent="0.3">
      <c r="A8578" s="367" t="s">
        <v>41</v>
      </c>
      <c r="B8578" s="269">
        <v>44250</v>
      </c>
      <c r="C8578" s="17">
        <v>32</v>
      </c>
      <c r="D8578" s="39">
        <f t="shared" si="1312"/>
        <v>1168</v>
      </c>
      <c r="E8578" s="1"/>
      <c r="F8578" s="39">
        <f t="shared" si="1321"/>
        <v>18</v>
      </c>
      <c r="G8578" s="168">
        <f>SUM(C8578,C8554,C8530,C8506,C8482,C8458,C8434,C8410,C8386,C8362,C8338,C8314,C8290,C8266)/POBLA!$B$9*100000</f>
        <v>46.266232425028051</v>
      </c>
      <c r="H8578" s="256">
        <f t="shared" si="1317"/>
        <v>3.7837837837837838</v>
      </c>
      <c r="I8578" s="297">
        <f t="shared" si="1319"/>
        <v>175.06141998659263</v>
      </c>
      <c r="J8578" s="297">
        <f t="shared" si="1320"/>
        <v>27.142857142857142</v>
      </c>
      <c r="K8578" s="297">
        <f>J8578/POBLA!$B$9*100000</f>
        <v>4.4849919187527192</v>
      </c>
      <c r="L8578" s="549">
        <f t="shared" si="1318"/>
        <v>-1.1111111111111112</v>
      </c>
      <c r="M8578" s="401">
        <f>SUM(C8578,C8554,C8530,C8506,C8482,C8458,C8434)/POBLA!$B$9*100000</f>
        <v>31.394943431269034</v>
      </c>
    </row>
    <row r="8579" spans="1:13" s="360" customFormat="1" ht="15.75" thickBot="1" x14ac:dyDescent="0.3">
      <c r="A8579" s="367" t="s">
        <v>32</v>
      </c>
      <c r="B8579" s="269">
        <v>44250</v>
      </c>
      <c r="C8579" s="17">
        <v>119</v>
      </c>
      <c r="D8579" s="39">
        <f t="shared" si="1312"/>
        <v>20282</v>
      </c>
      <c r="E8579" s="1">
        <v>3</v>
      </c>
      <c r="F8579" s="39">
        <f t="shared" si="1321"/>
        <v>901</v>
      </c>
      <c r="G8579" s="168">
        <f>SUM(C8579,C8555,C8531,C8507,C8483,C8459,C8435,C8411,C8387,C8363,C8339,C8315,C8291,C8267)/POBLA!$B$10*100000</f>
        <v>89.507978533651766</v>
      </c>
      <c r="H8579" s="256">
        <f t="shared" si="1317"/>
        <v>1.5862068965517242</v>
      </c>
      <c r="I8579" s="297">
        <f t="shared" si="1319"/>
        <v>141.97817284648212</v>
      </c>
      <c r="J8579" s="297">
        <f t="shared" si="1320"/>
        <v>65</v>
      </c>
      <c r="K8579" s="297">
        <f>J8579/POBLA!$B$10*100000</f>
        <v>8.4319110212860355</v>
      </c>
      <c r="L8579" s="549">
        <f t="shared" si="1318"/>
        <v>-0.93617021276595747</v>
      </c>
      <c r="M8579" s="401">
        <f>SUM(C8579,C8555,C8531,C8507,C8483,C8459,C8435)/POBLA!$B$10*100000</f>
        <v>59.023377149002251</v>
      </c>
    </row>
    <row r="8580" spans="1:13" s="360" customFormat="1" ht="15.75" thickBot="1" x14ac:dyDescent="0.3">
      <c r="A8580" s="367" t="s">
        <v>33</v>
      </c>
      <c r="B8580" s="269">
        <v>44250</v>
      </c>
      <c r="C8580" s="17">
        <v>63</v>
      </c>
      <c r="D8580" s="39">
        <f t="shared" si="1312"/>
        <v>18224</v>
      </c>
      <c r="E8580" s="1"/>
      <c r="F8580" s="39">
        <f t="shared" si="1321"/>
        <v>284</v>
      </c>
      <c r="G8580" s="168">
        <f>SUM(C8580,C8556,C8532,C8508,C8484,C8460,C8436,C8412,C8388,C8364,C8340,C8316,C8292,C8268)/POBLA!$B$11*100000</f>
        <v>260.58232057763342</v>
      </c>
      <c r="H8580" s="256">
        <f t="shared" si="1317"/>
        <v>0.71846153846153848</v>
      </c>
      <c r="I8580" s="297">
        <f t="shared" si="1319"/>
        <v>187.21837493808434</v>
      </c>
      <c r="J8580" s="297">
        <f t="shared" si="1320"/>
        <v>60.857142857142854</v>
      </c>
      <c r="K8580" s="297">
        <f>J8580/POBLA!$B$11*100000</f>
        <v>16.978903115030874</v>
      </c>
      <c r="L8580" s="549">
        <f t="shared" si="1318"/>
        <v>0.16141732283464572</v>
      </c>
      <c r="M8580" s="401">
        <f>SUM(C8580,C8556,C8532,C8508,C8484,C8460,C8436)/POBLA!$B$11*100000</f>
        <v>118.85232180521611</v>
      </c>
    </row>
    <row r="8581" spans="1:13" s="360" customFormat="1" ht="15.75" thickBot="1" x14ac:dyDescent="0.3">
      <c r="A8581" s="367" t="s">
        <v>21</v>
      </c>
      <c r="B8581" s="269">
        <v>44250</v>
      </c>
      <c r="C8581" s="17">
        <v>23</v>
      </c>
      <c r="D8581" s="39">
        <f t="shared" si="1312"/>
        <v>10070</v>
      </c>
      <c r="E8581" s="1"/>
      <c r="F8581" s="39">
        <f t="shared" si="1321"/>
        <v>435</v>
      </c>
      <c r="G8581" s="168">
        <f>SUM(C8581,C8557,C8533,C8509,C8485,C8461,C8437,C8413,C8389,C8365,C8341,C8317,C8293,C8269)/POBLA!$B$12*100000</f>
        <v>93.004108952026641</v>
      </c>
      <c r="H8581" s="256">
        <f t="shared" si="1317"/>
        <v>1.4523809523809523</v>
      </c>
      <c r="I8581" s="297">
        <f t="shared" si="1319"/>
        <v>135.07739633508632</v>
      </c>
      <c r="J8581" s="297">
        <f t="shared" si="1320"/>
        <v>27</v>
      </c>
      <c r="K8581" s="297">
        <f>J8581/POBLA!$B$12*100000</f>
        <v>6.8609588571167208</v>
      </c>
      <c r="L8581" s="549">
        <f t="shared" si="1318"/>
        <v>-6.7796610169491567E-2</v>
      </c>
      <c r="M8581" s="401">
        <f>SUM(C8581,C8557,C8533,C8509,C8485,C8461,C8437)/POBLA!$B$12*100000</f>
        <v>48.026711999817039</v>
      </c>
    </row>
    <row r="8582" spans="1:13" s="360" customFormat="1" ht="15.75" thickBot="1" x14ac:dyDescent="0.3">
      <c r="A8582" s="367" t="s">
        <v>17</v>
      </c>
      <c r="B8582" s="269">
        <v>44250</v>
      </c>
      <c r="C8582" s="17">
        <v>131</v>
      </c>
      <c r="D8582" s="39">
        <f t="shared" si="1312"/>
        <v>66542</v>
      </c>
      <c r="E8582" s="1">
        <v>6</v>
      </c>
      <c r="F8582" s="39">
        <f t="shared" si="1321"/>
        <v>1431</v>
      </c>
      <c r="G8582" s="168">
        <f>SUM(C8582,C8558,C8534,C8510,C8486,C8462,C8438,C8414,C8390,C8366,C8342,C8318,C8294,C8270)/POBLA!$B$13*100000</f>
        <v>75.464569334454751</v>
      </c>
      <c r="H8582" s="256">
        <f t="shared" si="1317"/>
        <v>0.8742724097788126</v>
      </c>
      <c r="I8582" s="297">
        <f t="shared" si="1319"/>
        <v>65.976590884954035</v>
      </c>
      <c r="J8582" s="297">
        <f t="shared" si="1320"/>
        <v>116</v>
      </c>
      <c r="K8582" s="297">
        <f>J8582/POBLA!$B$13*100000</f>
        <v>5.8281558207701405</v>
      </c>
      <c r="L8582" s="549">
        <f t="shared" si="1318"/>
        <v>-0.17681159420289849</v>
      </c>
      <c r="M8582" s="401">
        <f>SUM(C8582,C8558,C8534,C8510,C8486,C8462,C8438)/POBLA!$B$13*100000</f>
        <v>40.797090745390982</v>
      </c>
    </row>
    <row r="8583" spans="1:13" s="360" customFormat="1" ht="15.75" thickBot="1" x14ac:dyDescent="0.3">
      <c r="A8583" s="367" t="s">
        <v>23</v>
      </c>
      <c r="B8583" s="269">
        <v>44250</v>
      </c>
      <c r="C8583" s="17">
        <v>110</v>
      </c>
      <c r="D8583" s="39">
        <f t="shared" si="1312"/>
        <v>7719</v>
      </c>
      <c r="E8583" s="1">
        <v>1</v>
      </c>
      <c r="F8583" s="39">
        <f t="shared" si="1321"/>
        <v>132</v>
      </c>
      <c r="G8583" s="168">
        <f>SUM(C8583,C8559,C8535,C8511,C8487,C8463,C8439,C8415,C8391,C8367,C8343,C8319,C8295,C8271)/POBLA!$B$14*100000</f>
        <v>119.24261908801597</v>
      </c>
      <c r="H8583" s="256">
        <f t="shared" si="1317"/>
        <v>0.61791290057518489</v>
      </c>
      <c r="I8583" s="297">
        <f t="shared" si="1319"/>
        <v>73.681552632857858</v>
      </c>
      <c r="J8583" s="297">
        <f t="shared" si="1320"/>
        <v>107.85714285714286</v>
      </c>
      <c r="K8583" s="297">
        <f>J8583/POBLA!$B$14*100000</f>
        <v>8.5513086447047915</v>
      </c>
      <c r="L8583" s="549">
        <f t="shared" si="1318"/>
        <v>-8.0106809078772656E-3</v>
      </c>
      <c r="M8583" s="401">
        <f>SUM(C8583,C8559,C8535,C8511,C8487,C8463,C8439)/POBLA!$B$14*100000</f>
        <v>59.859160512933542</v>
      </c>
    </row>
    <row r="8584" spans="1:13" s="360" customFormat="1" ht="15.75" thickBot="1" x14ac:dyDescent="0.3">
      <c r="A8584" s="367" t="s">
        <v>19</v>
      </c>
      <c r="B8584" s="269">
        <v>44250</v>
      </c>
      <c r="C8584" s="17">
        <v>187</v>
      </c>
      <c r="D8584" s="39">
        <f t="shared" si="1312"/>
        <v>60379</v>
      </c>
      <c r="E8584" s="1">
        <v>2</v>
      </c>
      <c r="F8584" s="39">
        <f t="shared" si="1321"/>
        <v>893</v>
      </c>
      <c r="G8584" s="168">
        <f>SUM(C8584,C8560,C8536,C8512,C8488,C8464,C8440,C8416,C8392,C8368,C8344,C8320,C8296,C8272)/POBLA!$B$15*100000</f>
        <v>473.30274358978221</v>
      </c>
      <c r="H8584" s="256">
        <f t="shared" si="1317"/>
        <v>0.60523782014249949</v>
      </c>
      <c r="I8584" s="297">
        <f t="shared" si="1319"/>
        <v>286.46072079774416</v>
      </c>
      <c r="J8584" s="297">
        <f t="shared" si="1320"/>
        <v>208</v>
      </c>
      <c r="K8584" s="297">
        <f>J8584/POBLA!$B$15*100000</f>
        <v>31.322612366107123</v>
      </c>
      <c r="L8584" s="549">
        <f t="shared" si="1318"/>
        <v>0.13692946058091282</v>
      </c>
      <c r="M8584" s="401">
        <f>SUM(C8584,C8560,C8536,C8512,C8488,C8464,C8440)/POBLA!$B$15*100000</f>
        <v>219.25828656274987</v>
      </c>
    </row>
    <row r="8585" spans="1:13" s="360" customFormat="1" ht="15.75" thickBot="1" x14ac:dyDescent="0.3">
      <c r="A8585" s="367" t="s">
        <v>18</v>
      </c>
      <c r="B8585" s="269">
        <v>44250</v>
      </c>
      <c r="C8585" s="17">
        <v>170</v>
      </c>
      <c r="D8585" s="39">
        <f t="shared" si="1312"/>
        <v>51743</v>
      </c>
      <c r="E8585" s="1">
        <v>9</v>
      </c>
      <c r="F8585" s="39">
        <f t="shared" si="1321"/>
        <v>1166</v>
      </c>
      <c r="G8585" s="168">
        <f>SUM(C8585,C8561,C8537,C8513,C8489,C8465,C8441,C8417,C8393,C8369,C8345,C8321,C8297,C8273)/POBLA!$B$16*100000</f>
        <v>260.42990329182328</v>
      </c>
      <c r="H8585" s="256">
        <f t="shared" si="1317"/>
        <v>0.61419558359621451</v>
      </c>
      <c r="I8585" s="297">
        <f t="shared" si="1319"/>
        <v>159.95489643822711</v>
      </c>
      <c r="J8585" s="297">
        <f t="shared" si="1320"/>
        <v>135.14285714285714</v>
      </c>
      <c r="K8585" s="297">
        <f>J8585/POBLA!$B$16*100000</f>
        <v>18.076651883048264</v>
      </c>
      <c r="L8585" s="549">
        <f t="shared" si="1318"/>
        <v>5.4945054945054972E-2</v>
      </c>
      <c r="M8585" s="401">
        <f>SUM(C8585,C8561,C8537,C8513,C8489,C8465,C8441)/POBLA!$B$16*100000</f>
        <v>126.53656318133785</v>
      </c>
    </row>
    <row r="8586" spans="1:13" s="360" customFormat="1" ht="15.75" thickBot="1" x14ac:dyDescent="0.3">
      <c r="A8586" s="367" t="s">
        <v>34</v>
      </c>
      <c r="B8586" s="269">
        <v>44250</v>
      </c>
      <c r="C8586" s="17">
        <v>98</v>
      </c>
      <c r="D8586" s="39">
        <f t="shared" si="1312"/>
        <v>25577</v>
      </c>
      <c r="E8586" s="1">
        <v>5</v>
      </c>
      <c r="F8586" s="39">
        <f t="shared" si="1321"/>
        <v>1085</v>
      </c>
      <c r="G8586" s="168">
        <f>SUM(C8586,C8562,C8538,C8514,C8490,C8466,C8442,C8418,C8394,C8370,C8346,C8322,C8298,C8274)/POBLA!$B$17*100000</f>
        <v>81.71879047765475</v>
      </c>
      <c r="H8586" s="256">
        <f t="shared" si="1317"/>
        <v>1.318233295583239</v>
      </c>
      <c r="I8586" s="297">
        <f t="shared" si="1319"/>
        <v>107.72443048243503</v>
      </c>
      <c r="J8586" s="297">
        <f t="shared" si="1320"/>
        <v>96.571428571428569</v>
      </c>
      <c r="K8586" s="297">
        <f>J8586/POBLA!$B$17*100000</f>
        <v>6.7798112865604576</v>
      </c>
      <c r="L8586" s="549">
        <f t="shared" si="1318"/>
        <v>-0.38524590163934436</v>
      </c>
      <c r="M8586" s="401">
        <f>SUM(C8586,C8562,C8538,C8514,C8490,C8466,C8442)/POBLA!$B$17*100000</f>
        <v>47.458679005923209</v>
      </c>
    </row>
    <row r="8587" spans="1:13" s="360" customFormat="1" ht="15.75" thickBot="1" x14ac:dyDescent="0.3">
      <c r="A8587" s="367" t="s">
        <v>35</v>
      </c>
      <c r="B8587" s="269">
        <v>44250</v>
      </c>
      <c r="C8587" s="17">
        <v>71</v>
      </c>
      <c r="D8587" s="39">
        <f t="shared" si="1312"/>
        <v>15061</v>
      </c>
      <c r="E8587" s="1">
        <v>1</v>
      </c>
      <c r="F8587" s="39">
        <f t="shared" si="1321"/>
        <v>207</v>
      </c>
      <c r="G8587" s="168">
        <f>SUM(C8587,C8563,C8539,C8515,C8491,C8467,C8443,C8419,C8395,C8371,C8347,C8323,C8299,C8275)/POBLA!$B$18*100000</f>
        <v>83.97154695814352</v>
      </c>
      <c r="H8587" s="256">
        <f t="shared" si="1317"/>
        <v>0.93447293447293445</v>
      </c>
      <c r="I8587" s="297">
        <f t="shared" si="1319"/>
        <v>78.469137898208189</v>
      </c>
      <c r="J8587" s="297">
        <f t="shared" si="1320"/>
        <v>57.285714285714285</v>
      </c>
      <c r="K8587" s="297">
        <f>J8587/POBLA!$B$18*100000</f>
        <v>7.3328811694720271</v>
      </c>
      <c r="L8587" s="549">
        <f t="shared" si="1318"/>
        <v>-0.5725490196078431</v>
      </c>
      <c r="M8587" s="401">
        <f>SUM(C8587,C8563,C8539,C8515,C8491,C8467,C8443)/POBLA!$B$18*100000</f>
        <v>51.330168186304192</v>
      </c>
    </row>
    <row r="8588" spans="1:13" s="360" customFormat="1" ht="15.75" thickBot="1" x14ac:dyDescent="0.3">
      <c r="A8588" s="367" t="s">
        <v>36</v>
      </c>
      <c r="B8588" s="269">
        <v>44250</v>
      </c>
      <c r="C8588" s="17">
        <v>11</v>
      </c>
      <c r="D8588" s="39">
        <f t="shared" si="1312"/>
        <v>20553</v>
      </c>
      <c r="E8588" s="1"/>
      <c r="F8588" s="39">
        <f t="shared" si="1321"/>
        <v>353</v>
      </c>
      <c r="G8588" s="168">
        <f>SUM(C8588,C8564,C8540,C8516,C8492,C8468,C8444,C8420,C8396,C8372,C8348,C8324,C8300,C8276)/POBLA!$B$19*100000</f>
        <v>282.10132040729604</v>
      </c>
      <c r="H8588" s="256">
        <f t="shared" si="1317"/>
        <v>4.4672897196261685</v>
      </c>
      <c r="I8588" s="297">
        <f t="shared" si="1319"/>
        <v>1260.2283285484814</v>
      </c>
      <c r="J8588" s="297">
        <f t="shared" si="1320"/>
        <v>47.428571428571431</v>
      </c>
      <c r="K8588" s="297">
        <f>J8588/POBLA!$B$19*100000</f>
        <v>9.3303086645967621</v>
      </c>
      <c r="L8588" s="549">
        <f t="shared" si="1318"/>
        <v>0.69872958257713247</v>
      </c>
      <c r="M8588" s="401">
        <f>SUM(C8588,C8564,C8540,C8516,C8492,C8468,C8444)/POBLA!$B$19*100000</f>
        <v>65.31216065217734</v>
      </c>
    </row>
    <row r="8589" spans="1:13" s="360" customFormat="1" ht="15.75" thickBot="1" x14ac:dyDescent="0.3">
      <c r="A8589" s="367" t="s">
        <v>37</v>
      </c>
      <c r="B8589" s="269">
        <v>44250</v>
      </c>
      <c r="C8589" s="17">
        <v>117</v>
      </c>
      <c r="D8589" s="39">
        <f t="shared" si="1312"/>
        <v>35430</v>
      </c>
      <c r="E8589" s="1">
        <v>2</v>
      </c>
      <c r="F8589" s="39">
        <f t="shared" si="1321"/>
        <v>569</v>
      </c>
      <c r="G8589" s="168">
        <f>SUM(C8589,C8565,C8541,C8517,C8493,C8469,C8445,C8421,C8397,C8373,C8349,C8325,C8301,C8277)/POBLA!$B$20*100000</f>
        <v>377.36055433718531</v>
      </c>
      <c r="H8589" s="256">
        <f t="shared" si="1317"/>
        <v>0.62050359712230219</v>
      </c>
      <c r="I8589" s="297">
        <f t="shared" si="1319"/>
        <v>234.15358137828946</v>
      </c>
      <c r="J8589" s="297">
        <f t="shared" si="1320"/>
        <v>113.85714285714286</v>
      </c>
      <c r="K8589" s="297">
        <f>J8589/POBLA!$B$20*100000</f>
        <v>31.134198944796761</v>
      </c>
      <c r="L8589" s="549">
        <f t="shared" si="1318"/>
        <v>-0.36706689536878212</v>
      </c>
      <c r="M8589" s="401">
        <f>SUM(C8589,C8565,C8541,C8517,C8493,C8469,C8445)/POBLA!$B$20*100000</f>
        <v>217.9393926135773</v>
      </c>
    </row>
    <row r="8590" spans="1:13" s="360" customFormat="1" ht="15.75" thickBot="1" x14ac:dyDescent="0.3">
      <c r="A8590" s="367" t="s">
        <v>22</v>
      </c>
      <c r="B8590" s="269">
        <v>44250</v>
      </c>
      <c r="C8590" s="17">
        <v>394</v>
      </c>
      <c r="D8590" s="39">
        <f t="shared" si="1312"/>
        <v>214782</v>
      </c>
      <c r="E8590" s="1">
        <v>17</v>
      </c>
      <c r="F8590" s="39">
        <f t="shared" si="1321"/>
        <v>3868</v>
      </c>
      <c r="G8590" s="168">
        <f>SUM(C8590,C8566,C8542,C8518,C8494,C8470,C8446,C8422,C8398,C8374,C8350,C8326,C8302,C8278)/POBLA!$B$21*100000</f>
        <v>135.75883846310023</v>
      </c>
      <c r="H8590" s="256">
        <f t="shared" si="1317"/>
        <v>0.67581644144144148</v>
      </c>
      <c r="I8590" s="297">
        <f t="shared" si="1319"/>
        <v>91.748055104355899</v>
      </c>
      <c r="J8590" s="297">
        <f t="shared" si="1320"/>
        <v>362.14285714285717</v>
      </c>
      <c r="K8590" s="297">
        <f>J8590/POBLA!$B$21*100000</f>
        <v>10.240386095276554</v>
      </c>
      <c r="L8590" s="549">
        <f t="shared" si="1318"/>
        <v>-0.11871138570167705</v>
      </c>
      <c r="M8590" s="401">
        <f>SUM(C8590,C8566,C8542,C8518,C8494,C8470,C8446)/POBLA!$B$21*100000</f>
        <v>71.682702666935867</v>
      </c>
    </row>
    <row r="8591" spans="1:13" s="360" customFormat="1" ht="15.75" thickBot="1" x14ac:dyDescent="0.3">
      <c r="A8591" s="367" t="s">
        <v>38</v>
      </c>
      <c r="B8591" s="269">
        <v>44250</v>
      </c>
      <c r="C8591" s="17">
        <v>58</v>
      </c>
      <c r="D8591" s="39">
        <f t="shared" si="1312"/>
        <v>22275</v>
      </c>
      <c r="E8591" s="1">
        <v>1</v>
      </c>
      <c r="F8591" s="39">
        <f t="shared" si="1321"/>
        <v>265</v>
      </c>
      <c r="G8591" s="168">
        <f>SUM(C8591,C8567,C8543,C8519,C8495,C8471,C8447,C8423,C8399,C8375,C8351,C8327,C8303,C8279)/POBLA!$B$22*100000</f>
        <v>74.924896224418973</v>
      </c>
      <c r="H8591" s="256">
        <f t="shared" si="1317"/>
        <v>0.73965691220988905</v>
      </c>
      <c r="I8591" s="297">
        <f t="shared" si="1319"/>
        <v>55.418717389000115</v>
      </c>
      <c r="J8591" s="297">
        <f t="shared" si="1320"/>
        <v>51.571428571428569</v>
      </c>
      <c r="K8591" s="297">
        <f>J8591/POBLA!$B$22*100000</f>
        <v>5.271465121226905</v>
      </c>
      <c r="L8591" s="549">
        <f t="shared" si="1318"/>
        <v>2.9569892473118253E-2</v>
      </c>
      <c r="M8591" s="401">
        <f>SUM(C8591,C8567,C8543,C8519,C8495,C8471,C8447)/POBLA!$B$22*100000</f>
        <v>36.900255848588337</v>
      </c>
    </row>
    <row r="8592" spans="1:13" s="360" customFormat="1" ht="15.75" thickBot="1" x14ac:dyDescent="0.3">
      <c r="A8592" s="367" t="s">
        <v>39</v>
      </c>
      <c r="B8592" s="269">
        <v>44250</v>
      </c>
      <c r="C8592" s="17">
        <v>47</v>
      </c>
      <c r="D8592" s="39">
        <f t="shared" si="1312"/>
        <v>22795</v>
      </c>
      <c r="E8592" s="1"/>
      <c r="F8592" s="39">
        <f t="shared" si="1321"/>
        <v>349</v>
      </c>
      <c r="G8592" s="168">
        <f>SUM(C8592,C8568,C8544,C8520,C8496,C8472,C8448,C8424,C8400,C8376,C8352,C8328,C8304,C8280)/POBLA!$B$23*100000</f>
        <v>331.95724707346039</v>
      </c>
      <c r="H8592" s="256">
        <f t="shared" si="1317"/>
        <v>0.92295597484276726</v>
      </c>
      <c r="I8592" s="297">
        <f t="shared" si="1319"/>
        <v>306.381924578807</v>
      </c>
      <c r="J8592" s="297">
        <f t="shared" si="1320"/>
        <v>44.571428571428569</v>
      </c>
      <c r="K8592" s="297">
        <f>J8592/POBLA!$B$23*100000</f>
        <v>25.205807030158102</v>
      </c>
      <c r="L8592" s="549">
        <f t="shared" si="1318"/>
        <v>-0.13454545454545452</v>
      </c>
      <c r="M8592" s="401">
        <f>SUM(C8592,C8568,C8544,C8520,C8496,C8472,C8448)/POBLA!$B$23*100000</f>
        <v>176.44064921110672</v>
      </c>
    </row>
    <row r="8593" spans="1:13" s="360" customFormat="1" ht="15.75" thickBot="1" x14ac:dyDescent="0.3">
      <c r="A8593" s="368" t="s">
        <v>40</v>
      </c>
      <c r="B8593" s="268">
        <v>44250</v>
      </c>
      <c r="C8593" s="17">
        <v>138</v>
      </c>
      <c r="D8593" s="67">
        <f t="shared" si="1312"/>
        <v>79055</v>
      </c>
      <c r="E8593" s="232">
        <v>2</v>
      </c>
      <c r="F8593" s="67">
        <f t="shared" si="1321"/>
        <v>1466</v>
      </c>
      <c r="G8593" s="177">
        <f>SUM(C8593,C8569,C8545,C8521,C8497,C8473,C8449,C8425,C8401,C8377,C8353,C8329,C8305,C8281)/POBLA!$B$24*100000</f>
        <v>91.109936175837447</v>
      </c>
      <c r="H8593" s="402">
        <f t="shared" si="1317"/>
        <v>0.81263157894736837</v>
      </c>
      <c r="I8593" s="403">
        <f t="shared" si="1319"/>
        <v>74.038811292364741</v>
      </c>
      <c r="J8593" s="403">
        <f t="shared" si="1320"/>
        <v>123</v>
      </c>
      <c r="K8593" s="403">
        <f>J8593/POBLA!$B$24*100000</f>
        <v>7.2581102005362732</v>
      </c>
      <c r="L8593" s="550">
        <f t="shared" si="1318"/>
        <v>-0.26061493411420211</v>
      </c>
      <c r="M8593" s="405">
        <f>SUM(C8593,C8569,C8545,C8521,C8497,C8473,C8449)/POBLA!$B$24*100000</f>
        <v>50.80677140375392</v>
      </c>
    </row>
    <row r="8594" spans="1:13" s="360" customFormat="1" x14ac:dyDescent="0.25">
      <c r="A8594" s="363" t="s">
        <v>16</v>
      </c>
      <c r="B8594" s="265">
        <v>44251</v>
      </c>
      <c r="C8594" s="43">
        <v>3500</v>
      </c>
      <c r="D8594" s="174">
        <f t="shared" si="1312"/>
        <v>870774</v>
      </c>
      <c r="E8594" s="43">
        <v>70</v>
      </c>
      <c r="F8594" s="174">
        <f t="shared" ref="F8594:F8600" si="1322">E8594+F8570</f>
        <v>26138</v>
      </c>
      <c r="G8594" s="175">
        <f>SUM(C8594,C8570,C8546,C8522,C8498,C8474,C8450,C8426,C8402,C8378,C8354,C8330,C8306,C8282)/POBLA!$B$1*100000</f>
        <v>202.78042346276106</v>
      </c>
      <c r="H8594" s="300">
        <f t="shared" ref="H8594:H8617" si="1323">SUM(C8594,C8570,C8546,C8522,C8498,C8474,C8450,C8426,C8402,C8378,C8354,C8330,C8306,C8282)/SUM(C8258,C8234,C8210,C8186,C8162,C8138,C8114,C8090,C8066,C8042,C8018,C7994,C7970,C7946)</f>
        <v>0.79384917535206556</v>
      </c>
      <c r="I8594" s="301">
        <f>G8594*H8594</f>
        <v>160.97707194345551</v>
      </c>
      <c r="J8594" s="301">
        <f>AVERAGE(C8594,C8570,C8546,C8522,C8498,C8474,C8450)</f>
        <v>2816.8571428571427</v>
      </c>
      <c r="K8594" s="301">
        <f>J8594/POBLA!$B$1*100000</f>
        <v>16.058574199119331</v>
      </c>
      <c r="L8594" s="548">
        <f t="shared" ref="L8594:L8617" si="1324">1-SUM(C8594,C8570,C8546,C8522,C8498,C8474,C8450)/SUM(C8426,C8402,C8378,C8354,C8330,C8306,C8282)</f>
        <v>-0.24388089830936166</v>
      </c>
      <c r="M8594" s="400">
        <f>SUM(C8594,C8570,C8546,C8522,C8498,C8474,C8450)/POBLA!$B$1*100000</f>
        <v>112.41001939383533</v>
      </c>
    </row>
    <row r="8595" spans="1:13" s="360" customFormat="1" x14ac:dyDescent="0.25">
      <c r="A8595" s="367" t="s">
        <v>43</v>
      </c>
      <c r="B8595" s="2">
        <v>44251</v>
      </c>
      <c r="C8595" s="1">
        <v>1003</v>
      </c>
      <c r="D8595" s="39">
        <f t="shared" si="1312"/>
        <v>229381</v>
      </c>
      <c r="E8595" s="1">
        <v>11</v>
      </c>
      <c r="F8595" s="39">
        <f t="shared" si="1322"/>
        <v>6472</v>
      </c>
      <c r="G8595" s="168">
        <f>SUM(C8595,C8571,C8547,C8523,C8499,C8475,C8451,C8427,C8403,C8379,C8355,C8331,C8307,C8283)/POBLA!$B$2*100000</f>
        <v>315.8360877682282</v>
      </c>
      <c r="H8595" s="256">
        <f t="shared" si="1323"/>
        <v>0.72368323027639125</v>
      </c>
      <c r="I8595" s="297">
        <f t="shared" ref="I8595:I8617" si="1325">G8595*H8595</f>
        <v>228.56528023396922</v>
      </c>
      <c r="J8595" s="297">
        <f t="shared" ref="J8595:J8617" si="1326">AVERAGE(C8595,C8571,C8547,C8523,C8499,C8475,C8451)</f>
        <v>749.14285714285711</v>
      </c>
      <c r="K8595" s="297">
        <f>J8595/POBLA!$B$2*100000</f>
        <v>24.357252334724382</v>
      </c>
      <c r="L8595" s="549">
        <f t="shared" si="1324"/>
        <v>-0.17315436241610738</v>
      </c>
      <c r="M8595" s="401">
        <f>SUM(C8595,C8571,C8547,C8523,C8499,C8475,C8451)/POBLA!$B$2*100000</f>
        <v>170.50076634307069</v>
      </c>
    </row>
    <row r="8596" spans="1:13" s="360" customFormat="1" x14ac:dyDescent="0.25">
      <c r="A8596" s="367" t="s">
        <v>28</v>
      </c>
      <c r="B8596" s="2">
        <v>44251</v>
      </c>
      <c r="C8596" s="1">
        <v>74</v>
      </c>
      <c r="D8596" s="39">
        <f t="shared" si="1312"/>
        <v>7512</v>
      </c>
      <c r="E8596" s="1"/>
      <c r="F8596" s="39">
        <f t="shared" si="1322"/>
        <v>17</v>
      </c>
      <c r="G8596" s="168">
        <f>SUM(C8596,C8572,C8548,C8524,C8500,C8476,C8452,C8428,C8404,C8380,C8356,C8332,C8308,C8284)/POBLA!$B$3*100000</f>
        <v>252.98600513193304</v>
      </c>
      <c r="H8596" s="256">
        <f t="shared" si="1323"/>
        <v>0.69741207697412078</v>
      </c>
      <c r="I8596" s="297">
        <f t="shared" si="1325"/>
        <v>176.435495284447</v>
      </c>
      <c r="J8596" s="297">
        <f t="shared" si="1326"/>
        <v>78.428571428571431</v>
      </c>
      <c r="K8596" s="297">
        <f>J8596/POBLA!$B$3*100000</f>
        <v>18.878526140740959</v>
      </c>
      <c r="L8596" s="549">
        <f t="shared" si="1324"/>
        <v>-9.3625498007968044E-2</v>
      </c>
      <c r="M8596" s="401">
        <f>SUM(C8596,C8572,C8548,C8524,C8500,C8476,C8452)/POBLA!$B$3*100000</f>
        <v>132.14968298518673</v>
      </c>
    </row>
    <row r="8597" spans="1:13" s="360" customFormat="1" x14ac:dyDescent="0.25">
      <c r="A8597" s="367" t="s">
        <v>15</v>
      </c>
      <c r="B8597" s="2">
        <v>44251</v>
      </c>
      <c r="C8597" s="1">
        <v>156</v>
      </c>
      <c r="D8597" s="39">
        <f t="shared" si="1312"/>
        <v>33677</v>
      </c>
      <c r="E8597" s="1">
        <v>3</v>
      </c>
      <c r="F8597" s="39">
        <f t="shared" si="1322"/>
        <v>861</v>
      </c>
      <c r="G8597" s="168">
        <f>SUM(C8597,C8573,C8549,C8525,C8501,C8477,C8453,C8429,C8405,C8381,C8357,C8333,C8309,C8285)/POBLA!$B$4*100000</f>
        <v>136.40050442450695</v>
      </c>
      <c r="H8597" s="256">
        <f t="shared" si="1323"/>
        <v>0.9022515101592532</v>
      </c>
      <c r="I8597" s="297">
        <f t="shared" si="1325"/>
        <v>123.06756110349529</v>
      </c>
      <c r="J8597" s="297">
        <f t="shared" si="1326"/>
        <v>141.85714285714286</v>
      </c>
      <c r="K8597" s="297">
        <f>J8597/POBLA!$B$4*100000</f>
        <v>11.776862959180539</v>
      </c>
      <c r="L8597" s="549">
        <f t="shared" si="1324"/>
        <v>-0.52769230769230768</v>
      </c>
      <c r="M8597" s="401">
        <f>SUM(C8597,C8573,C8549,C8525,C8501,C8477,C8453)/POBLA!$B$4*100000</f>
        <v>82.438040714263778</v>
      </c>
    </row>
    <row r="8598" spans="1:13" s="360" customFormat="1" x14ac:dyDescent="0.25">
      <c r="A8598" s="367" t="s">
        <v>29</v>
      </c>
      <c r="B8598" s="2">
        <v>44251</v>
      </c>
      <c r="C8598" s="1">
        <v>186</v>
      </c>
      <c r="D8598" s="39">
        <f t="shared" si="1312"/>
        <v>46592</v>
      </c>
      <c r="E8598" s="1">
        <v>3</v>
      </c>
      <c r="F8598" s="39">
        <f t="shared" si="1322"/>
        <v>760</v>
      </c>
      <c r="G8598" s="168">
        <f>SUM(C8598,C8574,C8550,C8526,C8502,C8478,C8454,C8430,C8406,C8382,C8358,C8334,C8310,C8286)/POBLA!$B$5*100000</f>
        <v>327.46682520347531</v>
      </c>
      <c r="H8598" s="256">
        <f t="shared" si="1323"/>
        <v>0.61610942249240119</v>
      </c>
      <c r="I8598" s="297">
        <f t="shared" si="1325"/>
        <v>201.75539656153327</v>
      </c>
      <c r="J8598" s="297">
        <f t="shared" si="1326"/>
        <v>154.85714285714286</v>
      </c>
      <c r="K8598" s="297">
        <f>J8598/POBLA!$B$5*100000</f>
        <v>25.017551520231677</v>
      </c>
      <c r="L8598" s="549">
        <f t="shared" si="1324"/>
        <v>-0.14952279957582193</v>
      </c>
      <c r="M8598" s="401">
        <f>SUM(C8598,C8574,C8550,C8526,C8502,C8478,C8454)/POBLA!$B$5*100000</f>
        <v>175.12286064162171</v>
      </c>
    </row>
    <row r="8599" spans="1:13" s="360" customFormat="1" x14ac:dyDescent="0.25">
      <c r="A8599" s="367" t="s">
        <v>30</v>
      </c>
      <c r="B8599" s="2">
        <v>44251</v>
      </c>
      <c r="C8599" s="1">
        <v>127</v>
      </c>
      <c r="D8599" s="39">
        <f t="shared" si="1312"/>
        <v>21308</v>
      </c>
      <c r="E8599" s="1">
        <v>3</v>
      </c>
      <c r="F8599" s="39">
        <f t="shared" si="1322"/>
        <v>296</v>
      </c>
      <c r="G8599" s="168">
        <f>SUM(C8599,C8575,C8551,C8527,C8503,C8479,C8455,C8431,C8407,C8383,C8359,C8335,C8311,C8287)/POBLA!$B$6*100000</f>
        <v>198.51873793831376</v>
      </c>
      <c r="H8599" s="256">
        <f t="shared" si="1323"/>
        <v>0.9982054733064154</v>
      </c>
      <c r="I8599" s="297">
        <f t="shared" si="1325"/>
        <v>198.16249076390673</v>
      </c>
      <c r="J8599" s="297">
        <f t="shared" si="1326"/>
        <v>126.71428571428571</v>
      </c>
      <c r="K8599" s="297">
        <f>J8599/POBLA!$B$6*100000</f>
        <v>11.30568992303591</v>
      </c>
      <c r="L8599" s="549">
        <f t="shared" si="1324"/>
        <v>0.33707025411061287</v>
      </c>
      <c r="M8599" s="401">
        <f>SUM(C8599,C8575,C8551,C8527,C8503,C8479,C8455)/POBLA!$B$6*100000</f>
        <v>79.139829461251381</v>
      </c>
    </row>
    <row r="8600" spans="1:13" s="360" customFormat="1" x14ac:dyDescent="0.25">
      <c r="A8600" s="367" t="s">
        <v>20</v>
      </c>
      <c r="B8600" s="2">
        <v>44251</v>
      </c>
      <c r="C8600" s="1">
        <v>716</v>
      </c>
      <c r="D8600" s="39">
        <f t="shared" si="1312"/>
        <v>157519</v>
      </c>
      <c r="E8600" s="1">
        <v>5</v>
      </c>
      <c r="F8600" s="39">
        <f t="shared" si="1322"/>
        <v>2814</v>
      </c>
      <c r="G8600" s="168">
        <f>SUM(C8600,C8576,C8552,C8528,C8504,C8480,C8456,C8432,C8408,C8384,C8360,C8336,C8312,C8288)/POBLA!$B$7*100000</f>
        <v>202.3959898416413</v>
      </c>
      <c r="H8600" s="256">
        <f t="shared" si="1323"/>
        <v>1.1300668151447661</v>
      </c>
      <c r="I8600" s="297">
        <f t="shared" si="1325"/>
        <v>228.72099163841602</v>
      </c>
      <c r="J8600" s="297">
        <f t="shared" si="1326"/>
        <v>658.28571428571433</v>
      </c>
      <c r="K8600" s="297">
        <f>J8600/POBLA!$B$7*100000</f>
        <v>17.505503710612142</v>
      </c>
      <c r="L8600" s="549">
        <f t="shared" si="1324"/>
        <v>-0.53446553446553446</v>
      </c>
      <c r="M8600" s="401">
        <f>SUM(C8600,C8576,C8552,C8528,C8504,C8480,C8456)/POBLA!$B$7*100000</f>
        <v>122.53852597428499</v>
      </c>
    </row>
    <row r="8601" spans="1:13" x14ac:dyDescent="0.25">
      <c r="A8601" s="367" t="s">
        <v>31</v>
      </c>
      <c r="B8601" s="2">
        <v>44251</v>
      </c>
      <c r="C8601" s="1">
        <v>179</v>
      </c>
      <c r="D8601" s="39">
        <f t="shared" si="1312"/>
        <v>44751</v>
      </c>
      <c r="E8601" s="1">
        <v>3</v>
      </c>
      <c r="F8601" s="39">
        <f t="shared" ref="F8601:F8617" si="1327">E8601+F8577</f>
        <v>828</v>
      </c>
      <c r="G8601" s="168">
        <f>SUM(C8601,C8577,C8553,C8529,C8505,C8481,C8457,C8433,C8409,C8385,C8361,C8337,C8313,C8289)/POBLA!$B$8*100000</f>
        <v>127.27630864071934</v>
      </c>
      <c r="H8601" s="256">
        <f t="shared" si="1323"/>
        <v>0.59055908938734514</v>
      </c>
      <c r="I8601" s="297">
        <f t="shared" si="1325"/>
        <v>75.164180931445898</v>
      </c>
      <c r="J8601" s="297">
        <f t="shared" si="1326"/>
        <v>140.57142857142858</v>
      </c>
      <c r="K8601" s="297">
        <f>J8601/POBLA!$B$8*100000</f>
        <v>10.142524109367333</v>
      </c>
      <c r="L8601" s="549">
        <f t="shared" si="1324"/>
        <v>-0.2615384615384615</v>
      </c>
      <c r="M8601" s="401">
        <f>SUM(C8601,C8577,C8553,C8529,C8505,C8481,C8457)/POBLA!$B$8*100000</f>
        <v>70.997668765571319</v>
      </c>
    </row>
    <row r="8602" spans="1:13" s="360" customFormat="1" x14ac:dyDescent="0.25">
      <c r="A8602" s="367" t="s">
        <v>41</v>
      </c>
      <c r="B8602" s="2">
        <v>44251</v>
      </c>
      <c r="C8602" s="1">
        <v>7</v>
      </c>
      <c r="D8602" s="39">
        <f t="shared" si="1312"/>
        <v>1175</v>
      </c>
      <c r="E8602" s="1">
        <v>1</v>
      </c>
      <c r="F8602" s="39">
        <f t="shared" si="1327"/>
        <v>19</v>
      </c>
      <c r="G8602" s="168">
        <f>SUM(C8602,C8578,C8554,C8530,C8506,C8482,C8458,C8434,C8410,C8386,C8362,C8338,C8314,C8290)/POBLA!$B$9*100000</f>
        <v>46.596705513778247</v>
      </c>
      <c r="H8602" s="256">
        <f t="shared" si="1323"/>
        <v>4.3384615384615381</v>
      </c>
      <c r="I8602" s="297">
        <f t="shared" si="1325"/>
        <v>202.1580146905456</v>
      </c>
      <c r="J8602" s="297">
        <f t="shared" si="1326"/>
        <v>26.714285714285715</v>
      </c>
      <c r="K8602" s="297">
        <f>J8602/POBLA!$B$9*100000</f>
        <v>4.4141762568776768</v>
      </c>
      <c r="L8602" s="549">
        <f t="shared" si="1324"/>
        <v>-0.96842105263157885</v>
      </c>
      <c r="M8602" s="401">
        <f>SUM(C8602,C8578,C8554,C8530,C8506,C8482,C8458)/POBLA!$B$9*100000</f>
        <v>30.899233798143733</v>
      </c>
    </row>
    <row r="8603" spans="1:13" s="360" customFormat="1" x14ac:dyDescent="0.25">
      <c r="A8603" s="367" t="s">
        <v>32</v>
      </c>
      <c r="B8603" s="2">
        <v>44251</v>
      </c>
      <c r="C8603" s="1">
        <v>103</v>
      </c>
      <c r="D8603" s="39">
        <f t="shared" si="1312"/>
        <v>20385</v>
      </c>
      <c r="E8603" s="1">
        <v>3</v>
      </c>
      <c r="F8603" s="39">
        <f t="shared" si="1327"/>
        <v>904</v>
      </c>
      <c r="G8603" s="168">
        <f>SUM(C8603,C8579,C8555,C8531,C8507,C8483,C8459,C8435,C8411,C8387,C8363,C8339,C8315,C8291)/POBLA!$B$10*100000</f>
        <v>97.550724430878432</v>
      </c>
      <c r="H8603" s="256">
        <f t="shared" si="1323"/>
        <v>1.7611241217798594</v>
      </c>
      <c r="I8603" s="297">
        <f t="shared" si="1325"/>
        <v>171.79893389231987</v>
      </c>
      <c r="J8603" s="297">
        <f t="shared" si="1326"/>
        <v>72.428571428571431</v>
      </c>
      <c r="K8603" s="297">
        <f>J8603/POBLA!$B$10*100000</f>
        <v>9.3955579951472963</v>
      </c>
      <c r="L8603" s="549">
        <f t="shared" si="1324"/>
        <v>-1.0693877551020408</v>
      </c>
      <c r="M8603" s="401">
        <f>SUM(C8603,C8579,C8555,C8531,C8507,C8483,C8459)/POBLA!$B$10*100000</f>
        <v>65.76890596603107</v>
      </c>
    </row>
    <row r="8604" spans="1:13" s="360" customFormat="1" x14ac:dyDescent="0.25">
      <c r="A8604" s="367" t="s">
        <v>33</v>
      </c>
      <c r="B8604" s="2">
        <v>44251</v>
      </c>
      <c r="C8604" s="1">
        <v>91</v>
      </c>
      <c r="D8604" s="39">
        <f t="shared" si="1312"/>
        <v>18315</v>
      </c>
      <c r="E8604" s="1"/>
      <c r="F8604" s="39">
        <f t="shared" si="1327"/>
        <v>284</v>
      </c>
      <c r="G8604" s="168">
        <f>SUM(C8604,C8580,C8556,C8532,C8508,C8484,C8460,C8436,C8412,C8388,C8364,C8340,C8316,C8292)/POBLA!$B$11*100000</f>
        <v>268.39421027375096</v>
      </c>
      <c r="H8604" s="256">
        <f t="shared" si="1323"/>
        <v>0.78021086780210869</v>
      </c>
      <c r="I8604" s="297">
        <f t="shared" si="1325"/>
        <v>209.40407971074487</v>
      </c>
      <c r="J8604" s="297">
        <f t="shared" si="1326"/>
        <v>67.714285714285708</v>
      </c>
      <c r="K8604" s="297">
        <f>J8604/POBLA!$B$11*100000</f>
        <v>18.892018958978014</v>
      </c>
      <c r="L8604" s="549">
        <f t="shared" si="1324"/>
        <v>2.8688524590163911E-2</v>
      </c>
      <c r="M8604" s="401">
        <f>SUM(C8604,C8580,C8556,C8532,C8508,C8484,C8460)/POBLA!$B$11*100000</f>
        <v>132.2441327128461</v>
      </c>
    </row>
    <row r="8605" spans="1:13" s="360" customFormat="1" x14ac:dyDescent="0.25">
      <c r="A8605" s="367" t="s">
        <v>21</v>
      </c>
      <c r="B8605" s="2">
        <v>44251</v>
      </c>
      <c r="C8605" s="1">
        <v>55</v>
      </c>
      <c r="D8605" s="39">
        <f t="shared" si="1312"/>
        <v>10125</v>
      </c>
      <c r="E8605" s="1"/>
      <c r="F8605" s="39">
        <f t="shared" si="1327"/>
        <v>435</v>
      </c>
      <c r="G8605" s="168">
        <f>SUM(C8605,C8581,C8557,C8533,C8509,C8485,C8461,C8437,C8413,C8389,C8365,C8341,C8317,C8293)/POBLA!$B$12*100000</f>
        <v>99.865067809143369</v>
      </c>
      <c r="H8605" s="256">
        <f t="shared" si="1323"/>
        <v>1.610655737704918</v>
      </c>
      <c r="I8605" s="297">
        <f t="shared" si="1325"/>
        <v>160.84824446308747</v>
      </c>
      <c r="J8605" s="297">
        <f t="shared" si="1326"/>
        <v>29.857142857142858</v>
      </c>
      <c r="K8605" s="297">
        <f>J8605/POBLA!$B$12*100000</f>
        <v>7.5869862494042035</v>
      </c>
      <c r="L8605" s="549">
        <f t="shared" si="1324"/>
        <v>-0.13586956521739135</v>
      </c>
      <c r="M8605" s="401">
        <f>SUM(C8605,C8581,C8557,C8533,C8509,C8485,C8461)/POBLA!$B$12*100000</f>
        <v>53.10890374582943</v>
      </c>
    </row>
    <row r="8606" spans="1:13" s="360" customFormat="1" x14ac:dyDescent="0.25">
      <c r="A8606" s="367" t="s">
        <v>17</v>
      </c>
      <c r="B8606" s="2">
        <v>44251</v>
      </c>
      <c r="C8606" s="1">
        <v>165</v>
      </c>
      <c r="D8606" s="39">
        <f t="shared" si="1312"/>
        <v>66707</v>
      </c>
      <c r="E8606" s="1">
        <v>4</v>
      </c>
      <c r="F8606" s="39">
        <f t="shared" si="1327"/>
        <v>1435</v>
      </c>
      <c r="G8606" s="168">
        <f>SUM(C8606,C8582,C8558,C8534,C8510,C8486,C8462,C8438,C8414,C8390,C8366,C8342,C8318,C8294)/POBLA!$B$13*100000</f>
        <v>74.359229437412139</v>
      </c>
      <c r="H8606" s="256">
        <f t="shared" si="1323"/>
        <v>0.84282460136674264</v>
      </c>
      <c r="I8606" s="297">
        <f t="shared" si="1325"/>
        <v>62.67178790852504</v>
      </c>
      <c r="J8606" s="297">
        <f t="shared" si="1326"/>
        <v>120.42857142857143</v>
      </c>
      <c r="K8606" s="297">
        <f>J8606/POBLA!$B$13*100000</f>
        <v>6.0506593065384591</v>
      </c>
      <c r="L8606" s="549">
        <f t="shared" si="1324"/>
        <v>-0.32339089481946615</v>
      </c>
      <c r="M8606" s="401">
        <f>SUM(C8606,C8582,C8558,C8534,C8510,C8486,C8462)/POBLA!$B$13*100000</f>
        <v>42.354615145769209</v>
      </c>
    </row>
    <row r="8607" spans="1:13" s="360" customFormat="1" x14ac:dyDescent="0.25">
      <c r="A8607" s="367" t="s">
        <v>23</v>
      </c>
      <c r="B8607" s="2">
        <v>44251</v>
      </c>
      <c r="C8607" s="1">
        <v>114</v>
      </c>
      <c r="D8607" s="39">
        <f t="shared" si="1312"/>
        <v>7833</v>
      </c>
      <c r="E8607" s="1">
        <v>2</v>
      </c>
      <c r="F8607" s="39">
        <f t="shared" si="1327"/>
        <v>134</v>
      </c>
      <c r="G8607" s="168">
        <f>SUM(C8607,C8583,C8559,C8535,C8511,C8487,C8463,C8439,C8415,C8391,C8367,C8343,C8319,C8295)/POBLA!$B$14*100000</f>
        <v>122.09683071512272</v>
      </c>
      <c r="H8607" s="256">
        <f t="shared" si="1323"/>
        <v>0.67811536767943636</v>
      </c>
      <c r="I8607" s="297">
        <f t="shared" si="1325"/>
        <v>82.795737252879348</v>
      </c>
      <c r="J8607" s="297">
        <f t="shared" si="1326"/>
        <v>110.57142857142857</v>
      </c>
      <c r="K8607" s="297">
        <f>J8607/POBLA!$B$14*100000</f>
        <v>8.7665071403993498</v>
      </c>
      <c r="L8607" s="549">
        <f t="shared" si="1324"/>
        <v>-1.0443864229765065E-2</v>
      </c>
      <c r="M8607" s="401">
        <f>SUM(C8607,C8583,C8559,C8535,C8511,C8487,C8463)/POBLA!$B$14*100000</f>
        <v>61.36554998279545</v>
      </c>
    </row>
    <row r="8608" spans="1:13" s="360" customFormat="1" x14ac:dyDescent="0.25">
      <c r="A8608" s="367" t="s">
        <v>19</v>
      </c>
      <c r="B8608" s="2">
        <v>44251</v>
      </c>
      <c r="C8608" s="1">
        <v>261</v>
      </c>
      <c r="D8608" s="39">
        <f t="shared" si="1312"/>
        <v>60640</v>
      </c>
      <c r="E8608" s="1"/>
      <c r="F8608" s="39">
        <f t="shared" si="1327"/>
        <v>893</v>
      </c>
      <c r="G8608" s="168">
        <f>SUM(C8608,C8584,C8560,C8536,C8512,C8488,C8464,C8440,C8416,C8392,C8368,C8344,C8320,C8296)/POBLA!$B$15*100000</f>
        <v>454.47905827361205</v>
      </c>
      <c r="H8608" s="256">
        <f t="shared" si="1323"/>
        <v>0.59869073596508626</v>
      </c>
      <c r="I8608" s="297">
        <f t="shared" si="1325"/>
        <v>272.09240187854812</v>
      </c>
      <c r="J8608" s="297">
        <f t="shared" si="1326"/>
        <v>213.14285714285714</v>
      </c>
      <c r="K8608" s="297">
        <f>J8608/POBLA!$B$15*100000</f>
        <v>32.097072561972411</v>
      </c>
      <c r="L8608" s="549">
        <f t="shared" si="1324"/>
        <v>2.2280471821756187E-2</v>
      </c>
      <c r="M8608" s="401">
        <f>SUM(C8608,C8584,C8560,C8536,C8512,C8488,C8464)/POBLA!$B$15*100000</f>
        <v>224.67950793380689</v>
      </c>
    </row>
    <row r="8609" spans="1:13" s="360" customFormat="1" x14ac:dyDescent="0.25">
      <c r="A8609" s="367" t="s">
        <v>18</v>
      </c>
      <c r="B8609" s="2">
        <v>44251</v>
      </c>
      <c r="C8609" s="1">
        <v>166</v>
      </c>
      <c r="D8609" s="39">
        <f t="shared" si="1312"/>
        <v>51909</v>
      </c>
      <c r="E8609" s="1">
        <v>4</v>
      </c>
      <c r="F8609" s="39">
        <f t="shared" si="1327"/>
        <v>1170</v>
      </c>
      <c r="G8609" s="168">
        <f>SUM(C8609,C8585,C8561,C8537,C8513,C8489,C8465,C8441,C8417,C8393,C8369,C8345,C8321,C8297)/POBLA!$B$16*100000</f>
        <v>253.07312636267571</v>
      </c>
      <c r="H8609" s="256">
        <f t="shared" si="1323"/>
        <v>0.62524785194976862</v>
      </c>
      <c r="I8609" s="297">
        <f t="shared" si="1325"/>
        <v>158.23342864447534</v>
      </c>
      <c r="J8609" s="297">
        <f t="shared" si="1326"/>
        <v>137.28571428571428</v>
      </c>
      <c r="K8609" s="297">
        <f>J8609/POBLA!$B$16*100000</f>
        <v>18.363279555612458</v>
      </c>
      <c r="L8609" s="549">
        <f t="shared" si="1324"/>
        <v>-3.2223415682062218E-2</v>
      </c>
      <c r="M8609" s="401">
        <f>SUM(C8609,C8585,C8561,C8537,C8513,C8489,C8465)/POBLA!$B$16*100000</f>
        <v>128.54295688928718</v>
      </c>
    </row>
    <row r="8610" spans="1:13" s="360" customFormat="1" x14ac:dyDescent="0.25">
      <c r="A8610" s="367" t="s">
        <v>34</v>
      </c>
      <c r="B8610" s="2">
        <v>44251</v>
      </c>
      <c r="C8610" s="1">
        <v>163</v>
      </c>
      <c r="D8610" s="39">
        <f t="shared" si="1312"/>
        <v>25740</v>
      </c>
      <c r="E8610" s="1">
        <v>3</v>
      </c>
      <c r="F8610" s="39">
        <f t="shared" si="1327"/>
        <v>1088</v>
      </c>
      <c r="G8610" s="168">
        <f>SUM(C8610,C8586,C8562,C8538,C8514,C8490,C8466,C8442,C8418,C8394,C8370,C8346,C8322,C8298)/POBLA!$B$17*100000</f>
        <v>86.141714704538131</v>
      </c>
      <c r="H8610" s="256">
        <f t="shared" si="1323"/>
        <v>1.3366013071895424</v>
      </c>
      <c r="I8610" s="297">
        <f t="shared" si="1325"/>
        <v>115.13712847763429</v>
      </c>
      <c r="J8610" s="297">
        <f t="shared" si="1326"/>
        <v>115</v>
      </c>
      <c r="K8610" s="297">
        <f>J8610/POBLA!$B$17*100000</f>
        <v>8.0735918427236228</v>
      </c>
      <c r="L8610" s="549">
        <f t="shared" si="1324"/>
        <v>-0.90758293838862558</v>
      </c>
      <c r="M8610" s="401">
        <f>SUM(C8610,C8586,C8562,C8538,C8514,C8490,C8466)/POBLA!$B$17*100000</f>
        <v>56.51514289906536</v>
      </c>
    </row>
    <row r="8611" spans="1:13" s="360" customFormat="1" x14ac:dyDescent="0.25">
      <c r="A8611" s="367" t="s">
        <v>35</v>
      </c>
      <c r="B8611" s="2">
        <v>44251</v>
      </c>
      <c r="C8611" s="1">
        <v>80</v>
      </c>
      <c r="D8611" s="39">
        <f t="shared" ref="D8611:D8641" si="1328">C8611+D8587</f>
        <v>15141</v>
      </c>
      <c r="E8611" s="1"/>
      <c r="F8611" s="39">
        <f t="shared" si="1327"/>
        <v>207</v>
      </c>
      <c r="G8611" s="168">
        <f>SUM(C8611,C8587,C8563,C8539,C8515,C8491,C8467,C8443,C8419,C8395,C8371,C8347,C8323,C8299)/POBLA!$B$18*100000</f>
        <v>87.555698352698414</v>
      </c>
      <c r="H8611" s="256">
        <f t="shared" si="1323"/>
        <v>0.98275862068965514</v>
      </c>
      <c r="I8611" s="297">
        <f t="shared" si="1325"/>
        <v>86.046117346617407</v>
      </c>
      <c r="J8611" s="297">
        <f t="shared" si="1326"/>
        <v>57</v>
      </c>
      <c r="K8611" s="297">
        <f>J8611/POBLA!$B$18*100000</f>
        <v>7.2963081960582015</v>
      </c>
      <c r="L8611" s="549">
        <f t="shared" si="1324"/>
        <v>-0.39999999999999991</v>
      </c>
      <c r="M8611" s="401">
        <f>SUM(C8611,C8587,C8563,C8539,C8515,C8491,C8467)/POBLA!$B$18*100000</f>
        <v>51.074157372407413</v>
      </c>
    </row>
    <row r="8612" spans="1:13" s="360" customFormat="1" x14ac:dyDescent="0.25">
      <c r="A8612" s="367" t="s">
        <v>36</v>
      </c>
      <c r="B8612" s="2">
        <v>44251</v>
      </c>
      <c r="C8612" s="1">
        <v>32</v>
      </c>
      <c r="D8612" s="39">
        <f t="shared" si="1328"/>
        <v>20585</v>
      </c>
      <c r="E8612" s="1"/>
      <c r="F8612" s="39">
        <f t="shared" si="1327"/>
        <v>353</v>
      </c>
      <c r="G8612" s="168">
        <f>SUM(C8612,C8588,C8564,C8540,C8516,C8492,C8468,C8444,C8420,C8396,C8372,C8348,C8324,C8300)/POBLA!$B$19*100000</f>
        <v>287.41285154467192</v>
      </c>
      <c r="H8612" s="256">
        <f t="shared" si="1323"/>
        <v>5.963265306122449</v>
      </c>
      <c r="I8612" s="297">
        <f t="shared" si="1325"/>
        <v>1713.919086150064</v>
      </c>
      <c r="J8612" s="297">
        <f t="shared" si="1326"/>
        <v>51.142857142857146</v>
      </c>
      <c r="K8612" s="297">
        <f>J8612/POBLA!$B$19*100000</f>
        <v>10.060995487727835</v>
      </c>
      <c r="L8612" s="549">
        <f t="shared" si="1324"/>
        <v>0.67543064369900274</v>
      </c>
      <c r="M8612" s="401">
        <f>SUM(C8612,C8588,C8564,C8540,C8516,C8492,C8468)/POBLA!$B$19*100000</f>
        <v>70.426968414094844</v>
      </c>
    </row>
    <row r="8613" spans="1:13" s="360" customFormat="1" x14ac:dyDescent="0.25">
      <c r="A8613" s="367" t="s">
        <v>37</v>
      </c>
      <c r="B8613" s="2">
        <v>44251</v>
      </c>
      <c r="C8613" s="1">
        <v>201</v>
      </c>
      <c r="D8613" s="39">
        <f t="shared" si="1328"/>
        <v>35631</v>
      </c>
      <c r="E8613" s="1">
        <v>1</v>
      </c>
      <c r="F8613" s="39">
        <f t="shared" si="1327"/>
        <v>570</v>
      </c>
      <c r="G8613" s="168">
        <f>SUM(C8613,C8589,C8565,C8541,C8517,C8493,C8469,C8445,C8421,C8397,C8373,C8349,C8325,C8301)/POBLA!$B$20*100000</f>
        <v>397.59583043932423</v>
      </c>
      <c r="H8613" s="256">
        <f t="shared" si="1323"/>
        <v>0.66575091575091572</v>
      </c>
      <c r="I8613" s="297">
        <f t="shared" si="1325"/>
        <v>264.69978821372592</v>
      </c>
      <c r="J8613" s="297">
        <f t="shared" si="1326"/>
        <v>125.85714285714286</v>
      </c>
      <c r="K8613" s="297">
        <f>J8613/POBLA!$B$20*100000</f>
        <v>34.41559506946794</v>
      </c>
      <c r="L8613" s="549">
        <f t="shared" si="1324"/>
        <v>-0.53752181500872598</v>
      </c>
      <c r="M8613" s="401">
        <f>SUM(C8613,C8589,C8565,C8541,C8517,C8493,C8469)/POBLA!$B$20*100000</f>
        <v>240.90916548627555</v>
      </c>
    </row>
    <row r="8614" spans="1:13" s="360" customFormat="1" x14ac:dyDescent="0.25">
      <c r="A8614" s="367" t="s">
        <v>22</v>
      </c>
      <c r="B8614" s="2">
        <v>44251</v>
      </c>
      <c r="C8614" s="1">
        <v>482</v>
      </c>
      <c r="D8614" s="39">
        <f t="shared" si="1328"/>
        <v>215264</v>
      </c>
      <c r="E8614" s="1">
        <v>19</v>
      </c>
      <c r="F8614" s="39">
        <f t="shared" si="1327"/>
        <v>3887</v>
      </c>
      <c r="G8614" s="168">
        <f>SUM(C8614,C8590,C8566,C8542,C8518,C8494,C8470,C8446,C8422,C8398,C8374,C8350,C8326,C8302)/POBLA!$B$21*100000</f>
        <v>134.31670124968261</v>
      </c>
      <c r="H8614" s="256">
        <f t="shared" si="1323"/>
        <v>0.70758230299419034</v>
      </c>
      <c r="I8614" s="297">
        <f t="shared" si="1325"/>
        <v>95.040120800833066</v>
      </c>
      <c r="J8614" s="297">
        <f t="shared" si="1326"/>
        <v>385.28571428571428</v>
      </c>
      <c r="K8614" s="297">
        <f>J8614/POBLA!$B$21*100000</f>
        <v>10.894801301365231</v>
      </c>
      <c r="L8614" s="549">
        <f t="shared" si="1324"/>
        <v>-0.31368728689722358</v>
      </c>
      <c r="M8614" s="401">
        <f>SUM(C8614,C8590,C8566,C8542,C8518,C8494,C8470)/POBLA!$B$21*100000</f>
        <v>76.263609109556626</v>
      </c>
    </row>
    <row r="8615" spans="1:13" s="360" customFormat="1" x14ac:dyDescent="0.25">
      <c r="A8615" s="367" t="s">
        <v>38</v>
      </c>
      <c r="B8615" s="2">
        <v>44251</v>
      </c>
      <c r="C8615" s="1">
        <v>65</v>
      </c>
      <c r="D8615" s="39">
        <f t="shared" si="1328"/>
        <v>22340</v>
      </c>
      <c r="E8615" s="1"/>
      <c r="F8615" s="39">
        <f t="shared" si="1327"/>
        <v>265</v>
      </c>
      <c r="G8615" s="168">
        <f>SUM(C8615,C8591,C8567,C8543,C8519,C8495,C8471,C8447,C8423,C8399,C8375,C8351,C8327,C8303)/POBLA!$B$22*100000</f>
        <v>72.26726006911899</v>
      </c>
      <c r="H8615" s="256">
        <f t="shared" si="1323"/>
        <v>0.72069317023445467</v>
      </c>
      <c r="I8615" s="297">
        <f t="shared" si="1325"/>
        <v>52.082520763371178</v>
      </c>
      <c r="J8615" s="297">
        <f t="shared" si="1326"/>
        <v>54</v>
      </c>
      <c r="K8615" s="297">
        <f>J8615/POBLA!$B$22*100000</f>
        <v>5.5197058610076732</v>
      </c>
      <c r="L8615" s="549">
        <f t="shared" si="1324"/>
        <v>-0.14893617021276606</v>
      </c>
      <c r="M8615" s="401">
        <f>SUM(C8615,C8591,C8567,C8543,C8519,C8495,C8471)/POBLA!$B$22*100000</f>
        <v>38.637941027053714</v>
      </c>
    </row>
    <row r="8616" spans="1:13" s="360" customFormat="1" x14ac:dyDescent="0.25">
      <c r="A8616" s="367" t="s">
        <v>39</v>
      </c>
      <c r="B8616" s="2">
        <v>44251</v>
      </c>
      <c r="C8616" s="1">
        <v>38</v>
      </c>
      <c r="D8616" s="39">
        <f t="shared" si="1328"/>
        <v>22833</v>
      </c>
      <c r="E8616" s="1">
        <v>1</v>
      </c>
      <c r="F8616" s="39">
        <f t="shared" si="1327"/>
        <v>350</v>
      </c>
      <c r="G8616" s="168">
        <f>SUM(C8616,C8592,C8568,C8544,C8520,C8496,C8472,C8448,C8424,C8400,C8376,C8352,C8328,C8304)/POBLA!$B$23*100000</f>
        <v>291.2401741785896</v>
      </c>
      <c r="H8616" s="256">
        <f t="shared" si="1323"/>
        <v>0.77912254160363081</v>
      </c>
      <c r="I8616" s="297">
        <f t="shared" si="1325"/>
        <v>226.91178472310685</v>
      </c>
      <c r="J8616" s="297">
        <f t="shared" si="1326"/>
        <v>43.428571428571431</v>
      </c>
      <c r="K8616" s="297">
        <f>J8616/POBLA!$B$23*100000</f>
        <v>24.559504285795072</v>
      </c>
      <c r="L8616" s="549">
        <f t="shared" si="1324"/>
        <v>-0.44075829383886256</v>
      </c>
      <c r="M8616" s="401">
        <f>SUM(C8616,C8592,C8568,C8544,C8520,C8496,C8472)/POBLA!$B$23*100000</f>
        <v>171.91653000056553</v>
      </c>
    </row>
    <row r="8617" spans="1:13" s="360" customFormat="1" ht="15.75" thickBot="1" x14ac:dyDescent="0.3">
      <c r="A8617" s="369" t="s">
        <v>40</v>
      </c>
      <c r="B8617" s="266">
        <v>44251</v>
      </c>
      <c r="C8617" s="232">
        <v>219</v>
      </c>
      <c r="D8617" s="176">
        <f t="shared" si="1328"/>
        <v>79274</v>
      </c>
      <c r="E8617" s="44">
        <v>5</v>
      </c>
      <c r="F8617" s="176">
        <f t="shared" si="1327"/>
        <v>1471</v>
      </c>
      <c r="G8617" s="177">
        <f>SUM(C8617,C8593,C8569,C8545,C8521,C8497,C8473,C8449,C8425,C8401,C8377,C8353,C8329,C8305)/POBLA!$B$24*100000</f>
        <v>97.659938064126294</v>
      </c>
      <c r="H8617" s="402">
        <f t="shared" si="1323"/>
        <v>0.96165020337013363</v>
      </c>
      <c r="I8617" s="403">
        <f t="shared" si="1325"/>
        <v>93.914699300481701</v>
      </c>
      <c r="J8617" s="403">
        <f t="shared" si="1326"/>
        <v>135.85714285714286</v>
      </c>
      <c r="K8617" s="403">
        <f>J8617/POBLA!$B$24*100000</f>
        <v>8.0167976779442469</v>
      </c>
      <c r="L8617" s="550">
        <f t="shared" si="1324"/>
        <v>-0.35085227272727271</v>
      </c>
      <c r="M8617" s="405">
        <f>SUM(C8617,C8593,C8569,C8545,C8521,C8497,C8473)/POBLA!$B$24*100000</f>
        <v>56.117583745609736</v>
      </c>
    </row>
    <row r="8618" spans="1:13" s="360" customFormat="1" x14ac:dyDescent="0.25">
      <c r="A8618" s="363" t="s">
        <v>16</v>
      </c>
      <c r="B8618" s="267">
        <v>44252</v>
      </c>
      <c r="C8618" s="1">
        <v>3254</v>
      </c>
      <c r="D8618" s="174">
        <f t="shared" si="1328"/>
        <v>874028</v>
      </c>
      <c r="E8618" s="225">
        <v>32</v>
      </c>
      <c r="F8618" s="174">
        <f t="shared" ref="F8618:F8624" si="1329">E8618+F8594</f>
        <v>26170</v>
      </c>
      <c r="G8618" s="175">
        <f>SUM(C8618,C8594,C8570,C8546,C8522,C8498,C8474,C8450,C8426,C8402,C8378,C8354,C8330,C8306)/POBLA!$B$1*100000</f>
        <v>203.3733153390649</v>
      </c>
      <c r="H8618" s="300">
        <f t="shared" ref="H8618:H8641" si="1330">SUM(C8618,C8594,C8570,C8546,C8522,C8498,C8474,C8450,C8426,C8402,C8378,C8354,C8330,C8306)/SUM(C8282,C8258,C8234,C8210,C8186,C8162,C8138,C8114,C8090,C8066,C8042,C8018,C7994,C7970)</f>
        <v>0.81480973916221278</v>
      </c>
      <c r="I8618" s="301">
        <f>G8618*H8618</f>
        <v>165.71055802397791</v>
      </c>
      <c r="J8618" s="301">
        <f>AVERAGE(C8618,C8594,C8570,C8546,C8522,C8498,C8474)</f>
        <v>2816.8571428571427</v>
      </c>
      <c r="K8618" s="301">
        <f>J8618/POBLA!$B$1*100000</f>
        <v>16.058574199119331</v>
      </c>
      <c r="L8618" s="548">
        <f t="shared" ref="L8618:L8641" si="1331">1-SUM(C8618,C8594,C8570,C8546,C8522,C8498,C8474)/SUM(C8450,C8426,C8402,C8378,C8354,C8330,C8306)</f>
        <v>-0.23577337678616184</v>
      </c>
      <c r="M8618" s="400">
        <f>SUM(C8618,C8594,C8570,C8546,C8522,C8498,C8474)/POBLA!$B$1*100000</f>
        <v>112.41001939383533</v>
      </c>
    </row>
    <row r="8619" spans="1:13" s="360" customFormat="1" x14ac:dyDescent="0.25">
      <c r="A8619" s="367" t="s">
        <v>43</v>
      </c>
      <c r="B8619" s="267">
        <v>44252</v>
      </c>
      <c r="C8619" s="1">
        <v>884</v>
      </c>
      <c r="D8619" s="39">
        <f t="shared" si="1328"/>
        <v>230265</v>
      </c>
      <c r="E8619" s="1">
        <v>12</v>
      </c>
      <c r="F8619" s="39">
        <f t="shared" si="1329"/>
        <v>6484</v>
      </c>
      <c r="G8619" s="168">
        <f>SUM(C8619,C8595,C8571,C8547,C8523,C8499,C8475,C8451,C8427,C8403,C8379,C8355,C8331,C8307)/POBLA!$B$2*100000</f>
        <v>319.67268014589456</v>
      </c>
      <c r="H8619" s="256">
        <f t="shared" si="1330"/>
        <v>0.7512224938875306</v>
      </c>
      <c r="I8619" s="297">
        <f t="shared" ref="I8619:I8641" si="1332">G8619*H8619</f>
        <v>240.1453080069098</v>
      </c>
      <c r="J8619" s="297">
        <f t="shared" ref="J8619:J8641" si="1333">AVERAGE(C8619,C8595,C8571,C8547,C8523,C8499,C8475)</f>
        <v>762</v>
      </c>
      <c r="K8619" s="297">
        <f>J8619/POBLA!$B$2*100000</f>
        <v>24.77528298120135</v>
      </c>
      <c r="L8619" s="549">
        <f t="shared" si="1331"/>
        <v>-0.18586038239217428</v>
      </c>
      <c r="M8619" s="401">
        <f>SUM(C8619,C8595,C8571,C8547,C8523,C8499,C8475)/POBLA!$B$2*100000</f>
        <v>173.42698086840943</v>
      </c>
    </row>
    <row r="8620" spans="1:13" s="360" customFormat="1" x14ac:dyDescent="0.25">
      <c r="A8620" s="367" t="s">
        <v>28</v>
      </c>
      <c r="B8620" s="267">
        <v>44252</v>
      </c>
      <c r="C8620" s="1">
        <v>127</v>
      </c>
      <c r="D8620" s="39">
        <f t="shared" si="1328"/>
        <v>7639</v>
      </c>
      <c r="E8620" s="1"/>
      <c r="F8620" s="39">
        <f t="shared" si="1329"/>
        <v>17</v>
      </c>
      <c r="G8620" s="168">
        <f>SUM(C8620,C8596,C8572,C8548,C8524,C8500,C8476,C8452,C8428,C8404,C8380,C8356,C8332,C8308)/POBLA!$B$3*100000</f>
        <v>259.48516986890945</v>
      </c>
      <c r="H8620" s="256">
        <f t="shared" si="1330"/>
        <v>0.70874424720578566</v>
      </c>
      <c r="I8620" s="297">
        <f t="shared" si="1332"/>
        <v>183.90862137980565</v>
      </c>
      <c r="J8620" s="297">
        <f t="shared" si="1333"/>
        <v>86.857142857142861</v>
      </c>
      <c r="K8620" s="297">
        <f>J8620/POBLA!$B$3*100000</f>
        <v>20.907365926357929</v>
      </c>
      <c r="L8620" s="549">
        <f t="shared" si="1331"/>
        <v>-0.29361702127659584</v>
      </c>
      <c r="M8620" s="401">
        <f>SUM(C8620,C8596,C8572,C8548,C8524,C8500,C8476)/POBLA!$B$3*100000</f>
        <v>146.35156148450551</v>
      </c>
    </row>
    <row r="8621" spans="1:13" s="360" customFormat="1" x14ac:dyDescent="0.25">
      <c r="A8621" s="367" t="s">
        <v>15</v>
      </c>
      <c r="B8621" s="267">
        <v>44252</v>
      </c>
      <c r="C8621" s="1">
        <v>174</v>
      </c>
      <c r="D8621" s="39">
        <f t="shared" si="1328"/>
        <v>33851</v>
      </c>
      <c r="E8621" s="1">
        <v>1</v>
      </c>
      <c r="F8621" s="39">
        <f t="shared" si="1329"/>
        <v>862</v>
      </c>
      <c r="G8621" s="168">
        <f>SUM(C8621,C8597,C8573,C8549,C8525,C8501,C8477,C8453,C8429,C8405,C8381,C8357,C8333,C8309)/POBLA!$B$4*100000</f>
        <v>139.38919472230501</v>
      </c>
      <c r="H8621" s="256">
        <f t="shared" si="1330"/>
        <v>0.92151481888035125</v>
      </c>
      <c r="I8621" s="297">
        <f t="shared" si="1332"/>
        <v>128.44920852840292</v>
      </c>
      <c r="J8621" s="297">
        <f t="shared" si="1333"/>
        <v>152.42857142857142</v>
      </c>
      <c r="K8621" s="297">
        <f>J8621/POBLA!$B$4*100000</f>
        <v>12.654494237105371</v>
      </c>
      <c r="L8621" s="549">
        <f t="shared" si="1331"/>
        <v>-0.74346405228758172</v>
      </c>
      <c r="M8621" s="401">
        <f>SUM(C8621,C8597,C8573,C8549,C8525,C8501,C8477)/POBLA!$B$4*100000</f>
        <v>88.581459659737604</v>
      </c>
    </row>
    <row r="8622" spans="1:13" s="360" customFormat="1" x14ac:dyDescent="0.25">
      <c r="A8622" s="367" t="s">
        <v>29</v>
      </c>
      <c r="B8622" s="267">
        <v>44252</v>
      </c>
      <c r="C8622" s="1">
        <v>142</v>
      </c>
      <c r="D8622" s="39">
        <f t="shared" si="1328"/>
        <v>46734</v>
      </c>
      <c r="E8622" s="1">
        <v>8</v>
      </c>
      <c r="F8622" s="39">
        <f t="shared" si="1329"/>
        <v>768</v>
      </c>
      <c r="G8622" s="168">
        <f>SUM(C8622,C8598,C8574,C8550,C8526,C8502,C8478,C8454,C8430,C8406,C8382,C8358,C8334,C8310)/POBLA!$B$5*100000</f>
        <v>311.63468466576415</v>
      </c>
      <c r="H8622" s="256">
        <f t="shared" si="1330"/>
        <v>0.60018668326073432</v>
      </c>
      <c r="I8622" s="297">
        <f t="shared" si="1332"/>
        <v>187.0389877785498</v>
      </c>
      <c r="J8622" s="297">
        <f t="shared" si="1333"/>
        <v>130.28571428571428</v>
      </c>
      <c r="K8622" s="297">
        <f>J8622/POBLA!$B$5*100000</f>
        <v>21.047976924770559</v>
      </c>
      <c r="L8622" s="549">
        <f t="shared" si="1331"/>
        <v>0.10324483775811211</v>
      </c>
      <c r="M8622" s="401">
        <f>SUM(C8622,C8598,C8574,C8550,C8526,C8502,C8478)/POBLA!$B$5*100000</f>
        <v>147.33583847339392</v>
      </c>
    </row>
    <row r="8623" spans="1:13" s="360" customFormat="1" x14ac:dyDescent="0.25">
      <c r="A8623" s="367" t="s">
        <v>30</v>
      </c>
      <c r="B8623" s="267">
        <v>44252</v>
      </c>
      <c r="C8623" s="1">
        <v>95</v>
      </c>
      <c r="D8623" s="39">
        <f t="shared" si="1328"/>
        <v>21403</v>
      </c>
      <c r="E8623" s="1"/>
      <c r="F8623" s="39">
        <f t="shared" si="1329"/>
        <v>296</v>
      </c>
      <c r="G8623" s="168">
        <f>SUM(C8623,C8599,C8575,C8551,C8527,C8503,C8479,C8455,C8431,C8407,C8383,C8359,C8335,C8311)/POBLA!$B$6*100000</f>
        <v>200.83850746028955</v>
      </c>
      <c r="H8623" s="256">
        <f t="shared" si="1330"/>
        <v>1.0278538812785387</v>
      </c>
      <c r="I8623" s="297">
        <f t="shared" si="1332"/>
        <v>206.43263940324738</v>
      </c>
      <c r="J8623" s="297">
        <f t="shared" si="1333"/>
        <v>119.28571428571429</v>
      </c>
      <c r="K8623" s="297">
        <f>J8623/POBLA!$B$6*100000</f>
        <v>10.642898631042824</v>
      </c>
      <c r="L8623" s="549">
        <f t="shared" si="1331"/>
        <v>0.41031073446327682</v>
      </c>
      <c r="M8623" s="401">
        <f>SUM(C8623,C8599,C8575,C8551,C8527,C8503,C8479)/POBLA!$B$6*100000</f>
        <v>74.500290417299766</v>
      </c>
    </row>
    <row r="8624" spans="1:13" s="360" customFormat="1" x14ac:dyDescent="0.25">
      <c r="A8624" s="367" t="s">
        <v>20</v>
      </c>
      <c r="B8624" s="267">
        <v>44252</v>
      </c>
      <c r="C8624" s="1">
        <v>1076</v>
      </c>
      <c r="D8624" s="39">
        <f t="shared" si="1328"/>
        <v>158595</v>
      </c>
      <c r="E8624" s="1">
        <v>10</v>
      </c>
      <c r="F8624" s="39">
        <f t="shared" si="1329"/>
        <v>2824</v>
      </c>
      <c r="G8624" s="168">
        <f>SUM(C8624,C8600,C8576,C8552,C8528,C8504,C8480,C8456,C8432,C8408,C8384,C8360,C8336,C8312)/POBLA!$B$7*100000</f>
        <v>213.56486590700581</v>
      </c>
      <c r="H8624" s="256">
        <f t="shared" si="1330"/>
        <v>1.1963354684939669</v>
      </c>
      <c r="I8624" s="297">
        <f t="shared" si="1332"/>
        <v>255.49522390870902</v>
      </c>
      <c r="J8624" s="297">
        <f t="shared" si="1333"/>
        <v>690.85714285714289</v>
      </c>
      <c r="K8624" s="297">
        <f>J8624/POBLA!$B$7*100000</f>
        <v>18.371661446293473</v>
      </c>
      <c r="L8624" s="549">
        <f t="shared" si="1331"/>
        <v>-0.51361502347417831</v>
      </c>
      <c r="M8624" s="401">
        <f>SUM(C8624,C8600,C8576,C8552,C8528,C8504,C8480)/POBLA!$B$7*100000</f>
        <v>128.60163012405431</v>
      </c>
    </row>
    <row r="8625" spans="1:13" x14ac:dyDescent="0.25">
      <c r="A8625" s="367" t="s">
        <v>31</v>
      </c>
      <c r="B8625" s="267">
        <v>44252</v>
      </c>
      <c r="C8625" s="1">
        <v>160</v>
      </c>
      <c r="D8625" s="39">
        <f t="shared" si="1328"/>
        <v>44911</v>
      </c>
      <c r="E8625" s="1">
        <v>6</v>
      </c>
      <c r="F8625" s="39">
        <f t="shared" ref="F8625:F8641" si="1334">E8625+F8601</f>
        <v>834</v>
      </c>
      <c r="G8625" s="168">
        <f>SUM(C8625,C8601,C8577,C8553,C8529,C8505,C8481,C8457,C8433,C8409,C8385,C8361,C8337,C8313)/POBLA!$B$8*100000</f>
        <v>126.91554812869914</v>
      </c>
      <c r="H8625" s="256">
        <f t="shared" si="1330"/>
        <v>0.62023977433004229</v>
      </c>
      <c r="I8625" s="297">
        <f t="shared" si="1332"/>
        <v>78.718070930317978</v>
      </c>
      <c r="J8625" s="297">
        <f t="shared" si="1333"/>
        <v>135.85714285714286</v>
      </c>
      <c r="K8625" s="297">
        <f>J8625/POBLA!$B$8*100000</f>
        <v>9.8023784837483063</v>
      </c>
      <c r="L8625" s="549">
        <f t="shared" si="1331"/>
        <v>-0.17698019801980203</v>
      </c>
      <c r="M8625" s="401">
        <f>SUM(C8625,C8601,C8577,C8553,C8529,C8505,C8481)/POBLA!$B$8*100000</f>
        <v>68.616649386238137</v>
      </c>
    </row>
    <row r="8626" spans="1:13" s="360" customFormat="1" x14ac:dyDescent="0.25">
      <c r="A8626" s="367" t="s">
        <v>41</v>
      </c>
      <c r="B8626" s="267">
        <v>44252</v>
      </c>
      <c r="C8626" s="1">
        <v>10</v>
      </c>
      <c r="D8626" s="39">
        <f t="shared" si="1328"/>
        <v>1185</v>
      </c>
      <c r="E8626" s="1"/>
      <c r="F8626" s="39">
        <f t="shared" si="1334"/>
        <v>19</v>
      </c>
      <c r="G8626" s="168">
        <f>SUM(C8626,C8602,C8578,C8554,C8530,C8506,C8482,C8458,C8434,C8410,C8386,C8362,C8338,C8314)/POBLA!$B$9*100000</f>
        <v>45.10957661440235</v>
      </c>
      <c r="H8626" s="256">
        <f t="shared" si="1330"/>
        <v>3.4556962025316458</v>
      </c>
      <c r="I8626" s="297">
        <f t="shared" si="1332"/>
        <v>155.88499260420053</v>
      </c>
      <c r="J8626" s="297">
        <f t="shared" si="1333"/>
        <v>20.714285714285715</v>
      </c>
      <c r="K8626" s="297">
        <f>J8626/POBLA!$B$9*100000</f>
        <v>3.4227569906270752</v>
      </c>
      <c r="L8626" s="549">
        <f t="shared" si="1331"/>
        <v>-0.1328125</v>
      </c>
      <c r="M8626" s="401">
        <f>SUM(C8626,C8602,C8578,C8554,C8530,C8506,C8482)/POBLA!$B$9*100000</f>
        <v>23.959298934389526</v>
      </c>
    </row>
    <row r="8627" spans="1:13" s="360" customFormat="1" x14ac:dyDescent="0.25">
      <c r="A8627" s="367" t="s">
        <v>32</v>
      </c>
      <c r="B8627" s="267">
        <v>44252</v>
      </c>
      <c r="C8627" s="1">
        <v>106</v>
      </c>
      <c r="D8627" s="39">
        <f t="shared" si="1328"/>
        <v>20491</v>
      </c>
      <c r="E8627" s="1"/>
      <c r="F8627" s="39">
        <f t="shared" si="1334"/>
        <v>904</v>
      </c>
      <c r="G8627" s="168">
        <f>SUM(C8627,C8603,C8579,C8555,C8531,C8507,C8483,C8459,C8435,C8411,C8387,C8363,C8339,C8315)/POBLA!$B$10*100000</f>
        <v>107.79873936444147</v>
      </c>
      <c r="H8627" s="256">
        <f t="shared" si="1330"/>
        <v>2.0072463768115942</v>
      </c>
      <c r="I8627" s="297">
        <f t="shared" si="1332"/>
        <v>216.37862901413251</v>
      </c>
      <c r="J8627" s="297">
        <f t="shared" si="1333"/>
        <v>81.142857142857139</v>
      </c>
      <c r="K8627" s="297">
        <f>J8627/POBLA!$B$10*100000</f>
        <v>10.525990022176853</v>
      </c>
      <c r="L8627" s="549">
        <f t="shared" si="1331"/>
        <v>-1.1596958174904941</v>
      </c>
      <c r="M8627" s="401">
        <f>SUM(C8627,C8603,C8579,C8555,C8531,C8507,C8483)/POBLA!$B$10*100000</f>
        <v>73.681930155237964</v>
      </c>
    </row>
    <row r="8628" spans="1:13" s="360" customFormat="1" x14ac:dyDescent="0.25">
      <c r="A8628" s="367" t="s">
        <v>33</v>
      </c>
      <c r="B8628" s="267">
        <v>44252</v>
      </c>
      <c r="C8628" s="1">
        <v>222</v>
      </c>
      <c r="D8628" s="39">
        <f t="shared" si="1328"/>
        <v>18537</v>
      </c>
      <c r="E8628" s="1">
        <v>1</v>
      </c>
      <c r="F8628" s="39">
        <f t="shared" si="1334"/>
        <v>285</v>
      </c>
      <c r="G8628" s="168">
        <f>SUM(C8628,C8604,C8580,C8556,C8532,C8508,C8484,C8460,C8436,C8412,C8388,C8364,C8340,C8316)/POBLA!$B$11*100000</f>
        <v>296.29381633131339</v>
      </c>
      <c r="H8628" s="256">
        <f t="shared" si="1330"/>
        <v>0.85852869846402591</v>
      </c>
      <c r="I8628" s="297">
        <f t="shared" si="1332"/>
        <v>254.37674449786164</v>
      </c>
      <c r="J8628" s="297">
        <f t="shared" si="1333"/>
        <v>85.142857142857139</v>
      </c>
      <c r="K8628" s="297">
        <f>J8628/POBLA!$B$11*100000</f>
        <v>23.754521729010328</v>
      </c>
      <c r="L8628" s="549">
        <f t="shared" si="1331"/>
        <v>-0.27896995708154515</v>
      </c>
      <c r="M8628" s="401">
        <f>SUM(C8628,C8604,C8580,C8556,C8532,C8508,C8484)/POBLA!$B$11*100000</f>
        <v>166.2816521030723</v>
      </c>
    </row>
    <row r="8629" spans="1:13" s="360" customFormat="1" x14ac:dyDescent="0.25">
      <c r="A8629" s="367" t="s">
        <v>21</v>
      </c>
      <c r="B8629" s="267">
        <v>44252</v>
      </c>
      <c r="C8629" s="1">
        <v>23</v>
      </c>
      <c r="D8629" s="39">
        <f t="shared" si="1328"/>
        <v>10148</v>
      </c>
      <c r="E8629" s="1"/>
      <c r="F8629" s="39">
        <f t="shared" si="1334"/>
        <v>435</v>
      </c>
      <c r="G8629" s="168">
        <f>SUM(C8629,C8605,C8581,C8557,C8533,C8509,C8485,C8461,C8437,C8413,C8389,C8365,C8341,C8317)/POBLA!$B$12*100000</f>
        <v>99.865067809143369</v>
      </c>
      <c r="H8629" s="256">
        <f t="shared" si="1330"/>
        <v>1.5291828793774318</v>
      </c>
      <c r="I8629" s="297">
        <f t="shared" si="1332"/>
        <v>152.71195194160833</v>
      </c>
      <c r="J8629" s="297">
        <f t="shared" si="1333"/>
        <v>29</v>
      </c>
      <c r="K8629" s="297">
        <f>J8629/POBLA!$B$12*100000</f>
        <v>7.3691780317179587</v>
      </c>
      <c r="L8629" s="549">
        <f t="shared" si="1331"/>
        <v>-6.8421052631578938E-2</v>
      </c>
      <c r="M8629" s="401">
        <f>SUM(C8629,C8605,C8581,C8557,C8533,C8509,C8485)/POBLA!$B$12*100000</f>
        <v>51.584246222025719</v>
      </c>
    </row>
    <row r="8630" spans="1:13" s="360" customFormat="1" x14ac:dyDescent="0.25">
      <c r="A8630" s="367" t="s">
        <v>17</v>
      </c>
      <c r="B8630" s="267">
        <v>44252</v>
      </c>
      <c r="C8630" s="1">
        <v>220</v>
      </c>
      <c r="D8630" s="39">
        <f t="shared" si="1328"/>
        <v>66927</v>
      </c>
      <c r="E8630" s="1">
        <v>11</v>
      </c>
      <c r="F8630" s="39">
        <f t="shared" si="1334"/>
        <v>1446</v>
      </c>
      <c r="G8630" s="168">
        <f>SUM(C8630,C8606,C8582,C8558,C8534,C8510,C8486,C8462,C8438,C8414,C8390,C8366,C8342,C8318)/POBLA!$B$13*100000</f>
        <v>77.976705464097051</v>
      </c>
      <c r="H8630" s="256">
        <f t="shared" si="1330"/>
        <v>0.86078757626178592</v>
      </c>
      <c r="I8630" s="297">
        <f t="shared" si="1332"/>
        <v>67.121379301319266</v>
      </c>
      <c r="J8630" s="297">
        <f t="shared" si="1333"/>
        <v>128.42857142857142</v>
      </c>
      <c r="K8630" s="297">
        <f>J8630/POBLA!$B$13*100000</f>
        <v>6.4526010872812263</v>
      </c>
      <c r="L8630" s="549">
        <f t="shared" si="1331"/>
        <v>-0.3767228177641655</v>
      </c>
      <c r="M8630" s="401">
        <f>SUM(C8630,C8606,C8582,C8558,C8534,C8510,C8486)/POBLA!$B$13*100000</f>
        <v>45.168207610968587</v>
      </c>
    </row>
    <row r="8631" spans="1:13" s="360" customFormat="1" x14ac:dyDescent="0.25">
      <c r="A8631" s="367" t="s">
        <v>23</v>
      </c>
      <c r="B8631" s="267">
        <v>44252</v>
      </c>
      <c r="C8631" s="1">
        <v>127</v>
      </c>
      <c r="D8631" s="39">
        <f t="shared" si="1328"/>
        <v>7960</v>
      </c>
      <c r="E8631" s="1">
        <v>4</v>
      </c>
      <c r="F8631" s="39">
        <f t="shared" si="1334"/>
        <v>138</v>
      </c>
      <c r="G8631" s="168">
        <f>SUM(C8631,C8607,C8583,C8559,C8535,C8511,C8487,C8463,C8439,C8415,C8391,C8367,C8343,C8319)/POBLA!$B$14*100000</f>
        <v>122.49324899666534</v>
      </c>
      <c r="H8631" s="256">
        <f t="shared" si="1330"/>
        <v>0.68272205037560763</v>
      </c>
      <c r="I8631" s="297">
        <f t="shared" si="1332"/>
        <v>83.628842112173203</v>
      </c>
      <c r="J8631" s="297">
        <f t="shared" si="1333"/>
        <v>114.14285714285714</v>
      </c>
      <c r="K8631" s="297">
        <f>J8631/POBLA!$B$14*100000</f>
        <v>9.0496630557869242</v>
      </c>
      <c r="L8631" s="549">
        <f t="shared" si="1331"/>
        <v>-7.1045576407506639E-2</v>
      </c>
      <c r="M8631" s="401">
        <f>SUM(C8631,C8607,C8583,C8559,C8535,C8511,C8487)/POBLA!$B$14*100000</f>
        <v>63.347641390508478</v>
      </c>
    </row>
    <row r="8632" spans="1:13" s="360" customFormat="1" x14ac:dyDescent="0.25">
      <c r="A8632" s="367" t="s">
        <v>19</v>
      </c>
      <c r="B8632" s="267">
        <v>44252</v>
      </c>
      <c r="C8632" s="1">
        <v>201</v>
      </c>
      <c r="D8632" s="39">
        <f t="shared" si="1328"/>
        <v>60841</v>
      </c>
      <c r="E8632" s="1">
        <v>1</v>
      </c>
      <c r="F8632" s="39">
        <f t="shared" si="1334"/>
        <v>894</v>
      </c>
      <c r="G8632" s="168">
        <f>SUM(C8632,C8608,C8584,C8560,C8536,C8512,C8488,C8464,C8440,C8416,C8392,C8368,C8344,C8320)/POBLA!$B$15*100000</f>
        <v>437.16126778273554</v>
      </c>
      <c r="H8632" s="256">
        <f t="shared" si="1330"/>
        <v>0.59317531671434409</v>
      </c>
      <c r="I8632" s="297">
        <f t="shared" si="1332"/>
        <v>259.31327347226835</v>
      </c>
      <c r="J8632" s="297">
        <f t="shared" si="1333"/>
        <v>199.85714285714286</v>
      </c>
      <c r="K8632" s="297">
        <f>J8632/POBLA!$B$15*100000</f>
        <v>30.096383722653755</v>
      </c>
      <c r="L8632" s="549">
        <f t="shared" si="1331"/>
        <v>6.981382978723405E-2</v>
      </c>
      <c r="M8632" s="401">
        <f>SUM(C8632,C8608,C8584,C8560,C8536,C8512,C8488)/POBLA!$B$15*100000</f>
        <v>210.6746860585763</v>
      </c>
    </row>
    <row r="8633" spans="1:13" s="360" customFormat="1" x14ac:dyDescent="0.25">
      <c r="A8633" s="367" t="s">
        <v>18</v>
      </c>
      <c r="B8633" s="267">
        <v>44252</v>
      </c>
      <c r="C8633" s="1">
        <v>130</v>
      </c>
      <c r="D8633" s="39">
        <f t="shared" si="1328"/>
        <v>52039</v>
      </c>
      <c r="E8633" s="1">
        <v>5</v>
      </c>
      <c r="F8633" s="39">
        <f t="shared" si="1334"/>
        <v>1175</v>
      </c>
      <c r="G8633" s="168">
        <f>SUM(C8633,C8609,C8585,C8561,C8537,C8513,C8489,C8465,C8441,C8417,C8393,C8369,C8345,C8321)/POBLA!$B$16*100000</f>
        <v>240.63348537338987</v>
      </c>
      <c r="H8633" s="256">
        <f t="shared" si="1330"/>
        <v>0.6123213070115725</v>
      </c>
      <c r="I8633" s="297">
        <f t="shared" si="1332"/>
        <v>147.34501027458421</v>
      </c>
      <c r="J8633" s="297">
        <f t="shared" si="1333"/>
        <v>124.28571428571429</v>
      </c>
      <c r="K8633" s="297">
        <f>J8633/POBLA!$B$16*100000</f>
        <v>16.624405008723034</v>
      </c>
      <c r="L8633" s="549">
        <f t="shared" si="1331"/>
        <v>6.3509149623250827E-2</v>
      </c>
      <c r="M8633" s="401">
        <f>SUM(C8633,C8609,C8585,C8561,C8537,C8513,C8489)/POBLA!$B$16*100000</f>
        <v>116.37083506106124</v>
      </c>
    </row>
    <row r="8634" spans="1:13" s="360" customFormat="1" x14ac:dyDescent="0.25">
      <c r="A8634" s="367" t="s">
        <v>34</v>
      </c>
      <c r="B8634" s="267">
        <v>44252</v>
      </c>
      <c r="C8634" s="1">
        <v>139</v>
      </c>
      <c r="D8634" s="39">
        <f t="shared" si="1328"/>
        <v>25879</v>
      </c>
      <c r="E8634" s="1">
        <v>4</v>
      </c>
      <c r="F8634" s="39">
        <f t="shared" si="1334"/>
        <v>1092</v>
      </c>
      <c r="G8634" s="168">
        <f>SUM(C8634,C8610,C8586,C8562,C8538,C8514,C8490,C8466,C8442,C8418,C8394,C8370,C8346,C8322)/POBLA!$B$17*100000</f>
        <v>89.160536002252186</v>
      </c>
      <c r="H8634" s="256">
        <f t="shared" si="1330"/>
        <v>1.3670613562970937</v>
      </c>
      <c r="I8634" s="297">
        <f t="shared" si="1332"/>
        <v>121.88792327541472</v>
      </c>
      <c r="J8634" s="297">
        <f t="shared" si="1333"/>
        <v>122.14285714285714</v>
      </c>
      <c r="K8634" s="297">
        <f>J8634/POBLA!$B$17*100000</f>
        <v>8.5750571745698103</v>
      </c>
      <c r="L8634" s="549">
        <f t="shared" si="1331"/>
        <v>-1.0602409638554215</v>
      </c>
      <c r="M8634" s="401">
        <f>SUM(C8634,C8610,C8586,C8562,C8538,C8514,C8490)/POBLA!$B$17*100000</f>
        <v>60.025400221988676</v>
      </c>
    </row>
    <row r="8635" spans="1:13" s="360" customFormat="1" x14ac:dyDescent="0.25">
      <c r="A8635" s="367" t="s">
        <v>35</v>
      </c>
      <c r="B8635" s="267">
        <v>44252</v>
      </c>
      <c r="C8635" s="1">
        <v>51</v>
      </c>
      <c r="D8635" s="39">
        <f t="shared" si="1328"/>
        <v>15192</v>
      </c>
      <c r="E8635" s="1"/>
      <c r="F8635" s="39">
        <f t="shared" si="1334"/>
        <v>207</v>
      </c>
      <c r="G8635" s="168">
        <f>SUM(C8635,C8611,C8587,C8563,C8539,C8515,C8491,C8467,C8443,C8419,C8395,C8371,C8347,C8323)/POBLA!$B$18*100000</f>
        <v>83.843541551195131</v>
      </c>
      <c r="H8635" s="256">
        <f t="shared" si="1330"/>
        <v>0.9330484330484331</v>
      </c>
      <c r="I8635" s="297">
        <f t="shared" si="1332"/>
        <v>78.230085065573803</v>
      </c>
      <c r="J8635" s="297">
        <f t="shared" si="1333"/>
        <v>53</v>
      </c>
      <c r="K8635" s="297">
        <f>J8635/POBLA!$B$18*100000</f>
        <v>6.7842865682646432</v>
      </c>
      <c r="L8635" s="549">
        <f t="shared" si="1331"/>
        <v>-0.30633802816901401</v>
      </c>
      <c r="M8635" s="401">
        <f>SUM(C8635,C8611,C8587,C8563,C8539,C8515,C8491)/POBLA!$B$18*100000</f>
        <v>47.490005977852505</v>
      </c>
    </row>
    <row r="8636" spans="1:13" s="360" customFormat="1" x14ac:dyDescent="0.25">
      <c r="A8636" s="367" t="s">
        <v>36</v>
      </c>
      <c r="B8636" s="267">
        <v>44252</v>
      </c>
      <c r="C8636" s="1">
        <v>168</v>
      </c>
      <c r="D8636" s="39">
        <f t="shared" si="1328"/>
        <v>20753</v>
      </c>
      <c r="E8636" s="1"/>
      <c r="F8636" s="39">
        <f t="shared" si="1334"/>
        <v>353</v>
      </c>
      <c r="G8636" s="168">
        <f>SUM(C8636,C8612,C8588,C8564,C8540,C8516,C8492,C8468,C8444,C8420,C8396,C8372,C8348,C8324)/POBLA!$B$19*100000</f>
        <v>316.33118773705166</v>
      </c>
      <c r="H8636" s="256">
        <f t="shared" si="1330"/>
        <v>8.1212121212121211</v>
      </c>
      <c r="I8636" s="297">
        <f t="shared" si="1332"/>
        <v>2568.9926761675711</v>
      </c>
      <c r="J8636" s="297">
        <f t="shared" si="1333"/>
        <v>72.714285714285708</v>
      </c>
      <c r="K8636" s="297">
        <f>J8636/POBLA!$B$19*100000</f>
        <v>14.304599729758287</v>
      </c>
      <c r="L8636" s="549">
        <f t="shared" si="1331"/>
        <v>0.53685168334849864</v>
      </c>
      <c r="M8636" s="401">
        <f>SUM(C8636,C8612,C8588,C8564,C8540,C8516,C8492)/POBLA!$B$19*100000</f>
        <v>100.13219810830802</v>
      </c>
    </row>
    <row r="8637" spans="1:13" s="360" customFormat="1" x14ac:dyDescent="0.25">
      <c r="A8637" s="367" t="s">
        <v>37</v>
      </c>
      <c r="B8637" s="267">
        <v>44252</v>
      </c>
      <c r="C8637" s="1">
        <v>136</v>
      </c>
      <c r="D8637" s="39">
        <f t="shared" si="1328"/>
        <v>35767</v>
      </c>
      <c r="E8637" s="1">
        <v>1</v>
      </c>
      <c r="F8637" s="39">
        <f t="shared" si="1334"/>
        <v>571</v>
      </c>
      <c r="G8637" s="168">
        <f>SUM(C8637,C8613,C8589,C8565,C8541,C8517,C8493,C8469,C8445,C8421,C8397,C8373,C8349,C8325)/POBLA!$B$20*100000</f>
        <v>403.61172333455477</v>
      </c>
      <c r="H8637" s="256">
        <f t="shared" si="1330"/>
        <v>0.68619246861924688</v>
      </c>
      <c r="I8637" s="297">
        <f t="shared" si="1332"/>
        <v>276.95532479860663</v>
      </c>
      <c r="J8637" s="297">
        <f t="shared" si="1333"/>
        <v>129</v>
      </c>
      <c r="K8637" s="297">
        <f>J8637/POBLA!$B$20*100000</f>
        <v>35.275008340215152</v>
      </c>
      <c r="L8637" s="549">
        <f t="shared" si="1331"/>
        <v>-0.5759162303664922</v>
      </c>
      <c r="M8637" s="401">
        <f>SUM(C8637,C8613,C8589,C8565,C8541,C8517,C8493)/POBLA!$B$20*100000</f>
        <v>246.92505838150606</v>
      </c>
    </row>
    <row r="8638" spans="1:13" s="360" customFormat="1" x14ac:dyDescent="0.25">
      <c r="A8638" s="367" t="s">
        <v>22</v>
      </c>
      <c r="B8638" s="267">
        <v>44252</v>
      </c>
      <c r="C8638" s="1">
        <v>438</v>
      </c>
      <c r="D8638" s="39">
        <f t="shared" si="1328"/>
        <v>215702</v>
      </c>
      <c r="E8638" s="1">
        <v>47</v>
      </c>
      <c r="F8638" s="39">
        <f t="shared" si="1334"/>
        <v>3934</v>
      </c>
      <c r="G8638" s="168">
        <f>SUM(C8638,C8614,C8590,C8566,C8542,C8518,C8494,C8470,C8446,C8422,C8398,C8374,C8350,C8326)/POBLA!$B$21*100000</f>
        <v>133.80771164494695</v>
      </c>
      <c r="H8638" s="256">
        <f t="shared" si="1330"/>
        <v>0.72721684339941606</v>
      </c>
      <c r="I8638" s="297">
        <f t="shared" si="1332"/>
        <v>97.307221684937602</v>
      </c>
      <c r="J8638" s="297">
        <f t="shared" si="1333"/>
        <v>390.42857142857144</v>
      </c>
      <c r="K8638" s="297">
        <f>J8638/POBLA!$B$21*100000</f>
        <v>11.04022690271827</v>
      </c>
      <c r="L8638" s="549">
        <f t="shared" si="1331"/>
        <v>-0.36718359179589788</v>
      </c>
      <c r="M8638" s="401">
        <f>SUM(C8638,C8614,C8590,C8566,C8542,C8518,C8494)/POBLA!$B$21*100000</f>
        <v>77.281588319027904</v>
      </c>
    </row>
    <row r="8639" spans="1:13" s="360" customFormat="1" x14ac:dyDescent="0.25">
      <c r="A8639" s="367" t="s">
        <v>38</v>
      </c>
      <c r="B8639" s="267">
        <v>44252</v>
      </c>
      <c r="C8639" s="1">
        <v>78</v>
      </c>
      <c r="D8639" s="39">
        <f t="shared" si="1328"/>
        <v>22418</v>
      </c>
      <c r="E8639" s="1"/>
      <c r="F8639" s="39">
        <f t="shared" si="1334"/>
        <v>265</v>
      </c>
      <c r="G8639" s="168">
        <f>SUM(C8639,C8615,C8591,C8567,C8543,C8519,C8495,C8471,C8447,C8423,C8399,C8375,C8351,C8327)/POBLA!$B$22*100000</f>
        <v>71.142875541876677</v>
      </c>
      <c r="H8639" s="256">
        <f t="shared" si="1330"/>
        <v>0.69669669669669665</v>
      </c>
      <c r="I8639" s="297">
        <f t="shared" si="1332"/>
        <v>49.565006383529692</v>
      </c>
      <c r="J8639" s="297">
        <f t="shared" si="1333"/>
        <v>55.142857142857146</v>
      </c>
      <c r="K8639" s="297">
        <f>J8639/POBLA!$B$22*100000</f>
        <v>5.636525032669212</v>
      </c>
      <c r="L8639" s="549">
        <f t="shared" si="1331"/>
        <v>-0.24516129032258061</v>
      </c>
      <c r="M8639" s="401">
        <f>SUM(C8639,C8615,C8591,C8567,C8543,C8519,C8495)/POBLA!$B$22*100000</f>
        <v>39.455675228684484</v>
      </c>
    </row>
    <row r="8640" spans="1:13" s="360" customFormat="1" x14ac:dyDescent="0.25">
      <c r="A8640" s="367" t="s">
        <v>39</v>
      </c>
      <c r="B8640" s="267">
        <v>44252</v>
      </c>
      <c r="C8640" s="1">
        <v>34</v>
      </c>
      <c r="D8640" s="39">
        <f t="shared" si="1328"/>
        <v>22867</v>
      </c>
      <c r="E8640" s="1"/>
      <c r="F8640" s="39">
        <f t="shared" si="1334"/>
        <v>350</v>
      </c>
      <c r="G8640" s="168">
        <f>SUM(C8640,C8616,C8592,C8568,C8544,C8520,C8496,C8472,C8448,C8424,C8400,C8376,C8352,C8328)/POBLA!$B$23*100000</f>
        <v>283.32296556014251</v>
      </c>
      <c r="H8640" s="256">
        <f t="shared" si="1330"/>
        <v>0.7455357142857143</v>
      </c>
      <c r="I8640" s="297">
        <f t="shared" si="1332"/>
        <v>211.22738950242768</v>
      </c>
      <c r="J8640" s="297">
        <f t="shared" si="1333"/>
        <v>40.428571428571431</v>
      </c>
      <c r="K8640" s="297">
        <f>J8640/POBLA!$B$23*100000</f>
        <v>22.862959581842127</v>
      </c>
      <c r="L8640" s="549">
        <f t="shared" si="1331"/>
        <v>-0.298165137614679</v>
      </c>
      <c r="M8640" s="401">
        <f>SUM(C8640,C8616,C8592,C8568,C8544,C8520,C8496)/POBLA!$B$23*100000</f>
        <v>160.04071707289486</v>
      </c>
    </row>
    <row r="8641" spans="1:13" s="360" customFormat="1" ht="15.75" thickBot="1" x14ac:dyDescent="0.3">
      <c r="A8641" s="369" t="s">
        <v>40</v>
      </c>
      <c r="B8641" s="267">
        <v>44252</v>
      </c>
      <c r="C8641" s="1">
        <v>239</v>
      </c>
      <c r="D8641" s="176">
        <f t="shared" si="1328"/>
        <v>79513</v>
      </c>
      <c r="E8641" s="1">
        <v>2</v>
      </c>
      <c r="F8641" s="176">
        <f t="shared" si="1334"/>
        <v>1473</v>
      </c>
      <c r="G8641" s="177">
        <f>SUM(C8641,C8617,C8593,C8569,C8545,C8521,C8497,C8473,C8449,C8425,C8401,C8377,C8353,C8329)/POBLA!$B$24*100000</f>
        <v>104.50498508251822</v>
      </c>
      <c r="H8641" s="402">
        <f t="shared" si="1330"/>
        <v>1.0986352357320099</v>
      </c>
      <c r="I8641" s="403">
        <f t="shared" si="1332"/>
        <v>114.81285892130258</v>
      </c>
      <c r="J8641" s="403">
        <f t="shared" si="1333"/>
        <v>152.85714285714286</v>
      </c>
      <c r="K8641" s="403">
        <f>J8641/POBLA!$B$24*100000</f>
        <v>9.0199511202947882</v>
      </c>
      <c r="L8641" s="550">
        <f t="shared" si="1331"/>
        <v>-0.52639087018544939</v>
      </c>
      <c r="M8641" s="405">
        <f>SUM(C8641,C8617,C8593,C8569,C8545,C8521,C8497)/POBLA!$B$24*100000</f>
        <v>63.139657842063514</v>
      </c>
    </row>
    <row r="8642" spans="1:13" s="360" customFormat="1" x14ac:dyDescent="0.25">
      <c r="A8642" s="363" t="s">
        <v>16</v>
      </c>
      <c r="B8642" s="267">
        <v>44253</v>
      </c>
      <c r="C8642" s="1">
        <v>2088</v>
      </c>
      <c r="D8642" s="174">
        <f t="shared" ref="D8642:D8705" si="1335">C8642+D8618</f>
        <v>876116</v>
      </c>
      <c r="E8642" s="1">
        <v>30</v>
      </c>
      <c r="F8642" s="174">
        <f t="shared" ref="F8642:F8648" si="1336">E8642+F8618</f>
        <v>26200</v>
      </c>
      <c r="G8642" s="175">
        <f>SUM(C8642,C8618,C8594,C8570,C8546,C8522,C8498,C8474,C8450,C8426,C8402,C8378,C8354,C8330)/POBLA!$B$1*100000</f>
        <v>196.99402678537274</v>
      </c>
      <c r="H8642" s="300">
        <f t="shared" ref="H8642:H8665" si="1337">SUM(C8642,C8618,C8594,C8570,C8546,C8522,C8498,C8474,C8450,C8426,C8402,C8378,C8354,C8330)/SUM(C8306,C8282,C8258,C8234,C8210,C8186,C8162,C8138,C8114,C8090,C8066,C8042,C8018,C7994)</f>
        <v>0.81294405495694722</v>
      </c>
      <c r="I8642" s="301">
        <f>G8642*H8642</f>
        <v>160.14512293719838</v>
      </c>
      <c r="J8642" s="301">
        <f>AVERAGE(C8642,C8618,C8594,C8570,C8546,C8522,C8498)</f>
        <v>2608.1428571428573</v>
      </c>
      <c r="K8642" s="301">
        <f>J8642/POBLA!$B$1*100000</f>
        <v>14.86871838692168</v>
      </c>
      <c r="L8642" s="548">
        <f t="shared" ref="L8642:L8665" si="1338">1-SUM(C8642,C8618,C8594,C8570,C8546,C8522,C8498)/SUM(C8474,C8450,C8426,C8402,C8378,C8354,C8330)</f>
        <v>-0.12019879739845374</v>
      </c>
      <c r="M8642" s="400">
        <f>SUM(C8642,C8618,C8594,C8570,C8546,C8522,C8498)/POBLA!$B$1*100000</f>
        <v>104.08102870845175</v>
      </c>
    </row>
    <row r="8643" spans="1:13" s="360" customFormat="1" x14ac:dyDescent="0.25">
      <c r="A8643" s="367" t="s">
        <v>43</v>
      </c>
      <c r="B8643" s="267">
        <v>44253</v>
      </c>
      <c r="C8643" s="1">
        <v>607</v>
      </c>
      <c r="D8643" s="39">
        <f t="shared" si="1335"/>
        <v>230872</v>
      </c>
      <c r="E8643" s="1">
        <v>24</v>
      </c>
      <c r="F8643" s="39">
        <f t="shared" si="1336"/>
        <v>6508</v>
      </c>
      <c r="G8643" s="168">
        <f>SUM(C8643,C8619,C8595,C8571,C8547,C8523,C8499,C8475,C8451,C8427,C8403,C8379,C8355,C8331)/POBLA!$B$2*100000</f>
        <v>313.00741372706739</v>
      </c>
      <c r="H8643" s="256">
        <f t="shared" si="1337"/>
        <v>0.75773317591499412</v>
      </c>
      <c r="I8643" s="297">
        <f t="shared" ref="I8643:I8665" si="1339">G8643*H8643</f>
        <v>237.17610168834929</v>
      </c>
      <c r="J8643" s="297">
        <f t="shared" ref="J8643:J8665" si="1340">AVERAGE(C8643,C8619,C8595,C8571,C8547,C8523,C8499)</f>
        <v>727.71428571428567</v>
      </c>
      <c r="K8643" s="297">
        <f>J8643/POBLA!$B$2*100000</f>
        <v>23.660534590596111</v>
      </c>
      <c r="L8643" s="549">
        <f t="shared" si="1338"/>
        <v>-0.12375909993381873</v>
      </c>
      <c r="M8643" s="401">
        <f>SUM(C8643,C8619,C8595,C8571,C8547,C8523,C8499)/POBLA!$B$2*100000</f>
        <v>165.62374213417277</v>
      </c>
    </row>
    <row r="8644" spans="1:13" s="360" customFormat="1" x14ac:dyDescent="0.25">
      <c r="A8644" s="367" t="s">
        <v>28</v>
      </c>
      <c r="B8644" s="267">
        <v>44253</v>
      </c>
      <c r="C8644" s="1">
        <v>83</v>
      </c>
      <c r="D8644" s="39">
        <f t="shared" si="1335"/>
        <v>7722</v>
      </c>
      <c r="E8644" s="1"/>
      <c r="F8644" s="39">
        <f t="shared" si="1336"/>
        <v>17</v>
      </c>
      <c r="G8644" s="168">
        <f>SUM(C8644,C8620,C8596,C8572,C8548,C8524,C8500,C8476,C8452,C8428,C8404,C8380,C8356,C8332)/POBLA!$B$3*100000</f>
        <v>250.09748747105465</v>
      </c>
      <c r="H8644" s="256">
        <f t="shared" si="1337"/>
        <v>0.67997382198952883</v>
      </c>
      <c r="I8644" s="297">
        <f t="shared" si="1339"/>
        <v>170.05974442567134</v>
      </c>
      <c r="J8644" s="297">
        <f t="shared" si="1340"/>
        <v>84.714285714285708</v>
      </c>
      <c r="K8644" s="297">
        <f>J8644/POBLA!$B$3*100000</f>
        <v>20.391559201201073</v>
      </c>
      <c r="L8644" s="549">
        <f t="shared" si="1338"/>
        <v>-0.32959641255605376</v>
      </c>
      <c r="M8644" s="401">
        <f>SUM(C8644,C8620,C8596,C8572,C8548,C8524,C8500)/POBLA!$B$3*100000</f>
        <v>142.74091440840752</v>
      </c>
    </row>
    <row r="8645" spans="1:13" s="360" customFormat="1" x14ac:dyDescent="0.25">
      <c r="A8645" s="367" t="s">
        <v>15</v>
      </c>
      <c r="B8645" s="267">
        <v>44253</v>
      </c>
      <c r="C8645" s="1">
        <v>103</v>
      </c>
      <c r="D8645" s="39">
        <f t="shared" si="1335"/>
        <v>33954</v>
      </c>
      <c r="E8645" s="1">
        <v>1</v>
      </c>
      <c r="F8645" s="39">
        <f t="shared" si="1336"/>
        <v>863</v>
      </c>
      <c r="G8645" s="168">
        <f>SUM(C8645,C8621,C8597,C8573,C8549,C8525,C8501,C8477,C8453,C8429,C8405,C8381,C8357,C8333)/POBLA!$B$4*100000</f>
        <v>138.06088792328364</v>
      </c>
      <c r="H8645" s="256">
        <f t="shared" si="1337"/>
        <v>0.95629672225416906</v>
      </c>
      <c r="I8645" s="297">
        <f t="shared" si="1339"/>
        <v>132.02717459253634</v>
      </c>
      <c r="J8645" s="297">
        <f t="shared" si="1340"/>
        <v>143.57142857142858</v>
      </c>
      <c r="K8645" s="297">
        <f>J8645/POBLA!$B$4*100000</f>
        <v>11.919181544789971</v>
      </c>
      <c r="L8645" s="549">
        <f t="shared" si="1338"/>
        <v>-0.52735562310030404</v>
      </c>
      <c r="M8645" s="401">
        <f>SUM(C8645,C8621,C8597,C8573,C8549,C8525,C8501)/POBLA!$B$4*100000</f>
        <v>83.434270813529793</v>
      </c>
    </row>
    <row r="8646" spans="1:13" s="360" customFormat="1" x14ac:dyDescent="0.25">
      <c r="A8646" s="367" t="s">
        <v>29</v>
      </c>
      <c r="B8646" s="267">
        <v>44253</v>
      </c>
      <c r="C8646" s="1">
        <v>71</v>
      </c>
      <c r="D8646" s="39">
        <f t="shared" si="1335"/>
        <v>46805</v>
      </c>
      <c r="E8646" s="1"/>
      <c r="F8646" s="39">
        <f t="shared" si="1336"/>
        <v>768</v>
      </c>
      <c r="G8646" s="168">
        <f>SUM(C8646,C8622,C8598,C8574,C8550,C8526,C8502,C8478,C8454,C8430,C8406,C8382,C8358,C8334)/POBLA!$B$5*100000</f>
        <v>285.62473949666719</v>
      </c>
      <c r="H8646" s="256">
        <f t="shared" si="1337"/>
        <v>0.57891290111329408</v>
      </c>
      <c r="I8646" s="297">
        <f t="shared" si="1339"/>
        <v>165.35184657174446</v>
      </c>
      <c r="J8646" s="297">
        <f t="shared" si="1340"/>
        <v>115.14285714285714</v>
      </c>
      <c r="K8646" s="297">
        <f>J8646/POBLA!$B$5*100000</f>
        <v>18.601611185707313</v>
      </c>
      <c r="L8646" s="549">
        <f t="shared" si="1338"/>
        <v>0.16216216216216217</v>
      </c>
      <c r="M8646" s="401">
        <f>SUM(C8646,C8622,C8598,C8574,C8550,C8526,C8502)/POBLA!$B$5*100000</f>
        <v>130.2112782999512</v>
      </c>
    </row>
    <row r="8647" spans="1:13" s="360" customFormat="1" x14ac:dyDescent="0.25">
      <c r="A8647" s="367" t="s">
        <v>30</v>
      </c>
      <c r="B8647" s="267">
        <v>44253</v>
      </c>
      <c r="C8647" s="1">
        <v>223</v>
      </c>
      <c r="D8647" s="39">
        <f t="shared" si="1335"/>
        <v>21626</v>
      </c>
      <c r="E8647" s="1">
        <v>4</v>
      </c>
      <c r="F8647" s="39">
        <f t="shared" si="1336"/>
        <v>300</v>
      </c>
      <c r="G8647" s="168">
        <f>SUM(C8647,C8623,C8599,C8575,C8551,C8527,C8503,C8479,C8455,C8431,C8407,C8383,C8359,C8335)/POBLA!$B$6*100000</f>
        <v>215.7385655437495</v>
      </c>
      <c r="H8647" s="256">
        <f t="shared" si="1337"/>
        <v>1.1692456479690523</v>
      </c>
      <c r="I8647" s="297">
        <f t="shared" si="1339"/>
        <v>252.25137886111526</v>
      </c>
      <c r="J8647" s="297">
        <f t="shared" si="1340"/>
        <v>133.85714285714286</v>
      </c>
      <c r="K8647" s="297">
        <f>J8647/POBLA!$B$6*100000</f>
        <v>11.942989242260031</v>
      </c>
      <c r="L8647" s="549">
        <f t="shared" si="1338"/>
        <v>0.36731937879810939</v>
      </c>
      <c r="M8647" s="401">
        <f>SUM(C8647,C8623,C8599,C8575,C8551,C8527,C8503)/POBLA!$B$6*100000</f>
        <v>83.600924695820225</v>
      </c>
    </row>
    <row r="8648" spans="1:13" s="360" customFormat="1" x14ac:dyDescent="0.25">
      <c r="A8648" s="367" t="s">
        <v>20</v>
      </c>
      <c r="B8648" s="267">
        <v>44253</v>
      </c>
      <c r="C8648" s="1">
        <v>416</v>
      </c>
      <c r="D8648" s="39">
        <f t="shared" si="1335"/>
        <v>159011</v>
      </c>
      <c r="E8648" s="1">
        <v>4</v>
      </c>
      <c r="F8648" s="39">
        <f t="shared" si="1336"/>
        <v>2828</v>
      </c>
      <c r="G8648" s="168">
        <f>SUM(C8648,C8624,C8600,C8576,C8552,C8528,C8504,C8480,C8456,C8432,C8408,C8384,C8360,C8336)/POBLA!$B$7*100000</f>
        <v>207.36879894693453</v>
      </c>
      <c r="H8648" s="256">
        <f t="shared" si="1337"/>
        <v>1.1542332741267023</v>
      </c>
      <c r="I8648" s="297">
        <f t="shared" si="1339"/>
        <v>239.3519677602421</v>
      </c>
      <c r="J8648" s="297">
        <f t="shared" si="1340"/>
        <v>632.42857142857144</v>
      </c>
      <c r="K8648" s="297">
        <f>J8648/POBLA!$B$7*100000</f>
        <v>16.817896034479155</v>
      </c>
      <c r="L8648" s="549">
        <f t="shared" si="1338"/>
        <v>-0.31326016018985459</v>
      </c>
      <c r="M8648" s="401">
        <f>SUM(C8648,C8624,C8600,C8576,C8552,C8528,C8504)/POBLA!$B$7*100000</f>
        <v>117.72527224135411</v>
      </c>
    </row>
    <row r="8649" spans="1:13" x14ac:dyDescent="0.25">
      <c r="A8649" s="367" t="s">
        <v>31</v>
      </c>
      <c r="B8649" s="267">
        <v>44253</v>
      </c>
      <c r="C8649" s="1">
        <v>92</v>
      </c>
      <c r="D8649" s="39">
        <f t="shared" si="1335"/>
        <v>45003</v>
      </c>
      <c r="E8649" s="1">
        <v>2</v>
      </c>
      <c r="F8649" s="39">
        <f t="shared" ref="F8649:F8665" si="1341">E8649+F8625</f>
        <v>836</v>
      </c>
      <c r="G8649" s="168">
        <f>SUM(C8649,C8625,C8601,C8577,C8553,C8529,C8505,C8481,C8457,C8433,C8409,C8385,C8361,C8337)/POBLA!$B$8*100000</f>
        <v>121.35983624358838</v>
      </c>
      <c r="H8649" s="256">
        <f t="shared" si="1337"/>
        <v>0.62319377547239718</v>
      </c>
      <c r="I8649" s="297">
        <f t="shared" si="1339"/>
        <v>75.630694539353698</v>
      </c>
      <c r="J8649" s="297">
        <f t="shared" si="1340"/>
        <v>126.85714285714286</v>
      </c>
      <c r="K8649" s="297">
        <f>J8649/POBLA!$B$8*100000</f>
        <v>9.1530095621119827</v>
      </c>
      <c r="L8649" s="549">
        <f t="shared" si="1338"/>
        <v>-0.11838790931989918</v>
      </c>
      <c r="M8649" s="401">
        <f>SUM(C8649,C8625,C8601,C8577,C8553,C8529,C8505)/POBLA!$B$8*100000</f>
        <v>64.071066934783886</v>
      </c>
    </row>
    <row r="8650" spans="1:13" s="360" customFormat="1" x14ac:dyDescent="0.25">
      <c r="A8650" s="367" t="s">
        <v>41</v>
      </c>
      <c r="B8650" s="267">
        <v>44253</v>
      </c>
      <c r="C8650" s="1">
        <v>23</v>
      </c>
      <c r="D8650" s="39">
        <f t="shared" si="1335"/>
        <v>1208</v>
      </c>
      <c r="E8650" s="1"/>
      <c r="F8650" s="39">
        <f t="shared" si="1341"/>
        <v>19</v>
      </c>
      <c r="G8650" s="168">
        <f>SUM(C8650,C8626,C8602,C8578,C8554,C8530,C8506,C8482,C8458,C8434,C8410,C8386,C8362,C8338)/POBLA!$B$9*100000</f>
        <v>44.779103525652147</v>
      </c>
      <c r="H8650" s="256">
        <f t="shared" si="1337"/>
        <v>2.8229166666666665</v>
      </c>
      <c r="I8650" s="297">
        <f t="shared" si="1339"/>
        <v>126.40767766095553</v>
      </c>
      <c r="J8650" s="297">
        <f t="shared" si="1340"/>
        <v>21.571428571428573</v>
      </c>
      <c r="K8650" s="297">
        <f>J8650/POBLA!$B$9*100000</f>
        <v>3.5643883143771613</v>
      </c>
      <c r="L8650" s="549">
        <f t="shared" si="1338"/>
        <v>-0.2583333333333333</v>
      </c>
      <c r="M8650" s="401">
        <f>SUM(C8650,C8626,C8602,C8578,C8554,C8530,C8506)/POBLA!$B$9*100000</f>
        <v>24.950718200640125</v>
      </c>
    </row>
    <row r="8651" spans="1:13" s="360" customFormat="1" x14ac:dyDescent="0.25">
      <c r="A8651" s="367" t="s">
        <v>32</v>
      </c>
      <c r="B8651" s="267">
        <v>44253</v>
      </c>
      <c r="C8651" s="1">
        <v>83</v>
      </c>
      <c r="D8651" s="39">
        <f t="shared" si="1335"/>
        <v>20574</v>
      </c>
      <c r="E8651" s="1"/>
      <c r="F8651" s="39">
        <f t="shared" si="1341"/>
        <v>904</v>
      </c>
      <c r="G8651" s="168">
        <f>SUM(C8651,C8627,C8603,C8579,C8555,C8531,C8507,C8483,C8459,C8435,C8411,C8387,C8363,C8339)/POBLA!$B$10*100000</f>
        <v>114.02538134939115</v>
      </c>
      <c r="H8651" s="256">
        <f t="shared" si="1337"/>
        <v>2.092857142857143</v>
      </c>
      <c r="I8651" s="297">
        <f t="shared" si="1339"/>
        <v>238.63883382408292</v>
      </c>
      <c r="J8651" s="297">
        <f t="shared" si="1340"/>
        <v>85.714285714285708</v>
      </c>
      <c r="K8651" s="297">
        <f>J8651/POBLA!$B$10*100000</f>
        <v>11.119003544553012</v>
      </c>
      <c r="L8651" s="549">
        <f t="shared" si="1338"/>
        <v>-1.150537634408602</v>
      </c>
      <c r="M8651" s="401">
        <f>SUM(C8651,C8627,C8603,C8579,C8555,C8531,C8507)/POBLA!$B$10*100000</f>
        <v>77.833024811871098</v>
      </c>
    </row>
    <row r="8652" spans="1:13" s="360" customFormat="1" x14ac:dyDescent="0.25">
      <c r="A8652" s="367" t="s">
        <v>33</v>
      </c>
      <c r="B8652" s="267">
        <v>44253</v>
      </c>
      <c r="C8652" s="1">
        <v>53</v>
      </c>
      <c r="D8652" s="39">
        <f t="shared" si="1335"/>
        <v>18590</v>
      </c>
      <c r="E8652" s="1"/>
      <c r="F8652" s="39">
        <f t="shared" si="1341"/>
        <v>285</v>
      </c>
      <c r="G8652" s="168">
        <f>SUM(C8652,C8628,C8604,C8580,C8556,C8532,C8508,C8484,C8460,C8436,C8412,C8388,C8364,C8340)/POBLA!$B$11*100000</f>
        <v>291.2718872409522</v>
      </c>
      <c r="H8652" s="256">
        <f t="shared" si="1337"/>
        <v>0.85154975530179444</v>
      </c>
      <c r="I8652" s="297">
        <f t="shared" si="1339"/>
        <v>248.03250430632471</v>
      </c>
      <c r="J8652" s="297">
        <f t="shared" si="1340"/>
        <v>82.714285714285708</v>
      </c>
      <c r="K8652" s="297">
        <f>J8652/POBLA!$B$11*100000</f>
        <v>23.076959867612381</v>
      </c>
      <c r="L8652" s="549">
        <f t="shared" si="1338"/>
        <v>-0.24516129032258061</v>
      </c>
      <c r="M8652" s="401">
        <f>SUM(C8652,C8628,C8604,C8580,C8556,C8532,C8508)/POBLA!$B$11*100000</f>
        <v>161.53871907328667</v>
      </c>
    </row>
    <row r="8653" spans="1:13" s="360" customFormat="1" x14ac:dyDescent="0.25">
      <c r="A8653" s="367" t="s">
        <v>21</v>
      </c>
      <c r="B8653" s="267">
        <v>44253</v>
      </c>
      <c r="C8653" s="1">
        <v>21</v>
      </c>
      <c r="D8653" s="39">
        <f t="shared" si="1335"/>
        <v>10169</v>
      </c>
      <c r="E8653" s="1"/>
      <c r="F8653" s="39">
        <f t="shared" si="1341"/>
        <v>435</v>
      </c>
      <c r="G8653" s="168">
        <f>SUM(C8653,C8629,C8605,C8581,C8557,C8533,C8509,C8485,C8461,C8437,C8413,C8389,C8365,C8341)/POBLA!$B$12*100000</f>
        <v>97.832191110738407</v>
      </c>
      <c r="H8653" s="256">
        <f t="shared" si="1337"/>
        <v>1.4312267657992566</v>
      </c>
      <c r="I8653" s="297">
        <f t="shared" si="1339"/>
        <v>140.0200504744769</v>
      </c>
      <c r="J8653" s="297">
        <f t="shared" si="1340"/>
        <v>27.285714285714285</v>
      </c>
      <c r="K8653" s="297">
        <f>J8653/POBLA!$B$12*100000</f>
        <v>6.9335615963454682</v>
      </c>
      <c r="L8653" s="549">
        <f t="shared" si="1338"/>
        <v>1.5463917525773141E-2</v>
      </c>
      <c r="M8653" s="401">
        <f>SUM(C8653,C8629,C8605,C8581,C8557,C8533,C8509)/POBLA!$B$12*100000</f>
        <v>48.534931174418283</v>
      </c>
    </row>
    <row r="8654" spans="1:13" s="360" customFormat="1" x14ac:dyDescent="0.25">
      <c r="A8654" s="367" t="s">
        <v>17</v>
      </c>
      <c r="B8654" s="267">
        <v>44253</v>
      </c>
      <c r="C8654" s="1">
        <v>137</v>
      </c>
      <c r="D8654" s="39">
        <f t="shared" si="1335"/>
        <v>67064</v>
      </c>
      <c r="E8654" s="1">
        <v>1</v>
      </c>
      <c r="F8654" s="39">
        <f t="shared" si="1341"/>
        <v>1447</v>
      </c>
      <c r="G8654" s="168">
        <f>SUM(C8654,C8630,C8606,C8582,C8558,C8534,C8510,C8486,C8462,C8438,C8414,C8390,C8366,C8342)/POBLA!$B$13*100000</f>
        <v>77.625006405947133</v>
      </c>
      <c r="H8654" s="256">
        <f t="shared" si="1337"/>
        <v>0.84472389283761617</v>
      </c>
      <c r="I8654" s="297">
        <f t="shared" si="1339"/>
        <v>65.571697592776559</v>
      </c>
      <c r="J8654" s="297">
        <f t="shared" si="1340"/>
        <v>128.14285714285714</v>
      </c>
      <c r="K8654" s="297">
        <f>J8654/POBLA!$B$13*100000</f>
        <v>6.4382460236832699</v>
      </c>
      <c r="L8654" s="549">
        <f t="shared" si="1338"/>
        <v>-0.3842592592592593</v>
      </c>
      <c r="M8654" s="401">
        <f>SUM(C8654,C8630,C8606,C8582,C8558,C8534,C8510)/POBLA!$B$13*100000</f>
        <v>45.067722165782897</v>
      </c>
    </row>
    <row r="8655" spans="1:13" s="360" customFormat="1" x14ac:dyDescent="0.25">
      <c r="A8655" s="367" t="s">
        <v>23</v>
      </c>
      <c r="B8655" s="267">
        <v>44253</v>
      </c>
      <c r="C8655" s="1">
        <v>116</v>
      </c>
      <c r="D8655" s="39">
        <f t="shared" si="1335"/>
        <v>8076</v>
      </c>
      <c r="E8655" s="1">
        <v>1</v>
      </c>
      <c r="F8655" s="39">
        <f t="shared" si="1341"/>
        <v>139</v>
      </c>
      <c r="G8655" s="168">
        <f>SUM(C8655,C8631,C8607,C8583,C8559,C8535,C8511,C8487,C8463,C8439,C8415,C8391,C8367,C8343)/POBLA!$B$14*100000</f>
        <v>123.36536921605907</v>
      </c>
      <c r="H8655" s="256">
        <f t="shared" si="1337"/>
        <v>0.72338447233844727</v>
      </c>
      <c r="I8655" s="297">
        <f t="shared" si="1339"/>
        <v>89.24059251519661</v>
      </c>
      <c r="J8655" s="297">
        <f t="shared" si="1340"/>
        <v>115.85714285714286</v>
      </c>
      <c r="K8655" s="297">
        <f>J8655/POBLA!$B$14*100000</f>
        <v>9.1855778951729619</v>
      </c>
      <c r="L8655" s="549">
        <f t="shared" si="1338"/>
        <v>-8.8590604026845599E-2</v>
      </c>
      <c r="M8655" s="401">
        <f>SUM(C8655,C8631,C8607,C8583,C8559,C8535,C8511)/POBLA!$B$14*100000</f>
        <v>64.299045266210726</v>
      </c>
    </row>
    <row r="8656" spans="1:13" s="360" customFormat="1" x14ac:dyDescent="0.25">
      <c r="A8656" s="367" t="s">
        <v>19</v>
      </c>
      <c r="B8656" s="267">
        <v>44253</v>
      </c>
      <c r="C8656" s="1">
        <v>173</v>
      </c>
      <c r="D8656" s="39">
        <f t="shared" si="1335"/>
        <v>61014</v>
      </c>
      <c r="E8656" s="1">
        <v>2</v>
      </c>
      <c r="F8656" s="39">
        <f t="shared" si="1341"/>
        <v>896</v>
      </c>
      <c r="G8656" s="168">
        <f>SUM(C8656,C8632,C8608,C8584,C8560,C8536,C8512,C8488,C8464,C8440,C8416,C8392,C8368,C8344)/POBLA!$B$15*100000</f>
        <v>416.53050867621306</v>
      </c>
      <c r="H8656" s="256">
        <f t="shared" si="1337"/>
        <v>0.58614113159567705</v>
      </c>
      <c r="I8656" s="297">
        <f t="shared" si="1339"/>
        <v>244.14566369959849</v>
      </c>
      <c r="J8656" s="297">
        <f t="shared" si="1340"/>
        <v>187.14285714285714</v>
      </c>
      <c r="K8656" s="297">
        <f>J8656/POBLA!$B$15*100000</f>
        <v>28.181746016209019</v>
      </c>
      <c r="L8656" s="549">
        <f t="shared" si="1338"/>
        <v>0.10027472527472525</v>
      </c>
      <c r="M8656" s="401">
        <f>SUM(C8656,C8632,C8608,C8584,C8560,C8536,C8512)/POBLA!$B$15*100000</f>
        <v>197.27222211346316</v>
      </c>
    </row>
    <row r="8657" spans="1:13" s="360" customFormat="1" x14ac:dyDescent="0.25">
      <c r="A8657" s="367" t="s">
        <v>18</v>
      </c>
      <c r="B8657" s="267">
        <v>44253</v>
      </c>
      <c r="C8657" s="1">
        <v>146</v>
      </c>
      <c r="D8657" s="39">
        <f t="shared" si="1335"/>
        <v>52185</v>
      </c>
      <c r="E8657" s="1">
        <v>5</v>
      </c>
      <c r="F8657" s="39">
        <f t="shared" si="1341"/>
        <v>1180</v>
      </c>
      <c r="G8657" s="168">
        <f>SUM(C8657,C8633,C8609,C8585,C8561,C8537,C8513,C8489,C8465,C8441,C8417,C8393,C8369,C8345)/POBLA!$B$16*100000</f>
        <v>239.42964914862026</v>
      </c>
      <c r="H8657" s="256">
        <f t="shared" si="1337"/>
        <v>0.64784654361201588</v>
      </c>
      <c r="I8657" s="297">
        <f t="shared" si="1339"/>
        <v>155.11367063917126</v>
      </c>
      <c r="J8657" s="297">
        <f t="shared" si="1340"/>
        <v>125.57142857142857</v>
      </c>
      <c r="K8657" s="297">
        <f>J8657/POBLA!$B$16*100000</f>
        <v>16.796381612261548</v>
      </c>
      <c r="L8657" s="549">
        <f t="shared" si="1338"/>
        <v>3.5126234906695974E-2</v>
      </c>
      <c r="M8657" s="401">
        <f>SUM(C8657,C8633,C8609,C8585,C8561,C8537,C8513)/POBLA!$B$16*100000</f>
        <v>117.57467128583085</v>
      </c>
    </row>
    <row r="8658" spans="1:13" s="360" customFormat="1" x14ac:dyDescent="0.25">
      <c r="A8658" s="367" t="s">
        <v>34</v>
      </c>
      <c r="B8658" s="267">
        <v>44253</v>
      </c>
      <c r="C8658" s="1">
        <v>68</v>
      </c>
      <c r="D8658" s="39">
        <f t="shared" si="1335"/>
        <v>25947</v>
      </c>
      <c r="E8658" s="1"/>
      <c r="F8658" s="39">
        <f t="shared" si="1341"/>
        <v>1092</v>
      </c>
      <c r="G8658" s="168">
        <f>SUM(C8658,C8634,C8610,C8586,C8562,C8538,C8514,C8490,C8466,C8442,C8418,C8394,C8370,C8346)/POBLA!$B$17*100000</f>
        <v>87.545817633707458</v>
      </c>
      <c r="H8658" s="256">
        <f t="shared" si="1337"/>
        <v>1.2776639344262295</v>
      </c>
      <c r="I8658" s="297">
        <f t="shared" si="1339"/>
        <v>111.85413380044385</v>
      </c>
      <c r="J8658" s="297">
        <f t="shared" si="1340"/>
        <v>110.14285714285714</v>
      </c>
      <c r="K8658" s="297">
        <f>J8658/POBLA!$B$17*100000</f>
        <v>7.7325954170682145</v>
      </c>
      <c r="L8658" s="549">
        <f t="shared" si="1338"/>
        <v>-0.61974789915966388</v>
      </c>
      <c r="M8658" s="401">
        <f>SUM(C8658,C8634,C8610,C8586,C8562,C8538,C8514)/POBLA!$B$17*100000</f>
        <v>54.128167919477505</v>
      </c>
    </row>
    <row r="8659" spans="1:13" s="360" customFormat="1" x14ac:dyDescent="0.25">
      <c r="A8659" s="367" t="s">
        <v>35</v>
      </c>
      <c r="B8659" s="267">
        <v>44253</v>
      </c>
      <c r="C8659" s="1">
        <v>35</v>
      </c>
      <c r="D8659" s="39">
        <f t="shared" si="1335"/>
        <v>15227</v>
      </c>
      <c r="E8659" s="1">
        <v>1</v>
      </c>
      <c r="F8659" s="39">
        <f t="shared" si="1341"/>
        <v>208</v>
      </c>
      <c r="G8659" s="168">
        <f>SUM(C8659,C8635,C8611,C8587,C8563,C8539,C8515,C8491,C8467,C8443,C8419,C8395,C8371,C8347)/POBLA!$B$18*100000</f>
        <v>80.515400970537002</v>
      </c>
      <c r="H8659" s="256">
        <f t="shared" si="1337"/>
        <v>0.90895953757225434</v>
      </c>
      <c r="I8659" s="297">
        <f t="shared" si="1339"/>
        <v>73.185241633623946</v>
      </c>
      <c r="J8659" s="297">
        <f t="shared" si="1340"/>
        <v>48.142857142857146</v>
      </c>
      <c r="K8659" s="297">
        <f>J8659/POBLA!$B$18*100000</f>
        <v>6.162546020229609</v>
      </c>
      <c r="L8659" s="549">
        <f t="shared" si="1338"/>
        <v>-0.15410958904109595</v>
      </c>
      <c r="M8659" s="401">
        <f>SUM(C8659,C8635,C8611,C8587,C8563,C8539,C8515)/POBLA!$B$18*100000</f>
        <v>43.137822141607259</v>
      </c>
    </row>
    <row r="8660" spans="1:13" s="360" customFormat="1" x14ac:dyDescent="0.25">
      <c r="A8660" s="367" t="s">
        <v>36</v>
      </c>
      <c r="B8660" s="267">
        <v>44253</v>
      </c>
      <c r="C8660" s="1">
        <v>3</v>
      </c>
      <c r="D8660" s="39">
        <f t="shared" si="1335"/>
        <v>20756</v>
      </c>
      <c r="E8660" s="1"/>
      <c r="F8660" s="39">
        <f t="shared" si="1341"/>
        <v>353</v>
      </c>
      <c r="G8660" s="168">
        <f>SUM(C8660,C8636,C8612,C8588,C8564,C8540,C8516,C8492,C8468,C8444,C8420,C8396,C8372,C8348)/POBLA!$B$19*100000</f>
        <v>314.95412410884308</v>
      </c>
      <c r="H8660" s="256">
        <f t="shared" si="1337"/>
        <v>8.2525773195876297</v>
      </c>
      <c r="I8660" s="297">
        <f t="shared" si="1339"/>
        <v>2599.1832613312258</v>
      </c>
      <c r="J8660" s="297">
        <f t="shared" si="1340"/>
        <v>71.857142857142861</v>
      </c>
      <c r="K8660" s="297">
        <f>J8660/POBLA!$B$19*100000</f>
        <v>14.13597969365112</v>
      </c>
      <c r="L8660" s="549">
        <f t="shared" si="1338"/>
        <v>0.54189435336976322</v>
      </c>
      <c r="M8660" s="401">
        <f>SUM(C8660,C8636,C8612,C8588,C8564,C8540,C8516)/POBLA!$B$19*100000</f>
        <v>98.951857855557819</v>
      </c>
    </row>
    <row r="8661" spans="1:13" s="360" customFormat="1" x14ac:dyDescent="0.25">
      <c r="A8661" s="367" t="s">
        <v>37</v>
      </c>
      <c r="B8661" s="267">
        <v>44253</v>
      </c>
      <c r="C8661" s="1">
        <v>60</v>
      </c>
      <c r="D8661" s="39">
        <f t="shared" si="1335"/>
        <v>35827</v>
      </c>
      <c r="E8661" s="1">
        <v>2</v>
      </c>
      <c r="F8661" s="39">
        <f t="shared" si="1341"/>
        <v>573</v>
      </c>
      <c r="G8661" s="168">
        <f>SUM(C8661,C8637,C8613,C8589,C8565,C8541,C8517,C8493,C8469,C8445,C8421,C8397,C8373,C8349)/POBLA!$B$20*100000</f>
        <v>386.93129303414293</v>
      </c>
      <c r="H8661" s="256">
        <f t="shared" si="1337"/>
        <v>0.67125237191650855</v>
      </c>
      <c r="I8661" s="297">
        <f t="shared" si="1339"/>
        <v>259.72854821789008</v>
      </c>
      <c r="J8661" s="297">
        <f t="shared" si="1340"/>
        <v>117.85714285714286</v>
      </c>
      <c r="K8661" s="297">
        <f>J8661/POBLA!$B$20*100000</f>
        <v>32.227997653020488</v>
      </c>
      <c r="L8661" s="549">
        <f t="shared" si="1338"/>
        <v>-0.39830508474576276</v>
      </c>
      <c r="M8661" s="401">
        <f>SUM(C8661,C8637,C8613,C8589,C8565,C8541,C8517)/POBLA!$B$20*100000</f>
        <v>225.59598357114342</v>
      </c>
    </row>
    <row r="8662" spans="1:13" s="360" customFormat="1" x14ac:dyDescent="0.25">
      <c r="A8662" s="367" t="s">
        <v>22</v>
      </c>
      <c r="B8662" s="267">
        <v>44253</v>
      </c>
      <c r="C8662" s="1">
        <v>261</v>
      </c>
      <c r="D8662" s="39">
        <f t="shared" si="1335"/>
        <v>215963</v>
      </c>
      <c r="E8662" s="1">
        <v>10</v>
      </c>
      <c r="F8662" s="39">
        <f t="shared" si="1341"/>
        <v>3944</v>
      </c>
      <c r="G8662" s="168">
        <f>SUM(C8662,C8638,C8614,C8590,C8566,C8542,C8518,C8494,C8470,C8446,C8422,C8398,C8374,C8350)/POBLA!$B$21*100000</f>
        <v>131.85658482679366</v>
      </c>
      <c r="H8662" s="256">
        <f t="shared" si="1337"/>
        <v>0.75136964228166292</v>
      </c>
      <c r="I8662" s="297">
        <f t="shared" si="1339"/>
        <v>99.073034973789703</v>
      </c>
      <c r="J8662" s="297">
        <f t="shared" si="1340"/>
        <v>355.28571428571428</v>
      </c>
      <c r="K8662" s="297">
        <f>J8662/POBLA!$B$21*100000</f>
        <v>10.046485293472498</v>
      </c>
      <c r="L8662" s="549">
        <f t="shared" si="1338"/>
        <v>-0.14292279411764697</v>
      </c>
      <c r="M8662" s="401">
        <f>SUM(C8662,C8638,C8614,C8590,C8566,C8542,C8518)/POBLA!$B$21*100000</f>
        <v>70.325397054307501</v>
      </c>
    </row>
    <row r="8663" spans="1:13" s="360" customFormat="1" x14ac:dyDescent="0.25">
      <c r="A8663" s="367" t="s">
        <v>38</v>
      </c>
      <c r="B8663" s="267">
        <v>44253</v>
      </c>
      <c r="C8663" s="1">
        <v>67</v>
      </c>
      <c r="D8663" s="39">
        <f t="shared" si="1335"/>
        <v>22485</v>
      </c>
      <c r="E8663" s="1">
        <v>2</v>
      </c>
      <c r="F8663" s="39">
        <f t="shared" si="1341"/>
        <v>267</v>
      </c>
      <c r="G8663" s="168">
        <f>SUM(C8663,C8639,C8615,C8591,C8567,C8543,C8519,C8495,C8471,C8447,C8423,C8399,C8375,C8351)/POBLA!$B$22*100000</f>
        <v>72.676127169934375</v>
      </c>
      <c r="H8663" s="256">
        <f t="shared" si="1337"/>
        <v>0.64402173913043481</v>
      </c>
      <c r="I8663" s="297">
        <f t="shared" si="1339"/>
        <v>46.805005813245785</v>
      </c>
      <c r="J8663" s="297">
        <f t="shared" si="1340"/>
        <v>57</v>
      </c>
      <c r="K8663" s="297">
        <f>J8663/POBLA!$B$22*100000</f>
        <v>5.8263561866192113</v>
      </c>
      <c r="L8663" s="549">
        <f t="shared" si="1338"/>
        <v>-0.27884615384615374</v>
      </c>
      <c r="M8663" s="401">
        <f>SUM(C8663,C8639,C8615,C8591,C8567,C8543,C8519)/POBLA!$B$22*100000</f>
        <v>40.784493306334475</v>
      </c>
    </row>
    <row r="8664" spans="1:13" s="360" customFormat="1" x14ac:dyDescent="0.25">
      <c r="A8664" s="367" t="s">
        <v>39</v>
      </c>
      <c r="B8664" s="267">
        <v>44253</v>
      </c>
      <c r="C8664" s="1">
        <v>27</v>
      </c>
      <c r="D8664" s="39">
        <f t="shared" si="1335"/>
        <v>22894</v>
      </c>
      <c r="E8664" s="1">
        <v>3</v>
      </c>
      <c r="F8664" s="39">
        <f t="shared" si="1341"/>
        <v>353</v>
      </c>
      <c r="G8664" s="168">
        <f>SUM(C8664,C8640,C8616,C8592,C8568,C8544,C8520,C8496,C8472,C8448,C8424,C8400,C8376,C8352)/POBLA!$B$23*100000</f>
        <v>272.01266753378951</v>
      </c>
      <c r="H8664" s="256">
        <f t="shared" si="1337"/>
        <v>0.73660030627871365</v>
      </c>
      <c r="I8664" s="297">
        <f t="shared" si="1339"/>
        <v>200.36461421707926</v>
      </c>
      <c r="J8664" s="297">
        <f t="shared" si="1340"/>
        <v>37.285714285714285</v>
      </c>
      <c r="K8664" s="297">
        <f>J8664/POBLA!$B$23*100000</f>
        <v>21.085627034843796</v>
      </c>
      <c r="L8664" s="549">
        <f t="shared" si="1338"/>
        <v>-0.18636363636363629</v>
      </c>
      <c r="M8664" s="401">
        <f>SUM(C8664,C8640,C8616,C8592,C8568,C8544,C8520)/POBLA!$B$23*100000</f>
        <v>147.59938924390656</v>
      </c>
    </row>
    <row r="8665" spans="1:13" s="360" customFormat="1" ht="15.75" thickBot="1" x14ac:dyDescent="0.3">
      <c r="A8665" s="369" t="s">
        <v>40</v>
      </c>
      <c r="B8665" s="267">
        <v>44253</v>
      </c>
      <c r="C8665" s="1">
        <v>127</v>
      </c>
      <c r="D8665" s="176">
        <f t="shared" si="1335"/>
        <v>79640</v>
      </c>
      <c r="E8665" s="1"/>
      <c r="F8665" s="176">
        <f t="shared" si="1341"/>
        <v>1473</v>
      </c>
      <c r="G8665" s="177">
        <f>SUM(C8665,C8641,C8617,C8593,C8569,C8545,C8521,C8497,C8473,C8449,C8425,C8401,C8377,C8353)/POBLA!$B$24*100000</f>
        <v>100.25633520903358</v>
      </c>
      <c r="H8665" s="402">
        <f t="shared" si="1337"/>
        <v>1.0155409444112373</v>
      </c>
      <c r="I8665" s="403">
        <f t="shared" si="1339"/>
        <v>101.81441334139154</v>
      </c>
      <c r="J8665" s="403">
        <f t="shared" si="1340"/>
        <v>148.42857142857142</v>
      </c>
      <c r="K8665" s="403">
        <f>J8665/POBLA!$B$24*100000</f>
        <v>8.7586254336320426</v>
      </c>
      <c r="L8665" s="550">
        <f t="shared" si="1338"/>
        <v>-0.57424242424242422</v>
      </c>
      <c r="M8665" s="405">
        <f>SUM(C8665,C8641,C8617,C8593,C8569,C8545,C8521)/POBLA!$B$24*100000</f>
        <v>61.310378035424293</v>
      </c>
    </row>
    <row r="8666" spans="1:13" s="360" customFormat="1" x14ac:dyDescent="0.25">
      <c r="A8666" s="363" t="s">
        <v>16</v>
      </c>
      <c r="B8666" s="267">
        <v>44254</v>
      </c>
      <c r="C8666" s="1">
        <v>2409</v>
      </c>
      <c r="D8666" s="174">
        <f t="shared" si="1335"/>
        <v>878525</v>
      </c>
      <c r="E8666" s="1">
        <v>12</v>
      </c>
      <c r="F8666" s="174">
        <f t="shared" ref="F8666:F8672" si="1342">E8666+F8642</f>
        <v>26212</v>
      </c>
      <c r="G8666" s="175">
        <f>SUM(C8666,C8642,C8618,C8594,C8570,C8546,C8522,C8498,C8474,C8450,C8426,C8402,C8378,C8354)/POBLA!$B$1*100000</f>
        <v>196.77169233175883</v>
      </c>
      <c r="H8666" s="300">
        <f t="shared" ref="H8666:H8689" si="1343">SUM(C8666,C8642,C8618,C8594,C8570,C8546,C8522,C8498,C8474,C8450,C8426,C8402,C8378,C8354)/SUM(C8330,C8306,C8282,C8258,C8234,C8210,C8186,C8162,C8138,C8114,C8090,C8066,C8042,C8018)</f>
        <v>0.82400687547746376</v>
      </c>
      <c r="I8666" s="301">
        <f>G8666*H8666</f>
        <v>162.1412273807054</v>
      </c>
      <c r="J8666" s="301">
        <f>AVERAGE(C8666,C8642,C8618,C8594,C8570,C8546,C8522)</f>
        <v>2593.7142857142858</v>
      </c>
      <c r="K8666" s="301">
        <f>J8666/POBLA!$B$1*100000</f>
        <v>14.786462783203703</v>
      </c>
      <c r="L8666" s="548">
        <f t="shared" ref="L8666:L8689" si="1344">1-SUM(C8666,C8642,C8618,C8594,C8570,C8546,C8522)/SUM(C8498,C8474,C8450,C8426,C8402,C8378,C8354)</f>
        <v>-0.10977995110024441</v>
      </c>
      <c r="M8666" s="400">
        <f>SUM(C8666,C8642,C8618,C8594,C8570,C8546,C8522)/POBLA!$B$1*100000</f>
        <v>103.50523948242591</v>
      </c>
    </row>
    <row r="8667" spans="1:13" s="360" customFormat="1" x14ac:dyDescent="0.25">
      <c r="A8667" s="367" t="s">
        <v>43</v>
      </c>
      <c r="B8667" s="267">
        <v>44254</v>
      </c>
      <c r="C8667" s="1">
        <v>583</v>
      </c>
      <c r="D8667" s="39">
        <f t="shared" si="1335"/>
        <v>231455</v>
      </c>
      <c r="E8667" s="1">
        <v>13</v>
      </c>
      <c r="F8667" s="39">
        <f t="shared" si="1342"/>
        <v>6521</v>
      </c>
      <c r="G8667" s="168">
        <f>SUM(C8667,C8643,C8619,C8595,C8571,C8547,C8523,C8499,C8475,C8451,C8427,C8403,C8379,C8355)/POBLA!$B$2*100000</f>
        <v>314.37298050555881</v>
      </c>
      <c r="H8667" s="256">
        <f t="shared" si="1343"/>
        <v>0.78641724278161851</v>
      </c>
      <c r="I8667" s="297">
        <f t="shared" ref="I8667:I8689" si="1345">G8667*H8667</f>
        <v>247.22833253422107</v>
      </c>
      <c r="J8667" s="297">
        <f t="shared" ref="J8667:J8689" si="1346">AVERAGE(C8667,C8643,C8619,C8595,C8571,C8547,C8523)</f>
        <v>725.85714285714289</v>
      </c>
      <c r="K8667" s="297">
        <f>J8667/POBLA!$B$2*100000</f>
        <v>23.600152386104998</v>
      </c>
      <c r="L8667" s="549">
        <f t="shared" si="1344"/>
        <v>-0.10745422842197039</v>
      </c>
      <c r="M8667" s="401">
        <f>SUM(C8667,C8643,C8619,C8595,C8571,C8547,C8523)/POBLA!$B$2*100000</f>
        <v>165.20106670273498</v>
      </c>
    </row>
    <row r="8668" spans="1:13" s="360" customFormat="1" x14ac:dyDescent="0.25">
      <c r="A8668" s="367" t="s">
        <v>28</v>
      </c>
      <c r="B8668" s="267">
        <v>44254</v>
      </c>
      <c r="C8668" s="1">
        <v>118</v>
      </c>
      <c r="D8668" s="39">
        <f t="shared" si="1335"/>
        <v>7840</v>
      </c>
      <c r="E8668" s="1"/>
      <c r="F8668" s="39">
        <f t="shared" si="1342"/>
        <v>17</v>
      </c>
      <c r="G8668" s="168">
        <f>SUM(C8668,C8644,C8620,C8596,C8572,C8548,C8524,C8500,C8476,C8452,C8428,C8404,C8380,C8356)/POBLA!$B$3*100000</f>
        <v>259.7258796739826</v>
      </c>
      <c r="H8668" s="256">
        <f t="shared" si="1343"/>
        <v>0.70986842105263159</v>
      </c>
      <c r="I8668" s="297">
        <f t="shared" si="1345"/>
        <v>184.3712001106758</v>
      </c>
      <c r="J8668" s="297">
        <f t="shared" si="1346"/>
        <v>94.142857142857139</v>
      </c>
      <c r="K8668" s="297">
        <f>J8668/POBLA!$B$3*100000</f>
        <v>22.661108791891241</v>
      </c>
      <c r="L8668" s="549">
        <f t="shared" si="1344"/>
        <v>-0.56904761904761902</v>
      </c>
      <c r="M8668" s="401">
        <f>SUM(C8668,C8644,C8620,C8596,C8572,C8548,C8524)/POBLA!$B$3*100000</f>
        <v>158.62776154323871</v>
      </c>
    </row>
    <row r="8669" spans="1:13" s="360" customFormat="1" x14ac:dyDescent="0.25">
      <c r="A8669" s="367" t="s">
        <v>15</v>
      </c>
      <c r="B8669" s="267">
        <v>44254</v>
      </c>
      <c r="C8669" s="1">
        <v>105</v>
      </c>
      <c r="D8669" s="39">
        <f t="shared" si="1335"/>
        <v>34059</v>
      </c>
      <c r="E8669" s="1">
        <v>2</v>
      </c>
      <c r="F8669" s="39">
        <f t="shared" si="1342"/>
        <v>865</v>
      </c>
      <c r="G8669" s="168">
        <f>SUM(C8669,C8645,C8621,C8597,C8573,C8549,C8525,C8501,C8477,C8453,C8429,C8405,C8381,C8357)/POBLA!$B$4*100000</f>
        <v>140.55146317144869</v>
      </c>
      <c r="H8669" s="256">
        <f t="shared" si="1343"/>
        <v>0.99705535924617195</v>
      </c>
      <c r="I8669" s="297">
        <f t="shared" si="1345"/>
        <v>140.13758960498387</v>
      </c>
      <c r="J8669" s="297">
        <f t="shared" si="1346"/>
        <v>133.42857142857142</v>
      </c>
      <c r="K8669" s="297">
        <f>J8669/POBLA!$B$4*100000</f>
        <v>11.077129913267495</v>
      </c>
      <c r="L8669" s="549">
        <f t="shared" si="1344"/>
        <v>-0.23056653491436108</v>
      </c>
      <c r="M8669" s="401">
        <f>SUM(C8669,C8645,C8621,C8597,C8573,C8549,C8525)/POBLA!$B$4*100000</f>
        <v>77.539909392872474</v>
      </c>
    </row>
    <row r="8670" spans="1:13" s="360" customFormat="1" x14ac:dyDescent="0.25">
      <c r="A8670" s="367" t="s">
        <v>29</v>
      </c>
      <c r="B8670" s="267">
        <v>44254</v>
      </c>
      <c r="C8670" s="1">
        <v>77</v>
      </c>
      <c r="D8670" s="39">
        <f t="shared" si="1335"/>
        <v>46882</v>
      </c>
      <c r="E8670" s="1">
        <v>2</v>
      </c>
      <c r="F8670" s="39">
        <f t="shared" si="1342"/>
        <v>770</v>
      </c>
      <c r="G8670" s="168">
        <f>SUM(C8670,C8646,C8622,C8598,C8574,C8550,C8526,C8502,C8478,C8454,C8430,C8406,C8382,C8358)/POBLA!$B$5*100000</f>
        <v>279.97040359034173</v>
      </c>
      <c r="H8670" s="256">
        <f t="shared" si="1343"/>
        <v>0.59086259802250252</v>
      </c>
      <c r="I8670" s="297">
        <f t="shared" si="1345"/>
        <v>165.42404003479788</v>
      </c>
      <c r="J8670" s="297">
        <f t="shared" si="1346"/>
        <v>118.14285714285714</v>
      </c>
      <c r="K8670" s="297">
        <f>J8670/POBLA!$B$5*100000</f>
        <v>19.086268549106638</v>
      </c>
      <c r="L8670" s="549">
        <f t="shared" si="1344"/>
        <v>8.7196467991169979E-2</v>
      </c>
      <c r="M8670" s="401">
        <f>SUM(C8670,C8646,C8622,C8598,C8574,C8550,C8526)/POBLA!$B$5*100000</f>
        <v>133.60387984374648</v>
      </c>
    </row>
    <row r="8671" spans="1:13" s="360" customFormat="1" x14ac:dyDescent="0.25">
      <c r="A8671" s="367" t="s">
        <v>30</v>
      </c>
      <c r="B8671" s="267">
        <v>44254</v>
      </c>
      <c r="C8671" s="1">
        <v>172</v>
      </c>
      <c r="D8671" s="39">
        <f t="shared" si="1335"/>
        <v>21798</v>
      </c>
      <c r="E8671" s="1"/>
      <c r="F8671" s="39">
        <f t="shared" si="1342"/>
        <v>300</v>
      </c>
      <c r="G8671" s="168">
        <f>SUM(C8671,C8647,C8623,C8599,C8575,C8551,C8527,C8503,C8479,C8455,C8431,C8407,C8383,C8359)/POBLA!$B$6*100000</f>
        <v>226.35597220202337</v>
      </c>
      <c r="H8671" s="256">
        <f t="shared" si="1343"/>
        <v>1.3151892172109902</v>
      </c>
      <c r="I8671" s="297">
        <f t="shared" si="1345"/>
        <v>297.70093389141181</v>
      </c>
      <c r="J8671" s="297">
        <f t="shared" si="1346"/>
        <v>140.57142857142858</v>
      </c>
      <c r="K8671" s="297">
        <f>J8671/POBLA!$B$6*100000</f>
        <v>12.542050602330708</v>
      </c>
      <c r="L8671" s="549">
        <f t="shared" si="1344"/>
        <v>0.3663876368319382</v>
      </c>
      <c r="M8671" s="401">
        <f>SUM(C8671,C8647,C8623,C8599,C8575,C8551,C8527)/POBLA!$B$6*100000</f>
        <v>87.794354216314943</v>
      </c>
    </row>
    <row r="8672" spans="1:13" s="360" customFormat="1" x14ac:dyDescent="0.25">
      <c r="A8672" s="367" t="s">
        <v>20</v>
      </c>
      <c r="B8672" s="267">
        <v>44254</v>
      </c>
      <c r="C8672" s="1">
        <v>533</v>
      </c>
      <c r="D8672" s="39">
        <f t="shared" si="1335"/>
        <v>159544</v>
      </c>
      <c r="E8672" s="1">
        <v>4</v>
      </c>
      <c r="F8672" s="39">
        <f t="shared" si="1342"/>
        <v>2832</v>
      </c>
      <c r="G8672" s="168">
        <f>SUM(C8672,C8648,C8624,C8600,C8576,C8552,C8528,C8504,C8480,C8456,C8432,C8408,C8384,C8360)/POBLA!$B$7*100000</f>
        <v>206.81035514366633</v>
      </c>
      <c r="H8672" s="256">
        <f t="shared" si="1343"/>
        <v>1.0998444350162637</v>
      </c>
      <c r="I8672" s="297">
        <f t="shared" si="1345"/>
        <v>227.45921820849856</v>
      </c>
      <c r="J8672" s="297">
        <f t="shared" si="1346"/>
        <v>624.14285714285711</v>
      </c>
      <c r="K8672" s="297">
        <f>J8672/POBLA!$B$7*100000</f>
        <v>16.597557663121624</v>
      </c>
      <c r="L8672" s="549">
        <f t="shared" si="1344"/>
        <v>-0.28198356807511726</v>
      </c>
      <c r="M8672" s="401">
        <f>SUM(C8672,C8648,C8624,C8600,C8576,C8552,C8528)/POBLA!$B$7*100000</f>
        <v>116.18290364185137</v>
      </c>
    </row>
    <row r="8673" spans="1:13" x14ac:dyDescent="0.25">
      <c r="A8673" s="367" t="s">
        <v>31</v>
      </c>
      <c r="B8673" s="267">
        <v>44254</v>
      </c>
      <c r="C8673" s="1">
        <v>112</v>
      </c>
      <c r="D8673" s="39">
        <f t="shared" si="1335"/>
        <v>45115</v>
      </c>
      <c r="E8673" s="1">
        <v>1</v>
      </c>
      <c r="F8673" s="39">
        <f t="shared" ref="F8673:F8689" si="1347">E8673+F8649</f>
        <v>837</v>
      </c>
      <c r="G8673" s="168">
        <f>SUM(C8673,C8649,C8625,C8601,C8577,C8553,C8529,C8505,C8481,C8457,C8433,C8409,C8385,C8361)/POBLA!$B$8*100000</f>
        <v>121.50414044839646</v>
      </c>
      <c r="H8673" s="256">
        <f t="shared" si="1343"/>
        <v>0.65550797975866093</v>
      </c>
      <c r="I8673" s="297">
        <f t="shared" si="1345"/>
        <v>79.646933637640956</v>
      </c>
      <c r="J8673" s="297">
        <f t="shared" si="1346"/>
        <v>126.28571428571429</v>
      </c>
      <c r="K8673" s="297">
        <f>J8673/POBLA!$B$8*100000</f>
        <v>9.1117797893096775</v>
      </c>
      <c r="L8673" s="549">
        <f t="shared" si="1344"/>
        <v>-0.10499999999999998</v>
      </c>
      <c r="M8673" s="401">
        <f>SUM(C8673,C8649,C8625,C8601,C8577,C8553,C8529)/POBLA!$B$8*100000</f>
        <v>63.782458525167733</v>
      </c>
    </row>
    <row r="8674" spans="1:13" s="360" customFormat="1" x14ac:dyDescent="0.25">
      <c r="A8674" s="367" t="s">
        <v>41</v>
      </c>
      <c r="B8674" s="267">
        <v>44254</v>
      </c>
      <c r="C8674" s="1">
        <v>12</v>
      </c>
      <c r="D8674" s="39">
        <f t="shared" si="1335"/>
        <v>1220</v>
      </c>
      <c r="E8674" s="1"/>
      <c r="F8674" s="39">
        <f t="shared" si="1347"/>
        <v>19</v>
      </c>
      <c r="G8674" s="168">
        <f>SUM(C8674,C8650,C8626,C8602,C8578,C8554,C8530,C8506,C8482,C8458,C8434,C8410,C8386,C8362)/POBLA!$B$9*100000</f>
        <v>43.291974626276243</v>
      </c>
      <c r="H8674" s="256">
        <f t="shared" si="1343"/>
        <v>2.2782608695652176</v>
      </c>
      <c r="I8674" s="297">
        <f t="shared" si="1345"/>
        <v>98.630411757255445</v>
      </c>
      <c r="J8674" s="297">
        <f t="shared" si="1346"/>
        <v>21.428571428571427</v>
      </c>
      <c r="K8674" s="297">
        <f>J8674/POBLA!$B$9*100000</f>
        <v>3.5407830937521463</v>
      </c>
      <c r="L8674" s="549">
        <f t="shared" si="1344"/>
        <v>-0.33928571428571419</v>
      </c>
      <c r="M8674" s="401">
        <f>SUM(C8674,C8650,C8626,C8602,C8578,C8554,C8530)/POBLA!$B$9*100000</f>
        <v>24.785481656265027</v>
      </c>
    </row>
    <row r="8675" spans="1:13" s="360" customFormat="1" x14ac:dyDescent="0.25">
      <c r="A8675" s="367" t="s">
        <v>32</v>
      </c>
      <c r="B8675" s="267">
        <v>44254</v>
      </c>
      <c r="C8675" s="1">
        <v>93</v>
      </c>
      <c r="D8675" s="39">
        <f t="shared" si="1335"/>
        <v>20667</v>
      </c>
      <c r="E8675" s="1"/>
      <c r="F8675" s="39">
        <f t="shared" si="1347"/>
        <v>904</v>
      </c>
      <c r="G8675" s="168">
        <f>SUM(C8675,C8651,C8627,C8603,C8579,C8555,C8531,C8507,C8483,C8459,C8435,C8411,C8387,C8363)/POBLA!$B$10*100000</f>
        <v>122.84645749473654</v>
      </c>
      <c r="H8675" s="256">
        <f t="shared" si="1343"/>
        <v>2.2126168224299065</v>
      </c>
      <c r="I8675" s="297">
        <f t="shared" si="1345"/>
        <v>271.81213842877452</v>
      </c>
      <c r="J8675" s="297">
        <f t="shared" si="1346"/>
        <v>89.285714285714292</v>
      </c>
      <c r="K8675" s="297">
        <f>J8675/POBLA!$B$10*100000</f>
        <v>11.58229535890939</v>
      </c>
      <c r="L8675" s="549">
        <f t="shared" si="1344"/>
        <v>-0.94099378881987583</v>
      </c>
      <c r="M8675" s="401">
        <f>SUM(C8675,C8651,C8627,C8603,C8579,C8555,C8531)/POBLA!$B$10*100000</f>
        <v>81.076067512365711</v>
      </c>
    </row>
    <row r="8676" spans="1:13" s="360" customFormat="1" x14ac:dyDescent="0.25">
      <c r="A8676" s="367" t="s">
        <v>33</v>
      </c>
      <c r="B8676" s="267">
        <v>44254</v>
      </c>
      <c r="C8676" s="1">
        <v>53</v>
      </c>
      <c r="D8676" s="39">
        <f t="shared" si="1335"/>
        <v>18643</v>
      </c>
      <c r="E8676" s="1"/>
      <c r="F8676" s="39">
        <f t="shared" si="1347"/>
        <v>285</v>
      </c>
      <c r="G8676" s="168">
        <f>SUM(C8676,C8652,C8628,C8604,C8580,C8556,C8532,C8508,C8484,C8460,C8436,C8412,C8388,C8364)/POBLA!$B$11*100000</f>
        <v>272.02115906123402</v>
      </c>
      <c r="H8676" s="256">
        <f t="shared" si="1343"/>
        <v>0.76291079812206575</v>
      </c>
      <c r="I8676" s="297">
        <f t="shared" si="1345"/>
        <v>207.52787956549545</v>
      </c>
      <c r="J8676" s="297">
        <f t="shared" si="1346"/>
        <v>81.714285714285708</v>
      </c>
      <c r="K8676" s="297">
        <f>J8676/POBLA!$B$11*100000</f>
        <v>22.797963807036759</v>
      </c>
      <c r="L8676" s="549">
        <f t="shared" si="1344"/>
        <v>-0.41935483870967749</v>
      </c>
      <c r="M8676" s="401">
        <f>SUM(C8676,C8652,C8628,C8604,C8580,C8556,C8532)/POBLA!$B$11*100000</f>
        <v>159.58574664925732</v>
      </c>
    </row>
    <row r="8677" spans="1:13" s="360" customFormat="1" x14ac:dyDescent="0.25">
      <c r="A8677" s="367" t="s">
        <v>21</v>
      </c>
      <c r="B8677" s="267">
        <v>44254</v>
      </c>
      <c r="C8677" s="1">
        <v>5</v>
      </c>
      <c r="D8677" s="39">
        <f t="shared" si="1335"/>
        <v>10174</v>
      </c>
      <c r="E8677" s="1"/>
      <c r="F8677" s="39">
        <f t="shared" si="1347"/>
        <v>435</v>
      </c>
      <c r="G8677" s="168">
        <f>SUM(C8677,C8653,C8629,C8605,C8581,C8557,C8533,C8509,C8485,C8461,C8437,C8413,C8389,C8365)/POBLA!$B$12*100000</f>
        <v>90.971232253621693</v>
      </c>
      <c r="H8677" s="256">
        <f t="shared" si="1343"/>
        <v>1.2605633802816902</v>
      </c>
      <c r="I8677" s="297">
        <f t="shared" si="1345"/>
        <v>114.67500403801608</v>
      </c>
      <c r="J8677" s="297">
        <f t="shared" si="1346"/>
        <v>25.714285714285715</v>
      </c>
      <c r="K8677" s="297">
        <f>J8677/POBLA!$B$12*100000</f>
        <v>6.5342465305873532</v>
      </c>
      <c r="L8677" s="549">
        <f t="shared" si="1344"/>
        <v>-1.1235955056179803E-2</v>
      </c>
      <c r="M8677" s="401">
        <f>SUM(C8677,C8653,C8629,C8605,C8581,C8557,C8533)/POBLA!$B$12*100000</f>
        <v>45.739725714111465</v>
      </c>
    </row>
    <row r="8678" spans="1:13" s="360" customFormat="1" x14ac:dyDescent="0.25">
      <c r="A8678" s="367" t="s">
        <v>17</v>
      </c>
      <c r="B8678" s="267">
        <v>44254</v>
      </c>
      <c r="C8678" s="1">
        <v>121</v>
      </c>
      <c r="D8678" s="39">
        <f t="shared" si="1335"/>
        <v>67185</v>
      </c>
      <c r="E8678" s="1"/>
      <c r="F8678" s="39">
        <f t="shared" si="1347"/>
        <v>1447</v>
      </c>
      <c r="G8678" s="168">
        <f>SUM(C8678,C8654,C8630,C8606,C8582,C8558,C8534,C8510,C8486,C8462,C8438,C8414,C8390,C8366)/POBLA!$B$13*100000</f>
        <v>78.629860857804061</v>
      </c>
      <c r="H8678" s="256">
        <f t="shared" si="1343"/>
        <v>0.84503239740820735</v>
      </c>
      <c r="I8678" s="297">
        <f t="shared" si="1345"/>
        <v>66.444779828543929</v>
      </c>
      <c r="J8678" s="297">
        <f t="shared" si="1346"/>
        <v>127.28571428571429</v>
      </c>
      <c r="K8678" s="297">
        <f>J8678/POBLA!$B$13*100000</f>
        <v>6.3951808328894035</v>
      </c>
      <c r="L8678" s="549">
        <f t="shared" si="1344"/>
        <v>-0.32195845697329384</v>
      </c>
      <c r="M8678" s="401">
        <f>SUM(C8678,C8654,C8630,C8606,C8582,C8558,C8534)/POBLA!$B$13*100000</f>
        <v>44.766265830225819</v>
      </c>
    </row>
    <row r="8679" spans="1:13" s="360" customFormat="1" x14ac:dyDescent="0.25">
      <c r="A8679" s="367" t="s">
        <v>23</v>
      </c>
      <c r="B8679" s="267">
        <v>44254</v>
      </c>
      <c r="C8679" s="1">
        <v>125</v>
      </c>
      <c r="D8679" s="39">
        <f t="shared" si="1335"/>
        <v>8201</v>
      </c>
      <c r="E8679" s="1">
        <v>1</v>
      </c>
      <c r="F8679" s="39">
        <f t="shared" si="1347"/>
        <v>140</v>
      </c>
      <c r="G8679" s="168">
        <f>SUM(C8679,C8655,C8631,C8607,C8583,C8559,C8535,C8511,C8487,C8463,C8439,C8415,C8391,C8367)/POBLA!$B$14*100000</f>
        <v>125.42674428008061</v>
      </c>
      <c r="H8679" s="256">
        <f t="shared" si="1343"/>
        <v>0.77473065621939274</v>
      </c>
      <c r="I8679" s="297">
        <f t="shared" si="1345"/>
        <v>97.171943903568817</v>
      </c>
      <c r="J8679" s="297">
        <f t="shared" si="1346"/>
        <v>119.42857142857143</v>
      </c>
      <c r="K8679" s="297">
        <f>J8679/POBLA!$B$14*100000</f>
        <v>9.4687338105605381</v>
      </c>
      <c r="L8679" s="549">
        <f t="shared" si="1344"/>
        <v>-0.12064343163538882</v>
      </c>
      <c r="M8679" s="401">
        <f>SUM(C8679,C8655,C8631,C8607,C8583,C8559,C8535)/POBLA!$B$14*100000</f>
        <v>66.281136673923768</v>
      </c>
    </row>
    <row r="8680" spans="1:13" s="360" customFormat="1" x14ac:dyDescent="0.25">
      <c r="A8680" s="367" t="s">
        <v>19</v>
      </c>
      <c r="B8680" s="267">
        <v>44254</v>
      </c>
      <c r="C8680" s="1">
        <v>83</v>
      </c>
      <c r="D8680" s="39">
        <f t="shared" si="1335"/>
        <v>61097</v>
      </c>
      <c r="E8680" s="1">
        <v>4</v>
      </c>
      <c r="F8680" s="39">
        <f t="shared" si="1347"/>
        <v>900</v>
      </c>
      <c r="G8680" s="168">
        <f>SUM(C8680,C8656,C8632,C8608,C8584,C8560,C8536,C8512,C8488,C8464,C8440,C8416,C8392,C8368)/POBLA!$B$15*100000</f>
        <v>401.47156042327691</v>
      </c>
      <c r="H8680" s="256">
        <f t="shared" si="1343"/>
        <v>0.57618327209855202</v>
      </c>
      <c r="I8680" s="297">
        <f t="shared" si="1345"/>
        <v>231.32119733919524</v>
      </c>
      <c r="J8680" s="297">
        <f t="shared" si="1346"/>
        <v>175.85714285714286</v>
      </c>
      <c r="K8680" s="297">
        <f>J8680/POBLA!$B$15*100000</f>
        <v>26.482236141949091</v>
      </c>
      <c r="L8680" s="549">
        <f t="shared" si="1344"/>
        <v>0.14216027874564463</v>
      </c>
      <c r="M8680" s="401">
        <f>SUM(C8680,C8656,C8632,C8608,C8584,C8560,C8536)/POBLA!$B$15*100000</f>
        <v>185.3756529936436</v>
      </c>
    </row>
    <row r="8681" spans="1:13" s="360" customFormat="1" x14ac:dyDescent="0.25">
      <c r="A8681" s="367" t="s">
        <v>18</v>
      </c>
      <c r="B8681" s="267">
        <v>44254</v>
      </c>
      <c r="C8681" s="1">
        <v>85</v>
      </c>
      <c r="D8681" s="39">
        <f t="shared" si="1335"/>
        <v>52270</v>
      </c>
      <c r="E8681" s="1">
        <v>2</v>
      </c>
      <c r="F8681" s="39">
        <f t="shared" si="1347"/>
        <v>1182</v>
      </c>
      <c r="G8681" s="168">
        <f>SUM(C8681,C8657,C8633,C8609,C8585,C8561,C8537,C8513,C8489,C8465,C8441,C8417,C8393,C8369)/POBLA!$B$16*100000</f>
        <v>235.4168617327216</v>
      </c>
      <c r="H8681" s="256">
        <f t="shared" si="1343"/>
        <v>0.65281899109792285</v>
      </c>
      <c r="I8681" s="297">
        <f t="shared" si="1345"/>
        <v>153.6845981637945</v>
      </c>
      <c r="J8681" s="297">
        <f t="shared" si="1346"/>
        <v>126.42857142857143</v>
      </c>
      <c r="K8681" s="297">
        <f>J8681/POBLA!$B$16*100000</f>
        <v>16.911032681287228</v>
      </c>
      <c r="L8681" s="549">
        <f t="shared" si="1344"/>
        <v>-1.1428571428571344E-2</v>
      </c>
      <c r="M8681" s="401">
        <f>SUM(C8681,C8657,C8633,C8609,C8585,C8561,C8537)/POBLA!$B$16*100000</f>
        <v>118.37722876901057</v>
      </c>
    </row>
    <row r="8682" spans="1:13" s="360" customFormat="1" x14ac:dyDescent="0.25">
      <c r="A8682" s="367" t="s">
        <v>34</v>
      </c>
      <c r="B8682" s="267">
        <v>44254</v>
      </c>
      <c r="C8682" s="1">
        <v>112</v>
      </c>
      <c r="D8682" s="39">
        <f t="shared" si="1335"/>
        <v>26059</v>
      </c>
      <c r="E8682" s="1">
        <v>3</v>
      </c>
      <c r="F8682" s="39">
        <f t="shared" si="1347"/>
        <v>1095</v>
      </c>
      <c r="G8682" s="168">
        <f>SUM(C8682,C8658,C8634,C8610,C8586,C8562,C8538,C8514,C8490,C8466,C8442,C8418,C8394,C8370)/POBLA!$B$17*100000</f>
        <v>88.177663951833651</v>
      </c>
      <c r="H8682" s="256">
        <f t="shared" si="1343"/>
        <v>1.2253658536585366</v>
      </c>
      <c r="I8682" s="297">
        <f t="shared" si="1345"/>
        <v>108.04989846195421</v>
      </c>
      <c r="J8682" s="297">
        <f t="shared" si="1346"/>
        <v>105.28571428571429</v>
      </c>
      <c r="K8682" s="297">
        <f>J8682/POBLA!$B$17*100000</f>
        <v>7.3915989914128071</v>
      </c>
      <c r="L8682" s="549">
        <f t="shared" si="1344"/>
        <v>-0.42003853564547211</v>
      </c>
      <c r="M8682" s="401">
        <f>SUM(C8682,C8658,C8634,C8610,C8586,C8562,C8538)/POBLA!$B$17*100000</f>
        <v>51.741192939889658</v>
      </c>
    </row>
    <row r="8683" spans="1:13" s="360" customFormat="1" x14ac:dyDescent="0.25">
      <c r="A8683" s="367" t="s">
        <v>35</v>
      </c>
      <c r="B8683" s="267">
        <v>44254</v>
      </c>
      <c r="C8683" s="1">
        <v>12</v>
      </c>
      <c r="D8683" s="39">
        <f t="shared" si="1335"/>
        <v>15239</v>
      </c>
      <c r="E8683" s="1"/>
      <c r="F8683" s="39">
        <f t="shared" si="1347"/>
        <v>208</v>
      </c>
      <c r="G8683" s="168">
        <f>SUM(C8683,C8659,C8635,C8611,C8587,C8563,C8539,C8515,C8491,C8467,C8443,C8419,C8395,C8371)/POBLA!$B$18*100000</f>
        <v>81.283433412227339</v>
      </c>
      <c r="H8683" s="256">
        <f t="shared" si="1343"/>
        <v>0.95488721804511278</v>
      </c>
      <c r="I8683" s="297">
        <f t="shared" si="1345"/>
        <v>77.616511604156926</v>
      </c>
      <c r="J8683" s="297">
        <f t="shared" si="1346"/>
        <v>46.142857142857146</v>
      </c>
      <c r="K8683" s="297">
        <f>J8683/POBLA!$B$18*100000</f>
        <v>5.9065352063328307</v>
      </c>
      <c r="L8683" s="549">
        <f t="shared" si="1344"/>
        <v>-3.5256410256410353E-2</v>
      </c>
      <c r="M8683" s="401">
        <f>SUM(C8683,C8659,C8635,C8611,C8587,C8563,C8539)/POBLA!$B$18*100000</f>
        <v>41.345746444329812</v>
      </c>
    </row>
    <row r="8684" spans="1:13" s="360" customFormat="1" x14ac:dyDescent="0.25">
      <c r="A8684" s="367" t="s">
        <v>36</v>
      </c>
      <c r="B8684" s="267">
        <v>44254</v>
      </c>
      <c r="C8684" s="1">
        <v>16</v>
      </c>
      <c r="D8684" s="39">
        <f t="shared" si="1335"/>
        <v>20772</v>
      </c>
      <c r="E8684" s="1"/>
      <c r="F8684" s="39">
        <f t="shared" si="1347"/>
        <v>353</v>
      </c>
      <c r="G8684" s="168">
        <f>SUM(C8684,C8660,C8636,C8612,C8588,C8564,C8540,C8516,C8492,C8468,C8444,C8420,C8396,C8372)/POBLA!$B$19*100000</f>
        <v>194.75614170378182</v>
      </c>
      <c r="H8684" s="256">
        <f t="shared" si="1343"/>
        <v>1.2468513853904282</v>
      </c>
      <c r="I8684" s="297">
        <f t="shared" si="1345"/>
        <v>242.8319650966549</v>
      </c>
      <c r="J8684" s="297">
        <f t="shared" si="1346"/>
        <v>36.428571428571431</v>
      </c>
      <c r="K8684" s="297">
        <f>J8684/POBLA!$B$19*100000</f>
        <v>7.1663515345547424</v>
      </c>
      <c r="L8684" s="549">
        <f t="shared" si="1344"/>
        <v>0.65306122448979598</v>
      </c>
      <c r="M8684" s="401">
        <f>SUM(C8684,C8660,C8636,C8612,C8588,C8564,C8540)/POBLA!$B$19*100000</f>
        <v>50.16446074188319</v>
      </c>
    </row>
    <row r="8685" spans="1:13" s="360" customFormat="1" x14ac:dyDescent="0.25">
      <c r="A8685" s="367" t="s">
        <v>37</v>
      </c>
      <c r="B8685" s="267">
        <v>44254</v>
      </c>
      <c r="C8685" s="1">
        <v>69</v>
      </c>
      <c r="D8685" s="39">
        <f t="shared" si="1335"/>
        <v>35896</v>
      </c>
      <c r="E8685" s="1"/>
      <c r="F8685" s="39">
        <f t="shared" si="1347"/>
        <v>573</v>
      </c>
      <c r="G8685" s="168">
        <f>SUM(C8685,C8661,C8637,C8613,C8589,C8565,C8541,C8517,C8493,C8469,C8445,C8421,C8397,C8373)/POBLA!$B$20*100000</f>
        <v>388.02509174236667</v>
      </c>
      <c r="H8685" s="256">
        <f t="shared" si="1343"/>
        <v>0.69695481335952847</v>
      </c>
      <c r="I8685" s="297">
        <f t="shared" si="1345"/>
        <v>270.43595539411507</v>
      </c>
      <c r="J8685" s="297">
        <f t="shared" si="1346"/>
        <v>112.57142857142857</v>
      </c>
      <c r="K8685" s="297">
        <f>J8685/POBLA!$B$20*100000</f>
        <v>30.78262078858199</v>
      </c>
      <c r="L8685" s="549">
        <f t="shared" si="1344"/>
        <v>-0.24881141045958799</v>
      </c>
      <c r="M8685" s="401">
        <f>SUM(C8685,C8661,C8637,C8613,C8589,C8565,C8541)/POBLA!$B$20*100000</f>
        <v>215.47834552007396</v>
      </c>
    </row>
    <row r="8686" spans="1:13" s="360" customFormat="1" x14ac:dyDescent="0.25">
      <c r="A8686" s="367" t="s">
        <v>22</v>
      </c>
      <c r="B8686" s="267">
        <v>44254</v>
      </c>
      <c r="C8686" s="1">
        <v>379</v>
      </c>
      <c r="D8686" s="39">
        <f t="shared" si="1335"/>
        <v>216342</v>
      </c>
      <c r="E8686" s="1">
        <v>14</v>
      </c>
      <c r="F8686" s="39">
        <f t="shared" si="1347"/>
        <v>3958</v>
      </c>
      <c r="G8686" s="168">
        <f>SUM(C8686,C8662,C8638,C8614,C8590,C8566,C8542,C8518,C8494,C8470,C8446,C8422,C8398,C8374)/POBLA!$B$21*100000</f>
        <v>130.58411081495456</v>
      </c>
      <c r="H8686" s="256">
        <f t="shared" si="1343"/>
        <v>0.75519215044971377</v>
      </c>
      <c r="I8686" s="297">
        <f t="shared" si="1345"/>
        <v>98.61609546090925</v>
      </c>
      <c r="J8686" s="297">
        <f t="shared" si="1346"/>
        <v>355.71428571428572</v>
      </c>
      <c r="K8686" s="297">
        <f>J8686/POBLA!$B$21*100000</f>
        <v>10.058604093585252</v>
      </c>
      <c r="L8686" s="549">
        <f t="shared" si="1344"/>
        <v>-0.17011278195488733</v>
      </c>
      <c r="M8686" s="401">
        <f>SUM(C8686,C8662,C8638,C8614,C8590,C8566,C8542)/POBLA!$B$21*100000</f>
        <v>70.410228655096773</v>
      </c>
    </row>
    <row r="8687" spans="1:13" s="360" customFormat="1" x14ac:dyDescent="0.25">
      <c r="A8687" s="367" t="s">
        <v>38</v>
      </c>
      <c r="B8687" s="267">
        <v>44254</v>
      </c>
      <c r="C8687" s="1">
        <v>83</v>
      </c>
      <c r="D8687" s="39">
        <f t="shared" si="1335"/>
        <v>22568</v>
      </c>
      <c r="E8687" s="1">
        <v>1</v>
      </c>
      <c r="F8687" s="39">
        <f t="shared" si="1347"/>
        <v>268</v>
      </c>
      <c r="G8687" s="168">
        <f>SUM(C8687,C8663,C8639,C8615,C8591,C8567,C8543,C8519,C8495,C8471,C8447,C8423,C8399,C8375)/POBLA!$B$22*100000</f>
        <v>75.129329774826672</v>
      </c>
      <c r="H8687" s="256">
        <f t="shared" si="1343"/>
        <v>0.68627450980392157</v>
      </c>
      <c r="I8687" s="297">
        <f t="shared" si="1345"/>
        <v>51.559343963116341</v>
      </c>
      <c r="J8687" s="297">
        <f t="shared" si="1346"/>
        <v>61.142857142857146</v>
      </c>
      <c r="K8687" s="297">
        <f>J8687/POBLA!$B$22*100000</f>
        <v>6.2498256838922863</v>
      </c>
      <c r="L8687" s="549">
        <f t="shared" si="1344"/>
        <v>-0.39413680781758953</v>
      </c>
      <c r="M8687" s="401">
        <f>SUM(C8687,C8663,C8639,C8615,C8591,C8567,C8543)/POBLA!$B$22*100000</f>
        <v>43.748779787246001</v>
      </c>
    </row>
    <row r="8688" spans="1:13" s="360" customFormat="1" x14ac:dyDescent="0.25">
      <c r="A8688" s="367" t="s">
        <v>39</v>
      </c>
      <c r="B8688" s="267">
        <v>44254</v>
      </c>
      <c r="C8688" s="1">
        <v>39</v>
      </c>
      <c r="D8688" s="39">
        <f t="shared" si="1335"/>
        <v>22933</v>
      </c>
      <c r="E8688" s="1"/>
      <c r="F8688" s="39">
        <f t="shared" si="1347"/>
        <v>353</v>
      </c>
      <c r="G8688" s="168">
        <f>SUM(C8688,C8664,C8640,C8616,C8592,C8568,C8544,C8520,C8496,C8472,C8448,C8424,C8400,C8376)/POBLA!$B$23*100000</f>
        <v>286.1505400667308</v>
      </c>
      <c r="H8688" s="256">
        <f t="shared" si="1343"/>
        <v>0.7760736196319018</v>
      </c>
      <c r="I8688" s="297">
        <f t="shared" si="1345"/>
        <v>222.07388538921131</v>
      </c>
      <c r="J8688" s="297">
        <f t="shared" si="1346"/>
        <v>38.142857142857146</v>
      </c>
      <c r="K8688" s="297">
        <f>J8688/POBLA!$B$23*100000</f>
        <v>21.57035409311607</v>
      </c>
      <c r="L8688" s="549">
        <f t="shared" si="1344"/>
        <v>-0.11715481171548126</v>
      </c>
      <c r="M8688" s="401">
        <f>SUM(C8688,C8664,C8640,C8616,C8592,C8568,C8544)/POBLA!$B$23*100000</f>
        <v>150.99247865181246</v>
      </c>
    </row>
    <row r="8689" spans="1:13" s="360" customFormat="1" ht="15.75" thickBot="1" x14ac:dyDescent="0.3">
      <c r="A8689" s="369" t="s">
        <v>40</v>
      </c>
      <c r="B8689" s="267">
        <v>44254</v>
      </c>
      <c r="C8689" s="1">
        <v>73</v>
      </c>
      <c r="D8689" s="176">
        <f t="shared" si="1335"/>
        <v>79713</v>
      </c>
      <c r="E8689" s="1"/>
      <c r="F8689" s="176">
        <f t="shared" si="1347"/>
        <v>1473</v>
      </c>
      <c r="G8689" s="177">
        <f>SUM(C8689,C8665,C8641,C8617,C8593,C8569,C8545,C8521,C8497,C8473,C8449,C8425,C8401,C8377)/POBLA!$B$24*100000</f>
        <v>99.253181766683042</v>
      </c>
      <c r="H8689" s="402">
        <f t="shared" si="1343"/>
        <v>0.98593200468933173</v>
      </c>
      <c r="I8689" s="403">
        <f t="shared" si="1345"/>
        <v>97.85688847102044</v>
      </c>
      <c r="J8689" s="403">
        <f t="shared" si="1346"/>
        <v>145.71428571428572</v>
      </c>
      <c r="K8689" s="403">
        <f>J8689/POBLA!$B$24*100000</f>
        <v>8.5984580772903598</v>
      </c>
      <c r="L8689" s="550">
        <f t="shared" si="1344"/>
        <v>-0.54078549848942603</v>
      </c>
      <c r="M8689" s="405">
        <f>SUM(C8689,C8665,C8641,C8617,C8593,C8569,C8545)/POBLA!$B$24*100000</f>
        <v>60.189206541032519</v>
      </c>
    </row>
    <row r="8690" spans="1:13" s="360" customFormat="1" x14ac:dyDescent="0.25">
      <c r="A8690" s="363" t="s">
        <v>16</v>
      </c>
      <c r="B8690" s="267">
        <v>44255</v>
      </c>
      <c r="C8690" s="1">
        <v>1282</v>
      </c>
      <c r="D8690" s="174">
        <f t="shared" si="1335"/>
        <v>879807</v>
      </c>
      <c r="E8690" s="1">
        <v>1</v>
      </c>
      <c r="F8690" s="174">
        <f t="shared" ref="F8690:F8696" si="1348">E8690+F8666</f>
        <v>26213</v>
      </c>
      <c r="G8690" s="175">
        <f>SUM(C8690,C8666,C8642,C8618,C8594,C8570,C8546,C8522,C8498,C8474,C8450,C8426,C8402,C8378)/POBLA!$B$1*100000</f>
        <v>195.01582023655132</v>
      </c>
      <c r="H8690" s="300">
        <f t="shared" ref="H8690:H8713" si="1349">SUM(C8690,C8666,C8642,C8618,C8594,C8570,C8546,C8522,C8498,C8474,C8450,C8426,C8402,C8378)/SUM(C8354,C8330,C8306,C8282,C8258,C8234,C8210,C8186,C8162,C8138,C8114,C8090,C8066,C8042)</f>
        <v>0.82926474509708858</v>
      </c>
      <c r="I8690" s="301">
        <f>G8690*H8690</f>
        <v>161.71974445836338</v>
      </c>
      <c r="J8690" s="301">
        <f>AVERAGE(C8690,C8666,C8642,C8618,C8594,C8570,C8546)</f>
        <v>2562.1428571428573</v>
      </c>
      <c r="K8690" s="301">
        <f>J8690/POBLA!$B$1*100000</f>
        <v>14.606477749325755</v>
      </c>
      <c r="L8690" s="548">
        <f t="shared" ref="L8690:L8713" si="1350">1-SUM(C8690,C8666,C8642,C8618,C8594,C8570,C8546)/SUM(C8522,C8498,C8474,C8450,C8426,C8402,C8378)</f>
        <v>-0.10213236649665092</v>
      </c>
      <c r="M8690" s="400">
        <f>SUM(C8690,C8666,C8642,C8618,C8594,C8570,C8546)/POBLA!$B$1*100000</f>
        <v>102.24534424528029</v>
      </c>
    </row>
    <row r="8691" spans="1:13" s="360" customFormat="1" x14ac:dyDescent="0.25">
      <c r="A8691" s="367" t="s">
        <v>43</v>
      </c>
      <c r="B8691" s="267">
        <v>44255</v>
      </c>
      <c r="C8691" s="1">
        <v>437</v>
      </c>
      <c r="D8691" s="39">
        <f t="shared" si="1335"/>
        <v>231892</v>
      </c>
      <c r="E8691" s="1">
        <v>1</v>
      </c>
      <c r="F8691" s="39">
        <f t="shared" si="1348"/>
        <v>6522</v>
      </c>
      <c r="G8691" s="168">
        <f>SUM(C8691,C8667,C8643,C8619,C8595,C8571,C8547,C8523,C8499,C8475,C8451,C8427,C8403,C8379)/POBLA!$B$2*100000</f>
        <v>307.22001166584192</v>
      </c>
      <c r="H8691" s="256">
        <f t="shared" si="1349"/>
        <v>0.77482574825748263</v>
      </c>
      <c r="I8691" s="297">
        <f t="shared" ref="I8691:I8713" si="1351">G8691*H8691</f>
        <v>238.04197541865852</v>
      </c>
      <c r="J8691" s="297">
        <f t="shared" ref="J8691:J8713" si="1352">AVERAGE(C8691,C8667,C8643,C8619,C8595,C8571,C8547)</f>
        <v>738.14285714285711</v>
      </c>
      <c r="K8691" s="297">
        <f>J8691/POBLA!$B$2*100000</f>
        <v>23.999603892738538</v>
      </c>
      <c r="L8691" s="549">
        <f t="shared" si="1350"/>
        <v>-0.20667912190565163</v>
      </c>
      <c r="M8691" s="401">
        <f>SUM(C8691,C8667,C8643,C8619,C8595,C8571,C8547)/POBLA!$B$2*100000</f>
        <v>167.99722724916975</v>
      </c>
    </row>
    <row r="8692" spans="1:13" s="360" customFormat="1" x14ac:dyDescent="0.25">
      <c r="A8692" s="367" t="s">
        <v>28</v>
      </c>
      <c r="B8692" s="267">
        <v>44255</v>
      </c>
      <c r="C8692" s="1">
        <v>44</v>
      </c>
      <c r="D8692" s="39">
        <f t="shared" si="1335"/>
        <v>7884</v>
      </c>
      <c r="E8692" s="1"/>
      <c r="F8692" s="39">
        <f t="shared" si="1348"/>
        <v>17</v>
      </c>
      <c r="G8692" s="168">
        <f>SUM(C8692,C8668,C8644,C8620,C8596,C8572,C8548,C8524,C8500,C8476,C8452,C8428,C8404,C8380)/POBLA!$B$3*100000</f>
        <v>262.61439733486105</v>
      </c>
      <c r="H8692" s="256">
        <f t="shared" si="1349"/>
        <v>0.7737588652482269</v>
      </c>
      <c r="I8692" s="297">
        <f t="shared" si="1351"/>
        <v>203.20021807966907</v>
      </c>
      <c r="J8692" s="297">
        <f t="shared" si="1352"/>
        <v>84.714285714285708</v>
      </c>
      <c r="K8692" s="297">
        <f>J8692/POBLA!$B$3*100000</f>
        <v>20.391559201201073</v>
      </c>
      <c r="L8692" s="549">
        <f t="shared" si="1350"/>
        <v>-0.19076305220883527</v>
      </c>
      <c r="M8692" s="401">
        <f>SUM(C8692,C8668,C8644,C8620,C8596,C8572,C8548)/POBLA!$B$3*100000</f>
        <v>142.74091440840752</v>
      </c>
    </row>
    <row r="8693" spans="1:13" s="360" customFormat="1" x14ac:dyDescent="0.25">
      <c r="A8693" s="367" t="s">
        <v>15</v>
      </c>
      <c r="B8693" s="267">
        <v>44255</v>
      </c>
      <c r="C8693" s="1">
        <v>84</v>
      </c>
      <c r="D8693" s="39">
        <f t="shared" si="1335"/>
        <v>34143</v>
      </c>
      <c r="E8693" s="1"/>
      <c r="F8693" s="39">
        <f t="shared" si="1348"/>
        <v>865</v>
      </c>
      <c r="G8693" s="168">
        <f>SUM(C8693,C8669,C8645,C8621,C8597,C8573,C8549,C8525,C8501,C8477,C8453,C8429,C8405,C8381)/POBLA!$B$4*100000</f>
        <v>140.88353987120405</v>
      </c>
      <c r="H8693" s="256">
        <f t="shared" si="1349"/>
        <v>1.0029550827423168</v>
      </c>
      <c r="I8693" s="297">
        <f t="shared" si="1351"/>
        <v>141.29986238855395</v>
      </c>
      <c r="J8693" s="297">
        <f t="shared" si="1352"/>
        <v>133.85714285714286</v>
      </c>
      <c r="K8693" s="297">
        <f>J8693/POBLA!$B$4*100000</f>
        <v>11.112709559669854</v>
      </c>
      <c r="L8693" s="549">
        <f t="shared" si="1350"/>
        <v>-0.23289473684210527</v>
      </c>
      <c r="M8693" s="401">
        <f>SUM(C8693,C8669,C8645,C8621,C8597,C8573,C8549)/POBLA!$B$4*100000</f>
        <v>77.788966917688981</v>
      </c>
    </row>
    <row r="8694" spans="1:13" s="360" customFormat="1" x14ac:dyDescent="0.25">
      <c r="A8694" s="367" t="s">
        <v>29</v>
      </c>
      <c r="B8694" s="267">
        <v>44255</v>
      </c>
      <c r="C8694" s="1">
        <v>9</v>
      </c>
      <c r="D8694" s="39">
        <f t="shared" si="1335"/>
        <v>46891</v>
      </c>
      <c r="E8694" s="1"/>
      <c r="F8694" s="39">
        <f t="shared" si="1348"/>
        <v>770</v>
      </c>
      <c r="G8694" s="168">
        <f>SUM(C8694,C8670,C8646,C8622,C8598,C8574,C8550,C8526,C8502,C8478,C8454,C8430,C8406,C8382)/POBLA!$B$5*100000</f>
        <v>268.17707441429155</v>
      </c>
      <c r="H8694" s="256">
        <f t="shared" si="1349"/>
        <v>0.5675213675213675</v>
      </c>
      <c r="I8694" s="297">
        <f t="shared" si="1351"/>
        <v>152.19622000947828</v>
      </c>
      <c r="J8694" s="297">
        <f t="shared" si="1352"/>
        <v>114.28571428571429</v>
      </c>
      <c r="K8694" s="297">
        <f>J8694/POBLA!$B$5*100000</f>
        <v>18.463137653307509</v>
      </c>
      <c r="L8694" s="549">
        <f t="shared" si="1350"/>
        <v>6.9767441860465129E-2</v>
      </c>
      <c r="M8694" s="401">
        <f>SUM(C8694,C8670,C8646,C8622,C8598,C8574,C8550)/POBLA!$B$5*100000</f>
        <v>129.24196357315259</v>
      </c>
    </row>
    <row r="8695" spans="1:13" s="360" customFormat="1" x14ac:dyDescent="0.25">
      <c r="A8695" s="367" t="s">
        <v>30</v>
      </c>
      <c r="B8695" s="267">
        <v>44255</v>
      </c>
      <c r="C8695" s="1">
        <v>58</v>
      </c>
      <c r="D8695" s="39">
        <f t="shared" si="1335"/>
        <v>21856</v>
      </c>
      <c r="E8695" s="1"/>
      <c r="F8695" s="39">
        <f t="shared" si="1348"/>
        <v>300</v>
      </c>
      <c r="G8695" s="168">
        <f>SUM(C8695,C8671,C8647,C8623,C8599,C8575,C8551,C8527,C8503,C8479,C8455,C8431,C8407,C8383)/POBLA!$B$6*100000</f>
        <v>223.67931506128207</v>
      </c>
      <c r="H8695" s="256">
        <f t="shared" si="1349"/>
        <v>1.2687246963562753</v>
      </c>
      <c r="I8695" s="297">
        <f t="shared" si="1351"/>
        <v>283.78747108230471</v>
      </c>
      <c r="J8695" s="297">
        <f t="shared" si="1352"/>
        <v>128</v>
      </c>
      <c r="K8695" s="297">
        <f>J8695/POBLA!$B$6*100000</f>
        <v>11.420403800496253</v>
      </c>
      <c r="L8695" s="549">
        <f t="shared" si="1350"/>
        <v>0.44382371198013659</v>
      </c>
      <c r="M8695" s="401">
        <f>SUM(C8695,C8671,C8647,C8623,C8599,C8575,C8551)/POBLA!$B$6*100000</f>
        <v>79.942826603473762</v>
      </c>
    </row>
    <row r="8696" spans="1:13" s="360" customFormat="1" x14ac:dyDescent="0.25">
      <c r="A8696" s="367" t="s">
        <v>20</v>
      </c>
      <c r="B8696" s="267">
        <v>44255</v>
      </c>
      <c r="C8696" s="1">
        <v>334</v>
      </c>
      <c r="D8696" s="39">
        <f t="shared" si="1335"/>
        <v>159878</v>
      </c>
      <c r="E8696" s="1">
        <v>1</v>
      </c>
      <c r="F8696" s="39">
        <f t="shared" si="1348"/>
        <v>2833</v>
      </c>
      <c r="G8696" s="168">
        <f>SUM(C8696,C8672,C8648,C8624,C8600,C8576,C8552,C8528,C8504,C8480,C8456,C8432,C8408,C8384)/POBLA!$B$7*100000</f>
        <v>208.29953861904826</v>
      </c>
      <c r="H8696" s="256">
        <f t="shared" si="1349"/>
        <v>1.1182012847965739</v>
      </c>
      <c r="I8696" s="297">
        <f t="shared" si="1351"/>
        <v>232.92081170635333</v>
      </c>
      <c r="J8696" s="297">
        <f t="shared" si="1352"/>
        <v>614.85714285714289</v>
      </c>
      <c r="K8696" s="297">
        <f>J8696/POBLA!$B$7*100000</f>
        <v>16.350626729703702</v>
      </c>
      <c r="L8696" s="549">
        <f t="shared" si="1350"/>
        <v>-0.21960895437801087</v>
      </c>
      <c r="M8696" s="401">
        <f>SUM(C8696,C8672,C8648,C8624,C8600,C8576,C8552)/POBLA!$B$7*100000</f>
        <v>114.45438710792591</v>
      </c>
    </row>
    <row r="8697" spans="1:13" x14ac:dyDescent="0.25">
      <c r="A8697" s="367" t="s">
        <v>31</v>
      </c>
      <c r="B8697" s="267">
        <v>44255</v>
      </c>
      <c r="C8697" s="1">
        <v>52</v>
      </c>
      <c r="D8697" s="39">
        <f t="shared" si="1335"/>
        <v>45167</v>
      </c>
      <c r="E8697" s="1">
        <v>4</v>
      </c>
      <c r="F8697" s="39">
        <f t="shared" ref="F8697:F8713" si="1353">E8697+F8673</f>
        <v>841</v>
      </c>
      <c r="G8697" s="168">
        <f>SUM(C8697,C8673,C8649,C8625,C8601,C8577,C8553,C8529,C8505,C8481,C8457,C8433,C8409,C8385)/POBLA!$B$8*100000</f>
        <v>116.9585579969422</v>
      </c>
      <c r="H8697" s="256">
        <f t="shared" si="1349"/>
        <v>0.63394603050449749</v>
      </c>
      <c r="I8697" s="297">
        <f t="shared" si="1351"/>
        <v>74.145413575691563</v>
      </c>
      <c r="J8697" s="297">
        <f t="shared" si="1352"/>
        <v>121.28571428571429</v>
      </c>
      <c r="K8697" s="297">
        <f>J8697/POBLA!$B$8*100000</f>
        <v>8.7510192772894975</v>
      </c>
      <c r="L8697" s="549">
        <f t="shared" si="1350"/>
        <v>-9.9740932642486957E-2</v>
      </c>
      <c r="M8697" s="401">
        <f>SUM(C8697,C8673,C8649,C8625,C8601,C8577,C8553)/POBLA!$B$8*100000</f>
        <v>61.257134941026486</v>
      </c>
    </row>
    <row r="8698" spans="1:13" s="360" customFormat="1" x14ac:dyDescent="0.25">
      <c r="A8698" s="367" t="s">
        <v>41</v>
      </c>
      <c r="B8698" s="267">
        <v>44255</v>
      </c>
      <c r="C8698" s="1">
        <v>1</v>
      </c>
      <c r="D8698" s="39">
        <f t="shared" si="1335"/>
        <v>1221</v>
      </c>
      <c r="E8698" s="1"/>
      <c r="F8698" s="39">
        <f t="shared" si="1353"/>
        <v>19</v>
      </c>
      <c r="G8698" s="168">
        <f>SUM(C8698,C8674,C8650,C8626,C8602,C8578,C8554,C8530,C8506,C8482,C8458,C8434,C8410,C8386)/POBLA!$B$9*100000</f>
        <v>41.804845726900346</v>
      </c>
      <c r="H8698" s="256">
        <f t="shared" si="1349"/>
        <v>2.024</v>
      </c>
      <c r="I8698" s="297">
        <f t="shared" si="1351"/>
        <v>84.6130077512463</v>
      </c>
      <c r="J8698" s="297">
        <f t="shared" si="1352"/>
        <v>20.285714285714285</v>
      </c>
      <c r="K8698" s="297">
        <f>J8698/POBLA!$B$9*100000</f>
        <v>3.3519413287520319</v>
      </c>
      <c r="L8698" s="549">
        <f t="shared" si="1350"/>
        <v>-0.27927927927927931</v>
      </c>
      <c r="M8698" s="401">
        <f>SUM(C8698,C8674,C8650,C8626,C8602,C8578,C8554)/POBLA!$B$9*100000</f>
        <v>23.463589301264225</v>
      </c>
    </row>
    <row r="8699" spans="1:13" s="360" customFormat="1" x14ac:dyDescent="0.25">
      <c r="A8699" s="367" t="s">
        <v>32</v>
      </c>
      <c r="B8699" s="267">
        <v>44255</v>
      </c>
      <c r="C8699" s="1">
        <v>85</v>
      </c>
      <c r="D8699" s="39">
        <f t="shared" si="1335"/>
        <v>20752</v>
      </c>
      <c r="E8699" s="1">
        <v>1</v>
      </c>
      <c r="F8699" s="39">
        <f t="shared" si="1353"/>
        <v>905</v>
      </c>
      <c r="G8699" s="168">
        <f>SUM(C8699,C8675,C8651,C8627,C8603,C8579,C8555,C8531,C8507,C8483,C8459,C8435,C8411,C8387)/POBLA!$B$10*100000</f>
        <v>127.51643898344881</v>
      </c>
      <c r="H8699" s="256">
        <f t="shared" si="1349"/>
        <v>2.1369565217391306</v>
      </c>
      <c r="I8699" s="297">
        <f t="shared" si="1351"/>
        <v>272.49708591463087</v>
      </c>
      <c r="J8699" s="297">
        <f t="shared" si="1352"/>
        <v>91</v>
      </c>
      <c r="K8699" s="297">
        <f>J8699/POBLA!$B$10*100000</f>
        <v>11.804675429800449</v>
      </c>
      <c r="L8699" s="549">
        <f t="shared" si="1350"/>
        <v>-0.84104046242774566</v>
      </c>
      <c r="M8699" s="401">
        <f>SUM(C8699,C8675,C8651,C8627,C8603,C8579,C8555)/POBLA!$B$10*100000</f>
        <v>82.632728008603152</v>
      </c>
    </row>
    <row r="8700" spans="1:13" s="360" customFormat="1" x14ac:dyDescent="0.25">
      <c r="A8700" s="367" t="s">
        <v>33</v>
      </c>
      <c r="B8700" s="267">
        <v>44255</v>
      </c>
      <c r="C8700" s="1">
        <v>47</v>
      </c>
      <c r="D8700" s="39">
        <f t="shared" si="1335"/>
        <v>18690</v>
      </c>
      <c r="E8700" s="1"/>
      <c r="F8700" s="39">
        <f t="shared" si="1353"/>
        <v>285</v>
      </c>
      <c r="G8700" s="168">
        <f>SUM(C8700,C8676,C8652,C8628,C8604,C8580,C8556,C8532,C8508,C8484,C8460,C8436,C8412,C8388)/POBLA!$B$11*100000</f>
        <v>272.30015512180967</v>
      </c>
      <c r="H8700" s="256">
        <f t="shared" si="1349"/>
        <v>0.76549019607843138</v>
      </c>
      <c r="I8700" s="297">
        <f t="shared" si="1351"/>
        <v>208.44309913638136</v>
      </c>
      <c r="J8700" s="297">
        <f t="shared" si="1352"/>
        <v>85.714285714285708</v>
      </c>
      <c r="K8700" s="297">
        <f>J8700/POBLA!$B$11*100000</f>
        <v>23.913948049339254</v>
      </c>
      <c r="L8700" s="549">
        <f t="shared" si="1350"/>
        <v>-0.5957446808510638</v>
      </c>
      <c r="M8700" s="401">
        <f>SUM(C8700,C8676,C8652,C8628,C8604,C8580,C8556)/POBLA!$B$11*100000</f>
        <v>167.39763634537479</v>
      </c>
    </row>
    <row r="8701" spans="1:13" s="360" customFormat="1" x14ac:dyDescent="0.25">
      <c r="A8701" s="367" t="s">
        <v>21</v>
      </c>
      <c r="B8701" s="267">
        <v>44255</v>
      </c>
      <c r="C8701" s="1">
        <v>50</v>
      </c>
      <c r="D8701" s="39">
        <f t="shared" si="1335"/>
        <v>10224</v>
      </c>
      <c r="E8701" s="1">
        <v>3</v>
      </c>
      <c r="F8701" s="39">
        <f t="shared" si="1353"/>
        <v>438</v>
      </c>
      <c r="G8701" s="168">
        <f>SUM(C8701,C8677,C8653,C8629,C8605,C8581,C8557,C8533,C8509,C8485,C8461,C8437,C8413,C8389)/POBLA!$B$12*100000</f>
        <v>95.799314412333473</v>
      </c>
      <c r="H8701" s="256">
        <f t="shared" si="1349"/>
        <v>1.2608695652173914</v>
      </c>
      <c r="I8701" s="297">
        <f t="shared" si="1351"/>
        <v>120.79043991120308</v>
      </c>
      <c r="J8701" s="297">
        <f t="shared" si="1352"/>
        <v>29.285714285714285</v>
      </c>
      <c r="K8701" s="297">
        <f>J8701/POBLA!$B$12*100000</f>
        <v>7.4417807709467061</v>
      </c>
      <c r="L8701" s="549">
        <f t="shared" si="1350"/>
        <v>-0.19186046511627897</v>
      </c>
      <c r="M8701" s="401">
        <f>SUM(C8701,C8677,C8653,C8629,C8605,C8581,C8557)/POBLA!$B$12*100000</f>
        <v>52.092465396626949</v>
      </c>
    </row>
    <row r="8702" spans="1:13" s="360" customFormat="1" x14ac:dyDescent="0.25">
      <c r="A8702" s="367" t="s">
        <v>17</v>
      </c>
      <c r="B8702" s="267">
        <v>44255</v>
      </c>
      <c r="C8702" s="1">
        <v>51</v>
      </c>
      <c r="D8702" s="39">
        <f t="shared" si="1335"/>
        <v>67236</v>
      </c>
      <c r="E8702" s="1">
        <v>1</v>
      </c>
      <c r="F8702" s="39">
        <f t="shared" si="1353"/>
        <v>1448</v>
      </c>
      <c r="G8702" s="168">
        <f>SUM(C8702,C8678,C8654,C8630,C8606,C8582,C8558,C8534,C8510,C8486,C8462,C8438,C8414,C8390)/POBLA!$B$13*100000</f>
        <v>79.031802638546822</v>
      </c>
      <c r="H8702" s="256">
        <f t="shared" si="1349"/>
        <v>0.85027027027027025</v>
      </c>
      <c r="I8702" s="297">
        <f t="shared" si="1351"/>
        <v>67.198392189423856</v>
      </c>
      <c r="J8702" s="297">
        <f t="shared" si="1352"/>
        <v>129</v>
      </c>
      <c r="K8702" s="297">
        <f>J8702/POBLA!$B$13*100000</f>
        <v>6.481311214477139</v>
      </c>
      <c r="L8702" s="549">
        <f t="shared" si="1350"/>
        <v>-0.34776119402985084</v>
      </c>
      <c r="M8702" s="401">
        <f>SUM(C8702,C8678,C8654,C8630,C8606,C8582,C8558)/POBLA!$B$13*100000</f>
        <v>45.369178501339974</v>
      </c>
    </row>
    <row r="8703" spans="1:13" s="360" customFormat="1" x14ac:dyDescent="0.25">
      <c r="A8703" s="367" t="s">
        <v>23</v>
      </c>
      <c r="B8703" s="267">
        <v>44255</v>
      </c>
      <c r="C8703" s="1">
        <v>73</v>
      </c>
      <c r="D8703" s="39">
        <f t="shared" si="1335"/>
        <v>8274</v>
      </c>
      <c r="E8703" s="1"/>
      <c r="F8703" s="39">
        <f t="shared" si="1353"/>
        <v>140</v>
      </c>
      <c r="G8703" s="168">
        <f>SUM(C8703,C8679,C8655,C8631,C8607,C8583,C8559,C8535,C8511,C8487,C8463,C8439,C8415,C8391)/POBLA!$B$14*100000</f>
        <v>121.93826340250568</v>
      </c>
      <c r="H8703" s="256">
        <f t="shared" si="1349"/>
        <v>0.75875678342377895</v>
      </c>
      <c r="I8703" s="297">
        <f t="shared" si="1351"/>
        <v>92.521484515566712</v>
      </c>
      <c r="J8703" s="297">
        <f t="shared" si="1352"/>
        <v>113.14285714285714</v>
      </c>
      <c r="K8703" s="297">
        <f>J8703/POBLA!$B$14*100000</f>
        <v>8.9703793994784036</v>
      </c>
      <c r="L8703" s="549">
        <f t="shared" si="1350"/>
        <v>-6.1662198391420953E-2</v>
      </c>
      <c r="M8703" s="401">
        <f>SUM(C8703,C8679,C8655,C8631,C8607,C8583,C8559)/POBLA!$B$14*100000</f>
        <v>62.792655796348825</v>
      </c>
    </row>
    <row r="8704" spans="1:13" s="360" customFormat="1" x14ac:dyDescent="0.25">
      <c r="A8704" s="367" t="s">
        <v>19</v>
      </c>
      <c r="B8704" s="267">
        <v>44255</v>
      </c>
      <c r="C8704" s="1">
        <v>79</v>
      </c>
      <c r="D8704" s="39">
        <f t="shared" si="1335"/>
        <v>61176</v>
      </c>
      <c r="E8704" s="1">
        <v>2</v>
      </c>
      <c r="F8704" s="39">
        <f t="shared" si="1353"/>
        <v>902</v>
      </c>
      <c r="G8704" s="168">
        <f>SUM(C8704,C8680,C8656,C8632,C8608,C8584,C8560,C8536,C8512,C8488,C8464,C8440,C8416,C8392)/POBLA!$B$15*100000</f>
        <v>378.43136959628464</v>
      </c>
      <c r="H8704" s="256">
        <f t="shared" si="1349"/>
        <v>0.54559270516717329</v>
      </c>
      <c r="I8704" s="297">
        <f t="shared" si="1351"/>
        <v>206.46939465815532</v>
      </c>
      <c r="J8704" s="297">
        <f t="shared" si="1352"/>
        <v>170.57142857142858</v>
      </c>
      <c r="K8704" s="297">
        <f>J8704/POBLA!$B$15*100000</f>
        <v>25.686263162865327</v>
      </c>
      <c r="L8704" s="549">
        <f t="shared" si="1350"/>
        <v>9.476876421531466E-2</v>
      </c>
      <c r="M8704" s="401">
        <f>SUM(C8704,C8680,C8656,C8632,C8608,C8584,C8560)/POBLA!$B$15*100000</f>
        <v>179.80384214005724</v>
      </c>
    </row>
    <row r="8705" spans="1:13" s="360" customFormat="1" x14ac:dyDescent="0.25">
      <c r="A8705" s="367" t="s">
        <v>18</v>
      </c>
      <c r="B8705" s="267">
        <v>44255</v>
      </c>
      <c r="C8705" s="1">
        <v>56</v>
      </c>
      <c r="D8705" s="39">
        <f t="shared" si="1335"/>
        <v>52326</v>
      </c>
      <c r="E8705" s="1"/>
      <c r="F8705" s="39">
        <f t="shared" si="1353"/>
        <v>1182</v>
      </c>
      <c r="G8705" s="168">
        <f>SUM(C8705,C8681,C8657,C8633,C8609,C8585,C8561,C8537,C8513,C8489,C8465,C8441,C8417,C8393)/POBLA!$B$16*100000</f>
        <v>231.27031473629296</v>
      </c>
      <c r="H8705" s="256">
        <f t="shared" si="1349"/>
        <v>0.63824289405684753</v>
      </c>
      <c r="I8705" s="297">
        <f t="shared" si="1351"/>
        <v>147.6066349867296</v>
      </c>
      <c r="J8705" s="297">
        <f t="shared" si="1352"/>
        <v>124.57142857142857</v>
      </c>
      <c r="K8705" s="297">
        <f>J8705/POBLA!$B$16*100000</f>
        <v>16.662622031731594</v>
      </c>
      <c r="L8705" s="549">
        <f t="shared" si="1350"/>
        <v>-1.7502917152858899E-2</v>
      </c>
      <c r="M8705" s="401">
        <f>SUM(C8705,C8681,C8657,C8633,C8609,C8585,C8561)/POBLA!$B$16*100000</f>
        <v>116.63835422212115</v>
      </c>
    </row>
    <row r="8706" spans="1:13" s="360" customFormat="1" x14ac:dyDescent="0.25">
      <c r="A8706" s="367" t="s">
        <v>34</v>
      </c>
      <c r="B8706" s="267">
        <v>44255</v>
      </c>
      <c r="C8706" s="1">
        <v>82</v>
      </c>
      <c r="D8706" s="39">
        <f t="shared" ref="D8706:D8769" si="1354">C8706+D8682</f>
        <v>26141</v>
      </c>
      <c r="E8706" s="1"/>
      <c r="F8706" s="39">
        <f t="shared" si="1353"/>
        <v>1095</v>
      </c>
      <c r="G8706" s="168">
        <f>SUM(C8706,C8682,C8658,C8634,C8610,C8586,C8562,C8538,C8514,C8490,C8466,C8442,C8418,C8394)/POBLA!$B$17*100000</f>
        <v>91.547510981840034</v>
      </c>
      <c r="H8706" s="256">
        <f t="shared" si="1349"/>
        <v>1.2647914645974783</v>
      </c>
      <c r="I8706" s="297">
        <f t="shared" si="1351"/>
        <v>115.78851049497518</v>
      </c>
      <c r="J8706" s="297">
        <f t="shared" si="1352"/>
        <v>105.14285714285714</v>
      </c>
      <c r="K8706" s="297">
        <f>J8706/POBLA!$B$17*100000</f>
        <v>7.3815696847758829</v>
      </c>
      <c r="L8706" s="549">
        <f t="shared" si="1350"/>
        <v>-0.29577464788732399</v>
      </c>
      <c r="M8706" s="401">
        <f>SUM(C8706,C8682,C8658,C8634,C8610,C8586,C8562)/POBLA!$B$17*100000</f>
        <v>51.670987793431181</v>
      </c>
    </row>
    <row r="8707" spans="1:13" s="360" customFormat="1" x14ac:dyDescent="0.25">
      <c r="A8707" s="367" t="s">
        <v>35</v>
      </c>
      <c r="B8707" s="267">
        <v>44255</v>
      </c>
      <c r="C8707" s="1">
        <v>5</v>
      </c>
      <c r="D8707" s="39">
        <f t="shared" si="1354"/>
        <v>15244</v>
      </c>
      <c r="E8707" s="1"/>
      <c r="F8707" s="39">
        <f t="shared" si="1353"/>
        <v>208</v>
      </c>
      <c r="G8707" s="168">
        <f>SUM(C8707,C8683,C8659,C8635,C8611,C8587,C8563,C8539,C8515,C8491,C8467,C8443,C8419,C8395)/POBLA!$B$18*100000</f>
        <v>81.02742259833056</v>
      </c>
      <c r="H8707" s="256">
        <f t="shared" si="1349"/>
        <v>0.95763993948562787</v>
      </c>
      <c r="I8707" s="297">
        <f t="shared" si="1351"/>
        <v>77.595096073741672</v>
      </c>
      <c r="J8707" s="297">
        <f t="shared" si="1352"/>
        <v>46.428571428571431</v>
      </c>
      <c r="K8707" s="297">
        <f>J8707/POBLA!$B$18*100000</f>
        <v>5.9431081797466554</v>
      </c>
      <c r="L8707" s="549">
        <f t="shared" si="1350"/>
        <v>-5.5194805194805241E-2</v>
      </c>
      <c r="M8707" s="401">
        <f>SUM(C8707,C8683,C8659,C8635,C8611,C8587,C8563)/POBLA!$B$18*100000</f>
        <v>41.601757258226584</v>
      </c>
    </row>
    <row r="8708" spans="1:13" s="360" customFormat="1" x14ac:dyDescent="0.25">
      <c r="A8708" s="367" t="s">
        <v>36</v>
      </c>
      <c r="B8708" s="267">
        <v>44255</v>
      </c>
      <c r="C8708" s="1">
        <v>1</v>
      </c>
      <c r="D8708" s="39">
        <f t="shared" si="1354"/>
        <v>20773</v>
      </c>
      <c r="E8708" s="1"/>
      <c r="F8708" s="39">
        <f t="shared" si="1353"/>
        <v>353</v>
      </c>
      <c r="G8708" s="168">
        <f>SUM(C8708,C8684,C8660,C8636,C8612,C8588,C8564,C8540,C8516,C8492,C8468,C8444,C8420,C8396)/POBLA!$B$19*100000</f>
        <v>137.31291606993909</v>
      </c>
      <c r="H8708" s="256">
        <f t="shared" si="1349"/>
        <v>0.65539906103286383</v>
      </c>
      <c r="I8708" s="297">
        <f t="shared" si="1351"/>
        <v>89.994756259922525</v>
      </c>
      <c r="J8708" s="297">
        <f t="shared" si="1352"/>
        <v>36.285714285714285</v>
      </c>
      <c r="K8708" s="297">
        <f>J8708/POBLA!$B$19*100000</f>
        <v>7.1382481952035466</v>
      </c>
      <c r="L8708" s="549">
        <f t="shared" si="1350"/>
        <v>0.42792792792792789</v>
      </c>
      <c r="M8708" s="401">
        <f>SUM(C8708,C8684,C8660,C8636,C8612,C8588,C8564)/POBLA!$B$19*100000</f>
        <v>49.967737366424835</v>
      </c>
    </row>
    <row r="8709" spans="1:13" s="360" customFormat="1" x14ac:dyDescent="0.25">
      <c r="A8709" s="367" t="s">
        <v>37</v>
      </c>
      <c r="B8709" s="267">
        <v>44255</v>
      </c>
      <c r="C8709" s="1">
        <v>35</v>
      </c>
      <c r="D8709" s="39">
        <f t="shared" si="1354"/>
        <v>35931</v>
      </c>
      <c r="E8709" s="1">
        <v>5</v>
      </c>
      <c r="F8709" s="39">
        <f t="shared" si="1353"/>
        <v>578</v>
      </c>
      <c r="G8709" s="168">
        <f>SUM(C8709,C8685,C8661,C8637,C8613,C8589,C8565,C8541,C8517,C8493,C8469,C8445,C8421,C8397)/POBLA!$B$20*100000</f>
        <v>381.18884981596835</v>
      </c>
      <c r="H8709" s="256">
        <f t="shared" si="1349"/>
        <v>0.69734867433716863</v>
      </c>
      <c r="I8709" s="297">
        <f t="shared" si="1351"/>
        <v>265.82153909127561</v>
      </c>
      <c r="J8709" s="297">
        <f t="shared" si="1352"/>
        <v>106</v>
      </c>
      <c r="K8709" s="297">
        <f>J8709/POBLA!$B$20*100000</f>
        <v>28.98566576792873</v>
      </c>
      <c r="L8709" s="549">
        <f t="shared" si="1350"/>
        <v>-0.13803680981595101</v>
      </c>
      <c r="M8709" s="401">
        <f>SUM(C8709,C8685,C8661,C8637,C8613,C8589,C8565)/POBLA!$B$20*100000</f>
        <v>202.89966037550107</v>
      </c>
    </row>
    <row r="8710" spans="1:13" s="360" customFormat="1" x14ac:dyDescent="0.25">
      <c r="A8710" s="367" t="s">
        <v>22</v>
      </c>
      <c r="B8710" s="267">
        <v>44255</v>
      </c>
      <c r="C8710" s="1">
        <v>123</v>
      </c>
      <c r="D8710" s="39">
        <f t="shared" si="1354"/>
        <v>216465</v>
      </c>
      <c r="E8710" s="1"/>
      <c r="F8710" s="39">
        <f t="shared" si="1353"/>
        <v>3958</v>
      </c>
      <c r="G8710" s="168">
        <f>SUM(C8710,C8686,C8662,C8638,C8614,C8590,C8566,C8542,C8518,C8494,C8470,C8446,C8422,C8398)/POBLA!$B$21*100000</f>
        <v>128.60470679653818</v>
      </c>
      <c r="H8710" s="256">
        <f t="shared" si="1349"/>
        <v>0.7466754227548843</v>
      </c>
      <c r="I8710" s="297">
        <f t="shared" si="1351"/>
        <v>96.025973815573096</v>
      </c>
      <c r="J8710" s="297">
        <f t="shared" si="1352"/>
        <v>343.85714285714283</v>
      </c>
      <c r="K8710" s="297">
        <f>J8710/POBLA!$B$21*100000</f>
        <v>9.7233172904657437</v>
      </c>
      <c r="L8710" s="549">
        <f t="shared" si="1350"/>
        <v>-0.12424100887435774</v>
      </c>
      <c r="M8710" s="401">
        <f>SUM(C8710,C8686,C8662,C8638,C8614,C8590,C8566)/POBLA!$B$21*100000</f>
        <v>68.063221033260206</v>
      </c>
    </row>
    <row r="8711" spans="1:13" s="360" customFormat="1" x14ac:dyDescent="0.25">
      <c r="A8711" s="367" t="s">
        <v>38</v>
      </c>
      <c r="B8711" s="267">
        <v>44255</v>
      </c>
      <c r="C8711" s="1">
        <v>90</v>
      </c>
      <c r="D8711" s="39">
        <f t="shared" si="1354"/>
        <v>22658</v>
      </c>
      <c r="E8711" s="1"/>
      <c r="F8711" s="39">
        <f t="shared" si="1353"/>
        <v>268</v>
      </c>
      <c r="G8711" s="168">
        <f>SUM(C8711,C8687,C8663,C8639,C8615,C8591,C8567,C8543,C8519,C8495,C8471,C8447,C8423,C8399)/POBLA!$B$22*100000</f>
        <v>81.364553062261251</v>
      </c>
      <c r="H8711" s="256">
        <f t="shared" si="1349"/>
        <v>0.7865612648221344</v>
      </c>
      <c r="I8711" s="297">
        <f t="shared" si="1351"/>
        <v>63.998205768339879</v>
      </c>
      <c r="J8711" s="297">
        <f t="shared" si="1352"/>
        <v>68.142857142857139</v>
      </c>
      <c r="K8711" s="297">
        <f>J8711/POBLA!$B$22*100000</f>
        <v>6.9653431103192061</v>
      </c>
      <c r="L8711" s="549">
        <f t="shared" si="1350"/>
        <v>-0.49529780564263315</v>
      </c>
      <c r="M8711" s="401">
        <f>SUM(C8711,C8687,C8663,C8639,C8615,C8591,C8567)/POBLA!$B$22*100000</f>
        <v>48.757401772234445</v>
      </c>
    </row>
    <row r="8712" spans="1:13" s="360" customFormat="1" x14ac:dyDescent="0.25">
      <c r="A8712" s="367" t="s">
        <v>39</v>
      </c>
      <c r="B8712" s="267">
        <v>44255</v>
      </c>
      <c r="C8712" s="1">
        <v>6</v>
      </c>
      <c r="D8712" s="39">
        <f t="shared" si="1354"/>
        <v>22939</v>
      </c>
      <c r="E8712" s="1"/>
      <c r="F8712" s="39">
        <f t="shared" si="1353"/>
        <v>353</v>
      </c>
      <c r="G8712" s="168">
        <f>SUM(C8712,C8688,C8664,C8640,C8616,C8592,C8568,C8544,C8520,C8496,C8472,C8448,C8424,C8400)/POBLA!$B$23*100000</f>
        <v>274.27472713906013</v>
      </c>
      <c r="H8712" s="256">
        <f t="shared" si="1349"/>
        <v>0.7601880877742947</v>
      </c>
      <c r="I8712" s="297">
        <f t="shared" si="1351"/>
        <v>208.50038034865858</v>
      </c>
      <c r="J8712" s="297">
        <f t="shared" si="1352"/>
        <v>33.285714285714285</v>
      </c>
      <c r="K8712" s="297">
        <f>J8712/POBLA!$B$23*100000</f>
        <v>18.823567429573195</v>
      </c>
      <c r="L8712" s="549">
        <f t="shared" si="1350"/>
        <v>7.5396825396825351E-2</v>
      </c>
      <c r="M8712" s="401">
        <f>SUM(C8712,C8688,C8664,C8640,C8616,C8592,C8568)/POBLA!$B$23*100000</f>
        <v>131.7649720070124</v>
      </c>
    </row>
    <row r="8713" spans="1:13" s="360" customFormat="1" ht="15.75" thickBot="1" x14ac:dyDescent="0.3">
      <c r="A8713" s="369" t="s">
        <v>40</v>
      </c>
      <c r="B8713" s="267">
        <v>44255</v>
      </c>
      <c r="C8713" s="1">
        <v>84</v>
      </c>
      <c r="D8713" s="176">
        <f t="shared" si="1354"/>
        <v>79797</v>
      </c>
      <c r="E8713" s="1"/>
      <c r="F8713" s="176">
        <f t="shared" si="1353"/>
        <v>1473</v>
      </c>
      <c r="G8713" s="177">
        <f>SUM(C8713,C8689,C8665,C8641,C8617,C8593,C8569,C8545,C8521,C8497,C8473,C8449,C8425,C8401)/POBLA!$B$24*100000</f>
        <v>100.37435326107482</v>
      </c>
      <c r="H8713" s="402">
        <f t="shared" si="1349"/>
        <v>1.0005882352941176</v>
      </c>
      <c r="I8713" s="403">
        <f t="shared" si="1351"/>
        <v>100.43339699828721</v>
      </c>
      <c r="J8713" s="403">
        <f t="shared" si="1352"/>
        <v>147.28571428571428</v>
      </c>
      <c r="K8713" s="403">
        <f>J8713/POBLA!$B$24*100000</f>
        <v>8.6911865467513341</v>
      </c>
      <c r="L8713" s="550">
        <f t="shared" si="1350"/>
        <v>-0.5388059701492538</v>
      </c>
      <c r="M8713" s="405">
        <f>SUM(C8713,C8689,C8665,C8641,C8617,C8593,C8569)/POBLA!$B$24*100000</f>
        <v>60.838305827259333</v>
      </c>
    </row>
    <row r="8714" spans="1:13" s="360" customFormat="1" x14ac:dyDescent="0.25">
      <c r="A8714" s="363" t="s">
        <v>16</v>
      </c>
      <c r="B8714" s="267">
        <v>44256</v>
      </c>
      <c r="C8714" s="1">
        <v>2004</v>
      </c>
      <c r="D8714" s="174">
        <f t="shared" si="1354"/>
        <v>881811</v>
      </c>
      <c r="E8714" s="1">
        <v>26</v>
      </c>
      <c r="F8714" s="174">
        <f t="shared" ref="F8714:F8720" si="1355">E8714+F8690</f>
        <v>26239</v>
      </c>
      <c r="G8714" s="175">
        <f>SUM(C8714,C8690,C8666,C8642,C8618,C8594,C8570,C8546,C8522,C8498,C8474,C8450,C8426,C8402)/POBLA!$B$1*100000</f>
        <v>198.63588121206027</v>
      </c>
      <c r="H8714" s="300">
        <f t="shared" ref="H8714:H8737" si="1356">SUM(C8714,C8690,C8666,C8642,C8618,C8594,C8570,C8546,C8522,C8498,C8474,C8450,C8426,C8402)/SUM(C8378,C8354,C8330,C8306,C8282,C8258,C8234,C8210,C8186,C8162,C8138,C8114,C8090,C8066)</f>
        <v>0.86990063414390573</v>
      </c>
      <c r="I8714" s="301">
        <f>G8714*H8714</f>
        <v>172.79347903010475</v>
      </c>
      <c r="J8714" s="301">
        <f>AVERAGE(C8714,C8690,C8666,C8642,C8618,C8594,C8570)</f>
        <v>2562.8571428571427</v>
      </c>
      <c r="K8714" s="301">
        <f>J8714/POBLA!$B$1*100000</f>
        <v>14.610549808915751</v>
      </c>
      <c r="L8714" s="548">
        <f t="shared" ref="L8714:L8737" si="1357">1-SUM(C8714,C8690,C8666,C8642,C8618,C8594,C8570)/SUM(C8546,C8522,C8498,C8474,C8450,C8426,C8402)</f>
        <v>-6.1350056203040904E-2</v>
      </c>
      <c r="M8714" s="400">
        <f>SUM(C8714,C8690,C8666,C8642,C8618,C8594,C8570)/POBLA!$B$1*100000</f>
        <v>102.27384866241029</v>
      </c>
    </row>
    <row r="8715" spans="1:13" s="360" customFormat="1" x14ac:dyDescent="0.25">
      <c r="A8715" s="367" t="s">
        <v>43</v>
      </c>
      <c r="B8715" s="267">
        <v>44256</v>
      </c>
      <c r="C8715" s="1">
        <v>432</v>
      </c>
      <c r="D8715" s="39">
        <f t="shared" si="1354"/>
        <v>232324</v>
      </c>
      <c r="E8715" s="1">
        <v>6</v>
      </c>
      <c r="F8715" s="39">
        <f t="shared" si="1355"/>
        <v>6528</v>
      </c>
      <c r="G8715" s="168">
        <f>SUM(C8715,C8691,C8667,C8643,C8619,C8595,C8571,C8547,C8523,C8499,C8475,C8451,C8427,C8403)/POBLA!$B$2*100000</f>
        <v>305.30171547700871</v>
      </c>
      <c r="H8715" s="256">
        <f t="shared" si="1356"/>
        <v>0.79455068539515994</v>
      </c>
      <c r="I8715" s="297">
        <f t="shared" ref="I8715:I8737" si="1358">G8715*H8715</f>
        <v>242.57768728457538</v>
      </c>
      <c r="J8715" s="297">
        <f t="shared" ref="J8715:J8737" si="1359">AVERAGE(C8715,C8691,C8667,C8643,C8619,C8595,C8571)</f>
        <v>682</v>
      </c>
      <c r="K8715" s="297">
        <f>J8715/POBLA!$B$2*100000</f>
        <v>22.174203403122466</v>
      </c>
      <c r="L8715" s="549">
        <f t="shared" si="1357"/>
        <v>-3.4228769497400391E-2</v>
      </c>
      <c r="M8715" s="401">
        <f>SUM(C8715,C8691,C8667,C8643,C8619,C8595,C8571)/POBLA!$B$2*100000</f>
        <v>155.21942382185728</v>
      </c>
    </row>
    <row r="8716" spans="1:13" s="360" customFormat="1" x14ac:dyDescent="0.25">
      <c r="A8716" s="367" t="s">
        <v>28</v>
      </c>
      <c r="B8716" s="267">
        <v>44256</v>
      </c>
      <c r="C8716" s="1">
        <v>154</v>
      </c>
      <c r="D8716" s="39">
        <f t="shared" si="1354"/>
        <v>8038</v>
      </c>
      <c r="E8716" s="1"/>
      <c r="F8716" s="39">
        <f t="shared" si="1355"/>
        <v>17</v>
      </c>
      <c r="G8716" s="168">
        <f>SUM(C8716,C8692,C8668,C8644,C8620,C8596,C8572,C8548,C8524,C8500,C8476,C8452,C8428,C8404)/POBLA!$B$3*100000</f>
        <v>279.22337388491184</v>
      </c>
      <c r="H8716" s="256">
        <f t="shared" si="1356"/>
        <v>0.86891385767790263</v>
      </c>
      <c r="I8716" s="297">
        <f t="shared" si="1358"/>
        <v>242.62105895617808</v>
      </c>
      <c r="J8716" s="297">
        <f t="shared" si="1359"/>
        <v>94.571428571428569</v>
      </c>
      <c r="K8716" s="297">
        <f>J8716/POBLA!$B$3*100000</f>
        <v>22.764270136922615</v>
      </c>
      <c r="L8716" s="549">
        <f t="shared" si="1357"/>
        <v>-0.32931726907630532</v>
      </c>
      <c r="M8716" s="401">
        <f>SUM(C8716,C8692,C8668,C8644,C8620,C8596,C8572)/POBLA!$B$3*100000</f>
        <v>159.3498909584583</v>
      </c>
    </row>
    <row r="8717" spans="1:13" s="360" customFormat="1" x14ac:dyDescent="0.25">
      <c r="A8717" s="367" t="s">
        <v>15</v>
      </c>
      <c r="B8717" s="267">
        <v>44256</v>
      </c>
      <c r="C8717" s="1">
        <v>74</v>
      </c>
      <c r="D8717" s="39">
        <f t="shared" si="1354"/>
        <v>34217</v>
      </c>
      <c r="E8717" s="1">
        <v>2</v>
      </c>
      <c r="F8717" s="39">
        <f t="shared" si="1355"/>
        <v>867</v>
      </c>
      <c r="G8717" s="168">
        <f>SUM(C8717,C8693,C8669,C8645,C8621,C8597,C8573,C8549,C8525,C8501,C8477,C8453,C8429,C8405)/POBLA!$B$4*100000</f>
        <v>141.79675079553124</v>
      </c>
      <c r="H8717" s="256">
        <f t="shared" si="1356"/>
        <v>1.0276774969915765</v>
      </c>
      <c r="I8717" s="297">
        <f t="shared" si="1358"/>
        <v>145.72132993908988</v>
      </c>
      <c r="J8717" s="297">
        <f t="shared" si="1359"/>
        <v>126.71428571428571</v>
      </c>
      <c r="K8717" s="297">
        <f>J8717/POBLA!$B$4*100000</f>
        <v>10.519715452963885</v>
      </c>
      <c r="L8717" s="549">
        <f t="shared" si="1357"/>
        <v>-8.0389768574908649E-2</v>
      </c>
      <c r="M8717" s="401">
        <f>SUM(C8717,C8693,C8669,C8645,C8621,C8597,C8573)/POBLA!$B$4*100000</f>
        <v>73.638008170747199</v>
      </c>
    </row>
    <row r="8718" spans="1:13" s="360" customFormat="1" x14ac:dyDescent="0.25">
      <c r="A8718" s="367" t="s">
        <v>29</v>
      </c>
      <c r="B8718" s="267">
        <v>44256</v>
      </c>
      <c r="C8718" s="1">
        <v>117</v>
      </c>
      <c r="D8718" s="39">
        <f t="shared" si="1354"/>
        <v>47008</v>
      </c>
      <c r="E8718" s="1">
        <v>5</v>
      </c>
      <c r="F8718" s="39">
        <f t="shared" si="1355"/>
        <v>775</v>
      </c>
      <c r="G8718" s="168">
        <f>SUM(C8718,C8694,C8670,C8646,C8622,C8598,C8574,C8550,C8526,C8502,C8478,C8454,C8430,C8406)/POBLA!$B$5*100000</f>
        <v>277.22401186441226</v>
      </c>
      <c r="H8718" s="256">
        <f t="shared" si="1356"/>
        <v>0.61949458483754516</v>
      </c>
      <c r="I8718" s="297">
        <f t="shared" si="1358"/>
        <v>171.73877413694277</v>
      </c>
      <c r="J8718" s="297">
        <f t="shared" si="1359"/>
        <v>110.85714285714286</v>
      </c>
      <c r="K8718" s="297">
        <f>J8718/POBLA!$B$5*100000</f>
        <v>17.909243523708284</v>
      </c>
      <c r="L8718" s="549">
        <f t="shared" si="1357"/>
        <v>0.17446808510638301</v>
      </c>
      <c r="M8718" s="401">
        <f>SUM(C8718,C8694,C8670,C8646,C8622,C8598,C8574)/POBLA!$B$5*100000</f>
        <v>125.36470466595799</v>
      </c>
    </row>
    <row r="8719" spans="1:13" s="360" customFormat="1" x14ac:dyDescent="0.25">
      <c r="A8719" s="367" t="s">
        <v>30</v>
      </c>
      <c r="B8719" s="267">
        <v>44256</v>
      </c>
      <c r="C8719" s="1">
        <v>93</v>
      </c>
      <c r="D8719" s="39">
        <f t="shared" si="1354"/>
        <v>21949</v>
      </c>
      <c r="E8719" s="1"/>
      <c r="F8719" s="39">
        <f t="shared" si="1355"/>
        <v>300</v>
      </c>
      <c r="G8719" s="168">
        <f>SUM(C8719,C8695,C8671,C8647,C8623,C8599,C8575,C8551,C8527,C8503,C8479,C8455,C8431,C8407)/POBLA!$B$6*100000</f>
        <v>205.47804650424118</v>
      </c>
      <c r="H8719" s="256">
        <f t="shared" si="1356"/>
        <v>1.1056168987037926</v>
      </c>
      <c r="I8719" s="297">
        <f t="shared" si="1358"/>
        <v>227.1800005277328</v>
      </c>
      <c r="J8719" s="297">
        <f t="shared" si="1359"/>
        <v>121</v>
      </c>
      <c r="K8719" s="297">
        <f>J8719/POBLA!$B$6*100000</f>
        <v>10.795850467656614</v>
      </c>
      <c r="L8719" s="549">
        <f t="shared" si="1357"/>
        <v>0.41826923076923073</v>
      </c>
      <c r="M8719" s="401">
        <f>SUM(C8719,C8695,C8671,C8647,C8623,C8599,C8575)/POBLA!$B$6*100000</f>
        <v>75.570953273596288</v>
      </c>
    </row>
    <row r="8720" spans="1:13" s="360" customFormat="1" x14ac:dyDescent="0.25">
      <c r="A8720" s="367" t="s">
        <v>20</v>
      </c>
      <c r="B8720" s="267">
        <v>44256</v>
      </c>
      <c r="C8720" s="1">
        <v>393</v>
      </c>
      <c r="D8720" s="39">
        <f t="shared" si="1354"/>
        <v>160271</v>
      </c>
      <c r="E8720" s="1">
        <v>12</v>
      </c>
      <c r="F8720" s="39">
        <f t="shared" si="1355"/>
        <v>2845</v>
      </c>
      <c r="G8720" s="168">
        <f>SUM(C8720,C8696,C8672,C8648,C8624,C8600,C8576,C8552,C8528,C8504,C8480,C8456,C8432,C8408)/POBLA!$B$7*100000</f>
        <v>215.42634525123324</v>
      </c>
      <c r="H8720" s="256">
        <f t="shared" si="1356"/>
        <v>1.1857435597189696</v>
      </c>
      <c r="I8720" s="297">
        <f t="shared" si="1358"/>
        <v>255.44040147544504</v>
      </c>
      <c r="J8720" s="297">
        <f t="shared" si="1359"/>
        <v>613.57142857142856</v>
      </c>
      <c r="K8720" s="297">
        <f>J8720/POBLA!$B$7*100000</f>
        <v>16.316436292768913</v>
      </c>
      <c r="L8720" s="549">
        <f t="shared" si="1357"/>
        <v>-0.12848134524435095</v>
      </c>
      <c r="M8720" s="401">
        <f>SUM(C8720,C8696,C8672,C8648,C8624,C8600,C8576)/POBLA!$B$7*100000</f>
        <v>114.21505404938239</v>
      </c>
    </row>
    <row r="8721" spans="1:13" x14ac:dyDescent="0.25">
      <c r="A8721" s="367" t="s">
        <v>31</v>
      </c>
      <c r="B8721" s="267">
        <v>44256</v>
      </c>
      <c r="C8721" s="1">
        <v>92</v>
      </c>
      <c r="D8721" s="39">
        <f t="shared" si="1354"/>
        <v>45259</v>
      </c>
      <c r="E8721" s="1">
        <v>12</v>
      </c>
      <c r="F8721" s="39">
        <f t="shared" ref="F8721:F8737" si="1360">E8721+F8697</f>
        <v>853</v>
      </c>
      <c r="G8721" s="168">
        <f>SUM(C8721,C8697,C8673,C8649,C8625,C8601,C8577,C8553,C8529,C8505,C8481,C8457,C8433,C8409)/POBLA!$B$8*100000</f>
        <v>121.21553203878032</v>
      </c>
      <c r="H8721" s="256">
        <f t="shared" si="1356"/>
        <v>0.69680630443799252</v>
      </c>
      <c r="I8721" s="297">
        <f t="shared" si="1358"/>
        <v>84.463746920427596</v>
      </c>
      <c r="J8721" s="297">
        <f t="shared" si="1359"/>
        <v>118.71428571428571</v>
      </c>
      <c r="K8721" s="297">
        <f>J8721/POBLA!$B$8*100000</f>
        <v>8.5654852996791195</v>
      </c>
      <c r="L8721" s="549">
        <f t="shared" si="1357"/>
        <v>2.1201413427561877E-2</v>
      </c>
      <c r="M8721" s="401">
        <f>SUM(C8721,C8697,C8673,C8649,C8625,C8601,C8577)/POBLA!$B$8*100000</f>
        <v>59.958397097753824</v>
      </c>
    </row>
    <row r="8722" spans="1:13" s="360" customFormat="1" x14ac:dyDescent="0.25">
      <c r="A8722" s="367" t="s">
        <v>41</v>
      </c>
      <c r="B8722" s="267">
        <v>44256</v>
      </c>
      <c r="C8722" s="1">
        <v>22</v>
      </c>
      <c r="D8722" s="39">
        <f t="shared" si="1354"/>
        <v>1243</v>
      </c>
      <c r="E8722" s="1"/>
      <c r="F8722" s="39">
        <f t="shared" si="1360"/>
        <v>19</v>
      </c>
      <c r="G8722" s="168">
        <f>SUM(C8722,C8698,C8674,C8650,C8626,C8602,C8578,C8554,C8530,C8506,C8482,C8458,C8434,C8410)/POBLA!$B$9*100000</f>
        <v>44.448630436901951</v>
      </c>
      <c r="H8722" s="256">
        <f t="shared" si="1356"/>
        <v>2.1181102362204722</v>
      </c>
      <c r="I8722" s="297">
        <f t="shared" si="1358"/>
        <v>94.147099114382868</v>
      </c>
      <c r="J8722" s="297">
        <f t="shared" si="1359"/>
        <v>15.285714285714286</v>
      </c>
      <c r="K8722" s="297">
        <f>J8722/POBLA!$B$9*100000</f>
        <v>2.5257586068765314</v>
      </c>
      <c r="L8722" s="549">
        <f t="shared" si="1357"/>
        <v>0.33950617283950613</v>
      </c>
      <c r="M8722" s="401">
        <f>SUM(C8722,C8698,C8674,C8650,C8626,C8602,C8578)/POBLA!$B$9*100000</f>
        <v>17.680310248135719</v>
      </c>
    </row>
    <row r="8723" spans="1:13" s="360" customFormat="1" x14ac:dyDescent="0.25">
      <c r="A8723" s="367" t="s">
        <v>32</v>
      </c>
      <c r="B8723" s="267">
        <v>44256</v>
      </c>
      <c r="C8723" s="1">
        <v>44</v>
      </c>
      <c r="D8723" s="39">
        <f t="shared" si="1354"/>
        <v>20796</v>
      </c>
      <c r="E8723" s="1"/>
      <c r="F8723" s="39">
        <f t="shared" si="1360"/>
        <v>905</v>
      </c>
      <c r="G8723" s="168">
        <f>SUM(C8723,C8699,C8675,C8651,C8627,C8603,C8579,C8555,C8531,C8507,C8483,C8459,C8435,C8411)/POBLA!$B$10*100000</f>
        <v>129.46226460374558</v>
      </c>
      <c r="H8723" s="256">
        <f t="shared" si="1356"/>
        <v>2.22271714922049</v>
      </c>
      <c r="I8723" s="297">
        <f t="shared" si="1358"/>
        <v>287.75799571166613</v>
      </c>
      <c r="J8723" s="297">
        <f t="shared" si="1359"/>
        <v>90.428571428571431</v>
      </c>
      <c r="K8723" s="297">
        <f>J8723/POBLA!$B$10*100000</f>
        <v>11.730548739503428</v>
      </c>
      <c r="L8723" s="549">
        <f t="shared" si="1357"/>
        <v>-0.73424657534246585</v>
      </c>
      <c r="M8723" s="401">
        <f>SUM(C8723,C8699,C8675,C8651,C8627,C8603,C8579)/POBLA!$B$10*100000</f>
        <v>82.113841176524005</v>
      </c>
    </row>
    <row r="8724" spans="1:13" s="360" customFormat="1" x14ac:dyDescent="0.25">
      <c r="A8724" s="367" t="s">
        <v>33</v>
      </c>
      <c r="B8724" s="267">
        <v>44256</v>
      </c>
      <c r="C8724" s="1">
        <v>75</v>
      </c>
      <c r="D8724" s="39">
        <f t="shared" si="1354"/>
        <v>18765</v>
      </c>
      <c r="E8724" s="1">
        <v>4</v>
      </c>
      <c r="F8724" s="39">
        <f t="shared" si="1360"/>
        <v>289</v>
      </c>
      <c r="G8724" s="168">
        <f>SUM(C8724,C8700,C8676,C8652,C8628,C8604,C8580,C8556,C8532,C8508,C8484,C8460,C8436,C8412)/POBLA!$B$11*100000</f>
        <v>284.57598178713715</v>
      </c>
      <c r="H8724" s="256">
        <f t="shared" si="1356"/>
        <v>0.82792207792207795</v>
      </c>
      <c r="I8724" s="297">
        <f t="shared" si="1358"/>
        <v>235.606738167922</v>
      </c>
      <c r="J8724" s="297">
        <f t="shared" si="1359"/>
        <v>86.285714285714292</v>
      </c>
      <c r="K8724" s="297">
        <f>J8724/POBLA!$B$11*100000</f>
        <v>24.073374369668187</v>
      </c>
      <c r="L8724" s="549">
        <f t="shared" si="1357"/>
        <v>-0.45192307692307687</v>
      </c>
      <c r="M8724" s="401">
        <f>SUM(C8724,C8700,C8676,C8652,C8628,C8604,C8580)/POBLA!$B$11*100000</f>
        <v>168.51362058767728</v>
      </c>
    </row>
    <row r="8725" spans="1:13" s="360" customFormat="1" x14ac:dyDescent="0.25">
      <c r="A8725" s="367" t="s">
        <v>21</v>
      </c>
      <c r="B8725" s="267">
        <v>44256</v>
      </c>
      <c r="C8725" s="1">
        <v>17</v>
      </c>
      <c r="D8725" s="39">
        <f t="shared" si="1354"/>
        <v>10241</v>
      </c>
      <c r="E8725" s="1">
        <v>1</v>
      </c>
      <c r="F8725" s="39">
        <f t="shared" si="1360"/>
        <v>439</v>
      </c>
      <c r="G8725" s="168">
        <f>SUM(C8725,C8701,C8677,C8653,C8629,C8605,C8581,C8557,C8533,C8509,C8485,C8461,C8437,C8413)/POBLA!$B$12*100000</f>
        <v>96.561643174235329</v>
      </c>
      <c r="H8725" s="256">
        <f t="shared" si="1356"/>
        <v>1.2582781456953642</v>
      </c>
      <c r="I8725" s="297">
        <f t="shared" si="1358"/>
        <v>121.50140531857426</v>
      </c>
      <c r="J8725" s="297">
        <f t="shared" si="1359"/>
        <v>27.714285714285715</v>
      </c>
      <c r="K8725" s="297">
        <f>J8725/POBLA!$B$12*100000</f>
        <v>7.0424657051885911</v>
      </c>
      <c r="L8725" s="549">
        <f t="shared" si="1357"/>
        <v>-4.3010752688172005E-2</v>
      </c>
      <c r="M8725" s="401">
        <f>SUM(C8725,C8701,C8677,C8653,C8629,C8605,C8581)/POBLA!$B$12*100000</f>
        <v>49.297259936320138</v>
      </c>
    </row>
    <row r="8726" spans="1:13" s="360" customFormat="1" x14ac:dyDescent="0.25">
      <c r="A8726" s="367" t="s">
        <v>17</v>
      </c>
      <c r="B8726" s="267">
        <v>44256</v>
      </c>
      <c r="C8726" s="1">
        <v>98</v>
      </c>
      <c r="D8726" s="39">
        <f t="shared" si="1354"/>
        <v>67334</v>
      </c>
      <c r="E8726" s="1">
        <v>1</v>
      </c>
      <c r="F8726" s="39">
        <f t="shared" si="1360"/>
        <v>1449</v>
      </c>
      <c r="G8726" s="168">
        <f>SUM(C8726,C8702,C8678,C8654,C8630,C8606,C8582,C8558,C8534,C8510,C8486,C8462,C8438,C8414)/POBLA!$B$13*100000</f>
        <v>82.900492278195955</v>
      </c>
      <c r="H8726" s="256">
        <f t="shared" si="1356"/>
        <v>0.92230296254890998</v>
      </c>
      <c r="I8726" s="297">
        <f t="shared" si="1358"/>
        <v>76.459369624943164</v>
      </c>
      <c r="J8726" s="297">
        <f t="shared" si="1359"/>
        <v>131.85714285714286</v>
      </c>
      <c r="K8726" s="297">
        <f>J8726/POBLA!$B$13*100000</f>
        <v>6.6248618504566998</v>
      </c>
      <c r="L8726" s="549">
        <f t="shared" si="1357"/>
        <v>-0.26960110041265484</v>
      </c>
      <c r="M8726" s="401">
        <f>SUM(C8726,C8702,C8678,C8654,C8630,C8606,C8582)/POBLA!$B$13*100000</f>
        <v>46.374032953196895</v>
      </c>
    </row>
    <row r="8727" spans="1:13" s="360" customFormat="1" x14ac:dyDescent="0.25">
      <c r="A8727" s="367" t="s">
        <v>23</v>
      </c>
      <c r="B8727" s="267">
        <v>44256</v>
      </c>
      <c r="C8727" s="1">
        <v>106</v>
      </c>
      <c r="D8727" s="39">
        <f t="shared" si="1354"/>
        <v>8380</v>
      </c>
      <c r="E8727" s="1">
        <v>3</v>
      </c>
      <c r="F8727" s="39">
        <f t="shared" si="1360"/>
        <v>143</v>
      </c>
      <c r="G8727" s="168">
        <f>SUM(C8727,C8703,C8679,C8655,C8631,C8607,C8583,C8559,C8535,C8511,C8487,C8463,C8439,C8415)/POBLA!$B$14*100000</f>
        <v>121.38327780834602</v>
      </c>
      <c r="H8727" s="256">
        <f t="shared" si="1356"/>
        <v>0.76934673366834172</v>
      </c>
      <c r="I8727" s="297">
        <f t="shared" si="1358"/>
        <v>93.385828303807926</v>
      </c>
      <c r="J8727" s="297">
        <f t="shared" si="1359"/>
        <v>110.14285714285714</v>
      </c>
      <c r="K8727" s="297">
        <f>J8727/POBLA!$B$14*100000</f>
        <v>8.7325284305528399</v>
      </c>
      <c r="L8727" s="549">
        <f t="shared" si="1357"/>
        <v>-1.4473684210526416E-2</v>
      </c>
      <c r="M8727" s="401">
        <f>SUM(C8727,C8703,C8679,C8655,C8631,C8607,C8583)/POBLA!$B$14*100000</f>
        <v>61.127699013869879</v>
      </c>
    </row>
    <row r="8728" spans="1:13" s="360" customFormat="1" x14ac:dyDescent="0.25">
      <c r="A8728" s="367" t="s">
        <v>19</v>
      </c>
      <c r="B8728" s="267">
        <v>44256</v>
      </c>
      <c r="C8728" s="1">
        <v>147</v>
      </c>
      <c r="D8728" s="39">
        <f t="shared" si="1354"/>
        <v>61323</v>
      </c>
      <c r="E8728" s="1">
        <v>4</v>
      </c>
      <c r="F8728" s="39">
        <f t="shared" si="1360"/>
        <v>906</v>
      </c>
      <c r="G8728" s="168">
        <f>SUM(C8728,C8704,C8680,C8656,C8632,C8608,C8584,C8560,C8536,C8512,C8488,C8464,C8440,C8416)/POBLA!$B$15*100000</f>
        <v>378.28078011375533</v>
      </c>
      <c r="H8728" s="256">
        <f t="shared" si="1356"/>
        <v>0.57338507190139243</v>
      </c>
      <c r="I8728" s="297">
        <f t="shared" si="1358"/>
        <v>216.90055230444042</v>
      </c>
      <c r="J8728" s="297">
        <f t="shared" si="1359"/>
        <v>161.57142857142858</v>
      </c>
      <c r="K8728" s="297">
        <f>J8728/POBLA!$B$15*100000</f>
        <v>24.330957820101073</v>
      </c>
      <c r="L8728" s="549">
        <f t="shared" si="1357"/>
        <v>0.18102824040550325</v>
      </c>
      <c r="M8728" s="401">
        <f>SUM(C8728,C8704,C8680,C8656,C8632,C8608,C8584)/POBLA!$B$15*100000</f>
        <v>170.31670474070751</v>
      </c>
    </row>
    <row r="8729" spans="1:13" s="360" customFormat="1" x14ac:dyDescent="0.25">
      <c r="A8729" s="367" t="s">
        <v>18</v>
      </c>
      <c r="B8729" s="267">
        <v>44256</v>
      </c>
      <c r="C8729" s="1">
        <v>111</v>
      </c>
      <c r="D8729" s="39">
        <f t="shared" si="1354"/>
        <v>52437</v>
      </c>
      <c r="E8729" s="1">
        <v>6</v>
      </c>
      <c r="F8729" s="39">
        <f t="shared" si="1360"/>
        <v>1188</v>
      </c>
      <c r="G8729" s="168">
        <f>SUM(C8729,C8705,C8681,C8657,C8633,C8609,C8585,C8561,C8537,C8513,C8489,C8465,C8441,C8417)/POBLA!$B$16*100000</f>
        <v>234.48054466901192</v>
      </c>
      <c r="H8729" s="256">
        <f t="shared" si="1356"/>
        <v>0.70176140912730189</v>
      </c>
      <c r="I8729" s="297">
        <f t="shared" si="1358"/>
        <v>164.54939743986307</v>
      </c>
      <c r="J8729" s="297">
        <f t="shared" si="1359"/>
        <v>123.42857142857143</v>
      </c>
      <c r="K8729" s="297">
        <f>J8729/POBLA!$B$16*100000</f>
        <v>16.509753939697362</v>
      </c>
      <c r="L8729" s="549">
        <f t="shared" si="1357"/>
        <v>2.8121484814398245E-2</v>
      </c>
      <c r="M8729" s="401">
        <f>SUM(C8729,C8705,C8681,C8657,C8633,C8609,C8585)/POBLA!$B$16*100000</f>
        <v>115.56827757788152</v>
      </c>
    </row>
    <row r="8730" spans="1:13" s="360" customFormat="1" x14ac:dyDescent="0.25">
      <c r="A8730" s="367" t="s">
        <v>34</v>
      </c>
      <c r="B8730" s="267">
        <v>44256</v>
      </c>
      <c r="C8730" s="1">
        <v>56</v>
      </c>
      <c r="D8730" s="39">
        <f t="shared" si="1354"/>
        <v>26197</v>
      </c>
      <c r="E8730" s="1">
        <v>2</v>
      </c>
      <c r="F8730" s="39">
        <f t="shared" si="1360"/>
        <v>1097</v>
      </c>
      <c r="G8730" s="168">
        <f>SUM(C8730,C8706,C8682,C8658,C8634,C8610,C8586,C8562,C8538,C8514,C8490,C8466,C8442,C8418)/POBLA!$B$17*100000</f>
        <v>94.215306547261747</v>
      </c>
      <c r="H8730" s="256">
        <f t="shared" si="1356"/>
        <v>1.3041788143828961</v>
      </c>
      <c r="I8730" s="297">
        <f t="shared" si="1358"/>
        <v>122.87360678952894</v>
      </c>
      <c r="J8730" s="297">
        <f t="shared" si="1359"/>
        <v>102.57142857142857</v>
      </c>
      <c r="K8730" s="297">
        <f>J8730/POBLA!$B$17*100000</f>
        <v>7.2010421653112555</v>
      </c>
      <c r="L8730" s="549">
        <f t="shared" si="1357"/>
        <v>-0.15064102564102555</v>
      </c>
      <c r="M8730" s="401">
        <f>SUM(C8730,C8706,C8682,C8658,C8634,C8610,C8586)/POBLA!$B$17*100000</f>
        <v>50.407295157178787</v>
      </c>
    </row>
    <row r="8731" spans="1:13" s="360" customFormat="1" x14ac:dyDescent="0.25">
      <c r="A8731" s="367" t="s">
        <v>35</v>
      </c>
      <c r="B8731" s="267">
        <v>44256</v>
      </c>
      <c r="C8731" s="1">
        <v>48</v>
      </c>
      <c r="D8731" s="39">
        <f t="shared" si="1354"/>
        <v>15292</v>
      </c>
      <c r="E8731" s="1">
        <v>3</v>
      </c>
      <c r="F8731" s="39">
        <f t="shared" si="1360"/>
        <v>211</v>
      </c>
      <c r="G8731" s="168">
        <f>SUM(C8731,C8707,C8683,C8659,C8635,C8611,C8587,C8563,C8539,C8515,C8491,C8467,C8443,C8419)/POBLA!$B$18*100000</f>
        <v>86.531655097111297</v>
      </c>
      <c r="H8731" s="256">
        <f t="shared" si="1356"/>
        <v>1.0920840064620356</v>
      </c>
      <c r="I8731" s="297">
        <f t="shared" si="1358"/>
        <v>94.499836584244335</v>
      </c>
      <c r="J8731" s="297">
        <f t="shared" si="1359"/>
        <v>43.142857142857146</v>
      </c>
      <c r="K8731" s="297">
        <f>J8731/POBLA!$B$18*100000</f>
        <v>5.522518985487662</v>
      </c>
      <c r="L8731" s="549">
        <f t="shared" si="1357"/>
        <v>0.19251336898395721</v>
      </c>
      <c r="M8731" s="401">
        <f>SUM(C8731,C8707,C8683,C8659,C8635,C8611,C8587)/POBLA!$B$18*100000</f>
        <v>38.657632898413631</v>
      </c>
    </row>
    <row r="8732" spans="1:13" s="360" customFormat="1" x14ac:dyDescent="0.25">
      <c r="A8732" s="367" t="s">
        <v>36</v>
      </c>
      <c r="B8732" s="267">
        <v>44256</v>
      </c>
      <c r="C8732" s="1">
        <v>3</v>
      </c>
      <c r="D8732" s="39">
        <f t="shared" si="1354"/>
        <v>20776</v>
      </c>
      <c r="E8732" s="1">
        <v>2</v>
      </c>
      <c r="F8732" s="39">
        <f t="shared" si="1360"/>
        <v>355</v>
      </c>
      <c r="G8732" s="168">
        <f>SUM(C8732,C8708,C8684,C8660,C8636,C8612,C8588,C8564,C8540,C8516,C8492,C8468,C8444,C8420)/POBLA!$B$19*100000</f>
        <v>136.32929919264728</v>
      </c>
      <c r="H8732" s="256">
        <f t="shared" si="1356"/>
        <v>0.64948453608247425</v>
      </c>
      <c r="I8732" s="297">
        <f t="shared" si="1358"/>
        <v>88.543771640585348</v>
      </c>
      <c r="J8732" s="297">
        <f t="shared" si="1359"/>
        <v>33.428571428571431</v>
      </c>
      <c r="K8732" s="297">
        <f>J8732/POBLA!$B$19*100000</f>
        <v>6.5761814081796466</v>
      </c>
      <c r="L8732" s="549">
        <f t="shared" si="1357"/>
        <v>0.49019607843137258</v>
      </c>
      <c r="M8732" s="401">
        <f>SUM(C8732,C8708,C8684,C8660,C8636,C8612,C8588)/POBLA!$B$19*100000</f>
        <v>46.033269857257523</v>
      </c>
    </row>
    <row r="8733" spans="1:13" s="360" customFormat="1" x14ac:dyDescent="0.25">
      <c r="A8733" s="367" t="s">
        <v>37</v>
      </c>
      <c r="B8733" s="267">
        <v>44256</v>
      </c>
      <c r="C8733" s="1">
        <v>63</v>
      </c>
      <c r="D8733" s="39">
        <f t="shared" si="1354"/>
        <v>35994</v>
      </c>
      <c r="E8733" s="1">
        <v>6</v>
      </c>
      <c r="F8733" s="39">
        <f t="shared" si="1360"/>
        <v>584</v>
      </c>
      <c r="G8733" s="168">
        <f>SUM(C8733,C8709,C8685,C8661,C8637,C8613,C8589,C8565,C8541,C8517,C8493,C8469,C8445,C8421)/POBLA!$B$20*100000</f>
        <v>386.38439368003105</v>
      </c>
      <c r="H8733" s="256">
        <f t="shared" si="1356"/>
        <v>0.74251182343667887</v>
      </c>
      <c r="I8733" s="297">
        <f t="shared" si="1358"/>
        <v>286.89498069883541</v>
      </c>
      <c r="J8733" s="297">
        <f t="shared" si="1359"/>
        <v>97.285714285714292</v>
      </c>
      <c r="K8733" s="297">
        <f>J8733/POBLA!$B$20*100000</f>
        <v>26.602747153584186</v>
      </c>
      <c r="L8733" s="549">
        <f t="shared" si="1357"/>
        <v>6.9672131147541005E-2</v>
      </c>
      <c r="M8733" s="401">
        <f>SUM(C8733,C8709,C8685,C8661,C8637,C8613,C8589)/POBLA!$B$20*100000</f>
        <v>186.21923007508929</v>
      </c>
    </row>
    <row r="8734" spans="1:13" s="360" customFormat="1" x14ac:dyDescent="0.25">
      <c r="A8734" s="367" t="s">
        <v>22</v>
      </c>
      <c r="B8734" s="267">
        <v>44256</v>
      </c>
      <c r="C8734" s="1">
        <v>314</v>
      </c>
      <c r="D8734" s="39">
        <f t="shared" si="1354"/>
        <v>216779</v>
      </c>
      <c r="E8734" s="1">
        <v>11</v>
      </c>
      <c r="F8734" s="39">
        <f t="shared" si="1360"/>
        <v>3969</v>
      </c>
      <c r="G8734" s="168">
        <f>SUM(C8734,C8710,C8686,C8662,C8638,C8614,C8590,C8566,C8542,C8518,C8494,C8470,C8446,C8422)/POBLA!$B$21*100000</f>
        <v>133.24216763968514</v>
      </c>
      <c r="H8734" s="256">
        <f t="shared" si="1356"/>
        <v>0.82406435816719137</v>
      </c>
      <c r="I8734" s="297">
        <f t="shared" si="1358"/>
        <v>109.80012135680245</v>
      </c>
      <c r="J8734" s="297">
        <f t="shared" si="1359"/>
        <v>341.57142857142856</v>
      </c>
      <c r="K8734" s="297">
        <f>J8734/POBLA!$B$21*100000</f>
        <v>9.6586836898643931</v>
      </c>
      <c r="L8734" s="549">
        <f t="shared" si="1357"/>
        <v>-3.0159414045670019E-2</v>
      </c>
      <c r="M8734" s="401">
        <f>SUM(C8734,C8710,C8686,C8662,C8638,C8614,C8590)/POBLA!$B$21*100000</f>
        <v>67.610785829050741</v>
      </c>
    </row>
    <row r="8735" spans="1:13" s="360" customFormat="1" x14ac:dyDescent="0.25">
      <c r="A8735" s="367" t="s">
        <v>38</v>
      </c>
      <c r="B8735" s="267">
        <v>44256</v>
      </c>
      <c r="C8735" s="1">
        <v>34</v>
      </c>
      <c r="D8735" s="39">
        <f t="shared" si="1354"/>
        <v>22692</v>
      </c>
      <c r="E8735" s="1">
        <v>1</v>
      </c>
      <c r="F8735" s="39">
        <f t="shared" si="1360"/>
        <v>269</v>
      </c>
      <c r="G8735" s="168">
        <f>SUM(C8735,C8711,C8687,C8663,C8639,C8615,C8591,C8567,C8543,C8519,C8495,C8471,C8447,C8423)/POBLA!$B$22*100000</f>
        <v>82.488937589503564</v>
      </c>
      <c r="H8735" s="256">
        <f t="shared" si="1356"/>
        <v>0.86680988184747587</v>
      </c>
      <c r="I8735" s="297">
        <f t="shared" si="1358"/>
        <v>71.502226245681399</v>
      </c>
      <c r="J8735" s="297">
        <f t="shared" si="1359"/>
        <v>67.857142857142861</v>
      </c>
      <c r="K8735" s="297">
        <f>J8735/POBLA!$B$22*100000</f>
        <v>6.936138317403822</v>
      </c>
      <c r="L8735" s="549">
        <f t="shared" si="1357"/>
        <v>-0.43072289156626509</v>
      </c>
      <c r="M8735" s="401">
        <f>SUM(C8735,C8711,C8687,C8663,C8639,C8615,C8591)/POBLA!$B$22*100000</f>
        <v>48.55296822182676</v>
      </c>
    </row>
    <row r="8736" spans="1:13" s="360" customFormat="1" x14ac:dyDescent="0.25">
      <c r="A8736" s="367" t="s">
        <v>39</v>
      </c>
      <c r="B8736" s="267">
        <v>44256</v>
      </c>
      <c r="C8736" s="1">
        <v>32</v>
      </c>
      <c r="D8736" s="39">
        <f t="shared" si="1354"/>
        <v>22971</v>
      </c>
      <c r="E8736" s="1">
        <v>2</v>
      </c>
      <c r="F8736" s="39">
        <f t="shared" si="1360"/>
        <v>355</v>
      </c>
      <c r="G8736" s="168">
        <f>SUM(C8736,C8712,C8688,C8664,C8640,C8616,C8592,C8568,C8544,C8520,C8496,C8472,C8448,C8424)/POBLA!$B$23*100000</f>
        <v>288.41259967200136</v>
      </c>
      <c r="H8736" s="256">
        <f t="shared" si="1356"/>
        <v>0.83743842364532017</v>
      </c>
      <c r="I8736" s="297">
        <f t="shared" si="1358"/>
        <v>241.52779282876961</v>
      </c>
      <c r="J8736" s="297">
        <f t="shared" si="1359"/>
        <v>31.857142857142858</v>
      </c>
      <c r="K8736" s="297">
        <f>J8736/POBLA!$B$23*100000</f>
        <v>18.015688999119412</v>
      </c>
      <c r="L8736" s="549">
        <f t="shared" si="1357"/>
        <v>0.22299651567944256</v>
      </c>
      <c r="M8736" s="401">
        <f>SUM(C8736,C8712,C8688,C8664,C8640,C8616,C8592)/POBLA!$B$23*100000</f>
        <v>126.10982299383589</v>
      </c>
    </row>
    <row r="8737" spans="1:13" s="360" customFormat="1" ht="15.75" thickBot="1" x14ac:dyDescent="0.3">
      <c r="A8737" s="369" t="s">
        <v>40</v>
      </c>
      <c r="B8737" s="267">
        <v>44256</v>
      </c>
      <c r="C8737" s="1">
        <v>129</v>
      </c>
      <c r="D8737" s="176">
        <f t="shared" si="1354"/>
        <v>79926</v>
      </c>
      <c r="E8737" s="1">
        <v>3</v>
      </c>
      <c r="F8737" s="176">
        <f t="shared" si="1360"/>
        <v>1476</v>
      </c>
      <c r="G8737" s="177">
        <f>SUM(C8737,C8713,C8689,C8665,C8641,C8617,C8593,C8569,C8545,C8521,C8497,C8473,C8449,C8425)/POBLA!$B$24*100000</f>
        <v>106.1572378110956</v>
      </c>
      <c r="H8737" s="402">
        <f t="shared" si="1356"/>
        <v>1.1278996865203761</v>
      </c>
      <c r="I8737" s="403">
        <f t="shared" si="1358"/>
        <v>119.73471524900374</v>
      </c>
      <c r="J8737" s="403">
        <f t="shared" si="1359"/>
        <v>144.14285714285714</v>
      </c>
      <c r="K8737" s="403">
        <f>J8737/POBLA!$B$24*100000</f>
        <v>8.5057296078293856</v>
      </c>
      <c r="L8737" s="550">
        <f t="shared" si="1357"/>
        <v>-0.27721518987341764</v>
      </c>
      <c r="M8737" s="405">
        <f>SUM(C8737,C8713,C8689,C8665,C8641,C8617,C8593)/POBLA!$B$24*100000</f>
        <v>59.54010725480569</v>
      </c>
    </row>
    <row r="8738" spans="1:13" s="360" customFormat="1" x14ac:dyDescent="0.25">
      <c r="A8738" s="363" t="s">
        <v>16</v>
      </c>
      <c r="B8738" s="267">
        <v>44257</v>
      </c>
      <c r="C8738" s="1">
        <v>2926</v>
      </c>
      <c r="D8738" s="174">
        <f t="shared" si="1354"/>
        <v>884737</v>
      </c>
      <c r="E8738" s="1">
        <v>36</v>
      </c>
      <c r="F8738" s="174">
        <f t="shared" ref="F8738:F8744" si="1361">E8738+F8714</f>
        <v>26275</v>
      </c>
      <c r="G8738" s="175">
        <f>SUM(C8738,C8714,C8690,C8666,C8642,C8618,C8594,C8570,C8546,C8522,C8498,C8474,C8450,C8426)/POBLA!$B$1*100000</f>
        <v>206.84515334549786</v>
      </c>
      <c r="H8738" s="300">
        <f t="shared" ref="H8738:H8761" si="1362">SUM(C8738,C8714,C8690,C8666,C8642,C8618,C8594,C8570,C8546,C8522,C8498,C8474,C8450,C8426)/SUM(C8402,C8378,C8354,C8330,C8306,C8282,C8258,C8234,C8210,C8186,C8162,C8138,C8114,C8090)</f>
        <v>0.97281282676890901</v>
      </c>
      <c r="I8738" s="301">
        <f>G8738*H8738</f>
        <v>201.22161832948223</v>
      </c>
      <c r="J8738" s="301">
        <f>AVERAGE(C8738,C8714,C8690,C8666,C8642,C8618,C8594)</f>
        <v>2494.7142857142858</v>
      </c>
      <c r="K8738" s="301">
        <f>J8738/POBLA!$B$1*100000</f>
        <v>14.222075324029866</v>
      </c>
      <c r="L8738" s="548">
        <f t="shared" ref="L8738:L8761" si="1363">1-SUM(C8738,C8714,C8690,C8666,C8642,C8618,C8594)/SUM(C8570,C8546,C8522,C8498,C8474,C8450,C8426)</f>
        <v>7.210414452709879E-2</v>
      </c>
      <c r="M8738" s="400">
        <f>SUM(C8738,C8714,C8690,C8666,C8642,C8618,C8594)/POBLA!$B$1*100000</f>
        <v>99.554527268209071</v>
      </c>
    </row>
    <row r="8739" spans="1:13" s="360" customFormat="1" x14ac:dyDescent="0.25">
      <c r="A8739" s="367" t="s">
        <v>43</v>
      </c>
      <c r="B8739" s="267">
        <v>44257</v>
      </c>
      <c r="C8739" s="1">
        <v>652</v>
      </c>
      <c r="D8739" s="39">
        <f t="shared" si="1354"/>
        <v>232976</v>
      </c>
      <c r="E8739" s="1">
        <v>9</v>
      </c>
      <c r="F8739" s="39">
        <f t="shared" si="1361"/>
        <v>6537</v>
      </c>
      <c r="G8739" s="168">
        <f>SUM(C8739,C8715,C8691,C8667,C8643,C8619,C8595,C8571,C8547,C8523,C8499,C8475,C8451,C8427)/POBLA!$B$2*100000</f>
        <v>312.22708985364375</v>
      </c>
      <c r="H8739" s="256">
        <f t="shared" si="1362"/>
        <v>0.87403294802948939</v>
      </c>
      <c r="I8739" s="297">
        <f t="shared" ref="I8739:I8761" si="1364">G8739*H8739</f>
        <v>272.89676379944854</v>
      </c>
      <c r="J8739" s="297">
        <f t="shared" ref="J8739:J8761" si="1365">AVERAGE(C8739,C8715,C8691,C8667,C8643,C8619,C8595)</f>
        <v>656.85714285714289</v>
      </c>
      <c r="K8739" s="297">
        <f>J8739/POBLA!$B$2*100000</f>
        <v>21.356721250011962</v>
      </c>
      <c r="L8739" s="549">
        <f t="shared" si="1363"/>
        <v>8.1318681318681363E-2</v>
      </c>
      <c r="M8739" s="401">
        <f>SUM(C8739,C8715,C8691,C8667,C8643,C8619,C8595)/POBLA!$B$2*100000</f>
        <v>149.49704875008371</v>
      </c>
    </row>
    <row r="8740" spans="1:13" s="360" customFormat="1" x14ac:dyDescent="0.25">
      <c r="A8740" s="367" t="s">
        <v>28</v>
      </c>
      <c r="B8740" s="267">
        <v>44257</v>
      </c>
      <c r="C8740" s="1">
        <v>93</v>
      </c>
      <c r="D8740" s="39">
        <f t="shared" si="1354"/>
        <v>8131</v>
      </c>
      <c r="E8740" s="1"/>
      <c r="F8740" s="39">
        <f t="shared" si="1361"/>
        <v>17</v>
      </c>
      <c r="G8740" s="168">
        <f>SUM(C8740,C8716,C8692,C8668,C8644,C8620,C8596,C8572,C8548,C8524,C8500,C8476,C8452,C8428)/POBLA!$B$3*100000</f>
        <v>300.64654653642663</v>
      </c>
      <c r="H8740" s="256">
        <f t="shared" si="1362"/>
        <v>1.037375415282392</v>
      </c>
      <c r="I8740" s="297">
        <f t="shared" si="1364"/>
        <v>311.88333606644255</v>
      </c>
      <c r="J8740" s="297">
        <f t="shared" si="1365"/>
        <v>99</v>
      </c>
      <c r="K8740" s="297">
        <f>J8740/POBLA!$B$3*100000</f>
        <v>23.830270702246786</v>
      </c>
      <c r="L8740" s="549">
        <f t="shared" si="1363"/>
        <v>-0.24640287769784175</v>
      </c>
      <c r="M8740" s="401">
        <f>SUM(C8740,C8716,C8692,C8668,C8644,C8620,C8596)/POBLA!$B$3*100000</f>
        <v>166.81189491572749</v>
      </c>
    </row>
    <row r="8741" spans="1:13" s="360" customFormat="1" x14ac:dyDescent="0.25">
      <c r="A8741" s="367" t="s">
        <v>15</v>
      </c>
      <c r="B8741" s="267">
        <v>44257</v>
      </c>
      <c r="C8741" s="1">
        <v>113</v>
      </c>
      <c r="D8741" s="39">
        <f t="shared" si="1354"/>
        <v>34330</v>
      </c>
      <c r="E8741" s="1">
        <v>2</v>
      </c>
      <c r="F8741" s="39">
        <f t="shared" si="1361"/>
        <v>869</v>
      </c>
      <c r="G8741" s="168">
        <f>SUM(C8741,C8717,C8693,C8669,C8645,C8621,C8597,C8573,C8549,C8525,C8501,C8477,C8453,C8429)/POBLA!$B$4*100000</f>
        <v>145.28355614296234</v>
      </c>
      <c r="H8741" s="256">
        <f t="shared" si="1362"/>
        <v>1.11323155216285</v>
      </c>
      <c r="I8741" s="297">
        <f t="shared" si="1364"/>
        <v>161.73423870876852</v>
      </c>
      <c r="J8741" s="297">
        <f t="shared" si="1365"/>
        <v>115.57142857142857</v>
      </c>
      <c r="K8741" s="297">
        <f>J8741/POBLA!$B$4*100000</f>
        <v>9.594644646502573</v>
      </c>
      <c r="L8741" s="549">
        <f t="shared" si="1363"/>
        <v>0.14027630180658879</v>
      </c>
      <c r="M8741" s="401">
        <f>SUM(C8741,C8717,C8693,C8669,C8645,C8621,C8597)/POBLA!$B$4*100000</f>
        <v>67.162512525518011</v>
      </c>
    </row>
    <row r="8742" spans="1:13" s="360" customFormat="1" x14ac:dyDescent="0.25">
      <c r="A8742" s="367" t="s">
        <v>29</v>
      </c>
      <c r="B8742" s="267">
        <v>44257</v>
      </c>
      <c r="C8742" s="1">
        <v>131</v>
      </c>
      <c r="D8742" s="39">
        <f t="shared" si="1354"/>
        <v>47139</v>
      </c>
      <c r="E8742" s="1"/>
      <c r="F8742" s="39">
        <f t="shared" si="1361"/>
        <v>775</v>
      </c>
      <c r="G8742" s="168">
        <f>SUM(C8742,C8718,C8694,C8670,C8646,C8622,C8598,C8574,C8550,C8526,C8502,C8478,C8454,C8430)/POBLA!$B$5*100000</f>
        <v>291.76373276639191</v>
      </c>
      <c r="H8742" s="256">
        <f t="shared" si="1362"/>
        <v>0.72705314009661837</v>
      </c>
      <c r="I8742" s="297">
        <f t="shared" si="1364"/>
        <v>212.12773807411585</v>
      </c>
      <c r="J8742" s="297">
        <f t="shared" si="1365"/>
        <v>104.71428571428571</v>
      </c>
      <c r="K8742" s="297">
        <f>J8742/POBLA!$B$5*100000</f>
        <v>16.916849874843003</v>
      </c>
      <c r="L8742" s="549">
        <f t="shared" si="1363"/>
        <v>0.3168685927306617</v>
      </c>
      <c r="M8742" s="401">
        <f>SUM(C8742,C8718,C8694,C8670,C8646,C8622,C8598)/POBLA!$B$5*100000</f>
        <v>118.41794912390104</v>
      </c>
    </row>
    <row r="8743" spans="1:13" s="360" customFormat="1" x14ac:dyDescent="0.25">
      <c r="A8743" s="367" t="s">
        <v>30</v>
      </c>
      <c r="B8743" s="267">
        <v>44257</v>
      </c>
      <c r="C8743" s="1">
        <v>111</v>
      </c>
      <c r="D8743" s="39">
        <f t="shared" si="1354"/>
        <v>22060</v>
      </c>
      <c r="E8743" s="1"/>
      <c r="F8743" s="39">
        <f t="shared" si="1361"/>
        <v>300</v>
      </c>
      <c r="G8743" s="168">
        <f>SUM(C8743,C8719,C8695,C8671,C8647,C8623,C8599,C8575,C8551,C8527,C8503,C8479,C8455,C8431)/POBLA!$B$6*100000</f>
        <v>172.01983224497479</v>
      </c>
      <c r="H8743" s="256">
        <f t="shared" si="1362"/>
        <v>0.80534670008354214</v>
      </c>
      <c r="I8743" s="297">
        <f t="shared" si="1364"/>
        <v>138.53560424741494</v>
      </c>
      <c r="J8743" s="297">
        <f t="shared" si="1365"/>
        <v>125.57142857142857</v>
      </c>
      <c r="K8743" s="297">
        <f>J8743/POBLA!$B$6*100000</f>
        <v>11.203722031960051</v>
      </c>
      <c r="L8743" s="549">
        <f t="shared" si="1363"/>
        <v>0.16205910390848433</v>
      </c>
      <c r="M8743" s="401">
        <f>SUM(C8743,C8719,C8695,C8671,C8647,C8623,C8599)/POBLA!$B$6*100000</f>
        <v>78.426054223720357</v>
      </c>
    </row>
    <row r="8744" spans="1:13" s="360" customFormat="1" x14ac:dyDescent="0.25">
      <c r="A8744" s="367" t="s">
        <v>20</v>
      </c>
      <c r="B8744" s="267">
        <v>44257</v>
      </c>
      <c r="C8744" s="1">
        <v>778</v>
      </c>
      <c r="D8744" s="39">
        <f t="shared" si="1354"/>
        <v>161049</v>
      </c>
      <c r="E8744" s="1">
        <v>8</v>
      </c>
      <c r="F8744" s="39">
        <f t="shared" si="1361"/>
        <v>2853</v>
      </c>
      <c r="G8744" s="168">
        <f>SUM(C8744,C8720,C8696,C8672,C8648,C8624,C8600,C8576,C8552,C8528,C8504,C8480,C8456,C8432)/POBLA!$B$7*100000</f>
        <v>228.05781222991931</v>
      </c>
      <c r="H8744" s="256">
        <f t="shared" si="1362"/>
        <v>1.3065204143814748</v>
      </c>
      <c r="I8744" s="297">
        <f t="shared" si="1364"/>
        <v>297.96218733756677</v>
      </c>
      <c r="J8744" s="297">
        <f t="shared" si="1365"/>
        <v>606.57142857142856</v>
      </c>
      <c r="K8744" s="297">
        <f>J8744/POBLA!$B$7*100000</f>
        <v>16.130288358346171</v>
      </c>
      <c r="L8744" s="549">
        <f t="shared" si="1363"/>
        <v>1.9399538106235514E-2</v>
      </c>
      <c r="M8744" s="401">
        <f>SUM(C8744,C8720,C8696,C8672,C8648,C8624,C8600)/POBLA!$B$7*100000</f>
        <v>112.9120185084232</v>
      </c>
    </row>
    <row r="8745" spans="1:13" x14ac:dyDescent="0.25">
      <c r="A8745" s="367" t="s">
        <v>31</v>
      </c>
      <c r="B8745" s="267">
        <v>44257</v>
      </c>
      <c r="C8745" s="1">
        <v>99</v>
      </c>
      <c r="D8745" s="39">
        <f t="shared" si="1354"/>
        <v>45358</v>
      </c>
      <c r="E8745" s="1">
        <v>13</v>
      </c>
      <c r="F8745" s="39">
        <f t="shared" ref="F8745:F8761" si="1366">E8745+F8721</f>
        <v>866</v>
      </c>
      <c r="G8745" s="168">
        <f>SUM(C8745,C8721,C8697,C8673,C8649,C8625,C8601,C8577,C8553,C8529,C8505,C8481,C8457,C8433)/POBLA!$B$8*100000</f>
        <v>120.92692362916416</v>
      </c>
      <c r="H8745" s="256">
        <f t="shared" si="1362"/>
        <v>0.75156950672645739</v>
      </c>
      <c r="I8745" s="297">
        <f t="shared" si="1364"/>
        <v>90.884988341918898</v>
      </c>
      <c r="J8745" s="297">
        <f t="shared" si="1365"/>
        <v>112.28571428571429</v>
      </c>
      <c r="K8745" s="297">
        <f>J8745/POBLA!$B$8*100000</f>
        <v>8.1016503556531738</v>
      </c>
      <c r="L8745" s="549">
        <f t="shared" si="1363"/>
        <v>0.11685393258426968</v>
      </c>
      <c r="M8745" s="401">
        <f>SUM(C8745,C8721,C8697,C8673,C8649,C8625,C8601)/POBLA!$B$8*100000</f>
        <v>56.711552489572213</v>
      </c>
    </row>
    <row r="8746" spans="1:13" s="360" customFormat="1" x14ac:dyDescent="0.25">
      <c r="A8746" s="367" t="s">
        <v>41</v>
      </c>
      <c r="B8746" s="267">
        <v>44257</v>
      </c>
      <c r="C8746" s="1">
        <v>14</v>
      </c>
      <c r="D8746" s="39">
        <f t="shared" si="1354"/>
        <v>1257</v>
      </c>
      <c r="E8746" s="1"/>
      <c r="F8746" s="39">
        <f t="shared" si="1366"/>
        <v>19</v>
      </c>
      <c r="G8746" s="168">
        <f>SUM(C8746,C8722,C8698,C8674,C8650,C8626,C8602,C8578,C8554,C8530,C8506,C8482,C8458,C8434)/POBLA!$B$9*100000</f>
        <v>46.100995880652945</v>
      </c>
      <c r="H8746" s="256">
        <f t="shared" si="1362"/>
        <v>2.1968503937007875</v>
      </c>
      <c r="I8746" s="297">
        <f t="shared" si="1364"/>
        <v>101.27699095041081</v>
      </c>
      <c r="J8746" s="297">
        <f t="shared" si="1365"/>
        <v>12.714285714285714</v>
      </c>
      <c r="K8746" s="297">
        <f>J8746/POBLA!$B$9*100000</f>
        <v>2.1008646356262735</v>
      </c>
      <c r="L8746" s="549">
        <f t="shared" si="1363"/>
        <v>0.53157894736842104</v>
      </c>
      <c r="M8746" s="401">
        <f>SUM(C8746,C8722,C8698,C8674,C8650,C8626,C8602)/POBLA!$B$9*100000</f>
        <v>14.706052449383916</v>
      </c>
    </row>
    <row r="8747" spans="1:13" s="360" customFormat="1" x14ac:dyDescent="0.25">
      <c r="A8747" s="367" t="s">
        <v>32</v>
      </c>
      <c r="B8747" s="267">
        <v>44257</v>
      </c>
      <c r="C8747" s="1">
        <v>92</v>
      </c>
      <c r="D8747" s="39">
        <f t="shared" si="1354"/>
        <v>20888</v>
      </c>
      <c r="E8747" s="1">
        <v>4</v>
      </c>
      <c r="F8747" s="39">
        <f t="shared" si="1366"/>
        <v>909</v>
      </c>
      <c r="G8747" s="168">
        <f>SUM(C8747,C8723,C8699,C8675,C8651,C8627,C8603,C8579,C8555,C8531,C8507,C8483,C8459,C8435)/POBLA!$B$10*100000</f>
        <v>137.63473220899203</v>
      </c>
      <c r="H8747" s="256">
        <f t="shared" si="1362"/>
        <v>2.3267543859649122</v>
      </c>
      <c r="I8747" s="297">
        <f t="shared" si="1364"/>
        <v>320.24221682837839</v>
      </c>
      <c r="J8747" s="297">
        <f t="shared" si="1365"/>
        <v>86.571428571428569</v>
      </c>
      <c r="K8747" s="297">
        <f>J8747/POBLA!$B$10*100000</f>
        <v>11.230193579998543</v>
      </c>
      <c r="L8747" s="549">
        <f t="shared" si="1363"/>
        <v>-0.3318681318681318</v>
      </c>
      <c r="M8747" s="401">
        <f>SUM(C8747,C8723,C8699,C8675,C8651,C8627,C8603)/POBLA!$B$10*100000</f>
        <v>78.611355059989805</v>
      </c>
    </row>
    <row r="8748" spans="1:13" s="360" customFormat="1" x14ac:dyDescent="0.25">
      <c r="A8748" s="367" t="s">
        <v>33</v>
      </c>
      <c r="B8748" s="267">
        <v>44257</v>
      </c>
      <c r="C8748" s="1">
        <v>84</v>
      </c>
      <c r="D8748" s="39">
        <f t="shared" si="1354"/>
        <v>18849</v>
      </c>
      <c r="E8748" s="1"/>
      <c r="F8748" s="39">
        <f t="shared" si="1366"/>
        <v>289</v>
      </c>
      <c r="G8748" s="168">
        <f>SUM(C8748,C8724,C8700,C8676,C8652,C8628,C8604,C8580,C8556,C8532,C8508,C8484,C8460,C8436)/POBLA!$B$11*100000</f>
        <v>293.22485966498152</v>
      </c>
      <c r="H8748" s="256">
        <f t="shared" si="1362"/>
        <v>0.87802840434419382</v>
      </c>
      <c r="I8748" s="297">
        <f t="shared" si="1364"/>
        <v>257.45975564569386</v>
      </c>
      <c r="J8748" s="297">
        <f t="shared" si="1365"/>
        <v>89.285714285714292</v>
      </c>
      <c r="K8748" s="297">
        <f>J8748/POBLA!$B$11*100000</f>
        <v>24.91036255139506</v>
      </c>
      <c r="L8748" s="549">
        <f t="shared" si="1363"/>
        <v>-0.46713615023474175</v>
      </c>
      <c r="M8748" s="401">
        <f>SUM(C8748,C8724,C8700,C8676,C8652,C8628,C8604)/POBLA!$B$11*100000</f>
        <v>174.3725378597654</v>
      </c>
    </row>
    <row r="8749" spans="1:13" s="360" customFormat="1" x14ac:dyDescent="0.25">
      <c r="A8749" s="367" t="s">
        <v>21</v>
      </c>
      <c r="B8749" s="267">
        <v>44257</v>
      </c>
      <c r="C8749" s="1">
        <v>23</v>
      </c>
      <c r="D8749" s="39">
        <f t="shared" si="1354"/>
        <v>10264</v>
      </c>
      <c r="E8749" s="1"/>
      <c r="F8749" s="39">
        <f t="shared" si="1366"/>
        <v>439</v>
      </c>
      <c r="G8749" s="168">
        <f>SUM(C8749,C8725,C8701,C8677,C8653,C8629,C8605,C8581,C8557,C8533,C8509,C8485,C8461,C8437)/POBLA!$B$12*100000</f>
        <v>97.323971936137184</v>
      </c>
      <c r="H8749" s="256">
        <f t="shared" si="1362"/>
        <v>1.2120253164556962</v>
      </c>
      <c r="I8749" s="297">
        <f t="shared" si="1364"/>
        <v>117.95911788462197</v>
      </c>
      <c r="J8749" s="297">
        <f t="shared" si="1365"/>
        <v>27.714285714285715</v>
      </c>
      <c r="K8749" s="297">
        <f>J8749/POBLA!$B$12*100000</f>
        <v>7.0424657051885911</v>
      </c>
      <c r="L8749" s="549">
        <f t="shared" si="1363"/>
        <v>-2.6455026455026509E-2</v>
      </c>
      <c r="M8749" s="401">
        <f>SUM(C8749,C8725,C8701,C8677,C8653,C8629,C8605)/POBLA!$B$12*100000</f>
        <v>49.297259936320138</v>
      </c>
    </row>
    <row r="8750" spans="1:13" s="360" customFormat="1" x14ac:dyDescent="0.25">
      <c r="A8750" s="367" t="s">
        <v>17</v>
      </c>
      <c r="B8750" s="267">
        <v>44257</v>
      </c>
      <c r="C8750" s="1">
        <v>146</v>
      </c>
      <c r="D8750" s="39">
        <f t="shared" si="1354"/>
        <v>67480</v>
      </c>
      <c r="E8750" s="1"/>
      <c r="F8750" s="39">
        <f t="shared" si="1366"/>
        <v>1449</v>
      </c>
      <c r="G8750" s="168">
        <f>SUM(C8750,C8726,C8702,C8678,C8654,C8630,C8606,C8582,C8558,C8534,C8510,C8486,C8462,C8438)/POBLA!$B$13*100000</f>
        <v>87.92476453748057</v>
      </c>
      <c r="H8750" s="256">
        <f t="shared" si="1362"/>
        <v>1.0361160449970397</v>
      </c>
      <c r="I8750" s="297">
        <f t="shared" si="1364"/>
        <v>91.100259289870337</v>
      </c>
      <c r="J8750" s="297">
        <f t="shared" si="1365"/>
        <v>134</v>
      </c>
      <c r="K8750" s="297">
        <f>J8750/POBLA!$B$13*100000</f>
        <v>6.7325248274413694</v>
      </c>
      <c r="L8750" s="549">
        <f t="shared" si="1363"/>
        <v>-0.15517241379310343</v>
      </c>
      <c r="M8750" s="401">
        <f>SUM(C8750,C8726,C8702,C8678,C8654,C8630,C8606)/POBLA!$B$13*100000</f>
        <v>47.127673792089588</v>
      </c>
    </row>
    <row r="8751" spans="1:13" s="360" customFormat="1" x14ac:dyDescent="0.25">
      <c r="A8751" s="367" t="s">
        <v>23</v>
      </c>
      <c r="B8751" s="267">
        <v>44257</v>
      </c>
      <c r="C8751" s="1">
        <v>154</v>
      </c>
      <c r="D8751" s="39">
        <f t="shared" si="1354"/>
        <v>8534</v>
      </c>
      <c r="E8751" s="1">
        <v>3</v>
      </c>
      <c r="F8751" s="39">
        <f t="shared" si="1366"/>
        <v>146</v>
      </c>
      <c r="G8751" s="168">
        <f>SUM(C8751,C8727,C8703,C8679,C8655,C8631,C8607,C8583,C8559,C8535,C8511,C8487,C8463,C8439)/POBLA!$B$14*100000</f>
        <v>124.47534040437836</v>
      </c>
      <c r="H8751" s="256">
        <f t="shared" si="1362"/>
        <v>0.86216364634816034</v>
      </c>
      <c r="I8751" s="297">
        <f t="shared" si="1364"/>
        <v>107.31811336346733</v>
      </c>
      <c r="J8751" s="297">
        <f t="shared" si="1365"/>
        <v>116.42857142857143</v>
      </c>
      <c r="K8751" s="297">
        <f>J8751/POBLA!$B$14*100000</f>
        <v>9.2308828416349744</v>
      </c>
      <c r="L8751" s="549">
        <f t="shared" si="1363"/>
        <v>-7.9470198675496651E-2</v>
      </c>
      <c r="M8751" s="401">
        <f>SUM(C8751,C8727,C8703,C8679,C8655,C8631,C8607)/POBLA!$B$14*100000</f>
        <v>64.616179891444816</v>
      </c>
    </row>
    <row r="8752" spans="1:13" s="360" customFormat="1" x14ac:dyDescent="0.25">
      <c r="A8752" s="367" t="s">
        <v>19</v>
      </c>
      <c r="B8752" s="267">
        <v>44257</v>
      </c>
      <c r="C8752" s="1">
        <v>176</v>
      </c>
      <c r="D8752" s="39">
        <f t="shared" si="1354"/>
        <v>61499</v>
      </c>
      <c r="E8752" s="1">
        <v>4</v>
      </c>
      <c r="F8752" s="39">
        <f t="shared" si="1366"/>
        <v>910</v>
      </c>
      <c r="G8752" s="168">
        <f>SUM(C8752,C8728,C8704,C8680,C8656,C8632,C8608,C8584,C8560,C8536,C8512,C8488,C8464,C8440)/POBLA!$B$15*100000</f>
        <v>387.9185069956344</v>
      </c>
      <c r="H8752" s="256">
        <f t="shared" si="1362"/>
        <v>0.64496745117676513</v>
      </c>
      <c r="I8752" s="297">
        <f t="shared" si="1364"/>
        <v>250.19481072127044</v>
      </c>
      <c r="J8752" s="297">
        <f t="shared" si="1365"/>
        <v>160</v>
      </c>
      <c r="K8752" s="297">
        <f>J8752/POBLA!$B$15*100000</f>
        <v>24.094317204697791</v>
      </c>
      <c r="L8752" s="549">
        <f t="shared" si="1363"/>
        <v>0.23076923076923073</v>
      </c>
      <c r="M8752" s="401">
        <f>SUM(C8752,C8728,C8704,C8680,C8656,C8632,C8608)/POBLA!$B$15*100000</f>
        <v>168.66022043288453</v>
      </c>
    </row>
    <row r="8753" spans="1:13" s="360" customFormat="1" x14ac:dyDescent="0.25">
      <c r="A8753" s="367" t="s">
        <v>18</v>
      </c>
      <c r="B8753" s="267">
        <v>44257</v>
      </c>
      <c r="C8753" s="1">
        <v>120</v>
      </c>
      <c r="D8753" s="39">
        <f t="shared" si="1354"/>
        <v>52557</v>
      </c>
      <c r="E8753" s="1">
        <v>5</v>
      </c>
      <c r="F8753" s="39">
        <f t="shared" si="1366"/>
        <v>1193</v>
      </c>
      <c r="G8753" s="168">
        <f>SUM(C8753,C8729,C8705,C8681,C8657,C8633,C8609,C8585,C8561,C8537,C8513,C8489,C8465,C8441)/POBLA!$B$16*100000</f>
        <v>235.4168617327216</v>
      </c>
      <c r="H8753" s="256">
        <f t="shared" si="1362"/>
        <v>0.7596029348295209</v>
      </c>
      <c r="I8753" s="297">
        <f t="shared" si="1364"/>
        <v>178.82333908053087</v>
      </c>
      <c r="J8753" s="297">
        <f t="shared" si="1365"/>
        <v>116.28571428571429</v>
      </c>
      <c r="K8753" s="297">
        <f>J8753/POBLA!$B$16*100000</f>
        <v>15.554328364483393</v>
      </c>
      <c r="L8753" s="549">
        <f t="shared" si="1363"/>
        <v>0.13953488372093026</v>
      </c>
      <c r="M8753" s="401">
        <f>SUM(C8753,C8729,C8705,C8681,C8657,C8633,C8609)/POBLA!$B$16*100000</f>
        <v>108.88029855138375</v>
      </c>
    </row>
    <row r="8754" spans="1:13" s="360" customFormat="1" x14ac:dyDescent="0.25">
      <c r="A8754" s="367" t="s">
        <v>34</v>
      </c>
      <c r="B8754" s="267">
        <v>44257</v>
      </c>
      <c r="C8754" s="1">
        <v>103</v>
      </c>
      <c r="D8754" s="39">
        <f t="shared" si="1354"/>
        <v>26300</v>
      </c>
      <c r="E8754" s="1">
        <v>5</v>
      </c>
      <c r="F8754" s="39">
        <f t="shared" si="1366"/>
        <v>1102</v>
      </c>
      <c r="G8754" s="168">
        <f>SUM(C8754,C8730,C8706,C8682,C8658,C8634,C8610,C8586,C8562,C8538,C8514,C8490,C8466,C8442)/POBLA!$B$17*100000</f>
        <v>98.216999895394338</v>
      </c>
      <c r="H8754" s="256">
        <f t="shared" si="1362"/>
        <v>1.3742632612966601</v>
      </c>
      <c r="I8754" s="297">
        <f t="shared" si="1364"/>
        <v>134.97601459101836</v>
      </c>
      <c r="J8754" s="297">
        <f t="shared" si="1365"/>
        <v>103.28571428571429</v>
      </c>
      <c r="K8754" s="297">
        <f>J8754/POBLA!$B$17*100000</f>
        <v>7.2511886984958762</v>
      </c>
      <c r="L8754" s="549">
        <f t="shared" si="1363"/>
        <v>-6.9526627218934989E-2</v>
      </c>
      <c r="M8754" s="401">
        <f>SUM(C8754,C8730,C8706,C8682,C8658,C8634,C8610)/POBLA!$B$17*100000</f>
        <v>50.758320889471122</v>
      </c>
    </row>
    <row r="8755" spans="1:13" s="360" customFormat="1" x14ac:dyDescent="0.25">
      <c r="A8755" s="367" t="s">
        <v>35</v>
      </c>
      <c r="B8755" s="267">
        <v>44257</v>
      </c>
      <c r="C8755" s="1">
        <v>51</v>
      </c>
      <c r="D8755" s="39">
        <f t="shared" si="1354"/>
        <v>15343</v>
      </c>
      <c r="E8755" s="1">
        <v>1</v>
      </c>
      <c r="F8755" s="39">
        <f t="shared" si="1366"/>
        <v>212</v>
      </c>
      <c r="G8755" s="168">
        <f>SUM(C8755,C8731,C8707,C8683,C8659,C8635,C8611,C8587,C8563,C8539,C8515,C8491,C8467,C8443)/POBLA!$B$18*100000</f>
        <v>87.427692945750039</v>
      </c>
      <c r="H8755" s="256">
        <f t="shared" si="1362"/>
        <v>1.1775862068965517</v>
      </c>
      <c r="I8755" s="297">
        <f t="shared" si="1364"/>
        <v>102.9536453137022</v>
      </c>
      <c r="J8755" s="297">
        <f t="shared" si="1365"/>
        <v>40.285714285714285</v>
      </c>
      <c r="K8755" s="297">
        <f>J8755/POBLA!$B$18*100000</f>
        <v>5.1567892513494051</v>
      </c>
      <c r="L8755" s="549">
        <f t="shared" si="1363"/>
        <v>0.29675810473815456</v>
      </c>
      <c r="M8755" s="401">
        <f>SUM(C8755,C8731,C8707,C8683,C8659,C8635,C8611)/POBLA!$B$18*100000</f>
        <v>36.097524759445839</v>
      </c>
    </row>
    <row r="8756" spans="1:13" s="360" customFormat="1" x14ac:dyDescent="0.25">
      <c r="A8756" s="367" t="s">
        <v>36</v>
      </c>
      <c r="B8756" s="267">
        <v>44257</v>
      </c>
      <c r="C8756" s="1">
        <v>6</v>
      </c>
      <c r="D8756" s="39">
        <f t="shared" si="1354"/>
        <v>20782</v>
      </c>
      <c r="E8756" s="1">
        <v>1</v>
      </c>
      <c r="F8756" s="39">
        <f t="shared" si="1366"/>
        <v>356</v>
      </c>
      <c r="G8756" s="168">
        <f>SUM(C8756,C8732,C8708,C8684,C8660,C8636,C8612,C8588,C8564,C8540,C8516,C8492,C8468,C8444)/POBLA!$B$19*100000</f>
        <v>110.36181363214303</v>
      </c>
      <c r="H8756" s="256">
        <f t="shared" si="1362"/>
        <v>0.49124343257443082</v>
      </c>
      <c r="I8756" s="297">
        <f t="shared" si="1364"/>
        <v>54.214516153793554</v>
      </c>
      <c r="J8756" s="297">
        <f t="shared" si="1365"/>
        <v>32.714285714285715</v>
      </c>
      <c r="K8756" s="297">
        <f>J8756/POBLA!$B$19*100000</f>
        <v>6.4356647114236702</v>
      </c>
      <c r="L8756" s="549">
        <f t="shared" si="1363"/>
        <v>0.31024096385542166</v>
      </c>
      <c r="M8756" s="401">
        <f>SUM(C8756,C8732,C8708,C8684,C8660,C8636,C8612)/POBLA!$B$19*100000</f>
        <v>45.049652979965693</v>
      </c>
    </row>
    <row r="8757" spans="1:13" s="360" customFormat="1" x14ac:dyDescent="0.25">
      <c r="A8757" s="367" t="s">
        <v>37</v>
      </c>
      <c r="B8757" s="267">
        <v>44257</v>
      </c>
      <c r="C8757" s="1">
        <v>104</v>
      </c>
      <c r="D8757" s="39">
        <f t="shared" si="1354"/>
        <v>36098</v>
      </c>
      <c r="E8757" s="1">
        <v>4</v>
      </c>
      <c r="F8757" s="39">
        <f t="shared" si="1366"/>
        <v>588</v>
      </c>
      <c r="G8757" s="168">
        <f>SUM(C8757,C8733,C8709,C8685,C8661,C8637,C8613,C8589,C8565,C8541,C8517,C8493,C8469,C8445)/POBLA!$B$20*100000</f>
        <v>400.6037768869395</v>
      </c>
      <c r="H8757" s="256">
        <f t="shared" si="1362"/>
        <v>0.81524763494713415</v>
      </c>
      <c r="I8757" s="297">
        <f t="shared" si="1364"/>
        <v>326.59128165796682</v>
      </c>
      <c r="J8757" s="297">
        <f t="shared" si="1365"/>
        <v>95.428571428571431</v>
      </c>
      <c r="K8757" s="297">
        <f>J8757/POBLA!$B$20*100000</f>
        <v>26.094912039051739</v>
      </c>
      <c r="L8757" s="549">
        <f t="shared" si="1363"/>
        <v>0.16185696361355084</v>
      </c>
      <c r="M8757" s="401">
        <f>SUM(C8757,C8733,C8709,C8685,C8661,C8637,C8613)/POBLA!$B$20*100000</f>
        <v>182.66438427336217</v>
      </c>
    </row>
    <row r="8758" spans="1:13" s="360" customFormat="1" x14ac:dyDescent="0.25">
      <c r="A8758" s="367" t="s">
        <v>22</v>
      </c>
      <c r="B8758" s="267">
        <v>44257</v>
      </c>
      <c r="C8758" s="1">
        <v>409</v>
      </c>
      <c r="D8758" s="39">
        <f t="shared" si="1354"/>
        <v>217188</v>
      </c>
      <c r="E8758" s="1">
        <v>20</v>
      </c>
      <c r="F8758" s="39">
        <f t="shared" si="1366"/>
        <v>3989</v>
      </c>
      <c r="G8758" s="168">
        <f>SUM(C8758,C8734,C8710,C8686,C8662,C8638,C8614,C8590,C8566,C8542,C8518,C8494,C8470,C8446)/POBLA!$B$21*100000</f>
        <v>139.71764649993298</v>
      </c>
      <c r="H8758" s="256">
        <f t="shared" si="1362"/>
        <v>0.91788965261006872</v>
      </c>
      <c r="I8758" s="297">
        <f t="shared" si="1364"/>
        <v>128.24538200931988</v>
      </c>
      <c r="J8758" s="297">
        <f t="shared" si="1365"/>
        <v>343.71428571428572</v>
      </c>
      <c r="K8758" s="297">
        <f>J8758/POBLA!$B$21*100000</f>
        <v>9.7192776904281608</v>
      </c>
      <c r="L8758" s="549">
        <f t="shared" si="1363"/>
        <v>5.0887573964497057E-2</v>
      </c>
      <c r="M8758" s="401">
        <f>SUM(C8758,C8734,C8710,C8686,C8662,C8638,C8614)/POBLA!$B$21*100000</f>
        <v>68.034943832997115</v>
      </c>
    </row>
    <row r="8759" spans="1:13" s="360" customFormat="1" x14ac:dyDescent="0.25">
      <c r="A8759" s="367" t="s">
        <v>38</v>
      </c>
      <c r="B8759" s="267">
        <v>44257</v>
      </c>
      <c r="C8759" s="1">
        <v>40</v>
      </c>
      <c r="D8759" s="39">
        <f t="shared" si="1354"/>
        <v>22732</v>
      </c>
      <c r="E8759" s="1"/>
      <c r="F8759" s="39">
        <f t="shared" si="1366"/>
        <v>269</v>
      </c>
      <c r="G8759" s="168">
        <f>SUM(C8759,C8735,C8711,C8687,C8663,C8639,C8615,C8591,C8567,C8543,C8519,C8495,C8471,C8447)/POBLA!$B$22*100000</f>
        <v>83.613322116745863</v>
      </c>
      <c r="H8759" s="256">
        <f t="shared" si="1362"/>
        <v>0.91806958473625144</v>
      </c>
      <c r="I8759" s="297">
        <f t="shared" si="1364"/>
        <v>76.7628479141393</v>
      </c>
      <c r="J8759" s="297">
        <f t="shared" si="1365"/>
        <v>65.285714285714292</v>
      </c>
      <c r="K8759" s="297">
        <f>J8759/POBLA!$B$22*100000</f>
        <v>6.6732951811653622</v>
      </c>
      <c r="L8759" s="549">
        <f t="shared" si="1363"/>
        <v>-0.26592797783933508</v>
      </c>
      <c r="M8759" s="401">
        <f>SUM(C8759,C8735,C8711,C8687,C8663,C8639,C8615)/POBLA!$B$22*100000</f>
        <v>46.713066268157533</v>
      </c>
    </row>
    <row r="8760" spans="1:13" s="360" customFormat="1" x14ac:dyDescent="0.25">
      <c r="A8760" s="367" t="s">
        <v>39</v>
      </c>
      <c r="B8760" s="267">
        <v>44257</v>
      </c>
      <c r="C8760" s="1">
        <v>55</v>
      </c>
      <c r="D8760" s="39">
        <f t="shared" si="1354"/>
        <v>23026</v>
      </c>
      <c r="E8760" s="1">
        <v>1</v>
      </c>
      <c r="F8760" s="39">
        <f t="shared" si="1366"/>
        <v>356</v>
      </c>
      <c r="G8760" s="168">
        <f>SUM(C8760,C8736,C8712,C8688,C8664,C8640,C8616,C8592,C8568,C8544,C8520,C8496,C8472,C8448)/POBLA!$B$23*100000</f>
        <v>307.07459141548378</v>
      </c>
      <c r="H8760" s="256">
        <f t="shared" si="1362"/>
        <v>0.94764397905759157</v>
      </c>
      <c r="I8760" s="297">
        <f t="shared" si="1364"/>
        <v>290.99738767645317</v>
      </c>
      <c r="J8760" s="297">
        <f t="shared" si="1365"/>
        <v>33</v>
      </c>
      <c r="K8760" s="297">
        <f>J8760/POBLA!$B$23*100000</f>
        <v>18.661991743482442</v>
      </c>
      <c r="L8760" s="549">
        <f t="shared" si="1363"/>
        <v>0.25961538461538458</v>
      </c>
      <c r="M8760" s="401">
        <f>SUM(C8760,C8736,C8712,C8688,C8664,C8640,C8616)/POBLA!$B$23*100000</f>
        <v>130.63394220437709</v>
      </c>
    </row>
    <row r="8761" spans="1:13" s="360" customFormat="1" ht="15.75" thickBot="1" x14ac:dyDescent="0.3">
      <c r="A8761" s="369" t="s">
        <v>40</v>
      </c>
      <c r="B8761" s="267">
        <v>44257</v>
      </c>
      <c r="C8761" s="1">
        <v>173</v>
      </c>
      <c r="D8761" s="176">
        <f t="shared" si="1354"/>
        <v>80099</v>
      </c>
      <c r="E8761" s="1"/>
      <c r="F8761" s="176">
        <f t="shared" si="1366"/>
        <v>1476</v>
      </c>
      <c r="G8761" s="177">
        <f>SUM(C8761,C8737,C8713,C8689,C8665,C8641,C8617,C8593,C8569,C8545,C8521,C8497,C8473,C8449)/POBLA!$B$24*100000</f>
        <v>112.41219456928131</v>
      </c>
      <c r="H8761" s="402">
        <f t="shared" si="1362"/>
        <v>1.2880324543610548</v>
      </c>
      <c r="I8761" s="403">
        <f t="shared" si="1364"/>
        <v>144.79055487118384</v>
      </c>
      <c r="J8761" s="403">
        <f t="shared" si="1365"/>
        <v>149.14285714285714</v>
      </c>
      <c r="K8761" s="403">
        <f>J8761/POBLA!$B$24*100000</f>
        <v>8.8007747379324854</v>
      </c>
      <c r="L8761" s="550">
        <f t="shared" si="1363"/>
        <v>-0.21254355400696867</v>
      </c>
      <c r="M8761" s="405">
        <f>SUM(C8761,C8737,C8713,C8689,C8665,C8641,C8617)/POBLA!$B$24*100000</f>
        <v>61.605423165527398</v>
      </c>
    </row>
    <row r="8762" spans="1:13" s="360" customFormat="1" x14ac:dyDescent="0.25">
      <c r="A8762" s="363" t="s">
        <v>16</v>
      </c>
      <c r="B8762" s="267">
        <v>44258</v>
      </c>
      <c r="C8762" s="1">
        <v>3460</v>
      </c>
      <c r="D8762" s="174">
        <f t="shared" si="1354"/>
        <v>888197</v>
      </c>
      <c r="E8762" s="1">
        <v>169</v>
      </c>
      <c r="F8762" s="174">
        <f t="shared" ref="F8762:F8768" si="1367">E8762+F8738</f>
        <v>26444</v>
      </c>
      <c r="G8762" s="175">
        <f>SUM(C8762,C8738,C8714,C8690,C8666,C8642,C8618,C8594,C8570,C8546,C8522,C8498,C8474,C8450)/POBLA!$B$1*100000</f>
        <v>211.73651132500447</v>
      </c>
      <c r="H8762" s="300">
        <f t="shared" ref="H8762:H8785" si="1368">SUM(C8762,C8738,C8714,C8690,C8666,C8642,C8618,C8594,C8570,C8546,C8522,C8498,C8474,C8450)/SUM(C8426,C8402,C8378,C8354,C8330,C8306,C8282,C8258,C8234,C8210,C8186,C8162,C8138,C8114)</f>
        <v>1.0256828035679766</v>
      </c>
      <c r="I8762" s="301">
        <f>G8762*H8762</f>
        <v>217.1744985535332</v>
      </c>
      <c r="J8762" s="301">
        <f>AVERAGE(C8762,C8738,C8714,C8690,C8666,C8642,C8618)</f>
        <v>2489</v>
      </c>
      <c r="K8762" s="301">
        <f>J8762/POBLA!$B$1*100000</f>
        <v>14.189498847309874</v>
      </c>
      <c r="L8762" s="548">
        <f t="shared" ref="L8762:L8785" si="1369">1-SUM(C8762,C8738,C8714,C8690,C8666,C8642,C8618)/SUM(C8594,C8570,C8546,C8522,C8498,C8474,C8450)</f>
        <v>0.11639111471751695</v>
      </c>
      <c r="M8762" s="400">
        <f>SUM(C8762,C8738,C8714,C8690,C8666,C8642,C8618)/POBLA!$B$1*100000</f>
        <v>99.326491931169116</v>
      </c>
    </row>
    <row r="8763" spans="1:13" s="360" customFormat="1" x14ac:dyDescent="0.25">
      <c r="A8763" s="367" t="s">
        <v>43</v>
      </c>
      <c r="B8763" s="267">
        <v>44258</v>
      </c>
      <c r="C8763" s="1">
        <v>859</v>
      </c>
      <c r="D8763" s="39">
        <f t="shared" si="1354"/>
        <v>233835</v>
      </c>
      <c r="E8763" s="1">
        <v>18</v>
      </c>
      <c r="F8763" s="39">
        <f t="shared" si="1367"/>
        <v>6555</v>
      </c>
      <c r="G8763" s="168">
        <f>SUM(C8763,C8739,C8715,C8691,C8667,C8643,C8619,C8595,C8571,C8547,C8523,C8499,C8475,C8451)/POBLA!$B$2*100000</f>
        <v>315.31587185261242</v>
      </c>
      <c r="H8763" s="256">
        <f t="shared" si="1368"/>
        <v>0.90805243445692885</v>
      </c>
      <c r="I8763" s="297">
        <f t="shared" ref="I8763:I8785" si="1370">G8763*H8763</f>
        <v>286.32334505867374</v>
      </c>
      <c r="J8763" s="297">
        <f t="shared" ref="J8763:J8785" si="1371">AVERAGE(C8763,C8739,C8715,C8691,C8667,C8643,C8619)</f>
        <v>636.28571428571433</v>
      </c>
      <c r="K8763" s="297">
        <f>J8763/POBLA!$B$2*100000</f>
        <v>20.687872215648824</v>
      </c>
      <c r="L8763" s="549">
        <f t="shared" si="1369"/>
        <v>0.15064836003051107</v>
      </c>
      <c r="M8763" s="401">
        <f>SUM(C8763,C8739,C8715,C8691,C8667,C8643,C8619)/POBLA!$B$2*100000</f>
        <v>144.81510550954172</v>
      </c>
    </row>
    <row r="8764" spans="1:13" s="360" customFormat="1" x14ac:dyDescent="0.25">
      <c r="A8764" s="367" t="s">
        <v>28</v>
      </c>
      <c r="B8764" s="267">
        <v>44258</v>
      </c>
      <c r="C8764" s="1">
        <v>53</v>
      </c>
      <c r="D8764" s="39">
        <f t="shared" si="1354"/>
        <v>8184</v>
      </c>
      <c r="E8764" s="1"/>
      <c r="F8764" s="39">
        <f t="shared" si="1367"/>
        <v>17</v>
      </c>
      <c r="G8764" s="168">
        <f>SUM(C8764,C8740,C8716,C8692,C8668,C8644,C8620,C8596,C8572,C8548,C8524,C8500,C8476,C8452)/POBLA!$B$3*100000</f>
        <v>293.90667199437701</v>
      </c>
      <c r="H8764" s="256">
        <f t="shared" si="1368"/>
        <v>1.0654450261780104</v>
      </c>
      <c r="I8764" s="297">
        <f t="shared" si="1370"/>
        <v>313.14140183694093</v>
      </c>
      <c r="J8764" s="297">
        <f t="shared" si="1371"/>
        <v>96</v>
      </c>
      <c r="K8764" s="297">
        <f>J8764/POBLA!$B$3*100000</f>
        <v>23.108141287027184</v>
      </c>
      <c r="L8764" s="549">
        <f t="shared" si="1369"/>
        <v>-0.22404371584699456</v>
      </c>
      <c r="M8764" s="401">
        <f>SUM(C8764,C8740,C8716,C8692,C8668,C8644,C8620)/POBLA!$B$3*100000</f>
        <v>161.75698900919031</v>
      </c>
    </row>
    <row r="8765" spans="1:13" s="360" customFormat="1" x14ac:dyDescent="0.25">
      <c r="A8765" s="367" t="s">
        <v>15</v>
      </c>
      <c r="B8765" s="267">
        <v>44258</v>
      </c>
      <c r="C8765" s="1">
        <v>174</v>
      </c>
      <c r="D8765" s="39">
        <f t="shared" si="1354"/>
        <v>34504</v>
      </c>
      <c r="E8765" s="1">
        <v>1</v>
      </c>
      <c r="F8765" s="39">
        <f t="shared" si="1367"/>
        <v>870</v>
      </c>
      <c r="G8765" s="168">
        <f>SUM(C8765,C8741,C8717,C8693,C8669,C8645,C8621,C8597,C8573,C8549,C8525,C8501,C8477,C8453)/POBLA!$B$4*100000</f>
        <v>151.09489838868083</v>
      </c>
      <c r="H8765" s="256">
        <f t="shared" si="1368"/>
        <v>1.1674150096215523</v>
      </c>
      <c r="I8765" s="297">
        <f t="shared" si="1370"/>
        <v>176.39045225618929</v>
      </c>
      <c r="J8765" s="297">
        <f t="shared" si="1371"/>
        <v>118.14285714285714</v>
      </c>
      <c r="K8765" s="297">
        <f>J8765/POBLA!$B$4*100000</f>
        <v>9.8081225249167225</v>
      </c>
      <c r="L8765" s="549">
        <f t="shared" si="1369"/>
        <v>0.16717019133937561</v>
      </c>
      <c r="M8765" s="401">
        <f>SUM(C8765,C8741,C8717,C8693,C8669,C8645,C8621)/POBLA!$B$4*100000</f>
        <v>68.656857674417054</v>
      </c>
    </row>
    <row r="8766" spans="1:13" s="360" customFormat="1" x14ac:dyDescent="0.25">
      <c r="A8766" s="367" t="s">
        <v>29</v>
      </c>
      <c r="B8766" s="267">
        <v>44258</v>
      </c>
      <c r="C8766" s="1">
        <v>131</v>
      </c>
      <c r="D8766" s="39">
        <f t="shared" si="1354"/>
        <v>47270</v>
      </c>
      <c r="E8766" s="1">
        <v>2</v>
      </c>
      <c r="F8766" s="39">
        <f t="shared" si="1367"/>
        <v>777</v>
      </c>
      <c r="G8766" s="168">
        <f>SUM(C8766,C8742,C8718,C8694,C8670,C8646,C8622,C8598,C8574,C8550,C8526,C8502,C8478,C8454)/POBLA!$B$5*100000</f>
        <v>284.65542476986855</v>
      </c>
      <c r="H8766" s="256">
        <f t="shared" si="1368"/>
        <v>0.74661016949152548</v>
      </c>
      <c r="I8766" s="297">
        <f t="shared" si="1370"/>
        <v>212.52663493411373</v>
      </c>
      <c r="J8766" s="297">
        <f t="shared" si="1371"/>
        <v>96.857142857142861</v>
      </c>
      <c r="K8766" s="297">
        <f>J8766/POBLA!$B$5*100000</f>
        <v>15.647509161178114</v>
      </c>
      <c r="L8766" s="549">
        <f t="shared" si="1369"/>
        <v>0.37453874538745391</v>
      </c>
      <c r="M8766" s="401">
        <f>SUM(C8766,C8742,C8718,C8694,C8670,C8646,C8622)/POBLA!$B$5*100000</f>
        <v>109.53256412824679</v>
      </c>
    </row>
    <row r="8767" spans="1:13" s="360" customFormat="1" x14ac:dyDescent="0.25">
      <c r="A8767" s="367" t="s">
        <v>30</v>
      </c>
      <c r="B8767" s="267">
        <v>44258</v>
      </c>
      <c r="C8767" s="1">
        <v>253</v>
      </c>
      <c r="D8767" s="39">
        <f t="shared" si="1354"/>
        <v>22313</v>
      </c>
      <c r="E8767" s="1"/>
      <c r="F8767" s="39">
        <f t="shared" si="1367"/>
        <v>300</v>
      </c>
      <c r="G8767" s="168">
        <f>SUM(C8767,C8743,C8719,C8695,C8671,C8647,C8623,C8599,C8575,C8551,C8527,C8503,C8479,C8455)/POBLA!$B$6*100000</f>
        <v>168.80784367608524</v>
      </c>
      <c r="H8767" s="256">
        <f t="shared" si="1368"/>
        <v>0.77192982456140347</v>
      </c>
      <c r="I8767" s="297">
        <f t="shared" si="1370"/>
        <v>130.30780915346929</v>
      </c>
      <c r="J8767" s="297">
        <f t="shared" si="1371"/>
        <v>143.57142857142858</v>
      </c>
      <c r="K8767" s="297">
        <f>J8767/POBLA!$B$6*100000</f>
        <v>12.809716316404838</v>
      </c>
      <c r="L8767" s="549">
        <f t="shared" si="1369"/>
        <v>-0.13303269447576094</v>
      </c>
      <c r="M8767" s="401">
        <f>SUM(C8767,C8743,C8719,C8695,C8671,C8647,C8623)/POBLA!$B$6*100000</f>
        <v>89.668014214833846</v>
      </c>
    </row>
    <row r="8768" spans="1:13" s="360" customFormat="1" x14ac:dyDescent="0.25">
      <c r="A8768" s="367" t="s">
        <v>20</v>
      </c>
      <c r="B8768" s="267">
        <v>44258</v>
      </c>
      <c r="C8768" s="1">
        <v>699</v>
      </c>
      <c r="D8768" s="39">
        <f t="shared" si="1354"/>
        <v>161748</v>
      </c>
      <c r="E8768" s="1">
        <v>9</v>
      </c>
      <c r="F8768" s="39">
        <f t="shared" si="1367"/>
        <v>2862</v>
      </c>
      <c r="G8768" s="168">
        <f>SUM(C8768,C8744,C8720,C8696,C8672,C8648,C8624,C8600,C8576,C8552,C8528,C8504,C8480,C8456)/POBLA!$B$7*100000</f>
        <v>234.9984709276815</v>
      </c>
      <c r="H8768" s="256">
        <f t="shared" si="1368"/>
        <v>1.3809970307860604</v>
      </c>
      <c r="I8768" s="297">
        <f t="shared" si="1370"/>
        <v>324.53219059039247</v>
      </c>
      <c r="J8768" s="297">
        <f t="shared" si="1371"/>
        <v>604.14285714285711</v>
      </c>
      <c r="K8768" s="297">
        <f>J8768/POBLA!$B$7*100000</f>
        <v>16.065706421913792</v>
      </c>
      <c r="L8768" s="549">
        <f t="shared" si="1369"/>
        <v>8.224826388888884E-2</v>
      </c>
      <c r="M8768" s="401">
        <f>SUM(C8768,C8744,C8720,C8696,C8672,C8648,C8624)/POBLA!$B$7*100000</f>
        <v>112.45994495339654</v>
      </c>
    </row>
    <row r="8769" spans="1:13" x14ac:dyDescent="0.25">
      <c r="A8769" s="367" t="s">
        <v>31</v>
      </c>
      <c r="B8769" s="267">
        <v>44258</v>
      </c>
      <c r="C8769" s="1">
        <v>161</v>
      </c>
      <c r="D8769" s="39">
        <f t="shared" si="1354"/>
        <v>45519</v>
      </c>
      <c r="E8769" s="1">
        <v>3</v>
      </c>
      <c r="F8769" s="39">
        <f t="shared" ref="F8769:F8792" si="1372">E8769+F8745</f>
        <v>869</v>
      </c>
      <c r="G8769" s="168">
        <f>SUM(C8769,C8745,C8721,C8697,C8673,C8649,C8625,C8601,C8577,C8553,C8529,C8505,C8481,C8457)/POBLA!$B$8*100000</f>
        <v>126.4104834118709</v>
      </c>
      <c r="H8769" s="256">
        <f t="shared" si="1368"/>
        <v>0.8546341463414634</v>
      </c>
      <c r="I8769" s="297">
        <f t="shared" si="1370"/>
        <v>108.034715579316</v>
      </c>
      <c r="J8769" s="297">
        <f t="shared" si="1371"/>
        <v>109.71428571428571</v>
      </c>
      <c r="K8769" s="297">
        <f>J8769/POBLA!$B$8*100000</f>
        <v>7.916116378042795</v>
      </c>
      <c r="L8769" s="549">
        <f t="shared" si="1369"/>
        <v>0.21951219512195119</v>
      </c>
      <c r="M8769" s="401">
        <f>SUM(C8769,C8745,C8721,C8697,C8673,C8649,C8625)/POBLA!$B$8*100000</f>
        <v>55.412814646299566</v>
      </c>
    </row>
    <row r="8770" spans="1:13" s="360" customFormat="1" x14ac:dyDescent="0.25">
      <c r="A8770" s="367" t="s">
        <v>41</v>
      </c>
      <c r="B8770" s="267">
        <v>44258</v>
      </c>
      <c r="C8770" s="1">
        <v>29</v>
      </c>
      <c r="D8770" s="39">
        <f t="shared" ref="D8770:D8809" si="1373">C8770+D8746</f>
        <v>1286</v>
      </c>
      <c r="E8770" s="1"/>
      <c r="F8770" s="39">
        <f t="shared" si="1372"/>
        <v>19</v>
      </c>
      <c r="G8770" s="168">
        <f>SUM(C8770,C8746,C8722,C8698,C8674,C8650,C8626,C8602,C8578,C8554,C8530,C8506,C8482,C8458)/POBLA!$B$9*100000</f>
        <v>49.240490223779844</v>
      </c>
      <c r="H8770" s="256">
        <f t="shared" si="1368"/>
        <v>2.2406015037593985</v>
      </c>
      <c r="I8770" s="297">
        <f t="shared" si="1370"/>
        <v>110.32831644125108</v>
      </c>
      <c r="J8770" s="297">
        <f t="shared" si="1371"/>
        <v>15.857142857142858</v>
      </c>
      <c r="K8770" s="297">
        <f>J8770/POBLA!$B$9*100000</f>
        <v>2.6201794893765888</v>
      </c>
      <c r="L8770" s="549">
        <f t="shared" si="1369"/>
        <v>0.4064171122994652</v>
      </c>
      <c r="M8770" s="401">
        <f>SUM(C8770,C8746,C8722,C8698,C8674,C8650,C8626)/POBLA!$B$9*100000</f>
        <v>18.341256425636118</v>
      </c>
    </row>
    <row r="8771" spans="1:13" s="360" customFormat="1" x14ac:dyDescent="0.25">
      <c r="A8771" s="367" t="s">
        <v>32</v>
      </c>
      <c r="B8771" s="267">
        <v>44258</v>
      </c>
      <c r="C8771" s="1">
        <v>94</v>
      </c>
      <c r="D8771" s="39">
        <f t="shared" si="1373"/>
        <v>20982</v>
      </c>
      <c r="E8771" s="1">
        <v>2</v>
      </c>
      <c r="F8771" s="39">
        <f t="shared" si="1372"/>
        <v>911</v>
      </c>
      <c r="G8771" s="168">
        <f>SUM(C8771,C8747,C8723,C8699,C8675,C8651,C8627,C8603,C8579,C8555,C8531,C8507,C8483,C8459)/POBLA!$B$10*100000</f>
        <v>143.21276565384281</v>
      </c>
      <c r="H8771" s="256">
        <f t="shared" si="1368"/>
        <v>2.3340380549682873</v>
      </c>
      <c r="I8771" s="297">
        <f t="shared" si="1370"/>
        <v>334.26404499332443</v>
      </c>
      <c r="J8771" s="297">
        <f t="shared" si="1371"/>
        <v>85.285714285714292</v>
      </c>
      <c r="K8771" s="297">
        <f>J8771/POBLA!$B$10*100000</f>
        <v>11.06340852683025</v>
      </c>
      <c r="L8771" s="549">
        <f t="shared" si="1369"/>
        <v>-0.1775147928994083</v>
      </c>
      <c r="M8771" s="401">
        <f>SUM(C8771,C8747,C8723,C8699,C8675,C8651,C8627)/POBLA!$B$10*100000</f>
        <v>77.443859687811738</v>
      </c>
    </row>
    <row r="8772" spans="1:13" s="360" customFormat="1" x14ac:dyDescent="0.25">
      <c r="A8772" s="367" t="s">
        <v>33</v>
      </c>
      <c r="B8772" s="267">
        <v>44258</v>
      </c>
      <c r="C8772" s="1">
        <v>104</v>
      </c>
      <c r="D8772" s="39">
        <f t="shared" si="1373"/>
        <v>18953</v>
      </c>
      <c r="E8772" s="1"/>
      <c r="F8772" s="39">
        <f t="shared" si="1372"/>
        <v>289</v>
      </c>
      <c r="G8772" s="168">
        <f>SUM(C8772,C8748,C8724,C8700,C8676,C8652,C8628,C8604,C8580,C8556,C8532,C8508,C8484,C8460)/POBLA!$B$11*100000</f>
        <v>310.24361936009467</v>
      </c>
      <c r="H8772" s="256">
        <f t="shared" si="1368"/>
        <v>0.9754385964912281</v>
      </c>
      <c r="I8772" s="297">
        <f t="shared" si="1370"/>
        <v>302.62360063896955</v>
      </c>
      <c r="J8772" s="297">
        <f t="shared" si="1371"/>
        <v>91.142857142857139</v>
      </c>
      <c r="K8772" s="297">
        <f>J8772/POBLA!$B$11*100000</f>
        <v>25.428498092464075</v>
      </c>
      <c r="L8772" s="549">
        <f t="shared" si="1369"/>
        <v>-0.34599156118143459</v>
      </c>
      <c r="M8772" s="401">
        <f>SUM(C8772,C8748,C8724,C8700,C8676,C8652,C8628)/POBLA!$B$11*100000</f>
        <v>177.99948664724855</v>
      </c>
    </row>
    <row r="8773" spans="1:13" s="360" customFormat="1" x14ac:dyDescent="0.25">
      <c r="A8773" s="367" t="s">
        <v>21</v>
      </c>
      <c r="B8773" s="267">
        <v>44258</v>
      </c>
      <c r="C8773" s="1">
        <v>23</v>
      </c>
      <c r="D8773" s="39">
        <f t="shared" si="1373"/>
        <v>10287</v>
      </c>
      <c r="E8773" s="1"/>
      <c r="F8773" s="39">
        <f t="shared" si="1372"/>
        <v>439</v>
      </c>
      <c r="G8773" s="168">
        <f>SUM(C8773,C8749,C8725,C8701,C8677,C8653,C8629,C8605,C8581,C8557,C8533,C8509,C8485,C8461)/POBLA!$B$12*100000</f>
        <v>94.274656888529748</v>
      </c>
      <c r="H8773" s="256">
        <f t="shared" si="1368"/>
        <v>1.1208459214501512</v>
      </c>
      <c r="I8773" s="297">
        <f t="shared" si="1370"/>
        <v>105.66736466962097</v>
      </c>
      <c r="J8773" s="297">
        <f t="shared" si="1371"/>
        <v>23.142857142857142</v>
      </c>
      <c r="K8773" s="297">
        <f>J8773/POBLA!$B$12*100000</f>
        <v>5.880821877528617</v>
      </c>
      <c r="L8773" s="549">
        <f t="shared" si="1369"/>
        <v>0.22488038277511957</v>
      </c>
      <c r="M8773" s="401">
        <f>SUM(C8773,C8749,C8725,C8701,C8677,C8653,C8629)/POBLA!$B$12*100000</f>
        <v>41.165753142700318</v>
      </c>
    </row>
    <row r="8774" spans="1:13" s="360" customFormat="1" x14ac:dyDescent="0.25">
      <c r="A8774" s="367" t="s">
        <v>17</v>
      </c>
      <c r="B8774" s="267">
        <v>44258</v>
      </c>
      <c r="C8774" s="1">
        <v>207</v>
      </c>
      <c r="D8774" s="39">
        <f t="shared" si="1373"/>
        <v>67687</v>
      </c>
      <c r="E8774" s="1">
        <v>4</v>
      </c>
      <c r="F8774" s="39">
        <f t="shared" si="1372"/>
        <v>1453</v>
      </c>
      <c r="G8774" s="168">
        <f>SUM(C8774,C8750,C8726,C8702,C8678,C8654,C8630,C8606,C8582,C8558,C8534,C8510,C8486,C8462)/POBLA!$B$13*100000</f>
        <v>91.592483286758338</v>
      </c>
      <c r="H8774" s="256">
        <f t="shared" si="1368"/>
        <v>1.0948948948948949</v>
      </c>
      <c r="I8774" s="297">
        <f t="shared" si="1370"/>
        <v>100.28414236141769</v>
      </c>
      <c r="J8774" s="297">
        <f t="shared" si="1371"/>
        <v>140</v>
      </c>
      <c r="K8774" s="297">
        <f>J8774/POBLA!$B$13*100000</f>
        <v>7.0339811629984457</v>
      </c>
      <c r="L8774" s="549">
        <f t="shared" si="1369"/>
        <v>-0.16251482799525507</v>
      </c>
      <c r="M8774" s="401">
        <f>SUM(C8774,C8750,C8726,C8702,C8678,C8654,C8630)/POBLA!$B$13*100000</f>
        <v>49.237868140989121</v>
      </c>
    </row>
    <row r="8775" spans="1:13" s="360" customFormat="1" x14ac:dyDescent="0.25">
      <c r="A8775" s="367" t="s">
        <v>23</v>
      </c>
      <c r="B8775" s="267">
        <v>44258</v>
      </c>
      <c r="C8775" s="1">
        <v>116</v>
      </c>
      <c r="D8775" s="39">
        <f t="shared" si="1373"/>
        <v>8650</v>
      </c>
      <c r="E8775" s="1">
        <v>2</v>
      </c>
      <c r="F8775" s="39">
        <f t="shared" si="1372"/>
        <v>148</v>
      </c>
      <c r="G8775" s="168">
        <f>SUM(C8775,C8751,C8727,C8703,C8679,C8655,C8631,C8607,C8583,C8559,C8535,C8511,C8487,C8463)/POBLA!$B$14*100000</f>
        <v>126.14029718685731</v>
      </c>
      <c r="H8775" s="256">
        <f t="shared" si="1368"/>
        <v>0.921784472769409</v>
      </c>
      <c r="I8775" s="297">
        <f t="shared" si="1370"/>
        <v>116.27416733736383</v>
      </c>
      <c r="J8775" s="297">
        <f t="shared" si="1371"/>
        <v>116.71428571428571</v>
      </c>
      <c r="K8775" s="297">
        <f>J8775/POBLA!$B$14*100000</f>
        <v>9.2535353148659798</v>
      </c>
      <c r="L8775" s="549">
        <f t="shared" si="1369"/>
        <v>-5.555555555555558E-2</v>
      </c>
      <c r="M8775" s="401">
        <f>SUM(C8775,C8751,C8727,C8703,C8679,C8655,C8631)/POBLA!$B$14*100000</f>
        <v>64.774747204061853</v>
      </c>
    </row>
    <row r="8776" spans="1:13" s="360" customFormat="1" x14ac:dyDescent="0.25">
      <c r="A8776" s="367" t="s">
        <v>19</v>
      </c>
      <c r="B8776" s="267">
        <v>44258</v>
      </c>
      <c r="C8776" s="1">
        <v>176</v>
      </c>
      <c r="D8776" s="39">
        <f t="shared" si="1373"/>
        <v>61675</v>
      </c>
      <c r="E8776" s="1">
        <v>28</v>
      </c>
      <c r="F8776" s="39">
        <f t="shared" si="1372"/>
        <v>938</v>
      </c>
      <c r="G8776" s="168">
        <f>SUM(C8776,C8752,C8728,C8704,C8680,C8656,C8632,C8608,C8584,C8560,C8536,C8512,C8488,C8464)/POBLA!$B$15*100000</f>
        <v>380.5396223516957</v>
      </c>
      <c r="H8776" s="256">
        <f t="shared" si="1368"/>
        <v>0.67153866595801226</v>
      </c>
      <c r="I8776" s="297">
        <f t="shared" si="1370"/>
        <v>255.54707033822351</v>
      </c>
      <c r="J8776" s="297">
        <f t="shared" si="1371"/>
        <v>147.85714285714286</v>
      </c>
      <c r="K8776" s="297">
        <f>J8776/POBLA!$B$15*100000</f>
        <v>22.265730631126974</v>
      </c>
      <c r="L8776" s="549">
        <f t="shared" si="1369"/>
        <v>0.30630026809651478</v>
      </c>
      <c r="M8776" s="401">
        <f>SUM(C8776,C8752,C8728,C8704,C8680,C8656,C8632)/POBLA!$B$15*100000</f>
        <v>155.86011441788881</v>
      </c>
    </row>
    <row r="8777" spans="1:13" s="360" customFormat="1" x14ac:dyDescent="0.25">
      <c r="A8777" s="367" t="s">
        <v>18</v>
      </c>
      <c r="B8777" s="267">
        <v>44258</v>
      </c>
      <c r="C8777" s="1">
        <v>185</v>
      </c>
      <c r="D8777" s="39">
        <f t="shared" si="1373"/>
        <v>52742</v>
      </c>
      <c r="E8777" s="1">
        <v>4</v>
      </c>
      <c r="F8777" s="39">
        <f t="shared" si="1372"/>
        <v>1197</v>
      </c>
      <c r="G8777" s="168">
        <f>SUM(C8777,C8753,C8729,C8705,C8681,C8657,C8633,C8609,C8585,C8561,C8537,C8513,C8489,C8465)/POBLA!$B$16*100000</f>
        <v>239.96468747074007</v>
      </c>
      <c r="H8777" s="256">
        <f t="shared" si="1368"/>
        <v>0.81992687385740404</v>
      </c>
      <c r="I8777" s="297">
        <f t="shared" si="1370"/>
        <v>196.75349603405289</v>
      </c>
      <c r="J8777" s="297">
        <f t="shared" si="1371"/>
        <v>119</v>
      </c>
      <c r="K8777" s="297">
        <f>J8777/POBLA!$B$16*100000</f>
        <v>15.917390083064701</v>
      </c>
      <c r="L8777" s="549">
        <f t="shared" si="1369"/>
        <v>0.13319458896982306</v>
      </c>
      <c r="M8777" s="401">
        <f>SUM(C8777,C8753,C8729,C8705,C8681,C8657,C8633)/POBLA!$B$16*100000</f>
        <v>111.42173058145289</v>
      </c>
    </row>
    <row r="8778" spans="1:13" s="360" customFormat="1" x14ac:dyDescent="0.25">
      <c r="A8778" s="367" t="s">
        <v>34</v>
      </c>
      <c r="B8778" s="267">
        <v>44258</v>
      </c>
      <c r="C8778" s="1">
        <v>140</v>
      </c>
      <c r="D8778" s="39">
        <f t="shared" si="1373"/>
        <v>26440</v>
      </c>
      <c r="E8778" s="1">
        <v>3</v>
      </c>
      <c r="F8778" s="39">
        <f t="shared" si="1372"/>
        <v>1105</v>
      </c>
      <c r="G8778" s="168">
        <f>SUM(C8778,C8754,C8730,C8706,C8682,C8658,C8634,C8610,C8586,C8562,C8538,C8514,C8490,C8466)/POBLA!$B$17*100000</f>
        <v>105.65874541999176</v>
      </c>
      <c r="H8778" s="256">
        <f t="shared" si="1368"/>
        <v>1.5644490644490645</v>
      </c>
      <c r="I8778" s="297">
        <f t="shared" si="1370"/>
        <v>165.29772542316798</v>
      </c>
      <c r="J8778" s="297">
        <f t="shared" si="1371"/>
        <v>100</v>
      </c>
      <c r="K8778" s="297">
        <f>J8778/POBLA!$B$17*100000</f>
        <v>7.0205146458466281</v>
      </c>
      <c r="L8778" s="549">
        <f t="shared" si="1369"/>
        <v>0.13043478260869568</v>
      </c>
      <c r="M8778" s="401">
        <f>SUM(C8778,C8754,C8730,C8706,C8682,C8658,C8634)/POBLA!$B$17*100000</f>
        <v>49.1436025209264</v>
      </c>
    </row>
    <row r="8779" spans="1:13" s="360" customFormat="1" x14ac:dyDescent="0.25">
      <c r="A8779" s="367" t="s">
        <v>35</v>
      </c>
      <c r="B8779" s="267">
        <v>44258</v>
      </c>
      <c r="C8779" s="1">
        <v>61</v>
      </c>
      <c r="D8779" s="39">
        <f t="shared" si="1373"/>
        <v>15404</v>
      </c>
      <c r="E8779" s="1"/>
      <c r="F8779" s="39">
        <f t="shared" si="1372"/>
        <v>212</v>
      </c>
      <c r="G8779" s="168">
        <f>SUM(C8779,C8755,C8731,C8707,C8683,C8659,C8635,C8611,C8587,C8563,C8539,C8515,C8491,C8467)/POBLA!$B$18*100000</f>
        <v>84.739579399833843</v>
      </c>
      <c r="H8779" s="256">
        <f t="shared" si="1368"/>
        <v>1.097844112769486</v>
      </c>
      <c r="I8779" s="297">
        <f t="shared" si="1370"/>
        <v>93.03084836267</v>
      </c>
      <c r="J8779" s="297">
        <f t="shared" si="1371"/>
        <v>37.571428571428569</v>
      </c>
      <c r="K8779" s="297">
        <f>J8779/POBLA!$B$18*100000</f>
        <v>4.8093460039180629</v>
      </c>
      <c r="L8779" s="549">
        <f t="shared" si="1369"/>
        <v>0.34085213032581452</v>
      </c>
      <c r="M8779" s="401">
        <f>SUM(C8779,C8755,C8731,C8707,C8683,C8659,C8635)/POBLA!$B$18*100000</f>
        <v>33.665422027426445</v>
      </c>
    </row>
    <row r="8780" spans="1:13" s="360" customFormat="1" x14ac:dyDescent="0.25">
      <c r="A8780" s="367" t="s">
        <v>36</v>
      </c>
      <c r="B8780" s="267">
        <v>44258</v>
      </c>
      <c r="C8780" s="1">
        <v>6</v>
      </c>
      <c r="D8780" s="39">
        <f t="shared" si="1373"/>
        <v>20788</v>
      </c>
      <c r="E8780" s="1"/>
      <c r="F8780" s="39">
        <f t="shared" si="1372"/>
        <v>356</v>
      </c>
      <c r="G8780" s="168">
        <f>SUM(C8780,C8756,C8732,C8708,C8684,C8660,C8636,C8612,C8588,C8564,C8540,C8516,C8492,C8468)/POBLA!$B$19*100000</f>
        <v>110.36181363214303</v>
      </c>
      <c r="H8780" s="256">
        <f t="shared" si="1368"/>
        <v>0.4925373134328358</v>
      </c>
      <c r="I8780" s="297">
        <f t="shared" si="1370"/>
        <v>54.357311191951041</v>
      </c>
      <c r="J8780" s="297">
        <f t="shared" si="1371"/>
        <v>29</v>
      </c>
      <c r="K8780" s="297">
        <f>J8780/POBLA!$B$19*100000</f>
        <v>5.704977888292599</v>
      </c>
      <c r="L8780" s="549">
        <f t="shared" si="1369"/>
        <v>0.43296089385474856</v>
      </c>
      <c r="M8780" s="401">
        <f>SUM(C8780,C8756,C8732,C8708,C8684,C8660,C8636)/POBLA!$B$19*100000</f>
        <v>39.934845218048189</v>
      </c>
    </row>
    <row r="8781" spans="1:13" s="360" customFormat="1" x14ac:dyDescent="0.25">
      <c r="A8781" s="367" t="s">
        <v>37</v>
      </c>
      <c r="B8781" s="267">
        <v>44258</v>
      </c>
      <c r="C8781" s="1">
        <v>139</v>
      </c>
      <c r="D8781" s="39">
        <f t="shared" si="1373"/>
        <v>36237</v>
      </c>
      <c r="E8781" s="1">
        <v>5</v>
      </c>
      <c r="F8781" s="39">
        <f t="shared" si="1372"/>
        <v>593</v>
      </c>
      <c r="G8781" s="168">
        <f>SUM(C8781,C8757,C8733,C8709,C8685,C8661,C8637,C8613,C8589,C8565,C8541,C8517,C8493,C8469)/POBLA!$B$20*100000</f>
        <v>406.61966978216998</v>
      </c>
      <c r="H8781" s="256">
        <f t="shared" si="1368"/>
        <v>0.99598124581379777</v>
      </c>
      <c r="I8781" s="297">
        <f t="shared" si="1370"/>
        <v>404.98556528204074</v>
      </c>
      <c r="J8781" s="297">
        <f t="shared" si="1371"/>
        <v>86.571428571428569</v>
      </c>
      <c r="K8781" s="297">
        <f>J8781/POBLA!$B$20*100000</f>
        <v>23.672929185127774</v>
      </c>
      <c r="L8781" s="549">
        <f t="shared" si="1369"/>
        <v>0.31214528944381381</v>
      </c>
      <c r="M8781" s="401">
        <f>SUM(C8781,C8757,C8733,C8709,C8685,C8661,C8637)/POBLA!$B$20*100000</f>
        <v>165.71050429589442</v>
      </c>
    </row>
    <row r="8782" spans="1:13" s="360" customFormat="1" x14ac:dyDescent="0.25">
      <c r="A8782" s="367" t="s">
        <v>22</v>
      </c>
      <c r="B8782" s="267">
        <v>44258</v>
      </c>
      <c r="C8782" s="1">
        <v>503</v>
      </c>
      <c r="D8782" s="39">
        <f t="shared" si="1373"/>
        <v>217691</v>
      </c>
      <c r="E8782" s="1">
        <v>10</v>
      </c>
      <c r="F8782" s="39">
        <f t="shared" si="1372"/>
        <v>3999</v>
      </c>
      <c r="G8782" s="168">
        <f>SUM(C8782,C8758,C8734,C8710,C8686,C8662,C8638,C8614,C8590,C8566,C8542,C8518,C8494,C8470)/POBLA!$B$21*100000</f>
        <v>144.89237414807866</v>
      </c>
      <c r="H8782" s="256">
        <f t="shared" si="1368"/>
        <v>1.0217347956131606</v>
      </c>
      <c r="I8782" s="297">
        <f t="shared" si="1370"/>
        <v>148.04158028609274</v>
      </c>
      <c r="J8782" s="297">
        <f t="shared" si="1371"/>
        <v>346.71428571428572</v>
      </c>
      <c r="K8782" s="297">
        <f>J8782/POBLA!$B$21*100000</f>
        <v>9.8041092912174328</v>
      </c>
      <c r="L8782" s="549">
        <f t="shared" si="1369"/>
        <v>0.10011123470522798</v>
      </c>
      <c r="M8782" s="401">
        <f>SUM(C8782,C8758,C8734,C8710,C8686,C8662,C8638)/POBLA!$B$21*100000</f>
        <v>68.628765038522033</v>
      </c>
    </row>
    <row r="8783" spans="1:13" s="360" customFormat="1" x14ac:dyDescent="0.25">
      <c r="A8783" s="367" t="s">
        <v>38</v>
      </c>
      <c r="B8783" s="267">
        <v>44258</v>
      </c>
      <c r="C8783" s="1">
        <v>55</v>
      </c>
      <c r="D8783" s="39">
        <f t="shared" si="1373"/>
        <v>22787</v>
      </c>
      <c r="E8783" s="1"/>
      <c r="F8783" s="39">
        <f t="shared" si="1372"/>
        <v>269</v>
      </c>
      <c r="G8783" s="168">
        <f>SUM(C8783,C8759,C8735,C8711,C8687,C8663,C8639,C8615,C8591,C8567,C8543,C8519,C8495,C8471)/POBLA!$B$22*100000</f>
        <v>84.328839543172791</v>
      </c>
      <c r="H8783" s="256">
        <f t="shared" si="1368"/>
        <v>0.972877358490566</v>
      </c>
      <c r="I8783" s="297">
        <f t="shared" si="1370"/>
        <v>82.041618659336734</v>
      </c>
      <c r="J8783" s="297">
        <f t="shared" si="1371"/>
        <v>63.857142857142854</v>
      </c>
      <c r="K8783" s="297">
        <f>J8783/POBLA!$B$22*100000</f>
        <v>6.5272712165884395</v>
      </c>
      <c r="L8783" s="549">
        <f t="shared" si="1369"/>
        <v>-0.18253968253968256</v>
      </c>
      <c r="M8783" s="401">
        <f>SUM(C8783,C8759,C8735,C8711,C8687,C8663,C8639)/POBLA!$B$22*100000</f>
        <v>45.690898516119077</v>
      </c>
    </row>
    <row r="8784" spans="1:13" s="360" customFormat="1" x14ac:dyDescent="0.25">
      <c r="A8784" s="367" t="s">
        <v>39</v>
      </c>
      <c r="B8784" s="267">
        <v>44258</v>
      </c>
      <c r="C8784" s="1">
        <v>22</v>
      </c>
      <c r="D8784" s="39">
        <f t="shared" si="1373"/>
        <v>23048</v>
      </c>
      <c r="E8784" s="1"/>
      <c r="F8784" s="39">
        <f t="shared" si="1372"/>
        <v>356</v>
      </c>
      <c r="G8784" s="168">
        <f>SUM(C8784,C8760,C8736,C8712,C8688,C8664,C8640,C8616,C8592,C8568,C8544,C8520,C8496,C8472)/POBLA!$B$23*100000</f>
        <v>293.50223378386022</v>
      </c>
      <c r="H8784" s="256">
        <f t="shared" si="1368"/>
        <v>0.92348754448398573</v>
      </c>
      <c r="I8784" s="297">
        <f t="shared" si="1370"/>
        <v>271.04565717762182</v>
      </c>
      <c r="J8784" s="297">
        <f t="shared" si="1371"/>
        <v>30.714285714285715</v>
      </c>
      <c r="K8784" s="297">
        <f>J8784/POBLA!$B$23*100000</f>
        <v>17.369386254756385</v>
      </c>
      <c r="L8784" s="549">
        <f t="shared" si="1369"/>
        <v>0.29276315789473684</v>
      </c>
      <c r="M8784" s="401">
        <f>SUM(C8784,C8760,C8736,C8712,C8688,C8664,C8640)/POBLA!$B$23*100000</f>
        <v>121.58570378329469</v>
      </c>
    </row>
    <row r="8785" spans="1:13" s="360" customFormat="1" ht="15.75" thickBot="1" x14ac:dyDescent="0.3">
      <c r="A8785" s="369" t="s">
        <v>40</v>
      </c>
      <c r="B8785" s="267">
        <v>44258</v>
      </c>
      <c r="C8785" s="1">
        <v>205</v>
      </c>
      <c r="D8785" s="176">
        <f t="shared" si="1373"/>
        <v>80304</v>
      </c>
      <c r="E8785" s="1">
        <v>2</v>
      </c>
      <c r="F8785" s="176">
        <f t="shared" si="1372"/>
        <v>1478</v>
      </c>
      <c r="G8785" s="177">
        <f>SUM(C8785,C8761,C8737,C8713,C8689,C8665,C8641,C8617,C8593,C8569,C8545,C8521,C8497,C8473)/POBLA!$B$24*100000</f>
        <v>116.89688054684845</v>
      </c>
      <c r="H8785" s="402">
        <f t="shared" si="1368"/>
        <v>1.3358057990559675</v>
      </c>
      <c r="I8785" s="403">
        <f t="shared" si="1370"/>
        <v>156.15153092603288</v>
      </c>
      <c r="J8785" s="403">
        <f t="shared" si="1371"/>
        <v>147.14285714285714</v>
      </c>
      <c r="K8785" s="403">
        <f>J8785/POBLA!$B$24*100000</f>
        <v>8.6827566858912455</v>
      </c>
      <c r="L8785" s="550">
        <f t="shared" si="1369"/>
        <v>-8.3070452155625585E-2</v>
      </c>
      <c r="M8785" s="405">
        <f>SUM(C8785,C8761,C8737,C8713,C8689,C8665,C8641)/POBLA!$B$24*100000</f>
        <v>60.779296801238715</v>
      </c>
    </row>
    <row r="8786" spans="1:13" s="360" customFormat="1" x14ac:dyDescent="0.25">
      <c r="A8786" s="363" t="s">
        <v>16</v>
      </c>
      <c r="B8786" s="267">
        <v>44259</v>
      </c>
      <c r="C8786" s="1">
        <v>3066</v>
      </c>
      <c r="D8786" s="174">
        <f t="shared" si="1373"/>
        <v>891263</v>
      </c>
      <c r="E8786" s="1">
        <v>113</v>
      </c>
      <c r="F8786" s="174">
        <f t="shared" si="1372"/>
        <v>26557</v>
      </c>
      <c r="G8786" s="175">
        <f>SUM(C8786,C8762,C8738,C8714,C8690,C8666,C8642,C8618,C8594,C8570,C8546,C8522,C8498,C8474)/POBLA!$B$1*100000</f>
        <v>210.66474524091674</v>
      </c>
      <c r="H8786" s="300">
        <f t="shared" ref="H8786:H8809" si="1374">SUM(C8786,C8762,C8738,C8714,C8690,C8666,C8642,C8618,C8594,C8570,C8546,C8522,C8498,C8474)/SUM(C8450,C8426,C8402,C8378,C8354,C8330,C8306,C8282,C8258,C8234,C8210,C8186,C8162,C8138)</f>
        <v>1.0334768989819891</v>
      </c>
      <c r="I8786" s="301">
        <f>G8786*H8786</f>
        <v>217.71714763641339</v>
      </c>
      <c r="J8786" s="301">
        <f>AVERAGE(C8786,C8762,C8738,C8714,C8690,C8666,C8642)</f>
        <v>2462.1428571428573</v>
      </c>
      <c r="K8786" s="301">
        <f>J8786/POBLA!$B$1*100000</f>
        <v>14.03638940672592</v>
      </c>
      <c r="L8786" s="548">
        <f t="shared" ref="L8786:L8809" si="1375">1-SUM(C8786,C8762,C8738,C8714,C8690,C8666,C8642)/SUM(C8618,C8594,C8570,C8546,C8522,C8498,C8474)</f>
        <v>0.12592555025864693</v>
      </c>
      <c r="M8786" s="400">
        <f>SUM(C8786,C8762,C8738,C8714,C8690,C8666,C8642)/POBLA!$B$1*100000</f>
        <v>98.254725847081446</v>
      </c>
    </row>
    <row r="8787" spans="1:13" s="360" customFormat="1" x14ac:dyDescent="0.25">
      <c r="A8787" s="367" t="s">
        <v>43</v>
      </c>
      <c r="B8787" s="267">
        <v>44259</v>
      </c>
      <c r="C8787" s="1">
        <v>668</v>
      </c>
      <c r="D8787" s="39">
        <f t="shared" si="1373"/>
        <v>234503</v>
      </c>
      <c r="E8787" s="1">
        <v>18</v>
      </c>
      <c r="F8787" s="39">
        <f t="shared" si="1372"/>
        <v>6573</v>
      </c>
      <c r="G8787" s="168">
        <f>SUM(C8787,C8763,C8739,C8715,C8691,C8667,C8643,C8619,C8595,C8571,C8547,C8523,C8499,C8475)/POBLA!$B$2*100000</f>
        <v>311.21917151713819</v>
      </c>
      <c r="H8787" s="256">
        <f t="shared" si="1374"/>
        <v>0.93294346978557507</v>
      </c>
      <c r="I8787" s="297">
        <f t="shared" ref="I8787:I8809" si="1376">G8787*H8787</f>
        <v>290.34989373899094</v>
      </c>
      <c r="J8787" s="297">
        <f t="shared" ref="J8787:J8809" si="1377">AVERAGE(C8787,C8763,C8739,C8715,C8691,C8667,C8643)</f>
        <v>605.42857142857144</v>
      </c>
      <c r="K8787" s="297">
        <f>J8787/POBLA!$B$2*100000</f>
        <v>19.684598664104108</v>
      </c>
      <c r="L8787" s="549">
        <f t="shared" si="1375"/>
        <v>0.2054743157105362</v>
      </c>
      <c r="M8787" s="401">
        <f>SUM(C8787,C8763,C8739,C8715,C8691,C8667,C8643)/POBLA!$B$2*100000</f>
        <v>137.79219064872876</v>
      </c>
    </row>
    <row r="8788" spans="1:13" s="360" customFormat="1" x14ac:dyDescent="0.25">
      <c r="A8788" s="367" t="s">
        <v>28</v>
      </c>
      <c r="B8788" s="267">
        <v>44259</v>
      </c>
      <c r="C8788" s="1">
        <v>59</v>
      </c>
      <c r="D8788" s="39">
        <f t="shared" si="1373"/>
        <v>8243</v>
      </c>
      <c r="E8788" s="1"/>
      <c r="F8788" s="39">
        <f t="shared" si="1372"/>
        <v>17</v>
      </c>
      <c r="G8788" s="168">
        <f>SUM(C8788,C8764,C8740,C8716,C8692,C8668,C8644,C8620,C8596,C8572,C8548,C8524,C8500,C8476)/POBLA!$B$3*100000</f>
        <v>291.74028374871824</v>
      </c>
      <c r="H8788" s="256">
        <f t="shared" si="1374"/>
        <v>1.1119266055045871</v>
      </c>
      <c r="I8788" s="297">
        <f t="shared" si="1376"/>
        <v>324.39378339765733</v>
      </c>
      <c r="J8788" s="297">
        <f t="shared" si="1377"/>
        <v>86.285714285714292</v>
      </c>
      <c r="K8788" s="297">
        <f>J8788/POBLA!$B$3*100000</f>
        <v>20.769817466316102</v>
      </c>
      <c r="L8788" s="549">
        <f t="shared" si="1375"/>
        <v>6.5789473684210176E-3</v>
      </c>
      <c r="M8788" s="401">
        <f>SUM(C8788,C8764,C8740,C8716,C8692,C8668,C8644)/POBLA!$B$3*100000</f>
        <v>145.3887222642127</v>
      </c>
    </row>
    <row r="8789" spans="1:13" s="360" customFormat="1" x14ac:dyDescent="0.25">
      <c r="A8789" s="367" t="s">
        <v>15</v>
      </c>
      <c r="B8789" s="267">
        <v>44259</v>
      </c>
      <c r="C8789" s="1">
        <v>181</v>
      </c>
      <c r="D8789" s="39">
        <f t="shared" si="1373"/>
        <v>34685</v>
      </c>
      <c r="E8789" s="1">
        <v>1</v>
      </c>
      <c r="F8789" s="39">
        <f t="shared" si="1372"/>
        <v>871</v>
      </c>
      <c r="G8789" s="168">
        <f>SUM(C8789,C8765,C8741,C8717,C8693,C8669,C8645,C8621,C8597,C8573,C8549,C8525,C8501,C8477)/POBLA!$B$4*100000</f>
        <v>157.81945155872651</v>
      </c>
      <c r="H8789" s="256">
        <f t="shared" si="1374"/>
        <v>1.245740498034076</v>
      </c>
      <c r="I8789" s="297">
        <f t="shared" si="1376"/>
        <v>196.6020821842327</v>
      </c>
      <c r="J8789" s="297">
        <f t="shared" si="1377"/>
        <v>119.14285714285714</v>
      </c>
      <c r="K8789" s="297">
        <f>J8789/POBLA!$B$4*100000</f>
        <v>9.8911416998555595</v>
      </c>
      <c r="L8789" s="549">
        <f t="shared" si="1375"/>
        <v>0.21836925960637299</v>
      </c>
      <c r="M8789" s="401">
        <f>SUM(C8789,C8765,C8741,C8717,C8693,C8669,C8645)/POBLA!$B$4*100000</f>
        <v>69.237991898988909</v>
      </c>
    </row>
    <row r="8790" spans="1:13" s="360" customFormat="1" x14ac:dyDescent="0.25">
      <c r="A8790" s="367" t="s">
        <v>29</v>
      </c>
      <c r="B8790" s="267">
        <v>44259</v>
      </c>
      <c r="C8790" s="1">
        <v>83</v>
      </c>
      <c r="D8790" s="39">
        <f t="shared" si="1373"/>
        <v>47353</v>
      </c>
      <c r="E8790" s="1"/>
      <c r="F8790" s="39">
        <f t="shared" si="1372"/>
        <v>777</v>
      </c>
      <c r="G8790" s="168">
        <f>SUM(C8790,C8766,C8742,C8718,C8694,C8670,C8646,C8622,C8598,C8574,C8550,C8526,C8502,C8478)/POBLA!$B$5*100000</f>
        <v>247.33680778812072</v>
      </c>
      <c r="H8790" s="256">
        <f t="shared" si="1374"/>
        <v>0.63791666666666669</v>
      </c>
      <c r="I8790" s="297">
        <f t="shared" si="1376"/>
        <v>157.780271968172</v>
      </c>
      <c r="J8790" s="297">
        <f t="shared" si="1377"/>
        <v>88.428571428571431</v>
      </c>
      <c r="K8790" s="297">
        <f>J8790/POBLA!$B$5*100000</f>
        <v>14.285852759246685</v>
      </c>
      <c r="L8790" s="549">
        <f t="shared" si="1375"/>
        <v>0.32127192982456143</v>
      </c>
      <c r="M8790" s="401">
        <f>SUM(C8790,C8766,C8742,C8718,C8694,C8670,C8646)/POBLA!$B$5*100000</f>
        <v>100.00096931472679</v>
      </c>
    </row>
    <row r="8791" spans="1:13" s="360" customFormat="1" x14ac:dyDescent="0.25">
      <c r="A8791" s="367" t="s">
        <v>30</v>
      </c>
      <c r="B8791" s="267">
        <v>44259</v>
      </c>
      <c r="C8791" s="1">
        <v>396</v>
      </c>
      <c r="D8791" s="39">
        <f t="shared" si="1373"/>
        <v>22709</v>
      </c>
      <c r="E8791" s="1"/>
      <c r="F8791" s="39">
        <f t="shared" si="1372"/>
        <v>300</v>
      </c>
      <c r="G8791" s="168">
        <f>SUM(C8791,C8767,C8743,C8719,C8695,C8671,C8647,C8623,C8599,C8575,C8551,C8527,C8503,C8479)/POBLA!$B$6*100000</f>
        <v>191.02409794423809</v>
      </c>
      <c r="H8791" s="256">
        <f t="shared" si="1374"/>
        <v>0.89134054954204833</v>
      </c>
      <c r="I8791" s="297">
        <f t="shared" si="1376"/>
        <v>170.26752443739124</v>
      </c>
      <c r="J8791" s="297">
        <f t="shared" si="1377"/>
        <v>186.57142857142858</v>
      </c>
      <c r="K8791" s="297">
        <f>J8791/POBLA!$B$6*100000</f>
        <v>16.646258218134047</v>
      </c>
      <c r="L8791" s="549">
        <f t="shared" si="1375"/>
        <v>-0.56407185628742518</v>
      </c>
      <c r="M8791" s="401">
        <f>SUM(C8791,C8767,C8743,C8719,C8695,C8671,C8647)/POBLA!$B$6*100000</f>
        <v>116.52380752693833</v>
      </c>
    </row>
    <row r="8792" spans="1:13" s="360" customFormat="1" x14ac:dyDescent="0.25">
      <c r="A8792" s="367" t="s">
        <v>20</v>
      </c>
      <c r="B8792" s="267">
        <v>44259</v>
      </c>
      <c r="C8792" s="1">
        <v>696</v>
      </c>
      <c r="D8792" s="39">
        <f t="shared" si="1373"/>
        <v>162444</v>
      </c>
      <c r="E8792" s="1">
        <v>2</v>
      </c>
      <c r="F8792" s="39">
        <f t="shared" si="1372"/>
        <v>2864</v>
      </c>
      <c r="G8792" s="168">
        <f>SUM(C8792,C8768,C8744,C8720,C8696,C8672,C8648,C8624,C8600,C8576,C8552,C8528,C8504,C8480)/POBLA!$B$7*100000</f>
        <v>230.95640149450196</v>
      </c>
      <c r="H8792" s="256">
        <f t="shared" si="1374"/>
        <v>1.2933730454207</v>
      </c>
      <c r="I8792" s="297">
        <f t="shared" si="1376"/>
        <v>298.71278436034993</v>
      </c>
      <c r="J8792" s="297">
        <f t="shared" si="1377"/>
        <v>549.85714285714289</v>
      </c>
      <c r="K8792" s="297">
        <f>J8792/POBLA!$B$7*100000</f>
        <v>14.622110195778243</v>
      </c>
      <c r="L8792" s="549">
        <f t="shared" si="1375"/>
        <v>0.20409429280397018</v>
      </c>
      <c r="M8792" s="401">
        <f>SUM(C8792,C8768,C8744,C8720,C8696,C8672,C8648)/POBLA!$B$7*100000</f>
        <v>102.35477137044769</v>
      </c>
    </row>
    <row r="8793" spans="1:13" x14ac:dyDescent="0.25">
      <c r="A8793" s="367" t="s">
        <v>31</v>
      </c>
      <c r="B8793" s="267">
        <v>44259</v>
      </c>
      <c r="C8793" s="1">
        <v>197</v>
      </c>
      <c r="D8793" s="39">
        <f t="shared" si="1373"/>
        <v>45716</v>
      </c>
      <c r="E8793" s="1">
        <v>1</v>
      </c>
      <c r="F8793" s="39">
        <f t="shared" ref="F8793:F8816" si="1378">E8793+F8769</f>
        <v>870</v>
      </c>
      <c r="G8793" s="168">
        <f>SUM(C8793,C8769,C8745,C8721,C8697,C8673,C8649,C8625,C8601,C8577,C8553,C8529,C8505,C8481)/POBLA!$B$8*100000</f>
        <v>126.69909182148704</v>
      </c>
      <c r="H8793" s="256">
        <f t="shared" si="1374"/>
        <v>0.86716049382716054</v>
      </c>
      <c r="I8793" s="297">
        <f t="shared" si="1376"/>
        <v>109.86844703137346</v>
      </c>
      <c r="J8793" s="297">
        <f t="shared" si="1377"/>
        <v>115</v>
      </c>
      <c r="K8793" s="297">
        <f>J8793/POBLA!$B$8*100000</f>
        <v>8.2974917764641276</v>
      </c>
      <c r="L8793" s="549">
        <f t="shared" si="1375"/>
        <v>0.1535226077812829</v>
      </c>
      <c r="M8793" s="401">
        <f>SUM(C8793,C8769,C8745,C8721,C8697,C8673,C8649)/POBLA!$B$8*100000</f>
        <v>58.0824424352489</v>
      </c>
    </row>
    <row r="8794" spans="1:13" s="360" customFormat="1" x14ac:dyDescent="0.25">
      <c r="A8794" s="367" t="s">
        <v>41</v>
      </c>
      <c r="B8794" s="267">
        <v>44259</v>
      </c>
      <c r="C8794" s="1">
        <v>23</v>
      </c>
      <c r="D8794" s="39">
        <f t="shared" si="1373"/>
        <v>1309</v>
      </c>
      <c r="E8794" s="1">
        <v>1</v>
      </c>
      <c r="F8794" s="39">
        <f t="shared" si="1378"/>
        <v>20</v>
      </c>
      <c r="G8794" s="168">
        <f>SUM(C8794,C8770,C8746,C8722,C8698,C8674,C8650,C8626,C8602,C8578,C8554,C8530,C8506,C8482)/POBLA!$B$9*100000</f>
        <v>44.448630436901951</v>
      </c>
      <c r="H8794" s="256">
        <f t="shared" si="1374"/>
        <v>1.4780219780219781</v>
      </c>
      <c r="I8794" s="297">
        <f t="shared" si="1376"/>
        <v>65.69605267871772</v>
      </c>
      <c r="J8794" s="297">
        <f t="shared" si="1377"/>
        <v>17.714285714285715</v>
      </c>
      <c r="K8794" s="297">
        <f>J8794/POBLA!$B$9*100000</f>
        <v>2.9270473575017744</v>
      </c>
      <c r="L8794" s="549">
        <f t="shared" si="1375"/>
        <v>0.14482758620689651</v>
      </c>
      <c r="M8794" s="401">
        <f>SUM(C8794,C8770,C8746,C8722,C8698,C8674,C8650)/POBLA!$B$9*100000</f>
        <v>20.489331502512421</v>
      </c>
    </row>
    <row r="8795" spans="1:13" s="360" customFormat="1" x14ac:dyDescent="0.25">
      <c r="A8795" s="367" t="s">
        <v>32</v>
      </c>
      <c r="B8795" s="267">
        <v>44259</v>
      </c>
      <c r="C8795" s="1">
        <v>87</v>
      </c>
      <c r="D8795" s="39">
        <f t="shared" si="1373"/>
        <v>21069</v>
      </c>
      <c r="E8795" s="1"/>
      <c r="F8795" s="39">
        <f t="shared" si="1378"/>
        <v>911</v>
      </c>
      <c r="G8795" s="168">
        <f>SUM(C8795,C8771,C8747,C8723,C8699,C8675,C8651,C8627,C8603,C8579,C8555,C8531,C8507,C8483)/POBLA!$B$10*100000</f>
        <v>148.6610773906738</v>
      </c>
      <c r="H8795" s="256">
        <f t="shared" si="1374"/>
        <v>2.3387755102040817</v>
      </c>
      <c r="I8795" s="297">
        <f t="shared" si="1376"/>
        <v>347.68488712186161</v>
      </c>
      <c r="J8795" s="297">
        <f t="shared" si="1377"/>
        <v>82.571428571428569</v>
      </c>
      <c r="K8795" s="297">
        <f>J8795/POBLA!$B$10*100000</f>
        <v>10.711306747919403</v>
      </c>
      <c r="L8795" s="549">
        <f t="shared" si="1375"/>
        <v>-1.7605633802816989E-2</v>
      </c>
      <c r="M8795" s="401">
        <f>SUM(C8795,C8771,C8747,C8723,C8699,C8675,C8651)/POBLA!$B$10*100000</f>
        <v>74.979147235435818</v>
      </c>
    </row>
    <row r="8796" spans="1:13" s="360" customFormat="1" x14ac:dyDescent="0.25">
      <c r="A8796" s="367" t="s">
        <v>33</v>
      </c>
      <c r="B8796" s="267">
        <v>44259</v>
      </c>
      <c r="C8796" s="1">
        <v>101</v>
      </c>
      <c r="D8796" s="39">
        <f t="shared" si="1373"/>
        <v>19054</v>
      </c>
      <c r="E8796" s="1"/>
      <c r="F8796" s="39">
        <f t="shared" si="1378"/>
        <v>289</v>
      </c>
      <c r="G8796" s="168">
        <f>SUM(C8796,C8772,C8748,C8724,C8700,C8676,C8652,C8628,C8604,C8580,C8556,C8532,C8508,C8484)/POBLA!$B$11*100000</f>
        <v>310.52261542067026</v>
      </c>
      <c r="H8796" s="256">
        <f t="shared" si="1374"/>
        <v>1.0440900562851783</v>
      </c>
      <c r="I8796" s="297">
        <f t="shared" si="1376"/>
        <v>324.21357501238839</v>
      </c>
      <c r="J8796" s="297">
        <f t="shared" si="1377"/>
        <v>73.857142857142861</v>
      </c>
      <c r="K8796" s="297">
        <f>J8796/POBLA!$B$11*100000</f>
        <v>20.605851902513994</v>
      </c>
      <c r="L8796" s="549">
        <f t="shared" si="1375"/>
        <v>0.1325503355704698</v>
      </c>
      <c r="M8796" s="401">
        <f>SUM(C8796,C8772,C8748,C8724,C8700,C8676,C8652)/POBLA!$B$11*100000</f>
        <v>144.24096331759796</v>
      </c>
    </row>
    <row r="8797" spans="1:13" s="360" customFormat="1" x14ac:dyDescent="0.25">
      <c r="A8797" s="367" t="s">
        <v>21</v>
      </c>
      <c r="B8797" s="267">
        <v>44259</v>
      </c>
      <c r="C8797" s="1">
        <v>19</v>
      </c>
      <c r="D8797" s="39">
        <f t="shared" si="1373"/>
        <v>10306</v>
      </c>
      <c r="E8797" s="1"/>
      <c r="F8797" s="39">
        <f t="shared" si="1378"/>
        <v>439</v>
      </c>
      <c r="G8797" s="168">
        <f>SUM(C8797,C8773,C8749,C8725,C8701,C8677,C8653,C8629,C8605,C8581,C8557,C8533,C8509,C8485)/POBLA!$B$12*100000</f>
        <v>91.733561015523549</v>
      </c>
      <c r="H8797" s="256">
        <f t="shared" si="1374"/>
        <v>1.0403458213256485</v>
      </c>
      <c r="I8797" s="297">
        <f t="shared" si="1376"/>
        <v>95.43462687782133</v>
      </c>
      <c r="J8797" s="297">
        <f t="shared" si="1377"/>
        <v>22.571428571428573</v>
      </c>
      <c r="K8797" s="297">
        <f>J8797/POBLA!$B$12*100000</f>
        <v>5.7356163990711213</v>
      </c>
      <c r="L8797" s="549">
        <f t="shared" si="1375"/>
        <v>0.22167487684729059</v>
      </c>
      <c r="M8797" s="401">
        <f>SUM(C8797,C8773,C8749,C8725,C8701,C8677,C8653)/POBLA!$B$12*100000</f>
        <v>40.149314793497844</v>
      </c>
    </row>
    <row r="8798" spans="1:13" s="360" customFormat="1" x14ac:dyDescent="0.25">
      <c r="A8798" s="367" t="s">
        <v>17</v>
      </c>
      <c r="B8798" s="267">
        <v>44259</v>
      </c>
      <c r="C8798" s="1">
        <v>199</v>
      </c>
      <c r="D8798" s="39">
        <f t="shared" si="1373"/>
        <v>67886</v>
      </c>
      <c r="E8798" s="1">
        <v>3</v>
      </c>
      <c r="F8798" s="39">
        <f t="shared" si="1378"/>
        <v>1456</v>
      </c>
      <c r="G8798" s="168">
        <f>SUM(C8798,C8774,C8750,C8726,C8702,C8678,C8654,C8630,C8606,C8582,C8558,C8534,C8510,C8486)/POBLA!$B$13*100000</f>
        <v>93.350978577507945</v>
      </c>
      <c r="H8798" s="256">
        <f t="shared" si="1374"/>
        <v>1.1336180597925565</v>
      </c>
      <c r="I8798" s="297">
        <f t="shared" si="1376"/>
        <v>105.82435521477106</v>
      </c>
      <c r="J8798" s="297">
        <f t="shared" si="1377"/>
        <v>137</v>
      </c>
      <c r="K8798" s="297">
        <f>J8798/POBLA!$B$13*100000</f>
        <v>6.883252995219908</v>
      </c>
      <c r="L8798" s="549">
        <f t="shared" si="1375"/>
        <v>-6.6740823136818728E-2</v>
      </c>
      <c r="M8798" s="401">
        <f>SUM(C8798,C8774,C8750,C8726,C8702,C8678,C8654)/POBLA!$B$13*100000</f>
        <v>48.182770966539351</v>
      </c>
    </row>
    <row r="8799" spans="1:13" s="360" customFormat="1" x14ac:dyDescent="0.25">
      <c r="A8799" s="367" t="s">
        <v>23</v>
      </c>
      <c r="B8799" s="267">
        <v>44259</v>
      </c>
      <c r="C8799" s="1">
        <v>145</v>
      </c>
      <c r="D8799" s="39">
        <f t="shared" si="1373"/>
        <v>8795</v>
      </c>
      <c r="E8799" s="1">
        <v>3</v>
      </c>
      <c r="F8799" s="39">
        <f t="shared" si="1378"/>
        <v>151</v>
      </c>
      <c r="G8799" s="168">
        <f>SUM(C8799,C8775,C8751,C8727,C8703,C8679,C8655,C8631,C8607,C8583,C8559,C8535,C8511,C8487)/POBLA!$B$14*100000</f>
        <v>129.54949440812371</v>
      </c>
      <c r="H8799" s="256">
        <f t="shared" si="1374"/>
        <v>1.0036855036855037</v>
      </c>
      <c r="I8799" s="297">
        <f t="shared" si="1376"/>
        <v>130.02694954722</v>
      </c>
      <c r="J8799" s="297">
        <f t="shared" si="1377"/>
        <v>119.28571428571429</v>
      </c>
      <c r="K8799" s="297">
        <f>J8799/POBLA!$B$14*100000</f>
        <v>9.4574075739450354</v>
      </c>
      <c r="L8799" s="549">
        <f t="shared" si="1375"/>
        <v>-4.505632040050056E-2</v>
      </c>
      <c r="M8799" s="401">
        <f>SUM(C8799,C8775,C8751,C8727,C8703,C8679,C8655)/POBLA!$B$14*100000</f>
        <v>66.20185301761525</v>
      </c>
    </row>
    <row r="8800" spans="1:13" s="360" customFormat="1" x14ac:dyDescent="0.25">
      <c r="A8800" s="367" t="s">
        <v>19</v>
      </c>
      <c r="B8800" s="267">
        <v>44259</v>
      </c>
      <c r="C8800" s="1">
        <v>214</v>
      </c>
      <c r="D8800" s="39">
        <f t="shared" si="1373"/>
        <v>61889</v>
      </c>
      <c r="E8800" s="1"/>
      <c r="F8800" s="39">
        <f t="shared" si="1378"/>
        <v>938</v>
      </c>
      <c r="G8800" s="168">
        <f>SUM(C8800,C8776,C8752,C8728,C8704,C8680,C8656,C8632,C8608,C8584,C8560,C8536,C8512,C8488)/POBLA!$B$15*100000</f>
        <v>368.49246374934683</v>
      </c>
      <c r="H8800" s="256">
        <f t="shared" si="1374"/>
        <v>0.68581838565022424</v>
      </c>
      <c r="I8800" s="297">
        <f t="shared" si="1376"/>
        <v>252.71890661285082</v>
      </c>
      <c r="J8800" s="297">
        <f t="shared" si="1377"/>
        <v>149.71428571428572</v>
      </c>
      <c r="K8800" s="297">
        <f>J8800/POBLA!$B$15*100000</f>
        <v>22.545396812967219</v>
      </c>
      <c r="L8800" s="549">
        <f t="shared" si="1375"/>
        <v>0.25089349535382421</v>
      </c>
      <c r="M8800" s="401">
        <f>SUM(C8800,C8776,C8752,C8728,C8704,C8680,C8656)/POBLA!$B$15*100000</f>
        <v>157.8177776907705</v>
      </c>
    </row>
    <row r="8801" spans="1:13" s="360" customFormat="1" x14ac:dyDescent="0.25">
      <c r="A8801" s="367" t="s">
        <v>18</v>
      </c>
      <c r="B8801" s="267">
        <v>44259</v>
      </c>
      <c r="C8801" s="1">
        <v>132</v>
      </c>
      <c r="D8801" s="39">
        <f t="shared" si="1373"/>
        <v>52874</v>
      </c>
      <c r="E8801" s="1">
        <v>7</v>
      </c>
      <c r="F8801" s="39">
        <f t="shared" si="1378"/>
        <v>1204</v>
      </c>
      <c r="G8801" s="168">
        <f>SUM(C8801,C8777,C8753,C8729,C8705,C8681,C8657,C8633,C8609,C8585,C8561,C8537,C8513,C8489)/POBLA!$B$16*100000</f>
        <v>228.06008480357403</v>
      </c>
      <c r="H8801" s="256">
        <f t="shared" si="1374"/>
        <v>0.76801801801801806</v>
      </c>
      <c r="I8801" s="297">
        <f t="shared" si="1376"/>
        <v>175.15425431986205</v>
      </c>
      <c r="J8801" s="297">
        <f t="shared" si="1377"/>
        <v>119.28571428571429</v>
      </c>
      <c r="K8801" s="297">
        <f>J8801/POBLA!$B$16*100000</f>
        <v>15.955607106073259</v>
      </c>
      <c r="L8801" s="549">
        <f t="shared" si="1375"/>
        <v>4.0229885057471271E-2</v>
      </c>
      <c r="M8801" s="401">
        <f>SUM(C8801,C8777,C8753,C8729,C8705,C8681,C8657)/POBLA!$B$16*100000</f>
        <v>111.6892497425128</v>
      </c>
    </row>
    <row r="8802" spans="1:13" s="360" customFormat="1" x14ac:dyDescent="0.25">
      <c r="A8802" s="367" t="s">
        <v>34</v>
      </c>
      <c r="B8802" s="267">
        <v>44259</v>
      </c>
      <c r="C8802" s="1">
        <v>169</v>
      </c>
      <c r="D8802" s="39">
        <f t="shared" si="1373"/>
        <v>26609</v>
      </c>
      <c r="E8802" s="1">
        <v>5</v>
      </c>
      <c r="F8802" s="39">
        <f t="shared" si="1378"/>
        <v>1110</v>
      </c>
      <c r="G8802" s="168">
        <f>SUM(C8802,C8778,C8754,C8730,C8706,C8682,C8658,C8634,C8610,C8586,C8562,C8538,C8514,C8490)/POBLA!$B$17*100000</f>
        <v>111.27515713666907</v>
      </c>
      <c r="H8802" s="256">
        <f t="shared" si="1374"/>
        <v>1.6562173458725182</v>
      </c>
      <c r="I8802" s="297">
        <f t="shared" si="1376"/>
        <v>184.29584541444146</v>
      </c>
      <c r="J8802" s="297">
        <f t="shared" si="1377"/>
        <v>104.28571428571429</v>
      </c>
      <c r="K8802" s="297">
        <f>J8802/POBLA!$B$17*100000</f>
        <v>7.3213938449543408</v>
      </c>
      <c r="L8802" s="549">
        <f t="shared" si="1375"/>
        <v>0.14619883040935677</v>
      </c>
      <c r="M8802" s="401">
        <f>SUM(C8802,C8778,C8754,C8730,C8706,C8682,C8658)/POBLA!$B$17*100000</f>
        <v>51.24975691468039</v>
      </c>
    </row>
    <row r="8803" spans="1:13" s="360" customFormat="1" x14ac:dyDescent="0.25">
      <c r="A8803" s="367" t="s">
        <v>35</v>
      </c>
      <c r="B8803" s="267">
        <v>44259</v>
      </c>
      <c r="C8803" s="1">
        <v>53</v>
      </c>
      <c r="D8803" s="39">
        <f t="shared" si="1373"/>
        <v>15457</v>
      </c>
      <c r="E8803" s="1">
        <v>2</v>
      </c>
      <c r="F8803" s="39">
        <f t="shared" si="1378"/>
        <v>214</v>
      </c>
      <c r="G8803" s="168">
        <f>SUM(C8803,C8779,C8755,C8731,C8707,C8683,C8659,C8635,C8611,C8587,C8563,C8539,C8515,C8491)/POBLA!$B$18*100000</f>
        <v>81.411438819175714</v>
      </c>
      <c r="H8803" s="256">
        <f t="shared" si="1374"/>
        <v>1.0635451505016722</v>
      </c>
      <c r="I8803" s="297">
        <f t="shared" si="1376"/>
        <v>86.58474095149792</v>
      </c>
      <c r="J8803" s="297">
        <f t="shared" si="1377"/>
        <v>37.857142857142854</v>
      </c>
      <c r="K8803" s="297">
        <f>J8803/POBLA!$B$18*100000</f>
        <v>4.8459189773318876</v>
      </c>
      <c r="L8803" s="549">
        <f t="shared" si="1375"/>
        <v>0.2857142857142857</v>
      </c>
      <c r="M8803" s="401">
        <f>SUM(C8803,C8779,C8755,C8731,C8707,C8683,C8659)/POBLA!$B$18*100000</f>
        <v>33.921432841323217</v>
      </c>
    </row>
    <row r="8804" spans="1:13" s="360" customFormat="1" x14ac:dyDescent="0.25">
      <c r="A8804" s="367" t="s">
        <v>36</v>
      </c>
      <c r="B8804" s="267">
        <v>44259</v>
      </c>
      <c r="C8804" s="1">
        <v>8</v>
      </c>
      <c r="D8804" s="39">
        <f t="shared" si="1373"/>
        <v>20796</v>
      </c>
      <c r="E8804" s="1">
        <v>2</v>
      </c>
      <c r="F8804" s="39">
        <f t="shared" si="1378"/>
        <v>358</v>
      </c>
      <c r="G8804" s="168">
        <f>SUM(C8804,C8780,C8756,C8732,C8708,C8684,C8660,C8636,C8612,C8588,C8564,C8540,C8516,C8492)/POBLA!$B$19*100000</f>
        <v>108.59130325301773</v>
      </c>
      <c r="H8804" s="256">
        <f t="shared" si="1374"/>
        <v>0.47916666666666669</v>
      </c>
      <c r="I8804" s="297">
        <f t="shared" si="1376"/>
        <v>52.033332808737661</v>
      </c>
      <c r="J8804" s="297">
        <f t="shared" si="1377"/>
        <v>6.1428571428571432</v>
      </c>
      <c r="K8804" s="297">
        <f>J8804/POBLA!$B$19*100000</f>
        <v>1.2084435921013879</v>
      </c>
      <c r="L8804" s="549">
        <f t="shared" si="1375"/>
        <v>0.91552062868369355</v>
      </c>
      <c r="M8804" s="401">
        <f>SUM(C8804,C8780,C8756,C8732,C8708,C8684,C8660)/POBLA!$B$19*100000</f>
        <v>8.4591051447097154</v>
      </c>
    </row>
    <row r="8805" spans="1:13" s="360" customFormat="1" x14ac:dyDescent="0.25">
      <c r="A8805" s="367" t="s">
        <v>37</v>
      </c>
      <c r="B8805" s="267">
        <v>44259</v>
      </c>
      <c r="C8805" s="1">
        <v>194</v>
      </c>
      <c r="D8805" s="39">
        <f t="shared" si="1373"/>
        <v>36431</v>
      </c>
      <c r="E8805" s="1">
        <v>3</v>
      </c>
      <c r="F8805" s="39">
        <f t="shared" si="1378"/>
        <v>596</v>
      </c>
      <c r="G8805" s="168">
        <f>SUM(C8805,C8781,C8757,C8733,C8709,C8685,C8661,C8637,C8613,C8589,C8565,C8541,C8517,C8493)/POBLA!$B$20*100000</f>
        <v>428.49564394664452</v>
      </c>
      <c r="H8805" s="256">
        <f t="shared" si="1374"/>
        <v>1.0988779803646564</v>
      </c>
      <c r="I8805" s="297">
        <f t="shared" si="1376"/>
        <v>470.86442781514165</v>
      </c>
      <c r="J8805" s="297">
        <f t="shared" si="1377"/>
        <v>94.857142857142861</v>
      </c>
      <c r="K8805" s="297">
        <f>J8805/POBLA!$B$20*100000</f>
        <v>25.938655080734065</v>
      </c>
      <c r="L8805" s="549">
        <f t="shared" si="1375"/>
        <v>0.26467331118493909</v>
      </c>
      <c r="M8805" s="401">
        <f>SUM(C8805,C8781,C8757,C8733,C8709,C8685,C8661)/POBLA!$B$20*100000</f>
        <v>181.57058556513846</v>
      </c>
    </row>
    <row r="8806" spans="1:13" s="360" customFormat="1" x14ac:dyDescent="0.25">
      <c r="A8806" s="367" t="s">
        <v>22</v>
      </c>
      <c r="B8806" s="267">
        <v>44259</v>
      </c>
      <c r="C8806" s="1">
        <v>479</v>
      </c>
      <c r="D8806" s="39">
        <f t="shared" si="1373"/>
        <v>218170</v>
      </c>
      <c r="E8806" s="1">
        <v>30</v>
      </c>
      <c r="F8806" s="39">
        <f t="shared" si="1378"/>
        <v>4029</v>
      </c>
      <c r="G8806" s="168">
        <f>SUM(C8806,C8782,C8758,C8734,C8710,C8686,C8662,C8638,C8614,C8590,C8566,C8542,C8518,C8494)/POBLA!$B$21*100000</f>
        <v>147.06971856833667</v>
      </c>
      <c r="H8806" s="256">
        <f t="shared" si="1374"/>
        <v>1.0730348669279968</v>
      </c>
      <c r="I8806" s="297">
        <f t="shared" si="1376"/>
        <v>157.81093589311308</v>
      </c>
      <c r="J8806" s="297">
        <f t="shared" si="1377"/>
        <v>352.57142857142856</v>
      </c>
      <c r="K8806" s="297">
        <f>J8806/POBLA!$B$21*100000</f>
        <v>9.9697328927583939</v>
      </c>
      <c r="L8806" s="549">
        <f t="shared" si="1375"/>
        <v>9.6963044273691956E-2</v>
      </c>
      <c r="M8806" s="401">
        <f>SUM(C8806,C8782,C8758,C8734,C8710,C8686,C8662)/POBLA!$B$21*100000</f>
        <v>69.788130249308765</v>
      </c>
    </row>
    <row r="8807" spans="1:13" s="360" customFormat="1" x14ac:dyDescent="0.25">
      <c r="A8807" s="367" t="s">
        <v>38</v>
      </c>
      <c r="B8807" s="267">
        <v>44259</v>
      </c>
      <c r="C8807" s="1">
        <v>80</v>
      </c>
      <c r="D8807" s="39">
        <f t="shared" si="1373"/>
        <v>22867</v>
      </c>
      <c r="E8807" s="1"/>
      <c r="F8807" s="39">
        <f t="shared" si="1378"/>
        <v>269</v>
      </c>
      <c r="G8807" s="168">
        <f>SUM(C8807,C8783,C8759,C8735,C8711,C8687,C8663,C8639,C8615,C8591,C8567,C8543,C8519,C8495)/POBLA!$B$22*100000</f>
        <v>85.351007295211247</v>
      </c>
      <c r="H8807" s="256">
        <f t="shared" si="1374"/>
        <v>0.99051008303677346</v>
      </c>
      <c r="I8807" s="297">
        <f t="shared" si="1376"/>
        <v>84.541033323251952</v>
      </c>
      <c r="J8807" s="297">
        <f t="shared" si="1377"/>
        <v>64.142857142857139</v>
      </c>
      <c r="K8807" s="297">
        <f>J8807/POBLA!$B$22*100000</f>
        <v>6.5564760095038235</v>
      </c>
      <c r="L8807" s="549">
        <f t="shared" si="1375"/>
        <v>-0.16321243523316054</v>
      </c>
      <c r="M8807" s="401">
        <f>SUM(C8807,C8783,C8759,C8735,C8711,C8687,C8663)/POBLA!$B$22*100000</f>
        <v>45.89533206652677</v>
      </c>
    </row>
    <row r="8808" spans="1:13" s="360" customFormat="1" x14ac:dyDescent="0.25">
      <c r="A8808" s="367" t="s">
        <v>39</v>
      </c>
      <c r="B8808" s="267">
        <v>44259</v>
      </c>
      <c r="C8808" s="1">
        <v>33</v>
      </c>
      <c r="D8808" s="39">
        <f t="shared" si="1373"/>
        <v>23081</v>
      </c>
      <c r="E8808" s="1"/>
      <c r="F8808" s="39">
        <f t="shared" si="1378"/>
        <v>356</v>
      </c>
      <c r="G8808" s="168">
        <f>SUM(C8808,C8784,C8760,C8736,C8712,C8688,C8664,C8640,C8616,C8592,C8568,C8544,C8520,C8496)/POBLA!$B$23*100000</f>
        <v>281.06090595487194</v>
      </c>
      <c r="H8808" s="256">
        <f t="shared" si="1374"/>
        <v>0.84523809523809523</v>
      </c>
      <c r="I8808" s="297">
        <f t="shared" si="1376"/>
        <v>237.56338479518936</v>
      </c>
      <c r="J8808" s="297">
        <f t="shared" si="1377"/>
        <v>30.571428571428573</v>
      </c>
      <c r="K8808" s="297">
        <f>J8808/POBLA!$B$23*100000</f>
        <v>17.288598411711007</v>
      </c>
      <c r="L8808" s="549">
        <f t="shared" si="1375"/>
        <v>0.24381625441696109</v>
      </c>
      <c r="M8808" s="401">
        <f>SUM(C8808,C8784,C8760,C8736,C8712,C8688,C8664)/POBLA!$B$23*100000</f>
        <v>121.02018888197703</v>
      </c>
    </row>
    <row r="8809" spans="1:13" s="360" customFormat="1" ht="15.75" thickBot="1" x14ac:dyDescent="0.3">
      <c r="A8809" s="369" t="s">
        <v>40</v>
      </c>
      <c r="B8809" s="267">
        <v>44259</v>
      </c>
      <c r="C8809" s="1">
        <v>150</v>
      </c>
      <c r="D8809" s="176">
        <f t="shared" si="1373"/>
        <v>80454</v>
      </c>
      <c r="E8809" s="1"/>
      <c r="F8809" s="176">
        <f t="shared" si="1378"/>
        <v>1478</v>
      </c>
      <c r="G8809" s="177">
        <f>SUM(C8809,C8785,C8761,C8737,C8713,C8689,C8665,C8641,C8617,C8593,C8569,C8545,C8521,C8497)/POBLA!$B$24*100000</f>
        <v>118.66715132746704</v>
      </c>
      <c r="H8809" s="402">
        <f t="shared" si="1374"/>
        <v>1.4013937282229965</v>
      </c>
      <c r="I8809" s="403">
        <f t="shared" si="1376"/>
        <v>166.29940161640152</v>
      </c>
      <c r="J8809" s="403">
        <f t="shared" si="1377"/>
        <v>134.42857142857142</v>
      </c>
      <c r="K8809" s="403">
        <f>J8809/POBLA!$B$24*100000</f>
        <v>7.9324990693433612</v>
      </c>
      <c r="L8809" s="550">
        <f t="shared" si="1375"/>
        <v>0.1205607476635514</v>
      </c>
      <c r="M8809" s="405">
        <f>SUM(C8809,C8785,C8761,C8737,C8713,C8689,C8665)/POBLA!$B$24*100000</f>
        <v>55.527493485403525</v>
      </c>
    </row>
    <row r="8810" spans="1:13" s="360" customFormat="1" x14ac:dyDescent="0.25">
      <c r="A8810" s="363" t="s">
        <v>16</v>
      </c>
      <c r="B8810" s="267">
        <v>44260</v>
      </c>
      <c r="C8810" s="1">
        <v>3494</v>
      </c>
      <c r="D8810" s="174">
        <f t="shared" ref="D8810:D8841" si="1379">C8810+D8786</f>
        <v>894757</v>
      </c>
      <c r="E8810" s="1">
        <v>86</v>
      </c>
      <c r="F8810" s="174">
        <f t="shared" si="1378"/>
        <v>26643</v>
      </c>
      <c r="G8810" s="175">
        <f>SUM(C8810,C8786,C8762,C8738,C8714,C8690,C8666,C8642,C8618,C8594,C8570,C8546,C8522,C8498)/POBLA!$B$1*100000</f>
        <v>210.35119665248686</v>
      </c>
      <c r="H8810" s="300">
        <f t="shared" ref="H8810:H8833" si="1380">SUM(C8810,C8786,C8762,C8738,C8714,C8690,C8666,C8642,C8618,C8594,C8570,C8546,C8522,C8498)/SUM(C8474,C8450,C8426,C8402,C8378,C8354,C8330,C8306,C8282,C8258,C8234,C8210,C8186,C8162)</f>
        <v>1.0300374071799452</v>
      </c>
      <c r="I8810" s="301">
        <f>G8810*H8810</f>
        <v>216.66960119712633</v>
      </c>
      <c r="J8810" s="301">
        <f>AVERAGE(C8810,C8786,C8762,C8738,C8714,C8690,C8666)</f>
        <v>2663</v>
      </c>
      <c r="K8810" s="301">
        <f>J8810/POBLA!$B$1*100000</f>
        <v>15.181452563433586</v>
      </c>
      <c r="L8810" s="548">
        <f t="shared" ref="L8810:L8833" si="1381">1-SUM(C8810,C8786,C8762,C8738,C8714,C8690,C8666)/SUM(C8642,C8618,C8594,C8570,C8546,C8522,C8498)</f>
        <v>-2.1033028427452471E-2</v>
      </c>
      <c r="M8810" s="400">
        <f>SUM(C8810,C8786,C8762,C8738,C8714,C8690,C8666)/POBLA!$B$1*100000</f>
        <v>106.27016794403511</v>
      </c>
    </row>
    <row r="8811" spans="1:13" s="360" customFormat="1" x14ac:dyDescent="0.25">
      <c r="A8811" s="367" t="s">
        <v>43</v>
      </c>
      <c r="B8811" s="267">
        <v>44260</v>
      </c>
      <c r="C8811" s="1">
        <v>863</v>
      </c>
      <c r="D8811" s="39">
        <f t="shared" si="1379"/>
        <v>235366</v>
      </c>
      <c r="E8811" s="1">
        <v>7</v>
      </c>
      <c r="F8811" s="39">
        <f t="shared" si="1378"/>
        <v>6580</v>
      </c>
      <c r="G8811" s="168">
        <f>SUM(C8811,C8787,C8763,C8739,C8715,C8691,C8667,C8643,C8619,C8595,C8571,C8547,C8523,C8499)/POBLA!$B$2*100000</f>
        <v>311.73938743275397</v>
      </c>
      <c r="H8811" s="256">
        <f t="shared" si="1380"/>
        <v>0.95679073944716098</v>
      </c>
      <c r="I8811" s="297">
        <f t="shared" ref="I8811:I8833" si="1382">G8811*H8811</f>
        <v>298.26935901658965</v>
      </c>
      <c r="J8811" s="297">
        <f t="shared" ref="J8811:J8833" si="1383">AVERAGE(C8811,C8787,C8763,C8739,C8715,C8691,C8667)</f>
        <v>642</v>
      </c>
      <c r="K8811" s="297">
        <f>J8811/POBLA!$B$2*100000</f>
        <v>20.873663614083025</v>
      </c>
      <c r="L8811" s="549">
        <f t="shared" si="1381"/>
        <v>0.11778563015312127</v>
      </c>
      <c r="M8811" s="401">
        <f>SUM(C8811,C8787,C8763,C8739,C8715,C8691,C8667)/POBLA!$B$2*100000</f>
        <v>146.11564529858117</v>
      </c>
    </row>
    <row r="8812" spans="1:13" s="360" customFormat="1" x14ac:dyDescent="0.25">
      <c r="A8812" s="367" t="s">
        <v>28</v>
      </c>
      <c r="B8812" s="267">
        <v>44260</v>
      </c>
      <c r="C8812" s="1">
        <v>117</v>
      </c>
      <c r="D8812" s="39">
        <f t="shared" si="1379"/>
        <v>8360</v>
      </c>
      <c r="E8812" s="1"/>
      <c r="F8812" s="39">
        <f t="shared" si="1378"/>
        <v>17</v>
      </c>
      <c r="G8812" s="168">
        <f>SUM(C8812,C8788,C8764,C8740,C8716,C8692,C8668,C8644,C8620,C8596,C8572,C8548,C8524,C8500)/POBLA!$B$3*100000</f>
        <v>296.31377004510904</v>
      </c>
      <c r="H8812" s="256">
        <f t="shared" si="1380"/>
        <v>1.1419294990723563</v>
      </c>
      <c r="I8812" s="297">
        <f t="shared" si="1382"/>
        <v>338.36943499585271</v>
      </c>
      <c r="J8812" s="297">
        <f t="shared" si="1383"/>
        <v>91.142857142857139</v>
      </c>
      <c r="K8812" s="297">
        <f>J8812/POBLA!$B$3*100000</f>
        <v>21.938979376671643</v>
      </c>
      <c r="L8812" s="549">
        <f t="shared" si="1381"/>
        <v>-7.5885328836424959E-2</v>
      </c>
      <c r="M8812" s="401">
        <f>SUM(C8812,C8788,C8764,C8740,C8716,C8692,C8668)/POBLA!$B$3*100000</f>
        <v>153.57285563670152</v>
      </c>
    </row>
    <row r="8813" spans="1:13" s="360" customFormat="1" x14ac:dyDescent="0.25">
      <c r="A8813" s="367" t="s">
        <v>15</v>
      </c>
      <c r="B8813" s="267">
        <v>44260</v>
      </c>
      <c r="C8813" s="1">
        <v>172</v>
      </c>
      <c r="D8813" s="39">
        <f t="shared" si="1379"/>
        <v>34857</v>
      </c>
      <c r="E8813" s="1">
        <v>1</v>
      </c>
      <c r="F8813" s="39">
        <f t="shared" si="1378"/>
        <v>872</v>
      </c>
      <c r="G8813" s="168">
        <f>SUM(C8813,C8789,C8765,C8741,C8717,C8693,C8669,C8645,C8621,C8597,C8573,C8549,C8525,C8501)/POBLA!$B$4*100000</f>
        <v>158.40058578329837</v>
      </c>
      <c r="H8813" s="256">
        <f t="shared" si="1380"/>
        <v>1.2454308093994777</v>
      </c>
      <c r="I8813" s="297">
        <f t="shared" si="1382"/>
        <v>197.27696976144469</v>
      </c>
      <c r="J8813" s="297">
        <f t="shared" si="1383"/>
        <v>129</v>
      </c>
      <c r="K8813" s="297">
        <f>J8813/POBLA!$B$4*100000</f>
        <v>10.709473567109795</v>
      </c>
      <c r="L8813" s="549">
        <f t="shared" si="1381"/>
        <v>0.10149253731343288</v>
      </c>
      <c r="M8813" s="401">
        <f>SUM(C8813,C8789,C8765,C8741,C8717,C8693,C8669)/POBLA!$B$4*100000</f>
        <v>74.966314969768575</v>
      </c>
    </row>
    <row r="8814" spans="1:13" s="360" customFormat="1" x14ac:dyDescent="0.25">
      <c r="A8814" s="367" t="s">
        <v>29</v>
      </c>
      <c r="B8814" s="267">
        <v>44260</v>
      </c>
      <c r="C8814" s="1">
        <v>108</v>
      </c>
      <c r="D8814" s="39">
        <f t="shared" si="1379"/>
        <v>47461</v>
      </c>
      <c r="E8814" s="1"/>
      <c r="F8814" s="39">
        <f t="shared" si="1378"/>
        <v>777</v>
      </c>
      <c r="G8814" s="168">
        <f>SUM(C8814,C8790,C8766,C8742,C8718,C8694,C8670,C8646,C8622,C8598,C8574,C8550,C8526,C8502)/POBLA!$B$5*100000</f>
        <v>236.1896884299363</v>
      </c>
      <c r="H8814" s="256">
        <f t="shared" si="1380"/>
        <v>0.63454861111111116</v>
      </c>
      <c r="I8814" s="297">
        <f t="shared" si="1382"/>
        <v>149.87383875198216</v>
      </c>
      <c r="J8814" s="297">
        <f t="shared" si="1383"/>
        <v>93.714285714285708</v>
      </c>
      <c r="K8814" s="297">
        <f>J8814/POBLA!$B$5*100000</f>
        <v>15.139772875712158</v>
      </c>
      <c r="L8814" s="549">
        <f t="shared" si="1381"/>
        <v>0.18610421836228286</v>
      </c>
      <c r="M8814" s="401">
        <f>SUM(C8814,C8790,C8766,C8742,C8718,C8694,C8670)/POBLA!$B$5*100000</f>
        <v>105.97841012998511</v>
      </c>
    </row>
    <row r="8815" spans="1:13" s="360" customFormat="1" x14ac:dyDescent="0.25">
      <c r="A8815" s="367" t="s">
        <v>30</v>
      </c>
      <c r="B8815" s="267">
        <v>44260</v>
      </c>
      <c r="C8815" s="1">
        <v>155</v>
      </c>
      <c r="D8815" s="39">
        <f t="shared" si="1379"/>
        <v>22864</v>
      </c>
      <c r="E8815" s="1"/>
      <c r="F8815" s="39">
        <f t="shared" si="1378"/>
        <v>300</v>
      </c>
      <c r="G8815" s="168">
        <f>SUM(C8815,C8791,C8767,C8743,C8719,C8695,C8671,C8647,C8623,C8599,C8575,C8551,C8527,C8503)/POBLA!$B$6*100000</f>
        <v>194.0576427037449</v>
      </c>
      <c r="H8815" s="256">
        <f t="shared" si="1380"/>
        <v>0.95941773268636965</v>
      </c>
      <c r="I8815" s="297">
        <f t="shared" si="1382"/>
        <v>186.18234357328856</v>
      </c>
      <c r="J8815" s="297">
        <f t="shared" si="1383"/>
        <v>176.85714285714286</v>
      </c>
      <c r="K8815" s="297">
        <f>J8815/POBLA!$B$6*100000</f>
        <v>15.779531143989242</v>
      </c>
      <c r="L8815" s="549">
        <f t="shared" si="1381"/>
        <v>-0.32123799359658478</v>
      </c>
      <c r="M8815" s="401">
        <f>SUM(C8815,C8791,C8767,C8743,C8719,C8695,C8671)/POBLA!$B$6*100000</f>
        <v>110.45671800792469</v>
      </c>
    </row>
    <row r="8816" spans="1:13" s="360" customFormat="1" x14ac:dyDescent="0.25">
      <c r="A8816" s="367" t="s">
        <v>20</v>
      </c>
      <c r="B8816" s="267">
        <v>44260</v>
      </c>
      <c r="C8816" s="1">
        <v>728</v>
      </c>
      <c r="D8816" s="39">
        <f t="shared" si="1379"/>
        <v>163172</v>
      </c>
      <c r="E8816" s="1">
        <v>10</v>
      </c>
      <c r="F8816" s="39">
        <f t="shared" si="1378"/>
        <v>2874</v>
      </c>
      <c r="G8816" s="168">
        <f>SUM(C8816,C8792,C8768,C8744,C8720,C8696,C8672,C8648,C8624,C8600,C8576,C8552,C8528,C8504)/POBLA!$B$7*100000</f>
        <v>228.376922974644</v>
      </c>
      <c r="H8816" s="256">
        <f t="shared" si="1380"/>
        <v>1.2284365612930912</v>
      </c>
      <c r="I8816" s="297">
        <f t="shared" si="1382"/>
        <v>280.54656193766886</v>
      </c>
      <c r="J8816" s="297">
        <f t="shared" si="1383"/>
        <v>594.42857142857144</v>
      </c>
      <c r="K8816" s="297">
        <f>J8816/POBLA!$B$7*100000</f>
        <v>15.807378676184271</v>
      </c>
      <c r="L8816" s="549">
        <f t="shared" si="1381"/>
        <v>6.0085836909871237E-2</v>
      </c>
      <c r="M8816" s="401">
        <f>SUM(C8816,C8792,C8768,C8744,C8720,C8696,C8672)/POBLA!$B$7*100000</f>
        <v>110.65165073328991</v>
      </c>
    </row>
    <row r="8817" spans="1:13" x14ac:dyDescent="0.25">
      <c r="A8817" s="367" t="s">
        <v>31</v>
      </c>
      <c r="B8817" s="267">
        <v>44260</v>
      </c>
      <c r="C8817" s="1">
        <v>120</v>
      </c>
      <c r="D8817" s="39">
        <f t="shared" si="1379"/>
        <v>45836</v>
      </c>
      <c r="F8817" s="39">
        <f t="shared" ref="F8817:F8840" si="1384">E8817+F8793</f>
        <v>870</v>
      </c>
      <c r="G8817" s="168">
        <f>SUM(C8817,C8793,C8769,C8745,C8721,C8697,C8673,C8649,C8625,C8601,C8577,C8553,C8529,C8505)/POBLA!$B$8*100000</f>
        <v>124.17376823734578</v>
      </c>
      <c r="H8817" s="256">
        <f t="shared" si="1380"/>
        <v>0.89356178608515058</v>
      </c>
      <c r="I8817" s="297">
        <f t="shared" si="1382"/>
        <v>110.95693413108624</v>
      </c>
      <c r="J8817" s="297">
        <f t="shared" si="1383"/>
        <v>119</v>
      </c>
      <c r="K8817" s="297">
        <f>J8817/POBLA!$B$8*100000</f>
        <v>8.586100186080273</v>
      </c>
      <c r="L8817" s="549">
        <f t="shared" si="1381"/>
        <v>6.1936936936936915E-2</v>
      </c>
      <c r="M8817" s="401">
        <f>SUM(C8817,C8793,C8769,C8745,C8721,C8697,C8673)/POBLA!$B$8*100000</f>
        <v>60.102701302561904</v>
      </c>
    </row>
    <row r="8818" spans="1:13" s="360" customFormat="1" x14ac:dyDescent="0.25">
      <c r="A8818" s="367" t="s">
        <v>41</v>
      </c>
      <c r="B8818" s="267">
        <v>44260</v>
      </c>
      <c r="C8818" s="1">
        <v>28</v>
      </c>
      <c r="D8818" s="39">
        <f t="shared" si="1379"/>
        <v>1337</v>
      </c>
      <c r="E8818" s="1"/>
      <c r="F8818" s="39">
        <f t="shared" si="1384"/>
        <v>20</v>
      </c>
      <c r="G8818" s="168">
        <f>SUM(C8818,C8794,C8770,C8746,C8722,C8698,C8674,C8650,C8626,C8602,C8578,C8554,C8530,C8506)/POBLA!$B$9*100000</f>
        <v>46.266232425028051</v>
      </c>
      <c r="H8818" s="256">
        <f t="shared" si="1380"/>
        <v>1.4736842105263157</v>
      </c>
      <c r="I8818" s="297">
        <f t="shared" si="1382"/>
        <v>68.181816205304486</v>
      </c>
      <c r="J8818" s="297">
        <f t="shared" si="1383"/>
        <v>18.428571428571427</v>
      </c>
      <c r="K8818" s="297">
        <f>J8818/POBLA!$B$9*100000</f>
        <v>3.0450734606268459</v>
      </c>
      <c r="L8818" s="549">
        <f t="shared" si="1381"/>
        <v>0.14569536423841056</v>
      </c>
      <c r="M8818" s="401">
        <f>SUM(C8818,C8794,C8770,C8746,C8722,C8698,C8674)/POBLA!$B$9*100000</f>
        <v>21.315514224387922</v>
      </c>
    </row>
    <row r="8819" spans="1:13" s="360" customFormat="1" x14ac:dyDescent="0.25">
      <c r="A8819" s="367" t="s">
        <v>32</v>
      </c>
      <c r="B8819" s="267">
        <v>44260</v>
      </c>
      <c r="C8819" s="1">
        <v>80</v>
      </c>
      <c r="D8819" s="39">
        <f t="shared" si="1379"/>
        <v>21149</v>
      </c>
      <c r="E8819" s="1">
        <v>1</v>
      </c>
      <c r="F8819" s="39">
        <f t="shared" si="1384"/>
        <v>912</v>
      </c>
      <c r="G8819" s="168">
        <f>SUM(C8819,C8795,C8771,C8747,C8723,C8699,C8675,C8651,C8627,C8603,C8579,C8555,C8531,C8507)/POBLA!$B$10*100000</f>
        <v>152.42300692324756</v>
      </c>
      <c r="H8819" s="256">
        <f t="shared" si="1380"/>
        <v>2.3594377510040161</v>
      </c>
      <c r="I8819" s="297">
        <f t="shared" si="1382"/>
        <v>359.63259665625679</v>
      </c>
      <c r="J8819" s="297">
        <f t="shared" si="1383"/>
        <v>82.142857142857139</v>
      </c>
      <c r="K8819" s="297">
        <f>J8819/POBLA!$B$10*100000</f>
        <v>10.655711730196638</v>
      </c>
      <c r="L8819" s="549">
        <f t="shared" si="1381"/>
        <v>4.166666666666663E-2</v>
      </c>
      <c r="M8819" s="401">
        <f>SUM(C8819,C8795,C8771,C8747,C8723,C8699,C8675)/POBLA!$B$10*100000</f>
        <v>74.589982111376457</v>
      </c>
    </row>
    <row r="8820" spans="1:13" s="360" customFormat="1" x14ac:dyDescent="0.25">
      <c r="A8820" s="367" t="s">
        <v>33</v>
      </c>
      <c r="B8820" s="267">
        <v>44260</v>
      </c>
      <c r="C8820" s="1">
        <v>110</v>
      </c>
      <c r="D8820" s="39">
        <f t="shared" si="1379"/>
        <v>19164</v>
      </c>
      <c r="E8820" s="1"/>
      <c r="F8820" s="39">
        <f t="shared" si="1384"/>
        <v>289</v>
      </c>
      <c r="G8820" s="168">
        <f>SUM(C8820,C8796,C8772,C8748,C8724,C8700,C8676,C8652,C8628,C8604,C8580,C8556,C8532,C8508)/POBLA!$B$11*100000</f>
        <v>321.68245784369526</v>
      </c>
      <c r="H8820" s="256">
        <f t="shared" si="1380"/>
        <v>1.1022944550669216</v>
      </c>
      <c r="I8820" s="297">
        <f t="shared" si="1382"/>
        <v>354.58878957340403</v>
      </c>
      <c r="J8820" s="297">
        <f t="shared" si="1383"/>
        <v>82</v>
      </c>
      <c r="K8820" s="297">
        <f>J8820/POBLA!$B$11*100000</f>
        <v>22.877676967201221</v>
      </c>
      <c r="L8820" s="549">
        <f t="shared" si="1381"/>
        <v>8.6355785837650689E-3</v>
      </c>
      <c r="M8820" s="401">
        <f>SUM(C8820,C8796,C8772,C8748,C8724,C8700,C8676)/POBLA!$B$11*100000</f>
        <v>160.14373877040856</v>
      </c>
    </row>
    <row r="8821" spans="1:13" s="360" customFormat="1" x14ac:dyDescent="0.25">
      <c r="A8821" s="367" t="s">
        <v>21</v>
      </c>
      <c r="B8821" s="267">
        <v>44260</v>
      </c>
      <c r="C8821" s="1">
        <v>23</v>
      </c>
      <c r="D8821" s="39">
        <f t="shared" si="1379"/>
        <v>10329</v>
      </c>
      <c r="E8821" s="1"/>
      <c r="F8821" s="39">
        <f t="shared" si="1384"/>
        <v>439</v>
      </c>
      <c r="G8821" s="168">
        <f>SUM(C8821,C8797,C8773,C8749,C8725,C8701,C8677,C8653,C8629,C8605,C8581,C8557,C8533,C8509)/POBLA!$B$12*100000</f>
        <v>89.192465142517364</v>
      </c>
      <c r="H8821" s="256">
        <f t="shared" si="1380"/>
        <v>0.9859550561797753</v>
      </c>
      <c r="I8821" s="297">
        <f t="shared" si="1382"/>
        <v>87.939761980403361</v>
      </c>
      <c r="J8821" s="297">
        <f t="shared" si="1383"/>
        <v>22.857142857142858</v>
      </c>
      <c r="K8821" s="297">
        <f>J8821/POBLA!$B$12*100000</f>
        <v>5.8082191382998696</v>
      </c>
      <c r="L8821" s="549">
        <f t="shared" si="1381"/>
        <v>0.16230366492146597</v>
      </c>
      <c r="M8821" s="401">
        <f>SUM(C8821,C8797,C8773,C8749,C8725,C8701,C8677)/POBLA!$B$12*100000</f>
        <v>40.657533968099081</v>
      </c>
    </row>
    <row r="8822" spans="1:13" s="360" customFormat="1" x14ac:dyDescent="0.25">
      <c r="A8822" s="367" t="s">
        <v>17</v>
      </c>
      <c r="B8822" s="267">
        <v>44260</v>
      </c>
      <c r="C8822" s="1">
        <v>161</v>
      </c>
      <c r="D8822" s="39">
        <f t="shared" si="1379"/>
        <v>68047</v>
      </c>
      <c r="E8822" s="1">
        <v>3</v>
      </c>
      <c r="F8822" s="39">
        <f t="shared" si="1384"/>
        <v>1459</v>
      </c>
      <c r="G8822" s="168">
        <f>SUM(C8822,C8798,C8774,C8750,C8726,C8702,C8678,C8654,C8630,C8606,C8582,C8558,C8534,C8510)/POBLA!$B$13*100000</f>
        <v>94.456318474550557</v>
      </c>
      <c r="H8822" s="256">
        <f t="shared" si="1380"/>
        <v>1.1764705882352942</v>
      </c>
      <c r="I8822" s="297">
        <f t="shared" si="1382"/>
        <v>111.12508055829477</v>
      </c>
      <c r="J8822" s="297">
        <f t="shared" si="1383"/>
        <v>140.42857142857142</v>
      </c>
      <c r="K8822" s="297">
        <f>J8822/POBLA!$B$13*100000</f>
        <v>7.055513758395378</v>
      </c>
      <c r="L8822" s="549">
        <f t="shared" si="1381"/>
        <v>-9.5875139353400307E-2</v>
      </c>
      <c r="M8822" s="401">
        <f>SUM(C8822,C8798,C8774,C8750,C8726,C8702,C8678)/POBLA!$B$13*100000</f>
        <v>49.388596308767653</v>
      </c>
    </row>
    <row r="8823" spans="1:13" s="360" customFormat="1" x14ac:dyDescent="0.25">
      <c r="A8823" s="367" t="s">
        <v>23</v>
      </c>
      <c r="B8823" s="267">
        <v>44260</v>
      </c>
      <c r="C8823" s="1">
        <v>110</v>
      </c>
      <c r="D8823" s="39">
        <f t="shared" si="1379"/>
        <v>8905</v>
      </c>
      <c r="E8823" s="1"/>
      <c r="F8823" s="39">
        <f t="shared" si="1384"/>
        <v>151</v>
      </c>
      <c r="G8823" s="168">
        <f>SUM(C8823,C8799,C8775,C8751,C8727,C8703,C8679,C8655,C8631,C8607,C8583,C8559,C8535,C8511)/POBLA!$B$14*100000</f>
        <v>130.02519634597485</v>
      </c>
      <c r="H8823" s="256">
        <f t="shared" si="1380"/>
        <v>1.0691003911342893</v>
      </c>
      <c r="I8823" s="297">
        <f t="shared" si="1382"/>
        <v>139.00998827079448</v>
      </c>
      <c r="J8823" s="297">
        <f t="shared" si="1383"/>
        <v>118.42857142857143</v>
      </c>
      <c r="K8823" s="297">
        <f>J8823/POBLA!$B$14*100000</f>
        <v>9.3894501542520175</v>
      </c>
      <c r="L8823" s="549">
        <f t="shared" si="1381"/>
        <v>-2.2194821208384674E-2</v>
      </c>
      <c r="M8823" s="401">
        <f>SUM(C8823,C8799,C8775,C8751,C8727,C8703,C8679)/POBLA!$B$14*100000</f>
        <v>65.726151079764122</v>
      </c>
    </row>
    <row r="8824" spans="1:13" s="360" customFormat="1" x14ac:dyDescent="0.25">
      <c r="A8824" s="367" t="s">
        <v>19</v>
      </c>
      <c r="B8824" s="267">
        <v>44260</v>
      </c>
      <c r="C8824" s="1">
        <v>182</v>
      </c>
      <c r="D8824" s="39">
        <f t="shared" si="1379"/>
        <v>62071</v>
      </c>
      <c r="E8824" s="1"/>
      <c r="F8824" s="39">
        <f t="shared" si="1384"/>
        <v>938</v>
      </c>
      <c r="G8824" s="168">
        <f>SUM(C8824,C8800,C8776,C8752,C8728,C8704,C8680,C8656,C8632,C8608,C8584,C8560,C8536,C8512)/POBLA!$B$15*100000</f>
        <v>356.44530514699795</v>
      </c>
      <c r="H8824" s="256">
        <f t="shared" si="1380"/>
        <v>0.67416690401594992</v>
      </c>
      <c r="I8824" s="297">
        <f t="shared" si="1382"/>
        <v>240.30362782197216</v>
      </c>
      <c r="J8824" s="297">
        <f t="shared" si="1383"/>
        <v>151</v>
      </c>
      <c r="K8824" s="297">
        <f>J8824/POBLA!$B$15*100000</f>
        <v>22.739011861933538</v>
      </c>
      <c r="L8824" s="549">
        <f t="shared" si="1381"/>
        <v>0.19312977099236639</v>
      </c>
      <c r="M8824" s="401">
        <f>SUM(C8824,C8800,C8776,C8752,C8728,C8704,C8680)/POBLA!$B$15*100000</f>
        <v>159.17308303353477</v>
      </c>
    </row>
    <row r="8825" spans="1:13" s="360" customFormat="1" x14ac:dyDescent="0.25">
      <c r="A8825" s="367" t="s">
        <v>18</v>
      </c>
      <c r="B8825" s="267">
        <v>44260</v>
      </c>
      <c r="C8825" s="1">
        <v>157</v>
      </c>
      <c r="D8825" s="39">
        <f t="shared" si="1379"/>
        <v>53031</v>
      </c>
      <c r="E8825" s="1">
        <v>3</v>
      </c>
      <c r="F8825" s="39">
        <f t="shared" si="1384"/>
        <v>1207</v>
      </c>
      <c r="G8825" s="168">
        <f>SUM(C8825,C8801,C8777,C8753,C8729,C8705,C8681,C8657,C8633,C8609,C8585,C8561,C8537,C8513)/POBLA!$B$16*100000</f>
        <v>230.73527641417317</v>
      </c>
      <c r="H8825" s="256">
        <f t="shared" si="1380"/>
        <v>0.81214689265536721</v>
      </c>
      <c r="I8825" s="297">
        <f t="shared" si="1382"/>
        <v>187.39093776574799</v>
      </c>
      <c r="J8825" s="297">
        <f t="shared" si="1383"/>
        <v>120.85714285714286</v>
      </c>
      <c r="K8825" s="297">
        <f>J8825/POBLA!$B$16*100000</f>
        <v>16.165800732620333</v>
      </c>
      <c r="L8825" s="549">
        <f t="shared" si="1381"/>
        <v>3.7542662116040959E-2</v>
      </c>
      <c r="M8825" s="401">
        <f>SUM(C8825,C8801,C8777,C8753,C8729,C8705,C8681)/POBLA!$B$16*100000</f>
        <v>113.16060512834231</v>
      </c>
    </row>
    <row r="8826" spans="1:13" s="360" customFormat="1" x14ac:dyDescent="0.25">
      <c r="A8826" s="367" t="s">
        <v>34</v>
      </c>
      <c r="B8826" s="267">
        <v>44260</v>
      </c>
      <c r="C8826" s="1">
        <v>173</v>
      </c>
      <c r="D8826" s="39">
        <f t="shared" si="1379"/>
        <v>26782</v>
      </c>
      <c r="E8826" s="1">
        <v>2</v>
      </c>
      <c r="F8826" s="39">
        <f t="shared" si="1384"/>
        <v>1112</v>
      </c>
      <c r="G8826" s="168">
        <f>SUM(C8826,C8802,C8778,C8754,C8730,C8706,C8682,C8658,C8634,C8610,C8586,C8562,C8538,C8514)/POBLA!$B$17*100000</f>
        <v>112.74946521229687</v>
      </c>
      <c r="H8826" s="256">
        <f t="shared" si="1380"/>
        <v>1.576054955839058</v>
      </c>
      <c r="I8826" s="297">
        <f t="shared" si="1382"/>
        <v>177.69935341604395</v>
      </c>
      <c r="J8826" s="297">
        <f t="shared" si="1383"/>
        <v>119.28571428571429</v>
      </c>
      <c r="K8826" s="297">
        <f>J8826/POBLA!$B$17*100000</f>
        <v>8.3744710418313364</v>
      </c>
      <c r="L8826" s="549">
        <f t="shared" si="1381"/>
        <v>-8.3009079118028462E-2</v>
      </c>
      <c r="M8826" s="401">
        <f>SUM(C8826,C8802,C8778,C8754,C8730,C8706,C8682)/POBLA!$B$17*100000</f>
        <v>58.621297292819342</v>
      </c>
    </row>
    <row r="8827" spans="1:13" s="360" customFormat="1" x14ac:dyDescent="0.25">
      <c r="A8827" s="367" t="s">
        <v>35</v>
      </c>
      <c r="B8827" s="267">
        <v>44260</v>
      </c>
      <c r="C8827" s="1">
        <v>62</v>
      </c>
      <c r="D8827" s="39">
        <f t="shared" si="1379"/>
        <v>15519</v>
      </c>
      <c r="E8827" s="1"/>
      <c r="F8827" s="39">
        <f t="shared" si="1384"/>
        <v>214</v>
      </c>
      <c r="G8827" s="168">
        <f>SUM(C8827,C8803,C8779,C8755,C8731,C8707,C8683,C8659,C8635,C8611,C8587,C8563,C8539,C8515)/POBLA!$B$18*100000</f>
        <v>80.515400970537002</v>
      </c>
      <c r="H8827" s="256">
        <f t="shared" si="1380"/>
        <v>1.0112540192926045</v>
      </c>
      <c r="I8827" s="297">
        <f t="shared" si="1382"/>
        <v>81.421522846411207</v>
      </c>
      <c r="J8827" s="297">
        <f t="shared" si="1383"/>
        <v>41.714285714285715</v>
      </c>
      <c r="K8827" s="297">
        <f>J8827/POBLA!$B$18*100000</f>
        <v>5.339654118418534</v>
      </c>
      <c r="L8827" s="549">
        <f t="shared" si="1381"/>
        <v>0.13353115727002962</v>
      </c>
      <c r="M8827" s="401">
        <f>SUM(C8827,C8803,C8779,C8755,C8731,C8707,C8683)/POBLA!$B$18*100000</f>
        <v>37.377578828929735</v>
      </c>
    </row>
    <row r="8828" spans="1:13" s="360" customFormat="1" x14ac:dyDescent="0.25">
      <c r="A8828" s="367" t="s">
        <v>36</v>
      </c>
      <c r="B8828" s="267">
        <v>44260</v>
      </c>
      <c r="C8828" s="1">
        <v>5</v>
      </c>
      <c r="D8828" s="39">
        <f t="shared" si="1379"/>
        <v>20801</v>
      </c>
      <c r="E8828" s="1"/>
      <c r="F8828" s="39">
        <f t="shared" si="1384"/>
        <v>358</v>
      </c>
      <c r="G8828" s="168">
        <f>SUM(C8828,C8804,C8780,C8756,C8732,C8708,C8684,C8660,C8636,C8612,C8588,C8564,C8540,C8516)/POBLA!$B$19*100000</f>
        <v>107.80440975118428</v>
      </c>
      <c r="H8828" s="256">
        <f t="shared" si="1380"/>
        <v>0.47610773240660298</v>
      </c>
      <c r="I8828" s="297">
        <f t="shared" si="1382"/>
        <v>51.326513070068629</v>
      </c>
      <c r="J8828" s="297">
        <f t="shared" si="1383"/>
        <v>6.4285714285714288</v>
      </c>
      <c r="K8828" s="297">
        <f>J8828/POBLA!$B$19*100000</f>
        <v>1.2646502708037781</v>
      </c>
      <c r="L8828" s="549">
        <f t="shared" si="1381"/>
        <v>0.91053677932405563</v>
      </c>
      <c r="M8828" s="401">
        <f>SUM(C8828,C8804,C8780,C8756,C8732,C8708,C8684)/POBLA!$B$19*100000</f>
        <v>8.852551895626446</v>
      </c>
    </row>
    <row r="8829" spans="1:13" s="360" customFormat="1" x14ac:dyDescent="0.25">
      <c r="A8829" s="367" t="s">
        <v>37</v>
      </c>
      <c r="B8829" s="267">
        <v>44260</v>
      </c>
      <c r="C8829" s="1">
        <v>150</v>
      </c>
      <c r="D8829" s="39">
        <f t="shared" si="1379"/>
        <v>36581</v>
      </c>
      <c r="E8829" s="1"/>
      <c r="F8829" s="39">
        <f t="shared" si="1384"/>
        <v>596</v>
      </c>
      <c r="G8829" s="168">
        <f>SUM(C8829,C8805,C8781,C8757,C8733,C8709,C8685,C8661,C8637,C8613,C8589,C8565,C8541,C8517)/POBLA!$B$20*100000</f>
        <v>431.77704007131564</v>
      </c>
      <c r="H8829" s="256">
        <f t="shared" si="1380"/>
        <v>1.145032632342277</v>
      </c>
      <c r="I8829" s="297">
        <f t="shared" si="1382"/>
        <v>494.39880077781538</v>
      </c>
      <c r="J8829" s="297">
        <f t="shared" si="1383"/>
        <v>107.71428571428571</v>
      </c>
      <c r="K8829" s="297">
        <f>J8829/POBLA!$B$20*100000</f>
        <v>29.454436642881753</v>
      </c>
      <c r="L8829" s="549">
        <f t="shared" si="1381"/>
        <v>8.606060606060606E-2</v>
      </c>
      <c r="M8829" s="401">
        <f>SUM(C8829,C8805,C8781,C8757,C8733,C8709,C8685)/POBLA!$B$20*100000</f>
        <v>206.18105650017228</v>
      </c>
    </row>
    <row r="8830" spans="1:13" s="360" customFormat="1" x14ac:dyDescent="0.25">
      <c r="A8830" s="367" t="s">
        <v>22</v>
      </c>
      <c r="B8830" s="267">
        <v>44260</v>
      </c>
      <c r="C8830" s="1">
        <v>527</v>
      </c>
      <c r="D8830" s="39">
        <f t="shared" si="1379"/>
        <v>218697</v>
      </c>
      <c r="E8830" s="1">
        <v>20</v>
      </c>
      <c r="F8830" s="39">
        <f t="shared" si="1384"/>
        <v>4049</v>
      </c>
      <c r="G8830" s="168">
        <f>SUM(C8830,C8806,C8782,C8758,C8734,C8710,C8686,C8662,C8638,C8614,C8590,C8566,C8542,C8518)/POBLA!$B$21*100000</f>
        <v>147.63526257359848</v>
      </c>
      <c r="H8830" s="256">
        <f t="shared" si="1380"/>
        <v>1.0745009261164848</v>
      </c>
      <c r="I8830" s="297">
        <f t="shared" si="1382"/>
        <v>158.63422636278199</v>
      </c>
      <c r="J8830" s="297">
        <f t="shared" si="1383"/>
        <v>390.57142857142856</v>
      </c>
      <c r="K8830" s="297">
        <f>J8830/POBLA!$B$21*100000</f>
        <v>11.044266502755855</v>
      </c>
      <c r="L8830" s="549">
        <f t="shared" si="1381"/>
        <v>-9.9316445516686835E-2</v>
      </c>
      <c r="M8830" s="401">
        <f>SUM(C8830,C8806,C8782,C8758,C8734,C8710,C8686)/POBLA!$B$21*100000</f>
        <v>77.30986551929098</v>
      </c>
    </row>
    <row r="8831" spans="1:13" s="360" customFormat="1" x14ac:dyDescent="0.25">
      <c r="A8831" s="367" t="s">
        <v>38</v>
      </c>
      <c r="B8831" s="267">
        <v>44260</v>
      </c>
      <c r="C8831" s="1">
        <v>91</v>
      </c>
      <c r="D8831" s="39">
        <f t="shared" si="1379"/>
        <v>22958</v>
      </c>
      <c r="E8831" s="1">
        <v>2</v>
      </c>
      <c r="F8831" s="39">
        <f t="shared" si="1384"/>
        <v>271</v>
      </c>
      <c r="G8831" s="168">
        <f>SUM(C8831,C8807,C8783,C8759,C8735,C8711,C8687,C8663,C8639,C8615,C8591,C8567,C8543,C8519)/POBLA!$B$22*100000</f>
        <v>89.133027977753542</v>
      </c>
      <c r="H8831" s="256">
        <f t="shared" si="1380"/>
        <v>1.080545229244114</v>
      </c>
      <c r="I8831" s="297">
        <f t="shared" si="1382"/>
        <v>96.312268149443724</v>
      </c>
      <c r="J8831" s="297">
        <f t="shared" si="1383"/>
        <v>67.571428571428569</v>
      </c>
      <c r="K8831" s="297">
        <f>J8831/POBLA!$B$22*100000</f>
        <v>6.906933524488438</v>
      </c>
      <c r="L8831" s="549">
        <f t="shared" si="1381"/>
        <v>-0.18546365914786977</v>
      </c>
      <c r="M8831" s="401">
        <f>SUM(C8831,C8807,C8783,C8759,C8735,C8711,C8687)/POBLA!$B$22*100000</f>
        <v>48.348534671419067</v>
      </c>
    </row>
    <row r="8832" spans="1:13" s="360" customFormat="1" x14ac:dyDescent="0.25">
      <c r="A8832" s="367" t="s">
        <v>39</v>
      </c>
      <c r="B8832" s="267">
        <v>44260</v>
      </c>
      <c r="C8832" s="1">
        <v>48</v>
      </c>
      <c r="D8832" s="39">
        <f t="shared" si="1379"/>
        <v>23129</v>
      </c>
      <c r="E8832" s="1"/>
      <c r="F8832" s="39">
        <f t="shared" si="1384"/>
        <v>356</v>
      </c>
      <c r="G8832" s="168">
        <f>SUM(C8832,C8808,C8784,C8760,C8736,C8712,C8688,C8664,C8640,C8616,C8592,C8568,C8544,C8520)/POBLA!$B$23*100000</f>
        <v>280.49539105355427</v>
      </c>
      <c r="H8832" s="256">
        <f t="shared" si="1380"/>
        <v>0.84353741496598644</v>
      </c>
      <c r="I8832" s="297">
        <f t="shared" si="1382"/>
        <v>236.60835707918866</v>
      </c>
      <c r="J8832" s="297">
        <f t="shared" si="1383"/>
        <v>33.571428571428569</v>
      </c>
      <c r="K8832" s="297">
        <f>J8832/POBLA!$B$23*100000</f>
        <v>18.985143115663956</v>
      </c>
      <c r="L8832" s="549">
        <f t="shared" si="1381"/>
        <v>9.9616858237547845E-2</v>
      </c>
      <c r="M8832" s="401">
        <f>SUM(C8832,C8808,C8784,C8760,C8736,C8712,C8688)/POBLA!$B$23*100000</f>
        <v>132.89600180964769</v>
      </c>
    </row>
    <row r="8833" spans="1:13" s="360" customFormat="1" ht="15.75" thickBot="1" x14ac:dyDescent="0.3">
      <c r="A8833" s="369" t="s">
        <v>40</v>
      </c>
      <c r="B8833" s="267">
        <v>44260</v>
      </c>
      <c r="C8833" s="1">
        <v>227</v>
      </c>
      <c r="D8833" s="176">
        <f t="shared" si="1379"/>
        <v>80681</v>
      </c>
      <c r="E8833" s="1">
        <v>5</v>
      </c>
      <c r="F8833" s="176">
        <f t="shared" si="1384"/>
        <v>1483</v>
      </c>
      <c r="G8833" s="177">
        <f>SUM(C8833,C8809,C8785,C8761,C8737,C8713,C8689,C8665,C8641,C8617,C8593,C8569,C8545,C8521)/POBLA!$B$24*100000</f>
        <v>122.73877412288982</v>
      </c>
      <c r="H8833" s="402">
        <f t="shared" si="1380"/>
        <v>1.435472739820566</v>
      </c>
      <c r="I8833" s="403">
        <f t="shared" si="1382"/>
        <v>176.18816437240224</v>
      </c>
      <c r="J8833" s="403">
        <f t="shared" si="1383"/>
        <v>148.71428571428572</v>
      </c>
      <c r="K8833" s="403">
        <f>J8833/POBLA!$B$24*100000</f>
        <v>8.7754851553522215</v>
      </c>
      <c r="L8833" s="550">
        <f t="shared" si="1381"/>
        <v>-1.9249278152069227E-3</v>
      </c>
      <c r="M8833" s="405">
        <f>SUM(C8833,C8809,C8785,C8761,C8737,C8713,C8689)/POBLA!$B$24*100000</f>
        <v>61.428396087465543</v>
      </c>
    </row>
    <row r="8834" spans="1:13" s="360" customFormat="1" x14ac:dyDescent="0.25">
      <c r="A8834" s="363" t="s">
        <v>16</v>
      </c>
      <c r="B8834" s="267">
        <v>44261</v>
      </c>
      <c r="C8834" s="17">
        <v>2215</v>
      </c>
      <c r="D8834" s="174">
        <f t="shared" si="1379"/>
        <v>896972</v>
      </c>
      <c r="E8834" s="1">
        <v>65</v>
      </c>
      <c r="F8834" s="174">
        <f t="shared" si="1384"/>
        <v>26708</v>
      </c>
      <c r="G8834" s="175">
        <f>SUM(C8834,C8810,C8786,C8762,C8738,C8714,C8690,C8666,C8642,C8618,C8594,C8570,C8546,C8522)/POBLA!$B$1*100000</f>
        <v>208.66943604181736</v>
      </c>
      <c r="H8834" s="300">
        <f t="shared" ref="H8834:H8857" si="1385">SUM(C8834,C8810,C8786,C8762,C8738,C8714,C8690,C8666,C8642,C8618,C8594,C8570,C8546,C8522)/SUM(C8498,C8474,C8450,C8426,C8402,C8378,C8354,C8330,C8306,C8282,C8258,C8234,C8210,C8186)</f>
        <v>1.0343921324817724</v>
      </c>
      <c r="I8834" s="301">
        <f>G8834*H8834</f>
        <v>215.84602293106428</v>
      </c>
      <c r="J8834" s="301">
        <f>AVERAGE(C8834,C8810,C8786,C8762,C8738,C8714,C8690)</f>
        <v>2635.2857142857142</v>
      </c>
      <c r="K8834" s="301">
        <f>J8834/POBLA!$B$1*100000</f>
        <v>15.023456651341633</v>
      </c>
      <c r="L8834" s="548">
        <f t="shared" ref="L8834:L8857" si="1386">1-SUM(C8834,C8810,C8786,C8762,C8738,C8714,C8690)/SUM(C8666,C8642,C8618,C8594,C8570,C8546,C8522)</f>
        <v>-1.6027759418374199E-2</v>
      </c>
      <c r="M8834" s="400">
        <f>SUM(C8834,C8810,C8786,C8762,C8738,C8714,C8690)/POBLA!$B$1*100000</f>
        <v>105.16419655939144</v>
      </c>
    </row>
    <row r="8835" spans="1:13" s="360" customFormat="1" x14ac:dyDescent="0.25">
      <c r="A8835" s="367" t="s">
        <v>43</v>
      </c>
      <c r="B8835" s="267">
        <v>44261</v>
      </c>
      <c r="C8835" s="17">
        <v>651</v>
      </c>
      <c r="D8835" s="39">
        <f t="shared" si="1379"/>
        <v>236017</v>
      </c>
      <c r="E8835" s="1">
        <v>3</v>
      </c>
      <c r="F8835" s="39">
        <f t="shared" si="1384"/>
        <v>6583</v>
      </c>
      <c r="G8835" s="168">
        <f>SUM(C8835,C8811,C8787,C8763,C8739,C8715,C8691,C8667,C8643,C8619,C8595,C8571,C8547,C8523)/POBLA!$B$2*100000</f>
        <v>313.52762964268322</v>
      </c>
      <c r="H8835" s="256">
        <f t="shared" si="1385"/>
        <v>0.97561715904492108</v>
      </c>
      <c r="I8835" s="297">
        <f t="shared" ref="I8835:I8857" si="1387">G8835*H8835</f>
        <v>305.88293531408277</v>
      </c>
      <c r="J8835" s="297">
        <f t="shared" ref="J8835:J8857" si="1388">AVERAGE(C8835,C8811,C8787,C8763,C8739,C8715,C8691)</f>
        <v>651.71428571428567</v>
      </c>
      <c r="K8835" s="297">
        <f>J8835/POBLA!$B$2*100000</f>
        <v>21.189508991421174</v>
      </c>
      <c r="L8835" s="549">
        <f t="shared" si="1386"/>
        <v>0.10214524699862226</v>
      </c>
      <c r="M8835" s="401">
        <f>SUM(C8835,C8811,C8787,C8763,C8739,C8715,C8691)/POBLA!$B$2*100000</f>
        <v>148.32656293994822</v>
      </c>
    </row>
    <row r="8836" spans="1:13" s="360" customFormat="1" x14ac:dyDescent="0.25">
      <c r="A8836" s="367" t="s">
        <v>28</v>
      </c>
      <c r="B8836" s="267">
        <v>44261</v>
      </c>
      <c r="C8836" s="17">
        <v>46</v>
      </c>
      <c r="D8836" s="39">
        <f t="shared" si="1379"/>
        <v>8406</v>
      </c>
      <c r="E8836" s="1"/>
      <c r="F8836" s="39">
        <f t="shared" si="1384"/>
        <v>17</v>
      </c>
      <c r="G8836" s="168">
        <f>SUM(C8836,C8812,C8788,C8764,C8740,C8716,C8692,C8668,C8644,C8620,C8596,C8572,C8548,C8524)/POBLA!$B$3*100000</f>
        <v>294.86951121466979</v>
      </c>
      <c r="H8836" s="256">
        <f t="shared" si="1385"/>
        <v>1.1633428300094968</v>
      </c>
      <c r="I8836" s="297">
        <f t="shared" si="1387"/>
        <v>343.03433165999098</v>
      </c>
      <c r="J8836" s="297">
        <f t="shared" si="1388"/>
        <v>80.857142857142861</v>
      </c>
      <c r="K8836" s="297">
        <f>J8836/POBLA!$B$3*100000</f>
        <v>19.463107095918733</v>
      </c>
      <c r="L8836" s="549">
        <f t="shared" si="1386"/>
        <v>0.14112291350531103</v>
      </c>
      <c r="M8836" s="401">
        <f>SUM(C8836,C8812,C8788,C8764,C8740,C8716,C8692)/POBLA!$B$3*100000</f>
        <v>136.24174967143111</v>
      </c>
    </row>
    <row r="8837" spans="1:13" s="360" customFormat="1" x14ac:dyDescent="0.25">
      <c r="A8837" s="367" t="s">
        <v>15</v>
      </c>
      <c r="B8837" s="267">
        <v>44261</v>
      </c>
      <c r="C8837" s="17">
        <v>122</v>
      </c>
      <c r="D8837" s="39">
        <f t="shared" si="1379"/>
        <v>34979</v>
      </c>
      <c r="E8837" s="1">
        <v>1</v>
      </c>
      <c r="F8837" s="39">
        <f t="shared" si="1384"/>
        <v>873</v>
      </c>
      <c r="G8837" s="168">
        <f>SUM(C8837,C8813,C8789,C8765,C8741,C8717,C8693,C8669,C8645,C8621,C8597,C8573,C8549,C8525)/POBLA!$B$4*100000</f>
        <v>153.91755033660127</v>
      </c>
      <c r="H8837" s="256">
        <f t="shared" si="1385"/>
        <v>1.1854219948849105</v>
      </c>
      <c r="I8837" s="297">
        <f t="shared" si="1387"/>
        <v>182.45724956781251</v>
      </c>
      <c r="J8837" s="297">
        <f t="shared" si="1388"/>
        <v>131.42857142857142</v>
      </c>
      <c r="K8837" s="297">
        <f>J8837/POBLA!$B$4*100000</f>
        <v>10.911091563389824</v>
      </c>
      <c r="L8837" s="549">
        <f t="shared" si="1386"/>
        <v>1.498929336188437E-2</v>
      </c>
      <c r="M8837" s="401">
        <f>SUM(C8837,C8813,C8789,C8765,C8741,C8717,C8693)/POBLA!$B$4*100000</f>
        <v>76.377640943728778</v>
      </c>
    </row>
    <row r="8838" spans="1:13" s="360" customFormat="1" x14ac:dyDescent="0.25">
      <c r="A8838" s="367" t="s">
        <v>29</v>
      </c>
      <c r="B8838" s="267">
        <v>44261</v>
      </c>
      <c r="C8838" s="17">
        <v>41</v>
      </c>
      <c r="D8838" s="39">
        <f t="shared" si="1379"/>
        <v>47502</v>
      </c>
      <c r="E8838" s="1"/>
      <c r="F8838" s="39">
        <f t="shared" si="1384"/>
        <v>777</v>
      </c>
      <c r="G8838" s="168">
        <f>SUM(C8838,C8814,C8790,C8766,C8742,C8718,C8694,C8670,C8646,C8622,C8598,C8574,C8550,C8526)/POBLA!$B$5*100000</f>
        <v>233.76640161293969</v>
      </c>
      <c r="H8838" s="256">
        <f t="shared" si="1385"/>
        <v>0.65623582766439914</v>
      </c>
      <c r="I8838" s="297">
        <f t="shared" si="1387"/>
        <v>153.40588804259582</v>
      </c>
      <c r="J8838" s="297">
        <f t="shared" si="1388"/>
        <v>88.571428571428569</v>
      </c>
      <c r="K8838" s="297">
        <f>J8838/POBLA!$B$5*100000</f>
        <v>14.308931681313322</v>
      </c>
      <c r="L8838" s="549">
        <f t="shared" si="1386"/>
        <v>0.25030229746070132</v>
      </c>
      <c r="M8838" s="401">
        <f>SUM(C8838,C8814,C8790,C8766,C8742,C8718,C8694)/POBLA!$B$5*100000</f>
        <v>100.16252176919323</v>
      </c>
    </row>
    <row r="8839" spans="1:13" s="360" customFormat="1" x14ac:dyDescent="0.25">
      <c r="A8839" s="367" t="s">
        <v>30</v>
      </c>
      <c r="B8839" s="267">
        <v>44261</v>
      </c>
      <c r="C8839" s="17">
        <v>177</v>
      </c>
      <c r="D8839" s="39">
        <f t="shared" si="1379"/>
        <v>23041</v>
      </c>
      <c r="E8839" s="1"/>
      <c r="F8839" s="39">
        <f t="shared" si="1384"/>
        <v>300</v>
      </c>
      <c r="G8839" s="168">
        <f>SUM(C8839,C8815,C8791,C8767,C8743,C8719,C8695,C8671,C8647,C8623,C8599,C8575,C8551,C8527)/POBLA!$B$6*100000</f>
        <v>198.6971817476965</v>
      </c>
      <c r="H8839" s="256">
        <f t="shared" si="1385"/>
        <v>1.0630071599045345</v>
      </c>
      <c r="I8839" s="297">
        <f t="shared" si="1387"/>
        <v>211.21652685065399</v>
      </c>
      <c r="J8839" s="297">
        <f t="shared" si="1388"/>
        <v>177.57142857142858</v>
      </c>
      <c r="K8839" s="297">
        <f>J8839/POBLA!$B$6*100000</f>
        <v>15.843261075911656</v>
      </c>
      <c r="L8839" s="549">
        <f t="shared" si="1386"/>
        <v>-0.26321138211382111</v>
      </c>
      <c r="M8839" s="401">
        <f>SUM(C8839,C8815,C8791,C8767,C8743,C8719,C8695)/POBLA!$B$6*100000</f>
        <v>110.90282753138158</v>
      </c>
    </row>
    <row r="8840" spans="1:13" s="360" customFormat="1" x14ac:dyDescent="0.25">
      <c r="A8840" s="367" t="s">
        <v>20</v>
      </c>
      <c r="B8840" s="267">
        <v>44261</v>
      </c>
      <c r="C8840" s="17">
        <v>412</v>
      </c>
      <c r="D8840" s="39">
        <f t="shared" si="1379"/>
        <v>163584</v>
      </c>
      <c r="E8840" s="1">
        <v>2</v>
      </c>
      <c r="F8840" s="39">
        <f t="shared" si="1384"/>
        <v>2876</v>
      </c>
      <c r="G8840" s="168">
        <f>SUM(C8840,C8816,C8792,C8768,C8744,C8720,C8696,C8672,C8648,C8624,C8600,C8576,C8552,C8528)/POBLA!$B$7*100000</f>
        <v>223.61685436583386</v>
      </c>
      <c r="H8840" s="256">
        <f t="shared" si="1385"/>
        <v>1.1795483237480713</v>
      </c>
      <c r="I8840" s="297">
        <f t="shared" si="1387"/>
        <v>263.76688572903589</v>
      </c>
      <c r="J8840" s="297">
        <f t="shared" si="1388"/>
        <v>577.14285714285711</v>
      </c>
      <c r="K8840" s="297">
        <f>J8840/POBLA!$B$7*100000</f>
        <v>15.347707246283212</v>
      </c>
      <c r="L8840" s="549">
        <f t="shared" si="1386"/>
        <v>7.5303273060196796E-2</v>
      </c>
      <c r="M8840" s="401">
        <f>SUM(C8840,C8816,C8792,C8768,C8744,C8720,C8696)/POBLA!$B$7*100000</f>
        <v>107.43395072398251</v>
      </c>
    </row>
    <row r="8841" spans="1:13" x14ac:dyDescent="0.25">
      <c r="A8841" s="367" t="s">
        <v>31</v>
      </c>
      <c r="B8841" s="267">
        <v>44261</v>
      </c>
      <c r="C8841" s="17">
        <v>101</v>
      </c>
      <c r="D8841" s="39">
        <f t="shared" si="1379"/>
        <v>45937</v>
      </c>
      <c r="E8841" s="1">
        <v>2</v>
      </c>
      <c r="F8841" s="39">
        <f t="shared" ref="F8841:F8864" si="1389">E8841+F8817</f>
        <v>872</v>
      </c>
      <c r="G8841" s="168">
        <f>SUM(C8841,C8817,C8793,C8769,C8745,C8721,C8697,C8673,C8649,C8625,C8601,C8577,C8553,C8529)/POBLA!$B$8*100000</f>
        <v>123.09148670128523</v>
      </c>
      <c r="H8841" s="256">
        <f t="shared" si="1385"/>
        <v>0.94046306504961408</v>
      </c>
      <c r="I8841" s="297">
        <f t="shared" si="1387"/>
        <v>115.76299686460452</v>
      </c>
      <c r="J8841" s="297">
        <f t="shared" si="1388"/>
        <v>117.42857142857143</v>
      </c>
      <c r="K8841" s="297">
        <f>J8841/POBLA!$B$8*100000</f>
        <v>8.4727183108739297</v>
      </c>
      <c r="L8841" s="549">
        <f t="shared" si="1386"/>
        <v>7.0135746606334815E-2</v>
      </c>
      <c r="M8841" s="401">
        <f>SUM(C8841,C8817,C8793,C8769,C8745,C8721,C8697)/POBLA!$B$8*100000</f>
        <v>59.309028176117508</v>
      </c>
    </row>
    <row r="8842" spans="1:13" s="360" customFormat="1" x14ac:dyDescent="0.25">
      <c r="A8842" s="367" t="s">
        <v>41</v>
      </c>
      <c r="B8842" s="267">
        <v>44261</v>
      </c>
      <c r="C8842" s="17">
        <v>3</v>
      </c>
      <c r="D8842" s="39">
        <f t="shared" ref="D8842:D8873" si="1390">C8842+D8818</f>
        <v>1340</v>
      </c>
      <c r="E8842" s="1"/>
      <c r="F8842" s="39">
        <f t="shared" si="1389"/>
        <v>20</v>
      </c>
      <c r="G8842" s="168">
        <f>SUM(C8842,C8818,C8794,C8770,C8746,C8722,C8698,C8674,C8650,C8626,C8602,C8578,C8554,C8530)/POBLA!$B$9*100000</f>
        <v>44.613866981277049</v>
      </c>
      <c r="H8842" s="256">
        <f t="shared" si="1385"/>
        <v>1.3366336633663367</v>
      </c>
      <c r="I8842" s="297">
        <f t="shared" si="1387"/>
        <v>59.632396460122791</v>
      </c>
      <c r="J8842" s="297">
        <f t="shared" si="1388"/>
        <v>17.142857142857142</v>
      </c>
      <c r="K8842" s="297">
        <f>J8842/POBLA!$B$9*100000</f>
        <v>2.8326264750017174</v>
      </c>
      <c r="L8842" s="549">
        <f t="shared" si="1386"/>
        <v>0.19999999999999996</v>
      </c>
      <c r="M8842" s="401">
        <f>SUM(C8842,C8818,C8794,C8770,C8746,C8722,C8698)/POBLA!$B$9*100000</f>
        <v>19.828385325012022</v>
      </c>
    </row>
    <row r="8843" spans="1:13" s="360" customFormat="1" x14ac:dyDescent="0.25">
      <c r="A8843" s="367" t="s">
        <v>32</v>
      </c>
      <c r="B8843" s="267">
        <v>44261</v>
      </c>
      <c r="C8843" s="17">
        <v>56</v>
      </c>
      <c r="D8843" s="39">
        <f t="shared" si="1390"/>
        <v>21205</v>
      </c>
      <c r="E8843" s="1"/>
      <c r="F8843" s="39">
        <f t="shared" si="1389"/>
        <v>912</v>
      </c>
      <c r="G8843" s="168">
        <f>SUM(C8843,C8819,C8795,C8771,C8747,C8723,C8699,C8675,C8651,C8627,C8603,C8579,C8555,C8531)/POBLA!$B$10*100000</f>
        <v>150.86634642701011</v>
      </c>
      <c r="H8843" s="256">
        <f t="shared" si="1385"/>
        <v>2.1576994434137293</v>
      </c>
      <c r="I8843" s="297">
        <f t="shared" si="1387"/>
        <v>325.52423171542262</v>
      </c>
      <c r="J8843" s="297">
        <f t="shared" si="1388"/>
        <v>76.857142857142861</v>
      </c>
      <c r="K8843" s="297">
        <f>J8843/POBLA!$B$10*100000</f>
        <v>9.970039844949202</v>
      </c>
      <c r="L8843" s="549">
        <f t="shared" si="1386"/>
        <v>0.13919999999999999</v>
      </c>
      <c r="M8843" s="401">
        <f>SUM(C8843,C8819,C8795,C8771,C8747,C8723,C8699)/POBLA!$B$10*100000</f>
        <v>69.790278914644418</v>
      </c>
    </row>
    <row r="8844" spans="1:13" s="360" customFormat="1" x14ac:dyDescent="0.25">
      <c r="A8844" s="367" t="s">
        <v>33</v>
      </c>
      <c r="B8844" s="267">
        <v>44261</v>
      </c>
      <c r="C8844" s="17">
        <v>34</v>
      </c>
      <c r="D8844" s="39">
        <f t="shared" si="1390"/>
        <v>19198</v>
      </c>
      <c r="E8844" s="1"/>
      <c r="F8844" s="39">
        <f t="shared" si="1389"/>
        <v>289</v>
      </c>
      <c r="G8844" s="168">
        <f>SUM(C8844,C8820,C8796,C8772,C8748,C8724,C8700,C8676,C8652,C8628,C8604,C8580,C8556,C8532)/POBLA!$B$11*100000</f>
        <v>314.42856026872897</v>
      </c>
      <c r="H8844" s="256">
        <f t="shared" si="1385"/>
        <v>1.0826128722382324</v>
      </c>
      <c r="I8844" s="297">
        <f t="shared" si="1387"/>
        <v>340.40440674626086</v>
      </c>
      <c r="J8844" s="297">
        <f t="shared" si="1388"/>
        <v>79.285714285714292</v>
      </c>
      <c r="K8844" s="297">
        <f>J8844/POBLA!$B$11*100000</f>
        <v>22.120401945638815</v>
      </c>
      <c r="L8844" s="549">
        <f t="shared" si="1386"/>
        <v>2.9720279720279685E-2</v>
      </c>
      <c r="M8844" s="401">
        <f>SUM(C8844,C8820,C8796,C8772,C8748,C8724,C8700)/POBLA!$B$11*100000</f>
        <v>154.84281361947168</v>
      </c>
    </row>
    <row r="8845" spans="1:13" s="360" customFormat="1" x14ac:dyDescent="0.25">
      <c r="A8845" s="367" t="s">
        <v>21</v>
      </c>
      <c r="B8845" s="267">
        <v>44261</v>
      </c>
      <c r="C8845" s="17">
        <v>22</v>
      </c>
      <c r="D8845" s="39">
        <f t="shared" si="1390"/>
        <v>10351</v>
      </c>
      <c r="E8845" s="1">
        <v>5</v>
      </c>
      <c r="F8845" s="39">
        <f t="shared" si="1389"/>
        <v>444</v>
      </c>
      <c r="G8845" s="168">
        <f>SUM(C8845,C8821,C8797,C8773,C8749,C8725,C8701,C8677,C8653,C8629,C8605,C8581,C8557,C8533)/POBLA!$B$12*100000</f>
        <v>90.717122666321075</v>
      </c>
      <c r="H8845" s="256">
        <f t="shared" si="1385"/>
        <v>1.0469208211143695</v>
      </c>
      <c r="I8845" s="297">
        <f t="shared" si="1387"/>
        <v>94.973644550957843</v>
      </c>
      <c r="J8845" s="297">
        <f t="shared" si="1388"/>
        <v>25.285714285714285</v>
      </c>
      <c r="K8845" s="297">
        <f>J8845/POBLA!$B$12*100000</f>
        <v>6.4253424217442294</v>
      </c>
      <c r="L8845" s="549">
        <f t="shared" si="1386"/>
        <v>1.6666666666666718E-2</v>
      </c>
      <c r="M8845" s="401">
        <f>SUM(C8845,C8821,C8797,C8773,C8749,C8725,C8701)/POBLA!$B$12*100000</f>
        <v>44.97739695220961</v>
      </c>
    </row>
    <row r="8846" spans="1:13" s="360" customFormat="1" x14ac:dyDescent="0.25">
      <c r="A8846" s="367" t="s">
        <v>17</v>
      </c>
      <c r="B8846" s="267">
        <v>44261</v>
      </c>
      <c r="C8846" s="17">
        <v>124</v>
      </c>
      <c r="D8846" s="39">
        <f t="shared" si="1390"/>
        <v>68171</v>
      </c>
      <c r="E8846" s="1"/>
      <c r="F8846" s="39">
        <f t="shared" si="1389"/>
        <v>1459</v>
      </c>
      <c r="G8846" s="168">
        <f>SUM(C8846,C8822,C8798,C8774,C8750,C8726,C8702,C8678,C8654,C8630,C8606,C8582,C8558,C8534)/POBLA!$B$13*100000</f>
        <v>94.305590306772018</v>
      </c>
      <c r="H8846" s="256">
        <f t="shared" si="1385"/>
        <v>1.1701995012468829</v>
      </c>
      <c r="I8846" s="297">
        <f t="shared" si="1387"/>
        <v>110.35635474177749</v>
      </c>
      <c r="J8846" s="297">
        <f t="shared" si="1388"/>
        <v>140.85714285714286</v>
      </c>
      <c r="K8846" s="297">
        <f>J8846/POBLA!$B$13*100000</f>
        <v>7.0770463537923138</v>
      </c>
      <c r="L8846" s="549">
        <f t="shared" si="1386"/>
        <v>-0.10662177328844002</v>
      </c>
      <c r="M8846" s="401">
        <f>SUM(C8846,C8822,C8798,C8774,C8750,C8726,C8702)/POBLA!$B$13*100000</f>
        <v>49.539324476546192</v>
      </c>
    </row>
    <row r="8847" spans="1:13" s="360" customFormat="1" x14ac:dyDescent="0.25">
      <c r="A8847" s="367" t="s">
        <v>23</v>
      </c>
      <c r="B8847" s="267">
        <v>44261</v>
      </c>
      <c r="C8847" s="17">
        <v>108</v>
      </c>
      <c r="D8847" s="39">
        <f t="shared" si="1390"/>
        <v>9013</v>
      </c>
      <c r="E8847" s="1"/>
      <c r="F8847" s="39">
        <f t="shared" si="1389"/>
        <v>151</v>
      </c>
      <c r="G8847" s="168">
        <f>SUM(C8847,C8823,C8799,C8775,C8751,C8727,C8703,C8679,C8655,C8631,C8607,C8583,C8559,C8535)/POBLA!$B$14*100000</f>
        <v>130.65946559644303</v>
      </c>
      <c r="H8847" s="256">
        <f t="shared" si="1385"/>
        <v>1.0935633709356336</v>
      </c>
      <c r="I8847" s="297">
        <f t="shared" si="1387"/>
        <v>142.88440564229469</v>
      </c>
      <c r="J8847" s="297">
        <f t="shared" si="1388"/>
        <v>116</v>
      </c>
      <c r="K8847" s="297">
        <f>J8847/POBLA!$B$14*100000</f>
        <v>9.1969041317884646</v>
      </c>
      <c r="L8847" s="549">
        <f t="shared" si="1386"/>
        <v>2.8708133971291905E-2</v>
      </c>
      <c r="M8847" s="401">
        <f>SUM(C8847,C8823,C8799,C8775,C8751,C8727,C8703)/POBLA!$B$14*100000</f>
        <v>64.378328922519245</v>
      </c>
    </row>
    <row r="8848" spans="1:13" s="360" customFormat="1" x14ac:dyDescent="0.25">
      <c r="A8848" s="367" t="s">
        <v>19</v>
      </c>
      <c r="B8848" s="267">
        <v>44261</v>
      </c>
      <c r="C8848" s="17">
        <v>91</v>
      </c>
      <c r="D8848" s="39">
        <f t="shared" si="1390"/>
        <v>62162</v>
      </c>
      <c r="E8848" s="1">
        <v>1</v>
      </c>
      <c r="F8848" s="39">
        <f t="shared" si="1389"/>
        <v>939</v>
      </c>
      <c r="G8848" s="168">
        <f>SUM(C8848,C8824,C8800,C8776,C8752,C8728,C8704,C8680,C8656,C8632,C8608,C8584,C8560,C8536)/POBLA!$B$15*100000</f>
        <v>345.75345188741329</v>
      </c>
      <c r="H8848" s="256">
        <f t="shared" si="1385"/>
        <v>0.68069967388081831</v>
      </c>
      <c r="I8848" s="297">
        <f t="shared" si="1387"/>
        <v>235.35426194292944</v>
      </c>
      <c r="J8848" s="297">
        <f t="shared" si="1388"/>
        <v>152.14285714285714</v>
      </c>
      <c r="K8848" s="297">
        <f>J8848/POBLA!$B$15*100000</f>
        <v>22.91111412768138</v>
      </c>
      <c r="L8848" s="549">
        <f t="shared" si="1386"/>
        <v>0.13484971567831028</v>
      </c>
      <c r="M8848" s="401">
        <f>SUM(C8848,C8824,C8800,C8776,C8752,C8728,C8704)/POBLA!$B$15*100000</f>
        <v>160.37779889376966</v>
      </c>
    </row>
    <row r="8849" spans="1:13" s="360" customFormat="1" x14ac:dyDescent="0.25">
      <c r="A8849" s="367" t="s">
        <v>18</v>
      </c>
      <c r="B8849" s="267">
        <v>44261</v>
      </c>
      <c r="C8849" s="17">
        <v>71</v>
      </c>
      <c r="D8849" s="39">
        <f t="shared" si="1390"/>
        <v>53102</v>
      </c>
      <c r="E8849" s="1">
        <v>3</v>
      </c>
      <c r="F8849" s="39">
        <f t="shared" si="1389"/>
        <v>1210</v>
      </c>
      <c r="G8849" s="168">
        <f>SUM(C8849,C8825,C8801,C8777,C8753,C8729,C8705,C8681,C8657,C8633,C8609,C8585,C8561,C8537)/POBLA!$B$16*100000</f>
        <v>229.66519976993354</v>
      </c>
      <c r="H8849" s="256">
        <f t="shared" si="1385"/>
        <v>0.8306724721819061</v>
      </c>
      <c r="I8849" s="297">
        <f t="shared" si="1387"/>
        <v>190.77655926704202</v>
      </c>
      <c r="J8849" s="297">
        <f t="shared" si="1388"/>
        <v>118.85714285714286</v>
      </c>
      <c r="K8849" s="297">
        <f>J8849/POBLA!$B$16*100000</f>
        <v>15.898281571560419</v>
      </c>
      <c r="L8849" s="549">
        <f t="shared" si="1386"/>
        <v>5.9887005649717495E-2</v>
      </c>
      <c r="M8849" s="401">
        <f>SUM(C8849,C8825,C8801,C8777,C8753,C8729,C8705)/POBLA!$B$16*100000</f>
        <v>111.28797100092294</v>
      </c>
    </row>
    <row r="8850" spans="1:13" s="360" customFormat="1" x14ac:dyDescent="0.25">
      <c r="A8850" s="367" t="s">
        <v>34</v>
      </c>
      <c r="B8850" s="267">
        <v>44261</v>
      </c>
      <c r="C8850" s="17">
        <v>62</v>
      </c>
      <c r="D8850" s="39">
        <f t="shared" si="1390"/>
        <v>26844</v>
      </c>
      <c r="E8850" s="1">
        <v>4</v>
      </c>
      <c r="F8850" s="39">
        <f t="shared" si="1389"/>
        <v>1116</v>
      </c>
      <c r="G8850" s="168">
        <f>SUM(C8850,C8826,C8802,C8778,C8754,C8730,C8706,C8682,C8658,C8634,C8610,C8586,C8562,C8538)/POBLA!$B$17*100000</f>
        <v>106.85223290978567</v>
      </c>
      <c r="H8850" s="256">
        <f t="shared" si="1385"/>
        <v>1.418452935694315</v>
      </c>
      <c r="I8850" s="297">
        <f t="shared" si="1387"/>
        <v>151.56486345637819</v>
      </c>
      <c r="J8850" s="297">
        <f t="shared" si="1388"/>
        <v>112.14285714285714</v>
      </c>
      <c r="K8850" s="297">
        <f>J8850/POBLA!$B$17*100000</f>
        <v>7.8730057099851471</v>
      </c>
      <c r="L8850" s="549">
        <f t="shared" si="1386"/>
        <v>-6.5128900949796398E-2</v>
      </c>
      <c r="M8850" s="401">
        <f>SUM(C8850,C8826,C8802,C8778,C8754,C8730,C8706)/POBLA!$B$17*100000</f>
        <v>55.111039969896026</v>
      </c>
    </row>
    <row r="8851" spans="1:13" s="360" customFormat="1" x14ac:dyDescent="0.25">
      <c r="A8851" s="367" t="s">
        <v>35</v>
      </c>
      <c r="B8851" s="267">
        <v>44261</v>
      </c>
      <c r="C8851" s="17">
        <v>5</v>
      </c>
      <c r="D8851" s="39">
        <f t="shared" si="1390"/>
        <v>15524</v>
      </c>
      <c r="E8851" s="1"/>
      <c r="F8851" s="39">
        <f t="shared" si="1389"/>
        <v>214</v>
      </c>
      <c r="G8851" s="168">
        <f>SUM(C8851,C8827,C8803,C8779,C8755,C8731,C8707,C8683,C8659,C8635,C8611,C8587,C8563,C8539)/POBLA!$B$18*100000</f>
        <v>77.82728742462082</v>
      </c>
      <c r="H8851" s="256">
        <f t="shared" si="1385"/>
        <v>0.95597484276729561</v>
      </c>
      <c r="I8851" s="297">
        <f t="shared" si="1387"/>
        <v>74.400928858757013</v>
      </c>
      <c r="J8851" s="297">
        <f t="shared" si="1388"/>
        <v>40.714285714285715</v>
      </c>
      <c r="K8851" s="297">
        <f>J8851/POBLA!$B$18*100000</f>
        <v>5.2116487114701444</v>
      </c>
      <c r="L8851" s="549">
        <f t="shared" si="1386"/>
        <v>0.11764705882352944</v>
      </c>
      <c r="M8851" s="401">
        <f>SUM(C8851,C8827,C8803,C8779,C8755,C8731,C8707)/POBLA!$B$18*100000</f>
        <v>36.481540980291008</v>
      </c>
    </row>
    <row r="8852" spans="1:13" s="360" customFormat="1" x14ac:dyDescent="0.25">
      <c r="A8852" s="367" t="s">
        <v>36</v>
      </c>
      <c r="B8852" s="267">
        <v>44261</v>
      </c>
      <c r="C8852" s="17">
        <v>1</v>
      </c>
      <c r="D8852" s="39">
        <f t="shared" si="1390"/>
        <v>20802</v>
      </c>
      <c r="E8852" s="1"/>
      <c r="F8852" s="39">
        <f t="shared" si="1389"/>
        <v>358</v>
      </c>
      <c r="G8852" s="168">
        <f>SUM(C8852,C8828,C8804,C8780,C8756,C8732,C8708,C8684,C8660,C8636,C8612,C8588,C8564,C8540)/POBLA!$B$19*100000</f>
        <v>56.066162005634162</v>
      </c>
      <c r="H8852" s="256">
        <f t="shared" si="1385"/>
        <v>0.20184135977337112</v>
      </c>
      <c r="I8852" s="297">
        <f t="shared" si="1387"/>
        <v>11.316470376491315</v>
      </c>
      <c r="J8852" s="297">
        <f t="shared" si="1388"/>
        <v>4.2857142857142856</v>
      </c>
      <c r="K8852" s="297">
        <f>J8852/POBLA!$B$19*100000</f>
        <v>0.84310018053585201</v>
      </c>
      <c r="L8852" s="549">
        <f t="shared" si="1386"/>
        <v>0.88235294117647056</v>
      </c>
      <c r="M8852" s="401">
        <f>SUM(C8852,C8828,C8804,C8780,C8756,C8732,C8708)/POBLA!$B$19*100000</f>
        <v>5.9017012637509634</v>
      </c>
    </row>
    <row r="8853" spans="1:13" s="360" customFormat="1" x14ac:dyDescent="0.25">
      <c r="A8853" s="367" t="s">
        <v>37</v>
      </c>
      <c r="B8853" s="267">
        <v>44261</v>
      </c>
      <c r="C8853" s="17">
        <v>31</v>
      </c>
      <c r="D8853" s="39">
        <f t="shared" si="1390"/>
        <v>36612</v>
      </c>
      <c r="E8853" s="1"/>
      <c r="F8853" s="39">
        <f t="shared" si="1389"/>
        <v>596</v>
      </c>
      <c r="G8853" s="168">
        <f>SUM(C8853,C8829,C8805,C8781,C8757,C8733,C8709,C8685,C8661,C8637,C8613,C8589,C8565,C8541)/POBLA!$B$20*100000</f>
        <v>411.26831429212086</v>
      </c>
      <c r="H8853" s="256">
        <f t="shared" si="1385"/>
        <v>1.103448275862069</v>
      </c>
      <c r="I8853" s="297">
        <f t="shared" si="1387"/>
        <v>453.81331232234027</v>
      </c>
      <c r="J8853" s="297">
        <f t="shared" si="1388"/>
        <v>102.28571428571429</v>
      </c>
      <c r="K8853" s="297">
        <f>J8853/POBLA!$B$20*100000</f>
        <v>27.969995538863845</v>
      </c>
      <c r="L8853" s="549">
        <f t="shared" si="1386"/>
        <v>9.137055837563457E-2</v>
      </c>
      <c r="M8853" s="401">
        <f>SUM(C8853,C8829,C8805,C8781,C8757,C8733,C8709)/POBLA!$B$20*100000</f>
        <v>195.78996877204685</v>
      </c>
    </row>
    <row r="8854" spans="1:13" s="360" customFormat="1" x14ac:dyDescent="0.25">
      <c r="A8854" s="367" t="s">
        <v>22</v>
      </c>
      <c r="B8854" s="267">
        <v>44261</v>
      </c>
      <c r="C8854" s="17">
        <v>337</v>
      </c>
      <c r="D8854" s="39">
        <f t="shared" si="1390"/>
        <v>219034</v>
      </c>
      <c r="E8854" s="1"/>
      <c r="F8854" s="39">
        <f t="shared" si="1389"/>
        <v>4049</v>
      </c>
      <c r="G8854" s="168">
        <f>SUM(C8854,C8830,C8806,C8782,C8758,C8734,C8710,C8686,C8662,C8638,C8614,C8590,C8566,C8542)/POBLA!$B$21*100000</f>
        <v>146.53245176333795</v>
      </c>
      <c r="H8854" s="256">
        <f t="shared" si="1385"/>
        <v>1.0786844296419651</v>
      </c>
      <c r="I8854" s="297">
        <f t="shared" si="1387"/>
        <v>158.06227415437496</v>
      </c>
      <c r="J8854" s="297">
        <f t="shared" si="1388"/>
        <v>384.57142857142856</v>
      </c>
      <c r="K8854" s="297">
        <f>J8854/POBLA!$B$21*100000</f>
        <v>10.874603301177309</v>
      </c>
      <c r="L8854" s="549">
        <f t="shared" si="1386"/>
        <v>-8.1124497991967859E-2</v>
      </c>
      <c r="M8854" s="401">
        <f>SUM(C8854,C8830,C8806,C8782,C8758,C8734,C8710)/POBLA!$B$21*100000</f>
        <v>76.122223108241158</v>
      </c>
    </row>
    <row r="8855" spans="1:13" s="360" customFormat="1" x14ac:dyDescent="0.25">
      <c r="A8855" s="367" t="s">
        <v>38</v>
      </c>
      <c r="B8855" s="267">
        <v>44261</v>
      </c>
      <c r="C8855" s="17">
        <v>54</v>
      </c>
      <c r="D8855" s="39">
        <f t="shared" si="1390"/>
        <v>23012</v>
      </c>
      <c r="E8855" s="1"/>
      <c r="F8855" s="39">
        <f t="shared" si="1389"/>
        <v>271</v>
      </c>
      <c r="G8855" s="168">
        <f>SUM(C8855,C8831,C8807,C8783,C8759,C8735,C8711,C8687,C8663,C8639,C8615,C8591,C8567,C8543)/POBLA!$B$22*100000</f>
        <v>89.133027977753542</v>
      </c>
      <c r="H8855" s="256">
        <f t="shared" si="1385"/>
        <v>1.102402022756005</v>
      </c>
      <c r="I8855" s="297">
        <f t="shared" si="1387"/>
        <v>98.26043033704309</v>
      </c>
      <c r="J8855" s="297">
        <f t="shared" si="1388"/>
        <v>63.428571428571431</v>
      </c>
      <c r="K8855" s="297">
        <f>J8855/POBLA!$B$22*100000</f>
        <v>6.4834640272153621</v>
      </c>
      <c r="L8855" s="549">
        <f t="shared" si="1386"/>
        <v>-3.7383177570093462E-2</v>
      </c>
      <c r="M8855" s="401">
        <f>SUM(C8855,C8831,C8807,C8783,C8759,C8735,C8711)/POBLA!$B$22*100000</f>
        <v>45.384248190507535</v>
      </c>
    </row>
    <row r="8856" spans="1:13" s="360" customFormat="1" x14ac:dyDescent="0.25">
      <c r="A8856" s="367" t="s">
        <v>39</v>
      </c>
      <c r="B8856" s="267">
        <v>44261</v>
      </c>
      <c r="C8856" s="17">
        <v>10</v>
      </c>
      <c r="D8856" s="39">
        <f t="shared" si="1390"/>
        <v>23139</v>
      </c>
      <c r="E8856" s="1"/>
      <c r="F8856" s="39">
        <f t="shared" si="1389"/>
        <v>356</v>
      </c>
      <c r="G8856" s="168">
        <f>SUM(C8856,C8832,C8808,C8784,C8760,C8736,C8712,C8688,C8664,C8640,C8616,C8592,C8568,C8544)/POBLA!$B$23*100000</f>
        <v>267.48854832324832</v>
      </c>
      <c r="H8856" s="256">
        <f t="shared" si="1385"/>
        <v>0.7831125827814569</v>
      </c>
      <c r="I8856" s="297">
        <f t="shared" si="1387"/>
        <v>209.47364794188152</v>
      </c>
      <c r="J8856" s="297">
        <f t="shared" si="1388"/>
        <v>29.428571428571427</v>
      </c>
      <c r="K8856" s="297">
        <f>J8856/POBLA!$B$23*100000</f>
        <v>16.642295667347977</v>
      </c>
      <c r="L8856" s="549">
        <f t="shared" si="1386"/>
        <v>0.22846441947565543</v>
      </c>
      <c r="M8856" s="401">
        <f>SUM(C8856,C8832,C8808,C8784,C8760,C8736,C8712)/POBLA!$B$23*100000</f>
        <v>116.49606967143583</v>
      </c>
    </row>
    <row r="8857" spans="1:13" s="360" customFormat="1" ht="15.75" thickBot="1" x14ac:dyDescent="0.3">
      <c r="A8857" s="369" t="s">
        <v>40</v>
      </c>
      <c r="B8857" s="267">
        <v>44261</v>
      </c>
      <c r="C8857" s="17">
        <v>86</v>
      </c>
      <c r="D8857" s="176">
        <f t="shared" si="1390"/>
        <v>80767</v>
      </c>
      <c r="E8857" s="1"/>
      <c r="F8857" s="176">
        <f t="shared" si="1389"/>
        <v>1483</v>
      </c>
      <c r="G8857" s="177">
        <f>SUM(C8857,C8833,C8809,C8785,C8761,C8737,C8713,C8689,C8665,C8641,C8617,C8593,C8569,C8545)/POBLA!$B$24*100000</f>
        <v>122.38471996676613</v>
      </c>
      <c r="H8857" s="402">
        <f t="shared" si="1385"/>
        <v>1.4313319530710835</v>
      </c>
      <c r="I8857" s="403">
        <f t="shared" si="1387"/>
        <v>175.17316025608901</v>
      </c>
      <c r="J8857" s="403">
        <f t="shared" si="1388"/>
        <v>150.57142857142858</v>
      </c>
      <c r="K8857" s="403">
        <f>J8857/POBLA!$B$24*100000</f>
        <v>8.8850733465333729</v>
      </c>
      <c r="L8857" s="550">
        <f t="shared" si="1386"/>
        <v>-3.3333333333333437E-2</v>
      </c>
      <c r="M8857" s="405">
        <f>SUM(C8857,C8833,C8809,C8785,C8761,C8737,C8713)/POBLA!$B$24*100000</f>
        <v>62.195513425733601</v>
      </c>
    </row>
    <row r="8858" spans="1:13" s="360" customFormat="1" x14ac:dyDescent="0.25">
      <c r="A8858" s="363" t="s">
        <v>16</v>
      </c>
      <c r="B8858" s="267">
        <v>44262</v>
      </c>
      <c r="C8858" s="1">
        <v>990</v>
      </c>
      <c r="D8858" s="174">
        <f t="shared" si="1390"/>
        <v>897962</v>
      </c>
      <c r="E8858" s="1">
        <v>3</v>
      </c>
      <c r="F8858" s="174">
        <f t="shared" si="1389"/>
        <v>26711</v>
      </c>
      <c r="G8858" s="175">
        <f>SUM(C8858,C8834,C8810,C8786,C8762,C8738,C8714,C8690,C8666,C8642,C8618,C8594,C8570,C8546)/POBLA!$B$1*100000</f>
        <v>205.7448828442802</v>
      </c>
      <c r="H8858" s="300">
        <f t="shared" ref="H8858:H8881" si="1391">SUM(C8858,C8834,C8810,C8786,C8762,C8738,C8714,C8690,C8666,C8642,C8618,C8594,C8570,C8546)/SUM(C8522,C8498,C8474,C8450,C8426,C8402,C8378,C8354,C8330,C8306,C8282,C8258,C8234,C8210)</f>
        <v>1.0197507840976519</v>
      </c>
      <c r="I8858" s="301">
        <f>G8858*H8858</f>
        <v>209.80850560453425</v>
      </c>
      <c r="J8858" s="301">
        <f>AVERAGE(C8858,C8834,C8810,C8786,C8762,C8738,C8714)</f>
        <v>2593.5714285714284</v>
      </c>
      <c r="K8858" s="301">
        <f>J8858/POBLA!$B$1*100000</f>
        <v>14.785648371285701</v>
      </c>
      <c r="L8858" s="548">
        <f t="shared" ref="L8858:L8881" si="1392">1-SUM(C8858,C8834,C8810,C8786,C8762,C8738,C8714)/SUM(C8690,C8666,C8642,C8618,C8594,C8570,C8546)</f>
        <v>-1.2266517981600167E-2</v>
      </c>
      <c r="M8858" s="400">
        <f>SUM(C8858,C8834,C8810,C8786,C8762,C8738,C8714)/POBLA!$B$1*100000</f>
        <v>103.49953859899992</v>
      </c>
    </row>
    <row r="8859" spans="1:13" s="360" customFormat="1" x14ac:dyDescent="0.25">
      <c r="A8859" s="367" t="s">
        <v>43</v>
      </c>
      <c r="B8859" s="267">
        <v>44262</v>
      </c>
      <c r="C8859" s="1">
        <v>429</v>
      </c>
      <c r="D8859" s="39">
        <f t="shared" si="1390"/>
        <v>236446</v>
      </c>
      <c r="E8859" s="1">
        <v>1</v>
      </c>
      <c r="F8859" s="39">
        <f t="shared" si="1389"/>
        <v>6584</v>
      </c>
      <c r="G8859" s="168">
        <f>SUM(C8859,C8835,C8811,C8787,C8763,C8739,C8715,C8691,C8667,C8643,C8619,C8595,C8571,C8547)/POBLA!$B$2*100000</f>
        <v>316.06368223131011</v>
      </c>
      <c r="H8859" s="256">
        <f t="shared" si="1391"/>
        <v>1.0065230896665975</v>
      </c>
      <c r="I8859" s="297">
        <f t="shared" ref="I8859:I8881" si="1393">G8859*H8859</f>
        <v>318.12539397085993</v>
      </c>
      <c r="J8859" s="297">
        <f t="shared" ref="J8859:J8881" si="1394">AVERAGE(C8859,C8835,C8811,C8787,C8763,C8739,C8715)</f>
        <v>650.57142857142856</v>
      </c>
      <c r="K8859" s="297">
        <f>J8859/POBLA!$B$2*100000</f>
        <v>21.152350711734336</v>
      </c>
      <c r="L8859" s="549">
        <f t="shared" si="1392"/>
        <v>0.11863750725759625</v>
      </c>
      <c r="M8859" s="401">
        <f>SUM(C8859,C8835,C8811,C8787,C8763,C8739,C8715)/POBLA!$B$2*100000</f>
        <v>148.06645498214033</v>
      </c>
    </row>
    <row r="8860" spans="1:13" s="360" customFormat="1" x14ac:dyDescent="0.25">
      <c r="A8860" s="367" t="s">
        <v>28</v>
      </c>
      <c r="B8860" s="267">
        <v>44262</v>
      </c>
      <c r="C8860" s="1">
        <v>46</v>
      </c>
      <c r="D8860" s="39">
        <f t="shared" si="1390"/>
        <v>8452</v>
      </c>
      <c r="E8860" s="1"/>
      <c r="F8860" s="39">
        <f t="shared" si="1389"/>
        <v>17</v>
      </c>
      <c r="G8860" s="168">
        <f>SUM(C8860,C8836,C8812,C8788,C8764,C8740,C8716,C8692,C8668,C8644,C8620,C8596,C8572,C8548)/POBLA!$B$3*100000</f>
        <v>279.46408368998505</v>
      </c>
      <c r="H8860" s="256">
        <f t="shared" si="1391"/>
        <v>1.0554545454545454</v>
      </c>
      <c r="I8860" s="297">
        <f t="shared" si="1393"/>
        <v>294.96163742188423</v>
      </c>
      <c r="J8860" s="297">
        <f t="shared" si="1394"/>
        <v>81.142857142857139</v>
      </c>
      <c r="K8860" s="297">
        <f>J8860/POBLA!$B$3*100000</f>
        <v>19.531881325939644</v>
      </c>
      <c r="L8860" s="549">
        <f t="shared" si="1392"/>
        <v>4.2158516020236125E-2</v>
      </c>
      <c r="M8860" s="401">
        <f>SUM(C8860,C8836,C8812,C8788,C8764,C8740,C8716)/POBLA!$B$3*100000</f>
        <v>136.72316928157753</v>
      </c>
    </row>
    <row r="8861" spans="1:13" s="360" customFormat="1" x14ac:dyDescent="0.25">
      <c r="A8861" s="367" t="s">
        <v>15</v>
      </c>
      <c r="B8861" s="267">
        <v>44262</v>
      </c>
      <c r="C8861" s="1">
        <v>84</v>
      </c>
      <c r="D8861" s="39">
        <f t="shared" si="1390"/>
        <v>35063</v>
      </c>
      <c r="E8861" s="1"/>
      <c r="F8861" s="39">
        <f t="shared" si="1389"/>
        <v>873</v>
      </c>
      <c r="G8861" s="168">
        <f>SUM(C8861,C8837,C8813,C8789,C8765,C8741,C8717,C8693,C8669,C8645,C8621,C8597,C8573,C8549)/POBLA!$B$4*100000</f>
        <v>154.16660786141776</v>
      </c>
      <c r="H8861" s="256">
        <f t="shared" si="1391"/>
        <v>1.2058441558441559</v>
      </c>
      <c r="I8861" s="297">
        <f t="shared" si="1393"/>
        <v>185.90090311600832</v>
      </c>
      <c r="J8861" s="297">
        <f t="shared" si="1394"/>
        <v>131.42857142857142</v>
      </c>
      <c r="K8861" s="297">
        <f>J8861/POBLA!$B$4*100000</f>
        <v>10.911091563389824</v>
      </c>
      <c r="L8861" s="549">
        <f t="shared" si="1392"/>
        <v>1.8143009605122717E-2</v>
      </c>
      <c r="M8861" s="401">
        <f>SUM(C8861,C8837,C8813,C8789,C8765,C8741,C8717)/POBLA!$B$4*100000</f>
        <v>76.377640943728778</v>
      </c>
    </row>
    <row r="8862" spans="1:13" s="360" customFormat="1" x14ac:dyDescent="0.25">
      <c r="A8862" s="367" t="s">
        <v>29</v>
      </c>
      <c r="B8862" s="267">
        <v>44262</v>
      </c>
      <c r="C8862" s="1">
        <v>42</v>
      </c>
      <c r="D8862" s="39">
        <f t="shared" si="1390"/>
        <v>47544</v>
      </c>
      <c r="E8862" s="1"/>
      <c r="F8862" s="39">
        <f t="shared" si="1389"/>
        <v>777</v>
      </c>
      <c r="G8862" s="168">
        <f>SUM(C8862,C8838,C8814,C8790,C8766,C8742,C8718,C8694,C8670,C8646,C8622,C8598,C8574,C8550)/POBLA!$B$5*100000</f>
        <v>234.73571633973833</v>
      </c>
      <c r="H8862" s="256">
        <f t="shared" si="1391"/>
        <v>0.66681964203763189</v>
      </c>
      <c r="I8862" s="297">
        <f t="shared" si="1393"/>
        <v>156.52638634311143</v>
      </c>
      <c r="J8862" s="297">
        <f t="shared" si="1394"/>
        <v>93.285714285714292</v>
      </c>
      <c r="K8862" s="297">
        <f>J8862/POBLA!$B$5*100000</f>
        <v>15.070536109512256</v>
      </c>
      <c r="L8862" s="549">
        <f t="shared" si="1392"/>
        <v>0.18374999999999997</v>
      </c>
      <c r="M8862" s="401">
        <f>SUM(C8862,C8838,C8814,C8790,C8766,C8742,C8718)/POBLA!$B$5*100000</f>
        <v>105.49375276658577</v>
      </c>
    </row>
    <row r="8863" spans="1:13" s="360" customFormat="1" x14ac:dyDescent="0.25">
      <c r="A8863" s="367" t="s">
        <v>30</v>
      </c>
      <c r="B8863" s="267">
        <v>44262</v>
      </c>
      <c r="C8863" s="1">
        <v>139</v>
      </c>
      <c r="D8863" s="39">
        <f t="shared" si="1390"/>
        <v>23180</v>
      </c>
      <c r="E8863" s="1"/>
      <c r="F8863" s="39">
        <f t="shared" si="1389"/>
        <v>300</v>
      </c>
      <c r="G8863" s="168">
        <f>SUM(C8863,C8839,C8815,C8791,C8767,C8743,C8719,C8695,C8671,C8647,C8623,C8599,C8575,C8551)/POBLA!$B$6*100000</f>
        <v>198.07262841485687</v>
      </c>
      <c r="H8863" s="256">
        <f t="shared" si="1391"/>
        <v>0.99685675797036377</v>
      </c>
      <c r="I8863" s="297">
        <f t="shared" si="1393"/>
        <v>197.45003820430276</v>
      </c>
      <c r="J8863" s="297">
        <f t="shared" si="1394"/>
        <v>189.14285714285714</v>
      </c>
      <c r="K8863" s="297">
        <f>J8863/POBLA!$B$6*100000</f>
        <v>16.875685973054729</v>
      </c>
      <c r="L8863" s="549">
        <f t="shared" si="1392"/>
        <v>-0.4776785714285714</v>
      </c>
      <c r="M8863" s="401">
        <f>SUM(C8863,C8839,C8815,C8791,C8767,C8743,C8719)/POBLA!$B$6*100000</f>
        <v>118.1298018113831</v>
      </c>
    </row>
    <row r="8864" spans="1:13" s="360" customFormat="1" x14ac:dyDescent="0.25">
      <c r="A8864" s="367" t="s">
        <v>20</v>
      </c>
      <c r="B8864" s="267">
        <v>44262</v>
      </c>
      <c r="C8864" s="1">
        <v>256</v>
      </c>
      <c r="D8864" s="39">
        <f t="shared" si="1390"/>
        <v>163840</v>
      </c>
      <c r="E8864" s="1"/>
      <c r="F8864" s="39">
        <f t="shared" si="1389"/>
        <v>2876</v>
      </c>
      <c r="G8864" s="168">
        <f>SUM(C8864,C8840,C8816,C8792,C8768,C8744,C8720,C8696,C8672,C8648,C8624,C8600,C8576,C8552)/POBLA!$B$7*100000</f>
        <v>219.81411799119789</v>
      </c>
      <c r="H8864" s="256">
        <f t="shared" si="1391"/>
        <v>1.1318636176913597</v>
      </c>
      <c r="I8864" s="297">
        <f t="shared" si="1393"/>
        <v>248.79960280915265</v>
      </c>
      <c r="J8864" s="297">
        <f t="shared" si="1394"/>
        <v>566</v>
      </c>
      <c r="K8864" s="297">
        <f>J8864/POBLA!$B$7*100000</f>
        <v>15.051390126181706</v>
      </c>
      <c r="L8864" s="549">
        <f t="shared" si="1392"/>
        <v>7.9460966542750922E-2</v>
      </c>
      <c r="M8864" s="401">
        <f>SUM(C8864,C8840,C8816,C8792,C8768,C8744,C8720)/POBLA!$B$7*100000</f>
        <v>105.35973088327195</v>
      </c>
    </row>
    <row r="8865" spans="1:13" x14ac:dyDescent="0.25">
      <c r="A8865" s="367" t="s">
        <v>31</v>
      </c>
      <c r="B8865" s="267">
        <v>44262</v>
      </c>
      <c r="C8865" s="1">
        <v>56</v>
      </c>
      <c r="D8865" s="39">
        <f t="shared" si="1390"/>
        <v>45993</v>
      </c>
      <c r="F8865" s="39">
        <f t="shared" ref="F8865:F8888" si="1395">E8865+F8841</f>
        <v>872</v>
      </c>
      <c r="G8865" s="168">
        <f>SUM(C8865,C8841,C8817,C8793,C8769,C8745,C8721,C8697,C8673,C8649,C8625,C8601,C8577,C8553)/POBLA!$B$8*100000</f>
        <v>120.85477152676013</v>
      </c>
      <c r="H8865" s="256">
        <f t="shared" si="1391"/>
        <v>0.93262806236080176</v>
      </c>
      <c r="I8865" s="297">
        <f t="shared" si="1393"/>
        <v>112.71255139605969</v>
      </c>
      <c r="J8865" s="297">
        <f t="shared" si="1394"/>
        <v>118</v>
      </c>
      <c r="K8865" s="297">
        <f>J8865/POBLA!$B$8*100000</f>
        <v>8.5139480836762367</v>
      </c>
      <c r="L8865" s="549">
        <f t="shared" si="1392"/>
        <v>2.7090694935217874E-2</v>
      </c>
      <c r="M8865" s="401">
        <f>SUM(C8865,C8841,C8817,C8793,C8769,C8745,C8721)/POBLA!$B$8*100000</f>
        <v>59.597636585733653</v>
      </c>
    </row>
    <row r="8866" spans="1:13" s="360" customFormat="1" x14ac:dyDescent="0.25">
      <c r="A8866" s="367" t="s">
        <v>41</v>
      </c>
      <c r="B8866" s="267">
        <v>44262</v>
      </c>
      <c r="C8866" s="1">
        <v>28</v>
      </c>
      <c r="D8866" s="39">
        <f t="shared" si="1390"/>
        <v>1368</v>
      </c>
      <c r="E8866" s="1"/>
      <c r="F8866" s="39">
        <f t="shared" si="1395"/>
        <v>20</v>
      </c>
      <c r="G8866" s="168">
        <f>SUM(C8866,C8842,C8818,C8794,C8770,C8746,C8722,C8698,C8674,C8650,C8626,C8602,C8578,C8554)/POBLA!$B$9*100000</f>
        <v>47.753361324403954</v>
      </c>
      <c r="H8866" s="256">
        <f t="shared" si="1391"/>
        <v>1.4378109452736318</v>
      </c>
      <c r="I8866" s="297">
        <f t="shared" si="1393"/>
        <v>68.660305585834536</v>
      </c>
      <c r="J8866" s="297">
        <f t="shared" si="1394"/>
        <v>21</v>
      </c>
      <c r="K8866" s="297">
        <f>J8866/POBLA!$B$9*100000</f>
        <v>3.4699674318771034</v>
      </c>
      <c r="L8866" s="549">
        <f t="shared" si="1392"/>
        <v>-3.5211267605633756E-2</v>
      </c>
      <c r="M8866" s="401">
        <f>SUM(C8866,C8842,C8818,C8794,C8770,C8746,C8722)/POBLA!$B$9*100000</f>
        <v>24.289772023139726</v>
      </c>
    </row>
    <row r="8867" spans="1:13" s="360" customFormat="1" x14ac:dyDescent="0.25">
      <c r="A8867" s="367" t="s">
        <v>32</v>
      </c>
      <c r="B8867" s="267">
        <v>44262</v>
      </c>
      <c r="C8867" s="1">
        <v>56</v>
      </c>
      <c r="D8867" s="39">
        <f t="shared" si="1390"/>
        <v>21261</v>
      </c>
      <c r="E8867" s="1">
        <v>1</v>
      </c>
      <c r="F8867" s="39">
        <f t="shared" si="1395"/>
        <v>913</v>
      </c>
      <c r="G8867" s="168">
        <f>SUM(C8867,C8843,C8819,C8795,C8771,C8747,C8723,C8699,C8675,C8651,C8627,C8603,C8579,C8555)/POBLA!$B$10*100000</f>
        <v>148.6610773906738</v>
      </c>
      <c r="H8867" s="256">
        <f t="shared" si="1391"/>
        <v>1.9260504201680673</v>
      </c>
      <c r="I8867" s="297">
        <f t="shared" si="1393"/>
        <v>286.32873057094486</v>
      </c>
      <c r="J8867" s="297">
        <f t="shared" si="1394"/>
        <v>72.714285714285708</v>
      </c>
      <c r="K8867" s="297">
        <f>J8867/POBLA!$B$10*100000</f>
        <v>9.432621340295805</v>
      </c>
      <c r="L8867" s="549">
        <f t="shared" si="1392"/>
        <v>0.2009419152276295</v>
      </c>
      <c r="M8867" s="401">
        <f>SUM(C8867,C8843,C8819,C8795,C8771,C8747,C8723)/POBLA!$B$10*100000</f>
        <v>66.028349382070644</v>
      </c>
    </row>
    <row r="8868" spans="1:13" s="360" customFormat="1" x14ac:dyDescent="0.25">
      <c r="A8868" s="367" t="s">
        <v>33</v>
      </c>
      <c r="B8868" s="267">
        <v>44262</v>
      </c>
      <c r="C8868" s="1">
        <v>43</v>
      </c>
      <c r="D8868" s="39">
        <f t="shared" si="1390"/>
        <v>19241</v>
      </c>
      <c r="E8868" s="1"/>
      <c r="F8868" s="39">
        <f t="shared" si="1395"/>
        <v>289</v>
      </c>
      <c r="G8868" s="168">
        <f>SUM(C8868,C8844,C8820,C8796,C8772,C8748,C8724,C8700,C8676,C8652,C8628,C8604,C8580,C8556)/POBLA!$B$11*100000</f>
        <v>321.12446572254402</v>
      </c>
      <c r="H8868" s="256">
        <f t="shared" si="1391"/>
        <v>1.1487025948103793</v>
      </c>
      <c r="I8868" s="297">
        <f t="shared" si="1393"/>
        <v>368.87650703258299</v>
      </c>
      <c r="J8868" s="297">
        <f t="shared" si="1394"/>
        <v>78.714285714285708</v>
      </c>
      <c r="K8868" s="297">
        <f>J8868/POBLA!$B$11*100000</f>
        <v>21.960975625309882</v>
      </c>
      <c r="L8868" s="549">
        <f t="shared" si="1392"/>
        <v>8.1666666666666665E-2</v>
      </c>
      <c r="M8868" s="401">
        <f>SUM(C8868,C8844,C8820,C8796,C8772,C8748,C8724)/POBLA!$B$11*100000</f>
        <v>153.7268293771692</v>
      </c>
    </row>
    <row r="8869" spans="1:13" s="360" customFormat="1" x14ac:dyDescent="0.25">
      <c r="A8869" s="367" t="s">
        <v>21</v>
      </c>
      <c r="B8869" s="267">
        <v>44262</v>
      </c>
      <c r="C8869" s="1">
        <v>12</v>
      </c>
      <c r="D8869" s="39">
        <f t="shared" si="1390"/>
        <v>10363</v>
      </c>
      <c r="E8869" s="1"/>
      <c r="F8869" s="39">
        <f t="shared" si="1395"/>
        <v>444</v>
      </c>
      <c r="G8869" s="168">
        <f>SUM(C8869,C8845,C8821,C8797,C8773,C8749,C8725,C8701,C8677,C8653,C8629,C8605,C8581,C8557)/POBLA!$B$12*100000</f>
        <v>87.413698031413034</v>
      </c>
      <c r="H8869" s="256">
        <f t="shared" si="1391"/>
        <v>1.0299401197604789</v>
      </c>
      <c r="I8869" s="297">
        <f t="shared" si="1393"/>
        <v>90.030874619179883</v>
      </c>
      <c r="J8869" s="297">
        <f t="shared" si="1394"/>
        <v>19.857142857142858</v>
      </c>
      <c r="K8869" s="297">
        <f>J8869/POBLA!$B$12*100000</f>
        <v>5.0458903763980114</v>
      </c>
      <c r="L8869" s="549">
        <f t="shared" si="1392"/>
        <v>0.32195121951219507</v>
      </c>
      <c r="M8869" s="401">
        <f>SUM(C8869,C8845,C8821,C8797,C8773,C8749,C8725)/POBLA!$B$12*100000</f>
        <v>35.321232634786078</v>
      </c>
    </row>
    <row r="8870" spans="1:13" s="360" customFormat="1" x14ac:dyDescent="0.25">
      <c r="A8870" s="367" t="s">
        <v>17</v>
      </c>
      <c r="B8870" s="267">
        <v>44262</v>
      </c>
      <c r="C8870" s="1">
        <v>56</v>
      </c>
      <c r="D8870" s="39">
        <f t="shared" si="1390"/>
        <v>68227</v>
      </c>
      <c r="E8870" s="1">
        <v>2</v>
      </c>
      <c r="F8870" s="39">
        <f t="shared" si="1395"/>
        <v>1461</v>
      </c>
      <c r="G8870" s="168">
        <f>SUM(C8870,C8846,C8822,C8798,C8774,C8750,C8726,C8702,C8678,C8654,C8630,C8606,C8582,C8558)/POBLA!$B$13*100000</f>
        <v>95.159716590850394</v>
      </c>
      <c r="H8870" s="256">
        <f t="shared" si="1391"/>
        <v>1.1800623052959502</v>
      </c>
      <c r="I8870" s="297">
        <f t="shared" si="1393"/>
        <v>112.2943945315082</v>
      </c>
      <c r="J8870" s="297">
        <f t="shared" si="1394"/>
        <v>141.57142857142858</v>
      </c>
      <c r="K8870" s="297">
        <f>J8870/POBLA!$B$13*100000</f>
        <v>7.1129340127872034</v>
      </c>
      <c r="L8870" s="549">
        <f t="shared" si="1392"/>
        <v>-9.7452934662237034E-2</v>
      </c>
      <c r="M8870" s="401">
        <f>SUM(C8870,C8846,C8822,C8798,C8774,C8750,C8726)/POBLA!$B$13*100000</f>
        <v>49.790538089510427</v>
      </c>
    </row>
    <row r="8871" spans="1:13" s="360" customFormat="1" x14ac:dyDescent="0.25">
      <c r="A8871" s="367" t="s">
        <v>23</v>
      </c>
      <c r="B8871" s="267">
        <v>44262</v>
      </c>
      <c r="C8871" s="1">
        <v>109</v>
      </c>
      <c r="D8871" s="39">
        <f t="shared" si="1390"/>
        <v>9122</v>
      </c>
      <c r="E8871" s="1"/>
      <c r="F8871" s="39">
        <f t="shared" si="1395"/>
        <v>151</v>
      </c>
      <c r="G8871" s="168">
        <f>SUM(C8871,C8847,C8823,C8799,C8775,C8751,C8727,C8703,C8679,C8655,C8631,C8607,C8583,C8559)/POBLA!$B$14*100000</f>
        <v>130.02519634597485</v>
      </c>
      <c r="H8871" s="256">
        <f t="shared" si="1391"/>
        <v>1.1549295774647887</v>
      </c>
      <c r="I8871" s="297">
        <f t="shared" si="1393"/>
        <v>150.16994507563294</v>
      </c>
      <c r="J8871" s="297">
        <f t="shared" si="1394"/>
        <v>121.14285714285714</v>
      </c>
      <c r="K8871" s="297">
        <f>J8871/POBLA!$B$14*100000</f>
        <v>9.604648649946574</v>
      </c>
      <c r="L8871" s="549">
        <f t="shared" si="1392"/>
        <v>-7.0707070707070718E-2</v>
      </c>
      <c r="M8871" s="401">
        <f>SUM(C8871,C8847,C8823,C8799,C8775,C8751,C8727)/POBLA!$B$14*100000</f>
        <v>67.232540549626009</v>
      </c>
    </row>
    <row r="8872" spans="1:13" s="360" customFormat="1" x14ac:dyDescent="0.25">
      <c r="A8872" s="367" t="s">
        <v>19</v>
      </c>
      <c r="B8872" s="267">
        <v>44262</v>
      </c>
      <c r="C8872" s="1">
        <v>133</v>
      </c>
      <c r="D8872" s="39">
        <f t="shared" si="1390"/>
        <v>62295</v>
      </c>
      <c r="E8872" s="1">
        <v>1</v>
      </c>
      <c r="F8872" s="39">
        <f t="shared" si="1395"/>
        <v>940</v>
      </c>
      <c r="G8872" s="168">
        <f>SUM(C8872,C8848,C8824,C8800,C8776,C8752,C8728,C8704,C8680,C8656,C8632,C8608,C8584,C8560)/POBLA!$B$15*100000</f>
        <v>348.3134730904124</v>
      </c>
      <c r="H8872" s="256">
        <f t="shared" si="1391"/>
        <v>0.69522091974752032</v>
      </c>
      <c r="I8872" s="297">
        <f t="shared" si="1393"/>
        <v>242.15481312236969</v>
      </c>
      <c r="J8872" s="297">
        <f t="shared" si="1394"/>
        <v>159.85714285714286</v>
      </c>
      <c r="K8872" s="297">
        <f>J8872/POBLA!$B$15*100000</f>
        <v>24.072804421479312</v>
      </c>
      <c r="L8872" s="549">
        <f t="shared" si="1392"/>
        <v>6.2814070351758788E-2</v>
      </c>
      <c r="M8872" s="401">
        <f>SUM(C8872,C8848,C8824,C8800,C8776,C8752,C8728)/POBLA!$B$15*100000</f>
        <v>168.50963095035516</v>
      </c>
    </row>
    <row r="8873" spans="1:13" s="360" customFormat="1" x14ac:dyDescent="0.25">
      <c r="A8873" s="367" t="s">
        <v>18</v>
      </c>
      <c r="B8873" s="267">
        <v>44262</v>
      </c>
      <c r="C8873" s="1">
        <v>14</v>
      </c>
      <c r="D8873" s="39">
        <f t="shared" si="1390"/>
        <v>53116</v>
      </c>
      <c r="E8873" s="1"/>
      <c r="F8873" s="39">
        <f t="shared" si="1395"/>
        <v>1210</v>
      </c>
      <c r="G8873" s="168">
        <f>SUM(C8873,C8849,C8825,C8801,C8777,C8753,C8729,C8705,C8681,C8657,C8633,C8609,C8585,C8561)/POBLA!$B$16*100000</f>
        <v>222.30842284078597</v>
      </c>
      <c r="H8873" s="256">
        <f t="shared" si="1391"/>
        <v>0.80019258545979777</v>
      </c>
      <c r="I8873" s="297">
        <f t="shared" si="1393"/>
        <v>177.88955164245849</v>
      </c>
      <c r="J8873" s="297">
        <f t="shared" si="1394"/>
        <v>112.85714285714286</v>
      </c>
      <c r="K8873" s="297">
        <f>J8873/POBLA!$B$16*100000</f>
        <v>15.095724088380688</v>
      </c>
      <c r="L8873" s="549">
        <f t="shared" si="1392"/>
        <v>9.4036697247706469E-2</v>
      </c>
      <c r="M8873" s="401">
        <f>SUM(C8873,C8849,C8825,C8801,C8777,C8753,C8729)/POBLA!$B$16*100000</f>
        <v>105.67006861866481</v>
      </c>
    </row>
    <row r="8874" spans="1:13" s="360" customFormat="1" x14ac:dyDescent="0.25">
      <c r="A8874" s="367" t="s">
        <v>34</v>
      </c>
      <c r="B8874" s="267">
        <v>44262</v>
      </c>
      <c r="C8874" s="1">
        <v>17</v>
      </c>
      <c r="D8874" s="39">
        <f t="shared" ref="D8874:D8905" si="1396">C8874+D8850</f>
        <v>26861</v>
      </c>
      <c r="E8874" s="1"/>
      <c r="F8874" s="39">
        <f t="shared" si="1395"/>
        <v>1116</v>
      </c>
      <c r="G8874" s="168">
        <f>SUM(C8874,C8850,C8826,C8802,C8778,C8754,C8730,C8706,C8682,C8658,C8634,C8610,C8586,C8562)/POBLA!$B$17*100000</f>
        <v>102.21869324352691</v>
      </c>
      <c r="H8874" s="256">
        <f t="shared" si="1391"/>
        <v>1.3081761006289307</v>
      </c>
      <c r="I8874" s="297">
        <f t="shared" si="1393"/>
        <v>133.72005153870188</v>
      </c>
      <c r="J8874" s="297">
        <f t="shared" si="1394"/>
        <v>102.85714285714286</v>
      </c>
      <c r="K8874" s="297">
        <f>J8874/POBLA!$B$17*100000</f>
        <v>7.2211007785851038</v>
      </c>
      <c r="L8874" s="549">
        <f t="shared" si="1392"/>
        <v>2.1739130434782594E-2</v>
      </c>
      <c r="M8874" s="401">
        <f>SUM(C8874,C8850,C8826,C8802,C8778,C8754,C8730)/POBLA!$B$17*100000</f>
        <v>50.547705450095727</v>
      </c>
    </row>
    <row r="8875" spans="1:13" s="360" customFormat="1" x14ac:dyDescent="0.25">
      <c r="A8875" s="367" t="s">
        <v>35</v>
      </c>
      <c r="B8875" s="267">
        <v>44262</v>
      </c>
      <c r="C8875" s="1">
        <v>10</v>
      </c>
      <c r="D8875" s="39">
        <f t="shared" si="1396"/>
        <v>15534</v>
      </c>
      <c r="E8875" s="1"/>
      <c r="F8875" s="39">
        <f t="shared" si="1395"/>
        <v>214</v>
      </c>
      <c r="G8875" s="168">
        <f>SUM(C8875,C8851,C8827,C8803,C8779,C8755,C8731,C8707,C8683,C8659,C8635,C8611,C8587,C8563)/POBLA!$B$18*100000</f>
        <v>78.723325273259547</v>
      </c>
      <c r="H8875" s="256">
        <f t="shared" si="1391"/>
        <v>0.97619047619047616</v>
      </c>
      <c r="I8875" s="297">
        <f t="shared" si="1393"/>
        <v>76.848960385800979</v>
      </c>
      <c r="J8875" s="297">
        <f t="shared" si="1394"/>
        <v>41.428571428571431</v>
      </c>
      <c r="K8875" s="297">
        <f>J8875/POBLA!$B$18*100000</f>
        <v>5.3030811450047084</v>
      </c>
      <c r="L8875" s="549">
        <f t="shared" si="1392"/>
        <v>0.10769230769230764</v>
      </c>
      <c r="M8875" s="401">
        <f>SUM(C8875,C8851,C8827,C8803,C8779,C8755,C8731)/POBLA!$B$18*100000</f>
        <v>37.121568015032956</v>
      </c>
    </row>
    <row r="8876" spans="1:13" s="360" customFormat="1" x14ac:dyDescent="0.25">
      <c r="A8876" s="367" t="s">
        <v>36</v>
      </c>
      <c r="B8876" s="267">
        <v>44262</v>
      </c>
      <c r="C8876" s="1">
        <v>0</v>
      </c>
      <c r="D8876" s="39">
        <f t="shared" si="1396"/>
        <v>20802</v>
      </c>
      <c r="E8876" s="1"/>
      <c r="F8876" s="39">
        <f t="shared" si="1395"/>
        <v>358</v>
      </c>
      <c r="G8876" s="168">
        <f>SUM(C8876,C8852,C8828,C8804,C8780,C8756,C8732,C8708,C8684,C8660,C8636,C8612,C8588,C8564)/POBLA!$B$19*100000</f>
        <v>55.672715254717424</v>
      </c>
      <c r="H8876" s="256">
        <f t="shared" si="1391"/>
        <v>0.20028308563340411</v>
      </c>
      <c r="I8876" s="297">
        <f t="shared" si="1393"/>
        <v>11.150303196804693</v>
      </c>
      <c r="J8876" s="297">
        <f t="shared" si="1394"/>
        <v>4.1428571428571432</v>
      </c>
      <c r="K8876" s="297">
        <f>J8876/POBLA!$B$19*100000</f>
        <v>0.81499684118465698</v>
      </c>
      <c r="L8876" s="549">
        <f t="shared" si="1392"/>
        <v>0.88582677165354329</v>
      </c>
      <c r="M8876" s="401">
        <f>SUM(C8876,C8852,C8828,C8804,C8780,C8756,C8732)/POBLA!$B$19*100000</f>
        <v>5.704977888292599</v>
      </c>
    </row>
    <row r="8877" spans="1:13" s="360" customFormat="1" x14ac:dyDescent="0.25">
      <c r="A8877" s="367" t="s">
        <v>37</v>
      </c>
      <c r="B8877" s="267">
        <v>44262</v>
      </c>
      <c r="C8877" s="1">
        <v>51</v>
      </c>
      <c r="D8877" s="39">
        <f t="shared" si="1396"/>
        <v>36663</v>
      </c>
      <c r="E8877" s="1">
        <v>1</v>
      </c>
      <c r="F8877" s="39">
        <f t="shared" si="1395"/>
        <v>597</v>
      </c>
      <c r="G8877" s="168">
        <f>SUM(C8877,C8853,C8829,C8805,C8781,C8757,C8733,C8709,C8685,C8661,C8637,C8613,C8589,C8565)/POBLA!$B$20*100000</f>
        <v>403.06482398044284</v>
      </c>
      <c r="H8877" s="256">
        <f t="shared" si="1391"/>
        <v>1.0566308243727598</v>
      </c>
      <c r="I8877" s="297">
        <f t="shared" si="1393"/>
        <v>425.89071723811662</v>
      </c>
      <c r="J8877" s="297">
        <f t="shared" si="1394"/>
        <v>104.57142857142857</v>
      </c>
      <c r="K8877" s="297">
        <f>J8877/POBLA!$B$20*100000</f>
        <v>28.595023372134538</v>
      </c>
      <c r="L8877" s="549">
        <f t="shared" si="1392"/>
        <v>1.3477088948787075E-2</v>
      </c>
      <c r="M8877" s="401">
        <f>SUM(C8877,C8853,C8829,C8805,C8781,C8757,C8733)/POBLA!$B$20*100000</f>
        <v>200.16516360494177</v>
      </c>
    </row>
    <row r="8878" spans="1:13" s="360" customFormat="1" x14ac:dyDescent="0.25">
      <c r="A8878" s="367" t="s">
        <v>22</v>
      </c>
      <c r="B8878" s="267">
        <v>44262</v>
      </c>
      <c r="C8878" s="1">
        <v>229</v>
      </c>
      <c r="D8878" s="39">
        <f t="shared" si="1396"/>
        <v>219263</v>
      </c>
      <c r="E8878" s="1">
        <v>1</v>
      </c>
      <c r="F8878" s="39">
        <f t="shared" si="1395"/>
        <v>4050</v>
      </c>
      <c r="G8878" s="168">
        <f>SUM(C8878,C8854,C8830,C8806,C8782,C8758,C8734,C8710,C8686,C8662,C8638,C8614,C8590,C8566)/POBLA!$B$21*100000</f>
        <v>147.18282736938903</v>
      </c>
      <c r="H8878" s="256">
        <f t="shared" si="1391"/>
        <v>1.0725324541520709</v>
      </c>
      <c r="I8878" s="297">
        <f t="shared" si="1393"/>
        <v>157.85835904753139</v>
      </c>
      <c r="J8878" s="297">
        <f t="shared" si="1394"/>
        <v>399.71428571428572</v>
      </c>
      <c r="K8878" s="297">
        <f>J8878/POBLA!$B$21*100000</f>
        <v>11.302800905161259</v>
      </c>
      <c r="L8878" s="549">
        <f t="shared" si="1392"/>
        <v>-0.16244287494806819</v>
      </c>
      <c r="M8878" s="401">
        <f>SUM(C8878,C8854,C8830,C8806,C8782,C8758,C8734)/POBLA!$B$21*100000</f>
        <v>79.119606336128825</v>
      </c>
    </row>
    <row r="8879" spans="1:13" s="360" customFormat="1" x14ac:dyDescent="0.25">
      <c r="A8879" s="367" t="s">
        <v>38</v>
      </c>
      <c r="B8879" s="267">
        <v>44262</v>
      </c>
      <c r="C8879" s="1">
        <v>27</v>
      </c>
      <c r="D8879" s="39">
        <f t="shared" si="1396"/>
        <v>23039</v>
      </c>
      <c r="E8879" s="1"/>
      <c r="F8879" s="39">
        <f t="shared" si="1395"/>
        <v>271</v>
      </c>
      <c r="G8879" s="168">
        <f>SUM(C8879,C8855,C8831,C8807,C8783,C8759,C8735,C8711,C8687,C8663,C8639,C8615,C8591,C8567)/POBLA!$B$22*100000</f>
        <v>87.701993124899701</v>
      </c>
      <c r="H8879" s="256">
        <f t="shared" si="1391"/>
        <v>1.1470588235294117</v>
      </c>
      <c r="I8879" s="297">
        <f t="shared" si="1393"/>
        <v>100.599345055032</v>
      </c>
      <c r="J8879" s="297">
        <f t="shared" si="1394"/>
        <v>54.428571428571431</v>
      </c>
      <c r="K8879" s="297">
        <f>J8879/POBLA!$B$22*100000</f>
        <v>5.5635130503807506</v>
      </c>
      <c r="L8879" s="549">
        <f t="shared" si="1392"/>
        <v>0.20125786163522008</v>
      </c>
      <c r="M8879" s="401">
        <f>SUM(C8879,C8855,C8831,C8807,C8783,C8759,C8735)/POBLA!$B$22*100000</f>
        <v>38.944591352665256</v>
      </c>
    </row>
    <row r="8880" spans="1:13" s="360" customFormat="1" x14ac:dyDescent="0.25">
      <c r="A8880" s="367" t="s">
        <v>39</v>
      </c>
      <c r="B8880" s="267">
        <v>44262</v>
      </c>
      <c r="C8880" s="1">
        <v>37</v>
      </c>
      <c r="D8880" s="39">
        <f t="shared" si="1396"/>
        <v>23176</v>
      </c>
      <c r="E8880" s="1"/>
      <c r="F8880" s="39">
        <f t="shared" si="1395"/>
        <v>356</v>
      </c>
      <c r="G8880" s="168">
        <f>SUM(C8880,C8856,C8832,C8808,C8784,C8760,C8736,C8712,C8688,C8664,C8640,C8616,C8592,C8568)/POBLA!$B$23*100000</f>
        <v>265.79200361929537</v>
      </c>
      <c r="H8880" s="256">
        <f t="shared" si="1391"/>
        <v>0.75320512820512819</v>
      </c>
      <c r="I8880" s="297">
        <f t="shared" si="1393"/>
        <v>200.19590016196926</v>
      </c>
      <c r="J8880" s="297">
        <f t="shared" si="1394"/>
        <v>33.857142857142854</v>
      </c>
      <c r="K8880" s="297">
        <f>J8880/POBLA!$B$23*100000</f>
        <v>19.146718801754709</v>
      </c>
      <c r="L8880" s="549">
        <f t="shared" si="1392"/>
        <v>-1.716738197424883E-2</v>
      </c>
      <c r="M8880" s="401">
        <f>SUM(C8880,C8856,C8832,C8808,C8784,C8760,C8736)/POBLA!$B$23*100000</f>
        <v>134.027031612283</v>
      </c>
    </row>
    <row r="8881" spans="1:13" s="360" customFormat="1" ht="15.75" thickBot="1" x14ac:dyDescent="0.3">
      <c r="A8881" s="369" t="s">
        <v>40</v>
      </c>
      <c r="B8881" s="267">
        <v>44262</v>
      </c>
      <c r="C8881" s="1">
        <v>58</v>
      </c>
      <c r="D8881" s="176">
        <f t="shared" si="1396"/>
        <v>80825</v>
      </c>
      <c r="E8881" s="1"/>
      <c r="F8881" s="176">
        <f t="shared" si="1395"/>
        <v>1483</v>
      </c>
      <c r="G8881" s="177">
        <f>SUM(C8881,C8857,C8833,C8809,C8785,C8761,C8737,C8713,C8689,C8665,C8641,C8617,C8593,C8569)/POBLA!$B$24*100000</f>
        <v>121.49958457645681</v>
      </c>
      <c r="H8881" s="402">
        <f t="shared" si="1391"/>
        <v>1.4141483516483517</v>
      </c>
      <c r="I8881" s="403">
        <f t="shared" si="1393"/>
        <v>171.81843725475591</v>
      </c>
      <c r="J8881" s="403">
        <f t="shared" si="1394"/>
        <v>146.85714285714286</v>
      </c>
      <c r="K8881" s="403">
        <f>J8881/POBLA!$B$24*100000</f>
        <v>8.6658969641710684</v>
      </c>
      <c r="L8881" s="550">
        <f t="shared" si="1392"/>
        <v>2.9097963142580285E-3</v>
      </c>
      <c r="M8881" s="405">
        <f>SUM(C8881,C8857,C8833,C8809,C8785,C8761,C8737)/POBLA!$B$24*100000</f>
        <v>60.661278749197479</v>
      </c>
    </row>
    <row r="8882" spans="1:13" s="360" customFormat="1" x14ac:dyDescent="0.25">
      <c r="A8882" s="363" t="s">
        <v>16</v>
      </c>
      <c r="B8882" s="267">
        <v>44263</v>
      </c>
      <c r="C8882" s="1">
        <v>1991</v>
      </c>
      <c r="D8882" s="174">
        <f t="shared" si="1396"/>
        <v>899953</v>
      </c>
      <c r="E8882" s="1">
        <v>130</v>
      </c>
      <c r="F8882" s="174">
        <f t="shared" si="1395"/>
        <v>26841</v>
      </c>
      <c r="G8882" s="175">
        <f>SUM(C8882,C8858,C8834,C8810,C8786,C8762,C8738,C8714,C8690,C8666,C8642,C8618,C8594,C8570)/POBLA!$B$1*100000</f>
        <v>205.69927577687221</v>
      </c>
      <c r="H8882" s="300">
        <f t="shared" ref="H8882:H8929" si="1397">SUM(C8882,C8858,C8834,C8810,C8786,C8762,C8738,C8714,C8690,C8666,C8642,C8618,C8594,C8570)/SUM(C8546,C8522,C8498,C8474,C8450,C8426,C8402,C8378,C8354,C8330,C8306,C8282,C8258,C8234)</f>
        <v>1.022297775888936</v>
      </c>
      <c r="I8882" s="301">
        <f>G8882*H8882</f>
        <v>210.28591212866135</v>
      </c>
      <c r="J8882" s="301">
        <f>AVERAGE(C8882,C8858,C8834,C8810,C8786,C8762,C8738)</f>
        <v>2591.7142857142858</v>
      </c>
      <c r="K8882" s="301">
        <f>J8882/POBLA!$B$1*100000</f>
        <v>14.775061016351705</v>
      </c>
      <c r="L8882" s="548">
        <f t="shared" ref="L8882:L8905" si="1398">1-SUM(C8882,C8858,C8834,C8810,C8786,C8762,C8738)/SUM(C8714,C8690,C8666,C8642,C8618,C8594,C8570)</f>
        <v>-1.1259754738015548E-2</v>
      </c>
      <c r="M8882" s="400">
        <f>SUM(C8882,C8858,C8834,C8810,C8786,C8762,C8738)/POBLA!$B$1*100000</f>
        <v>103.42542711446194</v>
      </c>
    </row>
    <row r="8883" spans="1:13" s="360" customFormat="1" x14ac:dyDescent="0.25">
      <c r="A8883" s="367" t="s">
        <v>43</v>
      </c>
      <c r="B8883" s="267">
        <v>44263</v>
      </c>
      <c r="C8883" s="1">
        <v>693</v>
      </c>
      <c r="D8883" s="39">
        <f t="shared" si="1396"/>
        <v>237139</v>
      </c>
      <c r="E8883" s="1">
        <v>28</v>
      </c>
      <c r="F8883" s="39">
        <f t="shared" si="1395"/>
        <v>6612</v>
      </c>
      <c r="G8883" s="168">
        <f>SUM(C8883,C8859,C8835,C8811,C8787,C8763,C8739,C8715,C8691,C8667,C8643,C8619,C8595,C8571)/POBLA!$B$2*100000</f>
        <v>311.77190092747992</v>
      </c>
      <c r="H8883" s="256">
        <f t="shared" si="1397"/>
        <v>0.98006950122649228</v>
      </c>
      <c r="I8883" s="297">
        <f t="shared" ref="I8883:I8905" si="1399">G8883*H8883</f>
        <v>305.55813143843062</v>
      </c>
      <c r="J8883" s="297">
        <f t="shared" ref="J8883:J8905" si="1400">AVERAGE(C8883,C8859,C8835,C8811,C8787,C8763,C8739)</f>
        <v>687.85714285714289</v>
      </c>
      <c r="K8883" s="297">
        <f>J8883/POBLA!$B$2*100000</f>
        <v>22.364639586517526</v>
      </c>
      <c r="L8883" s="549">
        <f t="shared" si="1398"/>
        <v>-8.5881860075407435E-3</v>
      </c>
      <c r="M8883" s="401">
        <f>SUM(C8883,C8859,C8835,C8811,C8787,C8763,C8739)/POBLA!$B$2*100000</f>
        <v>156.5524771056227</v>
      </c>
    </row>
    <row r="8884" spans="1:13" s="360" customFormat="1" x14ac:dyDescent="0.25">
      <c r="A8884" s="367" t="s">
        <v>28</v>
      </c>
      <c r="B8884" s="267">
        <v>44263</v>
      </c>
      <c r="C8884" s="1">
        <v>75</v>
      </c>
      <c r="D8884" s="39">
        <f t="shared" si="1396"/>
        <v>8527</v>
      </c>
      <c r="E8884" s="1"/>
      <c r="F8884" s="39">
        <f t="shared" si="1395"/>
        <v>17</v>
      </c>
      <c r="G8884" s="168">
        <f>SUM(C8884,C8860,C8836,C8812,C8788,C8764,C8740,C8716,C8692,C8668,C8644,C8620,C8596,C8572)/POBLA!$B$3*100000</f>
        <v>277.05698563925301</v>
      </c>
      <c r="H8884" s="256">
        <f t="shared" si="1397"/>
        <v>1.0941064638783271</v>
      </c>
      <c r="I8884" s="297">
        <f t="shared" si="1399"/>
        <v>303.12983885055155</v>
      </c>
      <c r="J8884" s="297">
        <f t="shared" si="1400"/>
        <v>69.857142857142861</v>
      </c>
      <c r="K8884" s="297">
        <f>J8884/POBLA!$B$3*100000</f>
        <v>16.815299240113532</v>
      </c>
      <c r="L8884" s="549">
        <f t="shared" si="1398"/>
        <v>0.26132930513595165</v>
      </c>
      <c r="M8884" s="401">
        <f>SUM(C8884,C8860,C8836,C8812,C8788,C8764,C8740)/POBLA!$B$3*100000</f>
        <v>117.70709468079473</v>
      </c>
    </row>
    <row r="8885" spans="1:13" s="360" customFormat="1" x14ac:dyDescent="0.25">
      <c r="A8885" s="367" t="s">
        <v>15</v>
      </c>
      <c r="B8885" s="267">
        <v>44263</v>
      </c>
      <c r="C8885" s="1">
        <v>119</v>
      </c>
      <c r="D8885" s="39">
        <f t="shared" si="1396"/>
        <v>35182</v>
      </c>
      <c r="E8885" s="1">
        <v>4</v>
      </c>
      <c r="F8885" s="39">
        <f t="shared" si="1395"/>
        <v>877</v>
      </c>
      <c r="G8885" s="168">
        <f>SUM(C8885,C8861,C8837,C8813,C8789,C8765,C8741,C8717,C8693,C8669,C8645,C8621,C8597,C8573)/POBLA!$B$4*100000</f>
        <v>153.75151198672356</v>
      </c>
      <c r="H8885" s="256">
        <f t="shared" si="1397"/>
        <v>1.1575</v>
      </c>
      <c r="I8885" s="297">
        <f t="shared" si="1399"/>
        <v>177.96737512463253</v>
      </c>
      <c r="J8885" s="297">
        <f t="shared" si="1400"/>
        <v>137.85714285714286</v>
      </c>
      <c r="K8885" s="297">
        <f>J8885/POBLA!$B$4*100000</f>
        <v>11.444786259425197</v>
      </c>
      <c r="L8885" s="549">
        <f t="shared" si="1398"/>
        <v>-8.7936865839909784E-2</v>
      </c>
      <c r="M8885" s="401">
        <f>SUM(C8885,C8861,C8837,C8813,C8789,C8765,C8741)/POBLA!$B$4*100000</f>
        <v>80.113503815976372</v>
      </c>
    </row>
    <row r="8886" spans="1:13" s="360" customFormat="1" x14ac:dyDescent="0.25">
      <c r="A8886" s="367" t="s">
        <v>29</v>
      </c>
      <c r="B8886" s="267">
        <v>44263</v>
      </c>
      <c r="C8886" s="1">
        <v>69</v>
      </c>
      <c r="D8886" s="39">
        <f t="shared" si="1396"/>
        <v>47613</v>
      </c>
      <c r="E8886" s="1">
        <v>4</v>
      </c>
      <c r="F8886" s="39">
        <f t="shared" si="1395"/>
        <v>781</v>
      </c>
      <c r="G8886" s="168">
        <f>SUM(C8886,C8862,C8838,C8814,C8790,C8766,C8742,C8718,C8694,C8670,C8646,C8622,C8598,C8574)/POBLA!$B$5*100000</f>
        <v>223.10393961815461</v>
      </c>
      <c r="H8886" s="256">
        <f t="shared" si="1397"/>
        <v>0.66330451488952935</v>
      </c>
      <c r="I8886" s="297">
        <f t="shared" si="1399"/>
        <v>147.98585043836289</v>
      </c>
      <c r="J8886" s="297">
        <f t="shared" si="1400"/>
        <v>86.428571428571431</v>
      </c>
      <c r="K8886" s="297">
        <f>J8886/POBLA!$B$5*100000</f>
        <v>13.962747850313804</v>
      </c>
      <c r="L8886" s="549">
        <f t="shared" si="1398"/>
        <v>0.22036082474226804</v>
      </c>
      <c r="M8886" s="401">
        <f>SUM(C8886,C8862,C8838,C8814,C8790,C8766,C8742)/POBLA!$B$5*100000</f>
        <v>97.739234952196639</v>
      </c>
    </row>
    <row r="8887" spans="1:13" s="360" customFormat="1" x14ac:dyDescent="0.25">
      <c r="A8887" s="367" t="s">
        <v>30</v>
      </c>
      <c r="B8887" s="267">
        <v>44263</v>
      </c>
      <c r="C8887" s="1">
        <v>198</v>
      </c>
      <c r="D8887" s="39">
        <f t="shared" si="1396"/>
        <v>23378</v>
      </c>
      <c r="E8887" s="1">
        <v>1</v>
      </c>
      <c r="F8887" s="39">
        <f t="shared" si="1395"/>
        <v>301</v>
      </c>
      <c r="G8887" s="168">
        <f>SUM(C8887,C8863,C8839,C8815,C8791,C8767,C8743,C8719,C8695,C8671,C8647,C8623,C8599,C8575)/POBLA!$B$6*100000</f>
        <v>203.06905507757401</v>
      </c>
      <c r="H8887" s="256">
        <f t="shared" si="1397"/>
        <v>0.99519020550940096</v>
      </c>
      <c r="I8887" s="297">
        <f t="shared" si="1399"/>
        <v>202.09233465525074</v>
      </c>
      <c r="J8887" s="297">
        <f t="shared" si="1400"/>
        <v>204.14285714285714</v>
      </c>
      <c r="K8887" s="297">
        <f>J8887/POBLA!$B$6*100000</f>
        <v>18.214014543425385</v>
      </c>
      <c r="L8887" s="549">
        <f t="shared" si="1398"/>
        <v>-0.68713105076741443</v>
      </c>
      <c r="M8887" s="401">
        <f>SUM(C8887,C8863,C8839,C8815,C8791,C8767,C8743)/POBLA!$B$6*100000</f>
        <v>127.49810180397768</v>
      </c>
    </row>
    <row r="8888" spans="1:13" s="360" customFormat="1" x14ac:dyDescent="0.25">
      <c r="A8888" s="367" t="s">
        <v>20</v>
      </c>
      <c r="B8888" s="267">
        <v>44263</v>
      </c>
      <c r="C8888" s="1">
        <v>492</v>
      </c>
      <c r="D8888" s="39">
        <f t="shared" si="1396"/>
        <v>164332</v>
      </c>
      <c r="E8888" s="1">
        <v>7</v>
      </c>
      <c r="F8888" s="39">
        <f t="shared" si="1395"/>
        <v>2883</v>
      </c>
      <c r="G8888" s="168">
        <f>SUM(C8888,C8864,C8840,C8816,C8792,C8768,C8744,C8720,C8696,C8672,C8648,C8624,C8600,C8576)/POBLA!$B$7*100000</f>
        <v>222.20744857663314</v>
      </c>
      <c r="H8888" s="256">
        <f t="shared" si="1397"/>
        <v>1.1130944451844944</v>
      </c>
      <c r="I8888" s="297">
        <f t="shared" si="1399"/>
        <v>247.33787668926954</v>
      </c>
      <c r="J8888" s="297">
        <f t="shared" si="1400"/>
        <v>580.14285714285711</v>
      </c>
      <c r="K8888" s="297">
        <f>J8888/POBLA!$B$7*100000</f>
        <v>15.427484932464388</v>
      </c>
      <c r="L8888" s="549">
        <f t="shared" si="1398"/>
        <v>5.4481955762514578E-2</v>
      </c>
      <c r="M8888" s="401">
        <f>SUM(C8888,C8864,C8840,C8816,C8792,C8768,C8744)/POBLA!$B$7*100000</f>
        <v>107.99239452725072</v>
      </c>
    </row>
    <row r="8889" spans="1:13" x14ac:dyDescent="0.25">
      <c r="A8889" s="367" t="s">
        <v>31</v>
      </c>
      <c r="B8889" s="267">
        <v>44263</v>
      </c>
      <c r="C8889" s="1">
        <v>85</v>
      </c>
      <c r="D8889" s="39">
        <f t="shared" si="1396"/>
        <v>46078</v>
      </c>
      <c r="E8889" s="1">
        <v>15</v>
      </c>
      <c r="F8889" s="39">
        <f t="shared" ref="F8889:F8912" si="1401">E8889+F8865</f>
        <v>887</v>
      </c>
      <c r="G8889" s="168">
        <f>SUM(C8889,C8865,C8841,C8817,C8793,C8769,C8745,C8721,C8697,C8673,C8649,C8625,C8601,C8577)/POBLA!$B$8*100000</f>
        <v>119.05096896665923</v>
      </c>
      <c r="H8889" s="256">
        <f t="shared" si="1397"/>
        <v>0.89869281045751637</v>
      </c>
      <c r="I8889" s="297">
        <f t="shared" si="1399"/>
        <v>106.99024988833754</v>
      </c>
      <c r="J8889" s="297">
        <f t="shared" si="1400"/>
        <v>117</v>
      </c>
      <c r="K8889" s="297">
        <f>J8889/POBLA!$B$8*100000</f>
        <v>8.4417959812722003</v>
      </c>
      <c r="L8889" s="549">
        <f t="shared" si="1398"/>
        <v>1.4440433212996373E-2</v>
      </c>
      <c r="M8889" s="401">
        <f>SUM(C8889,C8865,C8841,C8817,C8793,C8769,C8745)/POBLA!$B$8*100000</f>
        <v>59.092571868905395</v>
      </c>
    </row>
    <row r="8890" spans="1:13" s="360" customFormat="1" x14ac:dyDescent="0.25">
      <c r="A8890" s="367" t="s">
        <v>41</v>
      </c>
      <c r="B8890" s="267">
        <v>44263</v>
      </c>
      <c r="C8890" s="1">
        <v>24</v>
      </c>
      <c r="D8890" s="39">
        <f t="shared" si="1396"/>
        <v>1392</v>
      </c>
      <c r="E8890" s="1"/>
      <c r="F8890" s="39">
        <f t="shared" si="1401"/>
        <v>20</v>
      </c>
      <c r="G8890" s="168">
        <f>SUM(C8890,C8866,C8842,C8818,C8794,C8770,C8746,C8722,C8698,C8674,C8650,C8626,C8602,C8578)/POBLA!$B$9*100000</f>
        <v>42.300555360025648</v>
      </c>
      <c r="H8890" s="256">
        <f t="shared" si="1397"/>
        <v>1.0199203187250996</v>
      </c>
      <c r="I8890" s="297">
        <f t="shared" si="1399"/>
        <v>43.143195905046078</v>
      </c>
      <c r="J8890" s="297">
        <f t="shared" si="1400"/>
        <v>21.285714285714285</v>
      </c>
      <c r="K8890" s="297">
        <f>J8890/POBLA!$B$9*100000</f>
        <v>3.5171778731271321</v>
      </c>
      <c r="L8890" s="549">
        <f t="shared" si="1398"/>
        <v>-0.39252336448598135</v>
      </c>
      <c r="M8890" s="401">
        <f>SUM(C8890,C8866,C8842,C8818,C8794,C8770,C8746)/POBLA!$B$9*100000</f>
        <v>24.620245111889922</v>
      </c>
    </row>
    <row r="8891" spans="1:13" s="360" customFormat="1" x14ac:dyDescent="0.25">
      <c r="A8891" s="367" t="s">
        <v>32</v>
      </c>
      <c r="B8891" s="267">
        <v>44263</v>
      </c>
      <c r="C8891" s="1">
        <v>35</v>
      </c>
      <c r="D8891" s="39">
        <f t="shared" si="1396"/>
        <v>21296</v>
      </c>
      <c r="E8891" s="1">
        <v>2</v>
      </c>
      <c r="F8891" s="39">
        <f t="shared" si="1401"/>
        <v>915</v>
      </c>
      <c r="G8891" s="168">
        <f>SUM(C8891,C8867,C8843,C8819,C8795,C8771,C8747,C8723,C8699,C8675,C8651,C8627,C8603,C8579)/POBLA!$B$10*100000</f>
        <v>146.9746951864166</v>
      </c>
      <c r="H8891" s="256">
        <f t="shared" si="1397"/>
        <v>1.8392857142857142</v>
      </c>
      <c r="I8891" s="297">
        <f t="shared" si="1399"/>
        <v>270.32845721787339</v>
      </c>
      <c r="J8891" s="297">
        <f t="shared" si="1400"/>
        <v>71.428571428571431</v>
      </c>
      <c r="K8891" s="297">
        <f>J8891/POBLA!$B$10*100000</f>
        <v>9.2658362871275113</v>
      </c>
      <c r="L8891" s="549">
        <f t="shared" si="1398"/>
        <v>0.21011058451816744</v>
      </c>
      <c r="M8891" s="401">
        <f>SUM(C8891,C8867,C8843,C8819,C8795,C8771,C8747)/POBLA!$B$10*100000</f>
        <v>64.860854009892577</v>
      </c>
    </row>
    <row r="8892" spans="1:13" s="360" customFormat="1" x14ac:dyDescent="0.25">
      <c r="A8892" s="367" t="s">
        <v>33</v>
      </c>
      <c r="B8892" s="267">
        <v>44263</v>
      </c>
      <c r="C8892" s="1">
        <v>69</v>
      </c>
      <c r="D8892" s="39">
        <f t="shared" si="1396"/>
        <v>19310</v>
      </c>
      <c r="E8892" s="1">
        <v>2</v>
      </c>
      <c r="F8892" s="39">
        <f t="shared" si="1401"/>
        <v>291</v>
      </c>
      <c r="G8892" s="168">
        <f>SUM(C8892,C8868,C8844,C8820,C8796,C8772,C8748,C8724,C8700,C8676,C8652,C8628,C8604,C8580)/POBLA!$B$11*100000</f>
        <v>320.56647360139272</v>
      </c>
      <c r="H8892" s="256">
        <f t="shared" si="1397"/>
        <v>1.1845360824742268</v>
      </c>
      <c r="I8892" s="297">
        <f t="shared" si="1399"/>
        <v>379.72255481237136</v>
      </c>
      <c r="J8892" s="297">
        <f t="shared" si="1400"/>
        <v>77.857142857142861</v>
      </c>
      <c r="K8892" s="297">
        <f>J8892/POBLA!$B$11*100000</f>
        <v>21.721836144816493</v>
      </c>
      <c r="L8892" s="549">
        <f t="shared" si="1398"/>
        <v>9.7682119205298013E-2</v>
      </c>
      <c r="M8892" s="401">
        <f>SUM(C8892,C8868,C8844,C8820,C8796,C8772,C8748)/POBLA!$B$11*100000</f>
        <v>152.05285301371543</v>
      </c>
    </row>
    <row r="8893" spans="1:13" s="360" customFormat="1" x14ac:dyDescent="0.25">
      <c r="A8893" s="367" t="s">
        <v>21</v>
      </c>
      <c r="B8893" s="267">
        <v>44263</v>
      </c>
      <c r="C8893" s="1">
        <v>17</v>
      </c>
      <c r="D8893" s="39">
        <f t="shared" si="1396"/>
        <v>10380</v>
      </c>
      <c r="E8893" s="1"/>
      <c r="F8893" s="39">
        <f t="shared" si="1401"/>
        <v>444</v>
      </c>
      <c r="G8893" s="168">
        <f>SUM(C8893,C8869,C8845,C8821,C8797,C8773,C8749,C8725,C8701,C8677,C8653,C8629,C8605,C8581)/POBLA!$B$12*100000</f>
        <v>84.618492571106216</v>
      </c>
      <c r="H8893" s="256">
        <f t="shared" si="1397"/>
        <v>0.94602272727272729</v>
      </c>
      <c r="I8893" s="297">
        <f t="shared" si="1399"/>
        <v>80.05101711982492</v>
      </c>
      <c r="J8893" s="297">
        <f t="shared" si="1400"/>
        <v>19.857142857142858</v>
      </c>
      <c r="K8893" s="297">
        <f>J8893/POBLA!$B$12*100000</f>
        <v>5.0458903763980114</v>
      </c>
      <c r="L8893" s="549">
        <f t="shared" si="1398"/>
        <v>0.28350515463917525</v>
      </c>
      <c r="M8893" s="401">
        <f>SUM(C8893,C8869,C8845,C8821,C8797,C8773,C8749)/POBLA!$B$12*100000</f>
        <v>35.321232634786078</v>
      </c>
    </row>
    <row r="8894" spans="1:13" s="360" customFormat="1" x14ac:dyDescent="0.25">
      <c r="A8894" s="367" t="s">
        <v>17</v>
      </c>
      <c r="B8894" s="267">
        <v>44263</v>
      </c>
      <c r="C8894" s="1">
        <v>128</v>
      </c>
      <c r="D8894" s="39">
        <f t="shared" si="1396"/>
        <v>68355</v>
      </c>
      <c r="E8894" s="1">
        <v>3</v>
      </c>
      <c r="F8894" s="39">
        <f t="shared" si="1401"/>
        <v>1464</v>
      </c>
      <c r="G8894" s="168">
        <f>SUM(C8894,C8870,C8846,C8822,C8798,C8774,C8750,C8726,C8702,C8678,C8654,C8630,C8606,C8582)/POBLA!$B$13*100000</f>
        <v>97.671852720492694</v>
      </c>
      <c r="H8894" s="256">
        <f t="shared" si="1397"/>
        <v>1.2421725239616614</v>
      </c>
      <c r="I8894" s="297">
        <f t="shared" si="1399"/>
        <v>121.32529181382608</v>
      </c>
      <c r="J8894" s="297">
        <f t="shared" si="1400"/>
        <v>145.85714285714286</v>
      </c>
      <c r="K8894" s="297">
        <f>J8894/POBLA!$B$13*100000</f>
        <v>7.3282599667565433</v>
      </c>
      <c r="L8894" s="549">
        <f t="shared" si="1398"/>
        <v>-0.10617551462621888</v>
      </c>
      <c r="M8894" s="401">
        <f>SUM(C8894,C8870,C8846,C8822,C8798,C8774,C8750)/POBLA!$B$13*100000</f>
        <v>51.297819767295806</v>
      </c>
    </row>
    <row r="8895" spans="1:13" s="360" customFormat="1" x14ac:dyDescent="0.25">
      <c r="A8895" s="367" t="s">
        <v>23</v>
      </c>
      <c r="B8895" s="267">
        <v>44263</v>
      </c>
      <c r="C8895" s="1">
        <v>109</v>
      </c>
      <c r="D8895" s="39">
        <f t="shared" si="1396"/>
        <v>9231</v>
      </c>
      <c r="E8895" s="1">
        <v>4</v>
      </c>
      <c r="F8895" s="39">
        <f t="shared" si="1401"/>
        <v>155</v>
      </c>
      <c r="G8895" s="168">
        <f>SUM(C8895,C8871,C8847,C8823,C8799,C8775,C8751,C8727,C8703,C8679,C8655,C8631,C8607,C8583)/POBLA!$B$14*100000</f>
        <v>128.59809053242145</v>
      </c>
      <c r="H8895" s="256">
        <f t="shared" si="1397"/>
        <v>1.0878604963112006</v>
      </c>
      <c r="I8895" s="297">
        <f t="shared" si="1399"/>
        <v>139.89678259127271</v>
      </c>
      <c r="J8895" s="297">
        <f t="shared" si="1400"/>
        <v>121.57142857142857</v>
      </c>
      <c r="K8895" s="297">
        <f>J8895/POBLA!$B$14*100000</f>
        <v>9.6386273597930838</v>
      </c>
      <c r="L8895" s="549">
        <f t="shared" si="1398"/>
        <v>-0.10376134889753574</v>
      </c>
      <c r="M8895" s="401">
        <f>SUM(C8895,C8871,C8847,C8823,C8799,C8775,C8751)/POBLA!$B$14*100000</f>
        <v>67.47039151855158</v>
      </c>
    </row>
    <row r="8896" spans="1:13" s="360" customFormat="1" x14ac:dyDescent="0.25">
      <c r="A8896" s="367" t="s">
        <v>19</v>
      </c>
      <c r="B8896" s="267">
        <v>44263</v>
      </c>
      <c r="C8896" s="1">
        <v>128</v>
      </c>
      <c r="D8896" s="39">
        <f t="shared" si="1396"/>
        <v>62423</v>
      </c>
      <c r="E8896" s="1"/>
      <c r="F8896" s="39">
        <f t="shared" si="1401"/>
        <v>940</v>
      </c>
      <c r="G8896" s="168">
        <f>SUM(C8896,C8872,C8848,C8824,C8800,C8776,C8752,C8728,C8704,C8680,C8656,C8632,C8608,C8584)/POBLA!$B$15*100000</f>
        <v>335.96513552300479</v>
      </c>
      <c r="H8896" s="256">
        <f t="shared" si="1397"/>
        <v>0.68330781010719754</v>
      </c>
      <c r="I8896" s="297">
        <f t="shared" si="1399"/>
        <v>229.56760102659226</v>
      </c>
      <c r="J8896" s="297">
        <f t="shared" si="1400"/>
        <v>157.14285714285714</v>
      </c>
      <c r="K8896" s="297">
        <f>J8896/POBLA!$B$15*100000</f>
        <v>23.664061540328188</v>
      </c>
      <c r="L8896" s="549">
        <f t="shared" si="1398"/>
        <v>2.7409372236958496E-2</v>
      </c>
      <c r="M8896" s="401">
        <f>SUM(C8896,C8872,C8848,C8824,C8800,C8776,C8752)/POBLA!$B$15*100000</f>
        <v>165.64843078229731</v>
      </c>
    </row>
    <row r="8897" spans="1:13" s="360" customFormat="1" x14ac:dyDescent="0.25">
      <c r="A8897" s="367" t="s">
        <v>18</v>
      </c>
      <c r="B8897" s="267">
        <v>44263</v>
      </c>
      <c r="C8897" s="1">
        <v>111</v>
      </c>
      <c r="D8897" s="39">
        <f t="shared" si="1396"/>
        <v>53227</v>
      </c>
      <c r="E8897" s="1">
        <v>5</v>
      </c>
      <c r="F8897" s="39">
        <f t="shared" si="1401"/>
        <v>1215</v>
      </c>
      <c r="G8897" s="168">
        <f>SUM(C8897,C8873,C8849,C8825,C8801,C8777,C8753,C8729,C8705,C8681,C8657,C8633,C8609,C8585)/POBLA!$B$16*100000</f>
        <v>221.23834619654633</v>
      </c>
      <c r="H8897" s="256">
        <f t="shared" si="1397"/>
        <v>0.83408976298537574</v>
      </c>
      <c r="I8897" s="297">
        <f t="shared" si="1399"/>
        <v>184.53263974235384</v>
      </c>
      <c r="J8897" s="297">
        <f t="shared" si="1400"/>
        <v>112.85714285714286</v>
      </c>
      <c r="K8897" s="297">
        <f>J8897/POBLA!$B$16*100000</f>
        <v>15.095724088380688</v>
      </c>
      <c r="L8897" s="549">
        <f t="shared" si="1398"/>
        <v>8.564814814814814E-2</v>
      </c>
      <c r="M8897" s="401">
        <f>SUM(C8897,C8873,C8849,C8825,C8801,C8777,C8753)/POBLA!$B$16*100000</f>
        <v>105.67006861866481</v>
      </c>
    </row>
    <row r="8898" spans="1:13" s="360" customFormat="1" x14ac:dyDescent="0.25">
      <c r="A8898" s="367" t="s">
        <v>34</v>
      </c>
      <c r="B8898" s="267">
        <v>44263</v>
      </c>
      <c r="C8898" s="1">
        <v>43</v>
      </c>
      <c r="D8898" s="39">
        <f t="shared" si="1396"/>
        <v>26904</v>
      </c>
      <c r="E8898" s="1">
        <v>8</v>
      </c>
      <c r="F8898" s="39">
        <f t="shared" si="1401"/>
        <v>1124</v>
      </c>
      <c r="G8898" s="168">
        <f>SUM(C8898,C8874,C8850,C8826,C8802,C8778,C8754,C8730,C8706,C8682,C8658,C8634,C8610,C8586)/POBLA!$B$17*100000</f>
        <v>100.04233370331445</v>
      </c>
      <c r="H8898" s="256">
        <f t="shared" si="1397"/>
        <v>1.227390180878553</v>
      </c>
      <c r="I8898" s="297">
        <f t="shared" si="1399"/>
        <v>122.79097805962368</v>
      </c>
      <c r="J8898" s="297">
        <f t="shared" si="1400"/>
        <v>101</v>
      </c>
      <c r="K8898" s="297">
        <f>J8898/POBLA!$B$17*100000</f>
        <v>7.0907197923050944</v>
      </c>
      <c r="L8898" s="549">
        <f t="shared" si="1398"/>
        <v>1.5320334261838431E-2</v>
      </c>
      <c r="M8898" s="401">
        <f>SUM(C8898,C8874,C8850,C8826,C8802,C8778,C8754)/POBLA!$B$17*100000</f>
        <v>49.635038546135661</v>
      </c>
    </row>
    <row r="8899" spans="1:13" s="360" customFormat="1" x14ac:dyDescent="0.25">
      <c r="A8899" s="367" t="s">
        <v>35</v>
      </c>
      <c r="B8899" s="267">
        <v>44263</v>
      </c>
      <c r="C8899" s="1">
        <v>78</v>
      </c>
      <c r="D8899" s="39">
        <f t="shared" si="1396"/>
        <v>15612</v>
      </c>
      <c r="E8899" s="1">
        <v>1</v>
      </c>
      <c r="F8899" s="39">
        <f t="shared" si="1401"/>
        <v>215</v>
      </c>
      <c r="G8899" s="168">
        <f>SUM(C8899,C8875,C8851,C8827,C8803,C8779,C8755,C8731,C8707,C8683,C8659,C8635,C8611,C8587)/POBLA!$B$18*100000</f>
        <v>79.619363121898274</v>
      </c>
      <c r="H8899" s="256">
        <f t="shared" si="1397"/>
        <v>0.95252679938744256</v>
      </c>
      <c r="I8899" s="297">
        <f t="shared" si="1399"/>
        <v>75.839577123768336</v>
      </c>
      <c r="J8899" s="297">
        <f t="shared" si="1400"/>
        <v>45.714285714285715</v>
      </c>
      <c r="K8899" s="297">
        <f>J8899/POBLA!$B$18*100000</f>
        <v>5.8516757462120914</v>
      </c>
      <c r="L8899" s="549">
        <f t="shared" si="1398"/>
        <v>-5.9602649006622599E-2</v>
      </c>
      <c r="M8899" s="401">
        <f>SUM(C8899,C8875,C8851,C8827,C8803,C8779,C8755)/POBLA!$B$18*100000</f>
        <v>40.961730223484636</v>
      </c>
    </row>
    <row r="8900" spans="1:13" s="360" customFormat="1" x14ac:dyDescent="0.25">
      <c r="A8900" s="367" t="s">
        <v>36</v>
      </c>
      <c r="B8900" s="267">
        <v>44263</v>
      </c>
      <c r="C8900" s="1">
        <v>3</v>
      </c>
      <c r="D8900" s="39">
        <f t="shared" si="1396"/>
        <v>20805</v>
      </c>
      <c r="E8900" s="1"/>
      <c r="F8900" s="39">
        <f t="shared" si="1401"/>
        <v>358</v>
      </c>
      <c r="G8900" s="168">
        <f>SUM(C8900,C8876,C8852,C8828,C8804,C8780,C8756,C8732,C8708,C8684,C8660,C8636,C8612,C8588)/POBLA!$B$19*100000</f>
        <v>51.738247745550119</v>
      </c>
      <c r="H8900" s="256">
        <f t="shared" si="1397"/>
        <v>0.18391608391608391</v>
      </c>
      <c r="I8900" s="297">
        <f t="shared" si="1399"/>
        <v>9.5154959140417343</v>
      </c>
      <c r="J8900" s="297">
        <f t="shared" si="1400"/>
        <v>4.1428571428571432</v>
      </c>
      <c r="K8900" s="297">
        <f>J8900/POBLA!$B$19*100000</f>
        <v>0.81499684118465698</v>
      </c>
      <c r="L8900" s="549">
        <f t="shared" si="1398"/>
        <v>0.87606837606837606</v>
      </c>
      <c r="M8900" s="401">
        <f>SUM(C8900,C8876,C8852,C8828,C8804,C8780,C8756)/POBLA!$B$19*100000</f>
        <v>5.704977888292599</v>
      </c>
    </row>
    <row r="8901" spans="1:13" s="360" customFormat="1" x14ac:dyDescent="0.25">
      <c r="A8901" s="367" t="s">
        <v>37</v>
      </c>
      <c r="B8901" s="267">
        <v>44263</v>
      </c>
      <c r="C8901" s="1">
        <v>94</v>
      </c>
      <c r="D8901" s="39">
        <f t="shared" si="1396"/>
        <v>36757</v>
      </c>
      <c r="E8901" s="1">
        <v>1</v>
      </c>
      <c r="F8901" s="39">
        <f t="shared" si="1401"/>
        <v>598</v>
      </c>
      <c r="G8901" s="168">
        <f>SUM(C8901,C8877,C8853,C8829,C8805,C8781,C8757,C8733,C8709,C8685,C8661,C8637,C8613,C8589)/POBLA!$B$20*100000</f>
        <v>394.86133366876493</v>
      </c>
      <c r="H8901" s="256">
        <f t="shared" si="1397"/>
        <v>1.0418470418470418</v>
      </c>
      <c r="I8901" s="297">
        <f t="shared" si="1399"/>
        <v>411.38511242258045</v>
      </c>
      <c r="J8901" s="297">
        <f t="shared" si="1400"/>
        <v>109</v>
      </c>
      <c r="K8901" s="297">
        <f>J8901/POBLA!$B$20*100000</f>
        <v>29.806014799096523</v>
      </c>
      <c r="L8901" s="549">
        <f t="shared" si="1398"/>
        <v>-0.1204111600587372</v>
      </c>
      <c r="M8901" s="401">
        <f>SUM(C8901,C8877,C8853,C8829,C8805,C8781,C8757)/POBLA!$B$20*100000</f>
        <v>208.64210359367564</v>
      </c>
    </row>
    <row r="8902" spans="1:13" s="360" customFormat="1" x14ac:dyDescent="0.25">
      <c r="A8902" s="367" t="s">
        <v>22</v>
      </c>
      <c r="B8902" s="267">
        <v>44263</v>
      </c>
      <c r="C8902" s="1">
        <v>289</v>
      </c>
      <c r="D8902" s="39">
        <f t="shared" si="1396"/>
        <v>219552</v>
      </c>
      <c r="E8902" s="1">
        <v>24</v>
      </c>
      <c r="F8902" s="39">
        <f t="shared" si="1401"/>
        <v>4074</v>
      </c>
      <c r="G8902" s="168">
        <f>SUM(C8902,C8878,C8854,C8830,C8806,C8782,C8758,C8734,C8710,C8686,C8662,C8638,C8614,C8590)/POBLA!$B$21*100000</f>
        <v>146.02346215860229</v>
      </c>
      <c r="H8902" s="256">
        <f t="shared" si="1397"/>
        <v>1.0568972574703235</v>
      </c>
      <c r="I8902" s="297">
        <f t="shared" si="1399"/>
        <v>154.33179668174833</v>
      </c>
      <c r="J8902" s="297">
        <f t="shared" si="1400"/>
        <v>396.14285714285717</v>
      </c>
      <c r="K8902" s="297">
        <f>J8902/POBLA!$B$21*100000</f>
        <v>11.20181090422165</v>
      </c>
      <c r="L8902" s="549">
        <f t="shared" si="1398"/>
        <v>-0.15976578837306565</v>
      </c>
      <c r="M8902" s="401">
        <f>SUM(C8902,C8878,C8854,C8830,C8806,C8782,C8758)/POBLA!$B$21*100000</f>
        <v>78.412676329551545</v>
      </c>
    </row>
    <row r="8903" spans="1:13" s="360" customFormat="1" x14ac:dyDescent="0.25">
      <c r="A8903" s="367" t="s">
        <v>38</v>
      </c>
      <c r="B8903" s="267">
        <v>44263</v>
      </c>
      <c r="C8903" s="1">
        <v>44</v>
      </c>
      <c r="D8903" s="39">
        <f t="shared" si="1396"/>
        <v>23083</v>
      </c>
      <c r="E8903" s="1"/>
      <c r="F8903" s="39">
        <f t="shared" si="1401"/>
        <v>271</v>
      </c>
      <c r="G8903" s="168">
        <f>SUM(C8903,C8879,C8855,C8831,C8807,C8783,C8759,C8735,C8711,C8687,C8663,C8639,C8615,C8591)/POBLA!$B$22*100000</f>
        <v>88.519727326530472</v>
      </c>
      <c r="H8903" s="256">
        <f t="shared" si="1397"/>
        <v>1.1944827586206896</v>
      </c>
      <c r="I8903" s="297">
        <f t="shared" si="1399"/>
        <v>105.73528808934536</v>
      </c>
      <c r="J8903" s="297">
        <f t="shared" si="1400"/>
        <v>55.857142857142854</v>
      </c>
      <c r="K8903" s="297">
        <f>J8903/POBLA!$B$22*100000</f>
        <v>5.7095370149576725</v>
      </c>
      <c r="L8903" s="549">
        <f t="shared" si="1398"/>
        <v>0.17684210526315791</v>
      </c>
      <c r="M8903" s="401">
        <f>SUM(C8903,C8879,C8855,C8831,C8807,C8783,C8759)/POBLA!$B$22*100000</f>
        <v>39.966759104703712</v>
      </c>
    </row>
    <row r="8904" spans="1:13" s="360" customFormat="1" x14ac:dyDescent="0.25">
      <c r="A8904" s="367" t="s">
        <v>39</v>
      </c>
      <c r="B8904" s="267">
        <v>44263</v>
      </c>
      <c r="C8904" s="1">
        <v>34</v>
      </c>
      <c r="D8904" s="39">
        <f t="shared" si="1396"/>
        <v>23210</v>
      </c>
      <c r="E8904" s="1">
        <v>2</v>
      </c>
      <c r="F8904" s="39">
        <f t="shared" si="1401"/>
        <v>358</v>
      </c>
      <c r="G8904" s="168">
        <f>SUM(C8904,C8880,C8856,C8832,C8808,C8784,C8760,C8736,C8712,C8688,C8664,C8640,C8616,C8592)/POBLA!$B$23*100000</f>
        <v>261.26788440875418</v>
      </c>
      <c r="H8904" s="256">
        <f t="shared" si="1397"/>
        <v>0.80628272251308897</v>
      </c>
      <c r="I8904" s="297">
        <f t="shared" si="1399"/>
        <v>210.65578114632535</v>
      </c>
      <c r="J8904" s="297">
        <f t="shared" si="1400"/>
        <v>34.142857142857146</v>
      </c>
      <c r="K8904" s="297">
        <f>J8904/POBLA!$B$23*100000</f>
        <v>19.308294487845473</v>
      </c>
      <c r="L8904" s="549">
        <f t="shared" si="1398"/>
        <v>-7.1748878923766801E-2</v>
      </c>
      <c r="M8904" s="401">
        <f>SUM(C8904,C8880,C8856,C8832,C8808,C8784,C8760)/POBLA!$B$23*100000</f>
        <v>135.15806141491828</v>
      </c>
    </row>
    <row r="8905" spans="1:13" s="360" customFormat="1" ht="15.75" thickBot="1" x14ac:dyDescent="0.3">
      <c r="A8905" s="369" t="s">
        <v>40</v>
      </c>
      <c r="B8905" s="267">
        <v>44263</v>
      </c>
      <c r="C8905" s="1">
        <v>130</v>
      </c>
      <c r="D8905" s="176">
        <f t="shared" si="1396"/>
        <v>80955</v>
      </c>
      <c r="E8905" s="1"/>
      <c r="F8905" s="176">
        <f t="shared" si="1401"/>
        <v>1483</v>
      </c>
      <c r="G8905" s="177">
        <f>SUM(C8905,C8881,C8857,C8833,C8809,C8785,C8761,C8737,C8713,C8689,C8665,C8641,C8617,C8593)/POBLA!$B$24*100000</f>
        <v>120.2603950300238</v>
      </c>
      <c r="H8905" s="402">
        <f t="shared" si="1397"/>
        <v>1.3586666666666667</v>
      </c>
      <c r="I8905" s="403">
        <f t="shared" si="1399"/>
        <v>163.39379004745902</v>
      </c>
      <c r="J8905" s="403">
        <f t="shared" si="1400"/>
        <v>147</v>
      </c>
      <c r="K8905" s="403">
        <f>J8905/POBLA!$B$24*100000</f>
        <v>8.6743268250311569</v>
      </c>
      <c r="L8905" s="550">
        <f t="shared" si="1398"/>
        <v>-1.9821605550049526E-2</v>
      </c>
      <c r="M8905" s="405">
        <f>SUM(C8905,C8881,C8857,C8833,C8809,C8785,C8761)/POBLA!$B$24*100000</f>
        <v>60.720287775218097</v>
      </c>
    </row>
    <row r="8906" spans="1:13" s="360" customFormat="1" x14ac:dyDescent="0.25">
      <c r="A8906" s="363" t="s">
        <v>16</v>
      </c>
      <c r="B8906" s="267">
        <v>44264</v>
      </c>
      <c r="C8906" s="1">
        <v>3146</v>
      </c>
      <c r="D8906" s="174">
        <f t="shared" ref="D8906:D8937" si="1402">C8906+D8882</f>
        <v>903099</v>
      </c>
      <c r="E8906" s="1">
        <v>62</v>
      </c>
      <c r="F8906" s="174">
        <f t="shared" si="1401"/>
        <v>26903</v>
      </c>
      <c r="G8906" s="175">
        <f>SUM(C8906,C8882,C8858,C8834,C8810,C8786,C8762,C8738,C8714,C8690,C8666,C8642,C8618,C8594)/POBLA!$B$1*100000</f>
        <v>204.23414873639061</v>
      </c>
      <c r="H8906" s="300">
        <f t="shared" si="1397"/>
        <v>1.013867270411773</v>
      </c>
      <c r="I8906" s="301">
        <f>G8906*H8906</f>
        <v>207.06631890423643</v>
      </c>
      <c r="J8906" s="301">
        <f>AVERAGE(C8906,C8882,C8858,C8834,C8810,C8786,C8762)</f>
        <v>2623.1428571428573</v>
      </c>
      <c r="K8906" s="301">
        <f>J8906/POBLA!$B$1*100000</f>
        <v>14.954231638311654</v>
      </c>
      <c r="L8906" s="548">
        <f t="shared" ref="L8906:L8929" si="1403">1-SUM(C8906,C8882,C8858,C8834,C8810,C8786,C8762)/SUM(C8738,C8714,C8690,C8666,C8642,C8618,C8594)</f>
        <v>-5.1480272576304165E-2</v>
      </c>
      <c r="M8906" s="400">
        <f>SUM(C8906,C8882,C8858,C8834,C8810,C8786,C8762)/POBLA!$B$1*100000</f>
        <v>104.67962146818158</v>
      </c>
    </row>
    <row r="8907" spans="1:13" s="360" customFormat="1" x14ac:dyDescent="0.25">
      <c r="A8907" s="367" t="s">
        <v>43</v>
      </c>
      <c r="B8907" s="267">
        <v>44264</v>
      </c>
      <c r="C8907" s="1">
        <v>877</v>
      </c>
      <c r="D8907" s="39">
        <f t="shared" si="1402"/>
        <v>238016</v>
      </c>
      <c r="E8907" s="1">
        <v>20</v>
      </c>
      <c r="F8907" s="39">
        <f t="shared" si="1401"/>
        <v>6632</v>
      </c>
      <c r="G8907" s="168">
        <f>SUM(C8907,C8883,C8859,C8835,C8811,C8787,C8763,C8739,C8715,C8691,C8667,C8643,C8619,C8595)/POBLA!$B$2*100000</f>
        <v>313.36506216905326</v>
      </c>
      <c r="H8907" s="256">
        <f t="shared" si="1397"/>
        <v>1.0012466237274049</v>
      </c>
      <c r="I8907" s="297">
        <f t="shared" ref="I8907:I8929" si="1404">G8907*H8907</f>
        <v>313.75571049089291</v>
      </c>
      <c r="J8907" s="297">
        <f t="shared" ref="J8907:J8929" si="1405">AVERAGE(C8907,C8883,C8859,C8835,C8811,C8787,C8763)</f>
        <v>720</v>
      </c>
      <c r="K8907" s="297">
        <f>J8907/POBLA!$B$2*100000</f>
        <v>23.409716202709934</v>
      </c>
      <c r="L8907" s="549">
        <f t="shared" si="1403"/>
        <v>-9.6128751631143983E-2</v>
      </c>
      <c r="M8907" s="401">
        <f>SUM(C8907,C8883,C8859,C8835,C8811,C8787,C8763)/POBLA!$B$2*100000</f>
        <v>163.86801341896953</v>
      </c>
    </row>
    <row r="8908" spans="1:13" s="360" customFormat="1" x14ac:dyDescent="0.25">
      <c r="A8908" s="367" t="s">
        <v>28</v>
      </c>
      <c r="B8908" s="267">
        <v>44264</v>
      </c>
      <c r="C8908" s="1">
        <v>92</v>
      </c>
      <c r="D8908" s="39">
        <f t="shared" si="1402"/>
        <v>8619</v>
      </c>
      <c r="E8908" s="1"/>
      <c r="F8908" s="39">
        <f t="shared" si="1401"/>
        <v>17</v>
      </c>
      <c r="G8908" s="168">
        <f>SUM(C8908,C8884,C8860,C8836,C8812,C8788,C8764,C8740,C8716,C8692,C8668,C8644,C8620,C8596)/POBLA!$B$3*100000</f>
        <v>284.27827979144905</v>
      </c>
      <c r="H8908" s="256">
        <f t="shared" si="1397"/>
        <v>1.1454898157129001</v>
      </c>
      <c r="I8908" s="297">
        <f t="shared" si="1404"/>
        <v>325.6378743294872</v>
      </c>
      <c r="J8908" s="297">
        <f t="shared" si="1405"/>
        <v>69.714285714285708</v>
      </c>
      <c r="K8908" s="297">
        <f>J8908/POBLA!$B$3*100000</f>
        <v>16.780912125103075</v>
      </c>
      <c r="L8908" s="549">
        <f t="shared" si="1403"/>
        <v>0.29581529581529586</v>
      </c>
      <c r="M8908" s="401">
        <f>SUM(C8908,C8884,C8860,C8836,C8812,C8788,C8764)/POBLA!$B$3*100000</f>
        <v>117.46638487572152</v>
      </c>
    </row>
    <row r="8909" spans="1:13" s="360" customFormat="1" x14ac:dyDescent="0.25">
      <c r="A8909" s="367" t="s">
        <v>15</v>
      </c>
      <c r="B8909" s="267">
        <v>44264</v>
      </c>
      <c r="C8909" s="1">
        <v>98</v>
      </c>
      <c r="D8909" s="39">
        <f t="shared" si="1402"/>
        <v>35280</v>
      </c>
      <c r="E8909" s="1">
        <v>1</v>
      </c>
      <c r="F8909" s="39">
        <f t="shared" si="1401"/>
        <v>878</v>
      </c>
      <c r="G8909" s="168">
        <f>SUM(C8909,C8885,C8861,C8837,C8813,C8789,C8765,C8741,C8717,C8693,C8669,C8645,C8621,C8597)/POBLA!$B$4*100000</f>
        <v>146.03072871741185</v>
      </c>
      <c r="H8909" s="256">
        <f t="shared" si="1397"/>
        <v>1.0791411042944785</v>
      </c>
      <c r="I8909" s="297">
        <f t="shared" si="1404"/>
        <v>157.58776184903525</v>
      </c>
      <c r="J8909" s="297">
        <f t="shared" si="1405"/>
        <v>135.71428571428572</v>
      </c>
      <c r="K8909" s="297">
        <f>J8909/POBLA!$B$4*100000</f>
        <v>11.266888027413406</v>
      </c>
      <c r="L8909" s="549">
        <f t="shared" si="1403"/>
        <v>-0.17428924598269457</v>
      </c>
      <c r="M8909" s="401">
        <f>SUM(C8909,C8885,C8861,C8837,C8813,C8789,C8765)/POBLA!$B$4*100000</f>
        <v>78.868216191893836</v>
      </c>
    </row>
    <row r="8910" spans="1:13" s="360" customFormat="1" x14ac:dyDescent="0.25">
      <c r="A8910" s="367" t="s">
        <v>29</v>
      </c>
      <c r="B8910" s="267">
        <v>44264</v>
      </c>
      <c r="C8910" s="1">
        <v>99</v>
      </c>
      <c r="D8910" s="39">
        <f t="shared" si="1402"/>
        <v>47712</v>
      </c>
      <c r="E8910" s="1">
        <v>1</v>
      </c>
      <c r="F8910" s="39">
        <f t="shared" si="1401"/>
        <v>782</v>
      </c>
      <c r="G8910" s="168">
        <f>SUM(C8910,C8886,C8862,C8838,C8814,C8790,C8766,C8742,C8718,C8694,C8670,C8646,C8622,C8598)/POBLA!$B$5*100000</f>
        <v>210.98750553317154</v>
      </c>
      <c r="H8910" s="256">
        <f t="shared" si="1397"/>
        <v>0.65137157107231924</v>
      </c>
      <c r="I8910" s="297">
        <f t="shared" si="1404"/>
        <v>137.43126295577159</v>
      </c>
      <c r="J8910" s="297">
        <f t="shared" si="1405"/>
        <v>81.857142857142861</v>
      </c>
      <c r="K8910" s="297">
        <f>J8910/POBLA!$B$5*100000</f>
        <v>13.224222344181504</v>
      </c>
      <c r="L8910" s="549">
        <f t="shared" si="1403"/>
        <v>0.21828103683492495</v>
      </c>
      <c r="M8910" s="401">
        <f>SUM(C8910,C8886,C8862,C8838,C8814,C8790,C8766)/POBLA!$B$5*100000</f>
        <v>92.569556409270533</v>
      </c>
    </row>
    <row r="8911" spans="1:13" s="360" customFormat="1" x14ac:dyDescent="0.25">
      <c r="A8911" s="367" t="s">
        <v>30</v>
      </c>
      <c r="B8911" s="267">
        <v>44264</v>
      </c>
      <c r="C8911" s="1">
        <v>246</v>
      </c>
      <c r="D8911" s="39">
        <f t="shared" si="1402"/>
        <v>23624</v>
      </c>
      <c r="E8911" s="1">
        <v>1</v>
      </c>
      <c r="F8911" s="39">
        <f t="shared" si="1401"/>
        <v>302</v>
      </c>
      <c r="G8911" s="168">
        <f>SUM(C8911,C8887,C8863,C8839,C8815,C8791,C8767,C8743,C8719,C8695,C8671,C8647,C8623,C8599)/POBLA!$B$6*100000</f>
        <v>217.96911316103396</v>
      </c>
      <c r="H8911" s="256">
        <f t="shared" si="1397"/>
        <v>1.1069324875396467</v>
      </c>
      <c r="I8911" s="297">
        <f t="shared" si="1404"/>
        <v>241.27709263815407</v>
      </c>
      <c r="J8911" s="297">
        <f t="shared" si="1405"/>
        <v>223.42857142857142</v>
      </c>
      <c r="K8911" s="297">
        <f>J8911/POBLA!$B$6*100000</f>
        <v>19.934722705330511</v>
      </c>
      <c r="L8911" s="549">
        <f t="shared" si="1403"/>
        <v>-0.77929465301478951</v>
      </c>
      <c r="M8911" s="401">
        <f>SUM(C8911,C8887,C8863,C8839,C8815,C8791,C8767)/POBLA!$B$6*100000</f>
        <v>139.54305893731359</v>
      </c>
    </row>
    <row r="8912" spans="1:13" s="360" customFormat="1" x14ac:dyDescent="0.25">
      <c r="A8912" s="367" t="s">
        <v>20</v>
      </c>
      <c r="B8912" s="267">
        <v>44264</v>
      </c>
      <c r="C8912" s="1">
        <v>699</v>
      </c>
      <c r="D8912" s="39">
        <f t="shared" si="1402"/>
        <v>165031</v>
      </c>
      <c r="E8912" s="1">
        <v>7</v>
      </c>
      <c r="F8912" s="39">
        <f t="shared" si="1401"/>
        <v>2890</v>
      </c>
      <c r="G8912" s="168">
        <f>SUM(C8912,C8888,C8864,C8840,C8816,C8792,C8768,C8744,C8720,C8696,C8672,C8648,C8624,C8600)/POBLA!$B$7*100000</f>
        <v>218.80360063290297</v>
      </c>
      <c r="H8912" s="256">
        <f t="shared" si="1397"/>
        <v>1.0749934674679906</v>
      </c>
      <c r="I8912" s="297">
        <f t="shared" si="1404"/>
        <v>235.21244133884579</v>
      </c>
      <c r="J8912" s="297">
        <f t="shared" si="1405"/>
        <v>568.85714285714289</v>
      </c>
      <c r="K8912" s="297">
        <f>J8912/POBLA!$B$7*100000</f>
        <v>15.127368874925684</v>
      </c>
      <c r="L8912" s="549">
        <f t="shared" si="1403"/>
        <v>6.2176165803108807E-2</v>
      </c>
      <c r="M8912" s="401">
        <f>SUM(C8912,C8888,C8864,C8840,C8816,C8792,C8768)/POBLA!$B$7*100000</f>
        <v>105.89158212447978</v>
      </c>
    </row>
    <row r="8913" spans="1:13" x14ac:dyDescent="0.25">
      <c r="A8913" s="367" t="s">
        <v>31</v>
      </c>
      <c r="B8913" s="267">
        <v>44264</v>
      </c>
      <c r="C8913" s="1">
        <v>159</v>
      </c>
      <c r="D8913" s="39">
        <f t="shared" si="1402"/>
        <v>46237</v>
      </c>
      <c r="E8913" s="1">
        <v>2</v>
      </c>
      <c r="F8913" s="39">
        <f t="shared" ref="F8913:F8936" si="1406">E8913+F8889</f>
        <v>889</v>
      </c>
      <c r="G8913" s="168">
        <f>SUM(C8913,C8889,C8865,C8841,C8817,C8793,C8769,C8745,C8721,C8697,C8673,C8649,C8625,C8601)/POBLA!$B$8*100000</f>
        <v>120.13325050271976</v>
      </c>
      <c r="H8913" s="256">
        <f t="shared" si="1397"/>
        <v>0.9353932584269663</v>
      </c>
      <c r="I8913" s="297">
        <f t="shared" si="1404"/>
        <v>112.37183263316203</v>
      </c>
      <c r="J8913" s="297">
        <f t="shared" si="1405"/>
        <v>125.57142857142857</v>
      </c>
      <c r="K8913" s="297">
        <f>J8913/POBLA!$B$8*100000</f>
        <v>9.0602425733067946</v>
      </c>
      <c r="L8913" s="549">
        <f t="shared" si="1403"/>
        <v>-0.11832061068702293</v>
      </c>
      <c r="M8913" s="401">
        <f>SUM(C8913,C8889,C8865,C8841,C8817,C8793,C8769)/POBLA!$B$8*100000</f>
        <v>63.421698013147562</v>
      </c>
    </row>
    <row r="8914" spans="1:13" s="360" customFormat="1" x14ac:dyDescent="0.25">
      <c r="A8914" s="367" t="s">
        <v>41</v>
      </c>
      <c r="B8914" s="267">
        <v>44264</v>
      </c>
      <c r="C8914" s="1">
        <v>28</v>
      </c>
      <c r="D8914" s="39">
        <f t="shared" si="1402"/>
        <v>1420</v>
      </c>
      <c r="E8914" s="1"/>
      <c r="F8914" s="39">
        <f t="shared" si="1406"/>
        <v>20</v>
      </c>
      <c r="G8914" s="168">
        <f>SUM(C8914,C8890,C8866,C8842,C8818,C8794,C8770,C8746,C8722,C8698,C8674,C8650,C8626,C8602)/POBLA!$B$9*100000</f>
        <v>41.639609182525248</v>
      </c>
      <c r="H8914" s="256">
        <f t="shared" si="1397"/>
        <v>0.9</v>
      </c>
      <c r="I8914" s="297">
        <f t="shared" si="1404"/>
        <v>37.475648264272728</v>
      </c>
      <c r="J8914" s="297">
        <f t="shared" si="1405"/>
        <v>23.285714285714285</v>
      </c>
      <c r="K8914" s="297">
        <f>J8914/POBLA!$B$9*100000</f>
        <v>3.8476509618773322</v>
      </c>
      <c r="L8914" s="549">
        <f t="shared" si="1403"/>
        <v>-0.8314606741573034</v>
      </c>
      <c r="M8914" s="401">
        <f>SUM(C8914,C8890,C8866,C8842,C8818,C8794,C8770)/POBLA!$B$9*100000</f>
        <v>26.93355673314133</v>
      </c>
    </row>
    <row r="8915" spans="1:13" s="360" customFormat="1" x14ac:dyDescent="0.25">
      <c r="A8915" s="367" t="s">
        <v>32</v>
      </c>
      <c r="B8915" s="267">
        <v>44264</v>
      </c>
      <c r="C8915" s="1">
        <v>68</v>
      </c>
      <c r="D8915" s="39">
        <f t="shared" si="1402"/>
        <v>21364</v>
      </c>
      <c r="E8915" s="1">
        <v>2</v>
      </c>
      <c r="F8915" s="39">
        <f t="shared" si="1406"/>
        <v>917</v>
      </c>
      <c r="G8915" s="168">
        <f>SUM(C8915,C8891,C8867,C8843,C8819,C8795,C8771,C8747,C8723,C8699,C8675,C8651,C8627,C8603)/POBLA!$B$10*100000</f>
        <v>140.35888807740753</v>
      </c>
      <c r="H8915" s="256">
        <f t="shared" si="1397"/>
        <v>1.5681159420289854</v>
      </c>
      <c r="I8915" s="297">
        <f t="shared" si="1404"/>
        <v>220.09900999964484</v>
      </c>
      <c r="J8915" s="297">
        <f t="shared" si="1405"/>
        <v>68</v>
      </c>
      <c r="K8915" s="297">
        <f>J8915/POBLA!$B$10*100000</f>
        <v>8.8210761453453905</v>
      </c>
      <c r="L8915" s="549">
        <f t="shared" si="1403"/>
        <v>0.21452145214521456</v>
      </c>
      <c r="M8915" s="401">
        <f>SUM(C8915,C8891,C8867,C8843,C8819,C8795,C8771)/POBLA!$B$10*100000</f>
        <v>61.74753301741773</v>
      </c>
    </row>
    <row r="8916" spans="1:13" s="360" customFormat="1" x14ac:dyDescent="0.25">
      <c r="A8916" s="367" t="s">
        <v>33</v>
      </c>
      <c r="B8916" s="267">
        <v>44264</v>
      </c>
      <c r="C8916" s="1">
        <v>110</v>
      </c>
      <c r="D8916" s="39">
        <f t="shared" si="1402"/>
        <v>19420</v>
      </c>
      <c r="E8916" s="1">
        <v>7</v>
      </c>
      <c r="F8916" s="39">
        <f t="shared" si="1406"/>
        <v>298</v>
      </c>
      <c r="G8916" s="168">
        <f>SUM(C8916,C8892,C8868,C8844,C8820,C8796,C8772,C8748,C8724,C8700,C8676,C8652,C8628,C8604)/POBLA!$B$11*100000</f>
        <v>333.6792884484471</v>
      </c>
      <c r="H8916" s="256">
        <f t="shared" si="1397"/>
        <v>1.2805139186295502</v>
      </c>
      <c r="I8916" s="297">
        <f t="shared" si="1404"/>
        <v>427.28097321664097</v>
      </c>
      <c r="J8916" s="297">
        <f t="shared" si="1405"/>
        <v>81.571428571428569</v>
      </c>
      <c r="K8916" s="297">
        <f>J8916/POBLA!$B$11*100000</f>
        <v>22.758107226954525</v>
      </c>
      <c r="L8916" s="549">
        <f t="shared" si="1403"/>
        <v>8.6400000000000032E-2</v>
      </c>
      <c r="M8916" s="401">
        <f>SUM(C8916,C8892,C8868,C8844,C8820,C8796,C8772)/POBLA!$B$11*100000</f>
        <v>159.30675058868169</v>
      </c>
    </row>
    <row r="8917" spans="1:13" s="360" customFormat="1" x14ac:dyDescent="0.25">
      <c r="A8917" s="367" t="s">
        <v>21</v>
      </c>
      <c r="B8917" s="267">
        <v>44264</v>
      </c>
      <c r="C8917" s="1">
        <v>14</v>
      </c>
      <c r="D8917" s="39">
        <f t="shared" si="1402"/>
        <v>10394</v>
      </c>
      <c r="E8917" s="1"/>
      <c r="F8917" s="39">
        <f t="shared" si="1406"/>
        <v>444</v>
      </c>
      <c r="G8917" s="168">
        <f>SUM(C8917,C8893,C8869,C8845,C8821,C8797,C8773,C8749,C8725,C8701,C8677,C8653,C8629,C8605)/POBLA!$B$12*100000</f>
        <v>82.331506285400636</v>
      </c>
      <c r="H8917" s="256">
        <f t="shared" si="1397"/>
        <v>0.88524590163934425</v>
      </c>
      <c r="I8917" s="297">
        <f t="shared" si="1404"/>
        <v>72.883628514944817</v>
      </c>
      <c r="J8917" s="297">
        <f t="shared" si="1405"/>
        <v>18.571428571428573</v>
      </c>
      <c r="K8917" s="297">
        <f>J8917/POBLA!$B$12*100000</f>
        <v>4.7191780498686438</v>
      </c>
      <c r="L8917" s="549">
        <f t="shared" si="1403"/>
        <v>0.32989690721649489</v>
      </c>
      <c r="M8917" s="401">
        <f>SUM(C8917,C8893,C8869,C8845,C8821,C8797,C8773)/POBLA!$B$12*100000</f>
        <v>33.034246349080505</v>
      </c>
    </row>
    <row r="8918" spans="1:13" s="360" customFormat="1" x14ac:dyDescent="0.25">
      <c r="A8918" s="367" t="s">
        <v>17</v>
      </c>
      <c r="B8918" s="267">
        <v>44264</v>
      </c>
      <c r="C8918" s="1">
        <v>204</v>
      </c>
      <c r="D8918" s="39">
        <f t="shared" si="1402"/>
        <v>68559</v>
      </c>
      <c r="E8918" s="1">
        <v>2</v>
      </c>
      <c r="F8918" s="39">
        <f t="shared" si="1406"/>
        <v>1466</v>
      </c>
      <c r="G8918" s="168">
        <f>SUM(C8918,C8894,C8870,C8846,C8822,C8798,C8774,C8750,C8726,C8702,C8678,C8654,C8630,C8606)/POBLA!$B$13*100000</f>
        <v>101.33957146977048</v>
      </c>
      <c r="H8918" s="256">
        <f t="shared" si="1397"/>
        <v>1.3428761651131824</v>
      </c>
      <c r="I8918" s="297">
        <f t="shared" si="1404"/>
        <v>136.08649510953865</v>
      </c>
      <c r="J8918" s="297">
        <f t="shared" si="1405"/>
        <v>154.14285714285714</v>
      </c>
      <c r="K8918" s="297">
        <f>J8918/POBLA!$B$13*100000</f>
        <v>7.7445568110972678</v>
      </c>
      <c r="L8918" s="549">
        <f t="shared" si="1403"/>
        <v>-0.15031982942430711</v>
      </c>
      <c r="M8918" s="401">
        <f>SUM(C8918,C8894,C8870,C8846,C8822,C8798,C8774)/POBLA!$B$13*100000</f>
        <v>54.211897677680881</v>
      </c>
    </row>
    <row r="8919" spans="1:13" s="360" customFormat="1" x14ac:dyDescent="0.25">
      <c r="A8919" s="367" t="s">
        <v>23</v>
      </c>
      <c r="B8919" s="267">
        <v>44264</v>
      </c>
      <c r="C8919" s="1">
        <v>123</v>
      </c>
      <c r="D8919" s="39">
        <f t="shared" si="1402"/>
        <v>9354</v>
      </c>
      <c r="E8919" s="1">
        <v>1</v>
      </c>
      <c r="F8919" s="39">
        <f t="shared" si="1406"/>
        <v>156</v>
      </c>
      <c r="G8919" s="168">
        <f>SUM(C8919,C8895,C8871,C8847,C8823,C8799,C8775,C8751,C8727,C8703,C8679,C8655,C8631,C8607)/POBLA!$B$14*100000</f>
        <v>129.62877806443223</v>
      </c>
      <c r="H8919" s="256">
        <f t="shared" si="1397"/>
        <v>1.0871010638297873</v>
      </c>
      <c r="I8919" s="297">
        <f t="shared" si="1404"/>
        <v>140.91958253679968</v>
      </c>
      <c r="J8919" s="297">
        <f t="shared" si="1405"/>
        <v>117.14285714285714</v>
      </c>
      <c r="K8919" s="297">
        <f>J8919/POBLA!$B$14*100000</f>
        <v>9.2875140247124897</v>
      </c>
      <c r="L8919" s="549">
        <f t="shared" si="1403"/>
        <v>-6.1349693251533388E-3</v>
      </c>
      <c r="M8919" s="401">
        <f>SUM(C8919,C8895,C8871,C8847,C8823,C8799,C8775)/POBLA!$B$14*100000</f>
        <v>65.012598172987424</v>
      </c>
    </row>
    <row r="8920" spans="1:13" s="360" customFormat="1" x14ac:dyDescent="0.25">
      <c r="A8920" s="367" t="s">
        <v>19</v>
      </c>
      <c r="B8920" s="267">
        <v>44264</v>
      </c>
      <c r="C8920" s="1">
        <v>156</v>
      </c>
      <c r="D8920" s="39">
        <f t="shared" si="1402"/>
        <v>62579</v>
      </c>
      <c r="E8920" s="1">
        <v>9</v>
      </c>
      <c r="F8920" s="39">
        <f t="shared" si="1406"/>
        <v>949</v>
      </c>
      <c r="G8920" s="168">
        <f>SUM(C8920,C8896,C8872,C8848,C8824,C8800,C8776,C8752,C8728,C8704,C8680,C8656,C8632,C8608)/POBLA!$B$15*100000</f>
        <v>331.29686156459462</v>
      </c>
      <c r="H8920" s="256">
        <f t="shared" si="1397"/>
        <v>0.69996818326439703</v>
      </c>
      <c r="I8920" s="297">
        <f t="shared" si="1404"/>
        <v>231.89726231056574</v>
      </c>
      <c r="J8920" s="297">
        <f t="shared" si="1405"/>
        <v>154.28571428571428</v>
      </c>
      <c r="K8920" s="297">
        <f>J8920/POBLA!$B$15*100000</f>
        <v>23.233805875958581</v>
      </c>
      <c r="L8920" s="549">
        <f t="shared" si="1403"/>
        <v>3.5714285714285698E-2</v>
      </c>
      <c r="M8920" s="401">
        <f>SUM(C8920,C8896,C8872,C8848,C8824,C8800,C8776)/POBLA!$B$15*100000</f>
        <v>162.63664113171009</v>
      </c>
    </row>
    <row r="8921" spans="1:13" s="360" customFormat="1" x14ac:dyDescent="0.25">
      <c r="A8921" s="367" t="s">
        <v>18</v>
      </c>
      <c r="B8921" s="267">
        <v>44264</v>
      </c>
      <c r="C8921" s="1">
        <v>140</v>
      </c>
      <c r="D8921" s="39">
        <f t="shared" si="1402"/>
        <v>53367</v>
      </c>
      <c r="E8921" s="1">
        <v>4</v>
      </c>
      <c r="F8921" s="39">
        <f t="shared" si="1406"/>
        <v>1219</v>
      </c>
      <c r="G8921" s="168">
        <f>SUM(C8921,C8897,C8873,C8849,C8825,C8801,C8777,C8753,C8729,C8705,C8681,C8657,C8633,C8609)/POBLA!$B$16*100000</f>
        <v>217.22555878064767</v>
      </c>
      <c r="H8921" s="256">
        <f t="shared" si="1397"/>
        <v>0.8341037493579867</v>
      </c>
      <c r="I8921" s="297">
        <f t="shared" si="1404"/>
        <v>181.18865303532195</v>
      </c>
      <c r="J8921" s="297">
        <f t="shared" si="1405"/>
        <v>115.71428571428571</v>
      </c>
      <c r="K8921" s="297">
        <f>J8921/POBLA!$B$16*100000</f>
        <v>15.477894318466273</v>
      </c>
      <c r="L8921" s="549">
        <f t="shared" si="1403"/>
        <v>4.9140049140049546E-3</v>
      </c>
      <c r="M8921" s="401">
        <f>SUM(C8921,C8897,C8873,C8849,C8825,C8801,C8777)/POBLA!$B$16*100000</f>
        <v>108.34526022926393</v>
      </c>
    </row>
    <row r="8922" spans="1:13" s="360" customFormat="1" x14ac:dyDescent="0.25">
      <c r="A8922" s="367" t="s">
        <v>34</v>
      </c>
      <c r="B8922" s="267">
        <v>44264</v>
      </c>
      <c r="C8922" s="1">
        <v>131</v>
      </c>
      <c r="D8922" s="39">
        <f t="shared" si="1402"/>
        <v>27035</v>
      </c>
      <c r="E8922" s="1">
        <v>3</v>
      </c>
      <c r="F8922" s="39">
        <f t="shared" si="1406"/>
        <v>1127</v>
      </c>
      <c r="G8922" s="168">
        <f>SUM(C8922,C8898,C8874,C8850,C8826,C8802,C8778,C8754,C8730,C8706,C8682,C8658,C8634,C8610)/POBLA!$B$17*100000</f>
        <v>102.35910353644385</v>
      </c>
      <c r="H8922" s="256">
        <f t="shared" si="1397"/>
        <v>1.2525773195876289</v>
      </c>
      <c r="I8922" s="297">
        <f t="shared" si="1404"/>
        <v>128.21269154307143</v>
      </c>
      <c r="J8922" s="297">
        <f t="shared" si="1405"/>
        <v>105</v>
      </c>
      <c r="K8922" s="297">
        <f>J8922/POBLA!$B$17*100000</f>
        <v>7.3715403781389597</v>
      </c>
      <c r="L8922" s="549">
        <f t="shared" si="1403"/>
        <v>-1.6597510373443924E-2</v>
      </c>
      <c r="M8922" s="401">
        <f>SUM(C8922,C8898,C8874,C8850,C8826,C8802,C8778)/POBLA!$B$17*100000</f>
        <v>51.600782646972718</v>
      </c>
    </row>
    <row r="8923" spans="1:13" s="360" customFormat="1" x14ac:dyDescent="0.25">
      <c r="A8923" s="367" t="s">
        <v>35</v>
      </c>
      <c r="B8923" s="267">
        <v>44264</v>
      </c>
      <c r="C8923" s="1">
        <v>64</v>
      </c>
      <c r="D8923" s="39">
        <f t="shared" si="1402"/>
        <v>15676</v>
      </c>
      <c r="E8923" s="1"/>
      <c r="F8923" s="39">
        <f t="shared" si="1406"/>
        <v>215</v>
      </c>
      <c r="G8923" s="168">
        <f>SUM(C8923,C8899,C8875,C8851,C8827,C8803,C8779,C8755,C8731,C8707,C8683,C8659,C8635,C8611)/POBLA!$B$18*100000</f>
        <v>78.723325273259547</v>
      </c>
      <c r="H8923" s="256">
        <f t="shared" si="1397"/>
        <v>0.9375</v>
      </c>
      <c r="I8923" s="297">
        <f t="shared" si="1404"/>
        <v>73.803117443680833</v>
      </c>
      <c r="J8923" s="297">
        <f t="shared" si="1405"/>
        <v>47.571428571428569</v>
      </c>
      <c r="K8923" s="297">
        <f>J8923/POBLA!$B$18*100000</f>
        <v>6.0894000734019569</v>
      </c>
      <c r="L8923" s="549">
        <f t="shared" si="1403"/>
        <v>-0.18085106382978733</v>
      </c>
      <c r="M8923" s="401">
        <f>SUM(C8923,C8899,C8875,C8851,C8827,C8803,C8779)/POBLA!$B$18*100000</f>
        <v>42.625800513813701</v>
      </c>
    </row>
    <row r="8924" spans="1:13" s="360" customFormat="1" x14ac:dyDescent="0.25">
      <c r="A8924" s="367" t="s">
        <v>36</v>
      </c>
      <c r="B8924" s="267">
        <v>44264</v>
      </c>
      <c r="C8924" s="1">
        <v>6</v>
      </c>
      <c r="D8924" s="39">
        <f t="shared" si="1402"/>
        <v>20811</v>
      </c>
      <c r="E8924" s="1"/>
      <c r="F8924" s="39">
        <f t="shared" si="1406"/>
        <v>358</v>
      </c>
      <c r="G8924" s="168">
        <f>SUM(C8924,C8900,C8876,C8852,C8828,C8804,C8780,C8756,C8732,C8708,C8684,C8660,C8636,C8612)/POBLA!$B$19*100000</f>
        <v>50.754630868258282</v>
      </c>
      <c r="H8924" s="256">
        <f t="shared" si="1397"/>
        <v>0.1799163179916318</v>
      </c>
      <c r="I8924" s="297">
        <f t="shared" si="1404"/>
        <v>9.1315863068414487</v>
      </c>
      <c r="J8924" s="297">
        <f t="shared" si="1405"/>
        <v>4.1428571428571432</v>
      </c>
      <c r="K8924" s="297">
        <f>J8924/POBLA!$B$19*100000</f>
        <v>0.81499684118465698</v>
      </c>
      <c r="L8924" s="549">
        <f t="shared" si="1403"/>
        <v>0.8733624454148472</v>
      </c>
      <c r="M8924" s="401">
        <f>SUM(C8924,C8900,C8876,C8852,C8828,C8804,C8780)/POBLA!$B$19*100000</f>
        <v>5.704977888292599</v>
      </c>
    </row>
    <row r="8925" spans="1:13" s="360" customFormat="1" x14ac:dyDescent="0.25">
      <c r="A8925" s="367" t="s">
        <v>37</v>
      </c>
      <c r="B8925" s="267">
        <v>44264</v>
      </c>
      <c r="C8925" s="1">
        <v>68</v>
      </c>
      <c r="D8925" s="39">
        <f t="shared" si="1402"/>
        <v>36825</v>
      </c>
      <c r="E8925" s="1">
        <v>3</v>
      </c>
      <c r="F8925" s="39">
        <f t="shared" si="1406"/>
        <v>601</v>
      </c>
      <c r="G8925" s="168">
        <f>SUM(C8925,C8901,C8877,C8853,C8829,C8805,C8781,C8757,C8733,C8709,C8685,C8661,C8637,C8613)/POBLA!$B$20*100000</f>
        <v>381.46229949302432</v>
      </c>
      <c r="H8925" s="256">
        <f t="shared" si="1397"/>
        <v>1.0108695652173914</v>
      </c>
      <c r="I8925" s="297">
        <f t="shared" si="1404"/>
        <v>385.6086288353398</v>
      </c>
      <c r="J8925" s="297">
        <f t="shared" si="1405"/>
        <v>103.85714285714286</v>
      </c>
      <c r="K8925" s="297">
        <f>J8925/POBLA!$B$20*100000</f>
        <v>28.399702174237447</v>
      </c>
      <c r="L8925" s="549">
        <f t="shared" si="1403"/>
        <v>-8.832335329341312E-2</v>
      </c>
      <c r="M8925" s="401">
        <f>SUM(C8925,C8901,C8877,C8853,C8829,C8805,C8781)/POBLA!$B$20*100000</f>
        <v>198.79791521966212</v>
      </c>
    </row>
    <row r="8926" spans="1:13" s="360" customFormat="1" x14ac:dyDescent="0.25">
      <c r="A8926" s="367" t="s">
        <v>22</v>
      </c>
      <c r="B8926" s="267">
        <v>44264</v>
      </c>
      <c r="C8926" s="1">
        <v>514</v>
      </c>
      <c r="D8926" s="39">
        <f t="shared" si="1402"/>
        <v>220066</v>
      </c>
      <c r="E8926" s="1">
        <v>4</v>
      </c>
      <c r="F8926" s="39">
        <f t="shared" si="1406"/>
        <v>4078</v>
      </c>
      <c r="G8926" s="168">
        <f>SUM(C8926,C8902,C8878,C8854,C8830,C8806,C8782,C8758,C8734,C8710,C8686,C8662,C8638,C8614)/POBLA!$B$21*100000</f>
        <v>149.41672619017322</v>
      </c>
      <c r="H8926" s="256">
        <f t="shared" si="1397"/>
        <v>1.1006040408248281</v>
      </c>
      <c r="I8926" s="297">
        <f t="shared" si="1404"/>
        <v>164.44865261172157</v>
      </c>
      <c r="J8926" s="297">
        <f t="shared" si="1405"/>
        <v>411.14285714285717</v>
      </c>
      <c r="K8926" s="297">
        <f>J8926/POBLA!$B$21*100000</f>
        <v>11.625968908168016</v>
      </c>
      <c r="L8926" s="549">
        <f t="shared" si="1403"/>
        <v>-0.19617622610141305</v>
      </c>
      <c r="M8926" s="401">
        <f>SUM(C8926,C8902,C8878,C8854,C8830,C8806,C8782)/POBLA!$B$21*100000</f>
        <v>81.381782357176107</v>
      </c>
    </row>
    <row r="8927" spans="1:13" s="360" customFormat="1" x14ac:dyDescent="0.25">
      <c r="A8927" s="367" t="s">
        <v>38</v>
      </c>
      <c r="B8927" s="267">
        <v>44264</v>
      </c>
      <c r="C8927" s="1">
        <v>42</v>
      </c>
      <c r="D8927" s="39">
        <f t="shared" si="1402"/>
        <v>23125</v>
      </c>
      <c r="E8927" s="1">
        <v>1</v>
      </c>
      <c r="F8927" s="39">
        <f t="shared" si="1406"/>
        <v>272</v>
      </c>
      <c r="G8927" s="168">
        <f>SUM(C8927,C8903,C8879,C8855,C8831,C8807,C8783,C8759,C8735,C8711,C8687,C8663,C8639,C8615)/POBLA!$B$22*100000</f>
        <v>86.884258923268931</v>
      </c>
      <c r="H8927" s="256">
        <f t="shared" si="1397"/>
        <v>1.159618008185539</v>
      </c>
      <c r="I8927" s="297">
        <f t="shared" si="1404"/>
        <v>100.75255127527775</v>
      </c>
      <c r="J8927" s="297">
        <f t="shared" si="1405"/>
        <v>56.142857142857146</v>
      </c>
      <c r="K8927" s="297">
        <f>J8927/POBLA!$B$22*100000</f>
        <v>5.7387418078730574</v>
      </c>
      <c r="L8927" s="549">
        <f t="shared" si="1403"/>
        <v>0.14004376367614879</v>
      </c>
      <c r="M8927" s="401">
        <f>SUM(C8927,C8903,C8879,C8855,C8831,C8807,C8783)/POBLA!$B$22*100000</f>
        <v>40.171192655111398</v>
      </c>
    </row>
    <row r="8928" spans="1:13" s="360" customFormat="1" x14ac:dyDescent="0.25">
      <c r="A8928" s="367" t="s">
        <v>39</v>
      </c>
      <c r="B8928" s="267">
        <v>44264</v>
      </c>
      <c r="C8928" s="1">
        <v>31</v>
      </c>
      <c r="D8928" s="39">
        <f t="shared" si="1402"/>
        <v>23241</v>
      </c>
      <c r="E8928" s="1"/>
      <c r="F8928" s="39">
        <f t="shared" si="1406"/>
        <v>358</v>
      </c>
      <c r="G8928" s="168">
        <f>SUM(C8928,C8904,C8880,C8856,C8832,C8808,C8784,C8760,C8736,C8712,C8688,C8664,C8640,C8616)/POBLA!$B$23*100000</f>
        <v>252.21964598767178</v>
      </c>
      <c r="H8928" s="256">
        <f t="shared" si="1397"/>
        <v>0.75979557069846682</v>
      </c>
      <c r="I8928" s="297">
        <f t="shared" si="1404"/>
        <v>191.63536986456836</v>
      </c>
      <c r="J8928" s="297">
        <f t="shared" si="1405"/>
        <v>30.714285714285715</v>
      </c>
      <c r="K8928" s="297">
        <f>J8928/POBLA!$B$23*100000</f>
        <v>17.369386254756385</v>
      </c>
      <c r="L8928" s="549">
        <f t="shared" si="1403"/>
        <v>6.926406926406925E-2</v>
      </c>
      <c r="M8928" s="401">
        <f>SUM(C8928,C8904,C8880,C8856,C8832,C8808,C8784)/POBLA!$B$23*100000</f>
        <v>121.58570378329469</v>
      </c>
    </row>
    <row r="8929" spans="1:13" s="360" customFormat="1" ht="15.75" thickBot="1" x14ac:dyDescent="0.3">
      <c r="A8929" s="369" t="s">
        <v>40</v>
      </c>
      <c r="B8929" s="267">
        <v>44264</v>
      </c>
      <c r="C8929" s="1">
        <v>192</v>
      </c>
      <c r="D8929" s="176">
        <f t="shared" si="1402"/>
        <v>81147</v>
      </c>
      <c r="E8929" s="1">
        <v>1</v>
      </c>
      <c r="F8929" s="176">
        <f t="shared" si="1406"/>
        <v>1484</v>
      </c>
      <c r="G8929" s="177">
        <f>SUM(C8929,C8905,C8881,C8857,C8833,C8809,C8785,C8761,C8737,C8713,C8689,C8665,C8641,C8617)/POBLA!$B$24*100000</f>
        <v>123.44688243513728</v>
      </c>
      <c r="H8929" s="402">
        <f t="shared" si="1397"/>
        <v>1.354922279792746</v>
      </c>
      <c r="I8929" s="403">
        <f t="shared" si="1404"/>
        <v>167.26093138232329</v>
      </c>
      <c r="J8929" s="403">
        <f t="shared" si="1405"/>
        <v>149.71428571428572</v>
      </c>
      <c r="K8929" s="403">
        <f>J8929/POBLA!$B$24*100000</f>
        <v>8.8344941813728397</v>
      </c>
      <c r="L8929" s="550">
        <f t="shared" si="1403"/>
        <v>-3.8314176245211051E-3</v>
      </c>
      <c r="M8929" s="405">
        <f>SUM(C8929,C8905,C8881,C8857,C8833,C8809,C8785)/POBLA!$B$24*100000</f>
        <v>61.841459269609878</v>
      </c>
    </row>
    <row r="8930" spans="1:13" s="360" customFormat="1" x14ac:dyDescent="0.25">
      <c r="A8930" s="363" t="s">
        <v>16</v>
      </c>
      <c r="B8930" s="267">
        <v>44265</v>
      </c>
      <c r="C8930" s="1">
        <v>3263</v>
      </c>
      <c r="D8930" s="174">
        <f t="shared" si="1402"/>
        <v>906362</v>
      </c>
      <c r="E8930" s="1">
        <v>29</v>
      </c>
      <c r="F8930" s="174">
        <f t="shared" si="1406"/>
        <v>26932</v>
      </c>
      <c r="G8930" s="175">
        <f>SUM(C8930,C8906,C8882,C8858,C8834,C8810,C8786,C8762,C8738,C8714,C8690,C8666,C8642,C8618)/POBLA!$B$1*100000</f>
        <v>202.88303936442904</v>
      </c>
      <c r="H8930" s="300">
        <f t="shared" ref="H8930:H8953" si="1407">SUM(C8930,C8906,C8882,C8858,C8834,C8810,C8786,C8762,C8738,C8714,C8690,C8666,C8642,C8618)/SUM(C8594,C8570,C8546,C8522,C8498,C8474,C8450,C8426,C8402,C8378,C8354,C8330,C8306,C8282)</f>
        <v>1.0005060444194547</v>
      </c>
      <c r="I8930" s="301">
        <f>G8930*H8930</f>
        <v>202.9857071943014</v>
      </c>
      <c r="J8930" s="301">
        <f>AVERAGE(C8930,C8906,C8882,C8858,C8834,C8810,C8786)</f>
        <v>2595</v>
      </c>
      <c r="K8930" s="301">
        <f>J8930/POBLA!$B$1*100000</f>
        <v>14.793792490465698</v>
      </c>
      <c r="L8930" s="548">
        <f t="shared" ref="L8930:L8953" si="1408">1-SUM(C8930,C8906,C8882,C8858,C8834,C8810,C8786)/SUM(C8762,C8738,C8714,C8690,C8666,C8642,C8618)</f>
        <v>-4.2587384491763691E-2</v>
      </c>
      <c r="M8930" s="400">
        <f>SUM(C8930,C8906,C8882,C8858,C8834,C8810,C8786)/POBLA!$B$1*100000</f>
        <v>103.55654743325991</v>
      </c>
    </row>
    <row r="8931" spans="1:13" s="360" customFormat="1" x14ac:dyDescent="0.25">
      <c r="A8931" s="367" t="s">
        <v>43</v>
      </c>
      <c r="B8931" s="267">
        <v>44265</v>
      </c>
      <c r="C8931" s="1">
        <v>934</v>
      </c>
      <c r="D8931" s="39">
        <f t="shared" si="1402"/>
        <v>238950</v>
      </c>
      <c r="E8931" s="1">
        <v>21</v>
      </c>
      <c r="F8931" s="39">
        <f t="shared" si="1406"/>
        <v>6653</v>
      </c>
      <c r="G8931" s="168">
        <f>SUM(C8931,C8907,C8883,C8859,C8835,C8811,C8787,C8763,C8739,C8715,C8691,C8667,C8643,C8619)/POBLA!$B$2*100000</f>
        <v>311.12163103296024</v>
      </c>
      <c r="H8931" s="256">
        <f t="shared" si="1407"/>
        <v>0.98507309038501134</v>
      </c>
      <c r="I8931" s="297">
        <f t="shared" ref="I8931:I8953" si="1409">G8931*H8931</f>
        <v>306.4775465672634</v>
      </c>
      <c r="J8931" s="297">
        <f t="shared" ref="J8931:J8953" si="1410">AVERAGE(C8931,C8907,C8883,C8859,C8835,C8811,C8787)</f>
        <v>730.71428571428567</v>
      </c>
      <c r="K8931" s="297">
        <f>J8931/POBLA!$B$2*100000</f>
        <v>23.758075074774069</v>
      </c>
      <c r="L8931" s="549">
        <f t="shared" si="1408"/>
        <v>-0.14840592725639867</v>
      </c>
      <c r="M8931" s="401">
        <f>SUM(C8931,C8907,C8883,C8859,C8835,C8811,C8787)/POBLA!$B$2*100000</f>
        <v>166.30652552341849</v>
      </c>
    </row>
    <row r="8932" spans="1:13" s="360" customFormat="1" x14ac:dyDescent="0.25">
      <c r="A8932" s="367" t="s">
        <v>28</v>
      </c>
      <c r="B8932" s="267">
        <v>44265</v>
      </c>
      <c r="C8932" s="1">
        <v>71</v>
      </c>
      <c r="D8932" s="39">
        <f t="shared" si="1402"/>
        <v>8690</v>
      </c>
      <c r="E8932" s="1"/>
      <c r="F8932" s="39">
        <f t="shared" si="1406"/>
        <v>17</v>
      </c>
      <c r="G8932" s="168">
        <f>SUM(C8932,C8908,C8884,C8860,C8836,C8812,C8788,C8764,C8740,C8716,C8692,C8668,C8644,C8620)/POBLA!$B$3*100000</f>
        <v>283.55615037622943</v>
      </c>
      <c r="H8932" s="256">
        <f t="shared" si="1407"/>
        <v>1.1208372978116079</v>
      </c>
      <c r="I8932" s="297">
        <f t="shared" si="1409"/>
        <v>317.82030936555492</v>
      </c>
      <c r="J8932" s="297">
        <f t="shared" si="1410"/>
        <v>72.285714285714292</v>
      </c>
      <c r="K8932" s="297">
        <f>J8932/POBLA!$B$3*100000</f>
        <v>17.399880195291306</v>
      </c>
      <c r="L8932" s="549">
        <f t="shared" si="1408"/>
        <v>0.24702380952380953</v>
      </c>
      <c r="M8932" s="401">
        <f>SUM(C8932,C8908,C8884,C8860,C8836,C8812,C8788)/POBLA!$B$3*100000</f>
        <v>121.79916136703913</v>
      </c>
    </row>
    <row r="8933" spans="1:13" s="360" customFormat="1" x14ac:dyDescent="0.25">
      <c r="A8933" s="367" t="s">
        <v>15</v>
      </c>
      <c r="B8933" s="267">
        <v>44265</v>
      </c>
      <c r="C8933" s="1">
        <v>139</v>
      </c>
      <c r="D8933" s="39">
        <f t="shared" si="1402"/>
        <v>35419</v>
      </c>
      <c r="E8933" s="1">
        <v>1</v>
      </c>
      <c r="F8933" s="39">
        <f t="shared" si="1406"/>
        <v>879</v>
      </c>
      <c r="G8933" s="168">
        <f>SUM(C8933,C8909,C8885,C8861,C8837,C8813,C8789,C8765,C8741,C8717,C8693,C8669,C8645,C8621)/POBLA!$B$4*100000</f>
        <v>144.61940274345164</v>
      </c>
      <c r="H8933" s="256">
        <f t="shared" si="1407"/>
        <v>1.0602556299452222</v>
      </c>
      <c r="I8933" s="297">
        <f t="shared" si="1409"/>
        <v>153.33353595806011</v>
      </c>
      <c r="J8933" s="297">
        <f t="shared" si="1410"/>
        <v>130.71428571428572</v>
      </c>
      <c r="K8933" s="297">
        <f>J8933/POBLA!$B$4*100000</f>
        <v>10.851792152719229</v>
      </c>
      <c r="L8933" s="549">
        <f t="shared" si="1408"/>
        <v>-0.10640870616686815</v>
      </c>
      <c r="M8933" s="401">
        <f>SUM(C8933,C8909,C8885,C8861,C8837,C8813,C8789)/POBLA!$B$4*100000</f>
        <v>75.96254506903459</v>
      </c>
    </row>
    <row r="8934" spans="1:13" s="360" customFormat="1" x14ac:dyDescent="0.25">
      <c r="A8934" s="367" t="s">
        <v>29</v>
      </c>
      <c r="B8934" s="267">
        <v>44265</v>
      </c>
      <c r="C8934" s="1">
        <v>95</v>
      </c>
      <c r="D8934" s="39">
        <f t="shared" si="1402"/>
        <v>47807</v>
      </c>
      <c r="E8934" s="1">
        <v>1</v>
      </c>
      <c r="F8934" s="39">
        <f t="shared" si="1406"/>
        <v>783</v>
      </c>
      <c r="G8934" s="168">
        <f>SUM(C8934,C8910,C8886,C8862,C8838,C8814,C8790,C8766,C8742,C8718,C8694,C8670,C8646,C8622)/POBLA!$B$5*100000</f>
        <v>196.28623217672543</v>
      </c>
      <c r="H8934" s="256">
        <f t="shared" si="1407"/>
        <v>0.59940799210656137</v>
      </c>
      <c r="I8934" s="297">
        <f t="shared" si="1409"/>
        <v>117.65553630721331</v>
      </c>
      <c r="J8934" s="297">
        <f t="shared" si="1410"/>
        <v>76.714285714285708</v>
      </c>
      <c r="K8934" s="297">
        <f>J8934/POBLA!$B$5*100000</f>
        <v>12.393381149782666</v>
      </c>
      <c r="L8934" s="549">
        <f t="shared" si="1408"/>
        <v>0.20796460176991149</v>
      </c>
      <c r="M8934" s="401">
        <f>SUM(C8934,C8910,C8886,C8862,C8838,C8814,C8790)/POBLA!$B$5*100000</f>
        <v>86.753668048478659</v>
      </c>
    </row>
    <row r="8935" spans="1:13" s="360" customFormat="1" x14ac:dyDescent="0.25">
      <c r="A8935" s="367" t="s">
        <v>30</v>
      </c>
      <c r="B8935" s="267">
        <v>44265</v>
      </c>
      <c r="C8935" s="1">
        <v>334</v>
      </c>
      <c r="D8935" s="39">
        <f t="shared" si="1402"/>
        <v>23958</v>
      </c>
      <c r="E8935" s="1">
        <v>4</v>
      </c>
      <c r="F8935" s="39">
        <f t="shared" si="1406"/>
        <v>306</v>
      </c>
      <c r="G8935" s="168">
        <f>SUM(C8935,C8911,C8887,C8863,C8839,C8815,C8791,C8767,C8743,C8719,C8695,C8671,C8647,C8623)/POBLA!$B$6*100000</f>
        <v>236.43804743214898</v>
      </c>
      <c r="H8935" s="256">
        <f t="shared" si="1407"/>
        <v>1.1910112359550562</v>
      </c>
      <c r="I8935" s="297">
        <f t="shared" si="1409"/>
        <v>281.60037109896393</v>
      </c>
      <c r="J8935" s="297">
        <f t="shared" si="1410"/>
        <v>235</v>
      </c>
      <c r="K8935" s="297">
        <f>J8935/POBLA!$B$6*100000</f>
        <v>20.967147602473588</v>
      </c>
      <c r="L8935" s="549">
        <f t="shared" si="1408"/>
        <v>-0.63681592039800994</v>
      </c>
      <c r="M8935" s="401">
        <f>SUM(C8935,C8911,C8887,C8863,C8839,C8815,C8791)/POBLA!$B$6*100000</f>
        <v>146.7700332173151</v>
      </c>
    </row>
    <row r="8936" spans="1:13" s="360" customFormat="1" x14ac:dyDescent="0.25">
      <c r="A8936" s="367" t="s">
        <v>20</v>
      </c>
      <c r="B8936" s="267">
        <v>44265</v>
      </c>
      <c r="C8936" s="1">
        <v>649</v>
      </c>
      <c r="D8936" s="39">
        <f t="shared" si="1402"/>
        <v>165680</v>
      </c>
      <c r="E8936" s="1">
        <v>7</v>
      </c>
      <c r="F8936" s="39">
        <f t="shared" si="1406"/>
        <v>2897</v>
      </c>
      <c r="G8936" s="168">
        <f>SUM(C8936,C8912,C8888,C8864,C8840,C8816,C8792,C8768,C8744,C8720,C8696,C8672,C8648,C8624)/POBLA!$B$7*100000</f>
        <v>217.02189897485673</v>
      </c>
      <c r="H8936" s="256">
        <f t="shared" si="1407"/>
        <v>1.0722638286690316</v>
      </c>
      <c r="I8936" s="297">
        <f t="shared" si="1409"/>
        <v>232.70473229980365</v>
      </c>
      <c r="J8936" s="297">
        <f t="shared" si="1410"/>
        <v>561.71428571428567</v>
      </c>
      <c r="K8936" s="297">
        <f>J8936/POBLA!$B$7*100000</f>
        <v>14.937422003065739</v>
      </c>
      <c r="L8936" s="549">
        <f t="shared" si="1408"/>
        <v>7.022936864506979E-2</v>
      </c>
      <c r="M8936" s="401">
        <f>SUM(C8936,C8912,C8888,C8864,C8840,C8816,C8792)/POBLA!$B$7*100000</f>
        <v>104.5619540214602</v>
      </c>
    </row>
    <row r="8937" spans="1:13" x14ac:dyDescent="0.25">
      <c r="A8937" s="367" t="s">
        <v>31</v>
      </c>
      <c r="B8937" s="267">
        <v>44265</v>
      </c>
      <c r="C8937" s="1">
        <v>173</v>
      </c>
      <c r="D8937" s="39">
        <f t="shared" si="1402"/>
        <v>46410</v>
      </c>
      <c r="E8937" s="1">
        <v>4</v>
      </c>
      <c r="F8937" s="39">
        <f t="shared" ref="F8937:F8960" si="1411">E8937+F8913</f>
        <v>893</v>
      </c>
      <c r="G8937" s="168">
        <f>SUM(C8937,C8913,C8889,C8865,C8841,C8817,C8793,C8769,C8745,C8721,C8697,C8673,C8649,C8625)/POBLA!$B$8*100000</f>
        <v>119.70033788829555</v>
      </c>
      <c r="H8937" s="256">
        <f t="shared" si="1407"/>
        <v>0.94047619047619047</v>
      </c>
      <c r="I8937" s="297">
        <f t="shared" si="1409"/>
        <v>112.57531777589701</v>
      </c>
      <c r="J8937" s="297">
        <f t="shared" si="1410"/>
        <v>127.28571428571429</v>
      </c>
      <c r="K8937" s="297">
        <f>J8937/POBLA!$B$8*100000</f>
        <v>9.183931891713712</v>
      </c>
      <c r="L8937" s="549">
        <f t="shared" si="1408"/>
        <v>-0.16015625</v>
      </c>
      <c r="M8937" s="401">
        <f>SUM(C8937,C8913,C8889,C8865,C8841,C8817,C8793)/POBLA!$B$8*100000</f>
        <v>64.287523241995984</v>
      </c>
    </row>
    <row r="8938" spans="1:13" s="360" customFormat="1" x14ac:dyDescent="0.25">
      <c r="A8938" s="367" t="s">
        <v>41</v>
      </c>
      <c r="B8938" s="267">
        <v>44265</v>
      </c>
      <c r="C8938" s="1">
        <v>8</v>
      </c>
      <c r="D8938" s="39">
        <f t="shared" ref="D8938:D8969" si="1412">C8938+D8914</f>
        <v>1428</v>
      </c>
      <c r="E8938" s="1"/>
      <c r="F8938" s="39">
        <f t="shared" si="1411"/>
        <v>20</v>
      </c>
      <c r="G8938" s="168">
        <f>SUM(C8938,C8914,C8890,C8866,C8842,C8818,C8794,C8770,C8746,C8722,C8698,C8674,C8650,C8626)/POBLA!$B$9*100000</f>
        <v>41.804845726900346</v>
      </c>
      <c r="H8938" s="256">
        <f t="shared" si="1407"/>
        <v>0.8971631205673759</v>
      </c>
      <c r="I8938" s="297">
        <f t="shared" si="1409"/>
        <v>37.505765847183646</v>
      </c>
      <c r="J8938" s="297">
        <f t="shared" si="1410"/>
        <v>20.285714285714285</v>
      </c>
      <c r="K8938" s="297">
        <f>J8938/POBLA!$B$9*100000</f>
        <v>3.3519413287520319</v>
      </c>
      <c r="L8938" s="549">
        <f t="shared" si="1408"/>
        <v>-0.27927927927927931</v>
      </c>
      <c r="M8938" s="401">
        <f>SUM(C8938,C8914,C8890,C8866,C8842,C8818,C8794)/POBLA!$B$9*100000</f>
        <v>23.463589301264225</v>
      </c>
    </row>
    <row r="8939" spans="1:13" s="360" customFormat="1" x14ac:dyDescent="0.25">
      <c r="A8939" s="367" t="s">
        <v>32</v>
      </c>
      <c r="B8939" s="267">
        <v>44265</v>
      </c>
      <c r="C8939" s="1">
        <v>81</v>
      </c>
      <c r="D8939" s="39">
        <f t="shared" si="1412"/>
        <v>21445</v>
      </c>
      <c r="E8939" s="1">
        <v>1</v>
      </c>
      <c r="F8939" s="39">
        <f t="shared" si="1411"/>
        <v>918</v>
      </c>
      <c r="G8939" s="168">
        <f>SUM(C8939,C8915,C8891,C8867,C8843,C8819,C8795,C8771,C8747,C8723,C8699,C8675,C8651,C8627)/POBLA!$B$10*100000</f>
        <v>137.50501050097225</v>
      </c>
      <c r="H8939" s="256">
        <f t="shared" si="1407"/>
        <v>1.4095744680851063</v>
      </c>
      <c r="I8939" s="297">
        <f t="shared" si="1409"/>
        <v>193.82355203594491</v>
      </c>
      <c r="J8939" s="297">
        <f t="shared" si="1410"/>
        <v>66.142857142857139</v>
      </c>
      <c r="K8939" s="297">
        <f>J8939/POBLA!$B$10*100000</f>
        <v>8.580164401880074</v>
      </c>
      <c r="L8939" s="549">
        <f t="shared" si="1408"/>
        <v>0.2244556113902848</v>
      </c>
      <c r="M8939" s="401">
        <f>SUM(C8939,C8915,C8891,C8867,C8843,C8819,C8795)/POBLA!$B$10*100000</f>
        <v>60.061150813160531</v>
      </c>
    </row>
    <row r="8940" spans="1:13" s="360" customFormat="1" x14ac:dyDescent="0.25">
      <c r="A8940" s="367" t="s">
        <v>33</v>
      </c>
      <c r="B8940" s="267">
        <v>44265</v>
      </c>
      <c r="C8940" s="1">
        <v>87</v>
      </c>
      <c r="D8940" s="39">
        <f t="shared" si="1412"/>
        <v>19507</v>
      </c>
      <c r="E8940" s="1"/>
      <c r="F8940" s="39">
        <f t="shared" si="1411"/>
        <v>298</v>
      </c>
      <c r="G8940" s="168">
        <f>SUM(C8940,C8916,C8892,C8868,C8844,C8820,C8796,C8772,C8748,C8724,C8700,C8676,C8652,C8628)/POBLA!$B$11*100000</f>
        <v>332.56330420614461</v>
      </c>
      <c r="H8940" s="256">
        <f t="shared" si="1407"/>
        <v>1.2390852390852392</v>
      </c>
      <c r="I8940" s="297">
        <f t="shared" si="1409"/>
        <v>412.0742813032478</v>
      </c>
      <c r="J8940" s="297">
        <f t="shared" si="1410"/>
        <v>79.142857142857139</v>
      </c>
      <c r="K8940" s="297">
        <f>J8940/POBLA!$B$11*100000</f>
        <v>22.080545365556581</v>
      </c>
      <c r="L8940" s="549">
        <f t="shared" si="1408"/>
        <v>0.13166144200626961</v>
      </c>
      <c r="M8940" s="401">
        <f>SUM(C8940,C8916,C8892,C8868,C8844,C8820,C8796)/POBLA!$B$11*100000</f>
        <v>154.56381755889606</v>
      </c>
    </row>
    <row r="8941" spans="1:13" s="360" customFormat="1" x14ac:dyDescent="0.25">
      <c r="A8941" s="367" t="s">
        <v>21</v>
      </c>
      <c r="B8941" s="267">
        <v>44265</v>
      </c>
      <c r="C8941" s="1">
        <v>27</v>
      </c>
      <c r="D8941" s="39">
        <f t="shared" si="1412"/>
        <v>10421</v>
      </c>
      <c r="E8941" s="1"/>
      <c r="F8941" s="39">
        <f t="shared" si="1411"/>
        <v>444</v>
      </c>
      <c r="G8941" s="168">
        <f>SUM(C8941,C8917,C8893,C8869,C8845,C8821,C8797,C8773,C8749,C8725,C8701,C8677,C8653,C8629)/POBLA!$B$12*100000</f>
        <v>75.216437840983303</v>
      </c>
      <c r="H8941" s="256">
        <f t="shared" si="1407"/>
        <v>0.7531806615776081</v>
      </c>
      <c r="I8941" s="297">
        <f t="shared" si="1409"/>
        <v>56.651566414582838</v>
      </c>
      <c r="J8941" s="297">
        <f t="shared" si="1410"/>
        <v>19.142857142857142</v>
      </c>
      <c r="K8941" s="297">
        <f>J8941/POBLA!$B$12*100000</f>
        <v>4.8643835283261403</v>
      </c>
      <c r="L8941" s="549">
        <f t="shared" si="1408"/>
        <v>0.1728395061728395</v>
      </c>
      <c r="M8941" s="401">
        <f>SUM(C8941,C8917,C8893,C8869,C8845,C8821,C8797)/POBLA!$B$12*100000</f>
        <v>34.050684698282979</v>
      </c>
    </row>
    <row r="8942" spans="1:13" s="360" customFormat="1" x14ac:dyDescent="0.25">
      <c r="A8942" s="367" t="s">
        <v>17</v>
      </c>
      <c r="B8942" s="267">
        <v>44265</v>
      </c>
      <c r="C8942" s="1">
        <v>248</v>
      </c>
      <c r="D8942" s="39">
        <f t="shared" si="1412"/>
        <v>68807</v>
      </c>
      <c r="E8942" s="1">
        <v>3</v>
      </c>
      <c r="F8942" s="39">
        <f t="shared" si="1411"/>
        <v>1469</v>
      </c>
      <c r="G8942" s="168">
        <f>SUM(C8942,C8918,C8894,C8870,C8846,C8822,C8798,C8774,C8750,C8726,C8702,C8678,C8654,C8630)/POBLA!$B$13*100000</f>
        <v>105.50971744497667</v>
      </c>
      <c r="H8942" s="256">
        <f t="shared" si="1407"/>
        <v>1.4189189189189189</v>
      </c>
      <c r="I8942" s="297">
        <f t="shared" si="1409"/>
        <v>149.70973421246688</v>
      </c>
      <c r="J8942" s="297">
        <f t="shared" si="1410"/>
        <v>160</v>
      </c>
      <c r="K8942" s="297">
        <f>J8942/POBLA!$B$13*100000</f>
        <v>8.0388356148553655</v>
      </c>
      <c r="L8942" s="549">
        <f t="shared" si="1408"/>
        <v>-0.14285714285714279</v>
      </c>
      <c r="M8942" s="401">
        <f>SUM(C8942,C8918,C8894,C8870,C8846,C8822,C8798)/POBLA!$B$13*100000</f>
        <v>56.271849303987565</v>
      </c>
    </row>
    <row r="8943" spans="1:13" s="360" customFormat="1" x14ac:dyDescent="0.25">
      <c r="A8943" s="367" t="s">
        <v>23</v>
      </c>
      <c r="B8943" s="267">
        <v>44265</v>
      </c>
      <c r="C8943" s="1">
        <v>113</v>
      </c>
      <c r="D8943" s="39">
        <f t="shared" si="1412"/>
        <v>9467</v>
      </c>
      <c r="E8943" s="1">
        <v>5</v>
      </c>
      <c r="F8943" s="39">
        <f t="shared" si="1411"/>
        <v>161</v>
      </c>
      <c r="G8943" s="168">
        <f>SUM(C8943,C8919,C8895,C8871,C8847,C8823,C8799,C8775,C8751,C8727,C8703,C8679,C8655,C8631)/POBLA!$B$14*100000</f>
        <v>129.54949440812371</v>
      </c>
      <c r="H8943" s="256">
        <f t="shared" si="1407"/>
        <v>1.061038961038961</v>
      </c>
      <c r="I8943" s="297">
        <f t="shared" si="1409"/>
        <v>137.45706094991826</v>
      </c>
      <c r="J8943" s="297">
        <f t="shared" si="1410"/>
        <v>116.71428571428571</v>
      </c>
      <c r="K8943" s="297">
        <f>J8943/POBLA!$B$14*100000</f>
        <v>9.2535353148659798</v>
      </c>
      <c r="L8943" s="549">
        <f t="shared" si="1408"/>
        <v>0</v>
      </c>
      <c r="M8943" s="401">
        <f>SUM(C8943,C8919,C8895,C8871,C8847,C8823,C8799)/POBLA!$B$14*100000</f>
        <v>64.774747204061853</v>
      </c>
    </row>
    <row r="8944" spans="1:13" s="360" customFormat="1" x14ac:dyDescent="0.25">
      <c r="A8944" s="367" t="s">
        <v>19</v>
      </c>
      <c r="B8944" s="267">
        <v>44265</v>
      </c>
      <c r="C8944" s="1">
        <v>157</v>
      </c>
      <c r="D8944" s="39">
        <f t="shared" si="1412"/>
        <v>62736</v>
      </c>
      <c r="E8944" s="1">
        <v>1</v>
      </c>
      <c r="F8944" s="39">
        <f t="shared" si="1411"/>
        <v>950</v>
      </c>
      <c r="G8944" s="168">
        <f>SUM(C8944,C8920,C8896,C8872,C8848,C8824,C8800,C8776,C8752,C8728,C8704,C8680,C8656,C8632)/POBLA!$B$15*100000</f>
        <v>315.635555381541</v>
      </c>
      <c r="H8944" s="256">
        <f t="shared" si="1407"/>
        <v>0.69449966865473822</v>
      </c>
      <c r="I8944" s="297">
        <f t="shared" si="1409"/>
        <v>219.2087886281345</v>
      </c>
      <c r="J8944" s="297">
        <f t="shared" si="1410"/>
        <v>151.57142857142858</v>
      </c>
      <c r="K8944" s="297">
        <f>J8944/POBLA!$B$15*100000</f>
        <v>22.825062994807464</v>
      </c>
      <c r="L8944" s="549">
        <f t="shared" si="1408"/>
        <v>-2.5120772946859882E-2</v>
      </c>
      <c r="M8944" s="401">
        <f>SUM(C8944,C8920,C8896,C8872,C8848,C8824,C8800)/POBLA!$B$15*100000</f>
        <v>159.77544096365222</v>
      </c>
    </row>
    <row r="8945" spans="1:13" s="360" customFormat="1" x14ac:dyDescent="0.25">
      <c r="A8945" s="367" t="s">
        <v>18</v>
      </c>
      <c r="B8945" s="267">
        <v>44265</v>
      </c>
      <c r="C8945" s="1">
        <v>146</v>
      </c>
      <c r="D8945" s="39">
        <f t="shared" si="1412"/>
        <v>53513</v>
      </c>
      <c r="E8945" s="1">
        <v>8</v>
      </c>
      <c r="F8945" s="39">
        <f t="shared" si="1411"/>
        <v>1227</v>
      </c>
      <c r="G8945" s="168">
        <f>SUM(C8945,C8921,C8897,C8873,C8849,C8825,C8801,C8777,C8753,C8729,C8705,C8681,C8657,C8633)/POBLA!$B$16*100000</f>
        <v>214.55036717004856</v>
      </c>
      <c r="H8945" s="256">
        <f t="shared" si="1407"/>
        <v>0.84778012684989434</v>
      </c>
      <c r="I8945" s="297">
        <f t="shared" si="1409"/>
        <v>181.89153749511519</v>
      </c>
      <c r="J8945" s="297">
        <f t="shared" si="1410"/>
        <v>110.14285714285714</v>
      </c>
      <c r="K8945" s="297">
        <f>J8945/POBLA!$B$16*100000</f>
        <v>14.732662369799378</v>
      </c>
      <c r="L8945" s="549">
        <f t="shared" si="1408"/>
        <v>7.4429771908763542E-2</v>
      </c>
      <c r="M8945" s="401">
        <f>SUM(C8945,C8921,C8897,C8873,C8849,C8825,C8801)/POBLA!$B$16*100000</f>
        <v>103.12863658859565</v>
      </c>
    </row>
    <row r="8946" spans="1:13" s="360" customFormat="1" x14ac:dyDescent="0.25">
      <c r="A8946" s="367" t="s">
        <v>34</v>
      </c>
      <c r="B8946" s="267">
        <v>44265</v>
      </c>
      <c r="C8946" s="1">
        <v>176</v>
      </c>
      <c r="D8946" s="39">
        <f t="shared" si="1412"/>
        <v>27211</v>
      </c>
      <c r="E8946" s="1">
        <v>1</v>
      </c>
      <c r="F8946" s="39">
        <f t="shared" si="1411"/>
        <v>1128</v>
      </c>
      <c r="G8946" s="168">
        <f>SUM(C8946,C8922,C8898,C8874,C8850,C8826,C8802,C8778,C8754,C8730,C8706,C8682,C8658,C8634)/POBLA!$B$17*100000</f>
        <v>103.27177044040391</v>
      </c>
      <c r="H8946" s="256">
        <f t="shared" si="1407"/>
        <v>1.1988590057049715</v>
      </c>
      <c r="I8946" s="297">
        <f t="shared" si="1409"/>
        <v>123.80829202757471</v>
      </c>
      <c r="J8946" s="297">
        <f t="shared" si="1410"/>
        <v>110.14285714285714</v>
      </c>
      <c r="K8946" s="297">
        <f>J8946/POBLA!$B$17*100000</f>
        <v>7.7325954170682145</v>
      </c>
      <c r="L8946" s="549">
        <f t="shared" si="1408"/>
        <v>-0.10142857142857142</v>
      </c>
      <c r="M8946" s="401">
        <f>SUM(C8946,C8922,C8898,C8874,C8850,C8826,C8802)/POBLA!$B$17*100000</f>
        <v>54.128167919477505</v>
      </c>
    </row>
    <row r="8947" spans="1:13" s="360" customFormat="1" x14ac:dyDescent="0.25">
      <c r="A8947" s="367" t="s">
        <v>35</v>
      </c>
      <c r="B8947" s="267">
        <v>44265</v>
      </c>
      <c r="C8947" s="1">
        <v>72</v>
      </c>
      <c r="D8947" s="39">
        <f t="shared" si="1412"/>
        <v>15748</v>
      </c>
      <c r="E8947" s="1">
        <v>1</v>
      </c>
      <c r="F8947" s="39">
        <f t="shared" si="1411"/>
        <v>216</v>
      </c>
      <c r="G8947" s="168">
        <f>SUM(C8947,C8923,C8899,C8875,C8851,C8827,C8803,C8779,C8755,C8731,C8707,C8683,C8659,C8635)/POBLA!$B$18*100000</f>
        <v>77.699282017672431</v>
      </c>
      <c r="H8947" s="256">
        <f t="shared" si="1407"/>
        <v>0.88742690058479534</v>
      </c>
      <c r="I8947" s="297">
        <f t="shared" si="1409"/>
        <v>68.952433018606968</v>
      </c>
      <c r="J8947" s="297">
        <f t="shared" si="1410"/>
        <v>49.142857142857146</v>
      </c>
      <c r="K8947" s="297">
        <f>J8947/POBLA!$B$18*100000</f>
        <v>6.2905514271779985</v>
      </c>
      <c r="L8947" s="549">
        <f t="shared" si="1408"/>
        <v>-0.30798479087452479</v>
      </c>
      <c r="M8947" s="401">
        <f>SUM(C8947,C8923,C8899,C8875,C8851,C8827,C8803)/POBLA!$B$18*100000</f>
        <v>44.033859990245986</v>
      </c>
    </row>
    <row r="8948" spans="1:13" s="360" customFormat="1" x14ac:dyDescent="0.25">
      <c r="A8948" s="367" t="s">
        <v>36</v>
      </c>
      <c r="B8948" s="267">
        <v>44265</v>
      </c>
      <c r="C8948" s="1">
        <v>2</v>
      </c>
      <c r="D8948" s="39">
        <f t="shared" si="1412"/>
        <v>20813</v>
      </c>
      <c r="E8948" s="1">
        <v>1</v>
      </c>
      <c r="F8948" s="39">
        <f t="shared" si="1411"/>
        <v>359</v>
      </c>
      <c r="G8948" s="168">
        <f>SUM(C8948,C8924,C8900,C8876,C8852,C8828,C8804,C8780,C8756,C8732,C8708,C8684,C8660,C8636)/POBLA!$B$19*100000</f>
        <v>44.852929604507324</v>
      </c>
      <c r="H8948" s="256">
        <f t="shared" si="1407"/>
        <v>0.15605749486652978</v>
      </c>
      <c r="I8948" s="297">
        <f t="shared" si="1409"/>
        <v>6.9996358315042233</v>
      </c>
      <c r="J8948" s="297">
        <f t="shared" si="1410"/>
        <v>3.5714285714285716</v>
      </c>
      <c r="K8948" s="297">
        <f>J8948/POBLA!$B$19*100000</f>
        <v>0.70258348377987667</v>
      </c>
      <c r="L8948" s="549">
        <f t="shared" si="1408"/>
        <v>0.87684729064039413</v>
      </c>
      <c r="M8948" s="401">
        <f>SUM(C8948,C8924,C8900,C8876,C8852,C8828,C8804)/POBLA!$B$19*100000</f>
        <v>4.9180843864591361</v>
      </c>
    </row>
    <row r="8949" spans="1:13" s="360" customFormat="1" x14ac:dyDescent="0.25">
      <c r="A8949" s="367" t="s">
        <v>37</v>
      </c>
      <c r="B8949" s="267">
        <v>44265</v>
      </c>
      <c r="C8949" s="1">
        <v>138</v>
      </c>
      <c r="D8949" s="39">
        <f t="shared" si="1412"/>
        <v>36963</v>
      </c>
      <c r="E8949" s="1">
        <v>3</v>
      </c>
      <c r="F8949" s="39">
        <f t="shared" si="1411"/>
        <v>604</v>
      </c>
      <c r="G8949" s="168">
        <f>SUM(C8949,C8925,C8901,C8877,C8853,C8829,C8805,C8781,C8757,C8733,C8709,C8685,C8661,C8637)/POBLA!$B$20*100000</f>
        <v>364.2349698385006</v>
      </c>
      <c r="H8949" s="256">
        <f t="shared" si="1407"/>
        <v>0.91609353507565339</v>
      </c>
      <c r="I8949" s="297">
        <f t="shared" si="1409"/>
        <v>333.67330111752602</v>
      </c>
      <c r="J8949" s="297">
        <f t="shared" si="1410"/>
        <v>103.71428571428571</v>
      </c>
      <c r="K8949" s="297">
        <f>J8949/POBLA!$B$20*100000</f>
        <v>28.360637934658023</v>
      </c>
      <c r="L8949" s="549">
        <f t="shared" si="1408"/>
        <v>-0.19801980198019797</v>
      </c>
      <c r="M8949" s="401">
        <f>SUM(C8949,C8925,C8901,C8877,C8853,C8829,C8805)/POBLA!$B$20*100000</f>
        <v>198.52446554260621</v>
      </c>
    </row>
    <row r="8950" spans="1:13" s="360" customFormat="1" x14ac:dyDescent="0.25">
      <c r="A8950" s="367" t="s">
        <v>22</v>
      </c>
      <c r="B8950" s="267">
        <v>44265</v>
      </c>
      <c r="C8950" s="1">
        <v>509</v>
      </c>
      <c r="D8950" s="39">
        <f t="shared" si="1412"/>
        <v>220575</v>
      </c>
      <c r="E8950" s="1">
        <v>12</v>
      </c>
      <c r="F8950" s="39">
        <f t="shared" si="1411"/>
        <v>4090</v>
      </c>
      <c r="G8950" s="168">
        <f>SUM(C8950,C8926,C8902,C8878,C8854,C8830,C8806,C8782,C8758,C8734,C8710,C8686,C8662,C8638)/POBLA!$B$21*100000</f>
        <v>150.18021059727667</v>
      </c>
      <c r="H8950" s="256">
        <f t="shared" si="1407"/>
        <v>1.1181052631578947</v>
      </c>
      <c r="I8950" s="297">
        <f t="shared" si="1409"/>
        <v>167.91728389097608</v>
      </c>
      <c r="J8950" s="297">
        <f t="shared" si="1410"/>
        <v>412</v>
      </c>
      <c r="K8950" s="297">
        <f>J8950/POBLA!$B$21*100000</f>
        <v>11.650206508393522</v>
      </c>
      <c r="L8950" s="549">
        <f t="shared" si="1408"/>
        <v>-0.18829831067161096</v>
      </c>
      <c r="M8950" s="401">
        <f>SUM(C8950,C8926,C8902,C8878,C8854,C8830,C8806)/POBLA!$B$21*100000</f>
        <v>81.551445558754651</v>
      </c>
    </row>
    <row r="8951" spans="1:13" s="360" customFormat="1" x14ac:dyDescent="0.25">
      <c r="A8951" s="367" t="s">
        <v>38</v>
      </c>
      <c r="B8951" s="267">
        <v>44265</v>
      </c>
      <c r="C8951" s="1">
        <v>51</v>
      </c>
      <c r="D8951" s="39">
        <f t="shared" si="1412"/>
        <v>23176</v>
      </c>
      <c r="E8951" s="1"/>
      <c r="F8951" s="39">
        <f t="shared" si="1411"/>
        <v>272</v>
      </c>
      <c r="G8951" s="168">
        <f>SUM(C8951,C8927,C8903,C8879,C8855,C8831,C8807,C8783,C8759,C8735,C8711,C8687,C8663,C8639)/POBLA!$B$22*100000</f>
        <v>85.453224070415089</v>
      </c>
      <c r="H8951" s="256">
        <f t="shared" si="1407"/>
        <v>1.1824611032531824</v>
      </c>
      <c r="I8951" s="297">
        <f t="shared" si="1409"/>
        <v>101.04511361084442</v>
      </c>
      <c r="J8951" s="297">
        <f t="shared" si="1410"/>
        <v>55.571428571428569</v>
      </c>
      <c r="K8951" s="297">
        <f>J8951/POBLA!$B$22*100000</f>
        <v>5.6803322220422885</v>
      </c>
      <c r="L8951" s="549">
        <f t="shared" si="1408"/>
        <v>0.12975391498881428</v>
      </c>
      <c r="M8951" s="401">
        <f>SUM(C8951,C8927,C8903,C8879,C8855,C8831,C8807)/POBLA!$B$22*100000</f>
        <v>39.762325554296019</v>
      </c>
    </row>
    <row r="8952" spans="1:13" s="360" customFormat="1" x14ac:dyDescent="0.25">
      <c r="A8952" s="367" t="s">
        <v>39</v>
      </c>
      <c r="B8952" s="267">
        <v>44265</v>
      </c>
      <c r="C8952" s="1">
        <v>15</v>
      </c>
      <c r="D8952" s="39">
        <f t="shared" si="1412"/>
        <v>23256</v>
      </c>
      <c r="E8952" s="1"/>
      <c r="F8952" s="39">
        <f t="shared" si="1411"/>
        <v>358</v>
      </c>
      <c r="G8952" s="168">
        <f>SUM(C8952,C8928,C8904,C8880,C8856,C8832,C8808,C8784,C8760,C8736,C8712,C8688,C8664,C8640)/POBLA!$B$23*100000</f>
        <v>239.21280325736586</v>
      </c>
      <c r="H8952" s="256">
        <f t="shared" si="1407"/>
        <v>0.82135922330097089</v>
      </c>
      <c r="I8952" s="297">
        <f t="shared" si="1409"/>
        <v>196.479642287118</v>
      </c>
      <c r="J8952" s="297">
        <f t="shared" si="1410"/>
        <v>29.714285714285715</v>
      </c>
      <c r="K8952" s="297">
        <f>J8952/POBLA!$B$23*100000</f>
        <v>16.803871353438737</v>
      </c>
      <c r="L8952" s="549">
        <f t="shared" si="1408"/>
        <v>3.2558139534883734E-2</v>
      </c>
      <c r="M8952" s="401">
        <f>SUM(C8952,C8928,C8904,C8880,C8856,C8832,C8808)/POBLA!$B$23*100000</f>
        <v>117.62709947407113</v>
      </c>
    </row>
    <row r="8953" spans="1:13" s="360" customFormat="1" ht="15.75" thickBot="1" x14ac:dyDescent="0.3">
      <c r="A8953" s="369" t="s">
        <v>40</v>
      </c>
      <c r="B8953" s="267">
        <v>44265</v>
      </c>
      <c r="C8953" s="1">
        <v>205</v>
      </c>
      <c r="D8953" s="176">
        <f t="shared" si="1412"/>
        <v>81352</v>
      </c>
      <c r="E8953" s="1">
        <v>4</v>
      </c>
      <c r="F8953" s="176">
        <f t="shared" si="1411"/>
        <v>1488</v>
      </c>
      <c r="G8953" s="177">
        <f>SUM(C8953,C8929,C8905,C8881,C8857,C8833,C8809,C8785,C8761,C8737,C8713,C8689,C8665,C8641)/POBLA!$B$24*100000</f>
        <v>122.62075607084859</v>
      </c>
      <c r="H8953" s="402">
        <f t="shared" si="1407"/>
        <v>1.2555891238670696</v>
      </c>
      <c r="I8953" s="403">
        <f t="shared" si="1409"/>
        <v>153.96128768291442</v>
      </c>
      <c r="J8953" s="403">
        <f t="shared" si="1410"/>
        <v>149.71428571428572</v>
      </c>
      <c r="K8953" s="403">
        <f>J8953/POBLA!$B$24*100000</f>
        <v>8.8344941813728397</v>
      </c>
      <c r="L8953" s="550">
        <f t="shared" si="1408"/>
        <v>-1.7475728155339709E-2</v>
      </c>
      <c r="M8953" s="405">
        <f>SUM(C8953,C8929,C8905,C8881,C8857,C8833,C8809)/POBLA!$B$24*100000</f>
        <v>61.841459269609878</v>
      </c>
    </row>
    <row r="8954" spans="1:13" s="360" customFormat="1" x14ac:dyDescent="0.25">
      <c r="A8954" s="363" t="s">
        <v>16</v>
      </c>
      <c r="B8954" s="267">
        <v>44266</v>
      </c>
      <c r="C8954" s="1">
        <v>3450</v>
      </c>
      <c r="D8954" s="174">
        <f t="shared" si="1412"/>
        <v>909812</v>
      </c>
      <c r="E8954" s="1">
        <v>54</v>
      </c>
      <c r="F8954" s="174">
        <f t="shared" si="1411"/>
        <v>26986</v>
      </c>
      <c r="G8954" s="175">
        <f>SUM(C8954,C8930,C8906,C8882,C8858,C8834,C8810,C8786,C8762,C8738,C8714,C8690,C8666,C8642)/POBLA!$B$1*100000</f>
        <v>204.00041251592469</v>
      </c>
      <c r="H8954" s="300">
        <f t="shared" ref="H8954:H8977" si="1413">SUM(C8954,C8930,C8906,C8882,C8858,C8834,C8810,C8786,C8762,C8738,C8714,C8690,C8666,C8642)/SUM(C8618,C8594,C8570,C8546,C8522,C8498,C8474,C8450,C8426,C8402,C8378,C8354,C8330,C8306)</f>
        <v>1.0030834781633682</v>
      </c>
      <c r="I8954" s="301">
        <f>G8954*H8954</f>
        <v>204.62944333323566</v>
      </c>
      <c r="J8954" s="301">
        <f>AVERAGE(C8954,C8930,C8906,C8882,C8858,C8834,C8810)</f>
        <v>2649.8571428571427</v>
      </c>
      <c r="K8954" s="301">
        <f>J8954/POBLA!$B$1*100000</f>
        <v>15.106526666977608</v>
      </c>
      <c r="L8954" s="548">
        <f t="shared" ref="L8954:L8977" si="1414">1-SUM(C8954,C8930,C8906,C8882,C8858,C8834,C8810)/SUM(C8786,C8762,C8738,C8714,C8690,C8666,C8642)</f>
        <v>-7.6240208877284665E-2</v>
      </c>
      <c r="M8954" s="400">
        <f>SUM(C8954,C8930,C8906,C8882,C8858,C8834,C8810)/POBLA!$B$1*100000</f>
        <v>105.74568666884326</v>
      </c>
    </row>
    <row r="8955" spans="1:13" s="360" customFormat="1" x14ac:dyDescent="0.25">
      <c r="A8955" s="367" t="s">
        <v>43</v>
      </c>
      <c r="B8955" s="267">
        <v>44266</v>
      </c>
      <c r="C8955" s="1">
        <v>825</v>
      </c>
      <c r="D8955" s="39">
        <f t="shared" si="1412"/>
        <v>239775</v>
      </c>
      <c r="E8955" s="1">
        <v>8</v>
      </c>
      <c r="F8955" s="39">
        <f t="shared" si="1411"/>
        <v>6661</v>
      </c>
      <c r="G8955" s="168">
        <f>SUM(C8955,C8931,C8907,C8883,C8859,C8835,C8811,C8787,C8763,C8739,C8715,C8691,C8667,C8643)/POBLA!$B$2*100000</f>
        <v>309.20333484412708</v>
      </c>
      <c r="H8955" s="256">
        <f t="shared" si="1413"/>
        <v>0.96724979658258747</v>
      </c>
      <c r="I8955" s="297">
        <f t="shared" ref="I8955:I8977" si="1415">G8955*H8955</f>
        <v>299.07686273063962</v>
      </c>
      <c r="J8955" s="297">
        <f t="shared" ref="J8955:J8977" si="1416">AVERAGE(C8955,C8931,C8907,C8883,C8859,C8835,C8811)</f>
        <v>753.14285714285711</v>
      </c>
      <c r="K8955" s="297">
        <f>J8955/POBLA!$B$2*100000</f>
        <v>24.487306313628327</v>
      </c>
      <c r="L8955" s="549">
        <f t="shared" si="1414"/>
        <v>-0.24398301085417651</v>
      </c>
      <c r="M8955" s="401">
        <f>SUM(C8955,C8931,C8907,C8883,C8859,C8835,C8811)/POBLA!$B$2*100000</f>
        <v>171.41114419539829</v>
      </c>
    </row>
    <row r="8956" spans="1:13" s="360" customFormat="1" x14ac:dyDescent="0.25">
      <c r="A8956" s="367" t="s">
        <v>28</v>
      </c>
      <c r="B8956" s="267">
        <v>44266</v>
      </c>
      <c r="C8956" s="1">
        <v>80</v>
      </c>
      <c r="D8956" s="39">
        <f t="shared" si="1412"/>
        <v>8770</v>
      </c>
      <c r="E8956" s="1"/>
      <c r="F8956" s="39">
        <f t="shared" si="1411"/>
        <v>17</v>
      </c>
      <c r="G8956" s="168">
        <f>SUM(C8956,C8932,C8908,C8884,C8860,C8836,C8812,C8788,C8764,C8740,C8716,C8692,C8668,C8644)/POBLA!$B$3*100000</f>
        <v>272.24278953778901</v>
      </c>
      <c r="H8956" s="256">
        <f t="shared" si="1413"/>
        <v>1.049165120593692</v>
      </c>
      <c r="I8956" s="297">
        <f t="shared" si="1415"/>
        <v>285.62763911617753</v>
      </c>
      <c r="J8956" s="297">
        <f t="shared" si="1416"/>
        <v>75.285714285714292</v>
      </c>
      <c r="K8956" s="297">
        <f>J8956/POBLA!$B$3*100000</f>
        <v>18.122009610510904</v>
      </c>
      <c r="L8956" s="549">
        <f t="shared" si="1414"/>
        <v>0.12748344370860931</v>
      </c>
      <c r="M8956" s="401">
        <f>SUM(C8956,C8932,C8908,C8884,C8860,C8836,C8812)/POBLA!$B$3*100000</f>
        <v>126.85406727357632</v>
      </c>
    </row>
    <row r="8957" spans="1:13" s="360" customFormat="1" x14ac:dyDescent="0.25">
      <c r="A8957" s="367" t="s">
        <v>15</v>
      </c>
      <c r="B8957" s="267">
        <v>44266</v>
      </c>
      <c r="C8957" s="1">
        <v>140</v>
      </c>
      <c r="D8957" s="39">
        <f t="shared" si="1412"/>
        <v>35559</v>
      </c>
      <c r="E8957" s="1">
        <v>7</v>
      </c>
      <c r="F8957" s="39">
        <f t="shared" si="1411"/>
        <v>886</v>
      </c>
      <c r="G8957" s="168">
        <f>SUM(C8957,C8933,C8909,C8885,C8861,C8837,C8813,C8789,C8765,C8741,C8717,C8693,C8669,C8645)/POBLA!$B$4*100000</f>
        <v>141.79675079553124</v>
      </c>
      <c r="H8957" s="256">
        <f t="shared" si="1413"/>
        <v>1.0172721858248959</v>
      </c>
      <c r="I8957" s="297">
        <f t="shared" si="1415"/>
        <v>144.24589062463809</v>
      </c>
      <c r="J8957" s="297">
        <f t="shared" si="1416"/>
        <v>124.85714285714286</v>
      </c>
      <c r="K8957" s="297">
        <f>J8957/POBLA!$B$4*100000</f>
        <v>10.365536985220334</v>
      </c>
      <c r="L8957" s="549">
        <f t="shared" si="1414"/>
        <v>-4.7961630695443569E-2</v>
      </c>
      <c r="M8957" s="401">
        <f>SUM(C8957,C8933,C8909,C8885,C8861,C8837,C8813)/POBLA!$B$4*100000</f>
        <v>72.558758896542344</v>
      </c>
    </row>
    <row r="8958" spans="1:13" s="360" customFormat="1" x14ac:dyDescent="0.25">
      <c r="A8958" s="367" t="s">
        <v>29</v>
      </c>
      <c r="B8958" s="267">
        <v>44266</v>
      </c>
      <c r="C8958" s="1">
        <v>105</v>
      </c>
      <c r="D8958" s="39">
        <f t="shared" si="1412"/>
        <v>47912</v>
      </c>
      <c r="E8958" s="1">
        <v>24</v>
      </c>
      <c r="F8958" s="39">
        <f t="shared" si="1411"/>
        <v>807</v>
      </c>
      <c r="G8958" s="168">
        <f>SUM(C8958,C8934,C8910,C8886,C8862,C8838,C8814,C8790,C8766,C8742,C8718,C8694,C8670,C8646)/POBLA!$B$5*100000</f>
        <v>190.30879136146714</v>
      </c>
      <c r="H8958" s="256">
        <f t="shared" si="1413"/>
        <v>0.61067910834629346</v>
      </c>
      <c r="I8958" s="297">
        <f t="shared" si="1415"/>
        <v>116.21760301908155</v>
      </c>
      <c r="J8958" s="297">
        <f t="shared" si="1416"/>
        <v>79.857142857142861</v>
      </c>
      <c r="K8958" s="297">
        <f>J8958/POBLA!$B$5*100000</f>
        <v>12.901117435248622</v>
      </c>
      <c r="L8958" s="549">
        <f t="shared" si="1414"/>
        <v>9.6930533117932094E-2</v>
      </c>
      <c r="M8958" s="401">
        <f>SUM(C8958,C8934,C8910,C8886,C8862,C8838,C8814)/POBLA!$B$5*100000</f>
        <v>90.307822046740355</v>
      </c>
    </row>
    <row r="8959" spans="1:13" s="360" customFormat="1" x14ac:dyDescent="0.25">
      <c r="A8959" s="367" t="s">
        <v>30</v>
      </c>
      <c r="B8959" s="267">
        <v>44266</v>
      </c>
      <c r="C8959" s="1">
        <v>71</v>
      </c>
      <c r="D8959" s="39">
        <f t="shared" si="1412"/>
        <v>24029</v>
      </c>
      <c r="E8959" s="1"/>
      <c r="F8959" s="39">
        <f t="shared" si="1411"/>
        <v>306</v>
      </c>
      <c r="G8959" s="168">
        <f>SUM(C8959,C8935,C8911,C8887,C8863,C8839,C8815,C8791,C8767,C8743,C8719,C8695,C8671,C8647)/POBLA!$B$6*100000</f>
        <v>234.29672171955593</v>
      </c>
      <c r="H8959" s="256">
        <f t="shared" si="1413"/>
        <v>1.1665926254997778</v>
      </c>
      <c r="I8959" s="297">
        <f t="shared" si="1415"/>
        <v>273.32882773680757</v>
      </c>
      <c r="J8959" s="297">
        <f t="shared" si="1416"/>
        <v>188.57142857142858</v>
      </c>
      <c r="K8959" s="297">
        <f>J8959/POBLA!$B$6*100000</f>
        <v>16.824702027516803</v>
      </c>
      <c r="L8959" s="549">
        <f t="shared" si="1414"/>
        <v>-1.0719754977029039E-2</v>
      </c>
      <c r="M8959" s="401">
        <f>SUM(C8959,C8935,C8911,C8887,C8863,C8839,C8815)/POBLA!$B$6*100000</f>
        <v>117.77291419261761</v>
      </c>
    </row>
    <row r="8960" spans="1:13" s="360" customFormat="1" x14ac:dyDescent="0.25">
      <c r="A8960" s="367" t="s">
        <v>20</v>
      </c>
      <c r="B8960" s="267">
        <v>44266</v>
      </c>
      <c r="C8960" s="1">
        <v>698</v>
      </c>
      <c r="D8960" s="39">
        <f t="shared" si="1412"/>
        <v>166378</v>
      </c>
      <c r="E8960" s="1">
        <v>10</v>
      </c>
      <c r="F8960" s="39">
        <f t="shared" si="1411"/>
        <v>2907</v>
      </c>
      <c r="G8960" s="168">
        <f>SUM(C8960,C8936,C8912,C8888,C8864,C8840,C8816,C8792,C8768,C8744,C8720,C8696,C8672,C8648)/POBLA!$B$7*100000</f>
        <v>206.96991051602868</v>
      </c>
      <c r="H8960" s="256">
        <f t="shared" si="1413"/>
        <v>0.96911966131241445</v>
      </c>
      <c r="I8960" s="297">
        <f t="shared" si="1415"/>
        <v>200.57860958115444</v>
      </c>
      <c r="J8960" s="297">
        <f t="shared" si="1416"/>
        <v>562</v>
      </c>
      <c r="K8960" s="297">
        <f>J8960/POBLA!$B$7*100000</f>
        <v>14.945019877940142</v>
      </c>
      <c r="L8960" s="549">
        <f t="shared" si="1414"/>
        <v>-2.2083658093011271E-2</v>
      </c>
      <c r="M8960" s="401">
        <f>SUM(C8960,C8936,C8912,C8888,C8864,C8840,C8816)/POBLA!$B$7*100000</f>
        <v>104.61513914558098</v>
      </c>
    </row>
    <row r="8961" spans="1:13" x14ac:dyDescent="0.25">
      <c r="A8961" s="367" t="s">
        <v>31</v>
      </c>
      <c r="B8961" s="267">
        <v>44266</v>
      </c>
      <c r="C8961" s="1">
        <v>141</v>
      </c>
      <c r="D8961" s="39">
        <f t="shared" si="1412"/>
        <v>46551</v>
      </c>
      <c r="E8961" s="1">
        <v>1</v>
      </c>
      <c r="F8961" s="39">
        <f t="shared" ref="F8961:F8984" si="1417">E8961+F8937</f>
        <v>894</v>
      </c>
      <c r="G8961" s="168">
        <f>SUM(C8961,C8937,C8913,C8889,C8865,C8841,C8817,C8793,C8769,C8745,C8721,C8697,C8673,C8649)/POBLA!$B$8*100000</f>
        <v>118.32944794261887</v>
      </c>
      <c r="H8961" s="256">
        <f t="shared" si="1413"/>
        <v>0.93234792495736218</v>
      </c>
      <c r="I8961" s="297">
        <f t="shared" si="1415"/>
        <v>110.32421525065091</v>
      </c>
      <c r="J8961" s="297">
        <f t="shared" si="1416"/>
        <v>119.28571428571429</v>
      </c>
      <c r="K8961" s="297">
        <f>J8961/POBLA!$B$8*100000</f>
        <v>8.6067150724814265</v>
      </c>
      <c r="L8961" s="549">
        <f t="shared" si="1414"/>
        <v>-3.7267080745341685E-2</v>
      </c>
      <c r="M8961" s="401">
        <f>SUM(C8961,C8937,C8913,C8889,C8865,C8841,C8817)/POBLA!$B$8*100000</f>
        <v>60.247005507369977</v>
      </c>
    </row>
    <row r="8962" spans="1:13" s="360" customFormat="1" x14ac:dyDescent="0.25">
      <c r="A8962" s="367" t="s">
        <v>41</v>
      </c>
      <c r="B8962" s="267">
        <v>44266</v>
      </c>
      <c r="C8962" s="1">
        <v>49</v>
      </c>
      <c r="D8962" s="39">
        <f t="shared" si="1412"/>
        <v>1477</v>
      </c>
      <c r="E8962" s="1"/>
      <c r="F8962" s="39">
        <f t="shared" si="1417"/>
        <v>20</v>
      </c>
      <c r="G8962" s="168">
        <f>SUM(C8962,C8938,C8914,C8890,C8866,C8842,C8818,C8794,C8770,C8746,C8722,C8698,C8674,C8650)/POBLA!$B$9*100000</f>
        <v>48.249070957529256</v>
      </c>
      <c r="H8962" s="256">
        <f t="shared" si="1413"/>
        <v>1.0695970695970696</v>
      </c>
      <c r="I8962" s="297">
        <f t="shared" si="1415"/>
        <v>51.607064906954371</v>
      </c>
      <c r="J8962" s="297">
        <f t="shared" si="1416"/>
        <v>24</v>
      </c>
      <c r="K8962" s="297">
        <f>J8962/POBLA!$B$9*100000</f>
        <v>3.9656770650024042</v>
      </c>
      <c r="L8962" s="549">
        <f t="shared" si="1414"/>
        <v>-0.35483870967741926</v>
      </c>
      <c r="M8962" s="401">
        <f>SUM(C8962,C8938,C8914,C8890,C8866,C8842,C8818)/POBLA!$B$9*100000</f>
        <v>27.759739455016827</v>
      </c>
    </row>
    <row r="8963" spans="1:13" s="360" customFormat="1" x14ac:dyDescent="0.25">
      <c r="A8963" s="367" t="s">
        <v>32</v>
      </c>
      <c r="B8963" s="267">
        <v>44266</v>
      </c>
      <c r="C8963" s="1">
        <v>67</v>
      </c>
      <c r="D8963" s="39">
        <f t="shared" si="1412"/>
        <v>21512</v>
      </c>
      <c r="E8963" s="1"/>
      <c r="F8963" s="39">
        <f t="shared" si="1417"/>
        <v>918</v>
      </c>
      <c r="G8963" s="168">
        <f>SUM(C8963,C8939,C8915,C8891,C8867,C8843,C8819,C8795,C8771,C8747,C8723,C8699,C8675,C8651)/POBLA!$B$10*100000</f>
        <v>132.44586388820065</v>
      </c>
      <c r="H8963" s="256">
        <f t="shared" si="1413"/>
        <v>1.2286401925391095</v>
      </c>
      <c r="I8963" s="297">
        <f t="shared" si="1415"/>
        <v>162.72831170860752</v>
      </c>
      <c r="J8963" s="297">
        <f t="shared" si="1416"/>
        <v>63.285714285714285</v>
      </c>
      <c r="K8963" s="297">
        <f>J8963/POBLA!$B$10*100000</f>
        <v>8.2095309503949743</v>
      </c>
      <c r="L8963" s="549">
        <f t="shared" si="1414"/>
        <v>0.23356401384083048</v>
      </c>
      <c r="M8963" s="401">
        <f>SUM(C8963,C8939,C8915,C8891,C8867,C8843,C8819)/POBLA!$B$10*100000</f>
        <v>57.466716652764831</v>
      </c>
    </row>
    <row r="8964" spans="1:13" s="360" customFormat="1" x14ac:dyDescent="0.25">
      <c r="A8964" s="367" t="s">
        <v>33</v>
      </c>
      <c r="B8964" s="267">
        <v>44266</v>
      </c>
      <c r="C8964" s="1">
        <v>101</v>
      </c>
      <c r="D8964" s="39">
        <f t="shared" si="1412"/>
        <v>19608</v>
      </c>
      <c r="E8964" s="1">
        <v>1</v>
      </c>
      <c r="F8964" s="39">
        <f t="shared" si="1417"/>
        <v>299</v>
      </c>
      <c r="G8964" s="168">
        <f>SUM(C8964,C8940,C8916,C8892,C8868,C8844,C8820,C8796,C8772,C8748,C8724,C8700,C8676,C8652)/POBLA!$B$11*100000</f>
        <v>298.80478087649402</v>
      </c>
      <c r="H8964" s="256">
        <f t="shared" si="1413"/>
        <v>1.0084745762711864</v>
      </c>
      <c r="I8964" s="297">
        <f t="shared" si="1415"/>
        <v>301.33702478222699</v>
      </c>
      <c r="J8964" s="297">
        <f t="shared" si="1416"/>
        <v>79.142857142857139</v>
      </c>
      <c r="K8964" s="297">
        <f>J8964/POBLA!$B$11*100000</f>
        <v>22.080545365556581</v>
      </c>
      <c r="L8964" s="549">
        <f t="shared" si="1414"/>
        <v>-7.1566731141199158E-2</v>
      </c>
      <c r="M8964" s="401">
        <f>SUM(C8964,C8940,C8916,C8892,C8868,C8844,C8820)/POBLA!$B$11*100000</f>
        <v>154.56381755889606</v>
      </c>
    </row>
    <row r="8965" spans="1:13" s="360" customFormat="1" x14ac:dyDescent="0.25">
      <c r="A8965" s="367" t="s">
        <v>21</v>
      </c>
      <c r="B8965" s="267">
        <v>44266</v>
      </c>
      <c r="C8965" s="1">
        <v>31</v>
      </c>
      <c r="D8965" s="39">
        <f t="shared" si="1412"/>
        <v>10452</v>
      </c>
      <c r="E8965" s="1"/>
      <c r="F8965" s="39">
        <f t="shared" si="1417"/>
        <v>444</v>
      </c>
      <c r="G8965" s="168">
        <f>SUM(C8965,C8941,C8917,C8893,C8869,C8845,C8821,C8797,C8773,C8749,C8725,C8701,C8677,C8653)/POBLA!$B$12*100000</f>
        <v>77.249314539388251</v>
      </c>
      <c r="H8965" s="256">
        <f t="shared" si="1413"/>
        <v>0.77353689567430028</v>
      </c>
      <c r="I8965" s="297">
        <f t="shared" si="1415"/>
        <v>59.75519496176598</v>
      </c>
      <c r="J8965" s="297">
        <f t="shared" si="1416"/>
        <v>20.857142857142858</v>
      </c>
      <c r="K8965" s="297">
        <f>J8965/POBLA!$B$12*100000</f>
        <v>5.2999999636986308</v>
      </c>
      <c r="L8965" s="549">
        <f t="shared" si="1414"/>
        <v>7.5949367088607556E-2</v>
      </c>
      <c r="M8965" s="401">
        <f>SUM(C8965,C8941,C8917,C8893,C8869,C8845,C8821)/POBLA!$B$12*100000</f>
        <v>37.099999745890408</v>
      </c>
    </row>
    <row r="8966" spans="1:13" s="360" customFormat="1" x14ac:dyDescent="0.25">
      <c r="A8966" s="367" t="s">
        <v>17</v>
      </c>
      <c r="B8966" s="267">
        <v>44266</v>
      </c>
      <c r="C8966" s="1">
        <v>198</v>
      </c>
      <c r="D8966" s="39">
        <f t="shared" si="1412"/>
        <v>69005</v>
      </c>
      <c r="E8966" s="1">
        <v>4</v>
      </c>
      <c r="F8966" s="39">
        <f t="shared" si="1417"/>
        <v>1473</v>
      </c>
      <c r="G8966" s="168">
        <f>SUM(C8966,C8942,C8918,C8894,C8870,C8846,C8822,C8798,C8774,C8750,C8726,C8702,C8678,C8654)/POBLA!$B$13*100000</f>
        <v>104.40437754793406</v>
      </c>
      <c r="H8966" s="256">
        <f t="shared" si="1413"/>
        <v>1.3389175257731958</v>
      </c>
      <c r="I8966" s="297">
        <f t="shared" si="1415"/>
        <v>139.78885086637047</v>
      </c>
      <c r="J8966" s="297">
        <f t="shared" si="1416"/>
        <v>159.85714285714286</v>
      </c>
      <c r="K8966" s="297">
        <f>J8966/POBLA!$B$13*100000</f>
        <v>8.0316580830563886</v>
      </c>
      <c r="L8966" s="549">
        <f t="shared" si="1414"/>
        <v>-0.16684045881126175</v>
      </c>
      <c r="M8966" s="401">
        <f>SUM(C8966,C8942,C8918,C8894,C8870,C8846,C8822)/POBLA!$B$13*100000</f>
        <v>56.221606581394724</v>
      </c>
    </row>
    <row r="8967" spans="1:13" s="360" customFormat="1" x14ac:dyDescent="0.25">
      <c r="A8967" s="367" t="s">
        <v>23</v>
      </c>
      <c r="B8967" s="267">
        <v>44266</v>
      </c>
      <c r="C8967" s="1">
        <v>127</v>
      </c>
      <c r="D8967" s="39">
        <f t="shared" si="1412"/>
        <v>9594</v>
      </c>
      <c r="E8967" s="1">
        <v>3</v>
      </c>
      <c r="F8967" s="39">
        <f t="shared" si="1417"/>
        <v>164</v>
      </c>
      <c r="G8967" s="168">
        <f>SUM(C8967,C8943,C8919,C8895,C8871,C8847,C8823,C8799,C8775,C8751,C8727,C8703,C8679,C8655)/POBLA!$B$14*100000</f>
        <v>129.54949440812371</v>
      </c>
      <c r="H8967" s="256">
        <f t="shared" si="1413"/>
        <v>1.0576051779935276</v>
      </c>
      <c r="I8967" s="297">
        <f t="shared" si="1415"/>
        <v>137.01221609247517</v>
      </c>
      <c r="J8967" s="297">
        <f t="shared" si="1416"/>
        <v>114.14285714285714</v>
      </c>
      <c r="K8967" s="297">
        <f>J8967/POBLA!$B$14*100000</f>
        <v>9.0496630557869242</v>
      </c>
      <c r="L8967" s="549">
        <f t="shared" si="1414"/>
        <v>4.3113772455089849E-2</v>
      </c>
      <c r="M8967" s="401">
        <f>SUM(C8967,C8943,C8919,C8895,C8871,C8847,C8823)/POBLA!$B$14*100000</f>
        <v>63.347641390508478</v>
      </c>
    </row>
    <row r="8968" spans="1:13" s="360" customFormat="1" x14ac:dyDescent="0.25">
      <c r="A8968" s="367" t="s">
        <v>19</v>
      </c>
      <c r="B8968" s="267">
        <v>44266</v>
      </c>
      <c r="C8968" s="1">
        <v>166</v>
      </c>
      <c r="D8968" s="39">
        <f t="shared" si="1412"/>
        <v>62902</v>
      </c>
      <c r="E8968" s="1">
        <v>3</v>
      </c>
      <c r="F8968" s="39">
        <f t="shared" si="1417"/>
        <v>953</v>
      </c>
      <c r="G8968" s="168">
        <f>SUM(C8968,C8944,C8920,C8896,C8872,C8848,C8824,C8800,C8776,C8752,C8728,C8704,C8680,C8656)/POBLA!$B$15*100000</f>
        <v>310.36492349301341</v>
      </c>
      <c r="H8968" s="256">
        <f t="shared" si="1413"/>
        <v>0.70995521873923528</v>
      </c>
      <c r="I8968" s="297">
        <f t="shared" si="1415"/>
        <v>220.34519714746835</v>
      </c>
      <c r="J8968" s="297">
        <f t="shared" si="1416"/>
        <v>144.71428571428572</v>
      </c>
      <c r="K8968" s="297">
        <f>J8968/POBLA!$B$15*100000</f>
        <v>21.792449400320415</v>
      </c>
      <c r="L8968" s="549">
        <f t="shared" si="1414"/>
        <v>3.3396946564885455E-2</v>
      </c>
      <c r="M8968" s="401">
        <f>SUM(C8968,C8944,C8920,C8896,C8872,C8848,C8824)/POBLA!$B$15*100000</f>
        <v>152.54714580224288</v>
      </c>
    </row>
    <row r="8969" spans="1:13" s="360" customFormat="1" x14ac:dyDescent="0.25">
      <c r="A8969" s="367" t="s">
        <v>18</v>
      </c>
      <c r="B8969" s="267">
        <v>44266</v>
      </c>
      <c r="C8969" s="1">
        <v>89</v>
      </c>
      <c r="D8969" s="39">
        <f t="shared" si="1412"/>
        <v>53602</v>
      </c>
      <c r="E8969" s="1">
        <v>3</v>
      </c>
      <c r="F8969" s="39">
        <f t="shared" si="1417"/>
        <v>1230</v>
      </c>
      <c r="G8969" s="168">
        <f>SUM(C8969,C8945,C8921,C8897,C8873,C8849,C8825,C8801,C8777,C8753,C8729,C8705,C8681,C8657)/POBLA!$B$16*100000</f>
        <v>209.06622436832038</v>
      </c>
      <c r="H8969" s="256">
        <f t="shared" si="1413"/>
        <v>0.86881600889382993</v>
      </c>
      <c r="I8969" s="297">
        <f t="shared" si="1415"/>
        <v>181.64008265018609</v>
      </c>
      <c r="J8969" s="297">
        <f t="shared" si="1416"/>
        <v>104</v>
      </c>
      <c r="K8969" s="297">
        <f>J8969/POBLA!$B$16*100000</f>
        <v>13.910996375115367</v>
      </c>
      <c r="L8969" s="549">
        <f t="shared" si="1414"/>
        <v>0.12814371257485035</v>
      </c>
      <c r="M8969" s="401">
        <f>SUM(C8969,C8945,C8921,C8897,C8873,C8849,C8825)/POBLA!$B$16*100000</f>
        <v>97.376974625807577</v>
      </c>
    </row>
    <row r="8970" spans="1:13" s="360" customFormat="1" x14ac:dyDescent="0.25">
      <c r="A8970" s="367" t="s">
        <v>34</v>
      </c>
      <c r="B8970" s="267">
        <v>44266</v>
      </c>
      <c r="C8970" s="1">
        <v>141</v>
      </c>
      <c r="D8970" s="39">
        <f t="shared" ref="D8970:D9033" si="1418">C8970+D8946</f>
        <v>27352</v>
      </c>
      <c r="E8970" s="1">
        <v>3</v>
      </c>
      <c r="F8970" s="39">
        <f t="shared" si="1417"/>
        <v>1131</v>
      </c>
      <c r="G8970" s="168">
        <f>SUM(C8970,C8946,C8922,C8898,C8874,C8850,C8826,C8802,C8778,C8754,C8730,C8706,C8682,C8658)/POBLA!$B$17*100000</f>
        <v>103.41218073332084</v>
      </c>
      <c r="H8970" s="256">
        <f t="shared" si="1413"/>
        <v>1.1598425196850393</v>
      </c>
      <c r="I8970" s="297">
        <f t="shared" si="1415"/>
        <v>119.94184426785951</v>
      </c>
      <c r="J8970" s="297">
        <f t="shared" si="1416"/>
        <v>106.14285714285714</v>
      </c>
      <c r="K8970" s="297">
        <f>J8970/POBLA!$B$17*100000</f>
        <v>7.4517748312343493</v>
      </c>
      <c r="L8970" s="549">
        <f t="shared" si="1414"/>
        <v>-1.7808219178082174E-2</v>
      </c>
      <c r="M8970" s="401">
        <f>SUM(C8970,C8946,C8922,C8898,C8874,C8850,C8826)/POBLA!$B$17*100000</f>
        <v>52.162423818640448</v>
      </c>
    </row>
    <row r="8971" spans="1:13" s="360" customFormat="1" x14ac:dyDescent="0.25">
      <c r="A8971" s="367" t="s">
        <v>35</v>
      </c>
      <c r="B8971" s="267">
        <v>44266</v>
      </c>
      <c r="C8971" s="1">
        <v>60</v>
      </c>
      <c r="D8971" s="39">
        <f t="shared" si="1418"/>
        <v>15808</v>
      </c>
      <c r="E8971" s="1"/>
      <c r="F8971" s="39">
        <f t="shared" si="1417"/>
        <v>216</v>
      </c>
      <c r="G8971" s="168">
        <f>SUM(C8971,C8947,C8923,C8899,C8875,C8851,C8827,C8803,C8779,C8755,C8731,C8707,C8683,C8659)/POBLA!$B$18*100000</f>
        <v>78.851330680207937</v>
      </c>
      <c r="H8971" s="256">
        <f t="shared" si="1413"/>
        <v>0.94045801526717554</v>
      </c>
      <c r="I8971" s="297">
        <f t="shared" si="1415"/>
        <v>74.156365952684098</v>
      </c>
      <c r="J8971" s="297">
        <f t="shared" si="1416"/>
        <v>50.142857142857146</v>
      </c>
      <c r="K8971" s="297">
        <f>J8971/POBLA!$B$18*100000</f>
        <v>6.418556834126389</v>
      </c>
      <c r="L8971" s="549">
        <f t="shared" si="1414"/>
        <v>-0.32452830188679238</v>
      </c>
      <c r="M8971" s="401">
        <f>SUM(C8971,C8947,C8923,C8899,C8875,C8851,C8827)/POBLA!$B$18*100000</f>
        <v>44.929897838884713</v>
      </c>
    </row>
    <row r="8972" spans="1:13" s="360" customFormat="1" x14ac:dyDescent="0.25">
      <c r="A8972" s="367" t="s">
        <v>36</v>
      </c>
      <c r="B8972" s="267">
        <v>44266</v>
      </c>
      <c r="C8972" s="1">
        <v>563</v>
      </c>
      <c r="D8972" s="39">
        <f t="shared" si="1418"/>
        <v>21376</v>
      </c>
      <c r="E8972" s="1">
        <v>2</v>
      </c>
      <c r="F8972" s="39">
        <f t="shared" si="1417"/>
        <v>361</v>
      </c>
      <c r="G8972" s="168">
        <f>SUM(C8972,C8948,C8924,C8900,C8876,C8852,C8828,C8804,C8780,C8756,C8732,C8708,C8684,C8660)/POBLA!$B$19*100000</f>
        <v>122.55866291056168</v>
      </c>
      <c r="H8972" s="256">
        <f t="shared" si="1413"/>
        <v>0.38743781094527363</v>
      </c>
      <c r="I8972" s="297">
        <f t="shared" si="1415"/>
        <v>47.483860070447719</v>
      </c>
      <c r="J8972" s="297">
        <f t="shared" si="1416"/>
        <v>82.857142857142861</v>
      </c>
      <c r="K8972" s="297">
        <f>J8972/POBLA!$B$19*100000</f>
        <v>16.299936823693137</v>
      </c>
      <c r="L8972" s="549">
        <f t="shared" si="1414"/>
        <v>-12.488372093023257</v>
      </c>
      <c r="M8972" s="401">
        <f>SUM(C8972,C8948,C8924,C8900,C8876,C8852,C8828)/POBLA!$B$19*100000</f>
        <v>114.09955776585197</v>
      </c>
    </row>
    <row r="8973" spans="1:13" s="360" customFormat="1" x14ac:dyDescent="0.25">
      <c r="A8973" s="367" t="s">
        <v>37</v>
      </c>
      <c r="B8973" s="267">
        <v>44266</v>
      </c>
      <c r="C8973" s="1">
        <v>115</v>
      </c>
      <c r="D8973" s="39">
        <f t="shared" si="1418"/>
        <v>37078</v>
      </c>
      <c r="E8973" s="1">
        <v>2</v>
      </c>
      <c r="F8973" s="39">
        <f t="shared" si="1417"/>
        <v>606</v>
      </c>
      <c r="G8973" s="168">
        <f>SUM(C8973,C8949,C8925,C8901,C8877,C8853,C8829,C8805,C8781,C8757,C8733,C8709,C8685,C8661)/POBLA!$B$20*100000</f>
        <v>358.49252662032603</v>
      </c>
      <c r="H8973" s="256">
        <f t="shared" si="1413"/>
        <v>0.88821138211382111</v>
      </c>
      <c r="I8973" s="297">
        <f t="shared" si="1415"/>
        <v>318.41714254691561</v>
      </c>
      <c r="J8973" s="297">
        <f t="shared" si="1416"/>
        <v>92.428571428571431</v>
      </c>
      <c r="K8973" s="297">
        <f>J8973/POBLA!$B$20*100000</f>
        <v>25.274563007883945</v>
      </c>
      <c r="L8973" s="549">
        <f t="shared" si="1414"/>
        <v>2.5602409638554202E-2</v>
      </c>
      <c r="M8973" s="401">
        <f>SUM(C8973,C8949,C8925,C8901,C8877,C8853,C8829)/POBLA!$B$20*100000</f>
        <v>176.92194105518763</v>
      </c>
    </row>
    <row r="8974" spans="1:13" s="360" customFormat="1" x14ac:dyDescent="0.25">
      <c r="A8974" s="367" t="s">
        <v>22</v>
      </c>
      <c r="B8974" s="267">
        <v>44266</v>
      </c>
      <c r="C8974" s="1">
        <v>614</v>
      </c>
      <c r="D8974" s="39">
        <f t="shared" si="1418"/>
        <v>221189</v>
      </c>
      <c r="E8974" s="1">
        <v>8</v>
      </c>
      <c r="F8974" s="39">
        <f t="shared" si="1417"/>
        <v>4098</v>
      </c>
      <c r="G8974" s="168">
        <f>SUM(C8974,C8950,C8926,C8902,C8878,C8854,C8830,C8806,C8782,C8758,C8734,C8710,C8686,C8662)/POBLA!$B$21*100000</f>
        <v>155.15699784358071</v>
      </c>
      <c r="H8974" s="256">
        <f t="shared" si="1413"/>
        <v>1.1595519864750634</v>
      </c>
      <c r="I8974" s="297">
        <f t="shared" si="1415"/>
        <v>179.91260506503116</v>
      </c>
      <c r="J8974" s="297">
        <f t="shared" si="1416"/>
        <v>431.28571428571428</v>
      </c>
      <c r="K8974" s="297">
        <f>J8974/POBLA!$B$21*100000</f>
        <v>12.195552513467421</v>
      </c>
      <c r="L8974" s="549">
        <f t="shared" si="1414"/>
        <v>-0.22325769854132904</v>
      </c>
      <c r="M8974" s="401">
        <f>SUM(C8974,C8950,C8926,C8902,C8878,C8854,C8830)/POBLA!$B$21*100000</f>
        <v>85.368867594271947</v>
      </c>
    </row>
    <row r="8975" spans="1:13" s="360" customFormat="1" x14ac:dyDescent="0.25">
      <c r="A8975" s="367" t="s">
        <v>38</v>
      </c>
      <c r="B8975" s="267">
        <v>44266</v>
      </c>
      <c r="C8975" s="1">
        <v>67</v>
      </c>
      <c r="D8975" s="39">
        <f t="shared" si="1418"/>
        <v>23243</v>
      </c>
      <c r="E8975" s="1"/>
      <c r="F8975" s="39">
        <f t="shared" si="1417"/>
        <v>272</v>
      </c>
      <c r="G8975" s="168">
        <f>SUM(C8975,C8951,C8927,C8903,C8879,C8855,C8831,C8807,C8783,C8759,C8735,C8711,C8687,C8663)/POBLA!$B$22*100000</f>
        <v>84.328839543172791</v>
      </c>
      <c r="H8975" s="256">
        <f t="shared" si="1413"/>
        <v>1.1853448275862069</v>
      </c>
      <c r="I8975" s="297">
        <f t="shared" si="1415"/>
        <v>99.95875376884706</v>
      </c>
      <c r="J8975" s="297">
        <f t="shared" si="1416"/>
        <v>53.714285714285715</v>
      </c>
      <c r="K8975" s="297">
        <f>J8975/POBLA!$B$22*100000</f>
        <v>5.4905010680922892</v>
      </c>
      <c r="L8975" s="549">
        <f t="shared" si="1414"/>
        <v>0.16258351893095768</v>
      </c>
      <c r="M8975" s="401">
        <f>SUM(C8975,C8951,C8927,C8903,C8879,C8855,C8831)/POBLA!$B$22*100000</f>
        <v>38.433507476646028</v>
      </c>
    </row>
    <row r="8976" spans="1:13" s="360" customFormat="1" x14ac:dyDescent="0.25">
      <c r="A8976" s="367" t="s">
        <v>39</v>
      </c>
      <c r="B8976" s="267">
        <v>44266</v>
      </c>
      <c r="C8976" s="1">
        <v>36</v>
      </c>
      <c r="D8976" s="39">
        <f t="shared" si="1418"/>
        <v>23292</v>
      </c>
      <c r="E8976" s="1"/>
      <c r="F8976" s="39">
        <f t="shared" si="1417"/>
        <v>358</v>
      </c>
      <c r="G8976" s="168">
        <f>SUM(C8976,C8952,C8928,C8904,C8880,C8856,C8832,C8808,C8784,C8760,C8736,C8712,C8688,C8664)/POBLA!$B$23*100000</f>
        <v>240.34383306000112</v>
      </c>
      <c r="H8976" s="256">
        <f t="shared" si="1413"/>
        <v>0.84830339321357284</v>
      </c>
      <c r="I8976" s="297">
        <f t="shared" si="1415"/>
        <v>203.88448912275544</v>
      </c>
      <c r="J8976" s="297">
        <f t="shared" si="1416"/>
        <v>30.142857142857142</v>
      </c>
      <c r="K8976" s="297">
        <f>J8976/POBLA!$B$23*100000</f>
        <v>17.046234882574868</v>
      </c>
      <c r="L8976" s="549">
        <f t="shared" si="1414"/>
        <v>1.4018691588784993E-2</v>
      </c>
      <c r="M8976" s="401">
        <f>SUM(C8976,C8952,C8928,C8904,C8880,C8856,C8832)/POBLA!$B$23*100000</f>
        <v>119.3236441780241</v>
      </c>
    </row>
    <row r="8977" spans="1:13" s="360" customFormat="1" ht="15.75" thickBot="1" x14ac:dyDescent="0.3">
      <c r="A8977" s="369" t="s">
        <v>40</v>
      </c>
      <c r="B8977" s="267">
        <v>44266</v>
      </c>
      <c r="C8977" s="1">
        <v>270</v>
      </c>
      <c r="D8977" s="176">
        <f t="shared" si="1418"/>
        <v>81622</v>
      </c>
      <c r="E8977" s="1"/>
      <c r="F8977" s="176">
        <f t="shared" si="1417"/>
        <v>1488</v>
      </c>
      <c r="G8977" s="177">
        <f>SUM(C8977,C8953,C8929,C8905,C8881,C8857,C8833,C8809,C8785,C8761,C8737,C8713,C8689,C8665)/POBLA!$B$24*100000</f>
        <v>124.45003587748782</v>
      </c>
      <c r="H8977" s="402">
        <f t="shared" si="1413"/>
        <v>1.1908526256352343</v>
      </c>
      <c r="I8977" s="403">
        <f t="shared" si="1415"/>
        <v>148.20165198510549</v>
      </c>
      <c r="J8977" s="403">
        <f t="shared" si="1416"/>
        <v>166.85714285714286</v>
      </c>
      <c r="K8977" s="403">
        <f>J8977/POBLA!$B$24*100000</f>
        <v>9.8460774845834695</v>
      </c>
      <c r="L8977" s="550">
        <f t="shared" si="1414"/>
        <v>-0.2412327311370881</v>
      </c>
      <c r="M8977" s="405">
        <f>SUM(C8977,C8953,C8929,C8905,C8881,C8857,C8833)/POBLA!$B$24*100000</f>
        <v>68.922542392084296</v>
      </c>
    </row>
    <row r="8978" spans="1:13" s="360" customFormat="1" x14ac:dyDescent="0.25">
      <c r="A8978" s="363" t="s">
        <v>16</v>
      </c>
      <c r="B8978" s="267">
        <v>44267</v>
      </c>
      <c r="C8978" s="1">
        <v>3257</v>
      </c>
      <c r="D8978" s="174">
        <f t="shared" si="1418"/>
        <v>913069</v>
      </c>
      <c r="E8978" s="1">
        <v>28</v>
      </c>
      <c r="F8978" s="174">
        <f t="shared" si="1417"/>
        <v>27014</v>
      </c>
      <c r="G8978" s="175">
        <f>SUM(C8978,C8954,C8930,C8906,C8882,C8858,C8834,C8810,C8786,C8762,C8738,C8714,C8690,C8666)/POBLA!$B$1*100000</f>
        <v>210.66474524091674</v>
      </c>
      <c r="H8978" s="300">
        <f t="shared" ref="H8978:H9001" si="1419">SUM(C8978,C8954,C8930,C8906,C8882,C8858,C8834,C8810,C8786,C8762,C8738,C8714,C8690,C8666)/SUM(C8642,C8618,C8594,C8570,C8546,C8522,C8498,C8474,C8450,C8426,C8402,C8378,C8354,C8330)</f>
        <v>1.0693966140934741</v>
      </c>
      <c r="I8978" s="301">
        <f>G8978*H8978</f>
        <v>225.28416526950068</v>
      </c>
      <c r="J8978" s="301">
        <f>AVERAGE(C8978,C8954,C8930,C8906,C8882,C8858,C8834)</f>
        <v>2616</v>
      </c>
      <c r="K8978" s="301">
        <f>J8978/POBLA!$B$1*100000</f>
        <v>14.913511042411665</v>
      </c>
      <c r="L8978" s="548">
        <f t="shared" ref="L8978:L9001" si="1420">1-SUM(C8978,C8954,C8930,C8906,C8882,C8858,C8834)/SUM(C8810,C8786,C8762,C8738,C8714,C8690,C8666)</f>
        <v>1.764926774314679E-2</v>
      </c>
      <c r="M8978" s="400">
        <f>SUM(C8978,C8954,C8930,C8906,C8882,C8858,C8834)/POBLA!$B$1*100000</f>
        <v>104.39457729688166</v>
      </c>
    </row>
    <row r="8979" spans="1:13" s="360" customFormat="1" x14ac:dyDescent="0.25">
      <c r="A8979" s="367" t="s">
        <v>43</v>
      </c>
      <c r="B8979" s="267">
        <v>44267</v>
      </c>
      <c r="C8979" s="1">
        <v>829</v>
      </c>
      <c r="D8979" s="39">
        <f t="shared" si="1418"/>
        <v>240604</v>
      </c>
      <c r="E8979" s="1">
        <v>10</v>
      </c>
      <c r="F8979" s="39">
        <f t="shared" si="1417"/>
        <v>6671</v>
      </c>
      <c r="G8979" s="168">
        <f>SUM(C8979,C8955,C8931,C8907,C8883,C8859,C8835,C8811,C8787,C8763,C8739,C8715,C8691,C8667)/POBLA!$B$2*100000</f>
        <v>316.42133067329598</v>
      </c>
      <c r="H8979" s="256">
        <f t="shared" si="1419"/>
        <v>1.0109068245559365</v>
      </c>
      <c r="I8979" s="297">
        <f t="shared" ref="I8979:I9001" si="1421">G8979*H8979</f>
        <v>319.8724826127056</v>
      </c>
      <c r="J8979" s="297">
        <f t="shared" ref="J8979:J9001" si="1422">AVERAGE(C8979,C8955,C8931,C8907,C8883,C8859,C8835)</f>
        <v>748.28571428571433</v>
      </c>
      <c r="K8979" s="297">
        <f>J8979/POBLA!$B$2*100000</f>
        <v>24.329383624959256</v>
      </c>
      <c r="L8979" s="549">
        <f t="shared" si="1420"/>
        <v>-0.16555407209612816</v>
      </c>
      <c r="M8979" s="401">
        <f>SUM(C8979,C8955,C8931,C8907,C8883,C8859,C8835)/POBLA!$B$2*100000</f>
        <v>170.30568537471478</v>
      </c>
    </row>
    <row r="8980" spans="1:13" s="360" customFormat="1" x14ac:dyDescent="0.25">
      <c r="A8980" s="367" t="s">
        <v>28</v>
      </c>
      <c r="B8980" s="267">
        <v>44267</v>
      </c>
      <c r="C8980" s="1">
        <v>101</v>
      </c>
      <c r="D8980" s="39">
        <f t="shared" si="1418"/>
        <v>8871</v>
      </c>
      <c r="E8980" s="1">
        <v>1</v>
      </c>
      <c r="F8980" s="39">
        <f t="shared" si="1417"/>
        <v>18</v>
      </c>
      <c r="G8980" s="168">
        <f>SUM(C8980,C8956,C8932,C8908,C8884,C8860,C8836,C8812,C8788,C8764,C8740,C8716,C8692,C8668)/POBLA!$B$3*100000</f>
        <v>276.5755660291066</v>
      </c>
      <c r="H8980" s="256">
        <f t="shared" si="1419"/>
        <v>1.1058710298363812</v>
      </c>
      <c r="I8980" s="297">
        <f t="shared" si="1421"/>
        <v>305.85690603218814</v>
      </c>
      <c r="J8980" s="297">
        <f t="shared" si="1422"/>
        <v>73</v>
      </c>
      <c r="K8980" s="297">
        <f>J8980/POBLA!$B$3*100000</f>
        <v>17.571815770343591</v>
      </c>
      <c r="L8980" s="549">
        <f t="shared" si="1420"/>
        <v>0.19905956112852663</v>
      </c>
      <c r="M8980" s="401">
        <f>SUM(C8980,C8956,C8932,C8908,C8884,C8860,C8836)/POBLA!$B$3*100000</f>
        <v>123.00271039240513</v>
      </c>
    </row>
    <row r="8981" spans="1:13" s="360" customFormat="1" x14ac:dyDescent="0.25">
      <c r="A8981" s="367" t="s">
        <v>15</v>
      </c>
      <c r="B8981" s="267">
        <v>44267</v>
      </c>
      <c r="C8981" s="1">
        <v>156</v>
      </c>
      <c r="D8981" s="39">
        <f t="shared" si="1418"/>
        <v>35715</v>
      </c>
      <c r="E8981" s="1">
        <v>4</v>
      </c>
      <c r="F8981" s="39">
        <f t="shared" si="1417"/>
        <v>890</v>
      </c>
      <c r="G8981" s="168">
        <f>SUM(C8981,C8957,C8933,C8909,C8885,C8861,C8837,C8813,C8789,C8765,C8741,C8717,C8693,C8669)/POBLA!$B$4*100000</f>
        <v>146.19676706728953</v>
      </c>
      <c r="H8981" s="256">
        <f t="shared" si="1419"/>
        <v>1.058929645219483</v>
      </c>
      <c r="I8981" s="297">
        <f t="shared" si="1421"/>
        <v>154.81209068280029</v>
      </c>
      <c r="J8981" s="297">
        <f t="shared" si="1422"/>
        <v>122.57142857142857</v>
      </c>
      <c r="K8981" s="297">
        <f>J8981/POBLA!$B$4*100000</f>
        <v>10.175778871074424</v>
      </c>
      <c r="L8981" s="549">
        <f t="shared" si="1420"/>
        <v>4.9833887043189362E-2</v>
      </c>
      <c r="M8981" s="401">
        <f>SUM(C8981,C8957,C8933,C8909,C8885,C8861,C8837)/POBLA!$B$4*100000</f>
        <v>71.230452097520967</v>
      </c>
    </row>
    <row r="8982" spans="1:13" s="360" customFormat="1" x14ac:dyDescent="0.25">
      <c r="A8982" s="367" t="s">
        <v>29</v>
      </c>
      <c r="B8982" s="267">
        <v>44267</v>
      </c>
      <c r="C8982" s="1">
        <v>108</v>
      </c>
      <c r="D8982" s="39">
        <f t="shared" si="1418"/>
        <v>48020</v>
      </c>
      <c r="E8982" s="1">
        <v>1</v>
      </c>
      <c r="F8982" s="39">
        <f t="shared" si="1417"/>
        <v>808</v>
      </c>
      <c r="G8982" s="168">
        <f>SUM(C8982,C8958,C8934,C8910,C8886,C8862,C8838,C8814,C8790,C8766,C8742,C8718,C8694,C8670)/POBLA!$B$5*100000</f>
        <v>196.28623217672543</v>
      </c>
      <c r="H8982" s="256">
        <f t="shared" si="1419"/>
        <v>0.68721719457013575</v>
      </c>
      <c r="I8982" s="297">
        <f t="shared" si="1421"/>
        <v>134.89127380923156</v>
      </c>
      <c r="J8982" s="297">
        <f t="shared" si="1422"/>
        <v>79.857142857142861</v>
      </c>
      <c r="K8982" s="297">
        <f>J8982/POBLA!$B$5*100000</f>
        <v>12.901117435248622</v>
      </c>
      <c r="L8982" s="549">
        <f t="shared" si="1420"/>
        <v>0.14786585365853655</v>
      </c>
      <c r="M8982" s="401">
        <f>SUM(C8982,C8958,C8934,C8910,C8886,C8862,C8838)/POBLA!$B$5*100000</f>
        <v>90.307822046740355</v>
      </c>
    </row>
    <row r="8983" spans="1:13" s="360" customFormat="1" x14ac:dyDescent="0.25">
      <c r="A8983" s="367" t="s">
        <v>30</v>
      </c>
      <c r="B8983" s="267">
        <v>44267</v>
      </c>
      <c r="C8983" s="1">
        <v>512</v>
      </c>
      <c r="D8983" s="39">
        <f t="shared" si="1418"/>
        <v>24541</v>
      </c>
      <c r="E8983" s="1"/>
      <c r="F8983" s="39">
        <f t="shared" si="1417"/>
        <v>306</v>
      </c>
      <c r="G8983" s="168">
        <f>SUM(C8983,C8959,C8935,C8911,C8887,C8863,C8839,C8815,C8791,C8767,C8743,C8719,C8695,C8671)/POBLA!$B$6*100000</f>
        <v>260.08185217536385</v>
      </c>
      <c r="H8983" s="256">
        <f t="shared" si="1419"/>
        <v>1.2055417700578992</v>
      </c>
      <c r="I8983" s="297">
        <f t="shared" si="1421"/>
        <v>313.53953643142501</v>
      </c>
      <c r="J8983" s="297">
        <f t="shared" si="1422"/>
        <v>239.57142857142858</v>
      </c>
      <c r="K8983" s="297">
        <f>J8983/POBLA!$B$6*100000</f>
        <v>21.375019166777026</v>
      </c>
      <c r="L8983" s="549">
        <f t="shared" si="1420"/>
        <v>-0.3546042003231018</v>
      </c>
      <c r="M8983" s="401">
        <f>SUM(C8983,C8959,C8935,C8911,C8887,C8863,C8839)/POBLA!$B$6*100000</f>
        <v>149.62513416743917</v>
      </c>
    </row>
    <row r="8984" spans="1:13" s="360" customFormat="1" x14ac:dyDescent="0.25">
      <c r="A8984" s="367" t="s">
        <v>20</v>
      </c>
      <c r="B8984" s="267">
        <v>44267</v>
      </c>
      <c r="C8984" s="1">
        <v>627</v>
      </c>
      <c r="D8984" s="39">
        <f t="shared" si="1418"/>
        <v>167005</v>
      </c>
      <c r="E8984" s="1">
        <v>4</v>
      </c>
      <c r="F8984" s="39">
        <f t="shared" si="1417"/>
        <v>2911</v>
      </c>
      <c r="G8984" s="168">
        <f>SUM(C8984,C8960,C8936,C8912,C8888,C8864,C8840,C8816,C8792,C8768,C8744,C8720,C8696,C8672)/POBLA!$B$7*100000</f>
        <v>212.58094111077131</v>
      </c>
      <c r="H8984" s="256">
        <f t="shared" si="1419"/>
        <v>1.0251346499102334</v>
      </c>
      <c r="I8984" s="297">
        <f t="shared" si="1421"/>
        <v>217.92408864317849</v>
      </c>
      <c r="J8984" s="297">
        <f t="shared" si="1422"/>
        <v>547.57142857142856</v>
      </c>
      <c r="K8984" s="297">
        <f>J8984/POBLA!$B$7*100000</f>
        <v>14.561327196783058</v>
      </c>
      <c r="L8984" s="549">
        <f t="shared" si="1420"/>
        <v>7.8827204998798361E-2</v>
      </c>
      <c r="M8984" s="401">
        <f>SUM(C8984,C8960,C8936,C8912,C8888,C8864,C8840)/POBLA!$B$7*100000</f>
        <v>101.92929037748141</v>
      </c>
    </row>
    <row r="8985" spans="1:13" x14ac:dyDescent="0.25">
      <c r="A8985" s="367" t="s">
        <v>31</v>
      </c>
      <c r="B8985" s="267">
        <v>44267</v>
      </c>
      <c r="C8985" s="1">
        <v>151</v>
      </c>
      <c r="D8985" s="39">
        <f t="shared" si="1418"/>
        <v>46702</v>
      </c>
      <c r="E8985" s="1">
        <v>4</v>
      </c>
      <c r="F8985" s="39">
        <f t="shared" ref="F8985:F9008" si="1423">E8985+F8961</f>
        <v>898</v>
      </c>
      <c r="G8985" s="168">
        <f>SUM(C8985,C8961,C8937,C8913,C8889,C8865,C8841,C8817,C8793,C8769,C8745,C8721,C8697,C8673)/POBLA!$B$8*100000</f>
        <v>122.58642198445699</v>
      </c>
      <c r="H8985" s="256">
        <f t="shared" si="1419"/>
        <v>1.0101070154577882</v>
      </c>
      <c r="I8985" s="297">
        <f t="shared" si="1421"/>
        <v>123.82540484636885</v>
      </c>
      <c r="J8985" s="297">
        <f t="shared" si="1422"/>
        <v>123.71428571428571</v>
      </c>
      <c r="K8985" s="297">
        <f>J8985/POBLA!$B$8*100000</f>
        <v>8.9262458116992978</v>
      </c>
      <c r="L8985" s="549">
        <f t="shared" si="1420"/>
        <v>-3.9615846338535432E-2</v>
      </c>
      <c r="M8985" s="401">
        <f>SUM(C8985,C8961,C8937,C8913,C8889,C8865,C8841)/POBLA!$B$8*100000</f>
        <v>62.483720681895093</v>
      </c>
    </row>
    <row r="8986" spans="1:13" s="360" customFormat="1" x14ac:dyDescent="0.25">
      <c r="A8986" s="367" t="s">
        <v>41</v>
      </c>
      <c r="B8986" s="267">
        <v>44267</v>
      </c>
      <c r="C8986" s="1">
        <v>26</v>
      </c>
      <c r="D8986" s="39">
        <f t="shared" si="1418"/>
        <v>1503</v>
      </c>
      <c r="E8986" s="1"/>
      <c r="F8986" s="39">
        <f t="shared" si="1423"/>
        <v>20</v>
      </c>
      <c r="G8986" s="168">
        <f>SUM(C8986,C8962,C8938,C8914,C8890,C8866,C8842,C8818,C8794,C8770,C8746,C8722,C8698,C8674)/POBLA!$B$9*100000</f>
        <v>48.74478059065455</v>
      </c>
      <c r="H8986" s="256">
        <f t="shared" si="1419"/>
        <v>1.088560885608856</v>
      </c>
      <c r="I8986" s="297">
        <f t="shared" si="1421"/>
        <v>53.061661528572294</v>
      </c>
      <c r="J8986" s="297">
        <f t="shared" si="1422"/>
        <v>23.714285714285715</v>
      </c>
      <c r="K8986" s="297">
        <f>J8986/POBLA!$B$9*100000</f>
        <v>3.9184666237523755</v>
      </c>
      <c r="L8986" s="549">
        <f t="shared" si="1420"/>
        <v>-0.28682170542635665</v>
      </c>
      <c r="M8986" s="401">
        <f>SUM(C8986,C8962,C8938,C8914,C8890,C8866,C8842)/POBLA!$B$9*100000</f>
        <v>27.429266366266631</v>
      </c>
    </row>
    <row r="8987" spans="1:13" s="360" customFormat="1" x14ac:dyDescent="0.25">
      <c r="A8987" s="367" t="s">
        <v>32</v>
      </c>
      <c r="B8987" s="267">
        <v>44267</v>
      </c>
      <c r="C8987" s="1">
        <v>73</v>
      </c>
      <c r="D8987" s="39">
        <f t="shared" si="1418"/>
        <v>21585</v>
      </c>
      <c r="E8987" s="1">
        <v>2</v>
      </c>
      <c r="F8987" s="39">
        <f t="shared" si="1423"/>
        <v>920</v>
      </c>
      <c r="G8987" s="168">
        <f>SUM(C8987,C8963,C8939,C8915,C8891,C8867,C8843,C8819,C8795,C8771,C8747,C8723,C8699,C8675)/POBLA!$B$10*100000</f>
        <v>131.14864680800278</v>
      </c>
      <c r="H8987" s="256">
        <f t="shared" si="1419"/>
        <v>1.1501706484641638</v>
      </c>
      <c r="I8987" s="297">
        <f t="shared" si="1421"/>
        <v>150.84332414435815</v>
      </c>
      <c r="J8987" s="297">
        <f t="shared" si="1422"/>
        <v>62.285714285714285</v>
      </c>
      <c r="K8987" s="297">
        <f>J8987/POBLA!$B$10*100000</f>
        <v>8.0798092423751893</v>
      </c>
      <c r="L8987" s="549">
        <f t="shared" si="1420"/>
        <v>0.24173913043478257</v>
      </c>
      <c r="M8987" s="401">
        <f>SUM(C8987,C8963,C8939,C8915,C8891,C8867,C8843)/POBLA!$B$10*100000</f>
        <v>56.55866469662633</v>
      </c>
    </row>
    <row r="8988" spans="1:13" s="360" customFormat="1" x14ac:dyDescent="0.25">
      <c r="A8988" s="367" t="s">
        <v>33</v>
      </c>
      <c r="B8988" s="267">
        <v>44267</v>
      </c>
      <c r="C8988" s="1">
        <v>110</v>
      </c>
      <c r="D8988" s="39">
        <f t="shared" si="1418"/>
        <v>19718</v>
      </c>
      <c r="E8988" s="1"/>
      <c r="F8988" s="39">
        <f t="shared" si="1423"/>
        <v>299</v>
      </c>
      <c r="G8988" s="168">
        <f>SUM(C8988,C8964,C8940,C8916,C8892,C8868,C8844,C8820,C8796,C8772,C8748,C8724,C8700,C8676)/POBLA!$B$11*100000</f>
        <v>314.70755632930462</v>
      </c>
      <c r="H8988" s="256">
        <f t="shared" si="1419"/>
        <v>1.0804597701149425</v>
      </c>
      <c r="I8988" s="297">
        <f t="shared" si="1421"/>
        <v>340.02885396499579</v>
      </c>
      <c r="J8988" s="297">
        <f t="shared" si="1422"/>
        <v>79.142857142857139</v>
      </c>
      <c r="K8988" s="297">
        <f>J8988/POBLA!$B$11*100000</f>
        <v>22.080545365556581</v>
      </c>
      <c r="L8988" s="549">
        <f t="shared" si="1420"/>
        <v>3.4843205574912939E-2</v>
      </c>
      <c r="M8988" s="401">
        <f>SUM(C8988,C8964,C8940,C8916,C8892,C8868,C8844)/POBLA!$B$11*100000</f>
        <v>154.56381755889606</v>
      </c>
    </row>
    <row r="8989" spans="1:13" s="360" customFormat="1" x14ac:dyDescent="0.25">
      <c r="A8989" s="367" t="s">
        <v>21</v>
      </c>
      <c r="B8989" s="267">
        <v>44267</v>
      </c>
      <c r="C8989" s="1">
        <v>34</v>
      </c>
      <c r="D8989" s="39">
        <f t="shared" si="1418"/>
        <v>10486</v>
      </c>
      <c r="E8989" s="1"/>
      <c r="F8989" s="39">
        <f t="shared" si="1423"/>
        <v>444</v>
      </c>
      <c r="G8989" s="168">
        <f>SUM(C8989,C8965,C8941,C8917,C8893,C8869,C8845,C8821,C8797,C8773,C8749,C8725,C8701,C8677)/POBLA!$B$12*100000</f>
        <v>80.552739174296306</v>
      </c>
      <c r="H8989" s="256">
        <f t="shared" si="1419"/>
        <v>0.82337662337662343</v>
      </c>
      <c r="I8989" s="297">
        <f t="shared" si="1421"/>
        <v>66.325242385069956</v>
      </c>
      <c r="J8989" s="297">
        <f t="shared" si="1422"/>
        <v>22.428571428571427</v>
      </c>
      <c r="K8989" s="297">
        <f>J8989/POBLA!$B$12*100000</f>
        <v>5.6993150294567458</v>
      </c>
      <c r="L8989" s="549">
        <f t="shared" si="1420"/>
        <v>1.8750000000000044E-2</v>
      </c>
      <c r="M8989" s="401">
        <f>SUM(C8989,C8965,C8941,C8917,C8893,C8869,C8845)/POBLA!$B$12*100000</f>
        <v>39.895205206197225</v>
      </c>
    </row>
    <row r="8990" spans="1:13" s="360" customFormat="1" x14ac:dyDescent="0.25">
      <c r="A8990" s="367" t="s">
        <v>17</v>
      </c>
      <c r="B8990" s="267">
        <v>44267</v>
      </c>
      <c r="C8990" s="1">
        <v>168</v>
      </c>
      <c r="D8990" s="39">
        <f t="shared" si="1418"/>
        <v>69173</v>
      </c>
      <c r="E8990" s="1">
        <v>2</v>
      </c>
      <c r="F8990" s="39">
        <f t="shared" si="1423"/>
        <v>1475</v>
      </c>
      <c r="G8990" s="168">
        <f>SUM(C8990,C8966,C8942,C8918,C8894,C8870,C8846,C8822,C8798,C8774,C8750,C8726,C8702,C8678)/POBLA!$B$13*100000</f>
        <v>105.96190194831229</v>
      </c>
      <c r="H8990" s="256">
        <f t="shared" si="1419"/>
        <v>1.3650485436893205</v>
      </c>
      <c r="I8990" s="297">
        <f t="shared" si="1421"/>
        <v>144.64313994109426</v>
      </c>
      <c r="J8990" s="297">
        <f t="shared" si="1422"/>
        <v>160.85714285714286</v>
      </c>
      <c r="K8990" s="297">
        <f>J8990/POBLA!$B$13*100000</f>
        <v>8.0819008056492354</v>
      </c>
      <c r="L8990" s="549">
        <f t="shared" si="1420"/>
        <v>-0.14547304170905395</v>
      </c>
      <c r="M8990" s="401">
        <f>SUM(C8990,C8966,C8942,C8918,C8894,C8870,C8846)/POBLA!$B$13*100000</f>
        <v>56.573305639544635</v>
      </c>
    </row>
    <row r="8991" spans="1:13" s="360" customFormat="1" x14ac:dyDescent="0.25">
      <c r="A8991" s="367" t="s">
        <v>23</v>
      </c>
      <c r="B8991" s="267">
        <v>44267</v>
      </c>
      <c r="C8991" s="1">
        <v>135</v>
      </c>
      <c r="D8991" s="39">
        <f t="shared" si="1418"/>
        <v>9729</v>
      </c>
      <c r="E8991" s="1">
        <v>1</v>
      </c>
      <c r="F8991" s="39">
        <f t="shared" si="1423"/>
        <v>165</v>
      </c>
      <c r="G8991" s="168">
        <f>SUM(C8991,C8967,C8943,C8919,C8895,C8871,C8847,C8823,C8799,C8775,C8751,C8727,C8703,C8679)/POBLA!$B$14*100000</f>
        <v>131.05588387798562</v>
      </c>
      <c r="H8991" s="256">
        <f t="shared" si="1419"/>
        <v>1.0623393316195373</v>
      </c>
      <c r="I8991" s="297">
        <f t="shared" si="1421"/>
        <v>139.22582008374695</v>
      </c>
      <c r="J8991" s="297">
        <f t="shared" si="1422"/>
        <v>117.71428571428571</v>
      </c>
      <c r="K8991" s="297">
        <f>J8991/POBLA!$B$14*100000</f>
        <v>9.3328189711745004</v>
      </c>
      <c r="L8991" s="549">
        <f t="shared" si="1420"/>
        <v>6.0313630880578506E-3</v>
      </c>
      <c r="M8991" s="401">
        <f>SUM(C8991,C8967,C8943,C8919,C8895,C8871,C8847)/POBLA!$B$14*100000</f>
        <v>65.329732798221514</v>
      </c>
    </row>
    <row r="8992" spans="1:13" s="360" customFormat="1" x14ac:dyDescent="0.25">
      <c r="A8992" s="367" t="s">
        <v>19</v>
      </c>
      <c r="B8992" s="267">
        <v>44267</v>
      </c>
      <c r="C8992" s="1">
        <v>155</v>
      </c>
      <c r="D8992" s="39">
        <f t="shared" si="1418"/>
        <v>63057</v>
      </c>
      <c r="E8992" s="1">
        <v>2</v>
      </c>
      <c r="F8992" s="39">
        <f t="shared" si="1423"/>
        <v>955</v>
      </c>
      <c r="G8992" s="168">
        <f>SUM(C8992,C8968,C8944,C8920,C8896,C8872,C8848,C8824,C8800,C8776,C8752,C8728,C8704,C8680)/POBLA!$B$15*100000</f>
        <v>307.65431280748493</v>
      </c>
      <c r="H8992" s="256">
        <f t="shared" si="1419"/>
        <v>0.73861171366594358</v>
      </c>
      <c r="I8992" s="297">
        <f t="shared" si="1421"/>
        <v>227.23707919945468</v>
      </c>
      <c r="J8992" s="297">
        <f t="shared" si="1422"/>
        <v>140.85714285714286</v>
      </c>
      <c r="K8992" s="297">
        <f>J8992/POBLA!$B$15*100000</f>
        <v>21.211604253421449</v>
      </c>
      <c r="L8992" s="549">
        <f t="shared" si="1420"/>
        <v>6.7171239356669799E-2</v>
      </c>
      <c r="M8992" s="401">
        <f>SUM(C8992,C8968,C8944,C8920,C8896,C8872,C8848)/POBLA!$B$15*100000</f>
        <v>148.48122977395013</v>
      </c>
    </row>
    <row r="8993" spans="1:13" s="360" customFormat="1" x14ac:dyDescent="0.25">
      <c r="A8993" s="367" t="s">
        <v>18</v>
      </c>
      <c r="B8993" s="267">
        <v>44267</v>
      </c>
      <c r="C8993" s="1">
        <v>112</v>
      </c>
      <c r="D8993" s="39">
        <f t="shared" si="1418"/>
        <v>53714</v>
      </c>
      <c r="E8993" s="1">
        <v>7</v>
      </c>
      <c r="F8993" s="39">
        <f t="shared" si="1423"/>
        <v>1237</v>
      </c>
      <c r="G8993" s="168">
        <f>SUM(C8993,C8969,C8945,C8921,C8897,C8873,C8849,C8825,C8801,C8777,C8753,C8729,C8705,C8681)/POBLA!$B$16*100000</f>
        <v>204.51839863030187</v>
      </c>
      <c r="H8993" s="256">
        <f t="shared" si="1419"/>
        <v>0.85418994413407823</v>
      </c>
      <c r="I8993" s="297">
        <f t="shared" si="1421"/>
        <v>174.69755950040869</v>
      </c>
      <c r="J8993" s="297">
        <f t="shared" si="1422"/>
        <v>97.571428571428569</v>
      </c>
      <c r="K8993" s="297">
        <f>J8993/POBLA!$B$16*100000</f>
        <v>13.051113357422796</v>
      </c>
      <c r="L8993" s="549">
        <f t="shared" si="1420"/>
        <v>0.19267139479905437</v>
      </c>
      <c r="M8993" s="401">
        <f>SUM(C8993,C8969,C8945,C8921,C8897,C8873,C8849)/POBLA!$B$16*100000</f>
        <v>91.357793501959577</v>
      </c>
    </row>
    <row r="8994" spans="1:13" s="360" customFormat="1" x14ac:dyDescent="0.25">
      <c r="A8994" s="367" t="s">
        <v>34</v>
      </c>
      <c r="B8994" s="267">
        <v>44267</v>
      </c>
      <c r="C8994" s="1">
        <v>100</v>
      </c>
      <c r="D8994" s="39">
        <f t="shared" si="1418"/>
        <v>27452</v>
      </c>
      <c r="E8994" s="1">
        <v>7</v>
      </c>
      <c r="F8994" s="39">
        <f t="shared" si="1423"/>
        <v>1138</v>
      </c>
      <c r="G8994" s="168">
        <f>SUM(C8994,C8970,C8946,C8922,C8898,C8874,C8850,C8826,C8802,C8778,C8754,C8730,C8706,C8682)/POBLA!$B$17*100000</f>
        <v>105.65874541999176</v>
      </c>
      <c r="H8994" s="256">
        <f t="shared" si="1419"/>
        <v>1.2068965517241379</v>
      </c>
      <c r="I8994" s="297">
        <f t="shared" si="1421"/>
        <v>127.5191755068866</v>
      </c>
      <c r="J8994" s="297">
        <f t="shared" si="1422"/>
        <v>95.714285714285708</v>
      </c>
      <c r="K8994" s="297">
        <f>J8994/POBLA!$B$17*100000</f>
        <v>6.7196354467389154</v>
      </c>
      <c r="L8994" s="549">
        <f t="shared" si="1420"/>
        <v>0.19760479041916168</v>
      </c>
      <c r="M8994" s="401">
        <f>SUM(C8994,C8970,C8946,C8922,C8898,C8874,C8850)/POBLA!$B$17*100000</f>
        <v>47.037448127172411</v>
      </c>
    </row>
    <row r="8995" spans="1:13" s="360" customFormat="1" x14ac:dyDescent="0.25">
      <c r="A8995" s="367" t="s">
        <v>35</v>
      </c>
      <c r="B8995" s="267">
        <v>44267</v>
      </c>
      <c r="C8995" s="1">
        <v>51</v>
      </c>
      <c r="D8995" s="39">
        <f t="shared" si="1418"/>
        <v>15859</v>
      </c>
      <c r="E8995" s="1">
        <v>1</v>
      </c>
      <c r="F8995" s="39">
        <f t="shared" si="1423"/>
        <v>217</v>
      </c>
      <c r="G8995" s="168">
        <f>SUM(C8995,C8971,C8947,C8923,C8899,C8875,C8851,C8827,C8803,C8779,C8755,C8731,C8707,C8683)/POBLA!$B$18*100000</f>
        <v>80.89941719138217</v>
      </c>
      <c r="H8995" s="256">
        <f t="shared" si="1419"/>
        <v>1.0047694753577106</v>
      </c>
      <c r="I8995" s="297">
        <f t="shared" si="1421"/>
        <v>81.28526496812961</v>
      </c>
      <c r="J8995" s="297">
        <f t="shared" si="1422"/>
        <v>48.571428571428569</v>
      </c>
      <c r="K8995" s="297">
        <f>J8995/POBLA!$B$18*100000</f>
        <v>6.2174054803503473</v>
      </c>
      <c r="L8995" s="549">
        <f t="shared" si="1420"/>
        <v>-0.16438356164383561</v>
      </c>
      <c r="M8995" s="401">
        <f>SUM(C8995,C8971,C8947,C8923,C8899,C8875,C8851)/POBLA!$B$18*100000</f>
        <v>43.521838362452428</v>
      </c>
    </row>
    <row r="8996" spans="1:13" s="360" customFormat="1" x14ac:dyDescent="0.25">
      <c r="A8996" s="367" t="s">
        <v>36</v>
      </c>
      <c r="B8996" s="267">
        <v>44267</v>
      </c>
      <c r="C8996" s="1">
        <v>139</v>
      </c>
      <c r="D8996" s="39">
        <f t="shared" si="1418"/>
        <v>21515</v>
      </c>
      <c r="E8996" s="1"/>
      <c r="F8996" s="39">
        <f t="shared" si="1423"/>
        <v>361</v>
      </c>
      <c r="G8996" s="168">
        <f>SUM(C8996,C8972,C8948,C8924,C8900,C8876,C8852,C8828,C8804,C8780,C8756,C8732,C8708,C8684)/POBLA!$B$19*100000</f>
        <v>149.31304197289938</v>
      </c>
      <c r="H8996" s="256">
        <f t="shared" si="1419"/>
        <v>0.47407870081199249</v>
      </c>
      <c r="I8996" s="297">
        <f t="shared" si="1421"/>
        <v>70.786132952798638</v>
      </c>
      <c r="J8996" s="297">
        <f t="shared" si="1422"/>
        <v>102</v>
      </c>
      <c r="K8996" s="297">
        <f>J8996/POBLA!$B$19*100000</f>
        <v>20.065784296753279</v>
      </c>
      <c r="L8996" s="549">
        <f t="shared" si="1420"/>
        <v>-14.866666666666667</v>
      </c>
      <c r="M8996" s="401">
        <f>SUM(C8996,C8972,C8948,C8924,C8900,C8876,C8852)/POBLA!$B$19*100000</f>
        <v>140.46049007727294</v>
      </c>
    </row>
    <row r="8997" spans="1:13" s="360" customFormat="1" x14ac:dyDescent="0.25">
      <c r="A8997" s="367" t="s">
        <v>37</v>
      </c>
      <c r="B8997" s="267">
        <v>44267</v>
      </c>
      <c r="C8997" s="1">
        <v>147</v>
      </c>
      <c r="D8997" s="39">
        <f t="shared" si="1418"/>
        <v>37225</v>
      </c>
      <c r="E8997" s="1">
        <v>1</v>
      </c>
      <c r="F8997" s="39">
        <f t="shared" si="1423"/>
        <v>607</v>
      </c>
      <c r="G8997" s="168">
        <f>SUM(C8997,C8973,C8949,C8925,C8901,C8877,C8853,C8829,C8805,C8781,C8757,C8733,C8709,C8685)/POBLA!$B$20*100000</f>
        <v>382.2826485241921</v>
      </c>
      <c r="H8997" s="256">
        <f t="shared" si="1419"/>
        <v>0.98798586572438163</v>
      </c>
      <c r="I8997" s="297">
        <f t="shared" si="1421"/>
        <v>377.68985345358345</v>
      </c>
      <c r="J8997" s="297">
        <f t="shared" si="1422"/>
        <v>92</v>
      </c>
      <c r="K8997" s="297">
        <f>J8997/POBLA!$B$20*100000</f>
        <v>25.157370289145689</v>
      </c>
      <c r="L8997" s="549">
        <f t="shared" si="1420"/>
        <v>0.14588859416445621</v>
      </c>
      <c r="M8997" s="401">
        <f>SUM(C8997,C8973,C8949,C8925,C8901,C8877,C8853)/POBLA!$B$20*100000</f>
        <v>176.10159202401982</v>
      </c>
    </row>
    <row r="8998" spans="1:13" s="360" customFormat="1" x14ac:dyDescent="0.25">
      <c r="A8998" s="367" t="s">
        <v>22</v>
      </c>
      <c r="B8998" s="267">
        <v>44267</v>
      </c>
      <c r="C8998" s="1">
        <v>464</v>
      </c>
      <c r="D8998" s="39">
        <f t="shared" si="1418"/>
        <v>221653</v>
      </c>
      <c r="E8998" s="1">
        <v>6</v>
      </c>
      <c r="F8998" s="39">
        <f t="shared" si="1423"/>
        <v>4104</v>
      </c>
      <c r="G8998" s="168">
        <f>SUM(C8998,C8974,C8950,C8926,C8902,C8878,C8854,C8830,C8806,C8782,C8758,C8734,C8710,C8686)/POBLA!$B$21*100000</f>
        <v>160.8972694969882</v>
      </c>
      <c r="H8998" s="256">
        <f t="shared" si="1419"/>
        <v>1.2202444778039889</v>
      </c>
      <c r="I8998" s="297">
        <f t="shared" si="1421"/>
        <v>196.33400459744004</v>
      </c>
      <c r="J8998" s="297">
        <f t="shared" si="1422"/>
        <v>422.28571428571428</v>
      </c>
      <c r="K8998" s="297">
        <f>J8998/POBLA!$B$21*100000</f>
        <v>11.941057711099601</v>
      </c>
      <c r="L8998" s="549">
        <f t="shared" si="1420"/>
        <v>-8.1199707388441844E-2</v>
      </c>
      <c r="M8998" s="401">
        <f>SUM(C8998,C8974,C8950,C8926,C8902,C8878,C8854)/POBLA!$B$21*100000</f>
        <v>83.587403977697207</v>
      </c>
    </row>
    <row r="8999" spans="1:13" s="360" customFormat="1" x14ac:dyDescent="0.25">
      <c r="A8999" s="367" t="s">
        <v>38</v>
      </c>
      <c r="B8999" s="267">
        <v>44267</v>
      </c>
      <c r="C8999" s="1">
        <v>68</v>
      </c>
      <c r="D8999" s="39">
        <f t="shared" si="1418"/>
        <v>23311</v>
      </c>
      <c r="E8999" s="1">
        <v>2</v>
      </c>
      <c r="F8999" s="39">
        <f t="shared" si="1423"/>
        <v>274</v>
      </c>
      <c r="G8999" s="168">
        <f>SUM(C8999,C8975,C8951,C8927,C8903,C8879,C8855,C8831,C8807,C8783,C8759,C8735,C8711,C8687)/POBLA!$B$22*100000</f>
        <v>84.431056318376633</v>
      </c>
      <c r="H8999" s="256">
        <f t="shared" si="1419"/>
        <v>1.1617440225035163</v>
      </c>
      <c r="I8999" s="297">
        <f t="shared" si="1421"/>
        <v>98.0872749915318</v>
      </c>
      <c r="J8999" s="297">
        <f t="shared" si="1422"/>
        <v>50.428571428571431</v>
      </c>
      <c r="K8999" s="297">
        <f>J8999/POBLA!$B$22*100000</f>
        <v>5.1546459495653671</v>
      </c>
      <c r="L8999" s="549">
        <f t="shared" si="1420"/>
        <v>0.2536997885835095</v>
      </c>
      <c r="M8999" s="401">
        <f>SUM(C8999,C8975,C8951,C8927,C8903,C8879,C8855)/POBLA!$B$22*100000</f>
        <v>36.082521646957566</v>
      </c>
    </row>
    <row r="9000" spans="1:13" s="360" customFormat="1" x14ac:dyDescent="0.25">
      <c r="A9000" s="367" t="s">
        <v>39</v>
      </c>
      <c r="B9000" s="267">
        <v>44267</v>
      </c>
      <c r="C9000" s="1">
        <v>25</v>
      </c>
      <c r="D9000" s="39">
        <f t="shared" si="1418"/>
        <v>23317</v>
      </c>
      <c r="E9000" s="1"/>
      <c r="F9000" s="39">
        <f t="shared" si="1423"/>
        <v>358</v>
      </c>
      <c r="G9000" s="168">
        <f>SUM(C9000,C8976,C8952,C8928,C8904,C8880,C8856,C8832,C8808,C8784,C8760,C8736,C8712,C8688)/POBLA!$B$23*100000</f>
        <v>239.21280325736586</v>
      </c>
      <c r="H9000" s="256">
        <f t="shared" si="1419"/>
        <v>0.87941787941787941</v>
      </c>
      <c r="I9000" s="297">
        <f t="shared" si="1421"/>
        <v>210.36801617019907</v>
      </c>
      <c r="J9000" s="297">
        <f t="shared" si="1422"/>
        <v>26.857142857142858</v>
      </c>
      <c r="K9000" s="297">
        <f>J9000/POBLA!$B$23*100000</f>
        <v>15.188114492531163</v>
      </c>
      <c r="L9000" s="549">
        <f t="shared" si="1420"/>
        <v>0.19999999999999996</v>
      </c>
      <c r="M9000" s="401">
        <f>SUM(C9000,C8976,C8952,C8928,C8904,C8880,C8856)/POBLA!$B$23*100000</f>
        <v>106.31680144771816</v>
      </c>
    </row>
    <row r="9001" spans="1:13" s="360" customFormat="1" ht="15.75" thickBot="1" x14ac:dyDescent="0.3">
      <c r="A9001" s="369" t="s">
        <v>40</v>
      </c>
      <c r="B9001" s="267">
        <v>44267</v>
      </c>
      <c r="C9001" s="1">
        <v>301</v>
      </c>
      <c r="D9001" s="176">
        <f t="shared" si="1418"/>
        <v>81923</v>
      </c>
      <c r="E9001" s="1">
        <v>3</v>
      </c>
      <c r="F9001" s="176">
        <f t="shared" si="1423"/>
        <v>1491</v>
      </c>
      <c r="G9001" s="177">
        <f>SUM(C9001,C8977,C8953,C8929,C8905,C8881,C8857,C8833,C8809,C8785,C8761,C8737,C8713,C8689)/POBLA!$B$24*100000</f>
        <v>134.71760640507571</v>
      </c>
      <c r="H9001" s="402">
        <f t="shared" si="1419"/>
        <v>1.3437316068275456</v>
      </c>
      <c r="I9001" s="403">
        <f t="shared" si="1421"/>
        <v>181.02430572265322</v>
      </c>
      <c r="J9001" s="403">
        <f t="shared" si="1422"/>
        <v>177.42857142857142</v>
      </c>
      <c r="K9001" s="403">
        <f>J9001/POBLA!$B$24*100000</f>
        <v>10.469887188230025</v>
      </c>
      <c r="L9001" s="550">
        <f t="shared" si="1420"/>
        <v>-0.19308357348703176</v>
      </c>
      <c r="M9001" s="405">
        <f>SUM(C9001,C8977,C8953,C8929,C8905,C8881,C8857)/POBLA!$B$24*100000</f>
        <v>73.289210317610184</v>
      </c>
    </row>
    <row r="9002" spans="1:13" s="360" customFormat="1" x14ac:dyDescent="0.25">
      <c r="A9002" s="363" t="s">
        <v>16</v>
      </c>
      <c r="B9002" s="267">
        <v>44268</v>
      </c>
      <c r="C9002" s="17">
        <v>2692</v>
      </c>
      <c r="D9002" s="174">
        <f t="shared" si="1418"/>
        <v>915761</v>
      </c>
      <c r="E9002" s="1">
        <v>21</v>
      </c>
      <c r="F9002" s="174">
        <f t="shared" si="1423"/>
        <v>27035</v>
      </c>
      <c r="G9002" s="175">
        <f>SUM(C9002,C8978,C8954,C8930,C8906,C8882,C8858,C8834,C8810,C8786,C8762,C8738,C8714,C8690)/POBLA!$B$1*100000</f>
        <v>212.27809525047428</v>
      </c>
      <c r="H9002" s="300">
        <f t="shared" ref="H9002:H9025" si="1424">SUM(C9002,C8978,C8954,C8930,C8906,C8882,C8858,C8834,C8810,C8786,C8762,C8738,C8714,C8690)/SUM(C8666,C8642,C8618,C8594,C8570,C8546,C8522,C8498,C8474,C8450,C8426,C8402,C8378,C8354)</f>
        <v>1.0788040329122726</v>
      </c>
      <c r="I9002" s="301">
        <f>G9002*H9002</f>
        <v>229.00646525514719</v>
      </c>
      <c r="J9002" s="301">
        <f>AVERAGE(C9002,C8978,C8954,C8930,C8906,C8882,C8858)</f>
        <v>2684.1428571428573</v>
      </c>
      <c r="K9002" s="301">
        <f>J9002/POBLA!$B$1*100000</f>
        <v>15.301985527297552</v>
      </c>
      <c r="L9002" s="548">
        <f t="shared" ref="L9002:L9025" si="1425">1-SUM(C9002,C8978,C8954,C8930,C8906,C8882,C8858)/SUM(C8834,C8810,C8786,C8762,C8738,C8714,C8690)</f>
        <v>-1.8539599934948692E-2</v>
      </c>
      <c r="M9002" s="400">
        <f>SUM(C9002,C8978,C8954,C8930,C8906,C8882,C8858)/POBLA!$B$1*100000</f>
        <v>107.11389869108285</v>
      </c>
    </row>
    <row r="9003" spans="1:13" s="360" customFormat="1" x14ac:dyDescent="0.25">
      <c r="A9003" s="367" t="s">
        <v>43</v>
      </c>
      <c r="B9003" s="267">
        <v>44268</v>
      </c>
      <c r="C9003" s="17">
        <v>796</v>
      </c>
      <c r="D9003" s="39">
        <f t="shared" si="1418"/>
        <v>241400</v>
      </c>
      <c r="E9003" s="1">
        <v>19</v>
      </c>
      <c r="F9003" s="39">
        <f t="shared" si="1423"/>
        <v>6690</v>
      </c>
      <c r="G9003" s="168">
        <f>SUM(C9003,C8979,C8955,C8931,C8907,C8883,C8859,C8835,C8811,C8787,C8763,C8739,C8715,C8691)/POBLA!$B$2*100000</f>
        <v>323.34670504993096</v>
      </c>
      <c r="H9003" s="256">
        <f t="shared" si="1424"/>
        <v>1.0285448340055849</v>
      </c>
      <c r="I9003" s="297">
        <f t="shared" ref="I9003:I9025" si="1426">G9003*H9003</f>
        <v>332.57658307183408</v>
      </c>
      <c r="J9003" s="297">
        <f t="shared" ref="J9003:J9025" si="1427">AVERAGE(C9003,C8979,C8955,C8931,C8907,C8883,C8859)</f>
        <v>769</v>
      </c>
      <c r="K9003" s="297">
        <f>J9003/POBLA!$B$2*100000</f>
        <v>25.002877444283254</v>
      </c>
      <c r="L9003" s="549">
        <f t="shared" si="1425"/>
        <v>-0.17996492766330552</v>
      </c>
      <c r="M9003" s="401">
        <f>SUM(C9003,C8979,C8955,C8931,C8907,C8883,C8859)/POBLA!$B$2*100000</f>
        <v>175.02014210998277</v>
      </c>
    </row>
    <row r="9004" spans="1:13" s="360" customFormat="1" x14ac:dyDescent="0.25">
      <c r="A9004" s="367" t="s">
        <v>28</v>
      </c>
      <c r="B9004" s="267">
        <v>44268</v>
      </c>
      <c r="C9004" s="17">
        <v>104</v>
      </c>
      <c r="D9004" s="39">
        <f t="shared" si="1418"/>
        <v>8975</v>
      </c>
      <c r="E9004" s="1"/>
      <c r="F9004" s="39">
        <f t="shared" si="1423"/>
        <v>18</v>
      </c>
      <c r="G9004" s="168">
        <f>SUM(C9004,C8980,C8956,C8932,C8908,C8884,C8860,C8836,C8812,C8788,C8764,C8740,C8716,C8692)/POBLA!$B$3*100000</f>
        <v>273.20562875808184</v>
      </c>
      <c r="H9004" s="256">
        <f t="shared" si="1424"/>
        <v>1.051899907321594</v>
      </c>
      <c r="I9004" s="297">
        <f t="shared" si="1426"/>
        <v>287.38497557036413</v>
      </c>
      <c r="J9004" s="297">
        <f t="shared" si="1427"/>
        <v>81.285714285714292</v>
      </c>
      <c r="K9004" s="297">
        <f>J9004/POBLA!$B$3*100000</f>
        <v>19.566268440950104</v>
      </c>
      <c r="L9004" s="549">
        <f t="shared" si="1425"/>
        <v>-5.300353356890497E-3</v>
      </c>
      <c r="M9004" s="401">
        <f>SUM(C9004,C8980,C8956,C8932,C8908,C8884,C8860)/POBLA!$B$3*100000</f>
        <v>136.96387908665071</v>
      </c>
    </row>
    <row r="9005" spans="1:13" s="360" customFormat="1" x14ac:dyDescent="0.25">
      <c r="A9005" s="367" t="s">
        <v>15</v>
      </c>
      <c r="B9005" s="267">
        <v>44268</v>
      </c>
      <c r="C9005" s="17">
        <v>140</v>
      </c>
      <c r="D9005" s="39">
        <f t="shared" si="1418"/>
        <v>35855</v>
      </c>
      <c r="E9005" s="1">
        <v>4</v>
      </c>
      <c r="F9005" s="39">
        <f t="shared" si="1423"/>
        <v>894</v>
      </c>
      <c r="G9005" s="168">
        <f>SUM(C9005,C8981,C8957,C8933,C8909,C8885,C8861,C8837,C8813,C8789,C8765,C8741,C8717,C8693)/POBLA!$B$4*100000</f>
        <v>149.10243819014877</v>
      </c>
      <c r="H9005" s="256">
        <f t="shared" si="1424"/>
        <v>1.060838747784997</v>
      </c>
      <c r="I9005" s="297">
        <f t="shared" si="1426"/>
        <v>158.17364382132735</v>
      </c>
      <c r="J9005" s="297">
        <f t="shared" si="1427"/>
        <v>125.14285714285714</v>
      </c>
      <c r="K9005" s="297">
        <f>J9005/POBLA!$B$4*100000</f>
        <v>10.389256749488572</v>
      </c>
      <c r="L9005" s="549">
        <f t="shared" si="1425"/>
        <v>4.7826086956521685E-2</v>
      </c>
      <c r="M9005" s="401">
        <f>SUM(C9005,C8981,C8957,C8933,C8909,C8885,C8861)/POBLA!$B$4*100000</f>
        <v>72.72479724642001</v>
      </c>
    </row>
    <row r="9006" spans="1:13" s="360" customFormat="1" x14ac:dyDescent="0.25">
      <c r="A9006" s="367" t="s">
        <v>29</v>
      </c>
      <c r="B9006" s="267">
        <v>44268</v>
      </c>
      <c r="C9006" s="17">
        <v>85</v>
      </c>
      <c r="D9006" s="39">
        <f t="shared" si="1418"/>
        <v>48105</v>
      </c>
      <c r="E9006" s="1"/>
      <c r="F9006" s="39">
        <f t="shared" si="1423"/>
        <v>808</v>
      </c>
      <c r="G9006" s="168">
        <f>SUM(C9006,C8982,C8958,C8934,C8910,C8886,C8862,C8838,C8814,C8790,C8766,C8742,C8718,C8694)/POBLA!$B$5*100000</f>
        <v>197.578651812457</v>
      </c>
      <c r="H9006" s="256">
        <f t="shared" si="1424"/>
        <v>0.70571263704558573</v>
      </c>
      <c r="I9006" s="297">
        <f t="shared" si="1426"/>
        <v>139.43375139448062</v>
      </c>
      <c r="J9006" s="297">
        <f t="shared" si="1427"/>
        <v>86.142857142857139</v>
      </c>
      <c r="K9006" s="297">
        <f>J9006/POBLA!$B$5*100000</f>
        <v>13.916590006180535</v>
      </c>
      <c r="L9006" s="549">
        <f t="shared" si="1425"/>
        <v>2.741935483870972E-2</v>
      </c>
      <c r="M9006" s="401">
        <f>SUM(C9006,C8982,C8958,C8934,C8910,C8886,C8862)/POBLA!$B$5*100000</f>
        <v>97.416130043263749</v>
      </c>
    </row>
    <row r="9007" spans="1:13" s="360" customFormat="1" x14ac:dyDescent="0.25">
      <c r="A9007" s="367" t="s">
        <v>30</v>
      </c>
      <c r="B9007" s="267">
        <v>44268</v>
      </c>
      <c r="C9007" s="17">
        <v>298</v>
      </c>
      <c r="D9007" s="39">
        <f t="shared" si="1418"/>
        <v>24839</v>
      </c>
      <c r="E9007" s="1"/>
      <c r="F9007" s="39">
        <f t="shared" si="1423"/>
        <v>306</v>
      </c>
      <c r="G9007" s="168">
        <f>SUM(C9007,C8983,C8959,C8935,C8911,C8887,C8863,C8839,C8815,C8791,C8767,C8743,C8719,C8695)/POBLA!$B$6*100000</f>
        <v>271.32381216647735</v>
      </c>
      <c r="H9007" s="256">
        <f t="shared" si="1424"/>
        <v>1.198659834450138</v>
      </c>
      <c r="I9007" s="297">
        <f t="shared" si="1426"/>
        <v>325.22495577385007</v>
      </c>
      <c r="J9007" s="297">
        <f t="shared" si="1427"/>
        <v>256.85714285714283</v>
      </c>
      <c r="K9007" s="297">
        <f>J9007/POBLA!$B$6*100000</f>
        <v>22.917283519299399</v>
      </c>
      <c r="L9007" s="549">
        <f t="shared" si="1425"/>
        <v>-0.44650040225261467</v>
      </c>
      <c r="M9007" s="401">
        <f>SUM(C9007,C8983,C8959,C8935,C8911,C8887,C8863)/POBLA!$B$6*100000</f>
        <v>160.42098463509581</v>
      </c>
    </row>
    <row r="9008" spans="1:13" s="360" customFormat="1" x14ac:dyDescent="0.25">
      <c r="A9008" s="367" t="s">
        <v>20</v>
      </c>
      <c r="B9008" s="267">
        <v>44268</v>
      </c>
      <c r="C9008" s="17">
        <v>593</v>
      </c>
      <c r="D9008" s="39">
        <f t="shared" si="1418"/>
        <v>167598</v>
      </c>
      <c r="E9008" s="1">
        <v>5</v>
      </c>
      <c r="F9008" s="39">
        <f t="shared" si="1423"/>
        <v>2916</v>
      </c>
      <c r="G9008" s="168">
        <f>SUM(C9008,C8984,C8960,C8936,C8912,C8888,C8864,C8840,C8816,C8792,C8768,C8744,C8720,C8696)/POBLA!$B$7*100000</f>
        <v>214.17649483439482</v>
      </c>
      <c r="H9008" s="256">
        <f t="shared" si="1424"/>
        <v>1.0356178474990356</v>
      </c>
      <c r="I9008" s="297">
        <f t="shared" si="1426"/>
        <v>221.80500056528427</v>
      </c>
      <c r="J9008" s="297">
        <f t="shared" si="1427"/>
        <v>573.42857142857144</v>
      </c>
      <c r="K9008" s="297">
        <f>J9008/POBLA!$B$7*100000</f>
        <v>15.248934872916047</v>
      </c>
      <c r="L9008" s="549">
        <f t="shared" si="1425"/>
        <v>6.4356435643564414E-3</v>
      </c>
      <c r="M9008" s="401">
        <f>SUM(C9008,C8984,C8960,C8936,C8912,C8888,C8864)/POBLA!$B$7*100000</f>
        <v>106.74254411041231</v>
      </c>
    </row>
    <row r="9009" spans="1:13" x14ac:dyDescent="0.25">
      <c r="A9009" s="367" t="s">
        <v>31</v>
      </c>
      <c r="B9009" s="267">
        <v>44268</v>
      </c>
      <c r="C9009" s="17">
        <v>108</v>
      </c>
      <c r="D9009" s="39">
        <f t="shared" si="1418"/>
        <v>46810</v>
      </c>
      <c r="F9009" s="39">
        <f t="shared" ref="F9009:F9032" si="1428">E9009+F8985</f>
        <v>898</v>
      </c>
      <c r="G9009" s="168">
        <f>SUM(C9009,C8985,C8961,C8937,C8913,C8889,C8865,C8841,C8817,C8793,C8769,C8745,C8721,C8697)/POBLA!$B$8*100000</f>
        <v>122.29781357484086</v>
      </c>
      <c r="H9009" s="256">
        <f t="shared" si="1424"/>
        <v>1.0065320665083135</v>
      </c>
      <c r="I9009" s="297">
        <f t="shared" si="1426"/>
        <v>123.09667102693305</v>
      </c>
      <c r="J9009" s="297">
        <f t="shared" si="1427"/>
        <v>124.71428571428571</v>
      </c>
      <c r="K9009" s="297">
        <f>J9009/POBLA!$B$8*100000</f>
        <v>8.9983979141033341</v>
      </c>
      <c r="L9009" s="549">
        <f t="shared" si="1425"/>
        <v>-6.2043795620438047E-2</v>
      </c>
      <c r="M9009" s="401">
        <f>SUM(C9009,C8985,C8961,C8937,C8913,C8889,C8865)/POBLA!$B$8*100000</f>
        <v>62.988785398723344</v>
      </c>
    </row>
    <row r="9010" spans="1:13" s="360" customFormat="1" x14ac:dyDescent="0.25">
      <c r="A9010" s="367" t="s">
        <v>41</v>
      </c>
      <c r="B9010" s="267">
        <v>44268</v>
      </c>
      <c r="C9010" s="17">
        <v>19</v>
      </c>
      <c r="D9010" s="39">
        <f t="shared" si="1418"/>
        <v>1522</v>
      </c>
      <c r="E9010" s="1"/>
      <c r="F9010" s="39">
        <f t="shared" si="1428"/>
        <v>20</v>
      </c>
      <c r="G9010" s="168">
        <f>SUM(C9010,C8986,C8962,C8938,C8914,C8890,C8866,C8842,C8818,C8794,C8770,C8746,C8722,C8698)/POBLA!$B$9*100000</f>
        <v>49.90143640128025</v>
      </c>
      <c r="H9010" s="256">
        <f t="shared" si="1424"/>
        <v>1.1526717557251909</v>
      </c>
      <c r="I9010" s="297">
        <f t="shared" si="1426"/>
        <v>57.519976309872654</v>
      </c>
      <c r="J9010" s="297">
        <f t="shared" si="1427"/>
        <v>26</v>
      </c>
      <c r="K9010" s="297">
        <f>J9010/POBLA!$B$9*100000</f>
        <v>4.2961501537526043</v>
      </c>
      <c r="L9010" s="549">
        <f t="shared" si="1425"/>
        <v>-0.51666666666666661</v>
      </c>
      <c r="M9010" s="401">
        <f>SUM(C9010,C8986,C8962,C8938,C8914,C8890,C8866)/POBLA!$B$9*100000</f>
        <v>30.073051076268236</v>
      </c>
    </row>
    <row r="9011" spans="1:13" s="360" customFormat="1" x14ac:dyDescent="0.25">
      <c r="A9011" s="367" t="s">
        <v>32</v>
      </c>
      <c r="B9011" s="267">
        <v>44268</v>
      </c>
      <c r="C9011" s="17">
        <v>27</v>
      </c>
      <c r="D9011" s="39">
        <f t="shared" si="1418"/>
        <v>21612</v>
      </c>
      <c r="E9011" s="1">
        <v>3</v>
      </c>
      <c r="F9011" s="39">
        <f t="shared" si="1428"/>
        <v>923</v>
      </c>
      <c r="G9011" s="168">
        <f>SUM(C9011,C8987,C8963,C8939,C8915,C8891,C8867,C8843,C8819,C8795,C8771,C8747,C8723,C8699)/POBLA!$B$10*100000</f>
        <v>122.58701407869698</v>
      </c>
      <c r="H9011" s="256">
        <f t="shared" si="1424"/>
        <v>0.99788806758183735</v>
      </c>
      <c r="I9011" s="297">
        <f t="shared" si="1426"/>
        <v>122.32811858961841</v>
      </c>
      <c r="J9011" s="297">
        <f t="shared" si="1427"/>
        <v>58.142857142857146</v>
      </c>
      <c r="K9011" s="297">
        <f>J9011/POBLA!$B$10*100000</f>
        <v>7.542390737721794</v>
      </c>
      <c r="L9011" s="549">
        <f t="shared" si="1425"/>
        <v>0.24349442379182151</v>
      </c>
      <c r="M9011" s="401">
        <f>SUM(C9011,C8987,C8963,C8939,C8915,C8891,C8867)/POBLA!$B$10*100000</f>
        <v>52.796735164052556</v>
      </c>
    </row>
    <row r="9012" spans="1:13" s="360" customFormat="1" x14ac:dyDescent="0.25">
      <c r="A9012" s="367" t="s">
        <v>33</v>
      </c>
      <c r="B9012" s="267">
        <v>44268</v>
      </c>
      <c r="C9012" s="17">
        <v>95</v>
      </c>
      <c r="D9012" s="39">
        <f t="shared" si="1418"/>
        <v>19813</v>
      </c>
      <c r="E9012" s="1"/>
      <c r="F9012" s="39">
        <f t="shared" si="1428"/>
        <v>299</v>
      </c>
      <c r="G9012" s="168">
        <f>SUM(C9012,C8988,C8964,C8940,C8916,C8892,C8868,C8844,C8820,C8796,C8772,C8748,C8724,C8700)/POBLA!$B$11*100000</f>
        <v>326.42539087348086</v>
      </c>
      <c r="H9012" s="256">
        <f t="shared" si="1424"/>
        <v>1.2</v>
      </c>
      <c r="I9012" s="297">
        <f t="shared" si="1426"/>
        <v>391.710469048177</v>
      </c>
      <c r="J9012" s="297">
        <f t="shared" si="1427"/>
        <v>87.857142857142861</v>
      </c>
      <c r="K9012" s="297">
        <f>J9012/POBLA!$B$11*100000</f>
        <v>24.511796750572739</v>
      </c>
      <c r="L9012" s="549">
        <f t="shared" si="1425"/>
        <v>-0.10810810810810811</v>
      </c>
      <c r="M9012" s="401">
        <f>SUM(C9012,C8988,C8964,C8940,C8916,C8892,C8868)/POBLA!$B$11*100000</f>
        <v>171.58257725400918</v>
      </c>
    </row>
    <row r="9013" spans="1:13" s="360" customFormat="1" x14ac:dyDescent="0.25">
      <c r="A9013" s="367" t="s">
        <v>21</v>
      </c>
      <c r="B9013" s="267">
        <v>44268</v>
      </c>
      <c r="C9013" s="17">
        <v>19</v>
      </c>
      <c r="D9013" s="39">
        <f t="shared" si="1418"/>
        <v>10505</v>
      </c>
      <c r="E9013" s="1">
        <v>1</v>
      </c>
      <c r="F9013" s="39">
        <f t="shared" si="1428"/>
        <v>445</v>
      </c>
      <c r="G9013" s="168">
        <f>SUM(C9013,C8989,C8965,C8941,C8917,C8893,C8869,C8845,C8821,C8797,C8773,C8749,C8725,C8701)/POBLA!$B$12*100000</f>
        <v>84.110273396504979</v>
      </c>
      <c r="H9013" s="256">
        <f t="shared" si="1424"/>
        <v>0.92458100558659218</v>
      </c>
      <c r="I9013" s="297">
        <f t="shared" si="1426"/>
        <v>77.766761157103772</v>
      </c>
      <c r="J9013" s="297">
        <f t="shared" si="1427"/>
        <v>22</v>
      </c>
      <c r="K9013" s="297">
        <f>J9013/POBLA!$B$12*100000</f>
        <v>5.5904109206136239</v>
      </c>
      <c r="L9013" s="549">
        <f t="shared" si="1425"/>
        <v>0.12994350282485878</v>
      </c>
      <c r="M9013" s="401">
        <f>SUM(C9013,C8989,C8965,C8941,C8917,C8893,C8869)/POBLA!$B$12*100000</f>
        <v>39.13287644429537</v>
      </c>
    </row>
    <row r="9014" spans="1:13" s="360" customFormat="1" x14ac:dyDescent="0.25">
      <c r="A9014" s="367" t="s">
        <v>17</v>
      </c>
      <c r="B9014" s="267">
        <v>44268</v>
      </c>
      <c r="C9014" s="17">
        <v>135</v>
      </c>
      <c r="D9014" s="39">
        <f t="shared" si="1418"/>
        <v>69308</v>
      </c>
      <c r="E9014" s="1">
        <v>2</v>
      </c>
      <c r="F9014" s="39">
        <f t="shared" si="1428"/>
        <v>1477</v>
      </c>
      <c r="G9014" s="168">
        <f>SUM(C9014,C8990,C8966,C8942,C8918,C8894,C8870,C8846,C8822,C8798,C8774,C8750,C8726,C8702)/POBLA!$B$13*100000</f>
        <v>106.66530006461215</v>
      </c>
      <c r="H9014" s="256">
        <f t="shared" si="1424"/>
        <v>1.3565495207667733</v>
      </c>
      <c r="I9014" s="297">
        <f t="shared" si="1426"/>
        <v>144.69676168509369</v>
      </c>
      <c r="J9014" s="297">
        <f t="shared" si="1427"/>
        <v>162.42857142857142</v>
      </c>
      <c r="K9014" s="297">
        <f>J9014/POBLA!$B$13*100000</f>
        <v>8.1608536554379913</v>
      </c>
      <c r="L9014" s="549">
        <f t="shared" si="1425"/>
        <v>-0.15314401622718044</v>
      </c>
      <c r="M9014" s="401">
        <f>SUM(C9014,C8990,C8966,C8942,C8918,C8894,C8870)/POBLA!$B$13*100000</f>
        <v>57.125975588065948</v>
      </c>
    </row>
    <row r="9015" spans="1:13" s="360" customFormat="1" x14ac:dyDescent="0.25">
      <c r="A9015" s="367" t="s">
        <v>23</v>
      </c>
      <c r="B9015" s="267">
        <v>44268</v>
      </c>
      <c r="C9015" s="17">
        <v>119</v>
      </c>
      <c r="D9015" s="39">
        <f t="shared" si="1418"/>
        <v>9848</v>
      </c>
      <c r="E9015" s="1">
        <v>3</v>
      </c>
      <c r="F9015" s="39">
        <f t="shared" si="1428"/>
        <v>168</v>
      </c>
      <c r="G9015" s="168">
        <f>SUM(C9015,C8991,C8967,C8943,C8919,C8895,C8871,C8847,C8823,C8799,C8775,C8751,C8727,C8703)/POBLA!$B$14*100000</f>
        <v>130.58018194013451</v>
      </c>
      <c r="H9015" s="256">
        <f t="shared" si="1424"/>
        <v>1.041087231352718</v>
      </c>
      <c r="I9015" s="297">
        <f t="shared" si="1426"/>
        <v>135.94536008558882</v>
      </c>
      <c r="J9015" s="297">
        <f t="shared" si="1427"/>
        <v>119.28571428571429</v>
      </c>
      <c r="K9015" s="297">
        <f>J9015/POBLA!$B$14*100000</f>
        <v>9.4574075739450354</v>
      </c>
      <c r="L9015" s="549">
        <f t="shared" si="1425"/>
        <v>-2.8325123152709297E-2</v>
      </c>
      <c r="M9015" s="401">
        <f>SUM(C9015,C8991,C8967,C8943,C8919,C8895,C8871)/POBLA!$B$14*100000</f>
        <v>66.20185301761525</v>
      </c>
    </row>
    <row r="9016" spans="1:13" s="360" customFormat="1" x14ac:dyDescent="0.25">
      <c r="A9016" s="367" t="s">
        <v>19</v>
      </c>
      <c r="B9016" s="267">
        <v>44268</v>
      </c>
      <c r="C9016" s="17">
        <v>83</v>
      </c>
      <c r="D9016" s="39">
        <f t="shared" si="1418"/>
        <v>63140</v>
      </c>
      <c r="E9016" s="1"/>
      <c r="F9016" s="39">
        <f t="shared" si="1428"/>
        <v>955</v>
      </c>
      <c r="G9016" s="168">
        <f>SUM(C9016,C8992,C8968,C8944,C8920,C8896,C8872,C8848,C8824,C8800,C8776,C8752,C8728,C8704)/POBLA!$B$15*100000</f>
        <v>307.65431280748493</v>
      </c>
      <c r="H9016" s="256">
        <f t="shared" si="1424"/>
        <v>0.76631657914478624</v>
      </c>
      <c r="I9016" s="297">
        <f t="shared" si="1426"/>
        <v>235.76060054977185</v>
      </c>
      <c r="J9016" s="297">
        <f t="shared" si="1427"/>
        <v>139.71428571428572</v>
      </c>
      <c r="K9016" s="297">
        <f>J9016/POBLA!$B$15*100000</f>
        <v>21.039501987673606</v>
      </c>
      <c r="L9016" s="549">
        <f t="shared" si="1425"/>
        <v>8.1690140845070425E-2</v>
      </c>
      <c r="M9016" s="401">
        <f>SUM(C9016,C8992,C8968,C8944,C8920,C8896,C8872)/POBLA!$B$15*100000</f>
        <v>147.27651391371523</v>
      </c>
    </row>
    <row r="9017" spans="1:13" s="360" customFormat="1" x14ac:dyDescent="0.25">
      <c r="A9017" s="367" t="s">
        <v>18</v>
      </c>
      <c r="B9017" s="267">
        <v>44268</v>
      </c>
      <c r="C9017" s="17">
        <v>36</v>
      </c>
      <c r="D9017" s="39">
        <f t="shared" si="1418"/>
        <v>53750</v>
      </c>
      <c r="E9017" s="1"/>
      <c r="F9017" s="39">
        <f t="shared" si="1428"/>
        <v>1237</v>
      </c>
      <c r="G9017" s="168">
        <f>SUM(C9017,C8993,C8969,C8945,C8921,C8897,C8873,C8849,C8825,C8801,C8777,C8753,C8729,C8705)/POBLA!$B$16*100000</f>
        <v>197.96417918433409</v>
      </c>
      <c r="H9017" s="256">
        <f t="shared" si="1424"/>
        <v>0.84090909090909094</v>
      </c>
      <c r="I9017" s="297">
        <f t="shared" si="1426"/>
        <v>166.46987795046277</v>
      </c>
      <c r="J9017" s="297">
        <f t="shared" si="1427"/>
        <v>92.571428571428569</v>
      </c>
      <c r="K9017" s="297">
        <f>J9017/POBLA!$B$16*100000</f>
        <v>12.382315454773019</v>
      </c>
      <c r="L9017" s="549">
        <f t="shared" si="1425"/>
        <v>0.22115384615384615</v>
      </c>
      <c r="M9017" s="401">
        <f>SUM(C9017,C8993,C8969,C8945,C8921,C8897,C8873)/POBLA!$B$16*100000</f>
        <v>86.676208183411134</v>
      </c>
    </row>
    <row r="9018" spans="1:13" s="360" customFormat="1" x14ac:dyDescent="0.25">
      <c r="A9018" s="367" t="s">
        <v>34</v>
      </c>
      <c r="B9018" s="267">
        <v>44268</v>
      </c>
      <c r="C9018" s="17">
        <v>140</v>
      </c>
      <c r="D9018" s="39">
        <f t="shared" si="1418"/>
        <v>27592</v>
      </c>
      <c r="E9018" s="1">
        <v>2</v>
      </c>
      <c r="F9018" s="39">
        <f t="shared" si="1428"/>
        <v>1140</v>
      </c>
      <c r="G9018" s="168">
        <f>SUM(C9018,C8994,C8970,C8946,C8922,C8898,C8874,C8850,C8826,C8802,C8778,C8754,C8730,C8706)/POBLA!$B$17*100000</f>
        <v>107.62448952082882</v>
      </c>
      <c r="H9018" s="256">
        <f t="shared" si="1424"/>
        <v>1.2205414012738853</v>
      </c>
      <c r="I9018" s="297">
        <f t="shared" si="1426"/>
        <v>131.36014525113899</v>
      </c>
      <c r="J9018" s="297">
        <f t="shared" si="1427"/>
        <v>106.85714285714286</v>
      </c>
      <c r="K9018" s="297">
        <f>J9018/POBLA!$B$17*100000</f>
        <v>7.50192136441897</v>
      </c>
      <c r="L9018" s="549">
        <f t="shared" si="1425"/>
        <v>4.7133757961783429E-2</v>
      </c>
      <c r="M9018" s="401">
        <f>SUM(C9018,C8994,C8970,C8946,C8922,C8898,C8874)/POBLA!$B$17*100000</f>
        <v>52.513449550932783</v>
      </c>
    </row>
    <row r="9019" spans="1:13" s="360" customFormat="1" x14ac:dyDescent="0.25">
      <c r="A9019" s="367" t="s">
        <v>35</v>
      </c>
      <c r="B9019" s="267">
        <v>44268</v>
      </c>
      <c r="C9019" s="17">
        <v>11</v>
      </c>
      <c r="D9019" s="39">
        <f t="shared" si="1418"/>
        <v>15870</v>
      </c>
      <c r="E9019" s="1"/>
      <c r="F9019" s="39">
        <f t="shared" si="1428"/>
        <v>217</v>
      </c>
      <c r="G9019" s="168">
        <f>SUM(C9019,C8995,C8971,C8947,C8923,C8899,C8875,C8851,C8827,C8803,C8779,C8755,C8731,C8707)/POBLA!$B$18*100000</f>
        <v>80.771411784433781</v>
      </c>
      <c r="H9019" s="256">
        <f t="shared" si="1424"/>
        <v>0.99370078740157475</v>
      </c>
      <c r="I9019" s="297">
        <f t="shared" si="1426"/>
        <v>80.262615489728688</v>
      </c>
      <c r="J9019" s="297">
        <f t="shared" si="1427"/>
        <v>49.428571428571431</v>
      </c>
      <c r="K9019" s="297">
        <f>J9019/POBLA!$B$18*100000</f>
        <v>6.3271244005918241</v>
      </c>
      <c r="L9019" s="549">
        <f t="shared" si="1425"/>
        <v>-0.21403508771929824</v>
      </c>
      <c r="M9019" s="401">
        <f>SUM(C9019,C8995,C8971,C8947,C8923,C8899,C8875)/POBLA!$B$18*100000</f>
        <v>44.289870804142765</v>
      </c>
    </row>
    <row r="9020" spans="1:13" s="360" customFormat="1" x14ac:dyDescent="0.25">
      <c r="A9020" s="367" t="s">
        <v>36</v>
      </c>
      <c r="B9020" s="267">
        <v>44268</v>
      </c>
      <c r="C9020" s="17">
        <v>1</v>
      </c>
      <c r="D9020" s="39">
        <f t="shared" si="1418"/>
        <v>21516</v>
      </c>
      <c r="E9020" s="1"/>
      <c r="F9020" s="39">
        <f t="shared" si="1428"/>
        <v>361</v>
      </c>
      <c r="G9020" s="168">
        <f>SUM(C9020,C8996,C8972,C8948,C8924,C8900,C8876,C8852,C8828,C8804,C8780,C8756,C8732,C8708)/POBLA!$B$19*100000</f>
        <v>146.3621913410239</v>
      </c>
      <c r="H9020" s="256">
        <f t="shared" si="1424"/>
        <v>0.75151515151515147</v>
      </c>
      <c r="I9020" s="297">
        <f t="shared" si="1426"/>
        <v>109.99340440173917</v>
      </c>
      <c r="J9020" s="297">
        <f t="shared" si="1427"/>
        <v>102</v>
      </c>
      <c r="K9020" s="297">
        <f>J9020/POBLA!$B$19*100000</f>
        <v>20.065784296753279</v>
      </c>
      <c r="L9020" s="549">
        <f t="shared" si="1425"/>
        <v>-22.8</v>
      </c>
      <c r="M9020" s="401">
        <f>SUM(C9020,C8996,C8972,C8948,C8924,C8900,C8876)/POBLA!$B$19*100000</f>
        <v>140.46049007727294</v>
      </c>
    </row>
    <row r="9021" spans="1:13" s="360" customFormat="1" x14ac:dyDescent="0.25">
      <c r="A9021" s="367" t="s">
        <v>37</v>
      </c>
      <c r="B9021" s="267">
        <v>44268</v>
      </c>
      <c r="C9021" s="17">
        <v>99</v>
      </c>
      <c r="D9021" s="39">
        <f t="shared" si="1418"/>
        <v>37324</v>
      </c>
      <c r="E9021" s="1">
        <v>3</v>
      </c>
      <c r="F9021" s="39">
        <f t="shared" si="1428"/>
        <v>610</v>
      </c>
      <c r="G9021" s="168">
        <f>SUM(C9021,C8997,C8973,C8949,C8925,C8901,C8877,C8853,C8829,C8805,C8781,C8757,C8733,C8709)/POBLA!$B$20*100000</f>
        <v>390.48613883587001</v>
      </c>
      <c r="H9021" s="256">
        <f t="shared" si="1424"/>
        <v>1.0063424947145878</v>
      </c>
      <c r="I9021" s="297">
        <f t="shared" si="1426"/>
        <v>392.9627951075563</v>
      </c>
      <c r="J9021" s="297">
        <f t="shared" si="1427"/>
        <v>101.71428571428571</v>
      </c>
      <c r="K9021" s="297">
        <f>J9021/POBLA!$B$20*100000</f>
        <v>27.813738580546165</v>
      </c>
      <c r="L9021" s="549">
        <f t="shared" si="1425"/>
        <v>5.5865921787709993E-3</v>
      </c>
      <c r="M9021" s="401">
        <f>SUM(C9021,C8997,C8973,C8949,C8925,C8901,C8877)/POBLA!$B$20*100000</f>
        <v>194.69617006382316</v>
      </c>
    </row>
    <row r="9022" spans="1:13" s="360" customFormat="1" x14ac:dyDescent="0.25">
      <c r="A9022" s="367" t="s">
        <v>22</v>
      </c>
      <c r="B9022" s="267">
        <v>44268</v>
      </c>
      <c r="C9022" s="17">
        <v>471</v>
      </c>
      <c r="D9022" s="39">
        <f t="shared" si="1418"/>
        <v>222124</v>
      </c>
      <c r="E9022" s="1">
        <v>1</v>
      </c>
      <c r="F9022" s="39">
        <f t="shared" si="1428"/>
        <v>4105</v>
      </c>
      <c r="G9022" s="168">
        <f>SUM(C9022,C8998,C8974,C8950,C8926,C8902,C8878,C8854,C8830,C8806,C8782,C8758,C8734,C8710)/POBLA!$B$21*100000</f>
        <v>163.49877192119257</v>
      </c>
      <c r="H9022" s="256">
        <f t="shared" si="1424"/>
        <v>1.2520571676050238</v>
      </c>
      <c r="I9022" s="297">
        <f t="shared" si="1426"/>
        <v>204.70980927854816</v>
      </c>
      <c r="J9022" s="297">
        <f t="shared" si="1427"/>
        <v>441.42857142857144</v>
      </c>
      <c r="K9022" s="297">
        <f>J9022/POBLA!$B$21*100000</f>
        <v>12.482364116135917</v>
      </c>
      <c r="L9022" s="549">
        <f t="shared" si="1425"/>
        <v>-0.14784546805349175</v>
      </c>
      <c r="M9022" s="401">
        <f>SUM(C9022,C8998,C8974,C8950,C8926,C8902,C8878)/POBLA!$B$21*100000</f>
        <v>87.376548812951413</v>
      </c>
    </row>
    <row r="9023" spans="1:13" s="360" customFormat="1" x14ac:dyDescent="0.25">
      <c r="A9023" s="367" t="s">
        <v>38</v>
      </c>
      <c r="B9023" s="267">
        <v>44268</v>
      </c>
      <c r="C9023" s="17">
        <v>71</v>
      </c>
      <c r="D9023" s="39">
        <f t="shared" si="1418"/>
        <v>23382</v>
      </c>
      <c r="E9023" s="1">
        <v>2</v>
      </c>
      <c r="F9023" s="39">
        <f t="shared" si="1428"/>
        <v>276</v>
      </c>
      <c r="G9023" s="168">
        <f>SUM(C9023,C8999,C8975,C8951,C8927,C8903,C8879,C8855,C8831,C8807,C8783,C8759,C8735,C8711)/POBLA!$B$22*100000</f>
        <v>83.204455015930478</v>
      </c>
      <c r="H9023" s="256">
        <f t="shared" si="1424"/>
        <v>1.1074829931972789</v>
      </c>
      <c r="I9023" s="297">
        <f t="shared" si="1426"/>
        <v>92.147518888391033</v>
      </c>
      <c r="J9023" s="297">
        <f t="shared" si="1427"/>
        <v>52.857142857142854</v>
      </c>
      <c r="K9023" s="297">
        <f>J9023/POBLA!$B$22*100000</f>
        <v>5.4028866893461354</v>
      </c>
      <c r="L9023" s="549">
        <f t="shared" si="1425"/>
        <v>0.16666666666666663</v>
      </c>
      <c r="M9023" s="401">
        <f>SUM(C9023,C8999,C8975,C8951,C8927,C8903,C8879)/POBLA!$B$22*100000</f>
        <v>37.82020682542295</v>
      </c>
    </row>
    <row r="9024" spans="1:13" s="360" customFormat="1" x14ac:dyDescent="0.25">
      <c r="A9024" s="367" t="s">
        <v>39</v>
      </c>
      <c r="B9024" s="267">
        <v>44268</v>
      </c>
      <c r="C9024" s="17">
        <v>12</v>
      </c>
      <c r="D9024" s="39">
        <f t="shared" si="1418"/>
        <v>23329</v>
      </c>
      <c r="E9024" s="1"/>
      <c r="F9024" s="39">
        <f t="shared" si="1428"/>
        <v>358</v>
      </c>
      <c r="G9024" s="168">
        <f>SUM(C9024,C9000,C8976,C8952,C8928,C8904,C8880,C8856,C8832,C8808,C8784,C8760,C8736,C8712)/POBLA!$B$23*100000</f>
        <v>223.94390092178926</v>
      </c>
      <c r="H9024" s="256">
        <f t="shared" si="1424"/>
        <v>0.78260869565217395</v>
      </c>
      <c r="I9024" s="297">
        <f t="shared" si="1426"/>
        <v>175.26044419966118</v>
      </c>
      <c r="J9024" s="297">
        <f t="shared" si="1427"/>
        <v>27.142857142857142</v>
      </c>
      <c r="K9024" s="297">
        <f>J9024/POBLA!$B$23*100000</f>
        <v>15.34969017862192</v>
      </c>
      <c r="L9024" s="549">
        <f t="shared" si="1425"/>
        <v>7.7669902912621325E-2</v>
      </c>
      <c r="M9024" s="401">
        <f>SUM(C9024,C9000,C8976,C8952,C8928,C8904,C8880)/POBLA!$B$23*100000</f>
        <v>107.44783125035346</v>
      </c>
    </row>
    <row r="9025" spans="1:13" s="360" customFormat="1" ht="15.75" thickBot="1" x14ac:dyDescent="0.3">
      <c r="A9025" s="369" t="s">
        <v>40</v>
      </c>
      <c r="B9025" s="267">
        <v>44268</v>
      </c>
      <c r="C9025" s="17">
        <v>124</v>
      </c>
      <c r="D9025" s="176">
        <f t="shared" si="1418"/>
        <v>82047</v>
      </c>
      <c r="E9025" s="1"/>
      <c r="F9025" s="176">
        <f t="shared" si="1428"/>
        <v>1491</v>
      </c>
      <c r="G9025" s="177">
        <f>SUM(C9025,C9001,C8977,C8953,C8929,C8905,C8881,C8857,C8833,C8809,C8785,C8761,C8737,C8713)/POBLA!$B$24*100000</f>
        <v>137.72706673212735</v>
      </c>
      <c r="H9025" s="402">
        <f t="shared" si="1424"/>
        <v>1.3876337693222354</v>
      </c>
      <c r="I9025" s="403">
        <f t="shared" si="1426"/>
        <v>191.11472874719692</v>
      </c>
      <c r="J9025" s="403">
        <f t="shared" si="1427"/>
        <v>182.85714285714286</v>
      </c>
      <c r="K9025" s="403">
        <f>J9025/POBLA!$B$24*100000</f>
        <v>10.790221900913393</v>
      </c>
      <c r="L9025" s="550">
        <f t="shared" si="1425"/>
        <v>-0.21442125237191645</v>
      </c>
      <c r="M9025" s="405">
        <f>SUM(C9025,C9001,C8977,C8953,C8929,C8905,C8881)/POBLA!$B$24*100000</f>
        <v>75.531553306393747</v>
      </c>
    </row>
    <row r="9026" spans="1:13" s="360" customFormat="1" x14ac:dyDescent="0.25">
      <c r="A9026" s="363" t="s">
        <v>16</v>
      </c>
      <c r="B9026" s="267">
        <v>44269</v>
      </c>
      <c r="C9026" s="1">
        <v>1539</v>
      </c>
      <c r="D9026" s="174">
        <f t="shared" si="1418"/>
        <v>917300</v>
      </c>
      <c r="E9026" s="1">
        <v>12</v>
      </c>
      <c r="F9026" s="174">
        <f t="shared" si="1428"/>
        <v>27047</v>
      </c>
      <c r="G9026" s="175">
        <f>SUM(C9026,C9002,C8978,C8954,C8930,C8906,C8882,C8858,C8834,C8810,C8786,C8762,C8738,C8714)/POBLA!$B$1*100000</f>
        <v>213.74322229095588</v>
      </c>
      <c r="H9026" s="300">
        <f t="shared" ref="H9026:H9049" si="1429">SUM(C9026,C9002,C8978,C8954,C8930,C8906,C8882,C8858,C8834,C8810,C8786,C8762,C8738,C8714)/SUM(C8690,C8666,C8642,C8618,C8594,C8570,C8546,C8522,C8498,C8474,C8450,C8426,C8402,C8378)</f>
        <v>1.0960301683816651</v>
      </c>
      <c r="I9026" s="301">
        <f>G9026*H9026</f>
        <v>234.26901991799605</v>
      </c>
      <c r="J9026" s="301">
        <f>AVERAGE(C9026,C9002,C8978,C8954,C8930,C8906,C8882)</f>
        <v>2762.5714285714284</v>
      </c>
      <c r="K9026" s="301">
        <f>J9026/POBLA!$B$1*100000</f>
        <v>15.749097670279422</v>
      </c>
      <c r="L9026" s="548">
        <f t="shared" ref="L9026:L9049" si="1430">1-SUM(C9026,C9002,C8978,C8954,C8930,C8906,C8882)/SUM(C8858,C8834,C8810,C8786,C8762,C8738,C8714)</f>
        <v>-6.5161112641145769E-2</v>
      </c>
      <c r="M9026" s="400">
        <f>SUM(C9026,C9002,C8978,C8954,C8930,C8906,C8882)/POBLA!$B$1*100000</f>
        <v>110.24368369195595</v>
      </c>
    </row>
    <row r="9027" spans="1:13" s="360" customFormat="1" x14ac:dyDescent="0.25">
      <c r="A9027" s="367" t="s">
        <v>43</v>
      </c>
      <c r="B9027" s="267">
        <v>44269</v>
      </c>
      <c r="C9027" s="1">
        <v>556</v>
      </c>
      <c r="D9027" s="39">
        <f t="shared" si="1418"/>
        <v>241956</v>
      </c>
      <c r="E9027" s="1">
        <v>3</v>
      </c>
      <c r="F9027" s="39">
        <f t="shared" si="1428"/>
        <v>6693</v>
      </c>
      <c r="G9027" s="168">
        <f>SUM(C9027,C9003,C8979,C8955,C8931,C8907,C8883,C8859,C8835,C8811,C8787,C8763,C8739,C8715)/POBLA!$B$2*100000</f>
        <v>327.21581092232333</v>
      </c>
      <c r="H9027" s="256">
        <f t="shared" si="1429"/>
        <v>1.0650862525134934</v>
      </c>
      <c r="I9027" s="297">
        <f t="shared" ref="I9027:I9049" si="1431">G9027*H9027</f>
        <v>348.51306181842119</v>
      </c>
      <c r="J9027" s="297">
        <f t="shared" ref="J9027:J9049" si="1432">AVERAGE(C9027,C9003,C8979,C8955,C8931,C8907,C8883)</f>
        <v>787.14285714285711</v>
      </c>
      <c r="K9027" s="297">
        <f>J9027/POBLA!$B$2*100000</f>
        <v>25.592765134311854</v>
      </c>
      <c r="L9027" s="549">
        <f t="shared" si="1430"/>
        <v>-0.20992534036012289</v>
      </c>
      <c r="M9027" s="401">
        <f>SUM(C9027,C9003,C8979,C8955,C8931,C8907,C8883)/POBLA!$B$2*100000</f>
        <v>179.14935594018297</v>
      </c>
    </row>
    <row r="9028" spans="1:13" s="360" customFormat="1" x14ac:dyDescent="0.25">
      <c r="A9028" s="367" t="s">
        <v>28</v>
      </c>
      <c r="B9028" s="267">
        <v>44269</v>
      </c>
      <c r="C9028" s="1">
        <v>53</v>
      </c>
      <c r="D9028" s="39">
        <f t="shared" si="1418"/>
        <v>9028</v>
      </c>
      <c r="E9028" s="1"/>
      <c r="F9028" s="39">
        <f t="shared" si="1428"/>
        <v>18</v>
      </c>
      <c r="G9028" s="168">
        <f>SUM(C9028,C9004,C8980,C8956,C8932,C8908,C8884,C8860,C8836,C8812,C8788,C8764,C8740,C8716)/POBLA!$B$3*100000</f>
        <v>275.37201700374061</v>
      </c>
      <c r="H9028" s="256">
        <f t="shared" si="1429"/>
        <v>1.0485792850595783</v>
      </c>
      <c r="I9028" s="297">
        <f t="shared" si="1431"/>
        <v>288.74939271519639</v>
      </c>
      <c r="J9028" s="297">
        <f t="shared" si="1432"/>
        <v>82.285714285714292</v>
      </c>
      <c r="K9028" s="297">
        <f>J9028/POBLA!$B$3*100000</f>
        <v>19.806978246023306</v>
      </c>
      <c r="L9028" s="549">
        <f t="shared" si="1430"/>
        <v>-1.4084507042253502E-2</v>
      </c>
      <c r="M9028" s="401">
        <f>SUM(C9028,C9004,C8980,C8956,C8932,C8908,C8884)/POBLA!$B$3*100000</f>
        <v>138.64884772216311</v>
      </c>
    </row>
    <row r="9029" spans="1:13" s="360" customFormat="1" x14ac:dyDescent="0.25">
      <c r="A9029" s="367" t="s">
        <v>15</v>
      </c>
      <c r="B9029" s="267">
        <v>44269</v>
      </c>
      <c r="C9029" s="1">
        <v>87</v>
      </c>
      <c r="D9029" s="39">
        <f t="shared" si="1418"/>
        <v>35942</v>
      </c>
      <c r="E9029" s="1"/>
      <c r="F9029" s="39">
        <f t="shared" si="1428"/>
        <v>894</v>
      </c>
      <c r="G9029" s="168">
        <f>SUM(C9029,C9005,C8981,C8957,C8933,C8909,C8885,C8861,C8837,C8813,C8789,C8765,C8741,C8717)/POBLA!$B$4*100000</f>
        <v>149.35149571496527</v>
      </c>
      <c r="H9029" s="256">
        <f t="shared" si="1429"/>
        <v>1.0601060695344726</v>
      </c>
      <c r="I9029" s="297">
        <f t="shared" si="1431"/>
        <v>158.32842710148645</v>
      </c>
      <c r="J9029" s="297">
        <f t="shared" si="1432"/>
        <v>125.57142857142857</v>
      </c>
      <c r="K9029" s="297">
        <f>J9029/POBLA!$B$4*100000</f>
        <v>10.42483639589093</v>
      </c>
      <c r="L9029" s="549">
        <f t="shared" si="1430"/>
        <v>4.4565217391304368E-2</v>
      </c>
      <c r="M9029" s="401">
        <f>SUM(C9029,C9005,C8981,C8957,C8933,C8909,C8885)/POBLA!$B$4*100000</f>
        <v>72.973854771236518</v>
      </c>
    </row>
    <row r="9030" spans="1:13" s="360" customFormat="1" x14ac:dyDescent="0.25">
      <c r="A9030" s="367" t="s">
        <v>29</v>
      </c>
      <c r="B9030" s="267">
        <v>44269</v>
      </c>
      <c r="C9030" s="1">
        <v>23</v>
      </c>
      <c r="D9030" s="39">
        <f t="shared" si="1418"/>
        <v>48128</v>
      </c>
      <c r="E9030" s="1"/>
      <c r="F9030" s="39">
        <f t="shared" si="1428"/>
        <v>808</v>
      </c>
      <c r="G9030" s="168">
        <f>SUM(C9030,C9006,C8982,C8958,C8934,C8910,C8886,C8862,C8838,C8814,C8790,C8766,C8742,C8718)/POBLA!$B$5*100000</f>
        <v>199.84038617498717</v>
      </c>
      <c r="H9030" s="256">
        <f t="shared" si="1429"/>
        <v>0.74518072289156623</v>
      </c>
      <c r="I9030" s="297">
        <f t="shared" si="1431"/>
        <v>148.9172034328067</v>
      </c>
      <c r="J9030" s="297">
        <f t="shared" si="1432"/>
        <v>83.428571428571431</v>
      </c>
      <c r="K9030" s="297">
        <f>J9030/POBLA!$B$5*100000</f>
        <v>13.478090486914482</v>
      </c>
      <c r="L9030" s="549">
        <f t="shared" si="1430"/>
        <v>0.10566615620214392</v>
      </c>
      <c r="M9030" s="401">
        <f>SUM(C9030,C9006,C8982,C8958,C8934,C8910,C8886)/POBLA!$B$5*100000</f>
        <v>94.346633408401374</v>
      </c>
    </row>
    <row r="9031" spans="1:13" s="360" customFormat="1" x14ac:dyDescent="0.25">
      <c r="A9031" s="367" t="s">
        <v>30</v>
      </c>
      <c r="B9031" s="267">
        <v>44269</v>
      </c>
      <c r="C9031" s="1">
        <v>121</v>
      </c>
      <c r="D9031" s="39">
        <f t="shared" si="1418"/>
        <v>24960</v>
      </c>
      <c r="E9031" s="1"/>
      <c r="F9031" s="39">
        <f t="shared" si="1428"/>
        <v>306</v>
      </c>
      <c r="G9031" s="168">
        <f>SUM(C9031,C9007,C8983,C8959,C8935,C8911,C8887,C8863,C8839,C8815,C8791,C8767,C8743,C8719)/POBLA!$B$6*100000</f>
        <v>276.9447921620341</v>
      </c>
      <c r="H9031" s="256">
        <f t="shared" si="1429"/>
        <v>1.2381332269644993</v>
      </c>
      <c r="I9031" s="297">
        <f t="shared" si="1431"/>
        <v>342.89454921059189</v>
      </c>
      <c r="J9031" s="297">
        <f t="shared" si="1432"/>
        <v>254.28571428571428</v>
      </c>
      <c r="K9031" s="297">
        <f>J9031/POBLA!$B$6*100000</f>
        <v>22.687855764378714</v>
      </c>
      <c r="L9031" s="549">
        <f t="shared" si="1430"/>
        <v>-0.34441087613293053</v>
      </c>
      <c r="M9031" s="401">
        <f>SUM(C9031,C9007,C8983,C8959,C8935,C8911,C8887)/POBLA!$B$6*100000</f>
        <v>158.81499035065102</v>
      </c>
    </row>
    <row r="9032" spans="1:13" s="360" customFormat="1" x14ac:dyDescent="0.25">
      <c r="A9032" s="367" t="s">
        <v>20</v>
      </c>
      <c r="B9032" s="267">
        <v>44269</v>
      </c>
      <c r="C9032" s="1">
        <v>281</v>
      </c>
      <c r="D9032" s="39">
        <f t="shared" si="1418"/>
        <v>167879</v>
      </c>
      <c r="E9032" s="1">
        <v>2</v>
      </c>
      <c r="F9032" s="39">
        <f t="shared" si="1428"/>
        <v>2918</v>
      </c>
      <c r="G9032" s="168">
        <f>SUM(C9032,C9008,C8984,C8960,C8936,C8912,C8888,C8864,C8840,C8816,C8792,C8768,C8744,C8720)/POBLA!$B$7*100000</f>
        <v>212.76708904519404</v>
      </c>
      <c r="H9032" s="256">
        <f t="shared" si="1429"/>
        <v>1.0214477211796247</v>
      </c>
      <c r="I9032" s="297">
        <f t="shared" si="1431"/>
        <v>217.33045824723573</v>
      </c>
      <c r="J9032" s="297">
        <f t="shared" si="1432"/>
        <v>577</v>
      </c>
      <c r="K9032" s="297">
        <f>J9032/POBLA!$B$7*100000</f>
        <v>15.343908308846016</v>
      </c>
      <c r="L9032" s="549">
        <f t="shared" si="1430"/>
        <v>-1.9434628975264934E-2</v>
      </c>
      <c r="M9032" s="401">
        <f>SUM(C9032,C9008,C8984,C8960,C8936,C8912,C8888)/POBLA!$B$7*100000</f>
        <v>107.40735816192212</v>
      </c>
    </row>
    <row r="9033" spans="1:13" x14ac:dyDescent="0.25">
      <c r="A9033" s="367" t="s">
        <v>31</v>
      </c>
      <c r="B9033" s="267">
        <v>44269</v>
      </c>
      <c r="C9033" s="1">
        <v>62</v>
      </c>
      <c r="D9033" s="39">
        <f t="shared" si="1418"/>
        <v>46872</v>
      </c>
      <c r="F9033" s="39">
        <f t="shared" ref="F9033:F9056" si="1433">E9033+F9009</f>
        <v>898</v>
      </c>
      <c r="G9033" s="168">
        <f>SUM(C9033,C9009,C8985,C8961,C8937,C8913,C8889,C8865,C8841,C8817,C8793,C8769,C8745,C8721)/POBLA!$B$8*100000</f>
        <v>123.01933459888122</v>
      </c>
      <c r="H9033" s="256">
        <f t="shared" si="1429"/>
        <v>1.0518198642813079</v>
      </c>
      <c r="I9033" s="297">
        <f t="shared" si="1431"/>
        <v>129.39417982177204</v>
      </c>
      <c r="J9033" s="297">
        <f t="shared" si="1432"/>
        <v>125.57142857142857</v>
      </c>
      <c r="K9033" s="297">
        <f>J9033/POBLA!$B$8*100000</f>
        <v>9.0602425733067946</v>
      </c>
      <c r="L9033" s="549">
        <f t="shared" si="1430"/>
        <v>-6.4164648910411515E-2</v>
      </c>
      <c r="M9033" s="401">
        <f>SUM(C9033,C9009,C8985,C8961,C8937,C8913,C8889)/POBLA!$B$8*100000</f>
        <v>63.421698013147562</v>
      </c>
    </row>
    <row r="9034" spans="1:13" s="360" customFormat="1" x14ac:dyDescent="0.25">
      <c r="A9034" s="367" t="s">
        <v>41</v>
      </c>
      <c r="B9034" s="267">
        <v>44269</v>
      </c>
      <c r="C9034" s="1">
        <v>45</v>
      </c>
      <c r="D9034" s="39">
        <f t="shared" ref="D9034:D9098" si="1434">C9034+D9010</f>
        <v>1567</v>
      </c>
      <c r="E9034" s="1"/>
      <c r="F9034" s="39">
        <f t="shared" si="1433"/>
        <v>20</v>
      </c>
      <c r="G9034" s="168">
        <f>SUM(C9034,C9010,C8986,C8962,C8938,C8914,C8890,C8866,C8842,C8818,C8794,C8770,C8746,C8722)/POBLA!$B$9*100000</f>
        <v>57.171844353784657</v>
      </c>
      <c r="H9034" s="256">
        <f t="shared" si="1429"/>
        <v>1.3675889328063242</v>
      </c>
      <c r="I9034" s="297">
        <f t="shared" si="1431"/>
        <v>78.187581606361633</v>
      </c>
      <c r="J9034" s="297">
        <f t="shared" si="1432"/>
        <v>28.428571428571427</v>
      </c>
      <c r="K9034" s="297">
        <f>J9034/POBLA!$B$9*100000</f>
        <v>4.6974389043778473</v>
      </c>
      <c r="L9034" s="549">
        <f t="shared" si="1430"/>
        <v>-0.3537414965986394</v>
      </c>
      <c r="M9034" s="401">
        <f>SUM(C9034,C9010,C8986,C8962,C8938,C8914,C8890)/POBLA!$B$9*100000</f>
        <v>32.882072330644938</v>
      </c>
    </row>
    <row r="9035" spans="1:13" s="360" customFormat="1" x14ac:dyDescent="0.25">
      <c r="A9035" s="367" t="s">
        <v>32</v>
      </c>
      <c r="B9035" s="267">
        <v>44269</v>
      </c>
      <c r="C9035" s="1">
        <v>69</v>
      </c>
      <c r="D9035" s="39">
        <f t="shared" si="1434"/>
        <v>21681</v>
      </c>
      <c r="E9035" s="1">
        <v>4</v>
      </c>
      <c r="F9035" s="39">
        <f t="shared" si="1433"/>
        <v>927</v>
      </c>
      <c r="G9035" s="168">
        <f>SUM(C9035,C9011,C8987,C8963,C8939,C8915,C8891,C8867,C8843,C8819,C8795,C8771,C8747,C8723)/POBLA!$B$10*100000</f>
        <v>120.51146675038042</v>
      </c>
      <c r="H9035" s="256">
        <f t="shared" si="1429"/>
        <v>0.94506612410986779</v>
      </c>
      <c r="I9035" s="297">
        <f t="shared" si="1431"/>
        <v>113.89130479257723</v>
      </c>
      <c r="J9035" s="297">
        <f t="shared" si="1432"/>
        <v>60</v>
      </c>
      <c r="K9035" s="297">
        <f>J9035/POBLA!$B$10*100000</f>
        <v>7.7833024811871088</v>
      </c>
      <c r="L9035" s="549">
        <f t="shared" si="1430"/>
        <v>0.174852652259332</v>
      </c>
      <c r="M9035" s="401">
        <f>SUM(C9035,C9011,C8987,C8963,C8939,C8915,C8891)/POBLA!$B$10*100000</f>
        <v>54.48311736830977</v>
      </c>
    </row>
    <row r="9036" spans="1:13" s="360" customFormat="1" x14ac:dyDescent="0.25">
      <c r="A9036" s="367" t="s">
        <v>33</v>
      </c>
      <c r="B9036" s="267">
        <v>44269</v>
      </c>
      <c r="C9036" s="1">
        <v>27</v>
      </c>
      <c r="D9036" s="39">
        <f t="shared" si="1434"/>
        <v>19840</v>
      </c>
      <c r="E9036" s="1"/>
      <c r="F9036" s="39">
        <f t="shared" si="1433"/>
        <v>299</v>
      </c>
      <c r="G9036" s="168">
        <f>SUM(C9036,C9012,C8988,C8964,C8940,C8916,C8892,C8868,C8844,C8820,C8796,C8772,C8748,C8724)/POBLA!$B$11*100000</f>
        <v>320.84546966196837</v>
      </c>
      <c r="H9036" s="256">
        <f t="shared" si="1429"/>
        <v>1.1782786885245902</v>
      </c>
      <c r="I9036" s="297">
        <f t="shared" si="1431"/>
        <v>378.04537921236027</v>
      </c>
      <c r="J9036" s="297">
        <f t="shared" si="1432"/>
        <v>85.571428571428569</v>
      </c>
      <c r="K9036" s="297">
        <f>J9036/POBLA!$B$11*100000</f>
        <v>23.874091469257024</v>
      </c>
      <c r="L9036" s="549">
        <f t="shared" si="1430"/>
        <v>-8.7114337568058087E-2</v>
      </c>
      <c r="M9036" s="401">
        <f>SUM(C9036,C9012,C8988,C8964,C8940,C8916,C8892)/POBLA!$B$11*100000</f>
        <v>167.11864028479917</v>
      </c>
    </row>
    <row r="9037" spans="1:13" s="360" customFormat="1" x14ac:dyDescent="0.25">
      <c r="A9037" s="367" t="s">
        <v>21</v>
      </c>
      <c r="B9037" s="267">
        <v>44269</v>
      </c>
      <c r="C9037" s="1">
        <v>30</v>
      </c>
      <c r="D9037" s="39">
        <f t="shared" si="1434"/>
        <v>10535</v>
      </c>
      <c r="E9037" s="1"/>
      <c r="F9037" s="39">
        <f t="shared" si="1433"/>
        <v>445</v>
      </c>
      <c r="G9037" s="168">
        <f>SUM(C9037,C9013,C8989,C8965,C8941,C8917,C8893,C8869,C8845,C8821,C8797,C8773,C8749,C8725)/POBLA!$B$12*100000</f>
        <v>79.028081650492595</v>
      </c>
      <c r="H9037" s="256">
        <f t="shared" si="1429"/>
        <v>0.82493368700265257</v>
      </c>
      <c r="I9037" s="297">
        <f t="shared" si="1431"/>
        <v>65.192926772687528</v>
      </c>
      <c r="J9037" s="297">
        <f t="shared" si="1432"/>
        <v>24.571428571428573</v>
      </c>
      <c r="K9037" s="297">
        <f>J9037/POBLA!$B$12*100000</f>
        <v>6.2438355736723592</v>
      </c>
      <c r="L9037" s="549">
        <f t="shared" si="1430"/>
        <v>-0.23741007194244612</v>
      </c>
      <c r="M9037" s="401">
        <f>SUM(C9037,C9013,C8989,C8965,C8941,C8917,C8893)/POBLA!$B$12*100000</f>
        <v>43.706849015706517</v>
      </c>
    </row>
    <row r="9038" spans="1:13" s="360" customFormat="1" x14ac:dyDescent="0.25">
      <c r="A9038" s="367" t="s">
        <v>17</v>
      </c>
      <c r="B9038" s="267">
        <v>44269</v>
      </c>
      <c r="C9038" s="1">
        <v>60</v>
      </c>
      <c r="D9038" s="39">
        <f t="shared" si="1434"/>
        <v>69368</v>
      </c>
      <c r="E9038" s="1"/>
      <c r="F9038" s="39">
        <f t="shared" si="1433"/>
        <v>1477</v>
      </c>
      <c r="G9038" s="168">
        <f>SUM(C9038,C9014,C8990,C8966,C8942,C8918,C8894,C8870,C8846,C8822,C8798,C8774,C8750,C8726)/POBLA!$B$13*100000</f>
        <v>107.11748456794777</v>
      </c>
      <c r="H9038" s="256">
        <f t="shared" si="1429"/>
        <v>1.3553719008264462</v>
      </c>
      <c r="I9038" s="297">
        <f t="shared" si="1431"/>
        <v>145.18402867060689</v>
      </c>
      <c r="J9038" s="297">
        <f t="shared" si="1432"/>
        <v>163</v>
      </c>
      <c r="K9038" s="297">
        <f>J9038/POBLA!$B$13*100000</f>
        <v>8.1895637826339041</v>
      </c>
      <c r="L9038" s="549">
        <f t="shared" si="1430"/>
        <v>-0.15136226034308775</v>
      </c>
      <c r="M9038" s="401">
        <f>SUM(C9038,C9014,C8990,C8966,C8942,C8918,C8894)/POBLA!$B$13*100000</f>
        <v>57.326946478437328</v>
      </c>
    </row>
    <row r="9039" spans="1:13" s="360" customFormat="1" x14ac:dyDescent="0.25">
      <c r="A9039" s="367" t="s">
        <v>23</v>
      </c>
      <c r="B9039" s="267">
        <v>44269</v>
      </c>
      <c r="C9039" s="1">
        <v>122</v>
      </c>
      <c r="D9039" s="39">
        <f t="shared" si="1434"/>
        <v>9970</v>
      </c>
      <c r="E9039" s="1"/>
      <c r="F9039" s="39">
        <f t="shared" si="1433"/>
        <v>168</v>
      </c>
      <c r="G9039" s="168">
        <f>SUM(C9039,C9015,C8991,C8967,C8943,C8919,C8895,C8871,C8847,C8823,C8799,C8775,C8751,C8727)/POBLA!$B$14*100000</f>
        <v>134.46508109925202</v>
      </c>
      <c r="H9039" s="256">
        <f t="shared" si="1429"/>
        <v>1.1027308192457737</v>
      </c>
      <c r="I9039" s="297">
        <f t="shared" si="1431"/>
        <v>148.27878904052758</v>
      </c>
      <c r="J9039" s="297">
        <f t="shared" si="1432"/>
        <v>121.14285714285714</v>
      </c>
      <c r="K9039" s="297">
        <f>J9039/POBLA!$B$14*100000</f>
        <v>9.604648649946574</v>
      </c>
      <c r="L9039" s="549">
        <f t="shared" si="1430"/>
        <v>0</v>
      </c>
      <c r="M9039" s="401">
        <f>SUM(C9039,C9015,C8991,C8967,C8943,C8919,C8895)/POBLA!$B$14*100000</f>
        <v>67.232540549626009</v>
      </c>
    </row>
    <row r="9040" spans="1:13" s="360" customFormat="1" x14ac:dyDescent="0.25">
      <c r="A9040" s="367" t="s">
        <v>19</v>
      </c>
      <c r="B9040" s="267">
        <v>44269</v>
      </c>
      <c r="C9040" s="1">
        <v>72</v>
      </c>
      <c r="D9040" s="39">
        <f t="shared" si="1434"/>
        <v>63212</v>
      </c>
      <c r="E9040" s="1"/>
      <c r="F9040" s="39">
        <f t="shared" si="1433"/>
        <v>955</v>
      </c>
      <c r="G9040" s="168">
        <f>SUM(C9040,C9016,C8992,C8968,C8944,C8920,C8896,C8872,C8848,C8824,C8800,C8776,C8752,C8728)/POBLA!$B$15*100000</f>
        <v>306.60018642977934</v>
      </c>
      <c r="H9040" s="256">
        <f t="shared" si="1429"/>
        <v>0.81018702745722249</v>
      </c>
      <c r="I9040" s="297">
        <f t="shared" si="1431"/>
        <v>248.40349366137318</v>
      </c>
      <c r="J9040" s="297">
        <f t="shared" si="1432"/>
        <v>131</v>
      </c>
      <c r="K9040" s="297">
        <f>J9040/POBLA!$B$15*100000</f>
        <v>19.727222211346312</v>
      </c>
      <c r="L9040" s="549">
        <f t="shared" si="1430"/>
        <v>0.18051831992850764</v>
      </c>
      <c r="M9040" s="401">
        <f>SUM(C9040,C9016,C8992,C8968,C8944,C8920,C8896)/POBLA!$B$15*100000</f>
        <v>138.09055547942421</v>
      </c>
    </row>
    <row r="9041" spans="1:13" s="360" customFormat="1" x14ac:dyDescent="0.25">
      <c r="A9041" s="367" t="s">
        <v>18</v>
      </c>
      <c r="B9041" s="267">
        <v>44269</v>
      </c>
      <c r="C9041" s="1">
        <v>37</v>
      </c>
      <c r="D9041" s="39">
        <f t="shared" si="1434"/>
        <v>53787</v>
      </c>
      <c r="E9041" s="1"/>
      <c r="F9041" s="39">
        <f t="shared" si="1433"/>
        <v>1237</v>
      </c>
      <c r="G9041" s="168">
        <f>SUM(C9041,C9017,C8993,C8969,C8945,C8921,C8897,C8873,C8849,C8825,C8801,C8777,C8753,C8729)/POBLA!$B$16*100000</f>
        <v>195.42274715426493</v>
      </c>
      <c r="H9041" s="256">
        <f t="shared" si="1429"/>
        <v>0.84499710815500284</v>
      </c>
      <c r="I9041" s="297">
        <f t="shared" si="1431"/>
        <v>165.13165621306018</v>
      </c>
      <c r="J9041" s="297">
        <f t="shared" si="1432"/>
        <v>95.857142857142861</v>
      </c>
      <c r="K9041" s="297">
        <f>J9041/POBLA!$B$16*100000</f>
        <v>12.821811219371446</v>
      </c>
      <c r="L9041" s="549">
        <f t="shared" si="1430"/>
        <v>0.15063291139240509</v>
      </c>
      <c r="M9041" s="401">
        <f>SUM(C9041,C9017,C8993,C8969,C8945,C8921,C8897)/POBLA!$B$16*100000</f>
        <v>89.752678535600111</v>
      </c>
    </row>
    <row r="9042" spans="1:13" s="360" customFormat="1" x14ac:dyDescent="0.25">
      <c r="A9042" s="367" t="s">
        <v>34</v>
      </c>
      <c r="B9042" s="267">
        <v>44269</v>
      </c>
      <c r="C9042" s="1">
        <v>35</v>
      </c>
      <c r="D9042" s="39">
        <f t="shared" si="1434"/>
        <v>27627</v>
      </c>
      <c r="E9042" s="1">
        <v>2</v>
      </c>
      <c r="F9042" s="39">
        <f t="shared" si="1433"/>
        <v>1142</v>
      </c>
      <c r="G9042" s="168">
        <f>SUM(C9042,C9018,C8994,C8970,C8946,C8922,C8898,C8874,C8850,C8826,C8802,C8778,C8754,C8730)/POBLA!$B$17*100000</f>
        <v>104.3248476372809</v>
      </c>
      <c r="H9042" s="256">
        <f t="shared" si="1429"/>
        <v>1.1395705521472392</v>
      </c>
      <c r="I9042" s="297">
        <f t="shared" si="1431"/>
        <v>118.8855242246928</v>
      </c>
      <c r="J9042" s="297">
        <f t="shared" si="1432"/>
        <v>109.42857142857143</v>
      </c>
      <c r="K9042" s="297">
        <f>J9042/POBLA!$B$17*100000</f>
        <v>7.6824488838835965</v>
      </c>
      <c r="L9042" s="549">
        <f t="shared" si="1430"/>
        <v>-6.3888888888888884E-2</v>
      </c>
      <c r="M9042" s="401">
        <f>SUM(C9042,C9018,C8994,C8970,C8946,C8922,C8898)/POBLA!$B$17*100000</f>
        <v>53.77714218718517</v>
      </c>
    </row>
    <row r="9043" spans="1:13" s="360" customFormat="1" x14ac:dyDescent="0.25">
      <c r="A9043" s="367" t="s">
        <v>35</v>
      </c>
      <c r="B9043" s="267">
        <v>44269</v>
      </c>
      <c r="C9043" s="1">
        <v>4</v>
      </c>
      <c r="D9043" s="39">
        <f t="shared" si="1434"/>
        <v>15874</v>
      </c>
      <c r="E9043" s="1"/>
      <c r="F9043" s="39">
        <f t="shared" si="1433"/>
        <v>217</v>
      </c>
      <c r="G9043" s="168">
        <f>SUM(C9043,C9019,C8995,C8971,C8947,C8923,C8899,C8875,C8851,C8827,C8803,C8779,C8755,C8731)/POBLA!$B$18*100000</f>
        <v>80.643406377485391</v>
      </c>
      <c r="H9043" s="256">
        <f t="shared" si="1429"/>
        <v>0.99526066350710896</v>
      </c>
      <c r="I9043" s="297">
        <f t="shared" si="1431"/>
        <v>80.261210138729538</v>
      </c>
      <c r="J9043" s="297">
        <f t="shared" si="1432"/>
        <v>48.571428571428569</v>
      </c>
      <c r="K9043" s="297">
        <f>J9043/POBLA!$B$18*100000</f>
        <v>6.2174054803503473</v>
      </c>
      <c r="L9043" s="549">
        <f t="shared" si="1430"/>
        <v>-0.17241379310344818</v>
      </c>
      <c r="M9043" s="401">
        <f>SUM(C9043,C9019,C8995,C8971,C8947,C8923,C8899)/POBLA!$B$18*100000</f>
        <v>43.521838362452428</v>
      </c>
    </row>
    <row r="9044" spans="1:13" s="360" customFormat="1" x14ac:dyDescent="0.25">
      <c r="A9044" s="367" t="s">
        <v>36</v>
      </c>
      <c r="B9044" s="267">
        <v>44269</v>
      </c>
      <c r="C9044" s="1">
        <v>2</v>
      </c>
      <c r="D9044" s="39">
        <f t="shared" si="1434"/>
        <v>21518</v>
      </c>
      <c r="E9044" s="1"/>
      <c r="F9044" s="39">
        <f t="shared" si="1433"/>
        <v>361</v>
      </c>
      <c r="G9044" s="168">
        <f>SUM(C9044,C9020,C8996,C8972,C8948,C8924,C8900,C8876,C8852,C8828,C8804,C8780,C8756,C8732)/POBLA!$B$19*100000</f>
        <v>146.55891471648226</v>
      </c>
      <c r="H9044" s="256">
        <f t="shared" si="1429"/>
        <v>1.0673352435530086</v>
      </c>
      <c r="I9044" s="297">
        <f t="shared" si="1431"/>
        <v>156.42749493378122</v>
      </c>
      <c r="J9044" s="297">
        <f t="shared" si="1432"/>
        <v>102.28571428571429</v>
      </c>
      <c r="K9044" s="297">
        <f>J9044/POBLA!$B$19*100000</f>
        <v>20.12199097545567</v>
      </c>
      <c r="L9044" s="549">
        <f t="shared" si="1430"/>
        <v>-23.689655172413794</v>
      </c>
      <c r="M9044" s="401">
        <f>SUM(C9044,C9020,C8996,C8972,C8948,C8924,C8900)/POBLA!$B$19*100000</f>
        <v>140.85393682818969</v>
      </c>
    </row>
    <row r="9045" spans="1:13" s="360" customFormat="1" x14ac:dyDescent="0.25">
      <c r="A9045" s="367" t="s">
        <v>37</v>
      </c>
      <c r="B9045" s="267">
        <v>44269</v>
      </c>
      <c r="C9045" s="1">
        <v>61</v>
      </c>
      <c r="D9045" s="39">
        <f t="shared" si="1434"/>
        <v>37385</v>
      </c>
      <c r="E9045" s="1">
        <v>1</v>
      </c>
      <c r="F9045" s="39">
        <f t="shared" si="1433"/>
        <v>611</v>
      </c>
      <c r="G9045" s="168">
        <f>SUM(C9045,C9021,C8997,C8973,C8949,C8925,C8901,C8877,C8853,C8829,C8805,C8781,C8757,C8733)/POBLA!$B$20*100000</f>
        <v>397.59583043932423</v>
      </c>
      <c r="H9045" s="256">
        <f t="shared" si="1429"/>
        <v>1.043041606886657</v>
      </c>
      <c r="I9045" s="297">
        <f t="shared" si="1431"/>
        <v>414.70899387286755</v>
      </c>
      <c r="J9045" s="297">
        <f t="shared" si="1432"/>
        <v>103.14285714285714</v>
      </c>
      <c r="K9045" s="297">
        <f>J9045/POBLA!$B$20*100000</f>
        <v>28.204380976340353</v>
      </c>
      <c r="L9045" s="549">
        <f t="shared" si="1430"/>
        <v>1.3661202185792365E-2</v>
      </c>
      <c r="M9045" s="401">
        <f>SUM(C9045,C9021,C8997,C8973,C8949,C8925,C8901)/POBLA!$B$20*100000</f>
        <v>197.43066683438246</v>
      </c>
    </row>
    <row r="9046" spans="1:13" s="360" customFormat="1" x14ac:dyDescent="0.25">
      <c r="A9046" s="367" t="s">
        <v>22</v>
      </c>
      <c r="B9046" s="267">
        <v>44269</v>
      </c>
      <c r="C9046" s="1">
        <v>190</v>
      </c>
      <c r="D9046" s="39">
        <f t="shared" si="1434"/>
        <v>222314</v>
      </c>
      <c r="E9046" s="1"/>
      <c r="F9046" s="39">
        <f t="shared" si="1433"/>
        <v>4105</v>
      </c>
      <c r="G9046" s="168">
        <f>SUM(C9046,C9022,C8998,C8974,C8950,C8926,C8902,C8878,C8854,C8830,C8806,C8782,C8758,C8734)/POBLA!$B$21*100000</f>
        <v>165.39334433881967</v>
      </c>
      <c r="H9046" s="256">
        <f t="shared" si="1429"/>
        <v>1.2860598065083553</v>
      </c>
      <c r="I9046" s="297">
        <f t="shared" si="1431"/>
        <v>212.70573241815219</v>
      </c>
      <c r="J9046" s="297">
        <f t="shared" si="1432"/>
        <v>435.85714285714283</v>
      </c>
      <c r="K9046" s="297">
        <f>J9046/POBLA!$B$21*100000</f>
        <v>12.32481971467012</v>
      </c>
      <c r="L9046" s="549">
        <f t="shared" si="1430"/>
        <v>-9.0421729807004914E-2</v>
      </c>
      <c r="M9046" s="401">
        <f>SUM(C9046,C9022,C8998,C8974,C8950,C8926,C8902)/POBLA!$B$21*100000</f>
        <v>86.273738002690862</v>
      </c>
    </row>
    <row r="9047" spans="1:13" s="360" customFormat="1" x14ac:dyDescent="0.25">
      <c r="A9047" s="367" t="s">
        <v>38</v>
      </c>
      <c r="B9047" s="267">
        <v>44269</v>
      </c>
      <c r="C9047" s="1">
        <v>78</v>
      </c>
      <c r="D9047" s="39">
        <f t="shared" si="1434"/>
        <v>23460</v>
      </c>
      <c r="E9047" s="1"/>
      <c r="F9047" s="39">
        <f t="shared" si="1433"/>
        <v>276</v>
      </c>
      <c r="G9047" s="168">
        <f>SUM(C9047,C9023,C8999,C8975,C8951,C8927,C8903,C8879,C8855,C8831,C8807,C8783,C8759,C8735)/POBLA!$B$22*100000</f>
        <v>81.977853713484336</v>
      </c>
      <c r="H9047" s="256">
        <f t="shared" si="1429"/>
        <v>1.0075376884422111</v>
      </c>
      <c r="I9047" s="297">
        <f t="shared" si="1431"/>
        <v>82.595777233937739</v>
      </c>
      <c r="J9047" s="297">
        <f t="shared" si="1432"/>
        <v>60.142857142857146</v>
      </c>
      <c r="K9047" s="297">
        <f>J9047/POBLA!$B$22*100000</f>
        <v>6.1476089086884418</v>
      </c>
      <c r="L9047" s="549">
        <f t="shared" si="1430"/>
        <v>-0.10498687664042006</v>
      </c>
      <c r="M9047" s="401">
        <f>SUM(C9047,C9023,C8999,C8975,C8951,C8927,C8903)/POBLA!$B$22*100000</f>
        <v>43.03326236081908</v>
      </c>
    </row>
    <row r="9048" spans="1:13" s="360" customFormat="1" x14ac:dyDescent="0.25">
      <c r="A9048" s="367" t="s">
        <v>39</v>
      </c>
      <c r="B9048" s="267">
        <v>44269</v>
      </c>
      <c r="C9048" s="1">
        <v>34</v>
      </c>
      <c r="D9048" s="39">
        <f t="shared" si="1434"/>
        <v>23363</v>
      </c>
      <c r="E9048" s="1"/>
      <c r="F9048" s="39">
        <f t="shared" si="1433"/>
        <v>358</v>
      </c>
      <c r="G9048" s="168">
        <f>SUM(C9048,C9024,C9000,C8976,C8952,C8928,C8904,C8880,C8856,C8832,C8808,C8784,C8760,C8736)/POBLA!$B$23*100000</f>
        <v>239.77831815868348</v>
      </c>
      <c r="H9048" s="256">
        <f t="shared" si="1429"/>
        <v>0.87422680412371134</v>
      </c>
      <c r="I9048" s="297">
        <f t="shared" si="1431"/>
        <v>209.62063278202433</v>
      </c>
      <c r="J9048" s="297">
        <f t="shared" si="1432"/>
        <v>26.714285714285715</v>
      </c>
      <c r="K9048" s="297">
        <f>J9048/POBLA!$B$23*100000</f>
        <v>15.107326649485787</v>
      </c>
      <c r="L9048" s="549">
        <f t="shared" si="1430"/>
        <v>0.21097046413502107</v>
      </c>
      <c r="M9048" s="401">
        <f>SUM(C9048,C9024,C9000,C8976,C8952,C8928,C8904)/POBLA!$B$23*100000</f>
        <v>105.75128654640049</v>
      </c>
    </row>
    <row r="9049" spans="1:13" s="360" customFormat="1" ht="15.75" thickBot="1" x14ac:dyDescent="0.3">
      <c r="A9049" s="369" t="s">
        <v>40</v>
      </c>
      <c r="B9049" s="267">
        <v>44269</v>
      </c>
      <c r="C9049" s="1">
        <v>109</v>
      </c>
      <c r="D9049" s="176">
        <f t="shared" si="1434"/>
        <v>82156</v>
      </c>
      <c r="E9049" s="1"/>
      <c r="F9049" s="176">
        <f t="shared" si="1433"/>
        <v>1491</v>
      </c>
      <c r="G9049" s="177">
        <f>SUM(C9049,C9025,C9001,C8977,C8953,C8929,C8905,C8881,C8857,C8833,C8809,C8785,C8761,C8737)/POBLA!$B$24*100000</f>
        <v>139.20229238264284</v>
      </c>
      <c r="H9049" s="402">
        <f t="shared" si="1429"/>
        <v>1.3868312757201646</v>
      </c>
      <c r="I9049" s="403">
        <f t="shared" si="1431"/>
        <v>193.05009272819191</v>
      </c>
      <c r="J9049" s="403">
        <f t="shared" si="1432"/>
        <v>190.14285714285714</v>
      </c>
      <c r="K9049" s="403">
        <f>J9049/POBLA!$B$24*100000</f>
        <v>11.22014480477791</v>
      </c>
      <c r="L9049" s="550">
        <f t="shared" si="1430"/>
        <v>-0.29474708171206232</v>
      </c>
      <c r="M9049" s="405">
        <f>SUM(C9049,C9025,C9001,C8977,C8953,C8929,C8905)/POBLA!$B$24*100000</f>
        <v>78.541013633445374</v>
      </c>
    </row>
    <row r="9050" spans="1:13" s="360" customFormat="1" x14ac:dyDescent="0.25">
      <c r="A9050" s="363" t="s">
        <v>16</v>
      </c>
      <c r="B9050" s="267">
        <v>44270</v>
      </c>
      <c r="C9050" s="1">
        <v>2610</v>
      </c>
      <c r="D9050" s="174">
        <f t="shared" si="1434"/>
        <v>919910</v>
      </c>
      <c r="E9050" s="1">
        <v>105</v>
      </c>
      <c r="F9050" s="174">
        <f t="shared" si="1433"/>
        <v>27152</v>
      </c>
      <c r="G9050" s="175">
        <f>SUM(C9050,C9026,C9002,C8978,C8954,C8930,C8906,C8882,C8858,C8834,C8810,C8786,C8762,C8738)/POBLA!$B$1*100000</f>
        <v>217.19795764711088</v>
      </c>
      <c r="H9050" s="300">
        <f t="shared" ref="H9050:H9073" si="1435">SUM(C9050,C9026,C9002,C8978,C8954,C8930,C8906,C8882,C8858,C8834,C8810,C8786,C8762,C8738)/SUM(C8714,C8690,C8666,C8642,C8618,C8594,C8570,C8546,C8522,C8498,C8474,C8450,C8426,C8402)</f>
        <v>1.0934477513417329</v>
      </c>
      <c r="I9050" s="301">
        <f>G9050*H9050</f>
        <v>237.49461838525033</v>
      </c>
      <c r="J9050" s="301">
        <f>AVERAGE(C9050,C9026,C9002,C8978,C8954,C8930,C8906)</f>
        <v>2851</v>
      </c>
      <c r="K9050" s="301">
        <f>J9050/POBLA!$B$1*100000</f>
        <v>16.253218647521276</v>
      </c>
      <c r="L9050" s="548">
        <f t="shared" ref="L9050:L9073" si="1436">1-SUM(C9050,C9026,C9002,C8978,C8954,C8930,C8906)/SUM(C8882,C8858,C8834,C8810,C8786,C8762,C8738)</f>
        <v>-0.10004409657149149</v>
      </c>
      <c r="M9050" s="400">
        <f>SUM(C9050,C9026,C9002,C8978,C8954,C8930,C8906)/POBLA!$B$1*100000</f>
        <v>113.77253053264894</v>
      </c>
    </row>
    <row r="9051" spans="1:13" s="360" customFormat="1" x14ac:dyDescent="0.25">
      <c r="A9051" s="367" t="s">
        <v>43</v>
      </c>
      <c r="B9051" s="267">
        <v>44270</v>
      </c>
      <c r="C9051" s="1">
        <v>1086</v>
      </c>
      <c r="D9051" s="39">
        <f t="shared" si="1434"/>
        <v>243042</v>
      </c>
      <c r="E9051" s="1">
        <v>9</v>
      </c>
      <c r="F9051" s="39">
        <f t="shared" si="1433"/>
        <v>6702</v>
      </c>
      <c r="G9051" s="168">
        <f>SUM(C9051,C9027,C9003,C8979,C8955,C8931,C8907,C8883,C8859,C8835,C8811,C8787,C8763,C8739)/POBLA!$B$2*100000</f>
        <v>348.47963647311815</v>
      </c>
      <c r="H9051" s="256">
        <f t="shared" si="1435"/>
        <v>1.1414270500532482</v>
      </c>
      <c r="I9051" s="297">
        <f t="shared" ref="I9051:I9073" si="1437">G9051*H9051</f>
        <v>397.76408346313957</v>
      </c>
      <c r="J9051" s="297">
        <f t="shared" ref="J9051:J9073" si="1438">AVERAGE(C9051,C9027,C9003,C8979,C8955,C8931,C8907)</f>
        <v>843.28571428571433</v>
      </c>
      <c r="K9051" s="297">
        <f>J9051/POBLA!$B$2*100000</f>
        <v>27.418165623927926</v>
      </c>
      <c r="L9051" s="549">
        <f t="shared" si="1436"/>
        <v>-0.22596053997923149</v>
      </c>
      <c r="M9051" s="401">
        <f>SUM(C9051,C9027,C9003,C8979,C8955,C8931,C8907)/POBLA!$B$2*100000</f>
        <v>191.92715936749548</v>
      </c>
    </row>
    <row r="9052" spans="1:13" s="360" customFormat="1" x14ac:dyDescent="0.25">
      <c r="A9052" s="367" t="s">
        <v>28</v>
      </c>
      <c r="B9052" s="267">
        <v>44270</v>
      </c>
      <c r="C9052" s="1">
        <v>91</v>
      </c>
      <c r="D9052" s="39">
        <f t="shared" si="1434"/>
        <v>9119</v>
      </c>
      <c r="E9052" s="1"/>
      <c r="F9052" s="39">
        <f t="shared" si="1433"/>
        <v>18</v>
      </c>
      <c r="G9052" s="168">
        <f>SUM(C9052,C9028,C9004,C8980,C8956,C8932,C8908,C8884,C8860,C8836,C8812,C8788,C8764,C8740)/POBLA!$B$3*100000</f>
        <v>260.20729928412902</v>
      </c>
      <c r="H9052" s="256">
        <f t="shared" si="1435"/>
        <v>0.93189655172413788</v>
      </c>
      <c r="I9052" s="297">
        <f t="shared" si="1437"/>
        <v>242.48628493633058</v>
      </c>
      <c r="J9052" s="297">
        <f t="shared" si="1438"/>
        <v>84.571428571428569</v>
      </c>
      <c r="K9052" s="297">
        <f>J9052/POBLA!$B$3*100000</f>
        <v>20.357172086190616</v>
      </c>
      <c r="L9052" s="549">
        <f t="shared" si="1436"/>
        <v>-0.21063394683026582</v>
      </c>
      <c r="M9052" s="401">
        <f>SUM(C9052,C9028,C9004,C8980,C8956,C8932,C8908)/POBLA!$B$3*100000</f>
        <v>142.50020460333431</v>
      </c>
    </row>
    <row r="9053" spans="1:13" s="360" customFormat="1" x14ac:dyDescent="0.25">
      <c r="A9053" s="367" t="s">
        <v>15</v>
      </c>
      <c r="B9053" s="267">
        <v>44270</v>
      </c>
      <c r="C9053" s="1">
        <v>120</v>
      </c>
      <c r="D9053" s="39">
        <f t="shared" si="1434"/>
        <v>36062</v>
      </c>
      <c r="E9053" s="1">
        <v>1</v>
      </c>
      <c r="F9053" s="39">
        <f t="shared" si="1433"/>
        <v>895</v>
      </c>
      <c r="G9053" s="168">
        <f>SUM(C9053,C9029,C9005,C8981,C8957,C8933,C8909,C8885,C8861,C8837,C8813,C8789,C8765,C8741)/POBLA!$B$4*100000</f>
        <v>153.17037776215173</v>
      </c>
      <c r="H9053" s="256">
        <f t="shared" si="1435"/>
        <v>1.0802107728337236</v>
      </c>
      <c r="I9053" s="297">
        <f t="shared" si="1437"/>
        <v>165.45629213768731</v>
      </c>
      <c r="J9053" s="297">
        <f t="shared" si="1438"/>
        <v>125.71428571428571</v>
      </c>
      <c r="K9053" s="297">
        <f>J9053/POBLA!$B$4*100000</f>
        <v>10.436696278025048</v>
      </c>
      <c r="L9053" s="549">
        <f t="shared" si="1436"/>
        <v>8.8082901554404125E-2</v>
      </c>
      <c r="M9053" s="401">
        <f>SUM(C9053,C9029,C9005,C8981,C8957,C8933,C8909)/POBLA!$B$4*100000</f>
        <v>73.056873946175344</v>
      </c>
    </row>
    <row r="9054" spans="1:13" s="360" customFormat="1" x14ac:dyDescent="0.25">
      <c r="A9054" s="367" t="s">
        <v>29</v>
      </c>
      <c r="B9054" s="267">
        <v>44270</v>
      </c>
      <c r="C9054" s="1">
        <v>123</v>
      </c>
      <c r="D9054" s="39">
        <f t="shared" si="1434"/>
        <v>48251</v>
      </c>
      <c r="E9054" s="1">
        <v>3</v>
      </c>
      <c r="F9054" s="39">
        <f t="shared" si="1433"/>
        <v>811</v>
      </c>
      <c r="G9054" s="168">
        <f>SUM(C9054,C9030,C9006,C8982,C8958,C8934,C8910,C8886,C8862,C8838,C8814,C8790,C8766,C8742)/POBLA!$B$5*100000</f>
        <v>200.80970090178579</v>
      </c>
      <c r="H9054" s="256">
        <f t="shared" si="1435"/>
        <v>0.72435897435897434</v>
      </c>
      <c r="I9054" s="297">
        <f t="shared" si="1437"/>
        <v>145.45830898654995</v>
      </c>
      <c r="J9054" s="297">
        <f t="shared" si="1438"/>
        <v>91.142857142857139</v>
      </c>
      <c r="K9054" s="297">
        <f>J9054/POBLA!$B$5*100000</f>
        <v>14.72435227851274</v>
      </c>
      <c r="L9054" s="549">
        <f t="shared" si="1436"/>
        <v>-5.4545454545454453E-2</v>
      </c>
      <c r="M9054" s="401">
        <f>SUM(C9054,C9030,C9006,C8982,C8958,C8934,C8910)/POBLA!$B$5*100000</f>
        <v>103.07046594958916</v>
      </c>
    </row>
    <row r="9055" spans="1:13" s="360" customFormat="1" x14ac:dyDescent="0.25">
      <c r="A9055" s="367" t="s">
        <v>30</v>
      </c>
      <c r="B9055" s="267">
        <v>44270</v>
      </c>
      <c r="C9055" s="1">
        <v>69</v>
      </c>
      <c r="D9055" s="39">
        <f t="shared" si="1434"/>
        <v>25029</v>
      </c>
      <c r="E9055" s="1"/>
      <c r="F9055" s="39">
        <f t="shared" si="1433"/>
        <v>306</v>
      </c>
      <c r="G9055" s="168">
        <f>SUM(C9055,C9031,C9007,C8983,C8959,C8935,C8911,C8887,C8863,C8839,C8815,C8791,C8767,C8743)/POBLA!$B$6*100000</f>
        <v>274.80346644944109</v>
      </c>
      <c r="H9055" s="256">
        <f t="shared" si="1435"/>
        <v>1.337386018237082</v>
      </c>
      <c r="I9055" s="297">
        <f t="shared" si="1437"/>
        <v>367.51831379256561</v>
      </c>
      <c r="J9055" s="297">
        <f t="shared" si="1438"/>
        <v>235.85714285714286</v>
      </c>
      <c r="K9055" s="297">
        <f>J9055/POBLA!$B$6*100000</f>
        <v>21.043623520780482</v>
      </c>
      <c r="L9055" s="549">
        <f t="shared" si="1436"/>
        <v>-0.15535339398180548</v>
      </c>
      <c r="M9055" s="401">
        <f>SUM(C9055,C9031,C9007,C8983,C8959,C8935,C8911)/POBLA!$B$6*100000</f>
        <v>147.30536464546338</v>
      </c>
    </row>
    <row r="9056" spans="1:13" s="360" customFormat="1" x14ac:dyDescent="0.25">
      <c r="A9056" s="367" t="s">
        <v>20</v>
      </c>
      <c r="B9056" s="267">
        <v>44270</v>
      </c>
      <c r="C9056" s="1">
        <v>383</v>
      </c>
      <c r="D9056" s="39">
        <f t="shared" si="1434"/>
        <v>168262</v>
      </c>
      <c r="E9056" s="1">
        <v>6</v>
      </c>
      <c r="F9056" s="39">
        <f t="shared" si="1433"/>
        <v>2924</v>
      </c>
      <c r="G9056" s="168">
        <f>SUM(C9056,C9032,C9008,C8984,C8960,C8936,C8912,C8888,C8864,C8840,C8816,C8792,C8768,C8744)/POBLA!$B$7*100000</f>
        <v>212.50116342459015</v>
      </c>
      <c r="H9056" s="256">
        <f t="shared" si="1435"/>
        <v>0.98642142945315392</v>
      </c>
      <c r="I9056" s="297">
        <f t="shared" si="1437"/>
        <v>209.61570138574248</v>
      </c>
      <c r="J9056" s="297">
        <f t="shared" si="1438"/>
        <v>561.42857142857144</v>
      </c>
      <c r="K9056" s="297">
        <f>J9056/POBLA!$B$7*100000</f>
        <v>14.929824128191344</v>
      </c>
      <c r="L9056" s="549">
        <f t="shared" si="1436"/>
        <v>3.2258064516129004E-2</v>
      </c>
      <c r="M9056" s="401">
        <f>SUM(C9056,C9032,C9008,C8984,C8960,C8936,C8912)/POBLA!$B$7*100000</f>
        <v>104.50876889733941</v>
      </c>
    </row>
    <row r="9057" spans="1:13" x14ac:dyDescent="0.25">
      <c r="A9057" s="367" t="s">
        <v>31</v>
      </c>
      <c r="B9057" s="267">
        <v>44270</v>
      </c>
      <c r="C9057" s="1">
        <v>121</v>
      </c>
      <c r="D9057" s="39">
        <f t="shared" si="1434"/>
        <v>46993</v>
      </c>
      <c r="E9057" s="1">
        <v>7</v>
      </c>
      <c r="F9057" s="39">
        <f t="shared" ref="F9057:F9080" si="1439">E9057+F9033</f>
        <v>905</v>
      </c>
      <c r="G9057" s="168">
        <f>SUM(C9057,C9033,C9009,C8985,C8961,C8937,C8913,C8889,C8865,C8841,C8817,C8793,C8769,C8745)/POBLA!$B$8*100000</f>
        <v>125.11174556859827</v>
      </c>
      <c r="H9057" s="256">
        <f t="shared" si="1435"/>
        <v>1.0321428571428573</v>
      </c>
      <c r="I9057" s="297">
        <f t="shared" si="1437"/>
        <v>129.13319453330323</v>
      </c>
      <c r="J9057" s="297">
        <f t="shared" si="1438"/>
        <v>130.71428571428572</v>
      </c>
      <c r="K9057" s="297">
        <f>J9057/POBLA!$B$8*100000</f>
        <v>9.4313105285275505</v>
      </c>
      <c r="L9057" s="549">
        <f t="shared" si="1436"/>
        <v>-0.11721611721611724</v>
      </c>
      <c r="M9057" s="401">
        <f>SUM(C9057,C9033,C9009,C8985,C8961,C8937,C8913)/POBLA!$B$8*100000</f>
        <v>66.019173699692857</v>
      </c>
    </row>
    <row r="9058" spans="1:13" s="360" customFormat="1" x14ac:dyDescent="0.25">
      <c r="A9058" s="367" t="s">
        <v>41</v>
      </c>
      <c r="B9058" s="267">
        <v>44270</v>
      </c>
      <c r="C9058" s="1">
        <v>32</v>
      </c>
      <c r="D9058" s="39">
        <f t="shared" si="1434"/>
        <v>1599</v>
      </c>
      <c r="E9058" s="1"/>
      <c r="F9058" s="39">
        <f t="shared" si="1439"/>
        <v>20</v>
      </c>
      <c r="G9058" s="168">
        <f>SUM(C9058,C9034,C9010,C8986,C8962,C8938,C8914,C8890,C8866,C8842,C8818,C8794,C8770,C8746)/POBLA!$B$9*100000</f>
        <v>58.824209797535666</v>
      </c>
      <c r="H9058" s="256">
        <f t="shared" si="1435"/>
        <v>1.3234200743494424</v>
      </c>
      <c r="I9058" s="297">
        <f t="shared" si="1437"/>
        <v>77.849140103801844</v>
      </c>
      <c r="J9058" s="297">
        <f t="shared" si="1438"/>
        <v>29.571428571428573</v>
      </c>
      <c r="K9058" s="297">
        <f>J9058/POBLA!$B$9*100000</f>
        <v>4.886280669377963</v>
      </c>
      <c r="L9058" s="549">
        <f t="shared" si="1436"/>
        <v>-0.38926174496644306</v>
      </c>
      <c r="M9058" s="401">
        <f>SUM(C9058,C9034,C9010,C8986,C8962,C8938,C8914)/POBLA!$B$9*100000</f>
        <v>34.203964685645737</v>
      </c>
    </row>
    <row r="9059" spans="1:13" s="360" customFormat="1" x14ac:dyDescent="0.25">
      <c r="A9059" s="367" t="s">
        <v>32</v>
      </c>
      <c r="B9059" s="267">
        <v>44270</v>
      </c>
      <c r="C9059" s="1">
        <v>28</v>
      </c>
      <c r="D9059" s="39">
        <f t="shared" si="1434"/>
        <v>21709</v>
      </c>
      <c r="E9059" s="1">
        <v>4</v>
      </c>
      <c r="F9059" s="39">
        <f t="shared" si="1439"/>
        <v>931</v>
      </c>
      <c r="G9059" s="168">
        <f>SUM(C9059,C9035,C9011,C8987,C8963,C8939,C8915,C8891,C8867,C8843,C8819,C8795,C8771,C8747)/POBLA!$B$10*100000</f>
        <v>118.43591942206386</v>
      </c>
      <c r="H9059" s="256">
        <f t="shared" si="1435"/>
        <v>0.91482965931863724</v>
      </c>
      <c r="I9059" s="297">
        <f t="shared" si="1437"/>
        <v>108.34869181597625</v>
      </c>
      <c r="J9059" s="297">
        <f t="shared" si="1438"/>
        <v>59</v>
      </c>
      <c r="K9059" s="297">
        <f>J9059/POBLA!$B$10*100000</f>
        <v>7.6535807731673238</v>
      </c>
      <c r="L9059" s="549">
        <f t="shared" si="1436"/>
        <v>0.17400000000000004</v>
      </c>
      <c r="M9059" s="401">
        <f>SUM(C9059,C9035,C9011,C8987,C8963,C8939,C8915)/POBLA!$B$10*100000</f>
        <v>53.57506541217127</v>
      </c>
    </row>
    <row r="9060" spans="1:13" s="360" customFormat="1" x14ac:dyDescent="0.25">
      <c r="A9060" s="367" t="s">
        <v>33</v>
      </c>
      <c r="B9060" s="267">
        <v>44270</v>
      </c>
      <c r="C9060" s="1">
        <v>114</v>
      </c>
      <c r="D9060" s="39">
        <f t="shared" si="1434"/>
        <v>19954</v>
      </c>
      <c r="E9060" s="1">
        <v>6</v>
      </c>
      <c r="F9060" s="39">
        <f t="shared" si="1439"/>
        <v>305</v>
      </c>
      <c r="G9060" s="168">
        <f>SUM(C9060,C9036,C9012,C8988,C8964,C8940,C8916,C8892,C8868,C8844,C8820,C8796,C8772,C8748)/POBLA!$B$11*100000</f>
        <v>331.72631602441771</v>
      </c>
      <c r="H9060" s="256">
        <f t="shared" si="1435"/>
        <v>1.165686274509804</v>
      </c>
      <c r="I9060" s="297">
        <f t="shared" si="1437"/>
        <v>386.68881348336538</v>
      </c>
      <c r="J9060" s="297">
        <f t="shared" si="1438"/>
        <v>92</v>
      </c>
      <c r="K9060" s="297">
        <f>J9060/POBLA!$B$11*100000</f>
        <v>25.667637572957467</v>
      </c>
      <c r="L9060" s="549">
        <f t="shared" si="1436"/>
        <v>-0.18165137614678906</v>
      </c>
      <c r="M9060" s="401">
        <f>SUM(C9060,C9036,C9012,C8988,C8964,C8940,C8916)/POBLA!$B$11*100000</f>
        <v>179.67346301070228</v>
      </c>
    </row>
    <row r="9061" spans="1:13" s="360" customFormat="1" x14ac:dyDescent="0.25">
      <c r="A9061" s="367" t="s">
        <v>21</v>
      </c>
      <c r="B9061" s="267">
        <v>44270</v>
      </c>
      <c r="C9061" s="1">
        <v>14</v>
      </c>
      <c r="D9061" s="39">
        <f t="shared" si="1434"/>
        <v>10549</v>
      </c>
      <c r="E9061" s="1"/>
      <c r="F9061" s="39">
        <f t="shared" si="1439"/>
        <v>445</v>
      </c>
      <c r="G9061" s="168">
        <f>SUM(C9061,C9037,C9013,C8989,C8965,C8941,C8917,C8893,C8869,C8845,C8821,C8797,C8773,C8749)/POBLA!$B$12*100000</f>
        <v>78.26575288859074</v>
      </c>
      <c r="H9061" s="256">
        <f t="shared" si="1435"/>
        <v>0.81052631578947365</v>
      </c>
      <c r="I9061" s="297">
        <f t="shared" si="1437"/>
        <v>63.436452341278809</v>
      </c>
      <c r="J9061" s="297">
        <f t="shared" si="1438"/>
        <v>24.142857142857142</v>
      </c>
      <c r="K9061" s="297">
        <f>J9061/POBLA!$B$12*100000</f>
        <v>6.1349314648292363</v>
      </c>
      <c r="L9061" s="549">
        <f t="shared" si="1436"/>
        <v>-0.21582733812949639</v>
      </c>
      <c r="M9061" s="401">
        <f>SUM(C9061,C9037,C9013,C8989,C8965,C8941,C8917)/POBLA!$B$12*100000</f>
        <v>42.944520253804654</v>
      </c>
    </row>
    <row r="9062" spans="1:13" s="360" customFormat="1" x14ac:dyDescent="0.25">
      <c r="A9062" s="367" t="s">
        <v>17</v>
      </c>
      <c r="B9062" s="267">
        <v>44270</v>
      </c>
      <c r="C9062" s="1">
        <v>125</v>
      </c>
      <c r="D9062" s="39">
        <f t="shared" si="1434"/>
        <v>69493</v>
      </c>
      <c r="E9062" s="1">
        <v>3</v>
      </c>
      <c r="F9062" s="39">
        <f t="shared" si="1439"/>
        <v>1480</v>
      </c>
      <c r="G9062" s="168">
        <f>SUM(C9062,C9038,C9014,C8990,C8966,C8942,C8918,C8894,C8870,C8846,C8822,C8798,C8774,C8750)/POBLA!$B$13*100000</f>
        <v>108.4740380779546</v>
      </c>
      <c r="H9062" s="256">
        <f t="shared" si="1435"/>
        <v>1.3084848484848486</v>
      </c>
      <c r="I9062" s="297">
        <f t="shared" si="1437"/>
        <v>141.93663527897212</v>
      </c>
      <c r="J9062" s="297">
        <f t="shared" si="1438"/>
        <v>162.57142857142858</v>
      </c>
      <c r="K9062" s="297">
        <f>J9062/POBLA!$B$13*100000</f>
        <v>8.1680311872369717</v>
      </c>
      <c r="L9062" s="549">
        <f t="shared" si="1436"/>
        <v>-0.11459353574926534</v>
      </c>
      <c r="M9062" s="401">
        <f>SUM(C9062,C9038,C9014,C8990,C8966,C8942,C8918)/POBLA!$B$13*100000</f>
        <v>57.17621831065879</v>
      </c>
    </row>
    <row r="9063" spans="1:13" s="360" customFormat="1" x14ac:dyDescent="0.25">
      <c r="A9063" s="367" t="s">
        <v>23</v>
      </c>
      <c r="B9063" s="267">
        <v>44270</v>
      </c>
      <c r="C9063" s="1">
        <v>118</v>
      </c>
      <c r="D9063" s="39">
        <f t="shared" si="1434"/>
        <v>10088</v>
      </c>
      <c r="E9063" s="1">
        <v>1</v>
      </c>
      <c r="F9063" s="39">
        <f t="shared" si="1439"/>
        <v>169</v>
      </c>
      <c r="G9063" s="168">
        <f>SUM(C9063,C9039,C9015,C8991,C8967,C8943,C8919,C8895,C8871,C8847,C8823,C8799,C8775,C8751)/POBLA!$B$14*100000</f>
        <v>135.4164849749543</v>
      </c>
      <c r="H9063" s="256">
        <f t="shared" si="1435"/>
        <v>1.1156107119529719</v>
      </c>
      <c r="I9063" s="297">
        <f t="shared" si="1437"/>
        <v>151.07208121307769</v>
      </c>
      <c r="J9063" s="297">
        <f t="shared" si="1438"/>
        <v>122.42857142857143</v>
      </c>
      <c r="K9063" s="297">
        <f>J9063/POBLA!$B$14*100000</f>
        <v>9.7065847794861018</v>
      </c>
      <c r="L9063" s="549">
        <f t="shared" si="1436"/>
        <v>-7.0505287896591717E-3</v>
      </c>
      <c r="M9063" s="401">
        <f>SUM(C9063,C9039,C9015,C8991,C8967,C8943,C8919)/POBLA!$B$14*100000</f>
        <v>67.946093456402707</v>
      </c>
    </row>
    <row r="9064" spans="1:13" s="360" customFormat="1" x14ac:dyDescent="0.25">
      <c r="A9064" s="367" t="s">
        <v>19</v>
      </c>
      <c r="B9064" s="267">
        <v>44270</v>
      </c>
      <c r="C9064" s="1">
        <v>123</v>
      </c>
      <c r="D9064" s="39">
        <f t="shared" si="1434"/>
        <v>63335</v>
      </c>
      <c r="E9064" s="1"/>
      <c r="F9064" s="39">
        <f t="shared" si="1439"/>
        <v>955</v>
      </c>
      <c r="G9064" s="168">
        <f>SUM(C9064,C9040,C9016,C8992,C8968,C8944,C8920,C8896,C8872,C8848,C8824,C8800,C8776,C8752)/POBLA!$B$15*100000</f>
        <v>302.9860388490747</v>
      </c>
      <c r="H9064" s="256">
        <f t="shared" si="1435"/>
        <v>0.80095541401273884</v>
      </c>
      <c r="I9064" s="297">
        <f t="shared" si="1437"/>
        <v>242.6783081864404</v>
      </c>
      <c r="J9064" s="297">
        <f t="shared" si="1438"/>
        <v>130.28571428571428</v>
      </c>
      <c r="K9064" s="297">
        <f>J9064/POBLA!$B$15*100000</f>
        <v>19.619658295253913</v>
      </c>
      <c r="L9064" s="549">
        <f t="shared" si="1436"/>
        <v>0.1709090909090909</v>
      </c>
      <c r="M9064" s="401">
        <f>SUM(C9064,C9040,C9016,C8992,C8968,C8944,C8920)/POBLA!$B$15*100000</f>
        <v>137.33760806677739</v>
      </c>
    </row>
    <row r="9065" spans="1:13" s="360" customFormat="1" x14ac:dyDescent="0.25">
      <c r="A9065" s="367" t="s">
        <v>18</v>
      </c>
      <c r="B9065" s="267">
        <v>44270</v>
      </c>
      <c r="C9065" s="1">
        <v>94</v>
      </c>
      <c r="D9065" s="39">
        <f t="shared" si="1434"/>
        <v>53881</v>
      </c>
      <c r="E9065" s="1">
        <v>3</v>
      </c>
      <c r="F9065" s="39">
        <f t="shared" si="1439"/>
        <v>1240</v>
      </c>
      <c r="G9065" s="168">
        <f>SUM(C9065,C9041,C9017,C8993,C8969,C8945,C8921,C8897,C8873,C8849,C8825,C8801,C8777,C8753)/POBLA!$B$16*100000</f>
        <v>193.14883428525567</v>
      </c>
      <c r="H9065" s="256">
        <f t="shared" si="1435"/>
        <v>0.82373074729035933</v>
      </c>
      <c r="I9065" s="297">
        <f t="shared" si="1437"/>
        <v>159.10263360405543</v>
      </c>
      <c r="J9065" s="297">
        <f t="shared" si="1438"/>
        <v>93.428571428571431</v>
      </c>
      <c r="K9065" s="297">
        <f>J9065/POBLA!$B$16*100000</f>
        <v>12.496966523798696</v>
      </c>
      <c r="L9065" s="549">
        <f t="shared" si="1436"/>
        <v>0.17215189873417724</v>
      </c>
      <c r="M9065" s="401">
        <f>SUM(C9065,C9041,C9017,C8993,C8969,C8945,C8921)/POBLA!$B$16*100000</f>
        <v>87.478765666590874</v>
      </c>
    </row>
    <row r="9066" spans="1:13" s="360" customFormat="1" x14ac:dyDescent="0.25">
      <c r="A9066" s="367" t="s">
        <v>34</v>
      </c>
      <c r="B9066" s="267">
        <v>44270</v>
      </c>
      <c r="C9066" s="1">
        <v>63</v>
      </c>
      <c r="D9066" s="39">
        <f t="shared" si="1434"/>
        <v>27690</v>
      </c>
      <c r="E9066" s="1">
        <v>3</v>
      </c>
      <c r="F9066" s="39">
        <f t="shared" si="1439"/>
        <v>1145</v>
      </c>
      <c r="G9066" s="168">
        <f>SUM(C9066,C9042,C9018,C8994,C8970,C8946,C8922,C8898,C8874,C8850,C8826,C8802,C8778,C8754)/POBLA!$B$17*100000</f>
        <v>104.81628366249015</v>
      </c>
      <c r="H9066" s="256">
        <f t="shared" si="1435"/>
        <v>1.1125186289120714</v>
      </c>
      <c r="I9066" s="297">
        <f t="shared" si="1437"/>
        <v>116.61006818785229</v>
      </c>
      <c r="J9066" s="297">
        <f t="shared" si="1438"/>
        <v>112.28571428571429</v>
      </c>
      <c r="K9066" s="297">
        <f>J9066/POBLA!$B$17*100000</f>
        <v>7.8830350166220713</v>
      </c>
      <c r="L9066" s="549">
        <f t="shared" si="1436"/>
        <v>-0.11173974540311171</v>
      </c>
      <c r="M9066" s="401">
        <f>SUM(C9066,C9042,C9018,C8994,C8970,C8946,C8922)/POBLA!$B$17*100000</f>
        <v>55.181245116354503</v>
      </c>
    </row>
    <row r="9067" spans="1:13" s="360" customFormat="1" x14ac:dyDescent="0.25">
      <c r="A9067" s="367" t="s">
        <v>35</v>
      </c>
      <c r="B9067" s="267">
        <v>44270</v>
      </c>
      <c r="C9067" s="1">
        <v>69</v>
      </c>
      <c r="D9067" s="39">
        <f t="shared" si="1434"/>
        <v>15943</v>
      </c>
      <c r="E9067" s="1"/>
      <c r="F9067" s="39">
        <f t="shared" si="1439"/>
        <v>217</v>
      </c>
      <c r="G9067" s="168">
        <f>SUM(C9067,C9043,C9019,C8995,C8971,C8947,C8923,C8899,C8875,C8851,C8827,C8803,C8779,C8755)/POBLA!$B$18*100000</f>
        <v>83.331519923401558</v>
      </c>
      <c r="H9067" s="256">
        <f t="shared" si="1435"/>
        <v>0.96301775147928992</v>
      </c>
      <c r="I9067" s="297">
        <f t="shared" si="1437"/>
        <v>80.249732943985819</v>
      </c>
      <c r="J9067" s="297">
        <f t="shared" si="1438"/>
        <v>47.285714285714285</v>
      </c>
      <c r="K9067" s="297">
        <f>J9067/POBLA!$B$18*100000</f>
        <v>6.0528270999881322</v>
      </c>
      <c r="L9067" s="549">
        <f t="shared" si="1436"/>
        <v>-3.4375000000000044E-2</v>
      </c>
      <c r="M9067" s="401">
        <f>SUM(C9067,C9043,C9019,C8995,C8971,C8947,C8923)/POBLA!$B$18*100000</f>
        <v>42.369789699916922</v>
      </c>
    </row>
    <row r="9068" spans="1:13" s="360" customFormat="1" x14ac:dyDescent="0.25">
      <c r="A9068" s="367" t="s">
        <v>36</v>
      </c>
      <c r="B9068" s="267">
        <v>44270</v>
      </c>
      <c r="C9068" s="1">
        <v>1</v>
      </c>
      <c r="D9068" s="39">
        <f t="shared" si="1434"/>
        <v>21519</v>
      </c>
      <c r="E9068" s="1"/>
      <c r="F9068" s="39">
        <f t="shared" si="1439"/>
        <v>361</v>
      </c>
      <c r="G9068" s="168">
        <f>SUM(C9068,C9044,C9020,C8996,C8972,C8948,C8924,C8900,C8876,C8852,C8828,C8804,C8780,C8756)/POBLA!$B$19*100000</f>
        <v>146.16546796556554</v>
      </c>
      <c r="H9068" s="256">
        <f t="shared" si="1435"/>
        <v>1.0721500721500721</v>
      </c>
      <c r="I9068" s="297">
        <f t="shared" si="1437"/>
        <v>156.71131702513014</v>
      </c>
      <c r="J9068" s="297">
        <f t="shared" si="1438"/>
        <v>102</v>
      </c>
      <c r="K9068" s="297">
        <f>J9068/POBLA!$B$19*100000</f>
        <v>20.065784296753279</v>
      </c>
      <c r="L9068" s="549">
        <f t="shared" si="1436"/>
        <v>-23.620689655172413</v>
      </c>
      <c r="M9068" s="401">
        <f>SUM(C9068,C9044,C9020,C8996,C8972,C8948,C8924)/POBLA!$B$19*100000</f>
        <v>140.46049007727294</v>
      </c>
    </row>
    <row r="9069" spans="1:13" s="360" customFormat="1" x14ac:dyDescent="0.25">
      <c r="A9069" s="367" t="s">
        <v>37</v>
      </c>
      <c r="B9069" s="267">
        <v>44270</v>
      </c>
      <c r="C9069" s="1">
        <v>84</v>
      </c>
      <c r="D9069" s="39">
        <f t="shared" si="1434"/>
        <v>37469</v>
      </c>
      <c r="E9069" s="1">
        <v>1</v>
      </c>
      <c r="F9069" s="39">
        <f t="shared" si="1439"/>
        <v>612</v>
      </c>
      <c r="G9069" s="168">
        <f>SUM(C9069,C9045,C9021,C8997,C8973,C8949,C8925,C8901,C8877,C8853,C8829,C8805,C8781,C8757)/POBLA!$B$20*100000</f>
        <v>403.3382736574988</v>
      </c>
      <c r="H9069" s="256">
        <f t="shared" si="1435"/>
        <v>1.0438782731776362</v>
      </c>
      <c r="I9069" s="297">
        <f t="shared" si="1437"/>
        <v>421.03606061203868</v>
      </c>
      <c r="J9069" s="297">
        <f t="shared" si="1438"/>
        <v>101.71428571428571</v>
      </c>
      <c r="K9069" s="297">
        <f>J9069/POBLA!$B$20*100000</f>
        <v>27.813738580546165</v>
      </c>
      <c r="L9069" s="549">
        <f t="shared" si="1436"/>
        <v>6.6841415465268672E-2</v>
      </c>
      <c r="M9069" s="401">
        <f>SUM(C9069,C9045,C9021,C8997,C8973,C8949,C8925)/POBLA!$B$20*100000</f>
        <v>194.69617006382316</v>
      </c>
    </row>
    <row r="9070" spans="1:13" s="360" customFormat="1" x14ac:dyDescent="0.25">
      <c r="A9070" s="367" t="s">
        <v>22</v>
      </c>
      <c r="B9070" s="267">
        <v>44270</v>
      </c>
      <c r="C9070" s="1">
        <v>333</v>
      </c>
      <c r="D9070" s="39">
        <f t="shared" si="1434"/>
        <v>222647</v>
      </c>
      <c r="E9070" s="1">
        <v>14</v>
      </c>
      <c r="F9070" s="39">
        <f t="shared" si="1439"/>
        <v>4119</v>
      </c>
      <c r="G9070" s="168">
        <f>SUM(C9070,C9046,C9022,C8998,C8974,C8950,C8926,C8902,C8878,C8854,C8830,C8806,C8782,C8758)/POBLA!$B$21*100000</f>
        <v>165.93061114381842</v>
      </c>
      <c r="H9070" s="256">
        <f t="shared" si="1435"/>
        <v>1.2453310696095077</v>
      </c>
      <c r="I9070" s="297">
        <f t="shared" si="1437"/>
        <v>206.63854545669071</v>
      </c>
      <c r="J9070" s="297">
        <f t="shared" si="1438"/>
        <v>442.14285714285717</v>
      </c>
      <c r="K9070" s="297">
        <f>J9070/POBLA!$B$21*100000</f>
        <v>12.502562116323837</v>
      </c>
      <c r="L9070" s="549">
        <f t="shared" si="1436"/>
        <v>-0.1161197259285971</v>
      </c>
      <c r="M9070" s="401">
        <f>SUM(C9070,C9046,C9022,C8998,C8974,C8950,C8926)/POBLA!$B$21*100000</f>
        <v>87.517934814266866</v>
      </c>
    </row>
    <row r="9071" spans="1:13" s="360" customFormat="1" x14ac:dyDescent="0.25">
      <c r="A9071" s="367" t="s">
        <v>38</v>
      </c>
      <c r="B9071" s="267">
        <v>44270</v>
      </c>
      <c r="C9071" s="1">
        <v>71</v>
      </c>
      <c r="D9071" s="39">
        <f t="shared" si="1434"/>
        <v>23531</v>
      </c>
      <c r="E9071" s="1"/>
      <c r="F9071" s="39">
        <f t="shared" si="1439"/>
        <v>276</v>
      </c>
      <c r="G9071" s="168">
        <f>SUM(C9071,C9047,C9023,C8999,C8975,C8951,C8927,C8903,C8879,C8855,C8831,C8807,C8783,C8759)/POBLA!$B$22*100000</f>
        <v>85.759874396026632</v>
      </c>
      <c r="H9071" s="256">
        <f t="shared" si="1435"/>
        <v>1.0396530359355638</v>
      </c>
      <c r="I9071" s="297">
        <f t="shared" si="1437"/>
        <v>89.160513777281707</v>
      </c>
      <c r="J9071" s="297">
        <f t="shared" si="1438"/>
        <v>64</v>
      </c>
      <c r="K9071" s="297">
        <f>J9071/POBLA!$B$22*100000</f>
        <v>6.5418736130461319</v>
      </c>
      <c r="L9071" s="549">
        <f t="shared" si="1436"/>
        <v>-0.1457800511508951</v>
      </c>
      <c r="M9071" s="401">
        <f>SUM(C9071,C9047,C9023,C8999,C8975,C8951,C8927)/POBLA!$B$22*100000</f>
        <v>45.79311529132292</v>
      </c>
    </row>
    <row r="9072" spans="1:13" s="360" customFormat="1" x14ac:dyDescent="0.25">
      <c r="A9072" s="367" t="s">
        <v>39</v>
      </c>
      <c r="B9072" s="267">
        <v>44270</v>
      </c>
      <c r="C9072" s="1">
        <v>35</v>
      </c>
      <c r="D9072" s="39">
        <f t="shared" si="1434"/>
        <v>23398</v>
      </c>
      <c r="E9072" s="1"/>
      <c r="F9072" s="39">
        <f t="shared" si="1439"/>
        <v>358</v>
      </c>
      <c r="G9072" s="168">
        <f>SUM(C9072,C9048,C9024,C9000,C8976,C8952,C8928,C8904,C8880,C8856,C8832,C8808,C8784,C8760)/POBLA!$B$23*100000</f>
        <v>241.47486286263646</v>
      </c>
      <c r="H9072" s="256">
        <f t="shared" si="1435"/>
        <v>0.83725490196078434</v>
      </c>
      <c r="I9072" s="297">
        <f t="shared" si="1437"/>
        <v>202.17601263205052</v>
      </c>
      <c r="J9072" s="297">
        <f t="shared" si="1438"/>
        <v>26.857142857142858</v>
      </c>
      <c r="K9072" s="297">
        <f>J9072/POBLA!$B$23*100000</f>
        <v>15.188114492531163</v>
      </c>
      <c r="L9072" s="549">
        <f t="shared" si="1436"/>
        <v>0.21338912133891208</v>
      </c>
      <c r="M9072" s="401">
        <f>SUM(C9072,C9048,C9024,C9000,C8976,C8952,C8928)/POBLA!$B$23*100000</f>
        <v>106.31680144771816</v>
      </c>
    </row>
    <row r="9073" spans="1:13" s="360" customFormat="1" ht="15.75" thickBot="1" x14ac:dyDescent="0.3">
      <c r="A9073" s="369" t="s">
        <v>40</v>
      </c>
      <c r="B9073" s="267">
        <v>44270</v>
      </c>
      <c r="C9073" s="1">
        <v>257</v>
      </c>
      <c r="D9073" s="176">
        <f t="shared" si="1434"/>
        <v>82413</v>
      </c>
      <c r="E9073" s="1"/>
      <c r="F9073" s="176">
        <f t="shared" si="1439"/>
        <v>1491</v>
      </c>
      <c r="G9073" s="177">
        <f>SUM(C9073,C9049,C9025,C9001,C8977,C8953,C8929,C8905,C8881,C8857,C8833,C8809,C8785,C8761)/POBLA!$B$24*100000</f>
        <v>146.75544771328222</v>
      </c>
      <c r="H9073" s="402">
        <f t="shared" si="1435"/>
        <v>1.3824346859366314</v>
      </c>
      <c r="I9073" s="403">
        <f t="shared" si="1437"/>
        <v>202.87982126900104</v>
      </c>
      <c r="J9073" s="403">
        <f t="shared" si="1438"/>
        <v>208.28571428571428</v>
      </c>
      <c r="K9073" s="403">
        <f>J9073/POBLA!$B$24*100000</f>
        <v>12.290737134009161</v>
      </c>
      <c r="L9073" s="550">
        <f t="shared" si="1436"/>
        <v>-0.41690962099125373</v>
      </c>
      <c r="M9073" s="405">
        <f>SUM(C9073,C9049,C9025,C9001,C8977,C8953,C8929)/POBLA!$B$24*100000</f>
        <v>86.035159938064126</v>
      </c>
    </row>
    <row r="9074" spans="1:13" s="360" customFormat="1" x14ac:dyDescent="0.25">
      <c r="A9074" s="363" t="s">
        <v>16</v>
      </c>
      <c r="B9074" s="267">
        <v>44271</v>
      </c>
      <c r="C9074" s="1">
        <v>3762</v>
      </c>
      <c r="D9074" s="174">
        <f t="shared" si="1434"/>
        <v>923672</v>
      </c>
      <c r="E9074" s="1">
        <v>139</v>
      </c>
      <c r="F9074" s="174">
        <f t="shared" si="1439"/>
        <v>27291</v>
      </c>
      <c r="G9074" s="175">
        <f>SUM(C9074,C9050,C9026,C9002,C8978,C8954,C8930,C8906,C8882,C8858,C8834,C8810,C8786,C8762)/POBLA!$B$1*100000</f>
        <v>221.96389619124551</v>
      </c>
      <c r="H9074" s="300">
        <f t="shared" ref="H9074:H9097" si="1440">SUM(C9074,C9050,C9026,C9002,C8978,C8954,C8930,C8906,C8882,C8858,C8834,C8810,C8786,C8762)/SUM(C8738,C8714,C8690,C8666,C8642,C8618,C8594,C8570,C8546,C8522,C8498,C8474,C8450,C8426)</f>
        <v>1.0730920816911502</v>
      </c>
      <c r="I9074" s="301">
        <f>G9074*H9074</f>
        <v>238.18769942414201</v>
      </c>
      <c r="J9074" s="301">
        <f>AVERAGE(C9074,C9050,C9026,C9002,C8978,C8954,C8930)</f>
        <v>2939</v>
      </c>
      <c r="K9074" s="301">
        <f>J9074/POBLA!$B$1*100000</f>
        <v>16.754896389009129</v>
      </c>
      <c r="L9074" s="548">
        <f t="shared" ref="L9074:L9097" si="1441">1-SUM(C9074,C9050,C9026,C9002,C8978,C8954,C8930)/SUM(C8906,C8882,C8858,C8834,C8810,C8786,C8762)</f>
        <v>-0.1204117198562249</v>
      </c>
      <c r="M9074" s="400">
        <f>SUM(C9074,C9050,C9026,C9002,C8978,C8954,C8930)/POBLA!$B$1*100000</f>
        <v>117.2842747230639</v>
      </c>
    </row>
    <row r="9075" spans="1:13" s="360" customFormat="1" x14ac:dyDescent="0.25">
      <c r="A9075" s="367" t="s">
        <v>43</v>
      </c>
      <c r="B9075" s="267">
        <v>44271</v>
      </c>
      <c r="C9075" s="1">
        <v>967</v>
      </c>
      <c r="D9075" s="39">
        <f t="shared" si="1434"/>
        <v>244009</v>
      </c>
      <c r="E9075" s="1">
        <v>7</v>
      </c>
      <c r="F9075" s="39">
        <f t="shared" si="1439"/>
        <v>6709</v>
      </c>
      <c r="G9075" s="168">
        <f>SUM(C9075,C9051,C9027,C9003,C8979,C8955,C8931,C8907,C8883,C8859,C8835,C8811,C8787,C8763)/POBLA!$B$2*100000</f>
        <v>358.72138731180377</v>
      </c>
      <c r="H9075" s="256">
        <f t="shared" si="1440"/>
        <v>1.1489117983963344</v>
      </c>
      <c r="I9075" s="297">
        <f t="shared" ref="I9075:I9097" si="1442">G9075*H9075</f>
        <v>412.1392342196325</v>
      </c>
      <c r="J9075" s="297">
        <f t="shared" ref="J9075:J9097" si="1443">AVERAGE(C9075,C9051,C9027,C9003,C8979,C8955,C8931)</f>
        <v>856.14285714285711</v>
      </c>
      <c r="K9075" s="297">
        <f>J9075/POBLA!$B$2*100000</f>
        <v>27.836196270404887</v>
      </c>
      <c r="L9075" s="549">
        <f t="shared" si="1441"/>
        <v>-0.18908730158730158</v>
      </c>
      <c r="M9075" s="401">
        <f>SUM(C9075,C9051,C9027,C9003,C8979,C8955,C8931)/POBLA!$B$2*100000</f>
        <v>194.85337389283421</v>
      </c>
    </row>
    <row r="9076" spans="1:13" s="360" customFormat="1" x14ac:dyDescent="0.25">
      <c r="A9076" s="367" t="s">
        <v>28</v>
      </c>
      <c r="B9076" s="267">
        <v>44271</v>
      </c>
      <c r="C9076" s="1">
        <v>127</v>
      </c>
      <c r="D9076" s="39">
        <f t="shared" si="1434"/>
        <v>9246</v>
      </c>
      <c r="E9076" s="1"/>
      <c r="F9076" s="39">
        <f t="shared" si="1439"/>
        <v>18</v>
      </c>
      <c r="G9076" s="168">
        <f>SUM(C9076,C9052,C9028,C9004,C8980,C8956,C8932,C8908,C8884,C8860,C8836,C8812,C8788,C8764)/POBLA!$B$3*100000</f>
        <v>268.39143265661784</v>
      </c>
      <c r="H9076" s="256">
        <f t="shared" si="1440"/>
        <v>0.89271417133706965</v>
      </c>
      <c r="I9076" s="297">
        <f t="shared" si="1442"/>
        <v>239.59683539802154</v>
      </c>
      <c r="J9076" s="297">
        <f t="shared" si="1443"/>
        <v>89.571428571428569</v>
      </c>
      <c r="K9076" s="297">
        <f>J9076/POBLA!$B$3*100000</f>
        <v>21.560721111556614</v>
      </c>
      <c r="L9076" s="549">
        <f t="shared" si="1441"/>
        <v>-0.2848360655737705</v>
      </c>
      <c r="M9076" s="401">
        <f>SUM(C9076,C9052,C9028,C9004,C8980,C8956,C8932)/POBLA!$B$3*100000</f>
        <v>150.92504778089631</v>
      </c>
    </row>
    <row r="9077" spans="1:13" s="360" customFormat="1" x14ac:dyDescent="0.25">
      <c r="A9077" s="367" t="s">
        <v>15</v>
      </c>
      <c r="B9077" s="267">
        <v>44271</v>
      </c>
      <c r="C9077" s="1">
        <v>124</v>
      </c>
      <c r="D9077" s="39">
        <f t="shared" si="1434"/>
        <v>36186</v>
      </c>
      <c r="E9077" s="1">
        <v>1</v>
      </c>
      <c r="F9077" s="39">
        <f t="shared" si="1439"/>
        <v>896</v>
      </c>
      <c r="G9077" s="168">
        <f>SUM(C9077,C9053,C9029,C9005,C8981,C8957,C8933,C8909,C8885,C8861,C8837,C8813,C8789,C8765)/POBLA!$B$4*100000</f>
        <v>154.08358868647892</v>
      </c>
      <c r="H9077" s="256">
        <f t="shared" si="1440"/>
        <v>1.0605714285714285</v>
      </c>
      <c r="I9077" s="297">
        <f t="shared" si="1442"/>
        <v>163.41665177263135</v>
      </c>
      <c r="J9077" s="297">
        <f t="shared" si="1443"/>
        <v>129.42857142857142</v>
      </c>
      <c r="K9077" s="297">
        <f>J9077/POBLA!$B$4*100000</f>
        <v>10.745053213512152</v>
      </c>
      <c r="L9077" s="549">
        <f t="shared" si="1441"/>
        <v>4.6315789473684199E-2</v>
      </c>
      <c r="M9077" s="401">
        <f>SUM(C9077,C9053,C9029,C9005,C8981,C8957,C8933)/POBLA!$B$4*100000</f>
        <v>75.215372494585068</v>
      </c>
    </row>
    <row r="9078" spans="1:13" s="360" customFormat="1" x14ac:dyDescent="0.25">
      <c r="A9078" s="367" t="s">
        <v>29</v>
      </c>
      <c r="B9078" s="267">
        <v>44271</v>
      </c>
      <c r="C9078" s="1">
        <v>100</v>
      </c>
      <c r="D9078" s="39">
        <f t="shared" si="1434"/>
        <v>48351</v>
      </c>
      <c r="E9078" s="1">
        <v>1</v>
      </c>
      <c r="F9078" s="39">
        <f t="shared" si="1439"/>
        <v>812</v>
      </c>
      <c r="G9078" s="168">
        <f>SUM(C9078,C9054,C9030,C9006,C8982,C8958,C8934,C8910,C8886,C8862,C8838,C8814,C8790,C8766)/POBLA!$B$5*100000</f>
        <v>195.80157481332614</v>
      </c>
      <c r="H9078" s="256">
        <f t="shared" si="1440"/>
        <v>0.67109634551495012</v>
      </c>
      <c r="I9078" s="297">
        <f t="shared" si="1442"/>
        <v>131.40172130329526</v>
      </c>
      <c r="J9078" s="297">
        <f t="shared" si="1443"/>
        <v>91.285714285714292</v>
      </c>
      <c r="K9078" s="297">
        <f>J9078/POBLA!$B$5*100000</f>
        <v>14.747431200579374</v>
      </c>
      <c r="L9078" s="549">
        <f t="shared" si="1441"/>
        <v>-0.11518324607329844</v>
      </c>
      <c r="M9078" s="401">
        <f>SUM(C9078,C9054,C9030,C9006,C8982,C8958,C8934)/POBLA!$B$5*100000</f>
        <v>103.23201840405562</v>
      </c>
    </row>
    <row r="9079" spans="1:13" s="360" customFormat="1" x14ac:dyDescent="0.25">
      <c r="A9079" s="367" t="s">
        <v>30</v>
      </c>
      <c r="B9079" s="267">
        <v>44271</v>
      </c>
      <c r="C9079" s="1">
        <v>168</v>
      </c>
      <c r="D9079" s="39">
        <f t="shared" si="1434"/>
        <v>25197</v>
      </c>
      <c r="E9079" s="1"/>
      <c r="F9079" s="39">
        <f t="shared" si="1439"/>
        <v>306</v>
      </c>
      <c r="G9079" s="168">
        <f>SUM(C9079,C9055,C9031,C9007,C8983,C8959,C8935,C8911,C8887,C8863,C8839,C8815,C8791,C8767)/POBLA!$B$6*100000</f>
        <v>279.88911501684959</v>
      </c>
      <c r="H9079" s="256">
        <f t="shared" si="1440"/>
        <v>1.6270746887966805</v>
      </c>
      <c r="I9079" s="297">
        <f t="shared" si="1442"/>
        <v>455.40049471361885</v>
      </c>
      <c r="J9079" s="297">
        <f t="shared" si="1443"/>
        <v>224.71428571428572</v>
      </c>
      <c r="K9079" s="297">
        <f>J9079/POBLA!$B$6*100000</f>
        <v>20.049436582790854</v>
      </c>
      <c r="L9079" s="549">
        <f t="shared" si="1441"/>
        <v>-5.7544757033247684E-3</v>
      </c>
      <c r="M9079" s="401">
        <f>SUM(C9079,C9055,C9031,C9007,C8983,C8959,C8935)/POBLA!$B$6*100000</f>
        <v>140.346056079536</v>
      </c>
    </row>
    <row r="9080" spans="1:13" s="360" customFormat="1" x14ac:dyDescent="0.25">
      <c r="A9080" s="367" t="s">
        <v>20</v>
      </c>
      <c r="B9080" s="267">
        <v>44271</v>
      </c>
      <c r="C9080" s="1">
        <v>809</v>
      </c>
      <c r="D9080" s="39">
        <f t="shared" si="1434"/>
        <v>169071</v>
      </c>
      <c r="E9080" s="1">
        <v>16</v>
      </c>
      <c r="F9080" s="39">
        <f t="shared" si="1439"/>
        <v>2940</v>
      </c>
      <c r="G9080" s="168">
        <f>SUM(C9080,C9056,C9032,C9008,C8984,C8960,C8936,C8912,C8888,C8864,C8840,C8816,C8792,C8768)/POBLA!$B$7*100000</f>
        <v>213.3255328484623</v>
      </c>
      <c r="H9080" s="256">
        <f t="shared" si="1440"/>
        <v>0.93540111940298509</v>
      </c>
      <c r="I9080" s="297">
        <f t="shared" si="1442"/>
        <v>199.5449422236899</v>
      </c>
      <c r="J9080" s="297">
        <f t="shared" si="1443"/>
        <v>577.14285714285711</v>
      </c>
      <c r="K9080" s="297">
        <f>J9080/POBLA!$B$7*100000</f>
        <v>15.347707246283212</v>
      </c>
      <c r="L9080" s="549">
        <f t="shared" si="1441"/>
        <v>-1.4565544952285236E-2</v>
      </c>
      <c r="M9080" s="401">
        <f>SUM(C9080,C9056,C9032,C9008,C8984,C8960,C8936)/POBLA!$B$7*100000</f>
        <v>107.43395072398251</v>
      </c>
    </row>
    <row r="9081" spans="1:13" x14ac:dyDescent="0.25">
      <c r="A9081" s="367" t="s">
        <v>31</v>
      </c>
      <c r="B9081" s="267">
        <v>44271</v>
      </c>
      <c r="C9081" s="1">
        <v>200</v>
      </c>
      <c r="D9081" s="39">
        <f t="shared" si="1434"/>
        <v>47193</v>
      </c>
      <c r="E9081" s="1">
        <v>3</v>
      </c>
      <c r="F9081" s="39">
        <f t="shared" ref="F9081:F9104" si="1444">E9081+F9057</f>
        <v>908</v>
      </c>
      <c r="G9081" s="168">
        <f>SUM(C9081,C9057,C9033,C9009,C8985,C8961,C8937,C8913,C8889,C8865,C8841,C8817,C8793,C8769)/POBLA!$B$8*100000</f>
        <v>132.39910791140588</v>
      </c>
      <c r="H9081" s="256">
        <f t="shared" si="1440"/>
        <v>1.0948687350835322</v>
      </c>
      <c r="I9081" s="297">
        <f t="shared" si="1442"/>
        <v>144.95964380514903</v>
      </c>
      <c r="J9081" s="297">
        <f t="shared" si="1443"/>
        <v>136.57142857142858</v>
      </c>
      <c r="K9081" s="297">
        <f>J9081/POBLA!$B$8*100000</f>
        <v>9.8539156997511892</v>
      </c>
      <c r="L9081" s="549">
        <f t="shared" si="1441"/>
        <v>-8.7599544937428941E-2</v>
      </c>
      <c r="M9081" s="401">
        <f>SUM(C9081,C9057,C9033,C9009,C8985,C8961,C8937)/POBLA!$B$8*100000</f>
        <v>68.977409898258315</v>
      </c>
    </row>
    <row r="9082" spans="1:13" s="360" customFormat="1" x14ac:dyDescent="0.25">
      <c r="A9082" s="367" t="s">
        <v>41</v>
      </c>
      <c r="B9082" s="267">
        <v>44271</v>
      </c>
      <c r="C9082" s="1">
        <v>27</v>
      </c>
      <c r="D9082" s="39">
        <f t="shared" si="1434"/>
        <v>1626</v>
      </c>
      <c r="E9082" s="1"/>
      <c r="F9082" s="39">
        <f t="shared" si="1444"/>
        <v>20</v>
      </c>
      <c r="G9082" s="168">
        <f>SUM(C9082,C9058,C9034,C9010,C8986,C8962,C8938,C8914,C8890,C8866,C8842,C8818,C8794,C8770)/POBLA!$B$9*100000</f>
        <v>60.972284874411962</v>
      </c>
      <c r="H9082" s="256">
        <f t="shared" si="1440"/>
        <v>1.3225806451612903</v>
      </c>
      <c r="I9082" s="297">
        <f t="shared" si="1442"/>
        <v>80.640763866157755</v>
      </c>
      <c r="J9082" s="297">
        <f t="shared" si="1443"/>
        <v>29.428571428571427</v>
      </c>
      <c r="K9082" s="297">
        <f>J9082/POBLA!$B$9*100000</f>
        <v>4.862675448752948</v>
      </c>
      <c r="L9082" s="549">
        <f t="shared" si="1441"/>
        <v>-0.26380368098159512</v>
      </c>
      <c r="M9082" s="401">
        <f>SUM(C9082,C9058,C9034,C9010,C8986,C8962,C8938)/POBLA!$B$9*100000</f>
        <v>34.038728141270632</v>
      </c>
    </row>
    <row r="9083" spans="1:13" s="360" customFormat="1" x14ac:dyDescent="0.25">
      <c r="A9083" s="367" t="s">
        <v>32</v>
      </c>
      <c r="B9083" s="267">
        <v>44271</v>
      </c>
      <c r="C9083" s="1">
        <v>54</v>
      </c>
      <c r="D9083" s="39">
        <f t="shared" si="1434"/>
        <v>21763</v>
      </c>
      <c r="E9083" s="1">
        <v>1</v>
      </c>
      <c r="F9083" s="39">
        <f t="shared" si="1444"/>
        <v>932</v>
      </c>
      <c r="G9083" s="168">
        <f>SUM(C9083,C9059,C9035,C9011,C8987,C8963,C8939,C8915,C8891,C8867,C8843,C8819,C8795,C8771)/POBLA!$B$10*100000</f>
        <v>113.50649451731202</v>
      </c>
      <c r="H9083" s="256">
        <f t="shared" si="1440"/>
        <v>0.82469368520263897</v>
      </c>
      <c r="I9083" s="297">
        <f t="shared" si="1442"/>
        <v>93.608089257915182</v>
      </c>
      <c r="J9083" s="297">
        <f t="shared" si="1443"/>
        <v>57</v>
      </c>
      <c r="K9083" s="297">
        <f>J9083/POBLA!$B$10*100000</f>
        <v>7.3941373571277538</v>
      </c>
      <c r="L9083" s="549">
        <f t="shared" si="1441"/>
        <v>0.16176470588235292</v>
      </c>
      <c r="M9083" s="401">
        <f>SUM(C9083,C9059,C9035,C9011,C8987,C8963,C8939)/POBLA!$B$10*100000</f>
        <v>51.758961499894276</v>
      </c>
    </row>
    <row r="9084" spans="1:13" s="360" customFormat="1" x14ac:dyDescent="0.25">
      <c r="A9084" s="367" t="s">
        <v>33</v>
      </c>
      <c r="B9084" s="267">
        <v>44271</v>
      </c>
      <c r="C9084" s="1">
        <v>114</v>
      </c>
      <c r="D9084" s="39">
        <f t="shared" si="1434"/>
        <v>20068</v>
      </c>
      <c r="E9084" s="1"/>
      <c r="F9084" s="39">
        <f t="shared" si="1444"/>
        <v>305</v>
      </c>
      <c r="G9084" s="168">
        <f>SUM(C9084,C9060,C9036,C9012,C8988,C8964,C8940,C8916,C8892,C8868,C8844,C8820,C8796,C8772)/POBLA!$B$11*100000</f>
        <v>340.09619784168643</v>
      </c>
      <c r="H9084" s="256">
        <f t="shared" si="1440"/>
        <v>1.159847764034253</v>
      </c>
      <c r="I9084" s="297">
        <f t="shared" si="1442"/>
        <v>394.45981462323095</v>
      </c>
      <c r="J9084" s="297">
        <f t="shared" si="1443"/>
        <v>92.571428571428569</v>
      </c>
      <c r="K9084" s="297">
        <f>J9084/POBLA!$B$11*100000</f>
        <v>25.827063893286397</v>
      </c>
      <c r="L9084" s="549">
        <f t="shared" si="1441"/>
        <v>-0.13485113835376539</v>
      </c>
      <c r="M9084" s="401">
        <f>SUM(C9084,C9060,C9036,C9012,C8988,C8964,C8940)/POBLA!$B$11*100000</f>
        <v>180.78944725300479</v>
      </c>
    </row>
    <row r="9085" spans="1:13" s="360" customFormat="1" x14ac:dyDescent="0.25">
      <c r="A9085" s="367" t="s">
        <v>21</v>
      </c>
      <c r="B9085" s="267">
        <v>44271</v>
      </c>
      <c r="C9085" s="1">
        <v>17</v>
      </c>
      <c r="D9085" s="39">
        <f t="shared" si="1434"/>
        <v>10566</v>
      </c>
      <c r="E9085" s="1">
        <v>2</v>
      </c>
      <c r="F9085" s="39">
        <f t="shared" si="1444"/>
        <v>447</v>
      </c>
      <c r="G9085" s="168">
        <f>SUM(C9085,C9061,C9037,C9013,C8989,C8965,C8941,C8917,C8893,C8869,C8845,C8821,C8797,C8773)/POBLA!$B$12*100000</f>
        <v>76.741095364787014</v>
      </c>
      <c r="H9085" s="256">
        <f t="shared" si="1440"/>
        <v>0.78851174934725854</v>
      </c>
      <c r="I9085" s="297">
        <f t="shared" si="1442"/>
        <v>60.511255352913004</v>
      </c>
      <c r="J9085" s="297">
        <f t="shared" si="1443"/>
        <v>24.571428571428573</v>
      </c>
      <c r="K9085" s="297">
        <f>J9085/POBLA!$B$12*100000</f>
        <v>6.2438355736723592</v>
      </c>
      <c r="L9085" s="549">
        <f t="shared" si="1441"/>
        <v>-0.32307692307692304</v>
      </c>
      <c r="M9085" s="401">
        <f>SUM(C9085,C9061,C9037,C9013,C8989,C8965,C8941)/POBLA!$B$12*100000</f>
        <v>43.706849015706517</v>
      </c>
    </row>
    <row r="9086" spans="1:13" s="360" customFormat="1" x14ac:dyDescent="0.25">
      <c r="A9086" s="367" t="s">
        <v>17</v>
      </c>
      <c r="B9086" s="267">
        <v>44271</v>
      </c>
      <c r="C9086" s="1">
        <v>165</v>
      </c>
      <c r="D9086" s="39">
        <f t="shared" si="1434"/>
        <v>69658</v>
      </c>
      <c r="E9086" s="1">
        <v>2</v>
      </c>
      <c r="F9086" s="39">
        <f t="shared" si="1444"/>
        <v>1482</v>
      </c>
      <c r="G9086" s="168">
        <f>SUM(C9086,C9062,C9038,C9014,C8990,C8966,C8942,C8918,C8894,C8870,C8846,C8822,C8798,C8774)/POBLA!$B$13*100000</f>
        <v>109.42864980721866</v>
      </c>
      <c r="H9086" s="256">
        <f t="shared" si="1440"/>
        <v>1.2445714285714287</v>
      </c>
      <c r="I9086" s="297">
        <f t="shared" si="1442"/>
        <v>136.19177101721272</v>
      </c>
      <c r="J9086" s="297">
        <f t="shared" si="1443"/>
        <v>157</v>
      </c>
      <c r="K9086" s="297">
        <f>J9086/POBLA!$B$13*100000</f>
        <v>7.8881074470768278</v>
      </c>
      <c r="L9086" s="549">
        <f t="shared" si="1441"/>
        <v>-1.853568118628357E-2</v>
      </c>
      <c r="M9086" s="401">
        <f>SUM(C9086,C9062,C9038,C9014,C8990,C8966,C8942)/POBLA!$B$13*100000</f>
        <v>55.216752129537795</v>
      </c>
    </row>
    <row r="9087" spans="1:13" s="360" customFormat="1" x14ac:dyDescent="0.25">
      <c r="A9087" s="367" t="s">
        <v>23</v>
      </c>
      <c r="B9087" s="267">
        <v>44271</v>
      </c>
      <c r="C9087" s="1">
        <v>101</v>
      </c>
      <c r="D9087" s="39">
        <f t="shared" si="1434"/>
        <v>10189</v>
      </c>
      <c r="E9087" s="1">
        <v>3</v>
      </c>
      <c r="F9087" s="39">
        <f t="shared" si="1444"/>
        <v>172</v>
      </c>
      <c r="G9087" s="168">
        <f>SUM(C9087,C9063,C9039,C9015,C8991,C8967,C8943,C8919,C8895,C8871,C8847,C8823,C8799,C8775)/POBLA!$B$14*100000</f>
        <v>131.21445119060266</v>
      </c>
      <c r="H9087" s="256">
        <f t="shared" si="1440"/>
        <v>1.0541401273885351</v>
      </c>
      <c r="I9087" s="297">
        <f t="shared" si="1442"/>
        <v>138.31841829327863</v>
      </c>
      <c r="J9087" s="297">
        <f t="shared" si="1443"/>
        <v>119.28571428571429</v>
      </c>
      <c r="K9087" s="297">
        <f>J9087/POBLA!$B$14*100000</f>
        <v>9.4574075739450354</v>
      </c>
      <c r="L9087" s="549">
        <f t="shared" si="1441"/>
        <v>-1.8292682926829285E-2</v>
      </c>
      <c r="M9087" s="401">
        <f>SUM(C9087,C9063,C9039,C9015,C8991,C8967,C8943)/POBLA!$B$14*100000</f>
        <v>66.20185301761525</v>
      </c>
    </row>
    <row r="9088" spans="1:13" s="360" customFormat="1" x14ac:dyDescent="0.25">
      <c r="A9088" s="367" t="s">
        <v>19</v>
      </c>
      <c r="B9088" s="267">
        <v>44271</v>
      </c>
      <c r="C9088" s="1">
        <v>127</v>
      </c>
      <c r="D9088" s="39">
        <f t="shared" si="1434"/>
        <v>63462</v>
      </c>
      <c r="E9088" s="1"/>
      <c r="F9088" s="39">
        <f t="shared" si="1444"/>
        <v>955</v>
      </c>
      <c r="G9088" s="168">
        <f>SUM(C9088,C9064,C9040,C9016,C8992,C8968,C8944,C8920,C8896,C8872,C8848,C8824,C8800,C8776)/POBLA!$B$15*100000</f>
        <v>295.607154205136</v>
      </c>
      <c r="H9088" s="256">
        <f t="shared" si="1440"/>
        <v>0.76203416149068326</v>
      </c>
      <c r="I9088" s="297">
        <f t="shared" si="1442"/>
        <v>225.26274988535792</v>
      </c>
      <c r="J9088" s="297">
        <f t="shared" si="1443"/>
        <v>126.14285714285714</v>
      </c>
      <c r="K9088" s="297">
        <f>J9088/POBLA!$B$15*100000</f>
        <v>18.995787581917988</v>
      </c>
      <c r="L9088" s="549">
        <f t="shared" si="1441"/>
        <v>0.18240740740740746</v>
      </c>
      <c r="M9088" s="401">
        <f>SUM(C9088,C9064,C9040,C9016,C8992,C8968,C8944)/POBLA!$B$15*100000</f>
        <v>132.97051307342591</v>
      </c>
    </row>
    <row r="9089" spans="1:13" s="360" customFormat="1" x14ac:dyDescent="0.25">
      <c r="A9089" s="367" t="s">
        <v>18</v>
      </c>
      <c r="B9089" s="267">
        <v>44271</v>
      </c>
      <c r="C9089" s="1">
        <v>115</v>
      </c>
      <c r="D9089" s="39">
        <f t="shared" si="1434"/>
        <v>53996</v>
      </c>
      <c r="E9089" s="1">
        <v>3</v>
      </c>
      <c r="F9089" s="39">
        <f t="shared" si="1444"/>
        <v>1243</v>
      </c>
      <c r="G9089" s="168">
        <f>SUM(C9089,C9065,C9041,C9017,C8993,C8969,C8945,C8921,C8897,C8873,C8849,C8825,C8801,C8777)/POBLA!$B$16*100000</f>
        <v>192.4800363826059</v>
      </c>
      <c r="H9089" s="256">
        <f t="shared" si="1440"/>
        <v>0.81761363636363638</v>
      </c>
      <c r="I9089" s="297">
        <f t="shared" si="1442"/>
        <v>157.37430247418743</v>
      </c>
      <c r="J9089" s="297">
        <f t="shared" si="1443"/>
        <v>89.857142857142861</v>
      </c>
      <c r="K9089" s="297">
        <f>J9089/POBLA!$B$16*100000</f>
        <v>12.019253736191713</v>
      </c>
      <c r="L9089" s="549">
        <f t="shared" si="1441"/>
        <v>0.22345679012345676</v>
      </c>
      <c r="M9089" s="401">
        <f>SUM(C9089,C9065,C9041,C9017,C8993,C8969,C8945)/POBLA!$B$16*100000</f>
        <v>84.134776153341988</v>
      </c>
    </row>
    <row r="9090" spans="1:13" s="360" customFormat="1" x14ac:dyDescent="0.25">
      <c r="A9090" s="367" t="s">
        <v>34</v>
      </c>
      <c r="B9090" s="267">
        <v>44271</v>
      </c>
      <c r="C9090" s="1">
        <v>131</v>
      </c>
      <c r="D9090" s="39">
        <f t="shared" si="1434"/>
        <v>27821</v>
      </c>
      <c r="E9090" s="1">
        <v>5</v>
      </c>
      <c r="F9090" s="39">
        <f t="shared" si="1444"/>
        <v>1150</v>
      </c>
      <c r="G9090" s="168">
        <f>SUM(C9090,C9066,C9042,C9018,C8994,C8970,C8946,C8922,C8898,C8874,C8850,C8826,C8802,C8778)/POBLA!$B$17*100000</f>
        <v>106.78202776332722</v>
      </c>
      <c r="H9090" s="256">
        <f t="shared" si="1440"/>
        <v>1.087205146533238</v>
      </c>
      <c r="I9090" s="297">
        <f t="shared" si="1442"/>
        <v>116.09397014154446</v>
      </c>
      <c r="J9090" s="297">
        <f t="shared" si="1443"/>
        <v>112.28571428571429</v>
      </c>
      <c r="K9090" s="297">
        <f>J9090/POBLA!$B$17*100000</f>
        <v>7.8830350166220713</v>
      </c>
      <c r="L9090" s="549">
        <f t="shared" si="1441"/>
        <v>-6.938775510204076E-2</v>
      </c>
      <c r="M9090" s="401">
        <f>SUM(C9090,C9066,C9042,C9018,C8994,C8970,C8946)/POBLA!$B$17*100000</f>
        <v>55.181245116354503</v>
      </c>
    </row>
    <row r="9091" spans="1:13" s="360" customFormat="1" x14ac:dyDescent="0.25">
      <c r="A9091" s="367" t="s">
        <v>35</v>
      </c>
      <c r="B9091" s="267">
        <v>44271</v>
      </c>
      <c r="C9091" s="1">
        <v>74</v>
      </c>
      <c r="D9091" s="39">
        <f t="shared" si="1434"/>
        <v>16017</v>
      </c>
      <c r="E9091" s="1">
        <v>1</v>
      </c>
      <c r="F9091" s="39">
        <f t="shared" si="1444"/>
        <v>218</v>
      </c>
      <c r="G9091" s="168">
        <f>SUM(C9091,C9067,C9043,C9019,C8995,C8971,C8947,C8923,C8899,C8875,C8851,C8827,C8803,C8779)/POBLA!$B$18*100000</f>
        <v>86.275644283214518</v>
      </c>
      <c r="H9091" s="256">
        <f t="shared" si="1440"/>
        <v>0.98682284040995605</v>
      </c>
      <c r="I9091" s="297">
        <f t="shared" si="1442"/>
        <v>85.138776349760732</v>
      </c>
      <c r="J9091" s="297">
        <f t="shared" si="1443"/>
        <v>48.714285714285715</v>
      </c>
      <c r="K9091" s="297">
        <f>J9091/POBLA!$B$18*100000</f>
        <v>6.2356919670572601</v>
      </c>
      <c r="L9091" s="549">
        <f t="shared" si="1441"/>
        <v>-2.4024024024023927E-2</v>
      </c>
      <c r="M9091" s="401">
        <f>SUM(C9091,C9067,C9043,C9019,C8995,C8971,C8947)/POBLA!$B$18*100000</f>
        <v>43.649843769400825</v>
      </c>
    </row>
    <row r="9092" spans="1:13" s="360" customFormat="1" x14ac:dyDescent="0.25">
      <c r="A9092" s="367" t="s">
        <v>36</v>
      </c>
      <c r="B9092" s="267">
        <v>44271</v>
      </c>
      <c r="C9092" s="1">
        <v>1</v>
      </c>
      <c r="D9092" s="39">
        <f t="shared" si="1434"/>
        <v>21520</v>
      </c>
      <c r="E9092" s="1"/>
      <c r="F9092" s="39">
        <f t="shared" si="1444"/>
        <v>361</v>
      </c>
      <c r="G9092" s="168">
        <f>SUM(C9092,C9068,C9044,C9020,C8996,C8972,C8948,C8924,C8900,C8876,C8852,C8828,C8804,C8780)/POBLA!$B$19*100000</f>
        <v>145.1818510882737</v>
      </c>
      <c r="H9092" s="256">
        <f t="shared" si="1440"/>
        <v>1.3155080213903743</v>
      </c>
      <c r="I9092" s="297">
        <f t="shared" si="1442"/>
        <v>190.98788966692689</v>
      </c>
      <c r="J9092" s="297">
        <f t="shared" si="1443"/>
        <v>101.28571428571429</v>
      </c>
      <c r="K9092" s="297">
        <f>J9092/POBLA!$B$19*100000</f>
        <v>19.925267599997305</v>
      </c>
      <c r="L9092" s="549">
        <f t="shared" si="1441"/>
        <v>-23.448275862068964</v>
      </c>
      <c r="M9092" s="401">
        <f>SUM(C9092,C9068,C9044,C9020,C8996,C8972,C8948)/POBLA!$B$19*100000</f>
        <v>139.47687319998113</v>
      </c>
    </row>
    <row r="9093" spans="1:13" s="360" customFormat="1" x14ac:dyDescent="0.25">
      <c r="A9093" s="367" t="s">
        <v>37</v>
      </c>
      <c r="B9093" s="267">
        <v>44271</v>
      </c>
      <c r="C9093" s="1">
        <v>105</v>
      </c>
      <c r="D9093" s="39">
        <f t="shared" si="1434"/>
        <v>37574</v>
      </c>
      <c r="E9093" s="1">
        <v>1</v>
      </c>
      <c r="F9093" s="39">
        <f t="shared" si="1444"/>
        <v>613</v>
      </c>
      <c r="G9093" s="168">
        <f>SUM(C9093,C9069,C9045,C9021,C8997,C8973,C8949,C8925,C8901,C8877,C8853,C8829,C8805,C8781)/POBLA!$B$20*100000</f>
        <v>403.61172333455477</v>
      </c>
      <c r="H9093" s="256">
        <f t="shared" si="1440"/>
        <v>1.0075085324232083</v>
      </c>
      <c r="I9093" s="297">
        <f t="shared" si="1442"/>
        <v>406.64225504559926</v>
      </c>
      <c r="J9093" s="297">
        <f t="shared" si="1443"/>
        <v>107</v>
      </c>
      <c r="K9093" s="297">
        <f>J9093/POBLA!$B$20*100000</f>
        <v>29.259115444984662</v>
      </c>
      <c r="L9093" s="549">
        <f t="shared" si="1441"/>
        <v>-3.0261348005502064E-2</v>
      </c>
      <c r="M9093" s="401">
        <f>SUM(C9093,C9069,C9045,C9021,C8997,C8973,C8949)/POBLA!$B$20*100000</f>
        <v>204.81380811489262</v>
      </c>
    </row>
    <row r="9094" spans="1:13" s="360" customFormat="1" x14ac:dyDescent="0.25">
      <c r="A9094" s="367" t="s">
        <v>22</v>
      </c>
      <c r="B9094" s="267">
        <v>44271</v>
      </c>
      <c r="C9094" s="1">
        <v>583</v>
      </c>
      <c r="D9094" s="39">
        <f t="shared" si="1434"/>
        <v>223230</v>
      </c>
      <c r="E9094" s="1">
        <v>17</v>
      </c>
      <c r="F9094" s="39">
        <f t="shared" si="1444"/>
        <v>4136</v>
      </c>
      <c r="G9094" s="168">
        <f>SUM(C9094,C9070,C9046,C9022,C8998,C8974,C8950,C8926,C8902,C8878,C8854,C8830,C8806,C8782)/POBLA!$B$21*100000</f>
        <v>170.85084398959626</v>
      </c>
      <c r="H9094" s="256">
        <f t="shared" si="1440"/>
        <v>1.2228293867638129</v>
      </c>
      <c r="I9094" s="297">
        <f t="shared" si="1442"/>
        <v>208.92143278387786</v>
      </c>
      <c r="J9094" s="297">
        <f t="shared" si="1443"/>
        <v>452</v>
      </c>
      <c r="K9094" s="297">
        <f>J9094/POBLA!$B$21*100000</f>
        <v>12.781294518917163</v>
      </c>
      <c r="L9094" s="549">
        <f t="shared" si="1441"/>
        <v>-9.9374565670604653E-2</v>
      </c>
      <c r="M9094" s="401">
        <f>SUM(C9094,C9070,C9046,C9022,C8998,C8974,C8950)/POBLA!$B$21*100000</f>
        <v>89.46906163242015</v>
      </c>
    </row>
    <row r="9095" spans="1:13" s="360" customFormat="1" x14ac:dyDescent="0.25">
      <c r="A9095" s="367" t="s">
        <v>38</v>
      </c>
      <c r="B9095" s="267">
        <v>44271</v>
      </c>
      <c r="C9095" s="1">
        <v>76</v>
      </c>
      <c r="D9095" s="39">
        <f t="shared" si="1434"/>
        <v>23607</v>
      </c>
      <c r="E9095" s="1"/>
      <c r="F9095" s="39">
        <f t="shared" si="1444"/>
        <v>276</v>
      </c>
      <c r="G9095" s="168">
        <f>SUM(C9095,C9071,C9047,C9023,C8999,C8975,C8951,C8927,C8903,C8879,C8855,C8831,C8807,C8783)/POBLA!$B$22*100000</f>
        <v>89.439678303365085</v>
      </c>
      <c r="H9095" s="256">
        <f t="shared" si="1440"/>
        <v>1.0696821515892421</v>
      </c>
      <c r="I9095" s="297">
        <f t="shared" si="1442"/>
        <v>95.672027524993212</v>
      </c>
      <c r="J9095" s="297">
        <f t="shared" si="1443"/>
        <v>68.857142857142861</v>
      </c>
      <c r="K9095" s="297">
        <f>J9095/POBLA!$B$22*100000</f>
        <v>7.0383550926076683</v>
      </c>
      <c r="L9095" s="549">
        <f t="shared" si="1441"/>
        <v>-0.22646310432569972</v>
      </c>
      <c r="M9095" s="401">
        <f>SUM(C9095,C9071,C9047,C9023,C8999,C8975,C8951)/POBLA!$B$22*100000</f>
        <v>49.268485648253673</v>
      </c>
    </row>
    <row r="9096" spans="1:13" s="360" customFormat="1" x14ac:dyDescent="0.25">
      <c r="A9096" s="367" t="s">
        <v>39</v>
      </c>
      <c r="B9096" s="267">
        <v>44271</v>
      </c>
      <c r="C9096" s="1">
        <v>18</v>
      </c>
      <c r="D9096" s="39">
        <f t="shared" si="1434"/>
        <v>23416</v>
      </c>
      <c r="E9096" s="1"/>
      <c r="F9096" s="39">
        <f t="shared" si="1444"/>
        <v>358</v>
      </c>
      <c r="G9096" s="168">
        <f>SUM(C9096,C9072,C9048,C9024,C9000,C8976,C8952,C8928,C8904,C8880,C8856,C8832,C8808,C8784)/POBLA!$B$23*100000</f>
        <v>220.55081151388339</v>
      </c>
      <c r="H9096" s="256">
        <f t="shared" si="1440"/>
        <v>0.71823204419889508</v>
      </c>
      <c r="I9096" s="297">
        <f t="shared" si="1442"/>
        <v>158.40666020334166</v>
      </c>
      <c r="J9096" s="297">
        <f t="shared" si="1443"/>
        <v>25</v>
      </c>
      <c r="K9096" s="297">
        <f>J9096/POBLA!$B$23*100000</f>
        <v>14.137872532941241</v>
      </c>
      <c r="L9096" s="549">
        <f t="shared" si="1441"/>
        <v>0.18604651162790697</v>
      </c>
      <c r="M9096" s="401">
        <f>SUM(C9096,C9072,C9048,C9024,C9000,C8976,C8952)/POBLA!$B$23*100000</f>
        <v>98.965107730588699</v>
      </c>
    </row>
    <row r="9097" spans="1:13" s="360" customFormat="1" ht="15.75" thickBot="1" x14ac:dyDescent="0.3">
      <c r="A9097" s="369" t="s">
        <v>40</v>
      </c>
      <c r="B9097" s="267">
        <v>44271</v>
      </c>
      <c r="C9097" s="1">
        <v>270</v>
      </c>
      <c r="D9097" s="176">
        <f t="shared" si="1434"/>
        <v>82683</v>
      </c>
      <c r="E9097" s="1"/>
      <c r="F9097" s="176">
        <f t="shared" si="1444"/>
        <v>1491</v>
      </c>
      <c r="G9097" s="177">
        <f>SUM(C9097,C9073,C9049,C9025,C9001,C8977,C8953,C8929,C8905,C8881,C8857,C8833,C8809,C8785)/POBLA!$B$24*100000</f>
        <v>152.47932323728236</v>
      </c>
      <c r="H9097" s="402">
        <f t="shared" si="1440"/>
        <v>1.3564304461942258</v>
      </c>
      <c r="I9097" s="403">
        <f t="shared" si="1442"/>
        <v>206.82759645414049</v>
      </c>
      <c r="J9097" s="403">
        <f t="shared" si="1443"/>
        <v>219.42857142857142</v>
      </c>
      <c r="K9097" s="403">
        <f>J9097/POBLA!$B$24*100000</f>
        <v>12.948266281096071</v>
      </c>
      <c r="L9097" s="550">
        <f t="shared" si="1441"/>
        <v>-0.46564885496183206</v>
      </c>
      <c r="M9097" s="405">
        <f>SUM(C9097,C9073,C9049,C9025,C9001,C8977,C8953)/POBLA!$B$24*100000</f>
        <v>90.637863967672502</v>
      </c>
    </row>
    <row r="9098" spans="1:13" s="360" customFormat="1" x14ac:dyDescent="0.25">
      <c r="A9098" s="363" t="s">
        <v>16</v>
      </c>
      <c r="B9098" s="267">
        <v>44272</v>
      </c>
      <c r="C9098" s="1">
        <v>3596</v>
      </c>
      <c r="D9098" s="174">
        <f t="shared" si="1434"/>
        <v>927268</v>
      </c>
      <c r="E9098" s="1">
        <v>75</v>
      </c>
      <c r="F9098" s="174">
        <f t="shared" si="1444"/>
        <v>27366</v>
      </c>
      <c r="G9098" s="175">
        <f>SUM(C9098,C9074,C9050,C9026,C9002,C8978,C8954,C8930,C8906,C8882,C8858,C8834,C8810,C8786)/POBLA!$B$1*100000</f>
        <v>222.73921633718126</v>
      </c>
      <c r="H9098" s="300">
        <f t="shared" ref="H9098:H9121" si="1445">SUM(C9098,C9074,C9050,C9026,C9002,C8978,C8954,C8930,C8906,C8882,C8858,C8834,C8810,C8786)/SUM(C8762,C8738,C8714,C8690,C8666,C8642,C8618,C8594,C8570,C8546,C8522,C8498,C8474,C8450)</f>
        <v>1.0519641366683719</v>
      </c>
      <c r="I9098" s="301">
        <f>G9098*H9098</f>
        <v>234.31366741633261</v>
      </c>
      <c r="J9098" s="301">
        <f>AVERAGE(C9098,C9074,C9050,C9026,C9002,C8978,C8954)</f>
        <v>2986.5714285714284</v>
      </c>
      <c r="K9098" s="301">
        <f>J9098/POBLA!$B$1*100000</f>
        <v>17.026095557703048</v>
      </c>
      <c r="L9098" s="548">
        <f t="shared" ref="L9098:L9121" si="1446">1-SUM(C9098,C9074,C9050,C9026,C9002,C8978,C8954)/SUM(C8930,C8906,C8882,C8858,C8834,C8810,C8786)</f>
        <v>-0.15089457748417279</v>
      </c>
      <c r="M9098" s="400">
        <f>SUM(C9098,C9074,C9050,C9026,C9002,C8978,C8954)/POBLA!$B$1*100000</f>
        <v>119.18266890392135</v>
      </c>
    </row>
    <row r="9099" spans="1:13" s="360" customFormat="1" x14ac:dyDescent="0.25">
      <c r="A9099" s="367" t="s">
        <v>43</v>
      </c>
      <c r="B9099" s="267">
        <v>44272</v>
      </c>
      <c r="C9099" s="1">
        <v>929</v>
      </c>
      <c r="D9099" s="39">
        <f t="shared" ref="D9099:D9162" si="1447">C9099+D9075</f>
        <v>244938</v>
      </c>
      <c r="E9099" s="1">
        <v>12</v>
      </c>
      <c r="F9099" s="39">
        <f t="shared" si="1444"/>
        <v>6721</v>
      </c>
      <c r="G9099" s="168">
        <f>SUM(C9099,C9075,C9051,C9027,C9003,C8979,C8955,C8931,C8907,C8883,C8859,C8835,C8811,C8787)/POBLA!$B$2*100000</f>
        <v>360.99733194262279</v>
      </c>
      <c r="H9099" s="256">
        <f t="shared" si="1445"/>
        <v>1.1448752320065994</v>
      </c>
      <c r="I9099" s="297">
        <f t="shared" ref="I9099:I9121" si="1448">G9099*H9099</f>
        <v>413.29690416157365</v>
      </c>
      <c r="J9099" s="297">
        <f t="shared" ref="J9099:J9121" si="1449">AVERAGE(C9099,C9075,C9051,C9027,C9003,C8979,C8955)</f>
        <v>855.42857142857144</v>
      </c>
      <c r="K9099" s="297">
        <f>J9099/POBLA!$B$2*100000</f>
        <v>27.812972345600617</v>
      </c>
      <c r="L9099" s="549">
        <f t="shared" si="1446"/>
        <v>-0.17067448680351904</v>
      </c>
      <c r="M9099" s="401">
        <f>SUM(C9099,C9075,C9051,C9027,C9003,C8979,C8955)/POBLA!$B$2*100000</f>
        <v>194.69080641920431</v>
      </c>
    </row>
    <row r="9100" spans="1:13" s="360" customFormat="1" x14ac:dyDescent="0.25">
      <c r="A9100" s="367" t="s">
        <v>28</v>
      </c>
      <c r="B9100" s="267">
        <v>44272</v>
      </c>
      <c r="C9100" s="1">
        <v>112</v>
      </c>
      <c r="D9100" s="39">
        <f t="shared" si="1447"/>
        <v>9358</v>
      </c>
      <c r="E9100" s="1"/>
      <c r="F9100" s="39">
        <f t="shared" si="1444"/>
        <v>18</v>
      </c>
      <c r="G9100" s="168">
        <f>SUM(C9100,C9076,C9052,C9028,C9004,C8980,C8956,C8932,C8908,C8884,C8860,C8836,C8812,C8788)/POBLA!$B$3*100000</f>
        <v>282.59331115593665</v>
      </c>
      <c r="H9100" s="256">
        <f t="shared" si="1445"/>
        <v>0.96150696150696147</v>
      </c>
      <c r="I9100" s="297">
        <f t="shared" si="1448"/>
        <v>271.71543595173597</v>
      </c>
      <c r="J9100" s="297">
        <f t="shared" si="1449"/>
        <v>95.428571428571431</v>
      </c>
      <c r="K9100" s="297">
        <f>J9100/POBLA!$B$3*100000</f>
        <v>22.97059282698536</v>
      </c>
      <c r="L9100" s="549">
        <f t="shared" si="1446"/>
        <v>-0.32015810276679835</v>
      </c>
      <c r="M9100" s="401">
        <f>SUM(C9100,C9076,C9052,C9028,C9004,C8980,C8956)/POBLA!$B$3*100000</f>
        <v>160.7941497888975</v>
      </c>
    </row>
    <row r="9101" spans="1:13" s="360" customFormat="1" x14ac:dyDescent="0.25">
      <c r="A9101" s="367" t="s">
        <v>15</v>
      </c>
      <c r="B9101" s="267">
        <v>44272</v>
      </c>
      <c r="C9101" s="1">
        <v>139</v>
      </c>
      <c r="D9101" s="39">
        <f t="shared" si="1447"/>
        <v>36325</v>
      </c>
      <c r="E9101" s="1">
        <v>4</v>
      </c>
      <c r="F9101" s="39">
        <f t="shared" si="1444"/>
        <v>900</v>
      </c>
      <c r="G9101" s="168">
        <f>SUM(C9101,C9077,C9053,C9029,C9005,C8981,C8957,C8933,C8909,C8885,C8861,C8837,C8813,C8789)/POBLA!$B$4*100000</f>
        <v>151.17791756361967</v>
      </c>
      <c r="H9101" s="256">
        <f t="shared" si="1445"/>
        <v>1.0005494505494505</v>
      </c>
      <c r="I9101" s="297">
        <f t="shared" si="1448"/>
        <v>151.26098235348979</v>
      </c>
      <c r="J9101" s="297">
        <f t="shared" si="1449"/>
        <v>129.42857142857142</v>
      </c>
      <c r="K9101" s="297">
        <f>J9101/POBLA!$B$4*100000</f>
        <v>10.745053213512152</v>
      </c>
      <c r="L9101" s="549">
        <f t="shared" si="1446"/>
        <v>9.8360655737704805E-3</v>
      </c>
      <c r="M9101" s="401">
        <f>SUM(C9101,C9077,C9053,C9029,C9005,C8981,C8957)/POBLA!$B$4*100000</f>
        <v>75.215372494585068</v>
      </c>
    </row>
    <row r="9102" spans="1:13" s="360" customFormat="1" x14ac:dyDescent="0.25">
      <c r="A9102" s="367" t="s">
        <v>29</v>
      </c>
      <c r="B9102" s="267">
        <v>44272</v>
      </c>
      <c r="C9102" s="1">
        <v>126</v>
      </c>
      <c r="D9102" s="39">
        <f t="shared" si="1447"/>
        <v>48477</v>
      </c>
      <c r="E9102" s="1"/>
      <c r="F9102" s="39">
        <f t="shared" si="1444"/>
        <v>812</v>
      </c>
      <c r="G9102" s="168">
        <f>SUM(C9102,C9078,C9054,C9030,C9006,C8982,C8958,C8934,C8910,C8886,C8862,C8838,C8814,C8790)/POBLA!$B$5*100000</f>
        <v>194.99381254099393</v>
      </c>
      <c r="H9102" s="256">
        <f t="shared" si="1445"/>
        <v>0.6850170261066969</v>
      </c>
      <c r="I9102" s="297">
        <f t="shared" si="1448"/>
        <v>133.5740815760384</v>
      </c>
      <c r="J9102" s="297">
        <f t="shared" si="1449"/>
        <v>95.714285714285708</v>
      </c>
      <c r="K9102" s="297">
        <f>J9102/POBLA!$B$5*100000</f>
        <v>15.462877784645039</v>
      </c>
      <c r="L9102" s="549">
        <f t="shared" si="1446"/>
        <v>-0.24767225325884534</v>
      </c>
      <c r="M9102" s="401">
        <f>SUM(C9102,C9078,C9054,C9030,C9006,C8982,C8958)/POBLA!$B$5*100000</f>
        <v>108.24014449251527</v>
      </c>
    </row>
    <row r="9103" spans="1:13" s="360" customFormat="1" x14ac:dyDescent="0.25">
      <c r="A9103" s="367" t="s">
        <v>30</v>
      </c>
      <c r="B9103" s="267">
        <v>44272</v>
      </c>
      <c r="C9103" s="1">
        <v>264</v>
      </c>
      <c r="D9103" s="39">
        <f t="shared" si="1447"/>
        <v>25461</v>
      </c>
      <c r="E9103" s="1"/>
      <c r="F9103" s="39">
        <f t="shared" si="1444"/>
        <v>306</v>
      </c>
      <c r="G9103" s="168">
        <f>SUM(C9103,C9079,C9055,C9031,C9007,C8983,C8959,C8935,C8911,C8887,C8863,C8839,C8815,C8791)/POBLA!$B$6*100000</f>
        <v>280.87055596845471</v>
      </c>
      <c r="H9103" s="256">
        <f t="shared" si="1445"/>
        <v>1.6638477801268499</v>
      </c>
      <c r="I9103" s="297">
        <f t="shared" si="1448"/>
        <v>467.32585105110752</v>
      </c>
      <c r="J9103" s="297">
        <f t="shared" si="1449"/>
        <v>214.71428571428572</v>
      </c>
      <c r="K9103" s="297">
        <f>J9103/POBLA!$B$6*100000</f>
        <v>19.157217535877084</v>
      </c>
      <c r="L9103" s="549">
        <f t="shared" si="1446"/>
        <v>8.632218844984807E-2</v>
      </c>
      <c r="M9103" s="401">
        <f>SUM(C9103,C9079,C9055,C9031,C9007,C8983,C8959)/POBLA!$B$6*100000</f>
        <v>134.10052275113961</v>
      </c>
    </row>
    <row r="9104" spans="1:13" s="360" customFormat="1" x14ac:dyDescent="0.25">
      <c r="A9104" s="367" t="s">
        <v>20</v>
      </c>
      <c r="B9104" s="267">
        <v>44272</v>
      </c>
      <c r="C9104" s="1">
        <v>781</v>
      </c>
      <c r="D9104" s="39">
        <f t="shared" si="1447"/>
        <v>169852</v>
      </c>
      <c r="E9104" s="1">
        <v>12</v>
      </c>
      <c r="F9104" s="39">
        <f t="shared" si="1444"/>
        <v>2952</v>
      </c>
      <c r="G9104" s="168">
        <f>SUM(C9104,C9080,C9056,C9032,C9008,C8984,C8960,C8936,C8912,C8888,C8864,C8840,C8816,C8792)/POBLA!$B$7*100000</f>
        <v>215.5061229374144</v>
      </c>
      <c r="H9104" s="256">
        <f t="shared" si="1445"/>
        <v>0.91705329863075702</v>
      </c>
      <c r="I9104" s="297">
        <f t="shared" si="1448"/>
        <v>197.63060091488131</v>
      </c>
      <c r="J9104" s="297">
        <f t="shared" si="1449"/>
        <v>596</v>
      </c>
      <c r="K9104" s="297">
        <f>J9104/POBLA!$B$7*100000</f>
        <v>15.849166987993458</v>
      </c>
      <c r="L9104" s="549">
        <f t="shared" si="1446"/>
        <v>-6.1037639877924654E-2</v>
      </c>
      <c r="M9104" s="401">
        <f>SUM(C9104,C9080,C9056,C9032,C9008,C8984,C8960)/POBLA!$B$7*100000</f>
        <v>110.94416891595419</v>
      </c>
    </row>
    <row r="9105" spans="1:13" x14ac:dyDescent="0.25">
      <c r="A9105" s="367" t="s">
        <v>31</v>
      </c>
      <c r="B9105" s="267">
        <v>44272</v>
      </c>
      <c r="C9105" s="1">
        <v>203</v>
      </c>
      <c r="D9105" s="39">
        <f t="shared" si="1447"/>
        <v>47396</v>
      </c>
      <c r="E9105" s="1">
        <v>10</v>
      </c>
      <c r="F9105" s="39">
        <f t="shared" ref="F9105:F9128" si="1450">E9105+F9081</f>
        <v>918</v>
      </c>
      <c r="G9105" s="168">
        <f>SUM(C9105,C9081,C9057,C9033,C9009,C8985,C8961,C8937,C8913,C8889,C8865,C8841,C8817,C8793)/POBLA!$B$8*100000</f>
        <v>135.42949621237537</v>
      </c>
      <c r="H9105" s="256">
        <f t="shared" si="1445"/>
        <v>1.0713470319634704</v>
      </c>
      <c r="I9105" s="297">
        <f t="shared" si="1448"/>
        <v>145.09198880743639</v>
      </c>
      <c r="J9105" s="297">
        <f t="shared" si="1449"/>
        <v>140.85714285714286</v>
      </c>
      <c r="K9105" s="297">
        <f>J9105/POBLA!$B$8*100000</f>
        <v>10.163138995768485</v>
      </c>
      <c r="L9105" s="549">
        <f t="shared" si="1446"/>
        <v>-0.10662177328844002</v>
      </c>
      <c r="M9105" s="401">
        <f>SUM(C9105,C9081,C9057,C9033,C9009,C8985,C8961)/POBLA!$B$8*100000</f>
        <v>71.141972970379399</v>
      </c>
    </row>
    <row r="9106" spans="1:13" s="360" customFormat="1" x14ac:dyDescent="0.25">
      <c r="A9106" s="367" t="s">
        <v>41</v>
      </c>
      <c r="B9106" s="267">
        <v>44272</v>
      </c>
      <c r="C9106" s="1">
        <v>21</v>
      </c>
      <c r="D9106" s="39">
        <f t="shared" si="1447"/>
        <v>1647</v>
      </c>
      <c r="E9106" s="1">
        <v>3</v>
      </c>
      <c r="F9106" s="39">
        <f t="shared" si="1450"/>
        <v>23</v>
      </c>
      <c r="G9106" s="168">
        <f>SUM(C9106,C9082,C9058,C9034,C9010,C8986,C8962,C8938,C8914,C8890,C8866,C8842,C8818,C8794)/POBLA!$B$9*100000</f>
        <v>59.650392519411163</v>
      </c>
      <c r="H9106" s="256">
        <f t="shared" si="1445"/>
        <v>1.2114093959731544</v>
      </c>
      <c r="I9106" s="297">
        <f t="shared" si="1448"/>
        <v>72.261045971501446</v>
      </c>
      <c r="J9106" s="297">
        <f t="shared" si="1449"/>
        <v>31.285714285714285</v>
      </c>
      <c r="K9106" s="297">
        <f>J9106/POBLA!$B$9*100000</f>
        <v>5.1695433168781344</v>
      </c>
      <c r="L9106" s="549">
        <f t="shared" si="1446"/>
        <v>-0.54225352112676051</v>
      </c>
      <c r="M9106" s="401">
        <f>SUM(C9106,C9082,C9058,C9034,C9010,C8986,C8962)/POBLA!$B$9*100000</f>
        <v>36.186803218146942</v>
      </c>
    </row>
    <row r="9107" spans="1:13" s="360" customFormat="1" x14ac:dyDescent="0.25">
      <c r="A9107" s="367" t="s">
        <v>32</v>
      </c>
      <c r="B9107" s="267">
        <v>44272</v>
      </c>
      <c r="C9107" s="1">
        <v>75</v>
      </c>
      <c r="D9107" s="39">
        <f t="shared" si="1447"/>
        <v>21838</v>
      </c>
      <c r="E9107" s="1">
        <v>5</v>
      </c>
      <c r="F9107" s="39">
        <f t="shared" si="1450"/>
        <v>937</v>
      </c>
      <c r="G9107" s="168">
        <f>SUM(C9107,C9083,C9059,C9035,C9011,C8987,C8963,C8939,C8915,C8891,C8867,C8843,C8819,C8795)/POBLA!$B$10*100000</f>
        <v>111.0417820649361</v>
      </c>
      <c r="H9107" s="256">
        <f t="shared" si="1445"/>
        <v>0.77536231884057971</v>
      </c>
      <c r="I9107" s="297">
        <f t="shared" si="1448"/>
        <v>86.097613630059143</v>
      </c>
      <c r="J9107" s="297">
        <f t="shared" si="1449"/>
        <v>56.142857142857146</v>
      </c>
      <c r="K9107" s="297">
        <f>J9107/POBLA!$B$10*100000</f>
        <v>7.282947321682224</v>
      </c>
      <c r="L9107" s="549">
        <f t="shared" si="1446"/>
        <v>0.15118790496760259</v>
      </c>
      <c r="M9107" s="401">
        <f>SUM(C9107,C9083,C9059,C9035,C9011,C8987,C8963)/POBLA!$B$10*100000</f>
        <v>50.980631251775563</v>
      </c>
    </row>
    <row r="9108" spans="1:13" s="360" customFormat="1" x14ac:dyDescent="0.25">
      <c r="A9108" s="367" t="s">
        <v>33</v>
      </c>
      <c r="B9108" s="267">
        <v>44272</v>
      </c>
      <c r="C9108" s="1">
        <v>160</v>
      </c>
      <c r="D9108" s="39">
        <f t="shared" si="1447"/>
        <v>20228</v>
      </c>
      <c r="E9108" s="1">
        <v>3</v>
      </c>
      <c r="F9108" s="39">
        <f t="shared" si="1450"/>
        <v>308</v>
      </c>
      <c r="G9108" s="168">
        <f>SUM(C9108,C9084,C9060,C9036,C9012,C8988,C8964,C8940,C8916,C8892,C8868,C8844,C8820,C8796)/POBLA!$B$11*100000</f>
        <v>355.7199772339215</v>
      </c>
      <c r="H9108" s="256">
        <f t="shared" si="1445"/>
        <v>1.1465827338129497</v>
      </c>
      <c r="I9108" s="297">
        <f t="shared" si="1448"/>
        <v>407.86238396874995</v>
      </c>
      <c r="J9108" s="297">
        <f t="shared" si="1449"/>
        <v>103</v>
      </c>
      <c r="K9108" s="297">
        <f>J9108/POBLA!$B$11*100000</f>
        <v>28.736594239289342</v>
      </c>
      <c r="L9108" s="549">
        <f t="shared" si="1446"/>
        <v>-0.3014440433212997</v>
      </c>
      <c r="M9108" s="401">
        <f>SUM(C9108,C9084,C9060,C9036,C9012,C8988,C8964)/POBLA!$B$11*100000</f>
        <v>201.15615967502541</v>
      </c>
    </row>
    <row r="9109" spans="1:13" s="360" customFormat="1" x14ac:dyDescent="0.25">
      <c r="A9109" s="367" t="s">
        <v>21</v>
      </c>
      <c r="B9109" s="267">
        <v>44272</v>
      </c>
      <c r="C9109" s="1">
        <v>1</v>
      </c>
      <c r="D9109" s="39">
        <f t="shared" si="1447"/>
        <v>10567</v>
      </c>
      <c r="E9109" s="1"/>
      <c r="F9109" s="39">
        <f t="shared" si="1450"/>
        <v>447</v>
      </c>
      <c r="G9109" s="168">
        <f>SUM(C9109,C9085,C9061,C9037,C9013,C8989,C8965,C8941,C8917,C8893,C8869,C8845,C8821,C8797)/POBLA!$B$12*100000</f>
        <v>71.150684444173393</v>
      </c>
      <c r="H9109" s="256">
        <f t="shared" si="1445"/>
        <v>0.75471698113207553</v>
      </c>
      <c r="I9109" s="297">
        <f t="shared" si="1448"/>
        <v>53.69862976918747</v>
      </c>
      <c r="J9109" s="297">
        <f t="shared" si="1449"/>
        <v>20.857142857142858</v>
      </c>
      <c r="K9109" s="297">
        <f>J9109/POBLA!$B$12*100000</f>
        <v>5.2999999636986308</v>
      </c>
      <c r="L9109" s="549">
        <f t="shared" si="1446"/>
        <v>-8.9552238805970186E-2</v>
      </c>
      <c r="M9109" s="401">
        <f>SUM(C9109,C9085,C9061,C9037,C9013,C8989,C8965)/POBLA!$B$12*100000</f>
        <v>37.099999745890408</v>
      </c>
    </row>
    <row r="9110" spans="1:13" s="360" customFormat="1" x14ac:dyDescent="0.25">
      <c r="A9110" s="367" t="s">
        <v>17</v>
      </c>
      <c r="B9110" s="267">
        <v>44272</v>
      </c>
      <c r="C9110" s="1">
        <v>149</v>
      </c>
      <c r="D9110" s="39">
        <f t="shared" si="1447"/>
        <v>69807</v>
      </c>
      <c r="E9110" s="1">
        <v>2</v>
      </c>
      <c r="F9110" s="39">
        <f t="shared" si="1450"/>
        <v>1484</v>
      </c>
      <c r="G9110" s="168">
        <f>SUM(C9110,C9086,C9062,C9038,C9014,C8990,C8966,C8942,C8918,C8894,C8870,C8846,C8822,C8798)/POBLA!$B$13*100000</f>
        <v>106.5145718968336</v>
      </c>
      <c r="H9110" s="256">
        <f t="shared" si="1445"/>
        <v>1.1629182665935272</v>
      </c>
      <c r="I9110" s="297">
        <f t="shared" si="1448"/>
        <v>123.86774131721735</v>
      </c>
      <c r="J9110" s="297">
        <f t="shared" si="1449"/>
        <v>142.85714285714286</v>
      </c>
      <c r="K9110" s="297">
        <f>J9110/POBLA!$B$13*100000</f>
        <v>7.1775317989780056</v>
      </c>
      <c r="L9110" s="549">
        <f t="shared" si="1446"/>
        <v>0.1071428571428571</v>
      </c>
      <c r="M9110" s="401">
        <f>SUM(C9110,C9086,C9062,C9038,C9014,C8990,C8966)/POBLA!$B$13*100000</f>
        <v>50.242722592846036</v>
      </c>
    </row>
    <row r="9111" spans="1:13" s="360" customFormat="1" x14ac:dyDescent="0.25">
      <c r="A9111" s="367" t="s">
        <v>23</v>
      </c>
      <c r="B9111" s="267">
        <v>44272</v>
      </c>
      <c r="C9111" s="1">
        <v>141</v>
      </c>
      <c r="D9111" s="39">
        <f t="shared" si="1447"/>
        <v>10330</v>
      </c>
      <c r="E9111" s="1">
        <v>4</v>
      </c>
      <c r="F9111" s="39">
        <f t="shared" si="1450"/>
        <v>176</v>
      </c>
      <c r="G9111" s="168">
        <f>SUM(C9111,C9087,C9063,C9039,C9015,C8991,C8967,C8943,C8919,C8895,C8871,C8847,C8823,C8799)/POBLA!$B$14*100000</f>
        <v>133.19654259831569</v>
      </c>
      <c r="H9111" s="256">
        <f t="shared" si="1445"/>
        <v>1.0559396605908233</v>
      </c>
      <c r="I9111" s="297">
        <f t="shared" si="1448"/>
        <v>140.64751198313661</v>
      </c>
      <c r="J9111" s="297">
        <f t="shared" si="1449"/>
        <v>123.28571428571429</v>
      </c>
      <c r="K9111" s="297">
        <f>J9111/POBLA!$B$14*100000</f>
        <v>9.7745421991791197</v>
      </c>
      <c r="L9111" s="549">
        <f t="shared" si="1446"/>
        <v>-5.6303549571603329E-2</v>
      </c>
      <c r="M9111" s="401">
        <f>SUM(C9111,C9087,C9063,C9039,C9015,C8991,C8967)/POBLA!$B$14*100000</f>
        <v>68.421795394253834</v>
      </c>
    </row>
    <row r="9112" spans="1:13" s="360" customFormat="1" x14ac:dyDescent="0.25">
      <c r="A9112" s="367" t="s">
        <v>19</v>
      </c>
      <c r="B9112" s="267">
        <v>44272</v>
      </c>
      <c r="C9112" s="1">
        <v>131</v>
      </c>
      <c r="D9112" s="39">
        <f t="shared" si="1447"/>
        <v>63593</v>
      </c>
      <c r="E9112" s="1">
        <v>11</v>
      </c>
      <c r="F9112" s="39">
        <f t="shared" si="1450"/>
        <v>966</v>
      </c>
      <c r="G9112" s="168">
        <f>SUM(C9112,C9088,C9064,C9040,C9016,C8992,C8968,C8944,C8920,C8896,C8872,C8848,C8824,C8800)/POBLA!$B$15*100000</f>
        <v>288.83062749131477</v>
      </c>
      <c r="H9112" s="256">
        <f t="shared" si="1445"/>
        <v>0.75900277008310246</v>
      </c>
      <c r="I9112" s="297">
        <f t="shared" si="1448"/>
        <v>219.22324635074861</v>
      </c>
      <c r="J9112" s="297">
        <f t="shared" si="1449"/>
        <v>122.42857142857143</v>
      </c>
      <c r="K9112" s="297">
        <f>J9112/POBLA!$B$15*100000</f>
        <v>18.436455218237505</v>
      </c>
      <c r="L9112" s="549">
        <f t="shared" si="1446"/>
        <v>0.19227144203581525</v>
      </c>
      <c r="M9112" s="401">
        <f>SUM(C9112,C9088,C9064,C9040,C9016,C8992,C8968)/POBLA!$B$15*100000</f>
        <v>129.05518652766253</v>
      </c>
    </row>
    <row r="9113" spans="1:13" s="360" customFormat="1" x14ac:dyDescent="0.25">
      <c r="A9113" s="367" t="s">
        <v>18</v>
      </c>
      <c r="B9113" s="267">
        <v>44272</v>
      </c>
      <c r="C9113" s="1">
        <v>110</v>
      </c>
      <c r="D9113" s="39">
        <f t="shared" si="1447"/>
        <v>54106</v>
      </c>
      <c r="E9113" s="1">
        <v>6</v>
      </c>
      <c r="F9113" s="39">
        <f t="shared" si="1450"/>
        <v>1249</v>
      </c>
      <c r="G9113" s="168">
        <f>SUM(C9113,C9089,C9065,C9041,C9017,C8993,C8969,C8945,C8921,C8897,C8873,C8849,C8825,C8801)/POBLA!$B$16*100000</f>
        <v>182.44806784285925</v>
      </c>
      <c r="H9113" s="256">
        <f t="shared" si="1445"/>
        <v>0.76031215161649945</v>
      </c>
      <c r="I9113" s="297">
        <f t="shared" si="1448"/>
        <v>138.71748301987736</v>
      </c>
      <c r="J9113" s="297">
        <f t="shared" si="1449"/>
        <v>84.714285714285708</v>
      </c>
      <c r="K9113" s="297">
        <f>J9113/POBLA!$B$16*100000</f>
        <v>11.331347322037654</v>
      </c>
      <c r="L9113" s="549">
        <f t="shared" si="1446"/>
        <v>0.23086900129701682</v>
      </c>
      <c r="M9113" s="401">
        <f>SUM(C9113,C9089,C9065,C9041,C9017,C8993,C8969)/POBLA!$B$16*100000</f>
        <v>79.319431254263591</v>
      </c>
    </row>
    <row r="9114" spans="1:13" s="360" customFormat="1" x14ac:dyDescent="0.25">
      <c r="A9114" s="367" t="s">
        <v>34</v>
      </c>
      <c r="B9114" s="267">
        <v>44272</v>
      </c>
      <c r="C9114" s="1">
        <v>123</v>
      </c>
      <c r="D9114" s="39">
        <f t="shared" si="1447"/>
        <v>27944</v>
      </c>
      <c r="E9114" s="1">
        <v>2</v>
      </c>
      <c r="F9114" s="39">
        <f t="shared" si="1450"/>
        <v>1152</v>
      </c>
      <c r="G9114" s="168">
        <f>SUM(C9114,C9090,C9066,C9042,C9018,C8994,C8970,C8946,C8922,C8898,C8874,C8850,C8826,C8802)/POBLA!$B$17*100000</f>
        <v>105.58854027353328</v>
      </c>
      <c r="H9114" s="256">
        <f t="shared" si="1445"/>
        <v>0.99933554817275749</v>
      </c>
      <c r="I9114" s="297">
        <f t="shared" si="1448"/>
        <v>105.51838177501267</v>
      </c>
      <c r="J9114" s="297">
        <f t="shared" si="1449"/>
        <v>104.71428571428571</v>
      </c>
      <c r="K9114" s="297">
        <f>J9114/POBLA!$B$17*100000</f>
        <v>7.3514817648651123</v>
      </c>
      <c r="L9114" s="549">
        <f t="shared" si="1446"/>
        <v>4.9286640726329489E-2</v>
      </c>
      <c r="M9114" s="401">
        <f>SUM(C9114,C9090,C9066,C9042,C9018,C8994,C8970)/POBLA!$B$17*100000</f>
        <v>51.460372354055785</v>
      </c>
    </row>
    <row r="9115" spans="1:13" s="360" customFormat="1" x14ac:dyDescent="0.25">
      <c r="A9115" s="367" t="s">
        <v>35</v>
      </c>
      <c r="B9115" s="267">
        <v>44272</v>
      </c>
      <c r="C9115" s="1">
        <v>74</v>
      </c>
      <c r="D9115" s="39">
        <f t="shared" si="1447"/>
        <v>16091</v>
      </c>
      <c r="E9115" s="1">
        <v>1</v>
      </c>
      <c r="F9115" s="39">
        <f t="shared" si="1450"/>
        <v>219</v>
      </c>
      <c r="G9115" s="168">
        <f>SUM(C9115,C9091,C9067,C9043,C9019,C8995,C8971,C8947,C8923,C8899,C8875,C8851,C8827,C8803)/POBLA!$B$18*100000</f>
        <v>87.939714573543583</v>
      </c>
      <c r="H9115" s="256">
        <f t="shared" si="1445"/>
        <v>1.0377643504531722</v>
      </c>
      <c r="I9115" s="297">
        <f t="shared" si="1448"/>
        <v>91.260700773450822</v>
      </c>
      <c r="J9115" s="297">
        <f t="shared" si="1449"/>
        <v>49</v>
      </c>
      <c r="K9115" s="297">
        <f>J9115/POBLA!$B$18*100000</f>
        <v>6.2722649404710857</v>
      </c>
      <c r="L9115" s="549">
        <f t="shared" si="1446"/>
        <v>2.9069767441860517E-3</v>
      </c>
      <c r="M9115" s="401">
        <f>SUM(C9115,C9091,C9067,C9043,C9019,C8995,C8971)/POBLA!$B$18*100000</f>
        <v>43.905854583297597</v>
      </c>
    </row>
    <row r="9116" spans="1:13" s="360" customFormat="1" x14ac:dyDescent="0.25">
      <c r="A9116" s="367" t="s">
        <v>36</v>
      </c>
      <c r="B9116" s="267">
        <v>44272</v>
      </c>
      <c r="C9116" s="1">
        <v>4</v>
      </c>
      <c r="D9116" s="39">
        <f t="shared" si="1447"/>
        <v>21524</v>
      </c>
      <c r="E9116" s="1">
        <v>1</v>
      </c>
      <c r="F9116" s="39">
        <f t="shared" si="1450"/>
        <v>362</v>
      </c>
      <c r="G9116" s="168">
        <f>SUM(C9116,C9092,C9068,C9044,C9020,C8996,C8972,C8948,C8924,C8900,C8876,C8852,C8828,C8804)/POBLA!$B$19*100000</f>
        <v>144.78840433735698</v>
      </c>
      <c r="H9116" s="256">
        <f t="shared" si="1445"/>
        <v>1.3119429590017826</v>
      </c>
      <c r="I9116" s="297">
        <f t="shared" si="1448"/>
        <v>189.95412761549863</v>
      </c>
      <c r="J9116" s="297">
        <f t="shared" si="1449"/>
        <v>101.57142857142857</v>
      </c>
      <c r="K9116" s="297">
        <f>J9116/POBLA!$B$19*100000</f>
        <v>19.981474278699693</v>
      </c>
      <c r="L9116" s="549">
        <f t="shared" si="1446"/>
        <v>-27.44</v>
      </c>
      <c r="M9116" s="401">
        <f>SUM(C9116,C9092,C9068,C9044,C9020,C8996,C8972)/POBLA!$B$19*100000</f>
        <v>139.87031995089785</v>
      </c>
    </row>
    <row r="9117" spans="1:13" s="360" customFormat="1" x14ac:dyDescent="0.25">
      <c r="A9117" s="367" t="s">
        <v>37</v>
      </c>
      <c r="B9117" s="267">
        <v>44272</v>
      </c>
      <c r="C9117" s="1">
        <v>142</v>
      </c>
      <c r="D9117" s="39">
        <f t="shared" si="1447"/>
        <v>37716</v>
      </c>
      <c r="E9117" s="1"/>
      <c r="F9117" s="39">
        <f t="shared" si="1450"/>
        <v>613</v>
      </c>
      <c r="G9117" s="168">
        <f>SUM(C9117,C9093,C9069,C9045,C9021,C8997,C8973,C8949,C8925,C8901,C8877,C8853,C8829,C8805)/POBLA!$B$20*100000</f>
        <v>404.43207236572249</v>
      </c>
      <c r="H9117" s="256">
        <f t="shared" si="1445"/>
        <v>0.99462004034969742</v>
      </c>
      <c r="I9117" s="297">
        <f t="shared" si="1448"/>
        <v>402.25624413510667</v>
      </c>
      <c r="J9117" s="297">
        <f t="shared" si="1449"/>
        <v>107.57142857142857</v>
      </c>
      <c r="K9117" s="297">
        <f>J9117/POBLA!$B$20*100000</f>
        <v>29.415372403302332</v>
      </c>
      <c r="L9117" s="549">
        <f t="shared" si="1446"/>
        <v>-3.7190082644628086E-2</v>
      </c>
      <c r="M9117" s="401">
        <f>SUM(C9117,C9093,C9069,C9045,C9021,C8997,C8973)/POBLA!$B$20*100000</f>
        <v>205.90760682311634</v>
      </c>
    </row>
    <row r="9118" spans="1:13" s="360" customFormat="1" x14ac:dyDescent="0.25">
      <c r="A9118" s="367" t="s">
        <v>22</v>
      </c>
      <c r="B9118" s="267">
        <v>44272</v>
      </c>
      <c r="C9118" s="1">
        <v>596</v>
      </c>
      <c r="D9118" s="39">
        <f t="shared" si="1447"/>
        <v>223826</v>
      </c>
      <c r="E9118" s="1">
        <v>43</v>
      </c>
      <c r="F9118" s="39">
        <f t="shared" si="1450"/>
        <v>4179</v>
      </c>
      <c r="G9118" s="168">
        <f>SUM(C9118,C9094,C9070,C9046,C9022,C8998,C8974,C8950,C8926,C8902,C8878,C8854,C8830,C8806)/POBLA!$B$21*100000</f>
        <v>173.48062361406372</v>
      </c>
      <c r="H9118" s="256">
        <f t="shared" si="1445"/>
        <v>1.1973067915690867</v>
      </c>
      <c r="I9118" s="297">
        <f t="shared" si="1448"/>
        <v>207.70952885875897</v>
      </c>
      <c r="J9118" s="297">
        <f t="shared" si="1449"/>
        <v>464.42857142857144</v>
      </c>
      <c r="K9118" s="297">
        <f>J9118/POBLA!$B$21*100000</f>
        <v>13.13273972218701</v>
      </c>
      <c r="L9118" s="549">
        <f t="shared" si="1446"/>
        <v>-0.12725381414701809</v>
      </c>
      <c r="M9118" s="401">
        <f>SUM(C9118,C9094,C9070,C9046,C9022,C8998,C8974)/POBLA!$B$21*100000</f>
        <v>91.929178055309066</v>
      </c>
    </row>
    <row r="9119" spans="1:13" s="360" customFormat="1" x14ac:dyDescent="0.25">
      <c r="A9119" s="367" t="s">
        <v>38</v>
      </c>
      <c r="B9119" s="267">
        <v>44272</v>
      </c>
      <c r="C9119" s="1">
        <v>108</v>
      </c>
      <c r="D9119" s="39">
        <f t="shared" si="1447"/>
        <v>23715</v>
      </c>
      <c r="E9119" s="1"/>
      <c r="F9119" s="39">
        <f t="shared" si="1450"/>
        <v>276</v>
      </c>
      <c r="G9119" s="168">
        <f>SUM(C9119,C9095,C9071,C9047,C9023,C8999,C8975,C8951,C8927,C8903,C8879,C8855,C8831,C8807)/POBLA!$B$22*100000</f>
        <v>94.857167389168907</v>
      </c>
      <c r="H9119" s="256">
        <f t="shared" si="1445"/>
        <v>1.1248484848484848</v>
      </c>
      <c r="I9119" s="297">
        <f t="shared" si="1448"/>
        <v>106.69994101472574</v>
      </c>
      <c r="J9119" s="297">
        <f t="shared" si="1449"/>
        <v>77</v>
      </c>
      <c r="K9119" s="297">
        <f>J9119/POBLA!$B$22*100000</f>
        <v>7.8706916906961277</v>
      </c>
      <c r="L9119" s="549">
        <f t="shared" si="1446"/>
        <v>-0.38560411311053988</v>
      </c>
      <c r="M9119" s="401">
        <f>SUM(C9119,C9095,C9071,C9047,C9023,C8999,C8975)/POBLA!$B$22*100000</f>
        <v>55.094841834872895</v>
      </c>
    </row>
    <row r="9120" spans="1:13" s="360" customFormat="1" x14ac:dyDescent="0.25">
      <c r="A9120" s="367" t="s">
        <v>39</v>
      </c>
      <c r="B9120" s="267">
        <v>44272</v>
      </c>
      <c r="C9120" s="1">
        <v>33</v>
      </c>
      <c r="D9120" s="39">
        <f t="shared" si="1447"/>
        <v>23449</v>
      </c>
      <c r="E9120" s="1"/>
      <c r="F9120" s="39">
        <f t="shared" si="1450"/>
        <v>358</v>
      </c>
      <c r="G9120" s="168">
        <f>SUM(C9120,C9096,C9072,C9048,C9024,C9000,C8976,C8952,C8928,C8904,C8880,C8856,C8832,C8808)/POBLA!$B$23*100000</f>
        <v>226.77147542837753</v>
      </c>
      <c r="H9120" s="256">
        <f t="shared" si="1445"/>
        <v>0.77263969171483626</v>
      </c>
      <c r="I9120" s="297">
        <f t="shared" si="1448"/>
        <v>175.21264286470017</v>
      </c>
      <c r="J9120" s="297">
        <f t="shared" si="1449"/>
        <v>27.571428571428573</v>
      </c>
      <c r="K9120" s="297">
        <f>J9120/POBLA!$B$23*100000</f>
        <v>15.592053707758058</v>
      </c>
      <c r="L9120" s="549">
        <f t="shared" si="1446"/>
        <v>7.2115384615384581E-2</v>
      </c>
      <c r="M9120" s="401">
        <f>SUM(C9120,C9096,C9072,C9048,C9024,C9000,C8976)/POBLA!$B$23*100000</f>
        <v>109.1443759543064</v>
      </c>
    </row>
    <row r="9121" spans="1:13" s="360" customFormat="1" ht="15.75" thickBot="1" x14ac:dyDescent="0.3">
      <c r="A9121" s="369" t="s">
        <v>40</v>
      </c>
      <c r="B9121" s="267">
        <v>44272</v>
      </c>
      <c r="C9121" s="1">
        <v>286</v>
      </c>
      <c r="D9121" s="176">
        <f t="shared" si="1447"/>
        <v>82969</v>
      </c>
      <c r="E9121" s="1">
        <v>1</v>
      </c>
      <c r="F9121" s="176">
        <f t="shared" si="1450"/>
        <v>1492</v>
      </c>
      <c r="G9121" s="177">
        <f>SUM(C9121,C9097,C9073,C9049,C9025,C9001,C8977,C8953,C8929,C8905,C8881,C8857,C8833,C8809)/POBLA!$B$24*100000</f>
        <v>157.2590543449526</v>
      </c>
      <c r="H9121" s="402">
        <f t="shared" si="1445"/>
        <v>1.3452801615345784</v>
      </c>
      <c r="I9121" s="403">
        <f t="shared" si="1448"/>
        <v>211.55748603195289</v>
      </c>
      <c r="J9121" s="403">
        <f t="shared" si="1449"/>
        <v>231</v>
      </c>
      <c r="K9121" s="403">
        <f>J9121/POBLA!$B$24*100000</f>
        <v>13.631085010763245</v>
      </c>
      <c r="L9121" s="550">
        <f t="shared" si="1446"/>
        <v>-0.54293893129770998</v>
      </c>
      <c r="M9121" s="405">
        <f>SUM(C9121,C9097,C9073,C9049,C9025,C9001,C8977)/POBLA!$B$24*100000</f>
        <v>95.417595075342717</v>
      </c>
    </row>
    <row r="9122" spans="1:13" s="360" customFormat="1" x14ac:dyDescent="0.25">
      <c r="A9122" s="363" t="s">
        <v>16</v>
      </c>
      <c r="B9122" s="267">
        <v>44273</v>
      </c>
      <c r="C9122" s="1">
        <v>3583</v>
      </c>
      <c r="D9122" s="174">
        <f t="shared" si="1447"/>
        <v>930851</v>
      </c>
      <c r="E9122" s="1">
        <v>75</v>
      </c>
      <c r="F9122" s="174">
        <f t="shared" si="1450"/>
        <v>27441</v>
      </c>
      <c r="G9122" s="175">
        <f>SUM(C9122,C9098,C9074,C9050,C9026,C9002,C8978,C8954,C8930,C8906,C8882,C8858,C8834,C8810)/POBLA!$B$1*100000</f>
        <v>225.68657306842238</v>
      </c>
      <c r="H9122" s="300">
        <f t="shared" ref="H9122:H9145" si="1451">SUM(C9122,C9098,C9074,C9050,C9026,C9002,C8978,C8954,C8930,C8906,C8882,C8858,C8834,C8810)/SUM(C8786,C8762,C8738,C8714,C8690,C8666,C8642,C8618,C8594,C8570,C8546,C8522,C8498,C8474)</f>
        <v>1.071306795118123</v>
      </c>
      <c r="I9122" s="301">
        <f>G9122*H9122</f>
        <v>241.77955929512368</v>
      </c>
      <c r="J9122" s="301">
        <f>AVERAGE(C9122,C9098,C9074,C9050,C9026,C9002,C8978)</f>
        <v>3005.5714285714284</v>
      </c>
      <c r="K9122" s="301">
        <f>J9122/POBLA!$B$1*100000</f>
        <v>17.13441234279702</v>
      </c>
      <c r="L9122" s="548">
        <f t="shared" ref="L9122:L9145" si="1452">1-SUM(C9122,C9098,C9074,C9050,C9026,C9002,C8978)/SUM(C8954,C8930,C8906,C8882,C8858,C8834,C8810)</f>
        <v>-0.13423904253598584</v>
      </c>
      <c r="M9122" s="400">
        <f>SUM(C9122,C9098,C9074,C9050,C9026,C9002,C8978)/POBLA!$B$1*100000</f>
        <v>119.94088639957914</v>
      </c>
    </row>
    <row r="9123" spans="1:13" s="360" customFormat="1" x14ac:dyDescent="0.25">
      <c r="A9123" s="367" t="s">
        <v>43</v>
      </c>
      <c r="B9123" s="267">
        <v>44273</v>
      </c>
      <c r="C9123" s="1">
        <v>916</v>
      </c>
      <c r="D9123" s="39">
        <f t="shared" si="1447"/>
        <v>245854</v>
      </c>
      <c r="E9123" s="1">
        <v>32</v>
      </c>
      <c r="F9123" s="39">
        <f t="shared" si="1450"/>
        <v>6753</v>
      </c>
      <c r="G9123" s="168">
        <f>SUM(C9123,C9099,C9075,C9051,C9027,C9003,C8979,C8955,C8931,C8907,C8883,C8859,C8835,C8811)/POBLA!$B$2*100000</f>
        <v>369.06067863466728</v>
      </c>
      <c r="H9123" s="256">
        <f t="shared" si="1451"/>
        <v>1.1858545758462182</v>
      </c>
      <c r="I9123" s="297">
        <f t="shared" ref="I9123:I9145" si="1453">G9123*H9123</f>
        <v>437.65229452383085</v>
      </c>
      <c r="J9123" s="297">
        <f t="shared" ref="J9123:J9145" si="1454">AVERAGE(C9123,C9099,C9075,C9051,C9027,C9003,C8979)</f>
        <v>868.42857142857144</v>
      </c>
      <c r="K9123" s="297">
        <f>J9123/POBLA!$B$2*100000</f>
        <v>28.235647777038434</v>
      </c>
      <c r="L9123" s="549">
        <f t="shared" si="1452"/>
        <v>-0.15307283763277701</v>
      </c>
      <c r="M9123" s="401">
        <f>SUM(C9123,C9099,C9075,C9051,C9027,C9003,C8979)/POBLA!$B$2*100000</f>
        <v>197.64953443926902</v>
      </c>
    </row>
    <row r="9124" spans="1:13" s="360" customFormat="1" x14ac:dyDescent="0.25">
      <c r="A9124" s="367" t="s">
        <v>28</v>
      </c>
      <c r="B9124" s="267">
        <v>44273</v>
      </c>
      <c r="C9124" s="1">
        <v>101</v>
      </c>
      <c r="D9124" s="39">
        <f t="shared" si="1447"/>
        <v>9459</v>
      </c>
      <c r="E9124" s="1"/>
      <c r="F9124" s="39">
        <f t="shared" si="1450"/>
        <v>18</v>
      </c>
      <c r="G9124" s="168">
        <f>SUM(C9124,C9100,C9076,C9052,C9028,C9004,C8980,C8956,C8932,C8908,C8884,C8860,C8836,C8812)/POBLA!$B$3*100000</f>
        <v>292.70312296901102</v>
      </c>
      <c r="H9124" s="256">
        <f t="shared" si="1451"/>
        <v>1.0033003300330032</v>
      </c>
      <c r="I9124" s="297">
        <f t="shared" si="1453"/>
        <v>293.66913987649946</v>
      </c>
      <c r="J9124" s="297">
        <f t="shared" si="1454"/>
        <v>98.428571428571431</v>
      </c>
      <c r="K9124" s="297">
        <f>J9124/POBLA!$B$3*100000</f>
        <v>23.692722242204958</v>
      </c>
      <c r="L9124" s="549">
        <f t="shared" si="1452"/>
        <v>-0.30740037950664134</v>
      </c>
      <c r="M9124" s="401">
        <f>SUM(C9124,C9100,C9076,C9052,C9028,C9004,C8980)/POBLA!$B$3*100000</f>
        <v>165.84905569543469</v>
      </c>
    </row>
    <row r="9125" spans="1:13" s="360" customFormat="1" x14ac:dyDescent="0.25">
      <c r="A9125" s="367" t="s">
        <v>15</v>
      </c>
      <c r="B9125" s="267">
        <v>44273</v>
      </c>
      <c r="C9125" s="1">
        <v>181</v>
      </c>
      <c r="D9125" s="39">
        <f t="shared" si="1447"/>
        <v>36506</v>
      </c>
      <c r="E9125" s="1">
        <v>3</v>
      </c>
      <c r="F9125" s="39">
        <f t="shared" si="1450"/>
        <v>903</v>
      </c>
      <c r="G9125" s="168">
        <f>SUM(C9125,C9101,C9077,C9053,C9029,C9005,C8981,C8957,C8933,C8909,C8885,C8861,C8837,C8813)/POBLA!$B$4*100000</f>
        <v>151.17791756361967</v>
      </c>
      <c r="H9125" s="256">
        <f t="shared" si="1451"/>
        <v>0.95791688584955281</v>
      </c>
      <c r="I9125" s="297">
        <f t="shared" si="1453"/>
        <v>144.81588000176296</v>
      </c>
      <c r="J9125" s="297">
        <f t="shared" si="1454"/>
        <v>135.28571428571428</v>
      </c>
      <c r="K9125" s="297">
        <f>J9125/POBLA!$B$4*100000</f>
        <v>11.231308381011047</v>
      </c>
      <c r="L9125" s="549">
        <f t="shared" si="1452"/>
        <v>-8.3524027459954242E-2</v>
      </c>
      <c r="M9125" s="401">
        <f>SUM(C9125,C9101,C9077,C9053,C9029,C9005,C8981)/POBLA!$B$4*100000</f>
        <v>78.619158667077343</v>
      </c>
    </row>
    <row r="9126" spans="1:13" s="360" customFormat="1" x14ac:dyDescent="0.25">
      <c r="A9126" s="367" t="s">
        <v>29</v>
      </c>
      <c r="B9126" s="267">
        <v>44273</v>
      </c>
      <c r="C9126" s="1">
        <v>91</v>
      </c>
      <c r="D9126" s="39">
        <f t="shared" si="1447"/>
        <v>48568</v>
      </c>
      <c r="E9126" s="1">
        <v>1</v>
      </c>
      <c r="F9126" s="39">
        <f t="shared" si="1450"/>
        <v>813</v>
      </c>
      <c r="G9126" s="168">
        <f>SUM(C9126,C9102,C9078,C9054,C9030,C9006,C8982,C8958,C8934,C8910,C8886,C8862,C8838,C8814)/POBLA!$B$5*100000</f>
        <v>196.28623217672543</v>
      </c>
      <c r="H9126" s="256">
        <f t="shared" si="1451"/>
        <v>0.79359895493141741</v>
      </c>
      <c r="I9126" s="297">
        <f t="shared" si="1453"/>
        <v>155.77254872287486</v>
      </c>
      <c r="J9126" s="297">
        <f t="shared" si="1454"/>
        <v>93.714285714285708</v>
      </c>
      <c r="K9126" s="297">
        <f>J9126/POBLA!$B$5*100000</f>
        <v>15.139772875712158</v>
      </c>
      <c r="L9126" s="549">
        <f t="shared" si="1452"/>
        <v>-0.17352415026833623</v>
      </c>
      <c r="M9126" s="401">
        <f>SUM(C9126,C9102,C9078,C9054,C9030,C9006,C8982)/POBLA!$B$5*100000</f>
        <v>105.97841012998511</v>
      </c>
    </row>
    <row r="9127" spans="1:13" s="360" customFormat="1" x14ac:dyDescent="0.25">
      <c r="A9127" s="367" t="s">
        <v>30</v>
      </c>
      <c r="B9127" s="267">
        <v>44273</v>
      </c>
      <c r="C9127" s="1">
        <v>318</v>
      </c>
      <c r="D9127" s="39">
        <f t="shared" si="1447"/>
        <v>25779</v>
      </c>
      <c r="E9127" s="1">
        <v>6</v>
      </c>
      <c r="F9127" s="39">
        <f t="shared" si="1450"/>
        <v>312</v>
      </c>
      <c r="G9127" s="168">
        <f>SUM(C9127,C9103,C9079,C9055,C9031,C9007,C8983,C8959,C8935,C8911,C8887,C8863,C8839,C8815)/POBLA!$B$6*100000</f>
        <v>273.91124740252729</v>
      </c>
      <c r="H9127" s="256">
        <f t="shared" si="1451"/>
        <v>1.4339093881363849</v>
      </c>
      <c r="I9127" s="297">
        <f t="shared" si="1453"/>
        <v>392.76390916663189</v>
      </c>
      <c r="J9127" s="297">
        <f t="shared" si="1454"/>
        <v>250</v>
      </c>
      <c r="K9127" s="297">
        <f>J9127/POBLA!$B$6*100000</f>
        <v>22.305476172844244</v>
      </c>
      <c r="L9127" s="549">
        <f t="shared" si="1452"/>
        <v>-0.32575757575757569</v>
      </c>
      <c r="M9127" s="401">
        <f>SUM(C9127,C9103,C9079,C9055,C9031,C9007,C8983)/POBLA!$B$6*100000</f>
        <v>156.13833320990972</v>
      </c>
    </row>
    <row r="9128" spans="1:13" s="360" customFormat="1" x14ac:dyDescent="0.25">
      <c r="A9128" s="367" t="s">
        <v>20</v>
      </c>
      <c r="B9128" s="267">
        <v>44273</v>
      </c>
      <c r="C9128" s="1">
        <v>709</v>
      </c>
      <c r="D9128" s="39">
        <f t="shared" si="1447"/>
        <v>170561</v>
      </c>
      <c r="E9128" s="1">
        <v>5</v>
      </c>
      <c r="F9128" s="39">
        <f t="shared" si="1450"/>
        <v>2957</v>
      </c>
      <c r="G9128" s="168">
        <f>SUM(C9128,C9104,C9080,C9056,C9032,C9008,C8984,C8960,C8936,C8912,C8888,C8864,C8840,C8816)/POBLA!$B$7*100000</f>
        <v>215.85182624419951</v>
      </c>
      <c r="H9128" s="256">
        <f t="shared" si="1451"/>
        <v>0.93459988485895218</v>
      </c>
      <c r="I9128" s="297">
        <f t="shared" si="1453"/>
        <v>201.73509195442341</v>
      </c>
      <c r="J9128" s="297">
        <f t="shared" si="1454"/>
        <v>597.57142857142856</v>
      </c>
      <c r="K9128" s="297">
        <f>J9128/POBLA!$B$7*100000</f>
        <v>15.890955299802647</v>
      </c>
      <c r="L9128" s="549">
        <f t="shared" si="1452"/>
        <v>-6.3294356888663028E-2</v>
      </c>
      <c r="M9128" s="401">
        <f>SUM(C9128,C9104,C9080,C9056,C9032,C9008,C8984)/POBLA!$B$7*100000</f>
        <v>111.23668709861852</v>
      </c>
    </row>
    <row r="9129" spans="1:13" x14ac:dyDescent="0.25">
      <c r="A9129" s="367" t="s">
        <v>31</v>
      </c>
      <c r="B9129" s="267">
        <v>44273</v>
      </c>
      <c r="C9129" s="1">
        <v>211</v>
      </c>
      <c r="D9129" s="39">
        <f t="shared" si="1447"/>
        <v>47607</v>
      </c>
      <c r="E9129" s="1">
        <v>2</v>
      </c>
      <c r="F9129" s="39">
        <f t="shared" ref="F9129:F9152" si="1455">E9129+F9105</f>
        <v>920</v>
      </c>
      <c r="G9129" s="168">
        <f>SUM(C9129,C9105,C9081,C9057,C9033,C9009,C8985,C8961,C8937,C8913,C8889,C8865,C8841,C8817)/POBLA!$B$8*100000</f>
        <v>136.43962564603189</v>
      </c>
      <c r="H9129" s="256">
        <f t="shared" si="1451"/>
        <v>1.076879271070615</v>
      </c>
      <c r="I9129" s="297">
        <f t="shared" si="1453"/>
        <v>146.92900461084639</v>
      </c>
      <c r="J9129" s="297">
        <f t="shared" si="1454"/>
        <v>150.85714285714286</v>
      </c>
      <c r="K9129" s="297">
        <f>J9129/POBLA!$B$8*100000</f>
        <v>10.884660019808845</v>
      </c>
      <c r="L9129" s="549">
        <f t="shared" si="1452"/>
        <v>-0.26467065868263484</v>
      </c>
      <c r="M9129" s="401">
        <f>SUM(C9129,C9105,C9081,C9057,C9033,C9009,C8985)/POBLA!$B$8*100000</f>
        <v>76.192620138661908</v>
      </c>
    </row>
    <row r="9130" spans="1:13" s="360" customFormat="1" x14ac:dyDescent="0.25">
      <c r="A9130" s="367" t="s">
        <v>41</v>
      </c>
      <c r="B9130" s="267">
        <v>44273</v>
      </c>
      <c r="C9130" s="1">
        <v>13</v>
      </c>
      <c r="D9130" s="39">
        <f t="shared" si="1447"/>
        <v>1660</v>
      </c>
      <c r="E9130" s="1"/>
      <c r="F9130" s="39">
        <f t="shared" si="1455"/>
        <v>23</v>
      </c>
      <c r="G9130" s="168">
        <f>SUM(C9130,C9106,C9082,C9058,C9034,C9010,C8986,C8962,C8938,C8914,C8890,C8866,C8842,C8818)/POBLA!$B$9*100000</f>
        <v>57.998027075660161</v>
      </c>
      <c r="H9130" s="256">
        <f t="shared" si="1451"/>
        <v>1.3048327137546469</v>
      </c>
      <c r="I9130" s="297">
        <f t="shared" si="1453"/>
        <v>75.677723061549145</v>
      </c>
      <c r="J9130" s="297">
        <f t="shared" si="1454"/>
        <v>26.142857142857142</v>
      </c>
      <c r="K9130" s="297">
        <f>J9130/POBLA!$B$9*100000</f>
        <v>4.3197553743776185</v>
      </c>
      <c r="L9130" s="549">
        <f t="shared" si="1452"/>
        <v>-8.9285714285714191E-2</v>
      </c>
      <c r="M9130" s="401">
        <f>SUM(C9130,C9106,C9082,C9058,C9034,C9010,C8986)/POBLA!$B$9*100000</f>
        <v>30.238287620643334</v>
      </c>
    </row>
    <row r="9131" spans="1:13" s="360" customFormat="1" x14ac:dyDescent="0.25">
      <c r="A9131" s="367" t="s">
        <v>32</v>
      </c>
      <c r="B9131" s="267">
        <v>44273</v>
      </c>
      <c r="C9131" s="1">
        <v>52</v>
      </c>
      <c r="D9131" s="39">
        <f t="shared" si="1447"/>
        <v>21890</v>
      </c>
      <c r="E9131" s="1"/>
      <c r="F9131" s="39">
        <f t="shared" si="1455"/>
        <v>937</v>
      </c>
      <c r="G9131" s="168">
        <f>SUM(C9131,C9107,C9083,C9059,C9035,C9011,C8987,C8963,C8939,C8915,C8891,C8867,C8843,C8819)/POBLA!$B$10*100000</f>
        <v>106.50152228424362</v>
      </c>
      <c r="H9131" s="256">
        <f t="shared" si="1451"/>
        <v>0.71640488656195467</v>
      </c>
      <c r="I9131" s="297">
        <f t="shared" si="1453"/>
        <v>76.298210990719042</v>
      </c>
      <c r="J9131" s="297">
        <f t="shared" si="1454"/>
        <v>54</v>
      </c>
      <c r="K9131" s="297">
        <f>J9131/POBLA!$B$10*100000</f>
        <v>7.0049722330683988</v>
      </c>
      <c r="L9131" s="549">
        <f t="shared" si="1452"/>
        <v>0.14672686230248311</v>
      </c>
      <c r="M9131" s="401">
        <f>SUM(C9131,C9107,C9083,C9059,C9035,C9011,C8987)/POBLA!$B$10*100000</f>
        <v>49.034805631478783</v>
      </c>
    </row>
    <row r="9132" spans="1:13" s="360" customFormat="1" x14ac:dyDescent="0.25">
      <c r="A9132" s="367" t="s">
        <v>33</v>
      </c>
      <c r="B9132" s="267">
        <v>44273</v>
      </c>
      <c r="C9132" s="1">
        <v>83</v>
      </c>
      <c r="D9132" s="39">
        <f t="shared" si="1447"/>
        <v>20311</v>
      </c>
      <c r="E9132" s="1"/>
      <c r="F9132" s="39">
        <f t="shared" si="1455"/>
        <v>308</v>
      </c>
      <c r="G9132" s="168">
        <f>SUM(C9132,C9108,C9084,C9060,C9036,C9012,C8988,C8964,C8940,C8916,C8892,C8868,C8844,C8820)/POBLA!$B$11*100000</f>
        <v>350.69804814356019</v>
      </c>
      <c r="H9132" s="256">
        <f t="shared" si="1451"/>
        <v>1.1293800539083558</v>
      </c>
      <c r="I9132" s="297">
        <f t="shared" si="1453"/>
        <v>396.07138051792919</v>
      </c>
      <c r="J9132" s="297">
        <f t="shared" si="1454"/>
        <v>100.42857142857143</v>
      </c>
      <c r="K9132" s="297">
        <f>J9132/POBLA!$B$11*100000</f>
        <v>28.019175797809165</v>
      </c>
      <c r="L9132" s="549">
        <f t="shared" si="1452"/>
        <v>-0.26895306859205781</v>
      </c>
      <c r="M9132" s="401">
        <f>SUM(C9132,C9108,C9084,C9060,C9036,C9012,C8988)/POBLA!$B$11*100000</f>
        <v>196.13423058466415</v>
      </c>
    </row>
    <row r="9133" spans="1:13" s="360" customFormat="1" x14ac:dyDescent="0.25">
      <c r="A9133" s="367" t="s">
        <v>21</v>
      </c>
      <c r="B9133" s="267">
        <v>44273</v>
      </c>
      <c r="C9133" s="1">
        <v>53</v>
      </c>
      <c r="D9133" s="39">
        <f t="shared" si="1447"/>
        <v>10620</v>
      </c>
      <c r="E9133" s="1"/>
      <c r="F9133" s="39">
        <f t="shared" si="1455"/>
        <v>447</v>
      </c>
      <c r="G9133" s="168">
        <f>SUM(C9133,C9109,C9085,C9061,C9037,C9013,C8989,C8965,C8941,C8917,C8893,C8869,C8845,C8821)/POBLA!$B$12*100000</f>
        <v>79.790410412394451</v>
      </c>
      <c r="H9133" s="256">
        <f t="shared" si="1451"/>
        <v>0.86980609418282551</v>
      </c>
      <c r="I9133" s="297">
        <f t="shared" si="1453"/>
        <v>69.402185234049469</v>
      </c>
      <c r="J9133" s="297">
        <f t="shared" si="1454"/>
        <v>24</v>
      </c>
      <c r="K9133" s="297">
        <f>J9133/POBLA!$B$12*100000</f>
        <v>6.0986300952148618</v>
      </c>
      <c r="L9133" s="549">
        <f t="shared" si="1452"/>
        <v>-0.15068493150684925</v>
      </c>
      <c r="M9133" s="401">
        <f>SUM(C9133,C9109,C9085,C9061,C9037,C9013,C8989)/POBLA!$B$12*100000</f>
        <v>42.690410666504036</v>
      </c>
    </row>
    <row r="9134" spans="1:13" s="360" customFormat="1" x14ac:dyDescent="0.25">
      <c r="A9134" s="367" t="s">
        <v>17</v>
      </c>
      <c r="B9134" s="267">
        <v>44273</v>
      </c>
      <c r="C9134" s="1">
        <v>218</v>
      </c>
      <c r="D9134" s="39">
        <f t="shared" si="1447"/>
        <v>70025</v>
      </c>
      <c r="E9134" s="1">
        <v>2</v>
      </c>
      <c r="F9134" s="39">
        <f t="shared" si="1455"/>
        <v>1486</v>
      </c>
      <c r="G9134" s="168">
        <f>SUM(C9134,C9110,C9086,C9062,C9038,C9014,C8990,C8966,C8942,C8918,C8894,C8870,C8846,C8822)/POBLA!$B$13*100000</f>
        <v>107.46918362609767</v>
      </c>
      <c r="H9134" s="256">
        <f t="shared" si="1451"/>
        <v>1.1512378902045211</v>
      </c>
      <c r="I9134" s="297">
        <f t="shared" si="1453"/>
        <v>123.72259621971095</v>
      </c>
      <c r="J9134" s="297">
        <f t="shared" si="1454"/>
        <v>145.71428571428572</v>
      </c>
      <c r="K9134" s="297">
        <f>J9134/POBLA!$B$13*100000</f>
        <v>7.3210824349575656</v>
      </c>
      <c r="L9134" s="549">
        <f t="shared" si="1452"/>
        <v>8.8471849865951691E-2</v>
      </c>
      <c r="M9134" s="401">
        <f>SUM(C9134,C9110,C9086,C9062,C9038,C9014,C8990)/POBLA!$B$13*100000</f>
        <v>51.247577044702957</v>
      </c>
    </row>
    <row r="9135" spans="1:13" s="360" customFormat="1" x14ac:dyDescent="0.25">
      <c r="A9135" s="367" t="s">
        <v>23</v>
      </c>
      <c r="B9135" s="267">
        <v>44273</v>
      </c>
      <c r="C9135" s="1">
        <v>132</v>
      </c>
      <c r="D9135" s="39">
        <f t="shared" si="1447"/>
        <v>10462</v>
      </c>
      <c r="E9135" s="1">
        <v>2</v>
      </c>
      <c r="F9135" s="39">
        <f t="shared" si="1455"/>
        <v>178</v>
      </c>
      <c r="G9135" s="168">
        <f>SUM(C9135,C9111,C9087,C9063,C9039,C9015,C8991,C8967,C8943,C8919,C8895,C8871,C8847,C8823)/POBLA!$B$14*100000</f>
        <v>132.16585506630494</v>
      </c>
      <c r="H9135" s="256">
        <f t="shared" si="1451"/>
        <v>1.0201958384332925</v>
      </c>
      <c r="I9135" s="297">
        <f t="shared" si="1453"/>
        <v>134.83505532162201</v>
      </c>
      <c r="J9135" s="297">
        <f t="shared" si="1454"/>
        <v>124</v>
      </c>
      <c r="K9135" s="297">
        <f>J9135/POBLA!$B$14*100000</f>
        <v>9.831173382256635</v>
      </c>
      <c r="L9135" s="549">
        <f t="shared" si="1452"/>
        <v>-8.6357947434292814E-2</v>
      </c>
      <c r="M9135" s="401">
        <f>SUM(C9135,C9111,C9087,C9063,C9039,C9015,C8991)/POBLA!$B$14*100000</f>
        <v>68.818213675796443</v>
      </c>
    </row>
    <row r="9136" spans="1:13" s="360" customFormat="1" x14ac:dyDescent="0.25">
      <c r="A9136" s="367" t="s">
        <v>19</v>
      </c>
      <c r="B9136" s="267">
        <v>44273</v>
      </c>
      <c r="C9136" s="1">
        <v>157</v>
      </c>
      <c r="D9136" s="39">
        <f t="shared" si="1447"/>
        <v>63750</v>
      </c>
      <c r="E9136" s="1">
        <v>1</v>
      </c>
      <c r="F9136" s="39">
        <f t="shared" si="1455"/>
        <v>967</v>
      </c>
      <c r="G9136" s="168">
        <f>SUM(C9136,C9112,C9088,C9064,C9040,C9016,C8992,C8968,C8944,C8920,C8896,C8872,C8848,C8824)/POBLA!$B$15*100000</f>
        <v>280.24702698714117</v>
      </c>
      <c r="H9136" s="256">
        <f t="shared" si="1451"/>
        <v>0.76052308949734371</v>
      </c>
      <c r="I9136" s="297">
        <f t="shared" si="1453"/>
        <v>213.13433478670606</v>
      </c>
      <c r="J9136" s="297">
        <f t="shared" si="1454"/>
        <v>121.14285714285714</v>
      </c>
      <c r="K9136" s="297">
        <f>J9136/POBLA!$B$15*100000</f>
        <v>18.242840169271183</v>
      </c>
      <c r="L9136" s="549">
        <f t="shared" si="1452"/>
        <v>0.16288252714708784</v>
      </c>
      <c r="M9136" s="401">
        <f>SUM(C9136,C9112,C9088,C9064,C9040,C9016,C8992)/POBLA!$B$15*100000</f>
        <v>127.69988118489829</v>
      </c>
    </row>
    <row r="9137" spans="1:13" s="360" customFormat="1" x14ac:dyDescent="0.25">
      <c r="A9137" s="367" t="s">
        <v>18</v>
      </c>
      <c r="B9137" s="267">
        <v>44273</v>
      </c>
      <c r="C9137" s="1">
        <v>119</v>
      </c>
      <c r="D9137" s="39">
        <f t="shared" si="1447"/>
        <v>54225</v>
      </c>
      <c r="E9137" s="1">
        <v>1</v>
      </c>
      <c r="F9137" s="39">
        <f t="shared" si="1455"/>
        <v>1250</v>
      </c>
      <c r="G9137" s="168">
        <f>SUM(C9137,C9113,C9089,C9065,C9041,C9017,C8993,C8969,C8945,C8921,C8897,C8873,C8849,C8825)/POBLA!$B$16*100000</f>
        <v>180.70919329596981</v>
      </c>
      <c r="H9137" s="256">
        <f t="shared" si="1451"/>
        <v>0.79237536656891494</v>
      </c>
      <c r="I9137" s="297">
        <f t="shared" si="1453"/>
        <v>143.18951328026699</v>
      </c>
      <c r="J9137" s="297">
        <f t="shared" si="1454"/>
        <v>89</v>
      </c>
      <c r="K9137" s="297">
        <f>J9137/POBLA!$B$16*100000</f>
        <v>11.904602667166037</v>
      </c>
      <c r="L9137" s="549">
        <f t="shared" si="1452"/>
        <v>0.14423076923076927</v>
      </c>
      <c r="M9137" s="401">
        <f>SUM(C9137,C9113,C9089,C9065,C9041,C9017,C8993)/POBLA!$B$16*100000</f>
        <v>83.332218670162248</v>
      </c>
    </row>
    <row r="9138" spans="1:13" s="360" customFormat="1" x14ac:dyDescent="0.25">
      <c r="A9138" s="367" t="s">
        <v>34</v>
      </c>
      <c r="B9138" s="267">
        <v>44273</v>
      </c>
      <c r="C9138" s="1">
        <v>145</v>
      </c>
      <c r="D9138" s="39">
        <f t="shared" si="1447"/>
        <v>28089</v>
      </c>
      <c r="E9138" s="1">
        <v>1</v>
      </c>
      <c r="F9138" s="39">
        <f t="shared" si="1455"/>
        <v>1153</v>
      </c>
      <c r="G9138" s="168">
        <f>SUM(C9138,C9114,C9090,C9066,C9042,C9018,C8994,C8970,C8946,C8922,C8898,C8874,C8850,C8826)/POBLA!$B$17*100000</f>
        <v>103.90361675853011</v>
      </c>
      <c r="H9138" s="256">
        <f t="shared" si="1451"/>
        <v>0.93375394321766558</v>
      </c>
      <c r="I9138" s="297">
        <f t="shared" si="1453"/>
        <v>97.020411862854601</v>
      </c>
      <c r="J9138" s="297">
        <f t="shared" si="1454"/>
        <v>105.28571428571429</v>
      </c>
      <c r="K9138" s="297">
        <f>J9138/POBLA!$B$17*100000</f>
        <v>7.3915989914128071</v>
      </c>
      <c r="L9138" s="549">
        <f t="shared" si="1452"/>
        <v>8.0753701211305762E-3</v>
      </c>
      <c r="M9138" s="401">
        <f>SUM(C9138,C9114,C9090,C9066,C9042,C9018,C8994)/POBLA!$B$17*100000</f>
        <v>51.741192939889658</v>
      </c>
    </row>
    <row r="9139" spans="1:13" s="360" customFormat="1" x14ac:dyDescent="0.25">
      <c r="A9139" s="367" t="s">
        <v>35</v>
      </c>
      <c r="B9139" s="267">
        <v>44273</v>
      </c>
      <c r="C9139" s="1">
        <v>87</v>
      </c>
      <c r="D9139" s="39">
        <f t="shared" si="1447"/>
        <v>16178</v>
      </c>
      <c r="E9139" s="1"/>
      <c r="F9139" s="39">
        <f t="shared" si="1455"/>
        <v>219</v>
      </c>
      <c r="G9139" s="168">
        <f>SUM(C9139,C9115,C9091,C9067,C9043,C9019,C8995,C8971,C8947,C8923,C8899,C8875,C8851,C8827)/POBLA!$B$18*100000</f>
        <v>92.291898409788828</v>
      </c>
      <c r="H9139" s="256">
        <f t="shared" si="1451"/>
        <v>1.1336477987421383</v>
      </c>
      <c r="I9139" s="297">
        <f t="shared" si="1453"/>
        <v>104.62650747399016</v>
      </c>
      <c r="J9139" s="297">
        <f t="shared" si="1454"/>
        <v>52.857142857142854</v>
      </c>
      <c r="K9139" s="297">
        <f>J9139/POBLA!$B$18*100000</f>
        <v>6.7660000815577304</v>
      </c>
      <c r="L9139" s="549">
        <f t="shared" si="1452"/>
        <v>-5.4131054131054235E-2</v>
      </c>
      <c r="M9139" s="401">
        <f>SUM(C9139,C9115,C9091,C9067,C9043,C9019,C8995)/POBLA!$B$18*100000</f>
        <v>47.362000570904115</v>
      </c>
    </row>
    <row r="9140" spans="1:13" s="360" customFormat="1" x14ac:dyDescent="0.25">
      <c r="A9140" s="367" t="s">
        <v>36</v>
      </c>
      <c r="B9140" s="267">
        <v>44273</v>
      </c>
      <c r="C9140" s="1">
        <v>12</v>
      </c>
      <c r="D9140" s="39">
        <f t="shared" si="1447"/>
        <v>21536</v>
      </c>
      <c r="E9140" s="1">
        <v>4</v>
      </c>
      <c r="F9140" s="39">
        <f t="shared" si="1455"/>
        <v>366</v>
      </c>
      <c r="G9140" s="168">
        <f>SUM(C9140,C9116,C9092,C9068,C9044,C9020,C8996,C8972,C8948,C8924,C8900,C8876,C8852,C8828)/POBLA!$B$19*100000</f>
        <v>145.57529783919045</v>
      </c>
      <c r="H9140" s="256">
        <f t="shared" si="1451"/>
        <v>1.3405797101449275</v>
      </c>
      <c r="I9140" s="297">
        <f t="shared" si="1453"/>
        <v>195.15529058152342</v>
      </c>
      <c r="J9140" s="297">
        <f t="shared" si="1454"/>
        <v>22.857142857142858</v>
      </c>
      <c r="K9140" s="297">
        <f>J9140/POBLA!$B$19*100000</f>
        <v>4.4965342961912107</v>
      </c>
      <c r="L9140" s="549">
        <f t="shared" si="1452"/>
        <v>0.72413793103448276</v>
      </c>
      <c r="M9140" s="401">
        <f>SUM(C9140,C9116,C9092,C9068,C9044,C9020,C8996)/POBLA!$B$19*100000</f>
        <v>31.475740073338471</v>
      </c>
    </row>
    <row r="9141" spans="1:13" s="360" customFormat="1" x14ac:dyDescent="0.25">
      <c r="A9141" s="367" t="s">
        <v>37</v>
      </c>
      <c r="B9141" s="267">
        <v>44273</v>
      </c>
      <c r="C9141" s="1">
        <v>145</v>
      </c>
      <c r="D9141" s="39">
        <f t="shared" si="1447"/>
        <v>37861</v>
      </c>
      <c r="E9141" s="1">
        <v>5</v>
      </c>
      <c r="F9141" s="39">
        <f t="shared" si="1455"/>
        <v>618</v>
      </c>
      <c r="G9141" s="168">
        <f>SUM(C9141,C9117,C9093,C9069,C9045,C9021,C8997,C8973,C8949,C8925,C8901,C8877,C8853,C8829)/POBLA!$B$20*100000</f>
        <v>391.03303818998194</v>
      </c>
      <c r="H9141" s="256">
        <f t="shared" si="1451"/>
        <v>0.91257179323548177</v>
      </c>
      <c r="I9141" s="297">
        <f t="shared" si="1453"/>
        <v>356.84572087535042</v>
      </c>
      <c r="J9141" s="297">
        <f t="shared" si="1454"/>
        <v>111.85714285714286</v>
      </c>
      <c r="K9141" s="297">
        <f>J9141/POBLA!$B$20*100000</f>
        <v>30.5872995906849</v>
      </c>
      <c r="L9141" s="549">
        <f t="shared" si="1452"/>
        <v>-0.21020092735703244</v>
      </c>
      <c r="M9141" s="401">
        <f>SUM(C9141,C9117,C9093,C9069,C9045,C9021,C8997)/POBLA!$B$20*100000</f>
        <v>214.11109713479431</v>
      </c>
    </row>
    <row r="9142" spans="1:13" s="360" customFormat="1" x14ac:dyDescent="0.25">
      <c r="A9142" s="367" t="s">
        <v>22</v>
      </c>
      <c r="B9142" s="267">
        <v>44273</v>
      </c>
      <c r="C9142" s="1">
        <v>486</v>
      </c>
      <c r="D9142" s="39">
        <f t="shared" si="1447"/>
        <v>224312</v>
      </c>
      <c r="E9142" s="1">
        <v>15</v>
      </c>
      <c r="F9142" s="39">
        <f t="shared" si="1455"/>
        <v>4194</v>
      </c>
      <c r="G9142" s="168">
        <f>SUM(C9142,C9118,C9094,C9070,C9046,C9022,C8998,C8974,C8950,C8926,C8902,C8878,C8854,C8830)/POBLA!$B$21*100000</f>
        <v>173.67856401590535</v>
      </c>
      <c r="H9142" s="256">
        <f t="shared" si="1451"/>
        <v>1.1809267448567584</v>
      </c>
      <c r="I9142" s="297">
        <f t="shared" si="1453"/>
        <v>205.10166125469925</v>
      </c>
      <c r="J9142" s="297">
        <f t="shared" si="1454"/>
        <v>446.14285714285717</v>
      </c>
      <c r="K9142" s="297">
        <f>J9142/POBLA!$B$21*100000</f>
        <v>12.615670917376201</v>
      </c>
      <c r="L9142" s="549">
        <f t="shared" si="1452"/>
        <v>-3.4448492878436543E-2</v>
      </c>
      <c r="M9142" s="401">
        <f>SUM(C9142,C9118,C9094,C9070,C9046,C9022,C8998)/POBLA!$B$21*100000</f>
        <v>88.309696421633419</v>
      </c>
    </row>
    <row r="9143" spans="1:13" s="360" customFormat="1" x14ac:dyDescent="0.25">
      <c r="A9143" s="367" t="s">
        <v>38</v>
      </c>
      <c r="B9143" s="267">
        <v>44273</v>
      </c>
      <c r="C9143" s="1">
        <v>110</v>
      </c>
      <c r="D9143" s="39">
        <f t="shared" si="1447"/>
        <v>23825</v>
      </c>
      <c r="E9143" s="1"/>
      <c r="F9143" s="39">
        <f t="shared" si="1455"/>
        <v>276</v>
      </c>
      <c r="G9143" s="168">
        <f>SUM(C9143,C9119,C9095,C9071,C9047,C9023,C8999,C8975,C8951,C8927,C8903,C8879,C8855,C8831)/POBLA!$B$22*100000</f>
        <v>97.923670645284275</v>
      </c>
      <c r="H9143" s="256">
        <f t="shared" si="1451"/>
        <v>1.1473053892215568</v>
      </c>
      <c r="I9143" s="297">
        <f t="shared" si="1453"/>
        <v>112.34835506369141</v>
      </c>
      <c r="J9143" s="297">
        <f t="shared" si="1454"/>
        <v>83.142857142857139</v>
      </c>
      <c r="K9143" s="297">
        <f>J9143/POBLA!$B$22*100000</f>
        <v>8.4985947383768945</v>
      </c>
      <c r="L9143" s="549">
        <f t="shared" si="1452"/>
        <v>-0.5478723404255319</v>
      </c>
      <c r="M9143" s="401">
        <f>SUM(C9143,C9119,C9095,C9071,C9047,C9023,C8999)/POBLA!$B$22*100000</f>
        <v>59.490163168638254</v>
      </c>
    </row>
    <row r="9144" spans="1:13" s="360" customFormat="1" x14ac:dyDescent="0.25">
      <c r="A9144" s="367" t="s">
        <v>39</v>
      </c>
      <c r="B9144" s="267">
        <v>44273</v>
      </c>
      <c r="C9144" s="1">
        <v>50</v>
      </c>
      <c r="D9144" s="39">
        <f t="shared" si="1447"/>
        <v>23499</v>
      </c>
      <c r="E9144" s="1"/>
      <c r="F9144" s="39">
        <f t="shared" si="1455"/>
        <v>358</v>
      </c>
      <c r="G9144" s="168">
        <f>SUM(C9144,C9120,C9096,C9072,C9048,C9024,C9000,C8976,C8952,C8928,C8904,C8880,C8856,C8832)/POBLA!$B$23*100000</f>
        <v>236.3852287507776</v>
      </c>
      <c r="H9144" s="256">
        <f t="shared" si="1451"/>
        <v>0.84104627766599593</v>
      </c>
      <c r="I9144" s="297">
        <f t="shared" si="1453"/>
        <v>198.81091673606647</v>
      </c>
      <c r="J9144" s="297">
        <f t="shared" si="1454"/>
        <v>29.571428571428573</v>
      </c>
      <c r="K9144" s="297">
        <f>J9144/POBLA!$B$23*100000</f>
        <v>16.723083510393359</v>
      </c>
      <c r="L9144" s="549">
        <f t="shared" si="1452"/>
        <v>1.8957345971563955E-2</v>
      </c>
      <c r="M9144" s="401">
        <f>SUM(C9144,C9120,C9096,C9072,C9048,C9024,C9000)/POBLA!$B$23*100000</f>
        <v>117.06158457275349</v>
      </c>
    </row>
    <row r="9145" spans="1:13" s="360" customFormat="1" ht="15.75" thickBot="1" x14ac:dyDescent="0.3">
      <c r="A9145" s="369" t="s">
        <v>40</v>
      </c>
      <c r="B9145" s="267">
        <v>44273</v>
      </c>
      <c r="C9145" s="1">
        <v>356</v>
      </c>
      <c r="D9145" s="176">
        <f t="shared" si="1447"/>
        <v>83325</v>
      </c>
      <c r="E9145" s="1"/>
      <c r="F9145" s="176">
        <f t="shared" si="1455"/>
        <v>1492</v>
      </c>
      <c r="G9145" s="177">
        <f>SUM(C9145,C9121,C9097,C9073,C9049,C9025,C9001,C8977,C8953,C8929,C8905,C8881,C8857,C8833)/POBLA!$B$24*100000</f>
        <v>169.41491370520035</v>
      </c>
      <c r="H9145" s="402">
        <f t="shared" si="1451"/>
        <v>1.4276479363500747</v>
      </c>
      <c r="I9145" s="403">
        <f t="shared" si="1453"/>
        <v>241.86485193815525</v>
      </c>
      <c r="J9145" s="403">
        <f t="shared" si="1454"/>
        <v>243.28571428571428</v>
      </c>
      <c r="K9145" s="403">
        <f>J9145/POBLA!$B$24*100000</f>
        <v>14.356053044730865</v>
      </c>
      <c r="L9145" s="550">
        <f t="shared" si="1452"/>
        <v>-0.45804794520547953</v>
      </c>
      <c r="M9145" s="405">
        <f>SUM(C9145,C9121,C9097,C9073,C9049,C9025,C9001)/POBLA!$B$24*100000</f>
        <v>100.49237131311605</v>
      </c>
    </row>
    <row r="9146" spans="1:13" s="360" customFormat="1" x14ac:dyDescent="0.25">
      <c r="A9146" s="363" t="s">
        <v>16</v>
      </c>
      <c r="B9146" s="267">
        <v>44274</v>
      </c>
      <c r="C9146" s="1">
        <v>3542</v>
      </c>
      <c r="D9146" s="174">
        <f t="shared" si="1447"/>
        <v>934393</v>
      </c>
      <c r="E9146" s="1">
        <v>32</v>
      </c>
      <c r="F9146" s="174">
        <f t="shared" si="1455"/>
        <v>27473</v>
      </c>
      <c r="G9146" s="175">
        <f>SUM(C9146,C9122,C9098,C9074,C9050,C9026,C9002,C8978,C8954,C8930,C8906,C8882,C8858,C8834)/POBLA!$B$1*100000</f>
        <v>225.96021547287032</v>
      </c>
      <c r="H9146" s="300">
        <f t="shared" ref="H9146:H9169" si="1456">SUM(C9146,C9122,C9098,C9074,C9050,C9026,C9002,C8978,C8954,C8930,C8906,C8882,C8858,C8834)/SUM(C8810,C8786,C8762,C8738,C8714,C8690,C8666,C8642,C8618,C8594,C8570,C8546,C8522,C8498)</f>
        <v>1.0742045639330045</v>
      </c>
      <c r="I9146" s="301">
        <f>G9146*H9146</f>
        <v>242.72749472824239</v>
      </c>
      <c r="J9146" s="301">
        <f>AVERAGE(C9146,C9122,C9098,C9074,C9050,C9026,C9002)</f>
        <v>3046.2857142857142</v>
      </c>
      <c r="K9146" s="301">
        <f>J9146/POBLA!$B$1*100000</f>
        <v>17.366519739426952</v>
      </c>
      <c r="L9146" s="548">
        <f t="shared" ref="L9146:L9169" si="1457">1-SUM(C9146,C9122,C9098,C9074,C9050,C9026,C9002)/SUM(C8978,C8954,C8930,C8906,C8882,C8858,C8834)</f>
        <v>-0.16448230668414165</v>
      </c>
      <c r="M9146" s="400">
        <f>SUM(C9146,C9122,C9098,C9074,C9050,C9026,C9002)/POBLA!$B$1*100000</f>
        <v>121.56563817598865</v>
      </c>
    </row>
    <row r="9147" spans="1:13" s="360" customFormat="1" x14ac:dyDescent="0.25">
      <c r="A9147" s="367" t="s">
        <v>43</v>
      </c>
      <c r="B9147" s="267">
        <v>44274</v>
      </c>
      <c r="C9147" s="1">
        <v>884</v>
      </c>
      <c r="D9147" s="39">
        <f t="shared" si="1447"/>
        <v>246738</v>
      </c>
      <c r="E9147" s="1">
        <v>8</v>
      </c>
      <c r="F9147" s="39">
        <f t="shared" si="1455"/>
        <v>6761</v>
      </c>
      <c r="G9147" s="168">
        <f>SUM(C9147,C9123,C9099,C9075,C9051,C9027,C9003,C8979,C8955,C8931,C8907,C8883,C8859,C8835)/POBLA!$B$2*100000</f>
        <v>369.74346202391303</v>
      </c>
      <c r="H9147" s="256">
        <f t="shared" si="1456"/>
        <v>1.1860659157279934</v>
      </c>
      <c r="I9147" s="297">
        <f t="shared" ref="I9147:I9169" si="1458">G9147*H9147</f>
        <v>438.54011786983096</v>
      </c>
      <c r="J9147" s="297">
        <f t="shared" ref="J9147:J9169" si="1459">AVERAGE(C9147,C9123,C9099,C9075,C9051,C9027,C9003)</f>
        <v>876.28571428571433</v>
      </c>
      <c r="K9147" s="297">
        <f>J9147/POBLA!$B$2*100000</f>
        <v>28.491110949885464</v>
      </c>
      <c r="L9147" s="549">
        <f t="shared" si="1457"/>
        <v>-0.17105765559373798</v>
      </c>
      <c r="M9147" s="401">
        <f>SUM(C9147,C9123,C9099,C9075,C9051,C9027,C9003)/POBLA!$B$2*100000</f>
        <v>199.43777664919827</v>
      </c>
    </row>
    <row r="9148" spans="1:13" s="360" customFormat="1" x14ac:dyDescent="0.25">
      <c r="A9148" s="367" t="s">
        <v>28</v>
      </c>
      <c r="B9148" s="267">
        <v>44274</v>
      </c>
      <c r="C9148" s="1">
        <v>116</v>
      </c>
      <c r="D9148" s="39">
        <f t="shared" si="1447"/>
        <v>9575</v>
      </c>
      <c r="E9148" s="1"/>
      <c r="F9148" s="39">
        <f t="shared" si="1455"/>
        <v>18</v>
      </c>
      <c r="G9148" s="168">
        <f>SUM(C9148,C9124,C9100,C9076,C9052,C9028,C9004,C8980,C8956,C8932,C8908,C8884,C8860,C8836)/POBLA!$B$3*100000</f>
        <v>292.46241316393781</v>
      </c>
      <c r="H9148" s="256">
        <f t="shared" si="1456"/>
        <v>0.98700243704305446</v>
      </c>
      <c r="I9148" s="297">
        <f t="shared" si="1458"/>
        <v>288.66111453629929</v>
      </c>
      <c r="J9148" s="297">
        <f t="shared" si="1459"/>
        <v>100.57142857142857</v>
      </c>
      <c r="K9148" s="297">
        <f>J9148/POBLA!$B$3*100000</f>
        <v>24.208528967361815</v>
      </c>
      <c r="L9148" s="549">
        <f t="shared" si="1457"/>
        <v>-0.37769080234833652</v>
      </c>
      <c r="M9148" s="401">
        <f>SUM(C9148,C9124,C9100,C9076,C9052,C9028,C9004)/POBLA!$B$3*100000</f>
        <v>169.4597027715327</v>
      </c>
    </row>
    <row r="9149" spans="1:13" s="360" customFormat="1" x14ac:dyDescent="0.25">
      <c r="A9149" s="367" t="s">
        <v>15</v>
      </c>
      <c r="B9149" s="267">
        <v>44274</v>
      </c>
      <c r="C9149" s="1">
        <v>166</v>
      </c>
      <c r="D9149" s="39">
        <f t="shared" si="1447"/>
        <v>36672</v>
      </c>
      <c r="E9149" s="1">
        <v>1</v>
      </c>
      <c r="F9149" s="39">
        <f t="shared" si="1455"/>
        <v>904</v>
      </c>
      <c r="G9149" s="168">
        <f>SUM(C9149,C9125,C9101,C9077,C9053,C9029,C9005,C8981,C8957,C8933,C8909,C8885,C8861,C8837)/POBLA!$B$4*100000</f>
        <v>150.67980251398666</v>
      </c>
      <c r="H9149" s="256">
        <f t="shared" si="1456"/>
        <v>0.95125786163522008</v>
      </c>
      <c r="I9149" s="297">
        <f t="shared" si="1458"/>
        <v>143.33534673107221</v>
      </c>
      <c r="J9149" s="297">
        <f t="shared" si="1459"/>
        <v>136.71428571428572</v>
      </c>
      <c r="K9149" s="297">
        <f>J9149/POBLA!$B$4*100000</f>
        <v>11.349907202352242</v>
      </c>
      <c r="L9149" s="549">
        <f t="shared" si="1457"/>
        <v>-0.11538461538461542</v>
      </c>
      <c r="M9149" s="401">
        <f>SUM(C9149,C9125,C9101,C9077,C9053,C9029,C9005)/POBLA!$B$4*100000</f>
        <v>79.449350416465691</v>
      </c>
    </row>
    <row r="9150" spans="1:13" s="360" customFormat="1" x14ac:dyDescent="0.25">
      <c r="A9150" s="367" t="s">
        <v>29</v>
      </c>
      <c r="B9150" s="267">
        <v>44274</v>
      </c>
      <c r="C9150" s="1">
        <v>127</v>
      </c>
      <c r="D9150" s="39">
        <f t="shared" si="1447"/>
        <v>48695</v>
      </c>
      <c r="E9150" s="1">
        <v>2</v>
      </c>
      <c r="F9150" s="39">
        <f t="shared" si="1455"/>
        <v>815</v>
      </c>
      <c r="G9150" s="168">
        <f>SUM(C9150,C9126,C9102,C9078,C9054,C9030,C9006,C8982,C8958,C8934,C8910,C8886,C8862,C8838)/POBLA!$B$5*100000</f>
        <v>199.35572881158782</v>
      </c>
      <c r="H9150" s="256">
        <f t="shared" si="1456"/>
        <v>0.84404924760601918</v>
      </c>
      <c r="I9150" s="297">
        <f t="shared" si="1458"/>
        <v>168.2660529093703</v>
      </c>
      <c r="J9150" s="297">
        <f t="shared" si="1459"/>
        <v>96.428571428571431</v>
      </c>
      <c r="K9150" s="297">
        <f>J9150/POBLA!$B$5*100000</f>
        <v>15.578272394978212</v>
      </c>
      <c r="L9150" s="549">
        <f t="shared" si="1457"/>
        <v>-0.20751341681574242</v>
      </c>
      <c r="M9150" s="401">
        <f>SUM(C9150,C9126,C9102,C9078,C9054,C9030,C9006)/POBLA!$B$5*100000</f>
        <v>109.04790676484748</v>
      </c>
    </row>
    <row r="9151" spans="1:13" s="360" customFormat="1" x14ac:dyDescent="0.25">
      <c r="A9151" s="367" t="s">
        <v>30</v>
      </c>
      <c r="B9151" s="267">
        <v>44274</v>
      </c>
      <c r="C9151" s="1">
        <v>357</v>
      </c>
      <c r="D9151" s="39">
        <f t="shared" si="1447"/>
        <v>26136</v>
      </c>
      <c r="E9151" s="1">
        <v>5</v>
      </c>
      <c r="F9151" s="39">
        <f t="shared" si="1455"/>
        <v>317</v>
      </c>
      <c r="G9151" s="168">
        <f>SUM(C9151,C9127,C9103,C9079,C9055,C9031,C9007,C8983,C8959,C8935,C8911,C8887,C8863,C8839)/POBLA!$B$6*100000</f>
        <v>291.93407215018544</v>
      </c>
      <c r="H9151" s="256">
        <f t="shared" si="1456"/>
        <v>1.504367816091954</v>
      </c>
      <c r="I9151" s="297">
        <f t="shared" si="1458"/>
        <v>439.17622256340542</v>
      </c>
      <c r="J9151" s="297">
        <f t="shared" si="1459"/>
        <v>227.85714285714286</v>
      </c>
      <c r="K9151" s="297">
        <f>J9151/POBLA!$B$6*100000</f>
        <v>20.329848283249465</v>
      </c>
      <c r="L9151" s="549">
        <f t="shared" si="1457"/>
        <v>4.8896839594513963E-2</v>
      </c>
      <c r="M9151" s="401">
        <f>SUM(C9151,C9127,C9103,C9079,C9055,C9031,C9007)/POBLA!$B$6*100000</f>
        <v>142.30893798274627</v>
      </c>
    </row>
    <row r="9152" spans="1:13" s="360" customFormat="1" x14ac:dyDescent="0.25">
      <c r="A9152" s="367" t="s">
        <v>20</v>
      </c>
      <c r="B9152" s="267">
        <v>44274</v>
      </c>
      <c r="C9152" s="1">
        <v>683</v>
      </c>
      <c r="D9152" s="39">
        <f t="shared" si="1447"/>
        <v>171244</v>
      </c>
      <c r="E9152" s="1">
        <v>9</v>
      </c>
      <c r="F9152" s="39">
        <f t="shared" si="1455"/>
        <v>2966</v>
      </c>
      <c r="G9152" s="168">
        <f>SUM(C9152,C9128,C9104,C9080,C9056,C9032,C9008,C8984,C8960,C8936,C8912,C8888,C8864,C8840)/POBLA!$B$7*100000</f>
        <v>214.65516095148189</v>
      </c>
      <c r="H9152" s="256">
        <f t="shared" si="1456"/>
        <v>0.93991616208663253</v>
      </c>
      <c r="I9152" s="297">
        <f t="shared" si="1458"/>
        <v>201.75785505360525</v>
      </c>
      <c r="J9152" s="297">
        <f t="shared" si="1459"/>
        <v>605.57142857142856</v>
      </c>
      <c r="K9152" s="297">
        <f>J9152/POBLA!$B$7*100000</f>
        <v>16.103695796285777</v>
      </c>
      <c r="L9152" s="549">
        <f t="shared" si="1457"/>
        <v>-0.10592225410905298</v>
      </c>
      <c r="M9152" s="401">
        <f>SUM(C9152,C9128,C9104,C9080,C9056,C9032,C9008)/POBLA!$B$7*100000</f>
        <v>112.72587057400045</v>
      </c>
    </row>
    <row r="9153" spans="1:13" x14ac:dyDescent="0.25">
      <c r="A9153" s="367" t="s">
        <v>31</v>
      </c>
      <c r="B9153" s="267">
        <v>44274</v>
      </c>
      <c r="C9153" s="1">
        <v>241</v>
      </c>
      <c r="D9153" s="39">
        <f t="shared" si="1447"/>
        <v>47848</v>
      </c>
      <c r="E9153" s="1">
        <v>3</v>
      </c>
      <c r="F9153" s="39">
        <f t="shared" ref="F9153:F9176" si="1460">E9153+F9129</f>
        <v>923</v>
      </c>
      <c r="G9153" s="168">
        <f>SUM(C9153,C9129,C9105,C9081,C9057,C9033,C9009,C8985,C8961,C8937,C8913,C8889,C8865,C8841)/POBLA!$B$8*100000</f>
        <v>145.17003003692022</v>
      </c>
      <c r="H9153" s="256">
        <f t="shared" si="1456"/>
        <v>1.1690877396862289</v>
      </c>
      <c r="I9153" s="297">
        <f t="shared" si="1458"/>
        <v>169.71650228604503</v>
      </c>
      <c r="J9153" s="297">
        <f t="shared" si="1459"/>
        <v>163.71428571428572</v>
      </c>
      <c r="K9153" s="297">
        <f>J9153/POBLA!$B$8*100000</f>
        <v>11.812329907860734</v>
      </c>
      <c r="L9153" s="549">
        <f t="shared" si="1457"/>
        <v>-0.3233256351039262</v>
      </c>
      <c r="M9153" s="401">
        <f>SUM(C9153,C9129,C9105,C9081,C9057,C9033,C9009)/POBLA!$B$8*100000</f>
        <v>82.686309355025131</v>
      </c>
    </row>
    <row r="9154" spans="1:13" s="360" customFormat="1" x14ac:dyDescent="0.25">
      <c r="A9154" s="367" t="s">
        <v>41</v>
      </c>
      <c r="B9154" s="267">
        <v>44274</v>
      </c>
      <c r="C9154" s="1">
        <v>25</v>
      </c>
      <c r="D9154" s="39">
        <f t="shared" si="1447"/>
        <v>1685</v>
      </c>
      <c r="E9154" s="1">
        <v>2</v>
      </c>
      <c r="F9154" s="39">
        <f t="shared" si="1460"/>
        <v>25</v>
      </c>
      <c r="G9154" s="168">
        <f>SUM(C9154,C9130,C9106,C9082,C9058,C9034,C9010,C8986,C8962,C8938,C8914,C8890,C8866,C8842)/POBLA!$B$9*100000</f>
        <v>57.502317442534867</v>
      </c>
      <c r="H9154" s="256">
        <f t="shared" si="1456"/>
        <v>1.2428571428571429</v>
      </c>
      <c r="I9154" s="297">
        <f t="shared" si="1458"/>
        <v>71.467165964293329</v>
      </c>
      <c r="J9154" s="297">
        <f t="shared" si="1459"/>
        <v>26</v>
      </c>
      <c r="K9154" s="297">
        <f>J9154/POBLA!$B$9*100000</f>
        <v>4.2961501537526043</v>
      </c>
      <c r="L9154" s="549">
        <f t="shared" si="1457"/>
        <v>-9.6385542168674787E-2</v>
      </c>
      <c r="M9154" s="401">
        <f>SUM(C9154,C9130,C9106,C9082,C9058,C9034,C9010)/POBLA!$B$9*100000</f>
        <v>30.073051076268236</v>
      </c>
    </row>
    <row r="9155" spans="1:13" s="360" customFormat="1" x14ac:dyDescent="0.25">
      <c r="A9155" s="367" t="s">
        <v>32</v>
      </c>
      <c r="B9155" s="267">
        <v>44274</v>
      </c>
      <c r="C9155" s="1">
        <v>51</v>
      </c>
      <c r="D9155" s="39">
        <f t="shared" si="1447"/>
        <v>21941</v>
      </c>
      <c r="E9155" s="1">
        <v>4</v>
      </c>
      <c r="F9155" s="39">
        <f t="shared" si="1460"/>
        <v>941</v>
      </c>
      <c r="G9155" s="168">
        <f>SUM(C9155,C9131,C9107,C9083,C9059,C9035,C9011,C8987,C8963,C8939,C8915,C8891,C8867,C8843)/POBLA!$B$10*100000</f>
        <v>102.73959275166983</v>
      </c>
      <c r="H9155" s="256">
        <f t="shared" si="1456"/>
        <v>0.67404255319148931</v>
      </c>
      <c r="I9155" s="297">
        <f t="shared" si="1458"/>
        <v>69.250857412189362</v>
      </c>
      <c r="J9155" s="297">
        <f t="shared" si="1459"/>
        <v>50.857142857142854</v>
      </c>
      <c r="K9155" s="297">
        <f>J9155/POBLA!$B$10*100000</f>
        <v>6.5972754364347868</v>
      </c>
      <c r="L9155" s="549">
        <f t="shared" si="1457"/>
        <v>0.1834862385321101</v>
      </c>
      <c r="M9155" s="401">
        <f>SUM(C9155,C9131,C9107,C9083,C9059,C9035,C9011)/POBLA!$B$10*100000</f>
        <v>46.180928055043516</v>
      </c>
    </row>
    <row r="9156" spans="1:13" s="360" customFormat="1" x14ac:dyDescent="0.25">
      <c r="A9156" s="367" t="s">
        <v>33</v>
      </c>
      <c r="B9156" s="267">
        <v>44274</v>
      </c>
      <c r="C9156" s="1">
        <v>68</v>
      </c>
      <c r="D9156" s="39">
        <f t="shared" si="1447"/>
        <v>20379</v>
      </c>
      <c r="E9156" s="1">
        <v>1</v>
      </c>
      <c r="F9156" s="39">
        <f t="shared" si="1460"/>
        <v>309</v>
      </c>
      <c r="G9156" s="168">
        <f>SUM(C9156,C9132,C9108,C9084,C9060,C9036,C9012,C8988,C8964,C8940,C8916,C8892,C8868,C8844)/POBLA!$B$11*100000</f>
        <v>338.980213599384</v>
      </c>
      <c r="H9156" s="256">
        <f t="shared" si="1456"/>
        <v>1.0537727666955767</v>
      </c>
      <c r="I9156" s="297">
        <f t="shared" si="1458"/>
        <v>357.20811753968047</v>
      </c>
      <c r="J9156" s="297">
        <f t="shared" si="1459"/>
        <v>94.428571428571431</v>
      </c>
      <c r="K9156" s="297">
        <f>J9156/POBLA!$B$11*100000</f>
        <v>26.345199434355415</v>
      </c>
      <c r="L9156" s="549">
        <f t="shared" si="1457"/>
        <v>-0.19314079422382679</v>
      </c>
      <c r="M9156" s="401">
        <f>SUM(C9156,C9132,C9108,C9084,C9060,C9036,C9012)/POBLA!$B$11*100000</f>
        <v>184.41639604048791</v>
      </c>
    </row>
    <row r="9157" spans="1:13" s="360" customFormat="1" x14ac:dyDescent="0.25">
      <c r="A9157" s="367" t="s">
        <v>21</v>
      </c>
      <c r="B9157" s="267">
        <v>44274</v>
      </c>
      <c r="C9157" s="1">
        <v>26</v>
      </c>
      <c r="D9157" s="39">
        <f t="shared" si="1447"/>
        <v>10646</v>
      </c>
      <c r="E9157" s="1"/>
      <c r="F9157" s="39">
        <f t="shared" si="1460"/>
        <v>447</v>
      </c>
      <c r="G9157" s="168">
        <f>SUM(C9157,C9133,C9109,C9085,C9061,C9037,C9013,C8989,C8965,C8941,C8917,C8893,C8869,C8845)/POBLA!$B$12*100000</f>
        <v>80.552739174296306</v>
      </c>
      <c r="H9157" s="256">
        <f t="shared" si="1456"/>
        <v>0.90313390313390318</v>
      </c>
      <c r="I9157" s="297">
        <f t="shared" si="1458"/>
        <v>72.749909738609489</v>
      </c>
      <c r="J9157" s="297">
        <f t="shared" si="1459"/>
        <v>22.857142857142858</v>
      </c>
      <c r="K9157" s="297">
        <f>J9157/POBLA!$B$12*100000</f>
        <v>5.8082191382998696</v>
      </c>
      <c r="L9157" s="549">
        <f t="shared" si="1457"/>
        <v>-1.9108280254777066E-2</v>
      </c>
      <c r="M9157" s="401">
        <f>SUM(C9157,C9133,C9109,C9085,C9061,C9037,C9013)/POBLA!$B$12*100000</f>
        <v>40.657533968099081</v>
      </c>
    </row>
    <row r="9158" spans="1:13" s="360" customFormat="1" x14ac:dyDescent="0.25">
      <c r="A9158" s="367" t="s">
        <v>17</v>
      </c>
      <c r="B9158" s="267">
        <v>44274</v>
      </c>
      <c r="C9158" s="1">
        <v>213</v>
      </c>
      <c r="D9158" s="39">
        <f t="shared" si="1447"/>
        <v>70238</v>
      </c>
      <c r="E9158" s="1"/>
      <c r="F9158" s="39">
        <f t="shared" si="1460"/>
        <v>1486</v>
      </c>
      <c r="G9158" s="168">
        <f>SUM(C9158,C9134,C9110,C9086,C9062,C9038,C9014,C8990,C8966,C8942,C8918,C8894,C8870,C8846)/POBLA!$B$13*100000</f>
        <v>110.08180520092566</v>
      </c>
      <c r="H9158" s="256">
        <f t="shared" si="1456"/>
        <v>1.1654255319148936</v>
      </c>
      <c r="I9158" s="297">
        <f t="shared" si="1458"/>
        <v>128.2921463804405</v>
      </c>
      <c r="J9158" s="297">
        <f t="shared" si="1459"/>
        <v>152.14285714285714</v>
      </c>
      <c r="K9158" s="297">
        <f>J9158/POBLA!$B$13*100000</f>
        <v>7.6440713659115769</v>
      </c>
      <c r="L9158" s="549">
        <f t="shared" si="1457"/>
        <v>5.417406749555953E-2</v>
      </c>
      <c r="M9158" s="401">
        <f>SUM(C9158,C9134,C9110,C9086,C9062,C9038,C9014)/POBLA!$B$13*100000</f>
        <v>53.508499561381029</v>
      </c>
    </row>
    <row r="9159" spans="1:13" s="360" customFormat="1" x14ac:dyDescent="0.25">
      <c r="A9159" s="367" t="s">
        <v>23</v>
      </c>
      <c r="B9159" s="267">
        <v>44274</v>
      </c>
      <c r="C9159" s="1">
        <v>119</v>
      </c>
      <c r="D9159" s="39">
        <f t="shared" si="1447"/>
        <v>10581</v>
      </c>
      <c r="E9159" s="1">
        <v>5</v>
      </c>
      <c r="F9159" s="39">
        <f t="shared" si="1460"/>
        <v>183</v>
      </c>
      <c r="G9159" s="168">
        <f>SUM(C9159,C9135,C9111,C9087,C9063,C9039,C9015,C8991,C8967,C8943,C8919,C8895,C8871,C8847)/POBLA!$B$14*100000</f>
        <v>132.87940797308161</v>
      </c>
      <c r="H9159" s="256">
        <f t="shared" si="1456"/>
        <v>1.0219512195121951</v>
      </c>
      <c r="I9159" s="297">
        <f t="shared" si="1458"/>
        <v>135.79627302614927</v>
      </c>
      <c r="J9159" s="297">
        <f t="shared" si="1459"/>
        <v>121.71428571428571</v>
      </c>
      <c r="K9159" s="297">
        <f>J9159/POBLA!$B$14*100000</f>
        <v>9.6499535964085847</v>
      </c>
      <c r="L9159" s="549">
        <f t="shared" si="1457"/>
        <v>-3.398058252427183E-2</v>
      </c>
      <c r="M9159" s="401">
        <f>SUM(C9159,C9135,C9111,C9087,C9063,C9039,C9015)/POBLA!$B$14*100000</f>
        <v>67.549675174860099</v>
      </c>
    </row>
    <row r="9160" spans="1:13" s="360" customFormat="1" x14ac:dyDescent="0.25">
      <c r="A9160" s="367" t="s">
        <v>19</v>
      </c>
      <c r="B9160" s="267">
        <v>44274</v>
      </c>
      <c r="C9160" s="1">
        <v>159</v>
      </c>
      <c r="D9160" s="39">
        <f t="shared" si="1447"/>
        <v>63909</v>
      </c>
      <c r="E9160" s="1">
        <v>2</v>
      </c>
      <c r="F9160" s="39">
        <f t="shared" si="1460"/>
        <v>969</v>
      </c>
      <c r="G9160" s="168">
        <f>SUM(C9160,C9136,C9112,C9088,C9064,C9040,C9016,C8992,C8968,C8944,C8920,C8896,C8872,C8848)/POBLA!$B$15*100000</f>
        <v>276.78346888896584</v>
      </c>
      <c r="H9160" s="256">
        <f t="shared" si="1456"/>
        <v>0.77651035065483731</v>
      </c>
      <c r="I9160" s="297">
        <f t="shared" si="1458"/>
        <v>214.92522848243311</v>
      </c>
      <c r="J9160" s="297">
        <f t="shared" si="1459"/>
        <v>121.71428571428571</v>
      </c>
      <c r="K9160" s="297">
        <f>J9160/POBLA!$B$15*100000</f>
        <v>18.328891302145106</v>
      </c>
      <c r="L9160" s="549">
        <f t="shared" si="1457"/>
        <v>0.13590263691683568</v>
      </c>
      <c r="M9160" s="401">
        <f>SUM(C9160,C9136,C9112,C9088,C9064,C9040,C9016)/POBLA!$B$15*100000</f>
        <v>128.30223911501574</v>
      </c>
    </row>
    <row r="9161" spans="1:13" s="360" customFormat="1" x14ac:dyDescent="0.25">
      <c r="A9161" s="367" t="s">
        <v>18</v>
      </c>
      <c r="B9161" s="267">
        <v>44274</v>
      </c>
      <c r="C9161" s="1">
        <v>70</v>
      </c>
      <c r="D9161" s="39">
        <f t="shared" si="1447"/>
        <v>54295</v>
      </c>
      <c r="E9161" s="1">
        <v>2</v>
      </c>
      <c r="F9161" s="39">
        <f t="shared" si="1460"/>
        <v>1252</v>
      </c>
      <c r="G9161" s="168">
        <f>SUM(C9161,C9137,C9113,C9089,C9065,C9041,C9017,C8993,C8969,C8945,C8921,C8897,C8873,C8849)/POBLA!$B$16*100000</f>
        <v>169.0721097898637</v>
      </c>
      <c r="H9161" s="256">
        <f t="shared" si="1456"/>
        <v>0.73275362318840576</v>
      </c>
      <c r="I9161" s="297">
        <f t="shared" si="1458"/>
        <v>123.88820102863056</v>
      </c>
      <c r="J9161" s="297">
        <f t="shared" si="1459"/>
        <v>83</v>
      </c>
      <c r="K9161" s="297">
        <f>J9161/POBLA!$B$16*100000</f>
        <v>11.102045183986302</v>
      </c>
      <c r="L9161" s="549">
        <f t="shared" si="1457"/>
        <v>0.14934114202049775</v>
      </c>
      <c r="M9161" s="401">
        <f>SUM(C9161,C9137,C9113,C9089,C9065,C9041,C9017)/POBLA!$B$16*100000</f>
        <v>77.714316287904126</v>
      </c>
    </row>
    <row r="9162" spans="1:13" s="360" customFormat="1" x14ac:dyDescent="0.25">
      <c r="A9162" s="367" t="s">
        <v>34</v>
      </c>
      <c r="B9162" s="267">
        <v>44274</v>
      </c>
      <c r="C9162" s="1">
        <v>60</v>
      </c>
      <c r="D9162" s="39">
        <f t="shared" si="1447"/>
        <v>28149</v>
      </c>
      <c r="E9162" s="1">
        <v>7</v>
      </c>
      <c r="F9162" s="39">
        <f t="shared" si="1460"/>
        <v>1160</v>
      </c>
      <c r="G9162" s="168">
        <f>SUM(C9162,C9138,C9114,C9090,C9066,C9042,C9018,C8994,C8970,C8946,C8922,C8898,C8874,C8850)/POBLA!$B$17*100000</f>
        <v>95.970435208723401</v>
      </c>
      <c r="H9162" s="256">
        <f t="shared" si="1456"/>
        <v>0.8511830635118306</v>
      </c>
      <c r="I9162" s="297">
        <f t="shared" si="1458"/>
        <v>81.688409047524829</v>
      </c>
      <c r="J9162" s="297">
        <f t="shared" si="1459"/>
        <v>99.571428571428569</v>
      </c>
      <c r="K9162" s="297">
        <f>J9162/POBLA!$B$17*100000</f>
        <v>6.9904267259358566</v>
      </c>
      <c r="L9162" s="549">
        <f t="shared" si="1457"/>
        <v>-4.0298507462686484E-2</v>
      </c>
      <c r="M9162" s="401">
        <f>SUM(C9162,C9138,C9114,C9090,C9066,C9042,C9018)/POBLA!$B$17*100000</f>
        <v>48.932987081551005</v>
      </c>
    </row>
    <row r="9163" spans="1:13" s="360" customFormat="1" x14ac:dyDescent="0.25">
      <c r="A9163" s="367" t="s">
        <v>35</v>
      </c>
      <c r="B9163" s="267">
        <v>44274</v>
      </c>
      <c r="C9163" s="1">
        <v>92</v>
      </c>
      <c r="D9163" s="39">
        <f t="shared" ref="D9163:D9193" si="1461">C9163+D9139</f>
        <v>16270</v>
      </c>
      <c r="E9163" s="1">
        <v>2</v>
      </c>
      <c r="F9163" s="39">
        <f t="shared" si="1460"/>
        <v>221</v>
      </c>
      <c r="G9163" s="168">
        <f>SUM(C9163,C9139,C9115,C9091,C9067,C9043,C9019,C8995,C8971,C8947,C8923,C8899,C8875,C8851)/POBLA!$B$18*100000</f>
        <v>96.132060618240516</v>
      </c>
      <c r="H9163" s="256">
        <f t="shared" si="1456"/>
        <v>1.1939586645468998</v>
      </c>
      <c r="I9163" s="297">
        <f t="shared" si="1458"/>
        <v>114.77770671589606</v>
      </c>
      <c r="J9163" s="297">
        <f t="shared" si="1459"/>
        <v>58.714285714285715</v>
      </c>
      <c r="K9163" s="297">
        <f>J9163/POBLA!$B$18*100000</f>
        <v>7.515746036541155</v>
      </c>
      <c r="L9163" s="549">
        <f t="shared" si="1457"/>
        <v>-0.20882352941176463</v>
      </c>
      <c r="M9163" s="401">
        <f>SUM(C9163,C9139,C9115,C9091,C9067,C9043,C9019)/POBLA!$B$18*100000</f>
        <v>52.610222255788081</v>
      </c>
    </row>
    <row r="9164" spans="1:13" s="360" customFormat="1" x14ac:dyDescent="0.25">
      <c r="A9164" s="367" t="s">
        <v>36</v>
      </c>
      <c r="B9164" s="267">
        <v>44274</v>
      </c>
      <c r="C9164" s="1">
        <v>15</v>
      </c>
      <c r="D9164" s="39">
        <f t="shared" si="1461"/>
        <v>21551</v>
      </c>
      <c r="E9164" s="1">
        <v>12</v>
      </c>
      <c r="F9164" s="39">
        <f t="shared" si="1460"/>
        <v>378</v>
      </c>
      <c r="G9164" s="168">
        <f>SUM(C9164,C9140,C9116,C9092,C9068,C9044,C9020,C8996,C8972,C8948,C8924,C8900,C8876,C8852)/POBLA!$B$19*100000</f>
        <v>147.5425315937741</v>
      </c>
      <c r="H9164" s="256">
        <f t="shared" si="1456"/>
        <v>1.3686131386861313</v>
      </c>
      <c r="I9164" s="297">
        <f t="shared" si="1458"/>
        <v>201.92864725425287</v>
      </c>
      <c r="J9164" s="297">
        <f t="shared" si="1459"/>
        <v>5.1428571428571432</v>
      </c>
      <c r="K9164" s="297">
        <f>J9164/POBLA!$B$19*100000</f>
        <v>1.0117202166430226</v>
      </c>
      <c r="L9164" s="549">
        <f t="shared" si="1457"/>
        <v>0.94957983193277307</v>
      </c>
      <c r="M9164" s="401">
        <f>SUM(C9164,C9140,C9116,C9092,C9068,C9044,C9020)/POBLA!$B$19*100000</f>
        <v>7.0820415165011568</v>
      </c>
    </row>
    <row r="9165" spans="1:13" s="360" customFormat="1" x14ac:dyDescent="0.25">
      <c r="A9165" s="367" t="s">
        <v>37</v>
      </c>
      <c r="B9165" s="267">
        <v>44274</v>
      </c>
      <c r="C9165" s="1">
        <v>133</v>
      </c>
      <c r="D9165" s="39">
        <f t="shared" si="1461"/>
        <v>37994</v>
      </c>
      <c r="E9165" s="1">
        <v>4</v>
      </c>
      <c r="F9165" s="39">
        <f t="shared" si="1460"/>
        <v>622</v>
      </c>
      <c r="G9165" s="168">
        <f>SUM(C9165,C9141,C9117,C9093,C9069,C9045,C9021,C8997,C8973,C8949,C8925,C8901,C8877,C8853)/POBLA!$B$20*100000</f>
        <v>386.38439368003105</v>
      </c>
      <c r="H9165" s="256">
        <f t="shared" si="1456"/>
        <v>0.89487017099430022</v>
      </c>
      <c r="I9165" s="297">
        <f t="shared" si="1458"/>
        <v>345.76386844197839</v>
      </c>
      <c r="J9165" s="297">
        <f t="shared" si="1459"/>
        <v>109.85714285714286</v>
      </c>
      <c r="K9165" s="297">
        <f>J9165/POBLA!$B$20*100000</f>
        <v>30.040400236573038</v>
      </c>
      <c r="L9165" s="549">
        <f t="shared" si="1457"/>
        <v>-0.19409937888198758</v>
      </c>
      <c r="M9165" s="401">
        <f>SUM(C9165,C9141,C9117,C9093,C9069,C9045,C9021)/POBLA!$B$20*100000</f>
        <v>210.28280165601123</v>
      </c>
    </row>
    <row r="9166" spans="1:13" s="360" customFormat="1" x14ac:dyDescent="0.25">
      <c r="A9166" s="367" t="s">
        <v>22</v>
      </c>
      <c r="B9166" s="267">
        <v>44274</v>
      </c>
      <c r="C9166" s="1">
        <v>522</v>
      </c>
      <c r="D9166" s="39">
        <f t="shared" si="1461"/>
        <v>224834</v>
      </c>
      <c r="E9166" s="1">
        <v>5</v>
      </c>
      <c r="F9166" s="39">
        <f t="shared" si="1460"/>
        <v>4199</v>
      </c>
      <c r="G9166" s="168">
        <f>SUM(C9166,C9142,C9118,C9094,C9070,C9046,C9022,C8998,C8974,C8950,C8926,C8902,C8878,C8854)/POBLA!$B$21*100000</f>
        <v>173.53717801458993</v>
      </c>
      <c r="H9166" s="256">
        <f t="shared" si="1456"/>
        <v>1.1754453169890826</v>
      </c>
      <c r="I9166" s="297">
        <f t="shared" si="1458"/>
        <v>203.98346322075051</v>
      </c>
      <c r="J9166" s="297">
        <f t="shared" si="1459"/>
        <v>454.42857142857144</v>
      </c>
      <c r="K9166" s="297">
        <f>J9166/POBLA!$B$21*100000</f>
        <v>12.849967719556101</v>
      </c>
      <c r="L9166" s="549">
        <f t="shared" si="1457"/>
        <v>-7.6116373477672639E-2</v>
      </c>
      <c r="M9166" s="401">
        <f>SUM(C9166,C9142,C9118,C9094,C9070,C9046,C9022)/POBLA!$B$21*100000</f>
        <v>89.949774036892691</v>
      </c>
    </row>
    <row r="9167" spans="1:13" s="360" customFormat="1" x14ac:dyDescent="0.25">
      <c r="A9167" s="367" t="s">
        <v>38</v>
      </c>
      <c r="B9167" s="267">
        <v>44274</v>
      </c>
      <c r="C9167" s="1">
        <v>114</v>
      </c>
      <c r="D9167" s="39">
        <f t="shared" si="1461"/>
        <v>23939</v>
      </c>
      <c r="E9167" s="1">
        <v>1</v>
      </c>
      <c r="F9167" s="39">
        <f t="shared" si="1460"/>
        <v>277</v>
      </c>
      <c r="G9167" s="168">
        <f>SUM(C9167,C9143,C9119,C9095,C9071,C9047,C9023,C8999,C8975,C8951,C8927,C8903,C8879,C8855)/POBLA!$B$22*100000</f>
        <v>100.27465647497273</v>
      </c>
      <c r="H9167" s="256">
        <f t="shared" si="1456"/>
        <v>1.125</v>
      </c>
      <c r="I9167" s="297">
        <f t="shared" si="1458"/>
        <v>112.80898853434432</v>
      </c>
      <c r="J9167" s="297">
        <f t="shared" si="1459"/>
        <v>89.714285714285708</v>
      </c>
      <c r="K9167" s="297">
        <f>J9167/POBLA!$B$22*100000</f>
        <v>9.1703049754307369</v>
      </c>
      <c r="L9167" s="549">
        <f t="shared" si="1457"/>
        <v>-0.77903682719546752</v>
      </c>
      <c r="M9167" s="401">
        <f>SUM(C9167,C9143,C9119,C9095,C9071,C9047,C9023)/POBLA!$B$22*100000</f>
        <v>64.192134828015156</v>
      </c>
    </row>
    <row r="9168" spans="1:13" s="360" customFormat="1" x14ac:dyDescent="0.25">
      <c r="A9168" s="367" t="s">
        <v>39</v>
      </c>
      <c r="B9168" s="267">
        <v>44274</v>
      </c>
      <c r="C9168" s="1">
        <v>38</v>
      </c>
      <c r="D9168" s="39">
        <f t="shared" si="1461"/>
        <v>23537</v>
      </c>
      <c r="E9168" s="1"/>
      <c r="F9168" s="39">
        <f t="shared" si="1460"/>
        <v>358</v>
      </c>
      <c r="G9168" s="168">
        <f>SUM(C9168,C9144,C9120,C9096,C9072,C9048,C9024,C9000,C8976,C8952,C8928,C8904,C8880,C8856)/POBLA!$B$23*100000</f>
        <v>230.73007973760107</v>
      </c>
      <c r="H9168" s="256">
        <f t="shared" si="1456"/>
        <v>0.82258064516129037</v>
      </c>
      <c r="I9168" s="297">
        <f t="shared" si="1458"/>
        <v>189.79409784867187</v>
      </c>
      <c r="J9168" s="297">
        <f t="shared" si="1459"/>
        <v>31.428571428571427</v>
      </c>
      <c r="K9168" s="297">
        <f>J9168/POBLA!$B$23*100000</f>
        <v>17.773325469983277</v>
      </c>
      <c r="L9168" s="549">
        <f t="shared" si="1457"/>
        <v>-0.17021276595744683</v>
      </c>
      <c r="M9168" s="401">
        <f>SUM(C9168,C9144,C9120,C9096,C9072,C9048,C9024)/POBLA!$B$23*100000</f>
        <v>124.41327828988294</v>
      </c>
    </row>
    <row r="9169" spans="1:13" s="360" customFormat="1" ht="15.75" thickBot="1" x14ac:dyDescent="0.3">
      <c r="A9169" s="369" t="s">
        <v>40</v>
      </c>
      <c r="B9169" s="267">
        <v>44274</v>
      </c>
      <c r="C9169" s="1">
        <v>339</v>
      </c>
      <c r="D9169" s="176">
        <f t="shared" si="1461"/>
        <v>83664</v>
      </c>
      <c r="E9169" s="1">
        <v>6</v>
      </c>
      <c r="F9169" s="176">
        <f t="shared" si="1460"/>
        <v>1498</v>
      </c>
      <c r="G9169" s="177">
        <f>SUM(C9169,C9145,C9121,C9097,C9073,C9049,C9025,C9001,C8977,C8953,C8929,C8905,C8881,C8857)/POBLA!$B$24*100000</f>
        <v>176.02392461950978</v>
      </c>
      <c r="H9169" s="402">
        <f t="shared" si="1456"/>
        <v>1.4341346153846153</v>
      </c>
      <c r="I9169" s="403">
        <f t="shared" si="1458"/>
        <v>252.44200343269117</v>
      </c>
      <c r="J9169" s="403">
        <f t="shared" si="1459"/>
        <v>248.71428571428572</v>
      </c>
      <c r="K9169" s="403">
        <f>J9169/POBLA!$B$24*100000</f>
        <v>14.676387757414233</v>
      </c>
      <c r="L9169" s="550">
        <f t="shared" si="1457"/>
        <v>-0.40177133655394526</v>
      </c>
      <c r="M9169" s="405">
        <f>SUM(C9169,C9145,C9121,C9097,C9073,C9049,C9025)/POBLA!$B$24*100000</f>
        <v>102.73471430189963</v>
      </c>
    </row>
    <row r="9170" spans="1:13" s="360" customFormat="1" x14ac:dyDescent="0.25">
      <c r="A9170" s="363" t="s">
        <v>16</v>
      </c>
      <c r="B9170" s="267">
        <v>44275</v>
      </c>
      <c r="C9170" s="17">
        <v>3182</v>
      </c>
      <c r="D9170" s="174">
        <f t="shared" si="1461"/>
        <v>937575</v>
      </c>
      <c r="E9170" s="1">
        <v>12</v>
      </c>
      <c r="F9170" s="174">
        <f t="shared" si="1460"/>
        <v>27485</v>
      </c>
      <c r="G9170" s="175">
        <f>SUM(C9170,C9146,C9122,C9098,C9074,C9050,C9026,C9002,C8978,C8954,C8930,C8906,C8882,C8858)/POBLA!$B$1*100000</f>
        <v>231.4729697458107</v>
      </c>
      <c r="H9170" s="300">
        <f t="shared" ref="H9170:H9193" si="1462">SUM(C9170,C9146,C9122,C9098,C9074,C9050,C9026,C9002,C8978,C8954,C8930,C8906,C8882,C8858)/SUM(C8834,C8810,C8786,C8762,C8738,C8714,C8690,C8666,C8642,C8618,C8594,C8570,C8546,C8522)</f>
        <v>1.1092806600551868</v>
      </c>
      <c r="I9170" s="301">
        <f>G9170*H9170</f>
        <v>256.7684886645672</v>
      </c>
      <c r="J9170" s="301">
        <f>AVERAGE(C9170,C9146,C9122,C9098,C9074,C9050,C9026)</f>
        <v>3116.2857142857142</v>
      </c>
      <c r="K9170" s="301">
        <f>J9170/POBLA!$B$1*100000</f>
        <v>17.765581579246835</v>
      </c>
      <c r="L9170" s="548">
        <f t="shared" ref="L9170:L9193" si="1463">1-SUM(C9170,C9146,C9122,C9098,C9074,C9050,C9026)/SUM(C9002,C8978,C8954,C8930,C8906,C8882,C8858)</f>
        <v>-0.16099845654372236</v>
      </c>
      <c r="M9170" s="400">
        <f>SUM(C9170,C9146,C9122,C9098,C9074,C9050,C9026)/POBLA!$B$1*100000</f>
        <v>124.35907105472785</v>
      </c>
    </row>
    <row r="9171" spans="1:13" s="360" customFormat="1" x14ac:dyDescent="0.25">
      <c r="A9171" s="367" t="s">
        <v>43</v>
      </c>
      <c r="B9171" s="267">
        <v>44275</v>
      </c>
      <c r="C9171" s="17">
        <v>842</v>
      </c>
      <c r="D9171" s="39">
        <f t="shared" si="1461"/>
        <v>247580</v>
      </c>
      <c r="E9171" s="1">
        <v>1</v>
      </c>
      <c r="F9171" s="39">
        <f t="shared" si="1460"/>
        <v>6762</v>
      </c>
      <c r="G9171" s="168">
        <f>SUM(C9171,C9147,C9123,C9099,C9075,C9051,C9027,C9003,C8979,C8955,C8931,C8907,C8883,C8859)/POBLA!$B$2*100000</f>
        <v>375.95353951657637</v>
      </c>
      <c r="H9171" s="256">
        <f t="shared" si="1462"/>
        <v>1.1991081613605725</v>
      </c>
      <c r="I9171" s="297">
        <f t="shared" ref="I9171:I9193" si="1464">G9171*H9171</f>
        <v>450.80895752672126</v>
      </c>
      <c r="J9171" s="297">
        <f t="shared" ref="J9171:J9193" si="1465">AVERAGE(C9171,C9147,C9123,C9099,C9075,C9051,C9027)</f>
        <v>882.85714285714289</v>
      </c>
      <c r="K9171" s="297">
        <f>J9171/POBLA!$B$2*100000</f>
        <v>28.704771058084802</v>
      </c>
      <c r="L9171" s="549">
        <f t="shared" si="1463"/>
        <v>-0.14805870332528337</v>
      </c>
      <c r="M9171" s="401">
        <f>SUM(C9171,C9147,C9123,C9099,C9075,C9051,C9027)/POBLA!$B$2*100000</f>
        <v>200.93339740659363</v>
      </c>
    </row>
    <row r="9172" spans="1:13" s="360" customFormat="1" x14ac:dyDescent="0.25">
      <c r="A9172" s="367" t="s">
        <v>28</v>
      </c>
      <c r="B9172" s="267">
        <v>44275</v>
      </c>
      <c r="C9172" s="17">
        <v>73</v>
      </c>
      <c r="D9172" s="39">
        <f t="shared" si="1461"/>
        <v>9648</v>
      </c>
      <c r="E9172" s="1"/>
      <c r="F9172" s="39">
        <f t="shared" si="1460"/>
        <v>18</v>
      </c>
      <c r="G9172" s="168">
        <f>SUM(C9172,C9148,C9124,C9100,C9076,C9052,C9028,C9004,C8980,C8956,C8932,C8908,C8884,C8860)/POBLA!$B$3*100000</f>
        <v>298.96157790091422</v>
      </c>
      <c r="H9172" s="256">
        <f t="shared" si="1462"/>
        <v>1.0138775510204081</v>
      </c>
      <c r="I9172" s="297">
        <f t="shared" si="1464"/>
        <v>303.11043245137586</v>
      </c>
      <c r="J9172" s="297">
        <f t="shared" si="1465"/>
        <v>96.142857142857139</v>
      </c>
      <c r="K9172" s="297">
        <f>J9172/POBLA!$B$3*100000</f>
        <v>23.142528402037641</v>
      </c>
      <c r="L9172" s="549">
        <f t="shared" si="1463"/>
        <v>-0.18277680140597541</v>
      </c>
      <c r="M9172" s="401">
        <f>SUM(C9172,C9148,C9124,C9100,C9076,C9052,C9028)/POBLA!$B$3*100000</f>
        <v>161.99769881426349</v>
      </c>
    </row>
    <row r="9173" spans="1:13" s="360" customFormat="1" x14ac:dyDescent="0.25">
      <c r="A9173" s="367" t="s">
        <v>15</v>
      </c>
      <c r="B9173" s="267">
        <v>44275</v>
      </c>
      <c r="C9173" s="17">
        <v>170</v>
      </c>
      <c r="D9173" s="39">
        <f t="shared" si="1461"/>
        <v>36842</v>
      </c>
      <c r="E9173" s="1">
        <v>2</v>
      </c>
      <c r="F9173" s="39">
        <f t="shared" si="1460"/>
        <v>906</v>
      </c>
      <c r="G9173" s="168">
        <f>SUM(C9173,C9149,C9125,C9101,C9077,C9053,C9029,C9005,C8981,C8957,C8933,C8909,C8885,C8861)/POBLA!$B$4*100000</f>
        <v>154.66472291105077</v>
      </c>
      <c r="H9173" s="256">
        <f t="shared" si="1462"/>
        <v>1.0048543689320388</v>
      </c>
      <c r="I9173" s="297">
        <f t="shared" si="1464"/>
        <v>155.41552253683258</v>
      </c>
      <c r="J9173" s="297">
        <f t="shared" si="1465"/>
        <v>141</v>
      </c>
      <c r="K9173" s="297">
        <f>J9173/POBLA!$B$4*100000</f>
        <v>11.705703666375822</v>
      </c>
      <c r="L9173" s="549">
        <f t="shared" si="1463"/>
        <v>-0.12671232876712324</v>
      </c>
      <c r="M9173" s="401">
        <f>SUM(C9173,C9149,C9125,C9101,C9077,C9053,C9029)/POBLA!$B$4*100000</f>
        <v>81.939925664630763</v>
      </c>
    </row>
    <row r="9174" spans="1:13" s="360" customFormat="1" x14ac:dyDescent="0.25">
      <c r="A9174" s="367" t="s">
        <v>29</v>
      </c>
      <c r="B9174" s="267">
        <v>44275</v>
      </c>
      <c r="C9174" s="17">
        <v>35</v>
      </c>
      <c r="D9174" s="39">
        <f t="shared" si="1461"/>
        <v>48730</v>
      </c>
      <c r="E9174" s="1">
        <v>1</v>
      </c>
      <c r="F9174" s="39">
        <f t="shared" si="1460"/>
        <v>816</v>
      </c>
      <c r="G9174" s="168">
        <f>SUM(C9174,C9150,C9126,C9102,C9078,C9054,C9030,C9006,C8982,C8958,C8934,C8910,C8886,C8862)/POBLA!$B$5*100000</f>
        <v>198.38641408478921</v>
      </c>
      <c r="H9174" s="256">
        <f t="shared" si="1462"/>
        <v>0.84865238424326195</v>
      </c>
      <c r="I9174" s="297">
        <f t="shared" si="1464"/>
        <v>168.36110331452741</v>
      </c>
      <c r="J9174" s="297">
        <f t="shared" si="1465"/>
        <v>89.285714285714292</v>
      </c>
      <c r="K9174" s="297">
        <f>J9174/POBLA!$B$5*100000</f>
        <v>14.424326291646492</v>
      </c>
      <c r="L9174" s="549">
        <f t="shared" si="1463"/>
        <v>-3.6484245439469376E-2</v>
      </c>
      <c r="M9174" s="401">
        <f>SUM(C9174,C9150,C9126,C9102,C9078,C9054,C9030)/POBLA!$B$5*100000</f>
        <v>100.97028404152545</v>
      </c>
    </row>
    <row r="9175" spans="1:13" s="360" customFormat="1" x14ac:dyDescent="0.25">
      <c r="A9175" s="367" t="s">
        <v>30</v>
      </c>
      <c r="B9175" s="267">
        <v>44275</v>
      </c>
      <c r="C9175" s="17">
        <v>235</v>
      </c>
      <c r="D9175" s="39">
        <f t="shared" si="1461"/>
        <v>26371</v>
      </c>
      <c r="E9175" s="1"/>
      <c r="F9175" s="39">
        <f t="shared" si="1460"/>
        <v>317</v>
      </c>
      <c r="G9175" s="168">
        <f>SUM(C9175,C9151,C9127,C9103,C9079,C9055,C9031,C9007,C8983,C8959,C8935,C8911,C8887,C8863)/POBLA!$B$6*100000</f>
        <v>297.10894262228533</v>
      </c>
      <c r="H9175" s="256">
        <f t="shared" si="1462"/>
        <v>1.4952851369555455</v>
      </c>
      <c r="I9175" s="297">
        <f t="shared" si="1464"/>
        <v>444.26258595968125</v>
      </c>
      <c r="J9175" s="297">
        <f t="shared" si="1465"/>
        <v>218.85714285714286</v>
      </c>
      <c r="K9175" s="297">
        <f>J9175/POBLA!$B$6*100000</f>
        <v>19.526851141027077</v>
      </c>
      <c r="L9175" s="549">
        <f t="shared" si="1463"/>
        <v>0.14794215795328147</v>
      </c>
      <c r="M9175" s="401">
        <f>SUM(C9175,C9151,C9127,C9103,C9079,C9055,C9031)/POBLA!$B$6*100000</f>
        <v>136.68795798718952</v>
      </c>
    </row>
    <row r="9176" spans="1:13" s="360" customFormat="1" x14ac:dyDescent="0.25">
      <c r="A9176" s="367" t="s">
        <v>20</v>
      </c>
      <c r="B9176" s="267">
        <v>44275</v>
      </c>
      <c r="C9176" s="17">
        <v>550</v>
      </c>
      <c r="D9176" s="39">
        <f t="shared" si="1461"/>
        <v>171794</v>
      </c>
      <c r="E9176" s="1">
        <v>2</v>
      </c>
      <c r="F9176" s="39">
        <f t="shared" si="1460"/>
        <v>2968</v>
      </c>
      <c r="G9176" s="168">
        <f>SUM(C9176,C9152,C9128,C9104,C9080,C9056,C9032,C9008,C8984,C8960,C8936,C8912,C8888,C8864)/POBLA!$B$7*100000</f>
        <v>218.32493451581593</v>
      </c>
      <c r="H9176" s="256">
        <f t="shared" si="1462"/>
        <v>0.97633487929599239</v>
      </c>
      <c r="I9176" s="297">
        <f t="shared" si="1464"/>
        <v>213.15824858780459</v>
      </c>
      <c r="J9176" s="297">
        <f t="shared" si="1465"/>
        <v>599.42857142857144</v>
      </c>
      <c r="K9176" s="297">
        <f>J9176/POBLA!$B$7*100000</f>
        <v>15.940341486486229</v>
      </c>
      <c r="L9176" s="549">
        <f t="shared" si="1463"/>
        <v>-4.5341305430991463E-2</v>
      </c>
      <c r="M9176" s="401">
        <f>SUM(C9176,C9152,C9128,C9104,C9080,C9056,C9032)/POBLA!$B$7*100000</f>
        <v>111.5823904054036</v>
      </c>
    </row>
    <row r="9177" spans="1:13" x14ac:dyDescent="0.25">
      <c r="A9177" s="367" t="s">
        <v>31</v>
      </c>
      <c r="B9177" s="267">
        <v>44275</v>
      </c>
      <c r="C9177" s="17">
        <v>150</v>
      </c>
      <c r="D9177" s="39">
        <f t="shared" si="1461"/>
        <v>47998</v>
      </c>
      <c r="F9177" s="39">
        <f t="shared" ref="F9177:F9200" si="1466">E9177+F9153</f>
        <v>923</v>
      </c>
      <c r="G9177" s="168">
        <f>SUM(C9177,C9153,C9129,C9105,C9081,C9057,C9033,C9009,C8985,C8961,C8937,C8913,C8889,C8865)/POBLA!$B$8*100000</f>
        <v>148.705483054718</v>
      </c>
      <c r="H9177" s="256">
        <f t="shared" si="1462"/>
        <v>1.2080890973036342</v>
      </c>
      <c r="I9177" s="297">
        <f t="shared" si="1464"/>
        <v>179.64947278767514</v>
      </c>
      <c r="J9177" s="297">
        <f t="shared" si="1465"/>
        <v>169.71428571428572</v>
      </c>
      <c r="K9177" s="297">
        <f>J9177/POBLA!$B$8*100000</f>
        <v>12.245242522284951</v>
      </c>
      <c r="L9177" s="549">
        <f t="shared" si="1463"/>
        <v>-0.36082474226804129</v>
      </c>
      <c r="M9177" s="401">
        <f>SUM(C9177,C9153,C9129,C9105,C9081,C9057,C9033)/POBLA!$B$8*100000</f>
        <v>85.716697655994651</v>
      </c>
    </row>
    <row r="9178" spans="1:13" s="360" customFormat="1" x14ac:dyDescent="0.25">
      <c r="A9178" s="367" t="s">
        <v>41</v>
      </c>
      <c r="B9178" s="267">
        <v>44275</v>
      </c>
      <c r="C9178" s="17">
        <v>4</v>
      </c>
      <c r="D9178" s="39">
        <f t="shared" si="1461"/>
        <v>1689</v>
      </c>
      <c r="E9178" s="1"/>
      <c r="F9178" s="39">
        <f t="shared" si="1466"/>
        <v>25</v>
      </c>
      <c r="G9178" s="168">
        <f>SUM(C9178,C9154,C9130,C9106,C9082,C9058,C9034,C9010,C8986,C8962,C8938,C8914,C8890,C8866)/POBLA!$B$9*100000</f>
        <v>57.667553986909965</v>
      </c>
      <c r="H9178" s="256">
        <f t="shared" si="1462"/>
        <v>1.2925925925925925</v>
      </c>
      <c r="I9178" s="297">
        <f t="shared" si="1464"/>
        <v>74.540653116413253</v>
      </c>
      <c r="J9178" s="297">
        <f t="shared" si="1465"/>
        <v>23.857142857142858</v>
      </c>
      <c r="K9178" s="297">
        <f>J9178/POBLA!$B$9*100000</f>
        <v>3.9420718443773901</v>
      </c>
      <c r="L9178" s="549">
        <f t="shared" si="1463"/>
        <v>8.2417582417582458E-2</v>
      </c>
      <c r="M9178" s="401">
        <f>SUM(C9178,C9154,C9130,C9106,C9082,C9058,C9034)/POBLA!$B$9*100000</f>
        <v>27.594502910641729</v>
      </c>
    </row>
    <row r="9179" spans="1:13" s="360" customFormat="1" x14ac:dyDescent="0.25">
      <c r="A9179" s="367" t="s">
        <v>32</v>
      </c>
      <c r="B9179" s="267">
        <v>44275</v>
      </c>
      <c r="C9179" s="17">
        <v>32</v>
      </c>
      <c r="D9179" s="39">
        <f t="shared" si="1461"/>
        <v>21973</v>
      </c>
      <c r="E9179" s="1">
        <v>5</v>
      </c>
      <c r="F9179" s="39">
        <f t="shared" si="1466"/>
        <v>946</v>
      </c>
      <c r="G9179" s="168">
        <f>SUM(C9179,C9155,C9131,C9107,C9083,C9059,C9035,C9011,C8987,C8963,C8939,C8915,C8891,C8867)/POBLA!$B$10*100000</f>
        <v>99.626271759194992</v>
      </c>
      <c r="H9179" s="256">
        <f t="shared" si="1462"/>
        <v>0.66036113499570082</v>
      </c>
      <c r="I9179" s="297">
        <f t="shared" si="1464"/>
        <v>65.789317894292139</v>
      </c>
      <c r="J9179" s="297">
        <f t="shared" si="1465"/>
        <v>51.571428571428569</v>
      </c>
      <c r="K9179" s="297">
        <f>J9179/POBLA!$B$10*100000</f>
        <v>6.6899337993060621</v>
      </c>
      <c r="L9179" s="549">
        <f t="shared" si="1463"/>
        <v>0.11302211302211307</v>
      </c>
      <c r="M9179" s="401">
        <f>SUM(C9179,C9155,C9131,C9107,C9083,C9059,C9035)/POBLA!$B$10*100000</f>
        <v>46.829536595142443</v>
      </c>
    </row>
    <row r="9180" spans="1:13" s="360" customFormat="1" x14ac:dyDescent="0.25">
      <c r="A9180" s="367" t="s">
        <v>33</v>
      </c>
      <c r="B9180" s="267">
        <v>44275</v>
      </c>
      <c r="C9180" s="17">
        <v>64</v>
      </c>
      <c r="D9180" s="39">
        <f t="shared" si="1461"/>
        <v>20443</v>
      </c>
      <c r="E9180" s="1"/>
      <c r="F9180" s="39">
        <f t="shared" si="1466"/>
        <v>309</v>
      </c>
      <c r="G9180" s="168">
        <f>SUM(C9180,C9156,C9132,C9108,C9084,C9060,C9036,C9012,C8988,C8964,C8940,C8916,C8892,C8868)/POBLA!$B$11*100000</f>
        <v>347.35009541665272</v>
      </c>
      <c r="H9180" s="256">
        <f t="shared" si="1462"/>
        <v>1.1047027506654836</v>
      </c>
      <c r="I9180" s="297">
        <f t="shared" si="1464"/>
        <v>383.71860585069447</v>
      </c>
      <c r="J9180" s="297">
        <f t="shared" si="1465"/>
        <v>90</v>
      </c>
      <c r="K9180" s="297">
        <f>J9180/POBLA!$B$11*100000</f>
        <v>25.10964545180622</v>
      </c>
      <c r="L9180" s="549">
        <f t="shared" si="1463"/>
        <v>-2.4390243902439046E-2</v>
      </c>
      <c r="M9180" s="401">
        <f>SUM(C9180,C9156,C9132,C9108,C9084,C9060,C9036)/POBLA!$B$11*100000</f>
        <v>175.76751816264354</v>
      </c>
    </row>
    <row r="9181" spans="1:13" s="360" customFormat="1" x14ac:dyDescent="0.25">
      <c r="A9181" s="367" t="s">
        <v>21</v>
      </c>
      <c r="B9181" s="267">
        <v>44275</v>
      </c>
      <c r="C9181" s="17">
        <v>27</v>
      </c>
      <c r="D9181" s="39">
        <f t="shared" si="1461"/>
        <v>10673</v>
      </c>
      <c r="E9181" s="1"/>
      <c r="F9181" s="39">
        <f t="shared" si="1466"/>
        <v>447</v>
      </c>
      <c r="G9181" s="168">
        <f>SUM(C9181,C9157,C9133,C9109,C9085,C9061,C9037,C9013,C8989,C8965,C8941,C8917,C8893,C8869)/POBLA!$B$12*100000</f>
        <v>81.823287110799399</v>
      </c>
      <c r="H9181" s="256">
        <f t="shared" si="1462"/>
        <v>0.90196078431372551</v>
      </c>
      <c r="I9181" s="297">
        <f t="shared" si="1464"/>
        <v>73.801396217583772</v>
      </c>
      <c r="J9181" s="297">
        <f t="shared" si="1465"/>
        <v>24</v>
      </c>
      <c r="K9181" s="297">
        <f>J9181/POBLA!$B$12*100000</f>
        <v>6.0986300952148618</v>
      </c>
      <c r="L9181" s="549">
        <f t="shared" si="1463"/>
        <v>-9.0909090909090828E-2</v>
      </c>
      <c r="M9181" s="401">
        <f>SUM(C9181,C9157,C9133,C9109,C9085,C9061,C9037)/POBLA!$B$12*100000</f>
        <v>42.690410666504036</v>
      </c>
    </row>
    <row r="9182" spans="1:13" s="360" customFormat="1" x14ac:dyDescent="0.25">
      <c r="A9182" s="367" t="s">
        <v>17</v>
      </c>
      <c r="B9182" s="267">
        <v>44275</v>
      </c>
      <c r="C9182" s="17">
        <v>140</v>
      </c>
      <c r="D9182" s="39">
        <f t="shared" si="1461"/>
        <v>70378</v>
      </c>
      <c r="E9182" s="1"/>
      <c r="F9182" s="39">
        <f t="shared" si="1466"/>
        <v>1486</v>
      </c>
      <c r="G9182" s="168">
        <f>SUM(C9182,C9158,C9134,C9110,C9086,C9062,C9038,C9014,C8990,C8966,C8942,C8918,C8894,C8870)/POBLA!$B$13*100000</f>
        <v>110.88568876241121</v>
      </c>
      <c r="H9182" s="256">
        <f t="shared" si="1462"/>
        <v>1.1758124667021843</v>
      </c>
      <c r="I9182" s="297">
        <f t="shared" si="1464"/>
        <v>130.3807752257014</v>
      </c>
      <c r="J9182" s="297">
        <f t="shared" si="1465"/>
        <v>152.85714285714286</v>
      </c>
      <c r="K9182" s="297">
        <f>J9182/POBLA!$B$13*100000</f>
        <v>7.6799590249064664</v>
      </c>
      <c r="L9182" s="549">
        <f t="shared" si="1463"/>
        <v>5.892700087950753E-2</v>
      </c>
      <c r="M9182" s="401">
        <f>SUM(C9182,C9158,C9134,C9110,C9086,C9062,C9038)/POBLA!$B$13*100000</f>
        <v>53.759713174345265</v>
      </c>
    </row>
    <row r="9183" spans="1:13" s="360" customFormat="1" x14ac:dyDescent="0.25">
      <c r="A9183" s="367" t="s">
        <v>23</v>
      </c>
      <c r="B9183" s="267">
        <v>44275</v>
      </c>
      <c r="C9183" s="17">
        <v>93</v>
      </c>
      <c r="D9183" s="39">
        <f t="shared" si="1461"/>
        <v>10674</v>
      </c>
      <c r="E9183" s="1"/>
      <c r="F9183" s="39">
        <f t="shared" si="1466"/>
        <v>183</v>
      </c>
      <c r="G9183" s="168">
        <f>SUM(C9183,C9159,C9135,C9111,C9087,C9063,C9039,C9015,C8991,C8967,C8943,C8919,C8895,C8871)/POBLA!$B$14*100000</f>
        <v>131.6901531284538</v>
      </c>
      <c r="H9183" s="256">
        <f t="shared" si="1462"/>
        <v>1.0078883495145632</v>
      </c>
      <c r="I9183" s="297">
        <f t="shared" si="1464"/>
        <v>132.72897108395739</v>
      </c>
      <c r="J9183" s="297">
        <f t="shared" si="1465"/>
        <v>118</v>
      </c>
      <c r="K9183" s="297">
        <f>J9183/POBLA!$B$14*100000</f>
        <v>9.3554714444055076</v>
      </c>
      <c r="L9183" s="549">
        <f t="shared" si="1463"/>
        <v>1.0778443113772407E-2</v>
      </c>
      <c r="M9183" s="401">
        <f>SUM(C9183,C9159,C9135,C9111,C9087,C9063,C9039)/POBLA!$B$14*100000</f>
        <v>65.488300110838551</v>
      </c>
    </row>
    <row r="9184" spans="1:13" s="360" customFormat="1" x14ac:dyDescent="0.25">
      <c r="A9184" s="367" t="s">
        <v>19</v>
      </c>
      <c r="B9184" s="267">
        <v>44275</v>
      </c>
      <c r="C9184" s="17">
        <v>88</v>
      </c>
      <c r="D9184" s="39">
        <f t="shared" si="1461"/>
        <v>63997</v>
      </c>
      <c r="E9184" s="1">
        <v>1</v>
      </c>
      <c r="F9184" s="39">
        <f t="shared" si="1466"/>
        <v>970</v>
      </c>
      <c r="G9184" s="168">
        <f>SUM(C9184,C9160,C9136,C9112,C9088,C9064,C9040,C9016,C8992,C8968,C8944,C8920,C8896,C8872)/POBLA!$B$15*100000</f>
        <v>276.33170044137779</v>
      </c>
      <c r="H9184" s="256">
        <f t="shared" si="1462"/>
        <v>0.79921602787456447</v>
      </c>
      <c r="I9184" s="297">
        <f t="shared" si="1464"/>
        <v>220.848724002582</v>
      </c>
      <c r="J9184" s="297">
        <f t="shared" si="1465"/>
        <v>122.42857142857143</v>
      </c>
      <c r="K9184" s="297">
        <f>J9184/POBLA!$B$15*100000</f>
        <v>18.436455218237505</v>
      </c>
      <c r="L9184" s="549">
        <f t="shared" si="1463"/>
        <v>0.12372188139059304</v>
      </c>
      <c r="M9184" s="401">
        <f>SUM(C9184,C9160,C9136,C9112,C9088,C9064,C9040)/POBLA!$B$15*100000</f>
        <v>129.05518652766253</v>
      </c>
    </row>
    <row r="9185" spans="1:13" s="360" customFormat="1" x14ac:dyDescent="0.25">
      <c r="A9185" s="367" t="s">
        <v>18</v>
      </c>
      <c r="B9185" s="267">
        <v>44275</v>
      </c>
      <c r="C9185" s="17">
        <v>83</v>
      </c>
      <c r="D9185" s="39">
        <f t="shared" si="1461"/>
        <v>54378</v>
      </c>
      <c r="E9185" s="1">
        <v>2</v>
      </c>
      <c r="F9185" s="39">
        <f t="shared" si="1466"/>
        <v>1254</v>
      </c>
      <c r="G9185" s="168">
        <f>SUM(C9185,C9161,C9137,C9113,C9089,C9065,C9041,C9017,C8993,C8969,C8945,C8921,C8897,C8873)/POBLA!$B$16*100000</f>
        <v>170.67722475622315</v>
      </c>
      <c r="H9185" s="256">
        <f t="shared" si="1462"/>
        <v>0.74315666860803731</v>
      </c>
      <c r="I9185" s="297">
        <f t="shared" si="1464"/>
        <v>126.83991775710003</v>
      </c>
      <c r="J9185" s="297">
        <f t="shared" si="1465"/>
        <v>89.714285714285708</v>
      </c>
      <c r="K9185" s="297">
        <f>J9185/POBLA!$B$16*100000</f>
        <v>12.000145224687431</v>
      </c>
      <c r="L9185" s="549">
        <f t="shared" si="1463"/>
        <v>3.0864197530864224E-2</v>
      </c>
      <c r="M9185" s="401">
        <f>SUM(C9185,C9161,C9137,C9113,C9089,C9065,C9041)/POBLA!$B$16*100000</f>
        <v>84.001016572812034</v>
      </c>
    </row>
    <row r="9186" spans="1:13" s="360" customFormat="1" x14ac:dyDescent="0.25">
      <c r="A9186" s="367" t="s">
        <v>34</v>
      </c>
      <c r="B9186" s="267">
        <v>44275</v>
      </c>
      <c r="C9186" s="17">
        <v>115</v>
      </c>
      <c r="D9186" s="39">
        <f t="shared" si="1461"/>
        <v>28264</v>
      </c>
      <c r="E9186" s="1">
        <v>15</v>
      </c>
      <c r="F9186" s="39">
        <f t="shared" si="1466"/>
        <v>1175</v>
      </c>
      <c r="G9186" s="168">
        <f>SUM(C9186,C9162,C9138,C9114,C9090,C9066,C9042,C9018,C8994,C8970,C8946,C8922,C8898,C8874)/POBLA!$B$17*100000</f>
        <v>99.691307971022113</v>
      </c>
      <c r="H9186" s="256">
        <f t="shared" si="1462"/>
        <v>0.9329829172141918</v>
      </c>
      <c r="I9186" s="297">
        <f t="shared" si="1464"/>
        <v>93.010287331702628</v>
      </c>
      <c r="J9186" s="297">
        <f t="shared" si="1465"/>
        <v>96</v>
      </c>
      <c r="K9186" s="297">
        <f>J9186/POBLA!$B$17*100000</f>
        <v>6.7396940600127628</v>
      </c>
      <c r="L9186" s="549">
        <f t="shared" si="1463"/>
        <v>0.10160427807486627</v>
      </c>
      <c r="M9186" s="401">
        <f>SUM(C9186,C9162,C9138,C9114,C9090,C9066,C9042)/POBLA!$B$17*100000</f>
        <v>47.177858420089343</v>
      </c>
    </row>
    <row r="9187" spans="1:13" s="360" customFormat="1" x14ac:dyDescent="0.25">
      <c r="A9187" s="367" t="s">
        <v>35</v>
      </c>
      <c r="B9187" s="267">
        <v>44275</v>
      </c>
      <c r="C9187" s="17">
        <v>41</v>
      </c>
      <c r="D9187" s="39">
        <f t="shared" si="1461"/>
        <v>16311</v>
      </c>
      <c r="E9187" s="1"/>
      <c r="F9187" s="39">
        <f t="shared" si="1466"/>
        <v>221</v>
      </c>
      <c r="G9187" s="168">
        <f>SUM(C9187,C9163,C9139,C9115,C9091,C9067,C9043,C9019,C8995,C8971,C8947,C8923,C8899,C8875)/POBLA!$B$18*100000</f>
        <v>100.74025526838253</v>
      </c>
      <c r="H9187" s="256">
        <f t="shared" si="1462"/>
        <v>1.294407894736842</v>
      </c>
      <c r="I9187" s="297">
        <f t="shared" si="1464"/>
        <v>130.39898173719908</v>
      </c>
      <c r="J9187" s="297">
        <f t="shared" si="1465"/>
        <v>63</v>
      </c>
      <c r="K9187" s="297">
        <f>J9187/POBLA!$B$18*100000</f>
        <v>8.064340637748538</v>
      </c>
      <c r="L9187" s="549">
        <f t="shared" si="1463"/>
        <v>-0.27456647398843925</v>
      </c>
      <c r="M9187" s="401">
        <f>SUM(C9187,C9163,C9139,C9115,C9091,C9067,C9043)/POBLA!$B$18*100000</f>
        <v>56.450384464239775</v>
      </c>
    </row>
    <row r="9188" spans="1:13" s="360" customFormat="1" x14ac:dyDescent="0.25">
      <c r="A9188" s="367" t="s">
        <v>36</v>
      </c>
      <c r="B9188" s="267">
        <v>44275</v>
      </c>
      <c r="C9188" s="17">
        <v>1</v>
      </c>
      <c r="D9188" s="39">
        <f t="shared" si="1461"/>
        <v>21552</v>
      </c>
      <c r="E9188" s="1"/>
      <c r="F9188" s="39">
        <f t="shared" si="1466"/>
        <v>378</v>
      </c>
      <c r="G9188" s="168">
        <f>SUM(C9188,C9164,C9140,C9116,C9092,C9068,C9044,C9020,C8996,C8972,C8948,C8924,C8900,C8876)/POBLA!$B$19*100000</f>
        <v>147.5425315937741</v>
      </c>
      <c r="H9188" s="256">
        <f t="shared" si="1462"/>
        <v>2.6315789473684212</v>
      </c>
      <c r="I9188" s="297">
        <f t="shared" si="1464"/>
        <v>388.26981998361606</v>
      </c>
      <c r="J9188" s="297">
        <f t="shared" si="1465"/>
        <v>5.1428571428571432</v>
      </c>
      <c r="K9188" s="297">
        <f>J9188/POBLA!$B$19*100000</f>
        <v>1.0117202166430226</v>
      </c>
      <c r="L9188" s="549">
        <f t="shared" si="1463"/>
        <v>0.94957983193277307</v>
      </c>
      <c r="M9188" s="401">
        <f>SUM(C9188,C9164,C9140,C9116,C9092,C9068,C9044)/POBLA!$B$19*100000</f>
        <v>7.0820415165011568</v>
      </c>
    </row>
    <row r="9189" spans="1:13" s="360" customFormat="1" x14ac:dyDescent="0.25">
      <c r="A9189" s="367" t="s">
        <v>37</v>
      </c>
      <c r="B9189" s="267">
        <v>44275</v>
      </c>
      <c r="C9189" s="17">
        <v>150</v>
      </c>
      <c r="D9189" s="39">
        <f t="shared" si="1461"/>
        <v>38144</v>
      </c>
      <c r="E9189" s="1">
        <v>1</v>
      </c>
      <c r="F9189" s="39">
        <f t="shared" si="1466"/>
        <v>623</v>
      </c>
      <c r="G9189" s="168">
        <f>SUM(C9189,C9165,C9141,C9117,C9093,C9069,C9045,C9021,C8997,C8973,C8949,C8925,C8901,C8877)/POBLA!$B$20*100000</f>
        <v>418.9249052496869</v>
      </c>
      <c r="H9189" s="256">
        <f t="shared" si="1462"/>
        <v>1.0186170212765957</v>
      </c>
      <c r="I9189" s="297">
        <f t="shared" si="1464"/>
        <v>426.72403912401614</v>
      </c>
      <c r="J9189" s="297">
        <f t="shared" si="1465"/>
        <v>117.14285714285714</v>
      </c>
      <c r="K9189" s="297">
        <f>J9189/POBLA!$B$20*100000</f>
        <v>32.032676455123394</v>
      </c>
      <c r="L9189" s="549">
        <f t="shared" si="1463"/>
        <v>-0.151685393258427</v>
      </c>
      <c r="M9189" s="401">
        <f>SUM(C9189,C9165,C9141,C9117,C9093,C9069,C9045)/POBLA!$B$20*100000</f>
        <v>224.22873518586377</v>
      </c>
    </row>
    <row r="9190" spans="1:13" s="360" customFormat="1" x14ac:dyDescent="0.25">
      <c r="A9190" s="367" t="s">
        <v>22</v>
      </c>
      <c r="B9190" s="267">
        <v>44275</v>
      </c>
      <c r="C9190" s="17">
        <v>402</v>
      </c>
      <c r="D9190" s="39">
        <f t="shared" si="1461"/>
        <v>225236</v>
      </c>
      <c r="E9190" s="1"/>
      <c r="F9190" s="39">
        <f t="shared" si="1466"/>
        <v>4199</v>
      </c>
      <c r="G9190" s="168">
        <f>SUM(C9190,C9166,C9142,C9118,C9094,C9070,C9046,C9022,C8998,C8974,C8950,C8926,C8902,C8878)/POBLA!$B$21*100000</f>
        <v>175.37519603169082</v>
      </c>
      <c r="H9190" s="256">
        <f t="shared" si="1462"/>
        <v>1.1968351987649557</v>
      </c>
      <c r="I9190" s="297">
        <f t="shared" si="1464"/>
        <v>209.89520760103176</v>
      </c>
      <c r="J9190" s="297">
        <f t="shared" si="1465"/>
        <v>444.57142857142856</v>
      </c>
      <c r="K9190" s="297">
        <f>J9190/POBLA!$B$21*100000</f>
        <v>12.571235316962772</v>
      </c>
      <c r="L9190" s="549">
        <f t="shared" si="1463"/>
        <v>-7.119741100323651E-3</v>
      </c>
      <c r="M9190" s="401">
        <f>SUM(C9190,C9166,C9142,C9118,C9094,C9070,C9046)/POBLA!$B$21*100000</f>
        <v>87.998647218739407</v>
      </c>
    </row>
    <row r="9191" spans="1:13" s="360" customFormat="1" x14ac:dyDescent="0.25">
      <c r="A9191" s="367" t="s">
        <v>38</v>
      </c>
      <c r="B9191" s="267">
        <v>44275</v>
      </c>
      <c r="C9191" s="17">
        <v>95</v>
      </c>
      <c r="D9191" s="39">
        <f t="shared" si="1461"/>
        <v>24034</v>
      </c>
      <c r="E9191" s="1"/>
      <c r="F9191" s="39">
        <f t="shared" si="1466"/>
        <v>277</v>
      </c>
      <c r="G9191" s="168">
        <f>SUM(C9191,C9167,C9143,C9119,C9095,C9071,C9047,C9023,C8999,C8975,C8951,C8927,C8903,C8879)/POBLA!$B$22*100000</f>
        <v>104.4655442583304</v>
      </c>
      <c r="H9191" s="256">
        <f t="shared" si="1462"/>
        <v>1.1720183486238531</v>
      </c>
      <c r="I9191" s="297">
        <f t="shared" si="1464"/>
        <v>122.43553466974043</v>
      </c>
      <c r="J9191" s="297">
        <f t="shared" si="1465"/>
        <v>93.142857142857139</v>
      </c>
      <c r="K9191" s="297">
        <f>J9191/POBLA!$B$22*100000</f>
        <v>9.5207624904153523</v>
      </c>
      <c r="L9191" s="549">
        <f t="shared" si="1463"/>
        <v>-0.76216216216216215</v>
      </c>
      <c r="M9191" s="401">
        <f>SUM(C9191,C9167,C9143,C9119,C9095,C9071,C9047)/POBLA!$B$22*100000</f>
        <v>66.645337432907468</v>
      </c>
    </row>
    <row r="9192" spans="1:13" s="360" customFormat="1" x14ac:dyDescent="0.25">
      <c r="A9192" s="367" t="s">
        <v>39</v>
      </c>
      <c r="B9192" s="267">
        <v>44275</v>
      </c>
      <c r="C9192" s="17">
        <v>26</v>
      </c>
      <c r="D9192" s="39">
        <f t="shared" si="1461"/>
        <v>23563</v>
      </c>
      <c r="E9192" s="1"/>
      <c r="F9192" s="39">
        <f t="shared" si="1466"/>
        <v>358</v>
      </c>
      <c r="G9192" s="168">
        <f>SUM(C9192,C9168,C9144,C9120,C9096,C9072,C9048,C9024,C9000,C8976,C8952,C8928,C8904,C8880)/POBLA!$B$23*100000</f>
        <v>239.77831815868348</v>
      </c>
      <c r="H9192" s="256">
        <f t="shared" si="1462"/>
        <v>0.89640591966173366</v>
      </c>
      <c r="I9192" s="297">
        <f t="shared" si="1464"/>
        <v>214.93870380397843</v>
      </c>
      <c r="J9192" s="297">
        <f t="shared" si="1465"/>
        <v>33.428571428571431</v>
      </c>
      <c r="K9192" s="297">
        <f>J9192/POBLA!$B$23*100000</f>
        <v>18.904355272618577</v>
      </c>
      <c r="L9192" s="549">
        <f t="shared" si="1463"/>
        <v>-0.23157894736842111</v>
      </c>
      <c r="M9192" s="401">
        <f>SUM(C9192,C9168,C9144,C9120,C9096,C9072,C9048)/POBLA!$B$23*100000</f>
        <v>132.33048690833004</v>
      </c>
    </row>
    <row r="9193" spans="1:13" s="360" customFormat="1" ht="15.75" thickBot="1" x14ac:dyDescent="0.3">
      <c r="A9193" s="369" t="s">
        <v>40</v>
      </c>
      <c r="B9193" s="267">
        <v>44275</v>
      </c>
      <c r="C9193" s="17">
        <v>228</v>
      </c>
      <c r="D9193" s="176">
        <f t="shared" si="1461"/>
        <v>83892</v>
      </c>
      <c r="E9193" s="1"/>
      <c r="F9193" s="176">
        <f t="shared" si="1466"/>
        <v>1498</v>
      </c>
      <c r="G9193" s="177">
        <f>SUM(C9193,C9169,C9145,C9121,C9097,C9073,C9049,C9025,C9001,C8977,C8953,C8929,C8905,C8881)/POBLA!$B$24*100000</f>
        <v>184.40320631443785</v>
      </c>
      <c r="H9193" s="402">
        <f t="shared" si="1462"/>
        <v>1.5067502410800386</v>
      </c>
      <c r="I9193" s="403">
        <f t="shared" si="1464"/>
        <v>277.84957557021136</v>
      </c>
      <c r="J9193" s="403">
        <f t="shared" si="1465"/>
        <v>263.57142857142856</v>
      </c>
      <c r="K9193" s="403">
        <f>J9193/POBLA!$B$24*100000</f>
        <v>15.553093286863444</v>
      </c>
      <c r="L9193" s="550">
        <f t="shared" si="1463"/>
        <v>-0.44140625</v>
      </c>
      <c r="M9193" s="405">
        <f>SUM(C9193,C9169,C9145,C9121,C9097,C9073,C9049)/POBLA!$B$24*100000</f>
        <v>108.87165300804411</v>
      </c>
    </row>
    <row r="9194" spans="1:13" s="360" customFormat="1" x14ac:dyDescent="0.25">
      <c r="A9194" s="363" t="s">
        <v>16</v>
      </c>
      <c r="B9194" s="267">
        <v>44276</v>
      </c>
      <c r="C9194" s="17">
        <v>1657</v>
      </c>
      <c r="D9194" s="174">
        <f t="shared" ref="D9194:D9257" si="1467">C9194+D9170</f>
        <v>939232</v>
      </c>
      <c r="E9194" s="1">
        <v>12</v>
      </c>
      <c r="F9194" s="174">
        <f t="shared" si="1466"/>
        <v>27497</v>
      </c>
      <c r="G9194" s="175">
        <f>SUM(C9194,C9170,C9146,C9122,C9098,C9074,C9050,C9026,C9002,C8978,C8954,C8930,C8906,C8882)/POBLA!$B$1*100000</f>
        <v>235.27545899095162</v>
      </c>
      <c r="H9194" s="300">
        <f t="shared" ref="H9194:H9217" si="1468">SUM(C9194,C9170,C9146,C9122,C9098,C9074,C9050,C9026,C9002,C8978,C8954,C8930,C8906,C8882)/SUM(C8858,C8834,C8810,C8786,C8762,C8738,C8714,C8690,C8666,C8642,C8618,C8594,C8570,C8546)</f>
        <v>1.1435300637295649</v>
      </c>
      <c r="I9194" s="301">
        <f>G9194*H9194</f>
        <v>269.04456061392551</v>
      </c>
      <c r="J9194" s="301">
        <f>AVERAGE(C9194,C9170,C9146,C9122,C9098,C9074,C9050)</f>
        <v>3133.1428571428573</v>
      </c>
      <c r="K9194" s="301">
        <f>J9194/POBLA!$B$1*100000</f>
        <v>17.86168218557081</v>
      </c>
      <c r="L9194" s="548">
        <f t="shared" ref="L9194:L9217" si="1469">1-SUM(C9194,C9170,C9146,C9122,C9098,C9074,C9050)/SUM(C9026,C9002,C8978,C8954,C8930,C8906,C8882)</f>
        <v>-0.13414003516392592</v>
      </c>
      <c r="M9194" s="400">
        <f>SUM(C9194,C9170,C9146,C9122,C9098,C9074,C9050)/POBLA!$B$1*100000</f>
        <v>125.03177529899565</v>
      </c>
    </row>
    <row r="9195" spans="1:13" s="360" customFormat="1" x14ac:dyDescent="0.25">
      <c r="A9195" s="367" t="s">
        <v>43</v>
      </c>
      <c r="B9195" s="267">
        <v>44276</v>
      </c>
      <c r="C9195" s="17">
        <v>623</v>
      </c>
      <c r="D9195" s="39">
        <f t="shared" si="1467"/>
        <v>248203</v>
      </c>
      <c r="E9195" s="1">
        <v>3</v>
      </c>
      <c r="F9195" s="39">
        <f t="shared" si="1466"/>
        <v>6765</v>
      </c>
      <c r="G9195" s="168">
        <f>SUM(C9195,C9171,C9147,C9123,C9099,C9075,C9051,C9027,C9003,C8979,C8955,C8931,C8907,C8883)/POBLA!$B$2*100000</f>
        <v>382.26115749341761</v>
      </c>
      <c r="H9195" s="256">
        <f t="shared" si="1468"/>
        <v>1.2094434728937351</v>
      </c>
      <c r="I9195" s="297">
        <f t="shared" ref="I9195:I9217" si="1470">G9195*H9195</f>
        <v>462.32326187121805</v>
      </c>
      <c r="J9195" s="297">
        <f t="shared" ref="J9195:J9217" si="1471">AVERAGE(C9195,C9171,C9147,C9123,C9099,C9075,C9051)</f>
        <v>892.42857142857144</v>
      </c>
      <c r="K9195" s="297">
        <f>J9195/POBLA!$B$2*100000</f>
        <v>29.015971650462095</v>
      </c>
      <c r="L9195" s="549">
        <f t="shared" si="1469"/>
        <v>-0.13375680580762261</v>
      </c>
      <c r="M9195" s="401">
        <f>SUM(C9195,C9171,C9147,C9123,C9099,C9075,C9051)/POBLA!$B$2*100000</f>
        <v>203.11180155323467</v>
      </c>
    </row>
    <row r="9196" spans="1:13" s="360" customFormat="1" x14ac:dyDescent="0.25">
      <c r="A9196" s="367" t="s">
        <v>28</v>
      </c>
      <c r="B9196" s="267">
        <v>44276</v>
      </c>
      <c r="C9196" s="17">
        <v>52</v>
      </c>
      <c r="D9196" s="39">
        <f t="shared" si="1467"/>
        <v>9700</v>
      </c>
      <c r="E9196" s="1"/>
      <c r="F9196" s="39">
        <f t="shared" si="1466"/>
        <v>18</v>
      </c>
      <c r="G9196" s="168">
        <f>SUM(C9196,C9172,C9148,C9124,C9100,C9076,C9052,C9028,C9004,C8980,C8956,C8932,C8908,C8884)/POBLA!$B$3*100000</f>
        <v>300.40583673135342</v>
      </c>
      <c r="H9196" s="256">
        <f t="shared" si="1468"/>
        <v>1.0749354005167959</v>
      </c>
      <c r="I9196" s="297">
        <f t="shared" si="1470"/>
        <v>322.9168684244006</v>
      </c>
      <c r="J9196" s="297">
        <f t="shared" si="1471"/>
        <v>96</v>
      </c>
      <c r="K9196" s="297">
        <f>J9196/POBLA!$B$3*100000</f>
        <v>23.108141287027184</v>
      </c>
      <c r="L9196" s="549">
        <f t="shared" si="1469"/>
        <v>-0.16666666666666674</v>
      </c>
      <c r="M9196" s="401">
        <f>SUM(C9196,C9172,C9148,C9124,C9100,C9076,C9052)/POBLA!$B$3*100000</f>
        <v>161.75698900919031</v>
      </c>
    </row>
    <row r="9197" spans="1:13" s="360" customFormat="1" x14ac:dyDescent="0.25">
      <c r="A9197" s="367" t="s">
        <v>15</v>
      </c>
      <c r="B9197" s="267">
        <v>44276</v>
      </c>
      <c r="C9197" s="17">
        <v>120</v>
      </c>
      <c r="D9197" s="39">
        <f t="shared" si="1467"/>
        <v>36962</v>
      </c>
      <c r="E9197" s="1">
        <v>1</v>
      </c>
      <c r="F9197" s="39">
        <f t="shared" si="1466"/>
        <v>907</v>
      </c>
      <c r="G9197" s="168">
        <f>SUM(C9197,C9173,C9149,C9125,C9101,C9077,C9053,C9029,C9005,C8981,C8957,C8933,C8909,C8885)/POBLA!$B$4*100000</f>
        <v>157.65341320884886</v>
      </c>
      <c r="H9197" s="256">
        <f t="shared" si="1468"/>
        <v>1.0226171243941842</v>
      </c>
      <c r="I9197" s="297">
        <f t="shared" si="1470"/>
        <v>161.21908006656111</v>
      </c>
      <c r="J9197" s="297">
        <f t="shared" si="1471"/>
        <v>145.71428571428572</v>
      </c>
      <c r="K9197" s="297">
        <f>J9197/POBLA!$B$4*100000</f>
        <v>12.097079776801761</v>
      </c>
      <c r="L9197" s="549">
        <f t="shared" si="1469"/>
        <v>-0.16040955631399312</v>
      </c>
      <c r="M9197" s="401">
        <f>SUM(C9197,C9173,C9149,C9125,C9101,C9077,C9053)/POBLA!$B$4*100000</f>
        <v>84.679558437612329</v>
      </c>
    </row>
    <row r="9198" spans="1:13" s="360" customFormat="1" x14ac:dyDescent="0.25">
      <c r="A9198" s="367" t="s">
        <v>29</v>
      </c>
      <c r="B9198" s="267">
        <v>44276</v>
      </c>
      <c r="C9198" s="17">
        <v>17</v>
      </c>
      <c r="D9198" s="39">
        <f t="shared" si="1467"/>
        <v>48747</v>
      </c>
      <c r="E9198" s="1"/>
      <c r="F9198" s="39">
        <f t="shared" si="1466"/>
        <v>816</v>
      </c>
      <c r="G9198" s="168">
        <f>SUM(C9198,C9174,C9150,C9126,C9102,C9078,C9054,C9030,C9006,C8982,C8958,C8934,C8910,C8886)/POBLA!$B$5*100000</f>
        <v>194.34760272312818</v>
      </c>
      <c r="H9198" s="256">
        <f t="shared" si="1468"/>
        <v>0.82794218857536128</v>
      </c>
      <c r="I9198" s="297">
        <f t="shared" si="1470"/>
        <v>160.90857954296158</v>
      </c>
      <c r="J9198" s="297">
        <f t="shared" si="1471"/>
        <v>88.428571428571431</v>
      </c>
      <c r="K9198" s="297">
        <f>J9198/POBLA!$B$5*100000</f>
        <v>14.285852759246685</v>
      </c>
      <c r="L9198" s="549">
        <f t="shared" si="1469"/>
        <v>-5.9931506849315141E-2</v>
      </c>
      <c r="M9198" s="401">
        <f>SUM(C9198,C9174,C9150,C9126,C9102,C9078,C9054)/POBLA!$B$5*100000</f>
        <v>100.00096931472679</v>
      </c>
    </row>
    <row r="9199" spans="1:13" s="360" customFormat="1" x14ac:dyDescent="0.25">
      <c r="A9199" s="367" t="s">
        <v>30</v>
      </c>
      <c r="B9199" s="267">
        <v>44276</v>
      </c>
      <c r="C9199" s="17">
        <v>96</v>
      </c>
      <c r="D9199" s="39">
        <f t="shared" si="1467"/>
        <v>26467</v>
      </c>
      <c r="E9199" s="1"/>
      <c r="F9199" s="39">
        <f t="shared" si="1466"/>
        <v>317</v>
      </c>
      <c r="G9199" s="168">
        <f>SUM(C9199,C9175,C9151,C9127,C9103,C9079,C9055,C9031,C9007,C8983,C8959,C8935,C8911,C8887)/POBLA!$B$6*100000</f>
        <v>293.27240072055611</v>
      </c>
      <c r="H9199" s="256">
        <f t="shared" si="1468"/>
        <v>1.4806306306306307</v>
      </c>
      <c r="I9199" s="297">
        <f t="shared" si="1470"/>
        <v>434.22809962543602</v>
      </c>
      <c r="J9199" s="297">
        <f t="shared" si="1471"/>
        <v>215.28571428571428</v>
      </c>
      <c r="K9199" s="297">
        <f>J9199/POBLA!$B$6*100000</f>
        <v>19.208201481415013</v>
      </c>
      <c r="L9199" s="549">
        <f t="shared" si="1469"/>
        <v>0.15337078651685399</v>
      </c>
      <c r="M9199" s="401">
        <f>SUM(C9199,C9175,C9151,C9127,C9103,C9079,C9055)/POBLA!$B$6*100000</f>
        <v>134.45741036990509</v>
      </c>
    </row>
    <row r="9200" spans="1:13" s="360" customFormat="1" x14ac:dyDescent="0.25">
      <c r="A9200" s="367" t="s">
        <v>20</v>
      </c>
      <c r="B9200" s="267">
        <v>44276</v>
      </c>
      <c r="C9200" s="17">
        <v>405</v>
      </c>
      <c r="D9200" s="39">
        <f t="shared" si="1467"/>
        <v>172199</v>
      </c>
      <c r="E9200" s="1">
        <v>1</v>
      </c>
      <c r="F9200" s="39">
        <f t="shared" si="1466"/>
        <v>2969</v>
      </c>
      <c r="G9200" s="168">
        <f>SUM(C9200,C9176,C9152,C9128,C9104,C9080,C9056,C9032,C9008,C8984,C8960,C8936,C8912,C8888)/POBLA!$B$7*100000</f>
        <v>222.2872262628143</v>
      </c>
      <c r="H9200" s="256">
        <f t="shared" si="1468"/>
        <v>1.0112509073312363</v>
      </c>
      <c r="I9200" s="297">
        <f t="shared" si="1470"/>
        <v>224.78815924641478</v>
      </c>
      <c r="J9200" s="297">
        <f t="shared" si="1471"/>
        <v>617.14285714285711</v>
      </c>
      <c r="K9200" s="297">
        <f>J9200/POBLA!$B$7*100000</f>
        <v>16.411409728698882</v>
      </c>
      <c r="L9200" s="549">
        <f t="shared" si="1469"/>
        <v>-6.9571676157464735E-2</v>
      </c>
      <c r="M9200" s="401">
        <f>SUM(C9200,C9176,C9152,C9128,C9104,C9080,C9056)/POBLA!$B$7*100000</f>
        <v>114.87986810089217</v>
      </c>
    </row>
    <row r="9201" spans="1:13" x14ac:dyDescent="0.25">
      <c r="A9201" s="367" t="s">
        <v>31</v>
      </c>
      <c r="B9201" s="267">
        <v>44276</v>
      </c>
      <c r="C9201" s="17">
        <v>127</v>
      </c>
      <c r="D9201" s="39">
        <f t="shared" si="1467"/>
        <v>48125</v>
      </c>
      <c r="E9201" s="1">
        <v>3</v>
      </c>
      <c r="F9201" s="39">
        <f t="shared" ref="F9201:F9224" si="1472">E9201+F9177</f>
        <v>926</v>
      </c>
      <c r="G9201" s="168">
        <f>SUM(C9201,C9177,C9153,C9129,C9105,C9081,C9057,C9033,C9009,C8985,C8961,C8937,C8913,C8889)/POBLA!$B$8*100000</f>
        <v>153.82828232540453</v>
      </c>
      <c r="H9201" s="256">
        <f t="shared" si="1468"/>
        <v>1.2728358208955224</v>
      </c>
      <c r="I9201" s="297">
        <f t="shared" si="1470"/>
        <v>195.79814801060445</v>
      </c>
      <c r="J9201" s="297">
        <f t="shared" si="1471"/>
        <v>179</v>
      </c>
      <c r="K9201" s="297">
        <f>J9201/POBLA!$B$8*100000</f>
        <v>12.915226330322424</v>
      </c>
      <c r="L9201" s="549">
        <f t="shared" si="1469"/>
        <v>-0.42548350398179746</v>
      </c>
      <c r="M9201" s="401">
        <f>SUM(C9201,C9177,C9153,C9129,C9105,C9081,C9057)/POBLA!$B$8*100000</f>
        <v>90.406584312256982</v>
      </c>
    </row>
    <row r="9202" spans="1:13" s="360" customFormat="1" x14ac:dyDescent="0.25">
      <c r="A9202" s="367" t="s">
        <v>41</v>
      </c>
      <c r="B9202" s="267">
        <v>44276</v>
      </c>
      <c r="C9202" s="17">
        <v>6</v>
      </c>
      <c r="D9202" s="39">
        <f t="shared" si="1467"/>
        <v>1695</v>
      </c>
      <c r="E9202" s="1"/>
      <c r="F9202" s="39">
        <f t="shared" si="1472"/>
        <v>25</v>
      </c>
      <c r="G9202" s="168">
        <f>SUM(C9202,C9178,C9154,C9130,C9106,C9082,C9058,C9034,C9010,C8986,C8962,C8938,C8914,C8890)/POBLA!$B$9*100000</f>
        <v>54.032350010657758</v>
      </c>
      <c r="H9202" s="256">
        <f t="shared" si="1468"/>
        <v>1.1314878892733564</v>
      </c>
      <c r="I9202" s="297">
        <f t="shared" si="1470"/>
        <v>61.136949666038362</v>
      </c>
      <c r="J9202" s="297">
        <f t="shared" si="1471"/>
        <v>18.285714285714285</v>
      </c>
      <c r="K9202" s="297">
        <f>J9202/POBLA!$B$9*100000</f>
        <v>3.0214682400018318</v>
      </c>
      <c r="L9202" s="549">
        <f t="shared" si="1469"/>
        <v>0.35678391959798994</v>
      </c>
      <c r="M9202" s="401">
        <f>SUM(C9202,C9178,C9154,C9130,C9106,C9082,C9058)/POBLA!$B$9*100000</f>
        <v>21.150277680012824</v>
      </c>
    </row>
    <row r="9203" spans="1:13" s="360" customFormat="1" x14ac:dyDescent="0.25">
      <c r="A9203" s="367" t="s">
        <v>32</v>
      </c>
      <c r="B9203" s="267">
        <v>44276</v>
      </c>
      <c r="C9203" s="17">
        <v>51</v>
      </c>
      <c r="D9203" s="39">
        <f t="shared" si="1467"/>
        <v>22024</v>
      </c>
      <c r="E9203" s="1"/>
      <c r="F9203" s="39">
        <f t="shared" si="1472"/>
        <v>946</v>
      </c>
      <c r="G9203" s="168">
        <f>SUM(C9203,C9179,C9155,C9131,C9107,C9083,C9059,C9035,C9011,C8987,C8963,C8939,C8915,C8891)/POBLA!$B$10*100000</f>
        <v>98.977663219096073</v>
      </c>
      <c r="H9203" s="256">
        <f t="shared" si="1468"/>
        <v>0.6657940663176265</v>
      </c>
      <c r="I9203" s="297">
        <f t="shared" si="1470"/>
        <v>65.898740869258546</v>
      </c>
      <c r="J9203" s="297">
        <f t="shared" si="1471"/>
        <v>49</v>
      </c>
      <c r="K9203" s="297">
        <f>J9203/POBLA!$B$10*100000</f>
        <v>6.356363692969472</v>
      </c>
      <c r="L9203" s="549">
        <f t="shared" si="1469"/>
        <v>0.18333333333333335</v>
      </c>
      <c r="M9203" s="401">
        <f>SUM(C9203,C9179,C9155,C9131,C9107,C9083,C9059)/POBLA!$B$10*100000</f>
        <v>44.494545850786302</v>
      </c>
    </row>
    <row r="9204" spans="1:13" s="360" customFormat="1" x14ac:dyDescent="0.25">
      <c r="A9204" s="367" t="s">
        <v>33</v>
      </c>
      <c r="B9204" s="267">
        <v>44276</v>
      </c>
      <c r="C9204" s="17">
        <v>46</v>
      </c>
      <c r="D9204" s="39">
        <f t="shared" si="1467"/>
        <v>20489</v>
      </c>
      <c r="E9204" s="1"/>
      <c r="F9204" s="39">
        <f t="shared" si="1472"/>
        <v>309</v>
      </c>
      <c r="G9204" s="168">
        <f>SUM(C9204,C9180,C9156,C9132,C9108,C9084,C9060,C9036,C9012,C8988,C8964,C8940,C8916,C8892)/POBLA!$B$11*100000</f>
        <v>348.18708359837956</v>
      </c>
      <c r="H9204" s="256">
        <f t="shared" si="1468"/>
        <v>1.0842745438748913</v>
      </c>
      <c r="I9204" s="297">
        <f t="shared" si="1470"/>
        <v>377.53039125176167</v>
      </c>
      <c r="J9204" s="297">
        <f t="shared" si="1471"/>
        <v>92.714285714285708</v>
      </c>
      <c r="K9204" s="297">
        <f>J9204/POBLA!$B$11*100000</f>
        <v>25.866920473368626</v>
      </c>
      <c r="L9204" s="549">
        <f t="shared" si="1469"/>
        <v>-8.3472454090150361E-2</v>
      </c>
      <c r="M9204" s="401">
        <f>SUM(C9204,C9180,C9156,C9132,C9108,C9084,C9060)/POBLA!$B$11*100000</f>
        <v>181.06844331358042</v>
      </c>
    </row>
    <row r="9205" spans="1:13" s="360" customFormat="1" x14ac:dyDescent="0.25">
      <c r="A9205" s="367" t="s">
        <v>21</v>
      </c>
      <c r="B9205" s="267">
        <v>44276</v>
      </c>
      <c r="C9205" s="17">
        <v>21</v>
      </c>
      <c r="D9205" s="39">
        <f t="shared" si="1467"/>
        <v>10694</v>
      </c>
      <c r="E9205" s="1"/>
      <c r="F9205" s="39">
        <f t="shared" si="1472"/>
        <v>447</v>
      </c>
      <c r="G9205" s="168">
        <f>SUM(C9205,C9181,C9157,C9133,C9109,C9085,C9061,C9037,C9013,C8989,C8965,C8941,C8917,C8893)/POBLA!$B$12*100000</f>
        <v>84.110273396504979</v>
      </c>
      <c r="H9205" s="256">
        <f t="shared" si="1468"/>
        <v>0.96220930232558144</v>
      </c>
      <c r="I9205" s="297">
        <f t="shared" si="1470"/>
        <v>80.931687483264966</v>
      </c>
      <c r="J9205" s="297">
        <f t="shared" si="1471"/>
        <v>22.714285714285715</v>
      </c>
      <c r="K9205" s="297">
        <f>J9205/POBLA!$B$12*100000</f>
        <v>5.771917768685495</v>
      </c>
      <c r="L9205" s="549">
        <f t="shared" si="1469"/>
        <v>7.5581395348837233E-2</v>
      </c>
      <c r="M9205" s="401">
        <f>SUM(C9205,C9181,C9157,C9133,C9109,C9085,C9061)/POBLA!$B$12*100000</f>
        <v>40.403424380798462</v>
      </c>
    </row>
    <row r="9206" spans="1:13" s="360" customFormat="1" x14ac:dyDescent="0.25">
      <c r="A9206" s="367" t="s">
        <v>17</v>
      </c>
      <c r="B9206" s="267">
        <v>44276</v>
      </c>
      <c r="C9206" s="17">
        <v>73</v>
      </c>
      <c r="D9206" s="39">
        <f t="shared" si="1467"/>
        <v>70451</v>
      </c>
      <c r="E9206" s="1"/>
      <c r="F9206" s="39">
        <f t="shared" si="1472"/>
        <v>1486</v>
      </c>
      <c r="G9206" s="168">
        <f>SUM(C9206,C9182,C9158,C9134,C9110,C9086,C9062,C9038,C9014,C8990,C8966,C8942,C8918,C8894)/POBLA!$B$13*100000</f>
        <v>111.73981504648958</v>
      </c>
      <c r="H9206" s="256">
        <f t="shared" si="1468"/>
        <v>1.174234424498416</v>
      </c>
      <c r="I9206" s="297">
        <f t="shared" si="1470"/>
        <v>131.20873741467415</v>
      </c>
      <c r="J9206" s="297">
        <f t="shared" si="1471"/>
        <v>154.71428571428572</v>
      </c>
      <c r="K9206" s="297">
        <f>J9206/POBLA!$B$13*100000</f>
        <v>7.7732669382931805</v>
      </c>
      <c r="L9206" s="549">
        <f t="shared" si="1469"/>
        <v>5.0832602979842267E-2</v>
      </c>
      <c r="M9206" s="401">
        <f>SUM(C9206,C9182,C9158,C9134,C9110,C9086,C9062)/POBLA!$B$13*100000</f>
        <v>54.412868568052261</v>
      </c>
    </row>
    <row r="9207" spans="1:13" s="360" customFormat="1" x14ac:dyDescent="0.25">
      <c r="A9207" s="367" t="s">
        <v>23</v>
      </c>
      <c r="B9207" s="267">
        <v>44276</v>
      </c>
      <c r="C9207" s="17">
        <v>121</v>
      </c>
      <c r="D9207" s="39">
        <f t="shared" si="1467"/>
        <v>10795</v>
      </c>
      <c r="E9207" s="1"/>
      <c r="F9207" s="39">
        <f t="shared" si="1472"/>
        <v>183</v>
      </c>
      <c r="G9207" s="168">
        <f>SUM(C9207,C9183,C9159,C9135,C9111,C9087,C9063,C9039,C9015,C8991,C8967,C8943,C8919,C8895)/POBLA!$B$14*100000</f>
        <v>132.64155700415606</v>
      </c>
      <c r="H9207" s="256">
        <f t="shared" si="1468"/>
        <v>1.0201219512195121</v>
      </c>
      <c r="I9207" s="297">
        <f t="shared" si="1470"/>
        <v>135.31056394387383</v>
      </c>
      <c r="J9207" s="297">
        <f t="shared" si="1471"/>
        <v>117.85714285714286</v>
      </c>
      <c r="K9207" s="297">
        <f>J9207/POBLA!$B$14*100000</f>
        <v>9.3441452077900049</v>
      </c>
      <c r="L9207" s="549">
        <f t="shared" si="1469"/>
        <v>2.7122641509433998E-2</v>
      </c>
      <c r="M9207" s="401">
        <f>SUM(C9207,C9183,C9159,C9135,C9111,C9087,C9063)/POBLA!$B$14*100000</f>
        <v>65.409016454530033</v>
      </c>
    </row>
    <row r="9208" spans="1:13" s="360" customFormat="1" x14ac:dyDescent="0.25">
      <c r="A9208" s="367" t="s">
        <v>19</v>
      </c>
      <c r="B9208" s="267">
        <v>44276</v>
      </c>
      <c r="C9208" s="17">
        <v>60</v>
      </c>
      <c r="D9208" s="39">
        <f t="shared" si="1467"/>
        <v>64057</v>
      </c>
      <c r="E9208" s="1">
        <v>6</v>
      </c>
      <c r="F9208" s="39">
        <f t="shared" si="1472"/>
        <v>976</v>
      </c>
      <c r="G9208" s="168">
        <f>SUM(C9208,C9184,C9160,C9136,C9112,C9088,C9064,C9040,C9016,C8992,C8968,C8944,C8920,C8896)/POBLA!$B$15*100000</f>
        <v>265.33866821673439</v>
      </c>
      <c r="H9208" s="256">
        <f t="shared" si="1468"/>
        <v>0.76178123648940765</v>
      </c>
      <c r="I9208" s="297">
        <f t="shared" si="1470"/>
        <v>202.13001876259662</v>
      </c>
      <c r="J9208" s="297">
        <f t="shared" si="1471"/>
        <v>120.71428571428571</v>
      </c>
      <c r="K9208" s="297">
        <f>J9208/POBLA!$B$15*100000</f>
        <v>18.178301819615744</v>
      </c>
      <c r="L9208" s="549">
        <f t="shared" si="1469"/>
        <v>7.8516902944383848E-2</v>
      </c>
      <c r="M9208" s="401">
        <f>SUM(C9208,C9184,C9160,C9136,C9112,C9088,C9064)/POBLA!$B$15*100000</f>
        <v>127.24811273731021</v>
      </c>
    </row>
    <row r="9209" spans="1:13" s="360" customFormat="1" x14ac:dyDescent="0.25">
      <c r="A9209" s="367" t="s">
        <v>18</v>
      </c>
      <c r="B9209" s="267">
        <v>44276</v>
      </c>
      <c r="C9209" s="17">
        <v>23</v>
      </c>
      <c r="D9209" s="39">
        <f t="shared" si="1467"/>
        <v>54401</v>
      </c>
      <c r="E9209" s="1">
        <v>1</v>
      </c>
      <c r="F9209" s="39">
        <f t="shared" si="1472"/>
        <v>1255</v>
      </c>
      <c r="G9209" s="168">
        <f>SUM(C9209,C9185,C9161,C9137,C9113,C9089,C9065,C9041,C9017,C8993,C8969,C8945,C8921,C8897)/POBLA!$B$16*100000</f>
        <v>171.88106098099277</v>
      </c>
      <c r="H9209" s="256">
        <f t="shared" si="1468"/>
        <v>0.77316486161251508</v>
      </c>
      <c r="I9209" s="297">
        <f t="shared" si="1470"/>
        <v>132.89239672718153</v>
      </c>
      <c r="J9209" s="297">
        <f t="shared" si="1471"/>
        <v>87.714285714285708</v>
      </c>
      <c r="K9209" s="297">
        <f>J9209/POBLA!$B$16*100000</f>
        <v>11.732626063627521</v>
      </c>
      <c r="L9209" s="549">
        <f t="shared" si="1469"/>
        <v>8.4947839046199736E-2</v>
      </c>
      <c r="M9209" s="401">
        <f>SUM(C9209,C9185,C9161,C9137,C9113,C9089,C9065)/POBLA!$B$16*100000</f>
        <v>82.128382445392646</v>
      </c>
    </row>
    <row r="9210" spans="1:13" s="360" customFormat="1" x14ac:dyDescent="0.25">
      <c r="A9210" s="367" t="s">
        <v>34</v>
      </c>
      <c r="B9210" s="267">
        <v>44276</v>
      </c>
      <c r="C9210" s="17">
        <v>42</v>
      </c>
      <c r="D9210" s="39">
        <f t="shared" si="1467"/>
        <v>28306</v>
      </c>
      <c r="E9210" s="1"/>
      <c r="F9210" s="39">
        <f t="shared" si="1472"/>
        <v>1175</v>
      </c>
      <c r="G9210" s="168">
        <f>SUM(C9210,C9186,C9162,C9138,C9114,C9090,C9066,C9042,C9018,C8994,C8970,C8946,C8922,C8898)/POBLA!$B$17*100000</f>
        <v>101.44643663248377</v>
      </c>
      <c r="H9210" s="256">
        <f t="shared" si="1468"/>
        <v>0.99244505494505497</v>
      </c>
      <c r="I9210" s="297">
        <f t="shared" si="1470"/>
        <v>100.68001437770539</v>
      </c>
      <c r="J9210" s="297">
        <f t="shared" si="1471"/>
        <v>97</v>
      </c>
      <c r="K9210" s="297">
        <f>J9210/POBLA!$B$17*100000</f>
        <v>6.8098992064712291</v>
      </c>
      <c r="L9210" s="549">
        <f t="shared" si="1469"/>
        <v>0.11357702349869447</v>
      </c>
      <c r="M9210" s="401">
        <f>SUM(C9210,C9186,C9162,C9138,C9114,C9090,C9066)/POBLA!$B$17*100000</f>
        <v>47.669294445298604</v>
      </c>
    </row>
    <row r="9211" spans="1:13" s="360" customFormat="1" x14ac:dyDescent="0.25">
      <c r="A9211" s="367" t="s">
        <v>35</v>
      </c>
      <c r="B9211" s="267">
        <v>44276</v>
      </c>
      <c r="C9211" s="17">
        <v>4</v>
      </c>
      <c r="D9211" s="39">
        <f t="shared" si="1467"/>
        <v>16315</v>
      </c>
      <c r="E9211" s="1"/>
      <c r="F9211" s="39">
        <f t="shared" si="1472"/>
        <v>221</v>
      </c>
      <c r="G9211" s="168">
        <f>SUM(C9211,C9187,C9163,C9139,C9115,C9091,C9067,C9043,C9019,C8995,C8971,C8947,C8923,C8899)/POBLA!$B$18*100000</f>
        <v>99.972222826692203</v>
      </c>
      <c r="H9211" s="256">
        <f t="shared" si="1468"/>
        <v>1.269918699186992</v>
      </c>
      <c r="I9211" s="297">
        <f t="shared" si="1470"/>
        <v>126.95659516690506</v>
      </c>
      <c r="J9211" s="297">
        <f t="shared" si="1471"/>
        <v>63</v>
      </c>
      <c r="K9211" s="297">
        <f>J9211/POBLA!$B$18*100000</f>
        <v>8.064340637748538</v>
      </c>
      <c r="L9211" s="549">
        <f t="shared" si="1469"/>
        <v>-0.29705882352941182</v>
      </c>
      <c r="M9211" s="401">
        <f>SUM(C9211,C9187,C9163,C9139,C9115,C9091,C9067)/POBLA!$B$18*100000</f>
        <v>56.450384464239775</v>
      </c>
    </row>
    <row r="9212" spans="1:13" s="360" customFormat="1" x14ac:dyDescent="0.25">
      <c r="A9212" s="367" t="s">
        <v>36</v>
      </c>
      <c r="B9212" s="267">
        <v>44276</v>
      </c>
      <c r="C9212" s="17">
        <v>0</v>
      </c>
      <c r="D9212" s="39">
        <f t="shared" si="1467"/>
        <v>21552</v>
      </c>
      <c r="E9212" s="1"/>
      <c r="F9212" s="39">
        <f t="shared" si="1472"/>
        <v>378</v>
      </c>
      <c r="G9212" s="168">
        <f>SUM(C9212,C9188,C9164,C9140,C9116,C9092,C9068,C9044,C9020,C8996,C8972,C8948,C8924,C8900)/POBLA!$B$19*100000</f>
        <v>147.5425315937741</v>
      </c>
      <c r="H9212" s="256">
        <f t="shared" si="1468"/>
        <v>2.6501766784452299</v>
      </c>
      <c r="I9212" s="297">
        <f t="shared" si="1470"/>
        <v>391.0137763085886</v>
      </c>
      <c r="J9212" s="297">
        <f t="shared" si="1471"/>
        <v>4.8571428571428568</v>
      </c>
      <c r="K9212" s="297">
        <f>J9212/POBLA!$B$19*100000</f>
        <v>0.95551353794063221</v>
      </c>
      <c r="L9212" s="549">
        <f t="shared" si="1469"/>
        <v>0.95251396648044695</v>
      </c>
      <c r="M9212" s="401">
        <f>SUM(C9212,C9188,C9164,C9140,C9116,C9092,C9068)/POBLA!$B$19*100000</f>
        <v>6.6885947655844253</v>
      </c>
    </row>
    <row r="9213" spans="1:13" s="360" customFormat="1" x14ac:dyDescent="0.25">
      <c r="A9213" s="367" t="s">
        <v>37</v>
      </c>
      <c r="B9213" s="267">
        <v>44276</v>
      </c>
      <c r="C9213" s="17">
        <v>46</v>
      </c>
      <c r="D9213" s="39">
        <f t="shared" si="1467"/>
        <v>38190</v>
      </c>
      <c r="E9213" s="1"/>
      <c r="F9213" s="39">
        <f t="shared" si="1472"/>
        <v>623</v>
      </c>
      <c r="G9213" s="168">
        <f>SUM(C9213,C9189,C9165,C9141,C9117,C9093,C9069,C9045,C9021,C8997,C8973,C8949,C8925,C8901)/POBLA!$B$20*100000</f>
        <v>417.55765686440725</v>
      </c>
      <c r="H9213" s="256">
        <f t="shared" si="1468"/>
        <v>1.0359565807327</v>
      </c>
      <c r="I9213" s="297">
        <f t="shared" si="1470"/>
        <v>432.57160246400935</v>
      </c>
      <c r="J9213" s="297">
        <f t="shared" si="1471"/>
        <v>115</v>
      </c>
      <c r="K9213" s="297">
        <f>J9213/POBLA!$B$20*100000</f>
        <v>31.446712861432108</v>
      </c>
      <c r="L9213" s="549">
        <f t="shared" si="1469"/>
        <v>-0.11495844875346251</v>
      </c>
      <c r="M9213" s="401">
        <f>SUM(C9213,C9189,C9165,C9141,C9117,C9093,C9069)/POBLA!$B$20*100000</f>
        <v>220.12699003002476</v>
      </c>
    </row>
    <row r="9214" spans="1:13" s="360" customFormat="1" x14ac:dyDescent="0.25">
      <c r="A9214" s="367" t="s">
        <v>22</v>
      </c>
      <c r="B9214" s="267">
        <v>44276</v>
      </c>
      <c r="C9214" s="17">
        <v>243</v>
      </c>
      <c r="D9214" s="39">
        <f t="shared" si="1467"/>
        <v>225479</v>
      </c>
      <c r="E9214" s="1">
        <v>1</v>
      </c>
      <c r="F9214" s="39">
        <f t="shared" si="1472"/>
        <v>4200</v>
      </c>
      <c r="G9214" s="168">
        <f>SUM(C9214,C9190,C9166,C9142,C9118,C9094,C9070,C9046,C9022,C8998,C8974,C8950,C8926,C8902)/POBLA!$B$21*100000</f>
        <v>175.77107683537412</v>
      </c>
      <c r="H9214" s="256">
        <f t="shared" si="1468"/>
        <v>1.1942363112391932</v>
      </c>
      <c r="I9214" s="297">
        <f t="shared" si="1470"/>
        <v>209.91220242241798</v>
      </c>
      <c r="J9214" s="297">
        <f t="shared" si="1471"/>
        <v>452.14285714285717</v>
      </c>
      <c r="K9214" s="297">
        <f>J9214/POBLA!$B$21*100000</f>
        <v>12.785334118954749</v>
      </c>
      <c r="L9214" s="549">
        <f t="shared" si="1469"/>
        <v>-3.7364798426745338E-2</v>
      </c>
      <c r="M9214" s="401">
        <f>SUM(C9214,C9190,C9166,C9142,C9118,C9094,C9070)/POBLA!$B$21*100000</f>
        <v>89.497338832683241</v>
      </c>
    </row>
    <row r="9215" spans="1:13" s="360" customFormat="1" x14ac:dyDescent="0.25">
      <c r="A9215" s="367" t="s">
        <v>38</v>
      </c>
      <c r="B9215" s="267">
        <v>44276</v>
      </c>
      <c r="C9215" s="17">
        <v>70</v>
      </c>
      <c r="D9215" s="39">
        <f t="shared" si="1467"/>
        <v>24104</v>
      </c>
      <c r="E9215" s="1"/>
      <c r="F9215" s="39">
        <f t="shared" si="1472"/>
        <v>277</v>
      </c>
      <c r="G9215" s="168">
        <f>SUM(C9215,C9191,C9167,C9143,C9119,C9095,C9071,C9047,C9023,C8999,C8975,C8951,C8927,C8903)/POBLA!$B$22*100000</f>
        <v>108.86086559209578</v>
      </c>
      <c r="H9215" s="256">
        <f t="shared" si="1468"/>
        <v>1.2412587412587412</v>
      </c>
      <c r="I9215" s="297">
        <f t="shared" si="1470"/>
        <v>135.12450099718183</v>
      </c>
      <c r="J9215" s="297">
        <f t="shared" si="1471"/>
        <v>92</v>
      </c>
      <c r="K9215" s="297">
        <f>J9215/POBLA!$B$22*100000</f>
        <v>9.4039433187538144</v>
      </c>
      <c r="L9215" s="549">
        <f t="shared" si="1469"/>
        <v>-0.52969121140142517</v>
      </c>
      <c r="M9215" s="401">
        <f>SUM(C9215,C9191,C9167,C9143,C9119,C9095,C9071)/POBLA!$B$22*100000</f>
        <v>65.827603231276697</v>
      </c>
    </row>
    <row r="9216" spans="1:13" s="360" customFormat="1" x14ac:dyDescent="0.25">
      <c r="A9216" s="367" t="s">
        <v>39</v>
      </c>
      <c r="B9216" s="267">
        <v>44276</v>
      </c>
      <c r="C9216" s="17">
        <v>23</v>
      </c>
      <c r="D9216" s="39">
        <f t="shared" si="1467"/>
        <v>23586</v>
      </c>
      <c r="E9216" s="1"/>
      <c r="F9216" s="39">
        <f t="shared" si="1472"/>
        <v>358</v>
      </c>
      <c r="G9216" s="168">
        <f>SUM(C9216,C9192,C9168,C9144,C9120,C9096,C9072,C9048,C9024,C9000,C8976,C8952,C8928,C8904)/POBLA!$B$23*100000</f>
        <v>231.86110954023638</v>
      </c>
      <c r="H9216" s="256">
        <f t="shared" si="1468"/>
        <v>0.87234042553191493</v>
      </c>
      <c r="I9216" s="297">
        <f t="shared" si="1470"/>
        <v>202.26181896063176</v>
      </c>
      <c r="J9216" s="297">
        <f t="shared" si="1471"/>
        <v>31.857142857142858</v>
      </c>
      <c r="K9216" s="297">
        <f>J9216/POBLA!$B$23*100000</f>
        <v>18.015688999119412</v>
      </c>
      <c r="L9216" s="549">
        <f t="shared" si="1469"/>
        <v>-0.19251336898395732</v>
      </c>
      <c r="M9216" s="401">
        <f>SUM(C9216,C9192,C9168,C9144,C9120,C9096,C9072)/POBLA!$B$23*100000</f>
        <v>126.10982299383589</v>
      </c>
    </row>
    <row r="9217" spans="1:13" s="360" customFormat="1" ht="15.75" thickBot="1" x14ac:dyDescent="0.3">
      <c r="A9217" s="369" t="s">
        <v>40</v>
      </c>
      <c r="B9217" s="267">
        <v>44276</v>
      </c>
      <c r="C9217" s="17">
        <v>106</v>
      </c>
      <c r="D9217" s="176">
        <f t="shared" si="1467"/>
        <v>83998</v>
      </c>
      <c r="E9217" s="1"/>
      <c r="F9217" s="176">
        <f t="shared" si="1472"/>
        <v>1498</v>
      </c>
      <c r="G9217" s="177">
        <f>SUM(C9217,C9193,C9169,C9145,C9121,C9097,C9073,C9049,C9025,C9001,C8977,C8953,C8929,C8905)/POBLA!$B$24*100000</f>
        <v>187.23563956342761</v>
      </c>
      <c r="H9217" s="402">
        <f t="shared" si="1468"/>
        <v>1.5410393394851869</v>
      </c>
      <c r="I9217" s="403">
        <f t="shared" si="1470"/>
        <v>288.537486320911</v>
      </c>
      <c r="J9217" s="403">
        <f t="shared" si="1471"/>
        <v>263.14285714285717</v>
      </c>
      <c r="K9217" s="403">
        <f>J9217/POBLA!$B$24*100000</f>
        <v>15.527803704283178</v>
      </c>
      <c r="L9217" s="550">
        <f t="shared" si="1469"/>
        <v>-0.38392186326070621</v>
      </c>
      <c r="M9217" s="405">
        <f>SUM(C9217,C9193,C9169,C9145,C9121,C9097,C9073)/POBLA!$B$24*100000</f>
        <v>108.69462592998227</v>
      </c>
    </row>
    <row r="9218" spans="1:13" s="360" customFormat="1" x14ac:dyDescent="0.25">
      <c r="A9218" s="363" t="s">
        <v>16</v>
      </c>
      <c r="B9218" s="267">
        <v>44277</v>
      </c>
      <c r="C9218" s="17">
        <v>2627</v>
      </c>
      <c r="D9218" s="174">
        <f t="shared" si="1467"/>
        <v>941859</v>
      </c>
      <c r="E9218" s="1">
        <v>35</v>
      </c>
      <c r="F9218" s="174">
        <f t="shared" si="1472"/>
        <v>27532</v>
      </c>
      <c r="G9218" s="175">
        <f>SUM(C9218,C9194,C9170,C9146,C9122,C9098,C9074,C9050,C9026,C9002,C8978,C8954,C8930,C8906)/POBLA!$B$1*100000</f>
        <v>238.90122084988656</v>
      </c>
      <c r="H9218" s="300">
        <f t="shared" ref="H9218:H9241" si="1473">SUM(C9218,C9194,C9170,C9146,C9122,C9098,C9074,C9050,C9026,C9002,C8978,C8954,C8930,C8906)/SUM(C8882,C8858,C8834,C8810,C8786,C8762,C8738,C8714,C8690,C8666,C8642,C8618,C8594,C8570)</f>
        <v>1.1614101213901669</v>
      </c>
      <c r="I9218" s="301">
        <f>G9218*H9218</f>
        <v>277.4622959075258</v>
      </c>
      <c r="J9218" s="301">
        <f>AVERAGE(C9218,C9194,C9170,C9146,C9122,C9098,C9074)</f>
        <v>3135.5714285714284</v>
      </c>
      <c r="K9218" s="301">
        <f>J9218/POBLA!$B$1*100000</f>
        <v>17.875527188176804</v>
      </c>
      <c r="L9218" s="548">
        <f t="shared" ref="L9218:L9241" si="1474">1-SUM(C9218,C9194,C9170,C9146,C9122,C9098,C9074)/SUM(C9050,C9026,C9002,C8978,C8954,C8930,C8906)</f>
        <v>-9.9814601392995028E-2</v>
      </c>
      <c r="M9218" s="400">
        <f>SUM(C9218,C9194,C9170,C9146,C9122,C9098,C9074)/POBLA!$B$1*100000</f>
        <v>125.12869031723764</v>
      </c>
    </row>
    <row r="9219" spans="1:13" s="360" customFormat="1" x14ac:dyDescent="0.25">
      <c r="A9219" s="367" t="s">
        <v>43</v>
      </c>
      <c r="B9219" s="267">
        <v>44277</v>
      </c>
      <c r="C9219" s="17">
        <v>895</v>
      </c>
      <c r="D9219" s="39">
        <f t="shared" si="1467"/>
        <v>249098</v>
      </c>
      <c r="E9219" s="1">
        <v>30</v>
      </c>
      <c r="F9219" s="39">
        <f t="shared" si="1472"/>
        <v>6795</v>
      </c>
      <c r="G9219" s="168">
        <f>SUM(C9219,C9195,C9171,C9147,C9123,C9099,C9075,C9051,C9027,C9003,C8979,C8955,C8931,C8907)/POBLA!$B$2*100000</f>
        <v>388.82888342806683</v>
      </c>
      <c r="H9219" s="256">
        <f t="shared" si="1473"/>
        <v>1.2471582021065803</v>
      </c>
      <c r="I9219" s="297">
        <f t="shared" ref="I9219:I9241" si="1475">G9219*H9219</f>
        <v>484.93113118325692</v>
      </c>
      <c r="J9219" s="297">
        <f t="shared" ref="J9219:J9241" si="1476">AVERAGE(C9219,C9195,C9171,C9147,C9123,C9099,C9075)</f>
        <v>865.14285714285711</v>
      </c>
      <c r="K9219" s="297">
        <f>J9219/POBLA!$B$2*100000</f>
        <v>28.128817722938763</v>
      </c>
      <c r="L9219" s="549">
        <f t="shared" si="1474"/>
        <v>-2.5919024224970277E-2</v>
      </c>
      <c r="M9219" s="401">
        <f>SUM(C9219,C9195,C9171,C9147,C9123,C9099,C9075)/POBLA!$B$2*100000</f>
        <v>196.90172406057133</v>
      </c>
    </row>
    <row r="9220" spans="1:13" s="360" customFormat="1" x14ac:dyDescent="0.25">
      <c r="A9220" s="367" t="s">
        <v>28</v>
      </c>
      <c r="B9220" s="267">
        <v>44277</v>
      </c>
      <c r="C9220" s="17">
        <v>61</v>
      </c>
      <c r="D9220" s="39">
        <f t="shared" si="1467"/>
        <v>9761</v>
      </c>
      <c r="E9220" s="1"/>
      <c r="F9220" s="39">
        <f t="shared" si="1472"/>
        <v>18</v>
      </c>
      <c r="G9220" s="168">
        <f>SUM(C9220,C9196,C9172,C9148,C9124,C9100,C9076,C9052,C9028,C9004,C8980,C8956,C8932,C8908)/POBLA!$B$3*100000</f>
        <v>297.03589946032861</v>
      </c>
      <c r="H9220" s="256">
        <f t="shared" si="1473"/>
        <v>1.0721112076455257</v>
      </c>
      <c r="I9220" s="297">
        <f t="shared" si="1475"/>
        <v>318.45551688448785</v>
      </c>
      <c r="J9220" s="297">
        <f t="shared" si="1476"/>
        <v>91.714285714285708</v>
      </c>
      <c r="K9220" s="297">
        <f>J9220/POBLA!$B$3*100000</f>
        <v>22.076527836713471</v>
      </c>
      <c r="L9220" s="549">
        <f t="shared" si="1474"/>
        <v>-8.4459459459459429E-2</v>
      </c>
      <c r="M9220" s="401">
        <f>SUM(C9220,C9196,C9172,C9148,C9124,C9100,C9076)/POBLA!$B$3*100000</f>
        <v>154.5356948569943</v>
      </c>
    </row>
    <row r="9221" spans="1:13" s="360" customFormat="1" x14ac:dyDescent="0.25">
      <c r="A9221" s="367" t="s">
        <v>15</v>
      </c>
      <c r="B9221" s="267">
        <v>44277</v>
      </c>
      <c r="C9221" s="17">
        <v>98</v>
      </c>
      <c r="D9221" s="39">
        <f t="shared" si="1467"/>
        <v>37060</v>
      </c>
      <c r="E9221" s="1">
        <v>3</v>
      </c>
      <c r="F9221" s="39">
        <f t="shared" si="1472"/>
        <v>910</v>
      </c>
      <c r="G9221" s="168">
        <f>SUM(C9221,C9197,C9173,C9149,C9125,C9101,C9077,C9053,C9029,C9005,C8981,C8957,C8933,C8909)/POBLA!$B$4*100000</f>
        <v>155.9100105351333</v>
      </c>
      <c r="H9221" s="256">
        <f t="shared" si="1473"/>
        <v>1.0140388768898487</v>
      </c>
      <c r="I9221" s="297">
        <f t="shared" si="1475"/>
        <v>158.09881197893105</v>
      </c>
      <c r="J9221" s="297">
        <f t="shared" si="1476"/>
        <v>142.57142857142858</v>
      </c>
      <c r="K9221" s="297">
        <f>J9221/POBLA!$B$4*100000</f>
        <v>11.836162369851138</v>
      </c>
      <c r="L9221" s="549">
        <f t="shared" si="1474"/>
        <v>-0.13409090909090904</v>
      </c>
      <c r="M9221" s="401">
        <f>SUM(C9221,C9197,C9173,C9149,C9125,C9101,C9077)/POBLA!$B$4*100000</f>
        <v>82.853136588957952</v>
      </c>
    </row>
    <row r="9222" spans="1:13" s="360" customFormat="1" x14ac:dyDescent="0.25">
      <c r="A9222" s="367" t="s">
        <v>29</v>
      </c>
      <c r="B9222" s="267">
        <v>44277</v>
      </c>
      <c r="C9222" s="17">
        <v>115</v>
      </c>
      <c r="D9222" s="39">
        <f t="shared" si="1467"/>
        <v>48862</v>
      </c>
      <c r="E9222" s="1"/>
      <c r="F9222" s="39">
        <f t="shared" si="1472"/>
        <v>816</v>
      </c>
      <c r="G9222" s="168">
        <f>SUM(C9222,C9198,C9174,C9150,C9126,C9102,C9078,C9054,C9030,C9006,C8982,C8958,C8934,C8910)/POBLA!$B$5*100000</f>
        <v>201.77901562858443</v>
      </c>
      <c r="H9222" s="256">
        <f t="shared" si="1473"/>
        <v>0.90441708906589424</v>
      </c>
      <c r="I9222" s="297">
        <f t="shared" si="1475"/>
        <v>182.49238994938591</v>
      </c>
      <c r="J9222" s="297">
        <f t="shared" si="1476"/>
        <v>87.285714285714292</v>
      </c>
      <c r="K9222" s="297">
        <f>J9222/POBLA!$B$5*100000</f>
        <v>14.101221382713611</v>
      </c>
      <c r="L9222" s="549">
        <f t="shared" si="1474"/>
        <v>4.2319749216300995E-2</v>
      </c>
      <c r="M9222" s="401">
        <f>SUM(C9222,C9198,C9174,C9150,C9126,C9102,C9078)/POBLA!$B$5*100000</f>
        <v>98.708549678995269</v>
      </c>
    </row>
    <row r="9223" spans="1:13" s="360" customFormat="1" x14ac:dyDescent="0.25">
      <c r="A9223" s="367" t="s">
        <v>30</v>
      </c>
      <c r="B9223" s="267">
        <v>44277</v>
      </c>
      <c r="C9223" s="17">
        <v>179</v>
      </c>
      <c r="D9223" s="39">
        <f t="shared" si="1467"/>
        <v>26646</v>
      </c>
      <c r="E9223" s="1"/>
      <c r="F9223" s="39">
        <f t="shared" si="1472"/>
        <v>317</v>
      </c>
      <c r="G9223" s="168">
        <f>SUM(C9223,C9199,C9175,C9151,C9127,C9103,C9079,C9055,C9031,C9007,C8983,C8959,C8935,C8911)/POBLA!$B$6*100000</f>
        <v>291.57718453141996</v>
      </c>
      <c r="H9223" s="256">
        <f t="shared" si="1473"/>
        <v>1.4358523725834798</v>
      </c>
      <c r="I9223" s="297">
        <f t="shared" si="1475"/>
        <v>418.66179220065044</v>
      </c>
      <c r="J9223" s="297">
        <f t="shared" si="1476"/>
        <v>231</v>
      </c>
      <c r="K9223" s="297">
        <f>J9223/POBLA!$B$6*100000</f>
        <v>20.61025998370808</v>
      </c>
      <c r="L9223" s="549">
        <f t="shared" si="1474"/>
        <v>2.0593579648697791E-2</v>
      </c>
      <c r="M9223" s="401">
        <f>SUM(C9223,C9199,C9175,C9151,C9127,C9103,C9079)/POBLA!$B$6*100000</f>
        <v>144.27181988595657</v>
      </c>
    </row>
    <row r="9224" spans="1:13" s="360" customFormat="1" x14ac:dyDescent="0.25">
      <c r="A9224" s="367" t="s">
        <v>20</v>
      </c>
      <c r="B9224" s="267">
        <v>44277</v>
      </c>
      <c r="C9224" s="17">
        <v>612</v>
      </c>
      <c r="D9224" s="39">
        <f t="shared" si="1467"/>
        <v>172811</v>
      </c>
      <c r="E9224" s="1">
        <v>7</v>
      </c>
      <c r="F9224" s="39">
        <f t="shared" si="1472"/>
        <v>2976</v>
      </c>
      <c r="G9224" s="168">
        <f>SUM(C9224,C9200,C9176,C9152,C9128,C9104,C9080,C9056,C9032,C9008,C8984,C8960,C8936,C8912)/POBLA!$B$7*100000</f>
        <v>225.47833371006129</v>
      </c>
      <c r="H9224" s="256">
        <f t="shared" si="1473"/>
        <v>1.0147199617041647</v>
      </c>
      <c r="I9224" s="297">
        <f t="shared" si="1475"/>
        <v>228.79736614739227</v>
      </c>
      <c r="J9224" s="297">
        <f t="shared" si="1476"/>
        <v>649.85714285714289</v>
      </c>
      <c r="K9224" s="297">
        <f>J9224/POBLA!$B$7*100000</f>
        <v>17.281366401817412</v>
      </c>
      <c r="L9224" s="549">
        <f t="shared" si="1474"/>
        <v>-0.15750636132315532</v>
      </c>
      <c r="M9224" s="401">
        <f>SUM(C9224,C9200,C9176,C9152,C9128,C9104,C9080)/POBLA!$B$7*100000</f>
        <v>120.96956481272188</v>
      </c>
    </row>
    <row r="9225" spans="1:13" x14ac:dyDescent="0.25">
      <c r="A9225" s="367" t="s">
        <v>31</v>
      </c>
      <c r="B9225" s="267">
        <v>44277</v>
      </c>
      <c r="C9225" s="17">
        <v>173</v>
      </c>
      <c r="D9225" s="39">
        <f t="shared" si="1467"/>
        <v>48298</v>
      </c>
      <c r="E9225" s="1">
        <v>9</v>
      </c>
      <c r="F9225" s="39">
        <f t="shared" ref="F9225:F9248" si="1477">E9225+F9201</f>
        <v>935</v>
      </c>
      <c r="G9225" s="168">
        <f>SUM(C9225,C9201,C9177,C9153,C9129,C9105,C9081,C9057,C9033,C9009,C8985,C8961,C8937,C8913)/POBLA!$B$8*100000</f>
        <v>160.1776673369597</v>
      </c>
      <c r="H9225" s="256">
        <f t="shared" si="1473"/>
        <v>1.3454545454545455</v>
      </c>
      <c r="I9225" s="297">
        <f t="shared" si="1475"/>
        <v>215.51177059881852</v>
      </c>
      <c r="J9225" s="297">
        <f t="shared" si="1476"/>
        <v>186.42857142857142</v>
      </c>
      <c r="K9225" s="297">
        <f>J9225/POBLA!$B$8*100000</f>
        <v>13.451213376752406</v>
      </c>
      <c r="L9225" s="549">
        <f t="shared" si="1474"/>
        <v>-0.42622950819672134</v>
      </c>
      <c r="M9225" s="401">
        <f>SUM(C9225,C9201,C9177,C9153,C9129,C9105,C9081)/POBLA!$B$8*100000</f>
        <v>94.158493637266844</v>
      </c>
    </row>
    <row r="9226" spans="1:13" s="360" customFormat="1" x14ac:dyDescent="0.25">
      <c r="A9226" s="367" t="s">
        <v>41</v>
      </c>
      <c r="B9226" s="267">
        <v>44277</v>
      </c>
      <c r="C9226" s="17">
        <v>22</v>
      </c>
      <c r="D9226" s="39">
        <f t="shared" si="1467"/>
        <v>1717</v>
      </c>
      <c r="E9226" s="1">
        <v>1</v>
      </c>
      <c r="F9226" s="39">
        <f t="shared" si="1477"/>
        <v>26</v>
      </c>
      <c r="G9226" s="168">
        <f>SUM(C9226,C9202,C9178,C9154,C9130,C9106,C9082,C9058,C9034,C9010,C8986,C8962,C8938,C8914)/POBLA!$B$9*100000</f>
        <v>53.701876921907562</v>
      </c>
      <c r="H9226" s="256">
        <f t="shared" si="1473"/>
        <v>1.26953125</v>
      </c>
      <c r="I9226" s="297">
        <f t="shared" si="1475"/>
        <v>68.176210936015465</v>
      </c>
      <c r="J9226" s="297">
        <f t="shared" si="1476"/>
        <v>16.857142857142858</v>
      </c>
      <c r="K9226" s="297">
        <f>J9226/POBLA!$B$9*100000</f>
        <v>2.7854160337516887</v>
      </c>
      <c r="L9226" s="549">
        <f t="shared" si="1474"/>
        <v>0.42995169082125606</v>
      </c>
      <c r="M9226" s="401">
        <f>SUM(C9226,C9202,C9178,C9154,C9130,C9106,C9082)/POBLA!$B$9*100000</f>
        <v>19.497912236261822</v>
      </c>
    </row>
    <row r="9227" spans="1:13" s="360" customFormat="1" x14ac:dyDescent="0.25">
      <c r="A9227" s="367" t="s">
        <v>32</v>
      </c>
      <c r="B9227" s="267">
        <v>44277</v>
      </c>
      <c r="C9227" s="17">
        <v>17</v>
      </c>
      <c r="D9227" s="39">
        <f t="shared" si="1467"/>
        <v>22041</v>
      </c>
      <c r="E9227" s="1">
        <v>2</v>
      </c>
      <c r="F9227" s="39">
        <f t="shared" si="1477"/>
        <v>948</v>
      </c>
      <c r="G9227" s="168">
        <f>SUM(C9227,C9203,C9179,C9155,C9131,C9107,C9083,C9059,C9035,C9011,C8987,C8963,C8939,C8915)/POBLA!$B$10*100000</f>
        <v>96.642672474739939</v>
      </c>
      <c r="H9227" s="256">
        <f t="shared" si="1473"/>
        <v>0.6575463371579876</v>
      </c>
      <c r="I9227" s="297">
        <f t="shared" si="1475"/>
        <v>63.547035298924314</v>
      </c>
      <c r="J9227" s="297">
        <f t="shared" si="1476"/>
        <v>47.428571428571431</v>
      </c>
      <c r="K9227" s="297">
        <f>J9227/POBLA!$B$10*100000</f>
        <v>6.1525152946526678</v>
      </c>
      <c r="L9227" s="549">
        <f t="shared" si="1474"/>
        <v>0.19612590799031482</v>
      </c>
      <c r="M9227" s="401">
        <f>SUM(C9227,C9203,C9179,C9155,C9131,C9107,C9083)/POBLA!$B$10*100000</f>
        <v>43.067607062568676</v>
      </c>
    </row>
    <row r="9228" spans="1:13" s="360" customFormat="1" x14ac:dyDescent="0.25">
      <c r="A9228" s="367" t="s">
        <v>33</v>
      </c>
      <c r="B9228" s="267">
        <v>44277</v>
      </c>
      <c r="C9228" s="17">
        <v>67</v>
      </c>
      <c r="D9228" s="39">
        <f t="shared" si="1467"/>
        <v>20556</v>
      </c>
      <c r="E9228" s="1">
        <v>1</v>
      </c>
      <c r="F9228" s="39">
        <f t="shared" si="1477"/>
        <v>310</v>
      </c>
      <c r="G9228" s="168">
        <f>SUM(C9228,C9204,C9180,C9156,C9132,C9108,C9084,C9060,C9036,C9012,C8988,C8964,C8940,C8916)/POBLA!$B$11*100000</f>
        <v>347.62909147722837</v>
      </c>
      <c r="H9228" s="256">
        <f t="shared" si="1473"/>
        <v>1.0844212358572671</v>
      </c>
      <c r="I9228" s="297">
        <f t="shared" si="1475"/>
        <v>376.97636899967495</v>
      </c>
      <c r="J9228" s="297">
        <f t="shared" si="1476"/>
        <v>86</v>
      </c>
      <c r="K9228" s="297">
        <f>J9228/POBLA!$B$11*100000</f>
        <v>23.993661209503724</v>
      </c>
      <c r="L9228" s="549">
        <f t="shared" si="1474"/>
        <v>6.5217391304347783E-2</v>
      </c>
      <c r="M9228" s="401">
        <f>SUM(C9228,C9204,C9180,C9156,C9132,C9108,C9084)/POBLA!$B$11*100000</f>
        <v>167.95562846652606</v>
      </c>
    </row>
    <row r="9229" spans="1:13" s="360" customFormat="1" x14ac:dyDescent="0.25">
      <c r="A9229" s="367" t="s">
        <v>21</v>
      </c>
      <c r="B9229" s="267">
        <v>44277</v>
      </c>
      <c r="C9229" s="17">
        <v>16</v>
      </c>
      <c r="D9229" s="39">
        <f t="shared" si="1467"/>
        <v>10710</v>
      </c>
      <c r="E9229" s="1">
        <v>1</v>
      </c>
      <c r="F9229" s="39">
        <f t="shared" si="1477"/>
        <v>448</v>
      </c>
      <c r="G9229" s="168">
        <f>SUM(C9229,C9205,C9181,C9157,C9133,C9109,C9085,C9061,C9037,C9013,C8989,C8965,C8941,C8917)/POBLA!$B$12*100000</f>
        <v>83.856163809204361</v>
      </c>
      <c r="H9229" s="256">
        <f t="shared" si="1473"/>
        <v>0.99099099099099097</v>
      </c>
      <c r="I9229" s="297">
        <f t="shared" si="1475"/>
        <v>83.100702873986307</v>
      </c>
      <c r="J9229" s="297">
        <f t="shared" si="1476"/>
        <v>23</v>
      </c>
      <c r="K9229" s="297">
        <f>J9229/POBLA!$B$12*100000</f>
        <v>5.8445205079142433</v>
      </c>
      <c r="L9229" s="549">
        <f t="shared" si="1474"/>
        <v>4.7337278106508895E-2</v>
      </c>
      <c r="M9229" s="401">
        <f>SUM(C9229,C9205,C9181,C9157,C9133,C9109,C9085)/POBLA!$B$12*100000</f>
        <v>40.911643555399699</v>
      </c>
    </row>
    <row r="9230" spans="1:13" s="360" customFormat="1" x14ac:dyDescent="0.25">
      <c r="A9230" s="367" t="s">
        <v>17</v>
      </c>
      <c r="B9230" s="267">
        <v>44277</v>
      </c>
      <c r="C9230" s="17">
        <v>123</v>
      </c>
      <c r="D9230" s="39">
        <f t="shared" si="1467"/>
        <v>70574</v>
      </c>
      <c r="E9230" s="1">
        <v>2</v>
      </c>
      <c r="F9230" s="39">
        <f t="shared" si="1477"/>
        <v>1488</v>
      </c>
      <c r="G9230" s="168">
        <f>SUM(C9230,C9206,C9182,C9158,C9134,C9110,C9086,C9062,C9038,C9014,C8990,C8966,C8942,C8918)/POBLA!$B$13*100000</f>
        <v>111.48860143352535</v>
      </c>
      <c r="H9230" s="256">
        <f t="shared" si="1473"/>
        <v>1.1414609053497942</v>
      </c>
      <c r="I9230" s="297">
        <f t="shared" si="1475"/>
        <v>127.2598799284942</v>
      </c>
      <c r="J9230" s="297">
        <f t="shared" si="1476"/>
        <v>154.42857142857142</v>
      </c>
      <c r="K9230" s="297">
        <f>J9230/POBLA!$B$13*100000</f>
        <v>7.7589118746952233</v>
      </c>
      <c r="L9230" s="549">
        <f t="shared" si="1474"/>
        <v>5.0087873462214438E-2</v>
      </c>
      <c r="M9230" s="401">
        <f>SUM(C9230,C9206,C9182,C9158,C9134,C9110,C9086)/POBLA!$B$13*100000</f>
        <v>54.312383122866571</v>
      </c>
    </row>
    <row r="9231" spans="1:13" s="360" customFormat="1" x14ac:dyDescent="0.25">
      <c r="A9231" s="367" t="s">
        <v>23</v>
      </c>
      <c r="B9231" s="267">
        <v>44277</v>
      </c>
      <c r="C9231" s="17">
        <v>107</v>
      </c>
      <c r="D9231" s="39">
        <f t="shared" si="1467"/>
        <v>10902</v>
      </c>
      <c r="E9231" s="1">
        <v>5</v>
      </c>
      <c r="F9231" s="39">
        <f t="shared" si="1477"/>
        <v>188</v>
      </c>
      <c r="G9231" s="168">
        <f>SUM(C9231,C9207,C9183,C9159,C9135,C9111,C9087,C9063,C9039,C9015,C8991,C8967,C8943,C8919)/POBLA!$B$14*100000</f>
        <v>132.48298969153902</v>
      </c>
      <c r="H9231" s="256">
        <f t="shared" si="1473"/>
        <v>1.0302096177558571</v>
      </c>
      <c r="I9231" s="297">
        <f t="shared" si="1475"/>
        <v>136.48525016927357</v>
      </c>
      <c r="J9231" s="297">
        <f t="shared" si="1476"/>
        <v>116.28571428571429</v>
      </c>
      <c r="K9231" s="297">
        <f>J9231/POBLA!$B$14*100000</f>
        <v>9.2195566050194717</v>
      </c>
      <c r="L9231" s="549">
        <f t="shared" si="1474"/>
        <v>5.0175029171528607E-2</v>
      </c>
      <c r="M9231" s="401">
        <f>SUM(C9231,C9207,C9183,C9159,C9135,C9111,C9087)/POBLA!$B$14*100000</f>
        <v>64.536896235136297</v>
      </c>
    </row>
    <row r="9232" spans="1:13" s="360" customFormat="1" x14ac:dyDescent="0.25">
      <c r="A9232" s="367" t="s">
        <v>19</v>
      </c>
      <c r="B9232" s="267">
        <v>44277</v>
      </c>
      <c r="C9232" s="17">
        <v>138</v>
      </c>
      <c r="D9232" s="39">
        <f t="shared" si="1467"/>
        <v>64195</v>
      </c>
      <c r="E9232" s="1">
        <v>3</v>
      </c>
      <c r="F9232" s="39">
        <f t="shared" si="1477"/>
        <v>979</v>
      </c>
      <c r="G9232" s="168">
        <f>SUM(C9232,C9208,C9184,C9160,C9136,C9112,C9088,C9064,C9040,C9016,C8992,C8968,C8944,C8920)/POBLA!$B$15*100000</f>
        <v>266.84456304202797</v>
      </c>
      <c r="H9232" s="256">
        <f t="shared" si="1473"/>
        <v>0.79426266248319144</v>
      </c>
      <c r="I9232" s="297">
        <f t="shared" si="1475"/>
        <v>211.94467311092495</v>
      </c>
      <c r="J9232" s="297">
        <f t="shared" si="1476"/>
        <v>122.85714285714286</v>
      </c>
      <c r="K9232" s="297">
        <f>J9232/POBLA!$B$15*100000</f>
        <v>18.500993567892948</v>
      </c>
      <c r="L9232" s="549">
        <f t="shared" si="1474"/>
        <v>5.7017543859649078E-2</v>
      </c>
      <c r="M9232" s="401">
        <f>SUM(C9232,C9208,C9184,C9160,C9136,C9112,C9088)/POBLA!$B$15*100000</f>
        <v>129.50695497525061</v>
      </c>
    </row>
    <row r="9233" spans="1:13" s="360" customFormat="1" x14ac:dyDescent="0.25">
      <c r="A9233" s="367" t="s">
        <v>18</v>
      </c>
      <c r="B9233" s="267">
        <v>44277</v>
      </c>
      <c r="C9233" s="17">
        <v>100</v>
      </c>
      <c r="D9233" s="39">
        <f t="shared" si="1467"/>
        <v>54501</v>
      </c>
      <c r="E9233" s="1">
        <v>2</v>
      </c>
      <c r="F9233" s="39">
        <f t="shared" si="1477"/>
        <v>1257</v>
      </c>
      <c r="G9233" s="168">
        <f>SUM(C9233,C9209,C9185,C9161,C9137,C9113,C9089,C9065,C9041,C9017,C8993,C8969,C8945,C8921)/POBLA!$B$16*100000</f>
        <v>170.40970559516325</v>
      </c>
      <c r="H9233" s="256">
        <f t="shared" si="1473"/>
        <v>0.77025392986698915</v>
      </c>
      <c r="I9233" s="297">
        <f t="shared" si="1475"/>
        <v>131.25874542215115</v>
      </c>
      <c r="J9233" s="297">
        <f t="shared" si="1476"/>
        <v>88.571428571428569</v>
      </c>
      <c r="K9233" s="297">
        <f>J9233/POBLA!$B$16*100000</f>
        <v>11.847277132653197</v>
      </c>
      <c r="L9233" s="549">
        <f t="shared" si="1474"/>
        <v>5.1987767584097844E-2</v>
      </c>
      <c r="M9233" s="401">
        <f>SUM(C9233,C9209,C9185,C9161,C9137,C9113,C9089)/POBLA!$B$16*100000</f>
        <v>82.930939928572386</v>
      </c>
    </row>
    <row r="9234" spans="1:13" s="360" customFormat="1" x14ac:dyDescent="0.25">
      <c r="A9234" s="367" t="s">
        <v>34</v>
      </c>
      <c r="B9234" s="267">
        <v>44277</v>
      </c>
      <c r="C9234" s="17">
        <v>89</v>
      </c>
      <c r="D9234" s="39">
        <f t="shared" si="1467"/>
        <v>28395</v>
      </c>
      <c r="E9234" s="1">
        <v>11</v>
      </c>
      <c r="F9234" s="39">
        <f t="shared" si="1477"/>
        <v>1186</v>
      </c>
      <c r="G9234" s="168">
        <f>SUM(C9234,C9210,C9186,C9162,C9138,C9114,C9090,C9066,C9042,C9018,C8994,C8970,C8946,C8922)/POBLA!$B$17*100000</f>
        <v>104.67587336957322</v>
      </c>
      <c r="H9234" s="256">
        <f t="shared" si="1473"/>
        <v>1.0463157894736843</v>
      </c>
      <c r="I9234" s="297">
        <f t="shared" si="1475"/>
        <v>109.52401908353242</v>
      </c>
      <c r="J9234" s="297">
        <f t="shared" si="1476"/>
        <v>100.71428571428571</v>
      </c>
      <c r="K9234" s="297">
        <f>J9234/POBLA!$B$17*100000</f>
        <v>7.070661179031247</v>
      </c>
      <c r="L9234" s="549">
        <f t="shared" si="1474"/>
        <v>0.10305343511450382</v>
      </c>
      <c r="M9234" s="401">
        <f>SUM(C9234,C9210,C9186,C9162,C9138,C9114,C9090)/POBLA!$B$17*100000</f>
        <v>49.494628253218735</v>
      </c>
    </row>
    <row r="9235" spans="1:13" s="360" customFormat="1" x14ac:dyDescent="0.25">
      <c r="A9235" s="367" t="s">
        <v>35</v>
      </c>
      <c r="B9235" s="267">
        <v>44277</v>
      </c>
      <c r="C9235" s="17">
        <v>76</v>
      </c>
      <c r="D9235" s="39">
        <f t="shared" si="1467"/>
        <v>16391</v>
      </c>
      <c r="E9235" s="1">
        <v>1</v>
      </c>
      <c r="F9235" s="39">
        <f t="shared" si="1477"/>
        <v>222</v>
      </c>
      <c r="G9235" s="168">
        <f>SUM(C9235,C9211,C9187,C9163,C9139,C9115,C9091,C9067,C9043,C9019,C8995,C8971,C8947,C8923)/POBLA!$B$18*100000</f>
        <v>99.716212012795424</v>
      </c>
      <c r="H9235" s="256">
        <f t="shared" si="1473"/>
        <v>1.252411575562701</v>
      </c>
      <c r="I9235" s="297">
        <f t="shared" si="1475"/>
        <v>124.88573819608945</v>
      </c>
      <c r="J9235" s="297">
        <f t="shared" si="1476"/>
        <v>64</v>
      </c>
      <c r="K9235" s="297">
        <f>J9235/POBLA!$B$18*100000</f>
        <v>8.1923460446969276</v>
      </c>
      <c r="L9235" s="549">
        <f t="shared" si="1474"/>
        <v>-0.3534743202416919</v>
      </c>
      <c r="M9235" s="401">
        <f>SUM(C9235,C9211,C9187,C9163,C9139,C9115,C9091)/POBLA!$B$18*100000</f>
        <v>57.346422312878495</v>
      </c>
    </row>
    <row r="9236" spans="1:13" s="360" customFormat="1" x14ac:dyDescent="0.25">
      <c r="A9236" s="367" t="s">
        <v>36</v>
      </c>
      <c r="B9236" s="267">
        <v>44277</v>
      </c>
      <c r="C9236" s="17">
        <v>1</v>
      </c>
      <c r="D9236" s="39">
        <f t="shared" si="1467"/>
        <v>21553</v>
      </c>
      <c r="E9236" s="1">
        <v>4</v>
      </c>
      <c r="F9236" s="39">
        <f t="shared" si="1477"/>
        <v>382</v>
      </c>
      <c r="G9236" s="168">
        <f>SUM(C9236,C9212,C9188,C9164,C9140,C9116,C9092,C9068,C9044,C9020,C8996,C8972,C8948,C8924)/POBLA!$B$19*100000</f>
        <v>147.14908484285738</v>
      </c>
      <c r="H9236" s="256">
        <f t="shared" si="1473"/>
        <v>2.8441064638783269</v>
      </c>
      <c r="I9236" s="297">
        <f t="shared" si="1475"/>
        <v>418.50766335535099</v>
      </c>
      <c r="J9236" s="297">
        <f t="shared" si="1476"/>
        <v>4.8571428571428568</v>
      </c>
      <c r="K9236" s="297">
        <f>J9236/POBLA!$B$19*100000</f>
        <v>0.95551353794063221</v>
      </c>
      <c r="L9236" s="549">
        <f t="shared" si="1474"/>
        <v>0.95238095238095233</v>
      </c>
      <c r="M9236" s="401">
        <f>SUM(C9236,C9212,C9188,C9164,C9140,C9116,C9092)/POBLA!$B$19*100000</f>
        <v>6.6885947655844253</v>
      </c>
    </row>
    <row r="9237" spans="1:13" s="360" customFormat="1" x14ac:dyDescent="0.25">
      <c r="A9237" s="367" t="s">
        <v>37</v>
      </c>
      <c r="B9237" s="267">
        <v>44277</v>
      </c>
      <c r="C9237" s="17">
        <v>98</v>
      </c>
      <c r="D9237" s="39">
        <f t="shared" si="1467"/>
        <v>38288</v>
      </c>
      <c r="E9237" s="1">
        <v>1</v>
      </c>
      <c r="F9237" s="39">
        <f t="shared" si="1477"/>
        <v>624</v>
      </c>
      <c r="G9237" s="168">
        <f>SUM(C9237,C9213,C9189,C9165,C9141,C9117,C9093,C9069,C9045,C9021,C8997,C8973,C8949,C8925)/POBLA!$B$20*100000</f>
        <v>418.65145557263094</v>
      </c>
      <c r="H9237" s="256">
        <f t="shared" si="1473"/>
        <v>1.0602493074792243</v>
      </c>
      <c r="I9237" s="297">
        <f t="shared" si="1475"/>
        <v>443.87491584605118</v>
      </c>
      <c r="J9237" s="297">
        <f t="shared" si="1476"/>
        <v>117</v>
      </c>
      <c r="K9237" s="297">
        <f>J9237/POBLA!$B$20*100000</f>
        <v>31.993612215543973</v>
      </c>
      <c r="L9237" s="549">
        <f t="shared" si="1474"/>
        <v>-0.15028089887640439</v>
      </c>
      <c r="M9237" s="401">
        <f>SUM(C9237,C9213,C9189,C9165,C9141,C9117,C9093)/POBLA!$B$20*100000</f>
        <v>223.9552855088078</v>
      </c>
    </row>
    <row r="9238" spans="1:13" s="360" customFormat="1" x14ac:dyDescent="0.25">
      <c r="A9238" s="367" t="s">
        <v>22</v>
      </c>
      <c r="B9238" s="267">
        <v>44277</v>
      </c>
      <c r="C9238" s="17">
        <v>436</v>
      </c>
      <c r="D9238" s="39">
        <f t="shared" si="1467"/>
        <v>225915</v>
      </c>
      <c r="E9238" s="1">
        <v>5</v>
      </c>
      <c r="F9238" s="39">
        <f t="shared" si="1477"/>
        <v>4205</v>
      </c>
      <c r="G9238" s="168">
        <f>SUM(C9238,C9214,C9190,C9166,C9142,C9118,C9094,C9070,C9046,C9022,C8998,C8974,C8950,C8926)/POBLA!$B$21*100000</f>
        <v>179.92782527404847</v>
      </c>
      <c r="H9238" s="256">
        <f t="shared" si="1473"/>
        <v>1.2321843532145624</v>
      </c>
      <c r="I9238" s="297">
        <f t="shared" si="1475"/>
        <v>221.70425101060621</v>
      </c>
      <c r="J9238" s="297">
        <f t="shared" si="1476"/>
        <v>466.85714285714283</v>
      </c>
      <c r="K9238" s="297">
        <f>J9238/POBLA!$B$21*100000</f>
        <v>13.201412922825945</v>
      </c>
      <c r="L9238" s="549">
        <f t="shared" si="1474"/>
        <v>-5.589660743134095E-2</v>
      </c>
      <c r="M9238" s="401">
        <f>SUM(C9238,C9214,C9190,C9166,C9142,C9118,C9094)/POBLA!$B$21*100000</f>
        <v>92.409890459781622</v>
      </c>
    </row>
    <row r="9239" spans="1:13" s="360" customFormat="1" x14ac:dyDescent="0.25">
      <c r="A9239" s="367" t="s">
        <v>38</v>
      </c>
      <c r="B9239" s="267">
        <v>44277</v>
      </c>
      <c r="C9239" s="17">
        <v>78</v>
      </c>
      <c r="D9239" s="39">
        <f t="shared" si="1467"/>
        <v>24182</v>
      </c>
      <c r="E9239" s="1">
        <v>1</v>
      </c>
      <c r="F9239" s="39">
        <f t="shared" si="1477"/>
        <v>278</v>
      </c>
      <c r="G9239" s="168">
        <f>SUM(C9239,C9215,C9191,C9167,C9143,C9119,C9095,C9071,C9047,C9023,C8999,C8975,C8951,C8927)/POBLA!$B$22*100000</f>
        <v>112.33623594902654</v>
      </c>
      <c r="H9239" s="256">
        <f t="shared" si="1473"/>
        <v>1.2690531177829099</v>
      </c>
      <c r="I9239" s="297">
        <f t="shared" si="1475"/>
        <v>142.56065047110874</v>
      </c>
      <c r="J9239" s="297">
        <f t="shared" si="1476"/>
        <v>93</v>
      </c>
      <c r="K9239" s="297">
        <f>J9239/POBLA!$B$22*100000</f>
        <v>9.5061600939576607</v>
      </c>
      <c r="L9239" s="549">
        <f t="shared" si="1474"/>
        <v>-0.453125</v>
      </c>
      <c r="M9239" s="401">
        <f>SUM(C9239,C9215,C9191,C9167,C9143,C9119,C9095)/POBLA!$B$22*100000</f>
        <v>66.543120657703611</v>
      </c>
    </row>
    <row r="9240" spans="1:13" s="360" customFormat="1" x14ac:dyDescent="0.25">
      <c r="A9240" s="367" t="s">
        <v>39</v>
      </c>
      <c r="B9240" s="267">
        <v>44277</v>
      </c>
      <c r="C9240" s="17">
        <v>34</v>
      </c>
      <c r="D9240" s="39">
        <f t="shared" si="1467"/>
        <v>23620</v>
      </c>
      <c r="E9240" s="1"/>
      <c r="F9240" s="39">
        <f t="shared" si="1477"/>
        <v>358</v>
      </c>
      <c r="G9240" s="168">
        <f>SUM(C9240,C9216,C9192,C9168,C9144,C9120,C9096,C9072,C9048,C9024,C9000,C8976,C8952,C8928)/POBLA!$B$23*100000</f>
        <v>231.86110954023638</v>
      </c>
      <c r="H9240" s="256">
        <f t="shared" si="1473"/>
        <v>0.88744588744588748</v>
      </c>
      <c r="I9240" s="297">
        <f t="shared" si="1475"/>
        <v>205.76418812012321</v>
      </c>
      <c r="J9240" s="297">
        <f t="shared" si="1476"/>
        <v>31.714285714285715</v>
      </c>
      <c r="K9240" s="297">
        <f>J9240/POBLA!$B$23*100000</f>
        <v>17.934901156074037</v>
      </c>
      <c r="L9240" s="549">
        <f t="shared" si="1474"/>
        <v>-0.18085106382978733</v>
      </c>
      <c r="M9240" s="401">
        <f>SUM(C9240,C9216,C9192,C9168,C9144,C9120,C9096)/POBLA!$B$23*100000</f>
        <v>125.54430809251824</v>
      </c>
    </row>
    <row r="9241" spans="1:13" s="360" customFormat="1" ht="15.75" thickBot="1" x14ac:dyDescent="0.3">
      <c r="A9241" s="369" t="s">
        <v>40</v>
      </c>
      <c r="B9241" s="267">
        <v>44277</v>
      </c>
      <c r="C9241" s="17">
        <v>239</v>
      </c>
      <c r="D9241" s="176">
        <f t="shared" si="1467"/>
        <v>84237</v>
      </c>
      <c r="E9241" s="1"/>
      <c r="F9241" s="176">
        <f t="shared" si="1477"/>
        <v>1498</v>
      </c>
      <c r="G9241" s="177">
        <f>SUM(C9241,C9217,C9193,C9169,C9145,C9121,C9097,C9073,C9049,C9025,C9001,C8977,C8953,C8929)/POBLA!$B$24*100000</f>
        <v>193.66762339967522</v>
      </c>
      <c r="H9241" s="402">
        <f t="shared" si="1473"/>
        <v>1.6104023552502453</v>
      </c>
      <c r="I9241" s="403">
        <f t="shared" si="1475"/>
        <v>311.88279685855451</v>
      </c>
      <c r="J9241" s="403">
        <f t="shared" si="1476"/>
        <v>260.57142857142856</v>
      </c>
      <c r="K9241" s="403">
        <f>J9241/POBLA!$B$24*100000</f>
        <v>15.376066208801584</v>
      </c>
      <c r="L9241" s="550">
        <f t="shared" si="1474"/>
        <v>-0.25102880658436222</v>
      </c>
      <c r="M9241" s="405">
        <f>SUM(C9241,C9217,C9193,C9169,C9145,C9121,C9097)/POBLA!$B$24*100000</f>
        <v>107.63246346161108</v>
      </c>
    </row>
    <row r="9242" spans="1:13" s="360" customFormat="1" x14ac:dyDescent="0.25">
      <c r="A9242" s="363" t="s">
        <v>16</v>
      </c>
      <c r="B9242" s="267">
        <v>44278</v>
      </c>
      <c r="C9242" s="17">
        <v>4377</v>
      </c>
      <c r="D9242" s="174">
        <f t="shared" si="1467"/>
        <v>946236</v>
      </c>
      <c r="E9242" s="1">
        <v>60</v>
      </c>
      <c r="F9242" s="174">
        <f t="shared" si="1477"/>
        <v>27592</v>
      </c>
      <c r="G9242" s="175">
        <f>SUM(C9242,C9218,C9194,C9170,C9146,C9122,C9098,C9074,C9050,C9026,C9002,C8978,C8954,C8930)/POBLA!$B$1*100000</f>
        <v>245.91900834729051</v>
      </c>
      <c r="H9242" s="300">
        <f t="shared" ref="H9242:H9265" si="1478">SUM(C9242,C9218,C9194,C9170,C9146,C9122,C9098,C9074,C9050,C9026,C9002,C8978,C8954,C8930)/SUM(C8906,C8882,C8858,C8834,C8810,C8786,C8762,C8738,C8714,C8690,C8666,C8642,C8618,C8594)</f>
        <v>1.2041032798325191</v>
      </c>
      <c r="I9242" s="301">
        <f>G9242*H9242</f>
        <v>296.11188452413313</v>
      </c>
      <c r="J9242" s="301">
        <f>AVERAGE(C9242,C9218,C9194,C9170,C9146,C9122,C9098)</f>
        <v>3223.4285714285716</v>
      </c>
      <c r="K9242" s="301">
        <f>J9242/POBLA!$B$1*100000</f>
        <v>18.37639051774666</v>
      </c>
      <c r="L9242" s="548">
        <f t="shared" ref="L9242:L9265" si="1479">1-SUM(C9242,C9218,C9194,C9170,C9146,C9122,C9098)/SUM(C9074,C9050,C9026,C9002,C8978,C8954,C8930)</f>
        <v>-9.6777329509551313E-2</v>
      </c>
      <c r="M9242" s="400">
        <f>SUM(C9242,C9218,C9194,C9170,C9146,C9122,C9098)/POBLA!$B$1*100000</f>
        <v>128.63473362422661</v>
      </c>
    </row>
    <row r="9243" spans="1:13" s="360" customFormat="1" x14ac:dyDescent="0.25">
      <c r="A9243" s="367" t="s">
        <v>43</v>
      </c>
      <c r="B9243" s="267">
        <v>44278</v>
      </c>
      <c r="C9243" s="17">
        <v>1180</v>
      </c>
      <c r="D9243" s="39">
        <f t="shared" si="1467"/>
        <v>250278</v>
      </c>
      <c r="E9243" s="1">
        <v>11</v>
      </c>
      <c r="F9243" s="39">
        <f t="shared" si="1477"/>
        <v>6806</v>
      </c>
      <c r="G9243" s="168">
        <f>SUM(C9243,C9219,C9195,C9171,C9147,C9123,C9099,C9075,C9051,C9027,C9003,C8979,C8955,C8931)/POBLA!$B$2*100000</f>
        <v>398.68047233004057</v>
      </c>
      <c r="H9243" s="256">
        <f t="shared" si="1478"/>
        <v>1.2722556547001453</v>
      </c>
      <c r="I9243" s="297">
        <f t="shared" ref="I9243:I9265" si="1480">G9243*H9243</f>
        <v>507.22348534041896</v>
      </c>
      <c r="J9243" s="297">
        <f t="shared" ref="J9243:J9265" si="1481">AVERAGE(C9243,C9219,C9195,C9171,C9147,C9123,C9099)</f>
        <v>895.57142857142856</v>
      </c>
      <c r="K9243" s="297">
        <f>J9243/POBLA!$B$2*100000</f>
        <v>29.118156919600906</v>
      </c>
      <c r="L9243" s="549">
        <f t="shared" si="1479"/>
        <v>-4.6053729350909345E-2</v>
      </c>
      <c r="M9243" s="401">
        <f>SUM(C9243,C9219,C9195,C9171,C9147,C9123,C9099)/POBLA!$B$2*100000</f>
        <v>203.82709843720636</v>
      </c>
    </row>
    <row r="9244" spans="1:13" s="360" customFormat="1" x14ac:dyDescent="0.25">
      <c r="A9244" s="367" t="s">
        <v>28</v>
      </c>
      <c r="B9244" s="267">
        <v>44278</v>
      </c>
      <c r="C9244" s="17">
        <v>83</v>
      </c>
      <c r="D9244" s="39">
        <f t="shared" si="1467"/>
        <v>9844</v>
      </c>
      <c r="E9244" s="1"/>
      <c r="F9244" s="39">
        <f t="shared" si="1477"/>
        <v>18</v>
      </c>
      <c r="G9244" s="168">
        <f>SUM(C9244,C9220,C9196,C9172,C9148,C9124,C9100,C9076,C9052,C9028,C9004,C8980,C8956,C8932)/POBLA!$B$3*100000</f>
        <v>294.86951121466979</v>
      </c>
      <c r="H9244" s="256">
        <f t="shared" si="1478"/>
        <v>1.0372565622353938</v>
      </c>
      <c r="I9244" s="297">
        <f t="shared" si="1480"/>
        <v>305.85533551055926</v>
      </c>
      <c r="J9244" s="297">
        <f t="shared" si="1481"/>
        <v>85.428571428571431</v>
      </c>
      <c r="K9244" s="297">
        <f>J9244/POBLA!$B$3*100000</f>
        <v>20.563494776253361</v>
      </c>
      <c r="L9244" s="549">
        <f t="shared" si="1479"/>
        <v>4.6251993620414655E-2</v>
      </c>
      <c r="M9244" s="401">
        <f>SUM(C9244,C9220,C9196,C9172,C9148,C9124,C9100)/POBLA!$B$3*100000</f>
        <v>143.94446343377351</v>
      </c>
    </row>
    <row r="9245" spans="1:13" s="360" customFormat="1" x14ac:dyDescent="0.25">
      <c r="A9245" s="367" t="s">
        <v>15</v>
      </c>
      <c r="B9245" s="267">
        <v>44278</v>
      </c>
      <c r="C9245" s="17">
        <v>135</v>
      </c>
      <c r="D9245" s="39">
        <f t="shared" si="1467"/>
        <v>37195</v>
      </c>
      <c r="E9245" s="1">
        <v>2</v>
      </c>
      <c r="F9245" s="39">
        <f t="shared" si="1477"/>
        <v>912</v>
      </c>
      <c r="G9245" s="168">
        <f>SUM(C9245,C9221,C9197,C9173,C9149,C9125,C9101,C9077,C9053,C9029,C9005,C8981,C8957,C8933)/POBLA!$B$4*100000</f>
        <v>158.98172000787022</v>
      </c>
      <c r="H9245" s="256">
        <f t="shared" si="1478"/>
        <v>1.0886867538374077</v>
      </c>
      <c r="I9245" s="297">
        <f t="shared" si="1480"/>
        <v>173.08129267485589</v>
      </c>
      <c r="J9245" s="297">
        <f t="shared" si="1481"/>
        <v>144.14285714285714</v>
      </c>
      <c r="K9245" s="297">
        <f>J9245/POBLA!$B$4*100000</f>
        <v>11.966621073326449</v>
      </c>
      <c r="L9245" s="549">
        <f t="shared" si="1479"/>
        <v>-0.11368653421633557</v>
      </c>
      <c r="M9245" s="401">
        <f>SUM(C9245,C9221,C9197,C9173,C9149,C9125,C9101)/POBLA!$B$4*100000</f>
        <v>83.76634751328514</v>
      </c>
    </row>
    <row r="9246" spans="1:13" s="360" customFormat="1" x14ac:dyDescent="0.25">
      <c r="A9246" s="367" t="s">
        <v>29</v>
      </c>
      <c r="B9246" s="267">
        <v>44278</v>
      </c>
      <c r="C9246" s="17">
        <v>156</v>
      </c>
      <c r="D9246" s="39">
        <f t="shared" si="1467"/>
        <v>49018</v>
      </c>
      <c r="E9246" s="1">
        <v>29</v>
      </c>
      <c r="F9246" s="39">
        <f t="shared" si="1477"/>
        <v>845</v>
      </c>
      <c r="G9246" s="168">
        <f>SUM(C9246,C9222,C9198,C9174,C9150,C9126,C9102,C9078,C9054,C9030,C9006,C8982,C8958,C8934)/POBLA!$B$5*100000</f>
        <v>210.98750553317154</v>
      </c>
      <c r="H9246" s="256">
        <f t="shared" si="1478"/>
        <v>1</v>
      </c>
      <c r="I9246" s="297">
        <f t="shared" si="1480"/>
        <v>210.98750553317154</v>
      </c>
      <c r="J9246" s="297">
        <f t="shared" si="1481"/>
        <v>95.285714285714292</v>
      </c>
      <c r="K9246" s="297">
        <f>J9246/POBLA!$B$5*100000</f>
        <v>15.393641018445138</v>
      </c>
      <c r="L9246" s="549">
        <f t="shared" si="1479"/>
        <v>-4.3818466353677588E-2</v>
      </c>
      <c r="M9246" s="401">
        <f>SUM(C9246,C9222,C9198,C9174,C9150,C9126,C9102)/POBLA!$B$5*100000</f>
        <v>107.75548712911595</v>
      </c>
    </row>
    <row r="9247" spans="1:13" s="360" customFormat="1" x14ac:dyDescent="0.25">
      <c r="A9247" s="367" t="s">
        <v>30</v>
      </c>
      <c r="B9247" s="267">
        <v>44278</v>
      </c>
      <c r="C9247" s="17">
        <v>104</v>
      </c>
      <c r="D9247" s="39">
        <f t="shared" si="1467"/>
        <v>26750</v>
      </c>
      <c r="E9247" s="1">
        <v>1</v>
      </c>
      <c r="F9247" s="39">
        <f t="shared" si="1477"/>
        <v>318</v>
      </c>
      <c r="G9247" s="168">
        <f>SUM(C9247,C9223,C9199,C9175,C9151,C9127,C9103,C9079,C9055,C9031,C9007,C8983,C8959,C8935)/POBLA!$B$6*100000</f>
        <v>278.90767406524441</v>
      </c>
      <c r="H9247" s="256">
        <f t="shared" si="1478"/>
        <v>1.2795742939009416</v>
      </c>
      <c r="I9247" s="297">
        <f t="shared" si="1480"/>
        <v>356.88309010558908</v>
      </c>
      <c r="J9247" s="297">
        <f t="shared" si="1481"/>
        <v>221.85714285714286</v>
      </c>
      <c r="K9247" s="297">
        <f>J9247/POBLA!$B$6*100000</f>
        <v>19.794516855101207</v>
      </c>
      <c r="L9247" s="549">
        <f t="shared" si="1479"/>
        <v>1.2714558169103607E-2</v>
      </c>
      <c r="M9247" s="401">
        <f>SUM(C9247,C9223,C9199,C9175,C9151,C9127,C9103)/POBLA!$B$6*100000</f>
        <v>138.56161798570844</v>
      </c>
    </row>
    <row r="9248" spans="1:13" s="360" customFormat="1" x14ac:dyDescent="0.25">
      <c r="A9248" s="367" t="s">
        <v>20</v>
      </c>
      <c r="B9248" s="267">
        <v>44278</v>
      </c>
      <c r="C9248" s="17">
        <v>817</v>
      </c>
      <c r="D9248" s="39">
        <f t="shared" si="1467"/>
        <v>173628</v>
      </c>
      <c r="E9248" s="1">
        <v>8</v>
      </c>
      <c r="F9248" s="39">
        <f t="shared" si="1477"/>
        <v>2984</v>
      </c>
      <c r="G9248" s="168">
        <f>SUM(C9248,C9224,C9200,C9176,C9152,C9128,C9104,C9080,C9056,C9032,C9008,C8984,C8960,C8936)/POBLA!$B$7*100000</f>
        <v>228.61625603318751</v>
      </c>
      <c r="H9248" s="256">
        <f t="shared" si="1478"/>
        <v>1.0448468643655811</v>
      </c>
      <c r="I9248" s="297">
        <f t="shared" si="1480"/>
        <v>238.86897825927483</v>
      </c>
      <c r="J9248" s="297">
        <f t="shared" si="1481"/>
        <v>651</v>
      </c>
      <c r="K9248" s="297">
        <f>J9248/POBLA!$B$7*100000</f>
        <v>17.311757901315001</v>
      </c>
      <c r="L9248" s="549">
        <f t="shared" si="1479"/>
        <v>-0.12797029702970297</v>
      </c>
      <c r="M9248" s="401">
        <f>SUM(C9248,C9224,C9200,C9176,C9152,C9128,C9104)/POBLA!$B$7*100000</f>
        <v>121.18230530920502</v>
      </c>
    </row>
    <row r="9249" spans="1:13" x14ac:dyDescent="0.25">
      <c r="A9249" s="367" t="s">
        <v>31</v>
      </c>
      <c r="B9249" s="267">
        <v>44278</v>
      </c>
      <c r="C9249" s="17">
        <v>179</v>
      </c>
      <c r="D9249" s="39">
        <f t="shared" si="1467"/>
        <v>48477</v>
      </c>
      <c r="E9249" s="1">
        <v>2</v>
      </c>
      <c r="F9249" s="39">
        <f t="shared" ref="F9249:F9265" si="1482">E9249+F9225</f>
        <v>937</v>
      </c>
      <c r="G9249" s="168">
        <f>SUM(C9249,C9225,C9201,C9177,C9153,C9129,C9105,C9081,C9057,C9033,C9009,C8985,C8961,C8937)/POBLA!$B$8*100000</f>
        <v>161.62070938504041</v>
      </c>
      <c r="H9249" s="256">
        <f t="shared" si="1478"/>
        <v>1.3453453453453454</v>
      </c>
      <c r="I9249" s="297">
        <f t="shared" si="1480"/>
        <v>217.43566908257691</v>
      </c>
      <c r="J9249" s="297">
        <f t="shared" si="1481"/>
        <v>183.42857142857142</v>
      </c>
      <c r="K9249" s="297">
        <f>J9249/POBLA!$B$8*100000</f>
        <v>13.234757069540299</v>
      </c>
      <c r="L9249" s="549">
        <f t="shared" si="1479"/>
        <v>-0.34309623430962333</v>
      </c>
      <c r="M9249" s="401">
        <f>SUM(C9249,C9225,C9201,C9177,C9153,C9129,C9105)/POBLA!$B$8*100000</f>
        <v>92.643299486782098</v>
      </c>
    </row>
    <row r="9250" spans="1:13" s="360" customFormat="1" x14ac:dyDescent="0.25">
      <c r="A9250" s="367" t="s">
        <v>41</v>
      </c>
      <c r="B9250" s="267">
        <v>44278</v>
      </c>
      <c r="C9250" s="17">
        <v>32</v>
      </c>
      <c r="D9250" s="39">
        <f t="shared" si="1467"/>
        <v>1749</v>
      </c>
      <c r="E9250" s="1">
        <v>1</v>
      </c>
      <c r="F9250" s="39">
        <f t="shared" si="1482"/>
        <v>27</v>
      </c>
      <c r="G9250" s="168">
        <f>SUM(C9250,C9226,C9202,C9178,C9154,C9130,C9106,C9082,C9058,C9034,C9010,C8986,C8962,C8938)/POBLA!$B$9*100000</f>
        <v>54.362823099407954</v>
      </c>
      <c r="H9250" s="256">
        <f t="shared" si="1478"/>
        <v>1.3055555555555556</v>
      </c>
      <c r="I9250" s="297">
        <f t="shared" si="1480"/>
        <v>70.973685713115941</v>
      </c>
      <c r="J9250" s="297">
        <f t="shared" si="1481"/>
        <v>17.571428571428573</v>
      </c>
      <c r="K9250" s="297">
        <f>J9250/POBLA!$B$9*100000</f>
        <v>2.9034421368767602</v>
      </c>
      <c r="L9250" s="549">
        <f t="shared" si="1479"/>
        <v>0.40291262135922334</v>
      </c>
      <c r="M9250" s="401">
        <f>SUM(C9250,C9226,C9202,C9178,C9154,C9130,C9106)/POBLA!$B$9*100000</f>
        <v>20.324094958137319</v>
      </c>
    </row>
    <row r="9251" spans="1:13" s="360" customFormat="1" x14ac:dyDescent="0.25">
      <c r="A9251" s="367" t="s">
        <v>32</v>
      </c>
      <c r="B9251" s="267">
        <v>44278</v>
      </c>
      <c r="C9251" s="17">
        <v>50</v>
      </c>
      <c r="D9251" s="39">
        <f t="shared" si="1467"/>
        <v>22091</v>
      </c>
      <c r="E9251" s="1">
        <v>4</v>
      </c>
      <c r="F9251" s="39">
        <f t="shared" si="1482"/>
        <v>952</v>
      </c>
      <c r="G9251" s="168">
        <f>SUM(C9251,C9227,C9203,C9179,C9155,C9131,C9107,C9083,C9059,C9035,C9011,C8987,C8963,C8939)/POBLA!$B$10*100000</f>
        <v>94.307681730383806</v>
      </c>
      <c r="H9251" s="256">
        <f t="shared" si="1478"/>
        <v>0.67190388170055448</v>
      </c>
      <c r="I9251" s="297">
        <f t="shared" si="1480"/>
        <v>63.365697428825342</v>
      </c>
      <c r="J9251" s="297">
        <f t="shared" si="1481"/>
        <v>46.857142857142854</v>
      </c>
      <c r="K9251" s="297">
        <f>J9251/POBLA!$B$10*100000</f>
        <v>6.0783886043556468</v>
      </c>
      <c r="L9251" s="549">
        <f t="shared" si="1479"/>
        <v>0.17794486215538852</v>
      </c>
      <c r="M9251" s="401">
        <f>SUM(C9251,C9227,C9203,C9179,C9155,C9131,C9107)/POBLA!$B$10*100000</f>
        <v>42.548720230489536</v>
      </c>
    </row>
    <row r="9252" spans="1:13" s="360" customFormat="1" x14ac:dyDescent="0.25">
      <c r="A9252" s="367" t="s">
        <v>33</v>
      </c>
      <c r="B9252" s="267">
        <v>44278</v>
      </c>
      <c r="C9252" s="17">
        <v>94</v>
      </c>
      <c r="D9252" s="39">
        <f t="shared" si="1467"/>
        <v>20650</v>
      </c>
      <c r="E9252" s="1">
        <v>2</v>
      </c>
      <c r="F9252" s="39">
        <f t="shared" si="1482"/>
        <v>312</v>
      </c>
      <c r="G9252" s="168">
        <f>SUM(C9252,C9228,C9204,C9180,C9156,C9132,C9108,C9084,C9060,C9036,C9012,C8988,C8964,C8940)/POBLA!$B$11*100000</f>
        <v>343.16515450801836</v>
      </c>
      <c r="H9252" s="256">
        <f t="shared" si="1478"/>
        <v>1.028428093645485</v>
      </c>
      <c r="I9252" s="297">
        <f t="shared" si="1480"/>
        <v>352.92068565623964</v>
      </c>
      <c r="J9252" s="297">
        <f t="shared" si="1481"/>
        <v>83.142857142857139</v>
      </c>
      <c r="K9252" s="297">
        <f>J9252/POBLA!$B$11*100000</f>
        <v>23.196529607859077</v>
      </c>
      <c r="L9252" s="549">
        <f t="shared" si="1479"/>
        <v>0.10185185185185186</v>
      </c>
      <c r="M9252" s="401">
        <f>SUM(C9252,C9228,C9204,C9180,C9156,C9132,C9108)/POBLA!$B$11*100000</f>
        <v>162.37570725501357</v>
      </c>
    </row>
    <row r="9253" spans="1:13" s="360" customFormat="1" x14ac:dyDescent="0.25">
      <c r="A9253" s="367" t="s">
        <v>21</v>
      </c>
      <c r="B9253" s="267">
        <v>44278</v>
      </c>
      <c r="C9253" s="17">
        <v>25</v>
      </c>
      <c r="D9253" s="39">
        <f t="shared" si="1467"/>
        <v>10735</v>
      </c>
      <c r="E9253" s="1"/>
      <c r="F9253" s="39">
        <f t="shared" si="1482"/>
        <v>448</v>
      </c>
      <c r="G9253" s="168">
        <f>SUM(C9253,C9229,C9205,C9181,C9157,C9133,C9109,C9085,C9061,C9037,C9013,C8989,C8965,C8941)/POBLA!$B$12*100000</f>
        <v>86.651369269511179</v>
      </c>
      <c r="H9253" s="256">
        <f t="shared" si="1478"/>
        <v>1.0524691358024691</v>
      </c>
      <c r="I9253" s="297">
        <f t="shared" si="1480"/>
        <v>91.197891731183063</v>
      </c>
      <c r="J9253" s="297">
        <f t="shared" si="1481"/>
        <v>24.142857142857142</v>
      </c>
      <c r="K9253" s="297">
        <f>J9253/POBLA!$B$12*100000</f>
        <v>6.1349314648292363</v>
      </c>
      <c r="L9253" s="549">
        <f t="shared" si="1479"/>
        <v>1.744186046511631E-2</v>
      </c>
      <c r="M9253" s="401">
        <f>SUM(C9253,C9229,C9205,C9181,C9157,C9133,C9109)/POBLA!$B$12*100000</f>
        <v>42.944520253804654</v>
      </c>
    </row>
    <row r="9254" spans="1:13" s="360" customFormat="1" x14ac:dyDescent="0.25">
      <c r="A9254" s="367" t="s">
        <v>17</v>
      </c>
      <c r="B9254" s="267">
        <v>44278</v>
      </c>
      <c r="C9254" s="17">
        <v>252</v>
      </c>
      <c r="D9254" s="39">
        <f t="shared" si="1467"/>
        <v>70826</v>
      </c>
      <c r="E9254" s="1">
        <v>3</v>
      </c>
      <c r="F9254" s="39">
        <f t="shared" si="1482"/>
        <v>1491</v>
      </c>
      <c r="G9254" s="168">
        <f>SUM(C9254,C9230,C9206,C9182,C9158,C9134,C9110,C9086,C9062,C9038,C9014,C8990,C8966,C8942)/POBLA!$B$13*100000</f>
        <v>113.90025211798196</v>
      </c>
      <c r="H9254" s="256">
        <f t="shared" si="1478"/>
        <v>1.1239464551313831</v>
      </c>
      <c r="I9254" s="297">
        <f t="shared" si="1480"/>
        <v>128.01778460657664</v>
      </c>
      <c r="J9254" s="297">
        <f t="shared" si="1481"/>
        <v>166.85714285714286</v>
      </c>
      <c r="K9254" s="297">
        <f>J9254/POBLA!$B$13*100000</f>
        <v>8.3833571412063108</v>
      </c>
      <c r="L9254" s="549">
        <f t="shared" si="1479"/>
        <v>-6.2784349408553153E-2</v>
      </c>
      <c r="M9254" s="401">
        <f>SUM(C9254,C9230,C9206,C9182,C9158,C9134,C9110)/POBLA!$B$13*100000</f>
        <v>58.683499988444176</v>
      </c>
    </row>
    <row r="9255" spans="1:13" s="360" customFormat="1" x14ac:dyDescent="0.25">
      <c r="A9255" s="367" t="s">
        <v>23</v>
      </c>
      <c r="B9255" s="267">
        <v>44278</v>
      </c>
      <c r="C9255" s="17">
        <v>124</v>
      </c>
      <c r="D9255" s="39">
        <f t="shared" si="1467"/>
        <v>11026</v>
      </c>
      <c r="E9255" s="1">
        <v>2</v>
      </c>
      <c r="F9255" s="39">
        <f t="shared" si="1482"/>
        <v>190</v>
      </c>
      <c r="G9255" s="168">
        <f>SUM(C9255,C9231,C9207,C9183,C9159,C9135,C9111,C9087,C9063,C9039,C9015,C8991,C8967,C8943)/POBLA!$B$14*100000</f>
        <v>132.56227334784754</v>
      </c>
      <c r="H9255" s="256">
        <f t="shared" si="1478"/>
        <v>1.0226299694189602</v>
      </c>
      <c r="I9255" s="297">
        <f t="shared" si="1480"/>
        <v>135.56215353981716</v>
      </c>
      <c r="J9255" s="297">
        <f t="shared" si="1481"/>
        <v>119.57142857142857</v>
      </c>
      <c r="K9255" s="297">
        <f>J9255/POBLA!$B$14*100000</f>
        <v>9.4800600471760408</v>
      </c>
      <c r="L9255" s="549">
        <f t="shared" si="1479"/>
        <v>-2.3952095808383866E-3</v>
      </c>
      <c r="M9255" s="401">
        <f>SUM(C9255,C9231,C9207,C9183,C9159,C9135,C9111)/POBLA!$B$14*100000</f>
        <v>66.360420330232287</v>
      </c>
    </row>
    <row r="9256" spans="1:13" s="360" customFormat="1" x14ac:dyDescent="0.25">
      <c r="A9256" s="367" t="s">
        <v>19</v>
      </c>
      <c r="B9256" s="267">
        <v>44278</v>
      </c>
      <c r="C9256" s="17">
        <v>143</v>
      </c>
      <c r="D9256" s="39">
        <f t="shared" si="1467"/>
        <v>64338</v>
      </c>
      <c r="E9256" s="1">
        <v>3</v>
      </c>
      <c r="F9256" s="39">
        <f t="shared" si="1482"/>
        <v>982</v>
      </c>
      <c r="G9256" s="168">
        <f>SUM(C9256,C9232,C9208,C9184,C9160,C9136,C9112,C9088,C9064,C9040,C9016,C8992,C8968,C8944)/POBLA!$B$15*100000</f>
        <v>264.88689976914634</v>
      </c>
      <c r="H9256" s="256">
        <f t="shared" si="1478"/>
        <v>0.79954545454545456</v>
      </c>
      <c r="I9256" s="297">
        <f t="shared" si="1480"/>
        <v>211.78911667905837</v>
      </c>
      <c r="J9256" s="297">
        <f t="shared" si="1481"/>
        <v>125.14285714285714</v>
      </c>
      <c r="K9256" s="297">
        <f>J9256/POBLA!$B$15*100000</f>
        <v>18.845198099388625</v>
      </c>
      <c r="L9256" s="549">
        <f t="shared" si="1479"/>
        <v>7.9275198187995777E-3</v>
      </c>
      <c r="M9256" s="401">
        <f>SUM(C9256,C9232,C9208,C9184,C9160,C9136,C9112)/POBLA!$B$15*100000</f>
        <v>131.91638669572038</v>
      </c>
    </row>
    <row r="9257" spans="1:13" s="360" customFormat="1" x14ac:dyDescent="0.25">
      <c r="A9257" s="367" t="s">
        <v>18</v>
      </c>
      <c r="B9257" s="267">
        <v>44278</v>
      </c>
      <c r="C9257" s="17">
        <v>116</v>
      </c>
      <c r="D9257" s="39">
        <f t="shared" si="1467"/>
        <v>54617</v>
      </c>
      <c r="E9257" s="1">
        <v>7</v>
      </c>
      <c r="F9257" s="39">
        <f t="shared" si="1482"/>
        <v>1264</v>
      </c>
      <c r="G9257" s="168">
        <f>SUM(C9257,C9233,C9209,C9185,C9161,C9137,C9113,C9089,C9065,C9041,C9017,C8993,C8969,C8945)/POBLA!$B$16*100000</f>
        <v>167.19947566244431</v>
      </c>
      <c r="H9257" s="256">
        <f t="shared" si="1478"/>
        <v>0.76970443349753692</v>
      </c>
      <c r="I9257" s="297">
        <f t="shared" si="1480"/>
        <v>128.69417769584692</v>
      </c>
      <c r="J9257" s="297">
        <f t="shared" si="1481"/>
        <v>88.714285714285708</v>
      </c>
      <c r="K9257" s="297">
        <f>J9257/POBLA!$B$16*100000</f>
        <v>11.866385644157477</v>
      </c>
      <c r="L9257" s="549">
        <f t="shared" si="1479"/>
        <v>1.2718600953895098E-2</v>
      </c>
      <c r="M9257" s="401">
        <f>SUM(C9257,C9233,C9209,C9185,C9161,C9137,C9113)/POBLA!$B$16*100000</f>
        <v>83.06469950910234</v>
      </c>
    </row>
    <row r="9258" spans="1:13" s="360" customFormat="1" x14ac:dyDescent="0.25">
      <c r="A9258" s="367" t="s">
        <v>34</v>
      </c>
      <c r="B9258" s="267">
        <v>44278</v>
      </c>
      <c r="C9258" s="17">
        <v>132</v>
      </c>
      <c r="D9258" s="39">
        <f t="shared" ref="D9258:D9265" si="1483">C9258+D9234</f>
        <v>28527</v>
      </c>
      <c r="E9258" s="1">
        <v>8</v>
      </c>
      <c r="F9258" s="39">
        <f t="shared" si="1482"/>
        <v>1194</v>
      </c>
      <c r="G9258" s="168">
        <f>SUM(C9258,C9234,C9210,C9186,C9162,C9138,C9114,C9090,C9066,C9042,C9018,C8994,C8970,C8946)/POBLA!$B$17*100000</f>
        <v>104.7460785160317</v>
      </c>
      <c r="H9258" s="256">
        <f t="shared" si="1478"/>
        <v>1.0233196159122084</v>
      </c>
      <c r="I9258" s="297">
        <f t="shared" si="1480"/>
        <v>107.18871683533558</v>
      </c>
      <c r="J9258" s="297">
        <f t="shared" si="1481"/>
        <v>100.85714285714286</v>
      </c>
      <c r="K9258" s="297">
        <f>J9258/POBLA!$B$17*100000</f>
        <v>7.0806904856681712</v>
      </c>
      <c r="L9258" s="549">
        <f t="shared" si="1479"/>
        <v>0.10178117048346058</v>
      </c>
      <c r="M9258" s="401">
        <f>SUM(C9258,C9234,C9210,C9186,C9162,C9138,C9114)/POBLA!$B$17*100000</f>
        <v>49.564833399677198</v>
      </c>
    </row>
    <row r="9259" spans="1:13" s="360" customFormat="1" x14ac:dyDescent="0.25">
      <c r="A9259" s="367" t="s">
        <v>35</v>
      </c>
      <c r="B9259" s="267">
        <v>44278</v>
      </c>
      <c r="C9259" s="17">
        <v>92</v>
      </c>
      <c r="D9259" s="39">
        <f t="shared" si="1483"/>
        <v>16483</v>
      </c>
      <c r="E9259" s="1"/>
      <c r="F9259" s="39">
        <f t="shared" si="1482"/>
        <v>222</v>
      </c>
      <c r="G9259" s="168">
        <f>SUM(C9259,C9235,C9211,C9187,C9163,C9139,C9115,C9091,C9067,C9043,C9019,C8995,C8971,C8947)/POBLA!$B$18*100000</f>
        <v>103.30036340735033</v>
      </c>
      <c r="H9259" s="256">
        <f t="shared" si="1478"/>
        <v>1.3121951219512196</v>
      </c>
      <c r="I9259" s="297">
        <f t="shared" si="1480"/>
        <v>135.55023295891337</v>
      </c>
      <c r="J9259" s="297">
        <f t="shared" si="1481"/>
        <v>66.571428571428569</v>
      </c>
      <c r="K9259" s="297">
        <f>J9259/POBLA!$B$18*100000</f>
        <v>8.521502805421358</v>
      </c>
      <c r="L9259" s="549">
        <f t="shared" si="1479"/>
        <v>-0.36656891495601163</v>
      </c>
      <c r="M9259" s="401">
        <f>SUM(C9259,C9235,C9211,C9187,C9163,C9139,C9115)/POBLA!$B$18*100000</f>
        <v>59.6505196379495</v>
      </c>
    </row>
    <row r="9260" spans="1:13" s="360" customFormat="1" x14ac:dyDescent="0.25">
      <c r="A9260" s="367" t="s">
        <v>36</v>
      </c>
      <c r="B9260" s="267">
        <v>44278</v>
      </c>
      <c r="C9260" s="17">
        <v>1</v>
      </c>
      <c r="D9260" s="39">
        <f t="shared" si="1483"/>
        <v>21554</v>
      </c>
      <c r="E9260" s="1">
        <v>1</v>
      </c>
      <c r="F9260" s="39">
        <f t="shared" si="1482"/>
        <v>383</v>
      </c>
      <c r="G9260" s="168">
        <f>SUM(C9260,C9236,C9212,C9188,C9164,C9140,C9116,C9092,C9068,C9044,C9020,C8996,C8972,C8948)/POBLA!$B$19*100000</f>
        <v>146.16546796556554</v>
      </c>
      <c r="H9260" s="256">
        <f t="shared" si="1478"/>
        <v>2.8798449612403099</v>
      </c>
      <c r="I9260" s="297">
        <f t="shared" si="1480"/>
        <v>420.93388642796583</v>
      </c>
      <c r="J9260" s="297">
        <f t="shared" si="1481"/>
        <v>4.8571428571428568</v>
      </c>
      <c r="K9260" s="297">
        <f>J9260/POBLA!$B$19*100000</f>
        <v>0.95551353794063221</v>
      </c>
      <c r="L9260" s="549">
        <f t="shared" si="1479"/>
        <v>0.95204513399153734</v>
      </c>
      <c r="M9260" s="401">
        <f>SUM(C9260,C9236,C9212,C9188,C9164,C9140,C9116)/POBLA!$B$19*100000</f>
        <v>6.6885947655844253</v>
      </c>
    </row>
    <row r="9261" spans="1:13" s="360" customFormat="1" x14ac:dyDescent="0.25">
      <c r="A9261" s="367" t="s">
        <v>37</v>
      </c>
      <c r="B9261" s="267">
        <v>44278</v>
      </c>
      <c r="C9261" s="17">
        <v>120</v>
      </c>
      <c r="D9261" s="39">
        <f t="shared" si="1483"/>
        <v>38408</v>
      </c>
      <c r="E9261" s="1"/>
      <c r="F9261" s="39">
        <f t="shared" si="1482"/>
        <v>624</v>
      </c>
      <c r="G9261" s="168">
        <f>SUM(C9261,C9237,C9213,C9189,C9165,C9141,C9117,C9093,C9069,C9045,C9021,C8997,C8973,C8949)/POBLA!$B$20*100000</f>
        <v>432.87083877953944</v>
      </c>
      <c r="H9261" s="256">
        <f t="shared" si="1478"/>
        <v>1.1347670250896058</v>
      </c>
      <c r="I9261" s="297">
        <f t="shared" si="1480"/>
        <v>491.20755396990035</v>
      </c>
      <c r="J9261" s="297">
        <f t="shared" si="1481"/>
        <v>119.14285714285714</v>
      </c>
      <c r="K9261" s="297">
        <f>J9261/POBLA!$B$20*100000</f>
        <v>32.579575809235251</v>
      </c>
      <c r="L9261" s="549">
        <f t="shared" si="1479"/>
        <v>-0.1134846461949266</v>
      </c>
      <c r="M9261" s="401">
        <f>SUM(C9261,C9237,C9213,C9189,C9165,C9141,C9117)/POBLA!$B$20*100000</f>
        <v>228.05703066464679</v>
      </c>
    </row>
    <row r="9262" spans="1:13" s="360" customFormat="1" x14ac:dyDescent="0.25">
      <c r="A9262" s="367" t="s">
        <v>22</v>
      </c>
      <c r="B9262" s="267">
        <v>44278</v>
      </c>
      <c r="C9262" s="17">
        <v>656</v>
      </c>
      <c r="D9262" s="39">
        <f t="shared" si="1483"/>
        <v>226571</v>
      </c>
      <c r="E9262" s="1">
        <v>2</v>
      </c>
      <c r="F9262" s="39">
        <f t="shared" si="1482"/>
        <v>4207</v>
      </c>
      <c r="G9262" s="168">
        <f>SUM(C9262,C9238,C9214,C9190,C9166,C9142,C9118,C9094,C9070,C9046,C9022,C8998,C8974,C8950)/POBLA!$B$21*100000</f>
        <v>183.9431877114074</v>
      </c>
      <c r="H9262" s="256">
        <f t="shared" si="1478"/>
        <v>1.2310749432248296</v>
      </c>
      <c r="I9262" s="297">
        <f t="shared" si="1480"/>
        <v>226.44784936841504</v>
      </c>
      <c r="J9262" s="297">
        <f t="shared" si="1481"/>
        <v>477.28571428571428</v>
      </c>
      <c r="K9262" s="297">
        <f>J9262/POBLA!$B$21*100000</f>
        <v>13.496303725569611</v>
      </c>
      <c r="L9262" s="549">
        <f t="shared" si="1479"/>
        <v>-5.5941845764854614E-2</v>
      </c>
      <c r="M9262" s="401">
        <f>SUM(C9262,C9238,C9214,C9190,C9166,C9142,C9118)/POBLA!$B$21*100000</f>
        <v>94.474126078987268</v>
      </c>
    </row>
    <row r="9263" spans="1:13" s="360" customFormat="1" x14ac:dyDescent="0.25">
      <c r="A9263" s="367" t="s">
        <v>38</v>
      </c>
      <c r="B9263" s="267">
        <v>44278</v>
      </c>
      <c r="C9263" s="17">
        <v>54</v>
      </c>
      <c r="D9263" s="39">
        <f t="shared" si="1483"/>
        <v>24236</v>
      </c>
      <c r="E9263" s="1">
        <v>4</v>
      </c>
      <c r="F9263" s="39">
        <f t="shared" si="1482"/>
        <v>282</v>
      </c>
      <c r="G9263" s="168">
        <f>SUM(C9263,C9239,C9215,C9191,C9167,C9143,C9119,C9095,C9071,C9047,C9023,C8999,C8975,C8951)/POBLA!$B$22*100000</f>
        <v>113.56283725147269</v>
      </c>
      <c r="H9263" s="256">
        <f t="shared" si="1478"/>
        <v>1.3070588235294118</v>
      </c>
      <c r="I9263" s="297">
        <f t="shared" si="1480"/>
        <v>148.43330845457194</v>
      </c>
      <c r="J9263" s="297">
        <f t="shared" si="1481"/>
        <v>89.857142857142861</v>
      </c>
      <c r="K9263" s="297">
        <f>J9263/POBLA!$B$22*100000</f>
        <v>9.1849073718884302</v>
      </c>
      <c r="L9263" s="549">
        <f t="shared" si="1479"/>
        <v>-0.30497925311203322</v>
      </c>
      <c r="M9263" s="401">
        <f>SUM(C9263,C9239,C9215,C9191,C9167,C9143,C9119)/POBLA!$B$22*100000</f>
        <v>64.294351603218999</v>
      </c>
    </row>
    <row r="9264" spans="1:13" s="360" customFormat="1" x14ac:dyDescent="0.25">
      <c r="A9264" s="367" t="s">
        <v>39</v>
      </c>
      <c r="B9264" s="267">
        <v>44278</v>
      </c>
      <c r="C9264" s="17">
        <v>42</v>
      </c>
      <c r="D9264" s="39">
        <f t="shared" si="1483"/>
        <v>23662</v>
      </c>
      <c r="E9264" s="1">
        <v>3</v>
      </c>
      <c r="F9264" s="39">
        <f t="shared" si="1482"/>
        <v>361</v>
      </c>
      <c r="G9264" s="168">
        <f>SUM(C9264,C9240,C9216,C9192,C9168,C9144,C9120,C9096,C9072,C9048,C9024,C9000,C8976,C8952)/POBLA!$B$23*100000</f>
        <v>238.08177345473052</v>
      </c>
      <c r="H9264" s="256">
        <f t="shared" si="1478"/>
        <v>0.94394618834080712</v>
      </c>
      <c r="I9264" s="297">
        <f t="shared" si="1480"/>
        <v>224.73638256601242</v>
      </c>
      <c r="J9264" s="297">
        <f t="shared" si="1481"/>
        <v>35.142857142857146</v>
      </c>
      <c r="K9264" s="297">
        <f>J9264/POBLA!$B$23*100000</f>
        <v>19.873809389163121</v>
      </c>
      <c r="L9264" s="549">
        <f t="shared" si="1479"/>
        <v>-0.40571428571428569</v>
      </c>
      <c r="M9264" s="401">
        <f>SUM(C9264,C9240,C9216,C9192,C9168,C9144,C9120)/POBLA!$B$23*100000</f>
        <v>139.11666572414182</v>
      </c>
    </row>
    <row r="9265" spans="1:13" s="360" customFormat="1" ht="15.75" thickBot="1" x14ac:dyDescent="0.3">
      <c r="A9265" s="369" t="s">
        <v>40</v>
      </c>
      <c r="B9265" s="267">
        <v>44278</v>
      </c>
      <c r="C9265" s="17">
        <v>441</v>
      </c>
      <c r="D9265" s="176">
        <f t="shared" si="1483"/>
        <v>84678</v>
      </c>
      <c r="E9265" s="1"/>
      <c r="F9265" s="176">
        <f t="shared" si="1482"/>
        <v>1498</v>
      </c>
      <c r="G9265" s="177">
        <f>SUM(C9265,C9241,C9217,C9193,C9169,C9145,C9121,C9097,C9073,C9049,C9025,C9001,C8977,C8953)/POBLA!$B$24*100000</f>
        <v>208.36087087880961</v>
      </c>
      <c r="H9265" s="402">
        <f t="shared" si="1478"/>
        <v>1.6878585086042066</v>
      </c>
      <c r="I9265" s="403">
        <f t="shared" si="1480"/>
        <v>351.68366877298126</v>
      </c>
      <c r="J9265" s="403">
        <f t="shared" si="1481"/>
        <v>285</v>
      </c>
      <c r="K9265" s="403">
        <f>J9265/POBLA!$B$24*100000</f>
        <v>16.817572415876732</v>
      </c>
      <c r="L9265" s="550">
        <f t="shared" si="1479"/>
        <v>-0.298828125</v>
      </c>
      <c r="M9265" s="405">
        <f>SUM(C9265,C9241,C9217,C9193,C9169,C9145,C9121)/POBLA!$B$24*100000</f>
        <v>117.72300691113712</v>
      </c>
    </row>
    <row r="9266" spans="1:13" s="360" customFormat="1" x14ac:dyDescent="0.25">
      <c r="A9266" s="363" t="s">
        <v>16</v>
      </c>
      <c r="B9266" s="267">
        <v>44279</v>
      </c>
      <c r="C9266" s="17">
        <v>3902</v>
      </c>
      <c r="D9266" s="174">
        <f t="shared" ref="D9266:D9329" si="1484">C9266+D9242</f>
        <v>950138</v>
      </c>
      <c r="E9266" s="1">
        <v>102</v>
      </c>
      <c r="F9266" s="174">
        <f t="shared" ref="F9266:F9329" si="1485">E9266+F9242</f>
        <v>27694</v>
      </c>
      <c r="G9266" s="175">
        <f>SUM(C9266,C9242,C9218,C9194,C9170,C9146,C9122,C9098,C9074,C9050,C9026,C9002,C8978,C8954)/POBLA!$B$1*100000</f>
        <v>249.56187285650344</v>
      </c>
      <c r="H9266" s="300">
        <f t="shared" ref="H9266:H9289" si="1486">SUM(C9266,C9242,C9218,C9194,C9170,C9146,C9122,C9098,C9074,C9050,C9026,C9002,C8978,C8954)/SUM(C8930,C8906,C8882,C8858,C8834,C8810,C8786,C8762,C8738,C8714,C8690,C8666,C8642,C8618)</f>
        <v>1.2300775542317635</v>
      </c>
      <c r="I9266" s="301">
        <f>G9266*H9266</f>
        <v>306.98045819282606</v>
      </c>
      <c r="J9266" s="301">
        <f>AVERAGE(C9266,C9242,C9218,C9194,C9170,C9146,C9122)</f>
        <v>3267.1428571428573</v>
      </c>
      <c r="K9266" s="301">
        <f>J9266/POBLA!$B$1*100000</f>
        <v>18.625600564654587</v>
      </c>
      <c r="L9266" s="548">
        <f t="shared" ref="L9266:L9289" si="1487">1-SUM(C9266,C9242,C9218,C9194,C9170,C9146,C9122)/SUM(C9098,C9074,C9050,C9026,C9002,C8978,C8954)</f>
        <v>-9.3944322204151831E-2</v>
      </c>
      <c r="M9266" s="400">
        <f>SUM(C9266,C9242,C9218,C9194,C9170,C9146,C9122)/POBLA!$B$1*100000</f>
        <v>130.37920395258209</v>
      </c>
    </row>
    <row r="9267" spans="1:13" s="360" customFormat="1" x14ac:dyDescent="0.25">
      <c r="A9267" s="367" t="s">
        <v>43</v>
      </c>
      <c r="B9267" s="267">
        <v>44279</v>
      </c>
      <c r="C9267" s="17">
        <v>904</v>
      </c>
      <c r="D9267" s="39">
        <f t="shared" si="1484"/>
        <v>251182</v>
      </c>
      <c r="E9267" s="1">
        <v>3</v>
      </c>
      <c r="F9267" s="39">
        <f t="shared" si="1485"/>
        <v>6809</v>
      </c>
      <c r="G9267" s="168">
        <f>SUM(C9267,C9243,C9219,C9195,C9171,C9147,C9123,C9099,C9075,C9051,C9027,C9003,C8979,C8955)/POBLA!$B$2*100000</f>
        <v>397.70506748826102</v>
      </c>
      <c r="H9267" s="256">
        <f t="shared" si="1486"/>
        <v>1.2782944926324591</v>
      </c>
      <c r="I9267" s="297">
        <f t="shared" ref="I9267:I9289" si="1488">G9267*H9267</f>
        <v>508.38419746226452</v>
      </c>
      <c r="J9267" s="297">
        <f t="shared" ref="J9267:J9289" si="1489">AVERAGE(C9267,C9243,C9219,C9195,C9171,C9147,C9123)</f>
        <v>892</v>
      </c>
      <c r="K9267" s="297">
        <f>J9267/POBLA!$B$2*100000</f>
        <v>29.00203729557953</v>
      </c>
      <c r="L9267" s="549">
        <f t="shared" si="1487"/>
        <v>-4.2752171008684003E-2</v>
      </c>
      <c r="M9267" s="401">
        <f>SUM(C9267,C9243,C9219,C9195,C9171,C9147,C9123)/POBLA!$B$2*100000</f>
        <v>203.01426106905672</v>
      </c>
    </row>
    <row r="9268" spans="1:13" s="360" customFormat="1" x14ac:dyDescent="0.25">
      <c r="A9268" s="367" t="s">
        <v>28</v>
      </c>
      <c r="B9268" s="267">
        <v>44279</v>
      </c>
      <c r="C9268" s="17">
        <v>70</v>
      </c>
      <c r="D9268" s="39">
        <f t="shared" si="1484"/>
        <v>9914</v>
      </c>
      <c r="E9268" s="1"/>
      <c r="F9268" s="39">
        <f t="shared" si="1485"/>
        <v>18</v>
      </c>
      <c r="G9268" s="168">
        <f>SUM(C9268,C9244,C9220,C9196,C9172,C9148,C9124,C9100,C9076,C9052,C9028,C9004,C8980,C8956)/POBLA!$B$3*100000</f>
        <v>294.62880140959663</v>
      </c>
      <c r="H9268" s="256">
        <f t="shared" si="1486"/>
        <v>1.0390492359932089</v>
      </c>
      <c r="I9268" s="297">
        <f t="shared" si="1488"/>
        <v>306.13383100623622</v>
      </c>
      <c r="J9268" s="297">
        <f t="shared" si="1489"/>
        <v>79.428571428571431</v>
      </c>
      <c r="K9268" s="297">
        <f>J9268/POBLA!$B$3*100000</f>
        <v>19.119235945814161</v>
      </c>
      <c r="L9268" s="549">
        <f t="shared" si="1487"/>
        <v>0.16766467065868262</v>
      </c>
      <c r="M9268" s="401">
        <f>SUM(C9268,C9244,C9220,C9196,C9172,C9148,C9124)/POBLA!$B$3*100000</f>
        <v>133.83465162069913</v>
      </c>
    </row>
    <row r="9269" spans="1:13" s="360" customFormat="1" x14ac:dyDescent="0.25">
      <c r="A9269" s="367" t="s">
        <v>15</v>
      </c>
      <c r="B9269" s="267">
        <v>44279</v>
      </c>
      <c r="C9269" s="17">
        <v>180</v>
      </c>
      <c r="D9269" s="39">
        <f t="shared" si="1484"/>
        <v>37375</v>
      </c>
      <c r="E9269" s="1">
        <v>2</v>
      </c>
      <c r="F9269" s="39">
        <f t="shared" si="1485"/>
        <v>914</v>
      </c>
      <c r="G9269" s="168">
        <f>SUM(C9269,C9245,C9221,C9197,C9173,C9149,C9125,C9101,C9077,C9053,C9029,C9005,C8981,C8957)/POBLA!$B$4*100000</f>
        <v>162.38550618036248</v>
      </c>
      <c r="H9269" s="256">
        <f t="shared" si="1486"/>
        <v>1.1228473019517795</v>
      </c>
      <c r="I9269" s="297">
        <f t="shared" si="1488"/>
        <v>182.33412749069404</v>
      </c>
      <c r="J9269" s="297">
        <f t="shared" si="1489"/>
        <v>150</v>
      </c>
      <c r="K9269" s="297">
        <f>J9269/POBLA!$B$4*100000</f>
        <v>12.452876240825344</v>
      </c>
      <c r="L9269" s="549">
        <f t="shared" si="1487"/>
        <v>-0.1589403973509933</v>
      </c>
      <c r="M9269" s="401">
        <f>SUM(C9269,C9245,C9221,C9197,C9173,C9149,C9125)/POBLA!$B$4*100000</f>
        <v>87.170133685777401</v>
      </c>
    </row>
    <row r="9270" spans="1:13" s="360" customFormat="1" x14ac:dyDescent="0.25">
      <c r="A9270" s="367" t="s">
        <v>29</v>
      </c>
      <c r="B9270" s="267">
        <v>44279</v>
      </c>
      <c r="C9270" s="17">
        <v>101</v>
      </c>
      <c r="D9270" s="39">
        <f t="shared" si="1484"/>
        <v>49119</v>
      </c>
      <c r="E9270" s="1"/>
      <c r="F9270" s="39">
        <f t="shared" si="1485"/>
        <v>845</v>
      </c>
      <c r="G9270" s="168">
        <f>SUM(C9270,C9246,C9222,C9198,C9174,C9150,C9126,C9102,C9078,C9054,C9030,C9006,C8982,C8958)/POBLA!$B$5*100000</f>
        <v>211.95682025997021</v>
      </c>
      <c r="H9270" s="256">
        <f t="shared" si="1486"/>
        <v>1.0798353909465022</v>
      </c>
      <c r="I9270" s="297">
        <f t="shared" si="1488"/>
        <v>228.87847586920242</v>
      </c>
      <c r="J9270" s="297">
        <f t="shared" si="1489"/>
        <v>91.714285714285708</v>
      </c>
      <c r="K9270" s="297">
        <f>J9270/POBLA!$B$5*100000</f>
        <v>14.816667966779276</v>
      </c>
      <c r="L9270" s="549">
        <f t="shared" si="1487"/>
        <v>4.179104477611939E-2</v>
      </c>
      <c r="M9270" s="401">
        <f>SUM(C9270,C9246,C9222,C9198,C9174,C9150,C9126)/POBLA!$B$5*100000</f>
        <v>103.71667576745493</v>
      </c>
    </row>
    <row r="9271" spans="1:13" s="360" customFormat="1" x14ac:dyDescent="0.25">
      <c r="A9271" s="367" t="s">
        <v>30</v>
      </c>
      <c r="B9271" s="267">
        <v>44279</v>
      </c>
      <c r="C9271" s="17">
        <v>344</v>
      </c>
      <c r="D9271" s="39">
        <f t="shared" si="1484"/>
        <v>27094</v>
      </c>
      <c r="E9271" s="1">
        <v>1</v>
      </c>
      <c r="F9271" s="39">
        <f t="shared" si="1485"/>
        <v>319</v>
      </c>
      <c r="G9271" s="168">
        <f>SUM(C9271,C9247,C9223,C9199,C9175,C9151,C9127,C9103,C9079,C9055,C9031,C9007,C8983,C8959)/POBLA!$B$6*100000</f>
        <v>279.79989311215814</v>
      </c>
      <c r="H9271" s="256">
        <f t="shared" si="1486"/>
        <v>1.1833962264150943</v>
      </c>
      <c r="I9271" s="297">
        <f t="shared" si="1488"/>
        <v>331.11413766027471</v>
      </c>
      <c r="J9271" s="297">
        <f t="shared" si="1489"/>
        <v>233.28571428571428</v>
      </c>
      <c r="K9271" s="297">
        <f>J9271/POBLA!$B$6*100000</f>
        <v>20.8141957658598</v>
      </c>
      <c r="L9271" s="549">
        <f t="shared" si="1487"/>
        <v>-8.6493679308050631E-2</v>
      </c>
      <c r="M9271" s="401">
        <f>SUM(C9271,C9247,C9223,C9199,C9175,C9151,C9127)/POBLA!$B$6*100000</f>
        <v>145.69937036101859</v>
      </c>
    </row>
    <row r="9272" spans="1:13" s="360" customFormat="1" x14ac:dyDescent="0.25">
      <c r="A9272" s="367" t="s">
        <v>20</v>
      </c>
      <c r="B9272" s="267">
        <v>44279</v>
      </c>
      <c r="C9272" s="17">
        <v>769</v>
      </c>
      <c r="D9272" s="39">
        <f t="shared" si="1484"/>
        <v>174397</v>
      </c>
      <c r="E9272" s="1">
        <v>6</v>
      </c>
      <c r="F9272" s="39">
        <f t="shared" si="1485"/>
        <v>2990</v>
      </c>
      <c r="G9272" s="168">
        <f>SUM(C9272,C9248,C9224,C9200,C9176,C9152,C9128,C9104,C9080,C9056,C9032,C9008,C8984,C8960)/POBLA!$B$7*100000</f>
        <v>231.80736348043453</v>
      </c>
      <c r="H9272" s="256">
        <f t="shared" si="1486"/>
        <v>1.0681289057713514</v>
      </c>
      <c r="I9272" s="297">
        <f t="shared" si="1488"/>
        <v>247.60014550409846</v>
      </c>
      <c r="J9272" s="297">
        <f t="shared" si="1489"/>
        <v>649.28571428571433</v>
      </c>
      <c r="K9272" s="297">
        <f>J9272/POBLA!$B$7*100000</f>
        <v>17.266170652068617</v>
      </c>
      <c r="L9272" s="549">
        <f t="shared" si="1487"/>
        <v>-8.9405560882070967E-2</v>
      </c>
      <c r="M9272" s="401">
        <f>SUM(C9272,C9248,C9224,C9200,C9176,C9152,C9128)/POBLA!$B$7*100000</f>
        <v>120.86319456448031</v>
      </c>
    </row>
    <row r="9273" spans="1:13" x14ac:dyDescent="0.25">
      <c r="A9273" s="367" t="s">
        <v>31</v>
      </c>
      <c r="B9273" s="267">
        <v>44279</v>
      </c>
      <c r="C9273" s="17">
        <v>127</v>
      </c>
      <c r="D9273" s="39">
        <f t="shared" si="1484"/>
        <v>48604</v>
      </c>
      <c r="F9273" s="39">
        <f t="shared" si="1485"/>
        <v>937</v>
      </c>
      <c r="G9273" s="168">
        <f>SUM(C9273,C9249,C9225,C9201,C9177,C9153,C9129,C9105,C9081,C9057,C9033,C9009,C8985,C8961)/POBLA!$B$8*100000</f>
        <v>158.30171267445476</v>
      </c>
      <c r="H9273" s="256">
        <f t="shared" si="1486"/>
        <v>1.3224834237492464</v>
      </c>
      <c r="I9273" s="297">
        <f t="shared" si="1488"/>
        <v>209.35139096308242</v>
      </c>
      <c r="J9273" s="297">
        <f t="shared" si="1489"/>
        <v>172.57142857142858</v>
      </c>
      <c r="K9273" s="297">
        <f>J9273/POBLA!$B$8*100000</f>
        <v>12.451391386296482</v>
      </c>
      <c r="L9273" s="549">
        <f t="shared" si="1487"/>
        <v>-0.22515212981744415</v>
      </c>
      <c r="M9273" s="401">
        <f>SUM(C9273,C9249,C9225,C9201,C9177,C9153,C9129)/POBLA!$B$8*100000</f>
        <v>87.159739704075363</v>
      </c>
    </row>
    <row r="9274" spans="1:13" s="360" customFormat="1" x14ac:dyDescent="0.25">
      <c r="A9274" s="367" t="s">
        <v>41</v>
      </c>
      <c r="B9274" s="267">
        <v>44279</v>
      </c>
      <c r="C9274" s="17">
        <v>20</v>
      </c>
      <c r="D9274" s="39">
        <f t="shared" si="1484"/>
        <v>1769</v>
      </c>
      <c r="E9274" s="1"/>
      <c r="F9274" s="39">
        <f t="shared" si="1485"/>
        <v>27</v>
      </c>
      <c r="G9274" s="168">
        <f>SUM(C9274,C9250,C9226,C9202,C9178,C9154,C9130,C9106,C9082,C9058,C9034,C9010,C8986,C8962)/POBLA!$B$9*100000</f>
        <v>56.345661631909159</v>
      </c>
      <c r="H9274" s="256">
        <f t="shared" si="1486"/>
        <v>1.3478260869565217</v>
      </c>
      <c r="I9274" s="297">
        <f t="shared" si="1488"/>
        <v>75.944152634312346</v>
      </c>
      <c r="J9274" s="297">
        <f t="shared" si="1489"/>
        <v>17.428571428571427</v>
      </c>
      <c r="K9274" s="297">
        <f>J9274/POBLA!$B$9*100000</f>
        <v>2.8798369162517456</v>
      </c>
      <c r="L9274" s="549">
        <f t="shared" si="1487"/>
        <v>0.44292237442922378</v>
      </c>
      <c r="M9274" s="401">
        <f>SUM(C9274,C9250,C9226,C9202,C9178,C9154,C9130)/POBLA!$B$9*100000</f>
        <v>20.158858413762221</v>
      </c>
    </row>
    <row r="9275" spans="1:13" s="360" customFormat="1" x14ac:dyDescent="0.25">
      <c r="A9275" s="367" t="s">
        <v>32</v>
      </c>
      <c r="B9275" s="267">
        <v>44279</v>
      </c>
      <c r="C9275" s="17">
        <v>23</v>
      </c>
      <c r="D9275" s="39">
        <f t="shared" si="1484"/>
        <v>22114</v>
      </c>
      <c r="E9275" s="1">
        <v>2</v>
      </c>
      <c r="F9275" s="39">
        <f t="shared" si="1485"/>
        <v>954</v>
      </c>
      <c r="G9275" s="168">
        <f>SUM(C9275,C9251,C9227,C9203,C9179,C9155,C9131,C9107,C9083,C9059,C9035,C9011,C8987,C8963)/POBLA!$B$10*100000</f>
        <v>86.783822665236272</v>
      </c>
      <c r="H9275" s="256">
        <f t="shared" si="1486"/>
        <v>0.63113207547169814</v>
      </c>
      <c r="I9275" s="297">
        <f t="shared" si="1488"/>
        <v>54.772054116078365</v>
      </c>
      <c r="J9275" s="297">
        <f t="shared" si="1489"/>
        <v>39.428571428571431</v>
      </c>
      <c r="K9275" s="297">
        <f>J9275/POBLA!$B$10*100000</f>
        <v>5.114741630494386</v>
      </c>
      <c r="L9275" s="549">
        <f t="shared" si="1487"/>
        <v>0.29770992366412219</v>
      </c>
      <c r="M9275" s="401">
        <f>SUM(C9275,C9251,C9227,C9203,C9179,C9155,C9131)/POBLA!$B$10*100000</f>
        <v>35.803191413460702</v>
      </c>
    </row>
    <row r="9276" spans="1:13" s="360" customFormat="1" x14ac:dyDescent="0.25">
      <c r="A9276" s="367" t="s">
        <v>33</v>
      </c>
      <c r="B9276" s="267">
        <v>44279</v>
      </c>
      <c r="C9276" s="17">
        <v>67</v>
      </c>
      <c r="D9276" s="39">
        <f t="shared" si="1484"/>
        <v>20717</v>
      </c>
      <c r="E9276" s="1"/>
      <c r="F9276" s="39">
        <f t="shared" si="1485"/>
        <v>312</v>
      </c>
      <c r="G9276" s="168">
        <f>SUM(C9276,C9252,C9228,C9204,C9180,C9156,C9132,C9108,C9084,C9060,C9036,C9012,C8988,C8964)/POBLA!$B$11*100000</f>
        <v>337.58523329650586</v>
      </c>
      <c r="H9276" s="256">
        <f t="shared" si="1486"/>
        <v>1.0151006711409396</v>
      </c>
      <c r="I9276" s="297">
        <f t="shared" si="1488"/>
        <v>342.68299688655378</v>
      </c>
      <c r="J9276" s="297">
        <f t="shared" si="1489"/>
        <v>69.857142857142861</v>
      </c>
      <c r="K9276" s="297">
        <f>J9276/POBLA!$B$11*100000</f>
        <v>19.489867660211495</v>
      </c>
      <c r="L9276" s="549">
        <f t="shared" si="1487"/>
        <v>0.32177531206657417</v>
      </c>
      <c r="M9276" s="401">
        <f>SUM(C9276,C9252,C9228,C9204,C9180,C9156,C9132)/POBLA!$B$11*100000</f>
        <v>136.42907362148046</v>
      </c>
    </row>
    <row r="9277" spans="1:13" s="360" customFormat="1" x14ac:dyDescent="0.25">
      <c r="A9277" s="367" t="s">
        <v>21</v>
      </c>
      <c r="B9277" s="267">
        <v>44279</v>
      </c>
      <c r="C9277" s="17">
        <v>25</v>
      </c>
      <c r="D9277" s="39">
        <f t="shared" si="1484"/>
        <v>10760</v>
      </c>
      <c r="E9277" s="1"/>
      <c r="F9277" s="39">
        <f t="shared" si="1485"/>
        <v>448</v>
      </c>
      <c r="G9277" s="168">
        <f>SUM(C9277,C9253,C9229,C9205,C9181,C9157,C9133,C9109,C9085,C9061,C9037,C9013,C8989,C8965)/POBLA!$B$12*100000</f>
        <v>86.143150094909927</v>
      </c>
      <c r="H9277" s="256">
        <f t="shared" si="1486"/>
        <v>1.1452702702702702</v>
      </c>
      <c r="I9277" s="297">
        <f t="shared" si="1488"/>
        <v>98.65718879112994</v>
      </c>
      <c r="J9277" s="297">
        <f t="shared" si="1489"/>
        <v>27.571428571428573</v>
      </c>
      <c r="K9277" s="297">
        <f>J9277/POBLA!$B$12*100000</f>
        <v>7.0061643355742165</v>
      </c>
      <c r="L9277" s="549">
        <f t="shared" si="1487"/>
        <v>-0.32191780821917804</v>
      </c>
      <c r="M9277" s="401">
        <f>SUM(C9277,C9253,C9229,C9205,C9181,C9157,C9133)/POBLA!$B$12*100000</f>
        <v>49.04315034901952</v>
      </c>
    </row>
    <row r="9278" spans="1:13" s="360" customFormat="1" x14ac:dyDescent="0.25">
      <c r="A9278" s="367" t="s">
        <v>17</v>
      </c>
      <c r="B9278" s="267">
        <v>44279</v>
      </c>
      <c r="C9278" s="17">
        <v>169</v>
      </c>
      <c r="D9278" s="39">
        <f t="shared" si="1484"/>
        <v>70995</v>
      </c>
      <c r="E9278" s="1">
        <v>1</v>
      </c>
      <c r="F9278" s="39">
        <f t="shared" si="1485"/>
        <v>1492</v>
      </c>
      <c r="G9278" s="168">
        <f>SUM(C9278,C9254,C9230,C9206,C9182,C9158,C9134,C9110,C9086,C9062,C9038,C9014,C8990,C8966)/POBLA!$B$13*100000</f>
        <v>109.93107703314713</v>
      </c>
      <c r="H9278" s="256">
        <f t="shared" si="1486"/>
        <v>1.0419047619047619</v>
      </c>
      <c r="I9278" s="297">
        <f t="shared" si="1488"/>
        <v>114.5377126421552</v>
      </c>
      <c r="J9278" s="297">
        <f t="shared" si="1489"/>
        <v>169.71428571428572</v>
      </c>
      <c r="K9278" s="297">
        <f>J9278/POBLA!$B$13*100000</f>
        <v>8.5269077771858708</v>
      </c>
      <c r="L9278" s="549">
        <f t="shared" si="1487"/>
        <v>-0.18799999999999994</v>
      </c>
      <c r="M9278" s="401">
        <f>SUM(C9278,C9254,C9230,C9206,C9182,C9158,C9134)/POBLA!$B$13*100000</f>
        <v>59.68835444030109</v>
      </c>
    </row>
    <row r="9279" spans="1:13" s="360" customFormat="1" x14ac:dyDescent="0.25">
      <c r="A9279" s="367" t="s">
        <v>23</v>
      </c>
      <c r="B9279" s="267">
        <v>44279</v>
      </c>
      <c r="C9279" s="17">
        <v>138</v>
      </c>
      <c r="D9279" s="39">
        <f t="shared" si="1484"/>
        <v>11164</v>
      </c>
      <c r="E9279" s="1"/>
      <c r="F9279" s="39">
        <f t="shared" si="1485"/>
        <v>190</v>
      </c>
      <c r="G9279" s="168">
        <f>SUM(C9279,C9255,C9231,C9207,C9183,C9159,C9135,C9111,C9087,C9063,C9039,C9015,C8991,C8967)/POBLA!$B$14*100000</f>
        <v>134.54436475556057</v>
      </c>
      <c r="H9279" s="256">
        <f t="shared" si="1486"/>
        <v>1.0385556915544676</v>
      </c>
      <c r="I9279" s="297">
        <f t="shared" si="1488"/>
        <v>139.73181578346774</v>
      </c>
      <c r="J9279" s="297">
        <f t="shared" si="1489"/>
        <v>119.14285714285714</v>
      </c>
      <c r="K9279" s="297">
        <f>J9279/POBLA!$B$14*100000</f>
        <v>9.4460813373295309</v>
      </c>
      <c r="L9279" s="549">
        <f t="shared" si="1487"/>
        <v>3.3603707995365051E-2</v>
      </c>
      <c r="M9279" s="401">
        <f>SUM(C9279,C9255,C9231,C9207,C9183,C9159,C9135)/POBLA!$B$14*100000</f>
        <v>66.122569361306731</v>
      </c>
    </row>
    <row r="9280" spans="1:13" s="360" customFormat="1" x14ac:dyDescent="0.25">
      <c r="A9280" s="367" t="s">
        <v>19</v>
      </c>
      <c r="B9280" s="267">
        <v>44279</v>
      </c>
      <c r="C9280" s="17">
        <v>132</v>
      </c>
      <c r="D9280" s="39">
        <f t="shared" si="1484"/>
        <v>64470</v>
      </c>
      <c r="E9280" s="1"/>
      <c r="F9280" s="39">
        <f t="shared" si="1485"/>
        <v>982</v>
      </c>
      <c r="G9280" s="168">
        <f>SUM(C9280,C9256,C9232,C9208,C9184,C9160,C9136,C9112,C9088,C9064,C9040,C9016,C8992,C8968)/POBLA!$B$15*100000</f>
        <v>261.12216270591227</v>
      </c>
      <c r="H9280" s="256">
        <f t="shared" si="1486"/>
        <v>0.82729007633587781</v>
      </c>
      <c r="I9280" s="297">
        <f t="shared" si="1488"/>
        <v>216.02377391796367</v>
      </c>
      <c r="J9280" s="297">
        <f t="shared" si="1489"/>
        <v>125.28571428571429</v>
      </c>
      <c r="K9280" s="297">
        <f>J9280/POBLA!$B$15*100000</f>
        <v>18.866710882607109</v>
      </c>
      <c r="L9280" s="549">
        <f t="shared" si="1487"/>
        <v>-2.3337222870478458E-2</v>
      </c>
      <c r="M9280" s="401">
        <f>SUM(C9280,C9256,C9232,C9208,C9184,C9160,C9136)/POBLA!$B$15*100000</f>
        <v>132.06697617824975</v>
      </c>
    </row>
    <row r="9281" spans="1:13" s="360" customFormat="1" x14ac:dyDescent="0.25">
      <c r="A9281" s="367" t="s">
        <v>18</v>
      </c>
      <c r="B9281" s="267">
        <v>44279</v>
      </c>
      <c r="C9281" s="17">
        <v>85</v>
      </c>
      <c r="D9281" s="39">
        <f t="shared" si="1484"/>
        <v>54702</v>
      </c>
      <c r="E9281" s="1">
        <v>1</v>
      </c>
      <c r="F9281" s="39">
        <f t="shared" si="1485"/>
        <v>1265</v>
      </c>
      <c r="G9281" s="168">
        <f>SUM(C9281,C9257,C9233,C9209,C9185,C9161,C9137,C9113,C9089,C9065,C9041,C9017,C8993,C8969)/POBLA!$B$16*100000</f>
        <v>159.04014125011705</v>
      </c>
      <c r="H9281" s="256">
        <f t="shared" si="1486"/>
        <v>0.74127182044887785</v>
      </c>
      <c r="I9281" s="297">
        <f t="shared" si="1488"/>
        <v>117.89197502892094</v>
      </c>
      <c r="J9281" s="297">
        <f t="shared" si="1489"/>
        <v>85.142857142857139</v>
      </c>
      <c r="K9281" s="297">
        <f>J9281/POBLA!$B$16*100000</f>
        <v>11.388672856550492</v>
      </c>
      <c r="L9281" s="549">
        <f t="shared" si="1487"/>
        <v>-5.0590219224282418E-3</v>
      </c>
      <c r="M9281" s="401">
        <f>SUM(C9281,C9257,C9233,C9209,C9185,C9161,C9137)/POBLA!$B$16*100000</f>
        <v>79.720709995853454</v>
      </c>
    </row>
    <row r="9282" spans="1:13" s="360" customFormat="1" x14ac:dyDescent="0.25">
      <c r="A9282" s="367" t="s">
        <v>34</v>
      </c>
      <c r="B9282" s="267">
        <v>44279</v>
      </c>
      <c r="C9282" s="17">
        <v>89</v>
      </c>
      <c r="D9282" s="39">
        <f t="shared" si="1484"/>
        <v>28616</v>
      </c>
      <c r="E9282" s="1"/>
      <c r="F9282" s="39">
        <f t="shared" si="1485"/>
        <v>1194</v>
      </c>
      <c r="G9282" s="168">
        <f>SUM(C9282,C9258,C9234,C9210,C9186,C9162,C9138,C9114,C9090,C9066,C9042,C9018,C8994,C8970)/POBLA!$B$17*100000</f>
        <v>98.638230774145129</v>
      </c>
      <c r="H9282" s="256">
        <f t="shared" si="1486"/>
        <v>0.9551325628823929</v>
      </c>
      <c r="I9282" s="297">
        <f t="shared" si="1488"/>
        <v>94.212586157494158</v>
      </c>
      <c r="J9282" s="297">
        <f t="shared" si="1489"/>
        <v>96</v>
      </c>
      <c r="K9282" s="297">
        <f>J9282/POBLA!$B$17*100000</f>
        <v>6.7396940600127628</v>
      </c>
      <c r="L9282" s="549">
        <f t="shared" si="1487"/>
        <v>8.3219645293315159E-2</v>
      </c>
      <c r="M9282" s="401">
        <f>SUM(C9282,C9258,C9234,C9210,C9186,C9162,C9138)/POBLA!$B$17*100000</f>
        <v>47.177858420089343</v>
      </c>
    </row>
    <row r="9283" spans="1:13" s="360" customFormat="1" x14ac:dyDescent="0.25">
      <c r="A9283" s="367" t="s">
        <v>35</v>
      </c>
      <c r="B9283" s="267">
        <v>44279</v>
      </c>
      <c r="C9283" s="17">
        <v>39</v>
      </c>
      <c r="D9283" s="39">
        <f t="shared" si="1484"/>
        <v>16522</v>
      </c>
      <c r="E9283" s="1"/>
      <c r="F9283" s="39">
        <f t="shared" si="1485"/>
        <v>222</v>
      </c>
      <c r="G9283" s="168">
        <f>SUM(C9283,C9259,C9235,C9211,C9187,C9163,C9139,C9115,C9091,C9067,C9043,C9019,C8995,C8971)/POBLA!$B$18*100000</f>
        <v>99.076184978053476</v>
      </c>
      <c r="H9283" s="256">
        <f t="shared" si="1486"/>
        <v>1.2751235584843492</v>
      </c>
      <c r="I9283" s="297">
        <f t="shared" si="1488"/>
        <v>126.33437755026917</v>
      </c>
      <c r="J9283" s="297">
        <f t="shared" si="1489"/>
        <v>61.571428571428569</v>
      </c>
      <c r="K9283" s="297">
        <f>J9283/POBLA!$B$18*100000</f>
        <v>7.8814757706794101</v>
      </c>
      <c r="L9283" s="549">
        <f t="shared" si="1487"/>
        <v>-0.2565597667638484</v>
      </c>
      <c r="M9283" s="401">
        <f>SUM(C9283,C9259,C9235,C9211,C9187,C9163,C9139)/POBLA!$B$18*100000</f>
        <v>55.170330394755872</v>
      </c>
    </row>
    <row r="9284" spans="1:13" s="360" customFormat="1" x14ac:dyDescent="0.25">
      <c r="A9284" s="367" t="s">
        <v>36</v>
      </c>
      <c r="B9284" s="267">
        <v>44279</v>
      </c>
      <c r="C9284" s="17">
        <v>1</v>
      </c>
      <c r="D9284" s="39">
        <f t="shared" si="1484"/>
        <v>21555</v>
      </c>
      <c r="E9284" s="1"/>
      <c r="F9284" s="39">
        <f t="shared" si="1485"/>
        <v>383</v>
      </c>
      <c r="G9284" s="168">
        <f>SUM(C9284,C9260,C9236,C9212,C9188,C9164,C9140,C9116,C9092,C9068,C9044,C9020,C8996,C8972)/POBLA!$B$19*100000</f>
        <v>145.96874459010718</v>
      </c>
      <c r="H9284" s="256">
        <f t="shared" si="1486"/>
        <v>3.2543859649122808</v>
      </c>
      <c r="I9284" s="297">
        <f t="shared" si="1488"/>
        <v>475.03863370991024</v>
      </c>
      <c r="J9284" s="297">
        <f t="shared" si="1489"/>
        <v>4.4285714285714288</v>
      </c>
      <c r="K9284" s="297">
        <f>J9284/POBLA!$B$19*100000</f>
        <v>0.87120351988704714</v>
      </c>
      <c r="L9284" s="549">
        <f t="shared" si="1487"/>
        <v>0.95639943741209565</v>
      </c>
      <c r="M9284" s="401">
        <f>SUM(C9284,C9260,C9236,C9212,C9188,C9164,C9140)/POBLA!$B$19*100000</f>
        <v>6.0984246392093295</v>
      </c>
    </row>
    <row r="9285" spans="1:13" s="360" customFormat="1" x14ac:dyDescent="0.25">
      <c r="A9285" s="367" t="s">
        <v>37</v>
      </c>
      <c r="B9285" s="267">
        <v>44279</v>
      </c>
      <c r="C9285" s="17">
        <v>117</v>
      </c>
      <c r="D9285" s="39">
        <f t="shared" si="1484"/>
        <v>38525</v>
      </c>
      <c r="E9285" s="1">
        <v>1</v>
      </c>
      <c r="F9285" s="39">
        <f t="shared" si="1485"/>
        <v>625</v>
      </c>
      <c r="G9285" s="168">
        <f>SUM(C9285,C9261,C9237,C9213,C9189,C9165,C9141,C9117,C9093,C9069,C9045,C9021,C8997,C8973)/POBLA!$B$20*100000</f>
        <v>427.12839556136487</v>
      </c>
      <c r="H9285" s="256">
        <f t="shared" si="1486"/>
        <v>1.1726726726726726</v>
      </c>
      <c r="I9285" s="297">
        <f t="shared" si="1488"/>
        <v>500.88179719733625</v>
      </c>
      <c r="J9285" s="297">
        <f t="shared" si="1489"/>
        <v>115.57142857142857</v>
      </c>
      <c r="K9285" s="297">
        <f>J9285/POBLA!$B$20*100000</f>
        <v>31.602969819749788</v>
      </c>
      <c r="L9285" s="549">
        <f t="shared" si="1487"/>
        <v>-7.4369189907038447E-2</v>
      </c>
      <c r="M9285" s="401">
        <f>SUM(C9285,C9261,C9237,C9213,C9189,C9165,C9141)/POBLA!$B$20*100000</f>
        <v>221.2207887382485</v>
      </c>
    </row>
    <row r="9286" spans="1:13" s="360" customFormat="1" x14ac:dyDescent="0.25">
      <c r="A9286" s="367" t="s">
        <v>22</v>
      </c>
      <c r="B9286" s="267">
        <v>44279</v>
      </c>
      <c r="C9286" s="17">
        <v>570</v>
      </c>
      <c r="D9286" s="39">
        <f t="shared" si="1484"/>
        <v>227141</v>
      </c>
      <c r="E9286" s="1">
        <v>2</v>
      </c>
      <c r="F9286" s="39">
        <f t="shared" si="1485"/>
        <v>4209</v>
      </c>
      <c r="G9286" s="168">
        <f>SUM(C9286,C9262,C9238,C9214,C9190,C9166,C9142,C9118,C9094,C9070,C9046,C9022,C8998,C8974)/POBLA!$B$21*100000</f>
        <v>185.66809692745599</v>
      </c>
      <c r="H9286" s="256">
        <f t="shared" si="1486"/>
        <v>1.2363020146864998</v>
      </c>
      <c r="I9286" s="297">
        <f t="shared" si="1488"/>
        <v>229.54184229442217</v>
      </c>
      <c r="J9286" s="297">
        <f t="shared" si="1489"/>
        <v>473.57142857142856</v>
      </c>
      <c r="K9286" s="297">
        <f>J9286/POBLA!$B$21*100000</f>
        <v>13.391274124592416</v>
      </c>
      <c r="L9286" s="549">
        <f t="shared" si="1487"/>
        <v>-1.9686250384497006E-2</v>
      </c>
      <c r="M9286" s="401">
        <f>SUM(C9286,C9262,C9238,C9214,C9190,C9166,C9142)/POBLA!$B$21*100000</f>
        <v>93.738918872146897</v>
      </c>
    </row>
    <row r="9287" spans="1:13" s="360" customFormat="1" x14ac:dyDescent="0.25">
      <c r="A9287" s="367" t="s">
        <v>38</v>
      </c>
      <c r="B9287" s="267">
        <v>44279</v>
      </c>
      <c r="C9287" s="17">
        <v>98</v>
      </c>
      <c r="D9287" s="39">
        <f t="shared" si="1484"/>
        <v>24334</v>
      </c>
      <c r="E9287" s="1">
        <v>1</v>
      </c>
      <c r="F9287" s="39">
        <f t="shared" si="1485"/>
        <v>283</v>
      </c>
      <c r="G9287" s="168">
        <f>SUM(C9287,C9263,C9239,C9215,C9191,C9167,C9143,C9119,C9095,C9071,C9047,C9023,C8999,C8975)/POBLA!$B$22*100000</f>
        <v>118.36702568605344</v>
      </c>
      <c r="H9287" s="256">
        <f t="shared" si="1486"/>
        <v>1.3851674641148326</v>
      </c>
      <c r="I9287" s="297">
        <f t="shared" si="1488"/>
        <v>163.95815280436588</v>
      </c>
      <c r="J9287" s="297">
        <f t="shared" si="1489"/>
        <v>88.428571428571431</v>
      </c>
      <c r="K9287" s="297">
        <f>J9287/POBLA!$B$22*100000</f>
        <v>9.0388834073115074</v>
      </c>
      <c r="L9287" s="549">
        <f t="shared" si="1487"/>
        <v>-0.14842300556586263</v>
      </c>
      <c r="M9287" s="401">
        <f>SUM(C9287,C9263,C9239,C9215,C9191,C9167,C9143)/POBLA!$B$22*100000</f>
        <v>63.27218385118055</v>
      </c>
    </row>
    <row r="9288" spans="1:13" s="360" customFormat="1" x14ac:dyDescent="0.25">
      <c r="A9288" s="367" t="s">
        <v>39</v>
      </c>
      <c r="B9288" s="267">
        <v>44279</v>
      </c>
      <c r="C9288" s="17">
        <v>62</v>
      </c>
      <c r="D9288" s="39">
        <f t="shared" si="1484"/>
        <v>23724</v>
      </c>
      <c r="E9288" s="1">
        <v>1</v>
      </c>
      <c r="F9288" s="39">
        <f t="shared" si="1485"/>
        <v>362</v>
      </c>
      <c r="G9288" s="168">
        <f>SUM(C9288,C9264,C9240,C9216,C9192,C9168,C9144,C9120,C9096,C9072,C9048,C9024,C9000,C8976)/POBLA!$B$23*100000</f>
        <v>264.66097381666009</v>
      </c>
      <c r="H9288" s="256">
        <f t="shared" si="1486"/>
        <v>1.1063829787234043</v>
      </c>
      <c r="I9288" s="297">
        <f t="shared" si="1488"/>
        <v>292.8163965631133</v>
      </c>
      <c r="J9288" s="297">
        <f t="shared" si="1489"/>
        <v>39.285714285714285</v>
      </c>
      <c r="K9288" s="297">
        <f>J9288/POBLA!$B$23*100000</f>
        <v>22.216656837479096</v>
      </c>
      <c r="L9288" s="549">
        <f t="shared" si="1487"/>
        <v>-0.42487046632124348</v>
      </c>
      <c r="M9288" s="401">
        <f>SUM(C9288,C9264,C9240,C9216,C9192,C9168,C9144)/POBLA!$B$23*100000</f>
        <v>155.51659786235368</v>
      </c>
    </row>
    <row r="9289" spans="1:13" s="360" customFormat="1" ht="15.75" thickBot="1" x14ac:dyDescent="0.3">
      <c r="A9289" s="369" t="s">
        <v>40</v>
      </c>
      <c r="B9289" s="267">
        <v>44279</v>
      </c>
      <c r="C9289" s="17">
        <v>268</v>
      </c>
      <c r="D9289" s="176">
        <f t="shared" si="1484"/>
        <v>84946</v>
      </c>
      <c r="E9289" s="1"/>
      <c r="F9289" s="176">
        <f t="shared" si="1485"/>
        <v>1498</v>
      </c>
      <c r="G9289" s="177">
        <f>SUM(C9289,C9265,C9241,C9217,C9193,C9169,C9145,C9121,C9097,C9073,C9049,C9025,C9001,C8977)/POBLA!$B$24*100000</f>
        <v>212.07843951810867</v>
      </c>
      <c r="H9289" s="402">
        <f t="shared" si="1486"/>
        <v>1.7295476419634264</v>
      </c>
      <c r="I9289" s="403">
        <f t="shared" si="1488"/>
        <v>366.79976497982796</v>
      </c>
      <c r="J9289" s="403">
        <f t="shared" si="1489"/>
        <v>282.42857142857144</v>
      </c>
      <c r="K9289" s="403">
        <f>J9289/POBLA!$B$24*100000</f>
        <v>16.665834920395142</v>
      </c>
      <c r="L9289" s="550">
        <f t="shared" si="1487"/>
        <v>-0.22263450834879417</v>
      </c>
      <c r="M9289" s="405">
        <f>SUM(C9289,C9265,C9241,C9217,C9193,C9169,C9145)/POBLA!$B$24*100000</f>
        <v>116.66084444276596</v>
      </c>
    </row>
    <row r="9290" spans="1:13" s="360" customFormat="1" x14ac:dyDescent="0.25">
      <c r="A9290" s="363" t="s">
        <v>16</v>
      </c>
      <c r="B9290" s="267">
        <v>44280</v>
      </c>
      <c r="C9290" s="17">
        <v>3702</v>
      </c>
      <c r="D9290" s="174">
        <f t="shared" si="1484"/>
        <v>953840</v>
      </c>
      <c r="E9290" s="1">
        <v>64</v>
      </c>
      <c r="F9290" s="174">
        <f t="shared" si="1485"/>
        <v>27758</v>
      </c>
      <c r="G9290" s="175">
        <f>SUM(C9290,C9266,C9242,C9218,C9194,C9170,C9146,C9122,C9098,C9074,C9050,C9026,C9002,C8978)/POBLA!$B$1*100000</f>
        <v>250.99849547985505</v>
      </c>
      <c r="H9290" s="300">
        <f t="shared" ref="H9290:H9329" si="1490">SUM(C9290,C9266,C9242,C9218,C9194,C9170,C9146,C9122,C9098,C9074,C9050,C9026,C9002,C8978)/SUM(C8954,C8930,C8906,C8882,C8858,C8834,C8810,C8786,C8762,C8738,C8714,C8690,C8666,C8642)</f>
        <v>1.2303822937625755</v>
      </c>
      <c r="I9290" s="301">
        <f>G9290*H9290</f>
        <v>308.82410459945947</v>
      </c>
      <c r="J9290" s="301">
        <f>AVERAGE(C9290,C9266,C9242,C9218,C9194,C9170,C9146)</f>
        <v>3284.1428571428573</v>
      </c>
      <c r="K9290" s="301">
        <f>J9290/POBLA!$B$1*100000</f>
        <v>18.722515582896559</v>
      </c>
      <c r="L9290" s="548">
        <f t="shared" ref="L9290:L9313" si="1491">1-SUM(C9290,C9266,C9242,C9218,C9194,C9170,C9146)/SUM(C9122,C9098,C9074,C9050,C9026,C9002,C8978)</f>
        <v>-9.2685013546271122E-2</v>
      </c>
      <c r="M9290" s="400">
        <f>SUM(C9290,C9266,C9242,C9218,C9194,C9170,C9146)/POBLA!$B$1*100000</f>
        <v>131.05760908027591</v>
      </c>
    </row>
    <row r="9291" spans="1:13" s="360" customFormat="1" x14ac:dyDescent="0.25">
      <c r="A9291" s="367" t="s">
        <v>43</v>
      </c>
      <c r="B9291" s="267">
        <v>44280</v>
      </c>
      <c r="C9291" s="17">
        <v>1398</v>
      </c>
      <c r="D9291" s="39">
        <f t="shared" si="1484"/>
        <v>252580</v>
      </c>
      <c r="E9291" s="1">
        <v>4</v>
      </c>
      <c r="F9291" s="39">
        <f t="shared" si="1485"/>
        <v>6813</v>
      </c>
      <c r="G9291" s="168">
        <f>SUM(C9291,C9267,C9243,C9219,C9195,C9171,C9147,C9123,C9099,C9075,C9051,C9027,C9003,C8979)/POBLA!$B$2*100000</f>
        <v>416.335299966251</v>
      </c>
      <c r="H9291" s="256">
        <f t="shared" si="1490"/>
        <v>1.3464773922187172</v>
      </c>
      <c r="I9291" s="297">
        <f t="shared" ref="I9291:I9313" si="1492">G9291*H9291</f>
        <v>560.58606898715504</v>
      </c>
      <c r="J9291" s="297">
        <f t="shared" ref="J9291:J9313" si="1493">AVERAGE(C9291,C9267,C9243,C9219,C9195,C9171,C9147)</f>
        <v>960.85714285714289</v>
      </c>
      <c r="K9291" s="297">
        <f>J9291/POBLA!$B$2*100000</f>
        <v>31.240823646711711</v>
      </c>
      <c r="L9291" s="549">
        <f t="shared" si="1491"/>
        <v>-0.10643197894390521</v>
      </c>
      <c r="M9291" s="401">
        <f>SUM(C9291,C9267,C9243,C9219,C9195,C9171,C9147)/POBLA!$B$2*100000</f>
        <v>218.68576552698198</v>
      </c>
    </row>
    <row r="9292" spans="1:13" s="360" customFormat="1" x14ac:dyDescent="0.25">
      <c r="A9292" s="367" t="s">
        <v>28</v>
      </c>
      <c r="B9292" s="267">
        <v>44280</v>
      </c>
      <c r="C9292" s="17">
        <v>83</v>
      </c>
      <c r="D9292" s="39">
        <f t="shared" si="1484"/>
        <v>9997</v>
      </c>
      <c r="E9292" s="1"/>
      <c r="F9292" s="39">
        <f t="shared" si="1485"/>
        <v>18</v>
      </c>
      <c r="G9292" s="168">
        <f>SUM(C9292,C9268,C9244,C9220,C9196,C9172,C9148,C9124,C9100,C9076,C9052,C9028,C9004,C8980)/POBLA!$B$3*100000</f>
        <v>295.3509308248162</v>
      </c>
      <c r="H9292" s="256">
        <f t="shared" si="1490"/>
        <v>1.0848806366047745</v>
      </c>
      <c r="I9292" s="297">
        <f t="shared" si="1492"/>
        <v>320.42050585503932</v>
      </c>
      <c r="J9292" s="297">
        <f t="shared" si="1493"/>
        <v>76.857142857142861</v>
      </c>
      <c r="K9292" s="297">
        <f>J9292/POBLA!$B$3*100000</f>
        <v>18.50026787562593</v>
      </c>
      <c r="L9292" s="549">
        <f t="shared" si="1491"/>
        <v>0.21915820029027577</v>
      </c>
      <c r="M9292" s="401">
        <f>SUM(C9292,C9268,C9244,C9220,C9196,C9172,C9148)/POBLA!$B$3*100000</f>
        <v>129.50187512938152</v>
      </c>
    </row>
    <row r="9293" spans="1:13" s="360" customFormat="1" x14ac:dyDescent="0.25">
      <c r="A9293" s="367" t="s">
        <v>15</v>
      </c>
      <c r="B9293" s="267">
        <v>44280</v>
      </c>
      <c r="C9293" s="17">
        <v>125</v>
      </c>
      <c r="D9293" s="39">
        <f t="shared" si="1484"/>
        <v>37500</v>
      </c>
      <c r="E9293" s="1">
        <v>1</v>
      </c>
      <c r="F9293" s="39">
        <f t="shared" si="1485"/>
        <v>915</v>
      </c>
      <c r="G9293" s="168">
        <f>SUM(C9293,C9269,C9245,C9221,C9197,C9173,C9149,C9125,C9101,C9077,C9053,C9029,C9005,C8981)/POBLA!$B$4*100000</f>
        <v>161.14021855627993</v>
      </c>
      <c r="H9293" s="256">
        <f t="shared" si="1490"/>
        <v>1.1364168618266979</v>
      </c>
      <c r="I9293" s="297">
        <f t="shared" si="1492"/>
        <v>183.12246148579587</v>
      </c>
      <c r="J9293" s="297">
        <f t="shared" si="1493"/>
        <v>142</v>
      </c>
      <c r="K9293" s="297">
        <f>J9293/POBLA!$B$4*100000</f>
        <v>11.788722841314659</v>
      </c>
      <c r="L9293" s="549">
        <f t="shared" si="1491"/>
        <v>-4.9630411826821597E-2</v>
      </c>
      <c r="M9293" s="401">
        <f>SUM(C9293,C9269,C9245,C9221,C9197,C9173,C9149)/POBLA!$B$4*100000</f>
        <v>82.521059889202604</v>
      </c>
    </row>
    <row r="9294" spans="1:13" s="360" customFormat="1" x14ac:dyDescent="0.25">
      <c r="A9294" s="367" t="s">
        <v>29</v>
      </c>
      <c r="B9294" s="267">
        <v>44280</v>
      </c>
      <c r="C9294" s="17">
        <v>129</v>
      </c>
      <c r="D9294" s="39">
        <f t="shared" si="1484"/>
        <v>49248</v>
      </c>
      <c r="E9294" s="1">
        <v>9</v>
      </c>
      <c r="F9294" s="39">
        <f t="shared" si="1485"/>
        <v>854</v>
      </c>
      <c r="G9294" s="168">
        <f>SUM(C9294,C9270,C9246,C9222,C9198,C9174,C9150,C9126,C9102,C9078,C9054,C9030,C9006,C8982)/POBLA!$B$5*100000</f>
        <v>215.83407916716479</v>
      </c>
      <c r="H9294" s="256">
        <f t="shared" si="1490"/>
        <v>1.134125636672326</v>
      </c>
      <c r="I9294" s="297">
        <f t="shared" si="1492"/>
        <v>244.78296245104599</v>
      </c>
      <c r="J9294" s="297">
        <f t="shared" si="1493"/>
        <v>97.142857142857139</v>
      </c>
      <c r="K9294" s="297">
        <f>J9294/POBLA!$B$5*100000</f>
        <v>15.693667005311381</v>
      </c>
      <c r="L9294" s="549">
        <f t="shared" si="1491"/>
        <v>-3.6585365853658569E-2</v>
      </c>
      <c r="M9294" s="401">
        <f>SUM(C9294,C9270,C9246,C9222,C9198,C9174,C9150)/POBLA!$B$5*100000</f>
        <v>109.85566903717967</v>
      </c>
    </row>
    <row r="9295" spans="1:13" s="360" customFormat="1" x14ac:dyDescent="0.25">
      <c r="A9295" s="367" t="s">
        <v>30</v>
      </c>
      <c r="B9295" s="267">
        <v>44280</v>
      </c>
      <c r="C9295" s="17">
        <v>28</v>
      </c>
      <c r="D9295" s="39">
        <f t="shared" si="1484"/>
        <v>27122</v>
      </c>
      <c r="E9295" s="1">
        <v>4</v>
      </c>
      <c r="F9295" s="39">
        <f t="shared" si="1485"/>
        <v>323</v>
      </c>
      <c r="G9295" s="168">
        <f>SUM(C9295,C9271,C9247,C9223,C9199,C9175,C9151,C9127,C9103,C9079,C9055,C9031,C9007,C8983)/POBLA!$B$6*100000</f>
        <v>275.96335121042898</v>
      </c>
      <c r="H9295" s="256">
        <f t="shared" si="1490"/>
        <v>1.1778370144706778</v>
      </c>
      <c r="I9295" s="297">
        <f t="shared" si="1492"/>
        <v>325.03984969301479</v>
      </c>
      <c r="J9295" s="297">
        <f t="shared" si="1493"/>
        <v>191.85714285714286</v>
      </c>
      <c r="K9295" s="297">
        <f>J9295/POBLA!$B$6*100000</f>
        <v>17.117859714359895</v>
      </c>
      <c r="L9295" s="549">
        <f t="shared" si="1491"/>
        <v>0.23257142857142854</v>
      </c>
      <c r="M9295" s="401">
        <f>SUM(C9295,C9271,C9247,C9223,C9199,C9175,C9151)/POBLA!$B$6*100000</f>
        <v>119.82501800051926</v>
      </c>
    </row>
    <row r="9296" spans="1:13" s="360" customFormat="1" x14ac:dyDescent="0.25">
      <c r="A9296" s="367" t="s">
        <v>20</v>
      </c>
      <c r="B9296" s="267">
        <v>44280</v>
      </c>
      <c r="C9296" s="17">
        <v>723</v>
      </c>
      <c r="D9296" s="39">
        <f t="shared" si="1484"/>
        <v>175120</v>
      </c>
      <c r="E9296" s="1">
        <v>1</v>
      </c>
      <c r="F9296" s="39">
        <f t="shared" si="1485"/>
        <v>2991</v>
      </c>
      <c r="G9296" s="168">
        <f>SUM(C9296,C9272,C9248,C9224,C9200,C9176,C9152,C9128,C9104,C9080,C9056,C9032,C9008,C8984)/POBLA!$B$7*100000</f>
        <v>232.47217753194434</v>
      </c>
      <c r="H9296" s="256">
        <f t="shared" si="1490"/>
        <v>1.1232172684054991</v>
      </c>
      <c r="I9296" s="297">
        <f t="shared" si="1492"/>
        <v>261.11676422770876</v>
      </c>
      <c r="J9296" s="297">
        <f t="shared" si="1493"/>
        <v>651.28571428571433</v>
      </c>
      <c r="K9296" s="297">
        <f>J9296/POBLA!$B$7*100000</f>
        <v>17.319355776189404</v>
      </c>
      <c r="L9296" s="549">
        <f t="shared" si="1491"/>
        <v>-8.98876404494382E-2</v>
      </c>
      <c r="M9296" s="401">
        <f>SUM(C9296,C9272,C9248,C9224,C9200,C9176,C9152)/POBLA!$B$7*100000</f>
        <v>121.23549043332579</v>
      </c>
    </row>
    <row r="9297" spans="1:13" x14ac:dyDescent="0.25">
      <c r="A9297" s="367" t="s">
        <v>31</v>
      </c>
      <c r="B9297" s="267">
        <v>44280</v>
      </c>
      <c r="C9297" s="17">
        <v>136</v>
      </c>
      <c r="D9297" s="39">
        <f t="shared" si="1484"/>
        <v>48740</v>
      </c>
      <c r="E9297" s="1">
        <v>1</v>
      </c>
      <c r="F9297" s="39">
        <f t="shared" si="1485"/>
        <v>938</v>
      </c>
      <c r="G9297" s="168">
        <f>SUM(C9297,C9273,C9249,C9225,C9201,C9177,C9153,C9129,C9105,C9081,C9057,C9033,C9009,C8985)/POBLA!$B$8*100000</f>
        <v>157.9409521624346</v>
      </c>
      <c r="H9297" s="256">
        <f t="shared" si="1490"/>
        <v>1.3347560975609756</v>
      </c>
      <c r="I9297" s="297">
        <f t="shared" si="1492"/>
        <v>210.81264895339592</v>
      </c>
      <c r="J9297" s="297">
        <f t="shared" si="1493"/>
        <v>161.85714285714286</v>
      </c>
      <c r="K9297" s="297">
        <f>J9297/POBLA!$B$8*100000</f>
        <v>11.678333146253239</v>
      </c>
      <c r="L9297" s="549">
        <f t="shared" si="1491"/>
        <v>-7.2916666666666741E-2</v>
      </c>
      <c r="M9297" s="401">
        <f>SUM(C9297,C9273,C9249,C9225,C9201,C9177,C9153)/POBLA!$B$8*100000</f>
        <v>81.748332023772676</v>
      </c>
    </row>
    <row r="9298" spans="1:13" s="360" customFormat="1" x14ac:dyDescent="0.25">
      <c r="A9298" s="367" t="s">
        <v>41</v>
      </c>
      <c r="B9298" s="267">
        <v>44280</v>
      </c>
      <c r="C9298" s="17">
        <v>57</v>
      </c>
      <c r="D9298" s="39">
        <f t="shared" si="1484"/>
        <v>1826</v>
      </c>
      <c r="E9298" s="1"/>
      <c r="F9298" s="39">
        <f t="shared" si="1485"/>
        <v>27</v>
      </c>
      <c r="G9298" s="168">
        <f>SUM(C9298,C9274,C9250,C9226,C9202,C9178,C9154,C9130,C9106,C9082,C9058,C9034,C9010,C8986)/POBLA!$B$9*100000</f>
        <v>57.667553986909965</v>
      </c>
      <c r="H9298" s="256">
        <f t="shared" si="1490"/>
        <v>1.1952054794520548</v>
      </c>
      <c r="I9298" s="297">
        <f t="shared" si="1492"/>
        <v>68.92457651175198</v>
      </c>
      <c r="J9298" s="297">
        <f t="shared" si="1493"/>
        <v>23.714285714285715</v>
      </c>
      <c r="K9298" s="297">
        <f>J9298/POBLA!$B$9*100000</f>
        <v>3.9184666237523755</v>
      </c>
      <c r="L9298" s="549">
        <f t="shared" si="1491"/>
        <v>9.289617486338797E-2</v>
      </c>
      <c r="M9298" s="401">
        <f>SUM(C9298,C9274,C9250,C9226,C9202,C9178,C9154)/POBLA!$B$9*100000</f>
        <v>27.429266366266631</v>
      </c>
    </row>
    <row r="9299" spans="1:13" s="360" customFormat="1" x14ac:dyDescent="0.25">
      <c r="A9299" s="367" t="s">
        <v>32</v>
      </c>
      <c r="B9299" s="267">
        <v>44280</v>
      </c>
      <c r="C9299" s="17">
        <v>38</v>
      </c>
      <c r="D9299" s="39">
        <f t="shared" si="1484"/>
        <v>22152</v>
      </c>
      <c r="E9299" s="1">
        <v>1</v>
      </c>
      <c r="F9299" s="39">
        <f t="shared" si="1485"/>
        <v>955</v>
      </c>
      <c r="G9299" s="168">
        <f>SUM(C9299,C9275,C9251,C9227,C9203,C9179,C9155,C9131,C9107,C9083,C9059,C9035,C9011,C8987)/POBLA!$B$10*100000</f>
        <v>83.021893132662498</v>
      </c>
      <c r="H9299" s="256">
        <f t="shared" si="1490"/>
        <v>0.62683643486777674</v>
      </c>
      <c r="I9299" s="297">
        <f t="shared" si="1492"/>
        <v>52.041147507251715</v>
      </c>
      <c r="J9299" s="297">
        <f t="shared" si="1493"/>
        <v>37.428571428571431</v>
      </c>
      <c r="K9299" s="297">
        <f>J9299/POBLA!$B$10*100000</f>
        <v>4.855298214454816</v>
      </c>
      <c r="L9299" s="549">
        <f t="shared" si="1491"/>
        <v>0.30687830687830686</v>
      </c>
      <c r="M9299" s="401">
        <f>SUM(C9299,C9275,C9251,C9227,C9203,C9179,C9155)/POBLA!$B$10*100000</f>
        <v>33.987087501183709</v>
      </c>
    </row>
    <row r="9300" spans="1:13" s="360" customFormat="1" x14ac:dyDescent="0.25">
      <c r="A9300" s="367" t="s">
        <v>33</v>
      </c>
      <c r="B9300" s="267">
        <v>44280</v>
      </c>
      <c r="C9300" s="17">
        <v>87</v>
      </c>
      <c r="D9300" s="39">
        <f t="shared" si="1484"/>
        <v>20804</v>
      </c>
      <c r="E9300" s="1">
        <v>2</v>
      </c>
      <c r="F9300" s="39">
        <f t="shared" si="1485"/>
        <v>314</v>
      </c>
      <c r="G9300" s="168">
        <f>SUM(C9300,C9276,C9252,C9228,C9204,C9180,C9156,C9132,C9108,C9084,C9060,C9036,C9012,C8988)/POBLA!$B$11*100000</f>
        <v>333.6792884484471</v>
      </c>
      <c r="H9300" s="256">
        <f t="shared" si="1490"/>
        <v>1.1167133520074697</v>
      </c>
      <c r="I9300" s="297">
        <f t="shared" si="1492"/>
        <v>372.62411669873273</v>
      </c>
      <c r="J9300" s="297">
        <f t="shared" si="1493"/>
        <v>70.428571428571431</v>
      </c>
      <c r="K9300" s="297">
        <f>J9300/POBLA!$B$11*100000</f>
        <v>19.649293980540424</v>
      </c>
      <c r="L9300" s="549">
        <f t="shared" si="1491"/>
        <v>0.29871977240398295</v>
      </c>
      <c r="M9300" s="401">
        <f>SUM(C9300,C9276,C9252,C9228,C9204,C9180,C9156)/POBLA!$B$11*100000</f>
        <v>137.54505786378294</v>
      </c>
    </row>
    <row r="9301" spans="1:13" s="360" customFormat="1" x14ac:dyDescent="0.25">
      <c r="A9301" s="367" t="s">
        <v>21</v>
      </c>
      <c r="B9301" s="267">
        <v>44280</v>
      </c>
      <c r="C9301" s="17">
        <v>38</v>
      </c>
      <c r="D9301" s="39">
        <f t="shared" si="1484"/>
        <v>10798</v>
      </c>
      <c r="E9301" s="1"/>
      <c r="F9301" s="39">
        <f t="shared" si="1485"/>
        <v>448</v>
      </c>
      <c r="G9301" s="168">
        <f>SUM(C9301,C9277,C9253,C9229,C9205,C9181,C9157,C9133,C9109,C9085,C9061,C9037,C9013,C8989)/POBLA!$B$12*100000</f>
        <v>87.921917206014271</v>
      </c>
      <c r="H9301" s="256">
        <f t="shared" si="1490"/>
        <v>1.138157894736842</v>
      </c>
      <c r="I9301" s="297">
        <f t="shared" si="1492"/>
        <v>100.06902418842414</v>
      </c>
      <c r="J9301" s="297">
        <f t="shared" si="1493"/>
        <v>25.428571428571427</v>
      </c>
      <c r="K9301" s="297">
        <f>J9301/POBLA!$B$12*100000</f>
        <v>6.461643791358604</v>
      </c>
      <c r="L9301" s="549">
        <f t="shared" si="1491"/>
        <v>-5.9523809523809534E-2</v>
      </c>
      <c r="M9301" s="401">
        <f>SUM(C9301,C9277,C9253,C9229,C9205,C9181,C9157)/POBLA!$B$12*100000</f>
        <v>45.231506539510228</v>
      </c>
    </row>
    <row r="9302" spans="1:13" s="360" customFormat="1" x14ac:dyDescent="0.25">
      <c r="A9302" s="367" t="s">
        <v>17</v>
      </c>
      <c r="B9302" s="267">
        <v>44280</v>
      </c>
      <c r="C9302" s="17">
        <v>187</v>
      </c>
      <c r="D9302" s="39">
        <f t="shared" si="1484"/>
        <v>71182</v>
      </c>
      <c r="E9302" s="1">
        <v>4</v>
      </c>
      <c r="F9302" s="39">
        <f t="shared" si="1485"/>
        <v>1496</v>
      </c>
      <c r="G9302" s="168">
        <f>SUM(C9302,C9278,C9254,C9230,C9206,C9182,C9158,C9134,C9110,C9086,C9062,C9038,C9014,C8990)/POBLA!$B$13*100000</f>
        <v>109.37840708462583</v>
      </c>
      <c r="H9302" s="256">
        <f t="shared" si="1490"/>
        <v>1.0476419634263716</v>
      </c>
      <c r="I9302" s="297">
        <f t="shared" si="1492"/>
        <v>114.58940915458636</v>
      </c>
      <c r="J9302" s="297">
        <f t="shared" si="1493"/>
        <v>165.28571428571428</v>
      </c>
      <c r="K9302" s="297">
        <f>J9302/POBLA!$B$13*100000</f>
        <v>8.3044042914175531</v>
      </c>
      <c r="L9302" s="549">
        <f t="shared" si="1491"/>
        <v>-0.13431372549019605</v>
      </c>
      <c r="M9302" s="401">
        <f>SUM(C9302,C9278,C9254,C9230,C9206,C9182,C9158)/POBLA!$B$13*100000</f>
        <v>58.13083003992287</v>
      </c>
    </row>
    <row r="9303" spans="1:13" s="360" customFormat="1" x14ac:dyDescent="0.25">
      <c r="A9303" s="367" t="s">
        <v>23</v>
      </c>
      <c r="B9303" s="267">
        <v>44280</v>
      </c>
      <c r="C9303" s="17">
        <v>123</v>
      </c>
      <c r="D9303" s="39">
        <f t="shared" si="1484"/>
        <v>11287</v>
      </c>
      <c r="E9303" s="1">
        <v>3</v>
      </c>
      <c r="F9303" s="39">
        <f t="shared" si="1485"/>
        <v>193</v>
      </c>
      <c r="G9303" s="168">
        <f>SUM(C9303,C9279,C9255,C9231,C9207,C9183,C9159,C9135,C9111,C9087,C9063,C9039,C9015,C8991)/POBLA!$B$14*100000</f>
        <v>134.22723013032646</v>
      </c>
      <c r="H9303" s="256">
        <f t="shared" si="1490"/>
        <v>1.0361077111383108</v>
      </c>
      <c r="I9303" s="297">
        <f t="shared" si="1492"/>
        <v>139.07386818276785</v>
      </c>
      <c r="J9303" s="297">
        <f t="shared" si="1493"/>
        <v>117.85714285714286</v>
      </c>
      <c r="K9303" s="297">
        <f>J9303/POBLA!$B$14*100000</f>
        <v>9.3441452077900049</v>
      </c>
      <c r="L9303" s="549">
        <f t="shared" si="1491"/>
        <v>4.9539170506912478E-2</v>
      </c>
      <c r="M9303" s="401">
        <f>SUM(C9303,C9279,C9255,C9231,C9207,C9183,C9159)/POBLA!$B$14*100000</f>
        <v>65.409016454530033</v>
      </c>
    </row>
    <row r="9304" spans="1:13" s="360" customFormat="1" x14ac:dyDescent="0.25">
      <c r="A9304" s="367" t="s">
        <v>19</v>
      </c>
      <c r="B9304" s="267">
        <v>44280</v>
      </c>
      <c r="C9304" s="17">
        <v>80</v>
      </c>
      <c r="D9304" s="39">
        <f t="shared" si="1484"/>
        <v>64550</v>
      </c>
      <c r="E9304" s="1">
        <v>15</v>
      </c>
      <c r="F9304" s="39">
        <f t="shared" si="1485"/>
        <v>997</v>
      </c>
      <c r="G9304" s="168">
        <f>SUM(C9304,C9280,C9256,C9232,C9208,C9184,C9160,C9136,C9112,C9088,C9064,C9040,C9016,C8992)/POBLA!$B$15*100000</f>
        <v>248.17146720838724</v>
      </c>
      <c r="H9304" s="256">
        <f t="shared" si="1490"/>
        <v>0.79961183891314891</v>
      </c>
      <c r="I9304" s="297">
        <f t="shared" si="1492"/>
        <v>198.44084326027274</v>
      </c>
      <c r="J9304" s="297">
        <f t="shared" si="1493"/>
        <v>114.28571428571429</v>
      </c>
      <c r="K9304" s="297">
        <f>J9304/POBLA!$B$15*100000</f>
        <v>17.210226574784137</v>
      </c>
      <c r="L9304" s="549">
        <f t="shared" si="1491"/>
        <v>5.6603773584905648E-2</v>
      </c>
      <c r="M9304" s="401">
        <f>SUM(C9304,C9280,C9256,C9232,C9208,C9184,C9160)/POBLA!$B$15*100000</f>
        <v>120.47158602348895</v>
      </c>
    </row>
    <row r="9305" spans="1:13" s="360" customFormat="1" x14ac:dyDescent="0.25">
      <c r="A9305" s="367" t="s">
        <v>18</v>
      </c>
      <c r="B9305" s="267">
        <v>44280</v>
      </c>
      <c r="C9305" s="17">
        <v>84</v>
      </c>
      <c r="D9305" s="39">
        <f t="shared" si="1484"/>
        <v>54786</v>
      </c>
      <c r="E9305" s="1">
        <v>4</v>
      </c>
      <c r="F9305" s="39">
        <f t="shared" si="1485"/>
        <v>1269</v>
      </c>
      <c r="G9305" s="168">
        <f>SUM(C9305,C9281,C9257,C9233,C9209,C9185,C9161,C9137,C9113,C9089,C9065,C9041,C9017,C8993)/POBLA!$B$16*100000</f>
        <v>158.37134334746727</v>
      </c>
      <c r="H9305" s="256">
        <f t="shared" si="1490"/>
        <v>0.75751759436980171</v>
      </c>
      <c r="I9305" s="297">
        <f t="shared" si="1492"/>
        <v>119.96907902968731</v>
      </c>
      <c r="J9305" s="297">
        <f t="shared" si="1493"/>
        <v>80.142857142857139</v>
      </c>
      <c r="K9305" s="297">
        <f>J9305/POBLA!$B$16*100000</f>
        <v>10.719874953900716</v>
      </c>
      <c r="L9305" s="549">
        <f t="shared" si="1491"/>
        <v>9.9518459069020904E-2</v>
      </c>
      <c r="M9305" s="401">
        <f>SUM(C9305,C9281,C9257,C9233,C9209,C9185,C9161)/POBLA!$B$16*100000</f>
        <v>75.039124677305011</v>
      </c>
    </row>
    <row r="9306" spans="1:13" s="360" customFormat="1" x14ac:dyDescent="0.25">
      <c r="A9306" s="367" t="s">
        <v>34</v>
      </c>
      <c r="B9306" s="267">
        <v>44280</v>
      </c>
      <c r="C9306" s="17">
        <v>70</v>
      </c>
      <c r="D9306" s="39">
        <f t="shared" si="1484"/>
        <v>28686</v>
      </c>
      <c r="E9306" s="1">
        <v>2</v>
      </c>
      <c r="F9306" s="39">
        <f t="shared" si="1485"/>
        <v>1196</v>
      </c>
      <c r="G9306" s="168">
        <f>SUM(C9306,C9282,C9258,C9234,C9210,C9186,C9162,C9138,C9114,C9090,C9066,C9042,C9018,C8994)/POBLA!$B$17*100000</f>
        <v>93.653665375594016</v>
      </c>
      <c r="H9306" s="256">
        <f t="shared" si="1490"/>
        <v>0.90563475899524781</v>
      </c>
      <c r="I9306" s="297">
        <f t="shared" si="1492"/>
        <v>84.816014671447675</v>
      </c>
      <c r="J9306" s="297">
        <f t="shared" si="1493"/>
        <v>85.285714285714292</v>
      </c>
      <c r="K9306" s="297">
        <f>J9306/POBLA!$B$17*100000</f>
        <v>5.9874960622434816</v>
      </c>
      <c r="L9306" s="549">
        <f t="shared" si="1491"/>
        <v>0.1899592944369064</v>
      </c>
      <c r="M9306" s="401">
        <f>SUM(C9306,C9282,C9258,C9234,C9210,C9186,C9162)/POBLA!$B$17*100000</f>
        <v>41.912472435704373</v>
      </c>
    </row>
    <row r="9307" spans="1:13" s="360" customFormat="1" x14ac:dyDescent="0.25">
      <c r="A9307" s="367" t="s">
        <v>35</v>
      </c>
      <c r="B9307" s="267">
        <v>44280</v>
      </c>
      <c r="C9307" s="17">
        <v>92</v>
      </c>
      <c r="D9307" s="39">
        <f t="shared" si="1484"/>
        <v>16614</v>
      </c>
      <c r="E9307" s="1">
        <v>1</v>
      </c>
      <c r="F9307" s="39">
        <f t="shared" si="1485"/>
        <v>223</v>
      </c>
      <c r="G9307" s="168">
        <f>SUM(C9307,C9283,C9259,C9235,C9211,C9187,C9163,C9139,C9115,C9091,C9067,C9043,C9019,C8995)/POBLA!$B$18*100000</f>
        <v>103.17235800040194</v>
      </c>
      <c r="H9307" s="256">
        <f t="shared" si="1490"/>
        <v>1.3084415584415585</v>
      </c>
      <c r="I9307" s="297">
        <f t="shared" si="1492"/>
        <v>134.99500089013631</v>
      </c>
      <c r="J9307" s="297">
        <f t="shared" si="1493"/>
        <v>62.285714285714285</v>
      </c>
      <c r="K9307" s="297">
        <f>J9307/POBLA!$B$18*100000</f>
        <v>7.9729082042139749</v>
      </c>
      <c r="L9307" s="549">
        <f t="shared" si="1491"/>
        <v>-0.17837837837837833</v>
      </c>
      <c r="M9307" s="401">
        <f>SUM(C9307,C9283,C9259,C9235,C9211,C9187,C9163)/POBLA!$B$18*100000</f>
        <v>55.81035742949782</v>
      </c>
    </row>
    <row r="9308" spans="1:13" s="360" customFormat="1" x14ac:dyDescent="0.25">
      <c r="A9308" s="367" t="s">
        <v>36</v>
      </c>
      <c r="B9308" s="267">
        <v>44280</v>
      </c>
      <c r="C9308" s="17">
        <v>90</v>
      </c>
      <c r="D9308" s="39">
        <f t="shared" si="1484"/>
        <v>21645</v>
      </c>
      <c r="E9308" s="1">
        <v>2</v>
      </c>
      <c r="F9308" s="39">
        <f t="shared" si="1485"/>
        <v>385</v>
      </c>
      <c r="G9308" s="168">
        <f>SUM(C9308,C9284,C9260,C9236,C9212,C9188,C9164,C9140,C9116,C9092,C9068,C9044,C9020,C8996)/POBLA!$B$19*100000</f>
        <v>52.91858799830031</v>
      </c>
      <c r="H9308" s="256">
        <f t="shared" si="1490"/>
        <v>0.4317817014446228</v>
      </c>
      <c r="I9308" s="297">
        <f t="shared" si="1492"/>
        <v>22.849277963953103</v>
      </c>
      <c r="J9308" s="297">
        <f t="shared" si="1493"/>
        <v>15.571428571428571</v>
      </c>
      <c r="K9308" s="297">
        <f>J9308/POBLA!$B$19*100000</f>
        <v>3.0632639892802618</v>
      </c>
      <c r="L9308" s="549">
        <f t="shared" si="1491"/>
        <v>0.31874999999999998</v>
      </c>
      <c r="M9308" s="401">
        <f>SUM(C9308,C9284,C9260,C9236,C9212,C9188,C9164)/POBLA!$B$19*100000</f>
        <v>21.442847924961836</v>
      </c>
    </row>
    <row r="9309" spans="1:13" s="360" customFormat="1" x14ac:dyDescent="0.25">
      <c r="A9309" s="367" t="s">
        <v>37</v>
      </c>
      <c r="B9309" s="267">
        <v>44280</v>
      </c>
      <c r="C9309" s="17">
        <v>81</v>
      </c>
      <c r="D9309" s="39">
        <f t="shared" si="1484"/>
        <v>38606</v>
      </c>
      <c r="E9309" s="1">
        <v>1</v>
      </c>
      <c r="F9309" s="39">
        <f t="shared" si="1485"/>
        <v>626</v>
      </c>
      <c r="G9309" s="168">
        <f>SUM(C9309,C9285,C9261,C9237,C9213,C9189,C9165,C9141,C9117,C9093,C9069,C9045,C9021,C8997)/POBLA!$B$20*100000</f>
        <v>417.83110654146316</v>
      </c>
      <c r="H9309" s="256">
        <f t="shared" si="1490"/>
        <v>1.1655225019069413</v>
      </c>
      <c r="I9309" s="297">
        <f t="shared" si="1492"/>
        <v>486.99155667075189</v>
      </c>
      <c r="J9309" s="297">
        <f t="shared" si="1493"/>
        <v>106.42857142857143</v>
      </c>
      <c r="K9309" s="297">
        <f>J9309/POBLA!$B$20*100000</f>
        <v>29.102858486666982</v>
      </c>
      <c r="L9309" s="549">
        <f t="shared" si="1491"/>
        <v>4.8531289910600295E-2</v>
      </c>
      <c r="M9309" s="401">
        <f>SUM(C9309,C9285,C9261,C9237,C9213,C9189,C9165)/POBLA!$B$20*100000</f>
        <v>203.72000940666888</v>
      </c>
    </row>
    <row r="9310" spans="1:13" s="360" customFormat="1" x14ac:dyDescent="0.25">
      <c r="A9310" s="367" t="s">
        <v>22</v>
      </c>
      <c r="B9310" s="267">
        <v>44280</v>
      </c>
      <c r="C9310" s="17">
        <v>444</v>
      </c>
      <c r="D9310" s="39">
        <f t="shared" si="1484"/>
        <v>227585</v>
      </c>
      <c r="E9310" s="1">
        <v>20</v>
      </c>
      <c r="F9310" s="39">
        <f t="shared" si="1485"/>
        <v>4229</v>
      </c>
      <c r="G9310" s="168">
        <f>SUM(C9310,C9286,C9262,C9238,C9214,C9190,C9166,C9142,C9118,C9094,C9070,C9046,C9022,C8998)/POBLA!$B$21*100000</f>
        <v>180.86097288273049</v>
      </c>
      <c r="H9310" s="256">
        <f t="shared" si="1490"/>
        <v>1.1656642974302898</v>
      </c>
      <c r="I9310" s="297">
        <f t="shared" si="1492"/>
        <v>210.82317888790672</v>
      </c>
      <c r="J9310" s="297">
        <f t="shared" si="1493"/>
        <v>467.57142857142856</v>
      </c>
      <c r="K9310" s="297">
        <f>J9310/POBLA!$B$21*100000</f>
        <v>13.221610923013868</v>
      </c>
      <c r="L9310" s="549">
        <f t="shared" si="1491"/>
        <v>-4.8030739673390999E-2</v>
      </c>
      <c r="M9310" s="401">
        <f>SUM(C9310,C9286,C9262,C9238,C9214,C9190,C9166)/POBLA!$B$21*100000</f>
        <v>92.551276461097075</v>
      </c>
    </row>
    <row r="9311" spans="1:13" s="360" customFormat="1" x14ac:dyDescent="0.25">
      <c r="A9311" s="367" t="s">
        <v>38</v>
      </c>
      <c r="B9311" s="267">
        <v>44280</v>
      </c>
      <c r="C9311" s="17">
        <v>134</v>
      </c>
      <c r="D9311" s="39">
        <f t="shared" si="1484"/>
        <v>24468</v>
      </c>
      <c r="E9311" s="1">
        <v>5</v>
      </c>
      <c r="F9311" s="39">
        <f t="shared" si="1485"/>
        <v>288</v>
      </c>
      <c r="G9311" s="168">
        <f>SUM(C9311,C9287,C9263,C9239,C9215,C9191,C9167,C9143,C9119,C9095,C9071,C9047,C9023,C8999)/POBLA!$B$22*100000</f>
        <v>125.21554962471112</v>
      </c>
      <c r="H9311" s="256">
        <f t="shared" si="1490"/>
        <v>1.4848484848484849</v>
      </c>
      <c r="I9311" s="297">
        <f t="shared" si="1492"/>
        <v>185.92611913972257</v>
      </c>
      <c r="J9311" s="297">
        <f t="shared" si="1493"/>
        <v>91.857142857142861</v>
      </c>
      <c r="K9311" s="297">
        <f>J9311/POBLA!$B$22*100000</f>
        <v>9.3893409222961228</v>
      </c>
      <c r="L9311" s="549">
        <f t="shared" si="1491"/>
        <v>-0.10481099656357395</v>
      </c>
      <c r="M9311" s="401">
        <f>SUM(C9311,C9287,C9263,C9239,C9215,C9191,C9167)/POBLA!$B$22*100000</f>
        <v>65.725386456072854</v>
      </c>
    </row>
    <row r="9312" spans="1:13" s="360" customFormat="1" x14ac:dyDescent="0.25">
      <c r="A9312" s="367" t="s">
        <v>39</v>
      </c>
      <c r="B9312" s="267">
        <v>44280</v>
      </c>
      <c r="C9312" s="17">
        <v>45</v>
      </c>
      <c r="D9312" s="39">
        <f t="shared" si="1484"/>
        <v>23769</v>
      </c>
      <c r="E9312" s="1">
        <v>2</v>
      </c>
      <c r="F9312" s="39">
        <f t="shared" si="1485"/>
        <v>364</v>
      </c>
      <c r="G9312" s="168">
        <f>SUM(C9312,C9288,C9264,C9240,C9216,C9192,C9168,C9144,C9120,C9096,C9072,C9048,C9024,C9000)/POBLA!$B$23*100000</f>
        <v>269.75060792851895</v>
      </c>
      <c r="H9312" s="256">
        <f t="shared" si="1490"/>
        <v>1.1223529411764706</v>
      </c>
      <c r="I9312" s="297">
        <f t="shared" si="1492"/>
        <v>302.75538819271418</v>
      </c>
      <c r="J9312" s="297">
        <f t="shared" si="1493"/>
        <v>38.571428571428569</v>
      </c>
      <c r="K9312" s="297">
        <f>J9312/POBLA!$B$23*100000</f>
        <v>21.812717622252201</v>
      </c>
      <c r="L9312" s="549">
        <f t="shared" si="1491"/>
        <v>-0.30434782608695654</v>
      </c>
      <c r="M9312" s="401">
        <f>SUM(C9312,C9288,C9264,C9240,C9216,C9192,C9168)/POBLA!$B$23*100000</f>
        <v>152.68902335576541</v>
      </c>
    </row>
    <row r="9313" spans="1:13" s="360" customFormat="1" ht="15.75" thickBot="1" x14ac:dyDescent="0.3">
      <c r="A9313" s="369" t="s">
        <v>40</v>
      </c>
      <c r="B9313" s="267">
        <v>44280</v>
      </c>
      <c r="C9313" s="17">
        <v>264</v>
      </c>
      <c r="D9313" s="176">
        <f t="shared" si="1484"/>
        <v>85210</v>
      </c>
      <c r="E9313" s="1"/>
      <c r="F9313" s="176">
        <f t="shared" si="1485"/>
        <v>1498</v>
      </c>
      <c r="G9313" s="177">
        <f>SUM(C9313,C9289,C9265,C9241,C9217,C9193,C9169,C9145,C9121,C9097,C9073,C9049,C9025,C9001)/POBLA!$B$24*100000</f>
        <v>211.72438536198496</v>
      </c>
      <c r="H9313" s="402">
        <f t="shared" si="1490"/>
        <v>1.701280227596017</v>
      </c>
      <c r="I9313" s="403">
        <f t="shared" si="1492"/>
        <v>360.20251051626457</v>
      </c>
      <c r="J9313" s="403">
        <f t="shared" si="1493"/>
        <v>269.28571428571428</v>
      </c>
      <c r="K9313" s="403">
        <f>J9313/POBLA!$B$24*100000</f>
        <v>15.890287721266986</v>
      </c>
      <c r="L9313" s="550">
        <f t="shared" si="1491"/>
        <v>-0.10687022900763354</v>
      </c>
      <c r="M9313" s="405">
        <f>SUM(C9313,C9289,C9265,C9241,C9217,C9193,C9169)/POBLA!$B$24*100000</f>
        <v>111.23201404886892</v>
      </c>
    </row>
    <row r="9314" spans="1:13" s="360" customFormat="1" x14ac:dyDescent="0.25">
      <c r="A9314" s="363" t="s">
        <v>16</v>
      </c>
      <c r="B9314" s="267">
        <v>44281</v>
      </c>
      <c r="C9314" s="17">
        <v>5686</v>
      </c>
      <c r="D9314" s="174">
        <f t="shared" si="1484"/>
        <v>959526</v>
      </c>
      <c r="E9314" s="1">
        <v>66</v>
      </c>
      <c r="F9314" s="174">
        <f t="shared" si="1485"/>
        <v>27824</v>
      </c>
      <c r="G9314" s="175">
        <f>SUM(C9314,C9290,C9266,C9242,C9218,C9194,C9170,C9146,C9122,C9098,C9074,C9050,C9026,C9002)/POBLA!$B$1*100000</f>
        <v>264.84594132160498</v>
      </c>
      <c r="H9314" s="300">
        <f t="shared" si="1490"/>
        <v>1.2571915676670364</v>
      </c>
      <c r="I9314" s="301">
        <f>G9314*H9314</f>
        <v>332.96208416036052</v>
      </c>
      <c r="J9314" s="301">
        <f>AVERAGE(C9314,C9290,C9266,C9242,C9218,C9194,C9170)</f>
        <v>3590.4285714285716</v>
      </c>
      <c r="K9314" s="301">
        <f>J9314/POBLA!$B$1*100000</f>
        <v>20.46861473508805</v>
      </c>
      <c r="L9314" s="548">
        <f t="shared" ref="L9314:L9337" si="1494">1-SUM(C9314,C9290,C9266,C9242,C9218,C9194,C9170)/SUM(C9146,C9122,C9098,C9074,C9050,C9026,C9002)</f>
        <v>-0.17862502344775844</v>
      </c>
      <c r="M9314" s="400">
        <f>SUM(C9314,C9290,C9266,C9242,C9218,C9194,C9170)/POBLA!$B$1*100000</f>
        <v>143.28030314561636</v>
      </c>
    </row>
    <row r="9315" spans="1:13" s="360" customFormat="1" x14ac:dyDescent="0.25">
      <c r="A9315" s="367" t="s">
        <v>43</v>
      </c>
      <c r="B9315" s="267">
        <v>44281</v>
      </c>
      <c r="C9315" s="17">
        <v>1405</v>
      </c>
      <c r="D9315" s="39">
        <f t="shared" si="1484"/>
        <v>253985</v>
      </c>
      <c r="E9315" s="1">
        <v>8</v>
      </c>
      <c r="F9315" s="39">
        <f t="shared" si="1485"/>
        <v>6821</v>
      </c>
      <c r="G9315" s="168">
        <f>SUM(C9315,C9291,C9267,C9243,C9219,C9195,C9171,C9147,C9123,C9099,C9075,C9051,C9027,C9003)/POBLA!$B$2*100000</f>
        <v>435.06307292841899</v>
      </c>
      <c r="H9315" s="256">
        <f t="shared" si="1490"/>
        <v>1.3749486230990546</v>
      </c>
      <c r="I9315" s="297">
        <f t="shared" ref="I9315:I9337" si="1495">G9315*H9315</f>
        <v>598.18937308417333</v>
      </c>
      <c r="J9315" s="297">
        <f t="shared" ref="J9315:J9337" si="1496">AVERAGE(C9315,C9291,C9267,C9243,C9219,C9195,C9171)</f>
        <v>1035.2857142857142</v>
      </c>
      <c r="K9315" s="297">
        <f>J9315/POBLA!$B$2*100000</f>
        <v>33.66075661131724</v>
      </c>
      <c r="L9315" s="549">
        <f t="shared" si="1494"/>
        <v>-0.18144766873165952</v>
      </c>
      <c r="M9315" s="401">
        <f>SUM(C9315,C9291,C9267,C9243,C9219,C9195,C9171)/POBLA!$B$2*100000</f>
        <v>235.62529627922066</v>
      </c>
    </row>
    <row r="9316" spans="1:13" s="360" customFormat="1" x14ac:dyDescent="0.25">
      <c r="A9316" s="367" t="s">
        <v>28</v>
      </c>
      <c r="B9316" s="267">
        <v>44281</v>
      </c>
      <c r="C9316" s="17">
        <v>98</v>
      </c>
      <c r="D9316" s="39">
        <f t="shared" si="1484"/>
        <v>10095</v>
      </c>
      <c r="E9316" s="1"/>
      <c r="F9316" s="39">
        <f t="shared" si="1485"/>
        <v>18</v>
      </c>
      <c r="G9316" s="168">
        <f>SUM(C9316,C9292,C9268,C9244,C9220,C9196,C9172,C9148,C9124,C9100,C9076,C9052,C9028,C9004)/POBLA!$B$3*100000</f>
        <v>294.62880140959663</v>
      </c>
      <c r="H9316" s="256">
        <f t="shared" si="1490"/>
        <v>1.0652741514360313</v>
      </c>
      <c r="I9316" s="297">
        <f t="shared" si="1495"/>
        <v>313.86044641022306</v>
      </c>
      <c r="J9316" s="297">
        <f t="shared" si="1496"/>
        <v>74.285714285714292</v>
      </c>
      <c r="K9316" s="297">
        <f>J9316/POBLA!$B$3*100000</f>
        <v>17.881299805437706</v>
      </c>
      <c r="L9316" s="549">
        <f t="shared" si="1494"/>
        <v>0.26136363636363635</v>
      </c>
      <c r="M9316" s="401">
        <f>SUM(C9316,C9292,C9268,C9244,C9220,C9196,C9172)/POBLA!$B$3*100000</f>
        <v>125.16909863806393</v>
      </c>
    </row>
    <row r="9317" spans="1:13" s="360" customFormat="1" x14ac:dyDescent="0.25">
      <c r="A9317" s="367" t="s">
        <v>15</v>
      </c>
      <c r="B9317" s="267">
        <v>44281</v>
      </c>
      <c r="C9317" s="17">
        <v>159</v>
      </c>
      <c r="D9317" s="39">
        <f t="shared" si="1484"/>
        <v>37659</v>
      </c>
      <c r="E9317" s="1">
        <v>2</v>
      </c>
      <c r="F9317" s="39">
        <f t="shared" si="1485"/>
        <v>917</v>
      </c>
      <c r="G9317" s="168">
        <f>SUM(C9317,C9293,C9269,C9245,C9221,C9197,C9173,C9149,C9125,C9101,C9077,C9053,C9029,C9005)/POBLA!$B$4*100000</f>
        <v>161.38927608109645</v>
      </c>
      <c r="H9317" s="256">
        <f t="shared" si="1490"/>
        <v>1.1039182282793867</v>
      </c>
      <c r="I9317" s="297">
        <f t="shared" si="1495"/>
        <v>178.16056371473681</v>
      </c>
      <c r="J9317" s="297">
        <f t="shared" si="1496"/>
        <v>141</v>
      </c>
      <c r="K9317" s="297">
        <f>J9317/POBLA!$B$4*100000</f>
        <v>11.705703666375822</v>
      </c>
      <c r="L9317" s="549">
        <f t="shared" si="1494"/>
        <v>-3.1347962382445083E-2</v>
      </c>
      <c r="M9317" s="401">
        <f>SUM(C9317,C9293,C9269,C9245,C9221,C9197,C9173)/POBLA!$B$4*100000</f>
        <v>81.939925664630763</v>
      </c>
    </row>
    <row r="9318" spans="1:13" s="360" customFormat="1" x14ac:dyDescent="0.25">
      <c r="A9318" s="367" t="s">
        <v>29</v>
      </c>
      <c r="B9318" s="267">
        <v>44281</v>
      </c>
      <c r="C9318" s="17">
        <v>155</v>
      </c>
      <c r="D9318" s="39">
        <f t="shared" si="1484"/>
        <v>49403</v>
      </c>
      <c r="E9318" s="1"/>
      <c r="F9318" s="39">
        <f t="shared" si="1485"/>
        <v>854</v>
      </c>
      <c r="G9318" s="168">
        <f>SUM(C9318,C9294,C9270,C9246,C9222,C9198,C9174,C9150,C9126,C9102,C9078,C9054,C9030,C9006)/POBLA!$B$5*100000</f>
        <v>223.42704452708747</v>
      </c>
      <c r="H9318" s="256">
        <f t="shared" si="1490"/>
        <v>1.1382716049382715</v>
      </c>
      <c r="I9318" s="297">
        <f t="shared" si="1495"/>
        <v>254.3206605604625</v>
      </c>
      <c r="J9318" s="297">
        <f t="shared" si="1496"/>
        <v>101.14285714285714</v>
      </c>
      <c r="K9318" s="297">
        <f>J9318/POBLA!$B$5*100000</f>
        <v>16.339876823177146</v>
      </c>
      <c r="L9318" s="549">
        <f t="shared" si="1494"/>
        <v>-4.8888888888888982E-2</v>
      </c>
      <c r="M9318" s="401">
        <f>SUM(C9318,C9294,C9270,C9246,C9222,C9198,C9174)/POBLA!$B$5*100000</f>
        <v>114.37913776224002</v>
      </c>
    </row>
    <row r="9319" spans="1:13" s="360" customFormat="1" x14ac:dyDescent="0.25">
      <c r="A9319" s="367" t="s">
        <v>30</v>
      </c>
      <c r="B9319" s="267">
        <v>44281</v>
      </c>
      <c r="C9319" s="17">
        <v>771</v>
      </c>
      <c r="D9319" s="39">
        <f t="shared" si="1484"/>
        <v>27893</v>
      </c>
      <c r="E9319" s="1">
        <v>2</v>
      </c>
      <c r="F9319" s="39">
        <f t="shared" si="1485"/>
        <v>325</v>
      </c>
      <c r="G9319" s="168">
        <f>SUM(C9319,C9295,C9271,C9247,C9223,C9199,C9175,C9151,C9127,C9103,C9079,C9055,C9031,C9007)/POBLA!$B$6*100000</f>
        <v>299.07182452549557</v>
      </c>
      <c r="H9319" s="256">
        <f t="shared" si="1490"/>
        <v>1.1499142367066895</v>
      </c>
      <c r="I9319" s="297">
        <f t="shared" si="1495"/>
        <v>343.90694881971223</v>
      </c>
      <c r="J9319" s="297">
        <f t="shared" si="1496"/>
        <v>251</v>
      </c>
      <c r="K9319" s="297">
        <f>J9319/POBLA!$B$6*100000</f>
        <v>22.394698077535622</v>
      </c>
      <c r="L9319" s="549">
        <f t="shared" si="1494"/>
        <v>-0.1015673981191223</v>
      </c>
      <c r="M9319" s="401">
        <f>SUM(C9319,C9295,C9271,C9247,C9223,C9199,C9175)/POBLA!$B$6*100000</f>
        <v>156.76288654274933</v>
      </c>
    </row>
    <row r="9320" spans="1:13" s="360" customFormat="1" x14ac:dyDescent="0.25">
      <c r="A9320" s="367" t="s">
        <v>20</v>
      </c>
      <c r="B9320" s="267">
        <v>44281</v>
      </c>
      <c r="C9320" s="17">
        <v>1105</v>
      </c>
      <c r="D9320" s="39">
        <f t="shared" si="1484"/>
        <v>176225</v>
      </c>
      <c r="E9320" s="1">
        <v>13</v>
      </c>
      <c r="F9320" s="39">
        <f t="shared" si="1485"/>
        <v>3004</v>
      </c>
      <c r="G9320" s="168">
        <f>SUM(C9320,C9296,C9272,C9248,C9224,C9200,C9176,C9152,C9128,C9104,C9080,C9056,C9032,C9008)/POBLA!$B$7*100000</f>
        <v>245.18342219681156</v>
      </c>
      <c r="H9320" s="256">
        <f t="shared" si="1490"/>
        <v>1.1533650237678259</v>
      </c>
      <c r="I9320" s="297">
        <f t="shared" si="1495"/>
        <v>282.78598356950243</v>
      </c>
      <c r="J9320" s="297">
        <f t="shared" si="1496"/>
        <v>711.57142857142856</v>
      </c>
      <c r="K9320" s="297">
        <f>J9320/POBLA!$B$7*100000</f>
        <v>18.922507374687299</v>
      </c>
      <c r="L9320" s="549">
        <f t="shared" si="1494"/>
        <v>-0.17504128332153801</v>
      </c>
      <c r="M9320" s="401">
        <f>SUM(C9320,C9296,C9272,C9248,C9224,C9200,C9176)/POBLA!$B$7*100000</f>
        <v>132.45755162281111</v>
      </c>
    </row>
    <row r="9321" spans="1:13" x14ac:dyDescent="0.25">
      <c r="A9321" s="367" t="s">
        <v>31</v>
      </c>
      <c r="B9321" s="267">
        <v>44281</v>
      </c>
      <c r="C9321" s="17">
        <v>228</v>
      </c>
      <c r="D9321" s="39">
        <f t="shared" si="1484"/>
        <v>48968</v>
      </c>
      <c r="E9321" s="1">
        <v>3</v>
      </c>
      <c r="F9321" s="39">
        <f t="shared" si="1485"/>
        <v>941</v>
      </c>
      <c r="G9321" s="168">
        <f>SUM(C9321,C9297,C9273,C9249,C9225,C9201,C9177,C9153,C9129,C9105,C9081,C9057,C9033,C9009)/POBLA!$B$8*100000</f>
        <v>163.49666404754535</v>
      </c>
      <c r="H9321" s="256">
        <f t="shared" si="1490"/>
        <v>1.3337257210123603</v>
      </c>
      <c r="I9321" s="297">
        <f t="shared" si="1495"/>
        <v>218.05970613992807</v>
      </c>
      <c r="J9321" s="297">
        <f t="shared" si="1496"/>
        <v>160</v>
      </c>
      <c r="K9321" s="297">
        <f>J9321/POBLA!$B$8*100000</f>
        <v>11.544336384645744</v>
      </c>
      <c r="L9321" s="549">
        <f t="shared" si="1494"/>
        <v>2.2687609075043635E-2</v>
      </c>
      <c r="M9321" s="401">
        <f>SUM(C9321,C9297,C9273,C9249,C9225,C9201,C9177)/POBLA!$B$8*100000</f>
        <v>80.810354692520207</v>
      </c>
    </row>
    <row r="9322" spans="1:13" s="360" customFormat="1" x14ac:dyDescent="0.25">
      <c r="A9322" s="367" t="s">
        <v>41</v>
      </c>
      <c r="B9322" s="267">
        <v>44281</v>
      </c>
      <c r="C9322" s="17">
        <v>89</v>
      </c>
      <c r="D9322" s="39">
        <f t="shared" si="1484"/>
        <v>1915</v>
      </c>
      <c r="E9322" s="1">
        <v>1</v>
      </c>
      <c r="F9322" s="39">
        <f t="shared" si="1485"/>
        <v>28</v>
      </c>
      <c r="G9322" s="168">
        <f>SUM(C9322,C9298,C9274,C9250,C9226,C9202,C9178,C9154,C9130,C9106,C9082,C9058,C9034,C9010)/POBLA!$B$9*100000</f>
        <v>68.077456282541263</v>
      </c>
      <c r="H9322" s="256">
        <f t="shared" si="1490"/>
        <v>1.3966101694915254</v>
      </c>
      <c r="I9322" s="297">
        <f t="shared" si="1495"/>
        <v>95.077667757311858</v>
      </c>
      <c r="J9322" s="297">
        <f t="shared" si="1496"/>
        <v>32.857142857142854</v>
      </c>
      <c r="K9322" s="297">
        <f>J9322/POBLA!$B$9*100000</f>
        <v>5.4292007437532908</v>
      </c>
      <c r="L9322" s="549">
        <f t="shared" si="1494"/>
        <v>-0.26373626373626369</v>
      </c>
      <c r="M9322" s="401">
        <f>SUM(C9322,C9298,C9274,C9250,C9226,C9202,C9178)/POBLA!$B$9*100000</f>
        <v>38.004405206273042</v>
      </c>
    </row>
    <row r="9323" spans="1:13" s="360" customFormat="1" x14ac:dyDescent="0.25">
      <c r="A9323" s="367" t="s">
        <v>32</v>
      </c>
      <c r="B9323" s="267">
        <v>44281</v>
      </c>
      <c r="C9323" s="17">
        <v>56</v>
      </c>
      <c r="D9323" s="39">
        <f t="shared" si="1484"/>
        <v>22208</v>
      </c>
      <c r="E9323" s="1"/>
      <c r="F9323" s="39">
        <f t="shared" si="1485"/>
        <v>955</v>
      </c>
      <c r="G9323" s="168">
        <f>SUM(C9323,C9299,C9275,C9251,C9227,C9203,C9179,C9155,C9131,C9107,C9083,C9059,C9035,C9011)/POBLA!$B$10*100000</f>
        <v>80.816624096326152</v>
      </c>
      <c r="H9323" s="256">
        <f t="shared" si="1490"/>
        <v>0.6162215628090999</v>
      </c>
      <c r="I9323" s="297">
        <f t="shared" si="1495"/>
        <v>49.800946401593663</v>
      </c>
      <c r="J9323" s="297">
        <f t="shared" si="1496"/>
        <v>38.142857142857146</v>
      </c>
      <c r="K9323" s="297">
        <f>J9323/POBLA!$B$10*100000</f>
        <v>4.9479565773260914</v>
      </c>
      <c r="L9323" s="549">
        <f t="shared" si="1494"/>
        <v>0.25</v>
      </c>
      <c r="M9323" s="401">
        <f>SUM(C9323,C9299,C9275,C9251,C9227,C9203,C9179)/POBLA!$B$10*100000</f>
        <v>34.635696041282635</v>
      </c>
    </row>
    <row r="9324" spans="1:13" s="360" customFormat="1" x14ac:dyDescent="0.25">
      <c r="A9324" s="367" t="s">
        <v>33</v>
      </c>
      <c r="B9324" s="267">
        <v>44281</v>
      </c>
      <c r="C9324" s="17">
        <v>100</v>
      </c>
      <c r="D9324" s="39">
        <f t="shared" si="1484"/>
        <v>20904</v>
      </c>
      <c r="E9324" s="1">
        <v>1</v>
      </c>
      <c r="F9324" s="39">
        <f t="shared" si="1485"/>
        <v>315</v>
      </c>
      <c r="G9324" s="168">
        <f>SUM(C9324,C9300,C9276,C9252,C9228,C9204,C9180,C9156,C9132,C9108,C9084,C9060,C9036,C9012)/POBLA!$B$11*100000</f>
        <v>330.88932784269088</v>
      </c>
      <c r="H9324" s="256">
        <f t="shared" si="1490"/>
        <v>1.051418439716312</v>
      </c>
      <c r="I9324" s="297">
        <f t="shared" si="1495"/>
        <v>347.90314079914128</v>
      </c>
      <c r="J9324" s="297">
        <f t="shared" si="1496"/>
        <v>75</v>
      </c>
      <c r="K9324" s="297">
        <f>J9324/POBLA!$B$11*100000</f>
        <v>20.924704543171849</v>
      </c>
      <c r="L9324" s="549">
        <f t="shared" si="1494"/>
        <v>0.20574886535552195</v>
      </c>
      <c r="M9324" s="401">
        <f>SUM(C9324,C9300,C9276,C9252,C9228,C9204,C9180)/POBLA!$B$11*100000</f>
        <v>146.47293180220296</v>
      </c>
    </row>
    <row r="9325" spans="1:13" s="360" customFormat="1" x14ac:dyDescent="0.25">
      <c r="A9325" s="367" t="s">
        <v>21</v>
      </c>
      <c r="B9325" s="267">
        <v>44281</v>
      </c>
      <c r="C9325" s="17">
        <v>27</v>
      </c>
      <c r="D9325" s="39">
        <f t="shared" si="1484"/>
        <v>10825</v>
      </c>
      <c r="E9325" s="1"/>
      <c r="F9325" s="39">
        <f t="shared" si="1485"/>
        <v>448</v>
      </c>
      <c r="G9325" s="168">
        <f>SUM(C9325,C9301,C9277,C9253,C9229,C9205,C9181,C9157,C9133,C9109,C9085,C9061,C9037,C9013)/POBLA!$B$12*100000</f>
        <v>86.143150094909927</v>
      </c>
      <c r="H9325" s="256">
        <f t="shared" si="1490"/>
        <v>1.0694006309148265</v>
      </c>
      <c r="I9325" s="297">
        <f t="shared" si="1495"/>
        <v>92.121539060487279</v>
      </c>
      <c r="J9325" s="297">
        <f t="shared" si="1496"/>
        <v>25.571428571428573</v>
      </c>
      <c r="K9325" s="297">
        <f>J9325/POBLA!$B$12*100000</f>
        <v>6.4979451609729786</v>
      </c>
      <c r="L9325" s="549">
        <f t="shared" si="1494"/>
        <v>-0.11874999999999991</v>
      </c>
      <c r="M9325" s="401">
        <f>SUM(C9325,C9301,C9277,C9253,C9229,C9205,C9181)/POBLA!$B$12*100000</f>
        <v>45.485616126810847</v>
      </c>
    </row>
    <row r="9326" spans="1:13" s="360" customFormat="1" x14ac:dyDescent="0.25">
      <c r="A9326" s="367" t="s">
        <v>17</v>
      </c>
      <c r="B9326" s="267">
        <v>44281</v>
      </c>
      <c r="C9326" s="17">
        <v>336</v>
      </c>
      <c r="D9326" s="39">
        <f t="shared" si="1484"/>
        <v>71518</v>
      </c>
      <c r="E9326" s="1">
        <v>2</v>
      </c>
      <c r="F9326" s="39">
        <f t="shared" si="1485"/>
        <v>1498</v>
      </c>
      <c r="G9326" s="168">
        <f>SUM(C9326,C9302,C9278,C9254,C9230,C9206,C9182,C9158,C9134,C9110,C9086,C9062,C9038,C9014)/POBLA!$B$13*100000</f>
        <v>117.81918448022395</v>
      </c>
      <c r="H9326" s="256">
        <f t="shared" si="1490"/>
        <v>1.1119013750592699</v>
      </c>
      <c r="I9326" s="297">
        <f t="shared" si="1495"/>
        <v>131.00331323192282</v>
      </c>
      <c r="J9326" s="297">
        <f t="shared" si="1496"/>
        <v>182.85714285714286</v>
      </c>
      <c r="K9326" s="297">
        <f>J9326/POBLA!$B$13*100000</f>
        <v>9.187240702691847</v>
      </c>
      <c r="L9326" s="549">
        <f t="shared" si="1494"/>
        <v>-0.2018779342723005</v>
      </c>
      <c r="M9326" s="401">
        <f>SUM(C9326,C9302,C9278,C9254,C9230,C9206,C9182)/POBLA!$B$13*100000</f>
        <v>64.310684918842924</v>
      </c>
    </row>
    <row r="9327" spans="1:13" s="360" customFormat="1" x14ac:dyDescent="0.25">
      <c r="A9327" s="367" t="s">
        <v>23</v>
      </c>
      <c r="B9327" s="267">
        <v>44281</v>
      </c>
      <c r="C9327" s="17">
        <v>150</v>
      </c>
      <c r="D9327" s="39">
        <f t="shared" si="1484"/>
        <v>11437</v>
      </c>
      <c r="E9327" s="1">
        <v>1</v>
      </c>
      <c r="F9327" s="39">
        <f t="shared" si="1485"/>
        <v>194</v>
      </c>
      <c r="G9327" s="168">
        <f>SUM(C9327,C9303,C9279,C9255,C9231,C9207,C9183,C9159,C9135,C9111,C9087,C9063,C9039,C9015)/POBLA!$B$14*100000</f>
        <v>135.4164849749543</v>
      </c>
      <c r="H9327" s="256">
        <f t="shared" si="1490"/>
        <v>1.0332728372655777</v>
      </c>
      <c r="I9327" s="297">
        <f t="shared" si="1495"/>
        <v>139.9221756426025</v>
      </c>
      <c r="J9327" s="297">
        <f t="shared" si="1496"/>
        <v>122.28571428571429</v>
      </c>
      <c r="K9327" s="297">
        <f>J9327/POBLA!$B$14*100000</f>
        <v>9.6952585428705991</v>
      </c>
      <c r="L9327" s="549">
        <f t="shared" si="1494"/>
        <v>-4.6948356807512415E-3</v>
      </c>
      <c r="M9327" s="401">
        <f>SUM(C9327,C9303,C9279,C9255,C9231,C9207,C9183)/POBLA!$B$14*100000</f>
        <v>67.866809800094188</v>
      </c>
    </row>
    <row r="9328" spans="1:13" s="360" customFormat="1" x14ac:dyDescent="0.25">
      <c r="A9328" s="367" t="s">
        <v>19</v>
      </c>
      <c r="B9328" s="267">
        <v>44281</v>
      </c>
      <c r="C9328" s="17">
        <v>148</v>
      </c>
      <c r="D9328" s="39">
        <f t="shared" si="1484"/>
        <v>64698</v>
      </c>
      <c r="E9328" s="1">
        <v>6</v>
      </c>
      <c r="F9328" s="39">
        <f t="shared" si="1485"/>
        <v>1003</v>
      </c>
      <c r="G9328" s="168">
        <f>SUM(C9328,C9304,C9280,C9256,C9232,C9208,C9184,C9160,C9136,C9112,C9088,C9064,C9040,C9016)/POBLA!$B$15*100000</f>
        <v>247.11734083068168</v>
      </c>
      <c r="H9328" s="256">
        <f t="shared" si="1490"/>
        <v>0.80323054331864907</v>
      </c>
      <c r="I9328" s="297">
        <f t="shared" si="1495"/>
        <v>198.49219593888824</v>
      </c>
      <c r="J9328" s="297">
        <f t="shared" si="1496"/>
        <v>112.71428571428571</v>
      </c>
      <c r="K9328" s="297">
        <f>J9328/POBLA!$B$15*100000</f>
        <v>16.973585959380852</v>
      </c>
      <c r="L9328" s="549">
        <f t="shared" si="1494"/>
        <v>7.3943661971830998E-2</v>
      </c>
      <c r="M9328" s="401">
        <f>SUM(C9328,C9304,C9280,C9256,C9232,C9208,C9184)/POBLA!$B$15*100000</f>
        <v>118.81510171566597</v>
      </c>
    </row>
    <row r="9329" spans="1:13" s="360" customFormat="1" x14ac:dyDescent="0.25">
      <c r="A9329" s="367" t="s">
        <v>18</v>
      </c>
      <c r="B9329" s="267">
        <v>44281</v>
      </c>
      <c r="C9329" s="17">
        <v>123</v>
      </c>
      <c r="D9329" s="39">
        <f t="shared" si="1484"/>
        <v>54909</v>
      </c>
      <c r="E9329" s="1"/>
      <c r="F9329" s="39">
        <f t="shared" si="1485"/>
        <v>1269</v>
      </c>
      <c r="G9329" s="168">
        <f>SUM(C9329,C9305,C9281,C9257,C9233,C9209,C9185,C9161,C9137,C9113,C9089,C9065,C9041,C9017)/POBLA!$B$16*100000</f>
        <v>159.84269873329677</v>
      </c>
      <c r="H9329" s="256">
        <f t="shared" si="1490"/>
        <v>0.78155657292347935</v>
      </c>
      <c r="I9329" s="297">
        <f t="shared" si="1495"/>
        <v>124.9261118288356</v>
      </c>
      <c r="J9329" s="297">
        <f t="shared" si="1496"/>
        <v>87.714285714285708</v>
      </c>
      <c r="K9329" s="297">
        <f>J9329/POBLA!$B$16*100000</f>
        <v>11.732626063627521</v>
      </c>
      <c r="L9329" s="549">
        <f t="shared" si="1494"/>
        <v>-5.6798623063683218E-2</v>
      </c>
      <c r="M9329" s="401">
        <f>SUM(C9329,C9305,C9281,C9257,C9233,C9209,C9185)/POBLA!$B$16*100000</f>
        <v>82.128382445392646</v>
      </c>
    </row>
    <row r="9330" spans="1:13" s="360" customFormat="1" x14ac:dyDescent="0.25">
      <c r="A9330" s="367" t="s">
        <v>34</v>
      </c>
      <c r="B9330" s="267">
        <v>44281</v>
      </c>
      <c r="C9330" s="17">
        <v>136</v>
      </c>
      <c r="D9330" s="39">
        <f t="shared" ref="D9330:D9393" si="1497">C9330+D9306</f>
        <v>28822</v>
      </c>
      <c r="E9330" s="1">
        <v>1</v>
      </c>
      <c r="F9330" s="39">
        <f t="shared" ref="F9330:F9393" si="1498">E9330+F9306</f>
        <v>1197</v>
      </c>
      <c r="G9330" s="168">
        <f>SUM(C9330,C9306,C9282,C9258,C9234,C9210,C9186,C9162,C9138,C9114,C9090,C9066,C9042,C9018)/POBLA!$B$17*100000</f>
        <v>96.181050648098818</v>
      </c>
      <c r="H9330" s="256">
        <f t="shared" ref="H9330:H9337" si="1499">SUM(C9330,C9306,C9282,C9258,C9234,C9210,C9186,C9162,C9138,C9114,C9090,C9066,C9042,C9018)/SUM(C8994,C8970,C8946,C8922,C8898,C8874,C8850,C8826,C8802,C8778,C8754,C8730,C8706,C8682)</f>
        <v>0.9102990033222591</v>
      </c>
      <c r="I9330" s="297">
        <f t="shared" si="1495"/>
        <v>87.553514543452081</v>
      </c>
      <c r="J9330" s="297">
        <f t="shared" si="1496"/>
        <v>96.142857142857139</v>
      </c>
      <c r="K9330" s="297">
        <f>J9330/POBLA!$B$17*100000</f>
        <v>6.749723366649687</v>
      </c>
      <c r="L9330" s="549">
        <f t="shared" si="1494"/>
        <v>3.4433285509325673E-2</v>
      </c>
      <c r="M9330" s="401">
        <f>SUM(C9330,C9306,C9282,C9258,C9234,C9210,C9186)/POBLA!$B$17*100000</f>
        <v>47.248063566547813</v>
      </c>
    </row>
    <row r="9331" spans="1:13" s="360" customFormat="1" x14ac:dyDescent="0.25">
      <c r="A9331" s="367" t="s">
        <v>35</v>
      </c>
      <c r="B9331" s="267">
        <v>44281</v>
      </c>
      <c r="C9331" s="17">
        <v>158</v>
      </c>
      <c r="D9331" s="39">
        <f t="shared" si="1497"/>
        <v>16772</v>
      </c>
      <c r="E9331" s="1"/>
      <c r="F9331" s="39">
        <f t="shared" si="1498"/>
        <v>223</v>
      </c>
      <c r="G9331" s="168">
        <f>SUM(C9331,C9307,C9283,C9259,C9235,C9211,C9187,C9163,C9139,C9115,C9091,C9067,C9043,C9019)/POBLA!$B$18*100000</f>
        <v>116.86893654387961</v>
      </c>
      <c r="H9331" s="256">
        <f t="shared" si="1499"/>
        <v>1.4446202531645569</v>
      </c>
      <c r="I9331" s="297">
        <f t="shared" si="1495"/>
        <v>168.83123269709191</v>
      </c>
      <c r="J9331" s="297">
        <f t="shared" si="1496"/>
        <v>71.714285714285708</v>
      </c>
      <c r="K9331" s="297">
        <f>J9331/POBLA!$B$18*100000</f>
        <v>9.1798163268702186</v>
      </c>
      <c r="L9331" s="549">
        <f t="shared" si="1494"/>
        <v>-0.22141119221411198</v>
      </c>
      <c r="M9331" s="401">
        <f>SUM(C9331,C9307,C9283,C9259,C9235,C9211,C9187)/POBLA!$B$18*100000</f>
        <v>64.258714288091539</v>
      </c>
    </row>
    <row r="9332" spans="1:13" s="360" customFormat="1" x14ac:dyDescent="0.25">
      <c r="A9332" s="367" t="s">
        <v>36</v>
      </c>
      <c r="B9332" s="267">
        <v>44281</v>
      </c>
      <c r="C9332" s="17">
        <v>417</v>
      </c>
      <c r="D9332" s="39">
        <f t="shared" si="1497"/>
        <v>22062</v>
      </c>
      <c r="E9332" s="1">
        <v>17</v>
      </c>
      <c r="F9332" s="39">
        <f t="shared" si="1498"/>
        <v>402</v>
      </c>
      <c r="G9332" s="168">
        <f>SUM(C9332,C9308,C9284,C9260,C9236,C9212,C9188,C9164,C9140,C9116,C9092,C9068,C9044,C9020)/POBLA!$B$19*100000</f>
        <v>107.6076863757259</v>
      </c>
      <c r="H9332" s="256">
        <f t="shared" si="1499"/>
        <v>0.72068511198945984</v>
      </c>
      <c r="I9332" s="297">
        <f t="shared" si="1495"/>
        <v>77.551257506616693</v>
      </c>
      <c r="J9332" s="297">
        <f t="shared" si="1496"/>
        <v>73</v>
      </c>
      <c r="K9332" s="297">
        <f>J9332/POBLA!$B$19*100000</f>
        <v>14.360806408460681</v>
      </c>
      <c r="L9332" s="549">
        <f t="shared" si="1494"/>
        <v>-13.194444444444445</v>
      </c>
      <c r="M9332" s="401">
        <f>SUM(C9332,C9308,C9284,C9260,C9236,C9212,C9188)/POBLA!$B$19*100000</f>
        <v>100.52564485922476</v>
      </c>
    </row>
    <row r="9333" spans="1:13" s="360" customFormat="1" x14ac:dyDescent="0.25">
      <c r="A9333" s="367" t="s">
        <v>37</v>
      </c>
      <c r="B9333" s="267">
        <v>44281</v>
      </c>
      <c r="C9333" s="17">
        <v>104</v>
      </c>
      <c r="D9333" s="39">
        <f t="shared" si="1497"/>
        <v>38710</v>
      </c>
      <c r="E9333" s="1">
        <v>10</v>
      </c>
      <c r="F9333" s="39">
        <f t="shared" si="1498"/>
        <v>636</v>
      </c>
      <c r="G9333" s="168">
        <f>SUM(C9333,C9309,C9285,C9261,C9237,C9213,C9189,C9165,C9141,C9117,C9093,C9069,C9045,C9021)/POBLA!$B$20*100000</f>
        <v>406.07277042805811</v>
      </c>
      <c r="H9333" s="256">
        <f t="shared" si="1499"/>
        <v>1.0622317596566524</v>
      </c>
      <c r="I9333" s="297">
        <f t="shared" si="1495"/>
        <v>431.34339348044801</v>
      </c>
      <c r="J9333" s="297">
        <f t="shared" si="1496"/>
        <v>102.28571428571429</v>
      </c>
      <c r="K9333" s="297">
        <f>J9333/POBLA!$B$20*100000</f>
        <v>27.969995538863845</v>
      </c>
      <c r="L9333" s="549">
        <f t="shared" si="1494"/>
        <v>6.8920676202860909E-2</v>
      </c>
      <c r="M9333" s="401">
        <f>SUM(C9333,C9309,C9285,C9261,C9237,C9213,C9189)/POBLA!$B$20*100000</f>
        <v>195.78996877204685</v>
      </c>
    </row>
    <row r="9334" spans="1:13" s="360" customFormat="1" x14ac:dyDescent="0.25">
      <c r="A9334" s="367" t="s">
        <v>22</v>
      </c>
      <c r="B9334" s="267">
        <v>44281</v>
      </c>
      <c r="C9334" s="17">
        <v>652</v>
      </c>
      <c r="D9334" s="39">
        <f t="shared" si="1497"/>
        <v>228237</v>
      </c>
      <c r="E9334" s="1">
        <v>8</v>
      </c>
      <c r="F9334" s="39">
        <f t="shared" si="1498"/>
        <v>4237</v>
      </c>
      <c r="G9334" s="168">
        <f>SUM(C9334,C9310,C9286,C9262,C9238,C9214,C9190,C9166,C9142,C9118,C9094,C9070,C9046,C9022)/POBLA!$B$21*100000</f>
        <v>186.17708653219162</v>
      </c>
      <c r="H9334" s="256">
        <f t="shared" si="1499"/>
        <v>1.1571177504393673</v>
      </c>
      <c r="I9334" s="297">
        <f t="shared" si="1495"/>
        <v>215.42881155148498</v>
      </c>
      <c r="J9334" s="297">
        <f t="shared" si="1496"/>
        <v>486.14285714285717</v>
      </c>
      <c r="K9334" s="297">
        <f>J9334/POBLA!$B$21*100000</f>
        <v>13.746758927899846</v>
      </c>
      <c r="L9334" s="549">
        <f t="shared" si="1494"/>
        <v>-6.9789374410562655E-2</v>
      </c>
      <c r="M9334" s="401">
        <f>SUM(C9334,C9310,C9286,C9262,C9238,C9214,C9190)/POBLA!$B$21*100000</f>
        <v>96.227312495298918</v>
      </c>
    </row>
    <row r="9335" spans="1:13" s="360" customFormat="1" x14ac:dyDescent="0.25">
      <c r="A9335" s="367" t="s">
        <v>38</v>
      </c>
      <c r="B9335" s="267">
        <v>44281</v>
      </c>
      <c r="C9335" s="17">
        <v>104</v>
      </c>
      <c r="D9335" s="39">
        <f t="shared" si="1497"/>
        <v>24572</v>
      </c>
      <c r="E9335" s="1"/>
      <c r="F9335" s="39">
        <f t="shared" si="1498"/>
        <v>288</v>
      </c>
      <c r="G9335" s="168">
        <f>SUM(C9335,C9311,C9287,C9263,C9239,C9215,C9191,C9167,C9143,C9119,C9095,C9071,C9047,C9023)/POBLA!$B$22*100000</f>
        <v>128.89535353204957</v>
      </c>
      <c r="H9335" s="256">
        <f t="shared" si="1499"/>
        <v>1.526634382566586</v>
      </c>
      <c r="I9335" s="297">
        <f t="shared" si="1495"/>
        <v>196.77607845510232</v>
      </c>
      <c r="J9335" s="297">
        <f t="shared" si="1496"/>
        <v>90.428571428571431</v>
      </c>
      <c r="K9335" s="297">
        <f>J9335/POBLA!$B$22*100000</f>
        <v>9.2433169577192</v>
      </c>
      <c r="L9335" s="549">
        <f t="shared" si="1494"/>
        <v>-7.9617834394904996E-3</v>
      </c>
      <c r="M9335" s="401">
        <f>SUM(C9335,C9311,C9287,C9263,C9239,C9215,C9191)/POBLA!$B$22*100000</f>
        <v>64.703218704034384</v>
      </c>
    </row>
    <row r="9336" spans="1:13" s="360" customFormat="1" x14ac:dyDescent="0.25">
      <c r="A9336" s="367" t="s">
        <v>39</v>
      </c>
      <c r="B9336" s="267">
        <v>44281</v>
      </c>
      <c r="C9336" s="17">
        <v>49</v>
      </c>
      <c r="D9336" s="39">
        <f t="shared" si="1497"/>
        <v>23818</v>
      </c>
      <c r="E9336" s="1"/>
      <c r="F9336" s="39">
        <f t="shared" si="1498"/>
        <v>364</v>
      </c>
      <c r="G9336" s="168">
        <f>SUM(C9336,C9312,C9288,C9264,C9240,C9216,C9192,C9168,C9144,C9120,C9096,C9072,C9048,C9024)/POBLA!$B$23*100000</f>
        <v>283.32296556014251</v>
      </c>
      <c r="H9336" s="256">
        <f t="shared" si="1499"/>
        <v>1.1843971631205674</v>
      </c>
      <c r="I9336" s="297">
        <f t="shared" si="1495"/>
        <v>335.566916656339</v>
      </c>
      <c r="J9336" s="297">
        <f t="shared" si="1496"/>
        <v>40.142857142857146</v>
      </c>
      <c r="K9336" s="297">
        <f>J9336/POBLA!$B$23*100000</f>
        <v>22.701383895751366</v>
      </c>
      <c r="L9336" s="549">
        <f t="shared" si="1494"/>
        <v>-0.27727272727272734</v>
      </c>
      <c r="M9336" s="401">
        <f>SUM(C9336,C9312,C9288,C9264,C9240,C9216,C9192)/POBLA!$B$23*100000</f>
        <v>158.90968727025955</v>
      </c>
    </row>
    <row r="9337" spans="1:13" s="360" customFormat="1" ht="15.75" thickBot="1" x14ac:dyDescent="0.3">
      <c r="A9337" s="369" t="s">
        <v>40</v>
      </c>
      <c r="B9337" s="267">
        <v>44281</v>
      </c>
      <c r="C9337" s="17">
        <v>680</v>
      </c>
      <c r="D9337" s="176">
        <f t="shared" si="1497"/>
        <v>85890</v>
      </c>
      <c r="E9337" s="1">
        <v>2</v>
      </c>
      <c r="F9337" s="176">
        <f t="shared" si="1498"/>
        <v>1500</v>
      </c>
      <c r="G9337" s="177">
        <f>SUM(C9337,C9313,C9289,C9265,C9241,C9217,C9193,C9169,C9145,C9121,C9097,C9073,C9049,C9025)/POBLA!$B$24*100000</f>
        <v>234.08880622380002</v>
      </c>
      <c r="H9337" s="402">
        <f t="shared" si="1499"/>
        <v>1.7376259307928166</v>
      </c>
      <c r="I9337" s="403">
        <f t="shared" si="1495"/>
        <v>406.75877980280978</v>
      </c>
      <c r="J9337" s="403">
        <f t="shared" si="1496"/>
        <v>318</v>
      </c>
      <c r="K9337" s="403">
        <f>J9337/POBLA!$B$24*100000</f>
        <v>18.764870274557197</v>
      </c>
      <c r="L9337" s="550">
        <f t="shared" si="1494"/>
        <v>-0.27857553130384827</v>
      </c>
      <c r="M9337" s="405">
        <f>SUM(C9337,C9313,C9289,C9265,C9241,C9217,C9193)/POBLA!$B$24*100000</f>
        <v>131.35409192190039</v>
      </c>
    </row>
    <row r="9338" spans="1:13" s="360" customFormat="1" x14ac:dyDescent="0.25">
      <c r="A9338" s="363" t="s">
        <v>16</v>
      </c>
      <c r="B9338" s="267">
        <v>44282</v>
      </c>
      <c r="C9338" s="17">
        <v>5325</v>
      </c>
      <c r="D9338" s="174">
        <f t="shared" si="1497"/>
        <v>964851</v>
      </c>
      <c r="E9338" s="1">
        <v>83</v>
      </c>
      <c r="F9338" s="174">
        <f t="shared" si="1498"/>
        <v>27907</v>
      </c>
      <c r="G9338" s="175">
        <f>SUM(C9338,C9314,C9290,C9266,C9242,C9218,C9194,C9170,C9146,C9122,C9098,C9074,C9050,C9026)/POBLA!$B$1*100000</f>
        <v>279.85636738225867</v>
      </c>
      <c r="H9338" s="300">
        <f t="shared" ref="H9338:H9393" si="1500">SUM(C9338,C9314,C9290,C9266,C9242,C9218,C9194,C9170,C9146,C9122,C9098,C9074,C9050,C9026)/SUM(C9002,C8978,C8954,C8930,C8906,C8882,C8858,C8834,C8810,C8786,C8762,C8738,C8714,C8690)</f>
        <v>1.3183478354280804</v>
      </c>
      <c r="I9338" s="301">
        <f>G9338*H9338</f>
        <v>368.94803616916636</v>
      </c>
      <c r="J9338" s="301">
        <f>AVERAGE(C9338,C9314,C9290,C9266,C9242,C9218,C9194)</f>
        <v>3896.5714285714284</v>
      </c>
      <c r="K9338" s="301">
        <f>J9338/POBLA!$B$1*100000</f>
        <v>22.213899475361544</v>
      </c>
      <c r="L9338" s="548">
        <f t="shared" ref="L9338:L9361" si="1501">1-SUM(C9338,C9314,C9290,C9266,C9242,C9218,C9194)/SUM(C9170,C9146,C9122,C9098,C9074,C9050,C9026)</f>
        <v>-0.25038965801778668</v>
      </c>
      <c r="M9338" s="400">
        <f>SUM(C9338,C9314,C9290,C9266,C9242,C9218,C9194)/POBLA!$B$1*100000</f>
        <v>155.49729632753079</v>
      </c>
    </row>
    <row r="9339" spans="1:13" s="360" customFormat="1" x14ac:dyDescent="0.25">
      <c r="A9339" s="367" t="s">
        <v>43</v>
      </c>
      <c r="B9339" s="267">
        <v>44282</v>
      </c>
      <c r="C9339" s="17">
        <v>1476</v>
      </c>
      <c r="D9339" s="39">
        <f t="shared" si="1497"/>
        <v>255461</v>
      </c>
      <c r="E9339" s="1">
        <v>23</v>
      </c>
      <c r="F9339" s="39">
        <f t="shared" si="1498"/>
        <v>6844</v>
      </c>
      <c r="G9339" s="168">
        <f>SUM(C9339,C9315,C9291,C9267,C9243,C9219,C9195,C9171,C9147,C9123,C9099,C9075,C9051,C9027)/POBLA!$B$2*100000</f>
        <v>457.17224934208946</v>
      </c>
      <c r="H9339" s="256">
        <f t="shared" si="1500"/>
        <v>1.4138763197586728</v>
      </c>
      <c r="I9339" s="297">
        <f t="shared" ref="I9339:I9361" si="1502">G9339*H9339</f>
        <v>646.38501739558774</v>
      </c>
      <c r="J9339" s="297">
        <f t="shared" ref="J9339:J9361" si="1503">AVERAGE(C9339,C9315,C9291,C9267,C9243,C9219,C9195)</f>
        <v>1125.8571428571429</v>
      </c>
      <c r="K9339" s="297">
        <f>J9339/POBLA!$B$2*100000</f>
        <v>36.6055502764994</v>
      </c>
      <c r="L9339" s="549">
        <f t="shared" si="1501"/>
        <v>-0.27524271844660197</v>
      </c>
      <c r="M9339" s="401">
        <f>SUM(C9339,C9315,C9291,C9267,C9243,C9219,C9195)/POBLA!$B$2*100000</f>
        <v>256.23885193549586</v>
      </c>
    </row>
    <row r="9340" spans="1:13" s="360" customFormat="1" x14ac:dyDescent="0.25">
      <c r="A9340" s="367" t="s">
        <v>28</v>
      </c>
      <c r="B9340" s="267">
        <v>44282</v>
      </c>
      <c r="C9340" s="17">
        <v>51</v>
      </c>
      <c r="D9340" s="39">
        <f t="shared" si="1497"/>
        <v>10146</v>
      </c>
      <c r="E9340" s="1"/>
      <c r="F9340" s="39">
        <f t="shared" si="1498"/>
        <v>18</v>
      </c>
      <c r="G9340" s="168">
        <f>SUM(C9340,C9316,C9292,C9268,C9244,C9220,C9196,C9172,C9148,C9124,C9100,C9076,C9052,C9028)/POBLA!$B$3*100000</f>
        <v>281.87118174071702</v>
      </c>
      <c r="H9340" s="256">
        <f t="shared" si="1500"/>
        <v>1.0317180616740087</v>
      </c>
      <c r="I9340" s="297">
        <f t="shared" si="1502"/>
        <v>290.81158926729478</v>
      </c>
      <c r="J9340" s="297">
        <f t="shared" si="1503"/>
        <v>71.142857142857139</v>
      </c>
      <c r="K9340" s="297">
        <f>J9340/POBLA!$B$3*100000</f>
        <v>17.124783275207648</v>
      </c>
      <c r="L9340" s="549">
        <f t="shared" si="1501"/>
        <v>0.26002971768202077</v>
      </c>
      <c r="M9340" s="401">
        <f>SUM(C9340,C9316,C9292,C9268,C9244,C9220,C9196)/POBLA!$B$3*100000</f>
        <v>119.87348292645352</v>
      </c>
    </row>
    <row r="9341" spans="1:13" s="360" customFormat="1" x14ac:dyDescent="0.25">
      <c r="A9341" s="367" t="s">
        <v>15</v>
      </c>
      <c r="B9341" s="267">
        <v>44282</v>
      </c>
      <c r="C9341" s="17">
        <v>229</v>
      </c>
      <c r="D9341" s="39">
        <f t="shared" si="1497"/>
        <v>37888</v>
      </c>
      <c r="E9341" s="1"/>
      <c r="F9341" s="39">
        <f t="shared" si="1498"/>
        <v>917</v>
      </c>
      <c r="G9341" s="168">
        <f>SUM(C9341,C9317,C9293,C9269,C9245,C9221,C9197,C9173,C9149,C9125,C9101,C9077,C9053,C9029)/POBLA!$B$4*100000</f>
        <v>168.77798265065283</v>
      </c>
      <c r="H9341" s="256">
        <f t="shared" si="1500"/>
        <v>1.1319599109131404</v>
      </c>
      <c r="I9341" s="297">
        <f t="shared" si="1502"/>
        <v>191.04991020533254</v>
      </c>
      <c r="J9341" s="297">
        <f t="shared" si="1503"/>
        <v>149.42857142857142</v>
      </c>
      <c r="K9341" s="297">
        <f>J9341/POBLA!$B$4*100000</f>
        <v>12.405436712288864</v>
      </c>
      <c r="L9341" s="549">
        <f t="shared" si="1501"/>
        <v>-5.9777102330293763E-2</v>
      </c>
      <c r="M9341" s="401">
        <f>SUM(C9341,C9317,C9293,C9269,C9245,C9221,C9197)/POBLA!$B$4*100000</f>
        <v>86.838056986022067</v>
      </c>
    </row>
    <row r="9342" spans="1:13" s="360" customFormat="1" x14ac:dyDescent="0.25">
      <c r="A9342" s="367" t="s">
        <v>29</v>
      </c>
      <c r="B9342" s="267">
        <v>44282</v>
      </c>
      <c r="C9342" s="17">
        <v>89</v>
      </c>
      <c r="D9342" s="39">
        <f t="shared" si="1497"/>
        <v>49492</v>
      </c>
      <c r="E9342" s="1"/>
      <c r="F9342" s="39">
        <f t="shared" si="1498"/>
        <v>854</v>
      </c>
      <c r="G9342" s="168">
        <f>SUM(C9342,C9318,C9294,C9270,C9246,C9222,C9198,C9174,C9150,C9126,C9102,C9078,C9054,C9030)/POBLA!$B$5*100000</f>
        <v>224.07325434495328</v>
      </c>
      <c r="H9342" s="256">
        <f t="shared" si="1500"/>
        <v>1.1340964840556009</v>
      </c>
      <c r="I9342" s="297">
        <f t="shared" si="1502"/>
        <v>254.12068992350791</v>
      </c>
      <c r="J9342" s="297">
        <f t="shared" si="1503"/>
        <v>108.85714285714286</v>
      </c>
      <c r="K9342" s="297">
        <f>J9342/POBLA!$B$5*100000</f>
        <v>17.586138614775404</v>
      </c>
      <c r="L9342" s="549">
        <f t="shared" si="1501"/>
        <v>-0.21920000000000006</v>
      </c>
      <c r="M9342" s="401">
        <f>SUM(C9342,C9318,C9294,C9270,C9246,C9222,C9198)/POBLA!$B$5*100000</f>
        <v>123.10297030342781</v>
      </c>
    </row>
    <row r="9343" spans="1:13" s="360" customFormat="1" x14ac:dyDescent="0.25">
      <c r="A9343" s="367" t="s">
        <v>30</v>
      </c>
      <c r="B9343" s="267">
        <v>44282</v>
      </c>
      <c r="C9343" s="17">
        <v>18</v>
      </c>
      <c r="D9343" s="39">
        <f t="shared" si="1497"/>
        <v>27911</v>
      </c>
      <c r="E9343" s="1"/>
      <c r="F9343" s="39">
        <f t="shared" si="1498"/>
        <v>325</v>
      </c>
      <c r="G9343" s="168">
        <f>SUM(C9343,C9319,C9295,C9271,C9247,C9223,C9199,C9175,C9151,C9127,C9103,C9079,C9055,C9031)/POBLA!$B$6*100000</f>
        <v>274.08969121191001</v>
      </c>
      <c r="H9343" s="256">
        <f t="shared" si="1500"/>
        <v>1.0101940151266031</v>
      </c>
      <c r="I9343" s="297">
        <f t="shared" si="1502"/>
        <v>276.88376567017019</v>
      </c>
      <c r="J9343" s="297">
        <f t="shared" si="1503"/>
        <v>220</v>
      </c>
      <c r="K9343" s="297">
        <f>J9343/POBLA!$B$6*100000</f>
        <v>19.628819032102935</v>
      </c>
      <c r="L9343" s="549">
        <f t="shared" si="1501"/>
        <v>-5.2219321148825326E-3</v>
      </c>
      <c r="M9343" s="401">
        <f>SUM(C9343,C9319,C9295,C9271,C9247,C9223,C9199)/POBLA!$B$6*100000</f>
        <v>137.40173322472054</v>
      </c>
    </row>
    <row r="9344" spans="1:13" s="360" customFormat="1" x14ac:dyDescent="0.25">
      <c r="A9344" s="367" t="s">
        <v>20</v>
      </c>
      <c r="B9344" s="267">
        <v>44282</v>
      </c>
      <c r="C9344" s="17">
        <v>803</v>
      </c>
      <c r="D9344" s="39">
        <f t="shared" si="1497"/>
        <v>177028</v>
      </c>
      <c r="E9344" s="1">
        <v>4</v>
      </c>
      <c r="F9344" s="39">
        <f t="shared" si="1498"/>
        <v>3008</v>
      </c>
      <c r="G9344" s="168">
        <f>SUM(C9344,C9320,C9296,C9272,C9248,C9224,C9200,C9176,C9152,C9128,C9104,C9080,C9056,C9032)/POBLA!$B$7*100000</f>
        <v>250.76786022949381</v>
      </c>
      <c r="H9344" s="256">
        <f t="shared" si="1500"/>
        <v>1.1708467842066055</v>
      </c>
      <c r="I9344" s="297">
        <f t="shared" si="1502"/>
        <v>293.61074273207436</v>
      </c>
      <c r="J9344" s="297">
        <f t="shared" si="1503"/>
        <v>747.71428571428567</v>
      </c>
      <c r="K9344" s="297">
        <f>J9344/POBLA!$B$7*100000</f>
        <v>19.883638546298599</v>
      </c>
      <c r="L9344" s="549">
        <f t="shared" si="1501"/>
        <v>-0.24737845567206862</v>
      </c>
      <c r="M9344" s="401">
        <f>SUM(C9344,C9320,C9296,C9272,C9248,C9224,C9200)/POBLA!$B$7*100000</f>
        <v>139.18546982409021</v>
      </c>
    </row>
    <row r="9345" spans="1:13" x14ac:dyDescent="0.25">
      <c r="A9345" s="367" t="s">
        <v>31</v>
      </c>
      <c r="B9345" s="267">
        <v>44282</v>
      </c>
      <c r="C9345" s="17">
        <v>169</v>
      </c>
      <c r="D9345" s="39">
        <f t="shared" si="1497"/>
        <v>49137</v>
      </c>
      <c r="F9345" s="39">
        <f t="shared" si="1498"/>
        <v>941</v>
      </c>
      <c r="G9345" s="168">
        <f>SUM(C9345,C9321,C9297,C9273,C9249,C9225,C9201,C9177,C9153,C9129,C9105,C9081,C9057,C9033)/POBLA!$B$8*100000</f>
        <v>167.89794229419152</v>
      </c>
      <c r="H9345" s="256">
        <f t="shared" si="1500"/>
        <v>1.3728613569321535</v>
      </c>
      <c r="I9345" s="297">
        <f t="shared" si="1502"/>
        <v>230.50059688412017</v>
      </c>
      <c r="J9345" s="297">
        <f t="shared" si="1503"/>
        <v>162.71428571428572</v>
      </c>
      <c r="K9345" s="297">
        <f>J9345/POBLA!$B$8*100000</f>
        <v>11.7401778054567</v>
      </c>
      <c r="L9345" s="549">
        <f t="shared" si="1501"/>
        <v>4.1245791245791197E-2</v>
      </c>
      <c r="M9345" s="401">
        <f>SUM(C9345,C9321,C9297,C9273,C9249,C9225,C9201)/POBLA!$B$8*100000</f>
        <v>82.181244638196887</v>
      </c>
    </row>
    <row r="9346" spans="1:13" s="360" customFormat="1" x14ac:dyDescent="0.25">
      <c r="A9346" s="367" t="s">
        <v>41</v>
      </c>
      <c r="B9346" s="267">
        <v>44282</v>
      </c>
      <c r="C9346" s="17">
        <v>32</v>
      </c>
      <c r="D9346" s="39">
        <f t="shared" si="1497"/>
        <v>1947</v>
      </c>
      <c r="E9346" s="1">
        <v>2</v>
      </c>
      <c r="F9346" s="39">
        <f t="shared" si="1498"/>
        <v>30</v>
      </c>
      <c r="G9346" s="168">
        <f>SUM(C9346,C9322,C9298,C9274,C9250,C9226,C9202,C9178,C9154,C9130,C9106,C9082,C9058,C9034)/POBLA!$B$9*100000</f>
        <v>70.225531359417573</v>
      </c>
      <c r="H9346" s="256">
        <f t="shared" si="1500"/>
        <v>1.4072847682119205</v>
      </c>
      <c r="I9346" s="297">
        <f t="shared" si="1502"/>
        <v>98.827320621696913</v>
      </c>
      <c r="J9346" s="297">
        <f t="shared" si="1503"/>
        <v>36.857142857142854</v>
      </c>
      <c r="K9346" s="297">
        <f>J9346/POBLA!$B$9*100000</f>
        <v>6.0901469212536918</v>
      </c>
      <c r="L9346" s="549">
        <f t="shared" si="1501"/>
        <v>-0.54491017964071853</v>
      </c>
      <c r="M9346" s="401">
        <f>SUM(C9346,C9322,C9298,C9274,C9250,C9226,C9202)/POBLA!$B$9*100000</f>
        <v>42.631028448775844</v>
      </c>
    </row>
    <row r="9347" spans="1:13" s="360" customFormat="1" x14ac:dyDescent="0.25">
      <c r="A9347" s="367" t="s">
        <v>32</v>
      </c>
      <c r="B9347" s="267">
        <v>44282</v>
      </c>
      <c r="C9347" s="17">
        <v>41</v>
      </c>
      <c r="D9347" s="39">
        <f t="shared" si="1497"/>
        <v>22249</v>
      </c>
      <c r="E9347" s="1">
        <v>3</v>
      </c>
      <c r="F9347" s="39">
        <f t="shared" si="1498"/>
        <v>958</v>
      </c>
      <c r="G9347" s="168">
        <f>SUM(C9347,C9323,C9299,C9275,C9251,C9227,C9203,C9179,C9155,C9131,C9107,C9083,C9059,C9035)/POBLA!$B$10*100000</f>
        <v>82.632728008603152</v>
      </c>
      <c r="H9347" s="256">
        <f t="shared" si="1500"/>
        <v>0.67407407407407405</v>
      </c>
      <c r="I9347" s="297">
        <f t="shared" si="1502"/>
        <v>55.700579620613972</v>
      </c>
      <c r="J9347" s="297">
        <f t="shared" si="1503"/>
        <v>39.428571428571431</v>
      </c>
      <c r="K9347" s="297">
        <f>J9347/POBLA!$B$10*100000</f>
        <v>5.114741630494386</v>
      </c>
      <c r="L9347" s="549">
        <f t="shared" si="1501"/>
        <v>0.23545706371191133</v>
      </c>
      <c r="M9347" s="401">
        <f>SUM(C9347,C9323,C9299,C9275,C9251,C9227,C9203)/POBLA!$B$10*100000</f>
        <v>35.803191413460702</v>
      </c>
    </row>
    <row r="9348" spans="1:13" s="360" customFormat="1" x14ac:dyDescent="0.25">
      <c r="A9348" s="367" t="s">
        <v>33</v>
      </c>
      <c r="B9348" s="267">
        <v>44282</v>
      </c>
      <c r="C9348" s="17">
        <v>106</v>
      </c>
      <c r="D9348" s="39">
        <f t="shared" si="1497"/>
        <v>21010</v>
      </c>
      <c r="E9348" s="1"/>
      <c r="F9348" s="39">
        <f t="shared" si="1498"/>
        <v>315</v>
      </c>
      <c r="G9348" s="168">
        <f>SUM(C9348,C9324,C9300,C9276,C9252,C9228,C9204,C9180,C9156,C9132,C9108,C9084,C9060,C9036)/POBLA!$B$11*100000</f>
        <v>333.95828450902275</v>
      </c>
      <c r="H9348" s="256">
        <f t="shared" si="1500"/>
        <v>1.023076923076923</v>
      </c>
      <c r="I9348" s="297">
        <f t="shared" si="1502"/>
        <v>341.66501415153863</v>
      </c>
      <c r="J9348" s="297">
        <f t="shared" si="1503"/>
        <v>81</v>
      </c>
      <c r="K9348" s="297">
        <f>J9348/POBLA!$B$11*100000</f>
        <v>22.598680906625599</v>
      </c>
      <c r="L9348" s="549">
        <f t="shared" si="1501"/>
        <v>9.9999999999999978E-2</v>
      </c>
      <c r="M9348" s="401">
        <f>SUM(C9348,C9324,C9300,C9276,C9252,C9228,C9204)/POBLA!$B$11*100000</f>
        <v>158.19076634637921</v>
      </c>
    </row>
    <row r="9349" spans="1:13" s="360" customFormat="1" x14ac:dyDescent="0.25">
      <c r="A9349" s="367" t="s">
        <v>21</v>
      </c>
      <c r="B9349" s="267">
        <v>44282</v>
      </c>
      <c r="C9349" s="17">
        <v>30</v>
      </c>
      <c r="D9349" s="39">
        <f t="shared" si="1497"/>
        <v>10855</v>
      </c>
      <c r="E9349" s="1"/>
      <c r="F9349" s="39">
        <f t="shared" si="1498"/>
        <v>448</v>
      </c>
      <c r="G9349" s="168">
        <f>SUM(C9349,C9325,C9301,C9277,C9253,C9229,C9205,C9181,C9157,C9133,C9109,C9085,C9061,C9037)/POBLA!$B$12*100000</f>
        <v>88.938355555216745</v>
      </c>
      <c r="H9349" s="256">
        <f t="shared" si="1500"/>
        <v>1.0574018126888218</v>
      </c>
      <c r="I9349" s="297">
        <f t="shared" si="1502"/>
        <v>94.043578381649127</v>
      </c>
      <c r="J9349" s="297">
        <f t="shared" si="1503"/>
        <v>26</v>
      </c>
      <c r="K9349" s="297">
        <f>J9349/POBLA!$B$12*100000</f>
        <v>6.6068492698161005</v>
      </c>
      <c r="L9349" s="549">
        <f t="shared" si="1501"/>
        <v>-8.3333333333333259E-2</v>
      </c>
      <c r="M9349" s="401">
        <f>SUM(C9349,C9325,C9301,C9277,C9253,C9229,C9205)/POBLA!$B$12*100000</f>
        <v>46.247944888712709</v>
      </c>
    </row>
    <row r="9350" spans="1:13" s="360" customFormat="1" x14ac:dyDescent="0.25">
      <c r="A9350" s="367" t="s">
        <v>17</v>
      </c>
      <c r="B9350" s="267">
        <v>44282</v>
      </c>
      <c r="C9350" s="17">
        <v>208</v>
      </c>
      <c r="D9350" s="39">
        <f t="shared" si="1497"/>
        <v>71726</v>
      </c>
      <c r="E9350" s="1"/>
      <c r="F9350" s="39">
        <f t="shared" si="1498"/>
        <v>1498</v>
      </c>
      <c r="G9350" s="168">
        <f>SUM(C9350,C9326,C9302,C9278,C9254,C9230,C9206,C9182,C9158,C9134,C9110,C9086,C9062,C9038)/POBLA!$B$13*100000</f>
        <v>121.48690322950173</v>
      </c>
      <c r="H9350" s="256">
        <f t="shared" si="1500"/>
        <v>1.138954309938766</v>
      </c>
      <c r="I9350" s="297">
        <f t="shared" si="1502"/>
        <v>138.3680320343548</v>
      </c>
      <c r="J9350" s="297">
        <f t="shared" si="1503"/>
        <v>192.57142857142858</v>
      </c>
      <c r="K9350" s="297">
        <f>J9350/POBLA!$B$13*100000</f>
        <v>9.6753128650223523</v>
      </c>
      <c r="L9350" s="549">
        <f t="shared" si="1501"/>
        <v>-0.25981308411214954</v>
      </c>
      <c r="M9350" s="401">
        <f>SUM(C9350,C9326,C9302,C9278,C9254,C9230,C9206)/POBLA!$B$13*100000</f>
        <v>67.72719005515647</v>
      </c>
    </row>
    <row r="9351" spans="1:13" s="360" customFormat="1" x14ac:dyDescent="0.25">
      <c r="A9351" s="367" t="s">
        <v>23</v>
      </c>
      <c r="B9351" s="267">
        <v>44282</v>
      </c>
      <c r="C9351" s="17">
        <v>119</v>
      </c>
      <c r="D9351" s="39">
        <f t="shared" si="1497"/>
        <v>11556</v>
      </c>
      <c r="E9351" s="1">
        <v>2</v>
      </c>
      <c r="F9351" s="39">
        <f t="shared" si="1498"/>
        <v>196</v>
      </c>
      <c r="G9351" s="168">
        <f>SUM(C9351,C9327,C9303,C9279,C9255,C9231,C9207,C9183,C9159,C9135,C9111,C9087,C9063,C9039)/POBLA!$B$14*100000</f>
        <v>135.4164849749543</v>
      </c>
      <c r="H9351" s="256">
        <f t="shared" si="1500"/>
        <v>1.037037037037037</v>
      </c>
      <c r="I9351" s="297">
        <f t="shared" si="1502"/>
        <v>140.43191034439704</v>
      </c>
      <c r="J9351" s="297">
        <f t="shared" si="1503"/>
        <v>126</v>
      </c>
      <c r="K9351" s="297">
        <f>J9351/POBLA!$B$14*100000</f>
        <v>9.989740694873678</v>
      </c>
      <c r="L9351" s="549">
        <f t="shared" si="1501"/>
        <v>-6.7796610169491567E-2</v>
      </c>
      <c r="M9351" s="401">
        <f>SUM(C9351,C9327,C9303,C9279,C9255,C9231,C9207)/POBLA!$B$14*100000</f>
        <v>69.928184864115735</v>
      </c>
    </row>
    <row r="9352" spans="1:13" s="360" customFormat="1" x14ac:dyDescent="0.25">
      <c r="A9352" s="367" t="s">
        <v>19</v>
      </c>
      <c r="B9352" s="267">
        <v>44282</v>
      </c>
      <c r="C9352" s="17">
        <v>101</v>
      </c>
      <c r="D9352" s="39">
        <f t="shared" si="1497"/>
        <v>64799</v>
      </c>
      <c r="E9352" s="1"/>
      <c r="F9352" s="39">
        <f t="shared" si="1498"/>
        <v>1003</v>
      </c>
      <c r="G9352" s="168">
        <f>SUM(C9352,C9328,C9304,C9280,C9256,C9232,C9208,C9184,C9160,C9136,C9112,C9088,C9064,C9040)/POBLA!$B$15*100000</f>
        <v>249.82795151621022</v>
      </c>
      <c r="H9352" s="256">
        <f t="shared" si="1500"/>
        <v>0.8120411160058737</v>
      </c>
      <c r="I9352" s="297">
        <f t="shared" si="1502"/>
        <v>202.87056855868465</v>
      </c>
      <c r="J9352" s="297">
        <f t="shared" si="1503"/>
        <v>114.57142857142857</v>
      </c>
      <c r="K9352" s="297">
        <f>J9352/POBLA!$B$15*100000</f>
        <v>17.253252141221093</v>
      </c>
      <c r="L9352" s="549">
        <f t="shared" si="1501"/>
        <v>6.4177362893815593E-2</v>
      </c>
      <c r="M9352" s="401">
        <f>SUM(C9352,C9328,C9304,C9280,C9256,C9232,C9208)/POBLA!$B$15*100000</f>
        <v>120.77276498854766</v>
      </c>
    </row>
    <row r="9353" spans="1:13" s="360" customFormat="1" x14ac:dyDescent="0.25">
      <c r="A9353" s="367" t="s">
        <v>18</v>
      </c>
      <c r="B9353" s="267">
        <v>44282</v>
      </c>
      <c r="C9353" s="17">
        <v>76</v>
      </c>
      <c r="D9353" s="39">
        <f t="shared" si="1497"/>
        <v>54985</v>
      </c>
      <c r="E9353" s="1">
        <v>3</v>
      </c>
      <c r="F9353" s="39">
        <f t="shared" si="1498"/>
        <v>1272</v>
      </c>
      <c r="G9353" s="168">
        <f>SUM(C9353,C9329,C9305,C9281,C9257,C9233,C9209,C9185,C9161,C9137,C9113,C9089,C9065,C9041)/POBLA!$B$16*100000</f>
        <v>165.193081954495</v>
      </c>
      <c r="H9353" s="256">
        <f t="shared" si="1500"/>
        <v>0.83445945945945943</v>
      </c>
      <c r="I9353" s="297">
        <f t="shared" si="1502"/>
        <v>137.84692987419007</v>
      </c>
      <c r="J9353" s="297">
        <f t="shared" si="1503"/>
        <v>86.714285714285708</v>
      </c>
      <c r="K9353" s="297">
        <f>J9353/POBLA!$B$16*100000</f>
        <v>11.598866483097565</v>
      </c>
      <c r="L9353" s="549">
        <f t="shared" si="1501"/>
        <v>3.3439490445859921E-2</v>
      </c>
      <c r="M9353" s="401">
        <f>SUM(C9353,C9329,C9305,C9281,C9257,C9233,C9209)/POBLA!$B$16*100000</f>
        <v>81.192065381682966</v>
      </c>
    </row>
    <row r="9354" spans="1:13" s="360" customFormat="1" x14ac:dyDescent="0.25">
      <c r="A9354" s="367" t="s">
        <v>34</v>
      </c>
      <c r="B9354" s="267">
        <v>44282</v>
      </c>
      <c r="C9354" s="17">
        <v>102</v>
      </c>
      <c r="D9354" s="39">
        <f t="shared" si="1497"/>
        <v>28924</v>
      </c>
      <c r="E9354" s="1">
        <v>1</v>
      </c>
      <c r="F9354" s="39">
        <f t="shared" si="1498"/>
        <v>1198</v>
      </c>
      <c r="G9354" s="168">
        <f>SUM(C9354,C9330,C9306,C9282,C9258,C9234,C9210,C9186,C9162,C9138,C9114,C9090,C9066,C9042)/POBLA!$B$17*100000</f>
        <v>93.513255082677091</v>
      </c>
      <c r="H9354" s="256">
        <f t="shared" si="1500"/>
        <v>0.86888454011741678</v>
      </c>
      <c r="I9354" s="297">
        <f t="shared" si="1502"/>
        <v>81.25222163739457</v>
      </c>
      <c r="J9354" s="297">
        <f t="shared" si="1503"/>
        <v>94.285714285714292</v>
      </c>
      <c r="K9354" s="297">
        <f>J9354/POBLA!$B$17*100000</f>
        <v>6.6193423803696785</v>
      </c>
      <c r="L9354" s="549">
        <f t="shared" si="1501"/>
        <v>1.7857142857142905E-2</v>
      </c>
      <c r="M9354" s="401">
        <f>SUM(C9354,C9330,C9306,C9282,C9258,C9234,C9210)/POBLA!$B$17*100000</f>
        <v>46.335396662587748</v>
      </c>
    </row>
    <row r="9355" spans="1:13" s="360" customFormat="1" x14ac:dyDescent="0.25">
      <c r="A9355" s="367" t="s">
        <v>35</v>
      </c>
      <c r="B9355" s="267">
        <v>44282</v>
      </c>
      <c r="C9355" s="17">
        <v>32</v>
      </c>
      <c r="D9355" s="39">
        <f t="shared" si="1497"/>
        <v>16804</v>
      </c>
      <c r="E9355" s="1"/>
      <c r="F9355" s="39">
        <f t="shared" si="1498"/>
        <v>223</v>
      </c>
      <c r="G9355" s="168">
        <f>SUM(C9355,C9331,C9307,C9283,C9259,C9235,C9211,C9187,C9163,C9139,C9115,C9091,C9067,C9043)/POBLA!$B$18*100000</f>
        <v>119.55705008979578</v>
      </c>
      <c r="H9355" s="256">
        <f t="shared" si="1500"/>
        <v>1.4801901743264658</v>
      </c>
      <c r="I9355" s="297">
        <f t="shared" si="1502"/>
        <v>176.96717081437282</v>
      </c>
      <c r="J9355" s="297">
        <f t="shared" si="1503"/>
        <v>70.428571428571431</v>
      </c>
      <c r="K9355" s="297">
        <f>J9355/POBLA!$B$18*100000</f>
        <v>9.0152379465080035</v>
      </c>
      <c r="L9355" s="549">
        <f t="shared" si="1501"/>
        <v>-0.11791383219954654</v>
      </c>
      <c r="M9355" s="401">
        <f>SUM(C9355,C9331,C9307,C9283,C9259,C9235,C9211)/POBLA!$B$18*100000</f>
        <v>63.106665625556019</v>
      </c>
    </row>
    <row r="9356" spans="1:13" s="360" customFormat="1" x14ac:dyDescent="0.25">
      <c r="A9356" s="367" t="s">
        <v>36</v>
      </c>
      <c r="B9356" s="267">
        <v>44282</v>
      </c>
      <c r="C9356" s="17">
        <v>84</v>
      </c>
      <c r="D9356" s="39">
        <f t="shared" si="1497"/>
        <v>22146</v>
      </c>
      <c r="E9356" s="1"/>
      <c r="F9356" s="39">
        <f t="shared" si="1498"/>
        <v>402</v>
      </c>
      <c r="G9356" s="168">
        <f>SUM(C9356,C9332,C9308,C9284,C9260,C9236,C9212,C9188,C9164,C9140,C9116,C9092,C9068,C9044)/POBLA!$B$19*100000</f>
        <v>123.93572653877024</v>
      </c>
      <c r="H9356" s="256">
        <f t="shared" si="1500"/>
        <v>0.84677419354838712</v>
      </c>
      <c r="I9356" s="297">
        <f t="shared" si="1502"/>
        <v>104.94557489170062</v>
      </c>
      <c r="J9356" s="297">
        <f t="shared" si="1503"/>
        <v>84.857142857142861</v>
      </c>
      <c r="K9356" s="297">
        <f>J9356/POBLA!$B$19*100000</f>
        <v>16.693383574609872</v>
      </c>
      <c r="L9356" s="549">
        <f t="shared" si="1501"/>
        <v>-15.5</v>
      </c>
      <c r="M9356" s="401">
        <f>SUM(C9356,C9332,C9308,C9284,C9260,C9236,C9212)/POBLA!$B$19*100000</f>
        <v>116.85368502226908</v>
      </c>
    </row>
    <row r="9357" spans="1:13" s="360" customFormat="1" x14ac:dyDescent="0.25">
      <c r="A9357" s="367" t="s">
        <v>37</v>
      </c>
      <c r="B9357" s="267">
        <v>44282</v>
      </c>
      <c r="C9357" s="17">
        <v>144</v>
      </c>
      <c r="D9357" s="39">
        <f t="shared" si="1497"/>
        <v>38854</v>
      </c>
      <c r="E9357" s="1">
        <v>1</v>
      </c>
      <c r="F9357" s="39">
        <f t="shared" si="1498"/>
        <v>637</v>
      </c>
      <c r="G9357" s="168">
        <f>SUM(C9357,C9333,C9309,C9285,C9261,C9237,C9213,C9189,C9165,C9141,C9117,C9093,C9069,C9045)/POBLA!$B$20*100000</f>
        <v>418.37800589557509</v>
      </c>
      <c r="H9357" s="256">
        <f t="shared" si="1500"/>
        <v>1.0714285714285714</v>
      </c>
      <c r="I9357" s="297">
        <f t="shared" si="1502"/>
        <v>448.26214917383044</v>
      </c>
      <c r="J9357" s="297">
        <f t="shared" si="1503"/>
        <v>101.42857142857143</v>
      </c>
      <c r="K9357" s="297">
        <f>J9357/POBLA!$B$20*100000</f>
        <v>27.73561010138733</v>
      </c>
      <c r="L9357" s="549">
        <f t="shared" si="1501"/>
        <v>0.13414634146341464</v>
      </c>
      <c r="M9357" s="401">
        <f>SUM(C9357,C9333,C9309,C9285,C9261,C9237,C9213)/POBLA!$B$20*100000</f>
        <v>194.14927070971129</v>
      </c>
    </row>
    <row r="9358" spans="1:13" s="360" customFormat="1" x14ac:dyDescent="0.25">
      <c r="A9358" s="367" t="s">
        <v>22</v>
      </c>
      <c r="B9358" s="267">
        <v>44282</v>
      </c>
      <c r="C9358" s="17">
        <v>686</v>
      </c>
      <c r="D9358" s="39">
        <f t="shared" si="1497"/>
        <v>228923</v>
      </c>
      <c r="E9358" s="1">
        <v>8</v>
      </c>
      <c r="F9358" s="39">
        <f t="shared" si="1498"/>
        <v>4245</v>
      </c>
      <c r="G9358" s="168">
        <f>SUM(C9358,C9334,C9310,C9286,C9262,C9238,C9214,C9190,C9166,C9142,C9118,C9094,C9070,C9046)/POBLA!$B$21*100000</f>
        <v>192.2566845887562</v>
      </c>
      <c r="H9358" s="256">
        <f t="shared" si="1500"/>
        <v>1.1758906952611554</v>
      </c>
      <c r="I9358" s="297">
        <f t="shared" si="1502"/>
        <v>226.07284650967719</v>
      </c>
      <c r="J9358" s="297">
        <f t="shared" si="1503"/>
        <v>526.71428571428567</v>
      </c>
      <c r="K9358" s="297">
        <f>J9358/POBLA!$B$21*100000</f>
        <v>14.894005338573823</v>
      </c>
      <c r="L9358" s="549">
        <f t="shared" si="1501"/>
        <v>-0.18476863753213357</v>
      </c>
      <c r="M9358" s="401">
        <f>SUM(C9358,C9334,C9310,C9286,C9262,C9238,C9214)/POBLA!$B$21*100000</f>
        <v>104.25803737001678</v>
      </c>
    </row>
    <row r="9359" spans="1:13" s="360" customFormat="1" x14ac:dyDescent="0.25">
      <c r="A9359" s="367" t="s">
        <v>38</v>
      </c>
      <c r="B9359" s="267">
        <v>44282</v>
      </c>
      <c r="C9359" s="17">
        <v>130</v>
      </c>
      <c r="D9359" s="39">
        <f t="shared" si="1497"/>
        <v>24702</v>
      </c>
      <c r="E9359" s="1">
        <v>1</v>
      </c>
      <c r="F9359" s="39">
        <f t="shared" si="1498"/>
        <v>289</v>
      </c>
      <c r="G9359" s="168">
        <f>SUM(C9359,C9335,C9311,C9287,C9263,C9239,C9215,C9191,C9167,C9143,C9119,C9095,C9071,C9047)/POBLA!$B$22*100000</f>
        <v>134.92614326907645</v>
      </c>
      <c r="H9359" s="256">
        <f t="shared" si="1500"/>
        <v>1.6216216216216217</v>
      </c>
      <c r="I9359" s="297">
        <f t="shared" si="1502"/>
        <v>218.799151247151</v>
      </c>
      <c r="J9359" s="297">
        <f t="shared" si="1503"/>
        <v>95.428571428571431</v>
      </c>
      <c r="K9359" s="297">
        <f>J9359/POBLA!$B$22*100000</f>
        <v>9.7544008337384298</v>
      </c>
      <c r="L9359" s="549">
        <f t="shared" si="1501"/>
        <v>-2.4539877300613577E-2</v>
      </c>
      <c r="M9359" s="401">
        <f>SUM(C9359,C9335,C9311,C9287,C9263,C9239,C9215)/POBLA!$B$22*100000</f>
        <v>68.280805836168994</v>
      </c>
    </row>
    <row r="9360" spans="1:13" s="360" customFormat="1" x14ac:dyDescent="0.25">
      <c r="A9360" s="367" t="s">
        <v>39</v>
      </c>
      <c r="B9360" s="267">
        <v>44282</v>
      </c>
      <c r="C9360" s="17">
        <v>42</v>
      </c>
      <c r="D9360" s="39">
        <f t="shared" si="1497"/>
        <v>23860</v>
      </c>
      <c r="E9360" s="1">
        <v>1</v>
      </c>
      <c r="F9360" s="39">
        <f t="shared" si="1498"/>
        <v>365</v>
      </c>
      <c r="G9360" s="168">
        <f>SUM(C9360,C9336,C9312,C9288,C9264,C9240,C9216,C9192,C9168,C9144,C9120,C9096,C9072,C9048)/POBLA!$B$23*100000</f>
        <v>300.28841259967197</v>
      </c>
      <c r="H9360" s="256">
        <f t="shared" si="1500"/>
        <v>1.3409090909090908</v>
      </c>
      <c r="I9360" s="297">
        <f t="shared" si="1502"/>
        <v>402.6594623495601</v>
      </c>
      <c r="J9360" s="297">
        <f t="shared" si="1503"/>
        <v>42.428571428571431</v>
      </c>
      <c r="K9360" s="297">
        <f>J9360/POBLA!$B$23*100000</f>
        <v>23.993989384477427</v>
      </c>
      <c r="L9360" s="549">
        <f t="shared" si="1501"/>
        <v>-0.26923076923076916</v>
      </c>
      <c r="M9360" s="401">
        <f>SUM(C9360,C9336,C9312,C9288,C9264,C9240,C9216)/POBLA!$B$23*100000</f>
        <v>167.95792569134196</v>
      </c>
    </row>
    <row r="9361" spans="1:13" s="360" customFormat="1" ht="15.75" thickBot="1" x14ac:dyDescent="0.3">
      <c r="A9361" s="369" t="s">
        <v>40</v>
      </c>
      <c r="B9361" s="267">
        <v>44282</v>
      </c>
      <c r="C9361" s="17">
        <v>245</v>
      </c>
      <c r="D9361" s="176">
        <f t="shared" si="1497"/>
        <v>86135</v>
      </c>
      <c r="E9361" s="1">
        <v>1</v>
      </c>
      <c r="F9361" s="176">
        <f t="shared" si="1498"/>
        <v>1501</v>
      </c>
      <c r="G9361" s="177">
        <f>SUM(C9361,C9337,C9313,C9289,C9265,C9241,C9217,C9193,C9169,C9145,C9121,C9097,C9073,C9049)/POBLA!$B$24*100000</f>
        <v>241.22889837229502</v>
      </c>
      <c r="H9361" s="402">
        <f t="shared" si="1500"/>
        <v>1.7514995715509853</v>
      </c>
      <c r="I9361" s="403">
        <f t="shared" si="1502"/>
        <v>422.51231214479094</v>
      </c>
      <c r="J9361" s="403">
        <f t="shared" si="1503"/>
        <v>320.42857142857144</v>
      </c>
      <c r="K9361" s="403">
        <f>J9361/POBLA!$B$24*100000</f>
        <v>18.908177909178704</v>
      </c>
      <c r="L9361" s="550">
        <f t="shared" si="1501"/>
        <v>-0.21571815718157183</v>
      </c>
      <c r="M9361" s="405">
        <f>SUM(C9361,C9337,C9313,C9289,C9265,C9241,C9217)/POBLA!$B$24*100000</f>
        <v>132.35724536425093</v>
      </c>
    </row>
    <row r="9362" spans="1:13" s="360" customFormat="1" x14ac:dyDescent="0.25">
      <c r="A9362" s="363" t="s">
        <v>16</v>
      </c>
      <c r="B9362" s="267">
        <v>44283</v>
      </c>
      <c r="C9362" s="17">
        <v>3257</v>
      </c>
      <c r="D9362" s="174">
        <f t="shared" si="1497"/>
        <v>968108</v>
      </c>
      <c r="E9362" s="1">
        <v>72</v>
      </c>
      <c r="F9362" s="174">
        <f t="shared" si="1498"/>
        <v>27979</v>
      </c>
      <c r="G9362" s="175">
        <f>SUM(C9362,C9338,C9314,C9290,C9266,C9242,C9218,C9194,C9170,C9146,C9122,C9098,C9074,C9050)/POBLA!$B$1*100000</f>
        <v>289.6504851081238</v>
      </c>
      <c r="H9362" s="300">
        <f t="shared" si="1500"/>
        <v>1.3551329581521885</v>
      </c>
      <c r="I9362" s="301">
        <f>G9362*H9362</f>
        <v>392.51491871478822</v>
      </c>
      <c r="J9362" s="301">
        <f>AVERAGE(C9362,C9338,C9314,C9290,C9266,C9242,C9218)</f>
        <v>4125.1428571428569</v>
      </c>
      <c r="K9362" s="301">
        <f>J9362/POBLA!$B$1*100000</f>
        <v>23.516958544161163</v>
      </c>
      <c r="L9362" s="548">
        <f t="shared" ref="L9362:L9385" si="1504">1-SUM(C9362,C9338,C9314,C9290,C9266,C9242,C9218)/SUM(C9194,C9170,C9146,C9122,C9098,C9074,C9050)</f>
        <v>-0.31661499179281405</v>
      </c>
      <c r="M9362" s="400">
        <f>SUM(C9362,C9338,C9314,C9290,C9266,C9242,C9218)/POBLA!$B$1*100000</f>
        <v>164.61870980912815</v>
      </c>
    </row>
    <row r="9363" spans="1:13" s="360" customFormat="1" x14ac:dyDescent="0.25">
      <c r="A9363" s="367" t="s">
        <v>43</v>
      </c>
      <c r="B9363" s="267">
        <v>44283</v>
      </c>
      <c r="C9363" s="17">
        <v>1044</v>
      </c>
      <c r="D9363" s="39">
        <f t="shared" si="1497"/>
        <v>256505</v>
      </c>
      <c r="E9363" s="1"/>
      <c r="F9363" s="39">
        <f t="shared" si="1498"/>
        <v>6844</v>
      </c>
      <c r="G9363" s="168">
        <f>SUM(C9363,C9339,C9315,C9291,C9267,C9243,C9219,C9195,C9171,C9147,C9123,C9099,C9075,C9051)/POBLA!$B$2*100000</f>
        <v>473.03883476837058</v>
      </c>
      <c r="H9363" s="256">
        <f t="shared" si="1500"/>
        <v>1.4456478537360891</v>
      </c>
      <c r="I9363" s="297">
        <f t="shared" ref="I9363:I9385" si="1505">G9363*H9363</f>
        <v>683.84757621671542</v>
      </c>
      <c r="J9363" s="297">
        <f t="shared" ref="J9363:J9385" si="1506">AVERAGE(C9363,C9339,C9315,C9291,C9267,C9243,C9219)</f>
        <v>1186</v>
      </c>
      <c r="K9363" s="297">
        <f>J9363/POBLA!$B$2*100000</f>
        <v>38.561004745019417</v>
      </c>
      <c r="L9363" s="549">
        <f t="shared" si="1504"/>
        <v>-0.32895789979190004</v>
      </c>
      <c r="M9363" s="401">
        <f>SUM(C9363,C9339,C9315,C9291,C9267,C9243,C9219)/POBLA!$B$2*100000</f>
        <v>269.92703321513596</v>
      </c>
    </row>
    <row r="9364" spans="1:13" s="360" customFormat="1" x14ac:dyDescent="0.25">
      <c r="A9364" s="367" t="s">
        <v>28</v>
      </c>
      <c r="B9364" s="267">
        <v>44283</v>
      </c>
      <c r="C9364" s="17">
        <v>80</v>
      </c>
      <c r="D9364" s="39">
        <f t="shared" si="1497"/>
        <v>10226</v>
      </c>
      <c r="E9364" s="1"/>
      <c r="F9364" s="39">
        <f t="shared" si="1498"/>
        <v>18</v>
      </c>
      <c r="G9364" s="168">
        <f>SUM(C9364,C9340,C9316,C9292,C9268,C9244,C9220,C9196,C9172,C9148,C9124,C9100,C9076,C9052)/POBLA!$B$3*100000</f>
        <v>288.37034647769343</v>
      </c>
      <c r="H9364" s="256">
        <f t="shared" si="1500"/>
        <v>1.0472027972027973</v>
      </c>
      <c r="I9364" s="297">
        <f t="shared" si="1505"/>
        <v>301.98223346178037</v>
      </c>
      <c r="J9364" s="297">
        <f t="shared" si="1506"/>
        <v>75.142857142857139</v>
      </c>
      <c r="K9364" s="297">
        <f>J9364/POBLA!$B$3*100000</f>
        <v>18.087622495500444</v>
      </c>
      <c r="L9364" s="549">
        <f t="shared" si="1504"/>
        <v>0.21726190476190477</v>
      </c>
      <c r="M9364" s="401">
        <f>SUM(C9364,C9340,C9316,C9292,C9268,C9244,C9220)/POBLA!$B$3*100000</f>
        <v>126.61335746850311</v>
      </c>
    </row>
    <row r="9365" spans="1:13" s="360" customFormat="1" x14ac:dyDescent="0.25">
      <c r="A9365" s="367" t="s">
        <v>15</v>
      </c>
      <c r="B9365" s="267">
        <v>44283</v>
      </c>
      <c r="C9365" s="17">
        <v>95</v>
      </c>
      <c r="D9365" s="39">
        <f t="shared" si="1497"/>
        <v>37983</v>
      </c>
      <c r="E9365" s="1">
        <v>1</v>
      </c>
      <c r="F9365" s="39">
        <f t="shared" si="1498"/>
        <v>918</v>
      </c>
      <c r="G9365" s="168">
        <f>SUM(C9365,C9341,C9317,C9293,C9269,C9245,C9221,C9197,C9173,C9149,C9125,C9101,C9077,C9053)/POBLA!$B$4*100000</f>
        <v>169.4421360501635</v>
      </c>
      <c r="H9365" s="256">
        <f t="shared" si="1500"/>
        <v>1.1345191773207337</v>
      </c>
      <c r="I9365" s="297">
        <f t="shared" si="1505"/>
        <v>192.23535279509932</v>
      </c>
      <c r="J9365" s="297">
        <f t="shared" si="1506"/>
        <v>145.85714285714286</v>
      </c>
      <c r="K9365" s="297">
        <f>J9365/POBLA!$B$4*100000</f>
        <v>12.108939658935883</v>
      </c>
      <c r="L9365" s="549">
        <f t="shared" si="1504"/>
        <v>-9.8039215686274161E-4</v>
      </c>
      <c r="M9365" s="401">
        <f>SUM(C9365,C9341,C9317,C9293,C9269,C9245,C9221)/POBLA!$B$4*100000</f>
        <v>84.762577612551169</v>
      </c>
    </row>
    <row r="9366" spans="1:13" s="360" customFormat="1" x14ac:dyDescent="0.25">
      <c r="A9366" s="367" t="s">
        <v>29</v>
      </c>
      <c r="B9366" s="267">
        <v>44283</v>
      </c>
      <c r="C9366" s="17">
        <v>70</v>
      </c>
      <c r="D9366" s="39">
        <f t="shared" si="1497"/>
        <v>49562</v>
      </c>
      <c r="E9366" s="1"/>
      <c r="F9366" s="39">
        <f t="shared" si="1498"/>
        <v>854</v>
      </c>
      <c r="G9366" s="168">
        <f>SUM(C9366,C9342,C9318,C9294,C9270,C9246,C9222,C9198,C9174,C9150,C9126,C9102,C9078,C9054)/POBLA!$B$5*100000</f>
        <v>231.66621970487597</v>
      </c>
      <c r="H9366" s="256">
        <f t="shared" si="1500"/>
        <v>1.1592562651576395</v>
      </c>
      <c r="I9366" s="297">
        <f t="shared" si="1505"/>
        <v>268.56051661826365</v>
      </c>
      <c r="J9366" s="297">
        <f t="shared" si="1506"/>
        <v>116.42857142857143</v>
      </c>
      <c r="K9366" s="297">
        <f>J9366/POBLA!$B$5*100000</f>
        <v>18.809321484307024</v>
      </c>
      <c r="L9366" s="549">
        <f t="shared" si="1504"/>
        <v>-0.31663974151857843</v>
      </c>
      <c r="M9366" s="401">
        <f>SUM(C9366,C9342,C9318,C9294,C9270,C9246,C9222)/POBLA!$B$5*100000</f>
        <v>131.66525039014917</v>
      </c>
    </row>
    <row r="9367" spans="1:13" s="360" customFormat="1" x14ac:dyDescent="0.25">
      <c r="A9367" s="367" t="s">
        <v>30</v>
      </c>
      <c r="B9367" s="267">
        <v>44283</v>
      </c>
      <c r="C9367" s="17">
        <v>476</v>
      </c>
      <c r="D9367" s="39">
        <f t="shared" si="1497"/>
        <v>28387</v>
      </c>
      <c r="E9367" s="1"/>
      <c r="F9367" s="39">
        <f t="shared" si="1498"/>
        <v>325</v>
      </c>
      <c r="G9367" s="168">
        <f>SUM(C9367,C9343,C9319,C9295,C9271,C9247,C9223,C9199,C9175,C9151,C9127,C9103,C9079,C9055)/POBLA!$B$6*100000</f>
        <v>305.76346737734889</v>
      </c>
      <c r="H9367" s="256">
        <f t="shared" si="1500"/>
        <v>1.1040592783505154</v>
      </c>
      <c r="I9367" s="297">
        <f t="shared" si="1505"/>
        <v>337.58099313858719</v>
      </c>
      <c r="J9367" s="297">
        <f t="shared" si="1506"/>
        <v>274.28571428571428</v>
      </c>
      <c r="K9367" s="297">
        <f>J9367/POBLA!$B$6*100000</f>
        <v>24.472293858206257</v>
      </c>
      <c r="L9367" s="549">
        <f t="shared" si="1504"/>
        <v>-0.27405441274054421</v>
      </c>
      <c r="M9367" s="401">
        <f>SUM(C9367,C9343,C9319,C9295,C9271,C9247,C9223)/POBLA!$B$6*100000</f>
        <v>171.3060570074438</v>
      </c>
    </row>
    <row r="9368" spans="1:13" s="360" customFormat="1" x14ac:dyDescent="0.25">
      <c r="A9368" s="367" t="s">
        <v>20</v>
      </c>
      <c r="B9368" s="267">
        <v>44283</v>
      </c>
      <c r="C9368" s="17">
        <v>443</v>
      </c>
      <c r="D9368" s="39">
        <f t="shared" si="1497"/>
        <v>177471</v>
      </c>
      <c r="E9368" s="1">
        <v>1</v>
      </c>
      <c r="F9368" s="39">
        <f t="shared" si="1498"/>
        <v>3009</v>
      </c>
      <c r="G9368" s="168">
        <f>SUM(C9368,C9344,C9320,C9296,C9272,C9248,C9224,C9200,C9176,C9152,C9128,C9104,C9080,C9056)/POBLA!$B$7*100000</f>
        <v>255.07585528327729</v>
      </c>
      <c r="H9368" s="256">
        <f t="shared" si="1500"/>
        <v>1.1988501437320336</v>
      </c>
      <c r="I9368" s="297">
        <f t="shared" si="1505"/>
        <v>305.79772576892839</v>
      </c>
      <c r="J9368" s="297">
        <f t="shared" si="1506"/>
        <v>753.14285714285711</v>
      </c>
      <c r="K9368" s="297">
        <f>J9368/POBLA!$B$7*100000</f>
        <v>20.027998168912156</v>
      </c>
      <c r="L9368" s="549">
        <f t="shared" si="1504"/>
        <v>-0.22037037037037033</v>
      </c>
      <c r="M9368" s="401">
        <f>SUM(C9368,C9344,C9320,C9296,C9272,C9248,C9224)/POBLA!$B$7*100000</f>
        <v>140.1959871823851</v>
      </c>
    </row>
    <row r="9369" spans="1:13" x14ac:dyDescent="0.25">
      <c r="A9369" s="367" t="s">
        <v>31</v>
      </c>
      <c r="B9369" s="267">
        <v>44283</v>
      </c>
      <c r="C9369" s="17">
        <v>83</v>
      </c>
      <c r="D9369" s="39">
        <f t="shared" si="1497"/>
        <v>49220</v>
      </c>
      <c r="F9369" s="39">
        <f t="shared" si="1498"/>
        <v>941</v>
      </c>
      <c r="G9369" s="168">
        <f>SUM(C9369,C9345,C9321,C9297,C9273,C9249,C9225,C9201,C9177,C9153,C9129,C9105,C9081,C9057)/POBLA!$B$8*100000</f>
        <v>169.4131364446763</v>
      </c>
      <c r="H9369" s="256">
        <f t="shared" si="1500"/>
        <v>1.3771260997067449</v>
      </c>
      <c r="I9369" s="297">
        <f t="shared" si="1505"/>
        <v>233.30325183114368</v>
      </c>
      <c r="J9369" s="297">
        <f t="shared" si="1506"/>
        <v>156.42857142857142</v>
      </c>
      <c r="K9369" s="297">
        <f>J9369/POBLA!$B$8*100000</f>
        <v>11.28665030463133</v>
      </c>
      <c r="L9369" s="549">
        <f t="shared" si="1504"/>
        <v>0.12609736632083002</v>
      </c>
      <c r="M9369" s="401">
        <f>SUM(C9369,C9345,C9321,C9297,C9273,C9249,C9225)/POBLA!$B$8*100000</f>
        <v>79.006552132419301</v>
      </c>
    </row>
    <row r="9370" spans="1:13" s="360" customFormat="1" x14ac:dyDescent="0.25">
      <c r="A9370" s="367" t="s">
        <v>41</v>
      </c>
      <c r="B9370" s="267">
        <v>44283</v>
      </c>
      <c r="C9370" s="17">
        <v>32</v>
      </c>
      <c r="D9370" s="39">
        <f t="shared" si="1497"/>
        <v>1979</v>
      </c>
      <c r="E9370" s="1"/>
      <c r="F9370" s="39">
        <f t="shared" si="1498"/>
        <v>30</v>
      </c>
      <c r="G9370" s="168">
        <f>SUM(C9370,C9346,C9322,C9298,C9274,C9250,C9226,C9202,C9178,C9154,C9130,C9106,C9082,C9058)/POBLA!$B$9*100000</f>
        <v>68.077456282541263</v>
      </c>
      <c r="H9370" s="256">
        <f t="shared" si="1500"/>
        <v>1.1907514450867052</v>
      </c>
      <c r="I9370" s="297">
        <f t="shared" si="1505"/>
        <v>81.063329446262998</v>
      </c>
      <c r="J9370" s="297">
        <f t="shared" si="1506"/>
        <v>40.571428571428569</v>
      </c>
      <c r="K9370" s="297">
        <f>J9370/POBLA!$B$9*100000</f>
        <v>6.7038826575040638</v>
      </c>
      <c r="L9370" s="549">
        <f t="shared" si="1504"/>
        <v>-1.21875</v>
      </c>
      <c r="M9370" s="401">
        <f>SUM(C9370,C9346,C9322,C9298,C9274,C9250,C9226)/POBLA!$B$9*100000</f>
        <v>46.92717860252845</v>
      </c>
    </row>
    <row r="9371" spans="1:13" s="360" customFormat="1" x14ac:dyDescent="0.25">
      <c r="A9371" s="367" t="s">
        <v>32</v>
      </c>
      <c r="B9371" s="267">
        <v>44283</v>
      </c>
      <c r="C9371" s="17">
        <v>47</v>
      </c>
      <c r="D9371" s="39">
        <f t="shared" si="1497"/>
        <v>22296</v>
      </c>
      <c r="E9371" s="1">
        <v>4</v>
      </c>
      <c r="F9371" s="39">
        <f t="shared" si="1498"/>
        <v>962</v>
      </c>
      <c r="G9371" s="168">
        <f>SUM(C9371,C9347,C9323,C9299,C9275,C9251,C9227,C9203,C9179,C9155,C9131,C9107,C9083,C9059)/POBLA!$B$10*100000</f>
        <v>79.778850432167872</v>
      </c>
      <c r="H9371" s="256">
        <f t="shared" si="1500"/>
        <v>0.66200215285252961</v>
      </c>
      <c r="I9371" s="297">
        <f t="shared" si="1505"/>
        <v>52.813770738195096</v>
      </c>
      <c r="J9371" s="297">
        <f t="shared" si="1506"/>
        <v>38.857142857142854</v>
      </c>
      <c r="K9371" s="297">
        <f>J9371/POBLA!$B$10*100000</f>
        <v>5.040614940197365</v>
      </c>
      <c r="L9371" s="549">
        <f t="shared" si="1504"/>
        <v>0.20699708454810495</v>
      </c>
      <c r="M9371" s="401">
        <f>SUM(C9371,C9347,C9323,C9299,C9275,C9251,C9227)/POBLA!$B$10*100000</f>
        <v>35.284304581381562</v>
      </c>
    </row>
    <row r="9372" spans="1:13" s="360" customFormat="1" x14ac:dyDescent="0.25">
      <c r="A9372" s="367" t="s">
        <v>33</v>
      </c>
      <c r="B9372" s="267">
        <v>44283</v>
      </c>
      <c r="C9372" s="17">
        <v>46</v>
      </c>
      <c r="D9372" s="39">
        <f t="shared" si="1497"/>
        <v>21056</v>
      </c>
      <c r="E9372" s="1"/>
      <c r="F9372" s="39">
        <f t="shared" si="1498"/>
        <v>315</v>
      </c>
      <c r="G9372" s="168">
        <f>SUM(C9372,C9348,C9324,C9300,C9276,C9252,C9228,C9204,C9180,C9156,C9132,C9108,C9084,C9060)/POBLA!$B$11*100000</f>
        <v>339.25920965995959</v>
      </c>
      <c r="H9372" s="256">
        <f t="shared" si="1500"/>
        <v>1.057391304347826</v>
      </c>
      <c r="I9372" s="297">
        <f t="shared" si="1505"/>
        <v>358.72973821435727</v>
      </c>
      <c r="J9372" s="297">
        <f t="shared" si="1506"/>
        <v>81</v>
      </c>
      <c r="K9372" s="297">
        <f>J9372/POBLA!$B$11*100000</f>
        <v>22.598680906625599</v>
      </c>
      <c r="L9372" s="549">
        <f t="shared" si="1504"/>
        <v>0.12634822804314327</v>
      </c>
      <c r="M9372" s="401">
        <f>SUM(C9372,C9348,C9324,C9300,C9276,C9252,C9228)/POBLA!$B$11*100000</f>
        <v>158.19076634637921</v>
      </c>
    </row>
    <row r="9373" spans="1:13" s="360" customFormat="1" x14ac:dyDescent="0.25">
      <c r="A9373" s="367" t="s">
        <v>21</v>
      </c>
      <c r="B9373" s="267">
        <v>44283</v>
      </c>
      <c r="C9373" s="17">
        <v>47</v>
      </c>
      <c r="D9373" s="39">
        <f t="shared" si="1497"/>
        <v>10902</v>
      </c>
      <c r="E9373" s="1"/>
      <c r="F9373" s="39">
        <f t="shared" si="1498"/>
        <v>448</v>
      </c>
      <c r="G9373" s="168">
        <f>SUM(C9373,C9349,C9325,C9301,C9277,C9253,C9229,C9205,C9181,C9157,C9133,C9109,C9085,C9061)/POBLA!$B$12*100000</f>
        <v>93.258218539327274</v>
      </c>
      <c r="H9373" s="256">
        <f t="shared" si="1500"/>
        <v>1.180064308681672</v>
      </c>
      <c r="I9373" s="297">
        <f t="shared" si="1505"/>
        <v>110.05069518949553</v>
      </c>
      <c r="J9373" s="297">
        <f t="shared" si="1506"/>
        <v>29.714285714285715</v>
      </c>
      <c r="K9373" s="297">
        <f>J9373/POBLA!$B$12*100000</f>
        <v>7.5506848797898289</v>
      </c>
      <c r="L9373" s="549">
        <f t="shared" si="1504"/>
        <v>-0.30817610062893075</v>
      </c>
      <c r="M9373" s="401">
        <f>SUM(C9373,C9349,C9325,C9301,C9277,C9253,C9229)/POBLA!$B$12*100000</f>
        <v>52.854794158528804</v>
      </c>
    </row>
    <row r="9374" spans="1:13" s="360" customFormat="1" x14ac:dyDescent="0.25">
      <c r="A9374" s="367" t="s">
        <v>17</v>
      </c>
      <c r="B9374" s="267">
        <v>44283</v>
      </c>
      <c r="C9374" s="17">
        <v>116</v>
      </c>
      <c r="D9374" s="39">
        <f t="shared" si="1497"/>
        <v>71842</v>
      </c>
      <c r="E9374" s="1"/>
      <c r="F9374" s="39">
        <f t="shared" si="1498"/>
        <v>1498</v>
      </c>
      <c r="G9374" s="168">
        <f>SUM(C9374,C9350,C9326,C9302,C9278,C9254,C9230,C9206,C9182,C9158,C9134,C9110,C9086,C9062)/POBLA!$B$13*100000</f>
        <v>124.3004956947011</v>
      </c>
      <c r="H9374" s="256">
        <f t="shared" si="1500"/>
        <v>1.1604127579737336</v>
      </c>
      <c r="I9374" s="297">
        <f t="shared" si="1505"/>
        <v>144.2398810265903</v>
      </c>
      <c r="J9374" s="297">
        <f t="shared" si="1506"/>
        <v>198.71428571428572</v>
      </c>
      <c r="K9374" s="297">
        <f>J9374/POBLA!$B$13*100000</f>
        <v>9.9839467323784064</v>
      </c>
      <c r="L9374" s="549">
        <f t="shared" si="1504"/>
        <v>-0.28439519852262229</v>
      </c>
      <c r="M9374" s="401">
        <f>SUM(C9374,C9350,C9326,C9302,C9278,C9254,C9230)/POBLA!$B$13*100000</f>
        <v>69.887627126648837</v>
      </c>
    </row>
    <row r="9375" spans="1:13" s="360" customFormat="1" x14ac:dyDescent="0.25">
      <c r="A9375" s="367" t="s">
        <v>23</v>
      </c>
      <c r="B9375" s="267">
        <v>44283</v>
      </c>
      <c r="C9375" s="17">
        <v>142</v>
      </c>
      <c r="D9375" s="39">
        <f t="shared" si="1497"/>
        <v>11698</v>
      </c>
      <c r="E9375" s="1"/>
      <c r="F9375" s="39">
        <f t="shared" si="1498"/>
        <v>196</v>
      </c>
      <c r="G9375" s="168">
        <f>SUM(C9375,C9351,C9327,C9303,C9279,C9255,C9231,C9207,C9183,C9159,C9135,C9111,C9087,C9063)/POBLA!$B$14*100000</f>
        <v>137.00215810112473</v>
      </c>
      <c r="H9375" s="256">
        <f t="shared" si="1500"/>
        <v>1.0188679245283019</v>
      </c>
      <c r="I9375" s="297">
        <f t="shared" si="1505"/>
        <v>139.58710448039125</v>
      </c>
      <c r="J9375" s="297">
        <f t="shared" si="1506"/>
        <v>129</v>
      </c>
      <c r="K9375" s="297">
        <f>J9375/POBLA!$B$14*100000</f>
        <v>10.227591663799242</v>
      </c>
      <c r="L9375" s="549">
        <f t="shared" si="1504"/>
        <v>-9.4545454545454488E-2</v>
      </c>
      <c r="M9375" s="401">
        <f>SUM(C9375,C9351,C9327,C9303,C9279,C9255,C9231)/POBLA!$B$14*100000</f>
        <v>71.593141646594688</v>
      </c>
    </row>
    <row r="9376" spans="1:13" s="360" customFormat="1" x14ac:dyDescent="0.25">
      <c r="A9376" s="367" t="s">
        <v>19</v>
      </c>
      <c r="B9376" s="267">
        <v>44283</v>
      </c>
      <c r="C9376" s="17">
        <v>72</v>
      </c>
      <c r="D9376" s="39">
        <f t="shared" si="1497"/>
        <v>64871</v>
      </c>
      <c r="E9376" s="1">
        <v>1</v>
      </c>
      <c r="F9376" s="39">
        <f t="shared" si="1498"/>
        <v>1004</v>
      </c>
      <c r="G9376" s="168">
        <f>SUM(C9376,C9352,C9328,C9304,C9280,C9256,C9232,C9208,C9184,C9160,C9136,C9112,C9088,C9064)/POBLA!$B$15*100000</f>
        <v>249.82795151621022</v>
      </c>
      <c r="H9376" s="256">
        <f t="shared" si="1500"/>
        <v>0.81483300589390961</v>
      </c>
      <c r="I9376" s="297">
        <f t="shared" si="1505"/>
        <v>203.56806069027149</v>
      </c>
      <c r="J9376" s="297">
        <f t="shared" si="1506"/>
        <v>116.28571428571429</v>
      </c>
      <c r="K9376" s="297">
        <f>J9376/POBLA!$B$15*100000</f>
        <v>17.511405539842858</v>
      </c>
      <c r="L9376" s="549">
        <f t="shared" si="1504"/>
        <v>3.6686390532544411E-2</v>
      </c>
      <c r="M9376" s="401">
        <f>SUM(C9376,C9352,C9328,C9304,C9280,C9256,C9232)/POBLA!$B$15*100000</f>
        <v>122.57983877890001</v>
      </c>
    </row>
    <row r="9377" spans="1:13" s="360" customFormat="1" x14ac:dyDescent="0.25">
      <c r="A9377" s="367" t="s">
        <v>18</v>
      </c>
      <c r="B9377" s="267">
        <v>44283</v>
      </c>
      <c r="C9377" s="17">
        <v>45</v>
      </c>
      <c r="D9377" s="39">
        <f t="shared" si="1497"/>
        <v>55030</v>
      </c>
      <c r="E9377" s="1">
        <v>2</v>
      </c>
      <c r="F9377" s="39">
        <f t="shared" si="1498"/>
        <v>1274</v>
      </c>
      <c r="G9377" s="168">
        <f>SUM(C9377,C9353,C9329,C9305,C9281,C9257,C9233,C9209,C9185,C9161,C9137,C9113,C9089,C9065)/POBLA!$B$16*100000</f>
        <v>166.26315859873463</v>
      </c>
      <c r="H9377" s="256">
        <f t="shared" si="1500"/>
        <v>0.85078713210130053</v>
      </c>
      <c r="I9377" s="297">
        <f t="shared" si="1505"/>
        <v>141.45455587832112</v>
      </c>
      <c r="J9377" s="297">
        <f t="shared" si="1506"/>
        <v>89.857142857142861</v>
      </c>
      <c r="K9377" s="297">
        <f>J9377/POBLA!$B$16*100000</f>
        <v>12.019253736191713</v>
      </c>
      <c r="L9377" s="549">
        <f t="shared" si="1504"/>
        <v>-2.4429967426710109E-2</v>
      </c>
      <c r="M9377" s="401">
        <f>SUM(C9377,C9353,C9329,C9305,C9281,C9257,C9233)/POBLA!$B$16*100000</f>
        <v>84.134776153341988</v>
      </c>
    </row>
    <row r="9378" spans="1:13" s="360" customFormat="1" x14ac:dyDescent="0.25">
      <c r="A9378" s="367" t="s">
        <v>34</v>
      </c>
      <c r="B9378" s="267">
        <v>44283</v>
      </c>
      <c r="C9378" s="17">
        <v>54</v>
      </c>
      <c r="D9378" s="39">
        <f t="shared" si="1497"/>
        <v>28978</v>
      </c>
      <c r="E9378" s="1"/>
      <c r="F9378" s="39">
        <f t="shared" si="1498"/>
        <v>1198</v>
      </c>
      <c r="G9378" s="168">
        <f>SUM(C9378,C9354,C9330,C9306,C9282,C9258,C9234,C9210,C9186,C9162,C9138,C9114,C9090,C9066)/POBLA!$B$17*100000</f>
        <v>94.84715286538794</v>
      </c>
      <c r="H9378" s="256">
        <f t="shared" si="1500"/>
        <v>0.90915208613728127</v>
      </c>
      <c r="I9378" s="297">
        <f t="shared" si="1505"/>
        <v>86.230486891749067</v>
      </c>
      <c r="J9378" s="297">
        <f t="shared" si="1506"/>
        <v>96</v>
      </c>
      <c r="K9378" s="297">
        <f>J9378/POBLA!$B$17*100000</f>
        <v>6.7396940600127628</v>
      </c>
      <c r="L9378" s="549">
        <f t="shared" si="1504"/>
        <v>1.0309278350515427E-2</v>
      </c>
      <c r="M9378" s="401">
        <f>SUM(C9378,C9354,C9330,C9306,C9282,C9258,C9234)/POBLA!$B$17*100000</f>
        <v>47.177858420089343</v>
      </c>
    </row>
    <row r="9379" spans="1:13" s="360" customFormat="1" x14ac:dyDescent="0.25">
      <c r="A9379" s="367" t="s">
        <v>35</v>
      </c>
      <c r="B9379" s="267">
        <v>44283</v>
      </c>
      <c r="C9379" s="17">
        <v>22</v>
      </c>
      <c r="D9379" s="39">
        <f t="shared" si="1497"/>
        <v>16826</v>
      </c>
      <c r="E9379" s="1"/>
      <c r="F9379" s="39">
        <f t="shared" si="1498"/>
        <v>223</v>
      </c>
      <c r="G9379" s="168">
        <f>SUM(C9379,C9355,C9331,C9307,C9283,C9259,C9235,C9211,C9187,C9163,C9139,C9115,C9091,C9067)/POBLA!$B$18*100000</f>
        <v>121.86114741486681</v>
      </c>
      <c r="H9379" s="256">
        <f t="shared" si="1500"/>
        <v>1.5111111111111111</v>
      </c>
      <c r="I9379" s="297">
        <f t="shared" si="1505"/>
        <v>184.14573387135428</v>
      </c>
      <c r="J9379" s="297">
        <f t="shared" si="1506"/>
        <v>73</v>
      </c>
      <c r="K9379" s="297">
        <f>J9379/POBLA!$B$18*100000</f>
        <v>9.3443947072324338</v>
      </c>
      <c r="L9379" s="549">
        <f t="shared" si="1504"/>
        <v>-0.15873015873015883</v>
      </c>
      <c r="M9379" s="401">
        <f>SUM(C9379,C9355,C9331,C9307,C9283,C9259,C9235)/POBLA!$B$18*100000</f>
        <v>65.410762950627031</v>
      </c>
    </row>
    <row r="9380" spans="1:13" s="360" customFormat="1" x14ac:dyDescent="0.25">
      <c r="A9380" s="367" t="s">
        <v>36</v>
      </c>
      <c r="B9380" s="267">
        <v>44283</v>
      </c>
      <c r="C9380" s="17">
        <v>203</v>
      </c>
      <c r="D9380" s="39">
        <f t="shared" si="1497"/>
        <v>22349</v>
      </c>
      <c r="E9380" s="1"/>
      <c r="F9380" s="39">
        <f t="shared" si="1498"/>
        <v>402</v>
      </c>
      <c r="G9380" s="168">
        <f>SUM(C9380,C9356,C9332,C9308,C9284,C9260,C9236,C9212,C9188,C9164,C9140,C9116,C9092,C9068)/POBLA!$B$19*100000</f>
        <v>163.47712500590171</v>
      </c>
      <c r="H9380" s="256">
        <f t="shared" si="1500"/>
        <v>1.1154362416107382</v>
      </c>
      <c r="I9380" s="297">
        <f t="shared" si="1505"/>
        <v>182.34830990591183</v>
      </c>
      <c r="J9380" s="297">
        <f t="shared" si="1506"/>
        <v>113.85714285714286</v>
      </c>
      <c r="K9380" s="297">
        <f>J9380/POBLA!$B$19*100000</f>
        <v>22.398361462902468</v>
      </c>
      <c r="L9380" s="549">
        <f t="shared" si="1504"/>
        <v>-22.441176470588236</v>
      </c>
      <c r="M9380" s="401">
        <f>SUM(C9380,C9356,C9332,C9308,C9284,C9260,C9236)/POBLA!$B$19*100000</f>
        <v>156.78853024031727</v>
      </c>
    </row>
    <row r="9381" spans="1:13" s="360" customFormat="1" x14ac:dyDescent="0.25">
      <c r="A9381" s="367" t="s">
        <v>37</v>
      </c>
      <c r="B9381" s="267">
        <v>44283</v>
      </c>
      <c r="C9381" s="17">
        <v>100</v>
      </c>
      <c r="D9381" s="39">
        <f t="shared" si="1497"/>
        <v>38954</v>
      </c>
      <c r="E9381" s="1"/>
      <c r="F9381" s="39">
        <f t="shared" si="1498"/>
        <v>637</v>
      </c>
      <c r="G9381" s="168">
        <f>SUM(C9381,C9357,C9333,C9309,C9285,C9261,C9237,C9213,C9189,C9165,C9141,C9117,C9093,C9069)/POBLA!$B$20*100000</f>
        <v>429.04254330075634</v>
      </c>
      <c r="H9381" s="256">
        <f t="shared" si="1500"/>
        <v>1.0790921595598348</v>
      </c>
      <c r="I9381" s="297">
        <f t="shared" si="1505"/>
        <v>462.97644459345713</v>
      </c>
      <c r="J9381" s="297">
        <f t="shared" si="1506"/>
        <v>109.14285714285714</v>
      </c>
      <c r="K9381" s="297">
        <f>J9381/POBLA!$B$20*100000</f>
        <v>29.845079038675941</v>
      </c>
      <c r="L9381" s="549">
        <f t="shared" si="1504"/>
        <v>5.0931677018633548E-2</v>
      </c>
      <c r="M9381" s="401">
        <f>SUM(C9381,C9357,C9333,C9309,C9285,C9261,C9237)/POBLA!$B$20*100000</f>
        <v>208.91555327073158</v>
      </c>
    </row>
    <row r="9382" spans="1:13" s="360" customFormat="1" x14ac:dyDescent="0.25">
      <c r="A9382" s="367" t="s">
        <v>22</v>
      </c>
      <c r="B9382" s="267">
        <v>44283</v>
      </c>
      <c r="C9382" s="17">
        <v>234</v>
      </c>
      <c r="D9382" s="39">
        <f t="shared" si="1497"/>
        <v>229157</v>
      </c>
      <c r="E9382" s="1"/>
      <c r="F9382" s="39">
        <f t="shared" si="1498"/>
        <v>4245</v>
      </c>
      <c r="G9382" s="168">
        <f>SUM(C9382,C9358,C9334,C9310,C9286,C9262,C9238,C9214,C9190,C9166,C9142,C9118,C9094,C9070)/POBLA!$B$21*100000</f>
        <v>193.50088140033219</v>
      </c>
      <c r="H9382" s="256">
        <f t="shared" si="1500"/>
        <v>1.1699435800991622</v>
      </c>
      <c r="I9382" s="297">
        <f t="shared" si="1505"/>
        <v>226.38511393784802</v>
      </c>
      <c r="J9382" s="297">
        <f t="shared" si="1506"/>
        <v>525.42857142857144</v>
      </c>
      <c r="K9382" s="297">
        <f>J9382/POBLA!$B$21*100000</f>
        <v>14.857648938235567</v>
      </c>
      <c r="L9382" s="549">
        <f t="shared" si="1504"/>
        <v>-0.16208530805687205</v>
      </c>
      <c r="M9382" s="401">
        <f>SUM(C9382,C9358,C9334,C9310,C9286,C9262,C9238)/POBLA!$B$21*100000</f>
        <v>104.00354256764896</v>
      </c>
    </row>
    <row r="9383" spans="1:13" s="360" customFormat="1" x14ac:dyDescent="0.25">
      <c r="A9383" s="367" t="s">
        <v>38</v>
      </c>
      <c r="B9383" s="267">
        <v>44283</v>
      </c>
      <c r="C9383" s="17">
        <v>136</v>
      </c>
      <c r="D9383" s="39">
        <f t="shared" si="1497"/>
        <v>24838</v>
      </c>
      <c r="E9383" s="1"/>
      <c r="F9383" s="39">
        <f t="shared" si="1498"/>
        <v>289</v>
      </c>
      <c r="G9383" s="168">
        <f>SUM(C9383,C9359,C9335,C9311,C9287,C9263,C9239,C9215,C9191,C9167,C9143,C9119,C9095,C9071)/POBLA!$B$22*100000</f>
        <v>140.85471623089953</v>
      </c>
      <c r="H9383" s="256">
        <f t="shared" si="1500"/>
        <v>1.7182044887780548</v>
      </c>
      <c r="I9383" s="297">
        <f t="shared" si="1505"/>
        <v>242.01720569349069</v>
      </c>
      <c r="J9383" s="297">
        <f t="shared" si="1506"/>
        <v>104.85714285714286</v>
      </c>
      <c r="K9383" s="297">
        <f>J9383/POBLA!$B$22*100000</f>
        <v>10.718158999946118</v>
      </c>
      <c r="L9383" s="549">
        <f t="shared" si="1504"/>
        <v>-0.13975155279503104</v>
      </c>
      <c r="M9383" s="401">
        <f>SUM(C9383,C9359,C9335,C9311,C9287,C9263,C9239)/POBLA!$B$22*100000</f>
        <v>75.02711299962283</v>
      </c>
    </row>
    <row r="9384" spans="1:13" s="360" customFormat="1" x14ac:dyDescent="0.25">
      <c r="A9384" s="367" t="s">
        <v>39</v>
      </c>
      <c r="B9384" s="267">
        <v>44283</v>
      </c>
      <c r="C9384" s="17">
        <v>71</v>
      </c>
      <c r="D9384" s="39">
        <f t="shared" si="1497"/>
        <v>23931</v>
      </c>
      <c r="E9384" s="1"/>
      <c r="F9384" s="39">
        <f t="shared" si="1498"/>
        <v>365</v>
      </c>
      <c r="G9384" s="168">
        <f>SUM(C9384,C9360,C9336,C9312,C9288,C9264,C9240,C9216,C9192,C9168,C9144,C9120,C9096,C9072)/POBLA!$B$23*100000</f>
        <v>321.21246394842507</v>
      </c>
      <c r="H9384" s="256">
        <f t="shared" si="1500"/>
        <v>1.3396226415094339</v>
      </c>
      <c r="I9384" s="297">
        <f t="shared" si="1505"/>
        <v>430.30348944034301</v>
      </c>
      <c r="J9384" s="297">
        <f t="shared" si="1506"/>
        <v>49.285714285714285</v>
      </c>
      <c r="K9384" s="297">
        <f>J9384/POBLA!$B$23*100000</f>
        <v>27.871805850655594</v>
      </c>
      <c r="L9384" s="549">
        <f t="shared" si="1504"/>
        <v>-0.547085201793722</v>
      </c>
      <c r="M9384" s="401">
        <f>SUM(C9384,C9360,C9336,C9312,C9288,C9264,C9240)/POBLA!$B$23*100000</f>
        <v>195.10264095458916</v>
      </c>
    </row>
    <row r="9385" spans="1:13" s="360" customFormat="1" ht="15.75" thickBot="1" x14ac:dyDescent="0.3">
      <c r="A9385" s="368" t="s">
        <v>40</v>
      </c>
      <c r="B9385" s="268">
        <v>44283</v>
      </c>
      <c r="C9385" s="17">
        <v>293</v>
      </c>
      <c r="D9385" s="67">
        <f t="shared" si="1497"/>
        <v>86428</v>
      </c>
      <c r="E9385" s="232"/>
      <c r="F9385" s="67">
        <f t="shared" si="1498"/>
        <v>1501</v>
      </c>
      <c r="G9385" s="177">
        <f>SUM(C9385,C9361,C9337,C9313,C9289,C9265,C9241,C9217,C9193,C9169,C9145,C9121,C9097,C9073)/POBLA!$B$24*100000</f>
        <v>252.08655916008914</v>
      </c>
      <c r="H9385" s="402">
        <f t="shared" si="1500"/>
        <v>1.810936837643069</v>
      </c>
      <c r="I9385" s="403">
        <f t="shared" si="1505"/>
        <v>456.51283625769423</v>
      </c>
      <c r="J9385" s="403">
        <f t="shared" si="1506"/>
        <v>347.14285714285717</v>
      </c>
      <c r="K9385" s="403">
        <f>J9385/POBLA!$B$24*100000</f>
        <v>20.484561890015268</v>
      </c>
      <c r="L9385" s="550">
        <f t="shared" si="1504"/>
        <v>-0.3192182410423452</v>
      </c>
      <c r="M9385" s="405">
        <f>SUM(C9385,C9361,C9337,C9313,C9289,C9265,C9241)/POBLA!$B$24*100000</f>
        <v>143.39193323010687</v>
      </c>
    </row>
    <row r="9386" spans="1:13" s="360" customFormat="1" x14ac:dyDescent="0.25">
      <c r="A9386" s="363" t="s">
        <v>16</v>
      </c>
      <c r="B9386" s="265">
        <v>44284</v>
      </c>
      <c r="C9386" s="285">
        <v>6456</v>
      </c>
      <c r="D9386" s="174">
        <f t="shared" si="1497"/>
        <v>974564</v>
      </c>
      <c r="E9386" s="43">
        <v>77</v>
      </c>
      <c r="F9386" s="174">
        <f t="shared" si="1498"/>
        <v>28056</v>
      </c>
      <c r="G9386" s="175">
        <f>SUM(C9386,C9362,C9338,C9314,C9290,C9266,C9242,C9218,C9194,C9170,C9146,C9122,C9098,C9074)/POBLA!$B$1*100000</f>
        <v>311.57608276451344</v>
      </c>
      <c r="H9386" s="300">
        <f t="shared" si="1500"/>
        <v>1.4345258405732433</v>
      </c>
      <c r="I9386" s="301">
        <f>G9386*H9386</f>
        <v>446.96394203028206</v>
      </c>
      <c r="J9386" s="301">
        <f>AVERAGE(C9386,C9362,C9338,C9314,C9290,C9266,C9242)</f>
        <v>4672.1428571428569</v>
      </c>
      <c r="K9386" s="301">
        <f>J9386/POBLA!$B$1*100000</f>
        <v>26.635341778182259</v>
      </c>
      <c r="L9386" s="548">
        <f t="shared" ref="L9386:L9409" si="1507">1-SUM(C9386,C9362,C9338,C9314,C9290,C9266,C9242)/SUM(C9218,C9194,C9170,C9146,C9122,C9098,C9074)</f>
        <v>-0.49004510456057226</v>
      </c>
      <c r="M9386" s="400">
        <f>SUM(C9386,C9362,C9338,C9314,C9290,C9266,C9242)/POBLA!$B$1*100000</f>
        <v>186.4473924472758</v>
      </c>
    </row>
    <row r="9387" spans="1:13" s="360" customFormat="1" x14ac:dyDescent="0.25">
      <c r="A9387" s="367" t="s">
        <v>43</v>
      </c>
      <c r="B9387" s="267">
        <v>44284</v>
      </c>
      <c r="C9387" s="250">
        <v>2109</v>
      </c>
      <c r="D9387" s="39">
        <f t="shared" si="1497"/>
        <v>258614</v>
      </c>
      <c r="E9387" s="1">
        <v>9</v>
      </c>
      <c r="F9387" s="39">
        <f t="shared" si="1498"/>
        <v>6853</v>
      </c>
      <c r="G9387" s="168">
        <f>SUM(C9387,C9363,C9339,C9315,C9291,C9267,C9243,C9219,C9195,C9171,C9147,C9123,C9099,C9075)/POBLA!$B$2*100000</f>
        <v>506.30013987305438</v>
      </c>
      <c r="H9387" s="256">
        <f t="shared" si="1500"/>
        <v>1.4528830005598059</v>
      </c>
      <c r="I9387" s="297">
        <f t="shared" ref="I9387:I9409" si="1508">G9387*H9387</f>
        <v>735.59486640261264</v>
      </c>
      <c r="J9387" s="297">
        <f t="shared" ref="J9387:J9409" si="1509">AVERAGE(C9387,C9363,C9339,C9315,C9291,C9267,C9243)</f>
        <v>1359.4285714285713</v>
      </c>
      <c r="K9387" s="297">
        <f>J9387/POBLA!$B$2*100000</f>
        <v>44.199773687497569</v>
      </c>
      <c r="L9387" s="549">
        <f t="shared" si="1507"/>
        <v>-0.57133421400264206</v>
      </c>
      <c r="M9387" s="401">
        <f>SUM(C9387,C9363,C9339,C9315,C9291,C9267,C9243)/POBLA!$B$2*100000</f>
        <v>309.39841581248299</v>
      </c>
    </row>
    <row r="9388" spans="1:13" s="360" customFormat="1" x14ac:dyDescent="0.25">
      <c r="A9388" s="367" t="s">
        <v>28</v>
      </c>
      <c r="B9388" s="267">
        <v>44284</v>
      </c>
      <c r="C9388" s="250">
        <v>84</v>
      </c>
      <c r="D9388" s="39">
        <f t="shared" si="1497"/>
        <v>10310</v>
      </c>
      <c r="E9388" s="1"/>
      <c r="F9388" s="39">
        <f t="shared" si="1498"/>
        <v>18</v>
      </c>
      <c r="G9388" s="168">
        <f>SUM(C9388,C9364,C9340,C9316,C9292,C9268,C9244,C9220,C9196,C9172,C9148,C9124,C9100,C9076)/POBLA!$B$3*100000</f>
        <v>286.68537784218103</v>
      </c>
      <c r="H9388" s="256">
        <f t="shared" si="1500"/>
        <v>1.1017576318223867</v>
      </c>
      <c r="I9388" s="297">
        <f t="shared" si="1508"/>
        <v>315.85780296950753</v>
      </c>
      <c r="J9388" s="297">
        <f t="shared" si="1509"/>
        <v>78.428571428571431</v>
      </c>
      <c r="K9388" s="297">
        <f>J9388/POBLA!$B$3*100000</f>
        <v>18.878526140740959</v>
      </c>
      <c r="L9388" s="549">
        <f t="shared" si="1507"/>
        <v>0.14485981308411211</v>
      </c>
      <c r="M9388" s="401">
        <f>SUM(C9388,C9364,C9340,C9316,C9292,C9268,C9244)/POBLA!$B$3*100000</f>
        <v>132.14968298518673</v>
      </c>
    </row>
    <row r="9389" spans="1:13" s="360" customFormat="1" x14ac:dyDescent="0.25">
      <c r="A9389" s="367" t="s">
        <v>15</v>
      </c>
      <c r="B9389" s="267">
        <v>44284</v>
      </c>
      <c r="C9389" s="250">
        <v>238</v>
      </c>
      <c r="D9389" s="39">
        <f t="shared" si="1497"/>
        <v>38221</v>
      </c>
      <c r="E9389" s="1">
        <v>5</v>
      </c>
      <c r="F9389" s="39">
        <f t="shared" si="1498"/>
        <v>923</v>
      </c>
      <c r="G9389" s="168">
        <f>SUM(C9389,C9365,C9341,C9317,C9293,C9269,C9245,C9221,C9197,C9173,C9149,C9125,C9101,C9077)/POBLA!$B$4*100000</f>
        <v>179.23839869294611</v>
      </c>
      <c r="H9389" s="256">
        <f t="shared" si="1500"/>
        <v>1.1701897018970189</v>
      </c>
      <c r="I9389" s="297">
        <f t="shared" si="1508"/>
        <v>209.74292833499763</v>
      </c>
      <c r="J9389" s="297">
        <f t="shared" si="1509"/>
        <v>165.85714285714286</v>
      </c>
      <c r="K9389" s="297">
        <f>J9389/POBLA!$B$4*100000</f>
        <v>13.769323157712595</v>
      </c>
      <c r="L9389" s="549">
        <f t="shared" si="1507"/>
        <v>-0.16332665330661333</v>
      </c>
      <c r="M9389" s="401">
        <f>SUM(C9389,C9365,C9341,C9317,C9293,C9269,C9245)/POBLA!$B$4*100000</f>
        <v>96.385262103988154</v>
      </c>
    </row>
    <row r="9390" spans="1:13" s="360" customFormat="1" x14ac:dyDescent="0.25">
      <c r="A9390" s="367" t="s">
        <v>29</v>
      </c>
      <c r="B9390" s="267">
        <v>44284</v>
      </c>
      <c r="C9390" s="250">
        <v>204</v>
      </c>
      <c r="D9390" s="39">
        <f t="shared" si="1497"/>
        <v>49766</v>
      </c>
      <c r="E9390" s="1">
        <v>10</v>
      </c>
      <c r="F9390" s="39">
        <f t="shared" si="1498"/>
        <v>864</v>
      </c>
      <c r="G9390" s="168">
        <f>SUM(C9390,C9366,C9342,C9318,C9294,C9270,C9246,C9222,C9198,C9174,C9150,C9126,C9102,C9078)/POBLA!$B$5*100000</f>
        <v>244.75196851665766</v>
      </c>
      <c r="H9390" s="256">
        <f t="shared" si="1500"/>
        <v>1.2188254223652453</v>
      </c>
      <c r="I9390" s="297">
        <f t="shared" si="1508"/>
        <v>298.30992140204046</v>
      </c>
      <c r="J9390" s="297">
        <f t="shared" si="1509"/>
        <v>129.14285714285714</v>
      </c>
      <c r="K9390" s="297">
        <f>J9390/POBLA!$B$5*100000</f>
        <v>20.863345548237486</v>
      </c>
      <c r="L9390" s="549">
        <f t="shared" si="1507"/>
        <v>-0.47954173486088369</v>
      </c>
      <c r="M9390" s="401">
        <f>SUM(C9390,C9366,C9342,C9318,C9294,C9270,C9246)/POBLA!$B$5*100000</f>
        <v>146.04341883766241</v>
      </c>
    </row>
    <row r="9391" spans="1:13" s="360" customFormat="1" x14ac:dyDescent="0.25">
      <c r="A9391" s="367" t="s">
        <v>30</v>
      </c>
      <c r="B9391" s="267">
        <v>44284</v>
      </c>
      <c r="C9391" s="250">
        <v>492</v>
      </c>
      <c r="D9391" s="39">
        <f t="shared" si="1497"/>
        <v>28879</v>
      </c>
      <c r="E9391" s="1"/>
      <c r="F9391" s="39">
        <f t="shared" si="1498"/>
        <v>325</v>
      </c>
      <c r="G9391" s="168">
        <f>SUM(C9391,C9367,C9343,C9319,C9295,C9271,C9247,C9223,C9199,C9175,C9151,C9127,C9103,C9079)/POBLA!$B$6*100000</f>
        <v>343.50433306180133</v>
      </c>
      <c r="H9391" s="256">
        <f t="shared" si="1500"/>
        <v>1.25</v>
      </c>
      <c r="I9391" s="297">
        <f t="shared" si="1508"/>
        <v>429.38041632725168</v>
      </c>
      <c r="J9391" s="297">
        <f t="shared" si="1509"/>
        <v>319</v>
      </c>
      <c r="K9391" s="297">
        <f>J9391/POBLA!$B$6*100000</f>
        <v>28.461787596549254</v>
      </c>
      <c r="L9391" s="549">
        <f t="shared" si="1507"/>
        <v>-0.38095238095238093</v>
      </c>
      <c r="M9391" s="401">
        <f>SUM(C9391,C9367,C9343,C9319,C9295,C9271,C9247)/POBLA!$B$6*100000</f>
        <v>199.23251317584476</v>
      </c>
    </row>
    <row r="9392" spans="1:13" s="360" customFormat="1" x14ac:dyDescent="0.25">
      <c r="A9392" s="367" t="s">
        <v>20</v>
      </c>
      <c r="B9392" s="267">
        <v>44284</v>
      </c>
      <c r="C9392" s="250">
        <v>1076</v>
      </c>
      <c r="D9392" s="39">
        <f t="shared" si="1497"/>
        <v>178547</v>
      </c>
      <c r="E9392" s="1">
        <v>7</v>
      </c>
      <c r="F9392" s="39">
        <f t="shared" si="1498"/>
        <v>3016</v>
      </c>
      <c r="G9392" s="168">
        <f>SUM(C9392,C9368,C9344,C9320,C9296,C9272,C9248,C9224,C9200,C9176,C9152,C9128,C9104,C9080)/POBLA!$B$7*100000</f>
        <v>273.50450079112875</v>
      </c>
      <c r="H9392" s="256">
        <f t="shared" si="1500"/>
        <v>1.2870729570767112</v>
      </c>
      <c r="I9392" s="297">
        <f t="shared" si="1508"/>
        <v>352.02024660702779</v>
      </c>
      <c r="J9392" s="297">
        <f t="shared" si="1509"/>
        <v>819.42857142857144</v>
      </c>
      <c r="K9392" s="297">
        <f>J9392/POBLA!$B$7*100000</f>
        <v>21.790705139772406</v>
      </c>
      <c r="L9392" s="549">
        <f t="shared" si="1507"/>
        <v>-0.26093646955374816</v>
      </c>
      <c r="M9392" s="401">
        <f>SUM(C9392,C9368,C9344,C9320,C9296,C9272,C9248)/POBLA!$B$7*100000</f>
        <v>152.53493597840685</v>
      </c>
    </row>
    <row r="9393" spans="1:13" x14ac:dyDescent="0.25">
      <c r="A9393" s="367" t="s">
        <v>31</v>
      </c>
      <c r="B9393" s="267">
        <v>44284</v>
      </c>
      <c r="C9393" s="250">
        <v>215</v>
      </c>
      <c r="D9393" s="39">
        <f t="shared" si="1497"/>
        <v>49435</v>
      </c>
      <c r="E9393" s="1">
        <v>3</v>
      </c>
      <c r="F9393" s="39">
        <f t="shared" si="1498"/>
        <v>944</v>
      </c>
      <c r="G9393" s="168">
        <f>SUM(C9393,C9369,C9345,C9321,C9297,C9273,C9249,C9225,C9201,C9177,C9153,C9129,C9105,C9081)/POBLA!$B$8*100000</f>
        <v>176.19543407065566</v>
      </c>
      <c r="H9393" s="256">
        <f t="shared" si="1500"/>
        <v>1.4083044982698962</v>
      </c>
      <c r="I9393" s="297">
        <f t="shared" si="1508"/>
        <v>248.13682237632131</v>
      </c>
      <c r="J9393" s="297">
        <f t="shared" si="1509"/>
        <v>162.42857142857142</v>
      </c>
      <c r="K9393" s="297">
        <f>J9393/POBLA!$B$8*100000</f>
        <v>11.719562919055544</v>
      </c>
      <c r="L9393" s="549">
        <f t="shared" si="1507"/>
        <v>0.12873563218390804</v>
      </c>
      <c r="M9393" s="401">
        <f>SUM(C9393,C9369,C9345,C9321,C9297,C9273,C9249)/POBLA!$B$8*100000</f>
        <v>82.036940433388807</v>
      </c>
    </row>
    <row r="9394" spans="1:13" s="360" customFormat="1" x14ac:dyDescent="0.25">
      <c r="A9394" s="367" t="s">
        <v>41</v>
      </c>
      <c r="B9394" s="267">
        <v>44284</v>
      </c>
      <c r="C9394" s="250">
        <v>75</v>
      </c>
      <c r="D9394" s="39">
        <f t="shared" ref="D9394:D9457" si="1510">C9394+D9370</f>
        <v>2054</v>
      </c>
      <c r="E9394" s="1"/>
      <c r="F9394" s="39">
        <f t="shared" ref="F9394:F9457" si="1511">E9394+F9370</f>
        <v>30</v>
      </c>
      <c r="G9394" s="168">
        <f>SUM(C9394,C9370,C9346,C9322,C9298,C9274,C9250,C9226,C9202,C9178,C9154,C9130,C9106,C9082)/POBLA!$B$9*100000</f>
        <v>75.182627690670586</v>
      </c>
      <c r="H9394" s="256">
        <f t="shared" ref="H9394:H9409" si="1512">SUM(C9394,C9370,C9346,C9322,C9298,C9274,C9250,C9226,C9202,C9178,C9154,C9130,C9106,C9082)/SUM(C9058,C9034,C9010,C8986,C8962,C8938,C8914,C8890,C8866,C8842,C8818,C8794,C8770,C8746)</f>
        <v>1.2780898876404494</v>
      </c>
      <c r="I9394" s="297">
        <f t="shared" si="1508"/>
        <v>96.090156177682914</v>
      </c>
      <c r="J9394" s="297">
        <f t="shared" si="1509"/>
        <v>48.142857142857146</v>
      </c>
      <c r="K9394" s="297">
        <f>J9394/POBLA!$B$9*100000</f>
        <v>7.9549593506298235</v>
      </c>
      <c r="L9394" s="549">
        <f t="shared" si="1507"/>
        <v>-1.8559322033898304</v>
      </c>
      <c r="M9394" s="401">
        <f>SUM(C9394,C9370,C9346,C9322,C9298,C9274,C9250)/POBLA!$B$9*100000</f>
        <v>55.684715454408753</v>
      </c>
    </row>
    <row r="9395" spans="1:13" s="360" customFormat="1" x14ac:dyDescent="0.25">
      <c r="A9395" s="367" t="s">
        <v>32</v>
      </c>
      <c r="B9395" s="267">
        <v>44284</v>
      </c>
      <c r="C9395" s="250">
        <v>28</v>
      </c>
      <c r="D9395" s="39">
        <f t="shared" si="1510"/>
        <v>22324</v>
      </c>
      <c r="E9395" s="1">
        <v>2</v>
      </c>
      <c r="F9395" s="39">
        <f t="shared" si="1511"/>
        <v>964</v>
      </c>
      <c r="G9395" s="168">
        <f>SUM(C9395,C9371,C9347,C9323,C9299,C9275,C9251,C9227,C9203,C9179,C9155,C9131,C9107,C9083)/POBLA!$B$10*100000</f>
        <v>79.778850432167872</v>
      </c>
      <c r="H9395" s="256">
        <f t="shared" si="1512"/>
        <v>0.67360350492880616</v>
      </c>
      <c r="I9395" s="297">
        <f t="shared" si="1508"/>
        <v>53.739313270299277</v>
      </c>
      <c r="J9395" s="297">
        <f t="shared" si="1509"/>
        <v>40.428571428571431</v>
      </c>
      <c r="K9395" s="297">
        <f>J9395/POBLA!$B$10*100000</f>
        <v>5.244463338514171</v>
      </c>
      <c r="L9395" s="549">
        <f t="shared" si="1507"/>
        <v>0.14759036144578308</v>
      </c>
      <c r="M9395" s="401">
        <f>SUM(C9395,C9371,C9347,C9323,C9299,C9275,C9251)/POBLA!$B$10*100000</f>
        <v>36.711243369599202</v>
      </c>
    </row>
    <row r="9396" spans="1:13" s="360" customFormat="1" x14ac:dyDescent="0.25">
      <c r="A9396" s="367" t="s">
        <v>33</v>
      </c>
      <c r="B9396" s="267">
        <v>44284</v>
      </c>
      <c r="C9396" s="250">
        <v>102</v>
      </c>
      <c r="D9396" s="39">
        <f t="shared" si="1510"/>
        <v>21158</v>
      </c>
      <c r="E9396" s="1">
        <v>3</v>
      </c>
      <c r="F9396" s="39">
        <f t="shared" si="1511"/>
        <v>318</v>
      </c>
      <c r="G9396" s="168">
        <f>SUM(C9396,C9372,C9348,C9324,C9300,C9276,C9252,C9228,C9204,C9180,C9156,C9132,C9108,C9084)/POBLA!$B$11*100000</f>
        <v>335.91125693305213</v>
      </c>
      <c r="H9396" s="256">
        <f t="shared" si="1512"/>
        <v>1.0126156433978133</v>
      </c>
      <c r="I9396" s="297">
        <f t="shared" si="1508"/>
        <v>340.14899356383074</v>
      </c>
      <c r="J9396" s="297">
        <f t="shared" si="1509"/>
        <v>86</v>
      </c>
      <c r="K9396" s="297">
        <f>J9396/POBLA!$B$11*100000</f>
        <v>23.993661209503724</v>
      </c>
      <c r="L9396" s="549">
        <f t="shared" si="1507"/>
        <v>0</v>
      </c>
      <c r="M9396" s="401">
        <f>SUM(C9396,C9372,C9348,C9324,C9300,C9276,C9252)/POBLA!$B$11*100000</f>
        <v>167.95562846652606</v>
      </c>
    </row>
    <row r="9397" spans="1:13" s="360" customFormat="1" x14ac:dyDescent="0.25">
      <c r="A9397" s="367" t="s">
        <v>21</v>
      </c>
      <c r="B9397" s="267">
        <v>44284</v>
      </c>
      <c r="C9397" s="250">
        <v>106</v>
      </c>
      <c r="D9397" s="39">
        <f t="shared" si="1510"/>
        <v>11008</v>
      </c>
      <c r="E9397" s="1">
        <v>1</v>
      </c>
      <c r="F9397" s="39">
        <f t="shared" si="1511"/>
        <v>449</v>
      </c>
      <c r="G9397" s="168">
        <f>SUM(C9397,C9373,C9349,C9325,C9301,C9277,C9253,C9229,C9205,C9181,C9157,C9133,C9109,C9085)/POBLA!$B$12*100000</f>
        <v>116.63630057098425</v>
      </c>
      <c r="H9397" s="256">
        <f t="shared" si="1512"/>
        <v>1.4902597402597402</v>
      </c>
      <c r="I9397" s="297">
        <f t="shared" si="1508"/>
        <v>173.81838299377196</v>
      </c>
      <c r="J9397" s="297">
        <f t="shared" si="1509"/>
        <v>42.571428571428569</v>
      </c>
      <c r="K9397" s="297">
        <f>J9397/POBLA!$B$12*100000</f>
        <v>10.817808145083506</v>
      </c>
      <c r="L9397" s="549">
        <f t="shared" si="1507"/>
        <v>-0.85093167701863348</v>
      </c>
      <c r="M9397" s="401">
        <f>SUM(C9397,C9373,C9349,C9325,C9301,C9277,C9253)/POBLA!$B$12*100000</f>
        <v>75.72465701558454</v>
      </c>
    </row>
    <row r="9398" spans="1:13" s="360" customFormat="1" x14ac:dyDescent="0.25">
      <c r="A9398" s="367" t="s">
        <v>17</v>
      </c>
      <c r="B9398" s="267">
        <v>44284</v>
      </c>
      <c r="C9398" s="250">
        <v>373</v>
      </c>
      <c r="D9398" s="39">
        <f t="shared" si="1510"/>
        <v>72215</v>
      </c>
      <c r="E9398" s="1">
        <v>8</v>
      </c>
      <c r="F9398" s="39">
        <f t="shared" si="1511"/>
        <v>1506</v>
      </c>
      <c r="G9398" s="168">
        <f>SUM(C9398,C9374,C9350,C9326,C9302,C9278,C9254,C9230,C9206,C9182,C9158,C9134,C9110,C9086)/POBLA!$B$13*100000</f>
        <v>136.76069089772693</v>
      </c>
      <c r="H9398" s="256">
        <f t="shared" si="1512"/>
        <v>1.2607688744789254</v>
      </c>
      <c r="I9398" s="297">
        <f t="shared" si="1508"/>
        <v>172.42362233608739</v>
      </c>
      <c r="J9398" s="297">
        <f t="shared" si="1509"/>
        <v>234.42857142857142</v>
      </c>
      <c r="K9398" s="297">
        <f>J9398/POBLA!$B$13*100000</f>
        <v>11.778329682122907</v>
      </c>
      <c r="L9398" s="549">
        <f t="shared" si="1507"/>
        <v>-0.51803885291396856</v>
      </c>
      <c r="M9398" s="401">
        <f>SUM(C9398,C9374,C9350,C9326,C9302,C9278,C9254)/POBLA!$B$13*100000</f>
        <v>82.448307774860353</v>
      </c>
    </row>
    <row r="9399" spans="1:13" s="360" customFormat="1" x14ac:dyDescent="0.25">
      <c r="A9399" s="367" t="s">
        <v>23</v>
      </c>
      <c r="B9399" s="267">
        <v>44284</v>
      </c>
      <c r="C9399" s="250">
        <v>126</v>
      </c>
      <c r="D9399" s="39">
        <f t="shared" si="1510"/>
        <v>11824</v>
      </c>
      <c r="E9399" s="1">
        <v>4</v>
      </c>
      <c r="F9399" s="39">
        <f t="shared" si="1511"/>
        <v>200</v>
      </c>
      <c r="G9399" s="168">
        <f>SUM(C9399,C9375,C9351,C9327,C9303,C9279,C9255,C9231,C9207,C9183,C9159,C9135,C9111,C9087)/POBLA!$B$14*100000</f>
        <v>137.63642735159289</v>
      </c>
      <c r="H9399" s="256">
        <f t="shared" si="1512"/>
        <v>1.0163934426229508</v>
      </c>
      <c r="I9399" s="297">
        <f t="shared" si="1508"/>
        <v>139.89276222620916</v>
      </c>
      <c r="J9399" s="297">
        <f t="shared" si="1509"/>
        <v>131.71428571428572</v>
      </c>
      <c r="K9399" s="297">
        <f>J9399/POBLA!$B$14*100000</f>
        <v>10.4427901594938</v>
      </c>
      <c r="L9399" s="549">
        <f t="shared" si="1507"/>
        <v>-0.13267813267813278</v>
      </c>
      <c r="M9399" s="401">
        <f>SUM(C9399,C9375,C9351,C9327,C9303,C9279,C9255)/POBLA!$B$14*100000</f>
        <v>73.099531116456589</v>
      </c>
    </row>
    <row r="9400" spans="1:13" s="360" customFormat="1" x14ac:dyDescent="0.25">
      <c r="A9400" s="367" t="s">
        <v>19</v>
      </c>
      <c r="B9400" s="267">
        <v>44284</v>
      </c>
      <c r="C9400" s="250">
        <v>121</v>
      </c>
      <c r="D9400" s="39">
        <f t="shared" si="1510"/>
        <v>64992</v>
      </c>
      <c r="E9400" s="1">
        <v>2</v>
      </c>
      <c r="F9400" s="39">
        <f t="shared" si="1511"/>
        <v>1006</v>
      </c>
      <c r="G9400" s="168">
        <f>SUM(C9400,C9376,C9352,C9328,C9304,C9280,C9256,C9232,C9208,C9184,C9160,C9136,C9112,C9088)/POBLA!$B$15*100000</f>
        <v>249.52677255115148</v>
      </c>
      <c r="H9400" s="256">
        <f t="shared" si="1512"/>
        <v>0.82355864811133206</v>
      </c>
      <c r="I9400" s="297">
        <f t="shared" si="1508"/>
        <v>205.49993146981015</v>
      </c>
      <c r="J9400" s="297">
        <f t="shared" si="1509"/>
        <v>113.85714285714286</v>
      </c>
      <c r="K9400" s="297">
        <f>J9400/POBLA!$B$15*100000</f>
        <v>17.145688225128694</v>
      </c>
      <c r="L9400" s="549">
        <f t="shared" si="1507"/>
        <v>7.3255813953488347E-2</v>
      </c>
      <c r="M9400" s="401">
        <f>SUM(C9400,C9376,C9352,C9328,C9304,C9280,C9256)/POBLA!$B$15*100000</f>
        <v>120.01981757590087</v>
      </c>
    </row>
    <row r="9401" spans="1:13" s="360" customFormat="1" x14ac:dyDescent="0.25">
      <c r="A9401" s="367" t="s">
        <v>18</v>
      </c>
      <c r="B9401" s="267">
        <v>44284</v>
      </c>
      <c r="C9401" s="250">
        <v>162</v>
      </c>
      <c r="D9401" s="39">
        <f t="shared" si="1510"/>
        <v>55192</v>
      </c>
      <c r="E9401" s="1">
        <v>1</v>
      </c>
      <c r="F9401" s="39">
        <f t="shared" si="1511"/>
        <v>1275</v>
      </c>
      <c r="G9401" s="168">
        <f>SUM(C9401,C9377,C9353,C9329,C9305,C9281,C9257,C9233,C9209,C9185,C9161,C9137,C9113,C9089)/POBLA!$B$16*100000</f>
        <v>175.35881007477161</v>
      </c>
      <c r="H9401" s="256">
        <f t="shared" si="1512"/>
        <v>0.90789473684210531</v>
      </c>
      <c r="I9401" s="297">
        <f t="shared" si="1508"/>
        <v>159.20734072577949</v>
      </c>
      <c r="J9401" s="297">
        <f t="shared" si="1509"/>
        <v>98.714285714285708</v>
      </c>
      <c r="K9401" s="297">
        <f>J9401/POBLA!$B$16*100000</f>
        <v>13.203981449457032</v>
      </c>
      <c r="L9401" s="549">
        <f t="shared" si="1507"/>
        <v>-0.11451612903225805</v>
      </c>
      <c r="M9401" s="401">
        <f>SUM(C9401,C9377,C9353,C9329,C9305,C9281,C9257)/POBLA!$B$16*100000</f>
        <v>92.427870146199211</v>
      </c>
    </row>
    <row r="9402" spans="1:13" s="360" customFormat="1" x14ac:dyDescent="0.25">
      <c r="A9402" s="367" t="s">
        <v>34</v>
      </c>
      <c r="B9402" s="267">
        <v>44284</v>
      </c>
      <c r="C9402" s="250">
        <v>147</v>
      </c>
      <c r="D9402" s="39">
        <f t="shared" si="1510"/>
        <v>29125</v>
      </c>
      <c r="E9402" s="1">
        <v>5</v>
      </c>
      <c r="F9402" s="39">
        <f t="shared" si="1511"/>
        <v>1203</v>
      </c>
      <c r="G9402" s="168">
        <f>SUM(C9402,C9378,C9354,C9330,C9306,C9282,C9258,C9234,C9210,C9186,C9162,C9138,C9114,C9090)/POBLA!$B$17*100000</f>
        <v>100.74438516789913</v>
      </c>
      <c r="H9402" s="256">
        <f t="shared" si="1512"/>
        <v>0.9611520428667113</v>
      </c>
      <c r="I9402" s="297">
        <f t="shared" si="1508"/>
        <v>96.830671611477058</v>
      </c>
      <c r="J9402" s="297">
        <f t="shared" si="1509"/>
        <v>104.28571428571429</v>
      </c>
      <c r="K9402" s="297">
        <f>J9402/POBLA!$B$17*100000</f>
        <v>7.3213938449543408</v>
      </c>
      <c r="L9402" s="549">
        <f t="shared" si="1507"/>
        <v>-3.5460992907801359E-2</v>
      </c>
      <c r="M9402" s="401">
        <f>SUM(C9402,C9378,C9354,C9330,C9306,C9282,C9258)/POBLA!$B$17*100000</f>
        <v>51.24975691468039</v>
      </c>
    </row>
    <row r="9403" spans="1:13" s="360" customFormat="1" x14ac:dyDescent="0.25">
      <c r="A9403" s="367" t="s">
        <v>35</v>
      </c>
      <c r="B9403" s="267">
        <v>44284</v>
      </c>
      <c r="C9403" s="250">
        <v>158</v>
      </c>
      <c r="D9403" s="39">
        <f t="shared" si="1510"/>
        <v>16984</v>
      </c>
      <c r="E9403" s="1"/>
      <c r="F9403" s="39">
        <f t="shared" si="1511"/>
        <v>223</v>
      </c>
      <c r="G9403" s="168">
        <f>SUM(C9403,C9379,C9355,C9331,C9307,C9283,C9259,C9235,C9211,C9187,C9163,C9139,C9115,C9091)/POBLA!$B$18*100000</f>
        <v>133.25362863327348</v>
      </c>
      <c r="H9403" s="256">
        <f t="shared" si="1512"/>
        <v>1.599078341013825</v>
      </c>
      <c r="I9403" s="297">
        <f t="shared" si="1508"/>
        <v>213.08299140896727</v>
      </c>
      <c r="J9403" s="297">
        <f t="shared" si="1509"/>
        <v>84.714285714285708</v>
      </c>
      <c r="K9403" s="297">
        <f>J9403/POBLA!$B$18*100000</f>
        <v>10.843886617199281</v>
      </c>
      <c r="L9403" s="549">
        <f t="shared" si="1507"/>
        <v>-0.32366071428571419</v>
      </c>
      <c r="M9403" s="401">
        <f>SUM(C9403,C9379,C9355,C9331,C9307,C9283,C9259)/POBLA!$B$18*100000</f>
        <v>75.907206320394977</v>
      </c>
    </row>
    <row r="9404" spans="1:13" s="360" customFormat="1" x14ac:dyDescent="0.25">
      <c r="A9404" s="367" t="s">
        <v>36</v>
      </c>
      <c r="B9404" s="267">
        <v>44284</v>
      </c>
      <c r="C9404" s="250">
        <v>191</v>
      </c>
      <c r="D9404" s="39">
        <f t="shared" si="1510"/>
        <v>22540</v>
      </c>
      <c r="E9404" s="1">
        <v>6</v>
      </c>
      <c r="F9404" s="39">
        <f t="shared" si="1511"/>
        <v>408</v>
      </c>
      <c r="G9404" s="168">
        <f>SUM(C9404,C9380,C9356,C9332,C9308,C9284,C9260,C9236,C9212,C9188,C9164,C9140,C9116,C9092)/POBLA!$B$19*100000</f>
        <v>200.85456634299112</v>
      </c>
      <c r="H9404" s="256">
        <f t="shared" si="1512"/>
        <v>1.3741588156123823</v>
      </c>
      <c r="I9404" s="297">
        <f t="shared" si="1508"/>
        <v>276.00607299622334</v>
      </c>
      <c r="J9404" s="297">
        <f t="shared" si="1509"/>
        <v>141</v>
      </c>
      <c r="K9404" s="297">
        <f>J9404/POBLA!$B$19*100000</f>
        <v>27.737995939629528</v>
      </c>
      <c r="L9404" s="549">
        <f t="shared" si="1507"/>
        <v>-28.029411764705884</v>
      </c>
      <c r="M9404" s="401">
        <f>SUM(C9404,C9380,C9356,C9332,C9308,C9284,C9260)/POBLA!$B$19*100000</f>
        <v>194.16597157740671</v>
      </c>
    </row>
    <row r="9405" spans="1:13" s="360" customFormat="1" x14ac:dyDescent="0.25">
      <c r="A9405" s="367" t="s">
        <v>37</v>
      </c>
      <c r="B9405" s="267">
        <v>44284</v>
      </c>
      <c r="C9405" s="250">
        <v>174</v>
      </c>
      <c r="D9405" s="39">
        <f t="shared" si="1510"/>
        <v>39128</v>
      </c>
      <c r="E9405" s="1">
        <v>2</v>
      </c>
      <c r="F9405" s="39">
        <f t="shared" si="1511"/>
        <v>639</v>
      </c>
      <c r="G9405" s="168">
        <f>SUM(C9405,C9381,C9357,C9333,C9309,C9285,C9261,C9237,C9213,C9189,C9165,C9141,C9117,C9093)/POBLA!$B$20*100000</f>
        <v>453.65301423579018</v>
      </c>
      <c r="H9405" s="256">
        <f t="shared" si="1512"/>
        <v>1.1247457627118644</v>
      </c>
      <c r="I9405" s="297">
        <f t="shared" si="1508"/>
        <v>510.2443055031701</v>
      </c>
      <c r="J9405" s="297">
        <f t="shared" si="1509"/>
        <v>120</v>
      </c>
      <c r="K9405" s="297">
        <f>J9405/POBLA!$B$20*100000</f>
        <v>32.81396124671177</v>
      </c>
      <c r="L9405" s="549">
        <f t="shared" si="1507"/>
        <v>-2.564102564102555E-2</v>
      </c>
      <c r="M9405" s="401">
        <f>SUM(C9405,C9381,C9357,C9333,C9309,C9285,C9261)/POBLA!$B$20*100000</f>
        <v>229.69772872698238</v>
      </c>
    </row>
    <row r="9406" spans="1:13" s="360" customFormat="1" x14ac:dyDescent="0.25">
      <c r="A9406" s="367" t="s">
        <v>22</v>
      </c>
      <c r="B9406" s="267">
        <v>44284</v>
      </c>
      <c r="C9406" s="250">
        <v>869</v>
      </c>
      <c r="D9406" s="39">
        <f t="shared" si="1510"/>
        <v>230026</v>
      </c>
      <c r="E9406" s="1">
        <v>13</v>
      </c>
      <c r="F9406" s="39">
        <f t="shared" si="1511"/>
        <v>4258</v>
      </c>
      <c r="G9406" s="168">
        <f>SUM(C9406,C9382,C9358,C9334,C9310,C9286,C9262,C9238,C9214,C9190,C9166,C9142,C9118,C9094)/POBLA!$B$21*100000</f>
        <v>208.65746074134901</v>
      </c>
      <c r="H9406" s="256">
        <f t="shared" si="1512"/>
        <v>1.2574982958418541</v>
      </c>
      <c r="I9406" s="297">
        <f t="shared" si="1508"/>
        <v>262.38640129693499</v>
      </c>
      <c r="J9406" s="297">
        <f t="shared" si="1509"/>
        <v>587.28571428571433</v>
      </c>
      <c r="K9406" s="297">
        <f>J9406/POBLA!$B$21*100000</f>
        <v>16.60679575450963</v>
      </c>
      <c r="L9406" s="549">
        <f t="shared" si="1507"/>
        <v>-0.25795593635250924</v>
      </c>
      <c r="M9406" s="401">
        <f>SUM(C9406,C9382,C9358,C9334,C9310,C9286,C9262)/POBLA!$B$21*100000</f>
        <v>116.24757028156741</v>
      </c>
    </row>
    <row r="9407" spans="1:13" s="360" customFormat="1" x14ac:dyDescent="0.25">
      <c r="A9407" s="367" t="s">
        <v>38</v>
      </c>
      <c r="B9407" s="267">
        <v>44284</v>
      </c>
      <c r="C9407" s="250">
        <v>93</v>
      </c>
      <c r="D9407" s="39">
        <f t="shared" si="1510"/>
        <v>24931</v>
      </c>
      <c r="E9407" s="1">
        <v>3</v>
      </c>
      <c r="F9407" s="39">
        <f t="shared" si="1511"/>
        <v>292</v>
      </c>
      <c r="G9407" s="168">
        <f>SUM(C9407,C9383,C9359,C9335,C9311,C9287,C9263,C9239,C9215,C9191,C9167,C9143,C9119,C9095)/POBLA!$B$22*100000</f>
        <v>143.10348528538412</v>
      </c>
      <c r="H9407" s="256">
        <f t="shared" si="1512"/>
        <v>1.6686531585220501</v>
      </c>
      <c r="I9407" s="297">
        <f t="shared" si="1508"/>
        <v>238.79008271696995</v>
      </c>
      <c r="J9407" s="297">
        <f t="shared" si="1509"/>
        <v>107</v>
      </c>
      <c r="K9407" s="297">
        <f>J9407/POBLA!$B$22*100000</f>
        <v>10.9371949468115</v>
      </c>
      <c r="L9407" s="549">
        <f t="shared" si="1507"/>
        <v>-0.15053763440860224</v>
      </c>
      <c r="M9407" s="401">
        <f>SUM(C9407,C9383,C9359,C9335,C9311,C9287,C9263)/POBLA!$B$22*100000</f>
        <v>76.560364627680514</v>
      </c>
    </row>
    <row r="9408" spans="1:13" s="360" customFormat="1" x14ac:dyDescent="0.25">
      <c r="A9408" s="367" t="s">
        <v>39</v>
      </c>
      <c r="B9408" s="267">
        <v>44284</v>
      </c>
      <c r="C9408" s="250">
        <v>54</v>
      </c>
      <c r="D9408" s="39">
        <f t="shared" si="1510"/>
        <v>23985</v>
      </c>
      <c r="E9408" s="1">
        <v>2</v>
      </c>
      <c r="F9408" s="39">
        <f t="shared" si="1511"/>
        <v>367</v>
      </c>
      <c r="G9408" s="168">
        <f>SUM(C9408,C9384,C9360,C9336,C9312,C9288,C9264,C9240,C9216,C9192,C9168,C9144,C9120,C9096)/POBLA!$B$23*100000</f>
        <v>331.95724707346039</v>
      </c>
      <c r="H9408" s="256">
        <f t="shared" si="1512"/>
        <v>1.3747072599531616</v>
      </c>
      <c r="I9408" s="297">
        <f t="shared" si="1508"/>
        <v>456.34403754595138</v>
      </c>
      <c r="J9408" s="297">
        <f t="shared" si="1509"/>
        <v>52.142857142857146</v>
      </c>
      <c r="K9408" s="297">
        <f>J9408/POBLA!$B$23*100000</f>
        <v>29.487562711563168</v>
      </c>
      <c r="L9408" s="549">
        <f t="shared" si="1507"/>
        <v>-0.64414414414414423</v>
      </c>
      <c r="M9408" s="401">
        <f>SUM(C9408,C9384,C9360,C9336,C9312,C9288,C9264)/POBLA!$B$23*100000</f>
        <v>206.41293898094213</v>
      </c>
    </row>
    <row r="9409" spans="1:13" s="360" customFormat="1" ht="15.75" thickBot="1" x14ac:dyDescent="0.3">
      <c r="A9409" s="369" t="s">
        <v>40</v>
      </c>
      <c r="B9409" s="269">
        <v>44284</v>
      </c>
      <c r="C9409" s="286">
        <v>361</v>
      </c>
      <c r="D9409" s="176">
        <f t="shared" si="1510"/>
        <v>86789</v>
      </c>
      <c r="E9409" s="44"/>
      <c r="F9409" s="176">
        <f t="shared" si="1511"/>
        <v>1501</v>
      </c>
      <c r="G9409" s="177">
        <f>SUM(C9409,C9385,C9361,C9337,C9313,C9289,C9265,C9241,C9217,C9193,C9169,C9145,C9121,C9097)/POBLA!$B$24*100000</f>
        <v>258.22349786623363</v>
      </c>
      <c r="H9409" s="402">
        <f t="shared" si="1512"/>
        <v>1.7595496582227583</v>
      </c>
      <c r="I9409" s="403">
        <f t="shared" si="1508"/>
        <v>454.35706741561654</v>
      </c>
      <c r="J9409" s="403">
        <f t="shared" si="1509"/>
        <v>364.57142857142856</v>
      </c>
      <c r="K9409" s="403">
        <f>J9409/POBLA!$B$24*100000</f>
        <v>21.513004914946073</v>
      </c>
      <c r="L9409" s="550">
        <f t="shared" si="1507"/>
        <v>-0.39912280701754388</v>
      </c>
      <c r="M9409" s="405">
        <f>SUM(C9409,C9385,C9361,C9337,C9313,C9289,C9265)/POBLA!$B$24*100000</f>
        <v>150.59103440462255</v>
      </c>
    </row>
    <row r="9410" spans="1:13" s="360" customFormat="1" ht="15.75" thickBot="1" x14ac:dyDescent="0.3">
      <c r="A9410" s="363" t="s">
        <v>16</v>
      </c>
      <c r="B9410" s="269">
        <v>44285</v>
      </c>
      <c r="C9410" s="17">
        <v>4940</v>
      </c>
      <c r="D9410" s="174">
        <f t="shared" si="1510"/>
        <v>979504</v>
      </c>
      <c r="E9410" s="225">
        <v>78</v>
      </c>
      <c r="F9410" s="174">
        <f t="shared" si="1511"/>
        <v>28134</v>
      </c>
      <c r="G9410" s="175">
        <f>SUM(C9410,C9386,C9362,C9338,C9314,C9290,C9266,C9242,C9218,C9194,C9170,C9146,C9122,C9098)/POBLA!$B$1*100000</f>
        <v>318.29172344033947</v>
      </c>
      <c r="H9410" s="300">
        <f t="shared" ref="H9410:H9457" si="1513">SUM(C9410,C9386,C9362,C9338,C9314,C9290,C9266,C9242,C9218,C9194,C9170,C9146,C9122,C9098)/SUM(C9074,C9050,C9026,C9002,C8978,C8954,C8930,C8906,C8882,C8858,C8834,C8810,C8786,C8762)</f>
        <v>1.4339797097726981</v>
      </c>
      <c r="I9410" s="301">
        <f>G9410*H9410</f>
        <v>456.42387320202988</v>
      </c>
      <c r="J9410" s="301">
        <f>AVERAGE(C9410,C9386,C9362,C9338,C9314,C9290,C9266)</f>
        <v>4752.5714285714284</v>
      </c>
      <c r="K9410" s="301">
        <f>J9410/POBLA!$B$1*100000</f>
        <v>27.093855688016127</v>
      </c>
      <c r="L9410" s="548">
        <f t="shared" ref="L9410:L9433" si="1514">1-SUM(C9410,C9386,C9362,C9338,C9314,C9290,C9266)/SUM(C9242,C9218,C9194,C9170,C9146,C9122,C9098)</f>
        <v>-0.47438397447261127</v>
      </c>
      <c r="M9410" s="400">
        <f>SUM(C9410,C9386,C9362,C9338,C9314,C9290,C9266)/POBLA!$B$1*100000</f>
        <v>189.65698981611285</v>
      </c>
    </row>
    <row r="9411" spans="1:13" s="360" customFormat="1" ht="15.75" thickBot="1" x14ac:dyDescent="0.3">
      <c r="A9411" s="367" t="s">
        <v>43</v>
      </c>
      <c r="B9411" s="269">
        <v>44285</v>
      </c>
      <c r="C9411" s="17">
        <v>1012</v>
      </c>
      <c r="D9411" s="39">
        <f t="shared" si="1510"/>
        <v>259626</v>
      </c>
      <c r="E9411" s="1">
        <v>5</v>
      </c>
      <c r="F9411" s="39">
        <f t="shared" si="1511"/>
        <v>6858</v>
      </c>
      <c r="G9411" s="168">
        <f>SUM(C9411,C9387,C9363,C9339,C9315,C9291,C9267,C9243,C9219,C9195,C9171,C9147,C9123,C9099)/POBLA!$B$2*100000</f>
        <v>507.76324713572365</v>
      </c>
      <c r="H9411" s="256">
        <f t="shared" si="1513"/>
        <v>1.4154808302365631</v>
      </c>
      <c r="I9411" s="297">
        <f t="shared" ref="I9411:I9433" si="1515">G9411*H9411</f>
        <v>718.72914261928724</v>
      </c>
      <c r="J9411" s="297">
        <f t="shared" ref="J9411:J9433" si="1516">AVERAGE(C9411,C9387,C9363,C9339,C9315,C9291,C9267)</f>
        <v>1335.4285714285713</v>
      </c>
      <c r="K9411" s="297">
        <f>J9411/POBLA!$B$2*100000</f>
        <v>43.4194498140739</v>
      </c>
      <c r="L9411" s="549">
        <f t="shared" si="1514"/>
        <v>-0.49114691338331462</v>
      </c>
      <c r="M9411" s="401">
        <f>SUM(C9411,C9387,C9363,C9339,C9315,C9291,C9267)/POBLA!$B$2*100000</f>
        <v>303.93614869851729</v>
      </c>
    </row>
    <row r="9412" spans="1:13" s="360" customFormat="1" ht="15.75" thickBot="1" x14ac:dyDescent="0.3">
      <c r="A9412" s="367" t="s">
        <v>28</v>
      </c>
      <c r="B9412" s="269">
        <v>44285</v>
      </c>
      <c r="C9412" s="17">
        <v>71</v>
      </c>
      <c r="D9412" s="39">
        <f t="shared" si="1510"/>
        <v>10381</v>
      </c>
      <c r="E9412" s="1"/>
      <c r="F9412" s="39">
        <f t="shared" si="1511"/>
        <v>18</v>
      </c>
      <c r="G9412" s="168">
        <f>SUM(C9412,C9388,C9364,C9340,C9316,C9292,C9268,C9244,C9220,C9196,C9172,C9148,C9124,C9100)/POBLA!$B$3*100000</f>
        <v>273.20562875808184</v>
      </c>
      <c r="H9412" s="256">
        <f t="shared" si="1513"/>
        <v>1.0179372197309418</v>
      </c>
      <c r="I9412" s="297">
        <f t="shared" si="1515"/>
        <v>278.10617815284564</v>
      </c>
      <c r="J9412" s="297">
        <f t="shared" si="1516"/>
        <v>76.714285714285708</v>
      </c>
      <c r="K9412" s="297">
        <f>J9412/POBLA!$B$3*100000</f>
        <v>18.465880760615473</v>
      </c>
      <c r="L9412" s="549">
        <f t="shared" si="1514"/>
        <v>0.10200668896321075</v>
      </c>
      <c r="M9412" s="401">
        <f>SUM(C9412,C9388,C9364,C9340,C9316,C9292,C9268)/POBLA!$B$3*100000</f>
        <v>129.26116532430834</v>
      </c>
    </row>
    <row r="9413" spans="1:13" s="360" customFormat="1" ht="15.75" thickBot="1" x14ac:dyDescent="0.3">
      <c r="A9413" s="367" t="s">
        <v>15</v>
      </c>
      <c r="B9413" s="269">
        <v>44285</v>
      </c>
      <c r="C9413" s="17">
        <v>96</v>
      </c>
      <c r="D9413" s="39">
        <f t="shared" si="1510"/>
        <v>38317</v>
      </c>
      <c r="E9413" s="1"/>
      <c r="F9413" s="39">
        <f t="shared" si="1511"/>
        <v>923</v>
      </c>
      <c r="G9413" s="168">
        <f>SUM(C9413,C9389,C9365,C9341,C9317,C9293,C9269,C9245,C9221,C9197,C9173,C9149,C9125,C9101)/POBLA!$B$4*100000</f>
        <v>176.91386179465871</v>
      </c>
      <c r="H9413" s="256">
        <f t="shared" si="1513"/>
        <v>1.1481681034482758</v>
      </c>
      <c r="I9413" s="297">
        <f t="shared" si="1515"/>
        <v>203.12685317048368</v>
      </c>
      <c r="J9413" s="297">
        <f t="shared" si="1516"/>
        <v>160.28571428571428</v>
      </c>
      <c r="K9413" s="297">
        <f>J9413/POBLA!$B$4*100000</f>
        <v>13.306787754481936</v>
      </c>
      <c r="L9413" s="549">
        <f t="shared" si="1514"/>
        <v>-0.11199207135778</v>
      </c>
      <c r="M9413" s="401">
        <f>SUM(C9413,C9389,C9365,C9341,C9317,C9293,C9269)/POBLA!$B$4*100000</f>
        <v>93.147514281373574</v>
      </c>
    </row>
    <row r="9414" spans="1:13" s="360" customFormat="1" ht="15.75" thickBot="1" x14ac:dyDescent="0.3">
      <c r="A9414" s="367" t="s">
        <v>29</v>
      </c>
      <c r="B9414" s="269">
        <v>44285</v>
      </c>
      <c r="C9414" s="17">
        <v>132</v>
      </c>
      <c r="D9414" s="39">
        <f t="shared" si="1510"/>
        <v>49898</v>
      </c>
      <c r="E9414" s="1"/>
      <c r="F9414" s="39">
        <f t="shared" si="1511"/>
        <v>864</v>
      </c>
      <c r="G9414" s="168">
        <f>SUM(C9414,C9390,C9366,C9342,C9318,C9294,C9270,C9246,C9222,C9198,C9174,C9150,C9126,C9102)/POBLA!$B$5*100000</f>
        <v>249.92164705958376</v>
      </c>
      <c r="H9414" s="256">
        <f t="shared" si="1513"/>
        <v>1.2764026402640265</v>
      </c>
      <c r="I9414" s="297">
        <f t="shared" si="1515"/>
        <v>319.00065016598688</v>
      </c>
      <c r="J9414" s="297">
        <f t="shared" si="1516"/>
        <v>125.71428571428571</v>
      </c>
      <c r="K9414" s="297">
        <f>J9414/POBLA!$B$5*100000</f>
        <v>20.309451418638258</v>
      </c>
      <c r="L9414" s="549">
        <f t="shared" si="1514"/>
        <v>-0.31934032983508254</v>
      </c>
      <c r="M9414" s="401">
        <f>SUM(C9414,C9390,C9366,C9342,C9318,C9294,C9270)/POBLA!$B$5*100000</f>
        <v>142.16615993046781</v>
      </c>
    </row>
    <row r="9415" spans="1:13" s="360" customFormat="1" ht="15.75" thickBot="1" x14ac:dyDescent="0.3">
      <c r="A9415" s="367" t="s">
        <v>30</v>
      </c>
      <c r="B9415" s="269">
        <v>44285</v>
      </c>
      <c r="C9415" s="17">
        <v>886</v>
      </c>
      <c r="D9415" s="39">
        <f t="shared" si="1510"/>
        <v>29765</v>
      </c>
      <c r="E9415" s="1">
        <v>3</v>
      </c>
      <c r="F9415" s="39">
        <f t="shared" si="1511"/>
        <v>328</v>
      </c>
      <c r="G9415" s="168">
        <f>SUM(C9415,C9391,C9367,C9343,C9319,C9295,C9271,C9247,C9223,C9199,C9175,C9151,C9127,C9103)/POBLA!$B$6*100000</f>
        <v>407.56566063021</v>
      </c>
      <c r="H9415" s="256">
        <f t="shared" si="1513"/>
        <v>1.4561683136754862</v>
      </c>
      <c r="I9415" s="297">
        <f t="shared" si="1515"/>
        <v>593.48420075192837</v>
      </c>
      <c r="J9415" s="297">
        <f t="shared" si="1516"/>
        <v>430.71428571428572</v>
      </c>
      <c r="K9415" s="297">
        <f>J9415/POBLA!$B$6*100000</f>
        <v>38.429148949214508</v>
      </c>
      <c r="L9415" s="549">
        <f t="shared" si="1514"/>
        <v>-0.94140373470701877</v>
      </c>
      <c r="M9415" s="401">
        <f>SUM(C9415,C9391,C9367,C9343,C9319,C9295,C9271)/POBLA!$B$6*100000</f>
        <v>269.00404264450157</v>
      </c>
    </row>
    <row r="9416" spans="1:13" s="360" customFormat="1" ht="15.75" thickBot="1" x14ac:dyDescent="0.3">
      <c r="A9416" s="367" t="s">
        <v>20</v>
      </c>
      <c r="B9416" s="269">
        <v>44285</v>
      </c>
      <c r="C9416" s="17">
        <v>826</v>
      </c>
      <c r="D9416" s="39">
        <f t="shared" si="1510"/>
        <v>179373</v>
      </c>
      <c r="E9416" s="1">
        <v>8</v>
      </c>
      <c r="F9416" s="39">
        <f t="shared" si="1511"/>
        <v>3024</v>
      </c>
      <c r="G9416" s="168">
        <f>SUM(C9416,C9392,C9368,C9344,C9320,C9296,C9272,C9248,C9224,C9200,C9176,C9152,C9128,C9104)/POBLA!$B$7*100000</f>
        <v>273.95657434615538</v>
      </c>
      <c r="H9416" s="256">
        <f t="shared" si="1513"/>
        <v>1.2842183994016454</v>
      </c>
      <c r="I9416" s="297">
        <f t="shared" si="1515"/>
        <v>351.82007341237755</v>
      </c>
      <c r="J9416" s="297">
        <f t="shared" si="1516"/>
        <v>820.71428571428567</v>
      </c>
      <c r="K9416" s="297">
        <f>J9416/POBLA!$B$7*100000</f>
        <v>21.824895576707195</v>
      </c>
      <c r="L9416" s="549">
        <f t="shared" si="1514"/>
        <v>-0.260697827518104</v>
      </c>
      <c r="M9416" s="401">
        <f>SUM(C9416,C9392,C9368,C9344,C9320,C9296,C9272)/POBLA!$B$7*100000</f>
        <v>152.77426903695036</v>
      </c>
    </row>
    <row r="9417" spans="1:13" ht="15.75" thickBot="1" x14ac:dyDescent="0.3">
      <c r="A9417" s="367" t="s">
        <v>31</v>
      </c>
      <c r="B9417" s="269">
        <v>44285</v>
      </c>
      <c r="C9417" s="17">
        <v>205</v>
      </c>
      <c r="D9417" s="39">
        <f t="shared" si="1510"/>
        <v>49640</v>
      </c>
      <c r="E9417" s="1">
        <v>2</v>
      </c>
      <c r="F9417" s="39">
        <f t="shared" si="1511"/>
        <v>946</v>
      </c>
      <c r="G9417" s="168">
        <f>SUM(C9417,C9393,C9369,C9345,C9321,C9297,C9273,C9249,C9225,C9201,C9177,C9153,C9129,C9105)/POBLA!$B$8*100000</f>
        <v>176.55619458267583</v>
      </c>
      <c r="H9417" s="256">
        <f t="shared" si="1513"/>
        <v>1.3335149863760218</v>
      </c>
      <c r="I9417" s="297">
        <f t="shared" si="1515"/>
        <v>235.44033141351923</v>
      </c>
      <c r="J9417" s="297">
        <f t="shared" si="1516"/>
        <v>166.14285714285714</v>
      </c>
      <c r="K9417" s="297">
        <f>J9417/POBLA!$B$8*100000</f>
        <v>11.987556442270535</v>
      </c>
      <c r="L9417" s="549">
        <f t="shared" si="1514"/>
        <v>9.4236760124610575E-2</v>
      </c>
      <c r="M9417" s="401">
        <f>SUM(C9417,C9393,C9369,C9345,C9321,C9297,C9273)/POBLA!$B$8*100000</f>
        <v>83.912895095893759</v>
      </c>
    </row>
    <row r="9418" spans="1:13" s="360" customFormat="1" ht="15.75" thickBot="1" x14ac:dyDescent="0.3">
      <c r="A9418" s="367" t="s">
        <v>41</v>
      </c>
      <c r="B9418" s="269">
        <v>44285</v>
      </c>
      <c r="C9418" s="17">
        <v>28</v>
      </c>
      <c r="D9418" s="39">
        <f t="shared" si="1510"/>
        <v>2082</v>
      </c>
      <c r="E9418" s="1"/>
      <c r="F9418" s="39">
        <f t="shared" si="1511"/>
        <v>30</v>
      </c>
      <c r="G9418" s="168">
        <f>SUM(C9418,C9394,C9370,C9346,C9322,C9298,C9274,C9250,C9226,C9202,C9178,C9154,C9130,C9106)/POBLA!$B$9*100000</f>
        <v>75.347864235045677</v>
      </c>
      <c r="H9418" s="256">
        <f t="shared" si="1513"/>
        <v>1.2357723577235773</v>
      </c>
      <c r="I9418" s="297">
        <f t="shared" si="1515"/>
        <v>93.112807835178401</v>
      </c>
      <c r="J9418" s="297">
        <f t="shared" si="1516"/>
        <v>47.571428571428569</v>
      </c>
      <c r="K9418" s="297">
        <f>J9418/POBLA!$B$9*100000</f>
        <v>7.8605384681297652</v>
      </c>
      <c r="L9418" s="549">
        <f t="shared" si="1514"/>
        <v>-1.7073170731707319</v>
      </c>
      <c r="M9418" s="401">
        <f>SUM(C9418,C9394,C9370,C9346,C9322,C9298,C9274)/POBLA!$B$9*100000</f>
        <v>55.023769276908361</v>
      </c>
    </row>
    <row r="9419" spans="1:13" s="360" customFormat="1" ht="15.75" thickBot="1" x14ac:dyDescent="0.3">
      <c r="A9419" s="367" t="s">
        <v>32</v>
      </c>
      <c r="B9419" s="269">
        <v>44285</v>
      </c>
      <c r="C9419" s="17">
        <v>49</v>
      </c>
      <c r="D9419" s="39">
        <f t="shared" si="1510"/>
        <v>22373</v>
      </c>
      <c r="E9419" s="1"/>
      <c r="F9419" s="39">
        <f t="shared" si="1511"/>
        <v>964</v>
      </c>
      <c r="G9419" s="168">
        <f>SUM(C9419,C9395,C9371,C9347,C9323,C9299,C9275,C9251,C9227,C9203,C9179,C9155,C9131,C9107)/POBLA!$B$10*100000</f>
        <v>79.130241892068938</v>
      </c>
      <c r="H9419" s="256">
        <f t="shared" si="1513"/>
        <v>0.69714285714285718</v>
      </c>
      <c r="I9419" s="297">
        <f t="shared" si="1515"/>
        <v>55.165082919042348</v>
      </c>
      <c r="J9419" s="297">
        <f t="shared" si="1516"/>
        <v>40.285714285714285</v>
      </c>
      <c r="K9419" s="297">
        <f>J9419/POBLA!$B$10*100000</f>
        <v>5.2259316659399166</v>
      </c>
      <c r="L9419" s="549">
        <f t="shared" si="1514"/>
        <v>0.1402439024390244</v>
      </c>
      <c r="M9419" s="401">
        <f>SUM(C9419,C9395,C9371,C9347,C9323,C9299,C9275)/POBLA!$B$10*100000</f>
        <v>36.581521661579409</v>
      </c>
    </row>
    <row r="9420" spans="1:13" s="360" customFormat="1" ht="15.75" thickBot="1" x14ac:dyDescent="0.3">
      <c r="A9420" s="367" t="s">
        <v>33</v>
      </c>
      <c r="B9420" s="269">
        <v>44285</v>
      </c>
      <c r="C9420" s="17">
        <v>43</v>
      </c>
      <c r="D9420" s="39">
        <f t="shared" si="1510"/>
        <v>21201</v>
      </c>
      <c r="E9420" s="1">
        <v>2</v>
      </c>
      <c r="F9420" s="39">
        <f t="shared" si="1511"/>
        <v>320</v>
      </c>
      <c r="G9420" s="168">
        <f>SUM(C9420,C9396,C9372,C9348,C9324,C9300,C9276,C9252,C9228,C9204,C9180,C9156,C9132,C9108)/POBLA!$B$11*100000</f>
        <v>316.10253663218276</v>
      </c>
      <c r="H9420" s="256">
        <f t="shared" si="1513"/>
        <v>0.92945036915504509</v>
      </c>
      <c r="I9420" s="297">
        <f t="shared" si="1515"/>
        <v>293.80161936362845</v>
      </c>
      <c r="J9420" s="297">
        <f t="shared" si="1516"/>
        <v>78.714285714285708</v>
      </c>
      <c r="K9420" s="297">
        <f>J9420/POBLA!$B$11*100000</f>
        <v>21.960975625309882</v>
      </c>
      <c r="L9420" s="549">
        <f t="shared" si="1514"/>
        <v>5.3264604810996596E-2</v>
      </c>
      <c r="M9420" s="401">
        <f>SUM(C9420,C9396,C9372,C9348,C9324,C9300,C9276)/POBLA!$B$11*100000</f>
        <v>153.7268293771692</v>
      </c>
    </row>
    <row r="9421" spans="1:13" s="360" customFormat="1" ht="15.75" thickBot="1" x14ac:dyDescent="0.3">
      <c r="A9421" s="367" t="s">
        <v>21</v>
      </c>
      <c r="B9421" s="269">
        <v>44285</v>
      </c>
      <c r="C9421" s="17">
        <v>18</v>
      </c>
      <c r="D9421" s="39">
        <f t="shared" si="1510"/>
        <v>11026</v>
      </c>
      <c r="E9421" s="1"/>
      <c r="F9421" s="39">
        <f t="shared" si="1511"/>
        <v>449</v>
      </c>
      <c r="G9421" s="168">
        <f>SUM(C9421,C9397,C9373,C9349,C9325,C9301,C9277,C9253,C9229,C9205,C9181,C9157,C9133,C9109)/POBLA!$B$12*100000</f>
        <v>116.89041015828487</v>
      </c>
      <c r="H9421" s="256">
        <f t="shared" si="1513"/>
        <v>1.5231788079470199</v>
      </c>
      <c r="I9421" s="297">
        <f t="shared" si="1515"/>
        <v>178.04499560533458</v>
      </c>
      <c r="J9421" s="297">
        <f t="shared" si="1516"/>
        <v>41.571428571428569</v>
      </c>
      <c r="K9421" s="297">
        <f>J9421/POBLA!$B$12*100000</f>
        <v>10.563698557782887</v>
      </c>
      <c r="L9421" s="549">
        <f t="shared" si="1514"/>
        <v>-0.72189349112426027</v>
      </c>
      <c r="M9421" s="401">
        <f>SUM(C9421,C9397,C9373,C9349,C9325,C9301,C9277)/POBLA!$B$12*100000</f>
        <v>73.945889904480211</v>
      </c>
    </row>
    <row r="9422" spans="1:13" s="360" customFormat="1" ht="15.75" thickBot="1" x14ac:dyDescent="0.3">
      <c r="A9422" s="367" t="s">
        <v>17</v>
      </c>
      <c r="B9422" s="269">
        <v>44285</v>
      </c>
      <c r="C9422" s="17">
        <v>271</v>
      </c>
      <c r="D9422" s="39">
        <f t="shared" si="1510"/>
        <v>72486</v>
      </c>
      <c r="E9422" s="1">
        <v>1</v>
      </c>
      <c r="F9422" s="39">
        <f t="shared" si="1511"/>
        <v>1507</v>
      </c>
      <c r="G9422" s="168">
        <f>SUM(C9422,C9398,C9374,C9350,C9326,C9302,C9278,C9254,C9230,C9206,C9182,C9158,C9134,C9110)/POBLA!$B$13*100000</f>
        <v>142.08641949256861</v>
      </c>
      <c r="H9422" s="256">
        <f t="shared" si="1513"/>
        <v>1.2984389348025711</v>
      </c>
      <c r="I9422" s="297">
        <f t="shared" si="1515"/>
        <v>184.49053917584206</v>
      </c>
      <c r="J9422" s="297">
        <f t="shared" si="1516"/>
        <v>237.14285714285714</v>
      </c>
      <c r="K9422" s="297">
        <f>J9422/POBLA!$B$13*100000</f>
        <v>11.91470278630349</v>
      </c>
      <c r="L9422" s="549">
        <f t="shared" si="1514"/>
        <v>-0.42123287671232879</v>
      </c>
      <c r="M9422" s="401">
        <f>SUM(C9422,C9398,C9374,C9350,C9326,C9302,C9278)/POBLA!$B$13*100000</f>
        <v>83.402919504124426</v>
      </c>
    </row>
    <row r="9423" spans="1:13" s="360" customFormat="1" ht="15.75" thickBot="1" x14ac:dyDescent="0.3">
      <c r="A9423" s="367" t="s">
        <v>23</v>
      </c>
      <c r="B9423" s="269">
        <v>44285</v>
      </c>
      <c r="C9423" s="17">
        <v>114</v>
      </c>
      <c r="D9423" s="39">
        <f t="shared" si="1510"/>
        <v>11938</v>
      </c>
      <c r="E9423" s="1">
        <v>3</v>
      </c>
      <c r="F9423" s="39">
        <f t="shared" si="1511"/>
        <v>203</v>
      </c>
      <c r="G9423" s="168">
        <f>SUM(C9423,C9399,C9375,C9351,C9327,C9303,C9279,C9255,C9231,C9207,C9183,C9159,C9135,C9111)/POBLA!$B$14*100000</f>
        <v>138.66711488360366</v>
      </c>
      <c r="H9423" s="256">
        <f t="shared" si="1513"/>
        <v>1.056797583081571</v>
      </c>
      <c r="I9423" s="297">
        <f t="shared" si="1515"/>
        <v>146.54307186188689</v>
      </c>
      <c r="J9423" s="297">
        <f t="shared" si="1516"/>
        <v>130.28571428571428</v>
      </c>
      <c r="K9423" s="297">
        <f>J9423/POBLA!$B$14*100000</f>
        <v>10.329527793338768</v>
      </c>
      <c r="L9423" s="549">
        <f t="shared" si="1514"/>
        <v>-8.9605734767025158E-2</v>
      </c>
      <c r="M9423" s="401">
        <f>SUM(C9423,C9399,C9375,C9351,C9327,C9303,C9279)/POBLA!$B$14*100000</f>
        <v>72.306694553371372</v>
      </c>
    </row>
    <row r="9424" spans="1:13" s="360" customFormat="1" ht="15.75" thickBot="1" x14ac:dyDescent="0.3">
      <c r="A9424" s="367" t="s">
        <v>19</v>
      </c>
      <c r="B9424" s="269">
        <v>44285</v>
      </c>
      <c r="C9424" s="17">
        <v>82</v>
      </c>
      <c r="D9424" s="39">
        <f t="shared" si="1510"/>
        <v>65074</v>
      </c>
      <c r="E9424" s="1">
        <v>3</v>
      </c>
      <c r="F9424" s="39">
        <f t="shared" si="1511"/>
        <v>1009</v>
      </c>
      <c r="G9424" s="168">
        <f>SUM(C9424,C9400,C9376,C9352,C9328,C9304,C9280,C9256,C9232,C9208,C9184,C9160,C9136,C9112)/POBLA!$B$15*100000</f>
        <v>242.75024583733023</v>
      </c>
      <c r="H9424" s="256">
        <f t="shared" si="1513"/>
        <v>0.82119205298013243</v>
      </c>
      <c r="I9424" s="297">
        <f t="shared" si="1515"/>
        <v>199.34457274058906</v>
      </c>
      <c r="J9424" s="297">
        <f t="shared" si="1516"/>
        <v>105.14285714285714</v>
      </c>
      <c r="K9424" s="297">
        <f>J9424/POBLA!$B$15*100000</f>
        <v>15.833408448801404</v>
      </c>
      <c r="L9424" s="549">
        <f t="shared" si="1514"/>
        <v>0.15981735159817356</v>
      </c>
      <c r="M9424" s="401">
        <f>SUM(C9424,C9400,C9376,C9352,C9328,C9304,C9280)/POBLA!$B$15*100000</f>
        <v>110.83385914160984</v>
      </c>
    </row>
    <row r="9425" spans="1:13" s="360" customFormat="1" ht="15.75" thickBot="1" x14ac:dyDescent="0.3">
      <c r="A9425" s="367" t="s">
        <v>18</v>
      </c>
      <c r="B9425" s="269">
        <v>44285</v>
      </c>
      <c r="C9425" s="17">
        <v>83</v>
      </c>
      <c r="D9425" s="39">
        <f t="shared" si="1510"/>
        <v>55275</v>
      </c>
      <c r="E9425" s="1">
        <v>5</v>
      </c>
      <c r="F9425" s="39">
        <f t="shared" si="1511"/>
        <v>1280</v>
      </c>
      <c r="G9425" s="168">
        <f>SUM(C9425,C9401,C9377,C9353,C9329,C9305,C9281,C9257,C9233,C9209,C9185,C9161,C9137,C9113)/POBLA!$B$16*100000</f>
        <v>171.07850349781302</v>
      </c>
      <c r="H9425" s="256">
        <f t="shared" si="1513"/>
        <v>0.88881167477414869</v>
      </c>
      <c r="I9425" s="297">
        <f t="shared" si="1515"/>
        <v>152.05657121174625</v>
      </c>
      <c r="J9425" s="297">
        <f t="shared" si="1516"/>
        <v>94</v>
      </c>
      <c r="K9425" s="297">
        <f>J9425/POBLA!$B$16*100000</f>
        <v>12.573400569815814</v>
      </c>
      <c r="L9425" s="549">
        <f t="shared" si="1514"/>
        <v>-5.9581320450885711E-2</v>
      </c>
      <c r="M9425" s="401">
        <f>SUM(C9425,C9401,C9377,C9353,C9329,C9305,C9281)/POBLA!$B$16*100000</f>
        <v>88.013803988710691</v>
      </c>
    </row>
    <row r="9426" spans="1:13" s="360" customFormat="1" ht="15.75" thickBot="1" x14ac:dyDescent="0.3">
      <c r="A9426" s="367" t="s">
        <v>34</v>
      </c>
      <c r="B9426" s="269">
        <v>44285</v>
      </c>
      <c r="C9426" s="17">
        <v>84</v>
      </c>
      <c r="D9426" s="39">
        <f t="shared" si="1510"/>
        <v>29209</v>
      </c>
      <c r="E9426" s="1">
        <v>1</v>
      </c>
      <c r="F9426" s="39">
        <f t="shared" si="1511"/>
        <v>1204</v>
      </c>
      <c r="G9426" s="168">
        <f>SUM(C9426,C9402,C9378,C9354,C9330,C9306,C9282,C9258,C9234,C9210,C9186,C9162,C9138,C9114)/POBLA!$B$17*100000</f>
        <v>97.444743284351205</v>
      </c>
      <c r="H9426" s="256">
        <f t="shared" si="1513"/>
        <v>0.91255752794214329</v>
      </c>
      <c r="I9426" s="297">
        <f t="shared" si="1515"/>
        <v>88.923934042524309</v>
      </c>
      <c r="J9426" s="297">
        <f t="shared" si="1516"/>
        <v>97.428571428571431</v>
      </c>
      <c r="K9426" s="297">
        <f>J9426/POBLA!$B$17*100000</f>
        <v>6.8399871263820007</v>
      </c>
      <c r="L9426" s="549">
        <f t="shared" si="1514"/>
        <v>3.3994334277620442E-2</v>
      </c>
      <c r="M9426" s="401">
        <f>SUM(C9426,C9402,C9378,C9354,C9330,C9306,C9282)/POBLA!$B$17*100000</f>
        <v>47.879909884674007</v>
      </c>
    </row>
    <row r="9427" spans="1:13" s="360" customFormat="1" ht="15.75" thickBot="1" x14ac:dyDescent="0.3">
      <c r="A9427" s="367" t="s">
        <v>35</v>
      </c>
      <c r="B9427" s="269">
        <v>44285</v>
      </c>
      <c r="C9427" s="17">
        <v>139</v>
      </c>
      <c r="D9427" s="39">
        <f t="shared" si="1510"/>
        <v>17123</v>
      </c>
      <c r="E9427" s="1">
        <v>1</v>
      </c>
      <c r="F9427" s="39">
        <f t="shared" si="1511"/>
        <v>224</v>
      </c>
      <c r="G9427" s="168">
        <f>SUM(C9427,C9403,C9379,C9355,C9331,C9307,C9283,C9259,C9235,C9211,C9187,C9163,C9139,C9115)/POBLA!$B$18*100000</f>
        <v>141.57398008491879</v>
      </c>
      <c r="H9427" s="256">
        <f t="shared" si="1513"/>
        <v>1.6409495548961424</v>
      </c>
      <c r="I9427" s="297">
        <f t="shared" si="1515"/>
        <v>232.31575960522281</v>
      </c>
      <c r="J9427" s="297">
        <f t="shared" si="1516"/>
        <v>91.428571428571431</v>
      </c>
      <c r="K9427" s="297">
        <f>J9427/POBLA!$B$18*100000</f>
        <v>11.703351492424183</v>
      </c>
      <c r="L9427" s="549">
        <f t="shared" si="1514"/>
        <v>-0.37339055793991416</v>
      </c>
      <c r="M9427" s="401">
        <f>SUM(C9427,C9403,C9379,C9355,C9331,C9307,C9283)/POBLA!$B$18*100000</f>
        <v>81.923460446969273</v>
      </c>
    </row>
    <row r="9428" spans="1:13" s="360" customFormat="1" ht="15.75" thickBot="1" x14ac:dyDescent="0.3">
      <c r="A9428" s="367" t="s">
        <v>36</v>
      </c>
      <c r="B9428" s="269">
        <v>44285</v>
      </c>
      <c r="C9428" s="17">
        <v>60</v>
      </c>
      <c r="D9428" s="39">
        <f t="shared" si="1510"/>
        <v>22600</v>
      </c>
      <c r="E9428" s="1">
        <v>3</v>
      </c>
      <c r="F9428" s="39">
        <f t="shared" si="1511"/>
        <v>411</v>
      </c>
      <c r="G9428" s="168">
        <f>SUM(C9428,C9404,C9380,C9356,C9332,C9308,C9284,C9260,C9236,C9212,C9188,C9164,C9140,C9116)/POBLA!$B$19*100000</f>
        <v>212.46124549503472</v>
      </c>
      <c r="H9428" s="256">
        <f t="shared" si="1513"/>
        <v>1.4634146341463414</v>
      </c>
      <c r="I9428" s="297">
        <f t="shared" si="1515"/>
        <v>310.91889584639227</v>
      </c>
      <c r="J9428" s="297">
        <f t="shared" si="1516"/>
        <v>149.42857142857142</v>
      </c>
      <c r="K9428" s="297">
        <f>J9428/POBLA!$B$19*100000</f>
        <v>29.396092961350039</v>
      </c>
      <c r="L9428" s="549">
        <f t="shared" si="1514"/>
        <v>-29.764705882352942</v>
      </c>
      <c r="M9428" s="401">
        <f>SUM(C9428,C9404,C9380,C9356,C9332,C9308,C9284)/POBLA!$B$19*100000</f>
        <v>205.77265072945025</v>
      </c>
    </row>
    <row r="9429" spans="1:13" s="360" customFormat="1" ht="15.75" thickBot="1" x14ac:dyDescent="0.3">
      <c r="A9429" s="367" t="s">
        <v>37</v>
      </c>
      <c r="B9429" s="269">
        <v>44285</v>
      </c>
      <c r="C9429" s="17">
        <v>82</v>
      </c>
      <c r="D9429" s="39">
        <f t="shared" si="1510"/>
        <v>39210</v>
      </c>
      <c r="E9429" s="1">
        <v>1</v>
      </c>
      <c r="F9429" s="39">
        <f t="shared" si="1511"/>
        <v>640</v>
      </c>
      <c r="G9429" s="168">
        <f>SUM(C9429,C9405,C9381,C9357,C9333,C9309,C9285,C9261,C9237,C9213,C9189,C9165,C9141,C9117)/POBLA!$B$20*100000</f>
        <v>447.36367166350374</v>
      </c>
      <c r="H9429" s="256">
        <f t="shared" si="1513"/>
        <v>1.10840108401084</v>
      </c>
      <c r="I9429" s="297">
        <f t="shared" si="1515"/>
        <v>495.85837861889706</v>
      </c>
      <c r="J9429" s="297">
        <f t="shared" si="1516"/>
        <v>114.57142857142857</v>
      </c>
      <c r="K9429" s="297">
        <f>J9429/POBLA!$B$20*100000</f>
        <v>31.329520142693855</v>
      </c>
      <c r="L9429" s="549">
        <f t="shared" si="1514"/>
        <v>3.83693045563549E-2</v>
      </c>
      <c r="M9429" s="401">
        <f>SUM(C9429,C9405,C9381,C9357,C9333,C9309,C9285)/POBLA!$B$20*100000</f>
        <v>219.30664099885695</v>
      </c>
    </row>
    <row r="9430" spans="1:13" s="360" customFormat="1" ht="15.75" thickBot="1" x14ac:dyDescent="0.3">
      <c r="A9430" s="367" t="s">
        <v>22</v>
      </c>
      <c r="B9430" s="269">
        <v>44285</v>
      </c>
      <c r="C9430" s="17">
        <v>548</v>
      </c>
      <c r="D9430" s="39">
        <f t="shared" si="1510"/>
        <v>230574</v>
      </c>
      <c r="E9430" s="1">
        <v>6</v>
      </c>
      <c r="F9430" s="39">
        <f t="shared" si="1511"/>
        <v>4264</v>
      </c>
      <c r="G9430" s="168">
        <f>SUM(C9430,C9406,C9382,C9358,C9334,C9310,C9286,C9262,C9238,C9214,C9190,C9166,C9142,C9118)/POBLA!$B$21*100000</f>
        <v>207.66775873214084</v>
      </c>
      <c r="H9430" s="256">
        <f t="shared" si="1513"/>
        <v>1.2154915590863953</v>
      </c>
      <c r="I9430" s="297">
        <f t="shared" si="1515"/>
        <v>252.41840783330724</v>
      </c>
      <c r="J9430" s="297">
        <f t="shared" si="1516"/>
        <v>571.85714285714289</v>
      </c>
      <c r="K9430" s="297">
        <f>J9430/POBLA!$B$21*100000</f>
        <v>16.170518950450511</v>
      </c>
      <c r="L9430" s="549">
        <f t="shared" si="1514"/>
        <v>-0.19814426818317865</v>
      </c>
      <c r="M9430" s="401">
        <f>SUM(C9430,C9406,C9382,C9358,C9334,C9310,C9286)/POBLA!$B$21*100000</f>
        <v>113.19363265315356</v>
      </c>
    </row>
    <row r="9431" spans="1:13" s="360" customFormat="1" ht="15.75" thickBot="1" x14ac:dyDescent="0.3">
      <c r="A9431" s="367" t="s">
        <v>38</v>
      </c>
      <c r="B9431" s="269">
        <v>44285</v>
      </c>
      <c r="C9431" s="17">
        <v>51</v>
      </c>
      <c r="D9431" s="39">
        <f t="shared" si="1510"/>
        <v>24982</v>
      </c>
      <c r="E9431" s="1">
        <v>2</v>
      </c>
      <c r="F9431" s="39">
        <f t="shared" si="1511"/>
        <v>294</v>
      </c>
      <c r="G9431" s="168">
        <f>SUM(C9431,C9407,C9383,C9359,C9335,C9311,C9287,C9263,C9239,C9215,C9191,C9167,C9143,C9119)/POBLA!$B$22*100000</f>
        <v>140.54806590528798</v>
      </c>
      <c r="H9431" s="256">
        <f t="shared" si="1513"/>
        <v>1.5714285714285714</v>
      </c>
      <c r="I9431" s="297">
        <f t="shared" si="1515"/>
        <v>220.8612464225954</v>
      </c>
      <c r="J9431" s="297">
        <f t="shared" si="1516"/>
        <v>106.57142857142857</v>
      </c>
      <c r="K9431" s="297">
        <f>J9431/POBLA!$B$22*100000</f>
        <v>10.893387757438424</v>
      </c>
      <c r="L9431" s="549">
        <f t="shared" si="1514"/>
        <v>-0.18600953895071548</v>
      </c>
      <c r="M9431" s="401">
        <f>SUM(C9431,C9407,C9383,C9359,C9335,C9311,C9287)/POBLA!$B$22*100000</f>
        <v>76.253714302068971</v>
      </c>
    </row>
    <row r="9432" spans="1:13" s="360" customFormat="1" ht="15.75" thickBot="1" x14ac:dyDescent="0.3">
      <c r="A9432" s="367" t="s">
        <v>39</v>
      </c>
      <c r="B9432" s="269">
        <v>44285</v>
      </c>
      <c r="C9432" s="17">
        <v>19</v>
      </c>
      <c r="D9432" s="39">
        <f t="shared" si="1510"/>
        <v>24004</v>
      </c>
      <c r="E9432" s="1"/>
      <c r="F9432" s="39">
        <f t="shared" si="1511"/>
        <v>367</v>
      </c>
      <c r="G9432" s="168">
        <f>SUM(C9432,C9408,C9384,C9360,C9336,C9312,C9288,C9264,C9240,C9216,C9192,C9168,C9144,C9120)/POBLA!$B$23*100000</f>
        <v>332.52276197477806</v>
      </c>
      <c r="H9432" s="256">
        <f t="shared" si="1513"/>
        <v>1.5076923076923077</v>
      </c>
      <c r="I9432" s="297">
        <f t="shared" si="1515"/>
        <v>501.34201036197305</v>
      </c>
      <c r="J9432" s="297">
        <f t="shared" si="1516"/>
        <v>48.857142857142854</v>
      </c>
      <c r="K9432" s="297">
        <f>J9432/POBLA!$B$23*100000</f>
        <v>27.629442321519456</v>
      </c>
      <c r="L9432" s="549">
        <f t="shared" si="1514"/>
        <v>-0.39024390243902429</v>
      </c>
      <c r="M9432" s="401">
        <f>SUM(C9432,C9408,C9384,C9360,C9336,C9312,C9288)/POBLA!$B$23*100000</f>
        <v>193.40609625063621</v>
      </c>
    </row>
    <row r="9433" spans="1:13" s="360" customFormat="1" ht="15.75" thickBot="1" x14ac:dyDescent="0.3">
      <c r="A9433" s="368" t="s">
        <v>40</v>
      </c>
      <c r="B9433" s="268">
        <v>44285</v>
      </c>
      <c r="C9433" s="17">
        <v>315</v>
      </c>
      <c r="D9433" s="67">
        <f t="shared" si="1510"/>
        <v>87104</v>
      </c>
      <c r="E9433" s="232">
        <v>1</v>
      </c>
      <c r="F9433" s="67">
        <f t="shared" si="1511"/>
        <v>1502</v>
      </c>
      <c r="G9433" s="177">
        <f>SUM(C9433,C9409,C9385,C9361,C9337,C9313,C9289,C9265,C9241,C9217,C9193,C9169,C9145,C9121)/POBLA!$B$24*100000</f>
        <v>260.87890403716153</v>
      </c>
      <c r="H9433" s="402">
        <f t="shared" si="1513"/>
        <v>1.7109133126934986</v>
      </c>
      <c r="I9433" s="403">
        <f t="shared" si="1515"/>
        <v>446.34118991806935</v>
      </c>
      <c r="J9433" s="403">
        <f t="shared" si="1516"/>
        <v>346.57142857142856</v>
      </c>
      <c r="K9433" s="403">
        <f>J9433/POBLA!$B$24*100000</f>
        <v>20.45084244657491</v>
      </c>
      <c r="L9433" s="550">
        <f t="shared" si="1514"/>
        <v>-0.21604010025062648</v>
      </c>
      <c r="M9433" s="405">
        <f>SUM(C9433,C9409,C9385,C9361,C9337,C9313,C9289)/POBLA!$B$24*100000</f>
        <v>143.1558971260244</v>
      </c>
    </row>
    <row r="9434" spans="1:13" s="360" customFormat="1" x14ac:dyDescent="0.25">
      <c r="A9434" s="363" t="s">
        <v>16</v>
      </c>
      <c r="B9434" s="265">
        <v>44286</v>
      </c>
      <c r="C9434" s="43">
        <v>8063</v>
      </c>
      <c r="D9434" s="174">
        <f t="shared" si="1510"/>
        <v>987567</v>
      </c>
      <c r="E9434" s="43">
        <v>69</v>
      </c>
      <c r="F9434" s="174">
        <f t="shared" si="1511"/>
        <v>28203</v>
      </c>
      <c r="G9434" s="175">
        <f>SUM(C9434,C9410,C9386,C9362,C9338,C9314,C9290,C9266,C9242,C9218,C9194,C9170,C9146,C9122)/POBLA!$B$1*100000</f>
        <v>343.75756970427409</v>
      </c>
      <c r="H9434" s="300">
        <f t="shared" si="1513"/>
        <v>1.5433185738783242</v>
      </c>
      <c r="I9434" s="301">
        <f>G9434*H9434</f>
        <v>530.52744223587888</v>
      </c>
      <c r="J9434" s="301">
        <f>AVERAGE(C9434,C9410,C9386,C9362,C9338,C9314,C9290)</f>
        <v>5347</v>
      </c>
      <c r="K9434" s="301">
        <f>J9434/POBLA!$B$1*100000</f>
        <v>30.482623678813138</v>
      </c>
      <c r="L9434" s="548">
        <f t="shared" ref="L9434:L9457" si="1517">1-SUM(C9434,C9410,C9386,C9362,C9338,C9314,C9290)/SUM(C9266,C9242,C9218,C9194,C9170,C9146,C9122)</f>
        <v>-0.63659816353301268</v>
      </c>
      <c r="M9434" s="400">
        <f>SUM(C9434,C9410,C9386,C9362,C9338,C9314,C9290)/POBLA!$B$1*100000</f>
        <v>213.37836575169197</v>
      </c>
    </row>
    <row r="9435" spans="1:13" s="360" customFormat="1" x14ac:dyDescent="0.25">
      <c r="A9435" s="367" t="s">
        <v>43</v>
      </c>
      <c r="B9435" s="2">
        <v>44286</v>
      </c>
      <c r="C9435" s="1">
        <v>1707</v>
      </c>
      <c r="D9435" s="39">
        <f t="shared" si="1510"/>
        <v>261333</v>
      </c>
      <c r="E9435" s="1">
        <v>16</v>
      </c>
      <c r="F9435" s="39">
        <f t="shared" si="1511"/>
        <v>6874</v>
      </c>
      <c r="G9435" s="168">
        <f>SUM(C9435,C9411,C9387,C9363,C9339,C9315,C9291,C9267,C9243,C9219,C9195,C9171,C9147,C9123)/POBLA!$B$2*100000</f>
        <v>533.05874603254085</v>
      </c>
      <c r="H9435" s="256">
        <f t="shared" si="1513"/>
        <v>1.4766279383950283</v>
      </c>
      <c r="I9435" s="297">
        <f t="shared" ref="I9435:I9457" si="1518">G9435*H9435</f>
        <v>787.12943719746977</v>
      </c>
      <c r="J9435" s="297">
        <f t="shared" ref="J9435:J9457" si="1519">AVERAGE(C9435,C9411,C9387,C9363,C9339,C9315,C9291)</f>
        <v>1450.1428571428571</v>
      </c>
      <c r="K9435" s="297">
        <f>J9435/POBLA!$B$2*100000</f>
        <v>47.149212137640582</v>
      </c>
      <c r="L9435" s="549">
        <f t="shared" si="1517"/>
        <v>-0.62572069186418955</v>
      </c>
      <c r="M9435" s="401">
        <f>SUM(C9435,C9411,C9387,C9363,C9339,C9315,C9291)/POBLA!$B$2*100000</f>
        <v>330.04448496348408</v>
      </c>
    </row>
    <row r="9436" spans="1:13" s="360" customFormat="1" x14ac:dyDescent="0.25">
      <c r="A9436" s="367" t="s">
        <v>28</v>
      </c>
      <c r="B9436" s="2">
        <v>44286</v>
      </c>
      <c r="C9436" s="1">
        <v>79</v>
      </c>
      <c r="D9436" s="39">
        <f t="shared" si="1510"/>
        <v>10460</v>
      </c>
      <c r="E9436" s="1"/>
      <c r="F9436" s="39">
        <f t="shared" si="1511"/>
        <v>18</v>
      </c>
      <c r="G9436" s="168">
        <f>SUM(C9436,C9412,C9388,C9364,C9340,C9316,C9292,C9268,C9244,C9220,C9196,C9172,C9148,C9124)/POBLA!$B$3*100000</f>
        <v>265.26220519066624</v>
      </c>
      <c r="H9436" s="256">
        <f t="shared" si="1513"/>
        <v>0.93867120954003402</v>
      </c>
      <c r="I9436" s="297">
        <f t="shared" si="1518"/>
        <v>248.99399499157937</v>
      </c>
      <c r="J9436" s="297">
        <f t="shared" si="1519"/>
        <v>78</v>
      </c>
      <c r="K9436" s="297">
        <f>J9436/POBLA!$B$3*100000</f>
        <v>18.775364795709589</v>
      </c>
      <c r="L9436" s="549">
        <f t="shared" si="1517"/>
        <v>1.7985611510791366E-2</v>
      </c>
      <c r="M9436" s="401">
        <f>SUM(C9436,C9412,C9388,C9364,C9340,C9316,C9292)/POBLA!$B$3*100000</f>
        <v>131.42755356996713</v>
      </c>
    </row>
    <row r="9437" spans="1:13" s="360" customFormat="1" x14ac:dyDescent="0.25">
      <c r="A9437" s="367" t="s">
        <v>15</v>
      </c>
      <c r="B9437" s="2">
        <v>44286</v>
      </c>
      <c r="C9437" s="1">
        <v>175</v>
      </c>
      <c r="D9437" s="39">
        <f t="shared" si="1510"/>
        <v>38492</v>
      </c>
      <c r="E9437" s="1">
        <v>1</v>
      </c>
      <c r="F9437" s="39">
        <f t="shared" si="1511"/>
        <v>924</v>
      </c>
      <c r="G9437" s="168">
        <f>SUM(C9437,C9413,C9389,C9365,C9341,C9317,C9293,C9269,C9245,C9221,C9197,C9173,C9149,C9125)/POBLA!$B$4*100000</f>
        <v>179.9025520924568</v>
      </c>
      <c r="H9437" s="256">
        <f t="shared" si="1513"/>
        <v>1.1900054914881932</v>
      </c>
      <c r="I9437" s="297">
        <f t="shared" si="1518"/>
        <v>214.08502492276435</v>
      </c>
      <c r="J9437" s="297">
        <f t="shared" si="1519"/>
        <v>159.57142857142858</v>
      </c>
      <c r="K9437" s="297">
        <f>J9437/POBLA!$B$4*100000</f>
        <v>13.247488343811343</v>
      </c>
      <c r="L9437" s="549">
        <f t="shared" si="1517"/>
        <v>-6.380952380952376E-2</v>
      </c>
      <c r="M9437" s="401">
        <f>SUM(C9437,C9413,C9389,C9365,C9341,C9317,C9293)/POBLA!$B$4*100000</f>
        <v>92.732418406679386</v>
      </c>
    </row>
    <row r="9438" spans="1:13" s="360" customFormat="1" x14ac:dyDescent="0.25">
      <c r="A9438" s="367" t="s">
        <v>29</v>
      </c>
      <c r="B9438" s="2">
        <v>44286</v>
      </c>
      <c r="C9438" s="1">
        <v>215</v>
      </c>
      <c r="D9438" s="39">
        <f t="shared" si="1510"/>
        <v>50113</v>
      </c>
      <c r="E9438" s="1"/>
      <c r="F9438" s="39">
        <f t="shared" si="1511"/>
        <v>864</v>
      </c>
      <c r="G9438" s="168">
        <f>SUM(C9438,C9414,C9390,C9366,C9342,C9318,C9294,C9270,C9246,C9222,C9198,C9174,C9150,C9126)/POBLA!$B$5*100000</f>
        <v>264.29981550709704</v>
      </c>
      <c r="H9438" s="256">
        <f t="shared" si="1513"/>
        <v>1.3554266777133388</v>
      </c>
      <c r="I9438" s="297">
        <f t="shared" si="1518"/>
        <v>358.23902085303291</v>
      </c>
      <c r="J9438" s="297">
        <f t="shared" si="1519"/>
        <v>142</v>
      </c>
      <c r="K9438" s="297">
        <f>J9438/POBLA!$B$5*100000</f>
        <v>22.94044853423458</v>
      </c>
      <c r="L9438" s="549">
        <f t="shared" si="1517"/>
        <v>-0.54828660436137078</v>
      </c>
      <c r="M9438" s="401">
        <f>SUM(C9438,C9414,C9390,C9366,C9342,C9318,C9294)/POBLA!$B$5*100000</f>
        <v>160.58313973964206</v>
      </c>
    </row>
    <row r="9439" spans="1:13" s="360" customFormat="1" x14ac:dyDescent="0.25">
      <c r="A9439" s="367" t="s">
        <v>30</v>
      </c>
      <c r="B9439" s="2">
        <v>44286</v>
      </c>
      <c r="C9439" s="1">
        <v>291</v>
      </c>
      <c r="D9439" s="39">
        <f t="shared" si="1510"/>
        <v>30056</v>
      </c>
      <c r="E9439" s="1"/>
      <c r="F9439" s="39">
        <f t="shared" si="1511"/>
        <v>328</v>
      </c>
      <c r="G9439" s="168">
        <f>SUM(C9439,C9415,C9391,C9367,C9343,C9319,C9295,C9271,C9247,C9223,C9199,C9175,C9151,C9127)/POBLA!$B$6*100000</f>
        <v>409.97465205687718</v>
      </c>
      <c r="H9439" s="256">
        <f t="shared" si="1513"/>
        <v>1.4596569250317661</v>
      </c>
      <c r="I9439" s="297">
        <f t="shared" si="1518"/>
        <v>598.42233996230959</v>
      </c>
      <c r="J9439" s="297">
        <f t="shared" si="1519"/>
        <v>423.14285714285717</v>
      </c>
      <c r="K9439" s="297">
        <f>J9439/POBLA!$B$6*100000</f>
        <v>37.753611670836939</v>
      </c>
      <c r="L9439" s="549">
        <f t="shared" si="1517"/>
        <v>-0.81383955909369265</v>
      </c>
      <c r="M9439" s="401">
        <f>SUM(C9439,C9415,C9391,C9367,C9343,C9319,C9295)/POBLA!$B$6*100000</f>
        <v>264.27528169585855</v>
      </c>
    </row>
    <row r="9440" spans="1:13" s="360" customFormat="1" x14ac:dyDescent="0.25">
      <c r="A9440" s="367" t="s">
        <v>20</v>
      </c>
      <c r="B9440" s="2">
        <v>44286</v>
      </c>
      <c r="C9440" s="1">
        <v>1260</v>
      </c>
      <c r="D9440" s="39">
        <f t="shared" si="1510"/>
        <v>180633</v>
      </c>
      <c r="E9440" s="1">
        <v>6</v>
      </c>
      <c r="F9440" s="39">
        <f t="shared" si="1511"/>
        <v>3030</v>
      </c>
      <c r="G9440" s="168">
        <f>SUM(C9440,C9416,C9392,C9368,C9344,C9320,C9296,C9272,C9248,C9224,C9200,C9176,C9152,C9128)/POBLA!$B$7*100000</f>
        <v>286.69441157308302</v>
      </c>
      <c r="H9440" s="256">
        <f t="shared" si="1513"/>
        <v>1.3303307008884502</v>
      </c>
      <c r="I9440" s="297">
        <f t="shared" si="1518"/>
        <v>381.39837748882132</v>
      </c>
      <c r="J9440" s="297">
        <f t="shared" si="1519"/>
        <v>890.85714285714289</v>
      </c>
      <c r="K9440" s="297">
        <f>J9440/POBLA!$B$7*100000</f>
        <v>23.690173858371814</v>
      </c>
      <c r="L9440" s="549">
        <f t="shared" si="1517"/>
        <v>-0.37205720572057199</v>
      </c>
      <c r="M9440" s="401">
        <f>SUM(C9440,C9416,C9392,C9368,C9344,C9320,C9296)/POBLA!$B$7*100000</f>
        <v>165.83121700860269</v>
      </c>
    </row>
    <row r="9441" spans="1:13" x14ac:dyDescent="0.25">
      <c r="A9441" s="367" t="s">
        <v>31</v>
      </c>
      <c r="B9441" s="2">
        <v>44286</v>
      </c>
      <c r="C9441" s="1">
        <v>299</v>
      </c>
      <c r="D9441" s="39">
        <f t="shared" si="1510"/>
        <v>49939</v>
      </c>
      <c r="F9441" s="39">
        <f t="shared" si="1511"/>
        <v>946</v>
      </c>
      <c r="G9441" s="168">
        <f>SUM(C9441,C9417,C9393,C9369,C9345,C9321,C9297,C9273,C9249,C9225,C9201,C9177,C9153,C9129)/POBLA!$B$8*100000</f>
        <v>183.48279641346329</v>
      </c>
      <c r="H9441" s="256">
        <f t="shared" si="1513"/>
        <v>1.3548215237080448</v>
      </c>
      <c r="I9441" s="297">
        <f t="shared" si="1518"/>
        <v>248.58644181110131</v>
      </c>
      <c r="J9441" s="297">
        <f t="shared" si="1519"/>
        <v>190.71428571428572</v>
      </c>
      <c r="K9441" s="297">
        <f>J9441/POBLA!$B$8*100000</f>
        <v>13.760436672769703</v>
      </c>
      <c r="L9441" s="549">
        <f t="shared" si="1517"/>
        <v>-0.10513245033112573</v>
      </c>
      <c r="M9441" s="401">
        <f>SUM(C9441,C9417,C9393,C9369,C9345,C9321,C9297)/POBLA!$B$8*100000</f>
        <v>96.323056709387927</v>
      </c>
    </row>
    <row r="9442" spans="1:13" s="360" customFormat="1" x14ac:dyDescent="0.25">
      <c r="A9442" s="367" t="s">
        <v>41</v>
      </c>
      <c r="B9442" s="2">
        <v>44286</v>
      </c>
      <c r="C9442" s="1">
        <v>175</v>
      </c>
      <c r="D9442" s="39">
        <f t="shared" si="1510"/>
        <v>2257</v>
      </c>
      <c r="E9442" s="1"/>
      <c r="F9442" s="39">
        <f t="shared" si="1511"/>
        <v>30</v>
      </c>
      <c r="G9442" s="168">
        <f>SUM(C9442,C9418,C9394,C9370,C9346,C9322,C9298,C9274,C9250,C9226,C9202,C9178,C9154,C9130)/POBLA!$B$9*100000</f>
        <v>100.7942920688111</v>
      </c>
      <c r="H9442" s="256">
        <f t="shared" si="1513"/>
        <v>1.6897506925207757</v>
      </c>
      <c r="I9442" s="297">
        <f t="shared" si="1518"/>
        <v>170.31722482541488</v>
      </c>
      <c r="J9442" s="297">
        <f t="shared" si="1519"/>
        <v>69.714285714285708</v>
      </c>
      <c r="K9442" s="297">
        <f>J9442/POBLA!$B$9*100000</f>
        <v>11.519347665006983</v>
      </c>
      <c r="L9442" s="549">
        <f t="shared" si="1517"/>
        <v>-3</v>
      </c>
      <c r="M9442" s="401">
        <f>SUM(C9442,C9418,C9394,C9370,C9346,C9322,C9298)/POBLA!$B$9*100000</f>
        <v>80.635433655048885</v>
      </c>
    </row>
    <row r="9443" spans="1:13" s="360" customFormat="1" x14ac:dyDescent="0.25">
      <c r="A9443" s="367" t="s">
        <v>32</v>
      </c>
      <c r="B9443" s="2">
        <v>44286</v>
      </c>
      <c r="C9443" s="1">
        <v>76</v>
      </c>
      <c r="D9443" s="39">
        <f t="shared" si="1510"/>
        <v>22449</v>
      </c>
      <c r="E9443" s="1">
        <v>2</v>
      </c>
      <c r="F9443" s="39">
        <f t="shared" si="1511"/>
        <v>966</v>
      </c>
      <c r="G9443" s="168">
        <f>SUM(C9443,C9419,C9395,C9371,C9347,C9323,C9299,C9275,C9251,C9227,C9203,C9179,C9155,C9131)/POBLA!$B$10*100000</f>
        <v>79.259963600088739</v>
      </c>
      <c r="H9443" s="256">
        <f t="shared" si="1513"/>
        <v>0.71378504672897192</v>
      </c>
      <c r="I9443" s="297">
        <f t="shared" si="1518"/>
        <v>56.574576822025954</v>
      </c>
      <c r="J9443" s="297">
        <f t="shared" si="1519"/>
        <v>47.857142857142854</v>
      </c>
      <c r="K9443" s="297">
        <f>J9443/POBLA!$B$10*100000</f>
        <v>6.2081103123754318</v>
      </c>
      <c r="L9443" s="549">
        <f t="shared" si="1517"/>
        <v>-0.21376811594202905</v>
      </c>
      <c r="M9443" s="401">
        <f>SUM(C9443,C9419,C9395,C9371,C9347,C9323,C9299)/POBLA!$B$10*100000</f>
        <v>43.456772186628022</v>
      </c>
    </row>
    <row r="9444" spans="1:13" s="360" customFormat="1" x14ac:dyDescent="0.25">
      <c r="A9444" s="367" t="s">
        <v>33</v>
      </c>
      <c r="B9444" s="2">
        <v>44286</v>
      </c>
      <c r="C9444" s="1">
        <v>89</v>
      </c>
      <c r="D9444" s="39">
        <f t="shared" si="1510"/>
        <v>21290</v>
      </c>
      <c r="E9444" s="1">
        <v>1</v>
      </c>
      <c r="F9444" s="39">
        <f t="shared" si="1511"/>
        <v>321</v>
      </c>
      <c r="G9444" s="168">
        <f>SUM(C9444,C9420,C9396,C9372,C9348,C9324,C9300,C9276,C9252,C9228,C9204,C9180,C9156,C9132)/POBLA!$B$11*100000</f>
        <v>296.29381633131339</v>
      </c>
      <c r="H9444" s="256">
        <f t="shared" si="1513"/>
        <v>0.83294117647058818</v>
      </c>
      <c r="I9444" s="297">
        <f t="shared" si="1518"/>
        <v>246.79531995596454</v>
      </c>
      <c r="J9444" s="297">
        <f t="shared" si="1519"/>
        <v>81.857142857142861</v>
      </c>
      <c r="K9444" s="297">
        <f>J9444/POBLA!$B$11*100000</f>
        <v>22.837820387118992</v>
      </c>
      <c r="L9444" s="549">
        <f t="shared" si="1517"/>
        <v>-0.17177914110429437</v>
      </c>
      <c r="M9444" s="401">
        <f>SUM(C9444,C9420,C9396,C9372,C9348,C9324,C9300)/POBLA!$B$11*100000</f>
        <v>159.86474270983294</v>
      </c>
    </row>
    <row r="9445" spans="1:13" s="360" customFormat="1" x14ac:dyDescent="0.25">
      <c r="A9445" s="367" t="s">
        <v>21</v>
      </c>
      <c r="B9445" s="2">
        <v>44286</v>
      </c>
      <c r="C9445" s="1">
        <v>72</v>
      </c>
      <c r="D9445" s="39">
        <f t="shared" si="1510"/>
        <v>11098</v>
      </c>
      <c r="E9445" s="1"/>
      <c r="F9445" s="39">
        <f t="shared" si="1511"/>
        <v>449</v>
      </c>
      <c r="G9445" s="168">
        <f>SUM(C9445,C9421,C9397,C9373,C9349,C9325,C9301,C9277,C9253,C9229,C9205,C9181,C9157,C9133)/POBLA!$B$12*100000</f>
        <v>134.93219085662884</v>
      </c>
      <c r="H9445" s="256">
        <f t="shared" si="1513"/>
        <v>1.8964285714285714</v>
      </c>
      <c r="I9445" s="297">
        <f t="shared" si="1518"/>
        <v>255.88926194596397</v>
      </c>
      <c r="J9445" s="297">
        <f t="shared" si="1519"/>
        <v>48.285714285714285</v>
      </c>
      <c r="K9445" s="297">
        <f>J9445/POBLA!$B$12*100000</f>
        <v>12.269862929658473</v>
      </c>
      <c r="L9445" s="549">
        <f t="shared" si="1517"/>
        <v>-0.75129533678756477</v>
      </c>
      <c r="M9445" s="401">
        <f>SUM(C9445,C9421,C9397,C9373,C9349,C9325,C9301)/POBLA!$B$12*100000</f>
        <v>85.889040507609309</v>
      </c>
    </row>
    <row r="9446" spans="1:13" s="360" customFormat="1" x14ac:dyDescent="0.25">
      <c r="A9446" s="367" t="s">
        <v>17</v>
      </c>
      <c r="B9446" s="2">
        <v>44286</v>
      </c>
      <c r="C9446" s="1">
        <v>521</v>
      </c>
      <c r="D9446" s="39">
        <f t="shared" si="1510"/>
        <v>73007</v>
      </c>
      <c r="E9446" s="1">
        <v>4</v>
      </c>
      <c r="F9446" s="39">
        <f t="shared" si="1511"/>
        <v>1511</v>
      </c>
      <c r="G9446" s="168">
        <f>SUM(C9446,C9422,C9398,C9374,C9350,C9326,C9302,C9278,C9254,C9230,C9206,C9182,C9158,C9134)/POBLA!$B$13*100000</f>
        <v>160.77671229710731</v>
      </c>
      <c r="H9446" s="256">
        <f t="shared" si="1513"/>
        <v>1.5094339622641511</v>
      </c>
      <c r="I9446" s="297">
        <f t="shared" si="1518"/>
        <v>242.68182988242614</v>
      </c>
      <c r="J9446" s="297">
        <f t="shared" si="1519"/>
        <v>287.42857142857144</v>
      </c>
      <c r="K9446" s="297">
        <f>J9446/POBLA!$B$13*100000</f>
        <v>14.441193979543749</v>
      </c>
      <c r="L9446" s="549">
        <f t="shared" si="1517"/>
        <v>-0.69360269360269355</v>
      </c>
      <c r="M9446" s="401">
        <f>SUM(C9446,C9422,C9398,C9374,C9350,C9326,C9302)/POBLA!$B$13*100000</f>
        <v>101.08835785680624</v>
      </c>
    </row>
    <row r="9447" spans="1:13" s="360" customFormat="1" x14ac:dyDescent="0.25">
      <c r="A9447" s="367" t="s">
        <v>23</v>
      </c>
      <c r="B9447" s="2">
        <v>44286</v>
      </c>
      <c r="C9447" s="1">
        <v>134</v>
      </c>
      <c r="D9447" s="39">
        <f t="shared" si="1510"/>
        <v>12072</v>
      </c>
      <c r="E9447" s="1">
        <v>4</v>
      </c>
      <c r="F9447" s="39">
        <f t="shared" si="1511"/>
        <v>207</v>
      </c>
      <c r="G9447" s="168">
        <f>SUM(C9447,C9423,C9399,C9375,C9351,C9327,C9303,C9279,C9255,C9231,C9207,C9183,C9159,C9135)/POBLA!$B$14*100000</f>
        <v>138.11212928944403</v>
      </c>
      <c r="H9447" s="256">
        <f t="shared" si="1513"/>
        <v>1.036904761904762</v>
      </c>
      <c r="I9447" s="297">
        <f t="shared" si="1518"/>
        <v>143.20912453703068</v>
      </c>
      <c r="J9447" s="297">
        <f t="shared" si="1519"/>
        <v>129.71428571428572</v>
      </c>
      <c r="K9447" s="297">
        <f>J9447/POBLA!$B$14*100000</f>
        <v>10.284222846876757</v>
      </c>
      <c r="L9447" s="549">
        <f t="shared" si="1517"/>
        <v>-8.8729016786570636E-2</v>
      </c>
      <c r="M9447" s="401">
        <f>SUM(C9447,C9423,C9399,C9375,C9351,C9327,C9303)/POBLA!$B$14*100000</f>
        <v>71.989559928137297</v>
      </c>
    </row>
    <row r="9448" spans="1:13" s="360" customFormat="1" x14ac:dyDescent="0.25">
      <c r="A9448" s="367" t="s">
        <v>19</v>
      </c>
      <c r="B9448" s="2">
        <v>44286</v>
      </c>
      <c r="C9448" s="1">
        <v>140</v>
      </c>
      <c r="D9448" s="39">
        <f t="shared" si="1510"/>
        <v>65214</v>
      </c>
      <c r="E9448" s="1"/>
      <c r="F9448" s="39">
        <f t="shared" si="1511"/>
        <v>1009</v>
      </c>
      <c r="G9448" s="168">
        <f>SUM(C9448,C9424,C9400,C9376,C9352,C9328,C9304,C9280,C9256,C9232,C9208,C9184,C9160,C9136)/POBLA!$B$15*100000</f>
        <v>244.10555118009447</v>
      </c>
      <c r="H9448" s="256">
        <f t="shared" si="1513"/>
        <v>0.84515119916579773</v>
      </c>
      <c r="I9448" s="297">
        <f t="shared" si="1518"/>
        <v>206.30609930288486</v>
      </c>
      <c r="J9448" s="297">
        <f t="shared" si="1519"/>
        <v>106.28571428571429</v>
      </c>
      <c r="K9448" s="297">
        <f>J9448/POBLA!$B$15*100000</f>
        <v>16.005510714549246</v>
      </c>
      <c r="L9448" s="549">
        <f t="shared" si="1517"/>
        <v>0.15165336374002281</v>
      </c>
      <c r="M9448" s="401">
        <f>SUM(C9448,C9424,C9400,C9376,C9352,C9328,C9304)/POBLA!$B$15*100000</f>
        <v>112.03857500184473</v>
      </c>
    </row>
    <row r="9449" spans="1:13" s="360" customFormat="1" x14ac:dyDescent="0.25">
      <c r="A9449" s="367" t="s">
        <v>18</v>
      </c>
      <c r="B9449" s="2">
        <v>44286</v>
      </c>
      <c r="C9449" s="1">
        <v>150</v>
      </c>
      <c r="D9449" s="39">
        <f t="shared" si="1510"/>
        <v>55425</v>
      </c>
      <c r="E9449" s="1">
        <v>1</v>
      </c>
      <c r="F9449" s="39">
        <f t="shared" si="1511"/>
        <v>1281</v>
      </c>
      <c r="G9449" s="168">
        <f>SUM(C9449,C9425,C9401,C9377,C9353,C9329,C9305,C9281,C9257,C9233,C9209,C9185,C9161,C9137)/POBLA!$B$16*100000</f>
        <v>176.42888671901125</v>
      </c>
      <c r="H9449" s="256">
        <f t="shared" si="1513"/>
        <v>0.96700879765395897</v>
      </c>
      <c r="I9449" s="297">
        <f t="shared" si="1518"/>
        <v>170.60828561757759</v>
      </c>
      <c r="J9449" s="297">
        <f t="shared" si="1519"/>
        <v>103.28571428571429</v>
      </c>
      <c r="K9449" s="297">
        <f>J9449/POBLA!$B$16*100000</f>
        <v>13.815453817593971</v>
      </c>
      <c r="L9449" s="549">
        <f t="shared" si="1517"/>
        <v>-0.21308724832214776</v>
      </c>
      <c r="M9449" s="401">
        <f>SUM(C9449,C9425,C9401,C9377,C9353,C9329,C9305)/POBLA!$B$16*100000</f>
        <v>96.708176723157791</v>
      </c>
    </row>
    <row r="9450" spans="1:13" s="360" customFormat="1" x14ac:dyDescent="0.25">
      <c r="A9450" s="367" t="s">
        <v>34</v>
      </c>
      <c r="B9450" s="2">
        <v>44286</v>
      </c>
      <c r="C9450" s="1">
        <v>153</v>
      </c>
      <c r="D9450" s="39">
        <f t="shared" si="1510"/>
        <v>29362</v>
      </c>
      <c r="E9450" s="1">
        <v>1</v>
      </c>
      <c r="F9450" s="39">
        <f t="shared" si="1511"/>
        <v>1205</v>
      </c>
      <c r="G9450" s="168">
        <f>SUM(C9450,C9426,C9402,C9378,C9354,C9330,C9306,C9282,C9258,C9234,C9210,C9186,C9162,C9138)/POBLA!$B$17*100000</f>
        <v>99.550897678105187</v>
      </c>
      <c r="H9450" s="256">
        <f t="shared" si="1513"/>
        <v>0.94281914893617025</v>
      </c>
      <c r="I9450" s="297">
        <f t="shared" si="1518"/>
        <v>93.858492624702905</v>
      </c>
      <c r="J9450" s="297">
        <f t="shared" si="1519"/>
        <v>106.57142857142857</v>
      </c>
      <c r="K9450" s="297">
        <f>J9450/POBLA!$B$17*100000</f>
        <v>7.4818627511451208</v>
      </c>
      <c r="L9450" s="549">
        <f t="shared" si="1517"/>
        <v>-0.11011904761904767</v>
      </c>
      <c r="M9450" s="401">
        <f>SUM(C9450,C9426,C9402,C9378,C9354,C9330,C9306)/POBLA!$B$17*100000</f>
        <v>52.373039258015851</v>
      </c>
    </row>
    <row r="9451" spans="1:13" s="360" customFormat="1" x14ac:dyDescent="0.25">
      <c r="A9451" s="367" t="s">
        <v>35</v>
      </c>
      <c r="B9451" s="2">
        <v>44286</v>
      </c>
      <c r="C9451" s="1">
        <v>179</v>
      </c>
      <c r="D9451" s="39">
        <f t="shared" si="1510"/>
        <v>17302</v>
      </c>
      <c r="E9451" s="1"/>
      <c r="F9451" s="39">
        <f t="shared" si="1511"/>
        <v>224</v>
      </c>
      <c r="G9451" s="168">
        <f>SUM(C9451,C9427,C9403,C9379,C9355,C9331,C9307,C9283,C9259,C9235,C9211,C9187,C9163,C9139)/POBLA!$B$18*100000</f>
        <v>155.01454781449968</v>
      </c>
      <c r="H9451" s="256">
        <f t="shared" si="1513"/>
        <v>1.7627365356622999</v>
      </c>
      <c r="I9451" s="297">
        <f t="shared" si="1518"/>
        <v>273.24980699178911</v>
      </c>
      <c r="J9451" s="297">
        <f t="shared" si="1519"/>
        <v>111.42857142857143</v>
      </c>
      <c r="K9451" s="297">
        <f>J9451/POBLA!$B$18*100000</f>
        <v>14.263459631391973</v>
      </c>
      <c r="L9451" s="549">
        <f t="shared" si="1517"/>
        <v>-0.80974477958236668</v>
      </c>
      <c r="M9451" s="401">
        <f>SUM(C9451,C9427,C9403,C9379,C9355,C9331,C9307)/POBLA!$B$18*100000</f>
        <v>99.844217419743813</v>
      </c>
    </row>
    <row r="9452" spans="1:13" s="360" customFormat="1" x14ac:dyDescent="0.25">
      <c r="A9452" s="367" t="s">
        <v>36</v>
      </c>
      <c r="B9452" s="2">
        <v>44286</v>
      </c>
      <c r="C9452" s="1">
        <v>203</v>
      </c>
      <c r="D9452" s="39">
        <f t="shared" si="1510"/>
        <v>22803</v>
      </c>
      <c r="E9452" s="1">
        <v>5</v>
      </c>
      <c r="F9452" s="39">
        <f t="shared" si="1511"/>
        <v>416</v>
      </c>
      <c r="G9452" s="168">
        <f>SUM(C9452,C9428,C9404,C9380,C9356,C9332,C9308,C9284,C9260,C9236,C9212,C9188,C9164,C9140)/POBLA!$B$19*100000</f>
        <v>251.60919721124944</v>
      </c>
      <c r="H9452" s="256">
        <f t="shared" si="1513"/>
        <v>1.7377717391304348</v>
      </c>
      <c r="I9452" s="297">
        <f t="shared" si="1518"/>
        <v>437.23935221900547</v>
      </c>
      <c r="J9452" s="297">
        <f t="shared" si="1519"/>
        <v>178.28571428571428</v>
      </c>
      <c r="K9452" s="297">
        <f>J9452/POBLA!$B$19*100000</f>
        <v>35.072967510291441</v>
      </c>
      <c r="L9452" s="549">
        <f t="shared" si="1517"/>
        <v>-39.258064516129032</v>
      </c>
      <c r="M9452" s="401">
        <f>SUM(C9452,C9428,C9404,C9380,C9356,C9332,C9308)/POBLA!$B$19*100000</f>
        <v>245.51077257204011</v>
      </c>
    </row>
    <row r="9453" spans="1:13" s="360" customFormat="1" x14ac:dyDescent="0.25">
      <c r="A9453" s="367" t="s">
        <v>37</v>
      </c>
      <c r="B9453" s="2">
        <v>44286</v>
      </c>
      <c r="C9453" s="1">
        <v>195</v>
      </c>
      <c r="D9453" s="39">
        <f t="shared" si="1510"/>
        <v>39405</v>
      </c>
      <c r="E9453" s="1">
        <v>2</v>
      </c>
      <c r="F9453" s="39">
        <f t="shared" si="1511"/>
        <v>642</v>
      </c>
      <c r="G9453" s="168">
        <f>SUM(C9453,C9429,C9405,C9381,C9357,C9333,C9309,C9285,C9261,C9237,C9213,C9189,C9165,C9141)/POBLA!$B$20*100000</f>
        <v>461.85650454746809</v>
      </c>
      <c r="H9453" s="256">
        <f t="shared" si="1513"/>
        <v>1.1419878296146044</v>
      </c>
      <c r="I9453" s="297">
        <f t="shared" si="1518"/>
        <v>527.4345072215508</v>
      </c>
      <c r="J9453" s="297">
        <f t="shared" si="1519"/>
        <v>125.71428571428571</v>
      </c>
      <c r="K9453" s="297">
        <f>J9453/POBLA!$B$20*100000</f>
        <v>34.376530829888516</v>
      </c>
      <c r="L9453" s="549">
        <f t="shared" si="1517"/>
        <v>-8.7762669962917261E-2</v>
      </c>
      <c r="M9453" s="401">
        <f>SUM(C9453,C9429,C9405,C9381,C9357,C9333,C9309)/POBLA!$B$20*100000</f>
        <v>240.63571580921965</v>
      </c>
    </row>
    <row r="9454" spans="1:13" s="360" customFormat="1" x14ac:dyDescent="0.25">
      <c r="A9454" s="367" t="s">
        <v>22</v>
      </c>
      <c r="B9454" s="2">
        <v>44286</v>
      </c>
      <c r="C9454" s="1">
        <v>920</v>
      </c>
      <c r="D9454" s="39">
        <f t="shared" si="1510"/>
        <v>231494</v>
      </c>
      <c r="E9454" s="1">
        <v>9</v>
      </c>
      <c r="F9454" s="39">
        <f t="shared" si="1511"/>
        <v>4273</v>
      </c>
      <c r="G9454" s="168">
        <f>SUM(C9454,C9430,C9406,C9382,C9358,C9334,C9310,C9286,C9262,C9238,C9214,C9190,C9166,C9142)/POBLA!$B$21*100000</f>
        <v>216.82957161738233</v>
      </c>
      <c r="H9454" s="256">
        <f t="shared" si="1513"/>
        <v>1.2498777506112468</v>
      </c>
      <c r="I9454" s="297">
        <f t="shared" si="1518"/>
        <v>271.0104572391341</v>
      </c>
      <c r="J9454" s="297">
        <f t="shared" si="1519"/>
        <v>621.85714285714289</v>
      </c>
      <c r="K9454" s="297">
        <f>J9454/POBLA!$B$21*100000</f>
        <v>17.584378963605062</v>
      </c>
      <c r="L9454" s="549">
        <f t="shared" si="1517"/>
        <v>-0.31312217194570136</v>
      </c>
      <c r="M9454" s="401">
        <f>SUM(C9454,C9430,C9406,C9382,C9358,C9334,C9310)/POBLA!$B$21*100000</f>
        <v>123.09065274523543</v>
      </c>
    </row>
    <row r="9455" spans="1:13" s="360" customFormat="1" x14ac:dyDescent="0.25">
      <c r="A9455" s="367" t="s">
        <v>38</v>
      </c>
      <c r="B9455" s="2">
        <v>44286</v>
      </c>
      <c r="C9455" s="1">
        <v>128</v>
      </c>
      <c r="D9455" s="39">
        <f t="shared" si="1510"/>
        <v>25110</v>
      </c>
      <c r="E9455" s="1">
        <v>3</v>
      </c>
      <c r="F9455" s="39">
        <f t="shared" si="1511"/>
        <v>297</v>
      </c>
      <c r="G9455" s="168">
        <f>SUM(C9455,C9431,C9407,C9383,C9359,C9335,C9311,C9287,C9263,C9239,C9215,C9191,C9167,C9143)/POBLA!$B$22*100000</f>
        <v>142.5924014093649</v>
      </c>
      <c r="H9455" s="256">
        <f t="shared" si="1513"/>
        <v>1.5032327586206897</v>
      </c>
      <c r="I9455" s="297">
        <f t="shared" si="1518"/>
        <v>214.34956892894832</v>
      </c>
      <c r="J9455" s="297">
        <f t="shared" si="1519"/>
        <v>110.85714285714286</v>
      </c>
      <c r="K9455" s="297">
        <f>J9455/POBLA!$B$22*100000</f>
        <v>11.331459651169192</v>
      </c>
      <c r="L9455" s="549">
        <f t="shared" si="1517"/>
        <v>-0.25363489499192249</v>
      </c>
      <c r="M9455" s="401">
        <f>SUM(C9455,C9431,C9407,C9383,C9359,C9335,C9311)/POBLA!$B$22*100000</f>
        <v>79.320217558184339</v>
      </c>
    </row>
    <row r="9456" spans="1:13" s="360" customFormat="1" x14ac:dyDescent="0.25">
      <c r="A9456" s="367" t="s">
        <v>39</v>
      </c>
      <c r="B9456" s="2">
        <v>44286</v>
      </c>
      <c r="C9456" s="1">
        <v>84</v>
      </c>
      <c r="D9456" s="39">
        <f t="shared" si="1510"/>
        <v>24088</v>
      </c>
      <c r="E9456" s="1"/>
      <c r="F9456" s="39">
        <f t="shared" si="1511"/>
        <v>367</v>
      </c>
      <c r="G9456" s="168">
        <f>SUM(C9456,C9432,C9408,C9384,C9360,C9336,C9312,C9288,C9264,C9240,C9216,C9192,C9168,C9144)/POBLA!$B$23*100000</f>
        <v>361.36402194197819</v>
      </c>
      <c r="H9456" s="256">
        <f t="shared" si="1513"/>
        <v>1.5935162094763091</v>
      </c>
      <c r="I9456" s="297">
        <f t="shared" si="1518"/>
        <v>575.83942648609491</v>
      </c>
      <c r="J9456" s="297">
        <f t="shared" si="1519"/>
        <v>52</v>
      </c>
      <c r="K9456" s="297">
        <f>J9456/POBLA!$B$23*100000</f>
        <v>29.406774868517783</v>
      </c>
      <c r="L9456" s="549">
        <f t="shared" si="1517"/>
        <v>-0.32363636363636372</v>
      </c>
      <c r="M9456" s="401">
        <f>SUM(C9456,C9432,C9408,C9384,C9360,C9336,C9312)/POBLA!$B$23*100000</f>
        <v>205.84742407962452</v>
      </c>
    </row>
    <row r="9457" spans="1:13" s="360" customFormat="1" ht="15.75" thickBot="1" x14ac:dyDescent="0.3">
      <c r="A9457" s="369" t="s">
        <v>40</v>
      </c>
      <c r="B9457" s="266">
        <v>44286</v>
      </c>
      <c r="C9457" s="44">
        <v>748</v>
      </c>
      <c r="D9457" s="176">
        <f t="shared" si="1510"/>
        <v>87852</v>
      </c>
      <c r="E9457" s="44"/>
      <c r="F9457" s="176">
        <f t="shared" si="1511"/>
        <v>1502</v>
      </c>
      <c r="G9457" s="177">
        <f>SUM(C9457,C9433,C9409,C9385,C9361,C9337,C9313,C9289,C9265,C9241,C9217,C9193,C9169,C9145)/POBLA!$B$24*100000</f>
        <v>288.14107405868799</v>
      </c>
      <c r="H9457" s="402">
        <f t="shared" si="1513"/>
        <v>1.8322701688555347</v>
      </c>
      <c r="I9457" s="403">
        <f t="shared" si="1518"/>
        <v>527.95229441972742</v>
      </c>
      <c r="J9457" s="403">
        <f t="shared" si="1519"/>
        <v>415.14285714285717</v>
      </c>
      <c r="K9457" s="403">
        <f>J9457/POBLA!$B$24*100000</f>
        <v>24.497175659417437</v>
      </c>
      <c r="L9457" s="550">
        <f t="shared" si="1517"/>
        <v>-0.46990389479008599</v>
      </c>
      <c r="M9457" s="405">
        <f>SUM(C9457,C9433,C9409,C9385,C9361,C9337,C9313)/POBLA!$B$24*100000</f>
        <v>171.48022961592204</v>
      </c>
    </row>
    <row r="9458" spans="1:13" s="360" customFormat="1" ht="15.75" thickBot="1" x14ac:dyDescent="0.3">
      <c r="A9458" s="363" t="s">
        <v>16</v>
      </c>
      <c r="B9458" s="266">
        <v>44287</v>
      </c>
      <c r="C9458" s="225">
        <v>7087</v>
      </c>
      <c r="D9458" s="174">
        <f t="shared" ref="D9458:D9521" si="1520">C9458+D9434</f>
        <v>994654</v>
      </c>
      <c r="E9458" s="225">
        <v>35</v>
      </c>
      <c r="F9458" s="174">
        <f t="shared" ref="F9458:F9521" si="1521">E9458+F9434</f>
        <v>28238</v>
      </c>
      <c r="G9458" s="175">
        <f>SUM(C9458,C9434,C9410,C9386,C9362,C9338,C9314,C9290,C9266,C9242,C9218,C9194,C9170,C9146)/POBLA!$B$1*100000</f>
        <v>363.73346522897231</v>
      </c>
      <c r="H9458" s="300">
        <f t="shared" ref="H9458:H9481" si="1522">SUM(C9458,C9434,C9410,C9386,C9362,C9338,C9314,C9290,C9266,C9242,C9218,C9194,C9170,C9146)/SUM(C9122,C9098,C9074,C9050,C9026,C9002,C8978,C8954,C8930,C8906,C8882,C8858,C8834,C8810)</f>
        <v>1.6116752551278166</v>
      </c>
      <c r="I9458" s="301">
        <f>G9458*H9458</f>
        <v>586.2202253714288</v>
      </c>
      <c r="J9458" s="301">
        <f>AVERAGE(C9458,C9434,C9410,C9386,C9362,C9338,C9314)</f>
        <v>5830.5714285714284</v>
      </c>
      <c r="K9458" s="301">
        <f>J9458/POBLA!$B$1*100000</f>
        <v>33.239408021242333</v>
      </c>
      <c r="L9458" s="548">
        <f t="shared" ref="L9458:L9481" si="1523">1-SUM(C9458,C9434,C9410,C9386,C9362,C9338,C9314)/SUM(C9290,C9266,C9242,C9218,C9194,C9170,C9146)</f>
        <v>-0.77537082952716507</v>
      </c>
      <c r="M9458" s="400">
        <f>SUM(C9458,C9434,C9410,C9386,C9362,C9338,C9314)/POBLA!$B$1*100000</f>
        <v>232.67585614869637</v>
      </c>
    </row>
    <row r="9459" spans="1:13" s="360" customFormat="1" ht="15.75" thickBot="1" x14ac:dyDescent="0.3">
      <c r="A9459" s="367" t="s">
        <v>43</v>
      </c>
      <c r="B9459" s="266">
        <v>44287</v>
      </c>
      <c r="C9459" s="1">
        <v>1576</v>
      </c>
      <c r="D9459" s="39">
        <f t="shared" si="1520"/>
        <v>262909</v>
      </c>
      <c r="E9459" s="1">
        <v>10</v>
      </c>
      <c r="F9459" s="39">
        <f t="shared" si="1521"/>
        <v>6884</v>
      </c>
      <c r="G9459" s="168">
        <f>SUM(C9459,C9435,C9411,C9387,C9363,C9339,C9315,C9291,C9267,C9243,C9219,C9195,C9171,C9147)/POBLA!$B$2*100000</f>
        <v>554.51765255169164</v>
      </c>
      <c r="H9459" s="256">
        <f t="shared" si="1522"/>
        <v>1.5025107920007048</v>
      </c>
      <c r="I9459" s="297">
        <f t="shared" ref="I9459:I9481" si="1524">G9459*H9459</f>
        <v>833.1687573138139</v>
      </c>
      <c r="J9459" s="297">
        <f t="shared" ref="J9459:J9481" si="1525">AVERAGE(C9459,C9435,C9411,C9387,C9363,C9339,C9315)</f>
        <v>1475.5714285714287</v>
      </c>
      <c r="K9459" s="297">
        <f>J9459/POBLA!$B$2*100000</f>
        <v>47.975983860672798</v>
      </c>
      <c r="L9459" s="549">
        <f t="shared" si="1523"/>
        <v>-0.53568242640499553</v>
      </c>
      <c r="M9459" s="401">
        <f>SUM(C9459,C9435,C9411,C9387,C9363,C9339,C9315)/POBLA!$B$2*100000</f>
        <v>335.8318870247096</v>
      </c>
    </row>
    <row r="9460" spans="1:13" s="360" customFormat="1" ht="15.75" thickBot="1" x14ac:dyDescent="0.3">
      <c r="A9460" s="367" t="s">
        <v>28</v>
      </c>
      <c r="B9460" s="266">
        <v>44287</v>
      </c>
      <c r="C9460" s="1">
        <v>70</v>
      </c>
      <c r="D9460" s="39">
        <f t="shared" si="1520"/>
        <v>10530</v>
      </c>
      <c r="E9460" s="1"/>
      <c r="F9460" s="39">
        <f t="shared" si="1521"/>
        <v>18</v>
      </c>
      <c r="G9460" s="168">
        <f>SUM(C9460,C9436,C9412,C9388,C9364,C9340,C9316,C9292,C9268,C9244,C9220,C9196,C9172,C9148)/POBLA!$B$3*100000</f>
        <v>257.80020123339705</v>
      </c>
      <c r="H9460" s="256">
        <f t="shared" si="1522"/>
        <v>0.88075657894736847</v>
      </c>
      <c r="I9460" s="297">
        <f t="shared" si="1524"/>
        <v>227.05922329026995</v>
      </c>
      <c r="J9460" s="297">
        <f t="shared" si="1525"/>
        <v>76.142857142857139</v>
      </c>
      <c r="K9460" s="297">
        <f>J9460/POBLA!$B$3*100000</f>
        <v>18.328332300573646</v>
      </c>
      <c r="L9460" s="549">
        <f t="shared" si="1523"/>
        <v>9.2936802973977439E-3</v>
      </c>
      <c r="M9460" s="401">
        <f>SUM(C9460,C9436,C9412,C9388,C9364,C9340,C9316)/POBLA!$B$3*100000</f>
        <v>128.2983261040155</v>
      </c>
    </row>
    <row r="9461" spans="1:13" s="360" customFormat="1" ht="15.75" thickBot="1" x14ac:dyDescent="0.3">
      <c r="A9461" s="367" t="s">
        <v>15</v>
      </c>
      <c r="B9461" s="266">
        <v>44287</v>
      </c>
      <c r="C9461" s="1">
        <v>180</v>
      </c>
      <c r="D9461" s="39">
        <f t="shared" si="1520"/>
        <v>38672</v>
      </c>
      <c r="E9461" s="1"/>
      <c r="F9461" s="39">
        <f t="shared" si="1521"/>
        <v>924</v>
      </c>
      <c r="G9461" s="168">
        <f>SUM(C9461,C9437,C9413,C9389,C9365,C9341,C9317,C9293,C9269,C9245,C9221,C9197,C9173,C9149)/POBLA!$B$4*100000</f>
        <v>179.81953291751796</v>
      </c>
      <c r="H9461" s="256">
        <f t="shared" si="1522"/>
        <v>1.1894563426688634</v>
      </c>
      <c r="I9461" s="297">
        <f t="shared" si="1524"/>
        <v>213.88748396449421</v>
      </c>
      <c r="J9461" s="297">
        <f t="shared" si="1525"/>
        <v>167.42857142857142</v>
      </c>
      <c r="K9461" s="297">
        <f>J9461/POBLA!$B$4*100000</f>
        <v>13.899781861187908</v>
      </c>
      <c r="L9461" s="549">
        <f t="shared" si="1523"/>
        <v>-0.17907444668008043</v>
      </c>
      <c r="M9461" s="401">
        <f>SUM(C9461,C9437,C9413,C9389,C9365,C9341,C9317)/POBLA!$B$4*100000</f>
        <v>97.298473028315343</v>
      </c>
    </row>
    <row r="9462" spans="1:13" s="360" customFormat="1" ht="15.75" thickBot="1" x14ac:dyDescent="0.3">
      <c r="A9462" s="367" t="s">
        <v>29</v>
      </c>
      <c r="B9462" s="266">
        <v>44287</v>
      </c>
      <c r="C9462" s="1">
        <v>111</v>
      </c>
      <c r="D9462" s="39">
        <f t="shared" si="1520"/>
        <v>50224</v>
      </c>
      <c r="E9462" s="1"/>
      <c r="F9462" s="39">
        <f t="shared" si="1521"/>
        <v>864</v>
      </c>
      <c r="G9462" s="168">
        <f>SUM(C9462,C9438,C9414,C9390,C9366,C9342,C9318,C9294,C9270,C9246,C9222,C9198,C9174,C9150)/POBLA!$B$5*100000</f>
        <v>267.53086459642583</v>
      </c>
      <c r="H9462" s="256">
        <f t="shared" si="1522"/>
        <v>1.3629629629629629</v>
      </c>
      <c r="I9462" s="297">
        <f t="shared" si="1524"/>
        <v>364.63465989438777</v>
      </c>
      <c r="J9462" s="297">
        <f t="shared" si="1525"/>
        <v>139.42857142857142</v>
      </c>
      <c r="K9462" s="297">
        <f>J9462/POBLA!$B$5*100000</f>
        <v>22.525027937035158</v>
      </c>
      <c r="L9462" s="549">
        <f t="shared" si="1523"/>
        <v>-0.43529411764705883</v>
      </c>
      <c r="M9462" s="401">
        <f>SUM(C9462,C9438,C9414,C9390,C9366,C9342,C9318)/POBLA!$B$5*100000</f>
        <v>157.67519555924613</v>
      </c>
    </row>
    <row r="9463" spans="1:13" s="360" customFormat="1" ht="15.75" thickBot="1" x14ac:dyDescent="0.3">
      <c r="A9463" s="367" t="s">
        <v>30</v>
      </c>
      <c r="B9463" s="266">
        <v>44287</v>
      </c>
      <c r="C9463" s="1">
        <v>422</v>
      </c>
      <c r="D9463" s="39">
        <f t="shared" si="1520"/>
        <v>30478</v>
      </c>
      <c r="E9463" s="1"/>
      <c r="F9463" s="39">
        <f t="shared" si="1521"/>
        <v>328</v>
      </c>
      <c r="G9463" s="168">
        <f>SUM(C9463,C9439,C9415,C9391,C9367,C9343,C9319,C9295,C9271,C9247,C9223,C9199,C9175,C9151)/POBLA!$B$6*100000</f>
        <v>419.25373014478038</v>
      </c>
      <c r="H9463" s="256">
        <f t="shared" si="1522"/>
        <v>1.5306188925081434</v>
      </c>
      <c r="I9463" s="297">
        <f t="shared" si="1524"/>
        <v>641.71768011411177</v>
      </c>
      <c r="J9463" s="297">
        <f t="shared" si="1525"/>
        <v>479.42857142857144</v>
      </c>
      <c r="K9463" s="297">
        <f>J9463/POBLA!$B$6*100000</f>
        <v>42.775530306323013</v>
      </c>
      <c r="L9463" s="549">
        <f t="shared" si="1523"/>
        <v>-1.4988830975428145</v>
      </c>
      <c r="M9463" s="401">
        <f>SUM(C9463,C9439,C9415,C9391,C9367,C9343,C9319)/POBLA!$B$6*100000</f>
        <v>299.42871214426111</v>
      </c>
    </row>
    <row r="9464" spans="1:13" s="360" customFormat="1" ht="15.75" thickBot="1" x14ac:dyDescent="0.3">
      <c r="A9464" s="367" t="s">
        <v>20</v>
      </c>
      <c r="B9464" s="266">
        <v>44287</v>
      </c>
      <c r="C9464" s="1">
        <v>1194</v>
      </c>
      <c r="D9464" s="39">
        <f t="shared" si="1520"/>
        <v>181827</v>
      </c>
      <c r="E9464" s="1">
        <v>8</v>
      </c>
      <c r="F9464" s="39">
        <f t="shared" si="1521"/>
        <v>3038</v>
      </c>
      <c r="G9464" s="168">
        <f>SUM(C9464,C9440,C9416,C9392,C9368,C9344,C9320,C9296,C9272,C9248,C9224,C9200,C9176,C9152)/POBLA!$B$7*100000</f>
        <v>299.59180417237297</v>
      </c>
      <c r="H9464" s="256">
        <f t="shared" si="1522"/>
        <v>1.3879512135025256</v>
      </c>
      <c r="I9464" s="297">
        <f t="shared" si="1524"/>
        <v>415.8188081564561</v>
      </c>
      <c r="J9464" s="297">
        <f t="shared" si="1525"/>
        <v>958.14285714285711</v>
      </c>
      <c r="K9464" s="297">
        <f>J9464/POBLA!$B$7*100000</f>
        <v>25.479473391292455</v>
      </c>
      <c r="L9464" s="549">
        <f t="shared" si="1523"/>
        <v>-0.47115595525334508</v>
      </c>
      <c r="M9464" s="401">
        <f>SUM(C9464,C9440,C9416,C9392,C9368,C9344,C9320)/POBLA!$B$7*100000</f>
        <v>178.35631373904721</v>
      </c>
    </row>
    <row r="9465" spans="1:13" ht="15.75" thickBot="1" x14ac:dyDescent="0.3">
      <c r="A9465" s="367" t="s">
        <v>31</v>
      </c>
      <c r="B9465" s="266">
        <v>44287</v>
      </c>
      <c r="C9465" s="1">
        <v>236</v>
      </c>
      <c r="D9465" s="39">
        <f t="shared" si="1520"/>
        <v>50175</v>
      </c>
      <c r="E9465" s="1">
        <v>2</v>
      </c>
      <c r="F9465" s="39">
        <f t="shared" si="1521"/>
        <v>948</v>
      </c>
      <c r="G9465" s="168">
        <f>SUM(C9465,C9441,C9417,C9393,C9369,C9345,C9321,C9297,C9273,C9249,C9225,C9201,C9177,C9153)/POBLA!$B$8*100000</f>
        <v>185.2865989735642</v>
      </c>
      <c r="H9465" s="256">
        <f t="shared" si="1522"/>
        <v>1.3580116340560551</v>
      </c>
      <c r="I9465" s="297">
        <f t="shared" si="1524"/>
        <v>251.62135704077889</v>
      </c>
      <c r="J9465" s="297">
        <f t="shared" si="1525"/>
        <v>205</v>
      </c>
      <c r="K9465" s="297">
        <f>J9465/POBLA!$B$8*100000</f>
        <v>14.791180992827359</v>
      </c>
      <c r="L9465" s="549">
        <f t="shared" si="1523"/>
        <v>-0.26654898499558688</v>
      </c>
      <c r="M9465" s="401">
        <f>SUM(C9465,C9441,C9417,C9393,C9369,C9345,C9321)/POBLA!$B$8*100000</f>
        <v>103.53826694979151</v>
      </c>
    </row>
    <row r="9466" spans="1:13" s="360" customFormat="1" ht="15.75" thickBot="1" x14ac:dyDescent="0.3">
      <c r="A9466" s="367" t="s">
        <v>41</v>
      </c>
      <c r="B9466" s="266">
        <v>44287</v>
      </c>
      <c r="C9466" s="1">
        <v>37</v>
      </c>
      <c r="D9466" s="39">
        <f t="shared" si="1520"/>
        <v>2294</v>
      </c>
      <c r="E9466" s="1">
        <v>6</v>
      </c>
      <c r="F9466" s="39">
        <f t="shared" si="1521"/>
        <v>36</v>
      </c>
      <c r="G9466" s="168">
        <f>SUM(C9466,C9442,C9418,C9394,C9370,C9346,C9322,C9298,C9274,C9250,C9226,C9202,C9178,C9154)/POBLA!$B$9*100000</f>
        <v>104.75996913381351</v>
      </c>
      <c r="H9466" s="256">
        <f t="shared" si="1522"/>
        <v>1.8062678062678064</v>
      </c>
      <c r="I9466" s="297">
        <f t="shared" si="1524"/>
        <v>189.22455963201645</v>
      </c>
      <c r="J9466" s="297">
        <f t="shared" si="1525"/>
        <v>66.857142857142861</v>
      </c>
      <c r="K9466" s="297">
        <f>J9466/POBLA!$B$9*100000</f>
        <v>11.047243252506698</v>
      </c>
      <c r="L9466" s="549">
        <f t="shared" si="1523"/>
        <v>-1.8192771084337349</v>
      </c>
      <c r="M9466" s="401">
        <f>SUM(C9466,C9442,C9418,C9394,C9370,C9346,C9322)/POBLA!$B$9*100000</f>
        <v>77.330702767546882</v>
      </c>
    </row>
    <row r="9467" spans="1:13" s="360" customFormat="1" ht="15.75" thickBot="1" x14ac:dyDescent="0.3">
      <c r="A9467" s="367" t="s">
        <v>32</v>
      </c>
      <c r="B9467" s="266">
        <v>44287</v>
      </c>
      <c r="C9467" s="1">
        <v>84</v>
      </c>
      <c r="D9467" s="39">
        <f t="shared" si="1520"/>
        <v>22533</v>
      </c>
      <c r="E9467" s="1">
        <v>5</v>
      </c>
      <c r="F9467" s="39">
        <f t="shared" si="1521"/>
        <v>971</v>
      </c>
      <c r="G9467" s="168">
        <f>SUM(C9467,C9443,C9419,C9395,C9371,C9347,C9323,C9299,C9275,C9251,C9227,C9203,C9179,C9155)/POBLA!$B$10*100000</f>
        <v>83.411058256721859</v>
      </c>
      <c r="H9467" s="256">
        <f t="shared" si="1522"/>
        <v>0.7831912302070646</v>
      </c>
      <c r="I9467" s="297">
        <f t="shared" si="1524"/>
        <v>65.326809328955122</v>
      </c>
      <c r="J9467" s="297">
        <f t="shared" si="1525"/>
        <v>54.428571428571431</v>
      </c>
      <c r="K9467" s="297">
        <f>J9467/POBLA!$B$10*100000</f>
        <v>7.0605672507911645</v>
      </c>
      <c r="L9467" s="549">
        <f t="shared" si="1523"/>
        <v>-0.45419847328244267</v>
      </c>
      <c r="M9467" s="401">
        <f>SUM(C9467,C9443,C9419,C9395,C9371,C9347,C9323)/POBLA!$B$10*100000</f>
        <v>49.423970755538143</v>
      </c>
    </row>
    <row r="9468" spans="1:13" s="360" customFormat="1" ht="15.75" thickBot="1" x14ac:dyDescent="0.3">
      <c r="A9468" s="367" t="s">
        <v>33</v>
      </c>
      <c r="B9468" s="266">
        <v>44287</v>
      </c>
      <c r="C9468" s="1">
        <v>95</v>
      </c>
      <c r="D9468" s="39">
        <f t="shared" si="1520"/>
        <v>21385</v>
      </c>
      <c r="E9468" s="1"/>
      <c r="F9468" s="39">
        <f t="shared" si="1521"/>
        <v>321</v>
      </c>
      <c r="G9468" s="168">
        <f>SUM(C9468,C9444,C9420,C9396,C9372,C9348,C9324,C9300,C9276,C9252,C9228,C9204,C9180,C9156)/POBLA!$B$11*100000</f>
        <v>299.64176905822092</v>
      </c>
      <c r="H9468" s="256">
        <f t="shared" si="1522"/>
        <v>0.85441527446300713</v>
      </c>
      <c r="I9468" s="297">
        <f t="shared" si="1524"/>
        <v>256.01850435046083</v>
      </c>
      <c r="J9468" s="297">
        <f t="shared" si="1525"/>
        <v>83</v>
      </c>
      <c r="K9468" s="297">
        <f>J9468/POBLA!$B$11*100000</f>
        <v>23.156673027776847</v>
      </c>
      <c r="L9468" s="549">
        <f t="shared" si="1523"/>
        <v>-0.17849898580121715</v>
      </c>
      <c r="M9468" s="401">
        <f>SUM(C9468,C9444,C9420,C9396,C9372,C9348,C9324)/POBLA!$B$11*100000</f>
        <v>162.09671119443794</v>
      </c>
    </row>
    <row r="9469" spans="1:13" s="360" customFormat="1" ht="15.75" thickBot="1" x14ac:dyDescent="0.3">
      <c r="A9469" s="367" t="s">
        <v>21</v>
      </c>
      <c r="B9469" s="266">
        <v>44287</v>
      </c>
      <c r="C9469" s="1">
        <v>55</v>
      </c>
      <c r="D9469" s="39">
        <f t="shared" si="1520"/>
        <v>11153</v>
      </c>
      <c r="E9469" s="1"/>
      <c r="F9469" s="39">
        <f t="shared" si="1521"/>
        <v>449</v>
      </c>
      <c r="G9469" s="168">
        <f>SUM(C9469,C9445,C9421,C9397,C9373,C9349,C9325,C9301,C9277,C9253,C9229,C9205,C9181,C9157)/POBLA!$B$12*100000</f>
        <v>135.44041003123007</v>
      </c>
      <c r="H9469" s="256">
        <f t="shared" si="1522"/>
        <v>1.697452229299363</v>
      </c>
      <c r="I9469" s="297">
        <f t="shared" si="1524"/>
        <v>229.90362594473129</v>
      </c>
      <c r="J9469" s="297">
        <f t="shared" si="1525"/>
        <v>50.714285714285715</v>
      </c>
      <c r="K9469" s="297">
        <f>J9469/POBLA!$B$12*100000</f>
        <v>12.886986213102833</v>
      </c>
      <c r="L9469" s="549">
        <f t="shared" si="1523"/>
        <v>-0.99438202247191021</v>
      </c>
      <c r="M9469" s="401">
        <f>SUM(C9469,C9445,C9421,C9397,C9373,C9349,C9325)/POBLA!$B$12*100000</f>
        <v>90.208903491719838</v>
      </c>
    </row>
    <row r="9470" spans="1:13" s="360" customFormat="1" ht="15.75" thickBot="1" x14ac:dyDescent="0.3">
      <c r="A9470" s="367" t="s">
        <v>17</v>
      </c>
      <c r="B9470" s="266">
        <v>44287</v>
      </c>
      <c r="C9470" s="1">
        <v>488</v>
      </c>
      <c r="D9470" s="39">
        <f t="shared" si="1520"/>
        <v>73495</v>
      </c>
      <c r="E9470" s="1">
        <v>2</v>
      </c>
      <c r="F9470" s="39">
        <f t="shared" si="1521"/>
        <v>1513</v>
      </c>
      <c r="G9470" s="168">
        <f>SUM(C9470,C9446,C9422,C9398,C9374,C9350,C9326,C9302,C9278,C9254,C9230,C9206,C9182,C9158)/POBLA!$B$13*100000</f>
        <v>174.34224739717575</v>
      </c>
      <c r="H9470" s="256">
        <f t="shared" si="1522"/>
        <v>1.6222533894343152</v>
      </c>
      <c r="I9470" s="297">
        <f t="shared" si="1524"/>
        <v>282.82730176166427</v>
      </c>
      <c r="J9470" s="297">
        <f t="shared" si="1525"/>
        <v>330.42857142857144</v>
      </c>
      <c r="K9470" s="297">
        <f>J9470/POBLA!$B$13*100000</f>
        <v>16.601631051036126</v>
      </c>
      <c r="L9470" s="549">
        <f t="shared" si="1523"/>
        <v>-0.99913569576490935</v>
      </c>
      <c r="M9470" s="401">
        <f>SUM(C9470,C9446,C9422,C9398,C9374,C9350,C9326)/POBLA!$B$13*100000</f>
        <v>116.21141735725288</v>
      </c>
    </row>
    <row r="9471" spans="1:13" s="360" customFormat="1" ht="15.75" thickBot="1" x14ac:dyDescent="0.3">
      <c r="A9471" s="367" t="s">
        <v>23</v>
      </c>
      <c r="B9471" s="266">
        <v>44287</v>
      </c>
      <c r="C9471" s="1">
        <v>82</v>
      </c>
      <c r="D9471" s="39">
        <f t="shared" si="1520"/>
        <v>12154</v>
      </c>
      <c r="E9471" s="1"/>
      <c r="F9471" s="39">
        <f t="shared" si="1521"/>
        <v>207</v>
      </c>
      <c r="G9471" s="168">
        <f>SUM(C9471,C9447,C9423,C9399,C9375,C9351,C9327,C9303,C9279,C9255,C9231,C9207,C9183,C9159)/POBLA!$B$14*100000</f>
        <v>134.14794647401794</v>
      </c>
      <c r="H9471" s="256">
        <f t="shared" si="1522"/>
        <v>1.0149970005998801</v>
      </c>
      <c r="I9471" s="297">
        <f t="shared" si="1524"/>
        <v>136.15976330776147</v>
      </c>
      <c r="J9471" s="297">
        <f t="shared" si="1525"/>
        <v>123.85714285714286</v>
      </c>
      <c r="K9471" s="297">
        <f>J9471/POBLA!$B$14*100000</f>
        <v>9.8198471456411323</v>
      </c>
      <c r="L9471" s="549">
        <f t="shared" si="1523"/>
        <v>-5.0909090909091015E-2</v>
      </c>
      <c r="M9471" s="401">
        <f>SUM(C9471,C9447,C9423,C9399,C9375,C9351,C9327)/POBLA!$B$14*100000</f>
        <v>68.738930019487924</v>
      </c>
    </row>
    <row r="9472" spans="1:13" s="360" customFormat="1" ht="15.75" thickBot="1" x14ac:dyDescent="0.3">
      <c r="A9472" s="367" t="s">
        <v>19</v>
      </c>
      <c r="B9472" s="266">
        <v>44287</v>
      </c>
      <c r="C9472" s="1">
        <v>97</v>
      </c>
      <c r="D9472" s="39">
        <f t="shared" si="1520"/>
        <v>65311</v>
      </c>
      <c r="E9472" s="1"/>
      <c r="F9472" s="39">
        <f t="shared" si="1521"/>
        <v>1009</v>
      </c>
      <c r="G9472" s="168">
        <f>SUM(C9472,C9448,C9424,C9400,C9376,C9352,C9328,C9304,C9280,C9256,C9232,C9208,C9184,C9160)/POBLA!$B$15*100000</f>
        <v>235.07018222833281</v>
      </c>
      <c r="H9472" s="256">
        <f t="shared" si="1522"/>
        <v>0.83879634605051046</v>
      </c>
      <c r="I9472" s="297">
        <f t="shared" si="1524"/>
        <v>197.17600991855321</v>
      </c>
      <c r="J9472" s="297">
        <f t="shared" si="1525"/>
        <v>108.71428571428571</v>
      </c>
      <c r="K9472" s="297">
        <f>J9472/POBLA!$B$15*100000</f>
        <v>16.371228029263406</v>
      </c>
      <c r="L9472" s="549">
        <f t="shared" si="1523"/>
        <v>4.874999999999996E-2</v>
      </c>
      <c r="M9472" s="401">
        <f>SUM(C9472,C9448,C9424,C9400,C9376,C9352,C9328)/POBLA!$B$15*100000</f>
        <v>114.59859620484387</v>
      </c>
    </row>
    <row r="9473" spans="1:13" s="360" customFormat="1" ht="15.75" thickBot="1" x14ac:dyDescent="0.3">
      <c r="A9473" s="367" t="s">
        <v>18</v>
      </c>
      <c r="B9473" s="266">
        <v>44287</v>
      </c>
      <c r="C9473" s="1">
        <v>128</v>
      </c>
      <c r="D9473" s="39">
        <f t="shared" si="1520"/>
        <v>55553</v>
      </c>
      <c r="E9473" s="1">
        <v>1</v>
      </c>
      <c r="F9473" s="39">
        <f t="shared" si="1521"/>
        <v>1282</v>
      </c>
      <c r="G9473" s="168">
        <f>SUM(C9473,C9449,C9425,C9401,C9377,C9353,C9329,C9305,C9281,C9257,C9233,C9209,C9185,C9161)/POBLA!$B$16*100000</f>
        <v>177.63272294378083</v>
      </c>
      <c r="H9473" s="256">
        <f t="shared" si="1522"/>
        <v>0.98297557364914878</v>
      </c>
      <c r="I9473" s="297">
        <f t="shared" si="1524"/>
        <v>174.60862773452328</v>
      </c>
      <c r="J9473" s="297">
        <f t="shared" si="1525"/>
        <v>109.57142857142857</v>
      </c>
      <c r="K9473" s="297">
        <f>J9473/POBLA!$B$16*100000</f>
        <v>14.656228323782262</v>
      </c>
      <c r="L9473" s="549">
        <f t="shared" si="1523"/>
        <v>-0.36720142602495542</v>
      </c>
      <c r="M9473" s="401">
        <f>SUM(C9473,C9449,C9425,C9401,C9377,C9353,C9329)/POBLA!$B$16*100000</f>
        <v>102.59359826647584</v>
      </c>
    </row>
    <row r="9474" spans="1:13" s="360" customFormat="1" ht="15.75" thickBot="1" x14ac:dyDescent="0.3">
      <c r="A9474" s="367" t="s">
        <v>34</v>
      </c>
      <c r="B9474" s="266">
        <v>44287</v>
      </c>
      <c r="C9474" s="1">
        <v>163</v>
      </c>
      <c r="D9474" s="39">
        <f t="shared" si="1520"/>
        <v>29525</v>
      </c>
      <c r="E9474" s="1"/>
      <c r="F9474" s="39">
        <f t="shared" si="1521"/>
        <v>1205</v>
      </c>
      <c r="G9474" s="168">
        <f>SUM(C9474,C9450,C9426,C9402,C9378,C9354,C9330,C9306,C9282,C9258,C9234,C9210,C9186,C9162)/POBLA!$B$17*100000</f>
        <v>100.81459031435757</v>
      </c>
      <c r="H9474" s="256">
        <f t="shared" si="1522"/>
        <v>0.97027027027027024</v>
      </c>
      <c r="I9474" s="297">
        <f t="shared" si="1524"/>
        <v>97.817399791498289</v>
      </c>
      <c r="J9474" s="297">
        <f t="shared" si="1525"/>
        <v>119.85714285714286</v>
      </c>
      <c r="K9474" s="297">
        <f>J9474/POBLA!$B$17*100000</f>
        <v>8.4145882683790312</v>
      </c>
      <c r="L9474" s="549">
        <f t="shared" si="1523"/>
        <v>-0.40536013400335014</v>
      </c>
      <c r="M9474" s="401">
        <f>SUM(C9474,C9450,C9426,C9402,C9378,C9354,C9330)/POBLA!$B$17*100000</f>
        <v>58.902117878653215</v>
      </c>
    </row>
    <row r="9475" spans="1:13" s="360" customFormat="1" ht="15.75" thickBot="1" x14ac:dyDescent="0.3">
      <c r="A9475" s="367" t="s">
        <v>35</v>
      </c>
      <c r="B9475" s="266">
        <v>44287</v>
      </c>
      <c r="C9475" s="1">
        <v>91</v>
      </c>
      <c r="D9475" s="39">
        <f t="shared" si="1520"/>
        <v>17393</v>
      </c>
      <c r="E9475" s="1"/>
      <c r="F9475" s="39">
        <f t="shared" si="1521"/>
        <v>224</v>
      </c>
      <c r="G9475" s="168">
        <f>SUM(C9475,C9451,C9427,C9403,C9379,C9355,C9331,C9307,C9283,C9259,C9235,C9211,C9187,C9163)/POBLA!$B$18*100000</f>
        <v>155.52656944229324</v>
      </c>
      <c r="H9475" s="256">
        <f t="shared" si="1522"/>
        <v>1.6851595006934812</v>
      </c>
      <c r="I9475" s="297">
        <f t="shared" si="1524"/>
        <v>262.0870761059449</v>
      </c>
      <c r="J9475" s="297">
        <f t="shared" si="1525"/>
        <v>111.28571428571429</v>
      </c>
      <c r="K9475" s="297">
        <f>J9475/POBLA!$B$18*100000</f>
        <v>14.24517314468506</v>
      </c>
      <c r="L9475" s="549">
        <f t="shared" si="1523"/>
        <v>-0.78669724770642202</v>
      </c>
      <c r="M9475" s="401">
        <f>SUM(C9475,C9451,C9427,C9403,C9379,C9355,C9331)/POBLA!$B$18*100000</f>
        <v>99.716212012795424</v>
      </c>
    </row>
    <row r="9476" spans="1:13" s="360" customFormat="1" ht="15.75" thickBot="1" x14ac:dyDescent="0.3">
      <c r="A9476" s="367" t="s">
        <v>36</v>
      </c>
      <c r="B9476" s="266">
        <v>44287</v>
      </c>
      <c r="C9476" s="1">
        <v>246</v>
      </c>
      <c r="D9476" s="39">
        <f t="shared" si="1520"/>
        <v>23049</v>
      </c>
      <c r="E9476" s="1">
        <v>14</v>
      </c>
      <c r="F9476" s="39">
        <f t="shared" si="1521"/>
        <v>430</v>
      </c>
      <c r="G9476" s="168">
        <f>SUM(C9476,C9452,C9428,C9404,C9380,C9356,C9332,C9308,C9284,C9260,C9236,C9212,C9188,C9164)/POBLA!$B$19*100000</f>
        <v>297.64246706850696</v>
      </c>
      <c r="H9476" s="256">
        <f t="shared" si="1522"/>
        <v>2.0445945945945945</v>
      </c>
      <c r="I9476" s="297">
        <f t="shared" si="1524"/>
        <v>608.55817929006889</v>
      </c>
      <c r="J9476" s="297">
        <f t="shared" si="1525"/>
        <v>200.57142857142858</v>
      </c>
      <c r="K9476" s="297">
        <f>J9476/POBLA!$B$19*100000</f>
        <v>39.457088449077872</v>
      </c>
      <c r="L9476" s="549">
        <f t="shared" si="1523"/>
        <v>-11.880733944954128</v>
      </c>
      <c r="M9476" s="401">
        <f>SUM(C9476,C9452,C9428,C9404,C9380,C9356,C9332)/POBLA!$B$19*100000</f>
        <v>276.19961914354514</v>
      </c>
    </row>
    <row r="9477" spans="1:13" s="360" customFormat="1" ht="15.75" thickBot="1" x14ac:dyDescent="0.3">
      <c r="A9477" s="367" t="s">
        <v>37</v>
      </c>
      <c r="B9477" s="266">
        <v>44287</v>
      </c>
      <c r="C9477" s="1">
        <v>178</v>
      </c>
      <c r="D9477" s="39">
        <f t="shared" si="1520"/>
        <v>39583</v>
      </c>
      <c r="E9477" s="1"/>
      <c r="F9477" s="39">
        <f t="shared" si="1521"/>
        <v>642</v>
      </c>
      <c r="G9477" s="168">
        <f>SUM(C9477,C9453,C9429,C9405,C9381,C9357,C9333,C9309,C9285,C9261,C9237,C9213,C9189,C9165)/POBLA!$B$20*100000</f>
        <v>470.8803438903139</v>
      </c>
      <c r="H9477" s="256">
        <f t="shared" si="1522"/>
        <v>1.2041958041958043</v>
      </c>
      <c r="I9477" s="297">
        <f t="shared" si="1524"/>
        <v>567.03213439099341</v>
      </c>
      <c r="J9477" s="297">
        <f t="shared" si="1525"/>
        <v>139.57142857142858</v>
      </c>
      <c r="K9477" s="297">
        <f>J9477/POBLA!$B$20*100000</f>
        <v>38.165762069092146</v>
      </c>
      <c r="L9477" s="549">
        <f t="shared" si="1523"/>
        <v>-0.31140939597315431</v>
      </c>
      <c r="M9477" s="401">
        <f>SUM(C9477,C9453,C9429,C9405,C9381,C9357,C9333)/POBLA!$B$20*100000</f>
        <v>267.16033448364493</v>
      </c>
    </row>
    <row r="9478" spans="1:13" s="360" customFormat="1" ht="15.75" thickBot="1" x14ac:dyDescent="0.3">
      <c r="A9478" s="367" t="s">
        <v>22</v>
      </c>
      <c r="B9478" s="266">
        <v>44287</v>
      </c>
      <c r="C9478" s="1">
        <v>1022</v>
      </c>
      <c r="D9478" s="39">
        <f t="shared" si="1520"/>
        <v>232516</v>
      </c>
      <c r="E9478" s="1"/>
      <c r="F9478" s="39">
        <f t="shared" si="1521"/>
        <v>4273</v>
      </c>
      <c r="G9478" s="168">
        <f>SUM(C9478,C9454,C9430,C9406,C9382,C9358,C9334,C9310,C9286,C9262,C9238,C9214,C9190,C9166)/POBLA!$B$21*100000</f>
        <v>231.98615095839915</v>
      </c>
      <c r="H9478" s="256">
        <f t="shared" si="1522"/>
        <v>1.3357212634321067</v>
      </c>
      <c r="I9478" s="297">
        <f t="shared" si="1524"/>
        <v>309.86883465690437</v>
      </c>
      <c r="J9478" s="297">
        <f t="shared" si="1525"/>
        <v>704.42857142857144</v>
      </c>
      <c r="K9478" s="297">
        <f>J9478/POBLA!$B$21*100000</f>
        <v>19.91926778532887</v>
      </c>
      <c r="L9478" s="549">
        <f t="shared" si="1523"/>
        <v>-0.50656889703635799</v>
      </c>
      <c r="M9478" s="401">
        <f>SUM(C9478,C9454,C9430,C9406,C9382,C9358,C9334)/POBLA!$B$21*100000</f>
        <v>139.43487449730208</v>
      </c>
    </row>
    <row r="9479" spans="1:13" s="360" customFormat="1" ht="15.75" thickBot="1" x14ac:dyDescent="0.3">
      <c r="A9479" s="367" t="s">
        <v>38</v>
      </c>
      <c r="B9479" s="266">
        <v>44287</v>
      </c>
      <c r="C9479" s="1">
        <v>191</v>
      </c>
      <c r="D9479" s="39">
        <f t="shared" si="1520"/>
        <v>25301</v>
      </c>
      <c r="E9479" s="1"/>
      <c r="F9479" s="39">
        <f t="shared" si="1521"/>
        <v>297</v>
      </c>
      <c r="G9479" s="168">
        <f>SUM(C9479,C9455,C9431,C9407,C9383,C9359,C9335,C9311,C9287,C9263,C9239,C9215,C9191,C9167)/POBLA!$B$22*100000</f>
        <v>150.8719602008764</v>
      </c>
      <c r="H9479" s="256">
        <f t="shared" si="1522"/>
        <v>1.5407098121085594</v>
      </c>
      <c r="I9479" s="297">
        <f t="shared" si="1524"/>
        <v>232.44990945354232</v>
      </c>
      <c r="J9479" s="297">
        <f t="shared" si="1525"/>
        <v>119</v>
      </c>
      <c r="K9479" s="297">
        <f>J9479/POBLA!$B$22*100000</f>
        <v>12.163796249257651</v>
      </c>
      <c r="L9479" s="549">
        <f t="shared" si="1523"/>
        <v>-0.29548989113530322</v>
      </c>
      <c r="M9479" s="401">
        <f>SUM(C9479,C9455,C9431,C9407,C9383,C9359,C9335)/POBLA!$B$22*100000</f>
        <v>85.146573744803547</v>
      </c>
    </row>
    <row r="9480" spans="1:13" s="360" customFormat="1" ht="15.75" thickBot="1" x14ac:dyDescent="0.3">
      <c r="A9480" s="367" t="s">
        <v>39</v>
      </c>
      <c r="B9480" s="266">
        <v>44287</v>
      </c>
      <c r="C9480" s="1">
        <v>57</v>
      </c>
      <c r="D9480" s="39">
        <f t="shared" si="1520"/>
        <v>24145</v>
      </c>
      <c r="E9480" s="1"/>
      <c r="F9480" s="39">
        <f t="shared" si="1521"/>
        <v>367</v>
      </c>
      <c r="G9480" s="168">
        <f>SUM(C9480,C9456,C9432,C9408,C9384,C9360,C9336,C9312,C9288,C9264,C9240,C9216,C9192,C9168)/POBLA!$B$23*100000</f>
        <v>365.32262625120171</v>
      </c>
      <c r="H9480" s="256">
        <f t="shared" si="1522"/>
        <v>1.5454545454545454</v>
      </c>
      <c r="I9480" s="297">
        <f t="shared" si="1524"/>
        <v>564.58951329731167</v>
      </c>
      <c r="J9480" s="297">
        <f t="shared" si="1525"/>
        <v>53.714285714285715</v>
      </c>
      <c r="K9480" s="297">
        <f>J9480/POBLA!$B$23*100000</f>
        <v>30.376228985062326</v>
      </c>
      <c r="L9480" s="549">
        <f t="shared" si="1523"/>
        <v>-0.3925925925925926</v>
      </c>
      <c r="M9480" s="401">
        <f>SUM(C9480,C9456,C9432,C9408,C9384,C9360,C9336)/POBLA!$B$23*100000</f>
        <v>212.63360289543633</v>
      </c>
    </row>
    <row r="9481" spans="1:13" s="360" customFormat="1" ht="15.75" thickBot="1" x14ac:dyDescent="0.3">
      <c r="A9481" s="369" t="s">
        <v>40</v>
      </c>
      <c r="B9481" s="266">
        <v>44287</v>
      </c>
      <c r="C9481" s="1">
        <v>540</v>
      </c>
      <c r="D9481" s="176">
        <f t="shared" si="1520"/>
        <v>88392</v>
      </c>
      <c r="E9481" s="1"/>
      <c r="F9481" s="176">
        <f t="shared" si="1521"/>
        <v>1502</v>
      </c>
      <c r="G9481" s="177">
        <f>SUM(C9481,C9457,C9433,C9409,C9385,C9361,C9337,C9313,C9289,C9265,C9241,C9217,C9193,C9169)/POBLA!$B$24*100000</f>
        <v>298.99873484648214</v>
      </c>
      <c r="H9481" s="402">
        <f t="shared" si="1522"/>
        <v>1.7648902821316614</v>
      </c>
      <c r="I9481" s="403">
        <f t="shared" si="1524"/>
        <v>527.69996150021768</v>
      </c>
      <c r="J9481" s="403">
        <f t="shared" si="1525"/>
        <v>454.57142857142856</v>
      </c>
      <c r="K9481" s="403">
        <f>J9481/POBLA!$B$24*100000</f>
        <v>26.823817256801885</v>
      </c>
      <c r="L9481" s="550">
        <f t="shared" si="1523"/>
        <v>-0.68806366047745349</v>
      </c>
      <c r="M9481" s="405">
        <f>SUM(C9481,C9457,C9433,C9409,C9385,C9361,C9337)/POBLA!$B$24*100000</f>
        <v>187.7667207976132</v>
      </c>
    </row>
    <row r="9482" spans="1:13" s="360" customFormat="1" ht="15.75" thickBot="1" x14ac:dyDescent="0.3">
      <c r="A9482" s="363" t="s">
        <v>16</v>
      </c>
      <c r="B9482" s="266">
        <v>44288</v>
      </c>
      <c r="C9482" s="1">
        <v>5016</v>
      </c>
      <c r="D9482" s="174">
        <f t="shared" si="1520"/>
        <v>999670</v>
      </c>
      <c r="E9482" s="1">
        <v>56</v>
      </c>
      <c r="F9482" s="174">
        <f t="shared" si="1521"/>
        <v>28294</v>
      </c>
      <c r="G9482" s="175">
        <f>SUM(C9482,C9458,C9434,C9410,C9386,C9362,C9338,C9314,C9290,C9266,C9242,C9218,C9194,C9170)/POBLA!$B$1*100000</f>
        <v>372.13656739889382</v>
      </c>
      <c r="H9482" s="300">
        <f t="shared" ref="H9482:H9521" si="1526">SUM(C9482,C9458,C9434,C9410,C9386,C9362,C9338,C9314,C9290,C9266,C9242,C9218,C9194,C9170)/SUM(C9146,C9122,C9098,C9074,C9050,C9026,C9002,C8978,C8954,C8930,C8906,C8882,C8858,C8834)</f>
        <v>1.6469118982742961</v>
      </c>
      <c r="I9482" s="301">
        <f>G9482*H9482</f>
        <v>612.87614063219269</v>
      </c>
      <c r="J9482" s="301">
        <f>AVERAGE(C9482,C9458,C9434,C9410,C9386,C9362,C9338)</f>
        <v>5734.8571428571431</v>
      </c>
      <c r="K9482" s="301">
        <f>J9482/POBLA!$B$1*100000</f>
        <v>32.693752036182502</v>
      </c>
      <c r="L9482" s="548">
        <f t="shared" ref="L9482:L9505" si="1527">1-SUM(C9482,C9458,C9434,C9410,C9386,C9362,C9338)/SUM(C9314,C9290,C9266,C9242,C9218,C9194,C9170)</f>
        <v>-0.59726256316396764</v>
      </c>
      <c r="M9482" s="400">
        <f>SUM(C9482,C9458,C9434,C9410,C9386,C9362,C9338)/POBLA!$B$1*100000</f>
        <v>228.85626425327749</v>
      </c>
    </row>
    <row r="9483" spans="1:13" s="360" customFormat="1" ht="15.75" thickBot="1" x14ac:dyDescent="0.3">
      <c r="A9483" s="367" t="s">
        <v>43</v>
      </c>
      <c r="B9483" s="266">
        <v>44288</v>
      </c>
      <c r="C9483" s="1">
        <v>1699</v>
      </c>
      <c r="D9483" s="39">
        <f t="shared" si="1520"/>
        <v>264608</v>
      </c>
      <c r="E9483" s="1">
        <v>4</v>
      </c>
      <c r="F9483" s="39">
        <f t="shared" si="1521"/>
        <v>6888</v>
      </c>
      <c r="G9483" s="168">
        <f>SUM(C9483,C9459,C9435,C9411,C9387,C9363,C9339,C9315,C9291,C9267,C9243,C9219,C9195,C9171)/POBLA!$B$2*100000</f>
        <v>581.0161507533702</v>
      </c>
      <c r="H9483" s="256">
        <f t="shared" si="1526"/>
        <v>1.5714034470629616</v>
      </c>
      <c r="I9483" s="297">
        <f t="shared" ref="I9483:I9505" si="1528">G9483*H9483</f>
        <v>913.01078209309935</v>
      </c>
      <c r="J9483" s="297">
        <f t="shared" ref="J9483:J9505" si="1529">AVERAGE(C9483,C9459,C9435,C9411,C9387,C9363,C9339)</f>
        <v>1517.5714285714287</v>
      </c>
      <c r="K9483" s="297">
        <f>J9483/POBLA!$B$2*100000</f>
        <v>49.341550639164211</v>
      </c>
      <c r="L9483" s="549">
        <f t="shared" si="1527"/>
        <v>-0.46584793707741134</v>
      </c>
      <c r="M9483" s="401">
        <f>SUM(C9483,C9459,C9435,C9411,C9387,C9363,C9339)/POBLA!$B$2*100000</f>
        <v>345.39085447414948</v>
      </c>
    </row>
    <row r="9484" spans="1:13" s="360" customFormat="1" ht="15.75" thickBot="1" x14ac:dyDescent="0.3">
      <c r="A9484" s="367" t="s">
        <v>28</v>
      </c>
      <c r="B9484" s="266">
        <v>44288</v>
      </c>
      <c r="C9484" s="1">
        <v>94</v>
      </c>
      <c r="D9484" s="39">
        <f t="shared" si="1520"/>
        <v>10624</v>
      </c>
      <c r="E9484" s="1"/>
      <c r="F9484" s="39">
        <f t="shared" si="1521"/>
        <v>18</v>
      </c>
      <c r="G9484" s="168">
        <f>SUM(C9484,C9460,C9436,C9412,C9388,C9364,C9340,C9316,C9292,C9268,C9244,C9220,C9196,C9172)/POBLA!$B$3*100000</f>
        <v>252.50458552178665</v>
      </c>
      <c r="H9484" s="256">
        <f t="shared" si="1526"/>
        <v>0.86337448559670782</v>
      </c>
      <c r="I9484" s="297">
        <f t="shared" si="1528"/>
        <v>218.00601663568247</v>
      </c>
      <c r="J9484" s="297">
        <f t="shared" si="1529"/>
        <v>75.571428571428569</v>
      </c>
      <c r="K9484" s="297">
        <f>J9484/POBLA!$B$3*100000</f>
        <v>18.190783840531815</v>
      </c>
      <c r="L9484" s="549">
        <f t="shared" si="1527"/>
        <v>-1.7307692307692246E-2</v>
      </c>
      <c r="M9484" s="401">
        <f>SUM(C9484,C9460,C9436,C9412,C9388,C9364,C9340)/POBLA!$B$3*100000</f>
        <v>127.33548688372272</v>
      </c>
    </row>
    <row r="9485" spans="1:13" s="360" customFormat="1" ht="15.75" thickBot="1" x14ac:dyDescent="0.3">
      <c r="A9485" s="367" t="s">
        <v>15</v>
      </c>
      <c r="B9485" s="266">
        <v>44288</v>
      </c>
      <c r="C9485" s="1">
        <v>189</v>
      </c>
      <c r="D9485" s="39">
        <f t="shared" si="1520"/>
        <v>38861</v>
      </c>
      <c r="E9485" s="1">
        <v>3</v>
      </c>
      <c r="F9485" s="39">
        <f t="shared" si="1521"/>
        <v>927</v>
      </c>
      <c r="G9485" s="168">
        <f>SUM(C9485,C9461,C9437,C9413,C9389,C9365,C9341,C9317,C9293,C9269,C9245,C9221,C9197,C9173)/POBLA!$B$4*100000</f>
        <v>181.72897394111118</v>
      </c>
      <c r="H9485" s="256">
        <f t="shared" si="1526"/>
        <v>1.2060606060606061</v>
      </c>
      <c r="I9485" s="297">
        <f t="shared" si="1528"/>
        <v>219.17615645018864</v>
      </c>
      <c r="J9485" s="297">
        <f t="shared" si="1529"/>
        <v>171.71428571428572</v>
      </c>
      <c r="K9485" s="297">
        <f>J9485/POBLA!$B$4*100000</f>
        <v>14.255578325211488</v>
      </c>
      <c r="L9485" s="549">
        <f t="shared" si="1527"/>
        <v>-0.2178318135764945</v>
      </c>
      <c r="M9485" s="401">
        <f>SUM(C9485,C9461,C9437,C9413,C9389,C9365,C9341)/POBLA!$B$4*100000</f>
        <v>99.789048276480429</v>
      </c>
    </row>
    <row r="9486" spans="1:13" s="360" customFormat="1" ht="15.75" thickBot="1" x14ac:dyDescent="0.3">
      <c r="A9486" s="367" t="s">
        <v>29</v>
      </c>
      <c r="B9486" s="266">
        <v>44288</v>
      </c>
      <c r="C9486" s="1">
        <v>48</v>
      </c>
      <c r="D9486" s="39">
        <f t="shared" si="1520"/>
        <v>50272</v>
      </c>
      <c r="E9486" s="1">
        <v>6</v>
      </c>
      <c r="F9486" s="39">
        <f t="shared" si="1521"/>
        <v>870</v>
      </c>
      <c r="G9486" s="168">
        <f>SUM(C9486,C9462,C9438,C9414,C9390,C9366,C9342,C9318,C9294,C9270,C9246,C9222,C9198,C9174)/POBLA!$B$5*100000</f>
        <v>254.76822069357701</v>
      </c>
      <c r="H9486" s="256">
        <f t="shared" si="1526"/>
        <v>1.2779578606158832</v>
      </c>
      <c r="I9486" s="297">
        <f t="shared" si="1528"/>
        <v>325.58305027047885</v>
      </c>
      <c r="J9486" s="297">
        <f t="shared" si="1529"/>
        <v>124.14285714285714</v>
      </c>
      <c r="K9486" s="297">
        <f>J9486/POBLA!$B$5*100000</f>
        <v>20.055583275905281</v>
      </c>
      <c r="L9486" s="549">
        <f t="shared" si="1527"/>
        <v>-0.22740112994350281</v>
      </c>
      <c r="M9486" s="401">
        <f>SUM(C9486,C9462,C9438,C9414,C9390,C9366,C9342)/POBLA!$B$5*100000</f>
        <v>140.38908293133699</v>
      </c>
    </row>
    <row r="9487" spans="1:13" s="360" customFormat="1" ht="15.75" thickBot="1" x14ac:dyDescent="0.3">
      <c r="A9487" s="367" t="s">
        <v>30</v>
      </c>
      <c r="B9487" s="266">
        <v>44288</v>
      </c>
      <c r="C9487" s="1">
        <v>194</v>
      </c>
      <c r="D9487" s="39">
        <f t="shared" si="1520"/>
        <v>30672</v>
      </c>
      <c r="E9487" s="1"/>
      <c r="F9487" s="39">
        <f t="shared" si="1521"/>
        <v>328</v>
      </c>
      <c r="G9487" s="168">
        <f>SUM(C9487,C9463,C9439,C9415,C9391,C9367,C9343,C9319,C9295,C9271,C9247,C9223,C9199,C9175)/POBLA!$B$6*100000</f>
        <v>404.71055968008591</v>
      </c>
      <c r="H9487" s="256">
        <f t="shared" si="1526"/>
        <v>1.3863080684596576</v>
      </c>
      <c r="I9487" s="297">
        <f t="shared" si="1528"/>
        <v>561.05351427532685</v>
      </c>
      <c r="J9487" s="297">
        <f t="shared" si="1529"/>
        <v>397</v>
      </c>
      <c r="K9487" s="297">
        <f>J9487/POBLA!$B$6*100000</f>
        <v>35.421096162476658</v>
      </c>
      <c r="L9487" s="549">
        <f t="shared" si="1527"/>
        <v>-0.58167330677290829</v>
      </c>
      <c r="M9487" s="401">
        <f>SUM(C9487,C9463,C9439,C9415,C9391,C9367,C9343)/POBLA!$B$6*100000</f>
        <v>247.94767313733661</v>
      </c>
    </row>
    <row r="9488" spans="1:13" s="360" customFormat="1" ht="15.75" thickBot="1" x14ac:dyDescent="0.3">
      <c r="A9488" s="367" t="s">
        <v>20</v>
      </c>
      <c r="B9488" s="266">
        <v>44288</v>
      </c>
      <c r="C9488" s="1">
        <v>697</v>
      </c>
      <c r="D9488" s="39">
        <f t="shared" si="1520"/>
        <v>182524</v>
      </c>
      <c r="E9488" s="1">
        <v>7</v>
      </c>
      <c r="F9488" s="39">
        <f t="shared" si="1521"/>
        <v>3045</v>
      </c>
      <c r="G9488" s="168">
        <f>SUM(C9488,C9464,C9440,C9416,C9392,C9368,C9344,C9320,C9296,C9272,C9248,C9224,C9200,C9176)/POBLA!$B$7*100000</f>
        <v>299.96410004121844</v>
      </c>
      <c r="H9488" s="256">
        <f t="shared" si="1526"/>
        <v>1.3974231912784936</v>
      </c>
      <c r="I9488" s="297">
        <f t="shared" si="1528"/>
        <v>419.17678994858079</v>
      </c>
      <c r="J9488" s="297">
        <f t="shared" si="1529"/>
        <v>899.85714285714289</v>
      </c>
      <c r="K9488" s="297">
        <f>J9488/POBLA!$B$7*100000</f>
        <v>23.92950691691534</v>
      </c>
      <c r="L9488" s="549">
        <f t="shared" si="1527"/>
        <v>-0.26460550090343316</v>
      </c>
      <c r="M9488" s="401">
        <f>SUM(C9488,C9464,C9440,C9416,C9392,C9368,C9344)/POBLA!$B$7*100000</f>
        <v>167.50654841840739</v>
      </c>
    </row>
    <row r="9489" spans="1:13" ht="15.75" thickBot="1" x14ac:dyDescent="0.3">
      <c r="A9489" s="367" t="s">
        <v>31</v>
      </c>
      <c r="B9489" s="266">
        <v>44288</v>
      </c>
      <c r="C9489" s="1">
        <v>160</v>
      </c>
      <c r="D9489" s="39">
        <f t="shared" si="1520"/>
        <v>50335</v>
      </c>
      <c r="E9489" s="1">
        <v>1</v>
      </c>
      <c r="F9489" s="39">
        <f t="shared" si="1521"/>
        <v>949</v>
      </c>
      <c r="G9489" s="168">
        <f>SUM(C9489,C9465,C9441,C9417,C9393,C9369,C9345,C9321,C9297,C9273,C9249,C9225,C9201,C9177)/POBLA!$B$8*100000</f>
        <v>179.44227867883728</v>
      </c>
      <c r="H9489" s="256">
        <f t="shared" si="1526"/>
        <v>1.2360834990059641</v>
      </c>
      <c r="I9489" s="297">
        <f t="shared" si="1528"/>
        <v>221.8056396989405</v>
      </c>
      <c r="J9489" s="297">
        <f t="shared" si="1529"/>
        <v>195.28571428571428</v>
      </c>
      <c r="K9489" s="297">
        <f>J9489/POBLA!$B$8*100000</f>
        <v>14.090274855188152</v>
      </c>
      <c r="L9489" s="549">
        <f t="shared" si="1527"/>
        <v>-0.22053571428571428</v>
      </c>
      <c r="M9489" s="401">
        <f>SUM(C9489,C9465,C9441,C9417,C9393,C9369,C9345)/POBLA!$B$8*100000</f>
        <v>98.631923986317076</v>
      </c>
    </row>
    <row r="9490" spans="1:13" s="360" customFormat="1" ht="15.75" thickBot="1" x14ac:dyDescent="0.3">
      <c r="A9490" s="367" t="s">
        <v>41</v>
      </c>
      <c r="B9490" s="266">
        <v>44288</v>
      </c>
      <c r="C9490" s="1">
        <v>0</v>
      </c>
      <c r="D9490" s="39">
        <f t="shared" si="1520"/>
        <v>2294</v>
      </c>
      <c r="E9490" s="1"/>
      <c r="F9490" s="39">
        <f t="shared" si="1521"/>
        <v>36</v>
      </c>
      <c r="G9490" s="168">
        <f>SUM(C9490,C9466,C9442,C9418,C9394,C9370,C9346,C9322,C9298,C9274,C9250,C9226,C9202,C9178)/POBLA!$B$9*100000</f>
        <v>100.629055524436</v>
      </c>
      <c r="H9490" s="256">
        <f t="shared" si="1526"/>
        <v>1.75</v>
      </c>
      <c r="I9490" s="297">
        <f t="shared" si="1528"/>
        <v>176.10084716776299</v>
      </c>
      <c r="J9490" s="297">
        <f t="shared" si="1529"/>
        <v>54.142857142857146</v>
      </c>
      <c r="K9490" s="297">
        <f>J9490/POBLA!$B$9*100000</f>
        <v>8.9463786168804251</v>
      </c>
      <c r="L9490" s="549">
        <f t="shared" si="1527"/>
        <v>-0.64782608695652177</v>
      </c>
      <c r="M9490" s="401">
        <f>SUM(C9490,C9466,C9442,C9418,C9394,C9370,C9346)/POBLA!$B$9*100000</f>
        <v>62.624650318162963</v>
      </c>
    </row>
    <row r="9491" spans="1:13" s="360" customFormat="1" ht="15.75" thickBot="1" x14ac:dyDescent="0.3">
      <c r="A9491" s="367" t="s">
        <v>32</v>
      </c>
      <c r="B9491" s="266">
        <v>44288</v>
      </c>
      <c r="C9491" s="1">
        <v>52</v>
      </c>
      <c r="D9491" s="39">
        <f t="shared" si="1520"/>
        <v>22585</v>
      </c>
      <c r="E9491" s="1">
        <v>3</v>
      </c>
      <c r="F9491" s="39">
        <f t="shared" si="1521"/>
        <v>974</v>
      </c>
      <c r="G9491" s="168">
        <f>SUM(C9491,C9467,C9443,C9419,C9395,C9371,C9347,C9323,C9299,C9275,C9251,C9227,C9203,C9179)/POBLA!$B$10*100000</f>
        <v>83.540779964741631</v>
      </c>
      <c r="H9491" s="256">
        <f t="shared" si="1526"/>
        <v>0.81313131313131315</v>
      </c>
      <c r="I9491" s="297">
        <f t="shared" si="1528"/>
        <v>67.929624112744463</v>
      </c>
      <c r="J9491" s="297">
        <f t="shared" si="1529"/>
        <v>53.857142857142854</v>
      </c>
      <c r="K9491" s="297">
        <f>J9491/POBLA!$B$10*100000</f>
        <v>6.9864405604941435</v>
      </c>
      <c r="L9491" s="549">
        <f t="shared" si="1527"/>
        <v>-0.41198501872659166</v>
      </c>
      <c r="M9491" s="401">
        <f>SUM(C9491,C9467,C9443,C9419,C9395,C9371,C9347)/POBLA!$B$10*100000</f>
        <v>48.905083923459003</v>
      </c>
    </row>
    <row r="9492" spans="1:13" s="360" customFormat="1" ht="15.75" thickBot="1" x14ac:dyDescent="0.3">
      <c r="A9492" s="367" t="s">
        <v>33</v>
      </c>
      <c r="B9492" s="266">
        <v>44288</v>
      </c>
      <c r="C9492" s="1">
        <v>67</v>
      </c>
      <c r="D9492" s="39">
        <f t="shared" si="1520"/>
        <v>21452</v>
      </c>
      <c r="E9492" s="1"/>
      <c r="F9492" s="39">
        <f t="shared" si="1521"/>
        <v>321</v>
      </c>
      <c r="G9492" s="168">
        <f>SUM(C9492,C9468,C9444,C9420,C9396,C9372,C9348,C9324,C9300,C9276,C9252,C9228,C9204,C9180)/POBLA!$B$11*100000</f>
        <v>299.36277299764527</v>
      </c>
      <c r="H9492" s="256">
        <f t="shared" si="1526"/>
        <v>0.88312757201646086</v>
      </c>
      <c r="I9492" s="297">
        <f t="shared" si="1528"/>
        <v>264.37551886952542</v>
      </c>
      <c r="J9492" s="297">
        <f t="shared" si="1529"/>
        <v>78.285714285714292</v>
      </c>
      <c r="K9492" s="297">
        <f>J9492/POBLA!$B$11*100000</f>
        <v>21.841405885063192</v>
      </c>
      <c r="L9492" s="549">
        <f t="shared" si="1527"/>
        <v>-4.3809523809523743E-2</v>
      </c>
      <c r="M9492" s="401">
        <f>SUM(C9492,C9468,C9444,C9420,C9396,C9372,C9348)/POBLA!$B$11*100000</f>
        <v>152.88984119544233</v>
      </c>
    </row>
    <row r="9493" spans="1:13" s="360" customFormat="1" ht="15.75" thickBot="1" x14ac:dyDescent="0.3">
      <c r="A9493" s="367" t="s">
        <v>21</v>
      </c>
      <c r="B9493" s="266">
        <v>44288</v>
      </c>
      <c r="C9493" s="1">
        <v>51</v>
      </c>
      <c r="D9493" s="39">
        <f t="shared" si="1520"/>
        <v>11204</v>
      </c>
      <c r="E9493" s="1"/>
      <c r="F9493" s="39">
        <f t="shared" si="1521"/>
        <v>449</v>
      </c>
      <c r="G9493" s="168">
        <f>SUM(C9493,C9469,C9445,C9421,C9397,C9373,C9349,C9325,C9301,C9277,C9253,C9229,C9205,C9181)/POBLA!$B$12*100000</f>
        <v>141.79314971374555</v>
      </c>
      <c r="H9493" s="256">
        <f t="shared" si="1526"/>
        <v>1.7602523659305993</v>
      </c>
      <c r="I9493" s="297">
        <f t="shared" si="1528"/>
        <v>249.59172725637228</v>
      </c>
      <c r="J9493" s="297">
        <f t="shared" si="1529"/>
        <v>54.142857142857146</v>
      </c>
      <c r="K9493" s="297">
        <f>J9493/POBLA!$B$12*100000</f>
        <v>13.758219083847816</v>
      </c>
      <c r="L9493" s="549">
        <f t="shared" si="1527"/>
        <v>-1.1173184357541901</v>
      </c>
      <c r="M9493" s="401">
        <f>SUM(C9493,C9469,C9445,C9421,C9397,C9373,C9349)/POBLA!$B$12*100000</f>
        <v>96.30753358693471</v>
      </c>
    </row>
    <row r="9494" spans="1:13" s="360" customFormat="1" ht="15.75" thickBot="1" x14ac:dyDescent="0.3">
      <c r="A9494" s="367" t="s">
        <v>17</v>
      </c>
      <c r="B9494" s="266">
        <v>44288</v>
      </c>
      <c r="C9494" s="1">
        <v>235</v>
      </c>
      <c r="D9494" s="39">
        <f t="shared" si="1520"/>
        <v>73730</v>
      </c>
      <c r="E9494" s="1"/>
      <c r="F9494" s="39">
        <f t="shared" si="1521"/>
        <v>1513</v>
      </c>
      <c r="G9494" s="168">
        <f>SUM(C9494,C9470,C9446,C9422,C9398,C9374,C9350,C9326,C9302,C9278,C9254,C9230,C9206,C9182)/POBLA!$B$13*100000</f>
        <v>175.44758729421838</v>
      </c>
      <c r="H9494" s="256">
        <f t="shared" si="1526"/>
        <v>1.5937927886809675</v>
      </c>
      <c r="I9494" s="297">
        <f t="shared" si="1528"/>
        <v>279.6270994209998</v>
      </c>
      <c r="J9494" s="297">
        <f t="shared" si="1529"/>
        <v>316</v>
      </c>
      <c r="K9494" s="297">
        <f>J9494/POBLA!$B$13*100000</f>
        <v>15.876700339339349</v>
      </c>
      <c r="L9494" s="549">
        <f t="shared" si="1527"/>
        <v>-0.72812499999999991</v>
      </c>
      <c r="M9494" s="401">
        <f>SUM(C9494,C9470,C9446,C9422,C9398,C9374,C9350)/POBLA!$B$13*100000</f>
        <v>111.13690237537544</v>
      </c>
    </row>
    <row r="9495" spans="1:13" s="360" customFormat="1" ht="15.75" thickBot="1" x14ac:dyDescent="0.3">
      <c r="A9495" s="367" t="s">
        <v>23</v>
      </c>
      <c r="B9495" s="266">
        <v>44288</v>
      </c>
      <c r="C9495" s="1">
        <v>89</v>
      </c>
      <c r="D9495" s="39">
        <f t="shared" si="1520"/>
        <v>12243</v>
      </c>
      <c r="E9495" s="1"/>
      <c r="F9495" s="39">
        <f t="shared" si="1521"/>
        <v>207</v>
      </c>
      <c r="G9495" s="168">
        <f>SUM(C9495,C9471,C9447,C9423,C9399,C9375,C9351,C9327,C9303,C9279,C9255,C9231,C9207,C9183)/POBLA!$B$14*100000</f>
        <v>131.76943678476232</v>
      </c>
      <c r="H9495" s="256">
        <f t="shared" si="1526"/>
        <v>0.99164677804295942</v>
      </c>
      <c r="I9495" s="297">
        <f t="shared" si="1528"/>
        <v>130.66873743214498</v>
      </c>
      <c r="J9495" s="297">
        <f t="shared" si="1529"/>
        <v>115.14285714285714</v>
      </c>
      <c r="K9495" s="297">
        <f>J9495/POBLA!$B$14*100000</f>
        <v>9.1289467120954466</v>
      </c>
      <c r="L9495" s="549">
        <f t="shared" si="1527"/>
        <v>5.8411214953271062E-2</v>
      </c>
      <c r="M9495" s="401">
        <f>SUM(C9495,C9471,C9447,C9423,C9399,C9375,C9351)/POBLA!$B$14*100000</f>
        <v>63.902626984668125</v>
      </c>
    </row>
    <row r="9496" spans="1:13" s="360" customFormat="1" ht="15.75" thickBot="1" x14ac:dyDescent="0.3">
      <c r="A9496" s="367" t="s">
        <v>19</v>
      </c>
      <c r="B9496" s="266">
        <v>44288</v>
      </c>
      <c r="C9496" s="1">
        <v>60</v>
      </c>
      <c r="D9496" s="39">
        <f t="shared" si="1520"/>
        <v>65371</v>
      </c>
      <c r="E9496" s="1"/>
      <c r="F9496" s="39">
        <f t="shared" si="1521"/>
        <v>1009</v>
      </c>
      <c r="G9496" s="168">
        <f>SUM(C9496,C9472,C9448,C9424,C9400,C9376,C9352,C9328,C9304,C9280,C9256,C9232,C9208,C9184)/POBLA!$B$15*100000</f>
        <v>220.16182345792603</v>
      </c>
      <c r="H9496" s="256">
        <f t="shared" si="1526"/>
        <v>0.79542981501632204</v>
      </c>
      <c r="I9496" s="297">
        <f t="shared" si="1528"/>
        <v>175.12327850679426</v>
      </c>
      <c r="J9496" s="297">
        <f t="shared" si="1529"/>
        <v>96.142857142857139</v>
      </c>
      <c r="K9496" s="297">
        <f>J9496/POBLA!$B$15*100000</f>
        <v>14.478103106037153</v>
      </c>
      <c r="L9496" s="549">
        <f t="shared" si="1527"/>
        <v>0.14702154626108999</v>
      </c>
      <c r="M9496" s="401">
        <f>SUM(C9496,C9472,C9448,C9424,C9400,C9376,C9352)/POBLA!$B$15*100000</f>
        <v>101.34672174226009</v>
      </c>
    </row>
    <row r="9497" spans="1:13" s="360" customFormat="1" ht="15.75" thickBot="1" x14ac:dyDescent="0.3">
      <c r="A9497" s="367" t="s">
        <v>18</v>
      </c>
      <c r="B9497" s="266">
        <v>44288</v>
      </c>
      <c r="C9497" s="1">
        <v>36</v>
      </c>
      <c r="D9497" s="39">
        <f t="shared" si="1520"/>
        <v>55589</v>
      </c>
      <c r="E9497" s="1">
        <v>2</v>
      </c>
      <c r="F9497" s="39">
        <f t="shared" si="1521"/>
        <v>1284</v>
      </c>
      <c r="G9497" s="168">
        <f>SUM(C9497,C9473,C9449,C9425,C9401,C9377,C9353,C9329,C9305,C9281,C9257,C9233,C9209,C9185)/POBLA!$B$16*100000</f>
        <v>173.08489720576236</v>
      </c>
      <c r="H9497" s="256">
        <f t="shared" si="1526"/>
        <v>1.0237341772151898</v>
      </c>
      <c r="I9497" s="297">
        <f t="shared" si="1528"/>
        <v>177.19292482931684</v>
      </c>
      <c r="J9497" s="297">
        <f t="shared" si="1529"/>
        <v>97.142857142857139</v>
      </c>
      <c r="K9497" s="297">
        <f>J9497/POBLA!$B$16*100000</f>
        <v>12.993787822909958</v>
      </c>
      <c r="L9497" s="549">
        <f t="shared" si="1527"/>
        <v>-0.10749185667752448</v>
      </c>
      <c r="M9497" s="401">
        <f>SUM(C9497,C9473,C9449,C9425,C9401,C9377,C9353)/POBLA!$B$16*100000</f>
        <v>90.956514760369714</v>
      </c>
    </row>
    <row r="9498" spans="1:13" s="360" customFormat="1" ht="15.75" thickBot="1" x14ac:dyDescent="0.3">
      <c r="A9498" s="367" t="s">
        <v>34</v>
      </c>
      <c r="B9498" s="266">
        <v>44288</v>
      </c>
      <c r="C9498" s="1">
        <v>67</v>
      </c>
      <c r="D9498" s="39">
        <f t="shared" si="1520"/>
        <v>29592</v>
      </c>
      <c r="E9498" s="1"/>
      <c r="F9498" s="39">
        <f t="shared" si="1521"/>
        <v>1205</v>
      </c>
      <c r="G9498" s="168">
        <f>SUM(C9498,C9474,C9450,C9426,C9402,C9378,C9354,C9330,C9306,C9282,C9258,C9234,C9210,C9186)/POBLA!$B$17*100000</f>
        <v>101.30602633956684</v>
      </c>
      <c r="H9498" s="256">
        <f t="shared" si="1526"/>
        <v>1.055596196049744</v>
      </c>
      <c r="I9498" s="297">
        <f t="shared" si="1528"/>
        <v>106.93825604096193</v>
      </c>
      <c r="J9498" s="297">
        <f t="shared" si="1529"/>
        <v>110</v>
      </c>
      <c r="K9498" s="297">
        <f>J9498/POBLA!$B$17*100000</f>
        <v>7.7225661104312913</v>
      </c>
      <c r="L9498" s="549">
        <f t="shared" si="1527"/>
        <v>-0.14413075780089146</v>
      </c>
      <c r="M9498" s="401">
        <f>SUM(C9498,C9474,C9450,C9426,C9402,C9378,C9354)/POBLA!$B$17*100000</f>
        <v>54.057962773019042</v>
      </c>
    </row>
    <row r="9499" spans="1:13" s="360" customFormat="1" ht="15.75" thickBot="1" x14ac:dyDescent="0.3">
      <c r="A9499" s="367" t="s">
        <v>35</v>
      </c>
      <c r="B9499" s="266">
        <v>44288</v>
      </c>
      <c r="C9499" s="1">
        <v>43</v>
      </c>
      <c r="D9499" s="39">
        <f t="shared" si="1520"/>
        <v>17436</v>
      </c>
      <c r="E9499" s="1"/>
      <c r="F9499" s="39">
        <f t="shared" si="1521"/>
        <v>224</v>
      </c>
      <c r="G9499" s="168">
        <f>SUM(C9499,C9475,C9451,C9427,C9403,C9379,C9355,C9331,C9307,C9283,C9259,C9235,C9211,C9187)/POBLA!$B$18*100000</f>
        <v>149.25430450182216</v>
      </c>
      <c r="H9499" s="256">
        <f t="shared" si="1526"/>
        <v>1.5525965379494009</v>
      </c>
      <c r="I9499" s="297">
        <f t="shared" si="1528"/>
        <v>231.73171644357475</v>
      </c>
      <c r="J9499" s="297">
        <f t="shared" si="1529"/>
        <v>94.857142857142861</v>
      </c>
      <c r="K9499" s="297">
        <f>J9499/POBLA!$B$18*100000</f>
        <v>12.14222717339009</v>
      </c>
      <c r="L9499" s="549">
        <f t="shared" si="1527"/>
        <v>-0.32270916334661348</v>
      </c>
      <c r="M9499" s="401">
        <f>SUM(C9499,C9475,C9451,C9427,C9403,C9379,C9355)/POBLA!$B$18*100000</f>
        <v>84.995590213730623</v>
      </c>
    </row>
    <row r="9500" spans="1:13" s="360" customFormat="1" ht="15.75" thickBot="1" x14ac:dyDescent="0.3">
      <c r="A9500" s="367" t="s">
        <v>36</v>
      </c>
      <c r="B9500" s="266">
        <v>44288</v>
      </c>
      <c r="C9500" s="1">
        <v>141</v>
      </c>
      <c r="D9500" s="39">
        <f t="shared" si="1520"/>
        <v>23190</v>
      </c>
      <c r="E9500" s="1"/>
      <c r="F9500" s="39">
        <f t="shared" si="1521"/>
        <v>430</v>
      </c>
      <c r="G9500" s="168">
        <f>SUM(C9500,C9476,C9452,C9428,C9404,C9380,C9356,C9332,C9308,C9284,C9260,C9236,C9212,C9188)/POBLA!$B$19*100000</f>
        <v>322.42961237626099</v>
      </c>
      <c r="H9500" s="256">
        <f t="shared" si="1526"/>
        <v>2.1853333333333333</v>
      </c>
      <c r="I9500" s="297">
        <f t="shared" si="1528"/>
        <v>704.61617957958902</v>
      </c>
      <c r="J9500" s="297">
        <f t="shared" si="1529"/>
        <v>161.14285714285714</v>
      </c>
      <c r="K9500" s="297">
        <f>J9500/POBLA!$B$19*100000</f>
        <v>31.700566788148034</v>
      </c>
      <c r="L9500" s="549">
        <f t="shared" si="1527"/>
        <v>-1.207436399217221</v>
      </c>
      <c r="M9500" s="401">
        <f>SUM(C9500,C9476,C9452,C9428,C9404,C9380,C9356)/POBLA!$B$19*100000</f>
        <v>221.90396751703622</v>
      </c>
    </row>
    <row r="9501" spans="1:13" s="360" customFormat="1" ht="15.75" thickBot="1" x14ac:dyDescent="0.3">
      <c r="A9501" s="367" t="s">
        <v>37</v>
      </c>
      <c r="B9501" s="266">
        <v>44288</v>
      </c>
      <c r="C9501" s="1">
        <v>58</v>
      </c>
      <c r="D9501" s="39">
        <f t="shared" si="1520"/>
        <v>39641</v>
      </c>
      <c r="E9501" s="1"/>
      <c r="F9501" s="39">
        <f t="shared" si="1521"/>
        <v>642</v>
      </c>
      <c r="G9501" s="168">
        <f>SUM(C9501,C9477,C9453,C9429,C9405,C9381,C9357,C9333,C9309,C9285,C9261,C9237,C9213,C9189)/POBLA!$B$20*100000</f>
        <v>450.37161811111901</v>
      </c>
      <c r="H9501" s="256">
        <f t="shared" si="1526"/>
        <v>1.1656050955414012</v>
      </c>
      <c r="I9501" s="297">
        <f t="shared" si="1528"/>
        <v>524.9554529575463</v>
      </c>
      <c r="J9501" s="297">
        <f t="shared" si="1529"/>
        <v>133</v>
      </c>
      <c r="K9501" s="297">
        <f>J9501/POBLA!$B$20*100000</f>
        <v>36.368807048438875</v>
      </c>
      <c r="L9501" s="549">
        <f t="shared" si="1527"/>
        <v>-0.30027932960893855</v>
      </c>
      <c r="M9501" s="401">
        <f>SUM(C9501,C9477,C9453,C9429,C9405,C9381,C9357)/POBLA!$B$20*100000</f>
        <v>254.58164933907213</v>
      </c>
    </row>
    <row r="9502" spans="1:13" s="360" customFormat="1" ht="15.75" thickBot="1" x14ac:dyDescent="0.3">
      <c r="A9502" s="367" t="s">
        <v>22</v>
      </c>
      <c r="B9502" s="266">
        <v>44288</v>
      </c>
      <c r="C9502" s="1">
        <v>469</v>
      </c>
      <c r="D9502" s="39">
        <f t="shared" si="1520"/>
        <v>232985</v>
      </c>
      <c r="E9502" s="1"/>
      <c r="F9502" s="39">
        <f t="shared" si="1521"/>
        <v>4273</v>
      </c>
      <c r="G9502" s="168">
        <f>SUM(C9502,C9478,C9454,C9430,C9406,C9382,C9358,C9334,C9310,C9286,C9262,C9238,C9214,C9190)/POBLA!$B$21*100000</f>
        <v>230.48745934445532</v>
      </c>
      <c r="H9502" s="256">
        <f t="shared" si="1526"/>
        <v>1.3281733746130031</v>
      </c>
      <c r="I9502" s="297">
        <f t="shared" si="1528"/>
        <v>306.12730668350258</v>
      </c>
      <c r="J9502" s="297">
        <f t="shared" si="1529"/>
        <v>678.28571428571433</v>
      </c>
      <c r="K9502" s="297">
        <f>J9502/POBLA!$B$21*100000</f>
        <v>19.180020978450916</v>
      </c>
      <c r="L9502" s="549">
        <f t="shared" si="1527"/>
        <v>-0.3952394945636204</v>
      </c>
      <c r="M9502" s="401">
        <f>SUM(C9502,C9478,C9454,C9430,C9406,C9382,C9358)/POBLA!$B$21*100000</f>
        <v>134.2601468491564</v>
      </c>
    </row>
    <row r="9503" spans="1:13" s="360" customFormat="1" ht="15.75" thickBot="1" x14ac:dyDescent="0.3">
      <c r="A9503" s="367" t="s">
        <v>38</v>
      </c>
      <c r="B9503" s="266">
        <v>44288</v>
      </c>
      <c r="C9503" s="1">
        <v>104</v>
      </c>
      <c r="D9503" s="39">
        <f t="shared" si="1520"/>
        <v>25405</v>
      </c>
      <c r="E9503" s="1"/>
      <c r="F9503" s="39">
        <f t="shared" si="1521"/>
        <v>297</v>
      </c>
      <c r="G9503" s="168">
        <f>SUM(C9503,C9479,C9455,C9431,C9407,C9383,C9359,C9335,C9311,C9287,C9263,C9239,C9215,C9191)/POBLA!$B$22*100000</f>
        <v>149.84979244883795</v>
      </c>
      <c r="H9503" s="256">
        <f t="shared" si="1526"/>
        <v>1.4943934760448523</v>
      </c>
      <c r="I9503" s="297">
        <f t="shared" si="1528"/>
        <v>223.9345522222186</v>
      </c>
      <c r="J9503" s="297">
        <f t="shared" si="1529"/>
        <v>119</v>
      </c>
      <c r="K9503" s="297">
        <f>J9503/POBLA!$B$22*100000</f>
        <v>12.163796249257651</v>
      </c>
      <c r="L9503" s="549">
        <f t="shared" si="1527"/>
        <v>-0.31595576619273302</v>
      </c>
      <c r="M9503" s="401">
        <f>SUM(C9503,C9479,C9455,C9431,C9407,C9383,C9359)/POBLA!$B$22*100000</f>
        <v>85.146573744803547</v>
      </c>
    </row>
    <row r="9504" spans="1:13" s="360" customFormat="1" ht="15.75" thickBot="1" x14ac:dyDescent="0.3">
      <c r="A9504" s="367" t="s">
        <v>39</v>
      </c>
      <c r="B9504" s="266">
        <v>44288</v>
      </c>
      <c r="C9504" s="1">
        <v>68</v>
      </c>
      <c r="D9504" s="39">
        <f t="shared" si="1520"/>
        <v>24213</v>
      </c>
      <c r="E9504" s="1"/>
      <c r="F9504" s="39">
        <f t="shared" si="1521"/>
        <v>367</v>
      </c>
      <c r="G9504" s="168">
        <f>SUM(C9504,C9480,C9456,C9432,C9408,C9384,C9360,C9336,C9312,C9288,C9264,C9240,C9216,C9192)/POBLA!$B$23*100000</f>
        <v>382.28807329073118</v>
      </c>
      <c r="H9504" s="256">
        <f t="shared" si="1526"/>
        <v>1.6568627450980393</v>
      </c>
      <c r="I9504" s="297">
        <f t="shared" si="1528"/>
        <v>633.39886653072131</v>
      </c>
      <c r="J9504" s="297">
        <f t="shared" si="1529"/>
        <v>56.428571428571431</v>
      </c>
      <c r="K9504" s="297">
        <f>J9504/POBLA!$B$23*100000</f>
        <v>31.911198002924522</v>
      </c>
      <c r="L9504" s="549">
        <f t="shared" si="1527"/>
        <v>-0.40569395017793597</v>
      </c>
      <c r="M9504" s="401">
        <f>SUM(C9504,C9480,C9456,C9432,C9408,C9384,C9360)/POBLA!$B$23*100000</f>
        <v>223.37838602047165</v>
      </c>
    </row>
    <row r="9505" spans="1:13" s="360" customFormat="1" ht="15.75" thickBot="1" x14ac:dyDescent="0.3">
      <c r="A9505" s="369" t="s">
        <v>40</v>
      </c>
      <c r="B9505" s="266">
        <v>44288</v>
      </c>
      <c r="C9505" s="1">
        <v>265</v>
      </c>
      <c r="D9505" s="176">
        <f t="shared" si="1520"/>
        <v>88657</v>
      </c>
      <c r="E9505" s="1"/>
      <c r="F9505" s="176">
        <f t="shared" si="1521"/>
        <v>1502</v>
      </c>
      <c r="G9505" s="177">
        <f>SUM(C9505,C9481,C9457,C9433,C9409,C9385,C9361,C9337,C9313,C9289,C9265,C9241,C9217,C9193)/POBLA!$B$24*100000</f>
        <v>294.63206692095622</v>
      </c>
      <c r="H9505" s="402">
        <f t="shared" si="1526"/>
        <v>1.6738183037210861</v>
      </c>
      <c r="I9505" s="403">
        <f t="shared" si="1528"/>
        <v>493.16054647547247</v>
      </c>
      <c r="J9505" s="403">
        <f t="shared" si="1529"/>
        <v>395.28571428571428</v>
      </c>
      <c r="K9505" s="403">
        <f>J9505/POBLA!$B$24*100000</f>
        <v>23.32542499986512</v>
      </c>
      <c r="L9505" s="550">
        <f t="shared" si="1527"/>
        <v>-0.24303683737645998</v>
      </c>
      <c r="M9505" s="405">
        <f>SUM(C9505,C9481,C9457,C9433,C9409,C9385,C9361)/POBLA!$B$24*100000</f>
        <v>163.27797499905586</v>
      </c>
    </row>
    <row r="9506" spans="1:13" s="360" customFormat="1" ht="15.75" thickBot="1" x14ac:dyDescent="0.3">
      <c r="A9506" s="363" t="s">
        <v>16</v>
      </c>
      <c r="B9506" s="266">
        <v>44289</v>
      </c>
      <c r="C9506" s="17">
        <v>5306</v>
      </c>
      <c r="D9506" s="174">
        <f t="shared" si="1520"/>
        <v>1004976</v>
      </c>
      <c r="E9506" s="1">
        <v>53</v>
      </c>
      <c r="F9506" s="174">
        <f t="shared" si="1521"/>
        <v>28347</v>
      </c>
      <c r="G9506" s="175">
        <f>SUM(C9506,C9482,C9458,C9434,C9410,C9386,C9362,C9338,C9314,C9290,C9266,C9242,C9218,C9194)/POBLA!$B$1*100000</f>
        <v>384.24524379571432</v>
      </c>
      <c r="H9506" s="300">
        <f t="shared" si="1526"/>
        <v>1.6600004925744403</v>
      </c>
      <c r="I9506" s="301">
        <f>G9506*H9506</f>
        <v>637.84729397027161</v>
      </c>
      <c r="J9506" s="301">
        <f>AVERAGE(C9506,C9482,C9458,C9434,C9410,C9386,C9362)</f>
        <v>5732.1428571428569</v>
      </c>
      <c r="K9506" s="301">
        <f>J9506/POBLA!$B$1*100000</f>
        <v>32.678278209740498</v>
      </c>
      <c r="L9506" s="548">
        <f t="shared" ref="L9506:L9529" si="1530">1-SUM(C9506,C9482,C9458,C9434,C9410,C9386,C9362)/SUM(C9338,C9314,C9290,C9266,C9242,C9218,C9194)</f>
        <v>-0.47107347118345788</v>
      </c>
      <c r="M9506" s="400">
        <f>SUM(C9506,C9482,C9458,C9434,C9410,C9386,C9362)/POBLA!$B$1*100000</f>
        <v>228.74794746818353</v>
      </c>
    </row>
    <row r="9507" spans="1:13" s="360" customFormat="1" ht="15.75" thickBot="1" x14ac:dyDescent="0.3">
      <c r="A9507" s="367" t="s">
        <v>43</v>
      </c>
      <c r="B9507" s="266">
        <v>44289</v>
      </c>
      <c r="C9507" s="17">
        <v>1888</v>
      </c>
      <c r="D9507" s="39">
        <f t="shared" si="1520"/>
        <v>266496</v>
      </c>
      <c r="E9507" s="1">
        <v>8</v>
      </c>
      <c r="F9507" s="39">
        <f t="shared" si="1521"/>
        <v>6896</v>
      </c>
      <c r="G9507" s="168">
        <f>SUM(C9507,C9483,C9459,C9435,C9411,C9387,C9363,C9339,C9315,C9291,C9267,C9243,C9219,C9195)/POBLA!$B$2*100000</f>
        <v>615.02526623675158</v>
      </c>
      <c r="H9507" s="256">
        <f t="shared" si="1526"/>
        <v>1.6359076364265328</v>
      </c>
      <c r="I9507" s="297">
        <f t="shared" ref="I9507:I9529" si="1531">G9507*H9507</f>
        <v>1006.1245296319634</v>
      </c>
      <c r="J9507" s="297">
        <f t="shared" ref="J9507:J9529" si="1532">AVERAGE(C9507,C9483,C9459,C9435,C9411,C9387,C9363)</f>
        <v>1576.4285714285713</v>
      </c>
      <c r="K9507" s="297">
        <f>J9507/POBLA!$B$2*100000</f>
        <v>51.255202043036526</v>
      </c>
      <c r="L9507" s="549">
        <f t="shared" si="1530"/>
        <v>-0.40020301992132978</v>
      </c>
      <c r="M9507" s="401">
        <f>SUM(C9507,C9483,C9459,C9435,C9411,C9387,C9363)/POBLA!$B$2*100000</f>
        <v>358.78641430125572</v>
      </c>
    </row>
    <row r="9508" spans="1:13" s="360" customFormat="1" ht="15.75" thickBot="1" x14ac:dyDescent="0.3">
      <c r="A9508" s="367" t="s">
        <v>28</v>
      </c>
      <c r="B9508" s="266">
        <v>44289</v>
      </c>
      <c r="C9508" s="17">
        <v>83</v>
      </c>
      <c r="D9508" s="39">
        <f t="shared" si="1520"/>
        <v>10707</v>
      </c>
      <c r="E9508" s="1"/>
      <c r="F9508" s="39">
        <f t="shared" si="1521"/>
        <v>18</v>
      </c>
      <c r="G9508" s="168">
        <f>SUM(C9508,C9484,C9460,C9436,C9412,C9388,C9364,C9340,C9316,C9292,C9268,C9244,C9220,C9196)/POBLA!$B$3*100000</f>
        <v>254.91168357251863</v>
      </c>
      <c r="H9508" s="256">
        <f t="shared" si="1526"/>
        <v>0.85265700483091789</v>
      </c>
      <c r="I9508" s="297">
        <f t="shared" si="1531"/>
        <v>217.35223261135042</v>
      </c>
      <c r="J9508" s="297">
        <f t="shared" si="1532"/>
        <v>80.142857142857139</v>
      </c>
      <c r="K9508" s="297">
        <f>J9508/POBLA!$B$3*100000</f>
        <v>19.291171520866445</v>
      </c>
      <c r="L9508" s="549">
        <f t="shared" si="1530"/>
        <v>-0.12650602409638556</v>
      </c>
      <c r="M9508" s="401">
        <f>SUM(C9508,C9484,C9460,C9436,C9412,C9388,C9364)/POBLA!$B$3*100000</f>
        <v>135.03820064606512</v>
      </c>
    </row>
    <row r="9509" spans="1:13" s="360" customFormat="1" ht="15.75" thickBot="1" x14ac:dyDescent="0.3">
      <c r="A9509" s="367" t="s">
        <v>15</v>
      </c>
      <c r="B9509" s="266">
        <v>44289</v>
      </c>
      <c r="C9509" s="17">
        <v>84</v>
      </c>
      <c r="D9509" s="39">
        <f t="shared" si="1520"/>
        <v>38945</v>
      </c>
      <c r="E9509" s="1">
        <v>3</v>
      </c>
      <c r="F9509" s="39">
        <f t="shared" si="1521"/>
        <v>930</v>
      </c>
      <c r="G9509" s="168">
        <f>SUM(C9509,C9485,C9461,C9437,C9413,C9389,C9365,C9341,C9317,C9293,C9269,C9245,C9221,C9197)/POBLA!$B$4*100000</f>
        <v>174.58932489637132</v>
      </c>
      <c r="H9509" s="256">
        <f t="shared" si="1526"/>
        <v>1.1288244766505635</v>
      </c>
      <c r="I9509" s="297">
        <f t="shared" si="1531"/>
        <v>197.08070330492157</v>
      </c>
      <c r="J9509" s="297">
        <f t="shared" si="1532"/>
        <v>151</v>
      </c>
      <c r="K9509" s="297">
        <f>J9509/POBLA!$B$4*100000</f>
        <v>12.535895415764179</v>
      </c>
      <c r="L9509" s="549">
        <f t="shared" si="1530"/>
        <v>-1.0516252390057268E-2</v>
      </c>
      <c r="M9509" s="401">
        <f>SUM(C9509,C9485,C9461,C9437,C9413,C9389,C9365)/POBLA!$B$4*100000</f>
        <v>87.751267910349256</v>
      </c>
    </row>
    <row r="9510" spans="1:13" s="360" customFormat="1" ht="15.75" thickBot="1" x14ac:dyDescent="0.3">
      <c r="A9510" s="367" t="s">
        <v>29</v>
      </c>
      <c r="B9510" s="266">
        <v>44289</v>
      </c>
      <c r="C9510" s="17">
        <v>41</v>
      </c>
      <c r="D9510" s="39">
        <f t="shared" si="1520"/>
        <v>50313</v>
      </c>
      <c r="E9510" s="1"/>
      <c r="F9510" s="39">
        <f t="shared" si="1521"/>
        <v>870</v>
      </c>
      <c r="G9510" s="168">
        <f>SUM(C9510,C9486,C9462,C9438,C9414,C9390,C9366,C9342,C9318,C9294,C9270,C9246,C9222,C9198)/POBLA!$B$5*100000</f>
        <v>255.73753542037562</v>
      </c>
      <c r="H9510" s="256">
        <f t="shared" si="1526"/>
        <v>1.2890879478827362</v>
      </c>
      <c r="I9510" s="297">
        <f t="shared" si="1531"/>
        <v>329.66817473164059</v>
      </c>
      <c r="J9510" s="297">
        <f t="shared" si="1532"/>
        <v>117.28571428571429</v>
      </c>
      <c r="K9510" s="297">
        <f>J9510/POBLA!$B$5*100000</f>
        <v>18.947795016706834</v>
      </c>
      <c r="L9510" s="549">
        <f t="shared" si="1530"/>
        <v>-7.7427821522309648E-2</v>
      </c>
      <c r="M9510" s="401">
        <f>SUM(C9510,C9486,C9462,C9438,C9414,C9390,C9366)/POBLA!$B$5*100000</f>
        <v>132.63456511694781</v>
      </c>
    </row>
    <row r="9511" spans="1:13" s="360" customFormat="1" ht="15.75" thickBot="1" x14ac:dyDescent="0.3">
      <c r="A9511" s="367" t="s">
        <v>30</v>
      </c>
      <c r="B9511" s="266">
        <v>44289</v>
      </c>
      <c r="C9511" s="17">
        <v>193</v>
      </c>
      <c r="D9511" s="39">
        <f t="shared" si="1520"/>
        <v>30865</v>
      </c>
      <c r="E9511" s="1"/>
      <c r="F9511" s="39">
        <f t="shared" si="1521"/>
        <v>328</v>
      </c>
      <c r="G9511" s="168">
        <f>SUM(C9511,C9487,C9463,C9439,C9415,C9391,C9367,C9343,C9319,C9295,C9271,C9247,C9223,C9199)/POBLA!$B$6*100000</f>
        <v>400.96323968304807</v>
      </c>
      <c r="H9511" s="256">
        <f t="shared" si="1526"/>
        <v>1.3495495495495495</v>
      </c>
      <c r="I9511" s="297">
        <f t="shared" si="1531"/>
        <v>541.11975950018564</v>
      </c>
      <c r="J9511" s="297">
        <f t="shared" si="1532"/>
        <v>422</v>
      </c>
      <c r="K9511" s="297">
        <f>J9511/POBLA!$B$6*100000</f>
        <v>37.651643779761081</v>
      </c>
      <c r="L9511" s="549">
        <f t="shared" si="1530"/>
        <v>-0.91818181818181821</v>
      </c>
      <c r="M9511" s="401">
        <f>SUM(C9511,C9487,C9463,C9439,C9415,C9391,C9367)/POBLA!$B$6*100000</f>
        <v>263.56150645832759</v>
      </c>
    </row>
    <row r="9512" spans="1:13" s="360" customFormat="1" ht="15.75" thickBot="1" x14ac:dyDescent="0.3">
      <c r="A9512" s="367" t="s">
        <v>20</v>
      </c>
      <c r="B9512" s="266">
        <v>44289</v>
      </c>
      <c r="C9512" s="17">
        <v>585</v>
      </c>
      <c r="D9512" s="39">
        <f t="shared" si="1520"/>
        <v>183109</v>
      </c>
      <c r="E9512" s="1">
        <v>3</v>
      </c>
      <c r="F9512" s="39">
        <f t="shared" si="1521"/>
        <v>3048</v>
      </c>
      <c r="G9512" s="168">
        <f>SUM(C9512,C9488,C9464,C9440,C9416,C9392,C9368,C9344,C9320,C9296,C9272,C9248,C9224,C9200)/POBLA!$B$7*100000</f>
        <v>300.8948397133322</v>
      </c>
      <c r="H9512" s="256">
        <f t="shared" si="1526"/>
        <v>1.3781973203410476</v>
      </c>
      <c r="I9512" s="297">
        <f t="shared" si="1531"/>
        <v>414.69246179736348</v>
      </c>
      <c r="J9512" s="297">
        <f t="shared" si="1532"/>
        <v>868.71428571428567</v>
      </c>
      <c r="K9512" s="297">
        <f>J9512/POBLA!$B$7*100000</f>
        <v>23.101338555605995</v>
      </c>
      <c r="L9512" s="549">
        <f t="shared" si="1530"/>
        <v>-0.16182651891478783</v>
      </c>
      <c r="M9512" s="401">
        <f>SUM(C9512,C9488,C9464,C9440,C9416,C9392,C9368)/POBLA!$B$7*100000</f>
        <v>161.709369889242</v>
      </c>
    </row>
    <row r="9513" spans="1:13" ht="15.75" thickBot="1" x14ac:dyDescent="0.3">
      <c r="A9513" s="367" t="s">
        <v>31</v>
      </c>
      <c r="B9513" s="266">
        <v>44289</v>
      </c>
      <c r="C9513" s="17">
        <v>109</v>
      </c>
      <c r="D9513" s="39">
        <f t="shared" si="1520"/>
        <v>50444</v>
      </c>
      <c r="E9513" s="1">
        <v>1</v>
      </c>
      <c r="F9513" s="39">
        <f t="shared" si="1521"/>
        <v>950</v>
      </c>
      <c r="G9513" s="168">
        <f>SUM(C9513,C9489,C9465,C9441,C9417,C9393,C9369,C9345,C9321,C9297,C9273,C9249,C9225,C9201)/POBLA!$B$8*100000</f>
        <v>176.48404248027182</v>
      </c>
      <c r="H9513" s="256">
        <f t="shared" si="1526"/>
        <v>1.1868025230470645</v>
      </c>
      <c r="I9513" s="297">
        <f t="shared" si="1531"/>
        <v>209.4517068931319</v>
      </c>
      <c r="J9513" s="297">
        <f t="shared" si="1532"/>
        <v>186.71428571428572</v>
      </c>
      <c r="K9513" s="297">
        <f>J9513/POBLA!$B$8*100000</f>
        <v>13.471828263153562</v>
      </c>
      <c r="L9513" s="549">
        <f t="shared" si="1530"/>
        <v>-0.14749780509218602</v>
      </c>
      <c r="M9513" s="401">
        <f>SUM(C9513,C9489,C9465,C9441,C9417,C9393,C9369)/POBLA!$B$8*100000</f>
        <v>94.302797842074924</v>
      </c>
    </row>
    <row r="9514" spans="1:13" s="360" customFormat="1" ht="15.75" thickBot="1" x14ac:dyDescent="0.3">
      <c r="A9514" s="367" t="s">
        <v>41</v>
      </c>
      <c r="B9514" s="266">
        <v>44289</v>
      </c>
      <c r="C9514" s="17">
        <v>4</v>
      </c>
      <c r="D9514" s="39">
        <f t="shared" si="1520"/>
        <v>2298</v>
      </c>
      <c r="E9514" s="1">
        <v>5</v>
      </c>
      <c r="F9514" s="39">
        <f t="shared" si="1521"/>
        <v>41</v>
      </c>
      <c r="G9514" s="168">
        <f>SUM(C9514,C9490,C9466,C9442,C9418,C9394,C9370,C9346,C9322,C9298,C9274,C9250,C9226,C9202)/POBLA!$B$9*100000</f>
        <v>100.629055524436</v>
      </c>
      <c r="H9514" s="256">
        <f t="shared" si="1526"/>
        <v>1.7449856733524356</v>
      </c>
      <c r="I9514" s="297">
        <f t="shared" si="1531"/>
        <v>175.59626021312758</v>
      </c>
      <c r="J9514" s="297">
        <f t="shared" si="1532"/>
        <v>50.142857142857146</v>
      </c>
      <c r="K9514" s="297">
        <f>J9514/POBLA!$B$9*100000</f>
        <v>8.2854324393800241</v>
      </c>
      <c r="L9514" s="549">
        <f t="shared" si="1530"/>
        <v>-0.36046511627906974</v>
      </c>
      <c r="M9514" s="401">
        <f>SUM(C9514,C9490,C9466,C9442,C9418,C9394,C9370)/POBLA!$B$9*100000</f>
        <v>57.998027075660161</v>
      </c>
    </row>
    <row r="9515" spans="1:13" s="360" customFormat="1" ht="15.75" thickBot="1" x14ac:dyDescent="0.3">
      <c r="A9515" s="367" t="s">
        <v>32</v>
      </c>
      <c r="B9515" s="266">
        <v>44289</v>
      </c>
      <c r="C9515" s="17">
        <v>27</v>
      </c>
      <c r="D9515" s="39">
        <f t="shared" si="1520"/>
        <v>22612</v>
      </c>
      <c r="E9515" s="1">
        <v>2</v>
      </c>
      <c r="F9515" s="39">
        <f t="shared" si="1521"/>
        <v>976</v>
      </c>
      <c r="G9515" s="168">
        <f>SUM(C9515,C9491,C9467,C9443,C9419,C9395,C9371,C9347,C9323,C9299,C9275,C9251,C9227,C9203)/POBLA!$B$10*100000</f>
        <v>82.892171424642711</v>
      </c>
      <c r="H9515" s="256">
        <f t="shared" si="1526"/>
        <v>0.83203125</v>
      </c>
      <c r="I9515" s="297">
        <f t="shared" si="1531"/>
        <v>68.968877005659749</v>
      </c>
      <c r="J9515" s="297">
        <f t="shared" si="1532"/>
        <v>51.857142857142854</v>
      </c>
      <c r="K9515" s="297">
        <f>J9515/POBLA!$B$10*100000</f>
        <v>6.7269971444545735</v>
      </c>
      <c r="L9515" s="549">
        <f t="shared" si="1530"/>
        <v>-0.31521739130434789</v>
      </c>
      <c r="M9515" s="401">
        <f>SUM(C9515,C9491,C9467,C9443,C9419,C9395,C9371)/POBLA!$B$10*100000</f>
        <v>47.088980011182009</v>
      </c>
    </row>
    <row r="9516" spans="1:13" s="360" customFormat="1" ht="15.75" thickBot="1" x14ac:dyDescent="0.3">
      <c r="A9516" s="367" t="s">
        <v>33</v>
      </c>
      <c r="B9516" s="266">
        <v>44289</v>
      </c>
      <c r="C9516" s="17">
        <v>64</v>
      </c>
      <c r="D9516" s="39">
        <f t="shared" si="1520"/>
        <v>21516</v>
      </c>
      <c r="E9516" s="1"/>
      <c r="F9516" s="39">
        <f t="shared" si="1521"/>
        <v>321</v>
      </c>
      <c r="G9516" s="168">
        <f>SUM(C9516,C9492,C9468,C9444,C9420,C9396,C9372,C9348,C9324,C9300,C9276,C9252,C9228,C9204)/POBLA!$B$11*100000</f>
        <v>299.36277299764527</v>
      </c>
      <c r="H9516" s="256">
        <f t="shared" si="1526"/>
        <v>0.86184738955823292</v>
      </c>
      <c r="I9516" s="297">
        <f t="shared" si="1531"/>
        <v>258.00502443893441</v>
      </c>
      <c r="J9516" s="297">
        <f t="shared" si="1532"/>
        <v>72.285714285714292</v>
      </c>
      <c r="K9516" s="297">
        <f>J9516/POBLA!$B$11*100000</f>
        <v>20.167429521609442</v>
      </c>
      <c r="L9516" s="549">
        <f t="shared" si="1530"/>
        <v>0.10758377425044097</v>
      </c>
      <c r="M9516" s="401">
        <f>SUM(C9516,C9492,C9468,C9444,C9420,C9396,C9372)/POBLA!$B$11*100000</f>
        <v>141.17200665126609</v>
      </c>
    </row>
    <row r="9517" spans="1:13" s="360" customFormat="1" ht="15.75" thickBot="1" x14ac:dyDescent="0.3">
      <c r="A9517" s="367" t="s">
        <v>21</v>
      </c>
      <c r="B9517" s="266">
        <v>44289</v>
      </c>
      <c r="C9517" s="17">
        <v>97</v>
      </c>
      <c r="D9517" s="39">
        <f t="shared" si="1520"/>
        <v>11301</v>
      </c>
      <c r="E9517" s="1"/>
      <c r="F9517" s="39">
        <f t="shared" si="1521"/>
        <v>449</v>
      </c>
      <c r="G9517" s="168">
        <f>SUM(C9517,C9493,C9469,C9445,C9421,C9397,C9373,C9349,C9325,C9301,C9277,C9253,C9229,C9205)/POBLA!$B$12*100000</f>
        <v>159.5808208247889</v>
      </c>
      <c r="H9517" s="256">
        <f t="shared" si="1526"/>
        <v>1.9503105590062111</v>
      </c>
      <c r="I9517" s="297">
        <f t="shared" si="1531"/>
        <v>311.23215986946406</v>
      </c>
      <c r="J9517" s="297">
        <f t="shared" si="1532"/>
        <v>63.714285714285715</v>
      </c>
      <c r="K9517" s="297">
        <f>J9517/POBLA!$B$12*100000</f>
        <v>16.190410848010885</v>
      </c>
      <c r="L9517" s="549">
        <f t="shared" si="1530"/>
        <v>-1.4505494505494507</v>
      </c>
      <c r="M9517" s="401">
        <f>SUM(C9517,C9493,C9469,C9445,C9421,C9397,C9373)/POBLA!$B$12*100000</f>
        <v>113.33287593607618</v>
      </c>
    </row>
    <row r="9518" spans="1:13" s="360" customFormat="1" ht="15.75" thickBot="1" x14ac:dyDescent="0.3">
      <c r="A9518" s="367" t="s">
        <v>17</v>
      </c>
      <c r="B9518" s="266">
        <v>44289</v>
      </c>
      <c r="C9518" s="17">
        <v>271</v>
      </c>
      <c r="D9518" s="39">
        <f t="shared" si="1520"/>
        <v>74001</v>
      </c>
      <c r="E9518" s="1"/>
      <c r="F9518" s="39">
        <f t="shared" si="1521"/>
        <v>1513</v>
      </c>
      <c r="G9518" s="168">
        <f>SUM(C9518,C9494,C9470,C9446,C9422,C9398,C9374,C9350,C9326,C9302,C9278,C9254,C9230,C9206)/POBLA!$B$13*100000</f>
        <v>182.02938395388119</v>
      </c>
      <c r="H9518" s="256">
        <f t="shared" si="1526"/>
        <v>1.6415949252378794</v>
      </c>
      <c r="I9518" s="297">
        <f t="shared" si="1531"/>
        <v>298.81851294286884</v>
      </c>
      <c r="J9518" s="297">
        <f t="shared" si="1532"/>
        <v>325</v>
      </c>
      <c r="K9518" s="297">
        <f>J9518/POBLA!$B$13*100000</f>
        <v>16.328884842674963</v>
      </c>
      <c r="L9518" s="549">
        <f t="shared" si="1530"/>
        <v>-0.68768545994065278</v>
      </c>
      <c r="M9518" s="401">
        <f>SUM(C9518,C9494,C9470,C9446,C9422,C9398,C9374)/POBLA!$B$13*100000</f>
        <v>114.30219389872475</v>
      </c>
    </row>
    <row r="9519" spans="1:13" s="360" customFormat="1" ht="15.75" thickBot="1" x14ac:dyDescent="0.3">
      <c r="A9519" s="367" t="s">
        <v>23</v>
      </c>
      <c r="B9519" s="266">
        <v>44289</v>
      </c>
      <c r="C9519" s="17">
        <v>63</v>
      </c>
      <c r="D9519" s="39">
        <f t="shared" si="1520"/>
        <v>12306</v>
      </c>
      <c r="E9519" s="1">
        <v>3</v>
      </c>
      <c r="F9519" s="39">
        <f t="shared" si="1521"/>
        <v>210</v>
      </c>
      <c r="G9519" s="168">
        <f>SUM(C9519,C9495,C9471,C9447,C9423,C9399,C9375,C9351,C9327,C9303,C9279,C9255,C9231,C9207)/POBLA!$B$14*100000</f>
        <v>129.39092709550667</v>
      </c>
      <c r="H9519" s="256">
        <f t="shared" si="1526"/>
        <v>0.98254063816977721</v>
      </c>
      <c r="I9519" s="297">
        <f t="shared" si="1531"/>
        <v>127.13184408179823</v>
      </c>
      <c r="J9519" s="297">
        <f t="shared" si="1532"/>
        <v>107.14285714285714</v>
      </c>
      <c r="K9519" s="297">
        <f>J9519/POBLA!$B$14*100000</f>
        <v>8.4946774616272762</v>
      </c>
      <c r="L9519" s="549">
        <f t="shared" si="1530"/>
        <v>0.14965986394557829</v>
      </c>
      <c r="M9519" s="401">
        <f>SUM(C9519,C9495,C9471,C9447,C9423,C9399,C9375)/POBLA!$B$14*100000</f>
        <v>59.462742231390934</v>
      </c>
    </row>
    <row r="9520" spans="1:13" s="360" customFormat="1" ht="15.75" thickBot="1" x14ac:dyDescent="0.3">
      <c r="A9520" s="367" t="s">
        <v>19</v>
      </c>
      <c r="B9520" s="266">
        <v>44289</v>
      </c>
      <c r="C9520" s="17">
        <v>63</v>
      </c>
      <c r="D9520" s="39">
        <f t="shared" si="1520"/>
        <v>65434</v>
      </c>
      <c r="E9520" s="1">
        <v>4</v>
      </c>
      <c r="F9520" s="39">
        <f t="shared" si="1521"/>
        <v>1013</v>
      </c>
      <c r="G9520" s="168">
        <f>SUM(C9520,C9496,C9472,C9448,C9424,C9400,C9376,C9352,C9328,C9304,C9280,C9256,C9232,C9208)/POBLA!$B$15*100000</f>
        <v>216.39708639469202</v>
      </c>
      <c r="H9520" s="256">
        <f t="shared" si="1526"/>
        <v>0.78310626702997277</v>
      </c>
      <c r="I9520" s="297">
        <f t="shared" si="1531"/>
        <v>169.46191452270978</v>
      </c>
      <c r="J9520" s="297">
        <f t="shared" si="1532"/>
        <v>90.714285714285708</v>
      </c>
      <c r="K9520" s="297">
        <f>J9520/POBLA!$B$15*100000</f>
        <v>13.660617343734906</v>
      </c>
      <c r="L9520" s="549">
        <f t="shared" si="1530"/>
        <v>0.20822942643391518</v>
      </c>
      <c r="M9520" s="401">
        <f>SUM(C9520,C9496,C9472,C9448,C9424,C9400,C9376)/POBLA!$B$15*100000</f>
        <v>95.624321406144361</v>
      </c>
    </row>
    <row r="9521" spans="1:13" s="360" customFormat="1" ht="15.75" thickBot="1" x14ac:dyDescent="0.3">
      <c r="A9521" s="367" t="s">
        <v>18</v>
      </c>
      <c r="B9521" s="266">
        <v>44289</v>
      </c>
      <c r="C9521" s="17">
        <v>111</v>
      </c>
      <c r="D9521" s="39">
        <f t="shared" si="1520"/>
        <v>55700</v>
      </c>
      <c r="E9521" s="1"/>
      <c r="F9521" s="39">
        <f t="shared" si="1521"/>
        <v>1284</v>
      </c>
      <c r="G9521" s="168">
        <f>SUM(C9521,C9497,C9473,C9449,C9425,C9401,C9377,C9353,C9329,C9305,C9281,C9257,C9233,C9209)/POBLA!$B$16*100000</f>
        <v>176.83016546060111</v>
      </c>
      <c r="H9521" s="256">
        <f t="shared" si="1526"/>
        <v>1.0360501567398119</v>
      </c>
      <c r="I9521" s="297">
        <f t="shared" si="1531"/>
        <v>183.20492064178265</v>
      </c>
      <c r="J9521" s="297">
        <f t="shared" si="1532"/>
        <v>102.14285714285714</v>
      </c>
      <c r="K9521" s="297">
        <f>J9521/POBLA!$B$16*100000</f>
        <v>13.662585725559735</v>
      </c>
      <c r="L9521" s="549">
        <f t="shared" si="1530"/>
        <v>-0.17792421746293252</v>
      </c>
      <c r="M9521" s="401">
        <f>SUM(C9521,C9497,C9473,C9449,C9425,C9401,C9377)/POBLA!$B$16*100000</f>
        <v>95.638100078918157</v>
      </c>
    </row>
    <row r="9522" spans="1:13" s="360" customFormat="1" ht="15.75" thickBot="1" x14ac:dyDescent="0.3">
      <c r="A9522" s="367" t="s">
        <v>34</v>
      </c>
      <c r="B9522" s="266">
        <v>44289</v>
      </c>
      <c r="C9522" s="17">
        <v>74</v>
      </c>
      <c r="D9522" s="39">
        <f t="shared" ref="D9522:D9585" si="1533">C9522+D9498</f>
        <v>29666</v>
      </c>
      <c r="E9522" s="1"/>
      <c r="F9522" s="39">
        <f t="shared" ref="F9522:F9585" si="1534">E9522+F9498</f>
        <v>1205</v>
      </c>
      <c r="G9522" s="168">
        <f>SUM(C9522,C9498,C9474,C9450,C9426,C9402,C9378,C9354,C9330,C9306,C9282,C9258,C9234,C9210)/POBLA!$B$17*100000</f>
        <v>98.427615334769726</v>
      </c>
      <c r="H9522" s="256">
        <f t="shared" ref="H9522:H9529" si="1535">SUM(C9522,C9498,C9474,C9450,C9426,C9402,C9378,C9354,C9330,C9306,C9282,C9258,C9234,C9210)/SUM(C9186,C9162,C9138,C9114,C9090,C9066,C9042,C9018,C8994,C8970,C8946,C8922,C8898,C8874)</f>
        <v>0.98732394366197185</v>
      </c>
      <c r="I9522" s="297">
        <f t="shared" si="1531"/>
        <v>97.179941337568422</v>
      </c>
      <c r="J9522" s="297">
        <f t="shared" si="1532"/>
        <v>106</v>
      </c>
      <c r="K9522" s="297">
        <f>J9522/POBLA!$B$17*100000</f>
        <v>7.441745524597426</v>
      </c>
      <c r="L9522" s="549">
        <f t="shared" si="1530"/>
        <v>-0.12424242424242427</v>
      </c>
      <c r="M9522" s="401">
        <f>SUM(C9522,C9498,C9474,C9450,C9426,C9402,C9378)/POBLA!$B$17*100000</f>
        <v>52.092218672181978</v>
      </c>
    </row>
    <row r="9523" spans="1:13" s="360" customFormat="1" ht="15.75" thickBot="1" x14ac:dyDescent="0.3">
      <c r="A9523" s="367" t="s">
        <v>35</v>
      </c>
      <c r="B9523" s="266">
        <v>44289</v>
      </c>
      <c r="C9523" s="17">
        <v>14</v>
      </c>
      <c r="D9523" s="39">
        <f t="shared" si="1533"/>
        <v>17450</v>
      </c>
      <c r="E9523" s="1"/>
      <c r="F9523" s="39">
        <f t="shared" si="1534"/>
        <v>224</v>
      </c>
      <c r="G9523" s="168">
        <f>SUM(C9523,C9499,C9475,C9451,C9427,C9403,C9379,C9355,C9331,C9307,C9283,C9259,C9235,C9211)/POBLA!$B$18*100000</f>
        <v>145.79815851421563</v>
      </c>
      <c r="H9523" s="256">
        <f t="shared" si="1535"/>
        <v>1.4472681067344346</v>
      </c>
      <c r="I9523" s="297">
        <f t="shared" si="1531"/>
        <v>211.00902483823583</v>
      </c>
      <c r="J9523" s="297">
        <f t="shared" si="1532"/>
        <v>92.285714285714292</v>
      </c>
      <c r="K9523" s="297">
        <f>J9523/POBLA!$B$18*100000</f>
        <v>11.813070412665661</v>
      </c>
      <c r="L9523" s="549">
        <f t="shared" si="1530"/>
        <v>-0.31034482758620685</v>
      </c>
      <c r="M9523" s="401">
        <f>SUM(C9523,C9499,C9475,C9451,C9427,C9403,C9379)/POBLA!$B$18*100000</f>
        <v>82.691492888659624</v>
      </c>
    </row>
    <row r="9524" spans="1:13" s="360" customFormat="1" ht="15.75" thickBot="1" x14ac:dyDescent="0.3">
      <c r="A9524" s="367" t="s">
        <v>36</v>
      </c>
      <c r="B9524" s="266">
        <v>44289</v>
      </c>
      <c r="C9524" s="17">
        <v>243</v>
      </c>
      <c r="D9524" s="39">
        <f t="shared" si="1533"/>
        <v>23433</v>
      </c>
      <c r="E9524" s="1"/>
      <c r="F9524" s="39">
        <f t="shared" si="1534"/>
        <v>430</v>
      </c>
      <c r="G9524" s="168">
        <f>SUM(C9524,C9500,C9476,C9452,C9428,C9404,C9380,C9356,C9332,C9308,C9284,C9260,C9236,C9212)/POBLA!$B$19*100000</f>
        <v>370.03666923718544</v>
      </c>
      <c r="H9524" s="256">
        <f t="shared" si="1535"/>
        <v>2.508</v>
      </c>
      <c r="I9524" s="297">
        <f t="shared" si="1531"/>
        <v>928.05196644686112</v>
      </c>
      <c r="J9524" s="297">
        <f t="shared" si="1532"/>
        <v>183.85714285714286</v>
      </c>
      <c r="K9524" s="297">
        <f>J9524/POBLA!$B$19*100000</f>
        <v>36.168997744988054</v>
      </c>
      <c r="L9524" s="549">
        <f t="shared" si="1530"/>
        <v>-1.1666666666666665</v>
      </c>
      <c r="M9524" s="401">
        <f>SUM(C9524,C9500,C9476,C9452,C9428,C9404,C9380)/POBLA!$B$19*100000</f>
        <v>253.18298421491636</v>
      </c>
    </row>
    <row r="9525" spans="1:13" s="360" customFormat="1" ht="15.75" thickBot="1" x14ac:dyDescent="0.3">
      <c r="A9525" s="367" t="s">
        <v>37</v>
      </c>
      <c r="B9525" s="266">
        <v>44289</v>
      </c>
      <c r="C9525" s="17">
        <v>70</v>
      </c>
      <c r="D9525" s="39">
        <f t="shared" si="1533"/>
        <v>39711</v>
      </c>
      <c r="E9525" s="1"/>
      <c r="F9525" s="39">
        <f t="shared" si="1534"/>
        <v>642</v>
      </c>
      <c r="G9525" s="168">
        <f>SUM(C9525,C9501,C9477,C9453,C9429,C9405,C9381,C9357,C9333,C9309,C9285,C9261,C9237,C9213)/POBLA!$B$20*100000</f>
        <v>428.49564394664452</v>
      </c>
      <c r="H9525" s="256">
        <f t="shared" si="1535"/>
        <v>1.0228459530026111</v>
      </c>
      <c r="I9525" s="297">
        <f t="shared" si="1531"/>
        <v>438.2850352900731</v>
      </c>
      <c r="J9525" s="297">
        <f t="shared" si="1532"/>
        <v>122.42857142857143</v>
      </c>
      <c r="K9525" s="297">
        <f>J9525/POBLA!$B$20*100000</f>
        <v>33.478053319561887</v>
      </c>
      <c r="L9525" s="549">
        <f t="shared" si="1530"/>
        <v>-0.20704225352112671</v>
      </c>
      <c r="M9525" s="401">
        <f>SUM(C9525,C9501,C9477,C9453,C9429,C9405,C9381)/POBLA!$B$20*100000</f>
        <v>234.3463732369332</v>
      </c>
    </row>
    <row r="9526" spans="1:13" s="360" customFormat="1" ht="15.75" thickBot="1" x14ac:dyDescent="0.3">
      <c r="A9526" s="367" t="s">
        <v>22</v>
      </c>
      <c r="B9526" s="266">
        <v>44289</v>
      </c>
      <c r="C9526" s="17">
        <v>495</v>
      </c>
      <c r="D9526" s="39">
        <f t="shared" si="1533"/>
        <v>233480</v>
      </c>
      <c r="E9526" s="1">
        <v>1</v>
      </c>
      <c r="F9526" s="39">
        <f t="shared" si="1534"/>
        <v>4274</v>
      </c>
      <c r="G9526" s="168">
        <f>SUM(C9526,C9502,C9478,C9454,C9430,C9406,C9382,C9358,C9334,C9310,C9286,C9262,C9238,C9214)/POBLA!$B$21*100000</f>
        <v>233.11723896892278</v>
      </c>
      <c r="H9526" s="256">
        <f t="shared" si="1535"/>
        <v>1.3292486294743631</v>
      </c>
      <c r="I9526" s="297">
        <f t="shared" si="1531"/>
        <v>309.87077040628816</v>
      </c>
      <c r="J9526" s="297">
        <f t="shared" si="1532"/>
        <v>651</v>
      </c>
      <c r="K9526" s="297">
        <f>J9526/POBLA!$B$21*100000</f>
        <v>18.408457371272288</v>
      </c>
      <c r="L9526" s="549">
        <f t="shared" si="1530"/>
        <v>-0.23596419853539463</v>
      </c>
      <c r="M9526" s="401">
        <f>SUM(C9526,C9502,C9478,C9454,C9430,C9406,C9382)/POBLA!$B$21*100000</f>
        <v>128.85920159890603</v>
      </c>
    </row>
    <row r="9527" spans="1:13" s="360" customFormat="1" ht="15.75" thickBot="1" x14ac:dyDescent="0.3">
      <c r="A9527" s="367" t="s">
        <v>38</v>
      </c>
      <c r="B9527" s="266">
        <v>44289</v>
      </c>
      <c r="C9527" s="17">
        <v>142</v>
      </c>
      <c r="D9527" s="39">
        <f t="shared" si="1533"/>
        <v>25547</v>
      </c>
      <c r="E9527" s="1"/>
      <c r="F9527" s="39">
        <f t="shared" si="1534"/>
        <v>297</v>
      </c>
      <c r="G9527" s="168">
        <f>SUM(C9527,C9503,C9479,C9455,C9431,C9407,C9383,C9359,C9335,C9311,C9287,C9263,C9239,C9215)/POBLA!$B$22*100000</f>
        <v>154.65398088341871</v>
      </c>
      <c r="H9527" s="256">
        <f t="shared" si="1535"/>
        <v>1.4804305283757337</v>
      </c>
      <c r="I9527" s="297">
        <f t="shared" si="1531"/>
        <v>228.95447463465018</v>
      </c>
      <c r="J9527" s="297">
        <f t="shared" si="1532"/>
        <v>120.71428571428571</v>
      </c>
      <c r="K9527" s="297">
        <f>J9527/POBLA!$B$22*100000</f>
        <v>12.339025006749958</v>
      </c>
      <c r="L9527" s="549">
        <f t="shared" si="1530"/>
        <v>-0.26497005988023958</v>
      </c>
      <c r="M9527" s="401">
        <f>SUM(C9527,C9503,C9479,C9455,C9431,C9407,C9383)/POBLA!$B$22*100000</f>
        <v>86.373175047249703</v>
      </c>
    </row>
    <row r="9528" spans="1:13" s="360" customFormat="1" ht="15.75" thickBot="1" x14ac:dyDescent="0.3">
      <c r="A9528" s="367" t="s">
        <v>39</v>
      </c>
      <c r="B9528" s="266">
        <v>44289</v>
      </c>
      <c r="C9528" s="17">
        <v>18</v>
      </c>
      <c r="D9528" s="39">
        <f t="shared" si="1533"/>
        <v>24231</v>
      </c>
      <c r="E9528" s="1"/>
      <c r="F9528" s="39">
        <f t="shared" si="1534"/>
        <v>367</v>
      </c>
      <c r="G9528" s="168">
        <f>SUM(C9528,C9504,C9480,C9456,C9432,C9408,C9384,C9360,C9336,C9312,C9288,C9264,C9240,C9216)/POBLA!$B$23*100000</f>
        <v>377.76395408018999</v>
      </c>
      <c r="H9528" s="256">
        <f t="shared" si="1535"/>
        <v>1.5754716981132075</v>
      </c>
      <c r="I9528" s="297">
        <f t="shared" si="1531"/>
        <v>595.15641822067664</v>
      </c>
      <c r="J9528" s="297">
        <f t="shared" si="1532"/>
        <v>53</v>
      </c>
      <c r="K9528" s="297">
        <f>J9528/POBLA!$B$23*100000</f>
        <v>29.972289769835434</v>
      </c>
      <c r="L9528" s="549">
        <f t="shared" si="1530"/>
        <v>-0.24915824915824913</v>
      </c>
      <c r="M9528" s="401">
        <f>SUM(C9528,C9504,C9480,C9456,C9432,C9408,C9384)/POBLA!$B$23*100000</f>
        <v>209.80602838884806</v>
      </c>
    </row>
    <row r="9529" spans="1:13" s="360" customFormat="1" ht="15.75" thickBot="1" x14ac:dyDescent="0.3">
      <c r="A9529" s="369" t="s">
        <v>40</v>
      </c>
      <c r="B9529" s="266">
        <v>44289</v>
      </c>
      <c r="C9529" s="17">
        <v>339</v>
      </c>
      <c r="D9529" s="176">
        <f t="shared" si="1533"/>
        <v>88996</v>
      </c>
      <c r="E9529" s="1"/>
      <c r="F9529" s="176">
        <f t="shared" si="1534"/>
        <v>1502</v>
      </c>
      <c r="G9529" s="177">
        <f>SUM(C9529,C9505,C9481,C9457,C9433,C9409,C9385,C9361,C9337,C9313,C9289,C9265,C9241,C9217)/POBLA!$B$24*100000</f>
        <v>301.1820688092451</v>
      </c>
      <c r="H9529" s="402">
        <f t="shared" si="1535"/>
        <v>1.6332800000000001</v>
      </c>
      <c r="I9529" s="403">
        <f t="shared" si="1531"/>
        <v>491.91464934476386</v>
      </c>
      <c r="J9529" s="403">
        <f t="shared" si="1532"/>
        <v>408.71428571428572</v>
      </c>
      <c r="K9529" s="403">
        <f>J9529/POBLA!$B$24*100000</f>
        <v>24.117831920713449</v>
      </c>
      <c r="L9529" s="550">
        <f t="shared" si="1530"/>
        <v>-0.27552385198395002</v>
      </c>
      <c r="M9529" s="405">
        <f>SUM(C9529,C9505,C9481,C9457,C9433,C9409,C9385)/POBLA!$B$24*100000</f>
        <v>168.82482344499414</v>
      </c>
    </row>
    <row r="9530" spans="1:13" s="360" customFormat="1" ht="15.75" thickBot="1" x14ac:dyDescent="0.3">
      <c r="A9530" s="363" t="s">
        <v>16</v>
      </c>
      <c r="B9530" s="266">
        <v>44290</v>
      </c>
      <c r="C9530" s="17">
        <v>5274</v>
      </c>
      <c r="D9530" s="174">
        <f t="shared" si="1533"/>
        <v>1010250</v>
      </c>
      <c r="E9530" s="1">
        <v>76</v>
      </c>
      <c r="F9530" s="174">
        <f t="shared" si="1534"/>
        <v>28423</v>
      </c>
      <c r="G9530" s="175">
        <f>SUM(C9530,C9506,C9482,C9458,C9434,C9410,C9386,C9362,C9338,C9314,C9290,C9266,C9242,C9218)/POBLA!$B$1*100000</f>
        <v>404.86533914755034</v>
      </c>
      <c r="H9530" s="300">
        <f t="shared" ref="H9530:H9553" si="1536">SUM(C9530,C9506,C9482,C9458,C9434,C9410,C9386,C9362,C9338,C9314,C9290,C9266,C9242,C9218)/SUM(C9194,C9170,C9146,C9122,C9098,C9074,C9050,C9026,C9002,C8978,C8954,C8930,C8906,C8882)</f>
        <v>1.7208141507148049</v>
      </c>
      <c r="I9530" s="301">
        <f>G9530*H9530</f>
        <v>696.69800473905332</v>
      </c>
      <c r="J9530" s="301">
        <f>AVERAGE(C9530,C9506,C9482,C9458,C9434,C9410,C9386)</f>
        <v>6020.2857142857147</v>
      </c>
      <c r="K9530" s="301">
        <f>J9530/POBLA!$B$1*100000</f>
        <v>34.320947048346028</v>
      </c>
      <c r="L9530" s="548">
        <f t="shared" ref="L9530:L9553" si="1537">1-SUM(C9530,C9506,C9482,C9458,C9434,C9410,C9386)/SUM(C9362,C9338,C9314,C9290,C9266,C9242,C9218)</f>
        <v>-0.45941266103338418</v>
      </c>
      <c r="M9530" s="400">
        <f>SUM(C9530,C9506,C9482,C9458,C9434,C9410,C9386)/POBLA!$B$1*100000</f>
        <v>240.24662933842217</v>
      </c>
    </row>
    <row r="9531" spans="1:13" s="360" customFormat="1" ht="15.75" thickBot="1" x14ac:dyDescent="0.3">
      <c r="A9531" s="367" t="s">
        <v>43</v>
      </c>
      <c r="B9531" s="266">
        <v>44290</v>
      </c>
      <c r="C9531" s="17">
        <v>1944</v>
      </c>
      <c r="D9531" s="39">
        <f t="shared" si="1533"/>
        <v>268440</v>
      </c>
      <c r="E9531" s="1">
        <v>9</v>
      </c>
      <c r="F9531" s="39">
        <f t="shared" si="1534"/>
        <v>6905</v>
      </c>
      <c r="G9531" s="168">
        <f>SUM(C9531,C9507,C9483,C9459,C9435,C9411,C9387,C9363,C9339,C9315,C9291,C9267,C9243,C9219)/POBLA!$B$2*100000</f>
        <v>657.97559276977904</v>
      </c>
      <c r="H9531" s="256">
        <f t="shared" si="1536"/>
        <v>1.7212724334439058</v>
      </c>
      <c r="I9531" s="297">
        <f t="shared" ref="I9531:I9553" si="1538">G9531*H9531</f>
        <v>1132.5552497135341</v>
      </c>
      <c r="J9531" s="297">
        <f t="shared" ref="J9531:J9553" si="1539">AVERAGE(C9531,C9507,C9483,C9459,C9435,C9411,C9387)</f>
        <v>1705</v>
      </c>
      <c r="K9531" s="297">
        <f>J9531/POBLA!$B$2*100000</f>
        <v>55.435508507806162</v>
      </c>
      <c r="L9531" s="549">
        <f t="shared" si="1537"/>
        <v>-0.43760539629005057</v>
      </c>
      <c r="M9531" s="401">
        <f>SUM(C9531,C9507,C9483,C9459,C9435,C9411,C9387)/POBLA!$B$2*100000</f>
        <v>388.04855955464313</v>
      </c>
    </row>
    <row r="9532" spans="1:13" s="360" customFormat="1" ht="15.75" thickBot="1" x14ac:dyDescent="0.3">
      <c r="A9532" s="367" t="s">
        <v>28</v>
      </c>
      <c r="B9532" s="266">
        <v>44290</v>
      </c>
      <c r="C9532" s="17">
        <v>52</v>
      </c>
      <c r="D9532" s="39">
        <f t="shared" si="1533"/>
        <v>10759</v>
      </c>
      <c r="E9532" s="1"/>
      <c r="F9532" s="39">
        <f t="shared" si="1534"/>
        <v>18</v>
      </c>
      <c r="G9532" s="168">
        <f>SUM(C9532,C9508,C9484,C9460,C9436,C9412,C9388,C9364,C9340,C9316,C9292,C9268,C9244,C9220)/POBLA!$B$3*100000</f>
        <v>254.91168357251863</v>
      </c>
      <c r="H9532" s="256">
        <f t="shared" si="1536"/>
        <v>0.84855769230769229</v>
      </c>
      <c r="I9532" s="297">
        <f t="shared" si="1538"/>
        <v>216.30726995456507</v>
      </c>
      <c r="J9532" s="297">
        <f t="shared" si="1539"/>
        <v>76.142857142857139</v>
      </c>
      <c r="K9532" s="297">
        <f>J9532/POBLA!$B$3*100000</f>
        <v>18.328332300573646</v>
      </c>
      <c r="L9532" s="549">
        <f t="shared" si="1537"/>
        <v>-1.3307984790874583E-2</v>
      </c>
      <c r="M9532" s="401">
        <f>SUM(C9532,C9508,C9484,C9460,C9436,C9412,C9388)/POBLA!$B$3*100000</f>
        <v>128.2983261040155</v>
      </c>
    </row>
    <row r="9533" spans="1:13" s="360" customFormat="1" ht="15.75" thickBot="1" x14ac:dyDescent="0.3">
      <c r="A9533" s="367" t="s">
        <v>15</v>
      </c>
      <c r="B9533" s="266">
        <v>44290</v>
      </c>
      <c r="C9533" s="17">
        <v>75</v>
      </c>
      <c r="D9533" s="39">
        <f t="shared" si="1533"/>
        <v>39020</v>
      </c>
      <c r="E9533" s="1">
        <v>1</v>
      </c>
      <c r="F9533" s="39">
        <f t="shared" si="1534"/>
        <v>931</v>
      </c>
      <c r="G9533" s="168">
        <f>SUM(C9533,C9509,C9485,C9461,C9437,C9413,C9389,C9365,C9341,C9317,C9293,C9269,C9245,C9221)/POBLA!$B$4*100000</f>
        <v>170.8534620241237</v>
      </c>
      <c r="H9533" s="256">
        <f t="shared" si="1536"/>
        <v>1.0837282780410742</v>
      </c>
      <c r="I9533" s="297">
        <f t="shared" si="1538"/>
        <v>185.15872819675965</v>
      </c>
      <c r="J9533" s="297">
        <f t="shared" si="1539"/>
        <v>148.14285714285714</v>
      </c>
      <c r="K9533" s="297">
        <f>J9533/POBLA!$B$4*100000</f>
        <v>12.298697773081791</v>
      </c>
      <c r="L9533" s="549">
        <f t="shared" si="1537"/>
        <v>-1.5670910871694366E-2</v>
      </c>
      <c r="M9533" s="401">
        <f>SUM(C9533,C9509,C9485,C9461,C9437,C9413,C9389)/POBLA!$B$4*100000</f>
        <v>86.090884411572546</v>
      </c>
    </row>
    <row r="9534" spans="1:13" s="360" customFormat="1" ht="15.75" thickBot="1" x14ac:dyDescent="0.3">
      <c r="A9534" s="367" t="s">
        <v>29</v>
      </c>
      <c r="B9534" s="266">
        <v>44290</v>
      </c>
      <c r="C9534" s="17">
        <v>22</v>
      </c>
      <c r="D9534" s="39">
        <f t="shared" si="1533"/>
        <v>50335</v>
      </c>
      <c r="E9534" s="1"/>
      <c r="F9534" s="39">
        <f t="shared" si="1534"/>
        <v>870</v>
      </c>
      <c r="G9534" s="168">
        <f>SUM(C9534,C9510,C9486,C9462,C9438,C9414,C9390,C9366,C9342,C9318,C9294,C9270,C9246,C9222)/POBLA!$B$5*100000</f>
        <v>256.54529769270783</v>
      </c>
      <c r="H9534" s="256">
        <f t="shared" si="1536"/>
        <v>1.3200332502078138</v>
      </c>
      <c r="I9534" s="297">
        <f t="shared" si="1538"/>
        <v>338.6483231388363</v>
      </c>
      <c r="J9534" s="297">
        <f t="shared" si="1539"/>
        <v>110.42857142857143</v>
      </c>
      <c r="K9534" s="297">
        <f>J9534/POBLA!$B$5*100000</f>
        <v>17.84000675750838</v>
      </c>
      <c r="L9534" s="549">
        <f t="shared" si="1537"/>
        <v>5.1533742331288379E-2</v>
      </c>
      <c r="M9534" s="401">
        <f>SUM(C9534,C9510,C9486,C9462,C9438,C9414,C9390)/POBLA!$B$5*100000</f>
        <v>124.88004730255865</v>
      </c>
    </row>
    <row r="9535" spans="1:13" s="360" customFormat="1" ht="15.75" thickBot="1" x14ac:dyDescent="0.3">
      <c r="A9535" s="367" t="s">
        <v>30</v>
      </c>
      <c r="B9535" s="266">
        <v>44290</v>
      </c>
      <c r="C9535" s="17">
        <v>7</v>
      </c>
      <c r="D9535" s="39">
        <f t="shared" si="1533"/>
        <v>30872</v>
      </c>
      <c r="E9535" s="1"/>
      <c r="F9535" s="39">
        <f t="shared" si="1534"/>
        <v>328</v>
      </c>
      <c r="G9535" s="168">
        <f>SUM(C9535,C9511,C9487,C9463,C9439,C9415,C9391,C9367,C9343,C9319,C9295,C9271,C9247,C9223)/POBLA!$B$6*100000</f>
        <v>393.02249016551553</v>
      </c>
      <c r="H9535" s="256">
        <f t="shared" si="1536"/>
        <v>1.3401277760876178</v>
      </c>
      <c r="I9535" s="297">
        <f t="shared" si="1538"/>
        <v>526.70035569792992</v>
      </c>
      <c r="J9535" s="297">
        <f t="shared" si="1539"/>
        <v>355</v>
      </c>
      <c r="K9535" s="297">
        <f>J9535/POBLA!$B$6*100000</f>
        <v>31.673776165438824</v>
      </c>
      <c r="L9535" s="549">
        <f t="shared" si="1537"/>
        <v>-0.29427083333333326</v>
      </c>
      <c r="M9535" s="401">
        <f>SUM(C9535,C9511,C9487,C9463,C9439,C9415,C9391)/POBLA!$B$6*100000</f>
        <v>221.71643315807174</v>
      </c>
    </row>
    <row r="9536" spans="1:13" s="360" customFormat="1" ht="15.75" thickBot="1" x14ac:dyDescent="0.3">
      <c r="A9536" s="367" t="s">
        <v>20</v>
      </c>
      <c r="B9536" s="266">
        <v>44290</v>
      </c>
      <c r="C9536" s="17">
        <v>755</v>
      </c>
      <c r="D9536" s="39">
        <f t="shared" si="1533"/>
        <v>183864</v>
      </c>
      <c r="E9536" s="1">
        <v>5</v>
      </c>
      <c r="F9536" s="39">
        <f t="shared" si="1534"/>
        <v>3053</v>
      </c>
      <c r="G9536" s="168">
        <f>SUM(C9536,C9512,C9488,C9464,C9440,C9416,C9392,C9368,C9344,C9320,C9296,C9272,C9248,C9224)/POBLA!$B$7*100000</f>
        <v>310.20223643446928</v>
      </c>
      <c r="H9536" s="256">
        <f t="shared" si="1536"/>
        <v>1.3955018542887905</v>
      </c>
      <c r="I9536" s="297">
        <f t="shared" si="1538"/>
        <v>432.88779614883168</v>
      </c>
      <c r="J9536" s="297">
        <f t="shared" si="1539"/>
        <v>913.28571428571433</v>
      </c>
      <c r="K9536" s="297">
        <f>J9536/POBLA!$B$7*100000</f>
        <v>24.286607036012029</v>
      </c>
      <c r="L9536" s="549">
        <f t="shared" si="1537"/>
        <v>-0.21263277693474958</v>
      </c>
      <c r="M9536" s="401">
        <f>SUM(C9536,C9512,C9488,C9464,C9440,C9416,C9392)/POBLA!$B$7*100000</f>
        <v>170.00624925208419</v>
      </c>
    </row>
    <row r="9537" spans="1:13" ht="15.75" thickBot="1" x14ac:dyDescent="0.3">
      <c r="A9537" s="367" t="s">
        <v>31</v>
      </c>
      <c r="B9537" s="266">
        <v>44290</v>
      </c>
      <c r="C9537" s="17">
        <v>156</v>
      </c>
      <c r="D9537" s="39">
        <f t="shared" si="1533"/>
        <v>50600</v>
      </c>
      <c r="F9537" s="39">
        <f t="shared" si="1534"/>
        <v>950</v>
      </c>
      <c r="G9537" s="168">
        <f>SUM(C9537,C9513,C9489,C9465,C9441,C9417,C9393,C9369,C9345,C9321,C9297,C9273,C9249,C9225)/POBLA!$B$8*100000</f>
        <v>178.57645344998886</v>
      </c>
      <c r="H9537" s="256">
        <f t="shared" si="1536"/>
        <v>1.1608818011257036</v>
      </c>
      <c r="I9537" s="297">
        <f t="shared" si="1538"/>
        <v>207.30615491966344</v>
      </c>
      <c r="J9537" s="297">
        <f t="shared" si="1539"/>
        <v>197.14285714285714</v>
      </c>
      <c r="K9537" s="297">
        <f>J9537/POBLA!$B$8*100000</f>
        <v>14.224271616795647</v>
      </c>
      <c r="L9537" s="549">
        <f t="shared" si="1537"/>
        <v>-0.26027397260273966</v>
      </c>
      <c r="M9537" s="401">
        <f>SUM(C9537,C9513,C9489,C9465,C9441,C9417,C9393)/POBLA!$B$8*100000</f>
        <v>99.569901317569546</v>
      </c>
    </row>
    <row r="9538" spans="1:13" s="360" customFormat="1" ht="15.75" thickBot="1" x14ac:dyDescent="0.3">
      <c r="A9538" s="367" t="s">
        <v>41</v>
      </c>
      <c r="B9538" s="266">
        <v>44290</v>
      </c>
      <c r="C9538" s="17">
        <v>21</v>
      </c>
      <c r="D9538" s="39">
        <f t="shared" si="1533"/>
        <v>2319</v>
      </c>
      <c r="E9538" s="1"/>
      <c r="F9538" s="39">
        <f t="shared" si="1534"/>
        <v>41</v>
      </c>
      <c r="G9538" s="168">
        <f>SUM(C9538,C9514,C9490,C9466,C9442,C9418,C9394,C9370,C9346,C9322,C9298,C9274,C9250,C9226)/POBLA!$B$9*100000</f>
        <v>103.1076036900625</v>
      </c>
      <c r="H9538" s="256">
        <f t="shared" si="1536"/>
        <v>1.9082568807339451</v>
      </c>
      <c r="I9538" s="297">
        <f t="shared" si="1538"/>
        <v>196.75579419755047</v>
      </c>
      <c r="J9538" s="297">
        <f t="shared" si="1539"/>
        <v>48.571428571428569</v>
      </c>
      <c r="K9538" s="297">
        <f>J9538/POBLA!$B$9*100000</f>
        <v>8.0257750125048659</v>
      </c>
      <c r="L9538" s="549">
        <f t="shared" si="1537"/>
        <v>-0.19718309859154926</v>
      </c>
      <c r="M9538" s="401">
        <f>SUM(C9538,C9514,C9490,C9466,C9442,C9418,C9394)/POBLA!$B$9*100000</f>
        <v>56.180425087534061</v>
      </c>
    </row>
    <row r="9539" spans="1:13" s="360" customFormat="1" ht="15.75" thickBot="1" x14ac:dyDescent="0.3">
      <c r="A9539" s="367" t="s">
        <v>32</v>
      </c>
      <c r="B9539" s="266">
        <v>44290</v>
      </c>
      <c r="C9539" s="17">
        <v>35</v>
      </c>
      <c r="D9539" s="39">
        <f t="shared" si="1533"/>
        <v>22647</v>
      </c>
      <c r="E9539" s="1"/>
      <c r="F9539" s="39">
        <f t="shared" si="1534"/>
        <v>976</v>
      </c>
      <c r="G9539" s="168">
        <f>SUM(C9539,C9515,C9491,C9467,C9443,C9419,C9395,C9371,C9347,C9323,C9299,C9275,C9251,C9227)/POBLA!$B$10*100000</f>
        <v>80.816624096326152</v>
      </c>
      <c r="H9539" s="256">
        <f t="shared" si="1536"/>
        <v>0.8165137614678899</v>
      </c>
      <c r="I9539" s="297">
        <f t="shared" si="1538"/>
        <v>65.98788573002777</v>
      </c>
      <c r="J9539" s="297">
        <f t="shared" si="1539"/>
        <v>50.142857142857146</v>
      </c>
      <c r="K9539" s="297">
        <f>J9539/POBLA!$B$10*100000</f>
        <v>6.5046170735635132</v>
      </c>
      <c r="L9539" s="549">
        <f t="shared" si="1537"/>
        <v>-0.29044117647058831</v>
      </c>
      <c r="M9539" s="401">
        <f>SUM(C9539,C9515,C9491,C9467,C9443,C9419,C9395)/POBLA!$B$10*100000</f>
        <v>45.532319514944589</v>
      </c>
    </row>
    <row r="9540" spans="1:13" s="360" customFormat="1" ht="15.75" thickBot="1" x14ac:dyDescent="0.3">
      <c r="A9540" s="367" t="s">
        <v>33</v>
      </c>
      <c r="B9540" s="266">
        <v>44290</v>
      </c>
      <c r="C9540" s="17">
        <v>86</v>
      </c>
      <c r="D9540" s="39">
        <f t="shared" si="1533"/>
        <v>21602</v>
      </c>
      <c r="E9540" s="1"/>
      <c r="F9540" s="39">
        <f t="shared" si="1534"/>
        <v>321</v>
      </c>
      <c r="G9540" s="168">
        <f>SUM(C9540,C9516,C9492,C9468,C9444,C9420,C9396,C9372,C9348,C9324,C9300,C9276,C9252,C9228)/POBLA!$B$11*100000</f>
        <v>310.52261542067026</v>
      </c>
      <c r="H9540" s="256">
        <f t="shared" si="1536"/>
        <v>0.89182692307692313</v>
      </c>
      <c r="I9540" s="297">
        <f t="shared" si="1538"/>
        <v>276.93242865641508</v>
      </c>
      <c r="J9540" s="297">
        <f t="shared" si="1539"/>
        <v>78</v>
      </c>
      <c r="K9540" s="297">
        <f>J9540/POBLA!$B$11*100000</f>
        <v>21.761692724898722</v>
      </c>
      <c r="L9540" s="549">
        <f t="shared" si="1537"/>
        <v>3.703703703703709E-2</v>
      </c>
      <c r="M9540" s="401">
        <f>SUM(C9540,C9516,C9492,C9468,C9444,C9420,C9396)/POBLA!$B$11*100000</f>
        <v>152.33184907429109</v>
      </c>
    </row>
    <row r="9541" spans="1:13" s="360" customFormat="1" ht="15.75" thickBot="1" x14ac:dyDescent="0.3">
      <c r="A9541" s="367" t="s">
        <v>21</v>
      </c>
      <c r="B9541" s="266">
        <v>44290</v>
      </c>
      <c r="C9541" s="17">
        <v>60</v>
      </c>
      <c r="D9541" s="39">
        <f t="shared" si="1533"/>
        <v>11361</v>
      </c>
      <c r="E9541" s="1"/>
      <c r="F9541" s="39">
        <f t="shared" si="1534"/>
        <v>449</v>
      </c>
      <c r="G9541" s="168">
        <f>SUM(C9541,C9517,C9493,C9469,C9445,C9421,C9397,C9373,C9349,C9325,C9301,C9277,C9253,C9229)/POBLA!$B$12*100000</f>
        <v>169.49109472951307</v>
      </c>
      <c r="H9541" s="256">
        <f t="shared" si="1536"/>
        <v>2.0151057401812689</v>
      </c>
      <c r="I9541" s="297">
        <f t="shared" si="1538"/>
        <v>341.542477899049</v>
      </c>
      <c r="J9541" s="297">
        <f t="shared" si="1539"/>
        <v>65.571428571428569</v>
      </c>
      <c r="K9541" s="297">
        <f>J9541/POBLA!$B$12*100000</f>
        <v>16.662328652997747</v>
      </c>
      <c r="L9541" s="549">
        <f t="shared" si="1537"/>
        <v>-1.2067307692307692</v>
      </c>
      <c r="M9541" s="401">
        <f>SUM(C9541,C9517,C9493,C9469,C9445,C9421,C9397)/POBLA!$B$12*100000</f>
        <v>116.63630057098425</v>
      </c>
    </row>
    <row r="9542" spans="1:13" s="360" customFormat="1" ht="15.75" thickBot="1" x14ac:dyDescent="0.3">
      <c r="A9542" s="367" t="s">
        <v>17</v>
      </c>
      <c r="B9542" s="266">
        <v>44290</v>
      </c>
      <c r="C9542" s="17">
        <v>356</v>
      </c>
      <c r="D9542" s="39">
        <f t="shared" si="1533"/>
        <v>74357</v>
      </c>
      <c r="E9542" s="1"/>
      <c r="F9542" s="39">
        <f t="shared" si="1534"/>
        <v>1513</v>
      </c>
      <c r="G9542" s="168">
        <f>SUM(C9542,C9518,C9494,C9470,C9446,C9422,C9398,C9374,C9350,C9326,C9302,C9278,C9254,C9230)/POBLA!$B$13*100000</f>
        <v>196.24807444765662</v>
      </c>
      <c r="H9542" s="256">
        <f t="shared" si="1536"/>
        <v>1.7562949640287771</v>
      </c>
      <c r="I9542" s="297">
        <f t="shared" si="1538"/>
        <v>344.66950485276385</v>
      </c>
      <c r="J9542" s="297">
        <f t="shared" si="1539"/>
        <v>359.28571428571428</v>
      </c>
      <c r="K9542" s="297">
        <f>J9542/POBLA!$B$13*100000</f>
        <v>18.051492474429683</v>
      </c>
      <c r="L9542" s="549">
        <f t="shared" si="1537"/>
        <v>-0.80805176132278933</v>
      </c>
      <c r="M9542" s="401">
        <f>SUM(C9542,C9518,C9494,C9470,C9446,C9422,C9398)/POBLA!$B$13*100000</f>
        <v>126.36044732100778</v>
      </c>
    </row>
    <row r="9543" spans="1:13" s="360" customFormat="1" ht="15.75" thickBot="1" x14ac:dyDescent="0.3">
      <c r="A9543" s="367" t="s">
        <v>23</v>
      </c>
      <c r="B9543" s="266">
        <v>44290</v>
      </c>
      <c r="C9543" s="17">
        <v>3</v>
      </c>
      <c r="D9543" s="39">
        <f t="shared" si="1533"/>
        <v>12309</v>
      </c>
      <c r="E9543" s="1"/>
      <c r="F9543" s="39">
        <f t="shared" si="1534"/>
        <v>210</v>
      </c>
      <c r="G9543" s="168">
        <f>SUM(C9543,C9519,C9495,C9471,C9447,C9423,C9399,C9375,C9351,C9327,C9303,C9279,C9255,C9231)/POBLA!$B$14*100000</f>
        <v>120.03545565110117</v>
      </c>
      <c r="H9543" s="256">
        <f t="shared" si="1536"/>
        <v>0.90496114763897195</v>
      </c>
      <c r="I9543" s="297">
        <f t="shared" si="1538"/>
        <v>108.62742370338744</v>
      </c>
      <c r="J9543" s="297">
        <f t="shared" si="1539"/>
        <v>87.285714285714292</v>
      </c>
      <c r="K9543" s="297">
        <f>J9543/POBLA!$B$14*100000</f>
        <v>6.9203305720723556</v>
      </c>
      <c r="L9543" s="549">
        <f t="shared" si="1537"/>
        <v>0.32336655592469543</v>
      </c>
      <c r="M9543" s="401">
        <f>SUM(C9543,C9519,C9495,C9471,C9447,C9423,C9399)/POBLA!$B$14*100000</f>
        <v>48.442314004506486</v>
      </c>
    </row>
    <row r="9544" spans="1:13" s="360" customFormat="1" ht="15.75" thickBot="1" x14ac:dyDescent="0.3">
      <c r="A9544" s="367" t="s">
        <v>19</v>
      </c>
      <c r="B9544" s="266">
        <v>44290</v>
      </c>
      <c r="C9544" s="17">
        <v>64</v>
      </c>
      <c r="D9544" s="39">
        <f t="shared" si="1533"/>
        <v>65498</v>
      </c>
      <c r="E9544" s="1"/>
      <c r="F9544" s="39">
        <f t="shared" si="1534"/>
        <v>1013</v>
      </c>
      <c r="G9544" s="168">
        <f>SUM(C9544,C9520,C9496,C9472,C9448,C9424,C9400,C9376,C9352,C9328,C9304,C9280,C9256,C9232)/POBLA!$B$15*100000</f>
        <v>216.99944432480947</v>
      </c>
      <c r="H9544" s="256">
        <f t="shared" si="1536"/>
        <v>0.81782065834279227</v>
      </c>
      <c r="I9544" s="297">
        <f t="shared" si="1538"/>
        <v>177.46662841773579</v>
      </c>
      <c r="J9544" s="297">
        <f t="shared" si="1539"/>
        <v>89.571428571428569</v>
      </c>
      <c r="K9544" s="297">
        <f>J9544/POBLA!$B$15*100000</f>
        <v>13.488515077987067</v>
      </c>
      <c r="L9544" s="549">
        <f t="shared" si="1537"/>
        <v>0.22972972972972971</v>
      </c>
      <c r="M9544" s="401">
        <f>SUM(C9544,C9520,C9496,C9472,C9448,C9424,C9400)/POBLA!$B$15*100000</f>
        <v>94.419605545909462</v>
      </c>
    </row>
    <row r="9545" spans="1:13" s="360" customFormat="1" ht="15.75" thickBot="1" x14ac:dyDescent="0.3">
      <c r="A9545" s="367" t="s">
        <v>18</v>
      </c>
      <c r="B9545" s="266">
        <v>44290</v>
      </c>
      <c r="C9545" s="17">
        <v>31</v>
      </c>
      <c r="D9545" s="39">
        <f t="shared" si="1533"/>
        <v>55731</v>
      </c>
      <c r="E9545" s="1"/>
      <c r="F9545" s="39">
        <f t="shared" si="1534"/>
        <v>1284</v>
      </c>
      <c r="G9545" s="168">
        <f>SUM(C9545,C9521,C9497,C9473,C9449,C9425,C9401,C9377,C9353,C9329,C9305,C9281,C9257,C9233)/POBLA!$B$16*100000</f>
        <v>177.90024210484074</v>
      </c>
      <c r="H9545" s="256">
        <f t="shared" si="1536"/>
        <v>1.0350194552529184</v>
      </c>
      <c r="I9545" s="297">
        <f t="shared" si="1538"/>
        <v>184.13021167271455</v>
      </c>
      <c r="J9545" s="297">
        <f t="shared" si="1539"/>
        <v>100.14285714285714</v>
      </c>
      <c r="K9545" s="297">
        <f>J9545/POBLA!$B$16*100000</f>
        <v>13.395066564499825</v>
      </c>
      <c r="L9545" s="549">
        <f t="shared" si="1537"/>
        <v>-0.11446740858505566</v>
      </c>
      <c r="M9545" s="401">
        <f>SUM(C9545,C9521,C9497,C9473,C9449,C9425,C9401)/POBLA!$B$16*100000</f>
        <v>93.765465951498783</v>
      </c>
    </row>
    <row r="9546" spans="1:13" s="360" customFormat="1" ht="15.75" thickBot="1" x14ac:dyDescent="0.3">
      <c r="A9546" s="367" t="s">
        <v>34</v>
      </c>
      <c r="B9546" s="266">
        <v>44290</v>
      </c>
      <c r="C9546" s="17">
        <v>76</v>
      </c>
      <c r="D9546" s="39">
        <f t="shared" si="1533"/>
        <v>29742</v>
      </c>
      <c r="E9546" s="1">
        <v>1</v>
      </c>
      <c r="F9546" s="39">
        <f t="shared" si="1534"/>
        <v>1206</v>
      </c>
      <c r="G9546" s="168">
        <f>SUM(C9546,C9522,C9498,C9474,C9450,C9426,C9402,C9378,C9354,C9330,C9306,C9282,C9258,C9234)/POBLA!$B$17*100000</f>
        <v>100.81459031435757</v>
      </c>
      <c r="H9546" s="256">
        <f t="shared" si="1536"/>
        <v>0.99377162629757787</v>
      </c>
      <c r="I9546" s="297">
        <f t="shared" si="1538"/>
        <v>100.18667937122316</v>
      </c>
      <c r="J9546" s="297">
        <f t="shared" si="1539"/>
        <v>109.14285714285714</v>
      </c>
      <c r="K9546" s="297">
        <f>J9546/POBLA!$B$17*100000</f>
        <v>7.6623902706097482</v>
      </c>
      <c r="L9546" s="549">
        <f t="shared" si="1537"/>
        <v>-0.13690476190476186</v>
      </c>
      <c r="M9546" s="401">
        <f>SUM(C9546,C9522,C9498,C9474,C9450,C9426,C9402)/POBLA!$B$17*100000</f>
        <v>53.636731894268245</v>
      </c>
    </row>
    <row r="9547" spans="1:13" s="360" customFormat="1" ht="15.75" thickBot="1" x14ac:dyDescent="0.3">
      <c r="A9547" s="367" t="s">
        <v>35</v>
      </c>
      <c r="B9547" s="266">
        <v>44290</v>
      </c>
      <c r="C9547" s="17">
        <v>27</v>
      </c>
      <c r="D9547" s="39">
        <f t="shared" si="1533"/>
        <v>17477</v>
      </c>
      <c r="E9547" s="1"/>
      <c r="F9547" s="39">
        <f t="shared" si="1534"/>
        <v>224</v>
      </c>
      <c r="G9547" s="168">
        <f>SUM(C9547,C9523,C9499,C9475,C9451,C9427,C9403,C9379,C9355,C9331,C9307,C9283,C9259,C9235)/POBLA!$B$18*100000</f>
        <v>148.7422828740286</v>
      </c>
      <c r="H9547" s="256">
        <f t="shared" si="1536"/>
        <v>1.4878361075544173</v>
      </c>
      <c r="I9547" s="297">
        <f t="shared" si="1538"/>
        <v>221.30413918005277</v>
      </c>
      <c r="J9547" s="297">
        <f t="shared" si="1539"/>
        <v>93</v>
      </c>
      <c r="K9547" s="297">
        <f>J9547/POBLA!$B$18*100000</f>
        <v>11.904502846200224</v>
      </c>
      <c r="L9547" s="549">
        <f t="shared" si="1537"/>
        <v>-0.27397260273972601</v>
      </c>
      <c r="M9547" s="401">
        <f>SUM(C9547,C9523,C9499,C9475,C9451,C9427,C9403)/POBLA!$B$18*100000</f>
        <v>83.331519923401558</v>
      </c>
    </row>
    <row r="9548" spans="1:13" s="360" customFormat="1" ht="15.75" thickBot="1" x14ac:dyDescent="0.3">
      <c r="A9548" s="367" t="s">
        <v>36</v>
      </c>
      <c r="B9548" s="266">
        <v>44290</v>
      </c>
      <c r="C9548" s="17">
        <v>185</v>
      </c>
      <c r="D9548" s="39">
        <f t="shared" si="1533"/>
        <v>23618</v>
      </c>
      <c r="E9548" s="1"/>
      <c r="F9548" s="39">
        <f t="shared" si="1534"/>
        <v>430</v>
      </c>
      <c r="G9548" s="168">
        <f>SUM(C9548,C9524,C9500,C9476,C9452,C9428,C9404,C9380,C9356,C9332,C9308,C9284,C9260,C9236)/POBLA!$B$19*100000</f>
        <v>406.43049369698304</v>
      </c>
      <c r="H9548" s="256">
        <f t="shared" si="1536"/>
        <v>2.7546666666666666</v>
      </c>
      <c r="I9548" s="297">
        <f t="shared" si="1538"/>
        <v>1119.5805333039559</v>
      </c>
      <c r="J9548" s="297">
        <f t="shared" si="1539"/>
        <v>181.28571428571428</v>
      </c>
      <c r="K9548" s="297">
        <f>J9548/POBLA!$B$19*100000</f>
        <v>35.663137636666534</v>
      </c>
      <c r="L9548" s="549">
        <f t="shared" si="1537"/>
        <v>-0.59222082810539534</v>
      </c>
      <c r="M9548" s="401">
        <f>SUM(C9548,C9524,C9500,C9476,C9452,C9428,C9404)/POBLA!$B$19*100000</f>
        <v>249.64196345666576</v>
      </c>
    </row>
    <row r="9549" spans="1:13" s="360" customFormat="1" ht="15.75" thickBot="1" x14ac:dyDescent="0.3">
      <c r="A9549" s="367" t="s">
        <v>37</v>
      </c>
      <c r="B9549" s="266">
        <v>44290</v>
      </c>
      <c r="C9549" s="17">
        <v>77</v>
      </c>
      <c r="D9549" s="39">
        <f t="shared" si="1533"/>
        <v>39788</v>
      </c>
      <c r="E9549" s="1">
        <v>1</v>
      </c>
      <c r="F9549" s="39">
        <f t="shared" si="1534"/>
        <v>643</v>
      </c>
      <c r="G9549" s="168">
        <f>SUM(C9549,C9525,C9501,C9477,C9453,C9429,C9405,C9381,C9357,C9333,C9309,C9285,C9261,C9237)/POBLA!$B$20*100000</f>
        <v>436.9725839353784</v>
      </c>
      <c r="H9549" s="256">
        <f t="shared" si="1536"/>
        <v>1.0464963981663393</v>
      </c>
      <c r="I9549" s="297">
        <f t="shared" si="1538"/>
        <v>457.29023518581187</v>
      </c>
      <c r="J9549" s="297">
        <f t="shared" si="1539"/>
        <v>119.14285714285714</v>
      </c>
      <c r="K9549" s="297">
        <f>J9549/POBLA!$B$20*100000</f>
        <v>32.579575809235251</v>
      </c>
      <c r="L9549" s="549">
        <f t="shared" si="1537"/>
        <v>-9.1623036649214562E-2</v>
      </c>
      <c r="M9549" s="401">
        <f>SUM(C9549,C9525,C9501,C9477,C9453,C9429,C9405)/POBLA!$B$20*100000</f>
        <v>228.05703066464679</v>
      </c>
    </row>
    <row r="9550" spans="1:13" s="360" customFormat="1" ht="15.75" thickBot="1" x14ac:dyDescent="0.3">
      <c r="A9550" s="367" t="s">
        <v>22</v>
      </c>
      <c r="B9550" s="266">
        <v>44290</v>
      </c>
      <c r="C9550" s="17">
        <v>318</v>
      </c>
      <c r="D9550" s="39">
        <f t="shared" si="1533"/>
        <v>233798</v>
      </c>
      <c r="E9550" s="1"/>
      <c r="F9550" s="39">
        <f t="shared" si="1534"/>
        <v>4274</v>
      </c>
      <c r="G9550" s="168">
        <f>SUM(C9550,C9526,C9502,C9478,C9454,C9430,C9406,C9382,C9358,C9334,C9310,C9286,C9262,C9238)/POBLA!$B$21*100000</f>
        <v>235.23802898865461</v>
      </c>
      <c r="H9550" s="256">
        <f t="shared" si="1536"/>
        <v>1.3383204633204633</v>
      </c>
      <c r="I9550" s="297">
        <f t="shared" si="1538"/>
        <v>314.82386794668878</v>
      </c>
      <c r="J9550" s="297">
        <f t="shared" si="1539"/>
        <v>663</v>
      </c>
      <c r="K9550" s="297">
        <f>J9550/POBLA!$B$21*100000</f>
        <v>18.747783774429379</v>
      </c>
      <c r="L9550" s="549">
        <f t="shared" si="1537"/>
        <v>-0.26182707993474708</v>
      </c>
      <c r="M9550" s="401">
        <f>SUM(C9550,C9526,C9502,C9478,C9454,C9430,C9406)/POBLA!$B$21*100000</f>
        <v>131.23448642100567</v>
      </c>
    </row>
    <row r="9551" spans="1:13" s="360" customFormat="1" ht="15.75" thickBot="1" x14ac:dyDescent="0.3">
      <c r="A9551" s="367" t="s">
        <v>38</v>
      </c>
      <c r="B9551" s="266">
        <v>44290</v>
      </c>
      <c r="C9551" s="17">
        <v>89</v>
      </c>
      <c r="D9551" s="39">
        <f t="shared" si="1533"/>
        <v>25636</v>
      </c>
      <c r="E9551" s="1"/>
      <c r="F9551" s="39">
        <f t="shared" si="1534"/>
        <v>297</v>
      </c>
      <c r="G9551" s="168">
        <f>SUM(C9551,C9527,C9503,C9479,C9455,C9431,C9407,C9383,C9359,C9335,C9311,C9287,C9263,C9239)/POBLA!$B$22*100000</f>
        <v>156.59609961229177</v>
      </c>
      <c r="H9551" s="256">
        <f t="shared" si="1536"/>
        <v>1.4384976525821596</v>
      </c>
      <c r="I9551" s="297">
        <f t="shared" si="1538"/>
        <v>225.26312169580373</v>
      </c>
      <c r="J9551" s="297">
        <f t="shared" si="1539"/>
        <v>114</v>
      </c>
      <c r="K9551" s="297">
        <f>J9551/POBLA!$B$22*100000</f>
        <v>11.652712373238423</v>
      </c>
      <c r="L9551" s="549">
        <f t="shared" si="1537"/>
        <v>-8.719346049046317E-2</v>
      </c>
      <c r="M9551" s="401">
        <f>SUM(C9551,C9527,C9503,C9479,C9455,C9431,C9407)/POBLA!$B$22*100000</f>
        <v>81.568986612668951</v>
      </c>
    </row>
    <row r="9552" spans="1:13" s="360" customFormat="1" ht="15.75" thickBot="1" x14ac:dyDescent="0.3">
      <c r="A9552" s="367" t="s">
        <v>39</v>
      </c>
      <c r="B9552" s="266">
        <v>44290</v>
      </c>
      <c r="C9552" s="17">
        <v>74</v>
      </c>
      <c r="D9552" s="39">
        <f t="shared" si="1533"/>
        <v>24305</v>
      </c>
      <c r="E9552" s="1"/>
      <c r="F9552" s="39">
        <f t="shared" si="1534"/>
        <v>367</v>
      </c>
      <c r="G9552" s="168">
        <f>SUM(C9552,C9528,C9504,C9480,C9456,C9432,C9408,C9384,C9360,C9336,C9312,C9288,C9264,C9240)/POBLA!$B$23*100000</f>
        <v>406.60521404739012</v>
      </c>
      <c r="H9552" s="256">
        <f t="shared" si="1536"/>
        <v>1.7536585365853659</v>
      </c>
      <c r="I9552" s="297">
        <f t="shared" si="1538"/>
        <v>713.04670463432558</v>
      </c>
      <c r="J9552" s="297">
        <f t="shared" si="1539"/>
        <v>53.428571428571431</v>
      </c>
      <c r="K9552" s="297">
        <f>J9552/POBLA!$B$23*100000</f>
        <v>30.214653298971573</v>
      </c>
      <c r="L9552" s="549">
        <f t="shared" si="1537"/>
        <v>-8.405797101449286E-2</v>
      </c>
      <c r="M9552" s="401">
        <f>SUM(C9552,C9528,C9504,C9480,C9456,C9432,C9408)/POBLA!$B$23*100000</f>
        <v>211.50257309280099</v>
      </c>
    </row>
    <row r="9553" spans="1:13" s="360" customFormat="1" ht="15.75" thickBot="1" x14ac:dyDescent="0.3">
      <c r="A9553" s="368" t="s">
        <v>40</v>
      </c>
      <c r="B9553" s="34">
        <v>44290</v>
      </c>
      <c r="C9553" s="17">
        <v>168</v>
      </c>
      <c r="D9553" s="67">
        <f t="shared" si="1533"/>
        <v>89164</v>
      </c>
      <c r="E9553" s="232"/>
      <c r="F9553" s="67">
        <f t="shared" si="1534"/>
        <v>1502</v>
      </c>
      <c r="G9553" s="177">
        <f>SUM(C9553,C9529,C9505,C9481,C9457,C9433,C9409,C9385,C9361,C9337,C9313,C9289,C9265,C9241)/POBLA!$B$24*100000</f>
        <v>304.84062842252348</v>
      </c>
      <c r="H9553" s="402">
        <f t="shared" si="1536"/>
        <v>1.6281121966593131</v>
      </c>
      <c r="I9553" s="403">
        <f t="shared" si="1538"/>
        <v>496.31474517200013</v>
      </c>
      <c r="J9553" s="403">
        <f t="shared" si="1539"/>
        <v>390.85714285714283</v>
      </c>
      <c r="K9553" s="403">
        <f>J9553/POBLA!$B$24*100000</f>
        <v>23.064099313202377</v>
      </c>
      <c r="L9553" s="550">
        <f t="shared" si="1537"/>
        <v>-0.125925925925926</v>
      </c>
      <c r="M9553" s="405">
        <f>SUM(C9553,C9529,C9505,C9481,C9457,C9433,C9409)/POBLA!$B$24*100000</f>
        <v>161.44869519241664</v>
      </c>
    </row>
    <row r="9554" spans="1:13" s="360" customFormat="1" x14ac:dyDescent="0.25">
      <c r="A9554" s="361" t="s">
        <v>16</v>
      </c>
      <c r="B9554" s="2">
        <v>44291</v>
      </c>
      <c r="C9554" s="1">
        <v>6243</v>
      </c>
      <c r="D9554" s="39">
        <f t="shared" si="1533"/>
        <v>1016493</v>
      </c>
      <c r="E9554" s="1">
        <v>163</v>
      </c>
      <c r="F9554" s="39">
        <f t="shared" si="1534"/>
        <v>28586</v>
      </c>
      <c r="G9554" s="175">
        <f>SUM(C9554,C9530,C9506,C9482,C9458,C9434,C9410,C9386,C9362,C9338,C9314,C9290,C9266,C9242)/POBLA!$B$1*100000</f>
        <v>425.4797336159603</v>
      </c>
      <c r="H9554" s="300">
        <f t="shared" ref="H9554:H9577" si="1540">SUM(C9554,C9530,C9506,C9482,C9458,C9434,C9410,C9386,C9362,C9338,C9314,C9290,C9266,C9242)/SUM(C9218,C9194,C9170,C9146,C9122,C9098,C9074,C9050,C9026,C9002,C8978,C8954,C8930,C8906)</f>
        <v>1.7809860163222451</v>
      </c>
      <c r="I9554" s="301">
        <f>G9554*H9554</f>
        <v>757.7734557985392</v>
      </c>
      <c r="J9554" s="301">
        <f>AVERAGE(C9554,C9530,C9506,C9482,C9458,C9434,C9410)</f>
        <v>5989.8571428571431</v>
      </c>
      <c r="K9554" s="301">
        <f>J9554/POBLA!$B$1*100000</f>
        <v>34.147477309812075</v>
      </c>
      <c r="L9554" s="548">
        <f t="shared" ref="L9554:L9577" si="1541">1-SUM(C9554,C9530,C9506,C9482,C9458,C9434,C9410)/SUM(C9386,C9362,C9338,C9314,C9290,C9266,C9242)</f>
        <v>-0.2820363858737196</v>
      </c>
      <c r="M9554" s="400">
        <f>SUM(C9554,C9530,C9506,C9482,C9458,C9434,C9410)/POBLA!$B$1*100000</f>
        <v>239.03234116868455</v>
      </c>
    </row>
    <row r="9555" spans="1:13" s="360" customFormat="1" x14ac:dyDescent="0.25">
      <c r="A9555" s="361" t="s">
        <v>43</v>
      </c>
      <c r="B9555" s="2">
        <v>44291</v>
      </c>
      <c r="C9555" s="1">
        <v>2428</v>
      </c>
      <c r="D9555" s="39">
        <f t="shared" si="1533"/>
        <v>270868</v>
      </c>
      <c r="E9555" s="1">
        <v>41</v>
      </c>
      <c r="F9555" s="39">
        <f t="shared" si="1534"/>
        <v>6946</v>
      </c>
      <c r="G9555" s="168">
        <f>SUM(C9555,C9531,C9507,C9483,C9459,C9435,C9411,C9387,C9363,C9339,C9315,C9291,C9267,C9243)/POBLA!$B$2*100000</f>
        <v>707.81878018471571</v>
      </c>
      <c r="H9555" s="256">
        <f t="shared" si="1540"/>
        <v>1.8203863199264152</v>
      </c>
      <c r="I9555" s="297">
        <f t="shared" ref="I9555:I9577" si="1542">G9555*H9555</f>
        <v>1288.5036244352589</v>
      </c>
      <c r="J9555" s="297">
        <f t="shared" ref="J9555:J9577" si="1543">AVERAGE(C9555,C9531,C9507,C9483,C9459,C9435,C9411)</f>
        <v>1750.5714285714287</v>
      </c>
      <c r="K9555" s="297">
        <f>J9555/POBLA!$B$2*100000</f>
        <v>56.917194910318962</v>
      </c>
      <c r="L9555" s="549">
        <f t="shared" si="1541"/>
        <v>-0.28772593526691881</v>
      </c>
      <c r="M9555" s="401">
        <f>SUM(C9555,C9531,C9507,C9483,C9459,C9435,C9411)/POBLA!$B$2*100000</f>
        <v>398.42036437223265</v>
      </c>
    </row>
    <row r="9556" spans="1:13" s="360" customFormat="1" x14ac:dyDescent="0.25">
      <c r="A9556" s="361" t="s">
        <v>28</v>
      </c>
      <c r="B9556" s="2">
        <v>44291</v>
      </c>
      <c r="C9556" s="1">
        <v>110</v>
      </c>
      <c r="D9556" s="39">
        <f t="shared" si="1533"/>
        <v>10869</v>
      </c>
      <c r="E9556" s="1"/>
      <c r="F9556" s="39">
        <f t="shared" si="1534"/>
        <v>18</v>
      </c>
      <c r="G9556" s="168">
        <f>SUM(C9556,C9532,C9508,C9484,C9460,C9436,C9412,C9388,C9364,C9340,C9316,C9292,C9268,C9244)/POBLA!$B$3*100000</f>
        <v>266.70646402110543</v>
      </c>
      <c r="H9556" s="256">
        <f t="shared" si="1540"/>
        <v>0.89789303079416527</v>
      </c>
      <c r="I9556" s="297">
        <f t="shared" si="1542"/>
        <v>239.47387531230535</v>
      </c>
      <c r="J9556" s="297">
        <f t="shared" si="1543"/>
        <v>79.857142857142861</v>
      </c>
      <c r="K9556" s="297">
        <f>J9556/POBLA!$B$3*100000</f>
        <v>19.222397290845532</v>
      </c>
      <c r="L9556" s="549">
        <f t="shared" si="1541"/>
        <v>-1.8214936247723079E-2</v>
      </c>
      <c r="M9556" s="401">
        <f>SUM(C9556,C9532,C9508,C9484,C9460,C9436,C9412)/POBLA!$B$3*100000</f>
        <v>134.5567810359187</v>
      </c>
    </row>
    <row r="9557" spans="1:13" s="360" customFormat="1" x14ac:dyDescent="0.25">
      <c r="A9557" s="361" t="s">
        <v>15</v>
      </c>
      <c r="B9557" s="2">
        <v>44291</v>
      </c>
      <c r="C9557" s="1">
        <v>90</v>
      </c>
      <c r="D9557" s="39">
        <f t="shared" si="1533"/>
        <v>39110</v>
      </c>
      <c r="E9557" s="1">
        <v>12</v>
      </c>
      <c r="F9557" s="39">
        <f t="shared" si="1534"/>
        <v>943</v>
      </c>
      <c r="G9557" s="168">
        <f>SUM(C9557,C9533,C9509,C9485,C9461,C9437,C9413,C9389,C9365,C9341,C9317,C9293,C9269,C9245)/POBLA!$B$4*100000</f>
        <v>170.18930862461303</v>
      </c>
      <c r="H9557" s="256">
        <f t="shared" si="1540"/>
        <v>1.0915867944621938</v>
      </c>
      <c r="I9557" s="297">
        <f t="shared" si="1542"/>
        <v>185.77640185327832</v>
      </c>
      <c r="J9557" s="297">
        <f t="shared" si="1543"/>
        <v>127</v>
      </c>
      <c r="K9557" s="297">
        <f>J9557/POBLA!$B$4*100000</f>
        <v>10.543435217232124</v>
      </c>
      <c r="L9557" s="549">
        <f t="shared" si="1541"/>
        <v>0.23428079242032729</v>
      </c>
      <c r="M9557" s="401">
        <f>SUM(C9557,C9533,C9509,C9485,C9461,C9437,C9413)/POBLA!$B$4*100000</f>
        <v>73.804046520624865</v>
      </c>
    </row>
    <row r="9558" spans="1:13" s="360" customFormat="1" x14ac:dyDescent="0.25">
      <c r="A9558" s="361" t="s">
        <v>29</v>
      </c>
      <c r="B9558" s="2">
        <v>44291</v>
      </c>
      <c r="C9558" s="1">
        <v>154</v>
      </c>
      <c r="D9558" s="39">
        <f t="shared" si="1533"/>
        <v>50489</v>
      </c>
      <c r="E9558" s="1"/>
      <c r="F9558" s="39">
        <f t="shared" si="1534"/>
        <v>870</v>
      </c>
      <c r="G9558" s="168">
        <f>SUM(C9558,C9534,C9510,C9486,C9462,C9438,C9414,C9390,C9366,C9342,C9318,C9294,C9270,C9246)/POBLA!$B$5*100000</f>
        <v>262.84584341689907</v>
      </c>
      <c r="H9558" s="256">
        <f t="shared" si="1540"/>
        <v>1.3026421136909527</v>
      </c>
      <c r="I9558" s="297">
        <f t="shared" si="1542"/>
        <v>342.39406504347062</v>
      </c>
      <c r="J9558" s="297">
        <f t="shared" si="1543"/>
        <v>103.28571428571429</v>
      </c>
      <c r="K9558" s="297">
        <f>J9558/POBLA!$B$5*100000</f>
        <v>16.686060654176664</v>
      </c>
      <c r="L9558" s="549">
        <f t="shared" si="1541"/>
        <v>0.2002212389380531</v>
      </c>
      <c r="M9558" s="401">
        <f>SUM(C9558,C9534,C9510,C9486,C9462,C9438,C9414)/POBLA!$B$5*100000</f>
        <v>116.80242457923664</v>
      </c>
    </row>
    <row r="9559" spans="1:13" s="360" customFormat="1" x14ac:dyDescent="0.25">
      <c r="A9559" s="361" t="s">
        <v>30</v>
      </c>
      <c r="B9559" s="2">
        <v>44291</v>
      </c>
      <c r="C9559" s="1">
        <v>60</v>
      </c>
      <c r="D9559" s="39">
        <f t="shared" si="1533"/>
        <v>30932</v>
      </c>
      <c r="E9559" s="1">
        <v>3</v>
      </c>
      <c r="F9559" s="39">
        <f t="shared" si="1534"/>
        <v>331</v>
      </c>
      <c r="G9559" s="168">
        <f>SUM(C9559,C9535,C9511,C9487,C9463,C9439,C9415,C9391,C9367,C9343,C9319,C9295,C9271,C9247)/POBLA!$B$6*100000</f>
        <v>382.40508350724167</v>
      </c>
      <c r="H9559" s="256">
        <f t="shared" si="1540"/>
        <v>1.3115055079559363</v>
      </c>
      <c r="I9559" s="297">
        <f t="shared" si="1542"/>
        <v>501.52637329009724</v>
      </c>
      <c r="J9559" s="297">
        <f t="shared" si="1543"/>
        <v>293.28571428571428</v>
      </c>
      <c r="K9559" s="297">
        <f>J9559/POBLA!$B$6*100000</f>
        <v>26.167510047342418</v>
      </c>
      <c r="L9559" s="549">
        <f t="shared" si="1541"/>
        <v>8.0609046126287498E-2</v>
      </c>
      <c r="M9559" s="401">
        <f>SUM(C9559,C9535,C9511,C9487,C9463,C9439,C9415)/POBLA!$B$6*100000</f>
        <v>183.17257033139691</v>
      </c>
    </row>
    <row r="9560" spans="1:13" s="360" customFormat="1" x14ac:dyDescent="0.25">
      <c r="A9560" s="361" t="s">
        <v>20</v>
      </c>
      <c r="B9560" s="2">
        <v>44291</v>
      </c>
      <c r="C9560" s="1">
        <v>1048</v>
      </c>
      <c r="D9560" s="39">
        <f t="shared" si="1533"/>
        <v>184912</v>
      </c>
      <c r="E9560" s="1">
        <v>7</v>
      </c>
      <c r="F9560" s="39">
        <f t="shared" si="1534"/>
        <v>3060</v>
      </c>
      <c r="G9560" s="168">
        <f>SUM(C9560,C9536,C9512,C9488,C9464,C9440,C9416,C9392,C9368,C9344,C9320,C9296,C9272,C9248)/POBLA!$B$7*100000</f>
        <v>321.79659349280007</v>
      </c>
      <c r="H9560" s="256">
        <f t="shared" si="1540"/>
        <v>1.427173015685812</v>
      </c>
      <c r="I9560" s="297">
        <f t="shared" si="1542"/>
        <v>459.25941477254082</v>
      </c>
      <c r="J9560" s="297">
        <f t="shared" si="1543"/>
        <v>909.28571428571433</v>
      </c>
      <c r="K9560" s="297">
        <f>J9560/POBLA!$B$7*100000</f>
        <v>24.180236787770461</v>
      </c>
      <c r="L9560" s="549">
        <f t="shared" si="1541"/>
        <v>-0.10965829846582986</v>
      </c>
      <c r="M9560" s="401">
        <f>SUM(C9560,C9536,C9512,C9488,C9464,C9440,C9416)/POBLA!$B$7*100000</f>
        <v>169.26165751439322</v>
      </c>
    </row>
    <row r="9561" spans="1:13" x14ac:dyDescent="0.25">
      <c r="A9561" s="361" t="s">
        <v>31</v>
      </c>
      <c r="B9561" s="2">
        <v>44291</v>
      </c>
      <c r="C9561" s="1">
        <v>107</v>
      </c>
      <c r="D9561" s="39">
        <f t="shared" si="1533"/>
        <v>50707</v>
      </c>
      <c r="F9561" s="39">
        <f t="shared" si="1534"/>
        <v>950</v>
      </c>
      <c r="G9561" s="168">
        <f>SUM(C9561,C9537,C9513,C9489,C9465,C9441,C9417,C9393,C9369,C9345,C9321,C9297,C9273,C9249)/POBLA!$B$8*100000</f>
        <v>173.8144146913225</v>
      </c>
      <c r="H9561" s="256">
        <f t="shared" si="1540"/>
        <v>1.085135135135135</v>
      </c>
      <c r="I9561" s="297">
        <f t="shared" si="1542"/>
        <v>188.61212837450265</v>
      </c>
      <c r="J9561" s="297">
        <f t="shared" si="1543"/>
        <v>181.71428571428572</v>
      </c>
      <c r="K9561" s="297">
        <f>J9561/POBLA!$B$8*100000</f>
        <v>13.11106775113338</v>
      </c>
      <c r="L9561" s="549">
        <f t="shared" si="1541"/>
        <v>-0.1187335092348285</v>
      </c>
      <c r="M9561" s="401">
        <f>SUM(C9561,C9537,C9513,C9489,C9465,C9441,C9417)/POBLA!$B$8*100000</f>
        <v>91.777474257933662</v>
      </c>
    </row>
    <row r="9562" spans="1:13" s="360" customFormat="1" x14ac:dyDescent="0.25">
      <c r="A9562" s="361" t="s">
        <v>41</v>
      </c>
      <c r="B9562" s="2">
        <v>44291</v>
      </c>
      <c r="C9562" s="1">
        <v>30</v>
      </c>
      <c r="D9562" s="39">
        <f t="shared" si="1533"/>
        <v>2349</v>
      </c>
      <c r="E9562" s="1"/>
      <c r="F9562" s="39">
        <f t="shared" si="1534"/>
        <v>41</v>
      </c>
      <c r="G9562" s="168">
        <f>SUM(C9562,C9538,C9514,C9490,C9466,C9442,C9418,C9394,C9370,C9346,C9322,C9298,C9274,C9250)/POBLA!$B$9*100000</f>
        <v>104.42949604506332</v>
      </c>
      <c r="H9562" s="256">
        <f t="shared" si="1540"/>
        <v>1.9446153846153846</v>
      </c>
      <c r="I9562" s="297">
        <f t="shared" si="1542"/>
        <v>203.07520461686158</v>
      </c>
      <c r="J9562" s="297">
        <f t="shared" si="1543"/>
        <v>42.142857142857146</v>
      </c>
      <c r="K9562" s="297">
        <f>J9562/POBLA!$B$9*100000</f>
        <v>6.9635400843792219</v>
      </c>
      <c r="L9562" s="549">
        <f t="shared" si="1541"/>
        <v>0.12462908011869434</v>
      </c>
      <c r="M9562" s="401">
        <f>SUM(C9562,C9538,C9514,C9490,C9466,C9442,C9418)/POBLA!$B$9*100000</f>
        <v>48.74478059065455</v>
      </c>
    </row>
    <row r="9563" spans="1:13" s="360" customFormat="1" x14ac:dyDescent="0.25">
      <c r="A9563" s="361" t="s">
        <v>32</v>
      </c>
      <c r="B9563" s="2">
        <v>44291</v>
      </c>
      <c r="C9563" s="1">
        <v>46</v>
      </c>
      <c r="D9563" s="39">
        <f t="shared" si="1533"/>
        <v>22693</v>
      </c>
      <c r="E9563" s="1">
        <v>1</v>
      </c>
      <c r="F9563" s="39">
        <f t="shared" si="1534"/>
        <v>977</v>
      </c>
      <c r="G9563" s="168">
        <f>SUM(C9563,C9539,C9515,C9491,C9467,C9443,C9419,C9395,C9371,C9347,C9323,C9299,C9275,C9251)/POBLA!$B$10*100000</f>
        <v>84.578553628899925</v>
      </c>
      <c r="H9563" s="256">
        <f t="shared" si="1540"/>
        <v>0.87516778523489935</v>
      </c>
      <c r="I9563" s="297">
        <f t="shared" si="1542"/>
        <v>74.020425457775502</v>
      </c>
      <c r="J9563" s="297">
        <f t="shared" si="1543"/>
        <v>52.714285714285715</v>
      </c>
      <c r="K9563" s="297">
        <f>J9563/POBLA!$B$10*100000</f>
        <v>6.8381871799001024</v>
      </c>
      <c r="L9563" s="549">
        <f t="shared" si="1541"/>
        <v>-0.30388692579505294</v>
      </c>
      <c r="M9563" s="401">
        <f>SUM(C9563,C9539,C9515,C9491,C9467,C9443,C9419)/POBLA!$B$10*100000</f>
        <v>47.867310259300723</v>
      </c>
    </row>
    <row r="9564" spans="1:13" s="360" customFormat="1" x14ac:dyDescent="0.25">
      <c r="A9564" s="361" t="s">
        <v>33</v>
      </c>
      <c r="B9564" s="2">
        <v>44291</v>
      </c>
      <c r="C9564" s="1">
        <v>138</v>
      </c>
      <c r="D9564" s="39">
        <f t="shared" si="1533"/>
        <v>21740</v>
      </c>
      <c r="E9564" s="1"/>
      <c r="F9564" s="39">
        <f t="shared" si="1534"/>
        <v>321</v>
      </c>
      <c r="G9564" s="168">
        <f>SUM(C9564,C9540,C9516,C9492,C9468,C9444,C9420,C9396,C9372,C9348,C9324,C9300,C9276,C9252)/POBLA!$B$11*100000</f>
        <v>330.33133572153963</v>
      </c>
      <c r="H9564" s="256">
        <f t="shared" si="1540"/>
        <v>0.9502407704654896</v>
      </c>
      <c r="I9564" s="297">
        <f t="shared" si="1542"/>
        <v>313.89430296493015</v>
      </c>
      <c r="J9564" s="297">
        <f t="shared" si="1543"/>
        <v>83.142857142857139</v>
      </c>
      <c r="K9564" s="297">
        <f>J9564/POBLA!$B$11*100000</f>
        <v>23.196529607859077</v>
      </c>
      <c r="L9564" s="549">
        <f t="shared" si="1541"/>
        <v>3.3222591362126241E-2</v>
      </c>
      <c r="M9564" s="401">
        <f>SUM(C9564,C9540,C9516,C9492,C9468,C9444,C9420)/POBLA!$B$11*100000</f>
        <v>162.37570725501357</v>
      </c>
    </row>
    <row r="9565" spans="1:13" s="360" customFormat="1" x14ac:dyDescent="0.25">
      <c r="A9565" s="361" t="s">
        <v>21</v>
      </c>
      <c r="B9565" s="2">
        <v>44291</v>
      </c>
      <c r="C9565" s="1">
        <v>43</v>
      </c>
      <c r="D9565" s="39">
        <f t="shared" si="1533"/>
        <v>11404</v>
      </c>
      <c r="E9565" s="1"/>
      <c r="F9565" s="39">
        <f t="shared" si="1534"/>
        <v>449</v>
      </c>
      <c r="G9565" s="168">
        <f>SUM(C9565,C9541,C9517,C9493,C9469,C9445,C9421,C9397,C9373,C9349,C9325,C9301,C9277,C9253)/POBLA!$B$12*100000</f>
        <v>176.35205358662978</v>
      </c>
      <c r="H9565" s="256">
        <f t="shared" si="1540"/>
        <v>2.103030303030303</v>
      </c>
      <c r="I9565" s="297">
        <f t="shared" si="1542"/>
        <v>370.87371269430628</v>
      </c>
      <c r="J9565" s="297">
        <f t="shared" si="1543"/>
        <v>56.571428571428569</v>
      </c>
      <c r="K9565" s="297">
        <f>J9565/POBLA!$B$12*100000</f>
        <v>14.375342367292173</v>
      </c>
      <c r="L9565" s="549">
        <f t="shared" si="1541"/>
        <v>-0.32885906040268464</v>
      </c>
      <c r="M9565" s="401">
        <f>SUM(C9565,C9541,C9517,C9493,C9469,C9445,C9421)/POBLA!$B$12*100000</f>
        <v>100.62739657104524</v>
      </c>
    </row>
    <row r="9566" spans="1:13" s="360" customFormat="1" x14ac:dyDescent="0.25">
      <c r="A9566" s="361" t="s">
        <v>17</v>
      </c>
      <c r="B9566" s="2">
        <v>44291</v>
      </c>
      <c r="C9566" s="1">
        <v>597</v>
      </c>
      <c r="D9566" s="39">
        <f t="shared" si="1533"/>
        <v>74954</v>
      </c>
      <c r="E9566" s="1">
        <v>6</v>
      </c>
      <c r="F9566" s="39">
        <f t="shared" si="1534"/>
        <v>1519</v>
      </c>
      <c r="G9566" s="168">
        <f>SUM(C9566,C9542,C9518,C9494,C9470,C9446,C9422,C9398,C9374,C9350,C9326,C9302,C9278,C9254)/POBLA!$B$13*100000</f>
        <v>220.06312495666566</v>
      </c>
      <c r="H9566" s="256">
        <f t="shared" si="1540"/>
        <v>1.9738621000450653</v>
      </c>
      <c r="I9566" s="297">
        <f t="shared" si="1542"/>
        <v>434.37426196944369</v>
      </c>
      <c r="J9566" s="297">
        <f t="shared" si="1543"/>
        <v>391.28571428571428</v>
      </c>
      <c r="K9566" s="297">
        <f>J9566/POBLA!$B$13*100000</f>
        <v>19.659259597400759</v>
      </c>
      <c r="L9566" s="549">
        <f t="shared" si="1541"/>
        <v>-0.66910420475319921</v>
      </c>
      <c r="M9566" s="401">
        <f>SUM(C9566,C9542,C9518,C9494,C9470,C9446,C9422)/POBLA!$B$13*100000</f>
        <v>137.61481718180531</v>
      </c>
    </row>
    <row r="9567" spans="1:13" s="360" customFormat="1" x14ac:dyDescent="0.25">
      <c r="A9567" s="361" t="s">
        <v>23</v>
      </c>
      <c r="B9567" s="2">
        <v>44291</v>
      </c>
      <c r="C9567" s="1">
        <v>87</v>
      </c>
      <c r="D9567" s="39">
        <f t="shared" si="1533"/>
        <v>12396</v>
      </c>
      <c r="E9567" s="1">
        <v>1</v>
      </c>
      <c r="F9567" s="39">
        <f t="shared" si="1534"/>
        <v>211</v>
      </c>
      <c r="G9567" s="168">
        <f>SUM(C9567,C9543,C9519,C9495,C9471,C9447,C9423,C9399,C9375,C9351,C9327,C9303,C9279,C9255)/POBLA!$B$14*100000</f>
        <v>118.44978252493075</v>
      </c>
      <c r="H9567" s="256">
        <f t="shared" si="1540"/>
        <v>0.89407540394973073</v>
      </c>
      <c r="I9567" s="297">
        <f t="shared" si="1542"/>
        <v>105.90303715873522</v>
      </c>
      <c r="J9567" s="297">
        <f t="shared" si="1543"/>
        <v>81.714285714285708</v>
      </c>
      <c r="K9567" s="297">
        <f>J9567/POBLA!$B$14*100000</f>
        <v>6.4786073440677354</v>
      </c>
      <c r="L9567" s="549">
        <f t="shared" si="1541"/>
        <v>0.37960954446854667</v>
      </c>
      <c r="M9567" s="401">
        <f>SUM(C9567,C9543,C9519,C9495,C9471,C9447,C9423)/POBLA!$B$14*100000</f>
        <v>45.350251408474158</v>
      </c>
    </row>
    <row r="9568" spans="1:13" s="360" customFormat="1" x14ac:dyDescent="0.25">
      <c r="A9568" s="361" t="s">
        <v>19</v>
      </c>
      <c r="B9568" s="2">
        <v>44291</v>
      </c>
      <c r="C9568" s="1">
        <v>192</v>
      </c>
      <c r="D9568" s="39">
        <f t="shared" si="1533"/>
        <v>65690</v>
      </c>
      <c r="E9568" s="1"/>
      <c r="F9568" s="39">
        <f t="shared" si="1534"/>
        <v>1013</v>
      </c>
      <c r="G9568" s="168">
        <f>SUM(C9568,C9544,C9520,C9496,C9472,C9448,C9424,C9400,C9376,C9352,C9328,C9304,C9280,C9256)/POBLA!$B$15*100000</f>
        <v>225.13127638139497</v>
      </c>
      <c r="H9568" s="256">
        <f t="shared" si="1540"/>
        <v>0.8436794582392777</v>
      </c>
      <c r="I9568" s="297">
        <f t="shared" si="1542"/>
        <v>189.93863329017239</v>
      </c>
      <c r="J9568" s="297">
        <f t="shared" si="1543"/>
        <v>99.714285714285708</v>
      </c>
      <c r="K9568" s="297">
        <f>J9568/POBLA!$B$15*100000</f>
        <v>15.015922686499158</v>
      </c>
      <c r="L9568" s="549">
        <f t="shared" si="1541"/>
        <v>0.12421580928481801</v>
      </c>
      <c r="M9568" s="401">
        <f>SUM(C9568,C9544,C9520,C9496,C9472,C9448,C9424)/POBLA!$B$15*100000</f>
        <v>105.11145880549411</v>
      </c>
    </row>
    <row r="9569" spans="1:13" s="360" customFormat="1" x14ac:dyDescent="0.25">
      <c r="A9569" s="361" t="s">
        <v>18</v>
      </c>
      <c r="B9569" s="2">
        <v>44291</v>
      </c>
      <c r="C9569" s="1">
        <v>147</v>
      </c>
      <c r="D9569" s="39">
        <f t="shared" si="1533"/>
        <v>55878</v>
      </c>
      <c r="E9569" s="1">
        <v>3</v>
      </c>
      <c r="F9569" s="39">
        <f t="shared" si="1534"/>
        <v>1287</v>
      </c>
      <c r="G9569" s="168">
        <f>SUM(C9569,C9545,C9521,C9497,C9473,C9449,C9425,C9401,C9377,C9353,C9329,C9305,C9281,C9257)/POBLA!$B$16*100000</f>
        <v>184.18694238974868</v>
      </c>
      <c r="H9569" s="256">
        <f t="shared" si="1540"/>
        <v>1.0808477237048666</v>
      </c>
      <c r="I9569" s="297">
        <f t="shared" si="1542"/>
        <v>199.07803741811927</v>
      </c>
      <c r="J9569" s="297">
        <f t="shared" si="1543"/>
        <v>98</v>
      </c>
      <c r="K9569" s="297">
        <f>J9569/POBLA!$B$16*100000</f>
        <v>13.108438891935634</v>
      </c>
      <c r="L9569" s="549">
        <f t="shared" si="1541"/>
        <v>7.2358900144717797E-3</v>
      </c>
      <c r="M9569" s="401">
        <f>SUM(C9569,C9545,C9521,C9497,C9473,C9449,C9425)/POBLA!$B$16*100000</f>
        <v>91.759072243549454</v>
      </c>
    </row>
    <row r="9570" spans="1:13" s="360" customFormat="1" x14ac:dyDescent="0.25">
      <c r="A9570" s="361" t="s">
        <v>34</v>
      </c>
      <c r="B9570" s="2">
        <v>44291</v>
      </c>
      <c r="C9570" s="1">
        <v>82</v>
      </c>
      <c r="D9570" s="39">
        <f t="shared" si="1533"/>
        <v>29824</v>
      </c>
      <c r="E9570" s="1">
        <v>8</v>
      </c>
      <c r="F9570" s="39">
        <f t="shared" si="1534"/>
        <v>1214</v>
      </c>
      <c r="G9570" s="168">
        <f>SUM(C9570,C9546,C9522,C9498,C9474,C9450,C9426,C9402,C9378,C9354,C9330,C9306,C9282,C9258)/POBLA!$B$17*100000</f>
        <v>100.32315428914831</v>
      </c>
      <c r="H9570" s="256">
        <f t="shared" si="1540"/>
        <v>0.95841716968477531</v>
      </c>
      <c r="I9570" s="297">
        <f t="shared" si="1542"/>
        <v>96.151433587654552</v>
      </c>
      <c r="J9570" s="297">
        <f t="shared" si="1543"/>
        <v>99.857142857142861</v>
      </c>
      <c r="K9570" s="297">
        <f>J9570/POBLA!$B$17*100000</f>
        <v>7.0104853392097048</v>
      </c>
      <c r="L9570" s="549">
        <f t="shared" si="1541"/>
        <v>4.2465753424657526E-2</v>
      </c>
      <c r="M9570" s="401">
        <f>SUM(C9570,C9546,C9522,C9498,C9474,C9450,C9426)/POBLA!$B$17*100000</f>
        <v>49.07339737446793</v>
      </c>
    </row>
    <row r="9571" spans="1:13" s="360" customFormat="1" x14ac:dyDescent="0.25">
      <c r="A9571" s="361" t="s">
        <v>35</v>
      </c>
      <c r="B9571" s="2">
        <v>44291</v>
      </c>
      <c r="C9571" s="1">
        <v>144</v>
      </c>
      <c r="D9571" s="39">
        <f t="shared" si="1533"/>
        <v>17621</v>
      </c>
      <c r="E9571" s="1"/>
      <c r="F9571" s="39">
        <f t="shared" si="1534"/>
        <v>224</v>
      </c>
      <c r="G9571" s="168">
        <f>SUM(C9571,C9547,C9523,C9499,C9475,C9451,C9427,C9403,C9379,C9355,C9331,C9307,C9283,C9259)/POBLA!$B$18*100000</f>
        <v>157.44665054651909</v>
      </c>
      <c r="H9571" s="256">
        <f t="shared" si="1540"/>
        <v>1.5789473684210527</v>
      </c>
      <c r="I9571" s="297">
        <f t="shared" si="1542"/>
        <v>248.59997454713542</v>
      </c>
      <c r="J9571" s="297">
        <f t="shared" si="1543"/>
        <v>91</v>
      </c>
      <c r="K9571" s="297">
        <f>J9571/POBLA!$B$18*100000</f>
        <v>11.648492032303444</v>
      </c>
      <c r="L9571" s="549">
        <f t="shared" si="1541"/>
        <v>-7.4198988195615545E-2</v>
      </c>
      <c r="M9571" s="401">
        <f>SUM(C9571,C9547,C9523,C9499,C9475,C9451,C9427)/POBLA!$B$18*100000</f>
        <v>81.539444226124104</v>
      </c>
    </row>
    <row r="9572" spans="1:13" s="360" customFormat="1" x14ac:dyDescent="0.25">
      <c r="A9572" s="361" t="s">
        <v>36</v>
      </c>
      <c r="B9572" s="2">
        <v>44291</v>
      </c>
      <c r="C9572" s="1">
        <v>270</v>
      </c>
      <c r="D9572" s="39">
        <f t="shared" si="1533"/>
        <v>23888</v>
      </c>
      <c r="E9572" s="1">
        <v>8</v>
      </c>
      <c r="F9572" s="39">
        <f t="shared" si="1534"/>
        <v>438</v>
      </c>
      <c r="G9572" s="168">
        <f>SUM(C9572,C9548,C9524,C9500,C9476,C9452,C9428,C9404,C9380,C9356,C9332,C9308,C9284,C9260)/POBLA!$B$19*100000</f>
        <v>459.34908169528342</v>
      </c>
      <c r="H9572" s="256">
        <f t="shared" si="1540"/>
        <v>3.1216577540106951</v>
      </c>
      <c r="I9572" s="297">
        <f t="shared" si="1542"/>
        <v>1433.9306226717738</v>
      </c>
      <c r="J9572" s="297">
        <f t="shared" si="1543"/>
        <v>192.57142857142858</v>
      </c>
      <c r="K9572" s="297">
        <f>J9572/POBLA!$B$19*100000</f>
        <v>37.88330144541095</v>
      </c>
      <c r="L9572" s="549">
        <f t="shared" si="1541"/>
        <v>-0.36575481256332321</v>
      </c>
      <c r="M9572" s="401">
        <f>SUM(C9572,C9548,C9524,C9500,C9476,C9452,C9428)/POBLA!$B$19*100000</f>
        <v>265.18311011787665</v>
      </c>
    </row>
    <row r="9573" spans="1:13" s="360" customFormat="1" x14ac:dyDescent="0.25">
      <c r="A9573" s="361" t="s">
        <v>37</v>
      </c>
      <c r="B9573" s="2">
        <v>44291</v>
      </c>
      <c r="C9573" s="1">
        <v>187</v>
      </c>
      <c r="D9573" s="39">
        <f t="shared" si="1533"/>
        <v>39975</v>
      </c>
      <c r="E9573" s="1">
        <v>3</v>
      </c>
      <c r="F9573" s="39">
        <f t="shared" si="1534"/>
        <v>646</v>
      </c>
      <c r="G9573" s="168">
        <f>SUM(C9573,C9549,C9525,C9501,C9477,C9453,C9429,C9405,C9381,C9357,C9333,C9309,C9285,C9261)/POBLA!$B$20*100000</f>
        <v>461.30960519335628</v>
      </c>
      <c r="H9573" s="256">
        <f t="shared" si="1540"/>
        <v>1.101894186806009</v>
      </c>
      <c r="I9573" s="297">
        <f t="shared" si="1542"/>
        <v>508.3143722803344</v>
      </c>
      <c r="J9573" s="297">
        <f t="shared" si="1543"/>
        <v>121</v>
      </c>
      <c r="K9573" s="297">
        <f>J9573/POBLA!$B$20*100000</f>
        <v>33.087410923767699</v>
      </c>
      <c r="L9573" s="549">
        <f t="shared" si="1541"/>
        <v>-8.3333333333333037E-3</v>
      </c>
      <c r="M9573" s="401">
        <f>SUM(C9573,C9549,C9525,C9501,C9477,C9453,C9429)/POBLA!$B$20*100000</f>
        <v>231.61187646637387</v>
      </c>
    </row>
    <row r="9574" spans="1:13" s="360" customFormat="1" x14ac:dyDescent="0.25">
      <c r="A9574" s="361" t="s">
        <v>22</v>
      </c>
      <c r="B9574" s="2">
        <v>44291</v>
      </c>
      <c r="C9574" s="1">
        <v>843</v>
      </c>
      <c r="D9574" s="39">
        <f t="shared" si="1533"/>
        <v>234641</v>
      </c>
      <c r="E9574" s="1">
        <v>11</v>
      </c>
      <c r="F9574" s="39">
        <f t="shared" si="1534"/>
        <v>4285</v>
      </c>
      <c r="G9574" s="168">
        <f>SUM(C9574,C9550,C9526,C9502,C9478,C9454,C9430,C9406,C9382,C9358,C9334,C9310,C9286,C9262)/POBLA!$B$21*100000</f>
        <v>246.74684949573268</v>
      </c>
      <c r="H9574" s="256">
        <f t="shared" si="1540"/>
        <v>1.3713657079993713</v>
      </c>
      <c r="I9574" s="297">
        <f t="shared" si="1542"/>
        <v>338.38016795532974</v>
      </c>
      <c r="J9574" s="297">
        <f t="shared" si="1543"/>
        <v>659.28571428571433</v>
      </c>
      <c r="K9574" s="297">
        <f>J9574/POBLA!$B$21*100000</f>
        <v>18.642754173452186</v>
      </c>
      <c r="L9574" s="549">
        <f t="shared" si="1541"/>
        <v>-0.12259790805156889</v>
      </c>
      <c r="M9574" s="401">
        <f>SUM(C9574,C9550,C9526,C9502,C9478,C9454,C9430)/POBLA!$B$21*100000</f>
        <v>130.49927921416528</v>
      </c>
    </row>
    <row r="9575" spans="1:13" s="360" customFormat="1" x14ac:dyDescent="0.25">
      <c r="A9575" s="361" t="s">
        <v>38</v>
      </c>
      <c r="B9575" s="2">
        <v>44291</v>
      </c>
      <c r="C9575" s="1">
        <v>122</v>
      </c>
      <c r="D9575" s="39">
        <f t="shared" si="1533"/>
        <v>25758</v>
      </c>
      <c r="E9575" s="1">
        <v>5</v>
      </c>
      <c r="F9575" s="39">
        <f t="shared" si="1534"/>
        <v>302</v>
      </c>
      <c r="G9575" s="168">
        <f>SUM(C9575,C9551,C9527,C9503,C9479,C9455,C9431,C9407,C9383,C9359,C9335,C9311,C9287,C9263)/POBLA!$B$22*100000</f>
        <v>161.09363772126099</v>
      </c>
      <c r="H9575" s="256">
        <f t="shared" si="1540"/>
        <v>1.4340309372156506</v>
      </c>
      <c r="I9575" s="297">
        <f t="shared" si="1542"/>
        <v>231.01326028089838</v>
      </c>
      <c r="J9575" s="297">
        <f t="shared" si="1543"/>
        <v>118.14285714285714</v>
      </c>
      <c r="K9575" s="297">
        <f>J9575/POBLA!$B$22*100000</f>
        <v>12.076181870511496</v>
      </c>
      <c r="L9575" s="549">
        <f t="shared" si="1541"/>
        <v>-0.10413885180240312</v>
      </c>
      <c r="M9575" s="401">
        <f>SUM(C9575,C9551,C9527,C9503,C9479,C9455,C9431)/POBLA!$B$22*100000</f>
        <v>84.533273093580476</v>
      </c>
    </row>
    <row r="9576" spans="1:13" s="360" customFormat="1" x14ac:dyDescent="0.25">
      <c r="A9576" s="361" t="s">
        <v>39</v>
      </c>
      <c r="B9576" s="2">
        <v>44291</v>
      </c>
      <c r="C9576" s="1">
        <v>59</v>
      </c>
      <c r="D9576" s="39">
        <f t="shared" si="1533"/>
        <v>24364</v>
      </c>
      <c r="E9576" s="1"/>
      <c r="F9576" s="39">
        <f t="shared" si="1534"/>
        <v>367</v>
      </c>
      <c r="G9576" s="168">
        <f>SUM(C9576,C9552,C9528,C9504,C9480,C9456,C9432,C9408,C9384,C9360,C9336,C9312,C9288,C9264)/POBLA!$B$23*100000</f>
        <v>420.74308658033141</v>
      </c>
      <c r="H9576" s="256">
        <f t="shared" si="1540"/>
        <v>1.8146341463414635</v>
      </c>
      <c r="I9576" s="297">
        <f t="shared" si="1542"/>
        <v>763.49477174577214</v>
      </c>
      <c r="J9576" s="297">
        <f t="shared" si="1543"/>
        <v>54.142857142857146</v>
      </c>
      <c r="K9576" s="297">
        <f>J9576/POBLA!$B$23*100000</f>
        <v>30.618592514198465</v>
      </c>
      <c r="L9576" s="549">
        <f t="shared" si="1541"/>
        <v>-3.8356164383561708E-2</v>
      </c>
      <c r="M9576" s="401">
        <f>SUM(C9576,C9552,C9528,C9504,C9480,C9456,C9432)/POBLA!$B$23*100000</f>
        <v>214.33014759938925</v>
      </c>
    </row>
    <row r="9577" spans="1:13" s="360" customFormat="1" ht="15.75" thickBot="1" x14ac:dyDescent="0.3">
      <c r="A9577" s="359" t="s">
        <v>40</v>
      </c>
      <c r="B9577" s="34">
        <v>44291</v>
      </c>
      <c r="C9577" s="232">
        <v>440</v>
      </c>
      <c r="D9577" s="67">
        <f t="shared" si="1533"/>
        <v>89604</v>
      </c>
      <c r="E9577" s="232"/>
      <c r="F9577" s="67">
        <f t="shared" si="1534"/>
        <v>1502</v>
      </c>
      <c r="G9577" s="177">
        <f>SUM(C9577,C9553,C9529,C9505,C9481,C9457,C9433,C9409,C9385,C9361,C9337,C9313,C9289,C9265)/POBLA!$B$24*100000</f>
        <v>316.70144265266816</v>
      </c>
      <c r="H9577" s="402">
        <f t="shared" si="1540"/>
        <v>1.6352833638025595</v>
      </c>
      <c r="I9577" s="403">
        <f t="shared" si="1542"/>
        <v>517.89660046217853</v>
      </c>
      <c r="J9577" s="403">
        <f t="shared" si="1543"/>
        <v>402.14285714285717</v>
      </c>
      <c r="K9577" s="403">
        <f>J9577/POBLA!$B$24*100000</f>
        <v>23.730058321149375</v>
      </c>
      <c r="L9577" s="550">
        <f t="shared" si="1541"/>
        <v>-0.1030564263322884</v>
      </c>
      <c r="M9577" s="405">
        <f>SUM(C9577,C9553,C9529,C9505,C9481,C9457,C9433)/POBLA!$B$24*100000</f>
        <v>166.11040824804562</v>
      </c>
    </row>
    <row r="9578" spans="1:13" s="360" customFormat="1" x14ac:dyDescent="0.25">
      <c r="A9578" s="363" t="s">
        <v>16</v>
      </c>
      <c r="B9578" s="265">
        <v>44292</v>
      </c>
      <c r="C9578" s="43">
        <v>10402</v>
      </c>
      <c r="D9578" s="174">
        <f t="shared" si="1533"/>
        <v>1026895</v>
      </c>
      <c r="E9578" s="43">
        <v>82</v>
      </c>
      <c r="F9578" s="174">
        <f t="shared" si="1534"/>
        <v>28668</v>
      </c>
      <c r="G9578" s="175">
        <f>SUM(C9578,C9554,C9530,C9506,C9482,C9458,C9434,C9410,C9386,C9362,C9338,C9314,C9290,C9266)/POBLA!$B$1*100000</f>
        <v>459.82755625760035</v>
      </c>
      <c r="H9578" s="300">
        <f t="shared" ref="H9578:H9601" si="1544">SUM(C9578,C9554,C9530,C9506,C9482,C9458,C9434,C9410,C9386,C9362,C9338,C9314,C9290,C9266)/SUM(C9242,C9218,C9194,C9170,C9146,C9122,C9098,C9074,C9050,C9026,C9002,C8978,C8954,C8930)</f>
        <v>1.8698333217423557</v>
      </c>
      <c r="I9578" s="301">
        <f>G9578*H9578</f>
        <v>859.80088694581877</v>
      </c>
      <c r="J9578" s="301">
        <f>AVERAGE(C9578,C9554,C9530,C9506,C9482,C9458,C9434)</f>
        <v>6770.1428571428569</v>
      </c>
      <c r="K9578" s="301">
        <f>J9578/POBLA!$B$1*100000</f>
        <v>38.595795205926784</v>
      </c>
      <c r="L9578" s="548">
        <f t="shared" ref="L9578:L9601" si="1545">1-SUM(C9578,C9554,C9530,C9506,C9482,C9458,C9434)/SUM(C9410,C9386,C9362,C9338,C9314,C9290,C9266)</f>
        <v>-0.42452206324395814</v>
      </c>
      <c r="M9578" s="400">
        <f>SUM(C9578,C9554,C9530,C9506,C9482,C9458,C9434)/POBLA!$B$1*100000</f>
        <v>270.17056644148749</v>
      </c>
    </row>
    <row r="9579" spans="1:13" s="360" customFormat="1" x14ac:dyDescent="0.25">
      <c r="A9579" s="367" t="s">
        <v>43</v>
      </c>
      <c r="B9579" s="2">
        <v>44292</v>
      </c>
      <c r="C9579" s="1">
        <v>2281</v>
      </c>
      <c r="D9579" s="39">
        <f t="shared" si="1533"/>
        <v>273149</v>
      </c>
      <c r="E9579" s="1">
        <v>12</v>
      </c>
      <c r="F9579" s="39">
        <f t="shared" si="1534"/>
        <v>6958</v>
      </c>
      <c r="G9579" s="168">
        <f>SUM(C9579,C9555,C9531,C9507,C9483,C9459,C9435,C9411,C9387,C9363,C9339,C9315,C9291,C9267)/POBLA!$B$2*100000</f>
        <v>743.61613787802628</v>
      </c>
      <c r="H9579" s="256">
        <f t="shared" si="1544"/>
        <v>1.8651932800521938</v>
      </c>
      <c r="I9579" s="297">
        <f t="shared" ref="I9579:I9601" si="1546">G9579*H9579</f>
        <v>1386.9878233084603</v>
      </c>
      <c r="J9579" s="297">
        <f t="shared" ref="J9579:J9601" si="1547">AVERAGE(C9579,C9555,C9531,C9507,C9483,C9459,C9435)</f>
        <v>1931.8571428571429</v>
      </c>
      <c r="K9579" s="297">
        <f>J9579/POBLA!$B$2*100000</f>
        <v>62.811427025644143</v>
      </c>
      <c r="L9579" s="549">
        <f t="shared" si="1545"/>
        <v>-0.44661959777492521</v>
      </c>
      <c r="M9579" s="401">
        <f>SUM(C9579,C9555,C9531,C9507,C9483,C9459,C9435)/POBLA!$B$2*100000</f>
        <v>439.67998917950899</v>
      </c>
    </row>
    <row r="9580" spans="1:13" s="360" customFormat="1" x14ac:dyDescent="0.25">
      <c r="A9580" s="367" t="s">
        <v>28</v>
      </c>
      <c r="B9580" s="2">
        <v>44292</v>
      </c>
      <c r="C9580" s="1">
        <v>124</v>
      </c>
      <c r="D9580" s="39">
        <f t="shared" si="1533"/>
        <v>10993</v>
      </c>
      <c r="E9580" s="1"/>
      <c r="F9580" s="39">
        <f t="shared" si="1534"/>
        <v>18</v>
      </c>
      <c r="G9580" s="168">
        <f>SUM(C9580,C9556,C9532,C9508,C9484,C9460,C9436,C9412,C9388,C9364,C9340,C9316,C9292,C9268)/POBLA!$B$3*100000</f>
        <v>276.5755660291066</v>
      </c>
      <c r="H9580" s="256">
        <f t="shared" si="1544"/>
        <v>0.93795918367346942</v>
      </c>
      <c r="I9580" s="297">
        <f t="shared" si="1546"/>
        <v>259.41659213668856</v>
      </c>
      <c r="J9580" s="297">
        <f t="shared" si="1547"/>
        <v>87.428571428571431</v>
      </c>
      <c r="K9580" s="297">
        <f>J9580/POBLA!$B$3*100000</f>
        <v>21.044914386399761</v>
      </c>
      <c r="L9580" s="549">
        <f t="shared" si="1545"/>
        <v>-0.13966480446927365</v>
      </c>
      <c r="M9580" s="401">
        <f>SUM(C9580,C9556,C9532,C9508,C9484,C9460,C9436)/POBLA!$B$3*100000</f>
        <v>147.31440070479832</v>
      </c>
    </row>
    <row r="9581" spans="1:13" s="360" customFormat="1" x14ac:dyDescent="0.25">
      <c r="A9581" s="367" t="s">
        <v>15</v>
      </c>
      <c r="B9581" s="2">
        <v>44292</v>
      </c>
      <c r="C9581" s="1">
        <v>229</v>
      </c>
      <c r="D9581" s="39">
        <f t="shared" si="1533"/>
        <v>39339</v>
      </c>
      <c r="E9581" s="1">
        <v>4</v>
      </c>
      <c r="F9581" s="39">
        <f t="shared" si="1534"/>
        <v>947</v>
      </c>
      <c r="G9581" s="168">
        <f>SUM(C9581,C9557,C9533,C9509,C9485,C9461,C9437,C9413,C9389,C9365,C9341,C9317,C9293,C9269)/POBLA!$B$4*100000</f>
        <v>177.99311106886358</v>
      </c>
      <c r="H9581" s="256">
        <f t="shared" si="1544"/>
        <v>1.1195822454308093</v>
      </c>
      <c r="I9581" s="297">
        <f t="shared" si="1546"/>
        <v>199.27792696169374</v>
      </c>
      <c r="J9581" s="297">
        <f t="shared" si="1547"/>
        <v>146</v>
      </c>
      <c r="K9581" s="297">
        <f>J9581/POBLA!$B$4*100000</f>
        <v>12.120799541070001</v>
      </c>
      <c r="L9581" s="549">
        <f t="shared" si="1545"/>
        <v>8.9126559714794995E-2</v>
      </c>
      <c r="M9581" s="401">
        <f>SUM(C9581,C9557,C9533,C9509,C9485,C9461,C9437)/POBLA!$B$4*100000</f>
        <v>84.84559678749001</v>
      </c>
    </row>
    <row r="9582" spans="1:13" s="360" customFormat="1" x14ac:dyDescent="0.25">
      <c r="A9582" s="367" t="s">
        <v>29</v>
      </c>
      <c r="B9582" s="2">
        <v>44292</v>
      </c>
      <c r="C9582" s="1">
        <v>154</v>
      </c>
      <c r="D9582" s="39">
        <f t="shared" si="1533"/>
        <v>50643</v>
      </c>
      <c r="E9582" s="1"/>
      <c r="F9582" s="39">
        <f t="shared" si="1534"/>
        <v>870</v>
      </c>
      <c r="G9582" s="168">
        <f>SUM(C9582,C9558,C9534,C9510,C9486,C9462,C9438,C9414,C9390,C9366,C9342,C9318,C9294,C9270)/POBLA!$B$5*100000</f>
        <v>262.52273850796615</v>
      </c>
      <c r="H9582" s="256">
        <f t="shared" si="1544"/>
        <v>1.2442572741194486</v>
      </c>
      <c r="I9582" s="297">
        <f t="shared" si="1546"/>
        <v>326.64582701029479</v>
      </c>
      <c r="J9582" s="297">
        <f t="shared" si="1547"/>
        <v>106.42857142857143</v>
      </c>
      <c r="K9582" s="297">
        <f>J9582/POBLA!$B$5*100000</f>
        <v>17.193796939642617</v>
      </c>
      <c r="L9582" s="549">
        <f t="shared" si="1545"/>
        <v>0.15340909090909094</v>
      </c>
      <c r="M9582" s="401">
        <f>SUM(C9582,C9558,C9534,C9510,C9486,C9462,C9438)/POBLA!$B$5*100000</f>
        <v>120.35657857749833</v>
      </c>
    </row>
    <row r="9583" spans="1:13" s="360" customFormat="1" x14ac:dyDescent="0.25">
      <c r="A9583" s="367" t="s">
        <v>30</v>
      </c>
      <c r="B9583" s="2">
        <v>44292</v>
      </c>
      <c r="C9583" s="1">
        <v>467</v>
      </c>
      <c r="D9583" s="39">
        <f t="shared" si="1533"/>
        <v>31399</v>
      </c>
      <c r="E9583" s="1">
        <v>4</v>
      </c>
      <c r="F9583" s="39">
        <f t="shared" si="1534"/>
        <v>335</v>
      </c>
      <c r="G9583" s="168">
        <f>SUM(C9583,C9559,C9535,C9511,C9487,C9463,C9439,C9415,C9391,C9367,C9343,C9319,C9295,C9271)/POBLA!$B$6*100000</f>
        <v>414.79263491021152</v>
      </c>
      <c r="H9583" s="256">
        <f t="shared" si="1544"/>
        <v>1.4872040946896994</v>
      </c>
      <c r="I9583" s="297">
        <f t="shared" si="1546"/>
        <v>616.88130508559607</v>
      </c>
      <c r="J9583" s="297">
        <f t="shared" si="1547"/>
        <v>233.42857142857142</v>
      </c>
      <c r="K9583" s="297">
        <f>J9583/POBLA!$B$6*100000</f>
        <v>20.826941752244281</v>
      </c>
      <c r="L9583" s="549">
        <f t="shared" si="1545"/>
        <v>0.45804311774461026</v>
      </c>
      <c r="M9583" s="401">
        <f>SUM(C9583,C9559,C9535,C9511,C9487,C9463,C9439)/POBLA!$B$6*100000</f>
        <v>145.78859226570998</v>
      </c>
    </row>
    <row r="9584" spans="1:13" s="360" customFormat="1" x14ac:dyDescent="0.25">
      <c r="A9584" s="367" t="s">
        <v>20</v>
      </c>
      <c r="B9584" s="2">
        <v>44292</v>
      </c>
      <c r="C9584" s="1">
        <v>1843</v>
      </c>
      <c r="D9584" s="39">
        <f t="shared" si="1533"/>
        <v>186755</v>
      </c>
      <c r="E9584" s="1">
        <v>13</v>
      </c>
      <c r="F9584" s="39">
        <f t="shared" si="1534"/>
        <v>3073</v>
      </c>
      <c r="G9584" s="168">
        <f>SUM(C9584,C9560,C9536,C9512,C9488,C9464,C9440,C9416,C9392,C9368,C9344,C9320,C9296,C9272)/POBLA!$B$7*100000</f>
        <v>349.08056216676198</v>
      </c>
      <c r="H9584" s="256">
        <f t="shared" si="1544"/>
        <v>1.5269279981388857</v>
      </c>
      <c r="I9584" s="297">
        <f t="shared" si="1546"/>
        <v>533.0208839784907</v>
      </c>
      <c r="J9584" s="297">
        <f t="shared" si="1547"/>
        <v>1054.5714285714287</v>
      </c>
      <c r="K9584" s="297">
        <f>J9584/POBLA!$B$7*100000</f>
        <v>28.04375616140166</v>
      </c>
      <c r="L9584" s="549">
        <f t="shared" si="1545"/>
        <v>-0.28494342906875536</v>
      </c>
      <c r="M9584" s="401">
        <f>SUM(C9584,C9560,C9536,C9512,C9488,C9464,C9440)/POBLA!$B$7*100000</f>
        <v>196.30629312981162</v>
      </c>
    </row>
    <row r="9585" spans="1:13" x14ac:dyDescent="0.25">
      <c r="A9585" s="367" t="s">
        <v>31</v>
      </c>
      <c r="B9585" s="2">
        <v>44292</v>
      </c>
      <c r="C9585" s="1">
        <v>415</v>
      </c>
      <c r="D9585" s="39">
        <f t="shared" si="1533"/>
        <v>51122</v>
      </c>
      <c r="E9585" s="1">
        <v>3</v>
      </c>
      <c r="F9585" s="39">
        <f t="shared" si="1534"/>
        <v>953</v>
      </c>
      <c r="G9585" s="168">
        <f>SUM(C9585,C9561,C9537,C9513,C9489,C9465,C9441,C9417,C9393,C9369,C9345,C9321,C9297,C9273)/POBLA!$B$8*100000</f>
        <v>190.84231085867498</v>
      </c>
      <c r="H9585" s="256">
        <f t="shared" si="1544"/>
        <v>1.1808035714285714</v>
      </c>
      <c r="I9585" s="297">
        <f t="shared" si="1546"/>
        <v>225.34728224160506</v>
      </c>
      <c r="J9585" s="297">
        <f t="shared" si="1547"/>
        <v>211.71428571428572</v>
      </c>
      <c r="K9585" s="297">
        <f>J9585/POBLA!$B$8*100000</f>
        <v>15.27563082325446</v>
      </c>
      <c r="L9585" s="549">
        <f t="shared" si="1545"/>
        <v>-0.27429062768701629</v>
      </c>
      <c r="M9585" s="401">
        <f>SUM(C9585,C9561,C9537,C9513,C9489,C9465,C9441)/POBLA!$B$8*100000</f>
        <v>106.9294157627812</v>
      </c>
    </row>
    <row r="9586" spans="1:13" s="360" customFormat="1" x14ac:dyDescent="0.25">
      <c r="A9586" s="367" t="s">
        <v>41</v>
      </c>
      <c r="B9586" s="2">
        <v>44292</v>
      </c>
      <c r="C9586" s="1">
        <v>89</v>
      </c>
      <c r="D9586" s="39">
        <f t="shared" ref="D9586:D9650" si="1548">C9586+D9562</f>
        <v>2438</v>
      </c>
      <c r="E9586" s="1"/>
      <c r="F9586" s="39">
        <f t="shared" ref="F9586:F9649" si="1549">E9586+F9562</f>
        <v>41</v>
      </c>
      <c r="G9586" s="168">
        <f>SUM(C9586,C9562,C9538,C9514,C9490,C9466,C9442,C9418,C9394,C9370,C9346,C9322,C9298,C9274)/POBLA!$B$9*100000</f>
        <v>113.84797907444401</v>
      </c>
      <c r="H9586" s="256">
        <f t="shared" si="1544"/>
        <v>2.094224924012158</v>
      </c>
      <c r="I9586" s="297">
        <f t="shared" si="1546"/>
        <v>238.42327532611526</v>
      </c>
      <c r="J9586" s="297">
        <f t="shared" si="1547"/>
        <v>50.857142857142854</v>
      </c>
      <c r="K9586" s="297">
        <f>J9586/POBLA!$B$9*100000</f>
        <v>8.4034585425050938</v>
      </c>
      <c r="L9586" s="549">
        <f t="shared" si="1545"/>
        <v>-6.9069069069069178E-2</v>
      </c>
      <c r="M9586" s="401">
        <f>SUM(C9586,C9562,C9538,C9514,C9490,C9466,C9442)/POBLA!$B$9*100000</f>
        <v>58.824209797535666</v>
      </c>
    </row>
    <row r="9587" spans="1:13" s="360" customFormat="1" x14ac:dyDescent="0.25">
      <c r="A9587" s="367" t="s">
        <v>32</v>
      </c>
      <c r="B9587" s="2">
        <v>44292</v>
      </c>
      <c r="C9587" s="1">
        <v>81</v>
      </c>
      <c r="D9587" s="39">
        <f t="shared" si="1548"/>
        <v>22774</v>
      </c>
      <c r="E9587" s="1"/>
      <c r="F9587" s="39">
        <f t="shared" si="1549"/>
        <v>977</v>
      </c>
      <c r="G9587" s="168">
        <f>SUM(C9587,C9563,C9539,C9515,C9491,C9467,C9443,C9419,C9395,C9371,C9347,C9323,C9299,C9275)/POBLA!$B$10*100000</f>
        <v>88.599926577513259</v>
      </c>
      <c r="H9587" s="256">
        <f t="shared" si="1544"/>
        <v>0.93947730398899587</v>
      </c>
      <c r="I9587" s="297">
        <f t="shared" si="1546"/>
        <v>83.237620154665137</v>
      </c>
      <c r="J9587" s="297">
        <f t="shared" si="1547"/>
        <v>57.285714285714285</v>
      </c>
      <c r="K9587" s="297">
        <f>J9587/POBLA!$B$10*100000</f>
        <v>7.4312007022762634</v>
      </c>
      <c r="L9587" s="549">
        <f t="shared" si="1545"/>
        <v>-0.42198581560283688</v>
      </c>
      <c r="M9587" s="401">
        <f>SUM(C9587,C9563,C9539,C9515,C9491,C9467,C9443)/POBLA!$B$10*100000</f>
        <v>52.01840491593385</v>
      </c>
    </row>
    <row r="9588" spans="1:13" s="360" customFormat="1" x14ac:dyDescent="0.25">
      <c r="A9588" s="367" t="s">
        <v>33</v>
      </c>
      <c r="B9588" s="2">
        <v>44292</v>
      </c>
      <c r="C9588" s="1">
        <v>165</v>
      </c>
      <c r="D9588" s="39">
        <f t="shared" si="1548"/>
        <v>21905</v>
      </c>
      <c r="E9588" s="1">
        <v>5</v>
      </c>
      <c r="F9588" s="39">
        <f t="shared" si="1549"/>
        <v>326</v>
      </c>
      <c r="G9588" s="168">
        <f>SUM(C9588,C9564,C9540,C9516,C9492,C9468,C9444,C9420,C9396,C9372,C9348,C9324,C9300,C9276)/POBLA!$B$11*100000</f>
        <v>350.140056022409</v>
      </c>
      <c r="H9588" s="256">
        <f t="shared" si="1544"/>
        <v>1.0203252032520325</v>
      </c>
      <c r="I9588" s="297">
        <f t="shared" si="1546"/>
        <v>357.25672382774252</v>
      </c>
      <c r="J9588" s="297">
        <f t="shared" si="1547"/>
        <v>100.57142857142857</v>
      </c>
      <c r="K9588" s="297">
        <f>J9588/POBLA!$B$11*100000</f>
        <v>28.059032377891395</v>
      </c>
      <c r="L9588" s="549">
        <f t="shared" si="1545"/>
        <v>-0.27767695099818512</v>
      </c>
      <c r="M9588" s="401">
        <f>SUM(C9588,C9564,C9540,C9516,C9492,C9468,C9444)/POBLA!$B$11*100000</f>
        <v>196.41322664523977</v>
      </c>
    </row>
    <row r="9589" spans="1:13" s="360" customFormat="1" x14ac:dyDescent="0.25">
      <c r="A9589" s="367" t="s">
        <v>21</v>
      </c>
      <c r="B9589" s="2">
        <v>44292</v>
      </c>
      <c r="C9589" s="1">
        <v>75</v>
      </c>
      <c r="D9589" s="39">
        <f t="shared" si="1548"/>
        <v>11479</v>
      </c>
      <c r="E9589" s="1"/>
      <c r="F9589" s="39">
        <f t="shared" si="1549"/>
        <v>449</v>
      </c>
      <c r="G9589" s="168">
        <f>SUM(C9589,C9565,C9541,C9517,C9493,C9469,C9445,C9421,C9397,C9373,C9349,C9325,C9301,C9277)/POBLA!$B$12*100000</f>
        <v>189.05753295166073</v>
      </c>
      <c r="H9589" s="256">
        <f t="shared" si="1544"/>
        <v>2.1818181818181817</v>
      </c>
      <c r="I9589" s="297">
        <f t="shared" si="1546"/>
        <v>412.4891628036234</v>
      </c>
      <c r="J9589" s="297">
        <f t="shared" si="1547"/>
        <v>64.714285714285708</v>
      </c>
      <c r="K9589" s="297">
        <f>J9589/POBLA!$B$12*100000</f>
        <v>16.4445204353115</v>
      </c>
      <c r="L9589" s="549">
        <f t="shared" si="1545"/>
        <v>-0.55670103092783507</v>
      </c>
      <c r="M9589" s="401">
        <f>SUM(C9589,C9565,C9541,C9517,C9493,C9469,C9445)/POBLA!$B$12*100000</f>
        <v>115.11164304718054</v>
      </c>
    </row>
    <row r="9590" spans="1:13" s="360" customFormat="1" x14ac:dyDescent="0.25">
      <c r="A9590" s="367" t="s">
        <v>17</v>
      </c>
      <c r="B9590" s="2">
        <v>44292</v>
      </c>
      <c r="C9590" s="1">
        <v>785</v>
      </c>
      <c r="D9590" s="39">
        <f t="shared" si="1548"/>
        <v>75739</v>
      </c>
      <c r="E9590" s="1">
        <v>1</v>
      </c>
      <c r="F9590" s="39">
        <f t="shared" si="1549"/>
        <v>1520</v>
      </c>
      <c r="G9590" s="168">
        <f>SUM(C9590,C9566,C9542,C9518,C9494,C9470,C9446,C9422,C9398,C9374,C9350,C9326,C9302,C9278)/POBLA!$B$13*100000</f>
        <v>246.84249609865259</v>
      </c>
      <c r="H9590" s="256">
        <f t="shared" si="1544"/>
        <v>2.1671812968681077</v>
      </c>
      <c r="I9590" s="297">
        <f t="shared" si="1546"/>
        <v>534.95244081723877</v>
      </c>
      <c r="J9590" s="297">
        <f t="shared" si="1547"/>
        <v>464.71428571428572</v>
      </c>
      <c r="K9590" s="297">
        <f>J9590/POBLA!$B$13*100000</f>
        <v>23.348510942075453</v>
      </c>
      <c r="L9590" s="549">
        <f t="shared" si="1545"/>
        <v>-0.9596385542168675</v>
      </c>
      <c r="M9590" s="401">
        <f>SUM(C9590,C9566,C9542,C9518,C9494,C9470,C9446)/POBLA!$B$13*100000</f>
        <v>163.43957659452818</v>
      </c>
    </row>
    <row r="9591" spans="1:13" s="360" customFormat="1" x14ac:dyDescent="0.25">
      <c r="A9591" s="367" t="s">
        <v>23</v>
      </c>
      <c r="B9591" s="2">
        <v>44292</v>
      </c>
      <c r="C9591" s="1">
        <v>218</v>
      </c>
      <c r="D9591" s="39">
        <f t="shared" si="1548"/>
        <v>12614</v>
      </c>
      <c r="E9591" s="1">
        <v>3</v>
      </c>
      <c r="F9591" s="39">
        <f t="shared" si="1549"/>
        <v>214</v>
      </c>
      <c r="G9591" s="168">
        <f>SUM(C9591,C9567,C9543,C9519,C9495,C9471,C9447,C9423,C9399,C9375,C9351,C9327,C9303,C9279)/POBLA!$B$14*100000</f>
        <v>125.90244621793175</v>
      </c>
      <c r="H9591" s="256">
        <f t="shared" si="1544"/>
        <v>0.94976076555023925</v>
      </c>
      <c r="I9591" s="297">
        <f t="shared" si="1546"/>
        <v>119.57720370459069</v>
      </c>
      <c r="J9591" s="297">
        <f t="shared" si="1547"/>
        <v>96.571428571428569</v>
      </c>
      <c r="K9591" s="297">
        <f>J9591/POBLA!$B$14*100000</f>
        <v>7.656535952080052</v>
      </c>
      <c r="L9591" s="549">
        <f t="shared" si="1545"/>
        <v>0.25877192982456143</v>
      </c>
      <c r="M9591" s="401">
        <f>SUM(C9591,C9567,C9543,C9519,C9495,C9471,C9447)/POBLA!$B$14*100000</f>
        <v>53.595751664560368</v>
      </c>
    </row>
    <row r="9592" spans="1:13" s="360" customFormat="1" x14ac:dyDescent="0.25">
      <c r="A9592" s="367" t="s">
        <v>19</v>
      </c>
      <c r="B9592" s="2">
        <v>44292</v>
      </c>
      <c r="C9592" s="1">
        <v>169</v>
      </c>
      <c r="D9592" s="39">
        <f t="shared" si="1548"/>
        <v>65859</v>
      </c>
      <c r="E9592" s="1"/>
      <c r="F9592" s="39">
        <f t="shared" si="1549"/>
        <v>1013</v>
      </c>
      <c r="G9592" s="168">
        <f>SUM(C9592,C9568,C9544,C9520,C9496,C9472,C9448,C9424,C9400,C9376,C9352,C9328,C9304,C9280)/POBLA!$B$15*100000</f>
        <v>229.04660292715835</v>
      </c>
      <c r="H9592" s="256">
        <f t="shared" si="1544"/>
        <v>0.86469584991472426</v>
      </c>
      <c r="I9592" s="297">
        <f t="shared" si="1546"/>
        <v>198.05564698817955</v>
      </c>
      <c r="J9592" s="297">
        <f t="shared" si="1547"/>
        <v>112.14285714285714</v>
      </c>
      <c r="K9592" s="297">
        <f>J9592/POBLA!$B$15*100000</f>
        <v>16.887534826506933</v>
      </c>
      <c r="L9592" s="549">
        <f t="shared" si="1545"/>
        <v>-6.6576086956521729E-2</v>
      </c>
      <c r="M9592" s="401">
        <f>SUM(C9592,C9568,C9544,C9520,C9496,C9472,C9448)/POBLA!$B$15*100000</f>
        <v>118.21274378554853</v>
      </c>
    </row>
    <row r="9593" spans="1:13" s="360" customFormat="1" x14ac:dyDescent="0.25">
      <c r="A9593" s="367" t="s">
        <v>18</v>
      </c>
      <c r="B9593" s="2">
        <v>44292</v>
      </c>
      <c r="C9593" s="1">
        <v>214</v>
      </c>
      <c r="D9593" s="39">
        <f t="shared" si="1548"/>
        <v>56092</v>
      </c>
      <c r="E9593" s="1">
        <v>5</v>
      </c>
      <c r="F9593" s="39">
        <f t="shared" si="1549"/>
        <v>1292</v>
      </c>
      <c r="G9593" s="168">
        <f>SUM(C9593,C9569,C9545,C9521,C9497,C9473,C9449,C9425,C9401,C9377,C9353,C9329,C9305,C9281)/POBLA!$B$16*100000</f>
        <v>197.29538128168429</v>
      </c>
      <c r="H9593" s="256">
        <f t="shared" si="1544"/>
        <v>1.18</v>
      </c>
      <c r="I9593" s="297">
        <f t="shared" si="1546"/>
        <v>232.80854991238743</v>
      </c>
      <c r="J9593" s="297">
        <f t="shared" si="1547"/>
        <v>116.71428571428571</v>
      </c>
      <c r="K9593" s="297">
        <f>J9593/POBLA!$B$16*100000</f>
        <v>15.611653898996229</v>
      </c>
      <c r="L9593" s="549">
        <f t="shared" si="1545"/>
        <v>-0.24164133738601823</v>
      </c>
      <c r="M9593" s="401">
        <f>SUM(C9593,C9569,C9545,C9521,C9497,C9473,C9449)/POBLA!$B$16*100000</f>
        <v>109.28157729297361</v>
      </c>
    </row>
    <row r="9594" spans="1:13" s="360" customFormat="1" x14ac:dyDescent="0.25">
      <c r="A9594" s="367" t="s">
        <v>34</v>
      </c>
      <c r="B9594" s="2">
        <v>44292</v>
      </c>
      <c r="C9594" s="1">
        <v>246</v>
      </c>
      <c r="D9594" s="39">
        <f t="shared" si="1548"/>
        <v>30070</v>
      </c>
      <c r="E9594" s="1">
        <v>6</v>
      </c>
      <c r="F9594" s="39">
        <f t="shared" si="1549"/>
        <v>1220</v>
      </c>
      <c r="G9594" s="168">
        <f>SUM(C9594,C9570,C9546,C9522,C9498,C9474,C9450,C9426,C9402,C9378,C9354,C9330,C9306,C9282)/POBLA!$B$17*100000</f>
        <v>108.32654098541347</v>
      </c>
      <c r="H9594" s="256">
        <f t="shared" si="1544"/>
        <v>1.0341823056300268</v>
      </c>
      <c r="I9594" s="297">
        <f t="shared" si="1546"/>
        <v>112.02939191722049</v>
      </c>
      <c r="J9594" s="297">
        <f t="shared" si="1547"/>
        <v>123</v>
      </c>
      <c r="K9594" s="297">
        <f>J9594/POBLA!$B$17*100000</f>
        <v>8.6352330143913534</v>
      </c>
      <c r="L9594" s="549">
        <f t="shared" si="1545"/>
        <v>-0.26246334310850439</v>
      </c>
      <c r="M9594" s="401">
        <f>SUM(C9594,C9570,C9546,C9522,C9498,C9474,C9450)/POBLA!$B$17*100000</f>
        <v>60.446631100739474</v>
      </c>
    </row>
    <row r="9595" spans="1:13" s="360" customFormat="1" x14ac:dyDescent="0.25">
      <c r="A9595" s="367" t="s">
        <v>35</v>
      </c>
      <c r="B9595" s="2">
        <v>44292</v>
      </c>
      <c r="C9595" s="1">
        <v>251</v>
      </c>
      <c r="D9595" s="39">
        <f t="shared" si="1548"/>
        <v>17872</v>
      </c>
      <c r="E9595" s="1">
        <v>3</v>
      </c>
      <c r="F9595" s="39">
        <f t="shared" si="1549"/>
        <v>227</v>
      </c>
      <c r="G9595" s="168">
        <f>SUM(C9595,C9571,C9547,C9523,C9499,C9475,C9451,C9427,C9403,C9379,C9355,C9331,C9307,C9283)/POBLA!$B$18*100000</f>
        <v>177.79951025131302</v>
      </c>
      <c r="H9595" s="256">
        <f t="shared" si="1544"/>
        <v>1.721189591078067</v>
      </c>
      <c r="I9595" s="297">
        <f t="shared" si="1546"/>
        <v>306.02666634333804</v>
      </c>
      <c r="J9595" s="297">
        <f t="shared" si="1547"/>
        <v>107</v>
      </c>
      <c r="K9595" s="297">
        <f>J9595/POBLA!$B$18*100000</f>
        <v>13.696578543477678</v>
      </c>
      <c r="L9595" s="549">
        <f t="shared" si="1545"/>
        <v>-0.17031250000000009</v>
      </c>
      <c r="M9595" s="401">
        <f>SUM(C9595,C9571,C9547,C9523,C9499,C9475,C9451)/POBLA!$B$18*100000</f>
        <v>95.876049804343737</v>
      </c>
    </row>
    <row r="9596" spans="1:13" s="360" customFormat="1" x14ac:dyDescent="0.25">
      <c r="A9596" s="367" t="s">
        <v>36</v>
      </c>
      <c r="B9596" s="2">
        <v>44292</v>
      </c>
      <c r="C9596" s="1">
        <v>402</v>
      </c>
      <c r="D9596" s="39">
        <f t="shared" si="1548"/>
        <v>24290</v>
      </c>
      <c r="E9596" s="1">
        <v>2</v>
      </c>
      <c r="F9596" s="39">
        <f t="shared" si="1549"/>
        <v>440</v>
      </c>
      <c r="G9596" s="168">
        <f>SUM(C9596,C9572,C9548,C9524,C9500,C9476,C9452,C9428,C9404,C9380,C9356,C9332,C9308,C9284)/POBLA!$B$19*100000</f>
        <v>538.23515525408789</v>
      </c>
      <c r="H9596" s="256">
        <f t="shared" si="1544"/>
        <v>3.6823687752355316</v>
      </c>
      <c r="I9596" s="297">
        <f t="shared" si="1546"/>
        <v>1981.9803294417018</v>
      </c>
      <c r="J9596" s="297">
        <f t="shared" si="1547"/>
        <v>241.42857142857142</v>
      </c>
      <c r="K9596" s="297">
        <f>J9596/POBLA!$B$19*100000</f>
        <v>47.494643503519654</v>
      </c>
      <c r="L9596" s="549">
        <f t="shared" si="1545"/>
        <v>-0.61567877629063106</v>
      </c>
      <c r="M9596" s="401">
        <f>SUM(C9596,C9572,C9548,C9524,C9500,C9476,C9452)/POBLA!$B$19*100000</f>
        <v>332.46250452463767</v>
      </c>
    </row>
    <row r="9597" spans="1:13" s="360" customFormat="1" x14ac:dyDescent="0.25">
      <c r="A9597" s="367" t="s">
        <v>37</v>
      </c>
      <c r="B9597" s="2">
        <v>44292</v>
      </c>
      <c r="C9597" s="1">
        <v>162</v>
      </c>
      <c r="D9597" s="39">
        <f t="shared" si="1548"/>
        <v>40137</v>
      </c>
      <c r="E9597" s="1">
        <v>7</v>
      </c>
      <c r="F9597" s="39">
        <f t="shared" si="1549"/>
        <v>653</v>
      </c>
      <c r="G9597" s="168">
        <f>SUM(C9597,C9573,C9549,C9525,C9501,C9477,C9453,C9429,C9405,C9381,C9357,C9333,C9309,C9285)/POBLA!$B$20*100000</f>
        <v>472.79449162970542</v>
      </c>
      <c r="H9597" s="256">
        <f t="shared" si="1544"/>
        <v>1.0922299431459255</v>
      </c>
      <c r="I9597" s="297">
        <f t="shared" si="1546"/>
        <v>516.40030071241983</v>
      </c>
      <c r="J9597" s="297">
        <f t="shared" si="1547"/>
        <v>132.42857142857142</v>
      </c>
      <c r="K9597" s="297">
        <f>J9597/POBLA!$B$20*100000</f>
        <v>36.212550090121198</v>
      </c>
      <c r="L9597" s="549">
        <f t="shared" si="1545"/>
        <v>-0.15586034912718194</v>
      </c>
      <c r="M9597" s="401">
        <f>SUM(C9597,C9573,C9549,C9525,C9501,C9477,C9453)/POBLA!$B$20*100000</f>
        <v>253.48785063084841</v>
      </c>
    </row>
    <row r="9598" spans="1:13" s="360" customFormat="1" x14ac:dyDescent="0.25">
      <c r="A9598" s="367" t="s">
        <v>22</v>
      </c>
      <c r="B9598" s="2">
        <v>44292</v>
      </c>
      <c r="C9598" s="1">
        <v>1296</v>
      </c>
      <c r="D9598" s="39">
        <f t="shared" si="1548"/>
        <v>235937</v>
      </c>
      <c r="E9598" s="1">
        <v>10</v>
      </c>
      <c r="F9598" s="39">
        <f t="shared" si="1549"/>
        <v>4295</v>
      </c>
      <c r="G9598" s="168">
        <f>SUM(C9598,C9574,C9550,C9526,C9502,C9478,C9454,C9430,C9406,C9382,C9358,C9334,C9310,C9286)/POBLA!$B$21*100000</f>
        <v>264.84425766411101</v>
      </c>
      <c r="H9598" s="256">
        <f t="shared" si="1544"/>
        <v>1.439815526518063</v>
      </c>
      <c r="I9598" s="297">
        <f t="shared" si="1546"/>
        <v>381.32687429393752</v>
      </c>
      <c r="J9598" s="297">
        <f t="shared" si="1547"/>
        <v>766.14285714285711</v>
      </c>
      <c r="K9598" s="297">
        <f>J9598/POBLA!$B$21*100000</f>
        <v>21.664375001565343</v>
      </c>
      <c r="L9598" s="549">
        <f t="shared" si="1545"/>
        <v>-0.33974519110667001</v>
      </c>
      <c r="M9598" s="401">
        <f>SUM(C9598,C9574,C9550,C9526,C9502,C9478,C9454)/POBLA!$B$21*100000</f>
        <v>151.65062501095741</v>
      </c>
    </row>
    <row r="9599" spans="1:13" s="360" customFormat="1" x14ac:dyDescent="0.25">
      <c r="A9599" s="367" t="s">
        <v>38</v>
      </c>
      <c r="B9599" s="2">
        <v>44292</v>
      </c>
      <c r="C9599" s="1">
        <v>104</v>
      </c>
      <c r="D9599" s="39">
        <f t="shared" si="1548"/>
        <v>25862</v>
      </c>
      <c r="E9599" s="1"/>
      <c r="F9599" s="39">
        <f t="shared" si="1549"/>
        <v>302</v>
      </c>
      <c r="G9599" s="168">
        <f>SUM(C9599,C9575,C9551,C9527,C9503,C9479,C9455,C9431,C9407,C9383,C9359,C9335,C9311,C9287)/POBLA!$B$22*100000</f>
        <v>166.20447648145327</v>
      </c>
      <c r="H9599" s="256">
        <f t="shared" si="1544"/>
        <v>1.4635463546354635</v>
      </c>
      <c r="I9599" s="297">
        <f t="shared" si="1546"/>
        <v>243.24795567852655</v>
      </c>
      <c r="J9599" s="297">
        <f t="shared" si="1547"/>
        <v>125.71428571428571</v>
      </c>
      <c r="K9599" s="297">
        <f>J9599/POBLA!$B$22*100000</f>
        <v>12.850108882769186</v>
      </c>
      <c r="L9599" s="549">
        <f t="shared" si="1545"/>
        <v>-0.17962466487935647</v>
      </c>
      <c r="M9599" s="401">
        <f>SUM(C9599,C9575,C9551,C9527,C9503,C9479,C9455)/POBLA!$B$22*100000</f>
        <v>89.950762179384313</v>
      </c>
    </row>
    <row r="9600" spans="1:13" s="360" customFormat="1" x14ac:dyDescent="0.25">
      <c r="A9600" s="367" t="s">
        <v>39</v>
      </c>
      <c r="B9600" s="2">
        <v>44292</v>
      </c>
      <c r="C9600" s="1">
        <v>75</v>
      </c>
      <c r="D9600" s="39">
        <f t="shared" si="1548"/>
        <v>24439</v>
      </c>
      <c r="E9600" s="1"/>
      <c r="F9600" s="39">
        <f t="shared" si="1549"/>
        <v>367</v>
      </c>
      <c r="G9600" s="168">
        <f>SUM(C9600,C9576,C9552,C9528,C9504,C9480,C9456,C9432,C9408,C9384,C9360,C9336,C9312,C9288)/POBLA!$B$23*100000</f>
        <v>439.40507832381383</v>
      </c>
      <c r="H9600" s="256">
        <f t="shared" si="1544"/>
        <v>1.845605700712589</v>
      </c>
      <c r="I9600" s="297">
        <f t="shared" si="1546"/>
        <v>810.96851747649248</v>
      </c>
      <c r="J9600" s="297">
        <f t="shared" si="1547"/>
        <v>62.142857142857146</v>
      </c>
      <c r="K9600" s="297">
        <f>J9600/POBLA!$B$23*100000</f>
        <v>35.142711724739662</v>
      </c>
      <c r="L9600" s="549">
        <f t="shared" si="1545"/>
        <v>-0.27192982456140347</v>
      </c>
      <c r="M9600" s="401">
        <f>SUM(C9600,C9576,C9552,C9528,C9504,C9480,C9456)/POBLA!$B$23*100000</f>
        <v>245.99898207317764</v>
      </c>
    </row>
    <row r="9601" spans="1:13" s="360" customFormat="1" ht="15.75" thickBot="1" x14ac:dyDescent="0.3">
      <c r="A9601" s="369" t="s">
        <v>40</v>
      </c>
      <c r="B9601" s="266">
        <v>44292</v>
      </c>
      <c r="C9601" s="44">
        <v>623</v>
      </c>
      <c r="D9601" s="176">
        <f t="shared" si="1548"/>
        <v>90227</v>
      </c>
      <c r="E9601" s="44"/>
      <c r="F9601" s="176">
        <f t="shared" si="1549"/>
        <v>1502</v>
      </c>
      <c r="G9601" s="177">
        <f>SUM(C9601,C9577,C9553,C9529,C9505,C9481,C9457,C9433,C9409,C9385,C9361,C9337,C9313,C9289)/POBLA!$B$24*100000</f>
        <v>327.44108538842102</v>
      </c>
      <c r="H9601" s="402">
        <f t="shared" si="1544"/>
        <v>1.5715094873973379</v>
      </c>
      <c r="I9601" s="403">
        <f t="shared" si="1546"/>
        <v>514.57677225158545</v>
      </c>
      <c r="J9601" s="403">
        <f t="shared" si="1547"/>
        <v>446.14285714285717</v>
      </c>
      <c r="K9601" s="403">
        <f>J9601/POBLA!$B$24*100000</f>
        <v>26.326455466056657</v>
      </c>
      <c r="L9601" s="550">
        <f t="shared" si="1545"/>
        <v>-0.2873042044517724</v>
      </c>
      <c r="M9601" s="405">
        <f>SUM(C9601,C9577,C9553,C9529,C9505,C9481,C9457)/POBLA!$B$24*100000</f>
        <v>184.28518826239662</v>
      </c>
    </row>
    <row r="9602" spans="1:13" s="360" customFormat="1" ht="15.75" thickBot="1" x14ac:dyDescent="0.3">
      <c r="A9602" s="363" t="s">
        <v>16</v>
      </c>
      <c r="B9602" s="266">
        <v>44293</v>
      </c>
      <c r="C9602" s="225">
        <v>11059</v>
      </c>
      <c r="D9602" s="174">
        <f t="shared" si="1548"/>
        <v>1037954</v>
      </c>
      <c r="E9602" s="225">
        <v>116</v>
      </c>
      <c r="F9602" s="174">
        <f t="shared" si="1549"/>
        <v>28784</v>
      </c>
      <c r="G9602" s="175">
        <f>SUM(C9602,C9578,C9554,C9530,C9506,C9482,C9458,C9434,C9410,C9386,C9362,C9338,C9314,C9290)/POBLA!$B$1*100000</f>
        <v>500.62877893747054</v>
      </c>
      <c r="H9602" s="300">
        <f t="shared" ref="H9602:H9625" si="1550">SUM(C9602,C9578,C9554,C9530,C9506,C9482,C9458,C9434,C9410,C9386,C9362,C9338,C9314,C9290)/SUM(C9266,C9242,C9218,C9194,C9170,C9146,C9122,C9098,C9074,C9050,C9026,C9002,C8978,C8954)</f>
        <v>2.0060307017543861</v>
      </c>
      <c r="I9602" s="301">
        <f>G9602*H9602</f>
        <v>1004.2767007303755</v>
      </c>
      <c r="J9602" s="301">
        <f>AVERAGE(C9602,C9578,C9554,C9530,C9506,C9482,C9458)</f>
        <v>7198.1428571428569</v>
      </c>
      <c r="K9602" s="301">
        <f>J9602/POBLA!$B$1*100000</f>
        <v>41.035773312254072</v>
      </c>
      <c r="L9602" s="548">
        <f t="shared" ref="L9602:L9625" si="1551">1-SUM(C9602,C9578,C9554,C9530,C9506,C9482,C9458)/SUM(C9434,C9410,C9386,C9362,C9338,C9314,C9290)</f>
        <v>-0.34620214272355665</v>
      </c>
      <c r="M9602" s="400">
        <f>SUM(C9602,C9578,C9554,C9530,C9506,C9482,C9458)/POBLA!$B$1*100000</f>
        <v>287.25041318577854</v>
      </c>
    </row>
    <row r="9603" spans="1:13" s="360" customFormat="1" ht="15.75" thickBot="1" x14ac:dyDescent="0.3">
      <c r="A9603" s="367" t="s">
        <v>43</v>
      </c>
      <c r="B9603" s="266">
        <v>44293</v>
      </c>
      <c r="C9603" s="1">
        <v>2480</v>
      </c>
      <c r="D9603" s="39">
        <f t="shared" si="1548"/>
        <v>275629</v>
      </c>
      <c r="E9603" s="1">
        <v>38</v>
      </c>
      <c r="F9603" s="39">
        <f t="shared" si="1549"/>
        <v>6996</v>
      </c>
      <c r="G9603" s="168">
        <f>SUM(C9603,C9579,C9555,C9531,C9507,C9483,C9459,C9435,C9411,C9387,C9363,C9339,C9315,C9291)/POBLA!$B$2*100000</f>
        <v>794.85740556618032</v>
      </c>
      <c r="H9603" s="256">
        <f t="shared" si="1550"/>
        <v>1.9986102027468935</v>
      </c>
      <c r="I9603" s="297">
        <f t="shared" ref="I9603:I9625" si="1552">G9603*H9603</f>
        <v>1588.6101204934935</v>
      </c>
      <c r="J9603" s="297">
        <f t="shared" ref="J9603:J9625" si="1553">AVERAGE(C9603,C9579,C9555,C9531,C9507,C9483,C9459)</f>
        <v>2042.2857142857142</v>
      </c>
      <c r="K9603" s="297">
        <f>J9603/POBLA!$B$2*100000</f>
        <v>66.401845800385161</v>
      </c>
      <c r="L9603" s="549">
        <f t="shared" si="1551"/>
        <v>-0.40833415427051523</v>
      </c>
      <c r="M9603" s="401">
        <f>SUM(C9603,C9579,C9555,C9531,C9507,C9483,C9459)/POBLA!$B$2*100000</f>
        <v>464.81292060269612</v>
      </c>
    </row>
    <row r="9604" spans="1:13" s="360" customFormat="1" ht="15.75" thickBot="1" x14ac:dyDescent="0.3">
      <c r="A9604" s="367" t="s">
        <v>28</v>
      </c>
      <c r="B9604" s="266">
        <v>44293</v>
      </c>
      <c r="C9604" s="1">
        <v>123</v>
      </c>
      <c r="D9604" s="39">
        <f t="shared" si="1548"/>
        <v>11116</v>
      </c>
      <c r="E9604" s="1"/>
      <c r="F9604" s="39">
        <f t="shared" si="1549"/>
        <v>18</v>
      </c>
      <c r="G9604" s="168">
        <f>SUM(C9604,C9580,C9556,C9532,C9508,C9484,C9460,C9436,C9412,C9388,C9364,C9340,C9316,C9292)/POBLA!$B$3*100000</f>
        <v>289.33318569798621</v>
      </c>
      <c r="H9604" s="256">
        <f t="shared" si="1550"/>
        <v>0.98202614379084963</v>
      </c>
      <c r="I9604" s="297">
        <f t="shared" si="1552"/>
        <v>284.13275262171521</v>
      </c>
      <c r="J9604" s="297">
        <f t="shared" si="1553"/>
        <v>93.714285714285708</v>
      </c>
      <c r="K9604" s="297">
        <f>J9604/POBLA!$B$3*100000</f>
        <v>22.55794744685987</v>
      </c>
      <c r="L9604" s="549">
        <f t="shared" si="1551"/>
        <v>-0.20146520146520142</v>
      </c>
      <c r="M9604" s="401">
        <f>SUM(C9604,C9580,C9556,C9532,C9508,C9484,C9460)/POBLA!$B$3*100000</f>
        <v>157.90563212801911</v>
      </c>
    </row>
    <row r="9605" spans="1:13" s="360" customFormat="1" ht="15.75" thickBot="1" x14ac:dyDescent="0.3">
      <c r="A9605" s="367" t="s">
        <v>15</v>
      </c>
      <c r="B9605" s="266">
        <v>44293</v>
      </c>
      <c r="C9605" s="1">
        <v>185</v>
      </c>
      <c r="D9605" s="39">
        <f t="shared" si="1548"/>
        <v>39524</v>
      </c>
      <c r="E9605" s="1">
        <v>3</v>
      </c>
      <c r="F9605" s="39">
        <f t="shared" si="1549"/>
        <v>950</v>
      </c>
      <c r="G9605" s="168">
        <f>SUM(C9605,C9581,C9557,C9533,C9509,C9485,C9461,C9437,C9413,C9389,C9365,C9341,C9317,C9293)/POBLA!$B$4*100000</f>
        <v>178.40820694355776</v>
      </c>
      <c r="H9605" s="256">
        <f t="shared" si="1550"/>
        <v>1.0986707566462168</v>
      </c>
      <c r="I9605" s="297">
        <f t="shared" si="1552"/>
        <v>196.01187971457344</v>
      </c>
      <c r="J9605" s="297">
        <f t="shared" si="1553"/>
        <v>147.42857142857142</v>
      </c>
      <c r="K9605" s="297">
        <f>J9605/POBLA!$B$4*100000</f>
        <v>12.239398362411196</v>
      </c>
      <c r="L9605" s="549">
        <f t="shared" si="1551"/>
        <v>7.6096687555953446E-2</v>
      </c>
      <c r="M9605" s="401">
        <f>SUM(C9605,C9581,C9557,C9533,C9509,C9485,C9461)/POBLA!$B$4*100000</f>
        <v>85.675788536878358</v>
      </c>
    </row>
    <row r="9606" spans="1:13" s="360" customFormat="1" ht="15.75" thickBot="1" x14ac:dyDescent="0.3">
      <c r="A9606" s="367" t="s">
        <v>29</v>
      </c>
      <c r="B9606" s="266">
        <v>44293</v>
      </c>
      <c r="C9606" s="1">
        <v>193</v>
      </c>
      <c r="D9606" s="39">
        <f t="shared" si="1548"/>
        <v>50836</v>
      </c>
      <c r="E9606" s="1"/>
      <c r="F9606" s="39">
        <f t="shared" si="1549"/>
        <v>870</v>
      </c>
      <c r="G9606" s="168">
        <f>SUM(C9606,C9582,C9558,C9534,C9510,C9486,C9462,C9438,C9414,C9390,C9366,C9342,C9318,C9294)/POBLA!$B$5*100000</f>
        <v>277.38556431887872</v>
      </c>
      <c r="H9606" s="256">
        <f t="shared" si="1550"/>
        <v>1.3086890243902438</v>
      </c>
      <c r="I9606" s="297">
        <f t="shared" si="1552"/>
        <v>363.01144354841063</v>
      </c>
      <c r="J9606" s="297">
        <f t="shared" si="1553"/>
        <v>103.28571428571429</v>
      </c>
      <c r="K9606" s="297">
        <f>J9606/POBLA!$B$5*100000</f>
        <v>16.686060654176664</v>
      </c>
      <c r="L9606" s="549">
        <f t="shared" si="1551"/>
        <v>0.27263581488933597</v>
      </c>
      <c r="M9606" s="401">
        <f>SUM(C9606,C9582,C9558,C9534,C9510,C9486,C9462)/POBLA!$B$5*100000</f>
        <v>116.80242457923664</v>
      </c>
    </row>
    <row r="9607" spans="1:13" s="360" customFormat="1" ht="15.75" thickBot="1" x14ac:dyDescent="0.3">
      <c r="A9607" s="367" t="s">
        <v>30</v>
      </c>
      <c r="B9607" s="266">
        <v>44293</v>
      </c>
      <c r="C9607" s="1">
        <v>433</v>
      </c>
      <c r="D9607" s="39">
        <f t="shared" si="1548"/>
        <v>31832</v>
      </c>
      <c r="E9607" s="1">
        <v>2</v>
      </c>
      <c r="F9607" s="39">
        <f t="shared" si="1549"/>
        <v>337</v>
      </c>
      <c r="G9607" s="168">
        <f>SUM(C9607,C9583,C9559,C9535,C9511,C9487,C9463,C9439,C9415,C9391,C9367,C9343,C9319,C9295)/POBLA!$B$6*100000</f>
        <v>422.73338442774411</v>
      </c>
      <c r="H9607" s="256">
        <f t="shared" si="1550"/>
        <v>1.5108418367346939</v>
      </c>
      <c r="I9607" s="297">
        <f t="shared" si="1552"/>
        <v>638.68328297788639</v>
      </c>
      <c r="J9607" s="297">
        <f t="shared" si="1553"/>
        <v>253.71428571428572</v>
      </c>
      <c r="K9607" s="297">
        <f>J9607/POBLA!$B$6*100000</f>
        <v>22.636871818840788</v>
      </c>
      <c r="L9607" s="549">
        <f t="shared" si="1551"/>
        <v>0.40040513166779201</v>
      </c>
      <c r="M9607" s="401">
        <f>SUM(C9607,C9583,C9559,C9535,C9511,C9487,C9463)/POBLA!$B$6*100000</f>
        <v>158.4581027318855</v>
      </c>
    </row>
    <row r="9608" spans="1:13" s="360" customFormat="1" ht="15.75" thickBot="1" x14ac:dyDescent="0.3">
      <c r="A9608" s="367" t="s">
        <v>20</v>
      </c>
      <c r="B9608" s="266">
        <v>44293</v>
      </c>
      <c r="C9608" s="1">
        <v>2109</v>
      </c>
      <c r="D9608" s="39">
        <f t="shared" si="1548"/>
        <v>188864</v>
      </c>
      <c r="E9608" s="1">
        <v>9</v>
      </c>
      <c r="F9608" s="39">
        <f t="shared" si="1549"/>
        <v>3082</v>
      </c>
      <c r="G9608" s="168">
        <f>SUM(C9608,C9584,C9560,C9536,C9512,C9488,C9464,C9440,C9416,C9392,C9368,C9344,C9320,C9296)/POBLA!$B$7*100000</f>
        <v>384.71459532768688</v>
      </c>
      <c r="H9608" s="256">
        <f t="shared" si="1550"/>
        <v>1.6596306068601583</v>
      </c>
      <c r="I9608" s="297">
        <f t="shared" si="1552"/>
        <v>638.48411731164924</v>
      </c>
      <c r="J9608" s="297">
        <f t="shared" si="1553"/>
        <v>1175.8571428571429</v>
      </c>
      <c r="K9608" s="297">
        <f>J9608/POBLA!$B$7*100000</f>
        <v>31.269054045583452</v>
      </c>
      <c r="L9608" s="549">
        <f t="shared" si="1551"/>
        <v>-0.31991661321359843</v>
      </c>
      <c r="M9608" s="401">
        <f>SUM(C9608,C9584,C9560,C9536,C9512,C9488,C9464)/POBLA!$B$7*100000</f>
        <v>218.88337831908416</v>
      </c>
    </row>
    <row r="9609" spans="1:13" ht="15.75" thickBot="1" x14ac:dyDescent="0.3">
      <c r="A9609" s="367" t="s">
        <v>31</v>
      </c>
      <c r="B9609" s="266">
        <v>44293</v>
      </c>
      <c r="C9609" s="1">
        <v>411</v>
      </c>
      <c r="D9609" s="39">
        <f t="shared" si="1548"/>
        <v>51533</v>
      </c>
      <c r="E9609" s="1">
        <v>1</v>
      </c>
      <c r="F9609" s="39">
        <f t="shared" si="1549"/>
        <v>954</v>
      </c>
      <c r="G9609" s="168">
        <f>SUM(C9609,C9585,C9561,C9537,C9513,C9489,C9465,C9441,C9417,C9393,C9369,C9345,C9321,C9297)/POBLA!$B$8*100000</f>
        <v>211.33350794142115</v>
      </c>
      <c r="H9609" s="256">
        <f t="shared" si="1550"/>
        <v>1.3350045578851413</v>
      </c>
      <c r="I9609" s="297">
        <f t="shared" si="1552"/>
        <v>282.13119633565293</v>
      </c>
      <c r="J9609" s="297">
        <f t="shared" si="1553"/>
        <v>227.71428571428572</v>
      </c>
      <c r="K9609" s="297">
        <f>J9609/POBLA!$B$8*100000</f>
        <v>16.430064461719034</v>
      </c>
      <c r="L9609" s="549">
        <f t="shared" si="1551"/>
        <v>-0.19400749063670419</v>
      </c>
      <c r="M9609" s="401">
        <f>SUM(C9609,C9585,C9561,C9537,C9513,C9489,C9465)/POBLA!$B$8*100000</f>
        <v>115.01045123203323</v>
      </c>
    </row>
    <row r="9610" spans="1:13" s="360" customFormat="1" ht="15.75" thickBot="1" x14ac:dyDescent="0.3">
      <c r="A9610" s="367" t="s">
        <v>41</v>
      </c>
      <c r="B9610" s="266">
        <v>44293</v>
      </c>
      <c r="C9610" s="1">
        <v>91</v>
      </c>
      <c r="D9610" s="39">
        <f t="shared" si="1548"/>
        <v>2529</v>
      </c>
      <c r="E9610" s="1"/>
      <c r="F9610" s="39">
        <f t="shared" si="1549"/>
        <v>41</v>
      </c>
      <c r="G9610" s="168">
        <f>SUM(C9610,C9586,C9562,C9538,C9514,C9490,C9466,C9442,C9418,C9394,C9370,C9346,C9322,C9298)/POBLA!$B$9*100000</f>
        <v>125.57977372507614</v>
      </c>
      <c r="H9610" s="256">
        <f t="shared" si="1550"/>
        <v>2.2287390029325511</v>
      </c>
      <c r="I9610" s="297">
        <f t="shared" si="1552"/>
        <v>279.88453968052158</v>
      </c>
      <c r="J9610" s="297">
        <f t="shared" si="1553"/>
        <v>38.857142857142854</v>
      </c>
      <c r="K9610" s="297">
        <f>J9610/POBLA!$B$9*100000</f>
        <v>6.4206200100038915</v>
      </c>
      <c r="L9610" s="549">
        <f t="shared" si="1551"/>
        <v>0.44262295081967218</v>
      </c>
      <c r="M9610" s="401">
        <f>SUM(C9610,C9586,C9562,C9538,C9514,C9490,C9466)/POBLA!$B$9*100000</f>
        <v>44.944340070027252</v>
      </c>
    </row>
    <row r="9611" spans="1:13" s="360" customFormat="1" ht="15.75" thickBot="1" x14ac:dyDescent="0.3">
      <c r="A9611" s="367" t="s">
        <v>32</v>
      </c>
      <c r="B9611" s="266">
        <v>44293</v>
      </c>
      <c r="C9611" s="1">
        <v>48</v>
      </c>
      <c r="D9611" s="39">
        <f t="shared" si="1548"/>
        <v>22822</v>
      </c>
      <c r="E9611" s="1">
        <v>2</v>
      </c>
      <c r="F9611" s="39">
        <f t="shared" si="1549"/>
        <v>979</v>
      </c>
      <c r="G9611" s="168">
        <f>SUM(C9611,C9587,C9563,C9539,C9515,C9491,C9467,C9443,C9419,C9395,C9371,C9347,C9323,C9299)/POBLA!$B$10*100000</f>
        <v>91.842969278007885</v>
      </c>
      <c r="H9611" s="256">
        <f t="shared" si="1550"/>
        <v>1.0582959641255605</v>
      </c>
      <c r="I9611" s="297">
        <f t="shared" si="1552"/>
        <v>97.19704372022359</v>
      </c>
      <c r="J9611" s="297">
        <f t="shared" si="1553"/>
        <v>53.285714285714285</v>
      </c>
      <c r="K9611" s="297">
        <f>J9611/POBLA!$B$10*100000</f>
        <v>6.9123138701971234</v>
      </c>
      <c r="L9611" s="549">
        <f t="shared" si="1551"/>
        <v>-0.11343283582089558</v>
      </c>
      <c r="M9611" s="401">
        <f>SUM(C9611,C9587,C9563,C9539,C9515,C9491,C9467)/POBLA!$B$10*100000</f>
        <v>48.386197091379863</v>
      </c>
    </row>
    <row r="9612" spans="1:13" s="360" customFormat="1" ht="15.75" thickBot="1" x14ac:dyDescent="0.3">
      <c r="A9612" s="367" t="s">
        <v>33</v>
      </c>
      <c r="B9612" s="266">
        <v>44293</v>
      </c>
      <c r="C9612" s="1">
        <v>173</v>
      </c>
      <c r="D9612" s="39">
        <f t="shared" si="1548"/>
        <v>22078</v>
      </c>
      <c r="E9612" s="1"/>
      <c r="F9612" s="39">
        <f t="shared" si="1549"/>
        <v>326</v>
      </c>
      <c r="G9612" s="168">
        <f>SUM(C9612,C9588,C9564,C9540,C9516,C9492,C9468,C9444,C9420,C9396,C9372,C9348,C9324,C9300)/POBLA!$B$11*100000</f>
        <v>379.71363844342517</v>
      </c>
      <c r="H9612" s="256">
        <f t="shared" si="1550"/>
        <v>1.1247933884297521</v>
      </c>
      <c r="I9612" s="297">
        <f t="shared" si="1552"/>
        <v>427.09939001776996</v>
      </c>
      <c r="J9612" s="297">
        <f t="shared" si="1553"/>
        <v>112.57142857142857</v>
      </c>
      <c r="K9612" s="297">
        <f>J9612/POBLA!$B$11*100000</f>
        <v>31.406985104798892</v>
      </c>
      <c r="L9612" s="549">
        <f t="shared" si="1551"/>
        <v>-0.37521815008726001</v>
      </c>
      <c r="M9612" s="401">
        <f>SUM(C9612,C9588,C9564,C9540,C9516,C9492,C9468)/POBLA!$B$11*100000</f>
        <v>219.84889573359226</v>
      </c>
    </row>
    <row r="9613" spans="1:13" s="360" customFormat="1" ht="15.75" thickBot="1" x14ac:dyDescent="0.3">
      <c r="A9613" s="367" t="s">
        <v>21</v>
      </c>
      <c r="B9613" s="266">
        <v>44293</v>
      </c>
      <c r="C9613" s="1">
        <v>126</v>
      </c>
      <c r="D9613" s="39">
        <f t="shared" si="1548"/>
        <v>11605</v>
      </c>
      <c r="E9613" s="1">
        <v>2</v>
      </c>
      <c r="F9613" s="39">
        <f t="shared" si="1549"/>
        <v>451</v>
      </c>
      <c r="G9613" s="168">
        <f>SUM(C9613,C9589,C9565,C9541,C9517,C9493,C9469,C9445,C9421,C9397,C9373,C9349,C9325,C9301)/POBLA!$B$12*100000</f>
        <v>214.7226012690233</v>
      </c>
      <c r="H9613" s="256">
        <f t="shared" si="1550"/>
        <v>2.4926253687315634</v>
      </c>
      <c r="I9613" s="297">
        <f t="shared" si="1552"/>
        <v>535.22300316319968</v>
      </c>
      <c r="J9613" s="297">
        <f t="shared" si="1553"/>
        <v>72.428571428571431</v>
      </c>
      <c r="K9613" s="297">
        <f>J9613/POBLA!$B$12*100000</f>
        <v>18.404794394487709</v>
      </c>
      <c r="L9613" s="549">
        <f t="shared" si="1551"/>
        <v>-0.5</v>
      </c>
      <c r="M9613" s="401">
        <f>SUM(C9613,C9589,C9565,C9541,C9517,C9493,C9469)/POBLA!$B$12*100000</f>
        <v>128.83356076141396</v>
      </c>
    </row>
    <row r="9614" spans="1:13" s="360" customFormat="1" ht="15.75" thickBot="1" x14ac:dyDescent="0.3">
      <c r="A9614" s="367" t="s">
        <v>17</v>
      </c>
      <c r="B9614" s="266">
        <v>44293</v>
      </c>
      <c r="C9614" s="1">
        <v>1005</v>
      </c>
      <c r="D9614" s="39">
        <f t="shared" si="1548"/>
        <v>76744</v>
      </c>
      <c r="E9614" s="1">
        <v>3</v>
      </c>
      <c r="F9614" s="39">
        <f t="shared" si="1549"/>
        <v>1523</v>
      </c>
      <c r="G9614" s="168">
        <f>SUM(C9614,C9590,C9566,C9542,C9518,C9494,C9470,C9446,C9422,C9398,C9374,C9350,C9326,C9302)/POBLA!$B$13*100000</f>
        <v>288.84541218627186</v>
      </c>
      <c r="H9614" s="256">
        <f t="shared" si="1550"/>
        <v>2.6275137111517366</v>
      </c>
      <c r="I9614" s="297">
        <f t="shared" si="1552"/>
        <v>758.94528092270423</v>
      </c>
      <c r="J9614" s="297">
        <f t="shared" si="1553"/>
        <v>533.85714285714289</v>
      </c>
      <c r="K9614" s="297">
        <f>J9614/POBLA!$B$13*100000</f>
        <v>26.822436332780807</v>
      </c>
      <c r="L9614" s="549">
        <f t="shared" si="1551"/>
        <v>-0.85735586481113324</v>
      </c>
      <c r="M9614" s="401">
        <f>SUM(C9614,C9590,C9566,C9542,C9518,C9494,C9470)/POBLA!$B$13*100000</f>
        <v>187.75705432946566</v>
      </c>
    </row>
    <row r="9615" spans="1:13" s="360" customFormat="1" ht="15.75" thickBot="1" x14ac:dyDescent="0.3">
      <c r="A9615" s="367" t="s">
        <v>23</v>
      </c>
      <c r="B9615" s="266">
        <v>44293</v>
      </c>
      <c r="C9615" s="1">
        <v>101</v>
      </c>
      <c r="D9615" s="39">
        <f t="shared" si="1548"/>
        <v>12715</v>
      </c>
      <c r="E9615" s="1">
        <v>2</v>
      </c>
      <c r="F9615" s="39">
        <f t="shared" si="1549"/>
        <v>216</v>
      </c>
      <c r="G9615" s="168">
        <f>SUM(C9615,C9591,C9567,C9543,C9519,C9495,C9471,C9447,C9423,C9399,C9375,C9351,C9327,C9303)/POBLA!$B$14*100000</f>
        <v>122.96895093451646</v>
      </c>
      <c r="H9615" s="256">
        <f t="shared" si="1550"/>
        <v>0.91396582203889221</v>
      </c>
      <c r="I9615" s="297">
        <f t="shared" si="1552"/>
        <v>112.38941832612554</v>
      </c>
      <c r="J9615" s="297">
        <f t="shared" si="1553"/>
        <v>91.857142857142861</v>
      </c>
      <c r="K9615" s="297">
        <f>J9615/POBLA!$B$14*100000</f>
        <v>7.2827701437684516</v>
      </c>
      <c r="L9615" s="549">
        <f t="shared" si="1551"/>
        <v>0.29185022026431717</v>
      </c>
      <c r="M9615" s="401">
        <f>SUM(C9615,C9591,C9567,C9543,C9519,C9495,C9471)/POBLA!$B$14*100000</f>
        <v>50.97939100637916</v>
      </c>
    </row>
    <row r="9616" spans="1:13" s="360" customFormat="1" ht="15.75" thickBot="1" x14ac:dyDescent="0.3">
      <c r="A9616" s="367" t="s">
        <v>19</v>
      </c>
      <c r="B9616" s="266">
        <v>44293</v>
      </c>
      <c r="C9616" s="1">
        <v>183</v>
      </c>
      <c r="D9616" s="39">
        <f t="shared" si="1548"/>
        <v>66042</v>
      </c>
      <c r="E9616" s="1">
        <v>2</v>
      </c>
      <c r="F9616" s="39">
        <f t="shared" si="1549"/>
        <v>1015</v>
      </c>
      <c r="G9616" s="168">
        <f>SUM(C9616,C9592,C9568,C9544,C9520,C9496,C9472,C9448,C9424,C9400,C9376,C9352,C9328,C9304)/POBLA!$B$15*100000</f>
        <v>236.72666653615579</v>
      </c>
      <c r="H9616" s="256">
        <f t="shared" si="1550"/>
        <v>0.90657439446366783</v>
      </c>
      <c r="I9616" s="297">
        <f t="shared" si="1552"/>
        <v>214.61033436841805</v>
      </c>
      <c r="J9616" s="297">
        <f t="shared" si="1553"/>
        <v>118.28571428571429</v>
      </c>
      <c r="K9616" s="297">
        <f>J9616/POBLA!$B$15*100000</f>
        <v>17.812584504901583</v>
      </c>
      <c r="L9616" s="549">
        <f t="shared" si="1551"/>
        <v>-0.11290322580645151</v>
      </c>
      <c r="M9616" s="401">
        <f>SUM(C9616,C9592,C9568,C9544,C9520,C9496,C9472)/POBLA!$B$15*100000</f>
        <v>124.68809153431107</v>
      </c>
    </row>
    <row r="9617" spans="1:13" s="360" customFormat="1" ht="15.75" thickBot="1" x14ac:dyDescent="0.3">
      <c r="A9617" s="367" t="s">
        <v>18</v>
      </c>
      <c r="B9617" s="266">
        <v>44293</v>
      </c>
      <c r="C9617" s="1">
        <v>131</v>
      </c>
      <c r="D9617" s="39">
        <f t="shared" si="1548"/>
        <v>56223</v>
      </c>
      <c r="E9617" s="1">
        <v>2</v>
      </c>
      <c r="F9617" s="39">
        <f t="shared" si="1549"/>
        <v>1294</v>
      </c>
      <c r="G9617" s="168">
        <f>SUM(C9617,C9593,C9569,C9545,C9521,C9497,C9473,C9449,C9425,C9401,C9377,C9353,C9329,C9305)/POBLA!$B$16*100000</f>
        <v>203.44832198606224</v>
      </c>
      <c r="H9617" s="256">
        <f t="shared" si="1550"/>
        <v>1.2792262405382675</v>
      </c>
      <c r="I9617" s="297">
        <f t="shared" si="1552"/>
        <v>260.25643207804933</v>
      </c>
      <c r="J9617" s="297">
        <f t="shared" si="1553"/>
        <v>114</v>
      </c>
      <c r="K9617" s="297">
        <f>J9617/POBLA!$B$16*100000</f>
        <v>15.248592180414924</v>
      </c>
      <c r="L9617" s="549">
        <f t="shared" si="1551"/>
        <v>-0.10373443983402497</v>
      </c>
      <c r="M9617" s="401">
        <f>SUM(C9617,C9593,C9569,C9545,C9521,C9497,C9473)/POBLA!$B$16*100000</f>
        <v>106.74014526290446</v>
      </c>
    </row>
    <row r="9618" spans="1:13" s="360" customFormat="1" ht="15.75" thickBot="1" x14ac:dyDescent="0.3">
      <c r="A9618" s="367" t="s">
        <v>34</v>
      </c>
      <c r="B9618" s="266">
        <v>44293</v>
      </c>
      <c r="C9618" s="1">
        <v>193</v>
      </c>
      <c r="D9618" s="39">
        <f t="shared" si="1548"/>
        <v>30263</v>
      </c>
      <c r="E9618" s="1">
        <v>2</v>
      </c>
      <c r="F9618" s="39">
        <f t="shared" si="1549"/>
        <v>1222</v>
      </c>
      <c r="G9618" s="168">
        <f>SUM(C9618,C9594,C9570,C9546,C9522,C9498,C9474,C9450,C9426,C9402,C9378,C9354,C9330,C9306)/POBLA!$B$17*100000</f>
        <v>115.62787621709398</v>
      </c>
      <c r="H9618" s="256">
        <f t="shared" si="1550"/>
        <v>1.1722419928825623</v>
      </c>
      <c r="I9618" s="297">
        <f t="shared" si="1552"/>
        <v>135.54385204950447</v>
      </c>
      <c r="J9618" s="297">
        <f t="shared" si="1553"/>
        <v>128.71428571428572</v>
      </c>
      <c r="K9618" s="297">
        <f>J9618/POBLA!$B$17*100000</f>
        <v>9.036405279868303</v>
      </c>
      <c r="L9618" s="549">
        <f t="shared" si="1551"/>
        <v>-0.20777479892761397</v>
      </c>
      <c r="M9618" s="401">
        <f>SUM(C9618,C9594,C9570,C9546,C9522,C9498,C9474)/POBLA!$B$17*100000</f>
        <v>63.254836959078119</v>
      </c>
    </row>
    <row r="9619" spans="1:13" s="360" customFormat="1" ht="15.75" thickBot="1" x14ac:dyDescent="0.3">
      <c r="A9619" s="367" t="s">
        <v>35</v>
      </c>
      <c r="B9619" s="266">
        <v>44293</v>
      </c>
      <c r="C9619" s="1">
        <v>258</v>
      </c>
      <c r="D9619" s="39">
        <f t="shared" si="1548"/>
        <v>18130</v>
      </c>
      <c r="E9619" s="1"/>
      <c r="F9619" s="39">
        <f t="shared" si="1549"/>
        <v>227</v>
      </c>
      <c r="G9619" s="168">
        <f>SUM(C9619,C9595,C9571,C9547,C9523,C9499,C9475,C9451,C9427,C9403,C9379,C9355,C9331,C9307)/POBLA!$B$18*100000</f>
        <v>205.83269437301033</v>
      </c>
      <c r="H9619" s="256">
        <f t="shared" si="1550"/>
        <v>2.0775193798449614</v>
      </c>
      <c r="I9619" s="297">
        <f t="shared" si="1552"/>
        <v>427.62141156563388</v>
      </c>
      <c r="J9619" s="297">
        <f t="shared" si="1553"/>
        <v>118.28571428571429</v>
      </c>
      <c r="K9619" s="297">
        <f>J9619/POBLA!$B$18*100000</f>
        <v>15.141210993323789</v>
      </c>
      <c r="L9619" s="549">
        <f t="shared" si="1551"/>
        <v>-6.1538461538461542E-2</v>
      </c>
      <c r="M9619" s="401">
        <f>SUM(C9619,C9595,C9571,C9547,C9523,C9499,C9475)/POBLA!$B$18*100000</f>
        <v>105.98847695326651</v>
      </c>
    </row>
    <row r="9620" spans="1:13" s="360" customFormat="1" ht="15.75" thickBot="1" x14ac:dyDescent="0.3">
      <c r="A9620" s="367" t="s">
        <v>36</v>
      </c>
      <c r="B9620" s="266">
        <v>44293</v>
      </c>
      <c r="C9620" s="1">
        <v>346</v>
      </c>
      <c r="D9620" s="39">
        <f t="shared" si="1548"/>
        <v>24636</v>
      </c>
      <c r="E9620" s="1">
        <v>1</v>
      </c>
      <c r="F9620" s="39">
        <f t="shared" si="1549"/>
        <v>441</v>
      </c>
      <c r="G9620" s="168">
        <f>SUM(C9620,C9596,C9572,C9548,C9524,C9500,C9476,C9452,C9428,C9404,C9380,C9356,C9332,C9308)/POBLA!$B$19*100000</f>
        <v>606.10471978722398</v>
      </c>
      <c r="H9620" s="256">
        <f t="shared" si="1550"/>
        <v>4.1522911051212938</v>
      </c>
      <c r="I9620" s="297">
        <f t="shared" si="1552"/>
        <v>2516.7232367445245</v>
      </c>
      <c r="J9620" s="297">
        <f t="shared" si="1553"/>
        <v>261.85714285714283</v>
      </c>
      <c r="K9620" s="297">
        <f>J9620/POBLA!$B$19*100000</f>
        <v>51.513421030740545</v>
      </c>
      <c r="L9620" s="549">
        <f t="shared" si="1551"/>
        <v>-0.46875</v>
      </c>
      <c r="M9620" s="401">
        <f>SUM(C9620,C9596,C9572,C9548,C9524,C9500,C9476)/POBLA!$B$19*100000</f>
        <v>360.5939472151839</v>
      </c>
    </row>
    <row r="9621" spans="1:13" s="360" customFormat="1" ht="15.75" thickBot="1" x14ac:dyDescent="0.3">
      <c r="A9621" s="367" t="s">
        <v>37</v>
      </c>
      <c r="B9621" s="266">
        <v>44293</v>
      </c>
      <c r="C9621" s="1">
        <v>188</v>
      </c>
      <c r="D9621" s="39">
        <f t="shared" si="1548"/>
        <v>40325</v>
      </c>
      <c r="E9621" s="1">
        <v>1</v>
      </c>
      <c r="F9621" s="39">
        <f t="shared" si="1549"/>
        <v>654</v>
      </c>
      <c r="G9621" s="168">
        <f>SUM(C9621,C9597,C9573,C9549,C9525,C9501,C9477,C9453,C9429,C9405,C9381,C9357,C9333,C9309)/POBLA!$B$20*100000</f>
        <v>492.20941870067651</v>
      </c>
      <c r="H9621" s="256">
        <f t="shared" si="1550"/>
        <v>1.1523687580025608</v>
      </c>
      <c r="I9621" s="297">
        <f t="shared" si="1552"/>
        <v>567.20675650526096</v>
      </c>
      <c r="J9621" s="297">
        <f t="shared" si="1553"/>
        <v>131.42857142857142</v>
      </c>
      <c r="K9621" s="297">
        <f>J9621/POBLA!$B$20*100000</f>
        <v>35.939100413065269</v>
      </c>
      <c r="L9621" s="549">
        <f t="shared" si="1551"/>
        <v>-4.5454545454545414E-2</v>
      </c>
      <c r="M9621" s="401">
        <f>SUM(C9621,C9597,C9573,C9549,C9525,C9501,C9477)/POBLA!$B$20*100000</f>
        <v>251.57370289145686</v>
      </c>
    </row>
    <row r="9622" spans="1:13" s="360" customFormat="1" ht="15.75" thickBot="1" x14ac:dyDescent="0.3">
      <c r="A9622" s="367" t="s">
        <v>22</v>
      </c>
      <c r="B9622" s="266">
        <v>44293</v>
      </c>
      <c r="C9622" s="1">
        <v>1296</v>
      </c>
      <c r="D9622" s="39">
        <f t="shared" si="1548"/>
        <v>237233</v>
      </c>
      <c r="E9622" s="1">
        <v>10</v>
      </c>
      <c r="F9622" s="39">
        <f t="shared" si="1549"/>
        <v>4305</v>
      </c>
      <c r="G9622" s="168">
        <f>SUM(C9622,C9598,C9574,C9550,C9526,C9502,C9478,C9454,C9430,C9406,C9382,C9358,C9334,C9310)/POBLA!$B$21*100000</f>
        <v>285.37350505511512</v>
      </c>
      <c r="H9622" s="256">
        <f t="shared" si="1550"/>
        <v>1.5370088333840999</v>
      </c>
      <c r="I9622" s="297">
        <f t="shared" si="1552"/>
        <v>438.62159808349401</v>
      </c>
      <c r="J9622" s="297">
        <f t="shared" si="1553"/>
        <v>819.85714285714289</v>
      </c>
      <c r="K9622" s="297">
        <f>J9622/POBLA!$B$21*100000</f>
        <v>23.183264615697095</v>
      </c>
      <c r="L9622" s="549">
        <f t="shared" si="1551"/>
        <v>-0.31840110268780153</v>
      </c>
      <c r="M9622" s="401">
        <f>SUM(C9622,C9598,C9574,C9550,C9526,C9502,C9478)/POBLA!$B$21*100000</f>
        <v>162.28285230987964</v>
      </c>
    </row>
    <row r="9623" spans="1:13" s="360" customFormat="1" ht="15.75" thickBot="1" x14ac:dyDescent="0.3">
      <c r="A9623" s="367" t="s">
        <v>38</v>
      </c>
      <c r="B9623" s="266">
        <v>44293</v>
      </c>
      <c r="C9623" s="1">
        <v>176</v>
      </c>
      <c r="D9623" s="39">
        <f t="shared" si="1548"/>
        <v>26038</v>
      </c>
      <c r="E9623" s="1"/>
      <c r="F9623" s="39">
        <f t="shared" si="1549"/>
        <v>302</v>
      </c>
      <c r="G9623" s="168">
        <f>SUM(C9623,C9599,C9575,C9551,C9527,C9503,C9479,C9455,C9431,C9407,C9383,C9359,C9335,C9311)/POBLA!$B$22*100000</f>
        <v>174.17738494735326</v>
      </c>
      <c r="H9623" s="256">
        <f t="shared" si="1550"/>
        <v>1.471502590673575</v>
      </c>
      <c r="I9623" s="297">
        <f t="shared" si="1552"/>
        <v>256.30247318677885</v>
      </c>
      <c r="J9623" s="297">
        <f t="shared" si="1553"/>
        <v>132.57142857142858</v>
      </c>
      <c r="K9623" s="297">
        <f>J9623/POBLA!$B$22*100000</f>
        <v>13.551023912738417</v>
      </c>
      <c r="L9623" s="549">
        <f t="shared" si="1551"/>
        <v>-0.19587628865979378</v>
      </c>
      <c r="M9623" s="401">
        <f>SUM(C9623,C9599,C9575,C9551,C9527,C9503,C9479)/POBLA!$B$22*100000</f>
        <v>94.857167389168907</v>
      </c>
    </row>
    <row r="9624" spans="1:13" s="360" customFormat="1" ht="15.75" thickBot="1" x14ac:dyDescent="0.3">
      <c r="A9624" s="367" t="s">
        <v>39</v>
      </c>
      <c r="B9624" s="266">
        <v>44293</v>
      </c>
      <c r="C9624" s="1">
        <v>45</v>
      </c>
      <c r="D9624" s="39">
        <f t="shared" si="1548"/>
        <v>24484</v>
      </c>
      <c r="E9624" s="1">
        <v>3</v>
      </c>
      <c r="F9624" s="39">
        <f t="shared" si="1549"/>
        <v>370</v>
      </c>
      <c r="G9624" s="168">
        <f>SUM(C9624,C9600,C9576,C9552,C9528,C9504,C9480,C9456,C9432,C9408,C9384,C9360,C9336,C9312)/POBLA!$B$23*100000</f>
        <v>429.79132500141384</v>
      </c>
      <c r="H9624" s="256">
        <f t="shared" si="1550"/>
        <v>1.6239316239316239</v>
      </c>
      <c r="I9624" s="297">
        <f t="shared" si="1552"/>
        <v>697.95172436127029</v>
      </c>
      <c r="J9624" s="297">
        <f t="shared" si="1553"/>
        <v>56.571428571428569</v>
      </c>
      <c r="K9624" s="297">
        <f>J9624/POBLA!$B$23*100000</f>
        <v>31.9919858459699</v>
      </c>
      <c r="L9624" s="549">
        <f t="shared" si="1551"/>
        <v>-8.7912087912087822E-2</v>
      </c>
      <c r="M9624" s="401">
        <f>SUM(C9624,C9600,C9576,C9552,C9528,C9504,C9480)/POBLA!$B$23*100000</f>
        <v>223.94390092178926</v>
      </c>
    </row>
    <row r="9625" spans="1:13" s="360" customFormat="1" ht="15.75" thickBot="1" x14ac:dyDescent="0.3">
      <c r="A9625" s="369" t="s">
        <v>40</v>
      </c>
      <c r="B9625" s="266">
        <v>44293</v>
      </c>
      <c r="C9625" s="1">
        <v>685</v>
      </c>
      <c r="D9625" s="176">
        <f t="shared" si="1548"/>
        <v>90912</v>
      </c>
      <c r="E9625" s="1"/>
      <c r="F9625" s="176">
        <f t="shared" si="1549"/>
        <v>1502</v>
      </c>
      <c r="G9625" s="177">
        <f>SUM(C9625,C9601,C9577,C9553,C9529,C9505,C9481,C9457,C9433,C9409,C9385,C9361,C9337,C9313)/POBLA!$B$24*100000</f>
        <v>352.04784923901957</v>
      </c>
      <c r="H9625" s="402">
        <f t="shared" si="1550"/>
        <v>1.6599888703394547</v>
      </c>
      <c r="I9625" s="403">
        <f t="shared" si="1552"/>
        <v>584.39551156371476</v>
      </c>
      <c r="J9625" s="403">
        <f t="shared" si="1553"/>
        <v>437.14285714285717</v>
      </c>
      <c r="K9625" s="403">
        <f>J9625/POBLA!$B$24*100000</f>
        <v>25.795374231871079</v>
      </c>
      <c r="L9625" s="550">
        <f t="shared" si="1551"/>
        <v>-5.2993805918788661E-2</v>
      </c>
      <c r="M9625" s="405">
        <f>SUM(C9625,C9601,C9577,C9553,C9529,C9505,C9481)/POBLA!$B$24*100000</f>
        <v>180.56761962309756</v>
      </c>
    </row>
    <row r="9626" spans="1:13" s="360" customFormat="1" ht="15.75" thickBot="1" x14ac:dyDescent="0.3">
      <c r="A9626" s="363" t="s">
        <v>16</v>
      </c>
      <c r="B9626" s="266">
        <v>44294</v>
      </c>
      <c r="C9626" s="1">
        <v>12026</v>
      </c>
      <c r="D9626" s="174">
        <f t="shared" si="1548"/>
        <v>1049980</v>
      </c>
      <c r="E9626" s="1">
        <v>189</v>
      </c>
      <c r="F9626" s="174">
        <f t="shared" si="1549"/>
        <v>28973</v>
      </c>
      <c r="G9626" s="175">
        <f>SUM(C9626,C9602,C9578,C9554,C9530,C9506,C9482,C9458,C9434,C9410,C9386,C9362,C9338,C9314)/POBLA!$B$1*100000</f>
        <v>548.08293257548075</v>
      </c>
      <c r="H9626" s="300">
        <f t="shared" ref="H9626:H9649" si="1554">SUM(C9626,C9602,C9578,C9554,C9530,C9506,C9482,C9458,C9434,C9410,C9386,C9362,C9338,C9314)/SUM(C9290,C9266,C9242,C9218,C9194,C9170,C9146,C9122,C9098,C9074,C9050,C9026,C9002,C8978)</f>
        <v>2.1836104297265377</v>
      </c>
      <c r="I9626" s="301">
        <f>G9626*H9626</f>
        <v>1196.7996079269265</v>
      </c>
      <c r="J9626" s="301">
        <f>AVERAGE(C9626,C9602,C9578,C9554,C9530,C9506,C9482)</f>
        <v>7903.7142857142853</v>
      </c>
      <c r="K9626" s="301">
        <f>J9626/POBLA!$B$1*100000</f>
        <v>45.058153775254901</v>
      </c>
      <c r="L9626" s="548">
        <f t="shared" ref="L9626:L9649" si="1555">1-SUM(C9626,C9602,C9578,C9554,C9530,C9506,C9482)/SUM(C9458,C9434,C9410,C9386,C9362,C9338,C9314)</f>
        <v>-0.3555642671632282</v>
      </c>
      <c r="M9626" s="400">
        <f>SUM(C9626,C9602,C9578,C9554,C9530,C9506,C9482)/POBLA!$B$1*100000</f>
        <v>315.40707642678433</v>
      </c>
    </row>
    <row r="9627" spans="1:13" s="360" customFormat="1" ht="15.75" thickBot="1" x14ac:dyDescent="0.3">
      <c r="A9627" s="367" t="s">
        <v>43</v>
      </c>
      <c r="B9627" s="266">
        <v>44294</v>
      </c>
      <c r="C9627" s="1">
        <v>2364</v>
      </c>
      <c r="D9627" s="39">
        <f t="shared" si="1548"/>
        <v>277993</v>
      </c>
      <c r="E9627" s="1">
        <v>23</v>
      </c>
      <c r="F9627" s="39">
        <f t="shared" si="1549"/>
        <v>7019</v>
      </c>
      <c r="G9627" s="168">
        <f>SUM(C9627,C9603,C9579,C9555,C9531,C9507,C9483,C9459,C9435,C9411,C9387,C9363,C9339,C9315)/POBLA!$B$2*100000</f>
        <v>826.26544147148275</v>
      </c>
      <c r="H9627" s="256">
        <f t="shared" si="1554"/>
        <v>1.9846153846153847</v>
      </c>
      <c r="I9627" s="297">
        <f t="shared" ref="I9627:I9649" si="1556">G9627*H9627</f>
        <v>1639.8191069203274</v>
      </c>
      <c r="J9627" s="297">
        <f t="shared" ref="J9627:J9649" si="1557">AVERAGE(C9627,C9603,C9579,C9555,C9531,C9507,C9483)</f>
        <v>2154.8571428571427</v>
      </c>
      <c r="K9627" s="297">
        <f>J9627/POBLA!$B$2*100000</f>
        <v>70.06193634953901</v>
      </c>
      <c r="L9627" s="549">
        <f t="shared" si="1555"/>
        <v>-0.46035434214347948</v>
      </c>
      <c r="M9627" s="401">
        <f>SUM(C9627,C9603,C9579,C9555,C9531,C9507,C9483)/POBLA!$B$2*100000</f>
        <v>490.43355444677314</v>
      </c>
    </row>
    <row r="9628" spans="1:13" s="360" customFormat="1" ht="15.75" thickBot="1" x14ac:dyDescent="0.3">
      <c r="A9628" s="367" t="s">
        <v>28</v>
      </c>
      <c r="B9628" s="266">
        <v>44294</v>
      </c>
      <c r="C9628" s="1">
        <v>171</v>
      </c>
      <c r="D9628" s="39">
        <f t="shared" si="1548"/>
        <v>11287</v>
      </c>
      <c r="E9628" s="1"/>
      <c r="F9628" s="39">
        <f t="shared" si="1549"/>
        <v>18</v>
      </c>
      <c r="G9628" s="168">
        <f>SUM(C9628,C9604,C9580,C9556,C9532,C9508,C9484,C9460,C9436,C9412,C9388,C9364,C9340,C9316)/POBLA!$B$3*100000</f>
        <v>310.51564854442779</v>
      </c>
      <c r="H9628" s="256">
        <f t="shared" si="1554"/>
        <v>1.0513447432762837</v>
      </c>
      <c r="I9628" s="297">
        <f t="shared" si="1556"/>
        <v>326.45899480221016</v>
      </c>
      <c r="J9628" s="297">
        <f t="shared" si="1557"/>
        <v>108.14285714285714</v>
      </c>
      <c r="K9628" s="297">
        <f>J9628/POBLA!$B$3*100000</f>
        <v>26.03104606291604</v>
      </c>
      <c r="L9628" s="549">
        <f t="shared" si="1555"/>
        <v>-0.42026266416510327</v>
      </c>
      <c r="M9628" s="401">
        <f>SUM(C9628,C9604,C9580,C9556,C9532,C9508,C9484)/POBLA!$B$3*100000</f>
        <v>182.21732244041229</v>
      </c>
    </row>
    <row r="9629" spans="1:13" s="360" customFormat="1" ht="15.75" thickBot="1" x14ac:dyDescent="0.3">
      <c r="A9629" s="367" t="s">
        <v>15</v>
      </c>
      <c r="B9629" s="266">
        <v>44294</v>
      </c>
      <c r="C9629" s="1">
        <v>260</v>
      </c>
      <c r="D9629" s="39">
        <f t="shared" si="1548"/>
        <v>39784</v>
      </c>
      <c r="E9629" s="1">
        <v>7</v>
      </c>
      <c r="F9629" s="39">
        <f t="shared" si="1549"/>
        <v>957</v>
      </c>
      <c r="G9629" s="168">
        <f>SUM(C9629,C9605,C9581,C9557,C9533,C9509,C9485,C9461,C9437,C9413,C9389,C9365,C9341,C9317)/POBLA!$B$4*100000</f>
        <v>189.61579556030057</v>
      </c>
      <c r="H9629" s="256">
        <f t="shared" si="1554"/>
        <v>1.1767130345182895</v>
      </c>
      <c r="I9629" s="297">
        <f t="shared" si="1556"/>
        <v>223.12337818636087</v>
      </c>
      <c r="J9629" s="297">
        <f t="shared" si="1557"/>
        <v>158.85714285714286</v>
      </c>
      <c r="K9629" s="297">
        <f>J9629/POBLA!$B$4*100000</f>
        <v>13.188188933140745</v>
      </c>
      <c r="L9629" s="549">
        <f t="shared" si="1555"/>
        <v>5.1194539249146742E-2</v>
      </c>
      <c r="M9629" s="401">
        <f>SUM(C9629,C9605,C9581,C9557,C9533,C9509,C9485)/POBLA!$B$4*100000</f>
        <v>92.317322531985212</v>
      </c>
    </row>
    <row r="9630" spans="1:13" s="360" customFormat="1" ht="15.75" thickBot="1" x14ac:dyDescent="0.3">
      <c r="A9630" s="367" t="s">
        <v>29</v>
      </c>
      <c r="B9630" s="266">
        <v>44294</v>
      </c>
      <c r="C9630" s="1">
        <v>177</v>
      </c>
      <c r="D9630" s="39">
        <f t="shared" si="1548"/>
        <v>51013</v>
      </c>
      <c r="E9630" s="1"/>
      <c r="F9630" s="39">
        <f t="shared" si="1549"/>
        <v>870</v>
      </c>
      <c r="G9630" s="168">
        <f>SUM(C9630,C9606,C9582,C9558,C9534,C9510,C9486,C9462,C9438,C9414,C9390,C9366,C9342,C9318)/POBLA!$B$5*100000</f>
        <v>285.14008213326787</v>
      </c>
      <c r="H9630" s="256">
        <f t="shared" si="1554"/>
        <v>1.3211077844311376</v>
      </c>
      <c r="I9630" s="297">
        <f t="shared" si="1556"/>
        <v>376.7007821595941</v>
      </c>
      <c r="J9630" s="297">
        <f t="shared" si="1557"/>
        <v>112.71428571428571</v>
      </c>
      <c r="K9630" s="297">
        <f>J9630/POBLA!$B$5*100000</f>
        <v>18.209269510574529</v>
      </c>
      <c r="L9630" s="549">
        <f t="shared" si="1555"/>
        <v>0.19159836065573765</v>
      </c>
      <c r="M9630" s="401">
        <f>SUM(C9630,C9606,C9582,C9558,C9534,C9510,C9486)/POBLA!$B$5*100000</f>
        <v>127.4648865740217</v>
      </c>
    </row>
    <row r="9631" spans="1:13" s="360" customFormat="1" ht="15.75" thickBot="1" x14ac:dyDescent="0.3">
      <c r="A9631" s="367" t="s">
        <v>30</v>
      </c>
      <c r="B9631" s="266">
        <v>44294</v>
      </c>
      <c r="C9631" s="1">
        <v>509</v>
      </c>
      <c r="D9631" s="39">
        <f t="shared" si="1548"/>
        <v>32341</v>
      </c>
      <c r="E9631" s="1">
        <v>1</v>
      </c>
      <c r="F9631" s="39">
        <f t="shared" si="1549"/>
        <v>338</v>
      </c>
      <c r="G9631" s="168">
        <f>SUM(C9631,C9607,C9583,C9559,C9535,C9511,C9487,C9463,C9439,C9415,C9391,C9367,C9343,C9319)/POBLA!$B$6*100000</f>
        <v>465.64912058429638</v>
      </c>
      <c r="H9631" s="256">
        <f t="shared" si="1554"/>
        <v>1.6873585515680569</v>
      </c>
      <c r="I9631" s="297">
        <f t="shared" si="1556"/>
        <v>785.71702564805787</v>
      </c>
      <c r="J9631" s="297">
        <f t="shared" si="1557"/>
        <v>266.14285714285717</v>
      </c>
      <c r="K9631" s="297">
        <f>J9631/POBLA!$B$6*100000</f>
        <v>23.745772634290759</v>
      </c>
      <c r="L9631" s="549">
        <f t="shared" si="1555"/>
        <v>0.44487485101311086</v>
      </c>
      <c r="M9631" s="401">
        <f>SUM(C9631,C9607,C9583,C9559,C9535,C9511,C9487)/POBLA!$B$6*100000</f>
        <v>166.2204084400353</v>
      </c>
    </row>
    <row r="9632" spans="1:13" s="360" customFormat="1" ht="15.75" thickBot="1" x14ac:dyDescent="0.3">
      <c r="A9632" s="367" t="s">
        <v>20</v>
      </c>
      <c r="B9632" s="266">
        <v>44294</v>
      </c>
      <c r="C9632" s="1">
        <v>2189</v>
      </c>
      <c r="D9632" s="39">
        <f t="shared" si="1548"/>
        <v>191053</v>
      </c>
      <c r="E9632" s="1">
        <v>7</v>
      </c>
      <c r="F9632" s="39">
        <f t="shared" si="1549"/>
        <v>3089</v>
      </c>
      <c r="G9632" s="168">
        <f>SUM(C9632,C9608,C9584,C9560,C9536,C9512,C9488,C9464,C9440,C9416,C9392,C9368,C9344,C9320)/POBLA!$B$7*100000</f>
        <v>423.69929130822106</v>
      </c>
      <c r="H9632" s="256">
        <f t="shared" si="1554"/>
        <v>1.8225806451612903</v>
      </c>
      <c r="I9632" s="297">
        <f t="shared" si="1556"/>
        <v>772.22612770691899</v>
      </c>
      <c r="J9632" s="297">
        <f t="shared" si="1557"/>
        <v>1318</v>
      </c>
      <c r="K9632" s="297">
        <f>J9632/POBLA!$B$7*100000</f>
        <v>35.048996795596274</v>
      </c>
      <c r="L9632" s="549">
        <f t="shared" si="1555"/>
        <v>-0.37557775458476228</v>
      </c>
      <c r="M9632" s="401">
        <f>SUM(C9632,C9608,C9584,C9560,C9536,C9512,C9488)/POBLA!$B$7*100000</f>
        <v>245.34297756917391</v>
      </c>
    </row>
    <row r="9633" spans="1:13" ht="15.75" thickBot="1" x14ac:dyDescent="0.3">
      <c r="A9633" s="367" t="s">
        <v>31</v>
      </c>
      <c r="B9633" s="266">
        <v>44294</v>
      </c>
      <c r="C9633" s="1">
        <v>437</v>
      </c>
      <c r="D9633" s="39">
        <f t="shared" si="1548"/>
        <v>51970</v>
      </c>
      <c r="E9633" s="1">
        <v>6</v>
      </c>
      <c r="F9633" s="39">
        <f t="shared" si="1549"/>
        <v>960</v>
      </c>
      <c r="G9633" s="168">
        <f>SUM(C9633,C9609,C9585,C9561,C9537,C9513,C9489,C9465,C9441,C9417,C9393,C9369,C9345,C9321)/POBLA!$B$8*100000</f>
        <v>233.05129076503596</v>
      </c>
      <c r="H9633" s="256">
        <f t="shared" si="1554"/>
        <v>1.4755596162631339</v>
      </c>
      <c r="I9633" s="297">
        <f t="shared" si="1556"/>
        <v>343.88107317088452</v>
      </c>
      <c r="J9633" s="297">
        <f t="shared" si="1557"/>
        <v>256.42857142857144</v>
      </c>
      <c r="K9633" s="297">
        <f>J9633/POBLA!$B$8*100000</f>
        <v>18.501860545034919</v>
      </c>
      <c r="L9633" s="549">
        <f t="shared" si="1555"/>
        <v>-0.25087108013937276</v>
      </c>
      <c r="M9633" s="401">
        <f>SUM(C9633,C9609,C9585,C9561,C9537,C9513,C9489)/POBLA!$B$8*100000</f>
        <v>129.51302381524445</v>
      </c>
    </row>
    <row r="9634" spans="1:13" s="360" customFormat="1" ht="15.75" thickBot="1" x14ac:dyDescent="0.3">
      <c r="A9634" s="367" t="s">
        <v>41</v>
      </c>
      <c r="B9634" s="266">
        <v>44294</v>
      </c>
      <c r="C9634" s="1">
        <v>12</v>
      </c>
      <c r="D9634" s="39">
        <f t="shared" si="1548"/>
        <v>2541</v>
      </c>
      <c r="E9634" s="1">
        <v>7</v>
      </c>
      <c r="F9634" s="39">
        <f t="shared" si="1549"/>
        <v>48</v>
      </c>
      <c r="G9634" s="168">
        <f>SUM(C9634,C9610,C9586,C9562,C9538,C9514,C9490,C9466,C9442,C9418,C9394,C9370,C9346,C9322)/POBLA!$B$9*100000</f>
        <v>118.14412922819663</v>
      </c>
      <c r="H9634" s="256">
        <f t="shared" si="1554"/>
        <v>2.0487106017191978</v>
      </c>
      <c r="I9634" s="297">
        <f t="shared" si="1556"/>
        <v>242.04313008068939</v>
      </c>
      <c r="J9634" s="297">
        <f t="shared" si="1557"/>
        <v>35.285714285714285</v>
      </c>
      <c r="K9634" s="297">
        <f>J9634/POBLA!$B$9*100000</f>
        <v>5.8304894943785346</v>
      </c>
      <c r="L9634" s="549">
        <f t="shared" si="1555"/>
        <v>0.47222222222222221</v>
      </c>
      <c r="M9634" s="401">
        <f>SUM(C9634,C9610,C9586,C9562,C9538,C9514,C9490)/POBLA!$B$9*100000</f>
        <v>40.813426460649744</v>
      </c>
    </row>
    <row r="9635" spans="1:13" s="360" customFormat="1" ht="15.75" thickBot="1" x14ac:dyDescent="0.3">
      <c r="A9635" s="367" t="s">
        <v>32</v>
      </c>
      <c r="B9635" s="266">
        <v>44294</v>
      </c>
      <c r="C9635" s="1">
        <v>68</v>
      </c>
      <c r="D9635" s="39">
        <f t="shared" si="1548"/>
        <v>22890</v>
      </c>
      <c r="E9635" s="1"/>
      <c r="F9635" s="39">
        <f t="shared" si="1549"/>
        <v>979</v>
      </c>
      <c r="G9635" s="168">
        <f>SUM(C9635,C9611,C9587,C9563,C9539,C9515,C9491,C9467,C9443,C9419,C9395,C9371,C9347,C9323)/POBLA!$B$10*100000</f>
        <v>95.734620518601446</v>
      </c>
      <c r="H9635" s="256">
        <f t="shared" si="1554"/>
        <v>1.153125</v>
      </c>
      <c r="I9635" s="297">
        <f t="shared" si="1556"/>
        <v>110.39398428551229</v>
      </c>
      <c r="J9635" s="297">
        <f t="shared" si="1557"/>
        <v>51</v>
      </c>
      <c r="K9635" s="297">
        <f>J9635/POBLA!$B$10*100000</f>
        <v>6.615807109009042</v>
      </c>
      <c r="L9635" s="549">
        <f t="shared" si="1555"/>
        <v>6.2992125984251968E-2</v>
      </c>
      <c r="M9635" s="401">
        <f>SUM(C9635,C9611,C9587,C9563,C9539,C9515,C9491)/POBLA!$B$10*100000</f>
        <v>46.310649763063303</v>
      </c>
    </row>
    <row r="9636" spans="1:13" s="360" customFormat="1" ht="15.75" thickBot="1" x14ac:dyDescent="0.3">
      <c r="A9636" s="367" t="s">
        <v>33</v>
      </c>
      <c r="B9636" s="266">
        <v>44294</v>
      </c>
      <c r="C9636" s="1">
        <v>178</v>
      </c>
      <c r="D9636" s="39">
        <f t="shared" si="1548"/>
        <v>22256</v>
      </c>
      <c r="E9636" s="1">
        <v>1</v>
      </c>
      <c r="F9636" s="39">
        <f t="shared" si="1549"/>
        <v>327</v>
      </c>
      <c r="G9636" s="168">
        <f>SUM(C9636,C9612,C9588,C9564,C9540,C9516,C9492,C9468,C9444,C9420,C9396,C9372,C9348,C9324)/POBLA!$B$11*100000</f>
        <v>405.10227995580703</v>
      </c>
      <c r="H9636" s="256">
        <f t="shared" si="1554"/>
        <v>1.214046822742475</v>
      </c>
      <c r="I9636" s="297">
        <f t="shared" si="1556"/>
        <v>491.81313586608013</v>
      </c>
      <c r="J9636" s="297">
        <f t="shared" si="1557"/>
        <v>124.42857142857143</v>
      </c>
      <c r="K9636" s="297">
        <f>J9636/POBLA!$B$11*100000</f>
        <v>34.715081251624156</v>
      </c>
      <c r="L9636" s="549">
        <f t="shared" si="1555"/>
        <v>-0.49913941480206536</v>
      </c>
      <c r="M9636" s="401">
        <f>SUM(C9636,C9612,C9588,C9564,C9540,C9516,C9492)/POBLA!$B$11*100000</f>
        <v>243.00556876136909</v>
      </c>
    </row>
    <row r="9637" spans="1:13" s="360" customFormat="1" ht="15.75" thickBot="1" x14ac:dyDescent="0.3">
      <c r="A9637" s="367" t="s">
        <v>21</v>
      </c>
      <c r="B9637" s="266">
        <v>44294</v>
      </c>
      <c r="C9637" s="1">
        <v>109</v>
      </c>
      <c r="D9637" s="39">
        <f t="shared" si="1548"/>
        <v>11714</v>
      </c>
      <c r="E9637" s="1"/>
      <c r="F9637" s="39">
        <f t="shared" si="1549"/>
        <v>451</v>
      </c>
      <c r="G9637" s="168">
        <f>SUM(C9637,C9613,C9589,C9565,C9541,C9517,C9493,C9469,C9445,C9421,C9397,C9373,C9349,C9325)/POBLA!$B$12*100000</f>
        <v>232.76438196736726</v>
      </c>
      <c r="H9637" s="256">
        <f t="shared" si="1554"/>
        <v>2.647398843930636</v>
      </c>
      <c r="I9637" s="297">
        <f t="shared" si="1556"/>
        <v>616.220155728637</v>
      </c>
      <c r="J9637" s="297">
        <f t="shared" si="1557"/>
        <v>80.142857142857139</v>
      </c>
      <c r="K9637" s="297">
        <f>J9637/POBLA!$B$12*100000</f>
        <v>20.365068353663915</v>
      </c>
      <c r="L9637" s="549">
        <f t="shared" si="1555"/>
        <v>-0.58028169014084496</v>
      </c>
      <c r="M9637" s="401">
        <f>SUM(C9637,C9613,C9589,C9565,C9541,C9517,C9493)/POBLA!$B$12*100000</f>
        <v>142.55547847564742</v>
      </c>
    </row>
    <row r="9638" spans="1:13" s="360" customFormat="1" ht="15.75" thickBot="1" x14ac:dyDescent="0.3">
      <c r="A9638" s="367" t="s">
        <v>17</v>
      </c>
      <c r="B9638" s="266">
        <v>44294</v>
      </c>
      <c r="C9638" s="1">
        <v>1046</v>
      </c>
      <c r="D9638" s="39">
        <f t="shared" si="1548"/>
        <v>77790</v>
      </c>
      <c r="E9638" s="1">
        <v>3</v>
      </c>
      <c r="F9638" s="39">
        <f t="shared" si="1549"/>
        <v>1526</v>
      </c>
      <c r="G9638" s="168">
        <f>SUM(C9638,C9614,C9590,C9566,C9542,C9518,C9494,C9470,C9446,C9422,C9398,C9374,C9350,C9326)/POBLA!$B$13*100000</f>
        <v>332.00391089352661</v>
      </c>
      <c r="H9638" s="256">
        <f t="shared" si="1554"/>
        <v>3.035369774919614</v>
      </c>
      <c r="I9638" s="297">
        <f t="shared" si="1556"/>
        <v>1007.7546362813155</v>
      </c>
      <c r="J9638" s="297">
        <f t="shared" si="1557"/>
        <v>613.57142857142856</v>
      </c>
      <c r="K9638" s="297">
        <f>J9638/POBLA!$B$13*100000</f>
        <v>30.827499076610533</v>
      </c>
      <c r="L9638" s="549">
        <f t="shared" si="1555"/>
        <v>-0.85689580631214879</v>
      </c>
      <c r="M9638" s="401">
        <f>SUM(C9638,C9614,C9590,C9566,C9542,C9518,C9494)/POBLA!$B$13*100000</f>
        <v>215.79249353627372</v>
      </c>
    </row>
    <row r="9639" spans="1:13" s="360" customFormat="1" ht="15.75" thickBot="1" x14ac:dyDescent="0.3">
      <c r="A9639" s="367" t="s">
        <v>23</v>
      </c>
      <c r="B9639" s="266">
        <v>44294</v>
      </c>
      <c r="C9639" s="1">
        <v>153</v>
      </c>
      <c r="D9639" s="39">
        <f t="shared" si="1548"/>
        <v>12868</v>
      </c>
      <c r="E9639" s="1">
        <v>1</v>
      </c>
      <c r="F9639" s="39">
        <f t="shared" si="1549"/>
        <v>217</v>
      </c>
      <c r="G9639" s="168">
        <f>SUM(C9639,C9615,C9591,C9567,C9543,C9519,C9495,C9471,C9447,C9423,C9399,C9375,C9351,C9327)/POBLA!$B$14*100000</f>
        <v>125.34746062377209</v>
      </c>
      <c r="H9639" s="256">
        <f t="shared" si="1554"/>
        <v>0.93384524512699352</v>
      </c>
      <c r="I9639" s="297">
        <f t="shared" si="1556"/>
        <v>117.05513009225263</v>
      </c>
      <c r="J9639" s="297">
        <f t="shared" si="1557"/>
        <v>102</v>
      </c>
      <c r="K9639" s="297">
        <f>J9639/POBLA!$B$14*100000</f>
        <v>8.0869329434691668</v>
      </c>
      <c r="L9639" s="549">
        <f t="shared" si="1555"/>
        <v>0.17647058823529416</v>
      </c>
      <c r="M9639" s="401">
        <f>SUM(C9639,C9615,C9591,C9567,C9543,C9519,C9495)/POBLA!$B$14*100000</f>
        <v>56.608530604284169</v>
      </c>
    </row>
    <row r="9640" spans="1:13" s="360" customFormat="1" ht="15.75" thickBot="1" x14ac:dyDescent="0.3">
      <c r="A9640" s="367" t="s">
        <v>19</v>
      </c>
      <c r="B9640" s="266">
        <v>44294</v>
      </c>
      <c r="C9640" s="1">
        <v>131</v>
      </c>
      <c r="D9640" s="39">
        <f t="shared" si="1548"/>
        <v>66173</v>
      </c>
      <c r="E9640" s="1">
        <v>1</v>
      </c>
      <c r="F9640" s="39">
        <f t="shared" si="1549"/>
        <v>1016</v>
      </c>
      <c r="G9640" s="168">
        <f>SUM(C9640,C9616,C9592,C9568,C9544,C9520,C9496,C9472,C9448,C9424,C9400,C9376,C9352,C9328)/POBLA!$B$15*100000</f>
        <v>244.4067301451532</v>
      </c>
      <c r="H9640" s="256">
        <f t="shared" si="1554"/>
        <v>0.98483009708737868</v>
      </c>
      <c r="I9640" s="297">
        <f t="shared" si="1556"/>
        <v>240.69910377765999</v>
      </c>
      <c r="J9640" s="297">
        <f t="shared" si="1557"/>
        <v>123.14285714285714</v>
      </c>
      <c r="K9640" s="297">
        <f>J9640/POBLA!$B$15*100000</f>
        <v>18.544019134329904</v>
      </c>
      <c r="L9640" s="549">
        <f t="shared" si="1555"/>
        <v>-0.13272010512483567</v>
      </c>
      <c r="M9640" s="401">
        <f>SUM(C9640,C9616,C9592,C9568,C9544,C9520,C9496)/POBLA!$B$15*100000</f>
        <v>129.80813394030935</v>
      </c>
    </row>
    <row r="9641" spans="1:13" s="360" customFormat="1" ht="15.75" thickBot="1" x14ac:dyDescent="0.3">
      <c r="A9641" s="367" t="s">
        <v>18</v>
      </c>
      <c r="B9641" s="266">
        <v>44294</v>
      </c>
      <c r="C9641" s="1">
        <v>163</v>
      </c>
      <c r="D9641" s="39">
        <f t="shared" si="1548"/>
        <v>56386</v>
      </c>
      <c r="E9641" s="1">
        <v>4</v>
      </c>
      <c r="F9641" s="39">
        <f t="shared" si="1549"/>
        <v>1298</v>
      </c>
      <c r="G9641" s="168">
        <f>SUM(C9641,C9617,C9593,C9569,C9545,C9521,C9497,C9473,C9449,C9425,C9401,C9377,C9353,C9329)/POBLA!$B$16*100000</f>
        <v>214.01532884792874</v>
      </c>
      <c r="H9641" s="256">
        <f t="shared" si="1554"/>
        <v>1.3513513513513513</v>
      </c>
      <c r="I9641" s="297">
        <f t="shared" si="1556"/>
        <v>289.20990384855236</v>
      </c>
      <c r="J9641" s="297">
        <f t="shared" si="1557"/>
        <v>119</v>
      </c>
      <c r="K9641" s="297">
        <f>J9641/POBLA!$B$16*100000</f>
        <v>15.917390083064701</v>
      </c>
      <c r="L9641" s="549">
        <f t="shared" si="1555"/>
        <v>-8.6049543676662399E-2</v>
      </c>
      <c r="M9641" s="401">
        <f>SUM(C9641,C9617,C9593,C9569,C9545,C9521,C9497)/POBLA!$B$16*100000</f>
        <v>111.42173058145289</v>
      </c>
    </row>
    <row r="9642" spans="1:13" s="360" customFormat="1" ht="15.75" thickBot="1" x14ac:dyDescent="0.3">
      <c r="A9642" s="367" t="s">
        <v>34</v>
      </c>
      <c r="B9642" s="266">
        <v>44294</v>
      </c>
      <c r="C9642" s="1">
        <v>224</v>
      </c>
      <c r="D9642" s="39">
        <f t="shared" si="1548"/>
        <v>30487</v>
      </c>
      <c r="E9642" s="1">
        <v>4</v>
      </c>
      <c r="F9642" s="39">
        <f t="shared" si="1549"/>
        <v>1226</v>
      </c>
      <c r="G9642" s="168">
        <f>SUM(C9642,C9618,C9594,C9570,C9546,C9522,C9498,C9474,C9450,C9426,C9402,C9378,C9354,C9330)/POBLA!$B$17*100000</f>
        <v>126.43946877169779</v>
      </c>
      <c r="H9642" s="256">
        <f t="shared" si="1554"/>
        <v>1.3500749625187407</v>
      </c>
      <c r="I9642" s="297">
        <f t="shared" si="1556"/>
        <v>170.70276106283939</v>
      </c>
      <c r="J9642" s="297">
        <f t="shared" si="1557"/>
        <v>137.42857142857142</v>
      </c>
      <c r="K9642" s="297">
        <f>J9642/POBLA!$B$17*100000</f>
        <v>9.6481929847206516</v>
      </c>
      <c r="L9642" s="549">
        <f t="shared" si="1555"/>
        <v>-0.1466030989272944</v>
      </c>
      <c r="M9642" s="401">
        <f>SUM(C9642,C9618,C9594,C9570,C9546,C9522,C9498)/POBLA!$B$17*100000</f>
        <v>67.537350893044575</v>
      </c>
    </row>
    <row r="9643" spans="1:13" s="360" customFormat="1" ht="15.75" thickBot="1" x14ac:dyDescent="0.3">
      <c r="A9643" s="367" t="s">
        <v>35</v>
      </c>
      <c r="B9643" s="266">
        <v>44294</v>
      </c>
      <c r="C9643" s="1">
        <v>331</v>
      </c>
      <c r="D9643" s="39">
        <f t="shared" si="1548"/>
        <v>18461</v>
      </c>
      <c r="E9643" s="1">
        <v>2</v>
      </c>
      <c r="F9643" s="39">
        <f t="shared" si="1549"/>
        <v>229</v>
      </c>
      <c r="G9643" s="168">
        <f>SUM(C9643,C9619,C9595,C9571,C9547,C9523,C9499,C9475,C9451,C9427,C9403,C9379,C9355,C9331)/POBLA!$B$18*100000</f>
        <v>236.42598663367542</v>
      </c>
      <c r="H9643" s="256">
        <f t="shared" si="1554"/>
        <v>2.291563275434243</v>
      </c>
      <c r="I9643" s="297">
        <f t="shared" si="1556"/>
        <v>541.78510832803784</v>
      </c>
      <c r="J9643" s="297">
        <f t="shared" si="1557"/>
        <v>152.57142857142858</v>
      </c>
      <c r="K9643" s="297">
        <f>J9643/POBLA!$B$18*100000</f>
        <v>19.529967802982856</v>
      </c>
      <c r="L9643" s="549">
        <f t="shared" si="1555"/>
        <v>-0.3709884467265725</v>
      </c>
      <c r="M9643" s="401">
        <f>SUM(C9643,C9619,C9595,C9571,C9547,C9523,C9499)/POBLA!$B$18*100000</f>
        <v>136.70977462087998</v>
      </c>
    </row>
    <row r="9644" spans="1:13" s="360" customFormat="1" ht="15.75" thickBot="1" x14ac:dyDescent="0.3">
      <c r="A9644" s="367" t="s">
        <v>36</v>
      </c>
      <c r="B9644" s="266">
        <v>44294</v>
      </c>
      <c r="C9644" s="1">
        <v>523</v>
      </c>
      <c r="D9644" s="39">
        <f t="shared" si="1548"/>
        <v>25159</v>
      </c>
      <c r="E9644" s="1"/>
      <c r="F9644" s="39">
        <f t="shared" si="1549"/>
        <v>441</v>
      </c>
      <c r="G9644" s="168">
        <f>SUM(C9644,C9620,C9596,C9572,C9548,C9524,C9500,C9476,C9452,C9428,C9404,C9380,C9356,C9332)/POBLA!$B$19*100000</f>
        <v>691.28594136069626</v>
      </c>
      <c r="H9644" s="256">
        <f t="shared" si="1554"/>
        <v>13.063197026022305</v>
      </c>
      <c r="I9644" s="297">
        <f t="shared" si="1556"/>
        <v>9030.4044533140768</v>
      </c>
      <c r="J9644" s="297">
        <f t="shared" si="1557"/>
        <v>301.42857142857144</v>
      </c>
      <c r="K9644" s="297">
        <f>J9644/POBLA!$B$19*100000</f>
        <v>59.298046031021592</v>
      </c>
      <c r="L9644" s="549">
        <f t="shared" si="1555"/>
        <v>-0.50284900284900291</v>
      </c>
      <c r="M9644" s="401">
        <f>SUM(C9644,C9620,C9596,C9572,C9548,C9524,C9500)/POBLA!$B$19*100000</f>
        <v>415.08632221715118</v>
      </c>
    </row>
    <row r="9645" spans="1:13" s="360" customFormat="1" ht="15.75" thickBot="1" x14ac:dyDescent="0.3">
      <c r="A9645" s="367" t="s">
        <v>37</v>
      </c>
      <c r="B9645" s="266">
        <v>44294</v>
      </c>
      <c r="C9645" s="1">
        <v>180</v>
      </c>
      <c r="D9645" s="39">
        <f t="shared" si="1548"/>
        <v>40505</v>
      </c>
      <c r="E9645" s="1">
        <v>3</v>
      </c>
      <c r="F9645" s="39">
        <f t="shared" si="1549"/>
        <v>657</v>
      </c>
      <c r="G9645" s="168">
        <f>SUM(C9645,C9621,C9597,C9573,C9549,C9525,C9501,C9477,C9453,C9429,C9405,C9381,C9357,C9333)/POBLA!$B$20*100000</f>
        <v>519.28093672921375</v>
      </c>
      <c r="H9645" s="256">
        <f t="shared" si="1554"/>
        <v>1.2428010471204189</v>
      </c>
      <c r="I9645" s="297">
        <f t="shared" si="1556"/>
        <v>645.36289191673882</v>
      </c>
      <c r="J9645" s="297">
        <f t="shared" si="1557"/>
        <v>131.71428571428572</v>
      </c>
      <c r="K9645" s="297">
        <f>J9645/POBLA!$B$20*100000</f>
        <v>36.017228892224111</v>
      </c>
      <c r="L9645" s="549">
        <f t="shared" si="1555"/>
        <v>5.6294779938587558E-2</v>
      </c>
      <c r="M9645" s="401">
        <f>SUM(C9645,C9621,C9597,C9573,C9549,C9525,C9501)/POBLA!$B$20*100000</f>
        <v>252.12060224556873</v>
      </c>
    </row>
    <row r="9646" spans="1:13" s="360" customFormat="1" ht="15.75" thickBot="1" x14ac:dyDescent="0.3">
      <c r="A9646" s="367" t="s">
        <v>22</v>
      </c>
      <c r="B9646" s="266">
        <v>44294</v>
      </c>
      <c r="C9646" s="1">
        <v>1365</v>
      </c>
      <c r="D9646" s="39">
        <f t="shared" si="1548"/>
        <v>238598</v>
      </c>
      <c r="E9646" s="1">
        <v>14</v>
      </c>
      <c r="F9646" s="39">
        <f t="shared" si="1549"/>
        <v>4319</v>
      </c>
      <c r="G9646" s="168">
        <f>SUM(C9646,C9622,C9598,C9574,C9550,C9526,C9502,C9478,C9454,C9430,C9406,C9382,C9358,C9334)/POBLA!$B$21*100000</f>
        <v>311.41680649742199</v>
      </c>
      <c r="H9646" s="256">
        <f t="shared" si="1554"/>
        <v>1.7218574108818012</v>
      </c>
      <c r="I9646" s="297">
        <f t="shared" si="1556"/>
        <v>536.21533614072996</v>
      </c>
      <c r="J9646" s="297">
        <f t="shared" si="1557"/>
        <v>868.85714285714289</v>
      </c>
      <c r="K9646" s="297">
        <f>J9646/POBLA!$B$21*100000</f>
        <v>24.568847428588555</v>
      </c>
      <c r="L9646" s="549">
        <f t="shared" si="1555"/>
        <v>-0.23342121273575334</v>
      </c>
      <c r="M9646" s="401">
        <f>SUM(C9646,C9622,C9598,C9574,C9550,C9526,C9502)/POBLA!$B$21*100000</f>
        <v>171.98193200011988</v>
      </c>
    </row>
    <row r="9647" spans="1:13" s="360" customFormat="1" ht="15.75" thickBot="1" x14ac:dyDescent="0.3">
      <c r="A9647" s="367" t="s">
        <v>38</v>
      </c>
      <c r="B9647" s="266">
        <v>44294</v>
      </c>
      <c r="C9647" s="1">
        <v>169</v>
      </c>
      <c r="D9647" s="39">
        <f t="shared" si="1548"/>
        <v>26207</v>
      </c>
      <c r="E9647" s="1"/>
      <c r="F9647" s="39">
        <f t="shared" si="1549"/>
        <v>302</v>
      </c>
      <c r="G9647" s="168">
        <f>SUM(C9647,C9623,C9599,C9575,C9551,C9527,C9503,C9479,C9455,C9431,C9407,C9383,C9359,C9335)/POBLA!$B$22*100000</f>
        <v>177.75497207948786</v>
      </c>
      <c r="H9647" s="256">
        <f t="shared" si="1554"/>
        <v>1.4195918367346938</v>
      </c>
      <c r="I9647" s="297">
        <f t="shared" si="1556"/>
        <v>252.33950730304437</v>
      </c>
      <c r="J9647" s="297">
        <f t="shared" si="1557"/>
        <v>129.42857142857142</v>
      </c>
      <c r="K9647" s="297">
        <f>J9647/POBLA!$B$22*100000</f>
        <v>13.229771190669185</v>
      </c>
      <c r="L9647" s="549">
        <f t="shared" si="1555"/>
        <v>-8.7635054021608649E-2</v>
      </c>
      <c r="M9647" s="401">
        <f>SUM(C9647,C9623,C9599,C9575,C9551,C9527,C9503)/POBLA!$B$22*100000</f>
        <v>92.608398334684296</v>
      </c>
    </row>
    <row r="9648" spans="1:13" s="360" customFormat="1" ht="15.75" thickBot="1" x14ac:dyDescent="0.3">
      <c r="A9648" s="367" t="s">
        <v>39</v>
      </c>
      <c r="B9648" s="266">
        <v>44294</v>
      </c>
      <c r="C9648" s="1">
        <v>69</v>
      </c>
      <c r="D9648" s="39">
        <f t="shared" si="1548"/>
        <v>24553</v>
      </c>
      <c r="E9648" s="1"/>
      <c r="F9648" s="39">
        <f t="shared" si="1549"/>
        <v>370</v>
      </c>
      <c r="G9648" s="168">
        <f>SUM(C9648,C9624,C9600,C9576,C9552,C9528,C9504,C9480,C9456,C9432,C9408,C9384,C9360,C9336)/POBLA!$B$23*100000</f>
        <v>443.36368263303734</v>
      </c>
      <c r="H9648" s="256">
        <f t="shared" si="1554"/>
        <v>1.6436058700209644</v>
      </c>
      <c r="I9648" s="297">
        <f t="shared" si="1556"/>
        <v>728.71515132977208</v>
      </c>
      <c r="J9648" s="297">
        <f t="shared" si="1557"/>
        <v>58.285714285714285</v>
      </c>
      <c r="K9648" s="297">
        <f>J9648/POBLA!$B$23*100000</f>
        <v>32.96143996251444</v>
      </c>
      <c r="L9648" s="549">
        <f t="shared" si="1555"/>
        <v>-8.5106382978723305E-2</v>
      </c>
      <c r="M9648" s="401">
        <f>SUM(C9648,C9624,C9600,C9576,C9552,C9528,C9504)/POBLA!$B$23*100000</f>
        <v>230.73007973760107</v>
      </c>
    </row>
    <row r="9649" spans="1:13" s="360" customFormat="1" ht="15.75" thickBot="1" x14ac:dyDescent="0.3">
      <c r="A9649" s="368" t="s">
        <v>40</v>
      </c>
      <c r="B9649" s="34">
        <v>44294</v>
      </c>
      <c r="C9649" s="232">
        <v>829</v>
      </c>
      <c r="D9649" s="67">
        <f t="shared" si="1548"/>
        <v>91741</v>
      </c>
      <c r="E9649" s="232">
        <v>17</v>
      </c>
      <c r="F9649" s="67">
        <f t="shared" si="1549"/>
        <v>1519</v>
      </c>
      <c r="G9649" s="177">
        <f>SUM(C9649,C9625,C9601,C9577,C9553,C9529,C9505,C9481,C9457,C9433,C9409,C9385,C9361,C9337)/POBLA!$B$24*100000</f>
        <v>385.38794894066996</v>
      </c>
      <c r="H9649" s="402">
        <f t="shared" si="1554"/>
        <v>1.8202341137123745</v>
      </c>
      <c r="I9649" s="403">
        <f t="shared" si="1556"/>
        <v>701.49629167545027</v>
      </c>
      <c r="J9649" s="403">
        <f t="shared" si="1557"/>
        <v>478.42857142857144</v>
      </c>
      <c r="K9649" s="403">
        <f>J9649/POBLA!$B$24*100000</f>
        <v>28.231604020436681</v>
      </c>
      <c r="L9649" s="550">
        <f t="shared" si="1555"/>
        <v>-5.2482715273412861E-2</v>
      </c>
      <c r="M9649" s="405">
        <f>SUM(C9649,C9625,C9601,C9577,C9553,C9529,C9505)/POBLA!$B$24*100000</f>
        <v>197.62122814305675</v>
      </c>
    </row>
    <row r="9650" spans="1:13" s="360" customFormat="1" x14ac:dyDescent="0.25">
      <c r="A9650" s="363" t="s">
        <v>16</v>
      </c>
      <c r="B9650" s="265">
        <v>44295</v>
      </c>
      <c r="C9650" s="43">
        <v>12452</v>
      </c>
      <c r="D9650" s="174">
        <f t="shared" si="1548"/>
        <v>1062432</v>
      </c>
      <c r="E9650" s="43">
        <v>125</v>
      </c>
      <c r="F9650" s="174">
        <f t="shared" ref="F9650:F9673" si="1558">E9650+F9626</f>
        <v>29098</v>
      </c>
      <c r="G9650" s="175">
        <f>SUM(C9650,C9626,C9602,C9578,C9554,C9530,C9506,C9482,C9458,C9434,C9410,C9386,C9362,C9338)/POBLA!$B$1*100000</f>
        <v>586.65510983578554</v>
      </c>
      <c r="H9650" s="300">
        <f t="shared" ref="H9650:H9673" si="1559">SUM(C9650,C9626,C9602,C9578,C9554,C9530,C9506,C9482,C9458,C9434,C9410,C9386,C9362,C9338)/SUM(C9314,C9290,C9266,C9242,C9218,C9194,C9170,C9146,C9122,C9098,C9074,C9050,C9026,C9002)</f>
        <v>2.2150806121790043</v>
      </c>
      <c r="I9650" s="301">
        <f>G9650*H9650</f>
        <v>1299.488359832993</v>
      </c>
      <c r="J9650" s="301">
        <f>AVERAGE(C9650,C9626,C9602,C9578,C9554,C9530,C9506)</f>
        <v>8966</v>
      </c>
      <c r="K9650" s="301">
        <f>J9650/POBLA!$B$1*100000</f>
        <v>51.114120797501144</v>
      </c>
      <c r="L9650" s="548">
        <f t="shared" ref="L9650:L9673" si="1560">1-SUM(C9650,C9626,C9602,C9578,C9554,C9530,C9506)/SUM(C9482,C9458,C9434,C9410,C9386,C9362,C9338)</f>
        <v>-0.56342168194499798</v>
      </c>
      <c r="M9650" s="400">
        <f>SUM(C9650,C9626,C9602,C9578,C9554,C9530,C9506)/POBLA!$B$1*100000</f>
        <v>357.79884558250802</v>
      </c>
    </row>
    <row r="9651" spans="1:13" s="360" customFormat="1" x14ac:dyDescent="0.25">
      <c r="A9651" s="367" t="s">
        <v>43</v>
      </c>
      <c r="B9651" s="2">
        <v>44295</v>
      </c>
      <c r="C9651" s="1">
        <v>2601</v>
      </c>
      <c r="D9651" s="39">
        <f t="shared" ref="D9651:D9714" si="1561">C9651+D9627</f>
        <v>280594</v>
      </c>
      <c r="E9651" s="1">
        <v>14</v>
      </c>
      <c r="F9651" s="39">
        <f t="shared" si="1558"/>
        <v>7033</v>
      </c>
      <c r="G9651" s="168">
        <f>SUM(C9651,C9627,C9603,C9579,C9555,C9531,C9507,C9483,C9459,C9435,C9411,C9387,C9363,C9339)/POBLA!$B$2*100000</f>
        <v>865.15158116376199</v>
      </c>
      <c r="H9651" s="256">
        <f t="shared" si="1559"/>
        <v>1.9885658769897616</v>
      </c>
      <c r="I9651" s="297">
        <f t="shared" ref="I9651:I9673" si="1562">G9651*H9651</f>
        <v>1720.4109127259953</v>
      </c>
      <c r="J9651" s="297">
        <f t="shared" ref="J9651:J9673" si="1563">AVERAGE(C9651,C9627,C9603,C9579,C9555,C9531,C9507)</f>
        <v>2283.7142857142858</v>
      </c>
      <c r="K9651" s="297">
        <f>J9651/POBLA!$B$2*100000</f>
        <v>74.251532384230359</v>
      </c>
      <c r="L9651" s="549">
        <f t="shared" si="1560"/>
        <v>-0.50484797138284843</v>
      </c>
      <c r="M9651" s="401">
        <f>SUM(C9651,C9627,C9603,C9579,C9555,C9531,C9507)/POBLA!$B$2*100000</f>
        <v>519.76072668961251</v>
      </c>
    </row>
    <row r="9652" spans="1:13" s="360" customFormat="1" x14ac:dyDescent="0.25">
      <c r="A9652" s="367" t="s">
        <v>28</v>
      </c>
      <c r="B9652" s="2">
        <v>44295</v>
      </c>
      <c r="C9652" s="1">
        <v>128</v>
      </c>
      <c r="D9652" s="39">
        <f t="shared" si="1561"/>
        <v>11415</v>
      </c>
      <c r="E9652" s="1"/>
      <c r="F9652" s="39">
        <f t="shared" si="1558"/>
        <v>18</v>
      </c>
      <c r="G9652" s="168">
        <f>SUM(C9652,C9628,C9604,C9580,C9556,C9532,C9508,C9484,C9460,C9436,C9412,C9388,C9364,C9340)/POBLA!$B$3*100000</f>
        <v>317.73694269662383</v>
      </c>
      <c r="H9652" s="256">
        <f t="shared" si="1559"/>
        <v>1.0784313725490196</v>
      </c>
      <c r="I9652" s="297">
        <f t="shared" si="1562"/>
        <v>342.65748722184918</v>
      </c>
      <c r="J9652" s="297">
        <f t="shared" si="1563"/>
        <v>113</v>
      </c>
      <c r="K9652" s="297">
        <f>J9652/POBLA!$B$3*100000</f>
        <v>27.200207973271585</v>
      </c>
      <c r="L9652" s="549">
        <f t="shared" si="1560"/>
        <v>-0.49527410207939515</v>
      </c>
      <c r="M9652" s="401">
        <f>SUM(C9652,C9628,C9604,C9580,C9556,C9532,C9508)/POBLA!$B$3*100000</f>
        <v>190.40145581290108</v>
      </c>
    </row>
    <row r="9653" spans="1:13" s="360" customFormat="1" x14ac:dyDescent="0.25">
      <c r="A9653" s="367" t="s">
        <v>15</v>
      </c>
      <c r="B9653" s="2">
        <v>44295</v>
      </c>
      <c r="C9653" s="1">
        <v>224</v>
      </c>
      <c r="D9653" s="39">
        <f t="shared" si="1561"/>
        <v>40008</v>
      </c>
      <c r="E9653" s="1">
        <v>6</v>
      </c>
      <c r="F9653" s="39">
        <f t="shared" si="1558"/>
        <v>963</v>
      </c>
      <c r="G9653" s="168">
        <f>SUM(C9653,C9629,C9605,C9581,C9557,C9533,C9509,C9485,C9461,C9437,C9413,C9389,C9365,C9341)/POBLA!$B$4*100000</f>
        <v>195.01204193132486</v>
      </c>
      <c r="H9653" s="256">
        <f t="shared" si="1559"/>
        <v>1.2083333333333333</v>
      </c>
      <c r="I9653" s="297">
        <f t="shared" si="1562"/>
        <v>235.63955066701752</v>
      </c>
      <c r="J9653" s="297">
        <f t="shared" si="1563"/>
        <v>163.85714285714286</v>
      </c>
      <c r="K9653" s="297">
        <f>J9653/POBLA!$B$4*100000</f>
        <v>13.603284807834923</v>
      </c>
      <c r="L9653" s="549">
        <f t="shared" si="1560"/>
        <v>4.5757071547420924E-2</v>
      </c>
      <c r="M9653" s="401">
        <f>SUM(C9653,C9629,C9605,C9581,C9557,C9533,C9509)/POBLA!$B$4*100000</f>
        <v>95.222993654844458</v>
      </c>
    </row>
    <row r="9654" spans="1:13" s="360" customFormat="1" x14ac:dyDescent="0.25">
      <c r="A9654" s="367" t="s">
        <v>29</v>
      </c>
      <c r="B9654" s="2">
        <v>44295</v>
      </c>
      <c r="C9654" s="1">
        <v>193</v>
      </c>
      <c r="D9654" s="39">
        <f t="shared" si="1561"/>
        <v>51206</v>
      </c>
      <c r="E9654" s="1">
        <v>6</v>
      </c>
      <c r="F9654" s="39">
        <f t="shared" si="1558"/>
        <v>876</v>
      </c>
      <c r="G9654" s="168">
        <f>SUM(C9654,C9630,C9606,C9582,C9558,C9534,C9510,C9486,C9462,C9438,C9414,C9390,C9366,C9342)/POBLA!$B$5*100000</f>
        <v>291.27907540299259</v>
      </c>
      <c r="H9654" s="256">
        <f t="shared" si="1559"/>
        <v>1.3036876355748372</v>
      </c>
      <c r="I9654" s="297">
        <f t="shared" si="1562"/>
        <v>379.73692910455213</v>
      </c>
      <c r="J9654" s="297">
        <f t="shared" si="1563"/>
        <v>133.42857142857142</v>
      </c>
      <c r="K9654" s="297">
        <f>J9654/POBLA!$B$5*100000</f>
        <v>21.555713210236515</v>
      </c>
      <c r="L9654" s="549">
        <f t="shared" si="1560"/>
        <v>-7.4798619102416586E-2</v>
      </c>
      <c r="M9654" s="401">
        <f>SUM(C9654,C9630,C9606,C9582,C9558,C9534,C9510)/POBLA!$B$5*100000</f>
        <v>150.88999247165563</v>
      </c>
    </row>
    <row r="9655" spans="1:13" s="360" customFormat="1" x14ac:dyDescent="0.25">
      <c r="A9655" s="367" t="s">
        <v>30</v>
      </c>
      <c r="B9655" s="2">
        <v>44295</v>
      </c>
      <c r="C9655" s="1">
        <v>433</v>
      </c>
      <c r="D9655" s="39">
        <f t="shared" si="1561"/>
        <v>32774</v>
      </c>
      <c r="E9655" s="1">
        <v>3</v>
      </c>
      <c r="F9655" s="39">
        <f t="shared" si="1558"/>
        <v>341</v>
      </c>
      <c r="G9655" s="168">
        <f>SUM(C9655,C9631,C9607,C9583,C9559,C9535,C9511,C9487,C9463,C9439,C9415,C9391,C9367,C9343)/POBLA!$B$6*100000</f>
        <v>435.49211679861099</v>
      </c>
      <c r="H9655" s="256">
        <f t="shared" si="1559"/>
        <v>1.4561455847255369</v>
      </c>
      <c r="I9655" s="297">
        <f t="shared" si="1562"/>
        <v>634.13992305907527</v>
      </c>
      <c r="J9655" s="297">
        <f t="shared" si="1563"/>
        <v>300.28571428571428</v>
      </c>
      <c r="K9655" s="297">
        <f>J9655/POBLA!$B$6*100000</f>
        <v>26.792063380182054</v>
      </c>
      <c r="L9655" s="549">
        <f t="shared" si="1560"/>
        <v>0.24361281036344007</v>
      </c>
      <c r="M9655" s="401">
        <f>SUM(C9655,C9631,C9607,C9583,C9559,C9535,C9511)/POBLA!$B$6*100000</f>
        <v>187.54444366127439</v>
      </c>
    </row>
    <row r="9656" spans="1:13" s="360" customFormat="1" x14ac:dyDescent="0.25">
      <c r="A9656" s="367" t="s">
        <v>20</v>
      </c>
      <c r="B9656" s="2">
        <v>44295</v>
      </c>
      <c r="C9656" s="1">
        <v>1867</v>
      </c>
      <c r="D9656" s="39">
        <f t="shared" si="1561"/>
        <v>192920</v>
      </c>
      <c r="E9656" s="1">
        <v>15</v>
      </c>
      <c r="F9656" s="39">
        <f t="shared" si="1558"/>
        <v>3104</v>
      </c>
      <c r="G9656" s="168">
        <f>SUM(C9656,C9632,C9608,C9584,C9560,C9536,C9512,C9488,C9464,C9440,C9416,C9392,C9368,C9344)/POBLA!$B$7*100000</f>
        <v>443.96282359823959</v>
      </c>
      <c r="H9656" s="256">
        <f t="shared" si="1559"/>
        <v>1.8107375271149675</v>
      </c>
      <c r="I9656" s="297">
        <f t="shared" si="1562"/>
        <v>803.90014533325495</v>
      </c>
      <c r="J9656" s="297">
        <f t="shared" si="1563"/>
        <v>1485.1428571428571</v>
      </c>
      <c r="K9656" s="297">
        <f>J9656/POBLA!$B$7*100000</f>
        <v>39.493753597118889</v>
      </c>
      <c r="L9656" s="549">
        <f t="shared" si="1560"/>
        <v>-0.65042070169868227</v>
      </c>
      <c r="M9656" s="401">
        <f>SUM(C9656,C9632,C9608,C9584,C9560,C9536,C9512)/POBLA!$B$7*100000</f>
        <v>276.45627517983218</v>
      </c>
    </row>
    <row r="9657" spans="1:13" x14ac:dyDescent="0.25">
      <c r="A9657" s="367" t="s">
        <v>31</v>
      </c>
      <c r="B9657" s="2">
        <v>44295</v>
      </c>
      <c r="C9657" s="1">
        <v>452</v>
      </c>
      <c r="D9657" s="39">
        <f t="shared" si="1561"/>
        <v>52422</v>
      </c>
      <c r="E9657" s="1">
        <v>1</v>
      </c>
      <c r="F9657" s="39">
        <f t="shared" si="1558"/>
        <v>961</v>
      </c>
      <c r="G9657" s="168">
        <f>SUM(C9657,C9633,C9609,C9585,C9561,C9537,C9513,C9489,C9465,C9441,C9417,C9393,C9369,C9345)/POBLA!$B$8*100000</f>
        <v>249.21336170353999</v>
      </c>
      <c r="H9657" s="256">
        <f t="shared" si="1559"/>
        <v>1.5242718446601942</v>
      </c>
      <c r="I9657" s="297">
        <f t="shared" si="1562"/>
        <v>379.86891055782309</v>
      </c>
      <c r="J9657" s="297">
        <f t="shared" si="1563"/>
        <v>298.14285714285717</v>
      </c>
      <c r="K9657" s="297">
        <f>J9657/POBLA!$B$8*100000</f>
        <v>21.511633959603277</v>
      </c>
      <c r="L9657" s="549">
        <f t="shared" si="1560"/>
        <v>-0.52670080468178493</v>
      </c>
      <c r="M9657" s="401">
        <f>SUM(C9657,C9633,C9609,C9585,C9561,C9537,C9513)/POBLA!$B$8*100000</f>
        <v>150.58143771722294</v>
      </c>
    </row>
    <row r="9658" spans="1:13" s="360" customFormat="1" x14ac:dyDescent="0.25">
      <c r="A9658" s="367" t="s">
        <v>41</v>
      </c>
      <c r="B9658" s="2">
        <v>44295</v>
      </c>
      <c r="C9658" s="1">
        <v>100</v>
      </c>
      <c r="D9658" s="39">
        <f t="shared" si="1561"/>
        <v>2641</v>
      </c>
      <c r="E9658" s="1">
        <v>1</v>
      </c>
      <c r="F9658" s="39">
        <f t="shared" si="1558"/>
        <v>49</v>
      </c>
      <c r="G9658" s="168">
        <f>SUM(C9658,C9634,C9610,C9586,C9562,C9538,C9514,C9490,C9466,C9442,C9418,C9394,C9370,C9346)/POBLA!$B$9*100000</f>
        <v>119.96173121632272</v>
      </c>
      <c r="H9658" s="256">
        <f t="shared" si="1559"/>
        <v>1.7621359223300972</v>
      </c>
      <c r="I9658" s="297">
        <f t="shared" si="1562"/>
        <v>211.38887588119005</v>
      </c>
      <c r="J9658" s="297">
        <f t="shared" si="1563"/>
        <v>49.571428571428569</v>
      </c>
      <c r="K9658" s="297">
        <f>J9658/POBLA!$B$9*100000</f>
        <v>8.1910115568799657</v>
      </c>
      <c r="L9658" s="549">
        <f t="shared" si="1560"/>
        <v>8.4432717678100233E-2</v>
      </c>
      <c r="M9658" s="401">
        <f>SUM(C9658,C9634,C9610,C9586,C9562,C9538,C9514)/POBLA!$B$9*100000</f>
        <v>57.337080898159755</v>
      </c>
    </row>
    <row r="9659" spans="1:13" s="360" customFormat="1" x14ac:dyDescent="0.25">
      <c r="A9659" s="367" t="s">
        <v>32</v>
      </c>
      <c r="B9659" s="2">
        <v>44295</v>
      </c>
      <c r="C9659" s="1">
        <v>54</v>
      </c>
      <c r="D9659" s="39">
        <f t="shared" si="1561"/>
        <v>22944</v>
      </c>
      <c r="E9659" s="1">
        <v>4</v>
      </c>
      <c r="F9659" s="39">
        <f t="shared" si="1558"/>
        <v>983</v>
      </c>
      <c r="G9659" s="168">
        <f>SUM(C9659,C9635,C9611,C9587,C9563,C9539,C9515,C9491,C9467,C9443,C9419,C9395,C9371,C9347)/POBLA!$B$10*100000</f>
        <v>95.475177102561872</v>
      </c>
      <c r="H9659" s="256">
        <f t="shared" si="1559"/>
        <v>1.1813804173354736</v>
      </c>
      <c r="I9659" s="297">
        <f t="shared" si="1562"/>
        <v>112.7925045706028</v>
      </c>
      <c r="J9659" s="297">
        <f t="shared" si="1563"/>
        <v>51.285714285714285</v>
      </c>
      <c r="K9659" s="297">
        <f>J9659/POBLA!$B$10*100000</f>
        <v>6.6528704541575525</v>
      </c>
      <c r="L9659" s="549">
        <f t="shared" si="1560"/>
        <v>4.7745358090185652E-2</v>
      </c>
      <c r="M9659" s="401">
        <f>SUM(C9659,C9635,C9611,C9587,C9563,C9539,C9515)/POBLA!$B$10*100000</f>
        <v>46.570093179102869</v>
      </c>
    </row>
    <row r="9660" spans="1:13" s="360" customFormat="1" x14ac:dyDescent="0.25">
      <c r="A9660" s="367" t="s">
        <v>33</v>
      </c>
      <c r="B9660" s="2">
        <v>44295</v>
      </c>
      <c r="C9660" s="1">
        <v>214</v>
      </c>
      <c r="D9660" s="39">
        <f t="shared" si="1561"/>
        <v>22470</v>
      </c>
      <c r="E9660" s="1">
        <v>2</v>
      </c>
      <c r="F9660" s="39">
        <f t="shared" si="1558"/>
        <v>329</v>
      </c>
      <c r="G9660" s="168">
        <f>SUM(C9660,C9636,C9612,C9588,C9564,C9540,C9516,C9492,C9468,C9444,C9420,C9396,C9372,C9348)/POBLA!$B$11*100000</f>
        <v>436.90783086142829</v>
      </c>
      <c r="H9660" s="256">
        <f t="shared" si="1559"/>
        <v>1.3204047217537942</v>
      </c>
      <c r="I9660" s="297">
        <f t="shared" si="1562"/>
        <v>576.89516284063802</v>
      </c>
      <c r="J9660" s="297">
        <f t="shared" si="1563"/>
        <v>145.42857142857142</v>
      </c>
      <c r="K9660" s="297">
        <f>J9660/POBLA!$B$11*100000</f>
        <v>40.57399852371227</v>
      </c>
      <c r="L9660" s="549">
        <f t="shared" si="1560"/>
        <v>-0.85766423357664223</v>
      </c>
      <c r="M9660" s="401">
        <f>SUM(C9660,C9636,C9612,C9588,C9564,C9540,C9516)/POBLA!$B$11*100000</f>
        <v>284.01798966598591</v>
      </c>
    </row>
    <row r="9661" spans="1:13" s="360" customFormat="1" x14ac:dyDescent="0.25">
      <c r="A9661" s="367" t="s">
        <v>21</v>
      </c>
      <c r="B9661" s="2">
        <v>44295</v>
      </c>
      <c r="C9661" s="1">
        <v>60</v>
      </c>
      <c r="D9661" s="39">
        <f t="shared" si="1561"/>
        <v>11774</v>
      </c>
      <c r="E9661" s="1"/>
      <c r="F9661" s="39">
        <f t="shared" si="1558"/>
        <v>451</v>
      </c>
      <c r="G9661" s="168">
        <f>SUM(C9661,C9637,C9613,C9589,C9565,C9541,C9517,C9493,C9469,C9445,C9421,C9397,C9373,C9349)/POBLA!$B$12*100000</f>
        <v>241.14999834828768</v>
      </c>
      <c r="H9661" s="256">
        <f t="shared" si="1559"/>
        <v>2.7994100294985249</v>
      </c>
      <c r="I9661" s="297">
        <f t="shared" si="1562"/>
        <v>675.0777239897493</v>
      </c>
      <c r="J9661" s="297">
        <f t="shared" si="1563"/>
        <v>81.428571428571431</v>
      </c>
      <c r="K9661" s="297">
        <f>J9661/POBLA!$B$12*100000</f>
        <v>20.691780680193283</v>
      </c>
      <c r="L9661" s="549">
        <f t="shared" si="1560"/>
        <v>-0.50395778364116084</v>
      </c>
      <c r="M9661" s="401">
        <f>SUM(C9661,C9637,C9613,C9589,C9565,C9541,C9517)/POBLA!$B$12*100000</f>
        <v>144.842464761353</v>
      </c>
    </row>
    <row r="9662" spans="1:13" s="360" customFormat="1" x14ac:dyDescent="0.25">
      <c r="A9662" s="367" t="s">
        <v>17</v>
      </c>
      <c r="B9662" s="2">
        <v>44295</v>
      </c>
      <c r="C9662" s="1">
        <v>1056</v>
      </c>
      <c r="D9662" s="39">
        <f t="shared" si="1561"/>
        <v>78846</v>
      </c>
      <c r="E9662" s="1">
        <v>9</v>
      </c>
      <c r="F9662" s="39">
        <f t="shared" si="1558"/>
        <v>1535</v>
      </c>
      <c r="G9662" s="168">
        <f>SUM(C9662,C9638,C9614,C9590,C9566,C9542,C9518,C9494,C9470,C9446,C9422,C9398,C9374,C9350)/POBLA!$B$13*100000</f>
        <v>368.17867116037581</v>
      </c>
      <c r="H9662" s="256">
        <f t="shared" si="1559"/>
        <v>3.1249466950959488</v>
      </c>
      <c r="I9662" s="297">
        <f t="shared" si="1562"/>
        <v>1150.5387216474346</v>
      </c>
      <c r="J9662" s="297">
        <f t="shared" si="1563"/>
        <v>730.85714285714289</v>
      </c>
      <c r="K9662" s="297">
        <f>J9662/POBLA!$B$13*100000</f>
        <v>36.720252683571474</v>
      </c>
      <c r="L9662" s="549">
        <f t="shared" si="1560"/>
        <v>-1.3128390596745025</v>
      </c>
      <c r="M9662" s="401">
        <f>SUM(C9662,C9638,C9614,C9590,C9566,C9542,C9518)/POBLA!$B$13*100000</f>
        <v>257.04176878500033</v>
      </c>
    </row>
    <row r="9663" spans="1:13" s="360" customFormat="1" x14ac:dyDescent="0.25">
      <c r="A9663" s="367" t="s">
        <v>23</v>
      </c>
      <c r="B9663" s="2">
        <v>44295</v>
      </c>
      <c r="C9663" s="1">
        <v>170</v>
      </c>
      <c r="D9663" s="39">
        <f t="shared" si="1561"/>
        <v>13038</v>
      </c>
      <c r="E9663" s="1">
        <v>2</v>
      </c>
      <c r="F9663" s="39">
        <f t="shared" si="1558"/>
        <v>219</v>
      </c>
      <c r="G9663" s="168">
        <f>SUM(C9663,C9639,C9615,C9591,C9567,C9543,C9519,C9495,C9471,C9447,C9423,C9399,C9375,C9351)/POBLA!$B$14*100000</f>
        <v>126.93313374994251</v>
      </c>
      <c r="H9663" s="256">
        <f t="shared" si="1559"/>
        <v>0.93735362997658078</v>
      </c>
      <c r="I9663" s="297">
        <f t="shared" si="1562"/>
        <v>118.98123368481146</v>
      </c>
      <c r="J9663" s="297">
        <f t="shared" si="1563"/>
        <v>113.57142857142857</v>
      </c>
      <c r="K9663" s="297">
        <f>J9663/POBLA!$B$14*100000</f>
        <v>9.0043581093249134</v>
      </c>
      <c r="L9663" s="549">
        <f t="shared" si="1560"/>
        <v>1.3647642679900707E-2</v>
      </c>
      <c r="M9663" s="401">
        <f>SUM(C9663,C9639,C9615,C9591,C9567,C9543,C9519)/POBLA!$B$14*100000</f>
        <v>63.030506765274396</v>
      </c>
    </row>
    <row r="9664" spans="1:13" s="360" customFormat="1" x14ac:dyDescent="0.25">
      <c r="A9664" s="367" t="s">
        <v>19</v>
      </c>
      <c r="B9664" s="2">
        <v>44295</v>
      </c>
      <c r="C9664" s="1">
        <v>175</v>
      </c>
      <c r="D9664" s="39">
        <f t="shared" si="1561"/>
        <v>66348</v>
      </c>
      <c r="E9664" s="1">
        <v>1</v>
      </c>
      <c r="F9664" s="39">
        <f t="shared" si="1558"/>
        <v>1017</v>
      </c>
      <c r="G9664" s="168">
        <f>SUM(C9664,C9640,C9616,C9592,C9568,C9544,C9520,C9496,C9472,C9448,C9424,C9400,C9376,C9352)/POBLA!$B$15*100000</f>
        <v>248.47264617344598</v>
      </c>
      <c r="H9664" s="256">
        <f t="shared" si="1559"/>
        <v>1.0054844606946984</v>
      </c>
      <c r="I9664" s="297">
        <f t="shared" si="1562"/>
        <v>249.83538463509197</v>
      </c>
      <c r="J9664" s="297">
        <f t="shared" si="1563"/>
        <v>139.57142857142858</v>
      </c>
      <c r="K9664" s="297">
        <f>J9664/POBLA!$B$15*100000</f>
        <v>21.017989204455127</v>
      </c>
      <c r="L9664" s="549">
        <f t="shared" si="1560"/>
        <v>-0.45170876671619609</v>
      </c>
      <c r="M9664" s="401">
        <f>SUM(C9664,C9640,C9616,C9592,C9568,C9544,C9520)/POBLA!$B$15*100000</f>
        <v>147.12592443118589</v>
      </c>
    </row>
    <row r="9665" spans="1:13" s="360" customFormat="1" x14ac:dyDescent="0.25">
      <c r="A9665" s="367" t="s">
        <v>18</v>
      </c>
      <c r="B9665" s="2">
        <v>44295</v>
      </c>
      <c r="C9665" s="1">
        <v>208</v>
      </c>
      <c r="D9665" s="39">
        <f t="shared" si="1561"/>
        <v>56594</v>
      </c>
      <c r="E9665" s="1">
        <v>3</v>
      </c>
      <c r="F9665" s="39">
        <f t="shared" si="1558"/>
        <v>1301</v>
      </c>
      <c r="G9665" s="168">
        <f>SUM(C9665,C9641,C9617,C9593,C9569,C9545,C9521,C9497,C9473,C9449,C9425,C9401,C9377,C9353)/POBLA!$B$16*100000</f>
        <v>225.38489319297497</v>
      </c>
      <c r="H9665" s="256">
        <f t="shared" si="1559"/>
        <v>1.4100418410041842</v>
      </c>
      <c r="I9665" s="297">
        <f t="shared" si="1562"/>
        <v>317.80212973235382</v>
      </c>
      <c r="J9665" s="297">
        <f t="shared" si="1563"/>
        <v>143.57142857142858</v>
      </c>
      <c r="K9665" s="297">
        <f>J9665/POBLA!$B$16*100000</f>
        <v>19.204054061800747</v>
      </c>
      <c r="L9665" s="549">
        <f t="shared" si="1560"/>
        <v>-0.47794117647058831</v>
      </c>
      <c r="M9665" s="401">
        <f>SUM(C9665,C9641,C9617,C9593,C9569,C9545,C9521)/POBLA!$B$16*100000</f>
        <v>134.42837843260523</v>
      </c>
    </row>
    <row r="9666" spans="1:13" s="360" customFormat="1" x14ac:dyDescent="0.25">
      <c r="A9666" s="367" t="s">
        <v>34</v>
      </c>
      <c r="B9666" s="2">
        <v>44295</v>
      </c>
      <c r="C9666" s="1">
        <v>247</v>
      </c>
      <c r="D9666" s="39">
        <f t="shared" si="1561"/>
        <v>30734</v>
      </c>
      <c r="E9666" s="1">
        <v>6</v>
      </c>
      <c r="F9666" s="39">
        <f t="shared" si="1558"/>
        <v>1232</v>
      </c>
      <c r="G9666" s="168">
        <f>SUM(C9666,C9642,C9618,C9594,C9570,C9546,C9522,C9498,C9474,C9450,C9426,C9402,C9378,C9354)/POBLA!$B$17*100000</f>
        <v>134.23224002858754</v>
      </c>
      <c r="H9666" s="256">
        <f t="shared" si="1559"/>
        <v>1.3956204379562043</v>
      </c>
      <c r="I9666" s="297">
        <f t="shared" si="1562"/>
        <v>187.33725761653969</v>
      </c>
      <c r="J9666" s="297">
        <f t="shared" si="1563"/>
        <v>163.14285714285714</v>
      </c>
      <c r="K9666" s="297">
        <f>J9666/POBLA!$B$17*100000</f>
        <v>11.453468179366928</v>
      </c>
      <c r="L9666" s="549">
        <f t="shared" si="1560"/>
        <v>-0.48311688311688306</v>
      </c>
      <c r="M9666" s="401">
        <f>SUM(C9666,C9642,C9618,C9594,C9570,C9546,C9522)/POBLA!$B$17*100000</f>
        <v>80.174277255568498</v>
      </c>
    </row>
    <row r="9667" spans="1:13" s="360" customFormat="1" x14ac:dyDescent="0.25">
      <c r="A9667" s="367" t="s">
        <v>35</v>
      </c>
      <c r="B9667" s="2">
        <v>44295</v>
      </c>
      <c r="C9667" s="1">
        <v>226</v>
      </c>
      <c r="D9667" s="39">
        <f t="shared" si="1561"/>
        <v>18687</v>
      </c>
      <c r="E9667" s="1"/>
      <c r="F9667" s="39">
        <f t="shared" si="1558"/>
        <v>229</v>
      </c>
      <c r="G9667" s="168">
        <f>SUM(C9667,C9643,C9619,C9595,C9571,C9547,C9523,C9499,C9475,C9451,C9427,C9403,C9379,C9355)/POBLA!$B$18*100000</f>
        <v>245.13035430616588</v>
      </c>
      <c r="H9667" s="256">
        <f t="shared" si="1559"/>
        <v>2.0974808324205916</v>
      </c>
      <c r="I9667" s="297">
        <f t="shared" si="1562"/>
        <v>514.1562196016514</v>
      </c>
      <c r="J9667" s="297">
        <f t="shared" si="1563"/>
        <v>178.71428571428572</v>
      </c>
      <c r="K9667" s="297">
        <f>J9667/POBLA!$B$18*100000</f>
        <v>22.876394870347898</v>
      </c>
      <c r="L9667" s="549">
        <f t="shared" si="1560"/>
        <v>-0.88403614457831314</v>
      </c>
      <c r="M9667" s="401">
        <f>SUM(C9667,C9643,C9619,C9595,C9571,C9547,C9523)/POBLA!$B$18*100000</f>
        <v>160.13476409243526</v>
      </c>
    </row>
    <row r="9668" spans="1:13" s="360" customFormat="1" x14ac:dyDescent="0.25">
      <c r="A9668" s="367" t="s">
        <v>36</v>
      </c>
      <c r="B9668" s="2">
        <v>44295</v>
      </c>
      <c r="C9668" s="1">
        <v>443</v>
      </c>
      <c r="D9668" s="39">
        <f t="shared" si="1561"/>
        <v>25602</v>
      </c>
      <c r="E9668" s="1"/>
      <c r="F9668" s="39">
        <f t="shared" si="1558"/>
        <v>441</v>
      </c>
      <c r="G9668" s="168">
        <f>SUM(C9668,C9644,C9620,C9596,C9572,C9548,C9524,C9500,C9476,C9452,C9428,C9404,C9380,C9356)/POBLA!$B$19*100000</f>
        <v>696.40074912261377</v>
      </c>
      <c r="H9668" s="256">
        <f t="shared" si="1559"/>
        <v>6.4716636197440582</v>
      </c>
      <c r="I9668" s="297">
        <f t="shared" si="1562"/>
        <v>4506.8713928593288</v>
      </c>
      <c r="J9668" s="297">
        <f t="shared" si="1563"/>
        <v>344.57142857142856</v>
      </c>
      <c r="K9668" s="297">
        <f>J9668/POBLA!$B$19*100000</f>
        <v>67.785254515082499</v>
      </c>
      <c r="L9668" s="549">
        <f t="shared" si="1560"/>
        <v>-1.1382978723404253</v>
      </c>
      <c r="M9668" s="401">
        <f>SUM(C9668,C9644,C9620,C9596,C9572,C9548,C9524)/POBLA!$B$19*100000</f>
        <v>474.4967816055775</v>
      </c>
    </row>
    <row r="9669" spans="1:13" s="360" customFormat="1" x14ac:dyDescent="0.25">
      <c r="A9669" s="367" t="s">
        <v>37</v>
      </c>
      <c r="B9669" s="2">
        <v>44295</v>
      </c>
      <c r="C9669" s="1">
        <v>176</v>
      </c>
      <c r="D9669" s="39">
        <f t="shared" si="1561"/>
        <v>40681</v>
      </c>
      <c r="E9669" s="1">
        <v>3</v>
      </c>
      <c r="F9669" s="39">
        <f t="shared" si="1558"/>
        <v>660</v>
      </c>
      <c r="G9669" s="168">
        <f>SUM(C9669,C9645,C9621,C9597,C9573,C9549,C9525,C9501,C9477,C9453,C9429,C9405,C9381,C9357)/POBLA!$B$20*100000</f>
        <v>538.9693134772408</v>
      </c>
      <c r="H9669" s="256">
        <f t="shared" si="1559"/>
        <v>1.3272727272727274</v>
      </c>
      <c r="I9669" s="297">
        <f t="shared" si="1562"/>
        <v>715.35927061524694</v>
      </c>
      <c r="J9669" s="297">
        <f t="shared" si="1563"/>
        <v>148.57142857142858</v>
      </c>
      <c r="K9669" s="297">
        <f>J9669/POBLA!$B$20*100000</f>
        <v>40.626809162595528</v>
      </c>
      <c r="L9669" s="549">
        <f t="shared" si="1560"/>
        <v>-0.11707841031149302</v>
      </c>
      <c r="M9669" s="401">
        <f>SUM(C9669,C9645,C9621,C9597,C9573,C9549,C9525)/POBLA!$B$20*100000</f>
        <v>284.38766413816865</v>
      </c>
    </row>
    <row r="9670" spans="1:13" s="360" customFormat="1" x14ac:dyDescent="0.25">
      <c r="A9670" s="367" t="s">
        <v>22</v>
      </c>
      <c r="B9670" s="2">
        <v>44295</v>
      </c>
      <c r="C9670" s="1">
        <v>1427</v>
      </c>
      <c r="D9670" s="39">
        <f t="shared" si="1561"/>
        <v>240025</v>
      </c>
      <c r="E9670" s="1">
        <v>20</v>
      </c>
      <c r="F9670" s="39">
        <f t="shared" si="1558"/>
        <v>4339</v>
      </c>
      <c r="G9670" s="168">
        <f>SUM(C9670,C9646,C9622,C9598,C9574,C9550,C9526,C9502,C9478,C9454,C9430,C9406,C9382,C9358)/POBLA!$B$21*100000</f>
        <v>333.33163670131751</v>
      </c>
      <c r="H9670" s="256">
        <f t="shared" si="1559"/>
        <v>1.790400972053463</v>
      </c>
      <c r="I9670" s="297">
        <f t="shared" si="1562"/>
        <v>596.79728636621064</v>
      </c>
      <c r="J9670" s="297">
        <f t="shared" si="1563"/>
        <v>1005.7142857142857</v>
      </c>
      <c r="K9670" s="297">
        <f>J9670/POBLA!$B$21*100000</f>
        <v>28.43878426459445</v>
      </c>
      <c r="L9670" s="549">
        <f t="shared" si="1560"/>
        <v>-0.48272957034540864</v>
      </c>
      <c r="M9670" s="401">
        <f>SUM(C9670,C9646,C9622,C9598,C9574,C9550,C9526)/POBLA!$B$21*100000</f>
        <v>199.07148985216114</v>
      </c>
    </row>
    <row r="9671" spans="1:13" s="360" customFormat="1" x14ac:dyDescent="0.25">
      <c r="A9671" s="367" t="s">
        <v>38</v>
      </c>
      <c r="B9671" s="2">
        <v>44295</v>
      </c>
      <c r="C9671" s="1">
        <v>223</v>
      </c>
      <c r="D9671" s="39">
        <f t="shared" si="1561"/>
        <v>26430</v>
      </c>
      <c r="E9671" s="1">
        <v>1</v>
      </c>
      <c r="F9671" s="39">
        <f t="shared" si="1558"/>
        <v>303</v>
      </c>
      <c r="G9671" s="168">
        <f>SUM(C9671,C9647,C9623,C9599,C9575,C9551,C9527,C9503,C9479,C9455,C9431,C9407,C9383,C9359)/POBLA!$B$22*100000</f>
        <v>189.9187683287455</v>
      </c>
      <c r="H9671" s="256">
        <f t="shared" si="1559"/>
        <v>1.4734337827121333</v>
      </c>
      <c r="I9671" s="297">
        <f t="shared" si="1562"/>
        <v>279.83272922665276</v>
      </c>
      <c r="J9671" s="297">
        <f t="shared" si="1563"/>
        <v>146.42857142857142</v>
      </c>
      <c r="K9671" s="297">
        <f>J9671/POBLA!$B$22*100000</f>
        <v>14.967456369134563</v>
      </c>
      <c r="L9671" s="549">
        <f t="shared" si="1560"/>
        <v>-0.23049219687875144</v>
      </c>
      <c r="M9671" s="401">
        <f>SUM(C9671,C9647,C9623,C9599,C9575,C9551,C9527)/POBLA!$B$22*100000</f>
        <v>104.77219458394195</v>
      </c>
    </row>
    <row r="9672" spans="1:13" s="360" customFormat="1" x14ac:dyDescent="0.25">
      <c r="A9672" s="367" t="s">
        <v>39</v>
      </c>
      <c r="B9672" s="2">
        <v>44295</v>
      </c>
      <c r="C9672" s="1">
        <v>151</v>
      </c>
      <c r="D9672" s="39">
        <f t="shared" si="1561"/>
        <v>24704</v>
      </c>
      <c r="E9672" s="1"/>
      <c r="F9672" s="39">
        <f t="shared" si="1558"/>
        <v>370</v>
      </c>
      <c r="G9672" s="168">
        <f>SUM(C9672,C9648,C9624,C9600,C9576,C9552,C9528,C9504,C9480,C9456,C9432,C9408,C9384,C9360)/POBLA!$B$23*100000</f>
        <v>501.04620256743772</v>
      </c>
      <c r="H9672" s="256">
        <f t="shared" si="1559"/>
        <v>1.7684630738522955</v>
      </c>
      <c r="I9672" s="297">
        <f t="shared" si="1562"/>
        <v>886.08170753443085</v>
      </c>
      <c r="J9672" s="297">
        <f t="shared" si="1563"/>
        <v>70.142857142857139</v>
      </c>
      <c r="K9672" s="297">
        <f>J9672/POBLA!$B$23*100000</f>
        <v>39.666830935280856</v>
      </c>
      <c r="L9672" s="549">
        <f t="shared" si="1560"/>
        <v>-0.24303797468354427</v>
      </c>
      <c r="M9672" s="401">
        <f>SUM(C9672,C9648,C9624,C9600,C9576,C9552,C9528)/POBLA!$B$23*100000</f>
        <v>277.66781654696598</v>
      </c>
    </row>
    <row r="9673" spans="1:13" s="360" customFormat="1" ht="15.75" thickBot="1" x14ac:dyDescent="0.3">
      <c r="A9673" s="369" t="s">
        <v>40</v>
      </c>
      <c r="B9673" s="266">
        <v>44295</v>
      </c>
      <c r="C9673" s="44">
        <v>850</v>
      </c>
      <c r="D9673" s="176">
        <f t="shared" si="1561"/>
        <v>92591</v>
      </c>
      <c r="E9673" s="44">
        <v>6</v>
      </c>
      <c r="F9673" s="176">
        <f t="shared" si="1558"/>
        <v>1525</v>
      </c>
      <c r="G9673" s="177">
        <f>SUM(C9673,C9649,C9625,C9601,C9577,C9553,C9529,C9505,C9481,C9457,C9433,C9409,C9385,C9361)/POBLA!$B$24*100000</f>
        <v>395.41948336417539</v>
      </c>
      <c r="H9673" s="402">
        <f t="shared" si="1559"/>
        <v>1.6891857827073355</v>
      </c>
      <c r="I9673" s="403">
        <f t="shared" si="1562"/>
        <v>667.93696950424487</v>
      </c>
      <c r="J9673" s="403">
        <f t="shared" si="1563"/>
        <v>562</v>
      </c>
      <c r="K9673" s="403">
        <f>J9673/POBLA!$B$24*100000</f>
        <v>33.163072623588505</v>
      </c>
      <c r="L9673" s="550">
        <f t="shared" si="1560"/>
        <v>-0.42175641488977234</v>
      </c>
      <c r="M9673" s="405">
        <f>SUM(C9673,C9649,C9625,C9601,C9577,C9553,C9529)/POBLA!$B$24*100000</f>
        <v>232.14150836511951</v>
      </c>
    </row>
    <row r="9674" spans="1:13" s="360" customFormat="1" x14ac:dyDescent="0.25">
      <c r="A9674" s="363" t="s">
        <v>16</v>
      </c>
      <c r="B9674" s="265">
        <v>44296</v>
      </c>
      <c r="C9674" s="43">
        <v>10349</v>
      </c>
      <c r="D9674" s="174">
        <f t="shared" si="1561"/>
        <v>1072781</v>
      </c>
      <c r="E9674" s="43">
        <v>214</v>
      </c>
      <c r="F9674" s="174">
        <f t="shared" ref="F9674:F9697" si="1564">E9674+F9650</f>
        <v>29312</v>
      </c>
      <c r="G9674" s="175">
        <f>SUM(C9674,C9650,C9626,C9602,C9578,C9554,C9530,C9506,C9482,C9458,C9434,C9410,C9386,C9362)/POBLA!$B$1*100000</f>
        <v>615.29634816800115</v>
      </c>
      <c r="H9674" s="300">
        <f t="shared" ref="H9674:H9697" si="1565">SUM(C9674,C9650,C9626,C9602,C9578,C9554,C9530,C9506,C9482,C9458,C9434,C9410,C9386,C9362)/SUM(C9338,C9314,C9290,C9266,C9242,C9218,C9194,C9170,C9146,C9122,C9098,C9074,C9050,C9026)</f>
        <v>2.1986147891627623</v>
      </c>
      <c r="I9674" s="301">
        <f>G9674*H9674</f>
        <v>1352.7996508000074</v>
      </c>
      <c r="J9674" s="301">
        <f>AVERAGE(C9674,C9650,C9626,C9602,C9578,C9554,C9530)</f>
        <v>9686.4285714285706</v>
      </c>
      <c r="K9674" s="301">
        <f>J9674/POBLA!$B$1*100000</f>
        <v>55.221200099973942</v>
      </c>
      <c r="L9674" s="548">
        <f t="shared" ref="L9674:L9697" si="1566">1-SUM(C9674,C9650,C9626,C9602,C9578,C9554,C9530)/SUM(C9506,C9482,C9458,C9434,C9410,C9386,C9362)</f>
        <v>-0.68984423676012452</v>
      </c>
      <c r="M9674" s="400">
        <f>SUM(C9674,C9650,C9626,C9602,C9578,C9554,C9530)/POBLA!$B$1*100000</f>
        <v>386.54840069981765</v>
      </c>
    </row>
    <row r="9675" spans="1:13" s="360" customFormat="1" x14ac:dyDescent="0.25">
      <c r="A9675" s="367" t="s">
        <v>43</v>
      </c>
      <c r="B9675" s="2">
        <v>44296</v>
      </c>
      <c r="C9675" s="1">
        <v>2491</v>
      </c>
      <c r="D9675" s="39">
        <f t="shared" si="1561"/>
        <v>283085</v>
      </c>
      <c r="E9675" s="1">
        <v>17</v>
      </c>
      <c r="F9675" s="39">
        <f t="shared" si="1564"/>
        <v>7050</v>
      </c>
      <c r="G9675" s="168">
        <f>SUM(C9675,C9651,C9627,C9603,C9579,C9555,C9531,C9507,C9483,C9459,C9435,C9411,C9387,C9363)/POBLA!$B$2*100000</f>
        <v>898.15277831063781</v>
      </c>
      <c r="H9675" s="256">
        <f t="shared" si="1565"/>
        <v>1.9645828888414765</v>
      </c>
      <c r="I9675" s="297">
        <f t="shared" ref="I9675:I9697" si="1567">G9675*H9675</f>
        <v>1764.4955798345111</v>
      </c>
      <c r="J9675" s="297">
        <f t="shared" ref="J9675:J9697" si="1568">AVERAGE(C9675,C9651,C9627,C9603,C9579,C9555,C9531)</f>
        <v>2369.8571428571427</v>
      </c>
      <c r="K9675" s="297">
        <f>J9675/POBLA!$B$2*100000</f>
        <v>77.05233771562601</v>
      </c>
      <c r="L9675" s="549">
        <f t="shared" si="1566"/>
        <v>-0.50330765745355688</v>
      </c>
      <c r="M9675" s="401">
        <f>SUM(C9675,C9651,C9627,C9603,C9579,C9555,C9531)/POBLA!$B$2*100000</f>
        <v>539.3663640093821</v>
      </c>
    </row>
    <row r="9676" spans="1:13" s="360" customFormat="1" x14ac:dyDescent="0.25">
      <c r="A9676" s="367" t="s">
        <v>28</v>
      </c>
      <c r="B9676" s="2">
        <v>44296</v>
      </c>
      <c r="C9676" s="1">
        <v>159</v>
      </c>
      <c r="D9676" s="39">
        <f t="shared" si="1561"/>
        <v>11574</v>
      </c>
      <c r="E9676" s="1"/>
      <c r="F9676" s="39">
        <f t="shared" si="1564"/>
        <v>18</v>
      </c>
      <c r="G9676" s="168">
        <f>SUM(C9676,C9652,C9628,C9604,C9580,C9556,C9532,C9508,C9484,C9460,C9436,C9412,C9388,C9364)/POBLA!$B$3*100000</f>
        <v>343.73360164452941</v>
      </c>
      <c r="H9676" s="256">
        <f t="shared" si="1565"/>
        <v>1.2194705380017079</v>
      </c>
      <c r="I9676" s="297">
        <f t="shared" si="1567"/>
        <v>419.17300012671905</v>
      </c>
      <c r="J9676" s="297">
        <f t="shared" si="1568"/>
        <v>123.85714285714286</v>
      </c>
      <c r="K9676" s="297">
        <f>J9676/POBLA!$B$3*100000</f>
        <v>29.813628714066326</v>
      </c>
      <c r="L9676" s="549">
        <f t="shared" si="1566"/>
        <v>-0.54545454545454541</v>
      </c>
      <c r="M9676" s="401">
        <f>SUM(C9676,C9652,C9628,C9604,C9580,C9556,C9532)/POBLA!$B$3*100000</f>
        <v>208.69540099846427</v>
      </c>
    </row>
    <row r="9677" spans="1:13" s="360" customFormat="1" x14ac:dyDescent="0.25">
      <c r="A9677" s="367" t="s">
        <v>15</v>
      </c>
      <c r="B9677" s="2">
        <v>44296</v>
      </c>
      <c r="C9677" s="1">
        <v>196</v>
      </c>
      <c r="D9677" s="39">
        <f t="shared" si="1561"/>
        <v>40204</v>
      </c>
      <c r="E9677" s="1">
        <v>1</v>
      </c>
      <c r="F9677" s="39">
        <f t="shared" si="1564"/>
        <v>964</v>
      </c>
      <c r="G9677" s="168">
        <f>SUM(C9677,C9653,C9629,C9605,C9581,C9557,C9533,C9509,C9485,C9461,C9437,C9413,C9389,C9365)/POBLA!$B$4*100000</f>
        <v>192.27240915834332</v>
      </c>
      <c r="H9677" s="256">
        <f t="shared" si="1565"/>
        <v>1.1392031480570586</v>
      </c>
      <c r="I9677" s="297">
        <f t="shared" si="1567"/>
        <v>219.03733379769955</v>
      </c>
      <c r="J9677" s="297">
        <f t="shared" si="1568"/>
        <v>179.85714285714286</v>
      </c>
      <c r="K9677" s="297">
        <f>J9677/POBLA!$B$4*100000</f>
        <v>14.931591606856292</v>
      </c>
      <c r="L9677" s="549">
        <f t="shared" si="1566"/>
        <v>-0.19110690633869432</v>
      </c>
      <c r="M9677" s="401">
        <f>SUM(C9677,C9653,C9629,C9605,C9581,C9557,C9533)/POBLA!$B$4*100000</f>
        <v>104.52114124799405</v>
      </c>
    </row>
    <row r="9678" spans="1:13" s="360" customFormat="1" x14ac:dyDescent="0.25">
      <c r="A9678" s="367" t="s">
        <v>29</v>
      </c>
      <c r="B9678" s="2">
        <v>44296</v>
      </c>
      <c r="C9678" s="1">
        <v>88</v>
      </c>
      <c r="D9678" s="39">
        <f t="shared" si="1561"/>
        <v>51294</v>
      </c>
      <c r="E9678" s="1">
        <v>1</v>
      </c>
      <c r="F9678" s="39">
        <f t="shared" si="1564"/>
        <v>877</v>
      </c>
      <c r="G9678" s="168">
        <f>SUM(C9678,C9654,C9630,C9606,C9582,C9558,C9534,C9510,C9486,C9462,C9438,C9414,C9390,C9366)/POBLA!$B$5*100000</f>
        <v>291.11752294852619</v>
      </c>
      <c r="H9678" s="256">
        <f t="shared" si="1565"/>
        <v>1.2992069214131219</v>
      </c>
      <c r="I9678" s="297">
        <f t="shared" si="1567"/>
        <v>378.22190075936857</v>
      </c>
      <c r="J9678" s="297">
        <f t="shared" si="1568"/>
        <v>140.14285714285714</v>
      </c>
      <c r="K9678" s="297">
        <f>J9678/POBLA!$B$5*100000</f>
        <v>22.640422547368331</v>
      </c>
      <c r="L9678" s="549">
        <f t="shared" si="1566"/>
        <v>-0.19488428745432396</v>
      </c>
      <c r="M9678" s="401">
        <f>SUM(C9678,C9654,C9630,C9606,C9582,C9558,C9534)/POBLA!$B$5*100000</f>
        <v>158.48295783157835</v>
      </c>
    </row>
    <row r="9679" spans="1:13" s="360" customFormat="1" x14ac:dyDescent="0.25">
      <c r="A9679" s="367" t="s">
        <v>30</v>
      </c>
      <c r="B9679" s="2">
        <v>44296</v>
      </c>
      <c r="C9679" s="1">
        <v>238</v>
      </c>
      <c r="D9679" s="39">
        <f t="shared" si="1561"/>
        <v>33012</v>
      </c>
      <c r="E9679" s="1">
        <v>2</v>
      </c>
      <c r="F9679" s="39">
        <f t="shared" si="1564"/>
        <v>343</v>
      </c>
      <c r="G9679" s="168">
        <f>SUM(C9679,C9655,C9631,C9607,C9583,C9559,C9535,C9511,C9487,C9463,C9439,C9415,C9391,C9367)/POBLA!$B$6*100000</f>
        <v>455.12093583071396</v>
      </c>
      <c r="H9679" s="256">
        <f t="shared" si="1565"/>
        <v>1.6604817708333333</v>
      </c>
      <c r="I9679" s="297">
        <f t="shared" si="1567"/>
        <v>755.72001747150773</v>
      </c>
      <c r="J9679" s="297">
        <f t="shared" si="1568"/>
        <v>306.71428571428572</v>
      </c>
      <c r="K9679" s="297">
        <f>J9679/POBLA!$B$6*100000</f>
        <v>27.365632767483767</v>
      </c>
      <c r="L9679" s="549">
        <f t="shared" si="1566"/>
        <v>0.27318889641164523</v>
      </c>
      <c r="M9679" s="401">
        <f>SUM(C9679,C9655,C9631,C9607,C9583,C9559,C9535)/POBLA!$B$6*100000</f>
        <v>191.55942937238638</v>
      </c>
    </row>
    <row r="9680" spans="1:13" s="360" customFormat="1" x14ac:dyDescent="0.25">
      <c r="A9680" s="367" t="s">
        <v>20</v>
      </c>
      <c r="B9680" s="2">
        <v>44296</v>
      </c>
      <c r="C9680" s="1">
        <v>1212</v>
      </c>
      <c r="D9680" s="39">
        <f t="shared" si="1561"/>
        <v>194132</v>
      </c>
      <c r="E9680" s="1">
        <v>1</v>
      </c>
      <c r="F9680" s="39">
        <f t="shared" si="1564"/>
        <v>3105</v>
      </c>
      <c r="G9680" s="168">
        <f>SUM(C9680,C9656,C9632,C9608,C9584,C9560,C9536,C9512,C9488,C9464,C9440,C9416,C9392,C9368)/POBLA!$B$7*100000</f>
        <v>454.83918148093977</v>
      </c>
      <c r="H9680" s="256">
        <f t="shared" si="1565"/>
        <v>1.8137857900318133</v>
      </c>
      <c r="I9680" s="297">
        <f t="shared" si="1567"/>
        <v>824.98084411982961</v>
      </c>
      <c r="J9680" s="297">
        <f t="shared" si="1568"/>
        <v>1574.7142857142858</v>
      </c>
      <c r="K9680" s="297">
        <f>J9680/POBLA!$B$7*100000</f>
        <v>41.875687370242545</v>
      </c>
      <c r="L9680" s="549">
        <f t="shared" si="1566"/>
        <v>-0.81269528038151617</v>
      </c>
      <c r="M9680" s="401">
        <f>SUM(C9680,C9656,C9632,C9608,C9584,C9560,C9536)/POBLA!$B$7*100000</f>
        <v>293.12981159169777</v>
      </c>
    </row>
    <row r="9681" spans="1:13" x14ac:dyDescent="0.25">
      <c r="A9681" s="367" t="s">
        <v>31</v>
      </c>
      <c r="B9681" s="2">
        <v>44296</v>
      </c>
      <c r="C9681" s="1">
        <v>442</v>
      </c>
      <c r="D9681" s="39">
        <f t="shared" si="1561"/>
        <v>52864</v>
      </c>
      <c r="E9681" s="1">
        <v>1</v>
      </c>
      <c r="F9681" s="39">
        <f t="shared" si="1564"/>
        <v>962</v>
      </c>
      <c r="G9681" s="168">
        <f>SUM(C9681,C9657,C9633,C9609,C9585,C9561,C9537,C9513,C9489,C9465,C9441,C9417,C9393,C9369)/POBLA!$B$8*100000</f>
        <v>268.91088565984182</v>
      </c>
      <c r="H9681" s="256">
        <f t="shared" si="1565"/>
        <v>1.6016330038676407</v>
      </c>
      <c r="I9681" s="297">
        <f t="shared" si="1567"/>
        <v>430.69654957208013</v>
      </c>
      <c r="J9681" s="297">
        <f t="shared" si="1568"/>
        <v>345.71428571428572</v>
      </c>
      <c r="K9681" s="297">
        <f>J9681/POBLA!$B$8*100000</f>
        <v>24.944012545395271</v>
      </c>
      <c r="L9681" s="549">
        <f t="shared" si="1566"/>
        <v>-0.85156847742922714</v>
      </c>
      <c r="M9681" s="401">
        <f>SUM(C9681,C9657,C9633,C9609,C9585,C9561,C9537)/POBLA!$B$8*100000</f>
        <v>174.60808781776686</v>
      </c>
    </row>
    <row r="9682" spans="1:13" s="360" customFormat="1" x14ac:dyDescent="0.25">
      <c r="A9682" s="367" t="s">
        <v>41</v>
      </c>
      <c r="B9682" s="2">
        <v>44296</v>
      </c>
      <c r="C9682" s="1">
        <v>7</v>
      </c>
      <c r="D9682" s="39">
        <f t="shared" si="1561"/>
        <v>2648</v>
      </c>
      <c r="E9682" s="1"/>
      <c r="F9682" s="39">
        <f t="shared" si="1564"/>
        <v>49</v>
      </c>
      <c r="G9682" s="168">
        <f>SUM(C9682,C9658,C9634,C9610,C9586,C9562,C9538,C9514,C9490,C9466,C9442,C9418,C9394,C9370)/POBLA!$B$9*100000</f>
        <v>115.83081760694522</v>
      </c>
      <c r="H9682" s="256">
        <f t="shared" si="1565"/>
        <v>1.6494117647058824</v>
      </c>
      <c r="I9682" s="297">
        <f t="shared" si="1567"/>
        <v>191.0527132763967</v>
      </c>
      <c r="J9682" s="297">
        <f t="shared" si="1568"/>
        <v>50</v>
      </c>
      <c r="K9682" s="297">
        <f>J9682/POBLA!$B$9*100000</f>
        <v>8.261827218755009</v>
      </c>
      <c r="L9682" s="549">
        <f t="shared" si="1566"/>
        <v>2.8490028490028019E-3</v>
      </c>
      <c r="M9682" s="401">
        <f>SUM(C9682,C9658,C9634,C9610,C9586,C9562,C9538)/POBLA!$B$9*100000</f>
        <v>57.832790531285063</v>
      </c>
    </row>
    <row r="9683" spans="1:13" s="360" customFormat="1" x14ac:dyDescent="0.25">
      <c r="A9683" s="367" t="s">
        <v>32</v>
      </c>
      <c r="B9683" s="2">
        <v>44296</v>
      </c>
      <c r="C9683" s="1">
        <v>36</v>
      </c>
      <c r="D9683" s="39">
        <f t="shared" si="1561"/>
        <v>22980</v>
      </c>
      <c r="E9683" s="1">
        <v>2</v>
      </c>
      <c r="F9683" s="39">
        <f t="shared" si="1564"/>
        <v>985</v>
      </c>
      <c r="G9683" s="168">
        <f>SUM(C9683,C9659,C9635,C9611,C9587,C9563,C9539,C9515,C9491,C9467,C9443,C9419,C9395,C9371)/POBLA!$B$10*100000</f>
        <v>94.826568562462938</v>
      </c>
      <c r="H9683" s="256">
        <f t="shared" si="1565"/>
        <v>1.1475667189952905</v>
      </c>
      <c r="I9683" s="297">
        <f t="shared" si="1567"/>
        <v>108.81981415880756</v>
      </c>
      <c r="J9683" s="297">
        <f t="shared" si="1568"/>
        <v>52.571428571428569</v>
      </c>
      <c r="K9683" s="297">
        <f>J9683/POBLA!$B$10*100000</f>
        <v>6.819655507325848</v>
      </c>
      <c r="L9683" s="549">
        <f t="shared" si="1566"/>
        <v>-1.377410468319562E-2</v>
      </c>
      <c r="M9683" s="401">
        <f>SUM(C9683,C9659,C9635,C9611,C9587,C9563,C9539)/POBLA!$B$10*100000</f>
        <v>47.737588551280936</v>
      </c>
    </row>
    <row r="9684" spans="1:13" s="360" customFormat="1" x14ac:dyDescent="0.25">
      <c r="A9684" s="367" t="s">
        <v>33</v>
      </c>
      <c r="B9684" s="2">
        <v>44296</v>
      </c>
      <c r="C9684" s="1">
        <v>141</v>
      </c>
      <c r="D9684" s="39">
        <f t="shared" si="1561"/>
        <v>22611</v>
      </c>
      <c r="E9684" s="1">
        <v>1</v>
      </c>
      <c r="F9684" s="39">
        <f t="shared" si="1564"/>
        <v>330</v>
      </c>
      <c r="G9684" s="168">
        <f>SUM(C9684,C9660,C9636,C9612,C9588,C9564,C9540,C9516,C9492,C9468,C9444,C9420,C9396,C9372)/POBLA!$B$11*100000</f>
        <v>446.6726929815751</v>
      </c>
      <c r="H9684" s="256">
        <f t="shared" si="1565"/>
        <v>1.3375104427736006</v>
      </c>
      <c r="I9684" s="297">
        <f t="shared" si="1567"/>
        <v>597.42939136466305</v>
      </c>
      <c r="J9684" s="297">
        <f t="shared" si="1568"/>
        <v>156.42857142857142</v>
      </c>
      <c r="K9684" s="297">
        <f>J9684/POBLA!$B$11*100000</f>
        <v>43.642955190044141</v>
      </c>
      <c r="L9684" s="549">
        <f t="shared" si="1566"/>
        <v>-1.1640316205533598</v>
      </c>
      <c r="M9684" s="401">
        <f>SUM(C9684,C9660,C9636,C9612,C9588,C9564,C9540)/POBLA!$B$11*100000</f>
        <v>305.50068633030901</v>
      </c>
    </row>
    <row r="9685" spans="1:13" s="360" customFormat="1" x14ac:dyDescent="0.25">
      <c r="A9685" s="367" t="s">
        <v>21</v>
      </c>
      <c r="B9685" s="2">
        <v>44296</v>
      </c>
      <c r="C9685" s="1">
        <v>127</v>
      </c>
      <c r="D9685" s="39">
        <f t="shared" si="1561"/>
        <v>11901</v>
      </c>
      <c r="E9685" s="1"/>
      <c r="F9685" s="39">
        <f t="shared" si="1564"/>
        <v>451</v>
      </c>
      <c r="G9685" s="168">
        <f>SUM(C9685,C9661,C9637,C9613,C9589,C9565,C9541,C9517,C9493,C9469,C9445,C9421,C9397,C9373)/POBLA!$B$12*100000</f>
        <v>265.79862831644772</v>
      </c>
      <c r="H9685" s="256">
        <f t="shared" si="1565"/>
        <v>2.9885714285714284</v>
      </c>
      <c r="I9685" s="297">
        <f t="shared" si="1567"/>
        <v>794.35818634001225</v>
      </c>
      <c r="J9685" s="297">
        <f t="shared" si="1568"/>
        <v>85.714285714285708</v>
      </c>
      <c r="K9685" s="297">
        <f>J9685/POBLA!$B$12*100000</f>
        <v>21.780821768624506</v>
      </c>
      <c r="L9685" s="549">
        <f t="shared" si="1566"/>
        <v>-0.34529147982062791</v>
      </c>
      <c r="M9685" s="401">
        <f>SUM(C9685,C9661,C9637,C9613,C9589,C9565,C9541)/POBLA!$B$12*100000</f>
        <v>152.46575238037155</v>
      </c>
    </row>
    <row r="9686" spans="1:13" s="360" customFormat="1" x14ac:dyDescent="0.25">
      <c r="A9686" s="367" t="s">
        <v>17</v>
      </c>
      <c r="B9686" s="2">
        <v>44296</v>
      </c>
      <c r="C9686" s="1">
        <v>759</v>
      </c>
      <c r="D9686" s="39">
        <f t="shared" si="1561"/>
        <v>79605</v>
      </c>
      <c r="E9686" s="1">
        <v>50</v>
      </c>
      <c r="F9686" s="39">
        <f t="shared" si="1564"/>
        <v>1585</v>
      </c>
      <c r="G9686" s="168">
        <f>SUM(C9686,C9662,C9638,C9614,C9590,C9566,C9542,C9518,C9494,C9470,C9446,C9422,C9398,C9374)/POBLA!$B$13*100000</f>
        <v>395.86241130903392</v>
      </c>
      <c r="H9686" s="256">
        <f t="shared" si="1565"/>
        <v>3.2584780810587262</v>
      </c>
      <c r="I9686" s="297">
        <f t="shared" si="1567"/>
        <v>1289.9089903655411</v>
      </c>
      <c r="J9686" s="297">
        <f t="shared" si="1568"/>
        <v>800.57142857142856</v>
      </c>
      <c r="K9686" s="297">
        <f>J9686/POBLA!$B$13*100000</f>
        <v>40.222888201472742</v>
      </c>
      <c r="L9686" s="549">
        <f t="shared" si="1566"/>
        <v>-1.4632967032967032</v>
      </c>
      <c r="M9686" s="401">
        <f>SUM(C9686,C9662,C9638,C9614,C9590,C9566,C9542)/POBLA!$B$13*100000</f>
        <v>281.56021741030924</v>
      </c>
    </row>
    <row r="9687" spans="1:13" s="360" customFormat="1" x14ac:dyDescent="0.25">
      <c r="A9687" s="367" t="s">
        <v>23</v>
      </c>
      <c r="B9687" s="2">
        <v>44296</v>
      </c>
      <c r="C9687" s="1">
        <v>187</v>
      </c>
      <c r="D9687" s="39">
        <f t="shared" si="1561"/>
        <v>13225</v>
      </c>
      <c r="E9687" s="1">
        <v>2</v>
      </c>
      <c r="F9687" s="39">
        <f t="shared" si="1564"/>
        <v>221</v>
      </c>
      <c r="G9687" s="168">
        <f>SUM(C9687,C9663,C9639,C9615,C9591,C9567,C9543,C9519,C9495,C9471,C9447,C9423,C9399,C9375)/POBLA!$B$14*100000</f>
        <v>132.32442237892198</v>
      </c>
      <c r="H9687" s="256">
        <f t="shared" si="1565"/>
        <v>0.97716627634660425</v>
      </c>
      <c r="I9687" s="297">
        <f t="shared" si="1567"/>
        <v>129.30296308572645</v>
      </c>
      <c r="J9687" s="297">
        <f t="shared" si="1568"/>
        <v>131.28571428571428</v>
      </c>
      <c r="K9687" s="297">
        <f>J9687/POBLA!$B$14*100000</f>
        <v>10.408811449647288</v>
      </c>
      <c r="L9687" s="549">
        <f t="shared" si="1566"/>
        <v>-0.22533333333333339</v>
      </c>
      <c r="M9687" s="401">
        <f>SUM(C9687,C9663,C9639,C9615,C9591,C9567,C9543)/POBLA!$B$14*100000</f>
        <v>72.861680147531018</v>
      </c>
    </row>
    <row r="9688" spans="1:13" s="360" customFormat="1" x14ac:dyDescent="0.25">
      <c r="A9688" s="367" t="s">
        <v>19</v>
      </c>
      <c r="B9688" s="2">
        <v>44296</v>
      </c>
      <c r="C9688" s="1">
        <v>145</v>
      </c>
      <c r="D9688" s="39">
        <f t="shared" si="1561"/>
        <v>66493</v>
      </c>
      <c r="E9688" s="1"/>
      <c r="F9688" s="39">
        <f t="shared" si="1564"/>
        <v>1017</v>
      </c>
      <c r="G9688" s="168">
        <f>SUM(C9688,C9664,C9640,C9616,C9592,C9568,C9544,C9520,C9496,C9472,C9448,C9424,C9400,C9376)/POBLA!$B$15*100000</f>
        <v>255.09858340473784</v>
      </c>
      <c r="H9688" s="256">
        <f t="shared" si="1565"/>
        <v>1.0210970464135021</v>
      </c>
      <c r="I9688" s="297">
        <f t="shared" si="1567"/>
        <v>260.48041005884625</v>
      </c>
      <c r="J9688" s="297">
        <f t="shared" si="1568"/>
        <v>151.28571428571428</v>
      </c>
      <c r="K9688" s="297">
        <f>J9688/POBLA!$B$15*100000</f>
        <v>22.782037428370501</v>
      </c>
      <c r="L9688" s="549">
        <f t="shared" si="1566"/>
        <v>-0.66771653543307097</v>
      </c>
      <c r="M9688" s="401">
        <f>SUM(C9688,C9664,C9640,C9616,C9592,C9568,C9544)/POBLA!$B$15*100000</f>
        <v>159.47426199859348</v>
      </c>
    </row>
    <row r="9689" spans="1:13" s="360" customFormat="1" x14ac:dyDescent="0.25">
      <c r="A9689" s="367" t="s">
        <v>18</v>
      </c>
      <c r="B9689" s="2">
        <v>44296</v>
      </c>
      <c r="C9689" s="1">
        <v>110</v>
      </c>
      <c r="D9689" s="39">
        <f t="shared" si="1561"/>
        <v>56704</v>
      </c>
      <c r="E9689" s="1">
        <v>2</v>
      </c>
      <c r="F9689" s="39">
        <f t="shared" si="1564"/>
        <v>1303</v>
      </c>
      <c r="G9689" s="168">
        <f>SUM(C9689,C9665,C9641,C9617,C9593,C9569,C9545,C9521,C9497,C9473,C9449,C9425,C9401,C9377)/POBLA!$B$16*100000</f>
        <v>229.93271893099345</v>
      </c>
      <c r="H9689" s="256">
        <f t="shared" si="1565"/>
        <v>1.3919028340080972</v>
      </c>
      <c r="I9689" s="297">
        <f t="shared" si="1567"/>
        <v>320.04400311123703</v>
      </c>
      <c r="J9689" s="297">
        <f t="shared" si="1568"/>
        <v>143.42857142857142</v>
      </c>
      <c r="K9689" s="297">
        <f>J9689/POBLA!$B$16*100000</f>
        <v>19.184945550296469</v>
      </c>
      <c r="L9689" s="549">
        <f t="shared" si="1566"/>
        <v>-0.40419580419580425</v>
      </c>
      <c r="M9689" s="401">
        <f>SUM(C9689,C9665,C9641,C9617,C9593,C9569,C9545)/POBLA!$B$16*100000</f>
        <v>134.29461885207527</v>
      </c>
    </row>
    <row r="9690" spans="1:13" s="360" customFormat="1" x14ac:dyDescent="0.25">
      <c r="A9690" s="367" t="s">
        <v>34</v>
      </c>
      <c r="B9690" s="2">
        <v>44296</v>
      </c>
      <c r="C9690" s="1">
        <v>222</v>
      </c>
      <c r="D9690" s="39">
        <f t="shared" si="1561"/>
        <v>30956</v>
      </c>
      <c r="E9690" s="1"/>
      <c r="F9690" s="39">
        <f t="shared" si="1564"/>
        <v>1232</v>
      </c>
      <c r="G9690" s="168">
        <f>SUM(C9690,C9666,C9642,C9618,C9594,C9570,C9546,C9522,C9498,C9474,C9450,C9426,C9402,C9378)/POBLA!$B$17*100000</f>
        <v>142.6568576036035</v>
      </c>
      <c r="H9690" s="256">
        <f t="shared" si="1565"/>
        <v>1.5255255255255256</v>
      </c>
      <c r="I9690" s="297">
        <f t="shared" si="1567"/>
        <v>217.62667766555728</v>
      </c>
      <c r="J9690" s="297">
        <f t="shared" si="1568"/>
        <v>184.28571428571428</v>
      </c>
      <c r="K9690" s="297">
        <f>J9690/POBLA!$B$17*100000</f>
        <v>12.937805561631643</v>
      </c>
      <c r="L9690" s="549">
        <f t="shared" si="1566"/>
        <v>-0.73854447439353099</v>
      </c>
      <c r="M9690" s="401">
        <f>SUM(C9690,C9666,C9642,C9618,C9594,C9570,C9546)/POBLA!$B$17*100000</f>
        <v>90.564638931421513</v>
      </c>
    </row>
    <row r="9691" spans="1:13" s="360" customFormat="1" x14ac:dyDescent="0.25">
      <c r="A9691" s="367" t="s">
        <v>35</v>
      </c>
      <c r="B9691" s="2">
        <v>44296</v>
      </c>
      <c r="C9691" s="1">
        <v>50</v>
      </c>
      <c r="D9691" s="39">
        <f t="shared" si="1561"/>
        <v>18737</v>
      </c>
      <c r="E9691" s="1"/>
      <c r="F9691" s="39">
        <f t="shared" si="1564"/>
        <v>229</v>
      </c>
      <c r="G9691" s="168">
        <f>SUM(C9691,C9667,C9643,C9619,C9595,C9571,C9547,C9523,C9499,C9475,C9451,C9427,C9403,C9379)/POBLA!$B$18*100000</f>
        <v>247.4344516312369</v>
      </c>
      <c r="H9691" s="256">
        <f t="shared" si="1565"/>
        <v>2.0695931477516059</v>
      </c>
      <c r="I9691" s="297">
        <f t="shared" si="1567"/>
        <v>512.08864561368398</v>
      </c>
      <c r="J9691" s="297">
        <f t="shared" si="1568"/>
        <v>183.85714285714286</v>
      </c>
      <c r="K9691" s="297">
        <f>J9691/POBLA!$B$18*100000</f>
        <v>23.534708391796755</v>
      </c>
      <c r="L9691" s="549">
        <f t="shared" si="1566"/>
        <v>-0.99226006191950455</v>
      </c>
      <c r="M9691" s="401">
        <f>SUM(C9691,C9667,C9643,C9619,C9595,C9571,C9547)/POBLA!$B$18*100000</f>
        <v>164.74295874257729</v>
      </c>
    </row>
    <row r="9692" spans="1:13" s="360" customFormat="1" x14ac:dyDescent="0.25">
      <c r="A9692" s="367" t="s">
        <v>36</v>
      </c>
      <c r="B9692" s="2">
        <v>44296</v>
      </c>
      <c r="C9692" s="1">
        <v>392</v>
      </c>
      <c r="D9692" s="39">
        <f t="shared" si="1561"/>
        <v>25994</v>
      </c>
      <c r="E9692" s="1">
        <v>1</v>
      </c>
      <c r="F9692" s="39">
        <f t="shared" si="1564"/>
        <v>442</v>
      </c>
      <c r="G9692" s="168">
        <f>SUM(C9692,C9668,C9644,C9620,C9596,C9572,C9548,C9524,C9500,C9476,C9452,C9428,C9404,C9380)/POBLA!$B$19*100000</f>
        <v>756.99154876379032</v>
      </c>
      <c r="H9692" s="256">
        <f t="shared" si="1565"/>
        <v>6.1079365079365076</v>
      </c>
      <c r="I9692" s="297">
        <f t="shared" si="1567"/>
        <v>4623.6563168937537</v>
      </c>
      <c r="J9692" s="297">
        <f t="shared" si="1568"/>
        <v>365.85714285714283</v>
      </c>
      <c r="K9692" s="297">
        <f>J9692/POBLA!$B$19*100000</f>
        <v>71.972652078410562</v>
      </c>
      <c r="L9692" s="549">
        <f t="shared" si="1566"/>
        <v>-0.98989898989898983</v>
      </c>
      <c r="M9692" s="401">
        <f>SUM(C9692,C9668,C9644,C9620,C9596,C9572,C9548)/POBLA!$B$19*100000</f>
        <v>503.8085645488739</v>
      </c>
    </row>
    <row r="9693" spans="1:13" s="360" customFormat="1" x14ac:dyDescent="0.25">
      <c r="A9693" s="367" t="s">
        <v>37</v>
      </c>
      <c r="B9693" s="2">
        <v>44296</v>
      </c>
      <c r="C9693" s="1">
        <v>193</v>
      </c>
      <c r="D9693" s="39">
        <f t="shared" si="1561"/>
        <v>40874</v>
      </c>
      <c r="E9693" s="1"/>
      <c r="F9693" s="39">
        <f t="shared" si="1564"/>
        <v>660</v>
      </c>
      <c r="G9693" s="168">
        <f>SUM(C9693,C9669,C9645,C9621,C9597,C9573,C9549,C9525,C9501,C9477,C9453,C9429,C9405,C9381)/POBLA!$B$20*100000</f>
        <v>552.36834765298147</v>
      </c>
      <c r="H9693" s="256">
        <f t="shared" si="1565"/>
        <v>1.3202614379084967</v>
      </c>
      <c r="I9693" s="297">
        <f t="shared" si="1567"/>
        <v>729.27062892746574</v>
      </c>
      <c r="J9693" s="297">
        <f t="shared" si="1568"/>
        <v>166.14285714285714</v>
      </c>
      <c r="K9693" s="297">
        <f>J9693/POBLA!$B$20*100000</f>
        <v>45.431710630864032</v>
      </c>
      <c r="L9693" s="549">
        <f t="shared" si="1566"/>
        <v>-0.35705950991831981</v>
      </c>
      <c r="M9693" s="401">
        <f>SUM(C9693,C9669,C9645,C9621,C9597,C9573,C9549)/POBLA!$B$20*100000</f>
        <v>318.02197441604824</v>
      </c>
    </row>
    <row r="9694" spans="1:13" s="360" customFormat="1" x14ac:dyDescent="0.25">
      <c r="A9694" s="367" t="s">
        <v>22</v>
      </c>
      <c r="B9694" s="2">
        <v>44296</v>
      </c>
      <c r="C9694" s="1">
        <v>1185</v>
      </c>
      <c r="D9694" s="39">
        <f t="shared" si="1561"/>
        <v>241210</v>
      </c>
      <c r="E9694" s="1">
        <v>1</v>
      </c>
      <c r="F9694" s="39">
        <f t="shared" si="1564"/>
        <v>4340</v>
      </c>
      <c r="G9694" s="168">
        <f>SUM(C9694,C9670,C9646,C9622,C9598,C9574,C9550,C9526,C9502,C9478,C9454,C9430,C9406,C9382)/POBLA!$B$21*100000</f>
        <v>347.44195963259995</v>
      </c>
      <c r="H9694" s="256">
        <f t="shared" si="1565"/>
        <v>1.8071775261067804</v>
      </c>
      <c r="I9694" s="297">
        <f t="shared" si="1567"/>
        <v>627.88930107453382</v>
      </c>
      <c r="J9694" s="297">
        <f t="shared" si="1568"/>
        <v>1104.2857142857142</v>
      </c>
      <c r="K9694" s="297">
        <f>J9694/POBLA!$B$21*100000</f>
        <v>31.226108290527709</v>
      </c>
      <c r="L9694" s="549">
        <f t="shared" si="1566"/>
        <v>-0.696291419793724</v>
      </c>
      <c r="M9694" s="401">
        <f>SUM(C9694,C9670,C9646,C9622,C9598,C9574,C9550)/POBLA!$B$21*100000</f>
        <v>218.58275803369401</v>
      </c>
    </row>
    <row r="9695" spans="1:13" s="360" customFormat="1" x14ac:dyDescent="0.25">
      <c r="A9695" s="367" t="s">
        <v>38</v>
      </c>
      <c r="B9695" s="2">
        <v>44296</v>
      </c>
      <c r="C9695" s="1">
        <v>207</v>
      </c>
      <c r="D9695" s="39">
        <f t="shared" si="1561"/>
        <v>26637</v>
      </c>
      <c r="E9695" s="1">
        <v>1</v>
      </c>
      <c r="F9695" s="39">
        <f t="shared" si="1564"/>
        <v>304</v>
      </c>
      <c r="G9695" s="168">
        <f>SUM(C9695,C9671,C9647,C9623,C9599,C9575,C9551,C9527,C9503,C9479,C9455,C9431,C9407,C9383)/POBLA!$B$22*100000</f>
        <v>197.78946001944163</v>
      </c>
      <c r="H9695" s="256">
        <f t="shared" si="1565"/>
        <v>1.4659090909090908</v>
      </c>
      <c r="I9695" s="297">
        <f t="shared" si="1567"/>
        <v>289.94136752849965</v>
      </c>
      <c r="J9695" s="297">
        <f t="shared" si="1568"/>
        <v>155.71428571428572</v>
      </c>
      <c r="K9695" s="297">
        <f>J9695/POBLA!$B$22*100000</f>
        <v>15.916612138884561</v>
      </c>
      <c r="L9695" s="549">
        <f t="shared" si="1566"/>
        <v>-0.28994082840236679</v>
      </c>
      <c r="M9695" s="401">
        <f>SUM(C9695,C9671,C9647,C9623,C9599,C9575,C9551)/POBLA!$B$22*100000</f>
        <v>111.41628497219193</v>
      </c>
    </row>
    <row r="9696" spans="1:13" s="360" customFormat="1" x14ac:dyDescent="0.25">
      <c r="A9696" s="367" t="s">
        <v>39</v>
      </c>
      <c r="B9696" s="2">
        <v>44296</v>
      </c>
      <c r="C9696" s="1">
        <v>69</v>
      </c>
      <c r="D9696" s="39">
        <f t="shared" si="1561"/>
        <v>24773</v>
      </c>
      <c r="E9696" s="1"/>
      <c r="F9696" s="39">
        <f t="shared" si="1564"/>
        <v>370</v>
      </c>
      <c r="G9696" s="168">
        <f>SUM(C9696,C9672,C9648,C9624,C9600,C9576,C9552,C9528,C9504,C9480,C9456,C9432,C9408,C9384)/POBLA!$B$23*100000</f>
        <v>516.31510490301423</v>
      </c>
      <c r="H9696" s="256">
        <f t="shared" si="1565"/>
        <v>1.71939736346516</v>
      </c>
      <c r="I9696" s="297">
        <f t="shared" si="1567"/>
        <v>887.75083008748015</v>
      </c>
      <c r="J9696" s="297">
        <f t="shared" si="1568"/>
        <v>77.428571428571431</v>
      </c>
      <c r="K9696" s="297">
        <f>J9696/POBLA!$B$23*100000</f>
        <v>43.787010930595166</v>
      </c>
      <c r="L9696" s="549">
        <f t="shared" si="1566"/>
        <v>-0.46091644204851745</v>
      </c>
      <c r="M9696" s="401">
        <f>SUM(C9696,C9672,C9648,C9624,C9600,C9576,C9552)/POBLA!$B$23*100000</f>
        <v>306.50907651416611</v>
      </c>
    </row>
    <row r="9697" spans="1:13" s="360" customFormat="1" ht="15.75" thickBot="1" x14ac:dyDescent="0.3">
      <c r="A9697" s="368" t="s">
        <v>40</v>
      </c>
      <c r="B9697" s="34">
        <v>44296</v>
      </c>
      <c r="C9697" s="232">
        <v>414</v>
      </c>
      <c r="D9697" s="67">
        <f t="shared" si="1561"/>
        <v>93005</v>
      </c>
      <c r="E9697" s="232"/>
      <c r="F9697" s="67">
        <f t="shared" si="1564"/>
        <v>1525</v>
      </c>
      <c r="G9697" s="177">
        <f>SUM(C9697,C9673,C9649,C9625,C9601,C9577,C9553,C9529,C9505,C9481,C9457,C9433,C9409,C9385)/POBLA!$B$24*100000</f>
        <v>405.39200876166024</v>
      </c>
      <c r="H9697" s="402">
        <f t="shared" si="1565"/>
        <v>1.6805283757338552</v>
      </c>
      <c r="I9697" s="403">
        <f t="shared" si="1567"/>
        <v>681.27277401971764</v>
      </c>
      <c r="J9697" s="403">
        <f t="shared" si="1568"/>
        <v>572.71428571428567</v>
      </c>
      <c r="K9697" s="403">
        <f>J9697/POBLA!$B$24*100000</f>
        <v>33.795312188095146</v>
      </c>
      <c r="L9697" s="550">
        <f t="shared" si="1566"/>
        <v>-0.40125830129325402</v>
      </c>
      <c r="M9697" s="405">
        <f>SUM(C9697,C9673,C9649,C9625,C9601,C9577,C9553)/POBLA!$B$24*100000</f>
        <v>236.56718531666604</v>
      </c>
    </row>
    <row r="9698" spans="1:13" s="360" customFormat="1" x14ac:dyDescent="0.25">
      <c r="A9698" s="363" t="s">
        <v>16</v>
      </c>
      <c r="B9698" s="265">
        <v>44297</v>
      </c>
      <c r="C9698" s="43">
        <v>7696</v>
      </c>
      <c r="D9698" s="174">
        <f t="shared" si="1561"/>
        <v>1080477</v>
      </c>
      <c r="E9698" s="43">
        <v>99</v>
      </c>
      <c r="F9698" s="174">
        <f t="shared" ref="F9698:F9721" si="1569">E9698+F9674</f>
        <v>29411</v>
      </c>
      <c r="G9698" s="175">
        <f>SUM(C9698,C9674,C9650,C9626,C9602,C9578,C9554,C9530,C9506,C9482,C9458,C9434,C9410,C9386)/POBLA!$B$1*100000</f>
        <v>640.60256969600778</v>
      </c>
      <c r="H9698" s="300">
        <f t="shared" ref="H9698:H9721" si="1570">SUM(C9698,C9674,C9650,C9626,C9602,C9578,C9554,C9530,C9506,C9482,C9458,C9434,C9410,C9386)/SUM(C9362,C9338,C9314,C9290,C9266,C9242,C9218,C9194,C9170,C9146,C9122,C9098,C9074,C9050)</f>
        <v>2.211639899228468</v>
      </c>
      <c r="I9698" s="301">
        <f>G9698*H9698</f>
        <v>1416.7822026879762</v>
      </c>
      <c r="J9698" s="301">
        <f>AVERAGE(C9698,C9674,C9650,C9626,C9602,C9578,C9554)</f>
        <v>10032.428571428571</v>
      </c>
      <c r="K9698" s="301">
        <f>J9698/POBLA!$B$1*100000</f>
        <v>57.193705765369366</v>
      </c>
      <c r="L9698" s="548">
        <f t="shared" ref="L9698:L9721" si="1571">1-SUM(C9698,C9674,C9650,C9626,C9602,C9578,C9554)/SUM(C9530,C9506,C9482,C9458,C9434,C9410,C9386)</f>
        <v>-0.66643728347017217</v>
      </c>
      <c r="M9698" s="400">
        <f>SUM(C9698,C9674,C9650,C9626,C9602,C9578,C9554)/POBLA!$B$1*100000</f>
        <v>400.35594035758561</v>
      </c>
    </row>
    <row r="9699" spans="1:13" s="360" customFormat="1" x14ac:dyDescent="0.25">
      <c r="A9699" s="367" t="s">
        <v>43</v>
      </c>
      <c r="B9699" s="2">
        <v>44297</v>
      </c>
      <c r="C9699" s="1">
        <v>2691</v>
      </c>
      <c r="D9699" s="39">
        <f t="shared" si="1561"/>
        <v>285776</v>
      </c>
      <c r="E9699" s="1">
        <v>8</v>
      </c>
      <c r="F9699" s="39">
        <f t="shared" si="1569"/>
        <v>7058</v>
      </c>
      <c r="G9699" s="168">
        <f>SUM(C9699,C9675,C9651,C9627,C9603,C9579,C9555,C9531,C9507,C9483,C9459,C9435,C9411,C9387)/POBLA!$B$2*100000</f>
        <v>951.70250412433677</v>
      </c>
      <c r="H9699" s="256">
        <f t="shared" si="1570"/>
        <v>2.0118908516049214</v>
      </c>
      <c r="I9699" s="297">
        <f t="shared" ref="I9699:I9721" si="1572">G9699*H9699</f>
        <v>1914.7215614972481</v>
      </c>
      <c r="J9699" s="297">
        <f t="shared" ref="J9699:J9721" si="1573">AVERAGE(C9699,C9675,C9651,C9627,C9603,C9579,C9555)</f>
        <v>2476.5714285714284</v>
      </c>
      <c r="K9699" s="297">
        <f>J9699/POBLA!$B$2*100000</f>
        <v>80.521992081384809</v>
      </c>
      <c r="L9699" s="549">
        <f t="shared" si="1571"/>
        <v>-0.45253456221198163</v>
      </c>
      <c r="M9699" s="401">
        <f>SUM(C9699,C9675,C9651,C9627,C9603,C9579,C9555)/POBLA!$B$2*100000</f>
        <v>563.65394456969364</v>
      </c>
    </row>
    <row r="9700" spans="1:13" s="360" customFormat="1" x14ac:dyDescent="0.25">
      <c r="A9700" s="367" t="s">
        <v>28</v>
      </c>
      <c r="B9700" s="2">
        <v>44297</v>
      </c>
      <c r="C9700" s="1">
        <v>101</v>
      </c>
      <c r="D9700" s="39">
        <f t="shared" si="1561"/>
        <v>11675</v>
      </c>
      <c r="E9700" s="1"/>
      <c r="F9700" s="39">
        <f t="shared" si="1569"/>
        <v>18</v>
      </c>
      <c r="G9700" s="168">
        <f>SUM(C9700,C9676,C9652,C9628,C9604,C9580,C9556,C9532,C9508,C9484,C9460,C9436,C9412,C9388)/POBLA!$B$3*100000</f>
        <v>348.78850755106657</v>
      </c>
      <c r="H9700" s="256">
        <f t="shared" si="1570"/>
        <v>1.2095158597662772</v>
      </c>
      <c r="I9700" s="297">
        <f t="shared" si="1572"/>
        <v>421.86523158722497</v>
      </c>
      <c r="J9700" s="297">
        <f t="shared" si="1573"/>
        <v>130.85714285714286</v>
      </c>
      <c r="K9700" s="297">
        <f>J9700/POBLA!$B$3*100000</f>
        <v>31.498597349578723</v>
      </c>
      <c r="L9700" s="549">
        <f t="shared" si="1571"/>
        <v>-0.71857410881801131</v>
      </c>
      <c r="M9700" s="401">
        <f>SUM(C9700,C9676,C9652,C9628,C9604,C9580,C9556)/POBLA!$B$3*100000</f>
        <v>220.49018144705104</v>
      </c>
    </row>
    <row r="9701" spans="1:13" s="360" customFormat="1" x14ac:dyDescent="0.25">
      <c r="A9701" s="367" t="s">
        <v>15</v>
      </c>
      <c r="B9701" s="2">
        <v>44297</v>
      </c>
      <c r="C9701" s="1">
        <v>136</v>
      </c>
      <c r="D9701" s="39">
        <f t="shared" si="1561"/>
        <v>40340</v>
      </c>
      <c r="E9701" s="1">
        <v>3</v>
      </c>
      <c r="F9701" s="39">
        <f t="shared" si="1569"/>
        <v>967</v>
      </c>
      <c r="G9701" s="168">
        <f>SUM(C9701,C9677,C9653,C9629,C9605,C9581,C9557,C9533,C9509,C9485,C9461,C9437,C9413,C9389)/POBLA!$B$4*100000</f>
        <v>195.67619533083555</v>
      </c>
      <c r="H9701" s="256">
        <f t="shared" si="1570"/>
        <v>1.1548260656540912</v>
      </c>
      <c r="I9701" s="297">
        <f t="shared" si="1572"/>
        <v>225.97197079607028</v>
      </c>
      <c r="J9701" s="297">
        <f t="shared" si="1573"/>
        <v>188.57142857142858</v>
      </c>
      <c r="K9701" s="297">
        <f>J9701/POBLA!$B$4*100000</f>
        <v>15.655044417037576</v>
      </c>
      <c r="L9701" s="549">
        <f t="shared" si="1571"/>
        <v>-0.27290260366441665</v>
      </c>
      <c r="M9701" s="401">
        <f>SUM(C9701,C9677,C9653,C9629,C9605,C9581,C9557)/POBLA!$B$4*100000</f>
        <v>109.58531091926301</v>
      </c>
    </row>
    <row r="9702" spans="1:13" s="360" customFormat="1" x14ac:dyDescent="0.25">
      <c r="A9702" s="367" t="s">
        <v>29</v>
      </c>
      <c r="B9702" s="2">
        <v>44297</v>
      </c>
      <c r="C9702" s="1">
        <v>49</v>
      </c>
      <c r="D9702" s="39">
        <f t="shared" si="1561"/>
        <v>51343</v>
      </c>
      <c r="E9702" s="1"/>
      <c r="F9702" s="39">
        <f t="shared" si="1569"/>
        <v>877</v>
      </c>
      <c r="G9702" s="168">
        <f>SUM(C9702,C9678,C9654,C9630,C9606,C9582,C9558,C9534,C9510,C9486,C9462,C9438,C9414,C9390)/POBLA!$B$5*100000</f>
        <v>287.72492140473094</v>
      </c>
      <c r="H9702" s="256">
        <f t="shared" si="1570"/>
        <v>1.2419804741980474</v>
      </c>
      <c r="I9702" s="297">
        <f t="shared" si="1572"/>
        <v>357.34873432484363</v>
      </c>
      <c r="J9702" s="297">
        <f t="shared" si="1573"/>
        <v>144</v>
      </c>
      <c r="K9702" s="297">
        <f>J9702/POBLA!$B$5*100000</f>
        <v>23.26355344316746</v>
      </c>
      <c r="L9702" s="549">
        <f t="shared" si="1571"/>
        <v>-0.30401034928848647</v>
      </c>
      <c r="M9702" s="401">
        <f>SUM(C9702,C9678,C9654,C9630,C9606,C9582,C9558)/POBLA!$B$5*100000</f>
        <v>162.84487410217224</v>
      </c>
    </row>
    <row r="9703" spans="1:13" s="360" customFormat="1" x14ac:dyDescent="0.25">
      <c r="A9703" s="367" t="s">
        <v>30</v>
      </c>
      <c r="B9703" s="2">
        <v>44297</v>
      </c>
      <c r="C9703" s="1">
        <v>219</v>
      </c>
      <c r="D9703" s="39">
        <f t="shared" si="1561"/>
        <v>33231</v>
      </c>
      <c r="E9703" s="1">
        <v>1</v>
      </c>
      <c r="F9703" s="39">
        <f t="shared" si="1569"/>
        <v>344</v>
      </c>
      <c r="G9703" s="168">
        <f>SUM(C9703,C9679,C9655,C9631,C9607,C9583,C9559,C9535,C9511,C9487,C9463,C9439,C9415,C9391)/POBLA!$B$6*100000</f>
        <v>432.19090632503003</v>
      </c>
      <c r="H9703" s="256">
        <f t="shared" si="1570"/>
        <v>1.4134811788736503</v>
      </c>
      <c r="I9703" s="297">
        <f t="shared" si="1572"/>
        <v>610.89371177077487</v>
      </c>
      <c r="J9703" s="297">
        <f t="shared" si="1573"/>
        <v>337</v>
      </c>
      <c r="K9703" s="297">
        <f>J9703/POBLA!$B$6*100000</f>
        <v>30.067781880994037</v>
      </c>
      <c r="L9703" s="549">
        <f t="shared" si="1571"/>
        <v>5.070422535211272E-2</v>
      </c>
      <c r="M9703" s="401">
        <f>SUM(C9703,C9679,C9655,C9631,C9607,C9583,C9559)/POBLA!$B$6*100000</f>
        <v>210.47447316695826</v>
      </c>
    </row>
    <row r="9704" spans="1:13" s="360" customFormat="1" x14ac:dyDescent="0.25">
      <c r="A9704" s="367" t="s">
        <v>20</v>
      </c>
      <c r="B9704" s="2">
        <v>44297</v>
      </c>
      <c r="C9704" s="1">
        <v>1095</v>
      </c>
      <c r="D9704" s="39">
        <f t="shared" si="1561"/>
        <v>195227</v>
      </c>
      <c r="E9704" s="1"/>
      <c r="F9704" s="39">
        <f t="shared" si="1569"/>
        <v>3105</v>
      </c>
      <c r="G9704" s="168">
        <f>SUM(C9704,C9680,C9656,C9632,C9608,C9584,C9560,C9536,C9512,C9488,C9464,C9440,C9416,C9392)/POBLA!$B$7*100000</f>
        <v>472.17753194431515</v>
      </c>
      <c r="H9704" s="256">
        <f t="shared" si="1570"/>
        <v>1.8511259382819016</v>
      </c>
      <c r="I9704" s="297">
        <f t="shared" si="1572"/>
        <v>874.060076856053</v>
      </c>
      <c r="J9704" s="297">
        <f t="shared" si="1573"/>
        <v>1623.2857142857142</v>
      </c>
      <c r="K9704" s="297">
        <f>J9704/POBLA!$B$7*100000</f>
        <v>43.167326098890136</v>
      </c>
      <c r="L9704" s="549">
        <f t="shared" si="1571"/>
        <v>-0.77741279524479889</v>
      </c>
      <c r="M9704" s="401">
        <f>SUM(C9704,C9680,C9656,C9632,C9608,C9584,C9560)/POBLA!$B$7*100000</f>
        <v>302.17128269223099</v>
      </c>
    </row>
    <row r="9705" spans="1:13" x14ac:dyDescent="0.25">
      <c r="A9705" s="367" t="s">
        <v>31</v>
      </c>
      <c r="B9705" s="2">
        <v>44297</v>
      </c>
      <c r="C9705" s="1">
        <v>208</v>
      </c>
      <c r="D9705" s="39">
        <f t="shared" si="1561"/>
        <v>53072</v>
      </c>
      <c r="E9705" s="1">
        <v>1</v>
      </c>
      <c r="F9705" s="39">
        <f t="shared" si="1569"/>
        <v>963</v>
      </c>
      <c r="G9705" s="168">
        <f>SUM(C9705,C9681,C9657,C9633,C9609,C9585,C9561,C9537,C9513,C9489,C9465,C9441,C9417,C9393)/POBLA!$B$8*100000</f>
        <v>277.92989846034629</v>
      </c>
      <c r="H9705" s="256">
        <f t="shared" si="1570"/>
        <v>1.6405451448040886</v>
      </c>
      <c r="I9705" s="297">
        <f t="shared" si="1572"/>
        <v>455.95654551501445</v>
      </c>
      <c r="J9705" s="297">
        <f t="shared" si="1573"/>
        <v>353.14285714285717</v>
      </c>
      <c r="K9705" s="297">
        <f>J9705/POBLA!$B$8*100000</f>
        <v>25.479999591825248</v>
      </c>
      <c r="L9705" s="549">
        <f t="shared" si="1571"/>
        <v>-0.79130434782608705</v>
      </c>
      <c r="M9705" s="401">
        <f>SUM(C9705,C9681,C9657,C9633,C9609,C9585,C9561)/POBLA!$B$8*100000</f>
        <v>178.35999714277676</v>
      </c>
    </row>
    <row r="9706" spans="1:13" s="360" customFormat="1" x14ac:dyDescent="0.25">
      <c r="A9706" s="367" t="s">
        <v>41</v>
      </c>
      <c r="B9706" s="2">
        <v>44297</v>
      </c>
      <c r="C9706" s="1">
        <v>6</v>
      </c>
      <c r="D9706" s="39">
        <f t="shared" si="1561"/>
        <v>2654</v>
      </c>
      <c r="E9706" s="1"/>
      <c r="F9706" s="39">
        <f t="shared" si="1569"/>
        <v>49</v>
      </c>
      <c r="G9706" s="168">
        <f>SUM(C9706,C9682,C9658,C9634,C9610,C9586,C9562,C9538,C9514,C9490,C9466,C9442,C9418,C9394)/POBLA!$B$9*100000</f>
        <v>111.53466745319261</v>
      </c>
      <c r="H9706" s="256">
        <f t="shared" si="1570"/>
        <v>1.6383495145631068</v>
      </c>
      <c r="I9706" s="297">
        <f t="shared" si="1572"/>
        <v>182.73276827889566</v>
      </c>
      <c r="J9706" s="297">
        <f t="shared" si="1573"/>
        <v>47.857142857142854</v>
      </c>
      <c r="K9706" s="297">
        <f>J9706/POBLA!$B$9*100000</f>
        <v>7.9077489093797935</v>
      </c>
      <c r="L9706" s="549">
        <f t="shared" si="1571"/>
        <v>1.4705882352941124E-2</v>
      </c>
      <c r="M9706" s="401">
        <f>SUM(C9706,C9682,C9658,C9634,C9610,C9586,C9562)/POBLA!$B$9*100000</f>
        <v>55.354242365658557</v>
      </c>
    </row>
    <row r="9707" spans="1:13" s="360" customFormat="1" x14ac:dyDescent="0.25">
      <c r="A9707" s="367" t="s">
        <v>32</v>
      </c>
      <c r="B9707" s="2">
        <v>44297</v>
      </c>
      <c r="C9707" s="1">
        <v>57</v>
      </c>
      <c r="D9707" s="39">
        <f t="shared" si="1561"/>
        <v>23037</v>
      </c>
      <c r="E9707" s="1">
        <v>1</v>
      </c>
      <c r="F9707" s="39">
        <f t="shared" si="1569"/>
        <v>986</v>
      </c>
      <c r="G9707" s="168">
        <f>SUM(C9707,C9683,C9659,C9635,C9611,C9587,C9563,C9539,C9515,C9491,C9467,C9443,C9419,C9395)/POBLA!$B$10*100000</f>
        <v>96.123785642660806</v>
      </c>
      <c r="H9707" s="256">
        <f t="shared" si="1570"/>
        <v>1.2048780487804878</v>
      </c>
      <c r="I9707" s="297">
        <f t="shared" si="1572"/>
        <v>115.81743928652301</v>
      </c>
      <c r="J9707" s="297">
        <f t="shared" si="1573"/>
        <v>55.714285714285715</v>
      </c>
      <c r="K9707" s="297">
        <f>J9707/POBLA!$B$10*100000</f>
        <v>7.2273523039594592</v>
      </c>
      <c r="L9707" s="549">
        <f t="shared" si="1571"/>
        <v>-0.11111111111111116</v>
      </c>
      <c r="M9707" s="401">
        <f>SUM(C9707,C9683,C9659,C9635,C9611,C9587,C9563)/POBLA!$B$10*100000</f>
        <v>50.591466127716217</v>
      </c>
    </row>
    <row r="9708" spans="1:13" s="360" customFormat="1" x14ac:dyDescent="0.25">
      <c r="A9708" s="367" t="s">
        <v>33</v>
      </c>
      <c r="B9708" s="2">
        <v>44297</v>
      </c>
      <c r="C9708" s="1">
        <v>123</v>
      </c>
      <c r="D9708" s="39">
        <f t="shared" si="1561"/>
        <v>22734</v>
      </c>
      <c r="E9708" s="1"/>
      <c r="F9708" s="39">
        <f t="shared" si="1569"/>
        <v>330</v>
      </c>
      <c r="G9708" s="168">
        <f>SUM(C9708,C9684,C9660,C9636,C9612,C9588,C9564,C9540,C9516,C9492,C9468,C9444,C9420,C9396)/POBLA!$B$11*100000</f>
        <v>468.15538964589825</v>
      </c>
      <c r="H9708" s="256">
        <f t="shared" si="1570"/>
        <v>1.3799342105263157</v>
      </c>
      <c r="I9708" s="297">
        <f t="shared" si="1572"/>
        <v>646.02363801465231</v>
      </c>
      <c r="J9708" s="297">
        <f t="shared" si="1573"/>
        <v>161.71428571428572</v>
      </c>
      <c r="K9708" s="297">
        <f>J9708/POBLA!$B$11*100000</f>
        <v>45.117648653086739</v>
      </c>
      <c r="L9708" s="549">
        <f t="shared" si="1571"/>
        <v>-1.0732600732600734</v>
      </c>
      <c r="M9708" s="401">
        <f>SUM(C9708,C9684,C9660,C9636,C9612,C9588,C9564)/POBLA!$B$11*100000</f>
        <v>315.82354057160711</v>
      </c>
    </row>
    <row r="9709" spans="1:13" s="360" customFormat="1" x14ac:dyDescent="0.25">
      <c r="A9709" s="367" t="s">
        <v>21</v>
      </c>
      <c r="B9709" s="2">
        <v>44297</v>
      </c>
      <c r="C9709" s="1">
        <v>128</v>
      </c>
      <c r="D9709" s="39">
        <f t="shared" si="1561"/>
        <v>12029</v>
      </c>
      <c r="E9709" s="1"/>
      <c r="F9709" s="39">
        <f t="shared" si="1569"/>
        <v>451</v>
      </c>
      <c r="G9709" s="168">
        <f>SUM(C9709,C9685,C9661,C9637,C9613,C9589,C9565,C9541,C9517,C9493,C9469,C9445,C9421,C9397)/POBLA!$B$12*100000</f>
        <v>286.38150488779792</v>
      </c>
      <c r="H9709" s="256">
        <f t="shared" si="1570"/>
        <v>3.0708446866485013</v>
      </c>
      <c r="I9709" s="297">
        <f t="shared" si="1572"/>
        <v>879.43312263909604</v>
      </c>
      <c r="J9709" s="297">
        <f t="shared" si="1573"/>
        <v>95.428571428571431</v>
      </c>
      <c r="K9709" s="297">
        <f>J9709/POBLA!$B$12*100000</f>
        <v>24.249314902401952</v>
      </c>
      <c r="L9709" s="549">
        <f t="shared" si="1571"/>
        <v>-0.45533769063180829</v>
      </c>
      <c r="M9709" s="401">
        <f>SUM(C9709,C9685,C9661,C9637,C9613,C9589,C9565)/POBLA!$B$12*100000</f>
        <v>169.74520431681367</v>
      </c>
    </row>
    <row r="9710" spans="1:13" s="360" customFormat="1" x14ac:dyDescent="0.25">
      <c r="A9710" s="367" t="s">
        <v>17</v>
      </c>
      <c r="B9710" s="2">
        <v>44297</v>
      </c>
      <c r="C9710" s="1">
        <v>451</v>
      </c>
      <c r="D9710" s="39">
        <f t="shared" si="1561"/>
        <v>80056</v>
      </c>
      <c r="E9710" s="1">
        <v>9</v>
      </c>
      <c r="F9710" s="39">
        <f t="shared" si="1569"/>
        <v>1594</v>
      </c>
      <c r="G9710" s="168">
        <f>SUM(C9710,C9686,C9662,C9638,C9614,C9590,C9566,C9542,C9518,C9494,C9470,C9446,C9422,C9398)/POBLA!$B$13*100000</f>
        <v>412.69372337763741</v>
      </c>
      <c r="H9710" s="256">
        <f t="shared" si="1570"/>
        <v>3.3201293451899758</v>
      </c>
      <c r="I9710" s="297">
        <f t="shared" si="1572"/>
        <v>1370.1965415618083</v>
      </c>
      <c r="J9710" s="297">
        <f t="shared" si="1573"/>
        <v>814.14285714285711</v>
      </c>
      <c r="K9710" s="297">
        <f>J9710/POBLA!$B$13*100000</f>
        <v>40.904753722375652</v>
      </c>
      <c r="L9710" s="549">
        <f t="shared" si="1571"/>
        <v>-1.266003976143141</v>
      </c>
      <c r="M9710" s="401">
        <f>SUM(C9710,C9686,C9662,C9638,C9614,C9590,C9566)/POBLA!$B$13*100000</f>
        <v>286.33327605662959</v>
      </c>
    </row>
    <row r="9711" spans="1:13" s="360" customFormat="1" x14ac:dyDescent="0.25">
      <c r="A9711" s="367" t="s">
        <v>23</v>
      </c>
      <c r="B9711" s="2">
        <v>44297</v>
      </c>
      <c r="C9711" s="1">
        <v>138</v>
      </c>
      <c r="D9711" s="39">
        <f t="shared" si="1561"/>
        <v>13363</v>
      </c>
      <c r="E9711" s="1"/>
      <c r="F9711" s="39">
        <f t="shared" si="1569"/>
        <v>221</v>
      </c>
      <c r="G9711" s="168">
        <f>SUM(C9711,C9687,C9663,C9639,C9615,C9591,C9567,C9543,C9519,C9495,C9471,C9447,C9423,C9399)/POBLA!$B$14*100000</f>
        <v>132.00728775368788</v>
      </c>
      <c r="H9711" s="256">
        <f t="shared" si="1570"/>
        <v>0.96354166666666663</v>
      </c>
      <c r="I9711" s="297">
        <f t="shared" si="1572"/>
        <v>127.19452205433467</v>
      </c>
      <c r="J9711" s="297">
        <f t="shared" si="1573"/>
        <v>150.57142857142858</v>
      </c>
      <c r="K9711" s="297">
        <f>J9711/POBLA!$B$14*100000</f>
        <v>11.9378533927402</v>
      </c>
      <c r="L9711" s="549">
        <f t="shared" si="1571"/>
        <v>-0.72504091653027825</v>
      </c>
      <c r="M9711" s="401">
        <f>SUM(C9711,C9687,C9663,C9639,C9615,C9591,C9567)/POBLA!$B$14*100000</f>
        <v>83.564973749181391</v>
      </c>
    </row>
    <row r="9712" spans="1:13" s="360" customFormat="1" x14ac:dyDescent="0.25">
      <c r="A9712" s="367" t="s">
        <v>19</v>
      </c>
      <c r="B9712" s="2">
        <v>44297</v>
      </c>
      <c r="C9712" s="1">
        <v>63</v>
      </c>
      <c r="D9712" s="39">
        <f t="shared" si="1561"/>
        <v>66556</v>
      </c>
      <c r="E9712" s="1"/>
      <c r="F9712" s="39">
        <f t="shared" si="1569"/>
        <v>1017</v>
      </c>
      <c r="G9712" s="168">
        <f>SUM(C9712,C9688,C9664,C9640,C9616,C9592,C9568,C9544,C9520,C9496,C9472,C9448,C9424,C9400)/POBLA!$B$15*100000</f>
        <v>253.7432780619736</v>
      </c>
      <c r="H9712" s="256">
        <f t="shared" si="1570"/>
        <v>1.0156720916214588</v>
      </c>
      <c r="I9712" s="297">
        <f t="shared" si="1572"/>
        <v>257.71996596409014</v>
      </c>
      <c r="J9712" s="297">
        <f t="shared" si="1573"/>
        <v>151.14285714285714</v>
      </c>
      <c r="K9712" s="297">
        <f>J9712/POBLA!$B$15*100000</f>
        <v>22.760524645152017</v>
      </c>
      <c r="L9712" s="549">
        <f t="shared" si="1571"/>
        <v>-0.68740031897926634</v>
      </c>
      <c r="M9712" s="401">
        <f>SUM(C9712,C9688,C9664,C9640,C9616,C9592,C9568)/POBLA!$B$15*100000</f>
        <v>159.32367251606414</v>
      </c>
    </row>
    <row r="9713" spans="1:13" s="360" customFormat="1" x14ac:dyDescent="0.25">
      <c r="A9713" s="367" t="s">
        <v>18</v>
      </c>
      <c r="B9713" s="2">
        <v>44297</v>
      </c>
      <c r="C9713" s="1">
        <v>76</v>
      </c>
      <c r="D9713" s="39">
        <f t="shared" si="1561"/>
        <v>56780</v>
      </c>
      <c r="E9713" s="1"/>
      <c r="F9713" s="39">
        <f t="shared" si="1569"/>
        <v>1303</v>
      </c>
      <c r="G9713" s="168">
        <f>SUM(C9713,C9689,C9665,C9641,C9617,C9593,C9569,C9545,C9521,C9497,C9473,C9449,C9425,C9401)/POBLA!$B$16*100000</f>
        <v>234.07926592742206</v>
      </c>
      <c r="H9713" s="256">
        <f t="shared" si="1570"/>
        <v>1.4078841512469831</v>
      </c>
      <c r="I9713" s="297">
        <f t="shared" si="1572"/>
        <v>329.55648863474545</v>
      </c>
      <c r="J9713" s="297">
        <f t="shared" si="1573"/>
        <v>149.85714285714286</v>
      </c>
      <c r="K9713" s="297">
        <f>J9713/POBLA!$B$16*100000</f>
        <v>20.04482856798904</v>
      </c>
      <c r="L9713" s="549">
        <f t="shared" si="1571"/>
        <v>-0.49643366619115548</v>
      </c>
      <c r="M9713" s="401">
        <f>SUM(C9713,C9689,C9665,C9641,C9617,C9593,C9569)/POBLA!$B$16*100000</f>
        <v>140.31379997592327</v>
      </c>
    </row>
    <row r="9714" spans="1:13" s="360" customFormat="1" x14ac:dyDescent="0.25">
      <c r="A9714" s="367" t="s">
        <v>34</v>
      </c>
      <c r="B9714" s="2">
        <v>44297</v>
      </c>
      <c r="C9714" s="1">
        <v>56</v>
      </c>
      <c r="D9714" s="39">
        <f t="shared" si="1561"/>
        <v>31012</v>
      </c>
      <c r="E9714" s="1"/>
      <c r="F9714" s="39">
        <f t="shared" si="1569"/>
        <v>1232</v>
      </c>
      <c r="G9714" s="168">
        <f>SUM(C9714,C9690,C9666,C9642,C9618,C9594,C9570,C9546,C9522,C9498,C9474,C9450,C9426,C9402)/POBLA!$B$17*100000</f>
        <v>142.79726789652042</v>
      </c>
      <c r="H9714" s="256">
        <f t="shared" si="1570"/>
        <v>1.5055514433752775</v>
      </c>
      <c r="I9714" s="297">
        <f t="shared" si="1572"/>
        <v>214.98863279165249</v>
      </c>
      <c r="J9714" s="297">
        <f t="shared" si="1573"/>
        <v>181.42857142857142</v>
      </c>
      <c r="K9714" s="297">
        <f>J9714/POBLA!$B$17*100000</f>
        <v>12.737219428893168</v>
      </c>
      <c r="L9714" s="549">
        <f t="shared" si="1571"/>
        <v>-0.66230366492146597</v>
      </c>
      <c r="M9714" s="401">
        <f>SUM(C9714,C9690,C9666,C9642,C9618,C9594,C9570)/POBLA!$B$17*100000</f>
        <v>89.160536002252186</v>
      </c>
    </row>
    <row r="9715" spans="1:13" s="360" customFormat="1" x14ac:dyDescent="0.25">
      <c r="A9715" s="367" t="s">
        <v>35</v>
      </c>
      <c r="B9715" s="2">
        <v>44297</v>
      </c>
      <c r="C9715" s="1">
        <v>47</v>
      </c>
      <c r="D9715" s="39">
        <f t="shared" ref="D9715:D9778" si="1574">C9715+D9691</f>
        <v>18784</v>
      </c>
      <c r="E9715" s="1"/>
      <c r="F9715" s="39">
        <f t="shared" si="1569"/>
        <v>229</v>
      </c>
      <c r="G9715" s="168">
        <f>SUM(C9715,C9691,C9667,C9643,C9619,C9595,C9571,C9547,C9523,C9499,C9475,C9451,C9427,C9403)/POBLA!$B$18*100000</f>
        <v>250.63458680494665</v>
      </c>
      <c r="H9715" s="256">
        <f t="shared" si="1570"/>
        <v>2.0567226890756301</v>
      </c>
      <c r="I9715" s="297">
        <f t="shared" si="1572"/>
        <v>515.48584134882935</v>
      </c>
      <c r="J9715" s="297">
        <f t="shared" si="1573"/>
        <v>186.71428571428572</v>
      </c>
      <c r="K9715" s="297">
        <f>J9715/POBLA!$B$18*100000</f>
        <v>23.900438125935011</v>
      </c>
      <c r="L9715" s="549">
        <f t="shared" si="1571"/>
        <v>-1.0076804915514592</v>
      </c>
      <c r="M9715" s="401">
        <f>SUM(C9715,C9691,C9667,C9643,C9619,C9595,C9571)/POBLA!$B$18*100000</f>
        <v>167.30306688154508</v>
      </c>
    </row>
    <row r="9716" spans="1:13" s="360" customFormat="1" x14ac:dyDescent="0.25">
      <c r="A9716" s="367" t="s">
        <v>36</v>
      </c>
      <c r="B9716" s="2">
        <v>44297</v>
      </c>
      <c r="C9716" s="1">
        <v>364</v>
      </c>
      <c r="D9716" s="39">
        <f t="shared" si="1574"/>
        <v>26358</v>
      </c>
      <c r="E9716" s="1"/>
      <c r="F9716" s="39">
        <f t="shared" si="1569"/>
        <v>442</v>
      </c>
      <c r="G9716" s="168">
        <f>SUM(C9716,C9692,C9668,C9644,C9620,C9596,C9572,C9548,C9524,C9500,C9476,C9452,C9428,C9404)/POBLA!$B$19*100000</f>
        <v>788.66401221258718</v>
      </c>
      <c r="H9716" s="256">
        <f t="shared" si="1570"/>
        <v>4.8243080625752102</v>
      </c>
      <c r="I9716" s="297">
        <f t="shared" si="1572"/>
        <v>3804.7581527800985</v>
      </c>
      <c r="J9716" s="297">
        <f t="shared" si="1573"/>
        <v>391.42857142857144</v>
      </c>
      <c r="K9716" s="297">
        <f>J9716/POBLA!$B$19*100000</f>
        <v>77.00314982227448</v>
      </c>
      <c r="L9716" s="549">
        <f t="shared" si="1571"/>
        <v>-1.1591804570527975</v>
      </c>
      <c r="M9716" s="401">
        <f>SUM(C9716,C9692,C9668,C9644,C9620,C9596,C9572)/POBLA!$B$19*100000</f>
        <v>539.02204875592133</v>
      </c>
    </row>
    <row r="9717" spans="1:13" s="360" customFormat="1" x14ac:dyDescent="0.25">
      <c r="A9717" s="367" t="s">
        <v>37</v>
      </c>
      <c r="B9717" s="2">
        <v>44297</v>
      </c>
      <c r="C9717" s="1">
        <v>121</v>
      </c>
      <c r="D9717" s="39">
        <f t="shared" si="1574"/>
        <v>40995</v>
      </c>
      <c r="E9717" s="1">
        <v>1</v>
      </c>
      <c r="F9717" s="39">
        <f t="shared" si="1569"/>
        <v>661</v>
      </c>
      <c r="G9717" s="168">
        <f>SUM(C9717,C9693,C9669,C9645,C9621,C9597,C9573,C9549,C9525,C9501,C9477,C9453,C9429,C9405)/POBLA!$B$20*100000</f>
        <v>558.11079087115604</v>
      </c>
      <c r="H9717" s="256">
        <f t="shared" si="1570"/>
        <v>1.3008285532186106</v>
      </c>
      <c r="I9717" s="297">
        <f t="shared" si="1572"/>
        <v>726.00645262462047</v>
      </c>
      <c r="J9717" s="297">
        <f t="shared" si="1573"/>
        <v>172.42857142857142</v>
      </c>
      <c r="K9717" s="297">
        <f>J9717/POBLA!$B$20*100000</f>
        <v>47.150537172358455</v>
      </c>
      <c r="L9717" s="549">
        <f t="shared" si="1571"/>
        <v>-0.4472422062350121</v>
      </c>
      <c r="M9717" s="401">
        <f>SUM(C9717,C9693,C9669,C9645,C9621,C9597,C9573)/POBLA!$B$20*100000</f>
        <v>330.0537602065092</v>
      </c>
    </row>
    <row r="9718" spans="1:13" s="360" customFormat="1" x14ac:dyDescent="0.25">
      <c r="A9718" s="367" t="s">
        <v>22</v>
      </c>
      <c r="B9718" s="2">
        <v>44297</v>
      </c>
      <c r="C9718" s="1">
        <v>868</v>
      </c>
      <c r="D9718" s="39">
        <f t="shared" si="1574"/>
        <v>242078</v>
      </c>
      <c r="E9718" s="1">
        <v>1</v>
      </c>
      <c r="F9718" s="39">
        <f t="shared" si="1569"/>
        <v>4341</v>
      </c>
      <c r="G9718" s="168">
        <f>SUM(C9718,C9694,C9670,C9646,C9622,C9598,C9574,C9550,C9526,C9502,C9478,C9454,C9430,C9406)/POBLA!$B$21*100000</f>
        <v>365.36970459939971</v>
      </c>
      <c r="H9718" s="256">
        <f t="shared" si="1570"/>
        <v>1.8882069267864972</v>
      </c>
      <c r="I9718" s="297">
        <f t="shared" si="1572"/>
        <v>689.89360706252285</v>
      </c>
      <c r="J9718" s="297">
        <f t="shared" si="1573"/>
        <v>1182.8571428571429</v>
      </c>
      <c r="K9718" s="297">
        <f>J9718/POBLA!$B$21*100000</f>
        <v>33.447888311199158</v>
      </c>
      <c r="L9718" s="549">
        <f t="shared" si="1571"/>
        <v>-0.78409825468649008</v>
      </c>
      <c r="M9718" s="401">
        <f>SUM(C9718,C9694,C9670,C9646,C9622,C9598,C9574)/POBLA!$B$21*100000</f>
        <v>234.1352181783941</v>
      </c>
    </row>
    <row r="9719" spans="1:13" s="360" customFormat="1" x14ac:dyDescent="0.25">
      <c r="A9719" s="367" t="s">
        <v>38</v>
      </c>
      <c r="B9719" s="2">
        <v>44297</v>
      </c>
      <c r="C9719" s="1">
        <v>190</v>
      </c>
      <c r="D9719" s="39">
        <f t="shared" si="1574"/>
        <v>26827</v>
      </c>
      <c r="E9719" s="1">
        <v>1</v>
      </c>
      <c r="F9719" s="39">
        <f t="shared" si="1569"/>
        <v>305</v>
      </c>
      <c r="G9719" s="168">
        <f>SUM(C9719,C9695,C9671,C9647,C9623,C9599,C9575,C9551,C9527,C9503,C9479,C9455,C9431,C9407)/POBLA!$B$22*100000</f>
        <v>203.30916588044931</v>
      </c>
      <c r="H9719" s="256">
        <f t="shared" si="1570"/>
        <v>1.4433962264150944</v>
      </c>
      <c r="I9719" s="297">
        <f t="shared" si="1572"/>
        <v>293.45568282744097</v>
      </c>
      <c r="J9719" s="297">
        <f t="shared" si="1573"/>
        <v>170.14285714285714</v>
      </c>
      <c r="K9719" s="297">
        <f>J9719/POBLA!$B$22*100000</f>
        <v>17.391454181111477</v>
      </c>
      <c r="L9719" s="549">
        <f t="shared" si="1571"/>
        <v>-0.49248120300751874</v>
      </c>
      <c r="M9719" s="401">
        <f>SUM(C9719,C9695,C9671,C9647,C9623,C9599,C9575)/POBLA!$B$22*100000</f>
        <v>121.74017926778035</v>
      </c>
    </row>
    <row r="9720" spans="1:13" s="360" customFormat="1" x14ac:dyDescent="0.25">
      <c r="A9720" s="367" t="s">
        <v>39</v>
      </c>
      <c r="B9720" s="2">
        <v>44297</v>
      </c>
      <c r="C9720" s="1">
        <v>75</v>
      </c>
      <c r="D9720" s="39">
        <f t="shared" si="1574"/>
        <v>24848</v>
      </c>
      <c r="E9720" s="1">
        <v>2</v>
      </c>
      <c r="F9720" s="39">
        <f t="shared" si="1569"/>
        <v>372</v>
      </c>
      <c r="G9720" s="168">
        <f>SUM(C9720,C9696,C9672,C9648,C9624,C9600,C9576,C9552,C9528,C9504,C9480,C9456,C9432,C9408)/POBLA!$B$23*100000</f>
        <v>518.5771645082848</v>
      </c>
      <c r="H9720" s="256">
        <f t="shared" si="1570"/>
        <v>1.6144366197183098</v>
      </c>
      <c r="I9720" s="297">
        <f t="shared" si="1572"/>
        <v>837.20996453186115</v>
      </c>
      <c r="J9720" s="297">
        <f t="shared" si="1573"/>
        <v>77.571428571428569</v>
      </c>
      <c r="K9720" s="297">
        <f>J9720/POBLA!$B$23*100000</f>
        <v>43.867798773640544</v>
      </c>
      <c r="L9720" s="549">
        <f t="shared" si="1571"/>
        <v>-0.45187165775401072</v>
      </c>
      <c r="M9720" s="401">
        <f>SUM(C9720,C9696,C9672,C9648,C9624,C9600,C9576)/POBLA!$B$23*100000</f>
        <v>307.07459141548378</v>
      </c>
    </row>
    <row r="9721" spans="1:13" s="360" customFormat="1" ht="15.75" thickBot="1" x14ac:dyDescent="0.3">
      <c r="A9721" s="369" t="s">
        <v>40</v>
      </c>
      <c r="B9721" s="266">
        <v>44297</v>
      </c>
      <c r="C9721" s="44">
        <v>304</v>
      </c>
      <c r="D9721" s="176">
        <f t="shared" si="1574"/>
        <v>93309</v>
      </c>
      <c r="E9721" s="44">
        <v>5</v>
      </c>
      <c r="F9721" s="176">
        <f t="shared" si="1569"/>
        <v>1530</v>
      </c>
      <c r="G9721" s="177">
        <f>SUM(C9721,C9697,C9673,C9649,C9625,C9601,C9577,C9553,C9529,C9505,C9481,C9457,C9433,C9409)/POBLA!$B$24*100000</f>
        <v>406.04110804788701</v>
      </c>
      <c r="H9721" s="402">
        <f t="shared" si="1570"/>
        <v>1.6107209737827715</v>
      </c>
      <c r="I9721" s="403">
        <f t="shared" si="1572"/>
        <v>654.01892895072808</v>
      </c>
      <c r="J9721" s="403">
        <f t="shared" si="1573"/>
        <v>592.14285714285711</v>
      </c>
      <c r="K9721" s="403">
        <f>J9721/POBLA!$B$24*100000</f>
        <v>34.941773265067191</v>
      </c>
      <c r="L9721" s="550">
        <f t="shared" si="1571"/>
        <v>-0.51498538011695905</v>
      </c>
      <c r="M9721" s="405">
        <f>SUM(C9721,C9697,C9673,C9649,C9625,C9601,C9577)/POBLA!$B$24*100000</f>
        <v>244.59241285547037</v>
      </c>
    </row>
    <row r="9722" spans="1:13" s="360" customFormat="1" x14ac:dyDescent="0.25">
      <c r="A9722" s="374" t="s">
        <v>16</v>
      </c>
      <c r="B9722" s="267">
        <v>44298</v>
      </c>
      <c r="C9722" s="225">
        <v>9535</v>
      </c>
      <c r="D9722" s="262">
        <f t="shared" si="1574"/>
        <v>1090012</v>
      </c>
      <c r="E9722" s="225">
        <v>54</v>
      </c>
      <c r="F9722" s="262">
        <f t="shared" ref="F9722:F9745" si="1575">E9722+F9698</f>
        <v>29465</v>
      </c>
      <c r="G9722" s="175">
        <f>SUM(C9722,C9698,C9674,C9650,C9626,C9602,C9578,C9554,C9530,C9506,C9482,C9458,C9434,C9410)/POBLA!$B$1*100000</f>
        <v>658.15558976465661</v>
      </c>
      <c r="H9722" s="300">
        <f t="shared" ref="H9722:H9745" si="1576">SUM(C9722,C9698,C9674,C9650,C9626,C9602,C9578,C9554,C9530,C9506,C9482,C9458,C9434,C9410)/SUM(C9386,C9362,C9338,C9314,C9290,C9266,C9242,C9218,C9194,C9170,C9146,C9122,C9098,C9074)</f>
        <v>2.1123431038899256</v>
      </c>
      <c r="I9722" s="301">
        <f>G9722*H9722</f>
        <v>1390.2504213259792</v>
      </c>
      <c r="J9722" s="301">
        <f>AVERAGE(C9722,C9698,C9674,C9650,C9626,C9602,C9578)</f>
        <v>10502.714285714286</v>
      </c>
      <c r="K9722" s="301">
        <f>J9722/POBLA!$B$1*100000</f>
        <v>59.874749799424606</v>
      </c>
      <c r="L9722" s="548">
        <f t="shared" ref="L9722:L9745" si="1577">1-SUM(C9722,C9698,C9674,C9650,C9626,C9602,C9578)/SUM(C9554,C9530,C9506,C9482,C9458,C9434,C9410)</f>
        <v>-0.75341648978034303</v>
      </c>
      <c r="M9722" s="400">
        <f>SUM(C9722,C9698,C9674,C9650,C9626,C9602,C9578)/POBLA!$B$1*100000</f>
        <v>419.12324859597214</v>
      </c>
    </row>
    <row r="9723" spans="1:13" s="360" customFormat="1" x14ac:dyDescent="0.25">
      <c r="A9723" s="367" t="s">
        <v>43</v>
      </c>
      <c r="B9723" s="2">
        <v>44298</v>
      </c>
      <c r="C9723" s="1">
        <v>3358</v>
      </c>
      <c r="D9723" s="39">
        <f t="shared" si="1574"/>
        <v>289134</v>
      </c>
      <c r="E9723" s="1">
        <v>37</v>
      </c>
      <c r="F9723" s="39">
        <f t="shared" si="1575"/>
        <v>7095</v>
      </c>
      <c r="G9723" s="168">
        <f>SUM(C9723,C9699,C9675,C9651,C9627,C9603,C9579,C9555,C9531,C9507,C9483,C9459,C9435,C9411)/POBLA!$B$2*100000</f>
        <v>992.31185903709343</v>
      </c>
      <c r="H9723" s="256">
        <f t="shared" si="1576"/>
        <v>1.9599280760339071</v>
      </c>
      <c r="I9723" s="297">
        <f t="shared" ref="I9723:I9745" si="1578">G9723*H9723</f>
        <v>1944.8598727082001</v>
      </c>
      <c r="J9723" s="297">
        <f t="shared" ref="J9723:J9745" si="1579">AVERAGE(C9723,C9699,C9675,C9651,C9627,C9603,C9579)</f>
        <v>2609.4285714285716</v>
      </c>
      <c r="K9723" s="297">
        <f>J9723/POBLA!$B$2*100000</f>
        <v>84.841642094980102</v>
      </c>
      <c r="L9723" s="549">
        <f t="shared" si="1577"/>
        <v>-0.49061530928676356</v>
      </c>
      <c r="M9723" s="401">
        <f>SUM(C9723,C9699,C9675,C9651,C9627,C9603,C9579)/POBLA!$B$2*100000</f>
        <v>593.89149466486072</v>
      </c>
    </row>
    <row r="9724" spans="1:13" s="360" customFormat="1" x14ac:dyDescent="0.25">
      <c r="A9724" s="367" t="s">
        <v>28</v>
      </c>
      <c r="B9724" s="2">
        <v>44298</v>
      </c>
      <c r="C9724" s="1">
        <v>188</v>
      </c>
      <c r="D9724" s="39">
        <f t="shared" si="1574"/>
        <v>11863</v>
      </c>
      <c r="E9724" s="1"/>
      <c r="F9724" s="39">
        <f t="shared" si="1575"/>
        <v>18</v>
      </c>
      <c r="G9724" s="168">
        <f>SUM(C9724,C9700,C9676,C9652,C9628,C9604,C9580,C9556,C9532,C9508,C9484,C9460,C9436,C9412)/POBLA!$B$3*100000</f>
        <v>373.82232727867938</v>
      </c>
      <c r="H9724" s="256">
        <f t="shared" si="1576"/>
        <v>1.3039462636439967</v>
      </c>
      <c r="I9724" s="297">
        <f t="shared" si="1578"/>
        <v>487.44422692173725</v>
      </c>
      <c r="J9724" s="297">
        <f t="shared" si="1579"/>
        <v>142</v>
      </c>
      <c r="K9724" s="297">
        <f>J9724/POBLA!$B$3*100000</f>
        <v>34.180792320394382</v>
      </c>
      <c r="L9724" s="549">
        <f t="shared" si="1577"/>
        <v>-0.77817531305903409</v>
      </c>
      <c r="M9724" s="401">
        <f>SUM(C9724,C9700,C9676,C9652,C9628,C9604,C9580)/POBLA!$B$3*100000</f>
        <v>239.26554624276068</v>
      </c>
    </row>
    <row r="9725" spans="1:13" s="360" customFormat="1" x14ac:dyDescent="0.25">
      <c r="A9725" s="367" t="s">
        <v>15</v>
      </c>
      <c r="B9725" s="2">
        <v>44298</v>
      </c>
      <c r="C9725" s="1">
        <v>241</v>
      </c>
      <c r="D9725" s="39">
        <f t="shared" si="1574"/>
        <v>40581</v>
      </c>
      <c r="E9725" s="1">
        <v>6</v>
      </c>
      <c r="F9725" s="39">
        <f t="shared" si="1575"/>
        <v>973</v>
      </c>
      <c r="G9725" s="168">
        <f>SUM(C9725,C9701,C9677,C9653,C9629,C9605,C9581,C9557,C9533,C9509,C9485,C9461,C9437,C9413)/POBLA!$B$4*100000</f>
        <v>195.9252528556521</v>
      </c>
      <c r="H9725" s="256">
        <f t="shared" si="1576"/>
        <v>1.093098656785549</v>
      </c>
      <c r="I9725" s="297">
        <f t="shared" si="1578"/>
        <v>214.16563072688237</v>
      </c>
      <c r="J9725" s="297">
        <f t="shared" si="1579"/>
        <v>210.14285714285714</v>
      </c>
      <c r="K9725" s="297">
        <f>J9725/POBLA!$B$4*100000</f>
        <v>17.445886619289599</v>
      </c>
      <c r="L9725" s="549">
        <f t="shared" si="1577"/>
        <v>-0.65466816647919002</v>
      </c>
      <c r="M9725" s="401">
        <f>SUM(C9725,C9701,C9677,C9653,C9629,C9605,C9581)/POBLA!$B$4*100000</f>
        <v>122.1212063350272</v>
      </c>
    </row>
    <row r="9726" spans="1:13" s="360" customFormat="1" x14ac:dyDescent="0.25">
      <c r="A9726" s="367" t="s">
        <v>29</v>
      </c>
      <c r="B9726" s="2">
        <v>44298</v>
      </c>
      <c r="C9726" s="1">
        <v>164</v>
      </c>
      <c r="D9726" s="39">
        <f t="shared" si="1574"/>
        <v>51507</v>
      </c>
      <c r="E9726" s="1">
        <v>4</v>
      </c>
      <c r="F9726" s="39">
        <f t="shared" si="1575"/>
        <v>881</v>
      </c>
      <c r="G9726" s="168">
        <f>SUM(C9726,C9702,C9678,C9654,C9630,C9606,C9582,C9558,C9534,C9510,C9486,C9462,C9438,C9414)/POBLA!$B$5*100000</f>
        <v>281.26282322607324</v>
      </c>
      <c r="H9726" s="256">
        <f t="shared" si="1576"/>
        <v>1.1491749174917492</v>
      </c>
      <c r="I9726" s="297">
        <f t="shared" si="1578"/>
        <v>323.22018167431912</v>
      </c>
      <c r="J9726" s="297">
        <f t="shared" si="1579"/>
        <v>145.42857142857142</v>
      </c>
      <c r="K9726" s="297">
        <f>J9726/POBLA!$B$5*100000</f>
        <v>23.494342663833805</v>
      </c>
      <c r="L9726" s="549">
        <f t="shared" si="1577"/>
        <v>-0.40802213001383136</v>
      </c>
      <c r="M9726" s="401">
        <f>SUM(C9726,C9702,C9678,C9654,C9630,C9606,C9582)/POBLA!$B$5*100000</f>
        <v>164.46039864683664</v>
      </c>
    </row>
    <row r="9727" spans="1:13" s="360" customFormat="1" x14ac:dyDescent="0.25">
      <c r="A9727" s="367" t="s">
        <v>30</v>
      </c>
      <c r="B9727" s="2">
        <v>44298</v>
      </c>
      <c r="C9727" s="1">
        <v>70</v>
      </c>
      <c r="D9727" s="39">
        <f t="shared" si="1574"/>
        <v>33301</v>
      </c>
      <c r="E9727" s="1">
        <v>12</v>
      </c>
      <c r="F9727" s="39">
        <f t="shared" si="1575"/>
        <v>356</v>
      </c>
      <c r="G9727" s="168">
        <f>SUM(C9727,C9703,C9679,C9655,C9631,C9607,C9583,C9559,C9535,C9511,C9487,C9463,C9439,C9415)/POBLA!$B$6*100000</f>
        <v>394.53926254526897</v>
      </c>
      <c r="H9727" s="256">
        <f t="shared" si="1576"/>
        <v>1.1485714285714286</v>
      </c>
      <c r="I9727" s="297">
        <f t="shared" si="1578"/>
        <v>453.15652440913749</v>
      </c>
      <c r="J9727" s="297">
        <f t="shared" si="1579"/>
        <v>338.42857142857144</v>
      </c>
      <c r="K9727" s="297">
        <f>J9727/POBLA!$B$6*100000</f>
        <v>30.195241744838864</v>
      </c>
      <c r="L9727" s="549">
        <f t="shared" si="1577"/>
        <v>-0.15392109108621521</v>
      </c>
      <c r="M9727" s="401">
        <f>SUM(C9727,C9703,C9679,C9655,C9631,C9607,C9583)/POBLA!$B$6*100000</f>
        <v>211.36669221387206</v>
      </c>
    </row>
    <row r="9728" spans="1:13" s="360" customFormat="1" x14ac:dyDescent="0.25">
      <c r="A9728" s="367" t="s">
        <v>20</v>
      </c>
      <c r="B9728" s="2">
        <v>44298</v>
      </c>
      <c r="C9728" s="1">
        <v>1300</v>
      </c>
      <c r="D9728" s="39">
        <f t="shared" si="1574"/>
        <v>196527</v>
      </c>
      <c r="E9728" s="1">
        <v>11</v>
      </c>
      <c r="F9728" s="39">
        <f t="shared" si="1575"/>
        <v>3116</v>
      </c>
      <c r="G9728" s="168">
        <f>SUM(C9728,C9704,C9680,C9656,C9632,C9608,C9584,C9560,C9536,C9512,C9488,C9464,C9440,C9416)/POBLA!$B$7*100000</f>
        <v>478.13426584584295</v>
      </c>
      <c r="H9728" s="256">
        <f t="shared" si="1576"/>
        <v>1.7481769567331065</v>
      </c>
      <c r="I9728" s="297">
        <f t="shared" si="1578"/>
        <v>835.86330577620379</v>
      </c>
      <c r="J9728" s="297">
        <f t="shared" si="1579"/>
        <v>1659.2857142857142</v>
      </c>
      <c r="K9728" s="297">
        <f>J9728/POBLA!$B$7*100000</f>
        <v>44.124658333064239</v>
      </c>
      <c r="L9728" s="549">
        <f t="shared" si="1577"/>
        <v>-0.82482325216025143</v>
      </c>
      <c r="M9728" s="401">
        <f>SUM(C9728,C9704,C9680,C9656,C9632,C9608,C9584)/POBLA!$B$7*100000</f>
        <v>308.87260833144967</v>
      </c>
    </row>
    <row r="9729" spans="1:13" x14ac:dyDescent="0.25">
      <c r="A9729" s="367" t="s">
        <v>31</v>
      </c>
      <c r="B9729" s="2">
        <v>44298</v>
      </c>
      <c r="C9729" s="1">
        <v>231</v>
      </c>
      <c r="D9729" s="39">
        <f t="shared" si="1574"/>
        <v>53303</v>
      </c>
      <c r="E9729" s="1">
        <v>6</v>
      </c>
      <c r="F9729" s="39">
        <f t="shared" si="1575"/>
        <v>969</v>
      </c>
      <c r="G9729" s="168">
        <f>SUM(C9729,C9705,C9681,C9657,C9633,C9609,C9585,C9561,C9537,C9513,C9489,C9465,C9441,C9417)/POBLA!$B$8*100000</f>
        <v>279.08433209881088</v>
      </c>
      <c r="H9729" s="256">
        <f t="shared" si="1576"/>
        <v>1.5839475839475838</v>
      </c>
      <c r="I9729" s="297">
        <f t="shared" si="1578"/>
        <v>442.05495354553659</v>
      </c>
      <c r="J9729" s="297">
        <f t="shared" si="1579"/>
        <v>370.85714285714283</v>
      </c>
      <c r="K9729" s="297">
        <f>J9729/POBLA!$B$8*100000</f>
        <v>26.75812254869674</v>
      </c>
      <c r="L9729" s="549">
        <f t="shared" si="1577"/>
        <v>-1.040880503144654</v>
      </c>
      <c r="M9729" s="401">
        <f>SUM(C9729,C9705,C9681,C9657,C9633,C9609,C9585)/POBLA!$B$8*100000</f>
        <v>187.3068578408772</v>
      </c>
    </row>
    <row r="9730" spans="1:13" s="360" customFormat="1" x14ac:dyDescent="0.25">
      <c r="A9730" s="367" t="s">
        <v>41</v>
      </c>
      <c r="B9730" s="2">
        <v>44298</v>
      </c>
      <c r="C9730" s="1">
        <v>348</v>
      </c>
      <c r="D9730" s="39">
        <f t="shared" si="1574"/>
        <v>3002</v>
      </c>
      <c r="E9730" s="1"/>
      <c r="F9730" s="39">
        <f t="shared" si="1575"/>
        <v>49</v>
      </c>
      <c r="G9730" s="168">
        <f>SUM(C9730,C9706,C9682,C9658,C9634,C9610,C9586,C9562,C9538,C9514,C9490,C9466,C9442,C9418)/POBLA!$B$9*100000</f>
        <v>156.64424406759497</v>
      </c>
      <c r="H9730" s="256">
        <f t="shared" si="1576"/>
        <v>2.0835164835164837</v>
      </c>
      <c r="I9730" s="297">
        <f t="shared" si="1578"/>
        <v>326.37086456281327</v>
      </c>
      <c r="J9730" s="297">
        <f t="shared" si="1579"/>
        <v>93.285714285714292</v>
      </c>
      <c r="K9730" s="297">
        <f>J9730/POBLA!$B$9*100000</f>
        <v>15.414209068134344</v>
      </c>
      <c r="L9730" s="549">
        <f t="shared" si="1577"/>
        <v>-1.2135593220338983</v>
      </c>
      <c r="M9730" s="401">
        <f>SUM(C9730,C9706,C9682,C9658,C9634,C9610,C9586)/POBLA!$B$9*100000</f>
        <v>107.89946347694041</v>
      </c>
    </row>
    <row r="9731" spans="1:13" s="360" customFormat="1" x14ac:dyDescent="0.25">
      <c r="A9731" s="367" t="s">
        <v>32</v>
      </c>
      <c r="B9731" s="2">
        <v>44298</v>
      </c>
      <c r="C9731" s="1">
        <v>72</v>
      </c>
      <c r="D9731" s="39">
        <f t="shared" si="1574"/>
        <v>23109</v>
      </c>
      <c r="E9731" s="1">
        <v>3</v>
      </c>
      <c r="F9731" s="39">
        <f t="shared" si="1575"/>
        <v>989</v>
      </c>
      <c r="G9731" s="168">
        <f>SUM(C9731,C9707,C9683,C9659,C9635,C9611,C9587,C9563,C9539,C9515,C9491,C9467,C9443,C9419)/POBLA!$B$10*100000</f>
        <v>101.83154079553135</v>
      </c>
      <c r="H9731" s="256">
        <f t="shared" si="1576"/>
        <v>1.2764227642276422</v>
      </c>
      <c r="I9731" s="297">
        <f t="shared" si="1578"/>
        <v>129.98009678779204</v>
      </c>
      <c r="J9731" s="297">
        <f t="shared" si="1579"/>
        <v>59.428571428571431</v>
      </c>
      <c r="K9731" s="297">
        <f>J9731/POBLA!$B$10*100000</f>
        <v>7.7091757908900895</v>
      </c>
      <c r="L9731" s="549">
        <f t="shared" si="1577"/>
        <v>-0.12737127371273704</v>
      </c>
      <c r="M9731" s="401">
        <f>SUM(C9731,C9707,C9683,C9659,C9635,C9611,C9587)/POBLA!$B$10*100000</f>
        <v>53.964230536230616</v>
      </c>
    </row>
    <row r="9732" spans="1:13" s="360" customFormat="1" x14ac:dyDescent="0.25">
      <c r="A9732" s="367" t="s">
        <v>33</v>
      </c>
      <c r="B9732" s="2">
        <v>44298</v>
      </c>
      <c r="C9732" s="1">
        <v>69</v>
      </c>
      <c r="D9732" s="39">
        <f t="shared" si="1574"/>
        <v>22803</v>
      </c>
      <c r="E9732" s="1">
        <v>2</v>
      </c>
      <c r="F9732" s="39">
        <f t="shared" si="1575"/>
        <v>332</v>
      </c>
      <c r="G9732" s="168">
        <f>SUM(C9732,C9708,C9684,C9660,C9636,C9612,C9588,C9564,C9540,C9516,C9492,C9468,C9444,C9420)/POBLA!$B$11*100000</f>
        <v>458.94851964690258</v>
      </c>
      <c r="H9732" s="256">
        <f t="shared" si="1576"/>
        <v>1.3662790697674418</v>
      </c>
      <c r="I9732" s="297">
        <f t="shared" si="1578"/>
        <v>627.05175649431453</v>
      </c>
      <c r="J9732" s="297">
        <f t="shared" si="1579"/>
        <v>151.85714285714286</v>
      </c>
      <c r="K9732" s="297">
        <f>J9732/POBLA!$B$11*100000</f>
        <v>42.36754462741272</v>
      </c>
      <c r="L9732" s="549">
        <f t="shared" si="1577"/>
        <v>-0.82646048109965631</v>
      </c>
      <c r="M9732" s="401">
        <f>SUM(C9732,C9708,C9684,C9660,C9636,C9612,C9588)/POBLA!$B$11*100000</f>
        <v>296.57281239188904</v>
      </c>
    </row>
    <row r="9733" spans="1:13" s="360" customFormat="1" x14ac:dyDescent="0.25">
      <c r="A9733" s="367" t="s">
        <v>21</v>
      </c>
      <c r="B9733" s="2">
        <v>44298</v>
      </c>
      <c r="C9733" s="1">
        <v>12</v>
      </c>
      <c r="D9733" s="39">
        <f t="shared" si="1574"/>
        <v>12041</v>
      </c>
      <c r="E9733" s="1"/>
      <c r="F9733" s="39">
        <f t="shared" si="1575"/>
        <v>451</v>
      </c>
      <c r="G9733" s="168">
        <f>SUM(C9733,C9709,C9685,C9661,C9637,C9613,C9589,C9565,C9541,C9517,C9493,C9469,C9445,C9421)/POBLA!$B$12*100000</f>
        <v>262.49520368153969</v>
      </c>
      <c r="H9733" s="256">
        <f t="shared" si="1576"/>
        <v>2.2505446623093683</v>
      </c>
      <c r="I9733" s="297">
        <f t="shared" si="1578"/>
        <v>590.75717952729963</v>
      </c>
      <c r="J9733" s="297">
        <f t="shared" si="1579"/>
        <v>91</v>
      </c>
      <c r="K9733" s="297">
        <f>J9733/POBLA!$B$12*100000</f>
        <v>23.123972444356355</v>
      </c>
      <c r="L9733" s="549">
        <f t="shared" si="1577"/>
        <v>-0.60858585858585856</v>
      </c>
      <c r="M9733" s="401">
        <f>SUM(C9733,C9709,C9685,C9661,C9637,C9613,C9589)/POBLA!$B$12*100000</f>
        <v>161.86780711049448</v>
      </c>
    </row>
    <row r="9734" spans="1:13" s="360" customFormat="1" x14ac:dyDescent="0.25">
      <c r="A9734" s="367" t="s">
        <v>17</v>
      </c>
      <c r="B9734" s="2">
        <v>44298</v>
      </c>
      <c r="C9734" s="1">
        <v>639</v>
      </c>
      <c r="D9734" s="39">
        <f t="shared" si="1574"/>
        <v>80695</v>
      </c>
      <c r="E9734" s="1">
        <v>9</v>
      </c>
      <c r="F9734" s="39">
        <f t="shared" si="1575"/>
        <v>1603</v>
      </c>
      <c r="G9734" s="168">
        <f>SUM(C9734,C9710,C9686,C9662,C9638,C9614,C9590,C9566,C9542,C9518,C9494,C9470,C9446,C9422)/POBLA!$B$13*100000</f>
        <v>426.05828758733441</v>
      </c>
      <c r="H9734" s="256">
        <f t="shared" si="1576"/>
        <v>3.1153563556208672</v>
      </c>
      <c r="I9734" s="297">
        <f t="shared" si="1578"/>
        <v>1327.3233941001454</v>
      </c>
      <c r="J9734" s="297">
        <f t="shared" si="1579"/>
        <v>820.14285714285711</v>
      </c>
      <c r="K9734" s="297">
        <f>J9734/POBLA!$B$13*100000</f>
        <v>41.206210057932729</v>
      </c>
      <c r="L9734" s="549">
        <f t="shared" si="1577"/>
        <v>-1.0960204454180356</v>
      </c>
      <c r="M9734" s="401">
        <f>SUM(C9734,C9710,C9686,C9662,C9638,C9614,C9590)/POBLA!$B$13*100000</f>
        <v>288.44347040552913</v>
      </c>
    </row>
    <row r="9735" spans="1:13" s="360" customFormat="1" x14ac:dyDescent="0.25">
      <c r="A9735" s="367" t="s">
        <v>23</v>
      </c>
      <c r="B9735" s="2">
        <v>44298</v>
      </c>
      <c r="C9735" s="1">
        <v>117</v>
      </c>
      <c r="D9735" s="39">
        <f t="shared" si="1574"/>
        <v>13480</v>
      </c>
      <c r="E9735" s="1">
        <v>2</v>
      </c>
      <c r="F9735" s="39">
        <f t="shared" si="1575"/>
        <v>223</v>
      </c>
      <c r="G9735" s="168">
        <f>SUM(C9735,C9711,C9687,C9663,C9639,C9615,C9591,C9567,C9543,C9519,C9495,C9471,C9447,C9423)/POBLA!$B$14*100000</f>
        <v>131.29373484691121</v>
      </c>
      <c r="H9735" s="256">
        <f t="shared" si="1576"/>
        <v>0.95391705069124422</v>
      </c>
      <c r="I9735" s="297">
        <f t="shared" si="1578"/>
        <v>125.24333231940378</v>
      </c>
      <c r="J9735" s="297">
        <f t="shared" si="1579"/>
        <v>154.85714285714286</v>
      </c>
      <c r="K9735" s="297">
        <f>J9735/POBLA!$B$14*100000</f>
        <v>12.277640491205291</v>
      </c>
      <c r="L9735" s="549">
        <f t="shared" si="1577"/>
        <v>-0.89510489510489522</v>
      </c>
      <c r="M9735" s="401">
        <f>SUM(C9735,C9711,C9687,C9663,C9639,C9615,C9591)/POBLA!$B$14*100000</f>
        <v>85.943483438437042</v>
      </c>
    </row>
    <row r="9736" spans="1:13" s="360" customFormat="1" x14ac:dyDescent="0.25">
      <c r="A9736" s="367" t="s">
        <v>19</v>
      </c>
      <c r="B9736" s="2">
        <v>44298</v>
      </c>
      <c r="C9736" s="1">
        <v>102</v>
      </c>
      <c r="D9736" s="39">
        <f t="shared" si="1574"/>
        <v>66658</v>
      </c>
      <c r="E9736" s="1"/>
      <c r="F9736" s="39">
        <f t="shared" si="1575"/>
        <v>1017</v>
      </c>
      <c r="G9736" s="168">
        <f>SUM(C9736,C9712,C9688,C9664,C9640,C9616,C9592,C9568,C9544,C9520,C9496,C9472,C9448,C9424)/POBLA!$B$15*100000</f>
        <v>250.88207789391572</v>
      </c>
      <c r="H9736" s="256">
        <f t="shared" si="1576"/>
        <v>1.0054315027157514</v>
      </c>
      <c r="I9736" s="297">
        <f t="shared" si="1578"/>
        <v>252.24474458132988</v>
      </c>
      <c r="J9736" s="297">
        <f t="shared" si="1579"/>
        <v>138.28571428571428</v>
      </c>
      <c r="K9736" s="297">
        <f>J9736/POBLA!$B$15*100000</f>
        <v>20.824374155488801</v>
      </c>
      <c r="L9736" s="549">
        <f t="shared" si="1577"/>
        <v>-0.38681948424068757</v>
      </c>
      <c r="M9736" s="401">
        <f>SUM(C9736,C9712,C9688,C9664,C9640,C9616,C9592)/POBLA!$B$15*100000</f>
        <v>145.77061908842163</v>
      </c>
    </row>
    <row r="9737" spans="1:13" s="360" customFormat="1" x14ac:dyDescent="0.25">
      <c r="A9737" s="367" t="s">
        <v>18</v>
      </c>
      <c r="B9737" s="2">
        <v>44298</v>
      </c>
      <c r="C9737" s="1">
        <v>162</v>
      </c>
      <c r="D9737" s="39">
        <f t="shared" si="1574"/>
        <v>56942</v>
      </c>
      <c r="E9737" s="1">
        <v>3</v>
      </c>
      <c r="F9737" s="39">
        <f t="shared" si="1575"/>
        <v>1306</v>
      </c>
      <c r="G9737" s="168">
        <f>SUM(C9737,C9713,C9689,C9665,C9641,C9617,C9593,C9569,C9545,C9521,C9497,C9473,C9449,C9425)/POBLA!$B$16*100000</f>
        <v>234.07926592742206</v>
      </c>
      <c r="H9737" s="256">
        <f t="shared" si="1576"/>
        <v>1.3348588863463005</v>
      </c>
      <c r="I9737" s="297">
        <f t="shared" si="1578"/>
        <v>312.4627882326381</v>
      </c>
      <c r="J9737" s="297">
        <f t="shared" si="1579"/>
        <v>152</v>
      </c>
      <c r="K9737" s="297">
        <f>J9737/POBLA!$B$16*100000</f>
        <v>20.33145624055323</v>
      </c>
      <c r="L9737" s="549">
        <f t="shared" si="1577"/>
        <v>-0.55102040816326525</v>
      </c>
      <c r="M9737" s="401">
        <f>SUM(C9737,C9713,C9689,C9665,C9641,C9617,C9593)/POBLA!$B$16*100000</f>
        <v>142.32019368387259</v>
      </c>
    </row>
    <row r="9738" spans="1:13" s="360" customFormat="1" x14ac:dyDescent="0.25">
      <c r="A9738" s="367" t="s">
        <v>34</v>
      </c>
      <c r="B9738" s="2">
        <v>44298</v>
      </c>
      <c r="C9738" s="1">
        <v>98</v>
      </c>
      <c r="D9738" s="39">
        <f t="shared" si="1574"/>
        <v>31110</v>
      </c>
      <c r="E9738" s="1">
        <v>5</v>
      </c>
      <c r="F9738" s="39">
        <f t="shared" si="1575"/>
        <v>1237</v>
      </c>
      <c r="G9738" s="168">
        <f>SUM(C9738,C9714,C9690,C9666,C9642,C9618,C9594,C9570,C9546,C9522,C9498,C9474,C9450,C9426)/POBLA!$B$17*100000</f>
        <v>139.35721572005559</v>
      </c>
      <c r="H9738" s="256">
        <f t="shared" si="1576"/>
        <v>1.3832752613240418</v>
      </c>
      <c r="I9738" s="297">
        <f t="shared" si="1578"/>
        <v>192.76938899255077</v>
      </c>
      <c r="J9738" s="297">
        <f t="shared" si="1579"/>
        <v>183.71428571428572</v>
      </c>
      <c r="K9738" s="297">
        <f>J9738/POBLA!$B$17*100000</f>
        <v>12.897688335083949</v>
      </c>
      <c r="L9738" s="549">
        <f t="shared" si="1577"/>
        <v>-0.83977110157367663</v>
      </c>
      <c r="M9738" s="401">
        <f>SUM(C9738,C9714,C9690,C9666,C9642,C9618,C9594)/POBLA!$B$17*100000</f>
        <v>90.283818345587648</v>
      </c>
    </row>
    <row r="9739" spans="1:13" s="360" customFormat="1" x14ac:dyDescent="0.25">
      <c r="A9739" s="367" t="s">
        <v>35</v>
      </c>
      <c r="B9739" s="2">
        <v>44298</v>
      </c>
      <c r="C9739" s="1">
        <v>173</v>
      </c>
      <c r="D9739" s="39">
        <f t="shared" si="1574"/>
        <v>18957</v>
      </c>
      <c r="E9739" s="1">
        <v>4</v>
      </c>
      <c r="F9739" s="39">
        <f t="shared" si="1575"/>
        <v>233</v>
      </c>
      <c r="G9739" s="168">
        <f>SUM(C9739,C9715,C9691,C9667,C9643,C9619,C9595,C9571,C9547,C9523,C9499,C9475,C9451,C9427)/POBLA!$B$18*100000</f>
        <v>252.55466790917248</v>
      </c>
      <c r="H9739" s="256">
        <f t="shared" si="1576"/>
        <v>1.8952929875120077</v>
      </c>
      <c r="I9739" s="297">
        <f t="shared" si="1578"/>
        <v>478.66509105167847</v>
      </c>
      <c r="J9739" s="297">
        <f t="shared" si="1579"/>
        <v>190.85714285714286</v>
      </c>
      <c r="K9739" s="297">
        <f>J9739/POBLA!$B$18*100000</f>
        <v>24.430746240435479</v>
      </c>
      <c r="L9739" s="549">
        <f t="shared" si="1577"/>
        <v>-1.097331240188383</v>
      </c>
      <c r="M9739" s="401">
        <f>SUM(C9739,C9715,C9691,C9667,C9643,C9619,C9595)/POBLA!$B$18*100000</f>
        <v>171.01522368304839</v>
      </c>
    </row>
    <row r="9740" spans="1:13" s="360" customFormat="1" x14ac:dyDescent="0.25">
      <c r="A9740" s="367" t="s">
        <v>36</v>
      </c>
      <c r="B9740" s="2">
        <v>44298</v>
      </c>
      <c r="C9740" s="1">
        <v>556</v>
      </c>
      <c r="D9740" s="39">
        <f t="shared" si="1574"/>
        <v>26914</v>
      </c>
      <c r="E9740" s="1">
        <v>1</v>
      </c>
      <c r="F9740" s="39">
        <f t="shared" si="1575"/>
        <v>443</v>
      </c>
      <c r="G9740" s="168">
        <f>SUM(C9740,C9716,C9692,C9668,C9644,C9620,C9596,C9572,C9548,C9524,C9500,C9476,C9452,C9428)/POBLA!$B$19*100000</f>
        <v>860.46804425489051</v>
      </c>
      <c r="H9740" s="256">
        <f t="shared" si="1576"/>
        <v>4.2840352595494613</v>
      </c>
      <c r="I9740" s="297">
        <f t="shared" si="1578"/>
        <v>3686.2754413035173</v>
      </c>
      <c r="J9740" s="297">
        <f t="shared" si="1579"/>
        <v>432.28571428571428</v>
      </c>
      <c r="K9740" s="297">
        <f>J9740/POBLA!$B$19*100000</f>
        <v>85.040704876716262</v>
      </c>
      <c r="L9740" s="549">
        <f t="shared" si="1577"/>
        <v>-1.2448071216617209</v>
      </c>
      <c r="M9740" s="401">
        <f>SUM(C9740,C9716,C9692,C9668,C9644,C9620,C9596)/POBLA!$B$19*100000</f>
        <v>595.28493413701392</v>
      </c>
    </row>
    <row r="9741" spans="1:13" s="360" customFormat="1" x14ac:dyDescent="0.25">
      <c r="A9741" s="367" t="s">
        <v>37</v>
      </c>
      <c r="B9741" s="2">
        <v>44298</v>
      </c>
      <c r="C9741" s="1">
        <v>115</v>
      </c>
      <c r="D9741" s="39">
        <f t="shared" si="1574"/>
        <v>41110</v>
      </c>
      <c r="E9741" s="1">
        <v>5</v>
      </c>
      <c r="F9741" s="39">
        <f t="shared" si="1575"/>
        <v>666</v>
      </c>
      <c r="G9741" s="168">
        <f>SUM(C9741,C9717,C9693,C9669,C9645,C9621,C9597,C9573,C9549,C9525,C9501,C9477,C9453,C9429)/POBLA!$B$20*100000</f>
        <v>541.97725992485607</v>
      </c>
      <c r="H9741" s="256">
        <f t="shared" si="1576"/>
        <v>1.1946955997588908</v>
      </c>
      <c r="I9741" s="297">
        <f t="shared" si="1578"/>
        <v>647.49784760160617</v>
      </c>
      <c r="J9741" s="297">
        <f t="shared" si="1579"/>
        <v>162.14285714285714</v>
      </c>
      <c r="K9741" s="297">
        <f>J9741/POBLA!$B$20*100000</f>
        <v>44.337911922640302</v>
      </c>
      <c r="L9741" s="549">
        <f t="shared" si="1577"/>
        <v>-0.34002361275088555</v>
      </c>
      <c r="M9741" s="401">
        <f>SUM(C9741,C9717,C9693,C9669,C9645,C9621,C9597)/POBLA!$B$20*100000</f>
        <v>310.36538345848214</v>
      </c>
    </row>
    <row r="9742" spans="1:13" s="360" customFormat="1" x14ac:dyDescent="0.25">
      <c r="A9742" s="367" t="s">
        <v>22</v>
      </c>
      <c r="B9742" s="2">
        <v>44298</v>
      </c>
      <c r="C9742" s="1">
        <v>1104</v>
      </c>
      <c r="D9742" s="39">
        <f t="shared" si="1574"/>
        <v>243182</v>
      </c>
      <c r="E9742" s="1">
        <v>9</v>
      </c>
      <c r="F9742" s="39">
        <f t="shared" si="1575"/>
        <v>4350</v>
      </c>
      <c r="G9742" s="168">
        <f>SUM(C9742,C9718,C9694,C9670,C9646,C9622,C9598,C9574,C9550,C9526,C9502,C9478,C9454,C9430)/POBLA!$B$21*100000</f>
        <v>372.01484666122616</v>
      </c>
      <c r="H9742" s="256">
        <f t="shared" si="1576"/>
        <v>1.782897411573384</v>
      </c>
      <c r="I9742" s="297">
        <f t="shared" si="1578"/>
        <v>663.26430717916946</v>
      </c>
      <c r="J9742" s="297">
        <f t="shared" si="1579"/>
        <v>1220.1428571428571</v>
      </c>
      <c r="K9742" s="297">
        <f>J9742/POBLA!$B$21*100000</f>
        <v>34.502223921008692</v>
      </c>
      <c r="L9742" s="549">
        <f t="shared" si="1577"/>
        <v>-0.85070422535211265</v>
      </c>
      <c r="M9742" s="401">
        <f>SUM(C9742,C9718,C9694,C9670,C9646,C9622,C9598)/POBLA!$B$21*100000</f>
        <v>241.51556744706082</v>
      </c>
    </row>
    <row r="9743" spans="1:13" s="360" customFormat="1" x14ac:dyDescent="0.25">
      <c r="A9743" s="367" t="s">
        <v>38</v>
      </c>
      <c r="B9743" s="2">
        <v>44298</v>
      </c>
      <c r="C9743" s="1">
        <v>119</v>
      </c>
      <c r="D9743" s="39">
        <f t="shared" si="1574"/>
        <v>26946</v>
      </c>
      <c r="E9743" s="1">
        <v>2</v>
      </c>
      <c r="F9743" s="39">
        <f t="shared" si="1575"/>
        <v>307</v>
      </c>
      <c r="G9743" s="168">
        <f>SUM(C9743,C9719,C9695,C9671,C9647,C9623,C9599,C9575,C9551,C9527,C9503,C9479,C9455,C9431)/POBLA!$B$22*100000</f>
        <v>205.96680203574928</v>
      </c>
      <c r="H9743" s="256">
        <f t="shared" si="1576"/>
        <v>1.4392857142857143</v>
      </c>
      <c r="I9743" s="297">
        <f t="shared" si="1578"/>
        <v>296.4450757871677</v>
      </c>
      <c r="J9743" s="297">
        <f t="shared" si="1579"/>
        <v>169.71428571428572</v>
      </c>
      <c r="K9743" s="297">
        <f>J9743/POBLA!$B$22*100000</f>
        <v>17.347646991738401</v>
      </c>
      <c r="L9743" s="549">
        <f t="shared" si="1577"/>
        <v>-0.43651753325272069</v>
      </c>
      <c r="M9743" s="401">
        <f>SUM(C9743,C9719,C9695,C9671,C9647,C9623,C9599)/POBLA!$B$22*100000</f>
        <v>121.43352894216882</v>
      </c>
    </row>
    <row r="9744" spans="1:13" s="360" customFormat="1" x14ac:dyDescent="0.25">
      <c r="A9744" s="367" t="s">
        <v>39</v>
      </c>
      <c r="B9744" s="2">
        <v>44298</v>
      </c>
      <c r="C9744" s="1">
        <v>104</v>
      </c>
      <c r="D9744" s="39">
        <f t="shared" si="1574"/>
        <v>24952</v>
      </c>
      <c r="E9744" s="1"/>
      <c r="F9744" s="39">
        <f t="shared" si="1575"/>
        <v>372</v>
      </c>
      <c r="G9744" s="168">
        <f>SUM(C9744,C9720,C9696,C9672,C9648,C9624,C9600,C9576,C9552,C9528,C9504,C9480,C9456,C9432)/POBLA!$B$23*100000</f>
        <v>546.85290957416726</v>
      </c>
      <c r="H9744" s="256">
        <f t="shared" si="1576"/>
        <v>1.647359454855196</v>
      </c>
      <c r="I9744" s="297">
        <f t="shared" si="1578"/>
        <v>900.86331100207792</v>
      </c>
      <c r="J9744" s="297">
        <f t="shared" si="1579"/>
        <v>84</v>
      </c>
      <c r="K9744" s="297">
        <f>J9744/POBLA!$B$23*100000</f>
        <v>47.503251710682576</v>
      </c>
      <c r="L9744" s="549">
        <f t="shared" si="1577"/>
        <v>-0.55145118733509224</v>
      </c>
      <c r="M9744" s="401">
        <f>SUM(C9744,C9720,C9696,C9672,C9648,C9624,C9600)/POBLA!$B$23*100000</f>
        <v>332.52276197477806</v>
      </c>
    </row>
    <row r="9745" spans="1:13" s="360" customFormat="1" ht="15.75" thickBot="1" x14ac:dyDescent="0.3">
      <c r="A9745" s="369" t="s">
        <v>40</v>
      </c>
      <c r="B9745" s="34">
        <v>44298</v>
      </c>
      <c r="C9745" s="44">
        <v>560</v>
      </c>
      <c r="D9745" s="176">
        <f t="shared" si="1574"/>
        <v>93869</v>
      </c>
      <c r="E9745" s="44">
        <v>4</v>
      </c>
      <c r="F9745" s="176">
        <f t="shared" si="1575"/>
        <v>1534</v>
      </c>
      <c r="G9745" s="177">
        <f>SUM(C9745,C9721,C9697,C9673,C9649,C9625,C9601,C9577,C9553,C9529,C9505,C9481,C9457,C9433)/POBLA!$B$24*100000</f>
        <v>417.7839042259904</v>
      </c>
      <c r="H9745" s="402">
        <f t="shared" si="1576"/>
        <v>1.6179159049360146</v>
      </c>
      <c r="I9745" s="403">
        <f t="shared" si="1578"/>
        <v>675.93922347349451</v>
      </c>
      <c r="J9745" s="403">
        <f t="shared" si="1579"/>
        <v>609.28571428571433</v>
      </c>
      <c r="K9745" s="403">
        <f>J9745/POBLA!$B$24*100000</f>
        <v>35.953356568277826</v>
      </c>
      <c r="L9745" s="550">
        <f t="shared" si="1577"/>
        <v>-0.51509769094138536</v>
      </c>
      <c r="M9745" s="405">
        <f>SUM(C9745,C9721,C9697,C9673,C9649,C9625,C9601)/POBLA!$B$24*100000</f>
        <v>251.67349597794478</v>
      </c>
    </row>
    <row r="9746" spans="1:13" s="360" customFormat="1" x14ac:dyDescent="0.25">
      <c r="A9746" s="374" t="s">
        <v>16</v>
      </c>
      <c r="B9746" s="2">
        <v>44299</v>
      </c>
      <c r="C9746" s="225">
        <v>14004</v>
      </c>
      <c r="D9746" s="262">
        <f t="shared" si="1574"/>
        <v>1104016</v>
      </c>
      <c r="E9746" s="225">
        <v>112</v>
      </c>
      <c r="F9746" s="262">
        <f t="shared" ref="F9746:F9769" si="1580">E9746+F9722</f>
        <v>29577</v>
      </c>
      <c r="G9746" s="175">
        <f>SUM(C9746,C9722,C9698,C9674,C9650,C9626,C9602,C9578,C9554,C9530,C9506,C9482,C9458,C9434)/POBLA!$B$1*100000</f>
        <v>709.82839713790565</v>
      </c>
      <c r="H9746" s="300">
        <f t="shared" ref="H9746:H9769" si="1581">SUM(C9746,C9722,C9698,C9674,C9650,C9626,C9602,C9578,C9554,C9530,C9506,C9482,C9458,C9434)/SUM(C9410,C9386,C9362,C9338,C9314,C9290,C9266,C9242,C9218,C9194,C9170,C9146,C9122,C9098)</f>
        <v>2.2301189282132112</v>
      </c>
      <c r="I9746" s="301">
        <f>G9746*H9746</f>
        <v>1583.0017442404878</v>
      </c>
      <c r="J9746" s="301">
        <f>AVERAGE(C9746,C9722,C9698,C9674,C9650,C9626,C9602)</f>
        <v>11017.285714285714</v>
      </c>
      <c r="K9746" s="301">
        <f>J9746/POBLA!$B$1*100000</f>
        <v>62.808261528059738</v>
      </c>
      <c r="L9746" s="548">
        <f t="shared" ref="L9746:L9769" si="1582">1-SUM(C9746,C9722,C9698,C9674,C9650,C9626,C9602)/SUM(C9578,C9554,C9530,C9506,C9482,C9458,C9434)</f>
        <v>-0.6273343039817687</v>
      </c>
      <c r="M9746" s="400">
        <f>SUM(C9746,C9722,C9698,C9674,C9650,C9626,C9602)/POBLA!$B$1*100000</f>
        <v>439.65783069641822</v>
      </c>
    </row>
    <row r="9747" spans="1:13" s="360" customFormat="1" x14ac:dyDescent="0.25">
      <c r="A9747" s="367" t="s">
        <v>43</v>
      </c>
      <c r="B9747" s="2">
        <v>44299</v>
      </c>
      <c r="C9747" s="1">
        <v>2934</v>
      </c>
      <c r="D9747" s="39">
        <f t="shared" si="1574"/>
        <v>292068</v>
      </c>
      <c r="E9747" s="1">
        <v>27</v>
      </c>
      <c r="F9747" s="39">
        <f t="shared" si="1580"/>
        <v>7122</v>
      </c>
      <c r="G9747" s="168">
        <f>SUM(C9747,C9723,C9699,C9675,C9651,C9627,C9603,C9579,C9555,C9531,C9507,C9483,C9459,C9435)/POBLA!$B$2*100000</f>
        <v>1054.8027959004385</v>
      </c>
      <c r="H9747" s="256">
        <f t="shared" si="1581"/>
        <v>2.077351604021259</v>
      </c>
      <c r="I9747" s="297">
        <f t="shared" ref="I9747:I9769" si="1583">G9747*H9747</f>
        <v>2191.1962799898843</v>
      </c>
      <c r="J9747" s="297">
        <f t="shared" ref="J9747:J9769" si="1584">AVERAGE(C9747,C9723,C9699,C9675,C9651,C9627,C9603)</f>
        <v>2702.7142857142858</v>
      </c>
      <c r="K9747" s="297">
        <f>J9747/POBLA!$B$2*100000</f>
        <v>87.874686674418498</v>
      </c>
      <c r="L9747" s="549">
        <f t="shared" si="1582"/>
        <v>-0.39902388523256671</v>
      </c>
      <c r="M9747" s="401">
        <f>SUM(C9747,C9723,C9699,C9675,C9651,C9627,C9603)/POBLA!$B$2*100000</f>
        <v>615.12280672092959</v>
      </c>
    </row>
    <row r="9748" spans="1:13" s="360" customFormat="1" x14ac:dyDescent="0.25">
      <c r="A9748" s="367" t="s">
        <v>28</v>
      </c>
      <c r="B9748" s="2">
        <v>44299</v>
      </c>
      <c r="C9748" s="1">
        <v>155</v>
      </c>
      <c r="D9748" s="39">
        <f t="shared" si="1574"/>
        <v>12018</v>
      </c>
      <c r="E9748" s="1"/>
      <c r="F9748" s="39">
        <f t="shared" si="1580"/>
        <v>18</v>
      </c>
      <c r="G9748" s="168">
        <f>SUM(C9748,C9724,C9700,C9676,C9652,C9628,C9604,C9580,C9556,C9532,C9508,C9484,C9460,C9436)/POBLA!$B$3*100000</f>
        <v>394.04195090482813</v>
      </c>
      <c r="H9748" s="256">
        <f t="shared" si="1581"/>
        <v>1.4422907488986785</v>
      </c>
      <c r="I9748" s="297">
        <f t="shared" si="1583"/>
        <v>568.32306046802091</v>
      </c>
      <c r="J9748" s="297">
        <f t="shared" si="1584"/>
        <v>146.42857142857142</v>
      </c>
      <c r="K9748" s="297">
        <f>J9748/POBLA!$B$3*100000</f>
        <v>35.246792885718548</v>
      </c>
      <c r="L9748" s="549">
        <f t="shared" si="1582"/>
        <v>-0.67483660130718959</v>
      </c>
      <c r="M9748" s="401">
        <f>SUM(C9748,C9724,C9700,C9676,C9652,C9628,C9604)/POBLA!$B$3*100000</f>
        <v>246.72755020002987</v>
      </c>
    </row>
    <row r="9749" spans="1:13" s="360" customFormat="1" x14ac:dyDescent="0.25">
      <c r="A9749" s="367" t="s">
        <v>15</v>
      </c>
      <c r="B9749" s="2">
        <v>44299</v>
      </c>
      <c r="C9749" s="1">
        <v>250</v>
      </c>
      <c r="D9749" s="39">
        <f t="shared" si="1574"/>
        <v>40831</v>
      </c>
      <c r="E9749" s="1">
        <v>4</v>
      </c>
      <c r="F9749" s="39">
        <f t="shared" si="1580"/>
        <v>977</v>
      </c>
      <c r="G9749" s="168">
        <f>SUM(C9749,C9725,C9701,C9677,C9653,C9629,C9605,C9581,C9557,C9533,C9509,C9485,C9461,C9437)/POBLA!$B$4*100000</f>
        <v>208.71020579623277</v>
      </c>
      <c r="H9749" s="256">
        <f t="shared" si="1581"/>
        <v>1.1797278273111216</v>
      </c>
      <c r="I9749" s="297">
        <f t="shared" si="1583"/>
        <v>246.22123762164674</v>
      </c>
      <c r="J9749" s="297">
        <f t="shared" si="1584"/>
        <v>213.14285714285714</v>
      </c>
      <c r="K9749" s="297">
        <f>J9749/POBLA!$B$4*100000</f>
        <v>17.694944144106106</v>
      </c>
      <c r="L9749" s="549">
        <f t="shared" si="1582"/>
        <v>-0.45988258317025443</v>
      </c>
      <c r="M9749" s="401">
        <f>SUM(C9749,C9725,C9701,C9677,C9653,C9629,C9605)/POBLA!$B$4*100000</f>
        <v>123.86460900874275</v>
      </c>
    </row>
    <row r="9750" spans="1:13" s="360" customFormat="1" x14ac:dyDescent="0.25">
      <c r="A9750" s="367" t="s">
        <v>29</v>
      </c>
      <c r="B9750" s="2">
        <v>44299</v>
      </c>
      <c r="C9750" s="1">
        <v>220</v>
      </c>
      <c r="D9750" s="39">
        <f t="shared" si="1574"/>
        <v>51727</v>
      </c>
      <c r="E9750" s="1"/>
      <c r="F9750" s="39">
        <f t="shared" si="1580"/>
        <v>881</v>
      </c>
      <c r="G9750" s="168">
        <f>SUM(C9750,C9726,C9702,C9678,C9654,C9630,C9606,C9582,C9558,C9534,C9510,C9486,C9462,C9438)/POBLA!$B$5*100000</f>
        <v>295.47943921912008</v>
      </c>
      <c r="H9750" s="256">
        <f t="shared" si="1581"/>
        <v>1.1822882999353588</v>
      </c>
      <c r="I9750" s="297">
        <f t="shared" si="1583"/>
        <v>349.34188386022663</v>
      </c>
      <c r="J9750" s="297">
        <f t="shared" si="1584"/>
        <v>154.85714285714286</v>
      </c>
      <c r="K9750" s="297">
        <f>J9750/POBLA!$B$5*100000</f>
        <v>25.017551520231677</v>
      </c>
      <c r="L9750" s="549">
        <f t="shared" si="1582"/>
        <v>-0.4550335570469799</v>
      </c>
      <c r="M9750" s="401">
        <f>SUM(C9750,C9726,C9702,C9678,C9654,C9630,C9606)/POBLA!$B$5*100000</f>
        <v>175.12286064162171</v>
      </c>
    </row>
    <row r="9751" spans="1:13" s="360" customFormat="1" x14ac:dyDescent="0.25">
      <c r="A9751" s="367" t="s">
        <v>30</v>
      </c>
      <c r="B9751" s="2">
        <v>44299</v>
      </c>
      <c r="C9751" s="1">
        <v>441</v>
      </c>
      <c r="D9751" s="39">
        <f t="shared" si="1574"/>
        <v>33742</v>
      </c>
      <c r="E9751" s="1">
        <v>9</v>
      </c>
      <c r="F9751" s="39">
        <f t="shared" si="1580"/>
        <v>365</v>
      </c>
      <c r="G9751" s="168">
        <f>SUM(C9751,C9727,C9703,C9679,C9655,C9631,C9607,C9583,C9559,C9535,C9511,C9487,C9463,C9439)/POBLA!$B$6*100000</f>
        <v>354.83551495760622</v>
      </c>
      <c r="H9751" s="256">
        <f t="shared" si="1581"/>
        <v>0.87062171628721541</v>
      </c>
      <c r="I9751" s="297">
        <f t="shared" si="1583"/>
        <v>308.927505032049</v>
      </c>
      <c r="J9751" s="297">
        <f t="shared" si="1584"/>
        <v>334.71428571428572</v>
      </c>
      <c r="K9751" s="297">
        <f>J9751/POBLA!$B$6*100000</f>
        <v>29.86384609884232</v>
      </c>
      <c r="L9751" s="549">
        <f t="shared" si="1582"/>
        <v>-0.43390452876376995</v>
      </c>
      <c r="M9751" s="401">
        <f>SUM(C9751,C9727,C9703,C9679,C9655,C9631,C9607)/POBLA!$B$6*100000</f>
        <v>209.04692269189624</v>
      </c>
    </row>
    <row r="9752" spans="1:13" s="360" customFormat="1" x14ac:dyDescent="0.25">
      <c r="A9752" s="367" t="s">
        <v>20</v>
      </c>
      <c r="B9752" s="2">
        <v>44299</v>
      </c>
      <c r="C9752" s="1">
        <v>2268</v>
      </c>
      <c r="D9752" s="39">
        <f t="shared" si="1574"/>
        <v>198795</v>
      </c>
      <c r="E9752" s="1">
        <v>10</v>
      </c>
      <c r="F9752" s="39">
        <f t="shared" si="1580"/>
        <v>3126</v>
      </c>
      <c r="G9752" s="168">
        <f>SUM(C9752,C9728,C9704,C9680,C9656,C9632,C9608,C9584,C9560,C9536,C9512,C9488,C9464,C9440)/POBLA!$B$7*100000</f>
        <v>516.48074033692774</v>
      </c>
      <c r="H9752" s="256">
        <f t="shared" si="1581"/>
        <v>1.885264997087944</v>
      </c>
      <c r="I9752" s="297">
        <f t="shared" si="1583"/>
        <v>973.70306142727725</v>
      </c>
      <c r="J9752" s="297">
        <f t="shared" si="1584"/>
        <v>1720</v>
      </c>
      <c r="K9752" s="297">
        <f>J9752/POBLA!$B$7*100000</f>
        <v>45.739206743873737</v>
      </c>
      <c r="L9752" s="549">
        <f t="shared" si="1582"/>
        <v>-0.63099431048496335</v>
      </c>
      <c r="M9752" s="401">
        <f>SUM(C9752,C9728,C9704,C9680,C9656,C9632,C9608)/POBLA!$B$7*100000</f>
        <v>320.17444720711615</v>
      </c>
    </row>
    <row r="9753" spans="1:13" x14ac:dyDescent="0.25">
      <c r="A9753" s="367" t="s">
        <v>31</v>
      </c>
      <c r="B9753" s="2">
        <v>44299</v>
      </c>
      <c r="C9753" s="1">
        <v>635</v>
      </c>
      <c r="D9753" s="39">
        <f t="shared" si="1574"/>
        <v>53938</v>
      </c>
      <c r="E9753" s="1">
        <v>11</v>
      </c>
      <c r="F9753" s="39">
        <f t="shared" si="1580"/>
        <v>980</v>
      </c>
      <c r="G9753" s="168">
        <f>SUM(C9753,C9729,C9705,C9681,C9657,C9633,C9609,C9585,C9561,C9537,C9513,C9489,C9465,C9441)/POBLA!$B$8*100000</f>
        <v>310.10973613254635</v>
      </c>
      <c r="H9753" s="256">
        <f t="shared" si="1581"/>
        <v>1.7564364527993461</v>
      </c>
      <c r="I9753" s="297">
        <f t="shared" si="1583"/>
        <v>544.6880449111909</v>
      </c>
      <c r="J9753" s="297">
        <f t="shared" si="1584"/>
        <v>402.28571428571428</v>
      </c>
      <c r="K9753" s="297">
        <f>J9753/POBLA!$B$8*100000</f>
        <v>29.025760052823586</v>
      </c>
      <c r="L9753" s="549">
        <f t="shared" si="1582"/>
        <v>-0.90013495276653166</v>
      </c>
      <c r="M9753" s="401">
        <f>SUM(C9753,C9729,C9705,C9681,C9657,C9633,C9609)/POBLA!$B$8*100000</f>
        <v>203.18032036976507</v>
      </c>
    </row>
    <row r="9754" spans="1:13" s="360" customFormat="1" x14ac:dyDescent="0.25">
      <c r="A9754" s="367" t="s">
        <v>41</v>
      </c>
      <c r="B9754" s="2">
        <v>44299</v>
      </c>
      <c r="C9754" s="1">
        <v>131</v>
      </c>
      <c r="D9754" s="39">
        <f t="shared" si="1574"/>
        <v>3133</v>
      </c>
      <c r="E9754" s="1">
        <v>4</v>
      </c>
      <c r="F9754" s="39">
        <f t="shared" si="1580"/>
        <v>53</v>
      </c>
      <c r="G9754" s="168">
        <f>SUM(C9754,C9730,C9706,C9682,C9658,C9634,C9610,C9586,C9562,C9538,C9514,C9490,C9466,C9442)/POBLA!$B$9*100000</f>
        <v>173.66360813823027</v>
      </c>
      <c r="H9754" s="256">
        <f t="shared" si="1581"/>
        <v>2.3048245614035086</v>
      </c>
      <c r="I9754" s="297">
        <f t="shared" si="1583"/>
        <v>400.26414945894737</v>
      </c>
      <c r="J9754" s="297">
        <f t="shared" si="1584"/>
        <v>99.285714285714292</v>
      </c>
      <c r="K9754" s="297">
        <f>J9754/POBLA!$B$9*100000</f>
        <v>16.405628334384946</v>
      </c>
      <c r="L9754" s="549">
        <f t="shared" si="1582"/>
        <v>-0.952247191011236</v>
      </c>
      <c r="M9754" s="401">
        <f>SUM(C9754,C9730,C9706,C9682,C9658,C9634,C9610)/POBLA!$B$9*100000</f>
        <v>114.83939834069463</v>
      </c>
    </row>
    <row r="9755" spans="1:13" s="360" customFormat="1" x14ac:dyDescent="0.25">
      <c r="A9755" s="367" t="s">
        <v>32</v>
      </c>
      <c r="B9755" s="2">
        <v>44299</v>
      </c>
      <c r="C9755" s="1">
        <v>93</v>
      </c>
      <c r="D9755" s="39">
        <f t="shared" si="1574"/>
        <v>23202</v>
      </c>
      <c r="E9755" s="1">
        <v>2</v>
      </c>
      <c r="F9755" s="39">
        <f t="shared" si="1580"/>
        <v>991</v>
      </c>
      <c r="G9755" s="168">
        <f>SUM(C9755,C9731,C9707,C9683,C9659,C9635,C9611,C9587,C9563,C9539,C9515,C9491,C9467,C9443)/POBLA!$B$10*100000</f>
        <v>107.5392959484019</v>
      </c>
      <c r="H9755" s="256">
        <f t="shared" si="1581"/>
        <v>1.3590163934426229</v>
      </c>
      <c r="I9755" s="297">
        <f t="shared" si="1583"/>
        <v>146.14766613315604</v>
      </c>
      <c r="J9755" s="297">
        <f t="shared" si="1584"/>
        <v>61.142857142857146</v>
      </c>
      <c r="K9755" s="297">
        <f>J9755/POBLA!$B$10*100000</f>
        <v>7.9315558617811499</v>
      </c>
      <c r="L9755" s="549">
        <f t="shared" si="1582"/>
        <v>-6.7331670822942558E-2</v>
      </c>
      <c r="M9755" s="401">
        <f>SUM(C9755,C9731,C9707,C9683,C9659,C9635,C9611)/POBLA!$B$10*100000</f>
        <v>55.52089103246805</v>
      </c>
    </row>
    <row r="9756" spans="1:13" s="360" customFormat="1" x14ac:dyDescent="0.25">
      <c r="A9756" s="367" t="s">
        <v>33</v>
      </c>
      <c r="B9756" s="2">
        <v>44299</v>
      </c>
      <c r="C9756" s="1">
        <v>110</v>
      </c>
      <c r="D9756" s="39">
        <f t="shared" si="1574"/>
        <v>22913</v>
      </c>
      <c r="E9756" s="1"/>
      <c r="F9756" s="39">
        <f t="shared" si="1580"/>
        <v>332</v>
      </c>
      <c r="G9756" s="168">
        <f>SUM(C9756,C9732,C9708,C9684,C9660,C9636,C9612,C9588,C9564,C9540,C9516,C9492,C9468,C9444)/POBLA!$B$11*100000</f>
        <v>477.64125570546946</v>
      </c>
      <c r="H9756" s="256">
        <f t="shared" si="1581"/>
        <v>1.5110326566637247</v>
      </c>
      <c r="I9756" s="297">
        <f t="shared" si="1583"/>
        <v>721.73153554083297</v>
      </c>
      <c r="J9756" s="297">
        <f t="shared" si="1584"/>
        <v>144</v>
      </c>
      <c r="K9756" s="297">
        <f>J9756/POBLA!$B$11*100000</f>
        <v>40.175432722889951</v>
      </c>
      <c r="L9756" s="549">
        <f t="shared" si="1582"/>
        <v>-0.43181818181818188</v>
      </c>
      <c r="M9756" s="401">
        <f>SUM(C9756,C9732,C9708,C9684,C9660,C9636,C9612)/POBLA!$B$11*100000</f>
        <v>281.22802906022969</v>
      </c>
    </row>
    <row r="9757" spans="1:13" s="360" customFormat="1" x14ac:dyDescent="0.25">
      <c r="A9757" s="367" t="s">
        <v>21</v>
      </c>
      <c r="B9757" s="2">
        <v>44299</v>
      </c>
      <c r="C9757" s="1">
        <v>59</v>
      </c>
      <c r="D9757" s="39">
        <f t="shared" si="1574"/>
        <v>12100</v>
      </c>
      <c r="E9757" s="1"/>
      <c r="F9757" s="39">
        <f t="shared" si="1580"/>
        <v>451</v>
      </c>
      <c r="G9757" s="168">
        <f>SUM(C9757,C9733,C9709,C9685,C9661,C9637,C9613,C9589,C9565,C9541,C9517,C9493,C9469,C9445)/POBLA!$B$12*100000</f>
        <v>272.91369676086509</v>
      </c>
      <c r="H9757" s="256">
        <f t="shared" si="1581"/>
        <v>2.3347826086956522</v>
      </c>
      <c r="I9757" s="297">
        <f t="shared" si="1583"/>
        <v>637.19415287210677</v>
      </c>
      <c r="J9757" s="297">
        <f t="shared" si="1584"/>
        <v>88.714285714285708</v>
      </c>
      <c r="K9757" s="297">
        <f>J9757/POBLA!$B$12*100000</f>
        <v>22.543150530526365</v>
      </c>
      <c r="L9757" s="549">
        <f t="shared" si="1582"/>
        <v>-0.37086092715231778</v>
      </c>
      <c r="M9757" s="401">
        <f>SUM(C9757,C9733,C9709,C9685,C9661,C9637,C9613)/POBLA!$B$12*100000</f>
        <v>157.80205371368456</v>
      </c>
    </row>
    <row r="9758" spans="1:13" s="360" customFormat="1" x14ac:dyDescent="0.25">
      <c r="A9758" s="367" t="s">
        <v>17</v>
      </c>
      <c r="B9758" s="2">
        <v>44299</v>
      </c>
      <c r="C9758" s="1">
        <v>953</v>
      </c>
      <c r="D9758" s="39">
        <f t="shared" si="1574"/>
        <v>81648</v>
      </c>
      <c r="E9758" s="1">
        <v>2</v>
      </c>
      <c r="F9758" s="39">
        <f t="shared" si="1580"/>
        <v>1605</v>
      </c>
      <c r="G9758" s="168">
        <f>SUM(C9758,C9734,C9710,C9686,C9662,C9638,C9614,C9590,C9566,C9542,C9518,C9494,C9470,C9446)/POBLA!$B$13*100000</f>
        <v>460.32382439565538</v>
      </c>
      <c r="H9758" s="256">
        <f t="shared" si="1581"/>
        <v>3.2397454031117396</v>
      </c>
      <c r="I9758" s="297">
        <f t="shared" si="1583"/>
        <v>1491.3319940286401</v>
      </c>
      <c r="J9758" s="297">
        <f t="shared" si="1584"/>
        <v>844.14285714285711</v>
      </c>
      <c r="K9758" s="297">
        <f>J9758/POBLA!$B$13*100000</f>
        <v>42.412035400161038</v>
      </c>
      <c r="L9758" s="549">
        <f t="shared" si="1582"/>
        <v>-0.81647709806332625</v>
      </c>
      <c r="M9758" s="401">
        <f>SUM(C9758,C9734,C9710,C9686,C9662,C9638,C9614)/POBLA!$B$13*100000</f>
        <v>296.88424780112729</v>
      </c>
    </row>
    <row r="9759" spans="1:13" s="360" customFormat="1" x14ac:dyDescent="0.25">
      <c r="A9759" s="367" t="s">
        <v>23</v>
      </c>
      <c r="B9759" s="2">
        <v>44299</v>
      </c>
      <c r="C9759" s="1">
        <v>170</v>
      </c>
      <c r="D9759" s="39">
        <f t="shared" si="1574"/>
        <v>13650</v>
      </c>
      <c r="E9759" s="1">
        <v>2</v>
      </c>
      <c r="F9759" s="39">
        <f t="shared" si="1580"/>
        <v>225</v>
      </c>
      <c r="G9759" s="168">
        <f>SUM(C9759,C9735,C9711,C9687,C9663,C9639,C9615,C9591,C9567,C9543,C9519,C9495,C9471,C9447)/POBLA!$B$14*100000</f>
        <v>135.73361960018838</v>
      </c>
      <c r="H9759" s="256">
        <f t="shared" si="1581"/>
        <v>0.97884505431675239</v>
      </c>
      <c r="I9759" s="297">
        <f t="shared" si="1583"/>
        <v>132.8621822501558</v>
      </c>
      <c r="J9759" s="297">
        <f t="shared" si="1584"/>
        <v>148</v>
      </c>
      <c r="K9759" s="297">
        <f>J9759/POBLA!$B$14*100000</f>
        <v>11.733981133661144</v>
      </c>
      <c r="L9759" s="549">
        <f t="shared" si="1582"/>
        <v>-0.53254437869822491</v>
      </c>
      <c r="M9759" s="401">
        <f>SUM(C9759,C9735,C9711,C9687,C9663,C9639,C9615)/POBLA!$B$14*100000</f>
        <v>82.137867935628009</v>
      </c>
    </row>
    <row r="9760" spans="1:13" s="360" customFormat="1" x14ac:dyDescent="0.25">
      <c r="A9760" s="367" t="s">
        <v>19</v>
      </c>
      <c r="B9760" s="2">
        <v>44299</v>
      </c>
      <c r="C9760" s="1">
        <v>241</v>
      </c>
      <c r="D9760" s="39">
        <f t="shared" si="1574"/>
        <v>66899</v>
      </c>
      <c r="E9760" s="1"/>
      <c r="F9760" s="39">
        <f t="shared" si="1580"/>
        <v>1017</v>
      </c>
      <c r="G9760" s="168">
        <f>SUM(C9760,C9736,C9712,C9688,C9664,C9640,C9616,C9592,C9568,C9544,C9520,C9496,C9472,C9448)/POBLA!$B$15*100000</f>
        <v>274.82580561608415</v>
      </c>
      <c r="H9760" s="256">
        <f t="shared" si="1581"/>
        <v>1.1321339950372209</v>
      </c>
      <c r="I9760" s="297">
        <f t="shared" si="1583"/>
        <v>311.13963725146004</v>
      </c>
      <c r="J9760" s="297">
        <f t="shared" si="1584"/>
        <v>148.57142857142858</v>
      </c>
      <c r="K9760" s="297">
        <f>J9760/POBLA!$B$15*100000</f>
        <v>22.373294547219377</v>
      </c>
      <c r="L9760" s="549">
        <f t="shared" si="1582"/>
        <v>-0.32484076433121012</v>
      </c>
      <c r="M9760" s="401">
        <f>SUM(C9760,C9736,C9712,C9688,C9664,C9640,C9616)/POBLA!$B$15*100000</f>
        <v>156.61306183053563</v>
      </c>
    </row>
    <row r="9761" spans="1:13" s="360" customFormat="1" x14ac:dyDescent="0.25">
      <c r="A9761" s="367" t="s">
        <v>18</v>
      </c>
      <c r="B9761" s="2">
        <v>44299</v>
      </c>
      <c r="C9761" s="1">
        <v>249</v>
      </c>
      <c r="D9761" s="39">
        <f t="shared" si="1574"/>
        <v>57191</v>
      </c>
      <c r="E9761" s="1">
        <v>1</v>
      </c>
      <c r="F9761" s="39">
        <f t="shared" si="1580"/>
        <v>1307</v>
      </c>
      <c r="G9761" s="168">
        <f>SUM(C9761,C9737,C9713,C9689,C9665,C9641,C9617,C9593,C9569,C9545,C9521,C9497,C9473,C9449)/POBLA!$B$16*100000</f>
        <v>256.28335629539464</v>
      </c>
      <c r="H9761" s="256">
        <f t="shared" si="1581"/>
        <v>1.4980453479280689</v>
      </c>
      <c r="I9761" s="297">
        <f t="shared" si="1583"/>
        <v>383.9240896497077</v>
      </c>
      <c r="J9761" s="297">
        <f t="shared" si="1584"/>
        <v>157</v>
      </c>
      <c r="K9761" s="297">
        <f>J9761/POBLA!$B$16*100000</f>
        <v>21.000254143203009</v>
      </c>
      <c r="L9761" s="549">
        <f t="shared" si="1582"/>
        <v>-0.34516523867809057</v>
      </c>
      <c r="M9761" s="401">
        <f>SUM(C9761,C9737,C9713,C9689,C9665,C9641,C9617)/POBLA!$B$16*100000</f>
        <v>147.00177900242105</v>
      </c>
    </row>
    <row r="9762" spans="1:13" s="360" customFormat="1" x14ac:dyDescent="0.25">
      <c r="A9762" s="367" t="s">
        <v>34</v>
      </c>
      <c r="B9762" s="2">
        <v>44299</v>
      </c>
      <c r="C9762" s="1">
        <v>232</v>
      </c>
      <c r="D9762" s="39">
        <f t="shared" si="1574"/>
        <v>31342</v>
      </c>
      <c r="E9762" s="1">
        <v>3</v>
      </c>
      <c r="F9762" s="39">
        <f t="shared" si="1580"/>
        <v>1240</v>
      </c>
      <c r="G9762" s="168">
        <f>SUM(C9762,C9738,C9714,C9690,C9666,C9642,C9618,C9594,C9570,C9546,C9522,C9498,C9474,C9450)/POBLA!$B$17*100000</f>
        <v>149.74757739590859</v>
      </c>
      <c r="H9762" s="256">
        <f t="shared" si="1581"/>
        <v>1.5367435158501441</v>
      </c>
      <c r="I9762" s="297">
        <f t="shared" si="1583"/>
        <v>230.12361857743014</v>
      </c>
      <c r="J9762" s="297">
        <f t="shared" si="1584"/>
        <v>181.71428571428572</v>
      </c>
      <c r="K9762" s="297">
        <f>J9762/POBLA!$B$17*100000</f>
        <v>12.757278042167016</v>
      </c>
      <c r="L9762" s="549">
        <f t="shared" si="1582"/>
        <v>-0.4773519163763067</v>
      </c>
      <c r="M9762" s="401">
        <f>SUM(C9762,C9738,C9714,C9690,C9666,C9642,C9618)/POBLA!$B$17*100000</f>
        <v>89.300946295169112</v>
      </c>
    </row>
    <row r="9763" spans="1:13" s="360" customFormat="1" x14ac:dyDescent="0.25">
      <c r="A9763" s="367" t="s">
        <v>35</v>
      </c>
      <c r="B9763" s="2">
        <v>44299</v>
      </c>
      <c r="C9763" s="1">
        <v>332</v>
      </c>
      <c r="D9763" s="39">
        <f t="shared" si="1574"/>
        <v>19289</v>
      </c>
      <c r="E9763" s="1">
        <v>1</v>
      </c>
      <c r="F9763" s="39">
        <f t="shared" si="1580"/>
        <v>234</v>
      </c>
      <c r="G9763" s="168">
        <f>SUM(C9763,C9739,C9715,C9691,C9667,C9643,C9619,C9595,C9571,C9547,C9523,C9499,C9475,C9451)/POBLA!$B$18*100000</f>
        <v>277.25971145021163</v>
      </c>
      <c r="H9763" s="256">
        <f t="shared" si="1581"/>
        <v>1.9584086799276672</v>
      </c>
      <c r="I9763" s="297">
        <f t="shared" si="1583"/>
        <v>542.98782549833481</v>
      </c>
      <c r="J9763" s="297">
        <f t="shared" si="1584"/>
        <v>202.42857142857142</v>
      </c>
      <c r="K9763" s="297">
        <f>J9763/POBLA!$B$18*100000</f>
        <v>25.911951663695419</v>
      </c>
      <c r="L9763" s="549">
        <f t="shared" si="1582"/>
        <v>-0.89185580774365825</v>
      </c>
      <c r="M9763" s="401">
        <f>SUM(C9763,C9739,C9715,C9691,C9667,C9643,C9619)/POBLA!$B$18*100000</f>
        <v>181.3836616458679</v>
      </c>
    </row>
    <row r="9764" spans="1:13" s="360" customFormat="1" x14ac:dyDescent="0.25">
      <c r="A9764" s="367" t="s">
        <v>36</v>
      </c>
      <c r="B9764" s="2">
        <v>44299</v>
      </c>
      <c r="C9764" s="1">
        <v>516</v>
      </c>
      <c r="D9764" s="39">
        <f t="shared" si="1574"/>
        <v>27430</v>
      </c>
      <c r="E9764" s="1">
        <v>2</v>
      </c>
      <c r="F9764" s="39">
        <f t="shared" si="1580"/>
        <v>445</v>
      </c>
      <c r="G9764" s="168">
        <f>SUM(C9764,C9740,C9716,C9692,C9668,C9644,C9620,C9596,C9572,C9548,C9524,C9500,C9476,C9452)/POBLA!$B$19*100000</f>
        <v>950.17390346390528</v>
      </c>
      <c r="H9764" s="256">
        <f t="shared" si="1581"/>
        <v>4.4722222222222223</v>
      </c>
      <c r="I9764" s="297">
        <f t="shared" si="1583"/>
        <v>4249.3888460469097</v>
      </c>
      <c r="J9764" s="297">
        <f t="shared" si="1584"/>
        <v>448.57142857142856</v>
      </c>
      <c r="K9764" s="297">
        <f>J9764/POBLA!$B$19*100000</f>
        <v>88.244485562752502</v>
      </c>
      <c r="L9764" s="549">
        <f t="shared" si="1582"/>
        <v>-0.85798816568047331</v>
      </c>
      <c r="M9764" s="401">
        <f>SUM(C9764,C9740,C9716,C9692,C9668,C9644,C9620)/POBLA!$B$19*100000</f>
        <v>617.71139893926761</v>
      </c>
    </row>
    <row r="9765" spans="1:13" s="360" customFormat="1" x14ac:dyDescent="0.25">
      <c r="A9765" s="367" t="s">
        <v>37</v>
      </c>
      <c r="B9765" s="2">
        <v>44299</v>
      </c>
      <c r="C9765" s="1">
        <v>242</v>
      </c>
      <c r="D9765" s="39">
        <f t="shared" si="1574"/>
        <v>41352</v>
      </c>
      <c r="E9765" s="1">
        <v>4</v>
      </c>
      <c r="F9765" s="39">
        <f t="shared" si="1580"/>
        <v>670</v>
      </c>
      <c r="G9765" s="168">
        <f>SUM(C9765,C9741,C9717,C9693,C9669,C9645,C9621,C9597,C9573,C9549,C9525,C9501,C9477,C9453)/POBLA!$B$20*100000</f>
        <v>585.72920825380504</v>
      </c>
      <c r="H9765" s="256">
        <f t="shared" si="1581"/>
        <v>1.3092909535452322</v>
      </c>
      <c r="I9765" s="297">
        <f t="shared" si="1583"/>
        <v>766.88995359391822</v>
      </c>
      <c r="J9765" s="297">
        <f t="shared" si="1584"/>
        <v>173.57142857142858</v>
      </c>
      <c r="K9765" s="297">
        <f>J9765/POBLA!$B$20*100000</f>
        <v>47.463051088993808</v>
      </c>
      <c r="L9765" s="549">
        <f t="shared" si="1582"/>
        <v>-0.31067961165048552</v>
      </c>
      <c r="M9765" s="401">
        <f>SUM(C9765,C9741,C9717,C9693,C9669,C9645,C9621)/POBLA!$B$20*100000</f>
        <v>332.24135762295663</v>
      </c>
    </row>
    <row r="9766" spans="1:13" s="360" customFormat="1" x14ac:dyDescent="0.25">
      <c r="A9766" s="367" t="s">
        <v>22</v>
      </c>
      <c r="B9766" s="2">
        <v>44299</v>
      </c>
      <c r="C9766" s="1">
        <v>1762</v>
      </c>
      <c r="D9766" s="39">
        <f t="shared" si="1574"/>
        <v>244944</v>
      </c>
      <c r="E9766" s="1">
        <v>18</v>
      </c>
      <c r="F9766" s="39">
        <f t="shared" si="1580"/>
        <v>4368</v>
      </c>
      <c r="G9766" s="168">
        <f>SUM(C9766,C9742,C9718,C9694,C9670,C9646,C9622,C9598,C9574,C9550,C9526,C9502,C9478,C9454)/POBLA!$B$21*100000</f>
        <v>406.34336778061868</v>
      </c>
      <c r="H9766" s="256">
        <f t="shared" si="1581"/>
        <v>1.9566993464052287</v>
      </c>
      <c r="I9766" s="297">
        <f t="shared" si="1583"/>
        <v>795.091802152436</v>
      </c>
      <c r="J9766" s="297">
        <f t="shared" si="1584"/>
        <v>1286.7142857142858</v>
      </c>
      <c r="K9766" s="297">
        <f>J9766/POBLA!$B$21*100000</f>
        <v>36.384677538523043</v>
      </c>
      <c r="L9766" s="549">
        <f t="shared" si="1582"/>
        <v>-0.6794704456460936</v>
      </c>
      <c r="M9766" s="401">
        <f>SUM(C9766,C9742,C9718,C9694,C9670,C9646,C9622)/POBLA!$B$21*100000</f>
        <v>254.69274276966129</v>
      </c>
    </row>
    <row r="9767" spans="1:13" s="360" customFormat="1" x14ac:dyDescent="0.25">
      <c r="A9767" s="367" t="s">
        <v>38</v>
      </c>
      <c r="B9767" s="2">
        <v>44299</v>
      </c>
      <c r="C9767" s="1">
        <v>137</v>
      </c>
      <c r="D9767" s="39">
        <f t="shared" si="1574"/>
        <v>27083</v>
      </c>
      <c r="E9767" s="1">
        <v>2</v>
      </c>
      <c r="F9767" s="39">
        <f t="shared" si="1580"/>
        <v>309</v>
      </c>
      <c r="G9767" s="168">
        <f>SUM(C9767,C9743,C9719,C9695,C9671,C9647,C9623,C9599,C9575,C9551,C9527,C9503,C9479,C9455)/POBLA!$B$22*100000</f>
        <v>214.75744470328002</v>
      </c>
      <c r="H9767" s="256">
        <f t="shared" si="1581"/>
        <v>1.528</v>
      </c>
      <c r="I9767" s="297">
        <f t="shared" si="1583"/>
        <v>328.14937550661188</v>
      </c>
      <c r="J9767" s="297">
        <f t="shared" si="1584"/>
        <v>174.42857142857142</v>
      </c>
      <c r="K9767" s="297">
        <f>J9767/POBLA!$B$22*100000</f>
        <v>17.829526074842246</v>
      </c>
      <c r="L9767" s="549">
        <f t="shared" si="1582"/>
        <v>-0.38749999999999996</v>
      </c>
      <c r="M9767" s="401">
        <f>SUM(C9767,C9743,C9719,C9695,C9671,C9647,C9623)/POBLA!$B$22*100000</f>
        <v>124.80668252389572</v>
      </c>
    </row>
    <row r="9768" spans="1:13" s="360" customFormat="1" x14ac:dyDescent="0.25">
      <c r="A9768" s="367" t="s">
        <v>39</v>
      </c>
      <c r="B9768" s="2">
        <v>44299</v>
      </c>
      <c r="C9768" s="1">
        <v>104</v>
      </c>
      <c r="D9768" s="39">
        <f t="shared" si="1574"/>
        <v>25056</v>
      </c>
      <c r="E9768" s="1"/>
      <c r="F9768" s="39">
        <f t="shared" si="1580"/>
        <v>372</v>
      </c>
      <c r="G9768" s="168">
        <f>SUM(C9768,C9744,C9720,C9696,C9672,C9648,C9624,C9600,C9576,C9552,C9528,C9504,C9480,C9456)/POBLA!$B$23*100000</f>
        <v>594.92167618616747</v>
      </c>
      <c r="H9768" s="256">
        <f t="shared" si="1581"/>
        <v>1.7891156462585034</v>
      </c>
      <c r="I9768" s="297">
        <f t="shared" si="1583"/>
        <v>1064.3836791630072</v>
      </c>
      <c r="J9768" s="297">
        <f t="shared" si="1584"/>
        <v>88.142857142857139</v>
      </c>
      <c r="K9768" s="297">
        <f>J9768/POBLA!$B$23*100000</f>
        <v>49.846099158998548</v>
      </c>
      <c r="L9768" s="549">
        <f t="shared" si="1582"/>
        <v>-0.41839080459770117</v>
      </c>
      <c r="M9768" s="401">
        <f>SUM(C9768,C9744,C9720,C9696,C9672,C9648,C9624)/POBLA!$B$23*100000</f>
        <v>348.92269411298986</v>
      </c>
    </row>
    <row r="9769" spans="1:13" s="360" customFormat="1" ht="15.75" thickBot="1" x14ac:dyDescent="0.3">
      <c r="A9769" s="369" t="s">
        <v>40</v>
      </c>
      <c r="B9769" s="2">
        <v>44299</v>
      </c>
      <c r="C9769" s="1">
        <v>763</v>
      </c>
      <c r="D9769" s="176">
        <f t="shared" si="1574"/>
        <v>94632</v>
      </c>
      <c r="E9769" s="1">
        <v>3</v>
      </c>
      <c r="F9769" s="176">
        <f t="shared" si="1580"/>
        <v>1537</v>
      </c>
      <c r="G9769" s="177">
        <f>SUM(C9769,C9745,C9721,C9697,C9673,C9649,C9625,C9601,C9577,C9553,C9529,C9505,C9481,C9457)/POBLA!$B$24*100000</f>
        <v>444.2199478832282</v>
      </c>
      <c r="H9769" s="402">
        <f t="shared" si="1581"/>
        <v>1.7027821759782855</v>
      </c>
      <c r="I9769" s="403">
        <f t="shared" si="1583"/>
        <v>756.40980946956392</v>
      </c>
      <c r="J9769" s="403">
        <f t="shared" si="1584"/>
        <v>629.28571428571433</v>
      </c>
      <c r="K9769" s="403">
        <f>J9769/POBLA!$B$24*100000</f>
        <v>37.133537088690233</v>
      </c>
      <c r="L9769" s="550">
        <f t="shared" si="1582"/>
        <v>-0.41050272174191482</v>
      </c>
      <c r="M9769" s="405">
        <f>SUM(C9769,C9745,C9721,C9697,C9673,C9649,C9625)/POBLA!$B$24*100000</f>
        <v>259.93475962083158</v>
      </c>
    </row>
    <row r="9770" spans="1:13" s="360" customFormat="1" x14ac:dyDescent="0.25">
      <c r="A9770" s="374" t="s">
        <v>16</v>
      </c>
      <c r="B9770" s="2">
        <v>44300</v>
      </c>
      <c r="C9770" s="1">
        <v>13241</v>
      </c>
      <c r="D9770" s="262">
        <f t="shared" si="1574"/>
        <v>1117257</v>
      </c>
      <c r="E9770" s="1">
        <v>241</v>
      </c>
      <c r="F9770" s="262">
        <f t="shared" ref="F9770:F9793" si="1585">E9770+F9746</f>
        <v>29818</v>
      </c>
      <c r="G9770" s="175">
        <f>SUM(C9770,C9746,C9722,C9698,C9674,C9650,C9626,C9602,C9578,C9554,C9530,C9506,C9482,C9458)/POBLA!$B$1*100000</f>
        <v>739.3475715177251</v>
      </c>
      <c r="H9770" s="300">
        <f t="shared" ref="H9770:H9793" si="1586">SUM(C9770,C9746,C9722,C9698,C9674,C9650,C9626,C9602,C9578,C9554,C9530,C9506,C9482,C9458)/SUM(C9434,C9410,C9386,C9362,C9338,C9314,C9290,C9266,C9242,C9218,C9194,C9170,C9146,C9122)</f>
        <v>2.1507819366822005</v>
      </c>
      <c r="I9770" s="301">
        <f>G9770*H9770</f>
        <v>1590.1754017501746</v>
      </c>
      <c r="J9770" s="301">
        <f>AVERAGE(C9770,C9746,C9722,C9698,C9674,C9650,C9626)</f>
        <v>11329</v>
      </c>
      <c r="K9770" s="301">
        <f>J9770/POBLA!$B$1*100000</f>
        <v>64.585308333135231</v>
      </c>
      <c r="L9770" s="548">
        <f t="shared" ref="L9770:L9793" si="1587">1-SUM(C9770,C9746,C9722,C9698,C9674,C9650,C9626)/SUM(C9602,C9578,C9554,C9530,C9506,C9482,C9458)</f>
        <v>-0.57387818286462777</v>
      </c>
      <c r="M9770" s="400">
        <f>SUM(C9770,C9746,C9722,C9698,C9674,C9650,C9626)/POBLA!$B$1*100000</f>
        <v>452.09715833194662</v>
      </c>
    </row>
    <row r="9771" spans="1:13" s="360" customFormat="1" x14ac:dyDescent="0.25">
      <c r="A9771" s="367" t="s">
        <v>43</v>
      </c>
      <c r="B9771" s="2">
        <v>44300</v>
      </c>
      <c r="C9771" s="1">
        <v>2658</v>
      </c>
      <c r="D9771" s="39">
        <f t="shared" si="1574"/>
        <v>294726</v>
      </c>
      <c r="E9771" s="1">
        <v>31</v>
      </c>
      <c r="F9771" s="39">
        <f t="shared" si="1585"/>
        <v>7153</v>
      </c>
      <c r="G9771" s="168">
        <f>SUM(C9771,C9747,C9723,C9699,C9675,C9651,C9627,C9603,C9579,C9555,C9531,C9507,C9483,C9459)/POBLA!$B$2*100000</f>
        <v>1085.7231293848511</v>
      </c>
      <c r="H9771" s="256">
        <f t="shared" si="1586"/>
        <v>2.0367795059469351</v>
      </c>
      <c r="I9771" s="297">
        <f t="shared" ref="I9771:I9793" si="1588">G9771*H9771</f>
        <v>2211.3786190636374</v>
      </c>
      <c r="J9771" s="297">
        <f t="shared" ref="J9771:J9793" si="1589">AVERAGE(C9771,C9747,C9723,C9699,C9675,C9651,C9627)</f>
        <v>2728.1428571428573</v>
      </c>
      <c r="K9771" s="297">
        <f>J9771/POBLA!$B$2*100000</f>
        <v>88.701458397450736</v>
      </c>
      <c r="L9771" s="549">
        <f t="shared" si="1587"/>
        <v>-0.33582820369334088</v>
      </c>
      <c r="M9771" s="401">
        <f>SUM(C9771,C9747,C9723,C9699,C9675,C9651,C9627)/POBLA!$B$2*100000</f>
        <v>620.91020878215511</v>
      </c>
    </row>
    <row r="9772" spans="1:13" s="360" customFormat="1" x14ac:dyDescent="0.25">
      <c r="A9772" s="367" t="s">
        <v>28</v>
      </c>
      <c r="B9772" s="2">
        <v>44300</v>
      </c>
      <c r="C9772" s="1">
        <v>167</v>
      </c>
      <c r="D9772" s="39">
        <f t="shared" si="1574"/>
        <v>12185</v>
      </c>
      <c r="E9772" s="1"/>
      <c r="F9772" s="39">
        <f t="shared" si="1585"/>
        <v>18</v>
      </c>
      <c r="G9772" s="168">
        <f>SUM(C9772,C9748,C9724,C9700,C9676,C9652,C9628,C9604,C9580,C9556,C9532,C9508,C9484,C9460)/POBLA!$B$3*100000</f>
        <v>415.22441375126976</v>
      </c>
      <c r="H9772" s="256">
        <f t="shared" si="1586"/>
        <v>1.5653357531760435</v>
      </c>
      <c r="I9772" s="297">
        <f t="shared" si="1588"/>
        <v>649.96562043642496</v>
      </c>
      <c r="J9772" s="297">
        <f t="shared" si="1589"/>
        <v>152.71428571428572</v>
      </c>
      <c r="K9772" s="297">
        <f>J9772/POBLA!$B$3*100000</f>
        <v>36.759825946178665</v>
      </c>
      <c r="L9772" s="549">
        <f t="shared" si="1587"/>
        <v>-0.62957317073170738</v>
      </c>
      <c r="M9772" s="401">
        <f>SUM(C9772,C9748,C9724,C9700,C9676,C9652,C9628)/POBLA!$B$3*100000</f>
        <v>257.31878162325063</v>
      </c>
    </row>
    <row r="9773" spans="1:13" s="360" customFormat="1" x14ac:dyDescent="0.25">
      <c r="A9773" s="367" t="s">
        <v>15</v>
      </c>
      <c r="B9773" s="2">
        <v>44300</v>
      </c>
      <c r="C9773" s="1">
        <v>247</v>
      </c>
      <c r="D9773" s="39">
        <f t="shared" si="1574"/>
        <v>41078</v>
      </c>
      <c r="E9773" s="1">
        <v>1</v>
      </c>
      <c r="F9773" s="39">
        <f t="shared" si="1585"/>
        <v>978</v>
      </c>
      <c r="G9773" s="168">
        <f>SUM(C9773,C9749,C9725,C9701,C9677,C9653,C9629,C9605,C9581,C9557,C9533,C9509,C9485,C9461)/POBLA!$B$4*100000</f>
        <v>214.68758639182892</v>
      </c>
      <c r="H9773" s="256">
        <f t="shared" si="1586"/>
        <v>1.1933548684817721</v>
      </c>
      <c r="I9773" s="297">
        <f t="shared" si="1588"/>
        <v>256.19847642329006</v>
      </c>
      <c r="J9773" s="297">
        <f t="shared" si="1589"/>
        <v>222</v>
      </c>
      <c r="K9773" s="297">
        <f>J9773/POBLA!$B$4*100000</f>
        <v>18.430256836421506</v>
      </c>
      <c r="L9773" s="549">
        <f t="shared" si="1587"/>
        <v>-0.5058139534883721</v>
      </c>
      <c r="M9773" s="401">
        <f>SUM(C9773,C9749,C9725,C9701,C9677,C9653,C9629)/POBLA!$B$4*100000</f>
        <v>129.01179785495057</v>
      </c>
    </row>
    <row r="9774" spans="1:13" s="360" customFormat="1" x14ac:dyDescent="0.25">
      <c r="A9774" s="367" t="s">
        <v>29</v>
      </c>
      <c r="B9774" s="2">
        <v>44300</v>
      </c>
      <c r="C9774" s="1">
        <v>261</v>
      </c>
      <c r="D9774" s="39">
        <f t="shared" si="1574"/>
        <v>51988</v>
      </c>
      <c r="E9774" s="1"/>
      <c r="F9774" s="39">
        <f t="shared" si="1585"/>
        <v>881</v>
      </c>
      <c r="G9774" s="168">
        <f>SUM(C9774,C9750,C9726,C9702,C9678,C9654,C9630,C9606,C9582,C9558,C9534,C9510,C9486,C9462)/POBLA!$B$5*100000</f>
        <v>302.91085212457631</v>
      </c>
      <c r="H9774" s="256">
        <f t="shared" si="1586"/>
        <v>1.1460880195599021</v>
      </c>
      <c r="I9774" s="297">
        <f t="shared" si="1588"/>
        <v>347.16249861465803</v>
      </c>
      <c r="J9774" s="297">
        <f t="shared" si="1589"/>
        <v>164.57142857142858</v>
      </c>
      <c r="K9774" s="297">
        <f>J9774/POBLA!$B$5*100000</f>
        <v>26.586918220762819</v>
      </c>
      <c r="L9774" s="549">
        <f t="shared" si="1587"/>
        <v>-0.5933609958506223</v>
      </c>
      <c r="M9774" s="401">
        <f>SUM(C9774,C9750,C9726,C9702,C9678,C9654,C9630)/POBLA!$B$5*100000</f>
        <v>186.10842754533968</v>
      </c>
    </row>
    <row r="9775" spans="1:13" s="360" customFormat="1" x14ac:dyDescent="0.25">
      <c r="A9775" s="367" t="s">
        <v>30</v>
      </c>
      <c r="B9775" s="2">
        <v>44300</v>
      </c>
      <c r="C9775" s="1">
        <v>165</v>
      </c>
      <c r="D9775" s="39">
        <f t="shared" si="1574"/>
        <v>33907</v>
      </c>
      <c r="E9775" s="1">
        <v>6</v>
      </c>
      <c r="F9775" s="39">
        <f t="shared" si="1585"/>
        <v>371</v>
      </c>
      <c r="G9775" s="168">
        <f>SUM(C9775,C9751,C9727,C9703,C9679,C9655,C9631,C9607,C9583,C9559,C9535,C9511,C9487,C9463)/POBLA!$B$6*100000</f>
        <v>343.59355496649272</v>
      </c>
      <c r="H9775" s="256">
        <f t="shared" si="1586"/>
        <v>0.83808487486398264</v>
      </c>
      <c r="I9775" s="297">
        <f t="shared" si="1588"/>
        <v>287.96056151816401</v>
      </c>
      <c r="J9775" s="297">
        <f t="shared" si="1589"/>
        <v>296.42857142857144</v>
      </c>
      <c r="K9775" s="297">
        <f>J9775/POBLA!$B$6*100000</f>
        <v>26.447921747801036</v>
      </c>
      <c r="L9775" s="549">
        <f t="shared" si="1587"/>
        <v>-0.16835585585585577</v>
      </c>
      <c r="M9775" s="401">
        <f>SUM(C9775,C9751,C9727,C9703,C9679,C9655,C9631)/POBLA!$B$6*100000</f>
        <v>185.13545223460721</v>
      </c>
    </row>
    <row r="9776" spans="1:13" s="360" customFormat="1" x14ac:dyDescent="0.25">
      <c r="A9776" s="367" t="s">
        <v>20</v>
      </c>
      <c r="B9776" s="2">
        <v>44300</v>
      </c>
      <c r="C9776" s="1">
        <v>1841</v>
      </c>
      <c r="D9776" s="39">
        <f t="shared" si="1574"/>
        <v>200636</v>
      </c>
      <c r="E9776" s="1">
        <v>18</v>
      </c>
      <c r="F9776" s="39">
        <f t="shared" si="1585"/>
        <v>3144</v>
      </c>
      <c r="G9776" s="168">
        <f>SUM(C9776,C9752,C9728,C9704,C9680,C9656,C9632,C9608,C9584,C9560,C9536,C9512,C9488,C9464)/POBLA!$B$7*100000</f>
        <v>531.93101889401532</v>
      </c>
      <c r="H9776" s="256">
        <f t="shared" si="1586"/>
        <v>1.8553937482608291</v>
      </c>
      <c r="I9776" s="297">
        <f t="shared" si="1588"/>
        <v>986.94148696196908</v>
      </c>
      <c r="J9776" s="297">
        <f t="shared" si="1589"/>
        <v>1681.7142857142858</v>
      </c>
      <c r="K9776" s="297">
        <f>J9776/POBLA!$B$7*100000</f>
        <v>44.721091510704461</v>
      </c>
      <c r="L9776" s="549">
        <f t="shared" si="1587"/>
        <v>-0.43020289150771474</v>
      </c>
      <c r="M9776" s="401">
        <f>SUM(C9776,C9752,C9728,C9704,C9680,C9656,C9632)/POBLA!$B$7*100000</f>
        <v>313.04764057493117</v>
      </c>
    </row>
    <row r="9777" spans="1:13" x14ac:dyDescent="0.25">
      <c r="A9777" s="367" t="s">
        <v>31</v>
      </c>
      <c r="B9777" s="2">
        <v>44300</v>
      </c>
      <c r="C9777" s="1">
        <v>609</v>
      </c>
      <c r="D9777" s="39">
        <f t="shared" si="1574"/>
        <v>54547</v>
      </c>
      <c r="E9777" s="1">
        <v>9</v>
      </c>
      <c r="F9777" s="39">
        <f t="shared" si="1585"/>
        <v>989</v>
      </c>
      <c r="G9777" s="168">
        <f>SUM(C9777,C9753,C9729,C9705,C9681,C9657,C9633,C9609,C9585,C9561,C9537,C9513,C9489,C9465)/POBLA!$B$8*100000</f>
        <v>332.47688787779742</v>
      </c>
      <c r="H9777" s="256">
        <f t="shared" si="1586"/>
        <v>1.8120330318521432</v>
      </c>
      <c r="I9777" s="297">
        <f t="shared" si="1588"/>
        <v>602.45910316197035</v>
      </c>
      <c r="J9777" s="297">
        <f t="shared" si="1589"/>
        <v>430.57142857142856</v>
      </c>
      <c r="K9777" s="297">
        <f>J9777/POBLA!$B$8*100000</f>
        <v>31.066633806537741</v>
      </c>
      <c r="L9777" s="549">
        <f t="shared" si="1587"/>
        <v>-0.89084065244667499</v>
      </c>
      <c r="M9777" s="401">
        <f>SUM(C9777,C9753,C9729,C9705,C9681,C9657,C9633)/POBLA!$B$8*100000</f>
        <v>217.46643664576422</v>
      </c>
    </row>
    <row r="9778" spans="1:13" s="360" customFormat="1" x14ac:dyDescent="0.25">
      <c r="A9778" s="367" t="s">
        <v>41</v>
      </c>
      <c r="B9778" s="2">
        <v>44300</v>
      </c>
      <c r="C9778" s="1">
        <v>92</v>
      </c>
      <c r="D9778" s="39">
        <f t="shared" si="1574"/>
        <v>3225</v>
      </c>
      <c r="E9778" s="1"/>
      <c r="F9778" s="39">
        <f t="shared" si="1585"/>
        <v>53</v>
      </c>
      <c r="G9778" s="168">
        <f>SUM(C9778,C9754,C9730,C9706,C9682,C9658,C9634,C9610,C9586,C9562,C9538,C9514,C9490,C9466)/POBLA!$B$9*100000</f>
        <v>159.94897495509696</v>
      </c>
      <c r="H9778" s="256">
        <f t="shared" si="1586"/>
        <v>1.5868852459016394</v>
      </c>
      <c r="I9778" s="297">
        <f t="shared" si="1588"/>
        <v>253.82066845333421</v>
      </c>
      <c r="J9778" s="297">
        <f t="shared" si="1589"/>
        <v>99.428571428571431</v>
      </c>
      <c r="K9778" s="297">
        <f>J9778/POBLA!$B$9*100000</f>
        <v>16.429233555009962</v>
      </c>
      <c r="L9778" s="549">
        <f t="shared" si="1587"/>
        <v>-1.5588235294117645</v>
      </c>
      <c r="M9778" s="401">
        <f>SUM(C9778,C9754,C9730,C9706,C9682,C9658,C9634)/POBLA!$B$9*100000</f>
        <v>115.00463488506973</v>
      </c>
    </row>
    <row r="9779" spans="1:13" s="360" customFormat="1" x14ac:dyDescent="0.25">
      <c r="A9779" s="367" t="s">
        <v>32</v>
      </c>
      <c r="B9779" s="2">
        <v>44300</v>
      </c>
      <c r="C9779" s="1">
        <v>76</v>
      </c>
      <c r="D9779" s="39">
        <f t="shared" ref="D9779:D9842" si="1590">C9779+D9755</f>
        <v>23278</v>
      </c>
      <c r="E9779" s="1">
        <v>7</v>
      </c>
      <c r="F9779" s="39">
        <f t="shared" si="1585"/>
        <v>998</v>
      </c>
      <c r="G9779" s="168">
        <f>SUM(C9779,C9755,C9731,C9707,C9683,C9659,C9635,C9611,C9587,C9563,C9539,C9515,C9491,C9467)/POBLA!$B$10*100000</f>
        <v>107.5392959484019</v>
      </c>
      <c r="H9779" s="256">
        <f t="shared" si="1586"/>
        <v>1.3567921440261865</v>
      </c>
      <c r="I9779" s="297">
        <f t="shared" si="1588"/>
        <v>145.9084719168988</v>
      </c>
      <c r="J9779" s="297">
        <f t="shared" si="1589"/>
        <v>65.142857142857139</v>
      </c>
      <c r="K9779" s="297">
        <f>J9779/POBLA!$B$10*100000</f>
        <v>8.450442693860289</v>
      </c>
      <c r="L9779" s="549">
        <f t="shared" si="1587"/>
        <v>-0.22252010723860582</v>
      </c>
      <c r="M9779" s="401">
        <f>SUM(C9779,C9755,C9731,C9707,C9683,C9659,C9635)/POBLA!$B$10*100000</f>
        <v>59.15309885702203</v>
      </c>
    </row>
    <row r="9780" spans="1:13" s="360" customFormat="1" x14ac:dyDescent="0.25">
      <c r="A9780" s="367" t="s">
        <v>33</v>
      </c>
      <c r="B9780" s="2">
        <v>44300</v>
      </c>
      <c r="C9780" s="1">
        <v>207</v>
      </c>
      <c r="D9780" s="39">
        <f t="shared" si="1590"/>
        <v>23120</v>
      </c>
      <c r="E9780" s="1"/>
      <c r="F9780" s="39">
        <f t="shared" si="1585"/>
        <v>332</v>
      </c>
      <c r="G9780" s="168">
        <f>SUM(C9780,C9756,C9732,C9708,C9684,C9660,C9636,C9612,C9588,C9564,C9540,C9516,C9492,C9468)/POBLA!$B$11*100000</f>
        <v>510.56279085339321</v>
      </c>
      <c r="H9780" s="256">
        <f t="shared" si="1586"/>
        <v>1.7231638418079096</v>
      </c>
      <c r="I9780" s="297">
        <f t="shared" si="1588"/>
        <v>879.78334017110126</v>
      </c>
      <c r="J9780" s="297">
        <f t="shared" si="1589"/>
        <v>148.85714285714286</v>
      </c>
      <c r="K9780" s="297">
        <f>J9780/POBLA!$B$11*100000</f>
        <v>41.530556445685846</v>
      </c>
      <c r="L9780" s="549">
        <f t="shared" si="1587"/>
        <v>-0.32233502538071068</v>
      </c>
      <c r="M9780" s="401">
        <f>SUM(C9780,C9756,C9732,C9708,C9684,C9660,C9636)/POBLA!$B$11*100000</f>
        <v>290.7138951198009</v>
      </c>
    </row>
    <row r="9781" spans="1:13" s="360" customFormat="1" x14ac:dyDescent="0.25">
      <c r="A9781" s="367" t="s">
        <v>21</v>
      </c>
      <c r="B9781" s="2">
        <v>44300</v>
      </c>
      <c r="C9781" s="1">
        <v>79</v>
      </c>
      <c r="D9781" s="39">
        <f t="shared" si="1590"/>
        <v>12179</v>
      </c>
      <c r="E9781" s="1"/>
      <c r="F9781" s="39">
        <f t="shared" si="1585"/>
        <v>451</v>
      </c>
      <c r="G9781" s="168">
        <f>SUM(C9781,C9757,C9733,C9709,C9685,C9661,C9637,C9613,C9589,C9565,C9541,C9517,C9493,C9469)/POBLA!$B$12*100000</f>
        <v>274.69246387196944</v>
      </c>
      <c r="H9781" s="256">
        <f t="shared" si="1586"/>
        <v>2.0357815442561207</v>
      </c>
      <c r="I9781" s="297">
        <f t="shared" si="1588"/>
        <v>559.21384829679653</v>
      </c>
      <c r="J9781" s="297">
        <f t="shared" si="1589"/>
        <v>82</v>
      </c>
      <c r="K9781" s="297">
        <f>J9781/POBLA!$B$12*100000</f>
        <v>20.836986158650781</v>
      </c>
      <c r="L9781" s="549">
        <f t="shared" si="1587"/>
        <v>-0.13214990138067062</v>
      </c>
      <c r="M9781" s="401">
        <f>SUM(C9781,C9757,C9733,C9709,C9685,C9661,C9637)/POBLA!$B$12*100000</f>
        <v>145.85890311055545</v>
      </c>
    </row>
    <row r="9782" spans="1:13" s="360" customFormat="1" x14ac:dyDescent="0.25">
      <c r="A9782" s="367" t="s">
        <v>17</v>
      </c>
      <c r="B9782" s="2">
        <v>44300</v>
      </c>
      <c r="C9782" s="1">
        <v>966</v>
      </c>
      <c r="D9782" s="39">
        <f t="shared" si="1590"/>
        <v>82614</v>
      </c>
      <c r="E9782" s="1">
        <v>9</v>
      </c>
      <c r="F9782" s="39">
        <f t="shared" si="1585"/>
        <v>1614</v>
      </c>
      <c r="G9782" s="168">
        <f>SUM(C9782,C9758,C9734,C9710,C9686,C9662,C9638,C9614,C9590,C9566,C9542,C9518,C9494,C9470)/POBLA!$B$13*100000</f>
        <v>482.68183594947186</v>
      </c>
      <c r="H9782" s="256">
        <f t="shared" si="1586"/>
        <v>3.0021874999999998</v>
      </c>
      <c r="I9782" s="297">
        <f t="shared" si="1588"/>
        <v>1449.1013743645549</v>
      </c>
      <c r="J9782" s="297">
        <f t="shared" si="1589"/>
        <v>838.57142857142856</v>
      </c>
      <c r="K9782" s="297">
        <f>J9782/POBLA!$B$13*100000</f>
        <v>42.132111660000895</v>
      </c>
      <c r="L9782" s="549">
        <f t="shared" si="1587"/>
        <v>-0.57077869949157067</v>
      </c>
      <c r="M9782" s="401">
        <f>SUM(C9782,C9758,C9734,C9710,C9686,C9662,C9638)/POBLA!$B$13*100000</f>
        <v>294.92478162000623</v>
      </c>
    </row>
    <row r="9783" spans="1:13" s="360" customFormat="1" x14ac:dyDescent="0.25">
      <c r="A9783" s="367" t="s">
        <v>23</v>
      </c>
      <c r="B9783" s="2">
        <v>44300</v>
      </c>
      <c r="C9783" s="1">
        <v>128</v>
      </c>
      <c r="D9783" s="39">
        <f t="shared" si="1590"/>
        <v>13778</v>
      </c>
      <c r="E9783" s="1"/>
      <c r="F9783" s="39">
        <f t="shared" si="1585"/>
        <v>225</v>
      </c>
      <c r="G9783" s="168">
        <f>SUM(C9783,C9759,C9735,C9711,C9687,C9663,C9639,C9615,C9591,C9567,C9543,C9519,C9495,C9471)/POBLA!$B$14*100000</f>
        <v>135.25791766233723</v>
      </c>
      <c r="H9783" s="256">
        <f t="shared" si="1586"/>
        <v>0.97933409873708377</v>
      </c>
      <c r="I9783" s="297">
        <f t="shared" si="1588"/>
        <v>132.46269089089972</v>
      </c>
      <c r="J9783" s="297">
        <f t="shared" si="1589"/>
        <v>151.85714285714286</v>
      </c>
      <c r="K9783" s="297">
        <f>J9783/POBLA!$B$14*100000</f>
        <v>12.039789522279726</v>
      </c>
      <c r="L9783" s="549">
        <f t="shared" si="1587"/>
        <v>-0.65318818040435467</v>
      </c>
      <c r="M9783" s="401">
        <f>SUM(C9783,C9759,C9735,C9711,C9687,C9663,C9639)/POBLA!$B$14*100000</f>
        <v>84.278526655958089</v>
      </c>
    </row>
    <row r="9784" spans="1:13" s="360" customFormat="1" x14ac:dyDescent="0.25">
      <c r="A9784" s="367" t="s">
        <v>19</v>
      </c>
      <c r="B9784" s="2">
        <v>44300</v>
      </c>
      <c r="C9784" s="1">
        <v>183</v>
      </c>
      <c r="D9784" s="39">
        <f t="shared" si="1590"/>
        <v>67082</v>
      </c>
      <c r="E9784" s="1">
        <v>8</v>
      </c>
      <c r="F9784" s="39">
        <f t="shared" si="1585"/>
        <v>1025</v>
      </c>
      <c r="G9784" s="168">
        <f>SUM(C9784,C9760,C9736,C9712,C9688,C9664,C9640,C9616,C9592,C9568,C9544,C9520,C9496,C9472)/POBLA!$B$15*100000</f>
        <v>281.3011533648467</v>
      </c>
      <c r="H9784" s="256">
        <f t="shared" si="1586"/>
        <v>1.1523750771128933</v>
      </c>
      <c r="I9784" s="297">
        <f t="shared" si="1588"/>
        <v>324.16443830076105</v>
      </c>
      <c r="J9784" s="297">
        <f t="shared" si="1589"/>
        <v>148.57142857142858</v>
      </c>
      <c r="K9784" s="297">
        <f>J9784/POBLA!$B$15*100000</f>
        <v>22.373294547219377</v>
      </c>
      <c r="L9784" s="549">
        <f t="shared" si="1587"/>
        <v>-0.2560386473429952</v>
      </c>
      <c r="M9784" s="401">
        <f>SUM(C9784,C9760,C9736,C9712,C9688,C9664,C9640)/POBLA!$B$15*100000</f>
        <v>156.61306183053563</v>
      </c>
    </row>
    <row r="9785" spans="1:13" s="360" customFormat="1" x14ac:dyDescent="0.25">
      <c r="A9785" s="367" t="s">
        <v>18</v>
      </c>
      <c r="B9785" s="2">
        <v>44300</v>
      </c>
      <c r="C9785" s="1">
        <v>253</v>
      </c>
      <c r="D9785" s="39">
        <f t="shared" si="1590"/>
        <v>57444</v>
      </c>
      <c r="E9785" s="1">
        <v>1</v>
      </c>
      <c r="F9785" s="39">
        <f t="shared" si="1585"/>
        <v>1308</v>
      </c>
      <c r="G9785" s="168">
        <f>SUM(C9785,C9761,C9737,C9713,C9689,C9665,C9641,C9617,C9593,C9569,C9545,C9521,C9497,C9473)/POBLA!$B$16*100000</f>
        <v>270.0605930899801</v>
      </c>
      <c r="H9785" s="256">
        <f t="shared" si="1586"/>
        <v>1.530705079605762</v>
      </c>
      <c r="I9785" s="297">
        <f t="shared" si="1588"/>
        <v>413.38312164417727</v>
      </c>
      <c r="J9785" s="297">
        <f t="shared" si="1589"/>
        <v>174.42857142857142</v>
      </c>
      <c r="K9785" s="297">
        <f>J9785/POBLA!$B$16*100000</f>
        <v>23.331492546725087</v>
      </c>
      <c r="L9785" s="549">
        <f t="shared" si="1587"/>
        <v>-0.53007518796992481</v>
      </c>
      <c r="M9785" s="401">
        <f>SUM(C9785,C9761,C9737,C9713,C9689,C9665,C9641)/POBLA!$B$16*100000</f>
        <v>163.32044782707561</v>
      </c>
    </row>
    <row r="9786" spans="1:13" s="360" customFormat="1" x14ac:dyDescent="0.25">
      <c r="A9786" s="367" t="s">
        <v>34</v>
      </c>
      <c r="B9786" s="2">
        <v>44300</v>
      </c>
      <c r="C9786" s="1">
        <v>261</v>
      </c>
      <c r="D9786" s="39">
        <f t="shared" si="1590"/>
        <v>31603</v>
      </c>
      <c r="E9786" s="1">
        <v>4</v>
      </c>
      <c r="F9786" s="39">
        <f t="shared" si="1585"/>
        <v>1244</v>
      </c>
      <c r="G9786" s="168">
        <f>SUM(C9786,C9762,C9738,C9714,C9690,C9666,C9642,C9618,C9594,C9570,C9546,C9522,C9498,C9474)/POBLA!$B$17*100000</f>
        <v>157.32973321342294</v>
      </c>
      <c r="H9786" s="256">
        <f t="shared" si="1586"/>
        <v>1.5803949224259521</v>
      </c>
      <c r="I9786" s="297">
        <f t="shared" si="1588"/>
        <v>248.64311151712329</v>
      </c>
      <c r="J9786" s="297">
        <f t="shared" si="1589"/>
        <v>191.42857142857142</v>
      </c>
      <c r="K9786" s="297">
        <f>J9786/POBLA!$B$17*100000</f>
        <v>13.439270893477831</v>
      </c>
      <c r="L9786" s="549">
        <f t="shared" si="1587"/>
        <v>-0.48723640399556056</v>
      </c>
      <c r="M9786" s="401">
        <f>SUM(C9786,C9762,C9738,C9714,C9690,C9666,C9642)/POBLA!$B$17*100000</f>
        <v>94.074896254344822</v>
      </c>
    </row>
    <row r="9787" spans="1:13" s="360" customFormat="1" x14ac:dyDescent="0.25">
      <c r="A9787" s="367" t="s">
        <v>35</v>
      </c>
      <c r="B9787" s="2">
        <v>44300</v>
      </c>
      <c r="C9787" s="1">
        <v>233</v>
      </c>
      <c r="D9787" s="39">
        <f t="shared" si="1590"/>
        <v>19522</v>
      </c>
      <c r="E9787" s="1"/>
      <c r="F9787" s="39">
        <f t="shared" si="1585"/>
        <v>234</v>
      </c>
      <c r="G9787" s="168">
        <f>SUM(C9787,C9763,C9739,C9715,C9691,C9667,C9643,C9619,C9595,C9571,C9547,C9523,C9499,C9475)/POBLA!$B$18*100000</f>
        <v>284.17200342542469</v>
      </c>
      <c r="H9787" s="256">
        <f t="shared" si="1586"/>
        <v>1.8331957060280759</v>
      </c>
      <c r="I9787" s="297">
        <f t="shared" si="1588"/>
        <v>520.94289645288427</v>
      </c>
      <c r="J9787" s="297">
        <f t="shared" si="1589"/>
        <v>198.85714285714286</v>
      </c>
      <c r="K9787" s="297">
        <f>J9787/POBLA!$B$18*100000</f>
        <v>25.454789496022599</v>
      </c>
      <c r="L9787" s="549">
        <f t="shared" si="1587"/>
        <v>-0.68115942028985499</v>
      </c>
      <c r="M9787" s="401">
        <f>SUM(C9787,C9763,C9739,C9715,C9691,C9667,C9643)/POBLA!$B$18*100000</f>
        <v>178.18352647215818</v>
      </c>
    </row>
    <row r="9788" spans="1:13" s="360" customFormat="1" x14ac:dyDescent="0.25">
      <c r="A9788" s="367" t="s">
        <v>36</v>
      </c>
      <c r="B9788" s="2">
        <v>44300</v>
      </c>
      <c r="C9788" s="1">
        <v>486</v>
      </c>
      <c r="D9788" s="39">
        <f t="shared" si="1590"/>
        <v>27916</v>
      </c>
      <c r="E9788" s="1">
        <v>2</v>
      </c>
      <c r="F9788" s="39">
        <f t="shared" si="1585"/>
        <v>447</v>
      </c>
      <c r="G9788" s="168">
        <f>SUM(C9788,C9764,C9740,C9716,C9692,C9668,C9644,C9620,C9596,C9572,C9548,C9524,C9500,C9476)/POBLA!$B$19*100000</f>
        <v>1005.8466187186227</v>
      </c>
      <c r="H9788" s="256">
        <f t="shared" si="1586"/>
        <v>3.9976544175136826</v>
      </c>
      <c r="I9788" s="297">
        <f t="shared" si="1588"/>
        <v>4021.0271786617027</v>
      </c>
      <c r="J9788" s="297">
        <f t="shared" si="1589"/>
        <v>468.57142857142856</v>
      </c>
      <c r="K9788" s="297">
        <f>J9788/POBLA!$B$19*100000</f>
        <v>92.178953071919821</v>
      </c>
      <c r="L9788" s="549">
        <f t="shared" si="1587"/>
        <v>-0.7894162575013639</v>
      </c>
      <c r="M9788" s="401">
        <f>SUM(C9788,C9764,C9740,C9716,C9692,C9668,C9644)/POBLA!$B$19*100000</f>
        <v>645.25267150343871</v>
      </c>
    </row>
    <row r="9789" spans="1:13" s="360" customFormat="1" x14ac:dyDescent="0.25">
      <c r="A9789" s="367" t="s">
        <v>37</v>
      </c>
      <c r="B9789" s="2">
        <v>44300</v>
      </c>
      <c r="C9789" s="1">
        <v>243</v>
      </c>
      <c r="D9789" s="39">
        <f t="shared" si="1590"/>
        <v>41595</v>
      </c>
      <c r="E9789" s="1">
        <v>2</v>
      </c>
      <c r="F9789" s="39">
        <f t="shared" si="1585"/>
        <v>672</v>
      </c>
      <c r="G9789" s="168">
        <f>SUM(C9789,C9765,C9741,C9717,C9693,C9669,C9645,C9621,C9597,C9573,C9549,C9525,C9501,C9477)/POBLA!$B$20*100000</f>
        <v>598.85479275248974</v>
      </c>
      <c r="H9789" s="256">
        <f t="shared" si="1586"/>
        <v>1.2966252220248669</v>
      </c>
      <c r="I9789" s="297">
        <f t="shared" si="1588"/>
        <v>776.49022861335266</v>
      </c>
      <c r="J9789" s="297">
        <f t="shared" si="1589"/>
        <v>181.42857142857142</v>
      </c>
      <c r="K9789" s="297">
        <f>J9789/POBLA!$B$20*100000</f>
        <v>49.611584265861836</v>
      </c>
      <c r="L9789" s="549">
        <f t="shared" si="1587"/>
        <v>-0.38043478260869557</v>
      </c>
      <c r="M9789" s="401">
        <f>SUM(C9789,C9765,C9741,C9717,C9693,C9669,C9645)/POBLA!$B$20*100000</f>
        <v>347.28108986103285</v>
      </c>
    </row>
    <row r="9790" spans="1:13" s="360" customFormat="1" x14ac:dyDescent="0.25">
      <c r="A9790" s="367" t="s">
        <v>22</v>
      </c>
      <c r="B9790" s="2">
        <v>44300</v>
      </c>
      <c r="C9790" s="1">
        <v>1697</v>
      </c>
      <c r="D9790" s="39">
        <f t="shared" si="1590"/>
        <v>246641</v>
      </c>
      <c r="E9790" s="1">
        <v>6</v>
      </c>
      <c r="F9790" s="39">
        <f t="shared" si="1585"/>
        <v>4374</v>
      </c>
      <c r="G9790" s="168">
        <f>SUM(C9790,C9766,C9742,C9718,C9694,C9670,C9646,C9622,C9598,C9574,C9550,C9526,C9502,C9478)/POBLA!$B$21*100000</f>
        <v>428.31475238504044</v>
      </c>
      <c r="H9790" s="256">
        <f t="shared" si="1586"/>
        <v>1.9753521126760563</v>
      </c>
      <c r="I9790" s="297">
        <f t="shared" si="1588"/>
        <v>846.07245101411149</v>
      </c>
      <c r="J9790" s="297">
        <f t="shared" si="1589"/>
        <v>1344</v>
      </c>
      <c r="K9790" s="297">
        <f>J9790/POBLA!$B$21*100000</f>
        <v>38.004557153594398</v>
      </c>
      <c r="L9790" s="549">
        <f t="shared" si="1587"/>
        <v>-0.63930998431782537</v>
      </c>
      <c r="M9790" s="401">
        <f>SUM(C9790,C9766,C9742,C9718,C9694,C9670,C9646)/POBLA!$B$21*100000</f>
        <v>266.03190007516082</v>
      </c>
    </row>
    <row r="9791" spans="1:13" s="360" customFormat="1" x14ac:dyDescent="0.25">
      <c r="A9791" s="367" t="s">
        <v>38</v>
      </c>
      <c r="B9791" s="2">
        <v>44300</v>
      </c>
      <c r="C9791" s="1">
        <v>223</v>
      </c>
      <c r="D9791" s="39">
        <f t="shared" si="1590"/>
        <v>27306</v>
      </c>
      <c r="E9791" s="1">
        <v>3</v>
      </c>
      <c r="F9791" s="39">
        <f t="shared" si="1585"/>
        <v>312</v>
      </c>
      <c r="G9791" s="168">
        <f>SUM(C9791,C9767,C9743,C9719,C9695,C9671,C9647,C9623,C9599,C9575,C9551,C9527,C9503,C9479)/POBLA!$B$22*100000</f>
        <v>224.4680383476454</v>
      </c>
      <c r="H9791" s="256">
        <f t="shared" si="1586"/>
        <v>1.5741935483870968</v>
      </c>
      <c r="I9791" s="297">
        <f t="shared" si="1588"/>
        <v>353.35613778597082</v>
      </c>
      <c r="J9791" s="297">
        <f t="shared" si="1589"/>
        <v>181.14285714285714</v>
      </c>
      <c r="K9791" s="297">
        <f>J9791/POBLA!$B$22*100000</f>
        <v>18.515838708353783</v>
      </c>
      <c r="L9791" s="549">
        <f t="shared" si="1587"/>
        <v>-0.36637931034482762</v>
      </c>
      <c r="M9791" s="401">
        <f>SUM(C9791,C9767,C9743,C9719,C9695,C9671,C9647)/POBLA!$B$22*100000</f>
        <v>129.61087095847648</v>
      </c>
    </row>
    <row r="9792" spans="1:13" s="360" customFormat="1" x14ac:dyDescent="0.25">
      <c r="A9792" s="367" t="s">
        <v>39</v>
      </c>
      <c r="B9792" s="2">
        <v>44300</v>
      </c>
      <c r="C9792" s="1">
        <v>120</v>
      </c>
      <c r="D9792" s="39">
        <f t="shared" si="1590"/>
        <v>25176</v>
      </c>
      <c r="E9792" s="1"/>
      <c r="F9792" s="39">
        <f t="shared" si="1585"/>
        <v>372</v>
      </c>
      <c r="G9792" s="168">
        <f>SUM(C9792,C9768,C9744,C9720,C9696,C9672,C9648,C9624,C9600,C9576,C9552,C9528,C9504,C9480)/POBLA!$B$23*100000</f>
        <v>615.2802126336029</v>
      </c>
      <c r="H9792" s="256">
        <f t="shared" si="1586"/>
        <v>1.7026604068857589</v>
      </c>
      <c r="I9792" s="297">
        <f t="shared" si="1588"/>
        <v>1047.6132571914866</v>
      </c>
      <c r="J9792" s="297">
        <f t="shared" si="1589"/>
        <v>98.857142857142861</v>
      </c>
      <c r="K9792" s="297">
        <f>J9792/POBLA!$B$23*100000</f>
        <v>55.905187387401945</v>
      </c>
      <c r="L9792" s="549">
        <f t="shared" si="1587"/>
        <v>-0.7474747474747474</v>
      </c>
      <c r="M9792" s="401">
        <f>SUM(C9792,C9768,C9744,C9720,C9696,C9672,C9648)/POBLA!$B$23*100000</f>
        <v>391.33631171181361</v>
      </c>
    </row>
    <row r="9793" spans="1:13" s="360" customFormat="1" ht="15.75" thickBot="1" x14ac:dyDescent="0.3">
      <c r="A9793" s="369" t="s">
        <v>40</v>
      </c>
      <c r="B9793" s="2">
        <v>44300</v>
      </c>
      <c r="C9793" s="1">
        <v>721</v>
      </c>
      <c r="D9793" s="176">
        <f t="shared" si="1590"/>
        <v>95353</v>
      </c>
      <c r="E9793" s="1">
        <v>20</v>
      </c>
      <c r="F9793" s="176">
        <f t="shared" si="1585"/>
        <v>1557</v>
      </c>
      <c r="G9793" s="177">
        <f>SUM(C9793,C9769,C9745,C9721,C9697,C9673,C9649,C9625,C9601,C9577,C9553,C9529,C9505,C9481)/POBLA!$B$24*100000</f>
        <v>442.62670418067148</v>
      </c>
      <c r="H9793" s="402">
        <f t="shared" si="1586"/>
        <v>1.5361458120008191</v>
      </c>
      <c r="I9793" s="403">
        <f t="shared" si="1588"/>
        <v>679.9391579068639</v>
      </c>
      <c r="J9793" s="403">
        <f t="shared" si="1589"/>
        <v>634.42857142857144</v>
      </c>
      <c r="K9793" s="403">
        <f>J9793/POBLA!$B$24*100000</f>
        <v>37.437012079653421</v>
      </c>
      <c r="L9793" s="550">
        <f t="shared" si="1587"/>
        <v>-0.45130718954248361</v>
      </c>
      <c r="M9793" s="405">
        <f>SUM(C9793,C9769,C9745,C9721,C9697,C9673,C9649)/POBLA!$B$24*100000</f>
        <v>262.0590845575739</v>
      </c>
    </row>
    <row r="9794" spans="1:13" s="360" customFormat="1" x14ac:dyDescent="0.25">
      <c r="A9794" s="374" t="s">
        <v>16</v>
      </c>
      <c r="B9794" s="2">
        <v>44301</v>
      </c>
      <c r="C9794" s="42">
        <v>12891</v>
      </c>
      <c r="D9794" s="262">
        <f t="shared" si="1590"/>
        <v>1130148</v>
      </c>
      <c r="E9794" s="1">
        <v>271</v>
      </c>
      <c r="F9794" s="262">
        <f t="shared" ref="F9794:F9817" si="1591">E9794+F9770</f>
        <v>30089</v>
      </c>
      <c r="G9794" s="175">
        <f>SUM(C9794,C9770,C9746,C9722,C9698,C9674,C9650,C9626,C9602,C9578,C9554,C9530,C9506,C9482)/POBLA!$B$1*100000</f>
        <v>772.43549892221949</v>
      </c>
      <c r="H9794" s="300">
        <f t="shared" ref="H9794:H9817" si="1592">SUM(C9794,C9770,C9746,C9722,C9698,C9674,C9650,C9626,C9602,C9578,C9554,C9530,C9506,C9482)/SUM(C9458,C9434,C9410,C9386,C9362,C9338,C9314,C9290,C9266,C9242,C9218,C9194,C9170,C9146)</f>
        <v>2.1236305502876038</v>
      </c>
      <c r="I9794" s="301">
        <f>G9794*H9794</f>
        <v>1640.3676236378728</v>
      </c>
      <c r="J9794" s="301">
        <f>AVERAGE(C9794,C9770,C9746,C9722,C9698,C9674,C9650)</f>
        <v>11452.571428571429</v>
      </c>
      <c r="K9794" s="301">
        <f>J9794/POBLA!$B$1*100000</f>
        <v>65.289774642205032</v>
      </c>
      <c r="L9794" s="548">
        <f t="shared" ref="L9794:L9817" si="1593">1-SUM(C9794,C9770,C9746,C9722,C9698,C9674,C9650)/SUM(C9626,C9602,C9578,C9554,C9530,C9506,C9482)</f>
        <v>-0.44901131475255762</v>
      </c>
      <c r="M9794" s="400">
        <f>SUM(C9794,C9770,C9746,C9722,C9698,C9674,C9650)/POBLA!$B$1*100000</f>
        <v>457.02842249543522</v>
      </c>
    </row>
    <row r="9795" spans="1:13" s="360" customFormat="1" x14ac:dyDescent="0.25">
      <c r="A9795" s="367" t="s">
        <v>43</v>
      </c>
      <c r="B9795" s="2">
        <v>44301</v>
      </c>
      <c r="C9795" s="42">
        <v>2843</v>
      </c>
      <c r="D9795" s="39">
        <f t="shared" si="1590"/>
        <v>297569</v>
      </c>
      <c r="E9795" s="1">
        <v>24</v>
      </c>
      <c r="F9795" s="39">
        <f t="shared" si="1591"/>
        <v>7177</v>
      </c>
      <c r="G9795" s="168">
        <f>SUM(C9795,C9771,C9747,C9723,C9699,C9675,C9651,C9627,C9603,C9579,C9555,C9531,C9507,C9483)/POBLA!$B$2*100000</f>
        <v>1126.9177272026755</v>
      </c>
      <c r="H9795" s="256">
        <f t="shared" si="1592"/>
        <v>2.0322486074464967</v>
      </c>
      <c r="I9795" s="297">
        <f t="shared" ref="I9795:I9817" si="1594">G9795*H9795</f>
        <v>2290.1769818144085</v>
      </c>
      <c r="J9795" s="297">
        <f t="shared" ref="J9795:J9817" si="1595">AVERAGE(C9795,C9771,C9747,C9723,C9699,C9675,C9651)</f>
        <v>2796.5714285714284</v>
      </c>
      <c r="K9795" s="297">
        <f>J9795/POBLA!$B$2*100000</f>
        <v>90.926310393700334</v>
      </c>
      <c r="L9795" s="549">
        <f t="shared" si="1593"/>
        <v>-0.29779899230973217</v>
      </c>
      <c r="M9795" s="401">
        <f>SUM(C9795,C9771,C9747,C9723,C9699,C9675,C9651)/POBLA!$B$2*100000</f>
        <v>636.48417275590225</v>
      </c>
    </row>
    <row r="9796" spans="1:13" s="360" customFormat="1" x14ac:dyDescent="0.25">
      <c r="A9796" s="367" t="s">
        <v>28</v>
      </c>
      <c r="B9796" s="2">
        <v>44301</v>
      </c>
      <c r="C9796" s="42">
        <v>163</v>
      </c>
      <c r="D9796" s="39">
        <f t="shared" si="1590"/>
        <v>12348</v>
      </c>
      <c r="E9796" s="1"/>
      <c r="F9796" s="39">
        <f t="shared" si="1591"/>
        <v>18</v>
      </c>
      <c r="G9796" s="168">
        <f>SUM(C9796,C9772,C9748,C9724,C9700,C9676,C9652,C9628,C9604,C9580,C9556,C9532,C9508,C9484)/POBLA!$B$3*100000</f>
        <v>437.61042562307733</v>
      </c>
      <c r="H9796" s="256">
        <f t="shared" si="1592"/>
        <v>1.6974789915966386</v>
      </c>
      <c r="I9796" s="297">
        <f t="shared" si="1594"/>
        <v>742.83450399883714</v>
      </c>
      <c r="J9796" s="297">
        <f t="shared" si="1595"/>
        <v>151.57142857142858</v>
      </c>
      <c r="K9796" s="297">
        <f>J9796/POBLA!$B$3*100000</f>
        <v>36.48472902609501</v>
      </c>
      <c r="L9796" s="549">
        <f t="shared" si="1593"/>
        <v>-0.40158520475561432</v>
      </c>
      <c r="M9796" s="401">
        <f>SUM(C9796,C9772,C9748,C9724,C9700,C9676,C9652)/POBLA!$B$3*100000</f>
        <v>255.39310318266504</v>
      </c>
    </row>
    <row r="9797" spans="1:13" s="360" customFormat="1" x14ac:dyDescent="0.25">
      <c r="A9797" s="367" t="s">
        <v>15</v>
      </c>
      <c r="B9797" s="2">
        <v>44301</v>
      </c>
      <c r="C9797" s="42">
        <v>347</v>
      </c>
      <c r="D9797" s="39">
        <f t="shared" si="1590"/>
        <v>41425</v>
      </c>
      <c r="E9797" s="1">
        <v>3</v>
      </c>
      <c r="F9797" s="39">
        <f t="shared" si="1591"/>
        <v>981</v>
      </c>
      <c r="G9797" s="168">
        <f>SUM(C9797,C9773,C9749,C9725,C9701,C9677,C9653,C9629,C9605,C9581,C9557,C9533,C9509,C9485)/POBLA!$B$4*100000</f>
        <v>228.55178860661448</v>
      </c>
      <c r="H9797" s="256">
        <f t="shared" si="1592"/>
        <v>1.2710064635272391</v>
      </c>
      <c r="I9797" s="297">
        <f t="shared" si="1594"/>
        <v>290.4908005697182</v>
      </c>
      <c r="J9797" s="297">
        <f t="shared" si="1595"/>
        <v>234.42857142857142</v>
      </c>
      <c r="K9797" s="297">
        <f>J9797/POBLA!$B$4*100000</f>
        <v>19.462066582089893</v>
      </c>
      <c r="L9797" s="549">
        <f t="shared" si="1593"/>
        <v>-0.47571942446043169</v>
      </c>
      <c r="M9797" s="401">
        <f>SUM(C9797,C9773,C9749,C9725,C9701,C9677,C9653)/POBLA!$B$4*100000</f>
        <v>136.23446607462927</v>
      </c>
    </row>
    <row r="9798" spans="1:13" s="360" customFormat="1" x14ac:dyDescent="0.25">
      <c r="A9798" s="367" t="s">
        <v>29</v>
      </c>
      <c r="B9798" s="2">
        <v>44301</v>
      </c>
      <c r="C9798" s="42">
        <v>185</v>
      </c>
      <c r="D9798" s="39">
        <f t="shared" si="1590"/>
        <v>52173</v>
      </c>
      <c r="E9798" s="1"/>
      <c r="F9798" s="39">
        <f t="shared" si="1591"/>
        <v>881</v>
      </c>
      <c r="G9798" s="168">
        <f>SUM(C9798,C9774,C9750,C9726,C9702,C9678,C9654,C9630,C9606,C9582,C9558,C9534,C9510,C9486)/POBLA!$B$5*100000</f>
        <v>314.86573375509295</v>
      </c>
      <c r="H9798" s="256">
        <f t="shared" si="1592"/>
        <v>1.1769323671497585</v>
      </c>
      <c r="I9798" s="297">
        <f t="shared" si="1594"/>
        <v>370.57567336272717</v>
      </c>
      <c r="J9798" s="297">
        <f t="shared" si="1595"/>
        <v>165.71428571428572</v>
      </c>
      <c r="K9798" s="297">
        <f>J9798/POBLA!$B$5*100000</f>
        <v>26.771549597295891</v>
      </c>
      <c r="L9798" s="549">
        <f t="shared" si="1593"/>
        <v>-0.47021546261089986</v>
      </c>
      <c r="M9798" s="401">
        <f>SUM(C9798,C9774,C9750,C9726,C9702,C9678,C9654)/POBLA!$B$5*100000</f>
        <v>187.40084718107121</v>
      </c>
    </row>
    <row r="9799" spans="1:13" s="360" customFormat="1" x14ac:dyDescent="0.25">
      <c r="A9799" s="367" t="s">
        <v>30</v>
      </c>
      <c r="B9799" s="2">
        <v>44301</v>
      </c>
      <c r="C9799" s="42">
        <v>167</v>
      </c>
      <c r="D9799" s="39">
        <f t="shared" si="1590"/>
        <v>34074</v>
      </c>
      <c r="E9799" s="1">
        <v>10</v>
      </c>
      <c r="F9799" s="39">
        <f t="shared" si="1591"/>
        <v>381</v>
      </c>
      <c r="G9799" s="168">
        <f>SUM(C9799,C9775,C9751,C9727,C9703,C9679,C9655,C9631,C9607,C9583,C9559,C9535,C9511,C9487)/POBLA!$B$6*100000</f>
        <v>320.84196927019161</v>
      </c>
      <c r="H9799" s="256">
        <f t="shared" si="1592"/>
        <v>0.76526920621408812</v>
      </c>
      <c r="I9799" s="297">
        <f t="shared" si="1594"/>
        <v>245.53047914356438</v>
      </c>
      <c r="J9799" s="297">
        <f t="shared" si="1595"/>
        <v>247.57142857142858</v>
      </c>
      <c r="K9799" s="297">
        <f>J9799/POBLA!$B$6*100000</f>
        <v>22.088794404308043</v>
      </c>
      <c r="L9799" s="549">
        <f t="shared" si="1593"/>
        <v>6.9779924852388597E-2</v>
      </c>
      <c r="M9799" s="401">
        <f>SUM(C9799,C9775,C9751,C9727,C9703,C9679,C9655)/POBLA!$B$6*100000</f>
        <v>154.62156083015628</v>
      </c>
    </row>
    <row r="9800" spans="1:13" s="360" customFormat="1" x14ac:dyDescent="0.25">
      <c r="A9800" s="367" t="s">
        <v>20</v>
      </c>
      <c r="B9800" s="2">
        <v>44301</v>
      </c>
      <c r="C9800" s="42">
        <v>1605</v>
      </c>
      <c r="D9800" s="39">
        <f t="shared" si="1590"/>
        <v>202241</v>
      </c>
      <c r="E9800" s="1">
        <v>18</v>
      </c>
      <c r="F9800" s="39">
        <f t="shared" si="1591"/>
        <v>3162</v>
      </c>
      <c r="G9800" s="168">
        <f>SUM(C9800,C9776,C9752,C9728,C9704,C9680,C9656,C9632,C9608,C9584,C9560,C9536,C9512,C9488)/POBLA!$B$7*100000</f>
        <v>542.86056190083627</v>
      </c>
      <c r="H9800" s="256">
        <f t="shared" si="1592"/>
        <v>1.8120007101011895</v>
      </c>
      <c r="I9800" s="297">
        <f t="shared" si="1594"/>
        <v>983.66372365024608</v>
      </c>
      <c r="J9800" s="297">
        <f t="shared" si="1595"/>
        <v>1598.2857142857142</v>
      </c>
      <c r="K9800" s="297">
        <f>J9800/POBLA!$B$7*100000</f>
        <v>42.502512047380343</v>
      </c>
      <c r="L9800" s="549">
        <f t="shared" si="1593"/>
        <v>-0.21265987426837207</v>
      </c>
      <c r="M9800" s="401">
        <f>SUM(C9800,C9776,C9752,C9728,C9704,C9680,C9656)/POBLA!$B$7*100000</f>
        <v>297.51758433166242</v>
      </c>
    </row>
    <row r="9801" spans="1:13" x14ac:dyDescent="0.25">
      <c r="A9801" s="367" t="s">
        <v>31</v>
      </c>
      <c r="B9801" s="2">
        <v>44301</v>
      </c>
      <c r="C9801" s="42">
        <v>524</v>
      </c>
      <c r="D9801" s="39">
        <f t="shared" si="1590"/>
        <v>55071</v>
      </c>
      <c r="E9801" s="1">
        <v>6</v>
      </c>
      <c r="F9801" s="39">
        <f t="shared" si="1591"/>
        <v>995</v>
      </c>
      <c r="G9801" s="168">
        <f>SUM(C9801,C9777,C9753,C9729,C9705,C9681,C9657,C9633,C9609,C9585,C9561,C9537,C9513,C9489)/POBLA!$B$8*100000</f>
        <v>353.25669337015978</v>
      </c>
      <c r="H9801" s="256">
        <f t="shared" si="1592"/>
        <v>1.9065420560747663</v>
      </c>
      <c r="I9801" s="297">
        <f t="shared" si="1594"/>
        <v>673.49874250011771</v>
      </c>
      <c r="J9801" s="297">
        <f t="shared" si="1595"/>
        <v>443</v>
      </c>
      <c r="K9801" s="297">
        <f>J9801/POBLA!$B$8*100000</f>
        <v>31.963381364987903</v>
      </c>
      <c r="L9801" s="549">
        <f t="shared" si="1593"/>
        <v>-0.72757660167130922</v>
      </c>
      <c r="M9801" s="401">
        <f>SUM(C9801,C9777,C9753,C9729,C9705,C9681,C9657)/POBLA!$B$8*100000</f>
        <v>223.74366955491533</v>
      </c>
    </row>
    <row r="9802" spans="1:13" s="360" customFormat="1" x14ac:dyDescent="0.25">
      <c r="A9802" s="367" t="s">
        <v>41</v>
      </c>
      <c r="B9802" s="2">
        <v>44301</v>
      </c>
      <c r="C9802" s="42">
        <v>94</v>
      </c>
      <c r="D9802" s="39">
        <f t="shared" si="1590"/>
        <v>3319</v>
      </c>
      <c r="E9802" s="1">
        <v>8</v>
      </c>
      <c r="F9802" s="39">
        <f t="shared" si="1591"/>
        <v>61</v>
      </c>
      <c r="G9802" s="168">
        <f>SUM(C9802,C9778,C9754,C9730,C9706,C9682,C9658,C9634,C9610,C9586,C9562,C9538,C9514,C9490)/POBLA!$B$9*100000</f>
        <v>169.36745798447768</v>
      </c>
      <c r="H9802" s="256">
        <f t="shared" si="1592"/>
        <v>1.6167192429022081</v>
      </c>
      <c r="I9802" s="297">
        <f t="shared" si="1594"/>
        <v>273.81962844493631</v>
      </c>
      <c r="J9802" s="297">
        <f t="shared" si="1595"/>
        <v>111.14285714285714</v>
      </c>
      <c r="K9802" s="297">
        <f>J9802/POBLA!$B$9*100000</f>
        <v>18.364861646261133</v>
      </c>
      <c r="L9802" s="549">
        <f t="shared" si="1593"/>
        <v>-2.1497975708502026</v>
      </c>
      <c r="M9802" s="401">
        <f>SUM(C9802,C9778,C9754,C9730,C9706,C9682,C9658)/POBLA!$B$9*100000</f>
        <v>128.55403152382794</v>
      </c>
    </row>
    <row r="9803" spans="1:13" s="360" customFormat="1" x14ac:dyDescent="0.25">
      <c r="A9803" s="367" t="s">
        <v>32</v>
      </c>
      <c r="B9803" s="2">
        <v>44301</v>
      </c>
      <c r="C9803" s="42">
        <v>81</v>
      </c>
      <c r="D9803" s="39">
        <f t="shared" si="1590"/>
        <v>23359</v>
      </c>
      <c r="E9803" s="1"/>
      <c r="F9803" s="39">
        <f t="shared" si="1591"/>
        <v>998</v>
      </c>
      <c r="G9803" s="168">
        <f>SUM(C9803,C9779,C9755,C9731,C9707,C9683,C9659,C9635,C9611,C9587,C9563,C9539,C9515,C9491)/POBLA!$B$10*100000</f>
        <v>107.15013082434254</v>
      </c>
      <c r="H9803" s="256">
        <f t="shared" si="1592"/>
        <v>1.2846034214618973</v>
      </c>
      <c r="I9803" s="297">
        <f t="shared" si="1594"/>
        <v>137.64542466704034</v>
      </c>
      <c r="J9803" s="297">
        <f t="shared" si="1595"/>
        <v>67</v>
      </c>
      <c r="K9803" s="297">
        <f>J9803/POBLA!$B$10*100000</f>
        <v>8.6913544373256055</v>
      </c>
      <c r="L9803" s="549">
        <f t="shared" si="1593"/>
        <v>-0.31372549019607843</v>
      </c>
      <c r="M9803" s="401">
        <f>SUM(C9803,C9779,C9755,C9731,C9707,C9683,C9659)/POBLA!$B$10*100000</f>
        <v>60.83948106127923</v>
      </c>
    </row>
    <row r="9804" spans="1:13" s="360" customFormat="1" x14ac:dyDescent="0.25">
      <c r="A9804" s="367" t="s">
        <v>33</v>
      </c>
      <c r="B9804" s="2">
        <v>44301</v>
      </c>
      <c r="C9804" s="42">
        <v>207</v>
      </c>
      <c r="D9804" s="39">
        <f t="shared" si="1590"/>
        <v>23327</v>
      </c>
      <c r="E9804" s="1"/>
      <c r="F9804" s="39">
        <f t="shared" si="1591"/>
        <v>332</v>
      </c>
      <c r="G9804" s="168">
        <f>SUM(C9804,C9780,C9756,C9732,C9708,C9684,C9660,C9636,C9612,C9588,C9564,C9540,C9516,C9492)/POBLA!$B$11*100000</f>
        <v>541.81034963786317</v>
      </c>
      <c r="H9804" s="256">
        <f t="shared" si="1592"/>
        <v>1.808193668528864</v>
      </c>
      <c r="I9804" s="297">
        <f t="shared" si="1594"/>
        <v>979.69804375859428</v>
      </c>
      <c r="J9804" s="297">
        <f t="shared" si="1595"/>
        <v>153</v>
      </c>
      <c r="K9804" s="297">
        <f>J9804/POBLA!$B$11*100000</f>
        <v>42.686397268070579</v>
      </c>
      <c r="L9804" s="549">
        <f t="shared" si="1593"/>
        <v>-0.22962112514351318</v>
      </c>
      <c r="M9804" s="401">
        <f>SUM(C9804,C9780,C9756,C9732,C9708,C9684,C9660)/POBLA!$B$11*100000</f>
        <v>298.80478087649402</v>
      </c>
    </row>
    <row r="9805" spans="1:13" s="360" customFormat="1" x14ac:dyDescent="0.25">
      <c r="A9805" s="367" t="s">
        <v>21</v>
      </c>
      <c r="B9805" s="2">
        <v>44301</v>
      </c>
      <c r="C9805" s="42">
        <v>110</v>
      </c>
      <c r="D9805" s="39">
        <f t="shared" si="1590"/>
        <v>12289</v>
      </c>
      <c r="E9805" s="1"/>
      <c r="F9805" s="39">
        <f t="shared" si="1591"/>
        <v>451</v>
      </c>
      <c r="G9805" s="168">
        <f>SUM(C9805,C9781,C9757,C9733,C9709,C9685,C9661,C9637,C9613,C9589,C9565,C9541,C9517,C9493)/POBLA!$B$12*100000</f>
        <v>288.66849117350347</v>
      </c>
      <c r="H9805" s="256">
        <f t="shared" si="1592"/>
        <v>2.1313320825515949</v>
      </c>
      <c r="I9805" s="297">
        <f t="shared" si="1594"/>
        <v>615.24841645984986</v>
      </c>
      <c r="J9805" s="297">
        <f t="shared" si="1595"/>
        <v>82.142857142857139</v>
      </c>
      <c r="K9805" s="297">
        <f>J9805/POBLA!$B$12*100000</f>
        <v>20.873287528265152</v>
      </c>
      <c r="L9805" s="549">
        <f t="shared" si="1593"/>
        <v>-2.4955436720142554E-2</v>
      </c>
      <c r="M9805" s="401">
        <f>SUM(C9805,C9781,C9757,C9733,C9709,C9685,C9661)/POBLA!$B$12*100000</f>
        <v>146.11301269785608</v>
      </c>
    </row>
    <row r="9806" spans="1:13" s="360" customFormat="1" x14ac:dyDescent="0.25">
      <c r="A9806" s="367" t="s">
        <v>17</v>
      </c>
      <c r="B9806" s="2">
        <v>44301</v>
      </c>
      <c r="C9806" s="42">
        <v>1050</v>
      </c>
      <c r="D9806" s="39">
        <f t="shared" si="1590"/>
        <v>83664</v>
      </c>
      <c r="E9806" s="1">
        <v>3</v>
      </c>
      <c r="F9806" s="39">
        <f t="shared" si="1591"/>
        <v>1617</v>
      </c>
      <c r="G9806" s="168">
        <f>SUM(C9806,C9782,C9758,C9734,C9710,C9686,C9662,C9638,C9614,C9590,C9566,C9542,C9518,C9494)/POBLA!$B$13*100000</f>
        <v>510.91824604665135</v>
      </c>
      <c r="H9806" s="256">
        <f t="shared" si="1592"/>
        <v>2.9305475504322764</v>
      </c>
      <c r="I9806" s="297">
        <f t="shared" si="1594"/>
        <v>1497.2702144231691</v>
      </c>
      <c r="J9806" s="297">
        <f t="shared" si="1595"/>
        <v>839.14285714285711</v>
      </c>
      <c r="K9806" s="297">
        <f>J9806/POBLA!$B$13*100000</f>
        <v>42.160821787196802</v>
      </c>
      <c r="L9806" s="549">
        <f t="shared" si="1593"/>
        <v>-0.36763678696158331</v>
      </c>
      <c r="M9806" s="401">
        <f>SUM(C9806,C9782,C9758,C9734,C9710,C9686,C9662)/POBLA!$B$13*100000</f>
        <v>295.12575251037765</v>
      </c>
    </row>
    <row r="9807" spans="1:13" s="360" customFormat="1" x14ac:dyDescent="0.25">
      <c r="A9807" s="367" t="s">
        <v>23</v>
      </c>
      <c r="B9807" s="2">
        <v>44301</v>
      </c>
      <c r="C9807" s="42">
        <v>99</v>
      </c>
      <c r="D9807" s="39">
        <f t="shared" si="1590"/>
        <v>13877</v>
      </c>
      <c r="E9807" s="1"/>
      <c r="F9807" s="39">
        <f t="shared" si="1591"/>
        <v>225</v>
      </c>
      <c r="G9807" s="168">
        <f>SUM(C9807,C9783,C9759,C9735,C9711,C9687,C9663,C9639,C9615,C9591,C9567,C9543,C9519,C9495)/POBLA!$B$14*100000</f>
        <v>136.60573981958211</v>
      </c>
      <c r="H9807" s="256">
        <f t="shared" si="1592"/>
        <v>1.0183215130023642</v>
      </c>
      <c r="I9807" s="297">
        <f t="shared" si="1594"/>
        <v>139.10856365788416</v>
      </c>
      <c r="J9807" s="297">
        <f t="shared" si="1595"/>
        <v>144.14285714285714</v>
      </c>
      <c r="K9807" s="297">
        <f>J9807/POBLA!$B$14*100000</f>
        <v>11.428172745042563</v>
      </c>
      <c r="L9807" s="549">
        <f t="shared" si="1593"/>
        <v>-0.41316526610644266</v>
      </c>
      <c r="M9807" s="401">
        <f>SUM(C9807,C9783,C9759,C9735,C9711,C9687,C9663)/POBLA!$B$14*100000</f>
        <v>79.997209215297943</v>
      </c>
    </row>
    <row r="9808" spans="1:13" s="360" customFormat="1" x14ac:dyDescent="0.25">
      <c r="A9808" s="367" t="s">
        <v>19</v>
      </c>
      <c r="B9808" s="2">
        <v>44301</v>
      </c>
      <c r="C9808" s="42">
        <v>206</v>
      </c>
      <c r="D9808" s="39">
        <f t="shared" si="1590"/>
        <v>67288</v>
      </c>
      <c r="E9808" s="1">
        <v>1</v>
      </c>
      <c r="F9808" s="39">
        <f t="shared" si="1591"/>
        <v>1026</v>
      </c>
      <c r="G9808" s="168">
        <f>SUM(C9808,C9784,C9760,C9736,C9712,C9688,C9664,C9640,C9616,C9592,C9568,C9544,C9520,C9496)/POBLA!$B$15*100000</f>
        <v>297.71540696054706</v>
      </c>
      <c r="H9808" s="256">
        <f t="shared" si="1592"/>
        <v>1.2664958360025624</v>
      </c>
      <c r="I9808" s="297">
        <f t="shared" si="1594"/>
        <v>377.05532322934113</v>
      </c>
      <c r="J9808" s="297">
        <f t="shared" si="1595"/>
        <v>159.28571428571428</v>
      </c>
      <c r="K9808" s="297">
        <f>J9808/POBLA!$B$15*100000</f>
        <v>23.986753288605389</v>
      </c>
      <c r="L9808" s="549">
        <f t="shared" si="1593"/>
        <v>-0.29350348027842221</v>
      </c>
      <c r="M9808" s="401">
        <f>SUM(C9808,C9784,C9760,C9736,C9712,C9688,C9664)/POBLA!$B$15*100000</f>
        <v>167.90727302023774</v>
      </c>
    </row>
    <row r="9809" spans="1:13" s="360" customFormat="1" x14ac:dyDescent="0.25">
      <c r="A9809" s="367" t="s">
        <v>18</v>
      </c>
      <c r="B9809" s="2">
        <v>44301</v>
      </c>
      <c r="C9809" s="42">
        <v>202</v>
      </c>
      <c r="D9809" s="39">
        <f t="shared" si="1590"/>
        <v>57646</v>
      </c>
      <c r="E9809" s="1">
        <v>2</v>
      </c>
      <c r="F9809" s="39">
        <f t="shared" si="1591"/>
        <v>1310</v>
      </c>
      <c r="G9809" s="168">
        <f>SUM(C9809,C9785,C9761,C9737,C9713,C9689,C9665,C9641,C9617,C9593,C9569,C9545,C9521,C9497)/POBLA!$B$16*100000</f>
        <v>279.95880204919678</v>
      </c>
      <c r="H9809" s="256">
        <f t="shared" si="1592"/>
        <v>1.5760542168674698</v>
      </c>
      <c r="I9809" s="297">
        <f t="shared" si="1594"/>
        <v>441.23025051880182</v>
      </c>
      <c r="J9809" s="297">
        <f t="shared" si="1595"/>
        <v>180</v>
      </c>
      <c r="K9809" s="297">
        <f>J9809/POBLA!$B$16*100000</f>
        <v>24.076724495391982</v>
      </c>
      <c r="L9809" s="549">
        <f t="shared" si="1593"/>
        <v>-0.51260504201680668</v>
      </c>
      <c r="M9809" s="401">
        <f>SUM(C9809,C9785,C9761,C9737,C9713,C9689,C9665)/POBLA!$B$16*100000</f>
        <v>168.53707146774389</v>
      </c>
    </row>
    <row r="9810" spans="1:13" s="360" customFormat="1" x14ac:dyDescent="0.25">
      <c r="A9810" s="367" t="s">
        <v>34</v>
      </c>
      <c r="B9810" s="2">
        <v>44301</v>
      </c>
      <c r="C9810" s="42">
        <v>268</v>
      </c>
      <c r="D9810" s="39">
        <f t="shared" si="1590"/>
        <v>31871</v>
      </c>
      <c r="E9810" s="1">
        <v>3</v>
      </c>
      <c r="F9810" s="39">
        <f t="shared" si="1591"/>
        <v>1247</v>
      </c>
      <c r="G9810" s="168">
        <f>SUM(C9810,C9786,C9762,C9738,C9714,C9690,C9666,C9642,C9618,C9594,C9570,C9546,C9522,C9498)/POBLA!$B$17*100000</f>
        <v>164.70127359156191</v>
      </c>
      <c r="H9810" s="256">
        <f t="shared" si="1592"/>
        <v>1.6337047353760445</v>
      </c>
      <c r="I9810" s="297">
        <f t="shared" si="1594"/>
        <v>269.07325058900017</v>
      </c>
      <c r="J9810" s="297">
        <f t="shared" si="1595"/>
        <v>197.71428571428572</v>
      </c>
      <c r="K9810" s="297">
        <f>J9810/POBLA!$B$17*100000</f>
        <v>13.880560385502477</v>
      </c>
      <c r="L9810" s="549">
        <f t="shared" si="1593"/>
        <v>-0.43866943866943875</v>
      </c>
      <c r="M9810" s="401">
        <f>SUM(C9810,C9786,C9762,C9738,C9714,C9690,C9666)/POBLA!$B$17*100000</f>
        <v>97.163922698517339</v>
      </c>
    </row>
    <row r="9811" spans="1:13" s="360" customFormat="1" x14ac:dyDescent="0.25">
      <c r="A9811" s="367" t="s">
        <v>35</v>
      </c>
      <c r="B9811" s="2">
        <v>44301</v>
      </c>
      <c r="C9811" s="42">
        <v>271</v>
      </c>
      <c r="D9811" s="39">
        <f t="shared" si="1590"/>
        <v>19793</v>
      </c>
      <c r="E9811" s="1">
        <v>4</v>
      </c>
      <c r="F9811" s="39">
        <f t="shared" si="1591"/>
        <v>238</v>
      </c>
      <c r="G9811" s="168">
        <f>SUM(C9811,C9787,C9763,C9739,C9715,C9691,C9667,C9643,C9619,C9595,C9571,C9547,C9523,C9499)/POBLA!$B$18*100000</f>
        <v>307.21297667613476</v>
      </c>
      <c r="H9811" s="256">
        <f t="shared" si="1592"/>
        <v>1.9753086419753085</v>
      </c>
      <c r="I9811" s="297">
        <f t="shared" si="1594"/>
        <v>606.84044775532789</v>
      </c>
      <c r="J9811" s="297">
        <f t="shared" si="1595"/>
        <v>190.28571428571428</v>
      </c>
      <c r="K9811" s="297">
        <f>J9811/POBLA!$B$18*100000</f>
        <v>24.357600293607828</v>
      </c>
      <c r="L9811" s="549">
        <f t="shared" si="1593"/>
        <v>-0.24719101123595499</v>
      </c>
      <c r="M9811" s="401">
        <f>SUM(C9811,C9787,C9763,C9739,C9715,C9691,C9667)/POBLA!$B$18*100000</f>
        <v>170.5032020552548</v>
      </c>
    </row>
    <row r="9812" spans="1:13" s="360" customFormat="1" x14ac:dyDescent="0.25">
      <c r="A9812" s="367" t="s">
        <v>36</v>
      </c>
      <c r="B9812" s="2">
        <v>44301</v>
      </c>
      <c r="C9812" s="42">
        <v>433</v>
      </c>
      <c r="D9812" s="39">
        <f t="shared" si="1590"/>
        <v>28349</v>
      </c>
      <c r="E9812" s="1">
        <v>1</v>
      </c>
      <c r="F9812" s="39">
        <f t="shared" si="1591"/>
        <v>448</v>
      </c>
      <c r="G9812" s="168">
        <f>SUM(C9812,C9788,C9764,C9740,C9716,C9692,C9668,C9644,C9620,C9596,C9572,C9548,C9524,C9500)/POBLA!$B$19*100000</f>
        <v>1042.6338899293369</v>
      </c>
      <c r="H9812" s="256">
        <f t="shared" si="1592"/>
        <v>3.5029742233972239</v>
      </c>
      <c r="I9812" s="297">
        <f t="shared" si="1594"/>
        <v>3652.3196408628455</v>
      </c>
      <c r="J9812" s="297">
        <f t="shared" si="1595"/>
        <v>455.71428571428572</v>
      </c>
      <c r="K9812" s="297">
        <f>J9812/POBLA!$B$19*100000</f>
        <v>89.649652530312267</v>
      </c>
      <c r="L9812" s="549">
        <f t="shared" si="1593"/>
        <v>-0.51184834123222744</v>
      </c>
      <c r="M9812" s="401">
        <f>SUM(C9812,C9788,C9764,C9740,C9716,C9692,C9668)/POBLA!$B$19*100000</f>
        <v>627.54756771218581</v>
      </c>
    </row>
    <row r="9813" spans="1:13" s="360" customFormat="1" x14ac:dyDescent="0.25">
      <c r="A9813" s="367" t="s">
        <v>37</v>
      </c>
      <c r="B9813" s="2">
        <v>44301</v>
      </c>
      <c r="C9813" s="42">
        <v>189</v>
      </c>
      <c r="D9813" s="39">
        <f t="shared" si="1590"/>
        <v>41784</v>
      </c>
      <c r="E9813" s="1">
        <v>2</v>
      </c>
      <c r="F9813" s="39">
        <f t="shared" si="1591"/>
        <v>674</v>
      </c>
      <c r="G9813" s="168">
        <f>SUM(C9813,C9789,C9765,C9741,C9717,C9693,C9669,C9645,C9621,C9597,C9573,C9549,C9525,C9501)/POBLA!$B$20*100000</f>
        <v>601.86273920010501</v>
      </c>
      <c r="H9813" s="256">
        <f t="shared" si="1592"/>
        <v>1.278164924506388</v>
      </c>
      <c r="I9813" s="297">
        <f t="shared" si="1594"/>
        <v>769.2798426129101</v>
      </c>
      <c r="J9813" s="297">
        <f t="shared" si="1595"/>
        <v>182.71428571428572</v>
      </c>
      <c r="K9813" s="297">
        <f>J9813/POBLA!$B$20*100000</f>
        <v>49.963162422076607</v>
      </c>
      <c r="L9813" s="549">
        <f t="shared" si="1593"/>
        <v>-0.38720173535791758</v>
      </c>
      <c r="M9813" s="401">
        <f>SUM(C9813,C9789,C9765,C9741,C9717,C9693,C9669)/POBLA!$B$20*100000</f>
        <v>349.74213695453625</v>
      </c>
    </row>
    <row r="9814" spans="1:13" s="360" customFormat="1" x14ac:dyDescent="0.25">
      <c r="A9814" s="367" t="s">
        <v>22</v>
      </c>
      <c r="B9814" s="2">
        <v>44301</v>
      </c>
      <c r="C9814" s="42">
        <v>2012</v>
      </c>
      <c r="D9814" s="39">
        <f t="shared" si="1590"/>
        <v>248653</v>
      </c>
      <c r="E9814" s="1">
        <v>14</v>
      </c>
      <c r="F9814" s="39">
        <f t="shared" si="1591"/>
        <v>4388</v>
      </c>
      <c r="G9814" s="168">
        <f>SUM(C9814,C9790,C9766,C9742,C9718,C9694,C9670,C9646,C9622,C9598,C9574,C9550,C9526,C9502)/POBLA!$B$21*100000</f>
        <v>456.30918064550059</v>
      </c>
      <c r="H9814" s="256">
        <f t="shared" si="1592"/>
        <v>1.9669673330082886</v>
      </c>
      <c r="I9814" s="297">
        <f t="shared" si="1594"/>
        <v>897.54525208147766</v>
      </c>
      <c r="J9814" s="297">
        <f t="shared" si="1595"/>
        <v>1436.4285714285713</v>
      </c>
      <c r="K9814" s="297">
        <f>J9814/POBLA!$B$21*100000</f>
        <v>40.618178377911526</v>
      </c>
      <c r="L9814" s="549">
        <f t="shared" si="1593"/>
        <v>-0.6532390660966787</v>
      </c>
      <c r="M9814" s="401">
        <f>SUM(C9814,C9790,C9766,C9742,C9718,C9694,C9670)/POBLA!$B$21*100000</f>
        <v>284.32724864538073</v>
      </c>
    </row>
    <row r="9815" spans="1:13" s="360" customFormat="1" x14ac:dyDescent="0.25">
      <c r="A9815" s="367" t="s">
        <v>38</v>
      </c>
      <c r="B9815" s="2">
        <v>44301</v>
      </c>
      <c r="C9815" s="42">
        <v>201</v>
      </c>
      <c r="D9815" s="39">
        <f t="shared" si="1590"/>
        <v>27507</v>
      </c>
      <c r="E9815" s="1"/>
      <c r="F9815" s="39">
        <f t="shared" si="1591"/>
        <v>312</v>
      </c>
      <c r="G9815" s="168">
        <f>SUM(C9815,C9791,C9767,C9743,C9719,C9695,C9671,C9647,C9623,C9599,C9575,C9551,C9527,C9503)/POBLA!$B$22*100000</f>
        <v>225.49020609968383</v>
      </c>
      <c r="H9815" s="256">
        <f t="shared" si="1592"/>
        <v>1.494579945799458</v>
      </c>
      <c r="I9815" s="297">
        <f t="shared" si="1594"/>
        <v>337.01314001077407</v>
      </c>
      <c r="J9815" s="297">
        <f t="shared" si="1595"/>
        <v>185.71428571428572</v>
      </c>
      <c r="K9815" s="297">
        <f>J9815/POBLA!$B$22*100000</f>
        <v>18.983115394999935</v>
      </c>
      <c r="L9815" s="549">
        <f t="shared" si="1593"/>
        <v>-0.43487858719646799</v>
      </c>
      <c r="M9815" s="401">
        <f>SUM(C9815,C9791,C9767,C9743,C9719,C9695,C9671)/POBLA!$B$22*100000</f>
        <v>132.88180776499954</v>
      </c>
    </row>
    <row r="9816" spans="1:13" s="360" customFormat="1" x14ac:dyDescent="0.25">
      <c r="A9816" s="367" t="s">
        <v>39</v>
      </c>
      <c r="B9816" s="2">
        <v>44301</v>
      </c>
      <c r="C9816" s="42">
        <v>54</v>
      </c>
      <c r="D9816" s="39">
        <f t="shared" si="1590"/>
        <v>25230</v>
      </c>
      <c r="E9816" s="1">
        <v>2</v>
      </c>
      <c r="F9816" s="39">
        <f t="shared" si="1591"/>
        <v>374</v>
      </c>
      <c r="G9816" s="168">
        <f>SUM(C9816,C9792,C9768,C9744,C9720,C9696,C9672,C9648,C9624,C9600,C9576,C9552,C9528,C9504)/POBLA!$B$23*100000</f>
        <v>613.58366792965001</v>
      </c>
      <c r="H9816" s="256">
        <f t="shared" si="1592"/>
        <v>1.6795665634674923</v>
      </c>
      <c r="I9816" s="297">
        <f t="shared" si="1594"/>
        <v>1030.5546125443811</v>
      </c>
      <c r="J9816" s="297">
        <f t="shared" si="1595"/>
        <v>96.714285714285708</v>
      </c>
      <c r="K9816" s="297">
        <f>J9816/POBLA!$B$23*100000</f>
        <v>54.693369741721263</v>
      </c>
      <c r="L9816" s="549">
        <f t="shared" si="1593"/>
        <v>-0.65931372549019618</v>
      </c>
      <c r="M9816" s="401">
        <f>SUM(C9816,C9792,C9768,C9744,C9720,C9696,C9672)/POBLA!$B$23*100000</f>
        <v>382.85358819204885</v>
      </c>
    </row>
    <row r="9817" spans="1:13" s="360" customFormat="1" ht="15.75" thickBot="1" x14ac:dyDescent="0.3">
      <c r="A9817" s="369" t="s">
        <v>40</v>
      </c>
      <c r="B9817" s="2">
        <v>44301</v>
      </c>
      <c r="C9817" s="42">
        <v>797</v>
      </c>
      <c r="D9817" s="176">
        <f t="shared" si="1590"/>
        <v>96150</v>
      </c>
      <c r="E9817" s="1">
        <v>8</v>
      </c>
      <c r="F9817" s="176">
        <f t="shared" si="1591"/>
        <v>1565</v>
      </c>
      <c r="G9817" s="177">
        <f>SUM(C9817,C9793,C9769,C9745,C9721,C9697,C9673,C9649,C9625,C9601,C9577,C9553,C9529,C9505)/POBLA!$B$24*100000</f>
        <v>457.79202386797078</v>
      </c>
      <c r="H9817" s="402">
        <f t="shared" si="1592"/>
        <v>1.5310834813499112</v>
      </c>
      <c r="I9817" s="403">
        <f t="shared" si="1594"/>
        <v>700.91780563799432</v>
      </c>
      <c r="J9817" s="403">
        <f t="shared" si="1595"/>
        <v>629.85714285714289</v>
      </c>
      <c r="K9817" s="403">
        <f>J9817/POBLA!$B$24*100000</f>
        <v>37.167256532130587</v>
      </c>
      <c r="L9817" s="550">
        <f t="shared" si="1593"/>
        <v>-0.31651239175873402</v>
      </c>
      <c r="M9817" s="405">
        <f>SUM(C9817,C9793,C9769,C9745,C9721,C9697,C9673)/POBLA!$B$24*100000</f>
        <v>260.17079572491411</v>
      </c>
    </row>
    <row r="9818" spans="1:13" s="360" customFormat="1" x14ac:dyDescent="0.25">
      <c r="A9818" s="374" t="s">
        <v>16</v>
      </c>
      <c r="B9818" s="2">
        <v>44302</v>
      </c>
      <c r="C9818" s="1">
        <v>15166</v>
      </c>
      <c r="D9818" s="262">
        <f t="shared" si="1590"/>
        <v>1145314</v>
      </c>
      <c r="E9818" s="1">
        <v>56</v>
      </c>
      <c r="F9818" s="262">
        <f t="shared" ref="F9818:F9841" si="1596">E9818+F9794</f>
        <v>30145</v>
      </c>
      <c r="G9818" s="175">
        <f>SUM(C9818,C9794,C9770,C9746,C9722,C9698,C9674,C9650,C9626,C9602,C9578,C9554,C9530,C9506)/POBLA!$B$1*100000</f>
        <v>830.29946569610263</v>
      </c>
      <c r="H9818" s="300">
        <f t="shared" ref="H9818:H9841" si="1597">SUM(C9818,C9794,C9770,C9746,C9722,C9698,C9674,C9650,C9626,C9602,C9578,C9554,C9530,C9506)/SUM(C9482,C9458,C9434,C9410,C9386,C9362,C9338,C9314,C9290,C9266,C9242,C9218,C9194,C9170)</f>
        <v>2.2311687117974173</v>
      </c>
      <c r="I9818" s="301">
        <f>G9818*H9818</f>
        <v>1852.5381892832572</v>
      </c>
      <c r="J9818" s="301">
        <f>AVERAGE(C9818,C9794,C9770,C9746,C9722,C9698,C9674)</f>
        <v>11840.285714285714</v>
      </c>
      <c r="K9818" s="301">
        <f>J9818/POBLA!$B$1*100000</f>
        <v>67.500088587656379</v>
      </c>
      <c r="L9818" s="548">
        <f t="shared" ref="L9818:L9841" si="1598">1-SUM(C9818,C9794,C9770,C9746,C9722,C9698,C9674)/SUM(C9650,C9626,C9602,C9578,C9554,C9530,C9506)</f>
        <v>-0.32057614480099428</v>
      </c>
      <c r="M9818" s="400">
        <f>SUM(C9818,C9794,C9770,C9746,C9722,C9698,C9674)/POBLA!$B$1*100000</f>
        <v>472.50062011359466</v>
      </c>
    </row>
    <row r="9819" spans="1:13" s="360" customFormat="1" x14ac:dyDescent="0.25">
      <c r="A9819" s="367" t="s">
        <v>43</v>
      </c>
      <c r="B9819" s="2">
        <v>44302</v>
      </c>
      <c r="C9819" s="1">
        <v>3313</v>
      </c>
      <c r="D9819" s="39">
        <f t="shared" si="1590"/>
        <v>300882</v>
      </c>
      <c r="E9819" s="1">
        <v>25</v>
      </c>
      <c r="F9819" s="39">
        <f t="shared" si="1596"/>
        <v>7202</v>
      </c>
      <c r="G9819" s="168">
        <f>SUM(C9819,C9795,C9771,C9747,C9723,C9699,C9675,C9651,C9627,C9603,C9579,C9555,C9531,C9507)/POBLA!$B$2*100000</f>
        <v>1179.394507690417</v>
      </c>
      <c r="H9819" s="256">
        <f t="shared" si="1597"/>
        <v>2.0298824846110799</v>
      </c>
      <c r="I9819" s="297">
        <f t="shared" ref="I9819:I9841" si="1599">G9819*H9819</f>
        <v>2394.0322536072849</v>
      </c>
      <c r="J9819" s="297">
        <f t="shared" ref="J9819:J9841" si="1600">AVERAGE(C9819,C9795,C9771,C9747,C9723,C9699,C9675)</f>
        <v>2898.2857142857142</v>
      </c>
      <c r="K9819" s="297">
        <f>J9819/POBLA!$B$2*100000</f>
        <v>94.233397285829199</v>
      </c>
      <c r="L9819" s="549">
        <f t="shared" si="1598"/>
        <v>-0.26911047166270485</v>
      </c>
      <c r="M9819" s="401">
        <f>SUM(C9819,C9795,C9771,C9747,C9723,C9699,C9675)/POBLA!$B$2*100000</f>
        <v>659.63378100080445</v>
      </c>
    </row>
    <row r="9820" spans="1:13" s="360" customFormat="1" x14ac:dyDescent="0.25">
      <c r="A9820" s="367" t="s">
        <v>28</v>
      </c>
      <c r="B9820" s="2">
        <v>44302</v>
      </c>
      <c r="C9820" s="1">
        <v>144</v>
      </c>
      <c r="D9820" s="39">
        <f t="shared" si="1590"/>
        <v>12492</v>
      </c>
      <c r="E9820" s="1">
        <v>1</v>
      </c>
      <c r="F9820" s="39">
        <f t="shared" si="1596"/>
        <v>19</v>
      </c>
      <c r="G9820" s="168">
        <f>SUM(C9820,C9796,C9772,C9748,C9724,C9700,C9676,C9652,C9628,C9604,C9580,C9556,C9532,C9508)/POBLA!$B$3*100000</f>
        <v>449.64591587673726</v>
      </c>
      <c r="H9820" s="256">
        <f t="shared" si="1597"/>
        <v>1.7807435653002859</v>
      </c>
      <c r="I9820" s="297">
        <f t="shared" si="1599"/>
        <v>800.70407136105348</v>
      </c>
      <c r="J9820" s="297">
        <f t="shared" si="1600"/>
        <v>153.85714285714286</v>
      </c>
      <c r="K9820" s="297">
        <f>J9820/POBLA!$B$3*100000</f>
        <v>37.03492286626232</v>
      </c>
      <c r="L9820" s="549">
        <f t="shared" si="1598"/>
        <v>-0.36156763590391905</v>
      </c>
      <c r="M9820" s="401">
        <f>SUM(C9820,C9796,C9772,C9748,C9724,C9700,C9676)/POBLA!$B$3*100000</f>
        <v>259.24446006383624</v>
      </c>
    </row>
    <row r="9821" spans="1:13" s="360" customFormat="1" x14ac:dyDescent="0.25">
      <c r="A9821" s="367" t="s">
        <v>15</v>
      </c>
      <c r="B9821" s="2">
        <v>44302</v>
      </c>
      <c r="C9821" s="1">
        <v>309</v>
      </c>
      <c r="D9821" s="39">
        <f t="shared" si="1590"/>
        <v>41734</v>
      </c>
      <c r="E9821" s="1">
        <v>6</v>
      </c>
      <c r="F9821" s="39">
        <f t="shared" si="1596"/>
        <v>987</v>
      </c>
      <c r="G9821" s="168">
        <f>SUM(C9821,C9797,C9773,C9749,C9725,C9701,C9677,C9653,C9629,C9605,C9581,C9557,C9533,C9509)/POBLA!$B$4*100000</f>
        <v>238.51408959927474</v>
      </c>
      <c r="H9821" s="256">
        <f t="shared" si="1597"/>
        <v>1.3124714481498401</v>
      </c>
      <c r="I9821" s="297">
        <f t="shared" si="1599"/>
        <v>313.0429325805008</v>
      </c>
      <c r="J9821" s="297">
        <f t="shared" si="1600"/>
        <v>246.57142857142858</v>
      </c>
      <c r="K9821" s="297">
        <f>J9821/POBLA!$B$4*100000</f>
        <v>20.47015656349004</v>
      </c>
      <c r="L9821" s="549">
        <f t="shared" si="1598"/>
        <v>-0.5047951176983434</v>
      </c>
      <c r="M9821" s="401">
        <f>SUM(C9821,C9797,C9773,C9749,C9725,C9701,C9677)/POBLA!$B$4*100000</f>
        <v>143.29109594443028</v>
      </c>
    </row>
    <row r="9822" spans="1:13" s="360" customFormat="1" x14ac:dyDescent="0.25">
      <c r="A9822" s="367" t="s">
        <v>29</v>
      </c>
      <c r="B9822" s="2">
        <v>44302</v>
      </c>
      <c r="C9822" s="1">
        <v>272</v>
      </c>
      <c r="D9822" s="39">
        <f t="shared" si="1590"/>
        <v>52445</v>
      </c>
      <c r="E9822" s="1">
        <v>1</v>
      </c>
      <c r="F9822" s="39">
        <f t="shared" si="1596"/>
        <v>882</v>
      </c>
      <c r="G9822" s="168">
        <f>SUM(C9822,C9798,C9774,C9750,C9726,C9702,C9678,C9654,C9630,C9606,C9582,C9558,C9534,C9510)/POBLA!$B$5*100000</f>
        <v>351.05348355557567</v>
      </c>
      <c r="H9822" s="256">
        <f t="shared" si="1597"/>
        <v>1.3779327837666455</v>
      </c>
      <c r="I9822" s="297">
        <f t="shared" si="1599"/>
        <v>483.72810384671271</v>
      </c>
      <c r="J9822" s="297">
        <f t="shared" si="1600"/>
        <v>177</v>
      </c>
      <c r="K9822" s="297">
        <f>J9822/POBLA!$B$5*100000</f>
        <v>28.594784440560005</v>
      </c>
      <c r="L9822" s="549">
        <f t="shared" si="1598"/>
        <v>-0.32655246252676662</v>
      </c>
      <c r="M9822" s="401">
        <f>SUM(C9822,C9798,C9774,C9750,C9726,C9702,C9678)/POBLA!$B$5*100000</f>
        <v>200.16349108392004</v>
      </c>
    </row>
    <row r="9823" spans="1:13" s="360" customFormat="1" x14ac:dyDescent="0.25">
      <c r="A9823" s="367" t="s">
        <v>30</v>
      </c>
      <c r="B9823" s="2">
        <v>44302</v>
      </c>
      <c r="C9823" s="1">
        <v>189</v>
      </c>
      <c r="D9823" s="39">
        <f t="shared" si="1590"/>
        <v>34263</v>
      </c>
      <c r="E9823" s="1">
        <v>9</v>
      </c>
      <c r="F9823" s="39">
        <f t="shared" si="1596"/>
        <v>390</v>
      </c>
      <c r="G9823" s="168">
        <f>SUM(C9823,C9799,C9775,C9751,C9727,C9703,C9679,C9655,C9631,C9607,C9583,C9559,C9535,C9511)/POBLA!$B$6*100000</f>
        <v>320.39585974673469</v>
      </c>
      <c r="H9823" s="256">
        <f t="shared" si="1597"/>
        <v>0.79166666666666663</v>
      </c>
      <c r="I9823" s="297">
        <f t="shared" si="1599"/>
        <v>253.64672229949829</v>
      </c>
      <c r="J9823" s="297">
        <f t="shared" si="1600"/>
        <v>212.71428571428572</v>
      </c>
      <c r="K9823" s="297">
        <f>J9823/POBLA!$B$6*100000</f>
        <v>18.978773726494332</v>
      </c>
      <c r="L9823" s="549">
        <f t="shared" si="1598"/>
        <v>0.29162702188392009</v>
      </c>
      <c r="M9823" s="401">
        <f>SUM(C9823,C9799,C9775,C9751,C9727,C9703,C9679)/POBLA!$B$6*100000</f>
        <v>132.8514160854603</v>
      </c>
    </row>
    <row r="9824" spans="1:13" s="360" customFormat="1" x14ac:dyDescent="0.25">
      <c r="A9824" s="367" t="s">
        <v>20</v>
      </c>
      <c r="B9824" s="2">
        <v>44302</v>
      </c>
      <c r="C9824" s="1">
        <v>2332</v>
      </c>
      <c r="D9824" s="39">
        <f t="shared" si="1590"/>
        <v>204573</v>
      </c>
      <c r="E9824" s="1">
        <v>10</v>
      </c>
      <c r="F9824" s="39">
        <f t="shared" si="1596"/>
        <v>3172</v>
      </c>
      <c r="G9824" s="168">
        <f>SUM(C9824,C9800,C9776,C9752,C9728,C9704,C9680,C9656,C9632,C9608,C9584,C9560,C9536,C9512)/POBLA!$B$7*100000</f>
        <v>586.33940086957682</v>
      </c>
      <c r="H9824" s="256">
        <f t="shared" si="1597"/>
        <v>1.9546985815602838</v>
      </c>
      <c r="I9824" s="297">
        <f t="shared" si="1599"/>
        <v>1146.1167951926684</v>
      </c>
      <c r="J9824" s="297">
        <f t="shared" si="1600"/>
        <v>1664.7142857142858</v>
      </c>
      <c r="K9824" s="297">
        <f>J9824/POBLA!$B$7*100000</f>
        <v>44.269017955677803</v>
      </c>
      <c r="L9824" s="549">
        <f t="shared" si="1598"/>
        <v>-0.12091188918814932</v>
      </c>
      <c r="M9824" s="401">
        <f>SUM(C9824,C9800,C9776,C9752,C9728,C9704,C9680)/POBLA!$B$7*100000</f>
        <v>309.88312568974459</v>
      </c>
    </row>
    <row r="9825" spans="1:13" x14ac:dyDescent="0.25">
      <c r="A9825" s="367" t="s">
        <v>31</v>
      </c>
      <c r="B9825" s="2">
        <v>44302</v>
      </c>
      <c r="C9825" s="1">
        <v>626</v>
      </c>
      <c r="D9825" s="39">
        <f t="shared" si="1590"/>
        <v>55697</v>
      </c>
      <c r="E9825" s="1">
        <v>4</v>
      </c>
      <c r="F9825" s="39">
        <f t="shared" si="1596"/>
        <v>999</v>
      </c>
      <c r="G9825" s="168">
        <f>SUM(C9825,C9801,C9777,C9753,C9729,C9705,C9681,C9657,C9633,C9609,C9585,C9561,C9537,C9513)/POBLA!$B$8*100000</f>
        <v>386.87957309044049</v>
      </c>
      <c r="H9825" s="256">
        <f t="shared" si="1597"/>
        <v>2.1560112585444311</v>
      </c>
      <c r="I9825" s="297">
        <f t="shared" si="1599"/>
        <v>834.11671528385284</v>
      </c>
      <c r="J9825" s="297">
        <f t="shared" si="1600"/>
        <v>467.85714285714283</v>
      </c>
      <c r="K9825" s="297">
        <f>J9825/POBLA!$B$8*100000</f>
        <v>33.75687648188822</v>
      </c>
      <c r="L9825" s="549">
        <f t="shared" si="1598"/>
        <v>-0.56923814087206526</v>
      </c>
      <c r="M9825" s="401">
        <f>SUM(C9825,C9801,C9777,C9753,C9729,C9705,C9681)/POBLA!$B$8*100000</f>
        <v>236.29813537321755</v>
      </c>
    </row>
    <row r="9826" spans="1:13" s="360" customFormat="1" x14ac:dyDescent="0.25">
      <c r="A9826" s="367" t="s">
        <v>41</v>
      </c>
      <c r="B9826" s="2">
        <v>44302</v>
      </c>
      <c r="C9826" s="1">
        <v>93</v>
      </c>
      <c r="D9826" s="39">
        <f t="shared" si="1590"/>
        <v>3412</v>
      </c>
      <c r="E9826" s="1"/>
      <c r="F9826" s="39">
        <f t="shared" si="1596"/>
        <v>61</v>
      </c>
      <c r="G9826" s="168">
        <f>SUM(C9826,C9802,C9778,C9754,C9730,C9706,C9682,C9658,C9634,C9610,C9586,C9562,C9538,C9514)/POBLA!$B$9*100000</f>
        <v>184.73445661136199</v>
      </c>
      <c r="H9826" s="256">
        <f t="shared" si="1597"/>
        <v>1.8357963875205254</v>
      </c>
      <c r="I9826" s="297">
        <f t="shared" si="1599"/>
        <v>339.13484809770557</v>
      </c>
      <c r="J9826" s="297">
        <f t="shared" si="1600"/>
        <v>110.14285714285714</v>
      </c>
      <c r="K9826" s="297">
        <f>J9826/POBLA!$B$9*100000</f>
        <v>18.199625101886031</v>
      </c>
      <c r="L9826" s="549">
        <f t="shared" si="1598"/>
        <v>-1.2219020172910664</v>
      </c>
      <c r="M9826" s="401">
        <f>SUM(C9826,C9802,C9778,C9754,C9730,C9706,C9682)/POBLA!$B$9*100000</f>
        <v>127.39737571320224</v>
      </c>
    </row>
    <row r="9827" spans="1:13" s="360" customFormat="1" x14ac:dyDescent="0.25">
      <c r="A9827" s="367" t="s">
        <v>32</v>
      </c>
      <c r="B9827" s="2">
        <v>44302</v>
      </c>
      <c r="C9827" s="1">
        <v>113</v>
      </c>
      <c r="D9827" s="39">
        <f t="shared" si="1590"/>
        <v>23472</v>
      </c>
      <c r="E9827" s="1"/>
      <c r="F9827" s="39">
        <f t="shared" si="1596"/>
        <v>998</v>
      </c>
      <c r="G9827" s="168">
        <f>SUM(C9827,C9803,C9779,C9755,C9731,C9707,C9683,C9659,C9635,C9611,C9587,C9563,C9539,C9515)/POBLA!$B$10*100000</f>
        <v>115.06315501354943</v>
      </c>
      <c r="H9827" s="256">
        <f t="shared" si="1597"/>
        <v>1.3773291925465838</v>
      </c>
      <c r="I9827" s="297">
        <f t="shared" si="1599"/>
        <v>158.47984238667445</v>
      </c>
      <c r="J9827" s="297">
        <f t="shared" si="1600"/>
        <v>75.428571428571431</v>
      </c>
      <c r="K9827" s="297">
        <f>J9827/POBLA!$B$10*100000</f>
        <v>9.7847231192066531</v>
      </c>
      <c r="L9827" s="549">
        <f t="shared" si="1598"/>
        <v>-0.47075208913649025</v>
      </c>
      <c r="M9827" s="401">
        <f>SUM(C9827,C9803,C9779,C9755,C9731,C9707,C9683)/POBLA!$B$10*100000</f>
        <v>68.493061834446564</v>
      </c>
    </row>
    <row r="9828" spans="1:13" s="360" customFormat="1" x14ac:dyDescent="0.25">
      <c r="A9828" s="367" t="s">
        <v>33</v>
      </c>
      <c r="B9828" s="2">
        <v>44302</v>
      </c>
      <c r="C9828" s="1">
        <v>406</v>
      </c>
      <c r="D9828" s="39">
        <f t="shared" si="1590"/>
        <v>23733</v>
      </c>
      <c r="E9828" s="1"/>
      <c r="F9828" s="39">
        <f t="shared" si="1596"/>
        <v>332</v>
      </c>
      <c r="G9828" s="168">
        <f>SUM(C9828,C9804,C9780,C9756,C9732,C9708,C9684,C9660,C9636,C9612,C9588,C9564,C9540,C9516)/POBLA!$B$11*100000</f>
        <v>636.39001417299994</v>
      </c>
      <c r="H9828" s="256">
        <f t="shared" si="1597"/>
        <v>2.1258154706430568</v>
      </c>
      <c r="I9828" s="297">
        <f t="shared" si="1599"/>
        <v>1352.8477374917175</v>
      </c>
      <c r="J9828" s="297">
        <f t="shared" si="1600"/>
        <v>180.42857142857142</v>
      </c>
      <c r="K9828" s="297">
        <f>J9828/POBLA!$B$11*100000</f>
        <v>50.338860643859128</v>
      </c>
      <c r="L9828" s="549">
        <f t="shared" si="1598"/>
        <v>-0.24066797642436155</v>
      </c>
      <c r="M9828" s="401">
        <f>SUM(C9828,C9804,C9780,C9756,C9732,C9708,C9684)/POBLA!$B$11*100000</f>
        <v>352.37202450701398</v>
      </c>
    </row>
    <row r="9829" spans="1:13" s="360" customFormat="1" x14ac:dyDescent="0.25">
      <c r="A9829" s="367" t="s">
        <v>21</v>
      </c>
      <c r="B9829" s="2">
        <v>44302</v>
      </c>
      <c r="C9829" s="1">
        <v>104</v>
      </c>
      <c r="D9829" s="39">
        <f t="shared" si="1590"/>
        <v>12393</v>
      </c>
      <c r="E9829" s="1">
        <v>4</v>
      </c>
      <c r="F9829" s="39">
        <f t="shared" si="1596"/>
        <v>455</v>
      </c>
      <c r="G9829" s="168">
        <f>SUM(C9829,C9805,C9781,C9757,C9733,C9709,C9685,C9661,C9637,C9613,C9589,C9565,C9541,C9517)/POBLA!$B$12*100000</f>
        <v>302.13629930043629</v>
      </c>
      <c r="H9829" s="256">
        <f t="shared" si="1597"/>
        <v>2.1308243727598568</v>
      </c>
      <c r="I9829" s="297">
        <f t="shared" si="1599"/>
        <v>643.79939044483649</v>
      </c>
      <c r="J9829" s="297">
        <f t="shared" si="1600"/>
        <v>88.428571428571431</v>
      </c>
      <c r="K9829" s="297">
        <f>J9829/POBLA!$B$12*100000</f>
        <v>22.470547791297619</v>
      </c>
      <c r="L9829" s="549">
        <f t="shared" si="1598"/>
        <v>-8.59649122807018E-2</v>
      </c>
      <c r="M9829" s="401">
        <f>SUM(C9829,C9805,C9781,C9757,C9733,C9709,C9685)/POBLA!$B$12*100000</f>
        <v>157.29383453908332</v>
      </c>
    </row>
    <row r="9830" spans="1:13" s="360" customFormat="1" x14ac:dyDescent="0.25">
      <c r="A9830" s="367" t="s">
        <v>17</v>
      </c>
      <c r="B9830" s="2">
        <v>44302</v>
      </c>
      <c r="C9830" s="1">
        <v>1150</v>
      </c>
      <c r="D9830" s="39">
        <f t="shared" si="1590"/>
        <v>84814</v>
      </c>
      <c r="E9830" s="1">
        <v>9</v>
      </c>
      <c r="F9830" s="39">
        <f t="shared" si="1596"/>
        <v>1626</v>
      </c>
      <c r="G9830" s="168">
        <f>SUM(C9830,C9806,C9782,C9758,C9734,C9710,C9686,C9662,C9638,C9614,C9590,C9566,C9542,C9518)/POBLA!$B$13*100000</f>
        <v>556.8903372191055</v>
      </c>
      <c r="H9830" s="256">
        <f t="shared" si="1597"/>
        <v>3.1741122565864832</v>
      </c>
      <c r="I9830" s="297">
        <f t="shared" si="1599"/>
        <v>1767.6324449417425</v>
      </c>
      <c r="J9830" s="297">
        <f t="shared" si="1600"/>
        <v>852.57142857142856</v>
      </c>
      <c r="K9830" s="297">
        <f>J9830/POBLA!$B$13*100000</f>
        <v>42.835509776300739</v>
      </c>
      <c r="L9830" s="549">
        <f t="shared" si="1598"/>
        <v>-0.16653635652853782</v>
      </c>
      <c r="M9830" s="401">
        <f>SUM(C9830,C9806,C9782,C9758,C9734,C9710,C9686)/POBLA!$B$13*100000</f>
        <v>299.84856843410518</v>
      </c>
    </row>
    <row r="9831" spans="1:13" s="360" customFormat="1" x14ac:dyDescent="0.25">
      <c r="A9831" s="367" t="s">
        <v>23</v>
      </c>
      <c r="B9831" s="2">
        <v>44302</v>
      </c>
      <c r="C9831" s="1">
        <v>189</v>
      </c>
      <c r="D9831" s="39">
        <f t="shared" si="1590"/>
        <v>14066</v>
      </c>
      <c r="E9831" s="1">
        <v>1</v>
      </c>
      <c r="F9831" s="39">
        <f t="shared" si="1596"/>
        <v>226</v>
      </c>
      <c r="G9831" s="168">
        <f>SUM(C9831,C9807,C9783,C9759,C9735,C9711,C9687,C9663,C9639,C9615,C9591,C9567,C9543,C9519)/POBLA!$B$14*100000</f>
        <v>144.53410545043423</v>
      </c>
      <c r="H9831" s="256">
        <f t="shared" si="1597"/>
        <v>1.0968712394705173</v>
      </c>
      <c r="I9831" s="297">
        <f t="shared" si="1599"/>
        <v>158.53530339118024</v>
      </c>
      <c r="J9831" s="297">
        <f t="shared" si="1600"/>
        <v>146.85714285714286</v>
      </c>
      <c r="K9831" s="297">
        <f>J9831/POBLA!$B$14*100000</f>
        <v>11.643371240737121</v>
      </c>
      <c r="L9831" s="549">
        <f t="shared" si="1598"/>
        <v>-0.29308176100628924</v>
      </c>
      <c r="M9831" s="401">
        <f>SUM(C9831,C9807,C9783,C9759,C9735,C9711,C9687)/POBLA!$B$14*100000</f>
        <v>81.503598685159844</v>
      </c>
    </row>
    <row r="9832" spans="1:13" s="360" customFormat="1" x14ac:dyDescent="0.25">
      <c r="A9832" s="367" t="s">
        <v>19</v>
      </c>
      <c r="B9832" s="2">
        <v>44302</v>
      </c>
      <c r="C9832" s="1">
        <v>295</v>
      </c>
      <c r="D9832" s="39">
        <f t="shared" si="1590"/>
        <v>67583</v>
      </c>
      <c r="E9832" s="1"/>
      <c r="F9832" s="39">
        <f t="shared" si="1596"/>
        <v>1026</v>
      </c>
      <c r="G9832" s="168">
        <f>SUM(C9832,C9808,C9784,C9760,C9736,C9712,C9688,C9664,C9640,C9616,C9592,C9568,C9544,C9520)/POBLA!$B$15*100000</f>
        <v>333.10393535494694</v>
      </c>
      <c r="H9832" s="256">
        <f t="shared" si="1597"/>
        <v>1.5129958960328318</v>
      </c>
      <c r="I9832" s="297">
        <f t="shared" si="1599"/>
        <v>503.98488714442044</v>
      </c>
      <c r="J9832" s="297">
        <f t="shared" si="1600"/>
        <v>176.42857142857142</v>
      </c>
      <c r="K9832" s="297">
        <f>J9832/POBLA!$B$15*100000</f>
        <v>26.568287274823007</v>
      </c>
      <c r="L9832" s="549">
        <f t="shared" si="1598"/>
        <v>-0.26407369498464695</v>
      </c>
      <c r="M9832" s="401">
        <f>SUM(C9832,C9808,C9784,C9760,C9736,C9712,C9688)/POBLA!$B$15*100000</f>
        <v>185.97801092376105</v>
      </c>
    </row>
    <row r="9833" spans="1:13" s="360" customFormat="1" x14ac:dyDescent="0.25">
      <c r="A9833" s="367" t="s">
        <v>18</v>
      </c>
      <c r="B9833" s="2">
        <v>44302</v>
      </c>
      <c r="C9833" s="1">
        <v>196</v>
      </c>
      <c r="D9833" s="39">
        <f t="shared" si="1590"/>
        <v>57842</v>
      </c>
      <c r="E9833" s="1">
        <v>2</v>
      </c>
      <c r="F9833" s="39">
        <f t="shared" si="1596"/>
        <v>1312</v>
      </c>
      <c r="G9833" s="168">
        <f>SUM(C9833,C9809,C9785,C9761,C9737,C9713,C9689,C9665,C9641,C9617,C9593,C9569,C9545,C9521)/POBLA!$B$16*100000</f>
        <v>301.36033493398963</v>
      </c>
      <c r="H9833" s="256">
        <f t="shared" si="1597"/>
        <v>1.741112828438949</v>
      </c>
      <c r="I9833" s="297">
        <f t="shared" si="1599"/>
        <v>524.70234513622768</v>
      </c>
      <c r="J9833" s="297">
        <f t="shared" si="1600"/>
        <v>178.28571428571428</v>
      </c>
      <c r="K9833" s="297">
        <f>J9833/POBLA!$B$16*100000</f>
        <v>23.84742235734063</v>
      </c>
      <c r="L9833" s="549">
        <f t="shared" si="1598"/>
        <v>-0.24179104477611935</v>
      </c>
      <c r="M9833" s="401">
        <f>SUM(C9833,C9809,C9785,C9761,C9737,C9713,C9689)/POBLA!$B$16*100000</f>
        <v>166.93195650138441</v>
      </c>
    </row>
    <row r="9834" spans="1:13" s="360" customFormat="1" x14ac:dyDescent="0.25">
      <c r="A9834" s="367" t="s">
        <v>34</v>
      </c>
      <c r="B9834" s="2">
        <v>44302</v>
      </c>
      <c r="C9834" s="1">
        <v>280</v>
      </c>
      <c r="D9834" s="39">
        <f t="shared" si="1590"/>
        <v>32151</v>
      </c>
      <c r="E9834" s="1">
        <v>9</v>
      </c>
      <c r="F9834" s="39">
        <f t="shared" si="1596"/>
        <v>1256</v>
      </c>
      <c r="G9834" s="168">
        <f>SUM(C9834,C9810,C9786,C9762,C9738,C9714,C9690,C9666,C9642,C9618,C9594,C9570,C9546,C9522)/POBLA!$B$17*100000</f>
        <v>179.65496978721521</v>
      </c>
      <c r="H9834" s="256">
        <f t="shared" si="1597"/>
        <v>1.7733887733887734</v>
      </c>
      <c r="I9834" s="297">
        <f t="shared" si="1599"/>
        <v>318.59810650414676</v>
      </c>
      <c r="J9834" s="297">
        <f t="shared" si="1600"/>
        <v>202.42857142857142</v>
      </c>
      <c r="K9834" s="297">
        <f>J9834/POBLA!$B$17*100000</f>
        <v>14.211527504520959</v>
      </c>
      <c r="L9834" s="549">
        <f t="shared" si="1598"/>
        <v>-0.24080560420315233</v>
      </c>
      <c r="M9834" s="401">
        <f>SUM(C9834,C9810,C9786,C9762,C9738,C9714,C9690)/POBLA!$B$17*100000</f>
        <v>99.480692531646739</v>
      </c>
    </row>
    <row r="9835" spans="1:13" s="360" customFormat="1" x14ac:dyDescent="0.25">
      <c r="A9835" s="367" t="s">
        <v>35</v>
      </c>
      <c r="B9835" s="2">
        <v>44302</v>
      </c>
      <c r="C9835" s="1">
        <v>234</v>
      </c>
      <c r="D9835" s="39">
        <f t="shared" si="1590"/>
        <v>20027</v>
      </c>
      <c r="E9835" s="1">
        <v>2</v>
      </c>
      <c r="F9835" s="39">
        <f t="shared" si="1596"/>
        <v>240</v>
      </c>
      <c r="G9835" s="168">
        <f>SUM(C9835,C9811,C9787,C9763,C9739,C9715,C9691,C9667,C9643,C9619,C9595,C9571,C9547,C9523)/POBLA!$B$18*100000</f>
        <v>331.66200940327718</v>
      </c>
      <c r="H9835" s="256">
        <f t="shared" si="1597"/>
        <v>2.2221269296740993</v>
      </c>
      <c r="I9835" s="297">
        <f t="shared" si="1599"/>
        <v>736.99508264484655</v>
      </c>
      <c r="J9835" s="297">
        <f t="shared" si="1600"/>
        <v>191.42857142857142</v>
      </c>
      <c r="K9835" s="297">
        <f>J9835/POBLA!$B$18*100000</f>
        <v>24.50389218726313</v>
      </c>
      <c r="L9835" s="549">
        <f t="shared" si="1598"/>
        <v>-7.1143085531574668E-2</v>
      </c>
      <c r="M9835" s="401">
        <f>SUM(C9835,C9811,C9787,C9763,C9739,C9715,C9691)/POBLA!$B$18*100000</f>
        <v>171.52724531084195</v>
      </c>
    </row>
    <row r="9836" spans="1:13" s="360" customFormat="1" x14ac:dyDescent="0.25">
      <c r="A9836" s="367" t="s">
        <v>36</v>
      </c>
      <c r="B9836" s="2">
        <v>44302</v>
      </c>
      <c r="C9836" s="1">
        <v>758</v>
      </c>
      <c r="D9836" s="39">
        <f t="shared" si="1590"/>
        <v>29107</v>
      </c>
      <c r="E9836" s="1"/>
      <c r="F9836" s="39">
        <f t="shared" si="1596"/>
        <v>448</v>
      </c>
      <c r="G9836" s="168">
        <f>SUM(C9836,C9812,C9788,C9764,C9740,C9716,C9692,C9668,C9644,C9620,C9596,C9572,C9548,C9524)/POBLA!$B$19*100000</f>
        <v>1164.0122125871485</v>
      </c>
      <c r="H9836" s="256">
        <f t="shared" si="1597"/>
        <v>3.6101281269066505</v>
      </c>
      <c r="I9836" s="297">
        <f t="shared" si="1599"/>
        <v>4202.2332287237086</v>
      </c>
      <c r="J9836" s="297">
        <f t="shared" si="1600"/>
        <v>500.71428571428572</v>
      </c>
      <c r="K9836" s="297">
        <f>J9836/POBLA!$B$19*100000</f>
        <v>98.5022044259387</v>
      </c>
      <c r="L9836" s="549">
        <f t="shared" si="1598"/>
        <v>-0.45315091210613589</v>
      </c>
      <c r="M9836" s="401">
        <f>SUM(C9836,C9812,C9788,C9764,C9740,C9716,C9692)/POBLA!$B$19*100000</f>
        <v>689.51543098157094</v>
      </c>
    </row>
    <row r="9837" spans="1:13" s="360" customFormat="1" x14ac:dyDescent="0.25">
      <c r="A9837" s="367" t="s">
        <v>37</v>
      </c>
      <c r="B9837" s="2">
        <v>44302</v>
      </c>
      <c r="C9837" s="1">
        <v>157</v>
      </c>
      <c r="D9837" s="39">
        <f t="shared" si="1590"/>
        <v>41941</v>
      </c>
      <c r="E9837" s="1">
        <v>1</v>
      </c>
      <c r="F9837" s="39">
        <f t="shared" si="1596"/>
        <v>675</v>
      </c>
      <c r="G9837" s="168">
        <f>SUM(C9837,C9813,C9789,C9765,C9741,C9717,C9693,C9669,C9645,C9621,C9597,C9573,C9549,C9525)/POBLA!$B$20*100000</f>
        <v>628.9342572286422</v>
      </c>
      <c r="H9837" s="256">
        <f t="shared" si="1597"/>
        <v>1.3964784456587735</v>
      </c>
      <c r="I9837" s="297">
        <f t="shared" si="1599"/>
        <v>878.29313395620954</v>
      </c>
      <c r="J9837" s="297">
        <f t="shared" si="1600"/>
        <v>180</v>
      </c>
      <c r="K9837" s="297">
        <f>J9837/POBLA!$B$20*100000</f>
        <v>49.220941870067655</v>
      </c>
      <c r="L9837" s="549">
        <f t="shared" si="1598"/>
        <v>-0.21153846153846145</v>
      </c>
      <c r="M9837" s="401">
        <f>SUM(C9837,C9813,C9789,C9765,C9741,C9717,C9693)/POBLA!$B$20*100000</f>
        <v>344.54659309047355</v>
      </c>
    </row>
    <row r="9838" spans="1:13" s="360" customFormat="1" x14ac:dyDescent="0.25">
      <c r="A9838" s="367" t="s">
        <v>22</v>
      </c>
      <c r="B9838" s="2">
        <v>44302</v>
      </c>
      <c r="C9838" s="1">
        <v>1954</v>
      </c>
      <c r="D9838" s="39">
        <f t="shared" si="1590"/>
        <v>250607</v>
      </c>
      <c r="E9838" s="1">
        <v>8</v>
      </c>
      <c r="F9838" s="39">
        <f t="shared" si="1596"/>
        <v>4396</v>
      </c>
      <c r="G9838" s="168">
        <f>SUM(C9838,C9814,C9790,C9766,C9742,C9718,C9694,C9670,C9646,C9622,C9598,C9574,C9550,C9526)/POBLA!$B$21*100000</f>
        <v>498.30082303619088</v>
      </c>
      <c r="H9838" s="256">
        <f t="shared" si="1597"/>
        <v>2.1619433198380569</v>
      </c>
      <c r="I9838" s="297">
        <f t="shared" si="1599"/>
        <v>1077.2981356328985</v>
      </c>
      <c r="J9838" s="297">
        <f t="shared" si="1600"/>
        <v>1511.7142857142858</v>
      </c>
      <c r="K9838" s="297">
        <f>J9838/POBLA!$B$21*100000</f>
        <v>42.747047597718534</v>
      </c>
      <c r="L9838" s="549">
        <f t="shared" si="1598"/>
        <v>-0.50312500000000004</v>
      </c>
      <c r="M9838" s="401">
        <f>SUM(C9838,C9814,C9790,C9766,C9742,C9718,C9694)/POBLA!$B$21*100000</f>
        <v>299.22933318402971</v>
      </c>
    </row>
    <row r="9839" spans="1:13" s="360" customFormat="1" x14ac:dyDescent="0.25">
      <c r="A9839" s="367" t="s">
        <v>38</v>
      </c>
      <c r="B9839" s="2">
        <v>44302</v>
      </c>
      <c r="C9839" s="1">
        <v>258</v>
      </c>
      <c r="D9839" s="39">
        <f t="shared" si="1590"/>
        <v>27765</v>
      </c>
      <c r="E9839" s="1">
        <v>7</v>
      </c>
      <c r="F9839" s="39">
        <f t="shared" si="1596"/>
        <v>319</v>
      </c>
      <c r="G9839" s="168">
        <f>SUM(C9839,C9815,C9791,C9767,C9743,C9719,C9695,C9671,C9647,C9623,C9599,C9575,C9551,C9527)/POBLA!$B$22*100000</f>
        <v>241.2315894810761</v>
      </c>
      <c r="H9839" s="256">
        <f t="shared" si="1597"/>
        <v>1.6098226466575716</v>
      </c>
      <c r="I9839" s="297">
        <f t="shared" si="1599"/>
        <v>388.34007583583872</v>
      </c>
      <c r="J9839" s="297">
        <f t="shared" si="1600"/>
        <v>190.71428571428572</v>
      </c>
      <c r="K9839" s="297">
        <f>J9839/POBLA!$B$22*100000</f>
        <v>19.494199271019166</v>
      </c>
      <c r="L9839" s="549">
        <f t="shared" si="1598"/>
        <v>-0.30243902439024395</v>
      </c>
      <c r="M9839" s="401">
        <f>SUM(C9839,C9815,C9791,C9767,C9743,C9719,C9695)/POBLA!$B$22*100000</f>
        <v>136.45939489713416</v>
      </c>
    </row>
    <row r="9840" spans="1:13" s="360" customFormat="1" x14ac:dyDescent="0.25">
      <c r="A9840" s="367" t="s">
        <v>39</v>
      </c>
      <c r="B9840" s="2">
        <v>44302</v>
      </c>
      <c r="C9840" s="1">
        <v>101</v>
      </c>
      <c r="D9840" s="39">
        <f t="shared" si="1590"/>
        <v>25331</v>
      </c>
      <c r="E9840" s="1"/>
      <c r="F9840" s="39">
        <f t="shared" si="1596"/>
        <v>374</v>
      </c>
      <c r="G9840" s="168">
        <f>SUM(C9840,C9816,C9792,C9768,C9744,C9720,C9696,C9672,C9648,C9624,C9600,C9576,C9552,C9528)/POBLA!$B$23*100000</f>
        <v>632.24565967313242</v>
      </c>
      <c r="H9840" s="256">
        <f t="shared" si="1597"/>
        <v>1.6538461538461537</v>
      </c>
      <c r="I9840" s="297">
        <f t="shared" si="1599"/>
        <v>1045.6370525363343</v>
      </c>
      <c r="J9840" s="297">
        <f t="shared" si="1600"/>
        <v>89.571428571428569</v>
      </c>
      <c r="K9840" s="297">
        <f>J9840/POBLA!$B$23*100000</f>
        <v>50.653977589452339</v>
      </c>
      <c r="L9840" s="549">
        <f t="shared" si="1598"/>
        <v>-0.27698574338085535</v>
      </c>
      <c r="M9840" s="401">
        <f>SUM(C9840,C9816,C9792,C9768,C9744,C9720,C9696)/POBLA!$B$23*100000</f>
        <v>354.57784312616639</v>
      </c>
    </row>
    <row r="9841" spans="1:13" s="360" customFormat="1" ht="15.75" thickBot="1" x14ac:dyDescent="0.3">
      <c r="A9841" s="369" t="s">
        <v>40</v>
      </c>
      <c r="B9841" s="2">
        <v>44302</v>
      </c>
      <c r="C9841" s="1">
        <v>833</v>
      </c>
      <c r="D9841" s="176">
        <f t="shared" si="1590"/>
        <v>96983</v>
      </c>
      <c r="E9841" s="1">
        <v>4</v>
      </c>
      <c r="F9841" s="176">
        <f t="shared" si="1596"/>
        <v>1569</v>
      </c>
      <c r="G9841" s="177">
        <f>SUM(C9841,C9817,C9793,C9769,C9745,C9721,C9697,C9673,C9649,C9625,C9601,C9577,C9553,C9529)/POBLA!$B$24*100000</f>
        <v>491.30915064768305</v>
      </c>
      <c r="H9841" s="402">
        <f t="shared" si="1597"/>
        <v>1.6675345483677149</v>
      </c>
      <c r="I9841" s="403">
        <f t="shared" si="1599"/>
        <v>819.27498263420978</v>
      </c>
      <c r="J9841" s="403">
        <f t="shared" si="1600"/>
        <v>627.42857142857144</v>
      </c>
      <c r="K9841" s="403">
        <f>J9841/POBLA!$B$24*100000</f>
        <v>37.023948897509079</v>
      </c>
      <c r="L9841" s="550">
        <f t="shared" si="1598"/>
        <v>-0.11642094560244032</v>
      </c>
      <c r="M9841" s="405">
        <f>SUM(C9841,C9817,C9793,C9769,C9745,C9721,C9697)/POBLA!$B$24*100000</f>
        <v>259.16764228256352</v>
      </c>
    </row>
    <row r="9842" spans="1:13" s="360" customFormat="1" x14ac:dyDescent="0.25">
      <c r="A9842" s="374" t="s">
        <v>16</v>
      </c>
      <c r="B9842" s="2">
        <v>44303</v>
      </c>
      <c r="C9842" s="42">
        <v>9376</v>
      </c>
      <c r="D9842" s="262">
        <f t="shared" si="1590"/>
        <v>1154690</v>
      </c>
      <c r="E9842" s="1">
        <v>29</v>
      </c>
      <c r="F9842" s="262">
        <f t="shared" ref="F9842:F9865" si="1601">E9842+F9818</f>
        <v>30174</v>
      </c>
      <c r="G9842" s="175">
        <f>SUM(C9842,C9818,C9794,C9770,C9746,C9722,C9698,C9674,C9650,C9626,C9602,C9578,C9554,C9530)/POBLA!$B$1*100000</f>
        <v>853.50206123991597</v>
      </c>
      <c r="H9842" s="300">
        <f t="shared" ref="H9842:H9865" si="1602">SUM(C9842,C9818,C9794,C9770,C9746,C9722,C9698,C9674,C9650,C9626,C9602,C9578,C9554,C9530)/SUM(C9506,C9482,C9458,C9434,C9410,C9386,C9362,C9338,C9314,C9290,C9266,C9242,C9218,C9194)</f>
        <v>2.2212430082639725</v>
      </c>
      <c r="I9842" s="301">
        <f>G9842*H9842</f>
        <v>1895.8354860680522</v>
      </c>
      <c r="J9842" s="301">
        <f>AVERAGE(C9842,C9818,C9794,C9770,C9746,C9722,C9698)</f>
        <v>11701.285714285714</v>
      </c>
      <c r="K9842" s="301">
        <f>J9842/POBLA!$B$1*100000</f>
        <v>66.707665791442608</v>
      </c>
      <c r="L9842" s="548">
        <f t="shared" ref="L9842:L9865" si="1603">1-SUM(C9842,C9818,C9794,C9770,C9746,C9722,C9698)/SUM(C9674,C9650,C9626,C9602,C9578,C9554,C9530)</f>
        <v>-0.2080082589779515</v>
      </c>
      <c r="M9842" s="400">
        <f>SUM(C9842,C9818,C9794,C9770,C9746,C9722,C9698)/POBLA!$B$1*100000</f>
        <v>466.95366054009833</v>
      </c>
    </row>
    <row r="9843" spans="1:13" s="360" customFormat="1" x14ac:dyDescent="0.25">
      <c r="A9843" s="367" t="s">
        <v>43</v>
      </c>
      <c r="B9843" s="2">
        <v>44303</v>
      </c>
      <c r="C9843" s="1">
        <v>2833</v>
      </c>
      <c r="D9843" s="39">
        <f t="shared" ref="D9843:D9906" si="1604">C9843+D9819</f>
        <v>303715</v>
      </c>
      <c r="E9843" s="1">
        <v>17</v>
      </c>
      <c r="F9843" s="39">
        <f t="shared" si="1601"/>
        <v>7219</v>
      </c>
      <c r="G9843" s="168">
        <f>SUM(C9843,C9819,C9795,C9771,C9747,C9723,C9699,C9675,C9651,C9627,C9603,C9579,C9555,C9531)/POBLA!$B$2*100000</f>
        <v>1210.1197602064738</v>
      </c>
      <c r="H9843" s="256">
        <f t="shared" si="1602"/>
        <v>1.9675935715796151</v>
      </c>
      <c r="I9843" s="297">
        <f t="shared" ref="I9843:I9865" si="1605">G9843*H9843</f>
        <v>2381.0238610237229</v>
      </c>
      <c r="J9843" s="297">
        <f t="shared" ref="J9843:J9865" si="1606">AVERAGE(C9843,C9819,C9795,C9771,C9747,C9723,C9699)</f>
        <v>2947.1428571428573</v>
      </c>
      <c r="K9843" s="297">
        <f>J9843/POBLA!$B$2*100000</f>
        <v>95.821913742441666</v>
      </c>
      <c r="L9843" s="549">
        <f t="shared" si="1603"/>
        <v>-0.24359515341491345</v>
      </c>
      <c r="M9843" s="401">
        <f>SUM(C9843,C9819,C9795,C9771,C9747,C9723,C9699)/POBLA!$B$2*100000</f>
        <v>670.75339619709155</v>
      </c>
    </row>
    <row r="9844" spans="1:13" s="360" customFormat="1" x14ac:dyDescent="0.25">
      <c r="A9844" s="367" t="s">
        <v>28</v>
      </c>
      <c r="B9844" s="2">
        <v>44303</v>
      </c>
      <c r="C9844" s="1">
        <v>153</v>
      </c>
      <c r="D9844" s="39">
        <f t="shared" si="1604"/>
        <v>12645</v>
      </c>
      <c r="E9844" s="1"/>
      <c r="F9844" s="39">
        <f t="shared" si="1601"/>
        <v>19</v>
      </c>
      <c r="G9844" s="168">
        <f>SUM(C9844,C9820,C9796,C9772,C9748,C9724,C9700,C9676,C9652,C9628,C9604,C9580,C9556,C9532)/POBLA!$B$3*100000</f>
        <v>466.49560223186126</v>
      </c>
      <c r="H9844" s="256">
        <f t="shared" si="1602"/>
        <v>1.8300283286118981</v>
      </c>
      <c r="I9844" s="297">
        <f t="shared" si="1605"/>
        <v>853.70016725717392</v>
      </c>
      <c r="J9844" s="297">
        <f t="shared" si="1606"/>
        <v>153</v>
      </c>
      <c r="K9844" s="297">
        <f>J9844/POBLA!$B$3*100000</f>
        <v>36.828600176199579</v>
      </c>
      <c r="L9844" s="549">
        <f t="shared" si="1603"/>
        <v>-0.23529411764705888</v>
      </c>
      <c r="M9844" s="401">
        <f>SUM(C9844,C9820,C9796,C9772,C9748,C9724,C9700)/POBLA!$B$3*100000</f>
        <v>257.80020123339705</v>
      </c>
    </row>
    <row r="9845" spans="1:13" s="360" customFormat="1" x14ac:dyDescent="0.25">
      <c r="A9845" s="367" t="s">
        <v>15</v>
      </c>
      <c r="B9845" s="2">
        <v>44303</v>
      </c>
      <c r="C9845" s="1">
        <v>248</v>
      </c>
      <c r="D9845" s="39">
        <f t="shared" si="1604"/>
        <v>41982</v>
      </c>
      <c r="E9845" s="1">
        <v>3</v>
      </c>
      <c r="F9845" s="39">
        <f t="shared" si="1601"/>
        <v>990</v>
      </c>
      <c r="G9845" s="168">
        <f>SUM(C9845,C9821,C9797,C9773,C9749,C9725,C9701,C9677,C9653,C9629,C9605,C9581,C9557,C9533)/POBLA!$B$4*100000</f>
        <v>252.12923428924381</v>
      </c>
      <c r="H9845" s="256">
        <f t="shared" si="1602"/>
        <v>1.4441274369947694</v>
      </c>
      <c r="I9845" s="297">
        <f t="shared" si="1605"/>
        <v>364.10674490557938</v>
      </c>
      <c r="J9845" s="297">
        <f t="shared" si="1606"/>
        <v>254</v>
      </c>
      <c r="K9845" s="297">
        <f>J9845/POBLA!$B$4*100000</f>
        <v>21.086870434464249</v>
      </c>
      <c r="L9845" s="549">
        <f t="shared" si="1603"/>
        <v>-0.41223193010325665</v>
      </c>
      <c r="M9845" s="401">
        <f>SUM(C9845,C9821,C9797,C9773,C9749,C9725,C9701)/POBLA!$B$4*100000</f>
        <v>147.60809304124973</v>
      </c>
    </row>
    <row r="9846" spans="1:13" s="360" customFormat="1" x14ac:dyDescent="0.25">
      <c r="A9846" s="367" t="s">
        <v>29</v>
      </c>
      <c r="B9846" s="2">
        <v>44303</v>
      </c>
      <c r="C9846" s="1">
        <v>86</v>
      </c>
      <c r="D9846" s="39">
        <f t="shared" si="1604"/>
        <v>52531</v>
      </c>
      <c r="E9846" s="1">
        <v>6</v>
      </c>
      <c r="F9846" s="39">
        <f t="shared" si="1601"/>
        <v>888</v>
      </c>
      <c r="G9846" s="168">
        <f>SUM(C9846,C9822,C9798,C9774,C9750,C9726,C9702,C9678,C9654,C9630,C9606,C9582,C9558,C9534)/POBLA!$B$5*100000</f>
        <v>358.32334400656549</v>
      </c>
      <c r="H9846" s="256">
        <f t="shared" si="1602"/>
        <v>1.4011370814908402</v>
      </c>
      <c r="I9846" s="297">
        <f t="shared" si="1605"/>
        <v>502.06012445139748</v>
      </c>
      <c r="J9846" s="297">
        <f t="shared" si="1606"/>
        <v>176.71428571428572</v>
      </c>
      <c r="K9846" s="297">
        <f>J9846/POBLA!$B$5*100000</f>
        <v>28.548626596426736</v>
      </c>
      <c r="L9846" s="549">
        <f t="shared" si="1603"/>
        <v>-0.26095820591233432</v>
      </c>
      <c r="M9846" s="401">
        <f>SUM(C9846,C9822,C9798,C9774,C9750,C9726,C9702)/POBLA!$B$5*100000</f>
        <v>199.84038617498717</v>
      </c>
    </row>
    <row r="9847" spans="1:13" s="360" customFormat="1" x14ac:dyDescent="0.25">
      <c r="A9847" s="367" t="s">
        <v>30</v>
      </c>
      <c r="B9847" s="2">
        <v>44303</v>
      </c>
      <c r="C9847" s="1">
        <v>275</v>
      </c>
      <c r="D9847" s="39">
        <f t="shared" si="1604"/>
        <v>34538</v>
      </c>
      <c r="E9847" s="1">
        <v>3</v>
      </c>
      <c r="F9847" s="39">
        <f t="shared" si="1601"/>
        <v>393</v>
      </c>
      <c r="G9847" s="168">
        <f>SUM(C9847,C9823,C9799,C9775,C9751,C9727,C9703,C9679,C9655,C9631,C9607,C9583,C9559,C9535)/POBLA!$B$6*100000</f>
        <v>327.71205593142759</v>
      </c>
      <c r="H9847" s="256">
        <f t="shared" si="1602"/>
        <v>0.81731197151757895</v>
      </c>
      <c r="I9847" s="297">
        <f t="shared" si="1605"/>
        <v>267.84298652339419</v>
      </c>
      <c r="J9847" s="297">
        <f t="shared" si="1606"/>
        <v>218</v>
      </c>
      <c r="K9847" s="297">
        <f>J9847/POBLA!$B$6*100000</f>
        <v>19.450375222720179</v>
      </c>
      <c r="L9847" s="549">
        <f t="shared" si="1603"/>
        <v>0.2892408011178389</v>
      </c>
      <c r="M9847" s="401">
        <f>SUM(C9847,C9823,C9799,C9775,C9751,C9727,C9703)/POBLA!$B$6*100000</f>
        <v>136.15262655904127</v>
      </c>
    </row>
    <row r="9848" spans="1:13" s="360" customFormat="1" x14ac:dyDescent="0.25">
      <c r="A9848" s="367" t="s">
        <v>20</v>
      </c>
      <c r="B9848" s="2">
        <v>44303</v>
      </c>
      <c r="C9848" s="1">
        <v>1247</v>
      </c>
      <c r="D9848" s="39">
        <f t="shared" si="1604"/>
        <v>205820</v>
      </c>
      <c r="E9848" s="1">
        <v>1</v>
      </c>
      <c r="F9848" s="39">
        <f t="shared" si="1601"/>
        <v>3173</v>
      </c>
      <c r="G9848" s="168">
        <f>SUM(C9848,C9824,C9800,C9776,C9752,C9728,C9704,C9680,C9656,C9632,C9608,C9584,C9560,C9536)/POBLA!$B$7*100000</f>
        <v>603.94367695355606</v>
      </c>
      <c r="H9848" s="256">
        <f t="shared" si="1602"/>
        <v>2.0071586389748122</v>
      </c>
      <c r="I9848" s="297">
        <f t="shared" si="1605"/>
        <v>1212.2107686515433</v>
      </c>
      <c r="J9848" s="297">
        <f t="shared" si="1606"/>
        <v>1669.7142857142858</v>
      </c>
      <c r="K9848" s="297">
        <f>J9848/POBLA!$B$7*100000</f>
        <v>44.401980765979758</v>
      </c>
      <c r="L9848" s="549">
        <f t="shared" si="1603"/>
        <v>-6.032840424566821E-2</v>
      </c>
      <c r="M9848" s="401">
        <f>SUM(C9848,C9824,C9800,C9776,C9752,C9728,C9704)/POBLA!$B$7*100000</f>
        <v>310.81386536185829</v>
      </c>
    </row>
    <row r="9849" spans="1:13" x14ac:dyDescent="0.25">
      <c r="A9849" s="367" t="s">
        <v>31</v>
      </c>
      <c r="B9849" s="2">
        <v>44303</v>
      </c>
      <c r="C9849" s="1">
        <v>519</v>
      </c>
      <c r="D9849" s="39">
        <f t="shared" si="1604"/>
        <v>56216</v>
      </c>
      <c r="E9849" s="1">
        <v>1</v>
      </c>
      <c r="F9849" s="39">
        <f t="shared" si="1601"/>
        <v>1000</v>
      </c>
      <c r="G9849" s="168">
        <f>SUM(C9849,C9825,C9801,C9777,C9753,C9729,C9705,C9681,C9657,C9633,C9609,C9585,C9561,C9537)/POBLA!$B$8*100000</f>
        <v>416.46193507609519</v>
      </c>
      <c r="H9849" s="256">
        <f t="shared" si="1602"/>
        <v>2.3597710547833195</v>
      </c>
      <c r="I9849" s="297">
        <f t="shared" si="1605"/>
        <v>982.75481981161943</v>
      </c>
      <c r="J9849" s="297">
        <f t="shared" si="1606"/>
        <v>478.85714285714283</v>
      </c>
      <c r="K9849" s="297">
        <f>J9849/POBLA!$B$8*100000</f>
        <v>34.550549608332616</v>
      </c>
      <c r="L9849" s="549">
        <f t="shared" si="1603"/>
        <v>-0.38512396694214868</v>
      </c>
      <c r="M9849" s="401">
        <f>SUM(C9849,C9825,C9801,C9777,C9753,C9729,C9705)/POBLA!$B$8*100000</f>
        <v>241.85384725832833</v>
      </c>
    </row>
    <row r="9850" spans="1:13" s="360" customFormat="1" x14ac:dyDescent="0.25">
      <c r="A9850" s="367" t="s">
        <v>41</v>
      </c>
      <c r="B9850" s="2">
        <v>44303</v>
      </c>
      <c r="C9850" s="1">
        <v>15</v>
      </c>
      <c r="D9850" s="39">
        <f t="shared" si="1604"/>
        <v>3427</v>
      </c>
      <c r="E9850" s="1"/>
      <c r="F9850" s="39">
        <f t="shared" si="1601"/>
        <v>61</v>
      </c>
      <c r="G9850" s="168">
        <f>SUM(C9850,C9826,C9802,C9778,C9754,C9730,C9706,C9682,C9658,C9634,C9610,C9586,C9562,C9538)/POBLA!$B$9*100000</f>
        <v>186.55205859948811</v>
      </c>
      <c r="H9850" s="256">
        <f t="shared" si="1602"/>
        <v>1.8538587848932677</v>
      </c>
      <c r="I9850" s="297">
        <f t="shared" si="1605"/>
        <v>345.8411726745847</v>
      </c>
      <c r="J9850" s="297">
        <f t="shared" si="1606"/>
        <v>111.28571428571429</v>
      </c>
      <c r="K9850" s="297">
        <f>J9850/POBLA!$B$9*100000</f>
        <v>18.388466866886148</v>
      </c>
      <c r="L9850" s="549">
        <f t="shared" si="1603"/>
        <v>-1.2257142857142855</v>
      </c>
      <c r="M9850" s="401">
        <f>SUM(C9850,C9826,C9802,C9778,C9754,C9730,C9706)/POBLA!$B$9*100000</f>
        <v>128.71926806820304</v>
      </c>
    </row>
    <row r="9851" spans="1:13" s="360" customFormat="1" x14ac:dyDescent="0.25">
      <c r="A9851" s="367" t="s">
        <v>32</v>
      </c>
      <c r="B9851" s="2">
        <v>44303</v>
      </c>
      <c r="C9851" s="1">
        <v>140</v>
      </c>
      <c r="D9851" s="39">
        <f t="shared" si="1604"/>
        <v>23612</v>
      </c>
      <c r="E9851" s="1"/>
      <c r="F9851" s="39">
        <f t="shared" si="1601"/>
        <v>998</v>
      </c>
      <c r="G9851" s="168">
        <f>SUM(C9851,C9827,C9803,C9779,C9755,C9731,C9707,C9683,C9659,C9635,C9611,C9587,C9563,C9539)/POBLA!$B$10*100000</f>
        <v>129.72170801978515</v>
      </c>
      <c r="H9851" s="256">
        <f t="shared" si="1602"/>
        <v>1.5649452269170578</v>
      </c>
      <c r="I9851" s="297">
        <f t="shared" si="1605"/>
        <v>203.00736779309099</v>
      </c>
      <c r="J9851" s="297">
        <f t="shared" si="1606"/>
        <v>90.285714285714292</v>
      </c>
      <c r="K9851" s="297">
        <f>J9851/POBLA!$B$10*100000</f>
        <v>11.712017066929175</v>
      </c>
      <c r="L9851" s="549">
        <f t="shared" si="1603"/>
        <v>-0.71739130434782616</v>
      </c>
      <c r="M9851" s="401">
        <f>SUM(C9851,C9827,C9803,C9779,C9755,C9731,C9707)/POBLA!$B$10*100000</f>
        <v>81.984119468504218</v>
      </c>
    </row>
    <row r="9852" spans="1:13" s="360" customFormat="1" x14ac:dyDescent="0.25">
      <c r="A9852" s="367" t="s">
        <v>33</v>
      </c>
      <c r="B9852" s="2">
        <v>44303</v>
      </c>
      <c r="C9852" s="1">
        <v>153</v>
      </c>
      <c r="D9852" s="39">
        <f t="shared" si="1604"/>
        <v>23886</v>
      </c>
      <c r="E9852" s="1"/>
      <c r="F9852" s="39">
        <f t="shared" si="1601"/>
        <v>332</v>
      </c>
      <c r="G9852" s="168">
        <f>SUM(C9852,C9828,C9804,C9780,C9756,C9732,C9708,C9684,C9660,C9636,C9612,C9588,C9564,C9540)/POBLA!$B$11*100000</f>
        <v>661.22066356423056</v>
      </c>
      <c r="H9852" s="256">
        <f t="shared" si="1602"/>
        <v>2.2087604846225535</v>
      </c>
      <c r="I9852" s="297">
        <f t="shared" si="1605"/>
        <v>1460.4780732965762</v>
      </c>
      <c r="J9852" s="297">
        <f t="shared" si="1606"/>
        <v>182.14285714285714</v>
      </c>
      <c r="K9852" s="297">
        <f>J9852/POBLA!$B$11*100000</f>
        <v>50.81713960484592</v>
      </c>
      <c r="L9852" s="549">
        <f t="shared" si="1603"/>
        <v>-0.16438356164383561</v>
      </c>
      <c r="M9852" s="401">
        <f>SUM(C9852,C9828,C9804,C9780,C9756,C9732,C9708)/POBLA!$B$11*100000</f>
        <v>355.7199772339215</v>
      </c>
    </row>
    <row r="9853" spans="1:13" s="360" customFormat="1" x14ac:dyDescent="0.25">
      <c r="A9853" s="367" t="s">
        <v>21</v>
      </c>
      <c r="B9853" s="2">
        <v>44303</v>
      </c>
      <c r="C9853" s="1">
        <v>2</v>
      </c>
      <c r="D9853" s="39">
        <f t="shared" si="1604"/>
        <v>12395</v>
      </c>
      <c r="E9853" s="1">
        <v>3</v>
      </c>
      <c r="F9853" s="39">
        <f t="shared" si="1601"/>
        <v>458</v>
      </c>
      <c r="G9853" s="168">
        <f>SUM(C9853,C9829,C9805,C9781,C9757,C9733,C9709,C9685,C9661,C9637,C9613,C9589,C9565,C9541)/POBLA!$B$12*100000</f>
        <v>277.99588850687746</v>
      </c>
      <c r="H9853" s="256">
        <f t="shared" si="1602"/>
        <v>1.7420382165605095</v>
      </c>
      <c r="I9853" s="297">
        <f t="shared" si="1605"/>
        <v>484.27946182567507</v>
      </c>
      <c r="J9853" s="297">
        <f t="shared" si="1606"/>
        <v>70.571428571428569</v>
      </c>
      <c r="K9853" s="297">
        <f>J9853/POBLA!$B$12*100000</f>
        <v>17.932876589500843</v>
      </c>
      <c r="L9853" s="549">
        <f t="shared" si="1603"/>
        <v>0.17666666666666664</v>
      </c>
      <c r="M9853" s="401">
        <f>SUM(C9853,C9829,C9805,C9781,C9757,C9733,C9709)/POBLA!$B$12*100000</f>
        <v>125.53013612650592</v>
      </c>
    </row>
    <row r="9854" spans="1:13" s="360" customFormat="1" x14ac:dyDescent="0.25">
      <c r="A9854" s="367" t="s">
        <v>17</v>
      </c>
      <c r="B9854" s="2">
        <v>44303</v>
      </c>
      <c r="C9854" s="1">
        <v>763</v>
      </c>
      <c r="D9854" s="39">
        <f t="shared" si="1604"/>
        <v>85577</v>
      </c>
      <c r="E9854" s="1">
        <v>5</v>
      </c>
      <c r="F9854" s="39">
        <f t="shared" si="1601"/>
        <v>1631</v>
      </c>
      <c r="G9854" s="168">
        <f>SUM(C9854,C9830,C9806,C9782,C9758,C9734,C9710,C9686,C9662,C9638,C9614,C9590,C9566,C9542)/POBLA!$B$13*100000</f>
        <v>581.60975673478572</v>
      </c>
      <c r="H9854" s="256">
        <f t="shared" si="1602"/>
        <v>3.1951421473916644</v>
      </c>
      <c r="I9854" s="297">
        <f t="shared" si="1605"/>
        <v>1858.3258470775268</v>
      </c>
      <c r="J9854" s="297">
        <f t="shared" si="1606"/>
        <v>853.14285714285711</v>
      </c>
      <c r="K9854" s="297">
        <f>J9854/POBLA!$B$13*100000</f>
        <v>42.864219903496647</v>
      </c>
      <c r="L9854" s="549">
        <f t="shared" si="1603"/>
        <v>-6.5667380442540946E-2</v>
      </c>
      <c r="M9854" s="401">
        <f>SUM(C9854,C9830,C9806,C9782,C9758,C9734,C9710)/POBLA!$B$13*100000</f>
        <v>300.04953932447654</v>
      </c>
    </row>
    <row r="9855" spans="1:13" s="360" customFormat="1" x14ac:dyDescent="0.25">
      <c r="A9855" s="367" t="s">
        <v>23</v>
      </c>
      <c r="B9855" s="2">
        <v>44303</v>
      </c>
      <c r="C9855" s="1">
        <v>144</v>
      </c>
      <c r="D9855" s="39">
        <f t="shared" si="1604"/>
        <v>14210</v>
      </c>
      <c r="E9855" s="1">
        <v>2</v>
      </c>
      <c r="F9855" s="39">
        <f t="shared" si="1601"/>
        <v>228</v>
      </c>
      <c r="G9855" s="168">
        <f>SUM(C9855,C9831,C9807,C9783,C9759,C9735,C9711,C9687,C9663,C9639,C9615,C9591,C9567,C9543)/POBLA!$B$14*100000</f>
        <v>150.95608161142445</v>
      </c>
      <c r="H9855" s="256">
        <f t="shared" si="1602"/>
        <v>1.1666666666666667</v>
      </c>
      <c r="I9855" s="297">
        <f t="shared" si="1605"/>
        <v>176.11542854666186</v>
      </c>
      <c r="J9855" s="297">
        <f t="shared" si="1606"/>
        <v>140.71428571428572</v>
      </c>
      <c r="K9855" s="297">
        <f>J9855/POBLA!$B$14*100000</f>
        <v>11.156343066270491</v>
      </c>
      <c r="L9855" s="549">
        <f t="shared" si="1603"/>
        <v>-7.1817192600652779E-2</v>
      </c>
      <c r="M9855" s="401">
        <f>SUM(C9855,C9831,C9807,C9783,C9759,C9735,C9711)/POBLA!$B$14*100000</f>
        <v>78.094401463893433</v>
      </c>
    </row>
    <row r="9856" spans="1:13" s="360" customFormat="1" x14ac:dyDescent="0.25">
      <c r="A9856" s="367" t="s">
        <v>19</v>
      </c>
      <c r="B9856" s="2">
        <v>44303</v>
      </c>
      <c r="C9856" s="1">
        <v>75</v>
      </c>
      <c r="D9856" s="39">
        <f t="shared" si="1604"/>
        <v>67658</v>
      </c>
      <c r="E9856" s="1">
        <v>1</v>
      </c>
      <c r="F9856" s="39">
        <f t="shared" si="1601"/>
        <v>1027</v>
      </c>
      <c r="G9856" s="168">
        <f>SUM(C9856,C9832,C9808,C9784,C9760,C9736,C9712,C9688,C9664,C9640,C9616,C9592,C9568,C9544)/POBLA!$B$15*100000</f>
        <v>334.91100914529932</v>
      </c>
      <c r="H9856" s="256">
        <f t="shared" si="1602"/>
        <v>1.5476687543493388</v>
      </c>
      <c r="I9856" s="297">
        <f t="shared" si="1605"/>
        <v>518.33130434178543</v>
      </c>
      <c r="J9856" s="297">
        <f t="shared" si="1606"/>
        <v>166.42857142857142</v>
      </c>
      <c r="K9856" s="297">
        <f>J9856/POBLA!$B$15*100000</f>
        <v>25.062392449529398</v>
      </c>
      <c r="L9856" s="549">
        <f t="shared" si="1603"/>
        <v>-0.10009442870632679</v>
      </c>
      <c r="M9856" s="401">
        <f>SUM(C9856,C9832,C9808,C9784,C9760,C9736,C9712)/POBLA!$B$15*100000</f>
        <v>175.43674714670578</v>
      </c>
    </row>
    <row r="9857" spans="1:13" s="360" customFormat="1" x14ac:dyDescent="0.25">
      <c r="A9857" s="367" t="s">
        <v>18</v>
      </c>
      <c r="B9857" s="2">
        <v>44303</v>
      </c>
      <c r="C9857" s="1">
        <v>159</v>
      </c>
      <c r="D9857" s="39">
        <f t="shared" si="1604"/>
        <v>58001</v>
      </c>
      <c r="E9857" s="1">
        <v>3</v>
      </c>
      <c r="F9857" s="39">
        <f t="shared" si="1601"/>
        <v>1315</v>
      </c>
      <c r="G9857" s="168">
        <f>SUM(C9857,C9833,C9809,C9785,C9761,C9737,C9713,C9689,C9665,C9641,C9617,C9593,C9569,C9545)/POBLA!$B$16*100000</f>
        <v>307.7807947994275</v>
      </c>
      <c r="H9857" s="256">
        <f t="shared" si="1602"/>
        <v>1.7405446293494704</v>
      </c>
      <c r="I9857" s="297">
        <f t="shared" si="1605"/>
        <v>535.70620940505489</v>
      </c>
      <c r="J9857" s="297">
        <f t="shared" si="1606"/>
        <v>185.28571428571428</v>
      </c>
      <c r="K9857" s="297">
        <f>J9857/POBLA!$B$16*100000</f>
        <v>24.783739421050317</v>
      </c>
      <c r="L9857" s="549">
        <f t="shared" si="1603"/>
        <v>-0.29183266932270913</v>
      </c>
      <c r="M9857" s="401">
        <f>SUM(C9857,C9833,C9809,C9785,C9761,C9737,C9713)/POBLA!$B$16*100000</f>
        <v>173.48617594735222</v>
      </c>
    </row>
    <row r="9858" spans="1:13" s="360" customFormat="1" x14ac:dyDescent="0.25">
      <c r="A9858" s="367" t="s">
        <v>34</v>
      </c>
      <c r="B9858" s="2">
        <v>44303</v>
      </c>
      <c r="C9858" s="1">
        <v>101</v>
      </c>
      <c r="D9858" s="39">
        <f t="shared" si="1604"/>
        <v>32252</v>
      </c>
      <c r="E9858" s="1"/>
      <c r="F9858" s="39">
        <f t="shared" si="1601"/>
        <v>1256</v>
      </c>
      <c r="G9858" s="168">
        <f>SUM(C9858,C9834,C9810,C9786,C9762,C9738,C9714,C9690,C9666,C9642,C9618,C9594,C9570,C9546)/POBLA!$B$17*100000</f>
        <v>181.5505087415938</v>
      </c>
      <c r="H9858" s="256">
        <f t="shared" si="1602"/>
        <v>1.8445078459343796</v>
      </c>
      <c r="I9858" s="297">
        <f t="shared" si="1605"/>
        <v>334.87133780724793</v>
      </c>
      <c r="J9858" s="297">
        <f t="shared" si="1606"/>
        <v>185.14285714285714</v>
      </c>
      <c r="K9858" s="297">
        <f>J9858/POBLA!$B$17*100000</f>
        <v>12.997981401453186</v>
      </c>
      <c r="L9858" s="549">
        <f t="shared" si="1603"/>
        <v>-4.6511627906977715E-3</v>
      </c>
      <c r="M9858" s="401">
        <f>SUM(C9858,C9834,C9810,C9786,C9762,C9738,C9714)/POBLA!$B$17*100000</f>
        <v>90.985869810172304</v>
      </c>
    </row>
    <row r="9859" spans="1:13" s="360" customFormat="1" x14ac:dyDescent="0.25">
      <c r="A9859" s="367" t="s">
        <v>35</v>
      </c>
      <c r="B9859" s="2">
        <v>44303</v>
      </c>
      <c r="C9859" s="1">
        <v>70</v>
      </c>
      <c r="D9859" s="39">
        <f t="shared" si="1604"/>
        <v>20097</v>
      </c>
      <c r="E9859" s="1"/>
      <c r="F9859" s="39">
        <f t="shared" si="1601"/>
        <v>240</v>
      </c>
      <c r="G9859" s="168">
        <f>SUM(C9859,C9835,C9811,C9787,C9763,C9739,C9715,C9691,C9667,C9643,C9619,C9595,C9571,C9547)/POBLA!$B$18*100000</f>
        <v>338.830312192387</v>
      </c>
      <c r="H9859" s="256">
        <f t="shared" si="1602"/>
        <v>2.3239683933274802</v>
      </c>
      <c r="I9859" s="297">
        <f t="shared" si="1605"/>
        <v>787.43093623639015</v>
      </c>
      <c r="J9859" s="297">
        <f t="shared" si="1606"/>
        <v>194.28571428571428</v>
      </c>
      <c r="K9859" s="297">
        <f>J9859/POBLA!$B$18*100000</f>
        <v>24.869621921401389</v>
      </c>
      <c r="L9859" s="549">
        <f t="shared" si="1603"/>
        <v>-5.6721056721056762E-2</v>
      </c>
      <c r="M9859" s="401">
        <f>SUM(C9859,C9835,C9811,C9787,C9763,C9739,C9715)/POBLA!$B$18*100000</f>
        <v>174.08735344980971</v>
      </c>
    </row>
    <row r="9860" spans="1:13" s="360" customFormat="1" x14ac:dyDescent="0.25">
      <c r="A9860" s="367" t="s">
        <v>36</v>
      </c>
      <c r="B9860" s="2">
        <v>44303</v>
      </c>
      <c r="C9860" s="1">
        <v>516</v>
      </c>
      <c r="D9860" s="39">
        <f t="shared" si="1604"/>
        <v>29623</v>
      </c>
      <c r="E9860" s="1"/>
      <c r="F9860" s="39">
        <f t="shared" si="1601"/>
        <v>448</v>
      </c>
      <c r="G9860" s="168">
        <f>SUM(C9860,C9836,C9812,C9788,C9764,C9740,C9716,C9692,C9668,C9644,C9620,C9596,C9572,C9548)/POBLA!$B$19*100000</f>
        <v>1217.7176940872821</v>
      </c>
      <c r="H9860" s="256">
        <f t="shared" si="1602"/>
        <v>3.2908027644869748</v>
      </c>
      <c r="I9860" s="297">
        <f t="shared" si="1605"/>
        <v>4007.2687540671322</v>
      </c>
      <c r="J9860" s="297">
        <f t="shared" si="1606"/>
        <v>518.42857142857144</v>
      </c>
      <c r="K9860" s="297">
        <f>J9860/POBLA!$B$19*100000</f>
        <v>101.9870185054869</v>
      </c>
      <c r="L9860" s="549">
        <f t="shared" si="1603"/>
        <v>-0.41702459976571649</v>
      </c>
      <c r="M9860" s="401">
        <f>SUM(C9860,C9836,C9812,C9788,C9764,C9740,C9716)/POBLA!$B$19*100000</f>
        <v>713.90912953840825</v>
      </c>
    </row>
    <row r="9861" spans="1:13" s="360" customFormat="1" x14ac:dyDescent="0.25">
      <c r="A9861" s="367" t="s">
        <v>37</v>
      </c>
      <c r="B9861" s="2">
        <v>44303</v>
      </c>
      <c r="C9861" s="1">
        <v>155</v>
      </c>
      <c r="D9861" s="39">
        <f t="shared" si="1604"/>
        <v>42096</v>
      </c>
      <c r="E9861" s="1">
        <v>3</v>
      </c>
      <c r="F9861" s="39">
        <f t="shared" si="1601"/>
        <v>678</v>
      </c>
      <c r="G9861" s="168">
        <f>SUM(C9861,C9837,C9813,C9789,C9765,C9741,C9717,C9693,C9669,C9645,C9621,C9597,C9573,C9549)/POBLA!$B$20*100000</f>
        <v>652.17747977839645</v>
      </c>
      <c r="H9861" s="256">
        <f t="shared" si="1602"/>
        <v>1.5220165922144224</v>
      </c>
      <c r="I9861" s="297">
        <f t="shared" si="1605"/>
        <v>992.62494529130538</v>
      </c>
      <c r="J9861" s="297">
        <f t="shared" si="1606"/>
        <v>174.57142857142858</v>
      </c>
      <c r="K9861" s="297">
        <f>J9861/POBLA!$B$20*100000</f>
        <v>47.736500766049737</v>
      </c>
      <c r="L9861" s="549">
        <f t="shared" si="1603"/>
        <v>-5.0730868443680244E-2</v>
      </c>
      <c r="M9861" s="401">
        <f>SUM(C9861,C9837,C9813,C9789,C9765,C9741,C9717)/POBLA!$B$20*100000</f>
        <v>334.15550536234815</v>
      </c>
    </row>
    <row r="9862" spans="1:13" s="360" customFormat="1" x14ac:dyDescent="0.25">
      <c r="A9862" s="367" t="s">
        <v>22</v>
      </c>
      <c r="B9862" s="2">
        <v>44303</v>
      </c>
      <c r="C9862" s="1">
        <v>1441</v>
      </c>
      <c r="D9862" s="39">
        <f t="shared" si="1604"/>
        <v>252048</v>
      </c>
      <c r="E9862" s="1"/>
      <c r="F9862" s="39">
        <f t="shared" si="1601"/>
        <v>4396</v>
      </c>
      <c r="G9862" s="168">
        <f>SUM(C9862,C9838,C9814,C9790,C9766,C9742,C9718,C9694,C9670,C9646,C9622,C9598,C9574,C9550)/POBLA!$B$21*100000</f>
        <v>525.05105448507504</v>
      </c>
      <c r="H9862" s="256">
        <f t="shared" si="1602"/>
        <v>2.2523047064531783</v>
      </c>
      <c r="I9862" s="297">
        <f t="shared" si="1605"/>
        <v>1182.5749611449387</v>
      </c>
      <c r="J9862" s="297">
        <f t="shared" si="1606"/>
        <v>1548.2857142857142</v>
      </c>
      <c r="K9862" s="297">
        <f>J9862/POBLA!$B$21*100000</f>
        <v>43.781185207340144</v>
      </c>
      <c r="L9862" s="549">
        <f t="shared" si="1603"/>
        <v>-0.40206985769728321</v>
      </c>
      <c r="M9862" s="401">
        <f>SUM(C9862,C9838,C9814,C9790,C9766,C9742,C9718)/POBLA!$B$21*100000</f>
        <v>306.46829645138104</v>
      </c>
    </row>
    <row r="9863" spans="1:13" s="360" customFormat="1" x14ac:dyDescent="0.25">
      <c r="A9863" s="367" t="s">
        <v>38</v>
      </c>
      <c r="B9863" s="2">
        <v>44303</v>
      </c>
      <c r="C9863" s="1">
        <v>255</v>
      </c>
      <c r="D9863" s="39">
        <f t="shared" si="1604"/>
        <v>28020</v>
      </c>
      <c r="E9863" s="1">
        <v>1</v>
      </c>
      <c r="F9863" s="39">
        <f t="shared" si="1601"/>
        <v>320</v>
      </c>
      <c r="G9863" s="168">
        <f>SUM(C9863,C9839,C9815,C9791,C9767,C9743,C9719,C9695,C9671,C9647,C9623,C9599,C9575,C9551)/POBLA!$B$22*100000</f>
        <v>252.78208507911069</v>
      </c>
      <c r="H9863" s="256">
        <f t="shared" si="1602"/>
        <v>1.634500991407799</v>
      </c>
      <c r="I9863" s="297">
        <f t="shared" si="1605"/>
        <v>413.17256867193703</v>
      </c>
      <c r="J9863" s="297">
        <f t="shared" si="1606"/>
        <v>197.57142857142858</v>
      </c>
      <c r="K9863" s="297">
        <f>J9863/POBLA!$B$22*100000</f>
        <v>20.195114300988394</v>
      </c>
      <c r="L9863" s="549">
        <f t="shared" si="1603"/>
        <v>-0.26880733944954138</v>
      </c>
      <c r="M9863" s="401">
        <f>SUM(C9863,C9839,C9815,C9791,C9767,C9743,C9719)/POBLA!$B$22*100000</f>
        <v>141.36580010691875</v>
      </c>
    </row>
    <row r="9864" spans="1:13" s="360" customFormat="1" x14ac:dyDescent="0.25">
      <c r="A9864" s="367" t="s">
        <v>39</v>
      </c>
      <c r="B9864" s="2">
        <v>44303</v>
      </c>
      <c r="C9864" s="1">
        <v>80</v>
      </c>
      <c r="D9864" s="39">
        <f t="shared" si="1604"/>
        <v>25411</v>
      </c>
      <c r="E9864" s="1">
        <v>1</v>
      </c>
      <c r="F9864" s="39">
        <f t="shared" si="1601"/>
        <v>375</v>
      </c>
      <c r="G9864" s="168">
        <f>SUM(C9864,C9840,C9816,C9792,C9768,C9744,C9720,C9696,C9672,C9648,C9624,C9600,C9576,C9552)/POBLA!$B$23*100000</f>
        <v>667.30758355482669</v>
      </c>
      <c r="H9864" s="256">
        <f t="shared" si="1602"/>
        <v>1.7664670658682635</v>
      </c>
      <c r="I9864" s="297">
        <f t="shared" si="1605"/>
        <v>1178.7768691537358</v>
      </c>
      <c r="J9864" s="297">
        <f t="shared" si="1606"/>
        <v>91.142857142857139</v>
      </c>
      <c r="K9864" s="297">
        <f>J9864/POBLA!$B$23*100000</f>
        <v>51.5426438629515</v>
      </c>
      <c r="L9864" s="549">
        <f t="shared" si="1603"/>
        <v>-0.17712177121771222</v>
      </c>
      <c r="M9864" s="401">
        <f>SUM(C9864,C9840,C9816,C9792,C9768,C9744,C9720)/POBLA!$B$23*100000</f>
        <v>360.79850704066052</v>
      </c>
    </row>
    <row r="9865" spans="1:13" s="360" customFormat="1" ht="15.75" thickBot="1" x14ac:dyDescent="0.3">
      <c r="A9865" s="369" t="s">
        <v>40</v>
      </c>
      <c r="B9865" s="2">
        <v>44303</v>
      </c>
      <c r="C9865" s="1">
        <v>313</v>
      </c>
      <c r="D9865" s="176">
        <f t="shared" si="1604"/>
        <v>97296</v>
      </c>
      <c r="E9865" s="1"/>
      <c r="F9865" s="176">
        <f t="shared" si="1601"/>
        <v>1569</v>
      </c>
      <c r="G9865" s="177">
        <f>SUM(C9865,C9841,C9817,C9793,C9769,C9745,C9721,C9697,C9673,C9649,C9625,C9601,C9577,C9553)/POBLA!$B$24*100000</f>
        <v>489.77491597114698</v>
      </c>
      <c r="H9865" s="402">
        <f t="shared" si="1602"/>
        <v>1.6261755485893417</v>
      </c>
      <c r="I9865" s="403">
        <f t="shared" si="1605"/>
        <v>796.45999266467868</v>
      </c>
      <c r="J9865" s="403">
        <f t="shared" si="1606"/>
        <v>613</v>
      </c>
      <c r="K9865" s="403">
        <f>J9865/POBLA!$B$24*100000</f>
        <v>36.172532950640132</v>
      </c>
      <c r="L9865" s="550">
        <f t="shared" si="1603"/>
        <v>-7.0341731105013627E-2</v>
      </c>
      <c r="M9865" s="405">
        <f>SUM(C9865,C9841,C9817,C9793,C9769,C9745,C9721)/POBLA!$B$24*100000</f>
        <v>253.20773065448094</v>
      </c>
    </row>
    <row r="9866" spans="1:13" s="360" customFormat="1" x14ac:dyDescent="0.25">
      <c r="A9866" s="374" t="s">
        <v>16</v>
      </c>
      <c r="B9866" s="2">
        <v>44304</v>
      </c>
      <c r="C9866" s="42">
        <v>7967</v>
      </c>
      <c r="D9866" s="262">
        <f t="shared" si="1604"/>
        <v>1162657</v>
      </c>
      <c r="E9866" s="1">
        <v>14</v>
      </c>
      <c r="F9866" s="262">
        <f t="shared" ref="F9866:F9889" si="1607">E9866+F9842</f>
        <v>30188</v>
      </c>
      <c r="G9866" s="175">
        <f>SUM(C9866,C9842,C9818,C9794,C9770,C9746,C9722,C9698,C9674,C9650,C9626,C9602,C9578,C9554)/POBLA!$B$1*100000</f>
        <v>868.85454030612948</v>
      </c>
      <c r="H9866" s="300">
        <f t="shared" ref="H9866:H9889" si="1608">SUM(C9866,C9842,C9818,C9794,C9770,C9746,C9722,C9698,C9674,C9650,C9626,C9602,C9578,C9554)/SUM(C9530,C9506,C9482,C9458,C9434,C9410,C9386,C9362,C9338,C9314,C9290,C9266,C9242,C9218)</f>
        <v>2.1460333999831027</v>
      </c>
      <c r="I9866" s="301">
        <f>G9866*H9866</f>
        <v>1864.5908632239189</v>
      </c>
      <c r="J9866" s="301">
        <f>AVERAGE(C9866,C9842,C9818,C9794,C9770,C9746,C9722)</f>
        <v>11740</v>
      </c>
      <c r="K9866" s="301">
        <f>J9866/POBLA!$B$1*100000</f>
        <v>66.928371421220547</v>
      </c>
      <c r="L9866" s="548">
        <f t="shared" ref="L9866:L9889" si="1609">1-SUM(C9866,C9842,C9818,C9794,C9770,C9746,C9722)/SUM(C9698,C9674,C9650,C9626,C9602,C9578,C9554)</f>
        <v>-0.17020519173537241</v>
      </c>
      <c r="M9866" s="400">
        <f>SUM(C9866,C9842,C9818,C9794,C9770,C9746,C9722)/POBLA!$B$1*100000</f>
        <v>468.49859994854381</v>
      </c>
    </row>
    <row r="9867" spans="1:13" s="360" customFormat="1" x14ac:dyDescent="0.25">
      <c r="A9867" s="367" t="s">
        <v>43</v>
      </c>
      <c r="B9867" s="2">
        <v>44304</v>
      </c>
      <c r="C9867" s="42">
        <v>3189</v>
      </c>
      <c r="D9867" s="39">
        <f t="shared" si="1604"/>
        <v>306904</v>
      </c>
      <c r="E9867" s="1">
        <v>14</v>
      </c>
      <c r="F9867" s="39">
        <f t="shared" si="1607"/>
        <v>7233</v>
      </c>
      <c r="G9867" s="168">
        <f>SUM(C9867,C9843,C9819,C9795,C9771,C9747,C9723,C9699,C9675,C9651,C9627,C9603,C9579,C9555)/POBLA!$B$2*100000</f>
        <v>1250.5990611403263</v>
      </c>
      <c r="H9867" s="256">
        <f t="shared" si="1608"/>
        <v>1.9006769778129169</v>
      </c>
      <c r="I9867" s="297">
        <f t="shared" ref="I9867:I9889" si="1610">G9867*H9867</f>
        <v>2376.9848439838665</v>
      </c>
      <c r="J9867" s="297">
        <f t="shared" ref="J9867:J9889" si="1611">AVERAGE(C9867,C9843,C9819,C9795,C9771,C9747,C9723)</f>
        <v>3018.2857142857142</v>
      </c>
      <c r="K9867" s="297">
        <f>J9867/POBLA!$B$2*100000</f>
        <v>98.135016652947513</v>
      </c>
      <c r="L9867" s="549">
        <f t="shared" si="1609"/>
        <v>-0.21873557914167052</v>
      </c>
      <c r="M9867" s="401">
        <f>SUM(C9867,C9843,C9819,C9795,C9771,C9747,C9723)/POBLA!$B$2*100000</f>
        <v>686.94511657063265</v>
      </c>
    </row>
    <row r="9868" spans="1:13" s="360" customFormat="1" x14ac:dyDescent="0.25">
      <c r="A9868" s="367" t="s">
        <v>28</v>
      </c>
      <c r="B9868" s="2">
        <v>44304</v>
      </c>
      <c r="C9868" s="42">
        <v>125</v>
      </c>
      <c r="D9868" s="39">
        <f t="shared" si="1604"/>
        <v>12770</v>
      </c>
      <c r="E9868" s="1"/>
      <c r="F9868" s="39">
        <f t="shared" si="1607"/>
        <v>19</v>
      </c>
      <c r="G9868" s="168">
        <f>SUM(C9868,C9844,C9820,C9796,C9772,C9748,C9724,C9700,C9676,C9652,C9628,C9604,C9580,C9556)/POBLA!$B$3*100000</f>
        <v>484.06741800220487</v>
      </c>
      <c r="H9868" s="256">
        <f t="shared" si="1608"/>
        <v>1.898961284230406</v>
      </c>
      <c r="I9868" s="297">
        <f t="shared" si="1610"/>
        <v>919.22528574356375</v>
      </c>
      <c r="J9868" s="297">
        <f t="shared" si="1611"/>
        <v>156.42857142857142</v>
      </c>
      <c r="K9868" s="297">
        <f>J9868/POBLA!$B$3*100000</f>
        <v>37.653890936450544</v>
      </c>
      <c r="L9868" s="549">
        <f t="shared" si="1609"/>
        <v>-0.19541484716157198</v>
      </c>
      <c r="M9868" s="401">
        <f>SUM(C9868,C9844,C9820,C9796,C9772,C9748,C9724)/POBLA!$B$3*100000</f>
        <v>263.57723655515383</v>
      </c>
    </row>
    <row r="9869" spans="1:13" s="360" customFormat="1" x14ac:dyDescent="0.25">
      <c r="A9869" s="367" t="s">
        <v>15</v>
      </c>
      <c r="B9869" s="2">
        <v>44304</v>
      </c>
      <c r="C9869" s="42">
        <v>121</v>
      </c>
      <c r="D9869" s="39">
        <f t="shared" si="1604"/>
        <v>42103</v>
      </c>
      <c r="E9869" s="1">
        <v>4</v>
      </c>
      <c r="F9869" s="39">
        <f t="shared" si="1607"/>
        <v>994</v>
      </c>
      <c r="G9869" s="168">
        <f>SUM(C9869,C9845,C9821,C9797,C9773,C9749,C9725,C9701,C9677,C9653,C9629,C9605,C9581,C9557)/POBLA!$B$4*100000</f>
        <v>255.94811633643022</v>
      </c>
      <c r="H9869" s="256">
        <f t="shared" si="1608"/>
        <v>1.4980563654033041</v>
      </c>
      <c r="I9869" s="297">
        <f t="shared" si="1610"/>
        <v>383.42470489077471</v>
      </c>
      <c r="J9869" s="297">
        <f t="shared" si="1611"/>
        <v>251.85714285714286</v>
      </c>
      <c r="K9869" s="297">
        <f>J9869/POBLA!$B$4*100000</f>
        <v>20.90897220245246</v>
      </c>
      <c r="L9869" s="549">
        <f t="shared" si="1609"/>
        <v>-0.33560606060606069</v>
      </c>
      <c r="M9869" s="401">
        <f>SUM(C9869,C9845,C9821,C9797,C9773,C9749,C9725)/POBLA!$B$4*100000</f>
        <v>146.36280541716718</v>
      </c>
    </row>
    <row r="9870" spans="1:13" s="360" customFormat="1" x14ac:dyDescent="0.25">
      <c r="A9870" s="367" t="s">
        <v>29</v>
      </c>
      <c r="B9870" s="2">
        <v>44304</v>
      </c>
      <c r="C9870" s="42">
        <v>64</v>
      </c>
      <c r="D9870" s="39">
        <f t="shared" si="1604"/>
        <v>52595</v>
      </c>
      <c r="E9870" s="1">
        <v>3</v>
      </c>
      <c r="F9870" s="39">
        <f t="shared" si="1607"/>
        <v>891</v>
      </c>
      <c r="G9870" s="168">
        <f>SUM(C9870,C9846,C9822,C9798,C9774,C9750,C9726,C9702,C9678,C9654,C9630,C9606,C9582,C9558)/POBLA!$B$5*100000</f>
        <v>365.10854709415599</v>
      </c>
      <c r="H9870" s="256">
        <f t="shared" si="1608"/>
        <v>1.4231738035264483</v>
      </c>
      <c r="I9870" s="297">
        <f t="shared" si="1610"/>
        <v>519.61291966800536</v>
      </c>
      <c r="J9870" s="297">
        <f t="shared" si="1611"/>
        <v>178.85714285714286</v>
      </c>
      <c r="K9870" s="297">
        <f>J9870/POBLA!$B$5*100000</f>
        <v>28.894810427426254</v>
      </c>
      <c r="L9870" s="549">
        <f t="shared" si="1609"/>
        <v>-0.24206349206349209</v>
      </c>
      <c r="M9870" s="401">
        <f>SUM(C9870,C9846,C9822,C9798,C9774,C9750,C9726)/POBLA!$B$5*100000</f>
        <v>202.26367299198375</v>
      </c>
    </row>
    <row r="9871" spans="1:13" s="360" customFormat="1" x14ac:dyDescent="0.25">
      <c r="A9871" s="367" t="s">
        <v>30</v>
      </c>
      <c r="B9871" s="2">
        <v>44304</v>
      </c>
      <c r="C9871" s="42">
        <v>195</v>
      </c>
      <c r="D9871" s="39">
        <f t="shared" si="1604"/>
        <v>34733</v>
      </c>
      <c r="E9871" s="1"/>
      <c r="F9871" s="39">
        <f t="shared" si="1607"/>
        <v>393</v>
      </c>
      <c r="G9871" s="168">
        <f>SUM(C9871,C9847,C9823,C9799,C9775,C9751,C9727,C9703,C9679,C9655,C9631,C9607,C9583,C9559)/POBLA!$B$6*100000</f>
        <v>344.48577401340646</v>
      </c>
      <c r="H9871" s="256">
        <f t="shared" si="1608"/>
        <v>0.87650397275822933</v>
      </c>
      <c r="I9871" s="297">
        <f t="shared" si="1610"/>
        <v>301.94314948144438</v>
      </c>
      <c r="J9871" s="297">
        <f t="shared" si="1611"/>
        <v>214.57142857142858</v>
      </c>
      <c r="K9871" s="297">
        <f>J9871/POBLA!$B$6*100000</f>
        <v>19.144471549492604</v>
      </c>
      <c r="L9871" s="549">
        <f t="shared" si="1609"/>
        <v>0.36328952946163628</v>
      </c>
      <c r="M9871" s="401">
        <f>SUM(C9871,C9847,C9823,C9799,C9775,C9751,C9727)/POBLA!$B$6*100000</f>
        <v>134.01130084644822</v>
      </c>
    </row>
    <row r="9872" spans="1:13" s="360" customFormat="1" x14ac:dyDescent="0.25">
      <c r="A9872" s="367" t="s">
        <v>20</v>
      </c>
      <c r="B9872" s="2">
        <v>44304</v>
      </c>
      <c r="C9872" s="42">
        <v>1003</v>
      </c>
      <c r="D9872" s="39">
        <f t="shared" si="1604"/>
        <v>206823</v>
      </c>
      <c r="E9872" s="1">
        <v>2</v>
      </c>
      <c r="F9872" s="39">
        <f t="shared" si="1607"/>
        <v>3175</v>
      </c>
      <c r="G9872" s="168">
        <f>SUM(C9872,C9848,C9824,C9800,C9776,C9752,C9728,C9704,C9680,C9656,C9632,C9608,C9584,C9560)/POBLA!$B$7*100000</f>
        <v>610.5386323445332</v>
      </c>
      <c r="H9872" s="256">
        <f t="shared" si="1608"/>
        <v>1.9681954564937849</v>
      </c>
      <c r="I9872" s="297">
        <f t="shared" si="1610"/>
        <v>1201.6593621944396</v>
      </c>
      <c r="J9872" s="297">
        <f t="shared" si="1611"/>
        <v>1656.5714285714287</v>
      </c>
      <c r="K9872" s="297">
        <f>J9872/POBLA!$B$7*100000</f>
        <v>44.052478521757472</v>
      </c>
      <c r="L9872" s="549">
        <f t="shared" si="1609"/>
        <v>-2.0505148288304076E-2</v>
      </c>
      <c r="M9872" s="401">
        <f>SUM(C9872,C9848,C9824,C9800,C9776,C9752,C9728)/POBLA!$B$7*100000</f>
        <v>308.36734965230227</v>
      </c>
    </row>
    <row r="9873" spans="1:13" x14ac:dyDescent="0.25">
      <c r="A9873" s="367" t="s">
        <v>31</v>
      </c>
      <c r="B9873" s="2">
        <v>44304</v>
      </c>
      <c r="C9873" s="42">
        <v>231</v>
      </c>
      <c r="D9873" s="39">
        <f t="shared" si="1604"/>
        <v>56447</v>
      </c>
      <c r="F9873" s="39">
        <f t="shared" si="1607"/>
        <v>1000</v>
      </c>
      <c r="G9873" s="168">
        <f>SUM(C9873,C9849,C9825,C9801,C9777,C9753,C9729,C9705,C9681,C9657,C9633,C9609,C9585,C9561)/POBLA!$B$8*100000</f>
        <v>421.87334275639785</v>
      </c>
      <c r="H9873" s="256">
        <f t="shared" si="1608"/>
        <v>2.3624242424242423</v>
      </c>
      <c r="I9873" s="297">
        <f t="shared" si="1610"/>
        <v>996.64381216026595</v>
      </c>
      <c r="J9873" s="297">
        <f t="shared" si="1611"/>
        <v>482.14285714285717</v>
      </c>
      <c r="K9873" s="297">
        <f>J9873/POBLA!$B$8*100000</f>
        <v>34.787620801945884</v>
      </c>
      <c r="L9873" s="549">
        <f t="shared" si="1609"/>
        <v>-0.36529126213592233</v>
      </c>
      <c r="M9873" s="401">
        <f>SUM(C9873,C9849,C9825,C9801,C9777,C9753,C9729)/POBLA!$B$8*100000</f>
        <v>243.51334561362117</v>
      </c>
    </row>
    <row r="9874" spans="1:13" s="360" customFormat="1" x14ac:dyDescent="0.25">
      <c r="A9874" s="367" t="s">
        <v>41</v>
      </c>
      <c r="B9874" s="2">
        <v>44304</v>
      </c>
      <c r="C9874" s="42">
        <v>35</v>
      </c>
      <c r="D9874" s="39">
        <f t="shared" si="1604"/>
        <v>3462</v>
      </c>
      <c r="E9874" s="1"/>
      <c r="F9874" s="39">
        <f t="shared" si="1607"/>
        <v>61</v>
      </c>
      <c r="G9874" s="168">
        <f>SUM(C9874,C9850,C9826,C9802,C9778,C9754,C9730,C9706,C9682,C9658,C9634,C9610,C9586,C9562)/POBLA!$B$9*100000</f>
        <v>188.86537022073949</v>
      </c>
      <c r="H9874" s="256">
        <f t="shared" si="1608"/>
        <v>1.8317307692307692</v>
      </c>
      <c r="I9874" s="297">
        <f t="shared" si="1610"/>
        <v>345.95050987548916</v>
      </c>
      <c r="J9874" s="297">
        <f t="shared" si="1611"/>
        <v>115.42857142857143</v>
      </c>
      <c r="K9874" s="297">
        <f>J9874/POBLA!$B$9*100000</f>
        <v>19.073018265011562</v>
      </c>
      <c r="L9874" s="549">
        <f t="shared" si="1609"/>
        <v>-1.4119402985074627</v>
      </c>
      <c r="M9874" s="401">
        <f>SUM(C9874,C9850,C9826,C9802,C9778,C9754,C9730)/POBLA!$B$9*100000</f>
        <v>133.51112785508093</v>
      </c>
    </row>
    <row r="9875" spans="1:13" s="360" customFormat="1" x14ac:dyDescent="0.25">
      <c r="A9875" s="367" t="s">
        <v>32</v>
      </c>
      <c r="B9875" s="2">
        <v>44304</v>
      </c>
      <c r="C9875" s="42">
        <v>74</v>
      </c>
      <c r="D9875" s="39">
        <f t="shared" si="1604"/>
        <v>23686</v>
      </c>
      <c r="E9875" s="1">
        <v>2</v>
      </c>
      <c r="F9875" s="39">
        <f t="shared" si="1607"/>
        <v>1000</v>
      </c>
      <c r="G9875" s="168">
        <f>SUM(C9875,C9851,C9827,C9803,C9779,C9755,C9731,C9707,C9683,C9659,C9635,C9611,C9587,C9563)/POBLA!$B$10*100000</f>
        <v>134.78085463255678</v>
      </c>
      <c r="H9875" s="256">
        <f t="shared" si="1608"/>
        <v>1.667736757624398</v>
      </c>
      <c r="I9875" s="297">
        <f t="shared" si="1610"/>
        <v>224.77898549474557</v>
      </c>
      <c r="J9875" s="297">
        <f t="shared" si="1611"/>
        <v>92.714285714285708</v>
      </c>
      <c r="K9875" s="297">
        <f>J9875/POBLA!$B$10*100000</f>
        <v>12.027055500691509</v>
      </c>
      <c r="L9875" s="549">
        <f t="shared" si="1609"/>
        <v>-0.66410256410256419</v>
      </c>
      <c r="M9875" s="401">
        <f>SUM(C9875,C9851,C9827,C9803,C9779,C9755,C9731)/POBLA!$B$10*100000</f>
        <v>84.189388504840565</v>
      </c>
    </row>
    <row r="9876" spans="1:13" s="360" customFormat="1" x14ac:dyDescent="0.25">
      <c r="A9876" s="367" t="s">
        <v>33</v>
      </c>
      <c r="B9876" s="2">
        <v>44304</v>
      </c>
      <c r="C9876" s="42">
        <v>142</v>
      </c>
      <c r="D9876" s="39">
        <f t="shared" si="1604"/>
        <v>24028</v>
      </c>
      <c r="E9876" s="1"/>
      <c r="F9876" s="39">
        <f t="shared" si="1607"/>
        <v>332</v>
      </c>
      <c r="G9876" s="168">
        <f>SUM(C9876,C9852,C9828,C9804,C9780,C9756,C9732,C9708,C9684,C9660,C9636,C9612,C9588,C9564)/POBLA!$B$11*100000</f>
        <v>676.84444295646551</v>
      </c>
      <c r="H9876" s="256">
        <f t="shared" si="1608"/>
        <v>2.1796945193171609</v>
      </c>
      <c r="I9876" s="297">
        <f t="shared" si="1610"/>
        <v>1475.3141227424846</v>
      </c>
      <c r="J9876" s="297">
        <f t="shared" si="1611"/>
        <v>184.85714285714286</v>
      </c>
      <c r="K9876" s="297">
        <f>J9876/POBLA!$B$11*100000</f>
        <v>51.574414626408334</v>
      </c>
      <c r="L9876" s="549">
        <f t="shared" si="1609"/>
        <v>-0.14310954063604231</v>
      </c>
      <c r="M9876" s="401">
        <f>SUM(C9876,C9852,C9828,C9804,C9780,C9756,C9732)/POBLA!$B$11*100000</f>
        <v>361.02090238485835</v>
      </c>
    </row>
    <row r="9877" spans="1:13" s="360" customFormat="1" x14ac:dyDescent="0.25">
      <c r="A9877" s="367" t="s">
        <v>21</v>
      </c>
      <c r="B9877" s="2">
        <v>44304</v>
      </c>
      <c r="C9877" s="42">
        <v>46</v>
      </c>
      <c r="D9877" s="39">
        <f t="shared" si="1604"/>
        <v>12441</v>
      </c>
      <c r="E9877" s="1"/>
      <c r="F9877" s="39">
        <f t="shared" si="1607"/>
        <v>458</v>
      </c>
      <c r="G9877" s="168">
        <f>SUM(C9877,C9853,C9829,C9805,C9781,C9757,C9733,C9709,C9685,C9661,C9637,C9613,C9589,C9565)/POBLA!$B$12*100000</f>
        <v>274.43835428466883</v>
      </c>
      <c r="H9877" s="256">
        <f t="shared" si="1608"/>
        <v>1.6191904047976011</v>
      </c>
      <c r="I9877" s="297">
        <f t="shared" si="1610"/>
        <v>444.36794996618039</v>
      </c>
      <c r="J9877" s="297">
        <f t="shared" si="1611"/>
        <v>58.857142857142854</v>
      </c>
      <c r="K9877" s="297">
        <f>J9877/POBLA!$B$12*100000</f>
        <v>14.956164281122161</v>
      </c>
      <c r="L9877" s="549">
        <f t="shared" si="1609"/>
        <v>0.38323353293413176</v>
      </c>
      <c r="M9877" s="401">
        <f>SUM(C9877,C9853,C9829,C9805,C9781,C9757,C9733)/POBLA!$B$12*100000</f>
        <v>104.69314996785515</v>
      </c>
    </row>
    <row r="9878" spans="1:13" s="360" customFormat="1" x14ac:dyDescent="0.25">
      <c r="A9878" s="367" t="s">
        <v>17</v>
      </c>
      <c r="B9878" s="2">
        <v>44304</v>
      </c>
      <c r="C9878" s="42">
        <v>566</v>
      </c>
      <c r="D9878" s="39">
        <f t="shared" si="1604"/>
        <v>86143</v>
      </c>
      <c r="E9878" s="1">
        <v>4</v>
      </c>
      <c r="F9878" s="39">
        <f t="shared" si="1607"/>
        <v>1635</v>
      </c>
      <c r="G9878" s="168">
        <f>SUM(C9878,C9854,C9830,C9806,C9782,C9758,C9734,C9710,C9686,C9662,C9638,C9614,C9590,C9566)/POBLA!$B$13*100000</f>
        <v>592.16072847928342</v>
      </c>
      <c r="H9878" s="256">
        <f t="shared" si="1608"/>
        <v>3.0174091141833079</v>
      </c>
      <c r="I9878" s="297">
        <f t="shared" si="1610"/>
        <v>1786.791179174817</v>
      </c>
      <c r="J9878" s="297">
        <f t="shared" si="1611"/>
        <v>869.57142857142856</v>
      </c>
      <c r="K9878" s="297">
        <f>J9878/POBLA!$B$13*100000</f>
        <v>43.689636060379115</v>
      </c>
      <c r="L9878" s="549">
        <f t="shared" si="1609"/>
        <v>-6.8082119670117569E-2</v>
      </c>
      <c r="M9878" s="401">
        <f>SUM(C9878,C9854,C9830,C9806,C9782,C9758,C9734)/POBLA!$B$13*100000</f>
        <v>305.82745242265383</v>
      </c>
    </row>
    <row r="9879" spans="1:13" s="360" customFormat="1" x14ac:dyDescent="0.25">
      <c r="A9879" s="367" t="s">
        <v>23</v>
      </c>
      <c r="B9879" s="2">
        <v>44304</v>
      </c>
      <c r="C9879" s="42">
        <v>88</v>
      </c>
      <c r="D9879" s="39">
        <f t="shared" si="1604"/>
        <v>14298</v>
      </c>
      <c r="E9879" s="1"/>
      <c r="F9879" s="39">
        <f t="shared" si="1607"/>
        <v>228</v>
      </c>
      <c r="G9879" s="168">
        <f>SUM(C9879,C9855,C9831,C9807,C9783,C9759,C9735,C9711,C9687,C9663,C9639,C9615,C9591,C9567)/POBLA!$B$14*100000</f>
        <v>157.69519239764875</v>
      </c>
      <c r="H9879" s="256">
        <f t="shared" si="1608"/>
        <v>1.3137384412153237</v>
      </c>
      <c r="I9879" s="297">
        <f t="shared" si="1610"/>
        <v>207.17023624763763</v>
      </c>
      <c r="J9879" s="297">
        <f t="shared" si="1611"/>
        <v>133.57142857142858</v>
      </c>
      <c r="K9879" s="297">
        <f>J9879/POBLA!$B$14*100000</f>
        <v>10.59003123549534</v>
      </c>
      <c r="L9879" s="549">
        <f t="shared" si="1609"/>
        <v>0.11290322580645162</v>
      </c>
      <c r="M9879" s="401">
        <f>SUM(C9879,C9855,C9831,C9807,C9783,C9759,C9735)/POBLA!$B$14*100000</f>
        <v>74.130218648467377</v>
      </c>
    </row>
    <row r="9880" spans="1:13" s="360" customFormat="1" x14ac:dyDescent="0.25">
      <c r="A9880" s="367" t="s">
        <v>19</v>
      </c>
      <c r="B9880" s="2">
        <v>44304</v>
      </c>
      <c r="C9880" s="42">
        <v>113</v>
      </c>
      <c r="D9880" s="39">
        <f t="shared" si="1604"/>
        <v>67771</v>
      </c>
      <c r="E9880" s="1">
        <v>3</v>
      </c>
      <c r="F9880" s="39">
        <f t="shared" si="1607"/>
        <v>1030</v>
      </c>
      <c r="G9880" s="168">
        <f>SUM(C9880,C9856,C9832,C9808,C9784,C9760,C9736,C9712,C9688,C9664,C9640,C9616,C9592,C9568)/POBLA!$B$15*100000</f>
        <v>342.28989378923796</v>
      </c>
      <c r="H9880" s="256">
        <f t="shared" si="1608"/>
        <v>1.5773768216516308</v>
      </c>
      <c r="I9880" s="297">
        <f t="shared" si="1610"/>
        <v>539.92014474874247</v>
      </c>
      <c r="J9880" s="297">
        <f t="shared" si="1611"/>
        <v>173.57142857142858</v>
      </c>
      <c r="K9880" s="297">
        <f>J9880/POBLA!$B$15*100000</f>
        <v>26.138031610453407</v>
      </c>
      <c r="L9880" s="549">
        <f t="shared" si="1609"/>
        <v>-0.1483931947069943</v>
      </c>
      <c r="M9880" s="401">
        <f>SUM(C9880,C9856,C9832,C9808,C9784,C9760,C9736)/POBLA!$B$15*100000</f>
        <v>182.96622127317383</v>
      </c>
    </row>
    <row r="9881" spans="1:13" s="360" customFormat="1" x14ac:dyDescent="0.25">
      <c r="A9881" s="367" t="s">
        <v>18</v>
      </c>
      <c r="B9881" s="2">
        <v>44304</v>
      </c>
      <c r="C9881" s="42">
        <v>132</v>
      </c>
      <c r="D9881" s="39">
        <f t="shared" si="1604"/>
        <v>58133</v>
      </c>
      <c r="E9881" s="1">
        <v>1</v>
      </c>
      <c r="F9881" s="39">
        <f t="shared" si="1607"/>
        <v>1316</v>
      </c>
      <c r="G9881" s="168">
        <f>SUM(C9881,C9857,C9833,C9809,C9785,C9761,C9737,C9713,C9689,C9665,C9641,C9617,C9593,C9569)/POBLA!$B$16*100000</f>
        <v>321.29051243295299</v>
      </c>
      <c r="H9881" s="256">
        <f t="shared" si="1608"/>
        <v>1.806015037593985</v>
      </c>
      <c r="I9881" s="297">
        <f t="shared" si="1610"/>
        <v>580.25549689019033</v>
      </c>
      <c r="J9881" s="297">
        <f t="shared" si="1611"/>
        <v>193.28571428571428</v>
      </c>
      <c r="K9881" s="297">
        <f>J9881/POBLA!$B$16*100000</f>
        <v>25.853816065289962</v>
      </c>
      <c r="L9881" s="549">
        <f t="shared" si="1609"/>
        <v>-0.28979980934223071</v>
      </c>
      <c r="M9881" s="401">
        <f>SUM(C9881,C9857,C9833,C9809,C9785,C9761,C9737)/POBLA!$B$16*100000</f>
        <v>180.97671245702972</v>
      </c>
    </row>
    <row r="9882" spans="1:13" s="360" customFormat="1" x14ac:dyDescent="0.25">
      <c r="A9882" s="367" t="s">
        <v>34</v>
      </c>
      <c r="B9882" s="2">
        <v>44304</v>
      </c>
      <c r="C9882" s="42">
        <v>67</v>
      </c>
      <c r="D9882" s="39">
        <f t="shared" si="1604"/>
        <v>32319</v>
      </c>
      <c r="E9882" s="1">
        <v>1</v>
      </c>
      <c r="F9882" s="39">
        <f t="shared" si="1607"/>
        <v>1257</v>
      </c>
      <c r="G9882" s="168">
        <f>SUM(C9882,C9858,C9834,C9810,C9786,C9762,C9738,C9714,C9690,C9666,C9642,C9618,C9594,C9570)/POBLA!$B$17*100000</f>
        <v>180.91866242346759</v>
      </c>
      <c r="H9882" s="256">
        <f t="shared" si="1608"/>
        <v>1.7945682451253482</v>
      </c>
      <c r="I9882" s="297">
        <f t="shared" si="1610"/>
        <v>324.6708865357075</v>
      </c>
      <c r="J9882" s="297">
        <f t="shared" si="1611"/>
        <v>186.71428571428572</v>
      </c>
      <c r="K9882" s="297">
        <f>J9882/POBLA!$B$17*100000</f>
        <v>13.108303774459349</v>
      </c>
      <c r="L9882" s="549">
        <f t="shared" si="1609"/>
        <v>-2.9133858267716528E-2</v>
      </c>
      <c r="M9882" s="401">
        <f>SUM(C9882,C9858,C9834,C9810,C9786,C9762,C9738)/POBLA!$B$17*100000</f>
        <v>91.758126421215437</v>
      </c>
    </row>
    <row r="9883" spans="1:13" s="360" customFormat="1" x14ac:dyDescent="0.25">
      <c r="A9883" s="367" t="s">
        <v>35</v>
      </c>
      <c r="B9883" s="2">
        <v>44304</v>
      </c>
      <c r="C9883" s="42">
        <v>61</v>
      </c>
      <c r="D9883" s="39">
        <f t="shared" si="1604"/>
        <v>20158</v>
      </c>
      <c r="E9883" s="1"/>
      <c r="F9883" s="39">
        <f t="shared" si="1607"/>
        <v>240</v>
      </c>
      <c r="G9883" s="168">
        <f>SUM(C9883,C9859,C9835,C9811,C9787,C9763,C9739,C9715,C9691,C9667,C9643,C9619,C9595,C9571)/POBLA!$B$18*100000</f>
        <v>343.18249602863227</v>
      </c>
      <c r="H9883" s="256">
        <f t="shared" si="1608"/>
        <v>2.3072289156626504</v>
      </c>
      <c r="I9883" s="297">
        <f t="shared" si="1610"/>
        <v>791.80057818654302</v>
      </c>
      <c r="J9883" s="297">
        <f t="shared" si="1611"/>
        <v>196.28571428571428</v>
      </c>
      <c r="K9883" s="297">
        <f>J9883/POBLA!$B$18*100000</f>
        <v>25.125632735298169</v>
      </c>
      <c r="L9883" s="549">
        <f t="shared" si="1609"/>
        <v>-5.1262433052792655E-2</v>
      </c>
      <c r="M9883" s="401">
        <f>SUM(C9883,C9859,C9835,C9811,C9787,C9763,C9739)/POBLA!$B$18*100000</f>
        <v>175.87942914708717</v>
      </c>
    </row>
    <row r="9884" spans="1:13" s="360" customFormat="1" x14ac:dyDescent="0.25">
      <c r="A9884" s="367" t="s">
        <v>36</v>
      </c>
      <c r="B9884" s="2">
        <v>44304</v>
      </c>
      <c r="C9884" s="42">
        <v>485</v>
      </c>
      <c r="D9884" s="39">
        <f t="shared" si="1604"/>
        <v>30108</v>
      </c>
      <c r="E9884" s="1">
        <v>1</v>
      </c>
      <c r="F9884" s="39">
        <f t="shared" si="1607"/>
        <v>449</v>
      </c>
      <c r="G9884" s="168">
        <f>SUM(C9884,C9860,C9836,C9812,C9788,C9764,C9740,C9716,C9692,C9668,C9644,C9620,C9596,C9572)/POBLA!$B$19*100000</f>
        <v>1276.734706724792</v>
      </c>
      <c r="H9884" s="256">
        <f t="shared" si="1608"/>
        <v>3.1413359148112296</v>
      </c>
      <c r="I9884" s="297">
        <f t="shared" si="1610"/>
        <v>4010.6525879205715</v>
      </c>
      <c r="J9884" s="297">
        <f t="shared" si="1611"/>
        <v>535.71428571428567</v>
      </c>
      <c r="K9884" s="297">
        <f>J9884/POBLA!$B$19*100000</f>
        <v>105.3875225669815</v>
      </c>
      <c r="L9884" s="549">
        <f t="shared" si="1609"/>
        <v>-0.36861313868613133</v>
      </c>
      <c r="M9884" s="401">
        <f>SUM(C9884,C9860,C9836,C9812,C9788,C9764,C9740)/POBLA!$B$19*100000</f>
        <v>737.71265796887042</v>
      </c>
    </row>
    <row r="9885" spans="1:13" s="360" customFormat="1" x14ac:dyDescent="0.25">
      <c r="A9885" s="367" t="s">
        <v>37</v>
      </c>
      <c r="B9885" s="2">
        <v>44304</v>
      </c>
      <c r="C9885" s="42">
        <v>161</v>
      </c>
      <c r="D9885" s="39">
        <f t="shared" si="1604"/>
        <v>42257</v>
      </c>
      <c r="E9885" s="1">
        <v>2</v>
      </c>
      <c r="F9885" s="39">
        <f t="shared" si="1607"/>
        <v>680</v>
      </c>
      <c r="G9885" s="168">
        <f>SUM(C9885,C9861,C9837,C9813,C9789,C9765,C9741,C9717,C9693,C9669,C9645,C9621,C9597,C9573)/POBLA!$B$20*100000</f>
        <v>675.14725265109462</v>
      </c>
      <c r="H9885" s="256">
        <f t="shared" si="1608"/>
        <v>1.5450563204005006</v>
      </c>
      <c r="I9885" s="297">
        <f t="shared" si="1610"/>
        <v>1043.1405299096073</v>
      </c>
      <c r="J9885" s="297">
        <f t="shared" si="1611"/>
        <v>180.28571428571428</v>
      </c>
      <c r="K9885" s="297">
        <f>J9885/POBLA!$B$20*100000</f>
        <v>49.29907034922649</v>
      </c>
      <c r="L9885" s="549">
        <f t="shared" si="1609"/>
        <v>-4.5567522783761305E-2</v>
      </c>
      <c r="M9885" s="401">
        <f>SUM(C9885,C9861,C9837,C9813,C9789,C9765,C9741)/POBLA!$B$20*100000</f>
        <v>345.09349244458542</v>
      </c>
    </row>
    <row r="9886" spans="1:13" s="360" customFormat="1" x14ac:dyDescent="0.25">
      <c r="A9886" s="367" t="s">
        <v>22</v>
      </c>
      <c r="B9886" s="2">
        <v>44304</v>
      </c>
      <c r="C9886" s="42">
        <v>909</v>
      </c>
      <c r="D9886" s="39">
        <f t="shared" si="1604"/>
        <v>252957</v>
      </c>
      <c r="E9886" s="1">
        <v>10</v>
      </c>
      <c r="F9886" s="39">
        <f t="shared" si="1607"/>
        <v>4406</v>
      </c>
      <c r="G9886" s="168">
        <f>SUM(C9886,C9862,C9838,C9814,C9790,C9766,C9742,C9718,C9694,C9670,C9646,C9622,C9598,C9574)/POBLA!$B$21*100000</f>
        <v>541.76287984056182</v>
      </c>
      <c r="H9886" s="256">
        <f t="shared" si="1608"/>
        <v>2.3030412309171777</v>
      </c>
      <c r="I9886" s="297">
        <f t="shared" si="1610"/>
        <v>1247.7022496532425</v>
      </c>
      <c r="J9886" s="297">
        <f t="shared" si="1611"/>
        <v>1554.1428571428571</v>
      </c>
      <c r="K9886" s="297">
        <f>J9886/POBLA!$B$21*100000</f>
        <v>43.946808808881109</v>
      </c>
      <c r="L9886" s="549">
        <f t="shared" si="1609"/>
        <v>-0.31388888888888888</v>
      </c>
      <c r="M9886" s="401">
        <f>SUM(C9886,C9862,C9838,C9814,C9790,C9766,C9742)/POBLA!$B$21*100000</f>
        <v>307.62766166216772</v>
      </c>
    </row>
    <row r="9887" spans="1:13" s="360" customFormat="1" x14ac:dyDescent="0.25">
      <c r="A9887" s="367" t="s">
        <v>38</v>
      </c>
      <c r="B9887" s="2">
        <v>44304</v>
      </c>
      <c r="C9887" s="42">
        <v>216</v>
      </c>
      <c r="D9887" s="39">
        <f t="shared" si="1604"/>
        <v>28236</v>
      </c>
      <c r="E9887" s="1">
        <v>4</v>
      </c>
      <c r="F9887" s="39">
        <f t="shared" si="1607"/>
        <v>324</v>
      </c>
      <c r="G9887" s="168">
        <f>SUM(C9887,C9863,C9839,C9815,C9791,C9767,C9743,C9719,C9695,C9671,C9647,C9623,C9599,C9575)/POBLA!$B$22*100000</f>
        <v>265.76361552999907</v>
      </c>
      <c r="H9887" s="256">
        <f t="shared" si="1608"/>
        <v>1.6971279373368147</v>
      </c>
      <c r="I9887" s="297">
        <f t="shared" si="1610"/>
        <v>451.03485664360159</v>
      </c>
      <c r="J9887" s="297">
        <f t="shared" si="1611"/>
        <v>201.28571428571428</v>
      </c>
      <c r="K9887" s="297">
        <f>J9887/POBLA!$B$22*100000</f>
        <v>20.574776608888389</v>
      </c>
      <c r="L9887" s="549">
        <f t="shared" si="1609"/>
        <v>-0.18303946263644</v>
      </c>
      <c r="M9887" s="401">
        <f>SUM(C9887,C9863,C9839,C9815,C9791,C9767,C9743)/POBLA!$B$22*100000</f>
        <v>144.02343626221872</v>
      </c>
    </row>
    <row r="9888" spans="1:13" s="360" customFormat="1" x14ac:dyDescent="0.25">
      <c r="A9888" s="367" t="s">
        <v>39</v>
      </c>
      <c r="B9888" s="2">
        <v>44304</v>
      </c>
      <c r="C9888" s="42">
        <v>51</v>
      </c>
      <c r="D9888" s="39">
        <f t="shared" si="1604"/>
        <v>25462</v>
      </c>
      <c r="E9888" s="1"/>
      <c r="F9888" s="39">
        <f t="shared" si="1607"/>
        <v>375</v>
      </c>
      <c r="G9888" s="168">
        <f>SUM(C9888,C9864,C9840,C9816,C9792,C9768,C9744,C9720,C9696,C9672,C9648,C9624,C9600,C9576)/POBLA!$B$23*100000</f>
        <v>654.30074082452074</v>
      </c>
      <c r="H9888" s="256">
        <f t="shared" si="1608"/>
        <v>1.6091794158553547</v>
      </c>
      <c r="I9888" s="297">
        <f t="shared" si="1610"/>
        <v>1052.8872839137282</v>
      </c>
      <c r="J9888" s="297">
        <f t="shared" si="1611"/>
        <v>87.714285714285708</v>
      </c>
      <c r="K9888" s="297">
        <f>J9888/POBLA!$B$23*100000</f>
        <v>49.603735629862413</v>
      </c>
      <c r="L9888" s="549">
        <f t="shared" si="1609"/>
        <v>-0.13075506445672191</v>
      </c>
      <c r="M9888" s="401">
        <f>SUM(C9888,C9864,C9840,C9816,C9792,C9768,C9744)/POBLA!$B$23*100000</f>
        <v>347.22614940903691</v>
      </c>
    </row>
    <row r="9889" spans="1:13" s="360" customFormat="1" ht="15.75" thickBot="1" x14ac:dyDescent="0.3">
      <c r="A9889" s="369" t="s">
        <v>40</v>
      </c>
      <c r="B9889" s="2">
        <v>44304</v>
      </c>
      <c r="C9889" s="42">
        <v>226</v>
      </c>
      <c r="D9889" s="176">
        <f t="shared" si="1604"/>
        <v>97522</v>
      </c>
      <c r="E9889" s="1"/>
      <c r="F9889" s="176">
        <f t="shared" si="1607"/>
        <v>1569</v>
      </c>
      <c r="G9889" s="177">
        <f>SUM(C9889,C9865,C9841,C9817,C9793,C9769,C9745,C9721,C9697,C9673,C9649,C9625,C9601,C9577)/POBLA!$B$24*100000</f>
        <v>493.19743948034289</v>
      </c>
      <c r="H9889" s="402">
        <f t="shared" si="1608"/>
        <v>1.6178861788617886</v>
      </c>
      <c r="I9889" s="403">
        <f t="shared" si="1610"/>
        <v>797.93732078527023</v>
      </c>
      <c r="J9889" s="403">
        <f t="shared" si="1611"/>
        <v>601.85714285714289</v>
      </c>
      <c r="K9889" s="403">
        <f>J9889/POBLA!$B$24*100000</f>
        <v>35.515003803553221</v>
      </c>
      <c r="L9889" s="550">
        <f t="shared" si="1609"/>
        <v>-1.6405307599517416E-2</v>
      </c>
      <c r="M9889" s="405">
        <f>SUM(C9889,C9865,C9841,C9817,C9793,C9769,C9745)/POBLA!$B$24*100000</f>
        <v>248.60502662487255</v>
      </c>
    </row>
    <row r="9890" spans="1:13" s="360" customFormat="1" x14ac:dyDescent="0.25">
      <c r="A9890" s="374" t="s">
        <v>16</v>
      </c>
      <c r="B9890" s="2">
        <v>44305</v>
      </c>
      <c r="C9890" s="42">
        <v>10515</v>
      </c>
      <c r="D9890" s="262">
        <f t="shared" si="1604"/>
        <v>1173172</v>
      </c>
      <c r="E9890" s="1">
        <v>113</v>
      </c>
      <c r="F9890" s="262">
        <f t="shared" ref="F9890:F9913" si="1612">E9890+F9866</f>
        <v>30301</v>
      </c>
      <c r="G9890" s="175">
        <f>SUM(C9890,C9866,C9842,C9818,C9794,C9770,C9746,C9722,C9698,C9674,C9650,C9626,C9602,C9578)/POBLA!$B$1*100000</f>
        <v>893.20871430199429</v>
      </c>
      <c r="H9890" s="300">
        <f t="shared" ref="H9890:H9913" si="1613">SUM(C9890,C9866,C9842,C9818,C9794,C9770,C9746,C9722,C9698,C9674,C9650,C9626,C9602,C9578)/SUM(C9554,C9530,C9506,C9482,C9458,C9434,C9410,C9386,C9362,C9338,C9314,C9290,C9266,C9242)</f>
        <v>2.0992979071200795</v>
      </c>
      <c r="I9890" s="301">
        <f>G9890*H9890</f>
        <v>1875.1111845555936</v>
      </c>
      <c r="J9890" s="301">
        <f>AVERAGE(C9890,C9866,C9842,C9818,C9794,C9770,C9746)</f>
        <v>11880</v>
      </c>
      <c r="K9890" s="301">
        <f>J9890/POBLA!$B$1*100000</f>
        <v>67.726495100860319</v>
      </c>
      <c r="L9890" s="548">
        <f t="shared" ref="L9890:L9913" si="1614">1-SUM(C9890,C9866,C9842,C9818,C9794,C9770,C9746)/SUM(C9722,C9698,C9674,C9650,C9626,C9602,C9578)</f>
        <v>-0.13113616888151358</v>
      </c>
      <c r="M9890" s="400">
        <f>SUM(C9890,C9866,C9842,C9818,C9794,C9770,C9746)/POBLA!$B$1*100000</f>
        <v>474.08546570602221</v>
      </c>
    </row>
    <row r="9891" spans="1:13" s="360" customFormat="1" x14ac:dyDescent="0.25">
      <c r="A9891" s="367" t="s">
        <v>43</v>
      </c>
      <c r="B9891" s="2">
        <v>44305</v>
      </c>
      <c r="C9891" s="42">
        <v>2996</v>
      </c>
      <c r="D9891" s="39">
        <f t="shared" si="1604"/>
        <v>309900</v>
      </c>
      <c r="E9891" s="1">
        <v>30</v>
      </c>
      <c r="F9891" s="39">
        <f t="shared" si="1612"/>
        <v>7263</v>
      </c>
      <c r="G9891" s="168">
        <f>SUM(C9891,C9867,C9843,C9819,C9795,C9771,C9747,C9723,C9699,C9675,C9651,C9627,C9603,C9579)/POBLA!$B$2*100000</f>
        <v>1269.0667261446863</v>
      </c>
      <c r="H9891" s="256">
        <f t="shared" si="1613"/>
        <v>1.7929260450160771</v>
      </c>
      <c r="I9891" s="297">
        <f t="shared" ref="I9891:I9913" si="1615">G9891*H9891</f>
        <v>2275.3427861680934</v>
      </c>
      <c r="J9891" s="297">
        <f t="shared" ref="J9891:J9913" si="1616">AVERAGE(C9891,C9867,C9843,C9819,C9795,C9771,C9747)</f>
        <v>2966.5714285714284</v>
      </c>
      <c r="K9891" s="297">
        <f>J9891/POBLA!$B$2*100000</f>
        <v>96.453604497117951</v>
      </c>
      <c r="L9891" s="549">
        <f t="shared" si="1614"/>
        <v>-0.13686630898937913</v>
      </c>
      <c r="M9891" s="401">
        <f>SUM(C9891,C9867,C9843,C9819,C9795,C9771,C9747)/POBLA!$B$2*100000</f>
        <v>675.1752314798257</v>
      </c>
    </row>
    <row r="9892" spans="1:13" s="360" customFormat="1" x14ac:dyDescent="0.25">
      <c r="A9892" s="367" t="s">
        <v>28</v>
      </c>
      <c r="B9892" s="2">
        <v>44305</v>
      </c>
      <c r="C9892" s="42">
        <v>199</v>
      </c>
      <c r="D9892" s="39">
        <f t="shared" si="1604"/>
        <v>12969</v>
      </c>
      <c r="E9892" s="1"/>
      <c r="F9892" s="39">
        <f t="shared" si="1612"/>
        <v>19</v>
      </c>
      <c r="G9892" s="168">
        <f>SUM(C9892,C9868,C9844,C9820,C9796,C9772,C9748,C9724,C9700,C9676,C9652,C9628,C9604,C9580)/POBLA!$B$3*100000</f>
        <v>505.49059065371972</v>
      </c>
      <c r="H9892" s="256">
        <f t="shared" si="1613"/>
        <v>1.8953068592057762</v>
      </c>
      <c r="I9892" s="297">
        <f t="shared" si="1615"/>
        <v>958.05978372997424</v>
      </c>
      <c r="J9892" s="297">
        <f t="shared" si="1616"/>
        <v>158</v>
      </c>
      <c r="K9892" s="297">
        <f>J9892/POBLA!$B$3*100000</f>
        <v>38.032149201565581</v>
      </c>
      <c r="L9892" s="549">
        <f t="shared" si="1614"/>
        <v>-0.11267605633802824</v>
      </c>
      <c r="M9892" s="401">
        <f>SUM(C9892,C9868,C9844,C9820,C9796,C9772,C9748)/POBLA!$B$3*100000</f>
        <v>266.22504441095901</v>
      </c>
    </row>
    <row r="9893" spans="1:13" s="360" customFormat="1" x14ac:dyDescent="0.25">
      <c r="A9893" s="367" t="s">
        <v>15</v>
      </c>
      <c r="B9893" s="2">
        <v>44305</v>
      </c>
      <c r="C9893" s="42">
        <v>162</v>
      </c>
      <c r="D9893" s="39">
        <f t="shared" si="1604"/>
        <v>42265</v>
      </c>
      <c r="E9893" s="1">
        <v>2</v>
      </c>
      <c r="F9893" s="39">
        <f t="shared" si="1612"/>
        <v>996</v>
      </c>
      <c r="G9893" s="168">
        <f>SUM(C9893,C9869,C9845,C9821,C9797,C9773,C9749,C9725,C9701,C9677,C9653,C9629,C9605,C9581)/POBLA!$B$4*100000</f>
        <v>261.92549693202642</v>
      </c>
      <c r="H9893" s="256">
        <f t="shared" si="1613"/>
        <v>1.5390243902439025</v>
      </c>
      <c r="I9893" s="297">
        <f t="shared" si="1615"/>
        <v>403.10972820514309</v>
      </c>
      <c r="J9893" s="297">
        <f t="shared" si="1616"/>
        <v>240.57142857142858</v>
      </c>
      <c r="K9893" s="297">
        <f>J9893/POBLA!$B$4*100000</f>
        <v>19.972041513857025</v>
      </c>
      <c r="L9893" s="549">
        <f t="shared" si="1614"/>
        <v>-0.14479945615227741</v>
      </c>
      <c r="M9893" s="401">
        <f>SUM(C9893,C9869,C9845,C9821,C9797,C9773,C9749)/POBLA!$B$4*100000</f>
        <v>139.80429059699918</v>
      </c>
    </row>
    <row r="9894" spans="1:13" s="360" customFormat="1" x14ac:dyDescent="0.25">
      <c r="A9894" s="367" t="s">
        <v>29</v>
      </c>
      <c r="B9894" s="2">
        <v>44305</v>
      </c>
      <c r="C9894" s="42">
        <v>148</v>
      </c>
      <c r="D9894" s="39">
        <f t="shared" si="1604"/>
        <v>52743</v>
      </c>
      <c r="E9894" s="1"/>
      <c r="F9894" s="39">
        <f t="shared" si="1612"/>
        <v>891</v>
      </c>
      <c r="G9894" s="168">
        <f>SUM(C9894,C9870,C9846,C9822,C9798,C9774,C9750,C9726,C9702,C9678,C9654,C9630,C9606,C9582)/POBLA!$B$5*100000</f>
        <v>364.13923236735735</v>
      </c>
      <c r="H9894" s="256">
        <f t="shared" si="1613"/>
        <v>1.3853718500307315</v>
      </c>
      <c r="I9894" s="297">
        <f t="shared" si="1615"/>
        <v>504.46824201353627</v>
      </c>
      <c r="J9894" s="297">
        <f t="shared" si="1616"/>
        <v>176.57142857142858</v>
      </c>
      <c r="K9894" s="297">
        <f>J9894/POBLA!$B$5*100000</f>
        <v>28.525547674360102</v>
      </c>
      <c r="L9894" s="549">
        <f t="shared" si="1614"/>
        <v>-0.21414538310412579</v>
      </c>
      <c r="M9894" s="401">
        <f>SUM(C9894,C9870,C9846,C9822,C9798,C9774,C9750)/POBLA!$B$5*100000</f>
        <v>199.67883372052071</v>
      </c>
    </row>
    <row r="9895" spans="1:13" s="360" customFormat="1" x14ac:dyDescent="0.25">
      <c r="A9895" s="367" t="s">
        <v>30</v>
      </c>
      <c r="B9895" s="2">
        <v>44305</v>
      </c>
      <c r="C9895" s="42">
        <v>120</v>
      </c>
      <c r="D9895" s="39">
        <f t="shared" si="1604"/>
        <v>34853</v>
      </c>
      <c r="E9895" s="1">
        <v>4</v>
      </c>
      <c r="F9895" s="39">
        <f t="shared" si="1612"/>
        <v>397</v>
      </c>
      <c r="G9895" s="168">
        <f>SUM(C9895,C9871,C9847,C9823,C9799,C9775,C9751,C9727,C9703,C9679,C9655,C9631,C9607,C9583)/POBLA!$B$6*100000</f>
        <v>349.83908829488911</v>
      </c>
      <c r="H9895" s="256">
        <f t="shared" si="1613"/>
        <v>0.91483901073261786</v>
      </c>
      <c r="I9895" s="297">
        <f t="shared" si="1615"/>
        <v>320.0464454512973</v>
      </c>
      <c r="J9895" s="297">
        <f t="shared" si="1616"/>
        <v>221.71428571428572</v>
      </c>
      <c r="K9895" s="297">
        <f>J9895/POBLA!$B$6*100000</f>
        <v>19.781770868716723</v>
      </c>
      <c r="L9895" s="549">
        <f t="shared" si="1614"/>
        <v>0.34487125369354155</v>
      </c>
      <c r="M9895" s="401">
        <f>SUM(C9895,C9871,C9847,C9823,C9799,C9775,C9751)/POBLA!$B$6*100000</f>
        <v>138.47239608101705</v>
      </c>
    </row>
    <row r="9896" spans="1:13" s="360" customFormat="1" x14ac:dyDescent="0.25">
      <c r="A9896" s="367" t="s">
        <v>20</v>
      </c>
      <c r="B9896" s="2">
        <v>44305</v>
      </c>
      <c r="C9896" s="42">
        <v>1340</v>
      </c>
      <c r="D9896" s="39">
        <f t="shared" si="1604"/>
        <v>208163</v>
      </c>
      <c r="E9896" s="1">
        <v>16</v>
      </c>
      <c r="F9896" s="39">
        <f t="shared" si="1612"/>
        <v>3191</v>
      </c>
      <c r="G9896" s="168">
        <f>SUM(C9896,C9872,C9848,C9824,C9800,C9776,C9752,C9728,C9704,C9680,C9656,C9632,C9608,C9584)/POBLA!$B$7*100000</f>
        <v>618.30366046616757</v>
      </c>
      <c r="H9896" s="256">
        <f t="shared" si="1613"/>
        <v>1.9214114535988762</v>
      </c>
      <c r="I9896" s="297">
        <f t="shared" si="1615"/>
        <v>1188.0157350218051</v>
      </c>
      <c r="J9896" s="297">
        <f t="shared" si="1616"/>
        <v>1662.2857142857142</v>
      </c>
      <c r="K9896" s="297">
        <f>J9896/POBLA!$B$7*100000</f>
        <v>44.204436019245414</v>
      </c>
      <c r="L9896" s="549">
        <f t="shared" si="1614"/>
        <v>-1.8080068876453748E-3</v>
      </c>
      <c r="M9896" s="401">
        <f>SUM(C9896,C9872,C9848,C9824,C9800,C9776,C9752)/POBLA!$B$7*100000</f>
        <v>309.4310521347179</v>
      </c>
    </row>
    <row r="9897" spans="1:13" x14ac:dyDescent="0.25">
      <c r="A9897" s="367" t="s">
        <v>31</v>
      </c>
      <c r="B9897" s="2">
        <v>44305</v>
      </c>
      <c r="C9897" s="42">
        <v>206</v>
      </c>
      <c r="D9897" s="39">
        <f t="shared" si="1604"/>
        <v>56653</v>
      </c>
      <c r="E9897" s="1">
        <v>10</v>
      </c>
      <c r="F9897" s="39">
        <f t="shared" si="1612"/>
        <v>1010</v>
      </c>
      <c r="G9897" s="168">
        <f>SUM(C9897,C9873,C9849,C9825,C9801,C9777,C9753,C9729,C9705,C9681,C9657,C9633,C9609,C9585)/POBLA!$B$8*100000</f>
        <v>429.01640089439746</v>
      </c>
      <c r="H9897" s="256">
        <f t="shared" si="1613"/>
        <v>2.4682440846824409</v>
      </c>
      <c r="I9897" s="297">
        <f t="shared" si="1615"/>
        <v>1058.9171937393471</v>
      </c>
      <c r="J9897" s="297">
        <f t="shared" si="1616"/>
        <v>478.57142857142856</v>
      </c>
      <c r="K9897" s="297">
        <f>J9897/POBLA!$B$8*100000</f>
        <v>34.529934721931461</v>
      </c>
      <c r="L9897" s="549">
        <f t="shared" si="1614"/>
        <v>-0.29044684129429887</v>
      </c>
      <c r="M9897" s="401">
        <f>SUM(C9897,C9873,C9849,C9825,C9801,C9777,C9753)/POBLA!$B$8*100000</f>
        <v>241.70954305352026</v>
      </c>
    </row>
    <row r="9898" spans="1:13" s="360" customFormat="1" x14ac:dyDescent="0.25">
      <c r="A9898" s="367" t="s">
        <v>41</v>
      </c>
      <c r="B9898" s="2">
        <v>44305</v>
      </c>
      <c r="C9898" s="42">
        <v>40</v>
      </c>
      <c r="D9898" s="39">
        <f t="shared" si="1604"/>
        <v>3502</v>
      </c>
      <c r="E9898" s="1"/>
      <c r="F9898" s="39">
        <f t="shared" si="1612"/>
        <v>61</v>
      </c>
      <c r="G9898" s="168">
        <f>SUM(C9898,C9874,C9850,C9826,C9802,C9778,C9754,C9730,C9706,C9682,C9658,C9634,C9610,C9586)/POBLA!$B$9*100000</f>
        <v>190.51773566449052</v>
      </c>
      <c r="H9898" s="256">
        <f t="shared" si="1613"/>
        <v>1.8243670886075949</v>
      </c>
      <c r="I9898" s="297">
        <f t="shared" si="1615"/>
        <v>347.5742867423379</v>
      </c>
      <c r="J9898" s="297">
        <f t="shared" si="1616"/>
        <v>71.428571428571431</v>
      </c>
      <c r="K9898" s="297">
        <f>J9898/POBLA!$B$9*100000</f>
        <v>11.802610312507156</v>
      </c>
      <c r="L9898" s="549">
        <f t="shared" si="1614"/>
        <v>0.23430321592649306</v>
      </c>
      <c r="M9898" s="401">
        <f>SUM(C9898,C9874,C9850,C9826,C9802,C9778,C9754)/POBLA!$B$9*100000</f>
        <v>82.61827218755009</v>
      </c>
    </row>
    <row r="9899" spans="1:13" s="360" customFormat="1" x14ac:dyDescent="0.25">
      <c r="A9899" s="367" t="s">
        <v>32</v>
      </c>
      <c r="B9899" s="2">
        <v>44305</v>
      </c>
      <c r="C9899" s="42">
        <v>66</v>
      </c>
      <c r="D9899" s="39">
        <f t="shared" si="1604"/>
        <v>23752</v>
      </c>
      <c r="E9899" s="1">
        <v>3</v>
      </c>
      <c r="F9899" s="39">
        <f t="shared" si="1612"/>
        <v>1003</v>
      </c>
      <c r="G9899" s="168">
        <f>SUM(C9899,C9875,C9851,C9827,C9803,C9779,C9755,C9731,C9707,C9683,C9659,C9635,C9611,C9587)/POBLA!$B$10*100000</f>
        <v>137.37528879295249</v>
      </c>
      <c r="H9899" s="256">
        <f t="shared" si="1613"/>
        <v>1.6242331288343559</v>
      </c>
      <c r="I9899" s="297">
        <f t="shared" si="1615"/>
        <v>223.12949514070044</v>
      </c>
      <c r="J9899" s="297">
        <f t="shared" si="1616"/>
        <v>91.857142857142861</v>
      </c>
      <c r="K9899" s="297">
        <f>J9899/POBLA!$B$10*100000</f>
        <v>11.915865465245979</v>
      </c>
      <c r="L9899" s="549">
        <f t="shared" si="1614"/>
        <v>-0.54567307692307687</v>
      </c>
      <c r="M9899" s="401">
        <f>SUM(C9899,C9875,C9851,C9827,C9803,C9779,C9755)/POBLA!$B$10*100000</f>
        <v>83.411058256721859</v>
      </c>
    </row>
    <row r="9900" spans="1:13" s="360" customFormat="1" x14ac:dyDescent="0.25">
      <c r="A9900" s="367" t="s">
        <v>33</v>
      </c>
      <c r="B9900" s="2">
        <v>44305</v>
      </c>
      <c r="C9900" s="42">
        <v>155</v>
      </c>
      <c r="D9900" s="39">
        <f t="shared" si="1604"/>
        <v>24183</v>
      </c>
      <c r="E9900" s="1">
        <v>8</v>
      </c>
      <c r="F9900" s="39">
        <f t="shared" si="1612"/>
        <v>340</v>
      </c>
      <c r="G9900" s="168">
        <f>SUM(C9900,C9876,C9852,C9828,C9804,C9780,C9756,C9732,C9708,C9684,C9660,C9636,C9612,C9588)/POBLA!$B$11*100000</f>
        <v>681.58737598625112</v>
      </c>
      <c r="H9900" s="256">
        <f t="shared" si="1613"/>
        <v>2.0633445945945947</v>
      </c>
      <c r="I9900" s="297">
        <f t="shared" si="1615"/>
        <v>1406.3496279851449</v>
      </c>
      <c r="J9900" s="297">
        <f t="shared" si="1616"/>
        <v>197.14285714285714</v>
      </c>
      <c r="K9900" s="297">
        <f>J9900/POBLA!$B$11*100000</f>
        <v>55.002080513480294</v>
      </c>
      <c r="L9900" s="549">
        <f t="shared" si="1614"/>
        <v>-0.29821260583254938</v>
      </c>
      <c r="M9900" s="401">
        <f>SUM(C9900,C9876,C9852,C9828,C9804,C9780,C9756)/POBLA!$B$11*100000</f>
        <v>385.01456359436202</v>
      </c>
    </row>
    <row r="9901" spans="1:13" s="360" customFormat="1" x14ac:dyDescent="0.25">
      <c r="A9901" s="367" t="s">
        <v>21</v>
      </c>
      <c r="B9901" s="2">
        <v>44305</v>
      </c>
      <c r="C9901" s="42">
        <v>117</v>
      </c>
      <c r="D9901" s="39">
        <f t="shared" si="1604"/>
        <v>12558</v>
      </c>
      <c r="E9901" s="1"/>
      <c r="F9901" s="39">
        <f t="shared" si="1612"/>
        <v>458</v>
      </c>
      <c r="G9901" s="168">
        <f>SUM(C9901,C9877,C9853,C9829,C9805,C9781,C9757,C9733,C9709,C9685,C9661,C9637,C9613,C9589)/POBLA!$B$12*100000</f>
        <v>293.24246374491463</v>
      </c>
      <c r="H9901" s="256">
        <f t="shared" si="1613"/>
        <v>1.6628242074927955</v>
      </c>
      <c r="I9901" s="297">
        <f t="shared" si="1615"/>
        <v>487.6106673798725</v>
      </c>
      <c r="J9901" s="297">
        <f t="shared" si="1616"/>
        <v>73.857142857142861</v>
      </c>
      <c r="K9901" s="297">
        <f>J9901/POBLA!$B$12*100000</f>
        <v>18.767808090631451</v>
      </c>
      <c r="L9901" s="549">
        <f t="shared" si="1614"/>
        <v>0.18838304552590268</v>
      </c>
      <c r="M9901" s="401">
        <f>SUM(C9901,C9877,C9853,C9829,C9805,C9781,C9757)/POBLA!$B$12*100000</f>
        <v>131.37465663442015</v>
      </c>
    </row>
    <row r="9902" spans="1:13" s="360" customFormat="1" x14ac:dyDescent="0.25">
      <c r="A9902" s="367" t="s">
        <v>17</v>
      </c>
      <c r="B9902" s="2">
        <v>44305</v>
      </c>
      <c r="C9902" s="42">
        <v>769</v>
      </c>
      <c r="D9902" s="39">
        <f t="shared" si="1604"/>
        <v>86912</v>
      </c>
      <c r="E9902" s="1">
        <v>11</v>
      </c>
      <c r="F9902" s="39">
        <f t="shared" si="1612"/>
        <v>1646</v>
      </c>
      <c r="G9902" s="168">
        <f>SUM(C9902,C9878,C9854,C9830,C9806,C9782,C9758,C9734,C9710,C9686,C9662,C9638,C9614,C9590)/POBLA!$B$13*100000</f>
        <v>600.80247676525289</v>
      </c>
      <c r="H9902" s="256">
        <f t="shared" si="1613"/>
        <v>2.7301369863013698</v>
      </c>
      <c r="I9902" s="297">
        <f t="shared" si="1615"/>
        <v>1640.2730632782864</v>
      </c>
      <c r="J9902" s="297">
        <f t="shared" si="1616"/>
        <v>888.14285714285711</v>
      </c>
      <c r="K9902" s="297">
        <f>J9902/POBLA!$B$13*100000</f>
        <v>44.622715194246254</v>
      </c>
      <c r="L9902" s="549">
        <f t="shared" si="1614"/>
        <v>-8.2912384601985689E-2</v>
      </c>
      <c r="M9902" s="401">
        <f>SUM(C9902,C9878,C9854,C9830,C9806,C9782,C9758)/POBLA!$B$13*100000</f>
        <v>312.35900635972382</v>
      </c>
    </row>
    <row r="9903" spans="1:13" s="360" customFormat="1" x14ac:dyDescent="0.25">
      <c r="A9903" s="367" t="s">
        <v>23</v>
      </c>
      <c r="B9903" s="2">
        <v>44305</v>
      </c>
      <c r="C9903" s="42">
        <v>70</v>
      </c>
      <c r="D9903" s="39">
        <f t="shared" si="1604"/>
        <v>14368</v>
      </c>
      <c r="E9903" s="1">
        <v>1</v>
      </c>
      <c r="F9903" s="39">
        <f t="shared" si="1612"/>
        <v>229</v>
      </c>
      <c r="G9903" s="168">
        <f>SUM(C9903,C9879,C9855,C9831,C9807,C9783,C9759,C9735,C9711,C9687,C9663,C9639,C9615,C9591)/POBLA!$B$14*100000</f>
        <v>156.3473702404039</v>
      </c>
      <c r="H9903" s="256">
        <f t="shared" si="1613"/>
        <v>1.3199464524765729</v>
      </c>
      <c r="I9903" s="297">
        <f t="shared" si="1615"/>
        <v>206.37015670286246</v>
      </c>
      <c r="J9903" s="297">
        <f t="shared" si="1616"/>
        <v>126.85714285714286</v>
      </c>
      <c r="K9903" s="297">
        <f>J9903/POBLA!$B$14*100000</f>
        <v>10.057698114566696</v>
      </c>
      <c r="L9903" s="549">
        <f t="shared" si="1614"/>
        <v>0.18081180811808117</v>
      </c>
      <c r="M9903" s="401">
        <f>SUM(C9903,C9879,C9855,C9831,C9807,C9783,C9759)/POBLA!$B$14*100000</f>
        <v>70.403886801966863</v>
      </c>
    </row>
    <row r="9904" spans="1:13" s="360" customFormat="1" x14ac:dyDescent="0.25">
      <c r="A9904" s="367" t="s">
        <v>19</v>
      </c>
      <c r="B9904" s="2">
        <v>44305</v>
      </c>
      <c r="C9904" s="42">
        <v>181</v>
      </c>
      <c r="D9904" s="39">
        <f t="shared" si="1604"/>
        <v>67952</v>
      </c>
      <c r="E9904" s="1">
        <v>6</v>
      </c>
      <c r="F9904" s="39">
        <f t="shared" si="1612"/>
        <v>1036</v>
      </c>
      <c r="G9904" s="168">
        <f>SUM(C9904,C9880,C9856,C9832,C9808,C9784,C9760,C9736,C9712,C9688,C9664,C9640,C9616,C9592)/POBLA!$B$15*100000</f>
        <v>340.63340948141501</v>
      </c>
      <c r="H9904" s="256">
        <f t="shared" si="1613"/>
        <v>1.5130434782608695</v>
      </c>
      <c r="I9904" s="297">
        <f t="shared" si="1615"/>
        <v>515.39315869361917</v>
      </c>
      <c r="J9904" s="297">
        <f t="shared" si="1616"/>
        <v>184.85714285714286</v>
      </c>
      <c r="K9904" s="297">
        <f>J9904/POBLA!$B$15*100000</f>
        <v>27.837541484713341</v>
      </c>
      <c r="L9904" s="549">
        <f t="shared" si="1614"/>
        <v>-0.33677685950413228</v>
      </c>
      <c r="M9904" s="401">
        <f>SUM(C9904,C9880,C9856,C9832,C9808,C9784,C9760)/POBLA!$B$15*100000</f>
        <v>194.86279039299339</v>
      </c>
    </row>
    <row r="9905" spans="1:13" s="360" customFormat="1" x14ac:dyDescent="0.25">
      <c r="A9905" s="367" t="s">
        <v>18</v>
      </c>
      <c r="B9905" s="2">
        <v>44305</v>
      </c>
      <c r="C9905" s="42">
        <v>198</v>
      </c>
      <c r="D9905" s="39">
        <f t="shared" si="1604"/>
        <v>58331</v>
      </c>
      <c r="E9905" s="1">
        <v>2</v>
      </c>
      <c r="F9905" s="39">
        <f t="shared" si="1612"/>
        <v>1318</v>
      </c>
      <c r="G9905" s="168">
        <f>SUM(C9905,C9881,C9857,C9833,C9809,C9785,C9761,C9737,C9713,C9689,C9665,C9641,C9617,C9593)/POBLA!$B$16*100000</f>
        <v>328.11225103998078</v>
      </c>
      <c r="H9905" s="256">
        <f t="shared" si="1613"/>
        <v>1.7814088598402325</v>
      </c>
      <c r="I9905" s="297">
        <f t="shared" si="1615"/>
        <v>584.50207102474428</v>
      </c>
      <c r="J9905" s="297">
        <f t="shared" si="1616"/>
        <v>198.42857142857142</v>
      </c>
      <c r="K9905" s="297">
        <f>J9905/POBLA!$B$16*100000</f>
        <v>26.541722479444015</v>
      </c>
      <c r="L9905" s="549">
        <f t="shared" si="1614"/>
        <v>-0.30545112781954886</v>
      </c>
      <c r="M9905" s="401">
        <f>SUM(C9905,C9881,C9857,C9833,C9809,C9785,C9761)/POBLA!$B$16*100000</f>
        <v>185.79205735610813</v>
      </c>
    </row>
    <row r="9906" spans="1:13" s="360" customFormat="1" x14ac:dyDescent="0.25">
      <c r="A9906" s="367" t="s">
        <v>34</v>
      </c>
      <c r="B9906" s="2">
        <v>44305</v>
      </c>
      <c r="C9906" s="42">
        <v>132</v>
      </c>
      <c r="D9906" s="39">
        <f t="shared" si="1604"/>
        <v>32451</v>
      </c>
      <c r="E9906" s="1">
        <v>1</v>
      </c>
      <c r="F9906" s="39">
        <f t="shared" si="1612"/>
        <v>1258</v>
      </c>
      <c r="G9906" s="168">
        <f>SUM(C9906,C9882,C9858,C9834,C9810,C9786,C9762,C9738,C9714,C9690,C9666,C9642,C9618,C9594)/POBLA!$B$17*100000</f>
        <v>184.42891974639093</v>
      </c>
      <c r="H9906" s="256">
        <f t="shared" si="1613"/>
        <v>1.8383484954513647</v>
      </c>
      <c r="I9906" s="297">
        <f t="shared" si="1615"/>
        <v>339.04462713349824</v>
      </c>
      <c r="J9906" s="297">
        <f t="shared" si="1616"/>
        <v>191.57142857142858</v>
      </c>
      <c r="K9906" s="297">
        <f>J9906/POBLA!$B$17*100000</f>
        <v>13.449300200114756</v>
      </c>
      <c r="L9906" s="549">
        <f t="shared" si="1614"/>
        <v>-4.2768273716951688E-2</v>
      </c>
      <c r="M9906" s="401">
        <f>SUM(C9906,C9882,C9858,C9834,C9810,C9786,C9762)/POBLA!$B$17*100000</f>
        <v>94.145101400803284</v>
      </c>
    </row>
    <row r="9907" spans="1:13" s="360" customFormat="1" x14ac:dyDescent="0.25">
      <c r="A9907" s="367" t="s">
        <v>35</v>
      </c>
      <c r="B9907" s="2">
        <v>44305</v>
      </c>
      <c r="C9907" s="42">
        <v>219</v>
      </c>
      <c r="D9907" s="39">
        <f t="shared" ref="D9907:D9970" si="1617">C9907+D9883</f>
        <v>20377</v>
      </c>
      <c r="E9907" s="1">
        <v>8</v>
      </c>
      <c r="F9907" s="39">
        <f t="shared" si="1612"/>
        <v>248</v>
      </c>
      <c r="G9907" s="168">
        <f>SUM(C9907,C9883,C9859,C9835,C9811,C9787,C9763,C9739,C9715,C9691,C9667,C9643,C9619,C9595)/POBLA!$B$18*100000</f>
        <v>352.78290154976145</v>
      </c>
      <c r="H9907" s="256">
        <f t="shared" si="1613"/>
        <v>2.2406504065040651</v>
      </c>
      <c r="I9907" s="297">
        <f t="shared" si="1615"/>
        <v>790.46315176515657</v>
      </c>
      <c r="J9907" s="297">
        <f t="shared" si="1616"/>
        <v>202.85714285714286</v>
      </c>
      <c r="K9907" s="297">
        <f>J9907/POBLA!$B$18*100000</f>
        <v>25.966811123816154</v>
      </c>
      <c r="L9907" s="549">
        <f t="shared" si="1614"/>
        <v>-6.2874251497005984E-2</v>
      </c>
      <c r="M9907" s="401">
        <f>SUM(C9907,C9883,C9859,C9835,C9811,C9787,C9763)/POBLA!$B$18*100000</f>
        <v>181.76767786671309</v>
      </c>
    </row>
    <row r="9908" spans="1:13" s="360" customFormat="1" x14ac:dyDescent="0.25">
      <c r="A9908" s="367" t="s">
        <v>36</v>
      </c>
      <c r="B9908" s="2">
        <v>44305</v>
      </c>
      <c r="C9908" s="42">
        <v>444</v>
      </c>
      <c r="D9908" s="39">
        <f t="shared" si="1617"/>
        <v>30552</v>
      </c>
      <c r="E9908" s="1"/>
      <c r="F9908" s="39">
        <f t="shared" si="1612"/>
        <v>449</v>
      </c>
      <c r="G9908" s="168">
        <f>SUM(C9908,C9884,C9860,C9836,C9812,C9788,C9764,C9740,C9716,C9692,C9668,C9644,C9620,C9596)/POBLA!$B$19*100000</f>
        <v>1310.9645740545475</v>
      </c>
      <c r="H9908" s="256">
        <f t="shared" si="1613"/>
        <v>2.8539614561027835</v>
      </c>
      <c r="I9908" s="297">
        <f t="shared" si="1615"/>
        <v>3741.4423646678815</v>
      </c>
      <c r="J9908" s="297">
        <f t="shared" si="1616"/>
        <v>519.71428571428567</v>
      </c>
      <c r="K9908" s="297">
        <f>J9908/POBLA!$B$19*100000</f>
        <v>102.23994855964764</v>
      </c>
      <c r="L9908" s="549">
        <f t="shared" si="1614"/>
        <v>-0.202247191011236</v>
      </c>
      <c r="M9908" s="401">
        <f>SUM(C9908,C9884,C9860,C9836,C9812,C9788,C9764)/POBLA!$B$19*100000</f>
        <v>715.67963991753356</v>
      </c>
    </row>
    <row r="9909" spans="1:13" s="360" customFormat="1" x14ac:dyDescent="0.25">
      <c r="A9909" s="367" t="s">
        <v>37</v>
      </c>
      <c r="B9909" s="2">
        <v>44305</v>
      </c>
      <c r="C9909" s="42">
        <v>202</v>
      </c>
      <c r="D9909" s="39">
        <f t="shared" si="1617"/>
        <v>42459</v>
      </c>
      <c r="E9909" s="1">
        <v>3</v>
      </c>
      <c r="F9909" s="39">
        <f t="shared" si="1612"/>
        <v>683</v>
      </c>
      <c r="G9909" s="168">
        <f>SUM(C9909,C9885,C9861,C9837,C9813,C9789,C9765,C9741,C9717,C9693,C9669,C9645,C9621,C9597)/POBLA!$B$20*100000</f>
        <v>679.24899780693363</v>
      </c>
      <c r="H9909" s="256">
        <f t="shared" si="1613"/>
        <v>1.4724362774155306</v>
      </c>
      <c r="I9909" s="297">
        <f t="shared" si="1615"/>
        <v>1000.1508657690713</v>
      </c>
      <c r="J9909" s="297">
        <f t="shared" si="1616"/>
        <v>192.71428571428572</v>
      </c>
      <c r="K9909" s="297">
        <f>J9909/POBLA!$B$20*100000</f>
        <v>52.697659192635925</v>
      </c>
      <c r="L9909" s="549">
        <f t="shared" si="1614"/>
        <v>-0.18854625550660797</v>
      </c>
      <c r="M9909" s="401">
        <f>SUM(C9909,C9885,C9861,C9837,C9813,C9789,C9765)/POBLA!$B$20*100000</f>
        <v>368.88361434845149</v>
      </c>
    </row>
    <row r="9910" spans="1:13" s="360" customFormat="1" x14ac:dyDescent="0.25">
      <c r="A9910" s="367" t="s">
        <v>22</v>
      </c>
      <c r="B9910" s="2">
        <v>44305</v>
      </c>
      <c r="C9910" s="42">
        <v>1173</v>
      </c>
      <c r="D9910" s="39">
        <f t="shared" si="1617"/>
        <v>254130</v>
      </c>
      <c r="E9910" s="1">
        <v>21</v>
      </c>
      <c r="F9910" s="39">
        <f t="shared" si="1612"/>
        <v>4427</v>
      </c>
      <c r="G9910" s="168">
        <f>SUM(C9910,C9886,C9862,C9838,C9814,C9790,C9766,C9742,C9718,C9694,C9670,C9646,C9622,C9598)/POBLA!$B$21*100000</f>
        <v>551.09435592738191</v>
      </c>
      <c r="H9910" s="256">
        <f t="shared" si="1613"/>
        <v>2.2334402933761175</v>
      </c>
      <c r="I9910" s="297">
        <f t="shared" si="1615"/>
        <v>1230.8363399803743</v>
      </c>
      <c r="J9910" s="297">
        <f t="shared" si="1616"/>
        <v>1564</v>
      </c>
      <c r="K9910" s="297">
        <f>J9910/POBLA!$B$21*100000</f>
        <v>44.225541211474436</v>
      </c>
      <c r="L9910" s="549">
        <f t="shared" si="1614"/>
        <v>-0.28181711743355575</v>
      </c>
      <c r="M9910" s="401">
        <f>SUM(C9910,C9886,C9862,C9838,C9814,C9790,C9766)/POBLA!$B$21*100000</f>
        <v>309.57878848032101</v>
      </c>
    </row>
    <row r="9911" spans="1:13" s="360" customFormat="1" x14ac:dyDescent="0.25">
      <c r="A9911" s="367" t="s">
        <v>38</v>
      </c>
      <c r="B9911" s="2">
        <v>44305</v>
      </c>
      <c r="C9911" s="42">
        <v>172</v>
      </c>
      <c r="D9911" s="39">
        <f t="shared" si="1617"/>
        <v>28408</v>
      </c>
      <c r="E9911" s="1">
        <v>2</v>
      </c>
      <c r="F9911" s="39">
        <f t="shared" si="1612"/>
        <v>326</v>
      </c>
      <c r="G9911" s="168">
        <f>SUM(C9911,C9887,C9863,C9839,C9815,C9791,C9767,C9743,C9719,C9695,C9671,C9647,C9623,C9599)/POBLA!$B$22*100000</f>
        <v>270.87445429019141</v>
      </c>
      <c r="H9911" s="256">
        <f t="shared" si="1613"/>
        <v>1.6814720812182742</v>
      </c>
      <c r="I9911" s="297">
        <f t="shared" si="1615"/>
        <v>455.46783240419245</v>
      </c>
      <c r="J9911" s="297">
        <f t="shared" si="1616"/>
        <v>208.85714285714286</v>
      </c>
      <c r="K9911" s="297">
        <f>J9911/POBLA!$B$22*100000</f>
        <v>21.348703621146079</v>
      </c>
      <c r="L9911" s="549">
        <f t="shared" si="1614"/>
        <v>-0.23063973063973053</v>
      </c>
      <c r="M9911" s="401">
        <f>SUM(C9911,C9887,C9863,C9839,C9815,C9791,C9767)/POBLA!$B$22*100000</f>
        <v>149.44092534802257</v>
      </c>
    </row>
    <row r="9912" spans="1:13" s="360" customFormat="1" x14ac:dyDescent="0.25">
      <c r="A9912" s="367" t="s">
        <v>39</v>
      </c>
      <c r="B9912" s="2">
        <v>44305</v>
      </c>
      <c r="C9912" s="42">
        <v>28</v>
      </c>
      <c r="D9912" s="39">
        <f t="shared" si="1617"/>
        <v>25490</v>
      </c>
      <c r="E9912" s="1"/>
      <c r="F9912" s="39">
        <f t="shared" si="1612"/>
        <v>375</v>
      </c>
      <c r="G9912" s="168">
        <f>SUM(C9912,C9888,C9864,C9840,C9816,C9792,C9768,C9744,C9720,C9696,C9672,C9648,C9624,C9600)/POBLA!$B$23*100000</f>
        <v>636.76977888367355</v>
      </c>
      <c r="H9912" s="256">
        <f t="shared" si="1613"/>
        <v>1.5134408602150538</v>
      </c>
      <c r="I9912" s="297">
        <f t="shared" si="1615"/>
        <v>963.71340191265642</v>
      </c>
      <c r="J9912" s="297">
        <f t="shared" si="1616"/>
        <v>76.857142857142861</v>
      </c>
      <c r="K9912" s="297">
        <f>J9912/POBLA!$B$23*100000</f>
        <v>43.463859558413652</v>
      </c>
      <c r="L9912" s="549">
        <f t="shared" si="1614"/>
        <v>8.503401360544216E-2</v>
      </c>
      <c r="M9912" s="401">
        <f>SUM(C9912,C9888,C9864,C9840,C9816,C9792,C9768)/POBLA!$B$23*100000</f>
        <v>304.24701690889555</v>
      </c>
    </row>
    <row r="9913" spans="1:13" s="360" customFormat="1" ht="15.75" thickBot="1" x14ac:dyDescent="0.3">
      <c r="A9913" s="369" t="s">
        <v>40</v>
      </c>
      <c r="B9913" s="2">
        <v>44305</v>
      </c>
      <c r="C9913" s="42">
        <v>809</v>
      </c>
      <c r="D9913" s="176">
        <f t="shared" si="1617"/>
        <v>98331</v>
      </c>
      <c r="E9913" s="1">
        <v>7</v>
      </c>
      <c r="F9913" s="176">
        <f t="shared" si="1612"/>
        <v>1576</v>
      </c>
      <c r="G9913" s="177">
        <f>SUM(C9913,C9889,C9865,C9841,C9817,C9793,C9769,C9745,C9721,C9697,C9673,C9649,C9625,C9601)/POBLA!$B$24*100000</f>
        <v>514.97177008195172</v>
      </c>
      <c r="H9913" s="402">
        <f t="shared" si="1613"/>
        <v>1.626048071548351</v>
      </c>
      <c r="I9913" s="403">
        <f t="shared" si="1615"/>
        <v>837.36885364359841</v>
      </c>
      <c r="J9913" s="403">
        <f t="shared" si="1616"/>
        <v>637.42857142857144</v>
      </c>
      <c r="K9913" s="403">
        <f>J9913/POBLA!$B$24*100000</f>
        <v>37.614039157715276</v>
      </c>
      <c r="L9913" s="550">
        <f t="shared" si="1614"/>
        <v>-4.6189917936694025E-2</v>
      </c>
      <c r="M9913" s="405">
        <f>SUM(C9913,C9889,C9865,C9841,C9817,C9793,C9769)/POBLA!$B$24*100000</f>
        <v>263.29827410400696</v>
      </c>
    </row>
    <row r="9914" spans="1:13" s="360" customFormat="1" x14ac:dyDescent="0.25">
      <c r="A9914" s="374" t="s">
        <v>16</v>
      </c>
      <c r="B9914" s="2">
        <v>44306</v>
      </c>
      <c r="C9914" s="42">
        <v>14665</v>
      </c>
      <c r="D9914" s="262">
        <f t="shared" si="1617"/>
        <v>1187837</v>
      </c>
      <c r="E9914" s="1">
        <v>170</v>
      </c>
      <c r="F9914" s="262">
        <f t="shared" ref="F9914:F9937" si="1618">E9914+F9890</f>
        <v>30471</v>
      </c>
      <c r="G9914" s="175">
        <f>SUM(C9914,C9890,C9866,C9842,C9818,C9794,C9770,C9746,C9722,C9698,C9674,C9650,C9626,C9602)/POBLA!$B$1*100000</f>
        <v>917.5115803470253</v>
      </c>
      <c r="H9914" s="300">
        <f t="shared" ref="H9914:H9937" si="1619">SUM(C9914,C9890,C9866,C9842,C9818,C9794,C9770,C9746,C9722,C9698,C9674,C9650,C9626,C9602)/SUM(C9578,C9554,C9530,C9506,C9482,C9458,C9434,C9410,C9386,C9362,C9338,C9314,C9290,C9266)</f>
        <v>1.9953383999305718</v>
      </c>
      <c r="I9914" s="301">
        <f>G9914*H9914</f>
        <v>1830.7460886474037</v>
      </c>
      <c r="J9914" s="301">
        <f>AVERAGE(C9914,C9890,C9866,C9842,C9818,C9794,C9770)</f>
        <v>11974.428571428571</v>
      </c>
      <c r="K9914" s="301">
        <f>J9914/POBLA!$B$1*100000</f>
        <v>68.264821378658155</v>
      </c>
      <c r="L9914" s="548">
        <f t="shared" ref="L9914:L9937" si="1620">1-SUM(C9914,C9890,C9866,C9842,C9818,C9794,C9770)/SUM(C9746,C9722,C9698,C9674,C9650,C9626,C9602)</f>
        <v>-8.6876466850792866E-2</v>
      </c>
      <c r="M9914" s="400">
        <f>SUM(C9914,C9890,C9866,C9842,C9818,C9794,C9770)/POBLA!$B$1*100000</f>
        <v>477.85374965060709</v>
      </c>
    </row>
    <row r="9915" spans="1:13" s="360" customFormat="1" x14ac:dyDescent="0.25">
      <c r="A9915" s="367" t="s">
        <v>43</v>
      </c>
      <c r="B9915" s="2">
        <v>44306</v>
      </c>
      <c r="C9915" s="42">
        <v>3345</v>
      </c>
      <c r="D9915" s="39">
        <f t="shared" si="1617"/>
        <v>313245</v>
      </c>
      <c r="E9915" s="1">
        <v>36</v>
      </c>
      <c r="F9915" s="39">
        <f t="shared" si="1618"/>
        <v>7299</v>
      </c>
      <c r="G9915" s="168">
        <f>SUM(C9915,C9891,C9867,C9843,C9819,C9795,C9771,C9747,C9723,C9699,C9675,C9651,C9627,C9603)/POBLA!$B$2*100000</f>
        <v>1303.6610845331354</v>
      </c>
      <c r="H9915" s="256">
        <f t="shared" si="1619"/>
        <v>1.7531371605963884</v>
      </c>
      <c r="I9915" s="297">
        <f t="shared" ref="I9915:I9937" si="1621">G9915*H9915</f>
        <v>2285.4966921184291</v>
      </c>
      <c r="J9915" s="297">
        <f t="shared" ref="J9915:J9937" si="1622">AVERAGE(C9915,C9891,C9867,C9843,C9819,C9795,C9771)</f>
        <v>3025.2857142857142</v>
      </c>
      <c r="K9915" s="297">
        <f>J9915/POBLA!$B$2*100000</f>
        <v>98.362611116029413</v>
      </c>
      <c r="L9915" s="549">
        <f t="shared" si="1620"/>
        <v>-0.11935091706749823</v>
      </c>
      <c r="M9915" s="401">
        <f>SUM(C9915,C9891,C9867,C9843,C9819,C9795,C9771)/POBLA!$B$2*100000</f>
        <v>688.53827781220593</v>
      </c>
    </row>
    <row r="9916" spans="1:13" s="360" customFormat="1" x14ac:dyDescent="0.25">
      <c r="A9916" s="367" t="s">
        <v>28</v>
      </c>
      <c r="B9916" s="2">
        <v>44306</v>
      </c>
      <c r="C9916" s="42">
        <v>187</v>
      </c>
      <c r="D9916" s="39">
        <f t="shared" si="1617"/>
        <v>13156</v>
      </c>
      <c r="E9916" s="1"/>
      <c r="F9916" s="39">
        <f t="shared" si="1618"/>
        <v>19</v>
      </c>
      <c r="G9916" s="168">
        <f>SUM(C9916,C9892,C9868,C9844,C9820,C9796,C9772,C9748,C9724,C9700,C9676,C9652,C9628,C9604)/POBLA!$B$3*100000</f>
        <v>520.65530837333131</v>
      </c>
      <c r="H9916" s="256">
        <f t="shared" si="1619"/>
        <v>1.8825065274151436</v>
      </c>
      <c r="I9916" s="297">
        <f t="shared" si="1621"/>
        <v>980.13701654614067</v>
      </c>
      <c r="J9916" s="297">
        <f t="shared" si="1622"/>
        <v>162.57142857142858</v>
      </c>
      <c r="K9916" s="297">
        <f>J9916/POBLA!$B$3*100000</f>
        <v>39.132536881900208</v>
      </c>
      <c r="L9916" s="549">
        <f t="shared" si="1620"/>
        <v>-0.11024390243902449</v>
      </c>
      <c r="M9916" s="401">
        <f>SUM(C9916,C9892,C9868,C9844,C9820,C9796,C9772)/POBLA!$B$3*100000</f>
        <v>273.92775817330141</v>
      </c>
    </row>
    <row r="9917" spans="1:13" s="360" customFormat="1" x14ac:dyDescent="0.25">
      <c r="A9917" s="367" t="s">
        <v>15</v>
      </c>
      <c r="B9917" s="2">
        <v>44306</v>
      </c>
      <c r="C9917" s="42">
        <v>253</v>
      </c>
      <c r="D9917" s="39">
        <f t="shared" si="1617"/>
        <v>42518</v>
      </c>
      <c r="E9917" s="1">
        <v>2</v>
      </c>
      <c r="F9917" s="39">
        <f t="shared" si="1618"/>
        <v>998</v>
      </c>
      <c r="G9917" s="168">
        <f>SUM(C9917,C9893,C9869,C9845,C9821,C9797,C9773,C9749,C9725,C9701,C9677,C9653,C9629,C9605)/POBLA!$B$4*100000</f>
        <v>263.91795713055848</v>
      </c>
      <c r="H9917" s="256">
        <f t="shared" si="1619"/>
        <v>1.4827425373134329</v>
      </c>
      <c r="I9917" s="297">
        <f t="shared" si="1621"/>
        <v>391.32238139834209</v>
      </c>
      <c r="J9917" s="297">
        <f t="shared" si="1622"/>
        <v>241</v>
      </c>
      <c r="K9917" s="297">
        <f>J9917/POBLA!$B$4*100000</f>
        <v>20.007621160259387</v>
      </c>
      <c r="L9917" s="549">
        <f t="shared" si="1620"/>
        <v>-0.13069705093833783</v>
      </c>
      <c r="M9917" s="401">
        <f>SUM(C9917,C9893,C9869,C9845,C9821,C9797,C9773)/POBLA!$B$4*100000</f>
        <v>140.0533481218157</v>
      </c>
    </row>
    <row r="9918" spans="1:13" s="360" customFormat="1" x14ac:dyDescent="0.25">
      <c r="A9918" s="367" t="s">
        <v>29</v>
      </c>
      <c r="B9918" s="2">
        <v>44306</v>
      </c>
      <c r="C9918" s="42">
        <v>270</v>
      </c>
      <c r="D9918" s="39">
        <f t="shared" si="1617"/>
        <v>53013</v>
      </c>
      <c r="E9918" s="1">
        <v>4</v>
      </c>
      <c r="F9918" s="39">
        <f t="shared" si="1618"/>
        <v>895</v>
      </c>
      <c r="G9918" s="168">
        <f>SUM(C9918,C9894,C9870,C9846,C9822,C9798,C9774,C9750,C9726,C9702,C9678,C9654,C9630,C9606)/POBLA!$B$5*100000</f>
        <v>382.87931708546449</v>
      </c>
      <c r="H9918" s="256">
        <f t="shared" si="1619"/>
        <v>1.4584615384615385</v>
      </c>
      <c r="I9918" s="297">
        <f t="shared" si="1621"/>
        <v>558.41475784156978</v>
      </c>
      <c r="J9918" s="297">
        <f t="shared" si="1622"/>
        <v>183.71428571428572</v>
      </c>
      <c r="K9918" s="297">
        <f>J9918/POBLA!$B$5*100000</f>
        <v>29.679493777691821</v>
      </c>
      <c r="L9918" s="549">
        <f t="shared" si="1620"/>
        <v>-0.18634686346863472</v>
      </c>
      <c r="M9918" s="401">
        <f>SUM(C9918,C9894,C9870,C9846,C9822,C9798,C9774)/POBLA!$B$5*100000</f>
        <v>207.75645644384275</v>
      </c>
    </row>
    <row r="9919" spans="1:13" s="360" customFormat="1" x14ac:dyDescent="0.25">
      <c r="A9919" s="367" t="s">
        <v>30</v>
      </c>
      <c r="B9919" s="2">
        <v>44306</v>
      </c>
      <c r="C9919" s="42">
        <v>289</v>
      </c>
      <c r="D9919" s="39">
        <f t="shared" si="1617"/>
        <v>35142</v>
      </c>
      <c r="E9919" s="1">
        <v>13</v>
      </c>
      <c r="F9919" s="39">
        <f t="shared" si="1618"/>
        <v>410</v>
      </c>
      <c r="G9919" s="168">
        <f>SUM(C9919,C9895,C9871,C9847,C9823,C9799,C9775,C9751,C9727,C9703,C9679,C9655,C9631,C9607)/POBLA!$B$6*100000</f>
        <v>333.95758925982403</v>
      </c>
      <c r="H9919" s="256">
        <f t="shared" si="1619"/>
        <v>0.8051193805119381</v>
      </c>
      <c r="I9919" s="297">
        <f t="shared" si="1621"/>
        <v>268.87572738212981</v>
      </c>
      <c r="J9919" s="297">
        <f t="shared" si="1622"/>
        <v>200</v>
      </c>
      <c r="K9919" s="297">
        <f>J9919/POBLA!$B$6*100000</f>
        <v>17.844380938275393</v>
      </c>
      <c r="L9919" s="549">
        <f t="shared" si="1620"/>
        <v>0.40247545881348701</v>
      </c>
      <c r="M9919" s="401">
        <f>SUM(C9919,C9895,C9871,C9847,C9823,C9799,C9775)/POBLA!$B$6*100000</f>
        <v>124.91066656792776</v>
      </c>
    </row>
    <row r="9920" spans="1:13" s="360" customFormat="1" x14ac:dyDescent="0.25">
      <c r="A9920" s="367" t="s">
        <v>20</v>
      </c>
      <c r="B9920" s="2">
        <v>44306</v>
      </c>
      <c r="C9920" s="42">
        <v>2261</v>
      </c>
      <c r="D9920" s="39">
        <f t="shared" si="1617"/>
        <v>210424</v>
      </c>
      <c r="E9920" s="1">
        <v>19</v>
      </c>
      <c r="F9920" s="39">
        <f t="shared" si="1618"/>
        <v>3210</v>
      </c>
      <c r="G9920" s="168">
        <f>SUM(C9920,C9896,C9872,C9848,C9824,C9800,C9776,C9752,C9728,C9704,C9680,C9656,C9632,C9608)/POBLA!$B$7*100000</f>
        <v>629.41935140741134</v>
      </c>
      <c r="H9920" s="256">
        <f t="shared" si="1619"/>
        <v>1.8030776262664736</v>
      </c>
      <c r="I9920" s="297">
        <f t="shared" si="1621"/>
        <v>1134.8919500618586</v>
      </c>
      <c r="J9920" s="297">
        <f t="shared" si="1622"/>
        <v>1661.2857142857142</v>
      </c>
      <c r="K9920" s="297">
        <f>J9920/POBLA!$B$7*100000</f>
        <v>44.17784345718502</v>
      </c>
      <c r="L9920" s="549">
        <f t="shared" si="1620"/>
        <v>3.4136212624584772E-2</v>
      </c>
      <c r="M9920" s="401">
        <f>SUM(C9920,C9896,C9872,C9848,C9824,C9800,C9776)/POBLA!$B$7*100000</f>
        <v>309.24490420029514</v>
      </c>
    </row>
    <row r="9921" spans="1:13" x14ac:dyDescent="0.25">
      <c r="A9921" s="367" t="s">
        <v>31</v>
      </c>
      <c r="B9921" s="2">
        <v>44306</v>
      </c>
      <c r="C9921" s="42">
        <v>602</v>
      </c>
      <c r="D9921" s="39">
        <f t="shared" si="1617"/>
        <v>57255</v>
      </c>
      <c r="E9921" s="1">
        <v>5</v>
      </c>
      <c r="F9921" s="39">
        <f t="shared" si="1618"/>
        <v>1015</v>
      </c>
      <c r="G9921" s="168">
        <f>SUM(C9921,C9897,C9873,C9849,C9825,C9801,C9777,C9753,C9729,C9705,C9681,C9657,C9633,C9609)/POBLA!$B$8*100000</f>
        <v>442.50884404395214</v>
      </c>
      <c r="H9921" s="256">
        <f t="shared" si="1619"/>
        <v>2.3187145557655953</v>
      </c>
      <c r="I9921" s="297">
        <f t="shared" si="1621"/>
        <v>1026.0516977397197</v>
      </c>
      <c r="J9921" s="297">
        <f t="shared" si="1622"/>
        <v>473.85714285714283</v>
      </c>
      <c r="K9921" s="297">
        <f>J9921/POBLA!$B$8*100000</f>
        <v>34.189789096312438</v>
      </c>
      <c r="L9921" s="549">
        <f t="shared" si="1620"/>
        <v>-0.17791193181818188</v>
      </c>
      <c r="M9921" s="401">
        <f>SUM(C9921,C9897,C9873,C9849,C9825,C9801,C9777)/POBLA!$B$8*100000</f>
        <v>239.32852367418707</v>
      </c>
    </row>
    <row r="9922" spans="1:13" s="360" customFormat="1" x14ac:dyDescent="0.25">
      <c r="A9922" s="367" t="s">
        <v>41</v>
      </c>
      <c r="B9922" s="2">
        <v>44306</v>
      </c>
      <c r="C9922" s="42">
        <v>125</v>
      </c>
      <c r="D9922" s="39">
        <f t="shared" si="1617"/>
        <v>3627</v>
      </c>
      <c r="E9922" s="1"/>
      <c r="F9922" s="39">
        <f t="shared" si="1618"/>
        <v>61</v>
      </c>
      <c r="G9922" s="168">
        <f>SUM(C9922,C9898,C9874,C9850,C9826,C9802,C9778,C9754,C9730,C9706,C9682,C9658,C9634,C9610)/POBLA!$B$9*100000</f>
        <v>196.4662512619941</v>
      </c>
      <c r="H9922" s="256">
        <f t="shared" si="1619"/>
        <v>1.725689404934688</v>
      </c>
      <c r="I9922" s="297">
        <f t="shared" si="1621"/>
        <v>339.0397282300595</v>
      </c>
      <c r="J9922" s="297">
        <f t="shared" si="1622"/>
        <v>70.571428571428569</v>
      </c>
      <c r="K9922" s="297">
        <f>J9922/POBLA!$B$9*100000</f>
        <v>11.660978988757069</v>
      </c>
      <c r="L9922" s="549">
        <f t="shared" si="1620"/>
        <v>0.28920863309352518</v>
      </c>
      <c r="M9922" s="401">
        <f>SUM(C9922,C9898,C9874,C9850,C9826,C9802,C9778)/POBLA!$B$9*100000</f>
        <v>81.626852921299488</v>
      </c>
    </row>
    <row r="9923" spans="1:13" s="360" customFormat="1" x14ac:dyDescent="0.25">
      <c r="A9923" s="367" t="s">
        <v>32</v>
      </c>
      <c r="B9923" s="2">
        <v>44306</v>
      </c>
      <c r="C9923" s="42">
        <v>124</v>
      </c>
      <c r="D9923" s="39">
        <f t="shared" si="1617"/>
        <v>23876</v>
      </c>
      <c r="E9923" s="1">
        <v>2</v>
      </c>
      <c r="F9923" s="39">
        <f t="shared" si="1618"/>
        <v>1005</v>
      </c>
      <c r="G9923" s="168">
        <f>SUM(C9923,C9899,C9875,C9851,C9827,C9803,C9779,C9755,C9731,C9707,C9683,C9659,C9635,C9611)/POBLA!$B$10*100000</f>
        <v>142.95332223780323</v>
      </c>
      <c r="H9923" s="256">
        <f t="shared" si="1619"/>
        <v>1.6134699853587116</v>
      </c>
      <c r="I9923" s="297">
        <f t="shared" si="1621"/>
        <v>230.65089473800757</v>
      </c>
      <c r="J9923" s="297">
        <f t="shared" si="1622"/>
        <v>96.285714285714292</v>
      </c>
      <c r="K9923" s="297">
        <f>J9923/POBLA!$B$10*100000</f>
        <v>12.490347315047886</v>
      </c>
      <c r="L9923" s="549">
        <f t="shared" si="1620"/>
        <v>-0.57476635514018692</v>
      </c>
      <c r="M9923" s="401">
        <f>SUM(C9923,C9899,C9875,C9851,C9827,C9803,C9779)/POBLA!$B$10*100000</f>
        <v>87.432431205335192</v>
      </c>
    </row>
    <row r="9924" spans="1:13" s="360" customFormat="1" x14ac:dyDescent="0.25">
      <c r="A9924" s="367" t="s">
        <v>33</v>
      </c>
      <c r="B9924" s="2">
        <v>44306</v>
      </c>
      <c r="C9924" s="42">
        <v>308</v>
      </c>
      <c r="D9924" s="39">
        <f t="shared" si="1617"/>
        <v>24491</v>
      </c>
      <c r="E9924" s="1">
        <v>1</v>
      </c>
      <c r="F9924" s="39">
        <f t="shared" si="1618"/>
        <v>341</v>
      </c>
      <c r="G9924" s="168">
        <f>SUM(C9924,C9900,C9876,C9852,C9828,C9804,C9780,C9756,C9732,C9708,C9684,C9660,C9636,C9612)/POBLA!$B$11*100000</f>
        <v>721.48381264856539</v>
      </c>
      <c r="H9924" s="256">
        <f t="shared" si="1619"/>
        <v>2.0605577689243026</v>
      </c>
      <c r="I9924" s="297">
        <f t="shared" si="1621"/>
        <v>1486.6590753061275</v>
      </c>
      <c r="J9924" s="297">
        <f t="shared" si="1622"/>
        <v>225.42857142857142</v>
      </c>
      <c r="K9924" s="297">
        <f>J9924/POBLA!$B$11*100000</f>
        <v>62.893683369762243</v>
      </c>
      <c r="L9924" s="549">
        <f t="shared" si="1620"/>
        <v>-0.56547619047619047</v>
      </c>
      <c r="M9924" s="401">
        <f>SUM(C9924,C9900,C9876,C9852,C9828,C9804,C9780)/POBLA!$B$11*100000</f>
        <v>440.2557835883357</v>
      </c>
    </row>
    <row r="9925" spans="1:13" s="360" customFormat="1" x14ac:dyDescent="0.25">
      <c r="A9925" s="367" t="s">
        <v>21</v>
      </c>
      <c r="B9925" s="2">
        <v>44306</v>
      </c>
      <c r="C9925" s="42">
        <v>105</v>
      </c>
      <c r="D9925" s="39">
        <f t="shared" si="1617"/>
        <v>12663</v>
      </c>
      <c r="E9925" s="1"/>
      <c r="F9925" s="39">
        <f t="shared" si="1618"/>
        <v>458</v>
      </c>
      <c r="G9925" s="168">
        <f>SUM(C9925,C9901,C9877,C9853,C9829,C9805,C9781,C9757,C9733,C9709,C9685,C9661,C9637,C9613)/POBLA!$B$12*100000</f>
        <v>300.86575136393321</v>
      </c>
      <c r="H9925" s="256">
        <f t="shared" si="1619"/>
        <v>1.5913978494623655</v>
      </c>
      <c r="I9925" s="297">
        <f t="shared" si="1621"/>
        <v>478.79710969744207</v>
      </c>
      <c r="J9925" s="297">
        <f t="shared" si="1622"/>
        <v>80.428571428571431</v>
      </c>
      <c r="K9925" s="297">
        <f>J9925/POBLA!$B$12*100000</f>
        <v>20.437671092892664</v>
      </c>
      <c r="L9925" s="549">
        <f t="shared" si="1620"/>
        <v>9.3397745571658586E-2</v>
      </c>
      <c r="M9925" s="401">
        <f>SUM(C9925,C9901,C9877,C9853,C9829,C9805,C9781)/POBLA!$B$12*100000</f>
        <v>143.06369765024863</v>
      </c>
    </row>
    <row r="9926" spans="1:13" s="360" customFormat="1" x14ac:dyDescent="0.25">
      <c r="A9926" s="367" t="s">
        <v>17</v>
      </c>
      <c r="B9926" s="2">
        <v>44306</v>
      </c>
      <c r="C9926" s="42">
        <v>1155</v>
      </c>
      <c r="D9926" s="39">
        <f t="shared" si="1617"/>
        <v>88067</v>
      </c>
      <c r="E9926" s="1">
        <v>14</v>
      </c>
      <c r="F9926" s="39">
        <f t="shared" si="1618"/>
        <v>1660</v>
      </c>
      <c r="G9926" s="168">
        <f>SUM(C9926,C9902,C9878,C9854,C9830,C9806,C9782,C9758,C9734,C9710,C9686,C9662,C9638,C9614)/POBLA!$B$13*100000</f>
        <v>619.39228412460602</v>
      </c>
      <c r="H9926" s="256">
        <f t="shared" si="1619"/>
        <v>2.5092611439039283</v>
      </c>
      <c r="I9926" s="297">
        <f t="shared" si="1621"/>
        <v>1554.2169913877758</v>
      </c>
      <c r="J9926" s="297">
        <f t="shared" si="1622"/>
        <v>917</v>
      </c>
      <c r="K9926" s="297">
        <f>J9926/POBLA!$B$13*100000</f>
        <v>46.072576617639818</v>
      </c>
      <c r="L9926" s="549">
        <f t="shared" si="1620"/>
        <v>-8.6309020138771286E-2</v>
      </c>
      <c r="M9926" s="401">
        <f>SUM(C9926,C9902,C9878,C9854,C9830,C9806,C9782)/POBLA!$B$13*100000</f>
        <v>322.50803632347873</v>
      </c>
    </row>
    <row r="9927" spans="1:13" s="360" customFormat="1" x14ac:dyDescent="0.25">
      <c r="A9927" s="367" t="s">
        <v>23</v>
      </c>
      <c r="B9927" s="2">
        <v>44306</v>
      </c>
      <c r="C9927" s="42">
        <v>114</v>
      </c>
      <c r="D9927" s="39">
        <f t="shared" si="1617"/>
        <v>14482</v>
      </c>
      <c r="E9927" s="1"/>
      <c r="F9927" s="39">
        <f t="shared" si="1618"/>
        <v>229</v>
      </c>
      <c r="G9927" s="168">
        <f>SUM(C9927,C9903,C9879,C9855,C9831,C9807,C9783,C9759,C9735,C9711,C9687,C9663,C9639,C9615)/POBLA!$B$14*100000</f>
        <v>148.10186998431769</v>
      </c>
      <c r="H9927" s="256">
        <f t="shared" si="1619"/>
        <v>1.1763224181360201</v>
      </c>
      <c r="I9927" s="297">
        <f t="shared" si="1621"/>
        <v>174.21554983041904</v>
      </c>
      <c r="J9927" s="297">
        <f t="shared" si="1622"/>
        <v>118.85714285714286</v>
      </c>
      <c r="K9927" s="297">
        <f>J9927/POBLA!$B$14*100000</f>
        <v>9.4234288640985273</v>
      </c>
      <c r="L9927" s="549">
        <f t="shared" si="1620"/>
        <v>0.19691119691119696</v>
      </c>
      <c r="M9927" s="401">
        <f>SUM(C9927,C9903,C9879,C9855,C9831,C9807,C9783)/POBLA!$B$14*100000</f>
        <v>65.964002048689679</v>
      </c>
    </row>
    <row r="9928" spans="1:13" s="360" customFormat="1" x14ac:dyDescent="0.25">
      <c r="A9928" s="367" t="s">
        <v>19</v>
      </c>
      <c r="B9928" s="2">
        <v>44306</v>
      </c>
      <c r="C9928" s="42">
        <v>269</v>
      </c>
      <c r="D9928" s="39">
        <f t="shared" si="1617"/>
        <v>68221</v>
      </c>
      <c r="E9928" s="1"/>
      <c r="F9928" s="39">
        <f t="shared" si="1618"/>
        <v>1036</v>
      </c>
      <c r="G9928" s="168">
        <f>SUM(C9928,C9904,C9880,C9856,C9832,C9808,C9784,C9760,C9736,C9712,C9688,C9664,C9640,C9616)/POBLA!$B$15*100000</f>
        <v>355.69235773435111</v>
      </c>
      <c r="H9928" s="256">
        <f t="shared" si="1619"/>
        <v>1.5529257067718607</v>
      </c>
      <c r="I9928" s="297">
        <f t="shared" si="1621"/>
        <v>552.36380602796669</v>
      </c>
      <c r="J9928" s="297">
        <f t="shared" si="1622"/>
        <v>188.85714285714286</v>
      </c>
      <c r="K9928" s="297">
        <f>J9928/POBLA!$B$15*100000</f>
        <v>28.439899414830784</v>
      </c>
      <c r="L9928" s="549">
        <f t="shared" si="1620"/>
        <v>-0.27115384615384608</v>
      </c>
      <c r="M9928" s="401">
        <f>SUM(C9928,C9904,C9880,C9856,C9832,C9808,C9784)/POBLA!$B$15*100000</f>
        <v>199.07929590381548</v>
      </c>
    </row>
    <row r="9929" spans="1:13" s="360" customFormat="1" x14ac:dyDescent="0.25">
      <c r="A9929" s="367" t="s">
        <v>18</v>
      </c>
      <c r="B9929" s="2">
        <v>44306</v>
      </c>
      <c r="C9929" s="42">
        <v>300</v>
      </c>
      <c r="D9929" s="39">
        <f t="shared" si="1617"/>
        <v>58631</v>
      </c>
      <c r="E9929" s="1">
        <v>1</v>
      </c>
      <c r="F9929" s="39">
        <f t="shared" si="1618"/>
        <v>1319</v>
      </c>
      <c r="G9929" s="168">
        <f>SUM(C9929,C9905,C9881,C9857,C9833,C9809,C9785,C9761,C9737,C9713,C9689,C9665,C9641,C9617)/POBLA!$B$16*100000</f>
        <v>339.6155749655569</v>
      </c>
      <c r="H9929" s="256">
        <f t="shared" si="1619"/>
        <v>1.7213559322033898</v>
      </c>
      <c r="I9929" s="297">
        <f t="shared" si="1621"/>
        <v>584.59928463562642</v>
      </c>
      <c r="J9929" s="297">
        <f t="shared" si="1622"/>
        <v>205.71428571428572</v>
      </c>
      <c r="K9929" s="297">
        <f>J9929/POBLA!$B$16*100000</f>
        <v>27.516256566162266</v>
      </c>
      <c r="L9929" s="549">
        <f t="shared" si="1620"/>
        <v>-0.31028207461328483</v>
      </c>
      <c r="M9929" s="401">
        <f>SUM(C9929,C9905,C9881,C9857,C9833,C9809,C9785)/POBLA!$B$16*100000</f>
        <v>192.61379596313586</v>
      </c>
    </row>
    <row r="9930" spans="1:13" s="360" customFormat="1" x14ac:dyDescent="0.25">
      <c r="A9930" s="367" t="s">
        <v>34</v>
      </c>
      <c r="B9930" s="2">
        <v>44306</v>
      </c>
      <c r="C9930" s="42">
        <v>262</v>
      </c>
      <c r="D9930" s="39">
        <f t="shared" si="1617"/>
        <v>32713</v>
      </c>
      <c r="E9930" s="1">
        <v>3</v>
      </c>
      <c r="F9930" s="39">
        <f t="shared" si="1618"/>
        <v>1261</v>
      </c>
      <c r="G9930" s="168">
        <f>SUM(C9930,C9906,C9882,C9858,C9834,C9810,C9786,C9762,C9738,C9714,C9690,C9666,C9642,C9618)/POBLA!$B$17*100000</f>
        <v>185.55220208972639</v>
      </c>
      <c r="H9930" s="256">
        <f t="shared" si="1619"/>
        <v>1.7128969539857422</v>
      </c>
      <c r="I9930" s="297">
        <f t="shared" si="1621"/>
        <v>317.83180176483921</v>
      </c>
      <c r="J9930" s="297">
        <f t="shared" si="1622"/>
        <v>195.85714285714286</v>
      </c>
      <c r="K9930" s="297">
        <f>J9930/POBLA!$B$17*100000</f>
        <v>13.750179399222469</v>
      </c>
      <c r="L9930" s="549">
        <f t="shared" si="1620"/>
        <v>-7.7830188679245182E-2</v>
      </c>
      <c r="M9930" s="401">
        <f>SUM(C9930,C9906,C9882,C9858,C9834,C9810,C9786)/POBLA!$B$17*100000</f>
        <v>96.251255794557281</v>
      </c>
    </row>
    <row r="9931" spans="1:13" s="360" customFormat="1" x14ac:dyDescent="0.25">
      <c r="A9931" s="367" t="s">
        <v>35</v>
      </c>
      <c r="B9931" s="2">
        <v>44306</v>
      </c>
      <c r="C9931" s="42">
        <v>310</v>
      </c>
      <c r="D9931" s="39">
        <f t="shared" si="1617"/>
        <v>20687</v>
      </c>
      <c r="E9931" s="1">
        <v>3</v>
      </c>
      <c r="F9931" s="39">
        <f t="shared" si="1618"/>
        <v>251</v>
      </c>
      <c r="G9931" s="168">
        <f>SUM(C9931,C9907,C9883,C9859,C9835,C9811,C9787,C9763,C9739,C9715,C9691,C9667,C9643,C9619)/POBLA!$B$18*100000</f>
        <v>360.33522055971645</v>
      </c>
      <c r="H9931" s="256">
        <f t="shared" si="1619"/>
        <v>2.0266378689704823</v>
      </c>
      <c r="I9931" s="297">
        <f t="shared" si="1621"/>
        <v>730.2690035101524</v>
      </c>
      <c r="J9931" s="297">
        <f t="shared" si="1622"/>
        <v>199.71428571428572</v>
      </c>
      <c r="K9931" s="297">
        <f>J9931/POBLA!$B$18*100000</f>
        <v>25.564508416264076</v>
      </c>
      <c r="L9931" s="549">
        <f t="shared" si="1620"/>
        <v>1.3408609738884913E-2</v>
      </c>
      <c r="M9931" s="401">
        <f>SUM(C9931,C9907,C9883,C9859,C9835,C9811,C9787)/POBLA!$B$18*100000</f>
        <v>178.95155891384852</v>
      </c>
    </row>
    <row r="9932" spans="1:13" s="360" customFormat="1" x14ac:dyDescent="0.25">
      <c r="A9932" s="367" t="s">
        <v>36</v>
      </c>
      <c r="B9932" s="2">
        <v>44306</v>
      </c>
      <c r="C9932" s="42">
        <v>629</v>
      </c>
      <c r="D9932" s="39">
        <f t="shared" si="1617"/>
        <v>31181</v>
      </c>
      <c r="E9932" s="1">
        <v>6</v>
      </c>
      <c r="F9932" s="39">
        <f t="shared" si="1618"/>
        <v>455</v>
      </c>
      <c r="G9932" s="168">
        <f>SUM(C9932,C9908,C9884,C9860,C9836,C9812,C9788,C9764,C9740,C9716,C9692,C9668,C9644,C9620)/POBLA!$B$19*100000</f>
        <v>1355.6207802835963</v>
      </c>
      <c r="H9932" s="256">
        <f t="shared" si="1619"/>
        <v>2.5186403508771931</v>
      </c>
      <c r="I9932" s="297">
        <f t="shared" si="1621"/>
        <v>3414.3211977098913</v>
      </c>
      <c r="J9932" s="297">
        <f t="shared" si="1622"/>
        <v>535.85714285714289</v>
      </c>
      <c r="K9932" s="297">
        <f>J9932/POBLA!$B$19*100000</f>
        <v>105.41562590633271</v>
      </c>
      <c r="L9932" s="549">
        <f t="shared" si="1620"/>
        <v>-0.1945859872611464</v>
      </c>
      <c r="M9932" s="401">
        <f>SUM(C9932,C9908,C9884,C9860,C9836,C9812,C9788)/POBLA!$B$19*100000</f>
        <v>737.90938134432884</v>
      </c>
    </row>
    <row r="9933" spans="1:13" s="360" customFormat="1" x14ac:dyDescent="0.25">
      <c r="A9933" s="367" t="s">
        <v>37</v>
      </c>
      <c r="B9933" s="2">
        <v>44306</v>
      </c>
      <c r="C9933" s="42">
        <v>237</v>
      </c>
      <c r="D9933" s="39">
        <f t="shared" si="1617"/>
        <v>42696</v>
      </c>
      <c r="E9933" s="1">
        <v>2</v>
      </c>
      <c r="F9933" s="39">
        <f t="shared" si="1618"/>
        <v>685</v>
      </c>
      <c r="G9933" s="168">
        <f>SUM(C9933,C9909,C9885,C9861,C9837,C9813,C9789,C9765,C9741,C9717,C9693,C9669,C9645,C9621)/POBLA!$B$20*100000</f>
        <v>699.75772358612846</v>
      </c>
      <c r="H9933" s="256">
        <f t="shared" si="1619"/>
        <v>1.4800462695199537</v>
      </c>
      <c r="I9933" s="297">
        <f t="shared" si="1621"/>
        <v>1035.6738083614243</v>
      </c>
      <c r="J9933" s="297">
        <f t="shared" si="1622"/>
        <v>192</v>
      </c>
      <c r="K9933" s="297">
        <f>J9933/POBLA!$B$20*100000</f>
        <v>52.502337994738831</v>
      </c>
      <c r="L9933" s="549">
        <f t="shared" si="1620"/>
        <v>-0.10617283950617273</v>
      </c>
      <c r="M9933" s="401">
        <f>SUM(C9933,C9909,C9885,C9861,C9837,C9813,C9789)/POBLA!$B$20*100000</f>
        <v>367.51636596317184</v>
      </c>
    </row>
    <row r="9934" spans="1:13" s="360" customFormat="1" x14ac:dyDescent="0.25">
      <c r="A9934" s="367" t="s">
        <v>22</v>
      </c>
      <c r="B9934" s="2">
        <v>44306</v>
      </c>
      <c r="C9934" s="42">
        <v>2144</v>
      </c>
      <c r="D9934" s="39">
        <f t="shared" si="1617"/>
        <v>256274</v>
      </c>
      <c r="E9934" s="1">
        <v>27</v>
      </c>
      <c r="F9934" s="39">
        <f t="shared" si="1618"/>
        <v>4454</v>
      </c>
      <c r="G9934" s="168">
        <f>SUM(C9934,C9910,C9886,C9862,C9838,C9814,C9790,C9766,C9742,C9718,C9694,C9670,C9646,C9622)/POBLA!$B$21*100000</f>
        <v>575.07342175048313</v>
      </c>
      <c r="H9934" s="256">
        <f t="shared" si="1619"/>
        <v>2.1713645099295324</v>
      </c>
      <c r="I9934" s="297">
        <f t="shared" si="1621"/>
        <v>1248.6940185927372</v>
      </c>
      <c r="J9934" s="297">
        <f t="shared" si="1622"/>
        <v>1618.5714285714287</v>
      </c>
      <c r="K9934" s="297">
        <f>J9934/POBLA!$B$21*100000</f>
        <v>45.768668425831699</v>
      </c>
      <c r="L9934" s="549">
        <f t="shared" si="1620"/>
        <v>-0.25791051404463206</v>
      </c>
      <c r="M9934" s="401">
        <f>SUM(C9934,C9910,C9886,C9862,C9838,C9814,C9790)/POBLA!$B$21*100000</f>
        <v>320.38067898082181</v>
      </c>
    </row>
    <row r="9935" spans="1:13" s="360" customFormat="1" x14ac:dyDescent="0.25">
      <c r="A9935" s="367" t="s">
        <v>38</v>
      </c>
      <c r="B9935" s="2">
        <v>44306</v>
      </c>
      <c r="C9935" s="42">
        <v>144</v>
      </c>
      <c r="D9935" s="39">
        <f t="shared" si="1617"/>
        <v>28552</v>
      </c>
      <c r="E9935" s="1">
        <v>1</v>
      </c>
      <c r="F9935" s="39">
        <f t="shared" si="1618"/>
        <v>327</v>
      </c>
      <c r="G9935" s="168">
        <f>SUM(C9935,C9911,C9887,C9863,C9839,C9815,C9791,C9767,C9743,C9719,C9695,C9671,C9647,C9623)/POBLA!$B$22*100000</f>
        <v>274.96312529834523</v>
      </c>
      <c r="H9935" s="256">
        <f t="shared" si="1619"/>
        <v>1.6543665436654367</v>
      </c>
      <c r="I9935" s="297">
        <f t="shared" si="1621"/>
        <v>454.88979523526979</v>
      </c>
      <c r="J9935" s="297">
        <f t="shared" si="1622"/>
        <v>209.85714285714286</v>
      </c>
      <c r="K9935" s="297">
        <f>J9935/POBLA!$B$22*100000</f>
        <v>21.450920396349925</v>
      </c>
      <c r="L9935" s="549">
        <f t="shared" si="1620"/>
        <v>-0.20311220311220302</v>
      </c>
      <c r="M9935" s="401">
        <f>SUM(C9935,C9911,C9887,C9863,C9839,C9815,C9791)/POBLA!$B$22*100000</f>
        <v>150.15644277444949</v>
      </c>
    </row>
    <row r="9936" spans="1:13" s="360" customFormat="1" x14ac:dyDescent="0.25">
      <c r="A9936" s="367" t="s">
        <v>39</v>
      </c>
      <c r="B9936" s="2">
        <v>44306</v>
      </c>
      <c r="C9936" s="42">
        <v>104</v>
      </c>
      <c r="D9936" s="39">
        <f t="shared" si="1617"/>
        <v>25594</v>
      </c>
      <c r="E9936" s="1"/>
      <c r="F9936" s="39">
        <f t="shared" si="1618"/>
        <v>375</v>
      </c>
      <c r="G9936" s="168">
        <f>SUM(C9936,C9912,C9888,C9864,C9840,C9816,C9792,C9768,C9744,C9720,C9696,C9672,C9648,C9624)/POBLA!$B$23*100000</f>
        <v>653.1697110218854</v>
      </c>
      <c r="H9936" s="256">
        <f t="shared" si="1619"/>
        <v>1.4864864864864864</v>
      </c>
      <c r="I9936" s="297">
        <f t="shared" si="1621"/>
        <v>970.92794881631607</v>
      </c>
      <c r="J9936" s="297">
        <f t="shared" si="1622"/>
        <v>76.857142857142861</v>
      </c>
      <c r="K9936" s="297">
        <f>J9936/POBLA!$B$23*100000</f>
        <v>43.463859558413652</v>
      </c>
      <c r="L9936" s="549">
        <f t="shared" si="1620"/>
        <v>0.1280388978930308</v>
      </c>
      <c r="M9936" s="401">
        <f>SUM(C9936,C9912,C9888,C9864,C9840,C9816,C9792)/POBLA!$B$23*100000</f>
        <v>304.24701690889555</v>
      </c>
    </row>
    <row r="9937" spans="1:13" s="360" customFormat="1" ht="15.75" thickBot="1" x14ac:dyDescent="0.3">
      <c r="A9937" s="369" t="s">
        <v>40</v>
      </c>
      <c r="B9937" s="2">
        <v>44306</v>
      </c>
      <c r="C9937" s="42">
        <v>943</v>
      </c>
      <c r="D9937" s="176">
        <f t="shared" si="1617"/>
        <v>99274</v>
      </c>
      <c r="E9937" s="1">
        <v>7</v>
      </c>
      <c r="F9937" s="176">
        <f t="shared" si="1618"/>
        <v>1583</v>
      </c>
      <c r="G9937" s="177">
        <f>SUM(C9937,C9913,C9889,C9865,C9841,C9817,C9793,C9769,C9745,C9721,C9697,C9673,C9649,C9625)/POBLA!$B$24*100000</f>
        <v>533.85465840855022</v>
      </c>
      <c r="H9937" s="402">
        <f t="shared" si="1619"/>
        <v>1.6303838529464769</v>
      </c>
      <c r="I9937" s="403">
        <f t="shared" si="1621"/>
        <v>870.38801488955744</v>
      </c>
      <c r="J9937" s="403">
        <f t="shared" si="1622"/>
        <v>663.14285714285711</v>
      </c>
      <c r="K9937" s="403">
        <f>J9937/POBLA!$B$24*100000</f>
        <v>39.131414112531218</v>
      </c>
      <c r="L9937" s="550">
        <f t="shared" si="1620"/>
        <v>-5.3802497162315444E-2</v>
      </c>
      <c r="M9937" s="405">
        <f>SUM(C9937,C9913,C9889,C9865,C9841,C9817,C9793)/POBLA!$B$24*100000</f>
        <v>273.91989878771858</v>
      </c>
    </row>
    <row r="9938" spans="1:13" s="360" customFormat="1" x14ac:dyDescent="0.25">
      <c r="A9938" s="374" t="s">
        <v>16</v>
      </c>
      <c r="B9938" s="2">
        <v>44307</v>
      </c>
      <c r="C9938" s="1">
        <v>12884</v>
      </c>
      <c r="D9938" s="262">
        <f t="shared" si="1617"/>
        <v>1200721</v>
      </c>
      <c r="E9938" s="1">
        <v>177</v>
      </c>
      <c r="F9938" s="262">
        <f t="shared" ref="F9938:F9961" si="1623">E9938+F9914</f>
        <v>30648</v>
      </c>
      <c r="G9938" s="175">
        <f>SUM(C9938,C9914,C9890,C9866,C9842,C9818,C9794,C9770,C9746,C9722,C9698,C9674,C9650,C9626)/POBLA!$B$1*100000</f>
        <v>927.91569259947221</v>
      </c>
      <c r="H9938" s="300">
        <f t="shared" ref="H9938:H9961" si="1624">SUM(C9938,C9914,C9890,C9866,C9842,C9818,C9794,C9770,C9746,C9722,C9698,C9674,C9650,C9626)/SUM(C9602,C9578,C9554,C9530,C9506,C9482,C9458,C9434,C9410,C9386,C9362,C9338,C9314,C9290)</f>
        <v>1.8535005010476451</v>
      </c>
      <c r="I9938" s="301">
        <f>G9938*H9938</f>
        <v>1719.8922011630943</v>
      </c>
      <c r="J9938" s="301">
        <f>AVERAGE(C9938,C9914,C9890,C9866,C9842,C9818,C9794)</f>
        <v>11923.428571428571</v>
      </c>
      <c r="K9938" s="301">
        <f>J9938/POBLA!$B$1*100000</f>
        <v>67.974076323932238</v>
      </c>
      <c r="L9938" s="548">
        <f t="shared" ref="L9938:L9961" si="1625">1-SUM(C9938,C9914,C9890,C9866,C9842,C9818,C9794)/SUM(C9770,C9746,C9722,C9698,C9674,C9650,C9626)</f>
        <v>-5.2469641753779772E-2</v>
      </c>
      <c r="M9938" s="400">
        <f>SUM(C9938,C9914,C9890,C9866,C9842,C9818,C9794)/POBLA!$B$1*100000</f>
        <v>475.81853426752571</v>
      </c>
    </row>
    <row r="9939" spans="1:13" s="360" customFormat="1" x14ac:dyDescent="0.25">
      <c r="A9939" s="367" t="s">
        <v>43</v>
      </c>
      <c r="B9939" s="2">
        <v>44307</v>
      </c>
      <c r="C9939" s="1">
        <v>2489</v>
      </c>
      <c r="D9939" s="39">
        <f t="shared" si="1617"/>
        <v>315734</v>
      </c>
      <c r="E9939" s="1">
        <v>25</v>
      </c>
      <c r="F9939" s="39">
        <f t="shared" si="1623"/>
        <v>7324</v>
      </c>
      <c r="G9939" s="168">
        <f>SUM(C9939,C9915,C9891,C9867,C9843,C9819,C9795,C9771,C9747,C9723,C9699,C9675,C9651,C9627)/POBLA!$B$2*100000</f>
        <v>1303.9537059856693</v>
      </c>
      <c r="H9939" s="256">
        <f t="shared" si="1624"/>
        <v>1.6404875853888004</v>
      </c>
      <c r="I9939" s="297">
        <f t="shared" ref="I9939:I9961" si="1626">G9939*H9939</f>
        <v>2139.1198665912084</v>
      </c>
      <c r="J9939" s="297">
        <f t="shared" ref="J9939:J9961" si="1627">AVERAGE(C9939,C9915,C9891,C9867,C9843,C9819,C9795)</f>
        <v>3001.1428571428573</v>
      </c>
      <c r="K9939" s="297">
        <f>J9939/POBLA!$B$2*100000</f>
        <v>97.577642457644913</v>
      </c>
      <c r="L9939" s="549">
        <f t="shared" si="1625"/>
        <v>-0.10006807351940106</v>
      </c>
      <c r="M9939" s="401">
        <f>SUM(C9939,C9915,C9891,C9867,C9843,C9819,C9795)/POBLA!$B$2*100000</f>
        <v>683.04349720351433</v>
      </c>
    </row>
    <row r="9940" spans="1:13" s="360" customFormat="1" x14ac:dyDescent="0.25">
      <c r="A9940" s="367" t="s">
        <v>28</v>
      </c>
      <c r="B9940" s="2">
        <v>44307</v>
      </c>
      <c r="C9940" s="1">
        <v>169</v>
      </c>
      <c r="D9940" s="39">
        <f t="shared" si="1617"/>
        <v>13325</v>
      </c>
      <c r="E9940" s="1"/>
      <c r="F9940" s="39">
        <f t="shared" si="1623"/>
        <v>19</v>
      </c>
      <c r="G9940" s="168">
        <f>SUM(C9940,C9916,C9892,C9868,C9844,C9820,C9796,C9772,C9748,C9724,C9700,C9676,C9652,C9628)/POBLA!$B$3*100000</f>
        <v>531.72795940669846</v>
      </c>
      <c r="H9940" s="256">
        <f t="shared" si="1624"/>
        <v>1.8377703826955074</v>
      </c>
      <c r="I9940" s="297">
        <f t="shared" si="1626"/>
        <v>977.19389544874946</v>
      </c>
      <c r="J9940" s="297">
        <f t="shared" si="1627"/>
        <v>162.85714285714286</v>
      </c>
      <c r="K9940" s="297">
        <f>J9940/POBLA!$B$3*100000</f>
        <v>39.201311111921122</v>
      </c>
      <c r="L9940" s="549">
        <f t="shared" si="1625"/>
        <v>-6.6417212347988697E-2</v>
      </c>
      <c r="M9940" s="401">
        <f>SUM(C9940,C9916,C9892,C9868,C9844,C9820,C9796)/POBLA!$B$3*100000</f>
        <v>274.40917778344783</v>
      </c>
    </row>
    <row r="9941" spans="1:13" s="360" customFormat="1" x14ac:dyDescent="0.25">
      <c r="A9941" s="367" t="s">
        <v>15</v>
      </c>
      <c r="B9941" s="2">
        <v>44307</v>
      </c>
      <c r="C9941" s="1">
        <v>250</v>
      </c>
      <c r="D9941" s="39">
        <f t="shared" si="1617"/>
        <v>42768</v>
      </c>
      <c r="E9941" s="1">
        <v>3</v>
      </c>
      <c r="F9941" s="39">
        <f t="shared" si="1623"/>
        <v>1001</v>
      </c>
      <c r="G9941" s="168">
        <f>SUM(C9941,C9917,C9893,C9869,C9845,C9821,C9797,C9773,C9749,C9725,C9701,C9677,C9653,C9629)/POBLA!$B$4*100000</f>
        <v>269.31420350158277</v>
      </c>
      <c r="H9941" s="256">
        <f t="shared" si="1624"/>
        <v>1.5095393206142391</v>
      </c>
      <c r="I9941" s="297">
        <f t="shared" si="1626"/>
        <v>406.54037978554419</v>
      </c>
      <c r="J9941" s="297">
        <f t="shared" si="1627"/>
        <v>241.42857142857142</v>
      </c>
      <c r="K9941" s="297">
        <f>J9941/POBLA!$B$4*100000</f>
        <v>20.043200806661741</v>
      </c>
      <c r="L9941" s="549">
        <f t="shared" si="1625"/>
        <v>-8.7516087516087415E-2</v>
      </c>
      <c r="M9941" s="401">
        <f>SUM(C9941,C9917,C9893,C9869,C9845,C9821,C9797)/POBLA!$B$4*100000</f>
        <v>140.3024056466322</v>
      </c>
    </row>
    <row r="9942" spans="1:13" s="360" customFormat="1" x14ac:dyDescent="0.25">
      <c r="A9942" s="367" t="s">
        <v>29</v>
      </c>
      <c r="B9942" s="2">
        <v>44307</v>
      </c>
      <c r="C9942" s="1">
        <v>224</v>
      </c>
      <c r="D9942" s="39">
        <f t="shared" si="1617"/>
        <v>53237</v>
      </c>
      <c r="E9942" s="1">
        <v>5</v>
      </c>
      <c r="F9942" s="39">
        <f t="shared" si="1623"/>
        <v>900</v>
      </c>
      <c r="G9942" s="168">
        <f>SUM(C9942,C9918,C9894,C9870,C9846,C9822,C9798,C9774,C9750,C9726,C9702,C9678,C9654,C9630)/POBLA!$B$5*100000</f>
        <v>387.88744317392417</v>
      </c>
      <c r="H9942" s="256">
        <f t="shared" si="1624"/>
        <v>1.3983692486895749</v>
      </c>
      <c r="I9942" s="297">
        <f t="shared" si="1626"/>
        <v>542.40987248724048</v>
      </c>
      <c r="J9942" s="297">
        <f t="shared" si="1627"/>
        <v>178.42857142857142</v>
      </c>
      <c r="K9942" s="297">
        <f>J9942/POBLA!$B$5*100000</f>
        <v>28.82557366122635</v>
      </c>
      <c r="L9942" s="549">
        <f t="shared" si="1625"/>
        <v>-8.420138888888884E-2</v>
      </c>
      <c r="M9942" s="401">
        <f>SUM(C9942,C9918,C9894,C9870,C9846,C9822,C9798)/POBLA!$B$5*100000</f>
        <v>201.77901562858443</v>
      </c>
    </row>
    <row r="9943" spans="1:13" s="360" customFormat="1" x14ac:dyDescent="0.25">
      <c r="A9943" s="367" t="s">
        <v>30</v>
      </c>
      <c r="B9943" s="2">
        <v>44307</v>
      </c>
      <c r="C9943" s="1">
        <v>206</v>
      </c>
      <c r="D9943" s="39">
        <f t="shared" si="1617"/>
        <v>35348</v>
      </c>
      <c r="E9943" s="1">
        <v>10</v>
      </c>
      <c r="F9943" s="39">
        <f t="shared" si="1623"/>
        <v>420</v>
      </c>
      <c r="G9943" s="168">
        <f>SUM(C9943,C9919,C9895,C9871,C9847,C9823,C9799,C9775,C9751,C9727,C9703,C9679,C9655,C9631)/POBLA!$B$6*100000</f>
        <v>313.70421689488143</v>
      </c>
      <c r="H9943" s="256">
        <f t="shared" si="1624"/>
        <v>0.74208526804558883</v>
      </c>
      <c r="I9943" s="297">
        <f t="shared" si="1626"/>
        <v>232.79527788146962</v>
      </c>
      <c r="J9943" s="297">
        <f t="shared" si="1627"/>
        <v>205.85714285714286</v>
      </c>
      <c r="K9943" s="297">
        <f>J9943/POBLA!$B$6*100000</f>
        <v>18.366966380039173</v>
      </c>
      <c r="L9943" s="549">
        <f t="shared" si="1625"/>
        <v>0.30554216867469874</v>
      </c>
      <c r="M9943" s="401">
        <f>SUM(C9943,C9919,C9895,C9871,C9847,C9823,C9799)/POBLA!$B$6*100000</f>
        <v>128.56876466027421</v>
      </c>
    </row>
    <row r="9944" spans="1:13" s="360" customFormat="1" x14ac:dyDescent="0.25">
      <c r="A9944" s="367" t="s">
        <v>20</v>
      </c>
      <c r="B9944" s="2">
        <v>44307</v>
      </c>
      <c r="C9944" s="1">
        <v>2357</v>
      </c>
      <c r="D9944" s="39">
        <f t="shared" si="1617"/>
        <v>212781</v>
      </c>
      <c r="E9944" s="1">
        <v>20</v>
      </c>
      <c r="F9944" s="39">
        <f t="shared" si="1623"/>
        <v>3230</v>
      </c>
      <c r="G9944" s="168">
        <f>SUM(C9944,C9920,C9896,C9872,C9848,C9824,C9800,C9776,C9752,C9728,C9704,C9680,C9656,C9632)/POBLA!$B$7*100000</f>
        <v>636.01430679838847</v>
      </c>
      <c r="H9944" s="256">
        <f t="shared" si="1624"/>
        <v>1.6532107555125457</v>
      </c>
      <c r="I9944" s="297">
        <f t="shared" si="1626"/>
        <v>1051.4656926589519</v>
      </c>
      <c r="J9944" s="297">
        <f t="shared" si="1627"/>
        <v>1735</v>
      </c>
      <c r="K9944" s="297">
        <f>J9944/POBLA!$B$7*100000</f>
        <v>46.138095174779615</v>
      </c>
      <c r="L9944" s="549">
        <f t="shared" si="1625"/>
        <v>-3.1685355079850597E-2</v>
      </c>
      <c r="M9944" s="401">
        <f>SUM(C9944,C9920,C9896,C9872,C9848,C9824,C9800)/POBLA!$B$7*100000</f>
        <v>322.96666622345731</v>
      </c>
    </row>
    <row r="9945" spans="1:13" x14ac:dyDescent="0.25">
      <c r="A9945" s="367" t="s">
        <v>31</v>
      </c>
      <c r="B9945" s="2">
        <v>44307</v>
      </c>
      <c r="C9945" s="1">
        <v>607</v>
      </c>
      <c r="D9945" s="39">
        <f t="shared" si="1617"/>
        <v>57862</v>
      </c>
      <c r="E9945" s="1">
        <v>6</v>
      </c>
      <c r="F9945" s="39">
        <f t="shared" si="1623"/>
        <v>1021</v>
      </c>
      <c r="G9945" s="168">
        <f>SUM(C9945,C9921,C9897,C9873,C9849,C9825,C9801,C9777,C9753,C9729,C9705,C9681,C9657,C9633)/POBLA!$B$8*100000</f>
        <v>456.65065611514325</v>
      </c>
      <c r="H9945" s="256">
        <f t="shared" si="1624"/>
        <v>2.1608057357459884</v>
      </c>
      <c r="I9945" s="297">
        <f t="shared" si="1626"/>
        <v>986.73335696577044</v>
      </c>
      <c r="J9945" s="297">
        <f t="shared" si="1627"/>
        <v>473.57142857142856</v>
      </c>
      <c r="K9945" s="297">
        <f>J9945/POBLA!$B$8*100000</f>
        <v>34.16917420991129</v>
      </c>
      <c r="L9945" s="549">
        <f t="shared" si="1625"/>
        <v>-9.9867285998672894E-2</v>
      </c>
      <c r="M9945" s="401">
        <f>SUM(C9945,C9921,C9897,C9873,C9849,C9825,C9801)/POBLA!$B$8*100000</f>
        <v>239.184219469379</v>
      </c>
    </row>
    <row r="9946" spans="1:13" s="360" customFormat="1" x14ac:dyDescent="0.25">
      <c r="A9946" s="367" t="s">
        <v>41</v>
      </c>
      <c r="B9946" s="2">
        <v>44307</v>
      </c>
      <c r="C9946" s="1">
        <v>107</v>
      </c>
      <c r="D9946" s="39">
        <f t="shared" si="1617"/>
        <v>3734</v>
      </c>
      <c r="E9946" s="1"/>
      <c r="F9946" s="39">
        <f t="shared" si="1623"/>
        <v>61</v>
      </c>
      <c r="G9946" s="168">
        <f>SUM(C9946,C9922,C9898,C9874,C9850,C9826,C9802,C9778,C9754,C9730,C9706,C9682,C9658,C9634)/POBLA!$B$9*100000</f>
        <v>199.1100359719957</v>
      </c>
      <c r="H9946" s="256">
        <f t="shared" si="1624"/>
        <v>1.5855263157894737</v>
      </c>
      <c r="I9946" s="297">
        <f t="shared" si="1626"/>
        <v>315.6942017713879</v>
      </c>
      <c r="J9946" s="297">
        <f t="shared" si="1627"/>
        <v>72.714285714285708</v>
      </c>
      <c r="K9946" s="297">
        <f>J9946/POBLA!$B$9*100000</f>
        <v>12.015057298132284</v>
      </c>
      <c r="L9946" s="549">
        <f t="shared" si="1625"/>
        <v>0.26867816091954022</v>
      </c>
      <c r="M9946" s="401">
        <f>SUM(C9946,C9922,C9898,C9874,C9850,C9826,C9802)/POBLA!$B$9*100000</f>
        <v>84.10540108692598</v>
      </c>
    </row>
    <row r="9947" spans="1:13" s="360" customFormat="1" x14ac:dyDescent="0.25">
      <c r="A9947" s="367" t="s">
        <v>32</v>
      </c>
      <c r="B9947" s="2">
        <v>44307</v>
      </c>
      <c r="C9947" s="1">
        <v>117</v>
      </c>
      <c r="D9947" s="39">
        <f t="shared" si="1617"/>
        <v>23993</v>
      </c>
      <c r="E9947" s="1">
        <v>3</v>
      </c>
      <c r="F9947" s="39">
        <f t="shared" si="1623"/>
        <v>1008</v>
      </c>
      <c r="G9947" s="168">
        <f>SUM(C9947,C9923,C9899,C9875,C9851,C9827,C9803,C9779,C9755,C9731,C9707,C9683,C9659,C9635)/POBLA!$B$10*100000</f>
        <v>151.90412009116844</v>
      </c>
      <c r="H9947" s="256">
        <f t="shared" si="1624"/>
        <v>1.6539548022598871</v>
      </c>
      <c r="I9947" s="297">
        <f t="shared" si="1626"/>
        <v>251.24254890785065</v>
      </c>
      <c r="J9947" s="297">
        <f t="shared" si="1627"/>
        <v>102.14285714285714</v>
      </c>
      <c r="K9947" s="297">
        <f>J9947/POBLA!$B$10*100000</f>
        <v>13.250145890592339</v>
      </c>
      <c r="L9947" s="549">
        <f t="shared" si="1625"/>
        <v>-0.56798245614035081</v>
      </c>
      <c r="M9947" s="401">
        <f>SUM(C9947,C9923,C9899,C9875,C9851,C9827,C9803)/POBLA!$B$10*100000</f>
        <v>92.751021234146378</v>
      </c>
    </row>
    <row r="9948" spans="1:13" s="360" customFormat="1" x14ac:dyDescent="0.25">
      <c r="A9948" s="367" t="s">
        <v>33</v>
      </c>
      <c r="B9948" s="2">
        <v>44307</v>
      </c>
      <c r="C9948" s="1">
        <v>433</v>
      </c>
      <c r="D9948" s="39">
        <f t="shared" si="1617"/>
        <v>24924</v>
      </c>
      <c r="E9948" s="1"/>
      <c r="F9948" s="39">
        <f t="shared" si="1623"/>
        <v>341</v>
      </c>
      <c r="G9948" s="168">
        <f>SUM(C9948,C9924,C9900,C9876,C9852,C9828,C9804,C9780,C9756,C9732,C9708,C9684,C9660,C9636)/POBLA!$B$11*100000</f>
        <v>794.0227883982277</v>
      </c>
      <c r="H9948" s="256">
        <f t="shared" si="1624"/>
        <v>2.091109478324761</v>
      </c>
      <c r="I9948" s="297">
        <f t="shared" si="1626"/>
        <v>1660.3885788253901</v>
      </c>
      <c r="J9948" s="297">
        <f t="shared" si="1627"/>
        <v>257.71428571428572</v>
      </c>
      <c r="K9948" s="297">
        <f>J9948/POBLA!$B$11*100000</f>
        <v>71.901270468346709</v>
      </c>
      <c r="L9948" s="549">
        <f t="shared" si="1625"/>
        <v>-0.73128598848368531</v>
      </c>
      <c r="M9948" s="401">
        <f>SUM(C9948,C9924,C9900,C9876,C9852,C9828,C9804)/POBLA!$B$11*100000</f>
        <v>503.30889327842686</v>
      </c>
    </row>
    <row r="9949" spans="1:13" s="360" customFormat="1" x14ac:dyDescent="0.25">
      <c r="A9949" s="367" t="s">
        <v>21</v>
      </c>
      <c r="B9949" s="2">
        <v>44307</v>
      </c>
      <c r="C9949" s="1">
        <v>105</v>
      </c>
      <c r="D9949" s="39">
        <f t="shared" si="1617"/>
        <v>12768</v>
      </c>
      <c r="E9949" s="1"/>
      <c r="F9949" s="39">
        <f t="shared" si="1623"/>
        <v>458</v>
      </c>
      <c r="G9949" s="168">
        <f>SUM(C9949,C9925,C9901,C9877,C9853,C9829,C9805,C9781,C9757,C9733,C9709,C9685,C9661,C9637)/POBLA!$B$12*100000</f>
        <v>295.52945003062018</v>
      </c>
      <c r="H9949" s="256">
        <f t="shared" si="1624"/>
        <v>1.3763313609467456</v>
      </c>
      <c r="I9949" s="297">
        <f t="shared" si="1626"/>
        <v>406.74645016048669</v>
      </c>
      <c r="J9949" s="297">
        <f t="shared" si="1627"/>
        <v>84.142857142857139</v>
      </c>
      <c r="K9949" s="297">
        <f>J9949/POBLA!$B$12*100000</f>
        <v>21.381506702866393</v>
      </c>
      <c r="L9949" s="549">
        <f t="shared" si="1625"/>
        <v>-2.6132404181184565E-2</v>
      </c>
      <c r="M9949" s="401">
        <f>SUM(C9949,C9925,C9901,C9877,C9853,C9829,C9805)/POBLA!$B$12*100000</f>
        <v>149.67054692006474</v>
      </c>
    </row>
    <row r="9950" spans="1:13" s="360" customFormat="1" x14ac:dyDescent="0.25">
      <c r="A9950" s="367" t="s">
        <v>17</v>
      </c>
      <c r="B9950" s="2">
        <v>44307</v>
      </c>
      <c r="C9950" s="1">
        <v>905</v>
      </c>
      <c r="D9950" s="39">
        <f t="shared" si="1617"/>
        <v>88972</v>
      </c>
      <c r="E9950" s="1">
        <v>8</v>
      </c>
      <c r="F9950" s="39">
        <f t="shared" si="1623"/>
        <v>1668</v>
      </c>
      <c r="G9950" s="168">
        <f>SUM(C9950,C9926,C9902,C9878,C9854,C9830,C9806,C9782,C9758,C9734,C9710,C9686,C9662,C9638)/POBLA!$B$13*100000</f>
        <v>614.36801186532136</v>
      </c>
      <c r="H9950" s="256">
        <f t="shared" si="1624"/>
        <v>2.1269786049747781</v>
      </c>
      <c r="I9950" s="297">
        <f t="shared" si="1626"/>
        <v>1306.7476168184292</v>
      </c>
      <c r="J9950" s="297">
        <f t="shared" si="1627"/>
        <v>908.28571428571433</v>
      </c>
      <c r="K9950" s="297">
        <f>J9950/POBLA!$B$13*100000</f>
        <v>45.634747177902163</v>
      </c>
      <c r="L9950" s="549">
        <f t="shared" si="1625"/>
        <v>-8.3134582623509479E-2</v>
      </c>
      <c r="M9950" s="401">
        <f>SUM(C9950,C9926,C9902,C9878,C9854,C9830,C9806)/POBLA!$B$13*100000</f>
        <v>319.44323024531514</v>
      </c>
    </row>
    <row r="9951" spans="1:13" s="360" customFormat="1" x14ac:dyDescent="0.25">
      <c r="A9951" s="367" t="s">
        <v>23</v>
      </c>
      <c r="B9951" s="2">
        <v>44307</v>
      </c>
      <c r="C9951" s="1">
        <v>78</v>
      </c>
      <c r="D9951" s="39">
        <f t="shared" si="1617"/>
        <v>14560</v>
      </c>
      <c r="E9951" s="1">
        <v>3</v>
      </c>
      <c r="F9951" s="39">
        <f t="shared" si="1623"/>
        <v>232</v>
      </c>
      <c r="G9951" s="168">
        <f>SUM(C9951,C9927,C9903,C9879,C9855,C9831,C9807,C9783,C9759,C9735,C9711,C9687,C9663,C9639)/POBLA!$B$14*100000</f>
        <v>146.2783458892217</v>
      </c>
      <c r="H9951" s="256">
        <f t="shared" si="1624"/>
        <v>1.1895551257253385</v>
      </c>
      <c r="I9951" s="297">
        <f t="shared" si="1626"/>
        <v>174.00615613514768</v>
      </c>
      <c r="J9951" s="297">
        <f t="shared" si="1627"/>
        <v>111.71428571428571</v>
      </c>
      <c r="K9951" s="297">
        <f>J9951/POBLA!$B$14*100000</f>
        <v>8.8571170333233731</v>
      </c>
      <c r="L9951" s="549">
        <f t="shared" si="1625"/>
        <v>0.26434619002822202</v>
      </c>
      <c r="M9951" s="401">
        <f>SUM(C9951,C9927,C9903,C9879,C9855,C9831,C9807)/POBLA!$B$14*100000</f>
        <v>61.999819233263608</v>
      </c>
    </row>
    <row r="9952" spans="1:13" s="360" customFormat="1" x14ac:dyDescent="0.25">
      <c r="A9952" s="367" t="s">
        <v>19</v>
      </c>
      <c r="B9952" s="2">
        <v>44307</v>
      </c>
      <c r="C9952" s="1">
        <v>211</v>
      </c>
      <c r="D9952" s="39">
        <f t="shared" si="1617"/>
        <v>68432</v>
      </c>
      <c r="E9952" s="1">
        <v>2</v>
      </c>
      <c r="F9952" s="39">
        <f t="shared" si="1623"/>
        <v>1038</v>
      </c>
      <c r="G9952" s="168">
        <f>SUM(C9952,C9928,C9904,C9880,C9856,C9832,C9808,C9784,C9760,C9736,C9712,C9688,C9664,C9640)/POBLA!$B$15*100000</f>
        <v>359.90886324517322</v>
      </c>
      <c r="H9952" s="256">
        <f t="shared" si="1624"/>
        <v>1.5203562340966921</v>
      </c>
      <c r="I9952" s="297">
        <f t="shared" si="1626"/>
        <v>547.18968394145293</v>
      </c>
      <c r="J9952" s="297">
        <f t="shared" si="1627"/>
        <v>192.85714285714286</v>
      </c>
      <c r="K9952" s="297">
        <f>J9952/POBLA!$B$15*100000</f>
        <v>29.042257344948226</v>
      </c>
      <c r="L9952" s="549">
        <f t="shared" si="1625"/>
        <v>-0.29807692307692313</v>
      </c>
      <c r="M9952" s="401">
        <f>SUM(C9952,C9928,C9904,C9880,C9856,C9832,C9808)/POBLA!$B$15*100000</f>
        <v>203.29580141463759</v>
      </c>
    </row>
    <row r="9953" spans="1:13" s="360" customFormat="1" x14ac:dyDescent="0.25">
      <c r="A9953" s="367" t="s">
        <v>18</v>
      </c>
      <c r="B9953" s="2">
        <v>44307</v>
      </c>
      <c r="C9953" s="1">
        <v>255</v>
      </c>
      <c r="D9953" s="39">
        <f t="shared" si="1617"/>
        <v>58886</v>
      </c>
      <c r="E9953" s="1">
        <v>6</v>
      </c>
      <c r="F9953" s="39">
        <f t="shared" si="1623"/>
        <v>1325</v>
      </c>
      <c r="G9953" s="168">
        <f>SUM(C9953,C9929,C9905,C9881,C9857,C9833,C9809,C9785,C9761,C9737,C9713,C9689,C9665,C9641)/POBLA!$B$16*100000</f>
        <v>356.20176295127141</v>
      </c>
      <c r="H9953" s="256">
        <f t="shared" si="1624"/>
        <v>1.7508218277449046</v>
      </c>
      <c r="I9953" s="297">
        <f t="shared" si="1626"/>
        <v>623.64582165630225</v>
      </c>
      <c r="J9953" s="297">
        <f t="shared" si="1627"/>
        <v>206</v>
      </c>
      <c r="K9953" s="297">
        <f>J9953/POBLA!$B$16*100000</f>
        <v>27.554473589170826</v>
      </c>
      <c r="L9953" s="549">
        <f t="shared" si="1625"/>
        <v>-0.18099918099918111</v>
      </c>
      <c r="M9953" s="401">
        <f>SUM(C9953,C9929,C9905,C9881,C9857,C9833,C9809)/POBLA!$B$16*100000</f>
        <v>192.88131512419577</v>
      </c>
    </row>
    <row r="9954" spans="1:13" s="360" customFormat="1" x14ac:dyDescent="0.25">
      <c r="A9954" s="367" t="s">
        <v>34</v>
      </c>
      <c r="B9954" s="2">
        <v>44307</v>
      </c>
      <c r="C9954" s="1">
        <v>249</v>
      </c>
      <c r="D9954" s="39">
        <f t="shared" si="1617"/>
        <v>32962</v>
      </c>
      <c r="E9954" s="1">
        <v>3</v>
      </c>
      <c r="F9954" s="39">
        <f t="shared" si="1623"/>
        <v>1264</v>
      </c>
      <c r="G9954" s="168">
        <f>SUM(C9954,C9930,C9906,C9882,C9858,C9834,C9810,C9786,C9762,C9738,C9714,C9690,C9666,C9642)/POBLA!$B$17*100000</f>
        <v>189.48369029140051</v>
      </c>
      <c r="H9954" s="256">
        <f t="shared" si="1624"/>
        <v>1.6387370977534912</v>
      </c>
      <c r="I9954" s="297">
        <f t="shared" si="1626"/>
        <v>310.51395269975103</v>
      </c>
      <c r="J9954" s="297">
        <f t="shared" si="1627"/>
        <v>194.14285714285714</v>
      </c>
      <c r="K9954" s="297">
        <f>J9954/POBLA!$B$17*100000</f>
        <v>13.629827719579383</v>
      </c>
      <c r="L9954" s="549">
        <f t="shared" si="1625"/>
        <v>-1.4179104477611837E-2</v>
      </c>
      <c r="M9954" s="401">
        <f>SUM(C9954,C9930,C9906,C9882,C9858,C9834,C9810)/POBLA!$B$17*100000</f>
        <v>95.408794037055671</v>
      </c>
    </row>
    <row r="9955" spans="1:13" s="360" customFormat="1" x14ac:dyDescent="0.25">
      <c r="A9955" s="367" t="s">
        <v>35</v>
      </c>
      <c r="B9955" s="2">
        <v>44307</v>
      </c>
      <c r="C9955" s="1">
        <v>341</v>
      </c>
      <c r="D9955" s="39">
        <f t="shared" si="1617"/>
        <v>21028</v>
      </c>
      <c r="E9955" s="1">
        <v>2</v>
      </c>
      <c r="F9955" s="39">
        <f t="shared" si="1623"/>
        <v>253</v>
      </c>
      <c r="G9955" s="168">
        <f>SUM(C9955,C9931,C9907,C9883,C9859,C9835,C9811,C9787,C9763,C9739,C9715,C9691,C9667,C9643)/POBLA!$B$18*100000</f>
        <v>370.95966933643274</v>
      </c>
      <c r="H9955" s="256">
        <f t="shared" si="1624"/>
        <v>1.8022388059701493</v>
      </c>
      <c r="I9955" s="297">
        <f t="shared" si="1626"/>
        <v>668.55791152797394</v>
      </c>
      <c r="J9955" s="297">
        <f t="shared" si="1627"/>
        <v>215.14285714285714</v>
      </c>
      <c r="K9955" s="297">
        <f>J9955/POBLA!$B$18*100000</f>
        <v>27.539448980610651</v>
      </c>
      <c r="L9955" s="549">
        <f t="shared" si="1625"/>
        <v>-8.18965517241379E-2</v>
      </c>
      <c r="M9955" s="401">
        <f>SUM(C9955,C9931,C9907,C9883,C9859,C9835,C9811)/POBLA!$B$18*100000</f>
        <v>192.77614286427459</v>
      </c>
    </row>
    <row r="9956" spans="1:13" s="360" customFormat="1" x14ac:dyDescent="0.25">
      <c r="A9956" s="367" t="s">
        <v>36</v>
      </c>
      <c r="B9956" s="2">
        <v>44307</v>
      </c>
      <c r="C9956" s="1">
        <v>707</v>
      </c>
      <c r="D9956" s="39">
        <f t="shared" si="1617"/>
        <v>31888</v>
      </c>
      <c r="E9956" s="1">
        <v>2</v>
      </c>
      <c r="F9956" s="39">
        <f t="shared" si="1623"/>
        <v>457</v>
      </c>
      <c r="G9956" s="168">
        <f>SUM(C9956,C9932,C9908,C9884,C9860,C9836,C9812,C9788,C9764,C9740,C9716,C9692,C9668,C9644)/POBLA!$B$19*100000</f>
        <v>1426.6379188240664</v>
      </c>
      <c r="H9956" s="256">
        <f t="shared" si="1624"/>
        <v>2.3537812398571893</v>
      </c>
      <c r="I9956" s="297">
        <f t="shared" si="1626"/>
        <v>3357.9935693969915</v>
      </c>
      <c r="J9956" s="297">
        <f t="shared" si="1627"/>
        <v>567.42857142857144</v>
      </c>
      <c r="K9956" s="297">
        <f>J9956/POBLA!$B$19*100000</f>
        <v>111.62646390294681</v>
      </c>
      <c r="L9956" s="549">
        <f t="shared" si="1625"/>
        <v>-0.21097560975609753</v>
      </c>
      <c r="M9956" s="401">
        <f>SUM(C9956,C9932,C9908,C9884,C9860,C9836,C9812)/POBLA!$B$19*100000</f>
        <v>781.38524732062763</v>
      </c>
    </row>
    <row r="9957" spans="1:13" s="360" customFormat="1" x14ac:dyDescent="0.25">
      <c r="A9957" s="367" t="s">
        <v>37</v>
      </c>
      <c r="B9957" s="2">
        <v>44307</v>
      </c>
      <c r="C9957" s="1">
        <v>227</v>
      </c>
      <c r="D9957" s="39">
        <f t="shared" si="1617"/>
        <v>42923</v>
      </c>
      <c r="E9957" s="1">
        <v>1</v>
      </c>
      <c r="F9957" s="39">
        <f t="shared" si="1623"/>
        <v>686</v>
      </c>
      <c r="G9957" s="168">
        <f>SUM(C9957,C9933,C9909,C9885,C9861,C9837,C9813,C9789,C9765,C9741,C9717,C9693,C9669,C9645)/POBLA!$B$20*100000</f>
        <v>710.42226099130983</v>
      </c>
      <c r="H9957" s="256">
        <f t="shared" si="1624"/>
        <v>1.4433333333333334</v>
      </c>
      <c r="I9957" s="297">
        <f t="shared" si="1626"/>
        <v>1025.3761300307906</v>
      </c>
      <c r="J9957" s="297">
        <f t="shared" si="1627"/>
        <v>189.71428571428572</v>
      </c>
      <c r="K9957" s="297">
        <f>J9957/POBLA!$B$20*100000</f>
        <v>51.877310161468131</v>
      </c>
      <c r="L9957" s="549">
        <f t="shared" si="1625"/>
        <v>-4.5669291338582774E-2</v>
      </c>
      <c r="M9957" s="401">
        <f>SUM(C9957,C9933,C9909,C9885,C9861,C9837,C9813)/POBLA!$B$20*100000</f>
        <v>363.14117113027692</v>
      </c>
    </row>
    <row r="9958" spans="1:13" s="360" customFormat="1" x14ac:dyDescent="0.25">
      <c r="A9958" s="367" t="s">
        <v>22</v>
      </c>
      <c r="B9958" s="2">
        <v>44307</v>
      </c>
      <c r="C9958" s="1">
        <v>1941</v>
      </c>
      <c r="D9958" s="39">
        <f t="shared" si="1617"/>
        <v>258215</v>
      </c>
      <c r="E9958" s="1">
        <v>7</v>
      </c>
      <c r="F9958" s="39">
        <f t="shared" si="1623"/>
        <v>4461</v>
      </c>
      <c r="G9958" s="168">
        <f>SUM(C9958,C9934,C9910,C9886,C9862,C9838,C9814,C9790,C9766,C9742,C9718,C9694,C9670,C9646)/POBLA!$B$21*100000</f>
        <v>593.31221592017687</v>
      </c>
      <c r="H9958" s="256">
        <f t="shared" si="1624"/>
        <v>2.0790725326991675</v>
      </c>
      <c r="I9958" s="297">
        <f t="shared" si="1626"/>
        <v>1233.5391314345175</v>
      </c>
      <c r="J9958" s="297">
        <f t="shared" si="1627"/>
        <v>1653.4285714285713</v>
      </c>
      <c r="K9958" s="297">
        <f>J9958/POBLA!$B$21*100000</f>
        <v>46.754330835002293</v>
      </c>
      <c r="L9958" s="549">
        <f t="shared" si="1625"/>
        <v>-0.23022959183673475</v>
      </c>
      <c r="M9958" s="401">
        <f>SUM(C9958,C9934,C9910,C9886,C9862,C9838,C9814)/POBLA!$B$21*100000</f>
        <v>327.28031584501605</v>
      </c>
    </row>
    <row r="9959" spans="1:13" s="360" customFormat="1" x14ac:dyDescent="0.25">
      <c r="A9959" s="367" t="s">
        <v>38</v>
      </c>
      <c r="B9959" s="2">
        <v>44307</v>
      </c>
      <c r="C9959" s="1">
        <v>235</v>
      </c>
      <c r="D9959" s="39">
        <f t="shared" si="1617"/>
        <v>28787</v>
      </c>
      <c r="E9959" s="1"/>
      <c r="F9959" s="39">
        <f t="shared" si="1623"/>
        <v>327</v>
      </c>
      <c r="G9959" s="168">
        <f>SUM(C9959,C9935,C9911,C9887,C9863,C9839,C9815,C9791,C9767,C9743,C9719,C9695,C9671,C9647)/POBLA!$B$22*100000</f>
        <v>280.99391503537214</v>
      </c>
      <c r="H9959" s="256">
        <f t="shared" si="1624"/>
        <v>1.613262910798122</v>
      </c>
      <c r="I9959" s="297">
        <f t="shared" si="1626"/>
        <v>453.31706128652462</v>
      </c>
      <c r="J9959" s="297">
        <f t="shared" si="1627"/>
        <v>211.57142857142858</v>
      </c>
      <c r="K9959" s="297">
        <f>J9959/POBLA!$B$22*100000</f>
        <v>21.626149153842235</v>
      </c>
      <c r="L9959" s="549">
        <f t="shared" si="1625"/>
        <v>-0.16798107255520511</v>
      </c>
      <c r="M9959" s="401">
        <f>SUM(C9959,C9935,C9911,C9887,C9863,C9839,C9815)/POBLA!$B$22*100000</f>
        <v>151.38304407689563</v>
      </c>
    </row>
    <row r="9960" spans="1:13" s="360" customFormat="1" x14ac:dyDescent="0.25">
      <c r="A9960" s="367" t="s">
        <v>39</v>
      </c>
      <c r="B9960" s="2">
        <v>44307</v>
      </c>
      <c r="C9960" s="1">
        <v>65</v>
      </c>
      <c r="D9960" s="39">
        <f t="shared" si="1617"/>
        <v>25659</v>
      </c>
      <c r="E9960" s="1"/>
      <c r="F9960" s="39">
        <f t="shared" si="1623"/>
        <v>375</v>
      </c>
      <c r="G9960" s="168">
        <f>SUM(C9960,C9936,C9912,C9888,C9864,C9840,C9816,C9792,C9768,C9744,C9720,C9696,C9672,C9648)/POBLA!$B$23*100000</f>
        <v>664.48000904823834</v>
      </c>
      <c r="H9960" s="256">
        <f t="shared" si="1624"/>
        <v>1.5460526315789473</v>
      </c>
      <c r="I9960" s="297">
        <f t="shared" si="1626"/>
        <v>1027.3210666206317</v>
      </c>
      <c r="J9960" s="297">
        <f t="shared" si="1627"/>
        <v>69</v>
      </c>
      <c r="K9960" s="297">
        <f>J9960/POBLA!$B$23*100000</f>
        <v>39.02052819091783</v>
      </c>
      <c r="L9960" s="549">
        <f t="shared" si="1625"/>
        <v>0.30202312138728327</v>
      </c>
      <c r="M9960" s="401">
        <f>SUM(C9960,C9936,C9912,C9888,C9864,C9840,C9816)/POBLA!$B$23*100000</f>
        <v>273.14369733642479</v>
      </c>
    </row>
    <row r="9961" spans="1:13" s="360" customFormat="1" ht="15.75" thickBot="1" x14ac:dyDescent="0.3">
      <c r="A9961" s="369" t="s">
        <v>40</v>
      </c>
      <c r="B9961" s="2">
        <v>44307</v>
      </c>
      <c r="C9961" s="1">
        <v>770</v>
      </c>
      <c r="D9961" s="176">
        <f t="shared" si="1617"/>
        <v>100044</v>
      </c>
      <c r="E9961" s="1">
        <v>8</v>
      </c>
      <c r="F9961" s="176">
        <f t="shared" si="1623"/>
        <v>1591</v>
      </c>
      <c r="G9961" s="177">
        <f>SUM(C9961,C9937,C9913,C9889,C9865,C9841,C9817,C9793,C9769,C9745,C9721,C9697,C9673,C9649)/POBLA!$B$24*100000</f>
        <v>538.87042562030285</v>
      </c>
      <c r="H9961" s="402">
        <f t="shared" si="1624"/>
        <v>1.5306738183037212</v>
      </c>
      <c r="I9961" s="403">
        <f t="shared" si="1626"/>
        <v>824.8348519551804</v>
      </c>
      <c r="J9961" s="403">
        <f t="shared" si="1627"/>
        <v>670.14285714285711</v>
      </c>
      <c r="K9961" s="403">
        <f>J9961/POBLA!$B$24*100000</f>
        <v>39.544477294675566</v>
      </c>
      <c r="L9961" s="550">
        <f t="shared" si="1625"/>
        <v>-5.6293627561360138E-2</v>
      </c>
      <c r="M9961" s="405">
        <f>SUM(C9961,C9937,C9913,C9889,C9865,C9841,C9817)/POBLA!$B$24*100000</f>
        <v>276.81134106272896</v>
      </c>
    </row>
    <row r="9962" spans="1:13" s="360" customFormat="1" x14ac:dyDescent="0.25">
      <c r="A9962" s="374" t="s">
        <v>16</v>
      </c>
      <c r="B9962" s="2">
        <v>44308</v>
      </c>
      <c r="C9962" s="42">
        <v>12949</v>
      </c>
      <c r="D9962" s="262">
        <f t="shared" si="1617"/>
        <v>1213670</v>
      </c>
      <c r="E9962" s="1">
        <v>327</v>
      </c>
      <c r="F9962" s="262">
        <f t="shared" ref="F9962:F9985" si="1628">E9962+F9938</f>
        <v>30975</v>
      </c>
      <c r="G9962" s="175">
        <f>SUM(C9962,C9938,C9914,C9890,C9866,C9842,C9818,C9794,C9770,C9746,C9722,C9698,C9674,C9650)/POBLA!$B$1*100000</f>
        <v>933.17760800166877</v>
      </c>
      <c r="H9962" s="300">
        <f t="shared" ref="H9962:H9985" si="1629">SUM(C9962,C9938,C9914,C9890,C9866,C9842,C9818,C9794,C9770,C9746,C9722,C9698,C9674,C9650)/SUM(C9626,C9602,C9578,C9554,C9530,C9506,C9482,C9458,C9434,C9410,C9386,C9362,C9338,C9314)</f>
        <v>1.7026211774495528</v>
      </c>
      <c r="I9962" s="301">
        <f>G9962*H9962</f>
        <v>1588.8479577053586</v>
      </c>
      <c r="J9962" s="301">
        <f>AVERAGE(C9962,C9938,C9914,C9890,C9866,C9842,C9818)</f>
        <v>11931.714285714286</v>
      </c>
      <c r="K9962" s="301">
        <f>J9962/POBLA!$B$1*100000</f>
        <v>68.021312215176224</v>
      </c>
      <c r="L9962" s="548">
        <f t="shared" ref="L9962:L9985" si="1630">1-SUM(C9962,C9938,C9914,C9890,C9866,C9842,C9818)/SUM(C9794,C9770,C9746,C9722,C9698,C9674,C9650)</f>
        <v>-4.1837142001796224E-2</v>
      </c>
      <c r="M9962" s="400">
        <f>SUM(C9962,C9938,C9914,C9890,C9866,C9842,C9818)/POBLA!$B$1*100000</f>
        <v>476.14918550623355</v>
      </c>
    </row>
    <row r="9963" spans="1:13" s="360" customFormat="1" x14ac:dyDescent="0.25">
      <c r="A9963" s="367" t="s">
        <v>43</v>
      </c>
      <c r="B9963" s="2">
        <v>44308</v>
      </c>
      <c r="C9963" s="42">
        <v>3560</v>
      </c>
      <c r="D9963" s="39">
        <f t="shared" si="1617"/>
        <v>319294</v>
      </c>
      <c r="E9963" s="1">
        <v>58</v>
      </c>
      <c r="F9963" s="39">
        <f t="shared" si="1628"/>
        <v>7382</v>
      </c>
      <c r="G9963" s="168">
        <f>SUM(C9963,C9939,C9915,C9891,C9867,C9843,C9819,C9795,C9771,C9747,C9723,C9699,C9675,C9651)/POBLA!$B$2*100000</f>
        <v>1342.8398456779487</v>
      </c>
      <c r="H9963" s="256">
        <f t="shared" si="1629"/>
        <v>1.6251918309526621</v>
      </c>
      <c r="I9963" s="297">
        <f t="shared" ref="I9963:I9985" si="1631">G9963*H9963</f>
        <v>2182.3723474735357</v>
      </c>
      <c r="J9963" s="297">
        <f t="shared" ref="J9963:J9985" si="1632">AVERAGE(C9963,C9939,C9915,C9891,C9867,C9843,C9819)</f>
        <v>3103.5714285714284</v>
      </c>
      <c r="K9963" s="297">
        <f>J9963/POBLA!$B$2*100000</f>
        <v>100.90795327457803</v>
      </c>
      <c r="L9963" s="549">
        <f t="shared" si="1630"/>
        <v>-0.10977727829995909</v>
      </c>
      <c r="M9963" s="401">
        <f>SUM(C9963,C9939,C9915,C9891,C9867,C9843,C9819)/POBLA!$B$2*100000</f>
        <v>706.35567292204632</v>
      </c>
    </row>
    <row r="9964" spans="1:13" s="360" customFormat="1" x14ac:dyDescent="0.25">
      <c r="A9964" s="367" t="s">
        <v>28</v>
      </c>
      <c r="B9964" s="2">
        <v>44308</v>
      </c>
      <c r="C9964" s="42">
        <v>203</v>
      </c>
      <c r="D9964" s="39">
        <f t="shared" si="1617"/>
        <v>13528</v>
      </c>
      <c r="E9964" s="1"/>
      <c r="F9964" s="39">
        <f t="shared" si="1628"/>
        <v>19</v>
      </c>
      <c r="G9964" s="168">
        <f>SUM(C9964,C9940,C9916,C9892,C9868,C9844,C9820,C9796,C9772,C9748,C9724,C9700,C9676,C9652)/POBLA!$B$3*100000</f>
        <v>539.4306731690408</v>
      </c>
      <c r="H9964" s="256">
        <f t="shared" si="1629"/>
        <v>1.7372093023255815</v>
      </c>
      <c r="I9964" s="297">
        <f t="shared" si="1631"/>
        <v>937.10398338900814</v>
      </c>
      <c r="J9964" s="297">
        <f t="shared" si="1632"/>
        <v>168.57142857142858</v>
      </c>
      <c r="K9964" s="297">
        <f>J9964/POBLA!$B$3*100000</f>
        <v>40.576795712339404</v>
      </c>
      <c r="L9964" s="549">
        <f t="shared" si="1630"/>
        <v>-0.11215834118755885</v>
      </c>
      <c r="M9964" s="401">
        <f>SUM(C9964,C9940,C9916,C9892,C9868,C9844,C9820)/POBLA!$B$3*100000</f>
        <v>284.03756998637579</v>
      </c>
    </row>
    <row r="9965" spans="1:13" s="360" customFormat="1" x14ac:dyDescent="0.25">
      <c r="A9965" s="367" t="s">
        <v>15</v>
      </c>
      <c r="B9965" s="2">
        <v>44308</v>
      </c>
      <c r="C9965" s="42">
        <v>183</v>
      </c>
      <c r="D9965" s="39">
        <f t="shared" si="1617"/>
        <v>42951</v>
      </c>
      <c r="E9965" s="1">
        <v>6</v>
      </c>
      <c r="F9965" s="39">
        <f t="shared" si="1628"/>
        <v>1007</v>
      </c>
      <c r="G9965" s="168">
        <f>SUM(C9965,C9941,C9917,C9893,C9869,C9845,C9821,C9797,C9773,C9749,C9725,C9701,C9677,C9653)/POBLA!$B$4*100000</f>
        <v>262.92172703129239</v>
      </c>
      <c r="H9965" s="256">
        <f t="shared" si="1629"/>
        <v>1.3866024518388791</v>
      </c>
      <c r="I9965" s="297">
        <f t="shared" si="1631"/>
        <v>364.56791134330251</v>
      </c>
      <c r="J9965" s="297">
        <f t="shared" si="1632"/>
        <v>218</v>
      </c>
      <c r="K9965" s="297">
        <f>J9965/POBLA!$B$4*100000</f>
        <v>18.098180136666166</v>
      </c>
      <c r="L9965" s="549">
        <f t="shared" si="1630"/>
        <v>7.0079219987812302E-2</v>
      </c>
      <c r="M9965" s="401">
        <f>SUM(C9965,C9941,C9917,C9893,C9869,C9845,C9821)/POBLA!$B$4*100000</f>
        <v>126.68726095666317</v>
      </c>
    </row>
    <row r="9966" spans="1:13" s="360" customFormat="1" x14ac:dyDescent="0.25">
      <c r="A9966" s="367" t="s">
        <v>29</v>
      </c>
      <c r="B9966" s="2">
        <v>44308</v>
      </c>
      <c r="C9966" s="42">
        <v>227</v>
      </c>
      <c r="D9966" s="39">
        <f t="shared" si="1617"/>
        <v>53464</v>
      </c>
      <c r="E9966" s="1"/>
      <c r="F9966" s="39">
        <f t="shared" si="1628"/>
        <v>900</v>
      </c>
      <c r="G9966" s="168">
        <f>SUM(C9966,C9942,C9918,C9894,C9870,C9846,C9822,C9798,C9774,C9750,C9726,C9702,C9678,C9654)/POBLA!$B$5*100000</f>
        <v>395.96506589724618</v>
      </c>
      <c r="H9966" s="256">
        <f t="shared" si="1629"/>
        <v>1.3886685552407931</v>
      </c>
      <c r="I9966" s="297">
        <f t="shared" si="1631"/>
        <v>549.8642359853543</v>
      </c>
      <c r="J9966" s="297">
        <f t="shared" si="1632"/>
        <v>184.42857142857142</v>
      </c>
      <c r="K9966" s="297">
        <f>J9966/POBLA!$B$5*100000</f>
        <v>29.79488838802499</v>
      </c>
      <c r="L9966" s="549">
        <f t="shared" si="1630"/>
        <v>-0.11293103448275854</v>
      </c>
      <c r="M9966" s="401">
        <f>SUM(C9966,C9942,C9918,C9894,C9870,C9846,C9822)/POBLA!$B$5*100000</f>
        <v>208.56421871617496</v>
      </c>
    </row>
    <row r="9967" spans="1:13" s="360" customFormat="1" x14ac:dyDescent="0.25">
      <c r="A9967" s="367" t="s">
        <v>30</v>
      </c>
      <c r="B9967" s="2">
        <v>44308</v>
      </c>
      <c r="C9967" s="42">
        <v>337</v>
      </c>
      <c r="D9967" s="39">
        <f t="shared" si="1617"/>
        <v>35685</v>
      </c>
      <c r="E9967" s="1">
        <v>16</v>
      </c>
      <c r="F9967" s="39">
        <f t="shared" si="1628"/>
        <v>436</v>
      </c>
      <c r="G9967" s="168">
        <f>SUM(C9967,C9943,C9919,C9895,C9871,C9847,C9823,C9799,C9775,C9751,C9727,C9703,C9679,C9655)/POBLA!$B$6*100000</f>
        <v>298.3580492879646</v>
      </c>
      <c r="H9967" s="256">
        <f t="shared" si="1629"/>
        <v>0.64073577313661623</v>
      </c>
      <c r="I9967" s="297">
        <f t="shared" si="1631"/>
        <v>191.16867538205665</v>
      </c>
      <c r="J9967" s="297">
        <f t="shared" si="1632"/>
        <v>230.14285714285714</v>
      </c>
      <c r="K9967" s="297">
        <f>J9967/POBLA!$B$6*100000</f>
        <v>20.533784065401186</v>
      </c>
      <c r="L9967" s="549">
        <f t="shared" si="1630"/>
        <v>7.0398153491055937E-2</v>
      </c>
      <c r="M9967" s="401">
        <f>SUM(C9967,C9943,C9919,C9895,C9871,C9847,C9823)/POBLA!$B$6*100000</f>
        <v>143.73648845780832</v>
      </c>
    </row>
    <row r="9968" spans="1:13" s="360" customFormat="1" x14ac:dyDescent="0.25">
      <c r="A9968" s="367" t="s">
        <v>20</v>
      </c>
      <c r="B9968" s="2">
        <v>44308</v>
      </c>
      <c r="C9968" s="42">
        <v>1805</v>
      </c>
      <c r="D9968" s="39">
        <f t="shared" si="1617"/>
        <v>214586</v>
      </c>
      <c r="E9968" s="1">
        <v>18</v>
      </c>
      <c r="F9968" s="39">
        <f t="shared" si="1628"/>
        <v>3248</v>
      </c>
      <c r="G9968" s="168">
        <f>SUM(C9968,C9944,C9920,C9896,C9872,C9848,C9824,C9800,C9776,C9752,C9728,C9704,C9680,C9656)/POBLA!$B$7*100000</f>
        <v>625.80276296719808</v>
      </c>
      <c r="H9968" s="256">
        <f t="shared" si="1629"/>
        <v>1.4769974267244084</v>
      </c>
      <c r="I9968" s="297">
        <f t="shared" si="1631"/>
        <v>924.3090705395764</v>
      </c>
      <c r="J9968" s="297">
        <f t="shared" si="1632"/>
        <v>1763.5714285714287</v>
      </c>
      <c r="K9968" s="297">
        <f>J9968/POBLA!$B$7*100000</f>
        <v>46.897882662219381</v>
      </c>
      <c r="L9968" s="549">
        <f t="shared" si="1630"/>
        <v>-0.10341437254200936</v>
      </c>
      <c r="M9968" s="401">
        <f>SUM(C9968,C9944,C9920,C9896,C9872,C9848,C9824)/POBLA!$B$7*100000</f>
        <v>328.28517863553566</v>
      </c>
    </row>
    <row r="9969" spans="1:13" x14ac:dyDescent="0.25">
      <c r="A9969" s="367" t="s">
        <v>31</v>
      </c>
      <c r="B9969" s="2">
        <v>44308</v>
      </c>
      <c r="C9969" s="42">
        <v>640</v>
      </c>
      <c r="D9969" s="39">
        <f t="shared" si="1617"/>
        <v>58502</v>
      </c>
      <c r="E9969" s="1">
        <v>7</v>
      </c>
      <c r="F9969" s="39">
        <f t="shared" si="1628"/>
        <v>1028</v>
      </c>
      <c r="G9969" s="168">
        <f>SUM(C9969,C9945,C9921,C9897,C9873,C9849,C9825,C9801,C9777,C9753,C9729,C9705,C9681,C9657)/POBLA!$B$8*100000</f>
        <v>471.29753290316251</v>
      </c>
      <c r="H9969" s="256">
        <f t="shared" si="1629"/>
        <v>2.0222910216718266</v>
      </c>
      <c r="I9969" s="297">
        <f t="shared" si="1631"/>
        <v>953.10076932614777</v>
      </c>
      <c r="J9969" s="297">
        <f t="shared" si="1632"/>
        <v>490.14285714285717</v>
      </c>
      <c r="K9969" s="297">
        <f>J9969/POBLA!$B$8*100000</f>
        <v>35.364837621178168</v>
      </c>
      <c r="L9969" s="549">
        <f t="shared" si="1630"/>
        <v>-0.10641728474685586</v>
      </c>
      <c r="M9969" s="401">
        <f>SUM(C9969,C9945,C9921,C9897,C9873,C9849,C9825)/POBLA!$B$8*100000</f>
        <v>247.55386334824715</v>
      </c>
    </row>
    <row r="9970" spans="1:13" s="360" customFormat="1" x14ac:dyDescent="0.25">
      <c r="A9970" s="367" t="s">
        <v>41</v>
      </c>
      <c r="B9970" s="2">
        <v>44308</v>
      </c>
      <c r="C9970" s="42">
        <v>127</v>
      </c>
      <c r="D9970" s="39">
        <f t="shared" si="1617"/>
        <v>3861</v>
      </c>
      <c r="E9970" s="1">
        <v>2</v>
      </c>
      <c r="F9970" s="39">
        <f t="shared" si="1628"/>
        <v>63</v>
      </c>
      <c r="G9970" s="168">
        <f>SUM(C9970,C9946,C9922,C9898,C9874,C9850,C9826,C9802,C9778,C9754,C9730,C9706,C9682,C9658)/POBLA!$B$9*100000</f>
        <v>218.11223857513221</v>
      </c>
      <c r="H9970" s="256">
        <f t="shared" si="1629"/>
        <v>1.8461538461538463</v>
      </c>
      <c r="I9970" s="297">
        <f t="shared" si="1631"/>
        <v>402.66874813870567</v>
      </c>
      <c r="J9970" s="297">
        <f t="shared" si="1632"/>
        <v>77.428571428571431</v>
      </c>
      <c r="K9970" s="297">
        <f>J9970/POBLA!$B$9*100000</f>
        <v>12.794029578757756</v>
      </c>
      <c r="L9970" s="549">
        <f t="shared" si="1630"/>
        <v>0.30334190231362468</v>
      </c>
      <c r="M9970" s="401">
        <f>SUM(C9970,C9946,C9922,C9898,C9874,C9850,C9826)/POBLA!$B$9*100000</f>
        <v>89.558207051304294</v>
      </c>
    </row>
    <row r="9971" spans="1:13" s="360" customFormat="1" x14ac:dyDescent="0.25">
      <c r="A9971" s="367" t="s">
        <v>32</v>
      </c>
      <c r="B9971" s="2">
        <v>44308</v>
      </c>
      <c r="C9971" s="42">
        <v>105</v>
      </c>
      <c r="D9971" s="39">
        <f t="shared" ref="D9971:D10034" si="1633">C9971+D9947</f>
        <v>24098</v>
      </c>
      <c r="E9971" s="1">
        <v>6</v>
      </c>
      <c r="F9971" s="39">
        <f t="shared" si="1628"/>
        <v>1014</v>
      </c>
      <c r="G9971" s="168">
        <f>SUM(C9971,C9947,C9923,C9899,C9875,C9851,C9827,C9803,C9779,C9755,C9731,C9707,C9683,C9659)/POBLA!$B$10*100000</f>
        <v>156.70382328790046</v>
      </c>
      <c r="H9971" s="256">
        <f t="shared" si="1629"/>
        <v>1.6368563685636857</v>
      </c>
      <c r="I9971" s="297">
        <f t="shared" si="1631"/>
        <v>256.50165112707828</v>
      </c>
      <c r="J9971" s="297">
        <f t="shared" si="1632"/>
        <v>105.57142857142857</v>
      </c>
      <c r="K9971" s="297">
        <f>J9971/POBLA!$B$10*100000</f>
        <v>13.694906032374462</v>
      </c>
      <c r="L9971" s="549">
        <f t="shared" si="1630"/>
        <v>-0.57569296375266532</v>
      </c>
      <c r="M9971" s="401">
        <f>SUM(C9971,C9947,C9923,C9899,C9875,C9851,C9827)/POBLA!$B$10*100000</f>
        <v>95.864342226621218</v>
      </c>
    </row>
    <row r="9972" spans="1:13" s="360" customFormat="1" x14ac:dyDescent="0.25">
      <c r="A9972" s="367" t="s">
        <v>33</v>
      </c>
      <c r="B9972" s="2">
        <v>44308</v>
      </c>
      <c r="C9972" s="42">
        <v>260</v>
      </c>
      <c r="D9972" s="39">
        <f t="shared" si="1633"/>
        <v>25184</v>
      </c>
      <c r="E9972" s="1">
        <v>6</v>
      </c>
      <c r="F9972" s="39">
        <f t="shared" si="1628"/>
        <v>347</v>
      </c>
      <c r="G9972" s="168">
        <f>SUM(C9972,C9948,C9924,C9900,C9876,C9852,C9828,C9804,C9780,C9756,C9732,C9708,C9684,C9660)/POBLA!$B$11*100000</f>
        <v>816.90046536542911</v>
      </c>
      <c r="H9972" s="256">
        <f t="shared" si="1629"/>
        <v>2.0165289256198347</v>
      </c>
      <c r="I9972" s="297">
        <f t="shared" si="1631"/>
        <v>1647.3034177616917</v>
      </c>
      <c r="J9972" s="297">
        <f t="shared" si="1632"/>
        <v>265.28571428571428</v>
      </c>
      <c r="K9972" s="297">
        <f>J9972/POBLA!$B$11*100000</f>
        <v>74.013669212704997</v>
      </c>
      <c r="L9972" s="549">
        <f t="shared" si="1630"/>
        <v>-0.73389355742296924</v>
      </c>
      <c r="M9972" s="401">
        <f>SUM(C9972,C9948,C9924,C9900,C9876,C9852,C9828)/POBLA!$B$11*100000</f>
        <v>518.09568448893504</v>
      </c>
    </row>
    <row r="9973" spans="1:13" s="360" customFormat="1" x14ac:dyDescent="0.25">
      <c r="A9973" s="367" t="s">
        <v>21</v>
      </c>
      <c r="B9973" s="2">
        <v>44308</v>
      </c>
      <c r="C9973" s="42">
        <v>73</v>
      </c>
      <c r="D9973" s="39">
        <f t="shared" si="1633"/>
        <v>12841</v>
      </c>
      <c r="E9973" s="1">
        <v>1</v>
      </c>
      <c r="F9973" s="39">
        <f t="shared" si="1628"/>
        <v>459</v>
      </c>
      <c r="G9973" s="168">
        <f>SUM(C9973,C9949,C9925,C9901,C9877,C9853,C9829,C9805,C9781,C9757,C9733,C9709,C9685,C9661)/POBLA!$B$12*100000</f>
        <v>286.38150488779792</v>
      </c>
      <c r="H9973" s="256">
        <f t="shared" si="1629"/>
        <v>1.2303493449781659</v>
      </c>
      <c r="I9973" s="297">
        <f t="shared" si="1631"/>
        <v>352.34929695256358</v>
      </c>
      <c r="J9973" s="297">
        <f t="shared" si="1632"/>
        <v>78.857142857142861</v>
      </c>
      <c r="K9973" s="297">
        <f>J9973/POBLA!$B$12*100000</f>
        <v>20.038356027134547</v>
      </c>
      <c r="L9973" s="549">
        <f t="shared" si="1630"/>
        <v>4.0000000000000036E-2</v>
      </c>
      <c r="M9973" s="401">
        <f>SUM(C9973,C9949,C9925,C9901,C9877,C9853,C9829)/POBLA!$B$12*100000</f>
        <v>140.26849218994184</v>
      </c>
    </row>
    <row r="9974" spans="1:13" s="360" customFormat="1" x14ac:dyDescent="0.25">
      <c r="A9974" s="367" t="s">
        <v>17</v>
      </c>
      <c r="B9974" s="2">
        <v>44308</v>
      </c>
      <c r="C9974" s="42">
        <v>1036</v>
      </c>
      <c r="D9974" s="39">
        <f t="shared" si="1633"/>
        <v>90008</v>
      </c>
      <c r="E9974" s="1">
        <v>19</v>
      </c>
      <c r="F9974" s="39">
        <f t="shared" si="1628"/>
        <v>1687</v>
      </c>
      <c r="G9974" s="168">
        <f>SUM(C9974,C9950,C9926,C9902,C9878,C9854,C9830,C9806,C9782,C9758,C9734,C9710,C9686,C9662)/POBLA!$B$13*100000</f>
        <v>613.86558463939286</v>
      </c>
      <c r="H9974" s="256">
        <f t="shared" si="1629"/>
        <v>1.8489709443099274</v>
      </c>
      <c r="I9974" s="297">
        <f t="shared" si="1631"/>
        <v>1135.0196297100638</v>
      </c>
      <c r="J9974" s="297">
        <f t="shared" si="1632"/>
        <v>906.28571428571433</v>
      </c>
      <c r="K9974" s="297">
        <f>J9974/POBLA!$B$13*100000</f>
        <v>45.534261732716473</v>
      </c>
      <c r="L9974" s="549">
        <f t="shared" si="1630"/>
        <v>-8.001361933946205E-2</v>
      </c>
      <c r="M9974" s="401">
        <f>SUM(C9974,C9950,C9926,C9902,C9878,C9854,C9830)/POBLA!$B$13*100000</f>
        <v>318.73983212901527</v>
      </c>
    </row>
    <row r="9975" spans="1:13" s="360" customFormat="1" x14ac:dyDescent="0.25">
      <c r="A9975" s="367" t="s">
        <v>23</v>
      </c>
      <c r="B9975" s="2">
        <v>44308</v>
      </c>
      <c r="C9975" s="42">
        <v>168</v>
      </c>
      <c r="D9975" s="39">
        <f t="shared" si="1633"/>
        <v>14728</v>
      </c>
      <c r="E9975" s="1">
        <v>4</v>
      </c>
      <c r="F9975" s="39">
        <f t="shared" si="1628"/>
        <v>236</v>
      </c>
      <c r="G9975" s="168">
        <f>SUM(C9975,C9951,C9927,C9903,C9879,C9855,C9831,C9807,C9783,C9759,C9735,C9711,C9687,C9663)/POBLA!$B$14*100000</f>
        <v>147.46760073384954</v>
      </c>
      <c r="H9975" s="256">
        <f t="shared" si="1629"/>
        <v>1.1764705882352942</v>
      </c>
      <c r="I9975" s="297">
        <f t="shared" si="1631"/>
        <v>173.49129498099947</v>
      </c>
      <c r="J9975" s="297">
        <f t="shared" si="1632"/>
        <v>121.57142857142857</v>
      </c>
      <c r="K9975" s="297">
        <f>J9975/POBLA!$B$14*100000</f>
        <v>9.6386273597930838</v>
      </c>
      <c r="L9975" s="549">
        <f t="shared" si="1630"/>
        <v>0.15659068384539143</v>
      </c>
      <c r="M9975" s="401">
        <f>SUM(C9975,C9951,C9927,C9903,C9879,C9855,C9831)/POBLA!$B$14*100000</f>
        <v>67.47039151855158</v>
      </c>
    </row>
    <row r="9976" spans="1:13" s="360" customFormat="1" x14ac:dyDescent="0.25">
      <c r="A9976" s="367" t="s">
        <v>19</v>
      </c>
      <c r="B9976" s="2">
        <v>44308</v>
      </c>
      <c r="C9976" s="42">
        <v>231</v>
      </c>
      <c r="D9976" s="39">
        <f t="shared" si="1633"/>
        <v>68663</v>
      </c>
      <c r="E9976" s="1">
        <v>8</v>
      </c>
      <c r="F9976" s="39">
        <f t="shared" si="1628"/>
        <v>1046</v>
      </c>
      <c r="G9976" s="168">
        <f>SUM(C9976,C9952,C9928,C9904,C9880,C9856,C9832,C9808,C9784,C9760,C9736,C9712,C9688,C9664)/POBLA!$B$15*100000</f>
        <v>374.96781149810937</v>
      </c>
      <c r="H9976" s="256">
        <f t="shared" si="1629"/>
        <v>1.534195933456562</v>
      </c>
      <c r="I9976" s="297">
        <f t="shared" si="1631"/>
        <v>575.27409157750606</v>
      </c>
      <c r="J9976" s="297">
        <f t="shared" si="1632"/>
        <v>196.42857142857142</v>
      </c>
      <c r="K9976" s="297">
        <f>J9976/POBLA!$B$15*100000</f>
        <v>29.580076925410228</v>
      </c>
      <c r="L9976" s="549">
        <f t="shared" si="1630"/>
        <v>-0.23318385650224216</v>
      </c>
      <c r="M9976" s="401">
        <f>SUM(C9976,C9952,C9928,C9904,C9880,C9856,C9832)/POBLA!$B$15*100000</f>
        <v>207.06053847787163</v>
      </c>
    </row>
    <row r="9977" spans="1:13" s="360" customFormat="1" x14ac:dyDescent="0.25">
      <c r="A9977" s="367" t="s">
        <v>18</v>
      </c>
      <c r="B9977" s="2">
        <v>44308</v>
      </c>
      <c r="C9977" s="42">
        <v>316</v>
      </c>
      <c r="D9977" s="39">
        <f t="shared" si="1633"/>
        <v>59202</v>
      </c>
      <c r="E9977" s="1">
        <v>5</v>
      </c>
      <c r="F9977" s="39">
        <f t="shared" si="1628"/>
        <v>1330</v>
      </c>
      <c r="G9977" s="168">
        <f>SUM(C9977,C9953,C9929,C9905,C9881,C9857,C9833,C9809,C9785,C9761,C9737,C9713,C9689,C9665)/POBLA!$B$16*100000</f>
        <v>376.66697877235453</v>
      </c>
      <c r="H9977" s="256">
        <f t="shared" si="1629"/>
        <v>1.76</v>
      </c>
      <c r="I9977" s="297">
        <f t="shared" si="1631"/>
        <v>662.93388263934401</v>
      </c>
      <c r="J9977" s="297">
        <f t="shared" si="1632"/>
        <v>222.28571428571428</v>
      </c>
      <c r="K9977" s="297">
        <f>J9977/POBLA!$B$16*100000</f>
        <v>29.732843900658668</v>
      </c>
      <c r="L9977" s="549">
        <f t="shared" si="1630"/>
        <v>-0.23492063492063497</v>
      </c>
      <c r="M9977" s="401">
        <f>SUM(C9977,C9953,C9929,C9905,C9881,C9857,C9833)/POBLA!$B$16*100000</f>
        <v>208.1299073046107</v>
      </c>
    </row>
    <row r="9978" spans="1:13" s="360" customFormat="1" x14ac:dyDescent="0.25">
      <c r="A9978" s="367" t="s">
        <v>34</v>
      </c>
      <c r="B9978" s="2">
        <v>44308</v>
      </c>
      <c r="C9978" s="42">
        <v>262</v>
      </c>
      <c r="D9978" s="39">
        <f t="shared" si="1633"/>
        <v>33224</v>
      </c>
      <c r="E9978" s="1">
        <v>2</v>
      </c>
      <c r="F9978" s="39">
        <f t="shared" si="1628"/>
        <v>1266</v>
      </c>
      <c r="G9978" s="168">
        <f>SUM(C9978,C9954,C9930,C9906,C9882,C9858,C9834,C9810,C9786,C9762,C9738,C9714,C9690,C9666)/POBLA!$B$17*100000</f>
        <v>192.15148585682221</v>
      </c>
      <c r="H9978" s="256">
        <f t="shared" si="1629"/>
        <v>1.5197112715158245</v>
      </c>
      <c r="I9978" s="297">
        <f t="shared" si="1631"/>
        <v>292.01477889512626</v>
      </c>
      <c r="J9978" s="297">
        <f t="shared" si="1632"/>
        <v>193.28571428571428</v>
      </c>
      <c r="K9978" s="297">
        <f>J9978/POBLA!$B$17*100000</f>
        <v>13.569651879757838</v>
      </c>
      <c r="L9978" s="549">
        <f t="shared" si="1630"/>
        <v>2.2398843930635848E-2</v>
      </c>
      <c r="M9978" s="401">
        <f>SUM(C9978,C9954,C9930,C9906,C9882,C9858,C9834)/POBLA!$B$17*100000</f>
        <v>94.98756315830488</v>
      </c>
    </row>
    <row r="9979" spans="1:13" s="360" customFormat="1" x14ac:dyDescent="0.25">
      <c r="A9979" s="367" t="s">
        <v>35</v>
      </c>
      <c r="B9979" s="2">
        <v>44308</v>
      </c>
      <c r="C9979" s="42">
        <v>347</v>
      </c>
      <c r="D9979" s="39">
        <f t="shared" si="1633"/>
        <v>21375</v>
      </c>
      <c r="E9979" s="1">
        <v>2</v>
      </c>
      <c r="F9979" s="39">
        <f t="shared" si="1628"/>
        <v>255</v>
      </c>
      <c r="G9979" s="168">
        <f>SUM(C9979,C9955,C9931,C9907,C9883,C9859,C9835,C9811,C9787,C9763,C9739,C9715,C9691,C9667)/POBLA!$B$18*100000</f>
        <v>373.00775584760703</v>
      </c>
      <c r="H9979" s="256">
        <f t="shared" si="1629"/>
        <v>1.5776935571196535</v>
      </c>
      <c r="I9979" s="297">
        <f t="shared" si="1631"/>
        <v>588.49193315643038</v>
      </c>
      <c r="J9979" s="297">
        <f t="shared" si="1632"/>
        <v>226</v>
      </c>
      <c r="K9979" s="297">
        <f>J9979/POBLA!$B$18*100000</f>
        <v>28.92922197033603</v>
      </c>
      <c r="L9979" s="549">
        <f t="shared" si="1630"/>
        <v>-0.18768768768768762</v>
      </c>
      <c r="M9979" s="401">
        <f>SUM(C9979,C9955,C9931,C9907,C9883,C9859,C9835)/POBLA!$B$18*100000</f>
        <v>202.50455379235217</v>
      </c>
    </row>
    <row r="9980" spans="1:13" s="360" customFormat="1" x14ac:dyDescent="0.25">
      <c r="A9980" s="367" t="s">
        <v>36</v>
      </c>
      <c r="B9980" s="2">
        <v>44308</v>
      </c>
      <c r="C9980" s="42">
        <v>783</v>
      </c>
      <c r="D9980" s="39">
        <f t="shared" si="1633"/>
        <v>32671</v>
      </c>
      <c r="E9980" s="1">
        <v>3</v>
      </c>
      <c r="F9980" s="39">
        <f t="shared" si="1628"/>
        <v>460</v>
      </c>
      <c r="G9980" s="168">
        <f>SUM(C9980,C9956,C9932,C9908,C9884,C9860,C9836,C9812,C9788,C9764,C9740,C9716,C9692,C9668)/POBLA!$B$19*100000</f>
        <v>1477.7859964432414</v>
      </c>
      <c r="H9980" s="256">
        <f t="shared" si="1629"/>
        <v>2.1377347751849745</v>
      </c>
      <c r="I9980" s="297">
        <f t="shared" si="1631"/>
        <v>3159.1145148780961</v>
      </c>
      <c r="J9980" s="297">
        <f t="shared" si="1632"/>
        <v>617.42857142857144</v>
      </c>
      <c r="K9980" s="297">
        <f>J9980/POBLA!$B$19*100000</f>
        <v>121.46263267586508</v>
      </c>
      <c r="L9980" s="549">
        <f t="shared" si="1630"/>
        <v>-0.35485893416927894</v>
      </c>
      <c r="M9980" s="401">
        <f>SUM(C9980,C9956,C9932,C9908,C9884,C9860,C9836)/POBLA!$B$19*100000</f>
        <v>850.23842873105559</v>
      </c>
    </row>
    <row r="9981" spans="1:13" s="360" customFormat="1" x14ac:dyDescent="0.25">
      <c r="A9981" s="367" t="s">
        <v>37</v>
      </c>
      <c r="B9981" s="2">
        <v>44308</v>
      </c>
      <c r="C9981" s="42">
        <v>197</v>
      </c>
      <c r="D9981" s="39">
        <f t="shared" si="1633"/>
        <v>43120</v>
      </c>
      <c r="E9981" s="1">
        <v>3</v>
      </c>
      <c r="F9981" s="39">
        <f t="shared" si="1628"/>
        <v>689</v>
      </c>
      <c r="G9981" s="168">
        <f>SUM(C9981,C9957,C9933,C9909,C9885,C9861,C9837,C9813,C9789,C9765,C9741,C9717,C9693,C9669)/POBLA!$B$20*100000</f>
        <v>715.07090550126065</v>
      </c>
      <c r="H9981" s="256">
        <f t="shared" si="1629"/>
        <v>1.3770405476566614</v>
      </c>
      <c r="I9981" s="297">
        <f t="shared" si="1631"/>
        <v>984.68163132480072</v>
      </c>
      <c r="J9981" s="297">
        <f t="shared" si="1632"/>
        <v>190.85714285714286</v>
      </c>
      <c r="K9981" s="297">
        <f>J9981/POBLA!$B$20*100000</f>
        <v>52.189824078103477</v>
      </c>
      <c r="L9981" s="549">
        <f t="shared" si="1630"/>
        <v>-4.4566067240031204E-2</v>
      </c>
      <c r="M9981" s="401">
        <f>SUM(C9981,C9957,C9933,C9909,C9885,C9861,C9837)/POBLA!$B$20*100000</f>
        <v>365.32876854672435</v>
      </c>
    </row>
    <row r="9982" spans="1:13" s="360" customFormat="1" x14ac:dyDescent="0.25">
      <c r="A9982" s="367" t="s">
        <v>22</v>
      </c>
      <c r="B9982" s="2">
        <v>44308</v>
      </c>
      <c r="C9982" s="42">
        <v>2059</v>
      </c>
      <c r="D9982" s="39">
        <f t="shared" si="1633"/>
        <v>260274</v>
      </c>
      <c r="E9982" s="1">
        <v>37</v>
      </c>
      <c r="F9982" s="39">
        <f t="shared" si="1628"/>
        <v>4498</v>
      </c>
      <c r="G9982" s="168">
        <f>SUM(C9982,C9958,C9934,C9910,C9886,C9862,C9838,C9814,C9790,C9766,C9742,C9718,C9694,C9670)/POBLA!$B$21*100000</f>
        <v>612.93659290276207</v>
      </c>
      <c r="H9982" s="256">
        <f t="shared" si="1629"/>
        <v>1.9682193770997911</v>
      </c>
      <c r="I9982" s="297">
        <f t="shared" si="1631"/>
        <v>1206.3936790847426</v>
      </c>
      <c r="J9982" s="297">
        <f t="shared" si="1632"/>
        <v>1660.1428571428571</v>
      </c>
      <c r="K9982" s="297">
        <f>J9982/POBLA!$B$21*100000</f>
        <v>46.944192036768762</v>
      </c>
      <c r="L9982" s="549">
        <f t="shared" si="1630"/>
        <v>-0.15574341123818991</v>
      </c>
      <c r="M9982" s="401">
        <f>SUM(C9982,C9958,C9934,C9910,C9886,C9862,C9838)/POBLA!$B$21*100000</f>
        <v>328.60934425738134</v>
      </c>
    </row>
    <row r="9983" spans="1:13" s="360" customFormat="1" x14ac:dyDescent="0.25">
      <c r="A9983" s="367" t="s">
        <v>38</v>
      </c>
      <c r="B9983" s="2">
        <v>44308</v>
      </c>
      <c r="C9983" s="42">
        <v>297</v>
      </c>
      <c r="D9983" s="39">
        <f t="shared" si="1633"/>
        <v>29084</v>
      </c>
      <c r="E9983" s="1">
        <v>1</v>
      </c>
      <c r="F9983" s="39">
        <f t="shared" si="1628"/>
        <v>328</v>
      </c>
      <c r="G9983" s="168">
        <f>SUM(C9983,C9959,C9935,C9911,C9887,C9863,C9839,C9815,C9791,C9767,C9743,C9719,C9695,C9671)/POBLA!$B$22*100000</f>
        <v>294.07766226146441</v>
      </c>
      <c r="H9983" s="256">
        <f t="shared" si="1629"/>
        <v>1.6543990799309949</v>
      </c>
      <c r="I9983" s="297">
        <f t="shared" si="1631"/>
        <v>486.52181387362458</v>
      </c>
      <c r="J9983" s="297">
        <f t="shared" si="1632"/>
        <v>225.28571428571428</v>
      </c>
      <c r="K9983" s="297">
        <f>J9983/POBLA!$B$22*100000</f>
        <v>23.027979213780689</v>
      </c>
      <c r="L9983" s="549">
        <f t="shared" si="1630"/>
        <v>-0.21307692307692316</v>
      </c>
      <c r="M9983" s="401">
        <f>SUM(C9983,C9959,C9935,C9911,C9887,C9863,C9839)/POBLA!$B$22*100000</f>
        <v>161.19585449646485</v>
      </c>
    </row>
    <row r="9984" spans="1:13" s="360" customFormat="1" x14ac:dyDescent="0.25">
      <c r="A9984" s="367" t="s">
        <v>39</v>
      </c>
      <c r="B9984" s="2">
        <v>44308</v>
      </c>
      <c r="C9984" s="42">
        <v>136</v>
      </c>
      <c r="D9984" s="39">
        <f t="shared" si="1633"/>
        <v>25795</v>
      </c>
      <c r="E9984" s="1">
        <v>6</v>
      </c>
      <c r="F9984" s="39">
        <f t="shared" si="1628"/>
        <v>381</v>
      </c>
      <c r="G9984" s="168">
        <f>SUM(C9984,C9960,C9936,C9912,C9888,C9864,C9840,C9816,C9792,C9768,C9744,C9720,C9696,C9672)/POBLA!$B$23*100000</f>
        <v>702.36950743652096</v>
      </c>
      <c r="H9984" s="256">
        <f t="shared" si="1629"/>
        <v>1.5841836734693877</v>
      </c>
      <c r="I9984" s="297">
        <f t="shared" si="1631"/>
        <v>1112.6823064236721</v>
      </c>
      <c r="J9984" s="297">
        <f t="shared" si="1632"/>
        <v>80.714285714285708</v>
      </c>
      <c r="K9984" s="297">
        <f>J9984/POBLA!$B$23*100000</f>
        <v>45.645131320638868</v>
      </c>
      <c r="L9984" s="549">
        <f t="shared" si="1630"/>
        <v>0.16543574593796162</v>
      </c>
      <c r="M9984" s="401">
        <f>SUM(C9984,C9960,C9936,C9912,C9888,C9864,C9840)/POBLA!$B$23*100000</f>
        <v>319.51591924447212</v>
      </c>
    </row>
    <row r="9985" spans="1:13" s="360" customFormat="1" ht="15.75" thickBot="1" x14ac:dyDescent="0.3">
      <c r="A9985" s="369" t="s">
        <v>40</v>
      </c>
      <c r="B9985" s="2">
        <v>44308</v>
      </c>
      <c r="C9985" s="42">
        <v>915</v>
      </c>
      <c r="D9985" s="176">
        <f t="shared" si="1633"/>
        <v>100959</v>
      </c>
      <c r="E9985" s="1"/>
      <c r="F9985" s="176">
        <f t="shared" si="1628"/>
        <v>1591</v>
      </c>
      <c r="G9985" s="177">
        <f>SUM(C9985,C9961,C9937,C9913,C9889,C9865,C9841,C9817,C9793,C9769,C9745,C9721,C9697,C9673)/POBLA!$B$24*100000</f>
        <v>543.94520185807619</v>
      </c>
      <c r="H9985" s="402">
        <f t="shared" si="1629"/>
        <v>1.4114224467922216</v>
      </c>
      <c r="I9985" s="403">
        <f t="shared" si="1631"/>
        <v>767.73646772741483</v>
      </c>
      <c r="J9985" s="403">
        <f t="shared" si="1632"/>
        <v>687</v>
      </c>
      <c r="K9985" s="403">
        <f>J9985/POBLA!$B$24*100000</f>
        <v>40.539200876166021</v>
      </c>
      <c r="L9985" s="550">
        <f t="shared" si="1630"/>
        <v>-9.0723520072578889E-2</v>
      </c>
      <c r="M9985" s="405">
        <f>SUM(C9985,C9961,C9937,C9913,C9889,C9865,C9841)/POBLA!$B$24*100000</f>
        <v>283.77440613316213</v>
      </c>
    </row>
    <row r="9986" spans="1:13" s="360" customFormat="1" x14ac:dyDescent="0.25">
      <c r="A9986" s="374" t="s">
        <v>16</v>
      </c>
      <c r="B9986" s="2">
        <v>44309</v>
      </c>
      <c r="C9986" s="42">
        <v>14233</v>
      </c>
      <c r="D9986" s="262">
        <f t="shared" si="1633"/>
        <v>1227903</v>
      </c>
      <c r="E9986" s="1">
        <v>393</v>
      </c>
      <c r="F9986" s="262">
        <f t="shared" ref="F9986:F10009" si="1634">E9986+F9962</f>
        <v>31368</v>
      </c>
      <c r="G9986" s="175">
        <f>SUM(C9986,C9962,C9938,C9914,C9890,C9866,C9842,C9818,C9794,C9770,C9746,C9722,C9698,C9674)/POBLA!$B$1*100000</f>
        <v>943.33088138337189</v>
      </c>
      <c r="H9986" s="300">
        <f t="shared" ref="H9986:H10009" si="1635">SUM(C9986,C9962,C9938,C9914,C9890,C9866,C9842,C9818,C9794,C9770,C9746,C9722,C9698,C9674)/SUM(C9650,C9626,C9602,C9578,C9554,C9530,C9506,C9482,C9458,C9434,C9410,C9386,C9362,C9338)</f>
        <v>1.6079820418634483</v>
      </c>
      <c r="I9986" s="301">
        <f>G9986*H9986</f>
        <v>1516.8591167996806</v>
      </c>
      <c r="J9986" s="301">
        <f>AVERAGE(C9986,C9962,C9938,C9914,C9890,C9866,C9842)</f>
        <v>11798.428571428571</v>
      </c>
      <c r="K9986" s="301">
        <f>J9986/POBLA!$B$1*100000</f>
        <v>67.261465895682448</v>
      </c>
      <c r="L9986" s="548">
        <f t="shared" ref="L9986:L10009" si="1636">1-SUM(C9986,C9962,C9938,C9914,C9890,C9866,C9842)/SUM(C9818,C9794,C9770,C9746,C9722,C9698,C9674)</f>
        <v>3.535146352645957E-3</v>
      </c>
      <c r="M9986" s="400">
        <f>SUM(C9986,C9962,C9938,C9914,C9890,C9866,C9842)/POBLA!$B$1*100000</f>
        <v>470.83026126977711</v>
      </c>
    </row>
    <row r="9987" spans="1:13" s="360" customFormat="1" x14ac:dyDescent="0.25">
      <c r="A9987" s="367" t="s">
        <v>43</v>
      </c>
      <c r="B9987" s="2">
        <v>44309</v>
      </c>
      <c r="C9987" s="42">
        <v>2929</v>
      </c>
      <c r="D9987" s="39">
        <f t="shared" si="1633"/>
        <v>322223</v>
      </c>
      <c r="E9987" s="1">
        <v>40</v>
      </c>
      <c r="F9987" s="39">
        <f t="shared" si="1634"/>
        <v>7422</v>
      </c>
      <c r="G9987" s="168">
        <f>SUM(C9987,C9963,C9939,C9915,C9891,C9867,C9843,C9819,C9795,C9771,C9747,C9723,C9699,C9675)/POBLA!$B$2*100000</f>
        <v>1353.5042719480721</v>
      </c>
      <c r="H9987" s="256">
        <f t="shared" si="1635"/>
        <v>1.5644706678191589</v>
      </c>
      <c r="I9987" s="297">
        <f t="shared" ref="I9987:I10009" si="1637">G9987*H9987</f>
        <v>2117.5177322306849</v>
      </c>
      <c r="J9987" s="297">
        <f t="shared" ref="J9987:J10009" si="1638">AVERAGE(C9987,C9963,C9939,C9915,C9891,C9867,C9843)</f>
        <v>3048.7142857142858</v>
      </c>
      <c r="K9987" s="297">
        <f>J9987/POBLA!$B$2*100000</f>
        <v>99.124355849609671</v>
      </c>
      <c r="L9987" s="549">
        <f t="shared" si="1636"/>
        <v>-5.1902602523659302E-2</v>
      </c>
      <c r="M9987" s="401">
        <f>SUM(C9987,C9963,C9939,C9915,C9891,C9867,C9843)/POBLA!$B$2*100000</f>
        <v>693.87049094726763</v>
      </c>
    </row>
    <row r="9988" spans="1:13" s="360" customFormat="1" x14ac:dyDescent="0.25">
      <c r="A9988" s="367" t="s">
        <v>28</v>
      </c>
      <c r="B9988" s="2">
        <v>44309</v>
      </c>
      <c r="C9988" s="42">
        <v>201</v>
      </c>
      <c r="D9988" s="39">
        <f t="shared" si="1633"/>
        <v>13729</v>
      </c>
      <c r="E9988" s="1"/>
      <c r="F9988" s="39">
        <f t="shared" si="1634"/>
        <v>19</v>
      </c>
      <c r="G9988" s="168">
        <f>SUM(C9988,C9964,C9940,C9916,C9892,C9868,C9844,C9820,C9796,C9772,C9748,C9724,C9700,C9676)/POBLA!$B$3*100000</f>
        <v>557.00248893938453</v>
      </c>
      <c r="H9988" s="256">
        <f t="shared" si="1635"/>
        <v>1.7530303030303029</v>
      </c>
      <c r="I9988" s="297">
        <f t="shared" si="1637"/>
        <v>976.44224197404219</v>
      </c>
      <c r="J9988" s="297">
        <f t="shared" si="1638"/>
        <v>176.71428571428572</v>
      </c>
      <c r="K9988" s="297">
        <f>J9988/POBLA!$B$3*100000</f>
        <v>42.536861267935457</v>
      </c>
      <c r="L9988" s="549">
        <f t="shared" si="1636"/>
        <v>-0.14856081708449387</v>
      </c>
      <c r="M9988" s="401">
        <f>SUM(C9988,C9964,C9940,C9916,C9892,C9868,C9844)/POBLA!$B$3*100000</f>
        <v>297.75802887554823</v>
      </c>
    </row>
    <row r="9989" spans="1:13" s="360" customFormat="1" x14ac:dyDescent="0.25">
      <c r="A9989" s="367" t="s">
        <v>15</v>
      </c>
      <c r="B9989" s="2">
        <v>44309</v>
      </c>
      <c r="C9989" s="42">
        <v>251</v>
      </c>
      <c r="D9989" s="39">
        <f t="shared" si="1633"/>
        <v>43202</v>
      </c>
      <c r="E9989" s="1">
        <v>6</v>
      </c>
      <c r="F9989" s="39">
        <f t="shared" si="1634"/>
        <v>1013</v>
      </c>
      <c r="G9989" s="168">
        <f>SUM(C9989,C9965,C9941,C9917,C9893,C9869,C9845,C9821,C9797,C9773,C9749,C9725,C9701,C9677)/POBLA!$B$4*100000</f>
        <v>265.16324475464097</v>
      </c>
      <c r="H9989" s="256">
        <f t="shared" si="1635"/>
        <v>1.3597275436355896</v>
      </c>
      <c r="I9989" s="297">
        <f t="shared" si="1637"/>
        <v>360.54976745267061</v>
      </c>
      <c r="J9989" s="297">
        <f t="shared" si="1638"/>
        <v>209.71428571428572</v>
      </c>
      <c r="K9989" s="297">
        <f>J9989/POBLA!$B$4*100000</f>
        <v>17.410306972887245</v>
      </c>
      <c r="L9989" s="549">
        <f t="shared" si="1636"/>
        <v>0.14947856315179608</v>
      </c>
      <c r="M9989" s="401">
        <f>SUM(C9989,C9965,C9941,C9917,C9893,C9869,C9845)/POBLA!$B$4*100000</f>
        <v>121.8721488102107</v>
      </c>
    </row>
    <row r="9990" spans="1:13" s="360" customFormat="1" x14ac:dyDescent="0.25">
      <c r="A9990" s="367" t="s">
        <v>29</v>
      </c>
      <c r="B9990" s="2">
        <v>44309</v>
      </c>
      <c r="C9990" s="42">
        <v>295</v>
      </c>
      <c r="D9990" s="39">
        <f t="shared" si="1633"/>
        <v>53759</v>
      </c>
      <c r="E9990" s="1"/>
      <c r="F9990" s="39">
        <f t="shared" si="1634"/>
        <v>900</v>
      </c>
      <c r="G9990" s="168">
        <f>SUM(C9990,C9966,C9942,C9918,C9894,C9870,C9846,C9822,C9798,C9774,C9750,C9726,C9702,C9678)/POBLA!$B$5*100000</f>
        <v>412.44341625282311</v>
      </c>
      <c r="H9990" s="256">
        <f t="shared" si="1635"/>
        <v>1.415973377703827</v>
      </c>
      <c r="I9990" s="297">
        <f t="shared" si="1637"/>
        <v>584.0088972232154</v>
      </c>
      <c r="J9990" s="297">
        <f t="shared" si="1638"/>
        <v>187.71428571428572</v>
      </c>
      <c r="K9990" s="297">
        <f>J9990/POBLA!$B$5*100000</f>
        <v>30.325703595557584</v>
      </c>
      <c r="L9990" s="549">
        <f t="shared" si="1636"/>
        <v>-6.0532687651331685E-2</v>
      </c>
      <c r="M9990" s="401">
        <f>SUM(C9990,C9966,C9942,C9918,C9894,C9870,C9846)/POBLA!$B$5*100000</f>
        <v>212.27992516890311</v>
      </c>
    </row>
    <row r="9991" spans="1:13" s="360" customFormat="1" x14ac:dyDescent="0.25">
      <c r="A9991" s="367" t="s">
        <v>30</v>
      </c>
      <c r="B9991" s="2">
        <v>44309</v>
      </c>
      <c r="C9991" s="42">
        <v>372</v>
      </c>
      <c r="D9991" s="39">
        <f t="shared" si="1633"/>
        <v>36057</v>
      </c>
      <c r="E9991" s="1">
        <v>12</v>
      </c>
      <c r="F9991" s="39">
        <f t="shared" si="1634"/>
        <v>448</v>
      </c>
      <c r="G9991" s="168">
        <f>SUM(C9991,C9967,C9943,C9919,C9895,C9871,C9847,C9823,C9799,C9775,C9751,C9727,C9703,C9679)/POBLA!$B$6*100000</f>
        <v>292.91551310179057</v>
      </c>
      <c r="H9991" s="256">
        <f t="shared" si="1635"/>
        <v>0.67260807211636964</v>
      </c>
      <c r="I9991" s="297">
        <f t="shared" si="1637"/>
        <v>197.01733856037256</v>
      </c>
      <c r="J9991" s="297">
        <f t="shared" si="1638"/>
        <v>256.28571428571428</v>
      </c>
      <c r="K9991" s="297">
        <f>J9991/POBLA!$B$6*100000</f>
        <v>22.866299573761466</v>
      </c>
      <c r="L9991" s="549">
        <f t="shared" si="1636"/>
        <v>-0.20483546004029551</v>
      </c>
      <c r="M9991" s="401">
        <f>SUM(C9991,C9967,C9943,C9919,C9895,C9871,C9847)/POBLA!$B$6*100000</f>
        <v>160.06409701633029</v>
      </c>
    </row>
    <row r="9992" spans="1:13" s="360" customFormat="1" x14ac:dyDescent="0.25">
      <c r="A9992" s="367" t="s">
        <v>20</v>
      </c>
      <c r="B9992" s="2">
        <v>44309</v>
      </c>
      <c r="C9992" s="42">
        <v>1850</v>
      </c>
      <c r="D9992" s="39">
        <f t="shared" si="1633"/>
        <v>216436</v>
      </c>
      <c r="E9992" s="1">
        <v>24</v>
      </c>
      <c r="F9992" s="39">
        <f t="shared" si="1634"/>
        <v>3272</v>
      </c>
      <c r="G9992" s="168">
        <f>SUM(C9992,C9968,C9944,C9920,C9896,C9872,C9848,C9824,C9800,C9776,C9752,C9728,C9704,C9680)/POBLA!$B$7*100000</f>
        <v>625.35068941217139</v>
      </c>
      <c r="H9992" s="256">
        <f t="shared" si="1635"/>
        <v>1.408565438754118</v>
      </c>
      <c r="I9992" s="297">
        <f t="shared" si="1637"/>
        <v>880.84736820704541</v>
      </c>
      <c r="J9992" s="297">
        <f t="shared" si="1638"/>
        <v>1694.7142857142858</v>
      </c>
      <c r="K9992" s="297">
        <f>J9992/POBLA!$B$7*100000</f>
        <v>45.066794817489551</v>
      </c>
      <c r="L9992" s="549">
        <f t="shared" si="1636"/>
        <v>-1.8021110443662502E-2</v>
      </c>
      <c r="M9992" s="401">
        <f>SUM(C9992,C9968,C9944,C9920,C9896,C9872,C9848)/POBLA!$B$7*100000</f>
        <v>315.4675637224268</v>
      </c>
    </row>
    <row r="9993" spans="1:13" x14ac:dyDescent="0.25">
      <c r="A9993" s="367" t="s">
        <v>31</v>
      </c>
      <c r="B9993" s="2">
        <v>44309</v>
      </c>
      <c r="C9993" s="42">
        <v>671</v>
      </c>
      <c r="D9993" s="39">
        <f t="shared" si="1633"/>
        <v>59173</v>
      </c>
      <c r="E9993" s="1">
        <v>2</v>
      </c>
      <c r="F9993" s="39">
        <f t="shared" si="1634"/>
        <v>1030</v>
      </c>
      <c r="G9993" s="168">
        <f>SUM(C9993,C9969,C9945,C9921,C9897,C9873,C9849,C9825,C9801,C9777,C9753,C9729,C9705,C9681)/POBLA!$B$8*100000</f>
        <v>487.09884332964634</v>
      </c>
      <c r="H9993" s="256">
        <f t="shared" si="1635"/>
        <v>1.9545454545454546</v>
      </c>
      <c r="I9993" s="297">
        <f t="shared" si="1637"/>
        <v>952.05683014430883</v>
      </c>
      <c r="J9993" s="297">
        <f t="shared" si="1638"/>
        <v>496.57142857142856</v>
      </c>
      <c r="K9993" s="297">
        <f>J9993/POBLA!$B$8*100000</f>
        <v>35.828672565204108</v>
      </c>
      <c r="L9993" s="549">
        <f t="shared" si="1636"/>
        <v>-6.1374045801526611E-2</v>
      </c>
      <c r="M9993" s="401">
        <f>SUM(C9993,C9969,C9945,C9921,C9897,C9873,C9849)/POBLA!$B$8*100000</f>
        <v>250.80070795642879</v>
      </c>
    </row>
    <row r="9994" spans="1:13" s="360" customFormat="1" x14ac:dyDescent="0.25">
      <c r="A9994" s="367" t="s">
        <v>41</v>
      </c>
      <c r="B9994" s="2">
        <v>44309</v>
      </c>
      <c r="C9994" s="42">
        <v>112</v>
      </c>
      <c r="D9994" s="39">
        <f t="shared" si="1633"/>
        <v>3973</v>
      </c>
      <c r="E9994" s="1">
        <v>6</v>
      </c>
      <c r="F9994" s="39">
        <f t="shared" si="1634"/>
        <v>69</v>
      </c>
      <c r="G9994" s="168">
        <f>SUM(C9994,C9970,C9946,C9922,C9898,C9874,C9850,C9826,C9802,C9778,C9754,C9730,C9706,C9682)/POBLA!$B$9*100000</f>
        <v>220.09507710763344</v>
      </c>
      <c r="H9994" s="256">
        <f t="shared" si="1635"/>
        <v>1.834710743801653</v>
      </c>
      <c r="I9994" s="297">
        <f t="shared" si="1637"/>
        <v>403.81080262722833</v>
      </c>
      <c r="J9994" s="297">
        <f t="shared" si="1638"/>
        <v>80.142857142857139</v>
      </c>
      <c r="K9994" s="297">
        <f>J9994/POBLA!$B$9*100000</f>
        <v>13.242528770633028</v>
      </c>
      <c r="L9994" s="549">
        <f t="shared" si="1636"/>
        <v>0.27237354085603116</v>
      </c>
      <c r="M9994" s="401">
        <f>SUM(C9994,C9970,C9946,C9922,C9898,C9874,C9850)/POBLA!$B$9*100000</f>
        <v>92.697701394431206</v>
      </c>
    </row>
    <row r="9995" spans="1:13" s="360" customFormat="1" x14ac:dyDescent="0.25">
      <c r="A9995" s="367" t="s">
        <v>32</v>
      </c>
      <c r="B9995" s="2">
        <v>44309</v>
      </c>
      <c r="C9995" s="42">
        <v>74</v>
      </c>
      <c r="D9995" s="39">
        <f t="shared" si="1633"/>
        <v>24172</v>
      </c>
      <c r="E9995" s="1"/>
      <c r="F9995" s="39">
        <f t="shared" si="1634"/>
        <v>1014</v>
      </c>
      <c r="G9995" s="168">
        <f>SUM(C9995,C9971,C9947,C9923,C9899,C9875,C9851,C9827,C9803,C9779,C9755,C9731,C9707,C9683)/POBLA!$B$10*100000</f>
        <v>159.29825744829617</v>
      </c>
      <c r="H9995" s="256">
        <f t="shared" si="1635"/>
        <v>1.6684782608695652</v>
      </c>
      <c r="I9995" s="297">
        <f t="shared" si="1637"/>
        <v>265.78567954688543</v>
      </c>
      <c r="J9995" s="297">
        <f t="shared" si="1638"/>
        <v>100</v>
      </c>
      <c r="K9995" s="297">
        <f>J9995/POBLA!$B$10*100000</f>
        <v>12.972170801978514</v>
      </c>
      <c r="L9995" s="549">
        <f t="shared" si="1636"/>
        <v>-0.32575757575757569</v>
      </c>
      <c r="M9995" s="401">
        <f>SUM(C9995,C9971,C9947,C9923,C9899,C9875,C9851)/POBLA!$B$10*100000</f>
        <v>90.805195613849605</v>
      </c>
    </row>
    <row r="9996" spans="1:13" s="360" customFormat="1" x14ac:dyDescent="0.25">
      <c r="A9996" s="367" t="s">
        <v>33</v>
      </c>
      <c r="B9996" s="2">
        <v>44309</v>
      </c>
      <c r="C9996" s="42">
        <v>181</v>
      </c>
      <c r="D9996" s="39">
        <f t="shared" si="1633"/>
        <v>25365</v>
      </c>
      <c r="E9996" s="1"/>
      <c r="F9996" s="39">
        <f t="shared" si="1634"/>
        <v>347</v>
      </c>
      <c r="G9996" s="168">
        <f>SUM(C9996,C9972,C9948,C9924,C9900,C9876,C9852,C9828,C9804,C9780,C9756,C9732,C9708,C9684)/POBLA!$B$11*100000</f>
        <v>807.69359536643333</v>
      </c>
      <c r="H9996" s="256">
        <f t="shared" si="1635"/>
        <v>1.8486590038314177</v>
      </c>
      <c r="I9996" s="297">
        <f t="shared" si="1637"/>
        <v>1493.1500374111267</v>
      </c>
      <c r="J9996" s="297">
        <f t="shared" si="1638"/>
        <v>233.14285714285714</v>
      </c>
      <c r="K9996" s="297">
        <f>J9996/POBLA!$B$11*100000</f>
        <v>65.045938694202789</v>
      </c>
      <c r="L9996" s="549">
        <f t="shared" si="1636"/>
        <v>-0.29216152019002384</v>
      </c>
      <c r="M9996" s="401">
        <f>SUM(C9996,C9972,C9948,C9924,C9900,C9876,C9852)/POBLA!$B$11*100000</f>
        <v>455.32157085941947</v>
      </c>
    </row>
    <row r="9997" spans="1:13" s="360" customFormat="1" x14ac:dyDescent="0.25">
      <c r="A9997" s="367" t="s">
        <v>21</v>
      </c>
      <c r="B9997" s="2">
        <v>44309</v>
      </c>
      <c r="C9997" s="42">
        <v>64</v>
      </c>
      <c r="D9997" s="39">
        <f t="shared" si="1633"/>
        <v>12905</v>
      </c>
      <c r="E9997" s="1">
        <v>6</v>
      </c>
      <c r="F9997" s="39">
        <f t="shared" si="1634"/>
        <v>465</v>
      </c>
      <c r="G9997" s="168">
        <f>SUM(C9997,C9973,C9949,C9925,C9901,C9877,C9853,C9829,C9805,C9781,C9757,C9733,C9709,C9685)/POBLA!$B$12*100000</f>
        <v>287.39794323700039</v>
      </c>
      <c r="H9997" s="256">
        <f t="shared" si="1635"/>
        <v>1.1917808219178083</v>
      </c>
      <c r="I9997" s="297">
        <f t="shared" si="1637"/>
        <v>342.51535700847995</v>
      </c>
      <c r="J9997" s="297">
        <f t="shared" si="1638"/>
        <v>73.142857142857139</v>
      </c>
      <c r="K9997" s="297">
        <f>J9997/POBLA!$B$12*100000</f>
        <v>18.586301242559578</v>
      </c>
      <c r="L9997" s="549">
        <f t="shared" si="1636"/>
        <v>0.17285945072697895</v>
      </c>
      <c r="M9997" s="401">
        <f>SUM(C9997,C9973,C9949,C9925,C9901,C9877,C9853)/POBLA!$B$12*100000</f>
        <v>130.10410869791707</v>
      </c>
    </row>
    <row r="9998" spans="1:13" s="360" customFormat="1" x14ac:dyDescent="0.25">
      <c r="A9998" s="367" t="s">
        <v>17</v>
      </c>
      <c r="B9998" s="2">
        <v>44309</v>
      </c>
      <c r="C9998" s="42">
        <v>1106</v>
      </c>
      <c r="D9998" s="39">
        <f t="shared" si="1633"/>
        <v>91114</v>
      </c>
      <c r="E9998" s="1">
        <v>19</v>
      </c>
      <c r="F9998" s="39">
        <f t="shared" si="1634"/>
        <v>1706</v>
      </c>
      <c r="G9998" s="168">
        <f>SUM(C9998,C9974,C9950,C9926,C9902,C9878,C9854,C9830,C9806,C9782,C9758,C9734,C9710,C9686)/POBLA!$B$13*100000</f>
        <v>616.37772076903525</v>
      </c>
      <c r="H9998" s="256">
        <f t="shared" si="1635"/>
        <v>1.6741266375545851</v>
      </c>
      <c r="I9998" s="297">
        <f t="shared" si="1637"/>
        <v>1031.894361134624</v>
      </c>
      <c r="J9998" s="297">
        <f t="shared" si="1638"/>
        <v>900</v>
      </c>
      <c r="K9998" s="297">
        <f>J9998/POBLA!$B$13*100000</f>
        <v>45.218450333561435</v>
      </c>
      <c r="L9998" s="549">
        <f t="shared" si="1636"/>
        <v>-5.5630026809651456E-2</v>
      </c>
      <c r="M9998" s="401">
        <f>SUM(C9998,C9974,C9950,C9926,C9902,C9878,C9854)/POBLA!$B$13*100000</f>
        <v>316.52915233493002</v>
      </c>
    </row>
    <row r="9999" spans="1:13" s="360" customFormat="1" x14ac:dyDescent="0.25">
      <c r="A9999" s="367" t="s">
        <v>23</v>
      </c>
      <c r="B9999" s="2">
        <v>44309</v>
      </c>
      <c r="C9999" s="42">
        <v>110</v>
      </c>
      <c r="D9999" s="39">
        <f t="shared" si="1633"/>
        <v>14838</v>
      </c>
      <c r="E9999" s="1">
        <v>1</v>
      </c>
      <c r="F9999" s="39">
        <f t="shared" si="1634"/>
        <v>237</v>
      </c>
      <c r="G9999" s="168">
        <f>SUM(C9999,C9975,C9951,C9927,C9903,C9879,C9855,C9831,C9807,C9783,C9759,C9735,C9711,C9687)/POBLA!$B$14*100000</f>
        <v>142.71058135533826</v>
      </c>
      <c r="H9999" s="256">
        <f t="shared" si="1635"/>
        <v>1.1242973141786383</v>
      </c>
      <c r="I9999" s="297">
        <f t="shared" si="1637"/>
        <v>160.44912332267887</v>
      </c>
      <c r="J9999" s="297">
        <f t="shared" si="1638"/>
        <v>110.28571428571429</v>
      </c>
      <c r="K9999" s="297">
        <f>J9999/POBLA!$B$14*100000</f>
        <v>8.7438546671683444</v>
      </c>
      <c r="L9999" s="549">
        <f t="shared" si="1636"/>
        <v>0.24902723735408561</v>
      </c>
      <c r="M9999" s="401">
        <f>SUM(C9999,C9975,C9951,C9927,C9903,C9879,C9855)/POBLA!$B$14*100000</f>
        <v>61.206982670178412</v>
      </c>
    </row>
    <row r="10000" spans="1:13" s="360" customFormat="1" x14ac:dyDescent="0.25">
      <c r="A10000" s="367" t="s">
        <v>19</v>
      </c>
      <c r="B10000" s="2">
        <v>44309</v>
      </c>
      <c r="C10000" s="42">
        <v>331</v>
      </c>
      <c r="D10000" s="39">
        <f t="shared" si="1633"/>
        <v>68994</v>
      </c>
      <c r="E10000" s="1">
        <v>7</v>
      </c>
      <c r="F10000" s="39">
        <f t="shared" si="1634"/>
        <v>1053</v>
      </c>
      <c r="G10000" s="168">
        <f>SUM(C10000,C9976,C9952,C9928,C9904,C9880,C9856,C9832,C9808,C9784,C9760,C9736,C9712,C9688)/POBLA!$B$15*100000</f>
        <v>398.45977077268975</v>
      </c>
      <c r="H10000" s="256">
        <f t="shared" si="1635"/>
        <v>1.6036363636363635</v>
      </c>
      <c r="I10000" s="297">
        <f t="shared" si="1637"/>
        <v>638.98457785729511</v>
      </c>
      <c r="J10000" s="297">
        <f t="shared" si="1638"/>
        <v>201.57142857142858</v>
      </c>
      <c r="K10000" s="297">
        <f>J10000/POBLA!$B$15*100000</f>
        <v>30.35453712127552</v>
      </c>
      <c r="L10000" s="549">
        <f t="shared" si="1636"/>
        <v>-0.14251012145748998</v>
      </c>
      <c r="M10000" s="401">
        <f>SUM(C10000,C9976,C9952,C9928,C9904,C9880,C9856)/POBLA!$B$15*100000</f>
        <v>212.48175984892862</v>
      </c>
    </row>
    <row r="10001" spans="1:13" s="360" customFormat="1" x14ac:dyDescent="0.25">
      <c r="A10001" s="367" t="s">
        <v>18</v>
      </c>
      <c r="B10001" s="2">
        <v>44309</v>
      </c>
      <c r="C10001" s="42">
        <v>299</v>
      </c>
      <c r="D10001" s="39">
        <f t="shared" si="1633"/>
        <v>59501</v>
      </c>
      <c r="E10001" s="1">
        <v>4</v>
      </c>
      <c r="F10001" s="39">
        <f t="shared" si="1634"/>
        <v>1334</v>
      </c>
      <c r="G10001" s="168">
        <f>SUM(C10001,C9977,C9953,C9929,C9905,C9881,C9857,C9833,C9809,C9785,C9761,C9737,C9713,C9689)/POBLA!$B$16*100000</f>
        <v>388.83910060058048</v>
      </c>
      <c r="H10001" s="256">
        <f t="shared" si="1635"/>
        <v>1.7252225519287834</v>
      </c>
      <c r="I10001" s="297">
        <f t="shared" si="1637"/>
        <v>670.83398542782641</v>
      </c>
      <c r="J10001" s="297">
        <f t="shared" si="1638"/>
        <v>237</v>
      </c>
      <c r="K10001" s="297">
        <f>J10001/POBLA!$B$16*100000</f>
        <v>31.701020585599441</v>
      </c>
      <c r="L10001" s="549">
        <f t="shared" si="1636"/>
        <v>-0.32932692307692313</v>
      </c>
      <c r="M10001" s="401">
        <f>SUM(C10001,C9977,C9953,C9929,C9905,C9881,C9857)/POBLA!$B$16*100000</f>
        <v>221.90714409919613</v>
      </c>
    </row>
    <row r="10002" spans="1:13" s="360" customFormat="1" x14ac:dyDescent="0.25">
      <c r="A10002" s="367" t="s">
        <v>34</v>
      </c>
      <c r="B10002" s="2">
        <v>44309</v>
      </c>
      <c r="C10002" s="42">
        <v>249</v>
      </c>
      <c r="D10002" s="39">
        <f t="shared" si="1633"/>
        <v>33473</v>
      </c>
      <c r="E10002" s="1">
        <v>8</v>
      </c>
      <c r="F10002" s="39">
        <f t="shared" si="1634"/>
        <v>1274</v>
      </c>
      <c r="G10002" s="168">
        <f>SUM(C10002,C9978,C9954,C9930,C9906,C9882,C9858,C9834,C9810,C9786,C9762,C9738,C9714,C9690)/POBLA!$B$17*100000</f>
        <v>192.29189614973916</v>
      </c>
      <c r="H10002" s="256">
        <f t="shared" si="1635"/>
        <v>1.4325313807531381</v>
      </c>
      <c r="I10002" s="297">
        <f t="shared" si="1637"/>
        <v>275.46417549902486</v>
      </c>
      <c r="J10002" s="297">
        <f t="shared" si="1638"/>
        <v>188.85714285714286</v>
      </c>
      <c r="K10002" s="297">
        <f>J10002/POBLA!$B$17*100000</f>
        <v>13.258743374013203</v>
      </c>
      <c r="L10002" s="549">
        <f t="shared" si="1636"/>
        <v>6.7043048694424789E-2</v>
      </c>
      <c r="M10002" s="401">
        <f>SUM(C10002,C9978,C9954,C9930,C9906,C9882,C9858)/POBLA!$B$17*100000</f>
        <v>92.811203618092435</v>
      </c>
    </row>
    <row r="10003" spans="1:13" s="360" customFormat="1" x14ac:dyDescent="0.25">
      <c r="A10003" s="367" t="s">
        <v>35</v>
      </c>
      <c r="B10003" s="2">
        <v>44309</v>
      </c>
      <c r="C10003" s="42">
        <v>367</v>
      </c>
      <c r="D10003" s="39">
        <f t="shared" si="1633"/>
        <v>21742</v>
      </c>
      <c r="E10003" s="1"/>
      <c r="F10003" s="39">
        <f t="shared" si="1634"/>
        <v>255</v>
      </c>
      <c r="G10003" s="168">
        <f>SUM(C10003,C9979,C9955,C9931,C9907,C9883,C9859,C9835,C9811,C9787,C9763,C9739,C9715,C9691)/POBLA!$B$18*100000</f>
        <v>391.05651822732995</v>
      </c>
      <c r="H10003" s="256">
        <f t="shared" si="1635"/>
        <v>1.5953002610966058</v>
      </c>
      <c r="I10003" s="297">
        <f t="shared" si="1637"/>
        <v>623.85256563158907</v>
      </c>
      <c r="J10003" s="297">
        <f t="shared" si="1638"/>
        <v>245</v>
      </c>
      <c r="K10003" s="297">
        <f>J10003/POBLA!$B$18*100000</f>
        <v>31.361324702355425</v>
      </c>
      <c r="L10003" s="549">
        <f t="shared" si="1636"/>
        <v>-0.2798507462686568</v>
      </c>
      <c r="M10003" s="401">
        <f>SUM(C10003,C9979,C9955,C9931,C9907,C9883,C9859)/POBLA!$B$18*100000</f>
        <v>219.52927291648803</v>
      </c>
    </row>
    <row r="10004" spans="1:13" s="360" customFormat="1" x14ac:dyDescent="0.25">
      <c r="A10004" s="367" t="s">
        <v>36</v>
      </c>
      <c r="B10004" s="2">
        <v>44309</v>
      </c>
      <c r="C10004" s="42">
        <v>720</v>
      </c>
      <c r="D10004" s="39">
        <f t="shared" si="1633"/>
        <v>33391</v>
      </c>
      <c r="E10004" s="1">
        <v>4</v>
      </c>
      <c r="F10004" s="39">
        <f t="shared" si="1634"/>
        <v>464</v>
      </c>
      <c r="G10004" s="168">
        <f>SUM(C10004,C9980,C9956,C9932,C9908,C9884,C9860,C9836,C9812,C9788,C9764,C9740,C9716,C9692)/POBLA!$B$19*100000</f>
        <v>1532.2783714452084</v>
      </c>
      <c r="H10004" s="256">
        <f t="shared" si="1635"/>
        <v>2.2002824858757064</v>
      </c>
      <c r="I10004" s="297">
        <f t="shared" si="1637"/>
        <v>3371.4452641770422</v>
      </c>
      <c r="J10004" s="297">
        <f t="shared" si="1638"/>
        <v>612</v>
      </c>
      <c r="K10004" s="297">
        <f>J10004/POBLA!$B$19*100000</f>
        <v>120.39470578051967</v>
      </c>
      <c r="L10004" s="549">
        <f t="shared" si="1636"/>
        <v>-0.22225392296718982</v>
      </c>
      <c r="M10004" s="401">
        <f>SUM(C10004,C9980,C9956,C9932,C9908,C9884,C9860)/POBLA!$B$19*100000</f>
        <v>842.76294046363773</v>
      </c>
    </row>
    <row r="10005" spans="1:13" s="360" customFormat="1" x14ac:dyDescent="0.25">
      <c r="A10005" s="367" t="s">
        <v>37</v>
      </c>
      <c r="B10005" s="2">
        <v>44309</v>
      </c>
      <c r="C10005" s="42">
        <v>204</v>
      </c>
      <c r="D10005" s="39">
        <f t="shared" si="1633"/>
        <v>43324</v>
      </c>
      <c r="E10005" s="1">
        <v>1</v>
      </c>
      <c r="F10005" s="39">
        <f t="shared" si="1634"/>
        <v>690</v>
      </c>
      <c r="G10005" s="168">
        <f>SUM(C10005,C9981,C9957,C9933,C9909,C9885,C9861,C9837,C9813,C9789,C9765,C9741,C9717,C9693)/POBLA!$B$20*100000</f>
        <v>722.72749645882664</v>
      </c>
      <c r="H10005" s="256">
        <f t="shared" si="1635"/>
        <v>1.3409436834094368</v>
      </c>
      <c r="I10005" s="297">
        <f t="shared" si="1637"/>
        <v>969.13687120277973</v>
      </c>
      <c r="J10005" s="297">
        <f t="shared" si="1638"/>
        <v>197.57142857142858</v>
      </c>
      <c r="K10005" s="297">
        <f>J10005/POBLA!$B$20*100000</f>
        <v>54.025843338336159</v>
      </c>
      <c r="L10005" s="549">
        <f t="shared" si="1636"/>
        <v>-9.7619047619047716E-2</v>
      </c>
      <c r="M10005" s="401">
        <f>SUM(C10005,C9981,C9957,C9933,C9909,C9885,C9861)/POBLA!$B$20*100000</f>
        <v>378.18090336835314</v>
      </c>
    </row>
    <row r="10006" spans="1:13" s="360" customFormat="1" x14ac:dyDescent="0.25">
      <c r="A10006" s="367" t="s">
        <v>22</v>
      </c>
      <c r="B10006" s="2">
        <v>44309</v>
      </c>
      <c r="C10006" s="42">
        <v>1928</v>
      </c>
      <c r="D10006" s="39">
        <f t="shared" si="1633"/>
        <v>262202</v>
      </c>
      <c r="E10006" s="1">
        <v>19</v>
      </c>
      <c r="F10006" s="39">
        <f t="shared" si="1634"/>
        <v>4517</v>
      </c>
      <c r="G10006" s="168">
        <f>SUM(C10006,C9982,C9958,C9934,C9910,C9886,C9862,C9838,C9814,C9790,C9766,C9742,C9718,C9694)/POBLA!$B$21*100000</f>
        <v>627.10347023457064</v>
      </c>
      <c r="H10006" s="256">
        <f t="shared" si="1635"/>
        <v>1.8813199864268748</v>
      </c>
      <c r="I10006" s="297">
        <f t="shared" si="1637"/>
        <v>1179.7822921099485</v>
      </c>
      <c r="J10006" s="297">
        <f t="shared" si="1638"/>
        <v>1656.4285714285713</v>
      </c>
      <c r="K10006" s="297">
        <f>J10006/POBLA!$B$21*100000</f>
        <v>46.839162435791565</v>
      </c>
      <c r="L10006" s="549">
        <f t="shared" si="1636"/>
        <v>-9.5728595728595822E-2</v>
      </c>
      <c r="M10006" s="401">
        <f>SUM(C10006,C9982,C9958,C9934,C9910,C9886,C9862)/POBLA!$B$21*100000</f>
        <v>327.87413705054098</v>
      </c>
    </row>
    <row r="10007" spans="1:13" s="360" customFormat="1" x14ac:dyDescent="0.25">
      <c r="A10007" s="367" t="s">
        <v>38</v>
      </c>
      <c r="B10007" s="2">
        <v>44309</v>
      </c>
      <c r="C10007" s="42">
        <v>245</v>
      </c>
      <c r="D10007" s="39">
        <f t="shared" si="1633"/>
        <v>29329</v>
      </c>
      <c r="E10007" s="1"/>
      <c r="F10007" s="39">
        <f t="shared" si="1634"/>
        <v>328</v>
      </c>
      <c r="G10007" s="168">
        <f>SUM(C10007,C9983,C9959,C9935,C9911,C9887,C9863,C9839,C9815,C9791,C9767,C9743,C9719,C9695)/POBLA!$B$22*100000</f>
        <v>296.32643131594898</v>
      </c>
      <c r="H10007" s="256">
        <f t="shared" si="1635"/>
        <v>1.5602798708288481</v>
      </c>
      <c r="I10007" s="297">
        <f t="shared" si="1637"/>
        <v>462.35216597682239</v>
      </c>
      <c r="J10007" s="297">
        <f t="shared" si="1638"/>
        <v>223.42857142857142</v>
      </c>
      <c r="K10007" s="297">
        <f>J10007/POBLA!$B$22*100000</f>
        <v>22.83814805983069</v>
      </c>
      <c r="L10007" s="549">
        <f t="shared" si="1636"/>
        <v>-0.17153558052434459</v>
      </c>
      <c r="M10007" s="401">
        <f>SUM(C10007,C9983,C9959,C9935,C9911,C9887,C9863)/POBLA!$B$22*100000</f>
        <v>159.86703641881485</v>
      </c>
    </row>
    <row r="10008" spans="1:13" s="360" customFormat="1" x14ac:dyDescent="0.25">
      <c r="A10008" s="367" t="s">
        <v>39</v>
      </c>
      <c r="B10008" s="2">
        <v>44309</v>
      </c>
      <c r="C10008" s="42">
        <v>145</v>
      </c>
      <c r="D10008" s="39">
        <f t="shared" si="1633"/>
        <v>25940</v>
      </c>
      <c r="E10008" s="1">
        <v>1</v>
      </c>
      <c r="F10008" s="39">
        <f t="shared" si="1634"/>
        <v>382</v>
      </c>
      <c r="G10008" s="168">
        <f>SUM(C10008,C9984,C9960,C9936,C9912,C9888,C9864,C9840,C9816,C9792,C9768,C9744,C9720,C9696)/POBLA!$B$23*100000</f>
        <v>698.97641802861506</v>
      </c>
      <c r="H10008" s="256">
        <f t="shared" si="1635"/>
        <v>1.3950338600451466</v>
      </c>
      <c r="I10008" s="297">
        <f t="shared" si="1637"/>
        <v>975.09577052298891</v>
      </c>
      <c r="J10008" s="297">
        <f t="shared" si="1638"/>
        <v>87</v>
      </c>
      <c r="K10008" s="297">
        <f>J10008/POBLA!$B$23*100000</f>
        <v>49.199796414635529</v>
      </c>
      <c r="L10008" s="549">
        <f t="shared" si="1636"/>
        <v>2.8708133971291905E-2</v>
      </c>
      <c r="M10008" s="401">
        <f>SUM(C10008,C9984,C9960,C9936,C9912,C9888,C9864)/POBLA!$B$23*100000</f>
        <v>344.39857490244867</v>
      </c>
    </row>
    <row r="10009" spans="1:13" s="360" customFormat="1" ht="15.75" thickBot="1" x14ac:dyDescent="0.3">
      <c r="A10009" s="369" t="s">
        <v>40</v>
      </c>
      <c r="B10009" s="2">
        <v>44309</v>
      </c>
      <c r="C10009" s="42">
        <v>947</v>
      </c>
      <c r="D10009" s="176">
        <f t="shared" si="1633"/>
        <v>101906</v>
      </c>
      <c r="E10009" s="1">
        <v>4</v>
      </c>
      <c r="F10009" s="176">
        <f t="shared" si="1634"/>
        <v>1595</v>
      </c>
      <c r="G10009" s="177">
        <f>SUM(C10009,C9985,C9961,C9937,C9913,C9889,C9865,C9841,C9817,C9793,C9769,C9745,C9721,C9697)/POBLA!$B$24*100000</f>
        <v>549.66907738207635</v>
      </c>
      <c r="H10009" s="402">
        <f t="shared" si="1635"/>
        <v>1.3900910311893748</v>
      </c>
      <c r="I10009" s="403">
        <f t="shared" si="1637"/>
        <v>764.09005459096284</v>
      </c>
      <c r="J10009" s="403">
        <f t="shared" si="1638"/>
        <v>703.28571428571433</v>
      </c>
      <c r="K10009" s="403">
        <f>J10009/POBLA!$B$24*100000</f>
        <v>41.500205014216121</v>
      </c>
      <c r="L10009" s="550">
        <f t="shared" si="1636"/>
        <v>-0.12090163934426235</v>
      </c>
      <c r="M10009" s="405">
        <f>SUM(C10009,C9985,C9961,C9937,C9913,C9889,C9865)/POBLA!$B$24*100000</f>
        <v>290.50143509951283</v>
      </c>
    </row>
    <row r="10010" spans="1:13" s="360" customFormat="1" x14ac:dyDescent="0.25">
      <c r="A10010" s="374" t="s">
        <v>16</v>
      </c>
      <c r="B10010" s="2">
        <v>44310</v>
      </c>
      <c r="C10010" s="1">
        <v>10156</v>
      </c>
      <c r="D10010" s="262">
        <f t="shared" si="1633"/>
        <v>1238059</v>
      </c>
      <c r="E10010" s="1">
        <v>231</v>
      </c>
      <c r="F10010" s="262">
        <v>31571</v>
      </c>
      <c r="G10010" s="175">
        <f>SUM(C10010,C9986,C9962,C9938,C9914,C9890,C9866,C9842,C9818,C9794,C9770,C9746,C9722,C9698)/POBLA!$B$1*100000</f>
        <v>942.23061088215422</v>
      </c>
      <c r="H10010" s="300">
        <f t="shared" ref="H10010:H10033" si="1639">SUM(C10010,C9986,C9962,C9938,C9914,C9890,C9866,C9842,C9818,C9794,C9770,C9746,C9722,C9698)/SUM(C9674,C9650,C9626,C9602,C9578,C9554,C9530,C9506,C9482,C9458,C9434,C9410,C9386,C9362)</f>
        <v>1.5313443898823311</v>
      </c>
      <c r="I10010" s="301">
        <f>G10010*H10010</f>
        <v>1442.8795599497887</v>
      </c>
      <c r="J10010" s="301">
        <f>AVERAGE(C10010,C9986,C9962,C9938,C9914,C9890,C9866)</f>
        <v>11909.857142857143</v>
      </c>
      <c r="K10010" s="301">
        <f>J10010/POBLA!$B$1*100000</f>
        <v>67.896707191722271</v>
      </c>
      <c r="L10010" s="548">
        <f t="shared" ref="L10010:L10033" si="1640">1-SUM(C10010,C9986,C9962,C9938,C9914,C9890,C9866)/SUM(C9842,C9818,C9794,C9770,C9746,C9722,C9698)</f>
        <v>-1.782465907287345E-2</v>
      </c>
      <c r="M10010" s="400">
        <f>SUM(C10010,C9986,C9962,C9938,C9914,C9890,C9866)/POBLA!$B$1*100000</f>
        <v>475.27695034205584</v>
      </c>
    </row>
    <row r="10011" spans="1:13" s="360" customFormat="1" x14ac:dyDescent="0.25">
      <c r="A10011" s="367" t="s">
        <v>43</v>
      </c>
      <c r="B10011" s="2">
        <v>44310</v>
      </c>
      <c r="C10011" s="1">
        <v>3008</v>
      </c>
      <c r="D10011" s="39">
        <f t="shared" si="1633"/>
        <v>325231</v>
      </c>
      <c r="E10011" s="1">
        <v>30</v>
      </c>
      <c r="F10011" s="39">
        <v>7479</v>
      </c>
      <c r="G10011" s="168">
        <f>SUM(C10011,C9987,C9963,C9939,C9915,C9891,C9867,C9843,C9819,C9795,C9771,C9747,C9723,C9699)/POBLA!$B$2*100000</f>
        <v>1370.3137487214069</v>
      </c>
      <c r="H10011" s="256">
        <f t="shared" si="1639"/>
        <v>1.5257022878656241</v>
      </c>
      <c r="I10011" s="297">
        <f t="shared" ref="I10011:I10033" si="1641">G10011*H10011</f>
        <v>2090.6908215179706</v>
      </c>
      <c r="J10011" s="297">
        <f t="shared" ref="J10011:J10033" si="1642">AVERAGE(C10011,C9987,C9963,C9939,C9915,C9891,C9867)</f>
        <v>3073.7142857142858</v>
      </c>
      <c r="K10011" s="297">
        <f>J10011/POBLA!$B$2*100000</f>
        <v>99.937193217759315</v>
      </c>
      <c r="L10011" s="549">
        <f t="shared" si="1640"/>
        <v>-4.2947164323800191E-2</v>
      </c>
      <c r="M10011" s="401">
        <f>SUM(C10011,C9987,C9963,C9939,C9915,C9891,C9867)/POBLA!$B$2*100000</f>
        <v>699.56035252431525</v>
      </c>
    </row>
    <row r="10012" spans="1:13" s="360" customFormat="1" x14ac:dyDescent="0.25">
      <c r="A10012" s="367" t="s">
        <v>28</v>
      </c>
      <c r="B10012" s="2">
        <v>44310</v>
      </c>
      <c r="C10012" s="1">
        <v>145</v>
      </c>
      <c r="D10012" s="39">
        <f t="shared" si="1633"/>
        <v>13874</v>
      </c>
      <c r="E10012" s="1"/>
      <c r="F10012" s="39">
        <v>19</v>
      </c>
      <c r="G10012" s="168">
        <f>SUM(C10012,C9988,C9964,C9940,C9916,C9892,C9868,C9844,C9820,C9796,C9772,C9748,C9724,C9700)/POBLA!$B$3*100000</f>
        <v>553.63255166835972</v>
      </c>
      <c r="H10012" s="256">
        <f t="shared" si="1639"/>
        <v>1.6106442577030813</v>
      </c>
      <c r="I10012" s="297">
        <f t="shared" si="1641"/>
        <v>891.70509022214799</v>
      </c>
      <c r="J10012" s="297">
        <f t="shared" si="1642"/>
        <v>175.57142857142858</v>
      </c>
      <c r="K10012" s="297">
        <f>J10012/POBLA!$B$3*100000</f>
        <v>42.261764347851802</v>
      </c>
      <c r="L10012" s="549">
        <f t="shared" si="1640"/>
        <v>-0.14752567693744156</v>
      </c>
      <c r="M10012" s="401">
        <f>SUM(C10012,C9988,C9964,C9940,C9916,C9892,C9868)/POBLA!$B$3*100000</f>
        <v>295.83235043496262</v>
      </c>
    </row>
    <row r="10013" spans="1:13" s="360" customFormat="1" x14ac:dyDescent="0.25">
      <c r="A10013" s="367" t="s">
        <v>15</v>
      </c>
      <c r="B10013" s="2">
        <v>44310</v>
      </c>
      <c r="C10013" s="1">
        <v>240</v>
      </c>
      <c r="D10013" s="39">
        <f t="shared" si="1633"/>
        <v>43442</v>
      </c>
      <c r="E10013" s="1">
        <v>1</v>
      </c>
      <c r="F10013" s="39">
        <v>1013</v>
      </c>
      <c r="G10013" s="168">
        <f>SUM(C10013,C9989,C9965,C9941,C9917,C9893,C9869,C9845,C9821,C9797,C9773,C9749,C9725,C9701)/POBLA!$B$4*100000</f>
        <v>268.81608845194972</v>
      </c>
      <c r="H10013" s="256">
        <f t="shared" si="1639"/>
        <v>1.3981001727115716</v>
      </c>
      <c r="I10013" s="297">
        <f t="shared" si="1641"/>
        <v>375.83181969232004</v>
      </c>
      <c r="J10013" s="297">
        <f t="shared" si="1642"/>
        <v>208.57142857142858</v>
      </c>
      <c r="K10013" s="297">
        <f>J10013/POBLA!$B$4*100000</f>
        <v>17.315427915814286</v>
      </c>
      <c r="L10013" s="549">
        <f t="shared" si="1640"/>
        <v>0.17885264341957252</v>
      </c>
      <c r="M10013" s="401">
        <f>SUM(C10013,C9989,C9965,C9941,C9917,C9893,C9869)/POBLA!$B$4*100000</f>
        <v>121.20799541070001</v>
      </c>
    </row>
    <row r="10014" spans="1:13" s="360" customFormat="1" x14ac:dyDescent="0.25">
      <c r="A10014" s="367" t="s">
        <v>29</v>
      </c>
      <c r="B10014" s="2">
        <v>44310</v>
      </c>
      <c r="C10014" s="1">
        <v>97</v>
      </c>
      <c r="D10014" s="39">
        <f t="shared" si="1633"/>
        <v>53856</v>
      </c>
      <c r="E10014" s="1">
        <v>1</v>
      </c>
      <c r="F10014" s="39">
        <v>900</v>
      </c>
      <c r="G10014" s="168">
        <f>SUM(C10014,C9990,C9966,C9942,C9918,C9894,C9870,C9846,C9822,C9798,C9774,C9750,C9726,C9702)/POBLA!$B$5*100000</f>
        <v>413.89738834302108</v>
      </c>
      <c r="H10014" s="256">
        <f t="shared" si="1639"/>
        <v>1.4217536071032186</v>
      </c>
      <c r="I10014" s="297">
        <f t="shared" si="1641"/>
        <v>588.46010484729186</v>
      </c>
      <c r="J10014" s="297">
        <f t="shared" si="1642"/>
        <v>189.28571428571428</v>
      </c>
      <c r="K10014" s="297">
        <f>J10014/POBLA!$B$5*100000</f>
        <v>30.579571738290561</v>
      </c>
      <c r="L10014" s="549">
        <f t="shared" si="1640"/>
        <v>-7.1139854486661269E-2</v>
      </c>
      <c r="M10014" s="401">
        <f>SUM(C10014,C9990,C9966,C9942,C9918,C9894,C9870)/POBLA!$B$5*100000</f>
        <v>214.05700216803393</v>
      </c>
    </row>
    <row r="10015" spans="1:13" s="360" customFormat="1" x14ac:dyDescent="0.25">
      <c r="A10015" s="367" t="s">
        <v>30</v>
      </c>
      <c r="B10015" s="2">
        <v>44310</v>
      </c>
      <c r="C10015" s="1">
        <v>340</v>
      </c>
      <c r="D10015" s="39">
        <f t="shared" si="1633"/>
        <v>36397</v>
      </c>
      <c r="E10015" s="1">
        <v>5</v>
      </c>
      <c r="F10015" s="39">
        <v>448</v>
      </c>
      <c r="G10015" s="168">
        <f>SUM(C10015,C9991,C9967,C9943,C9919,C9895,C9871,C9847,C9823,C9799,C9775,C9751,C9727,C9703)/POBLA!$B$6*100000</f>
        <v>302.01614738031105</v>
      </c>
      <c r="H10015" s="256">
        <f t="shared" si="1639"/>
        <v>0.66359537345618502</v>
      </c>
      <c r="I10015" s="297">
        <f t="shared" si="1641"/>
        <v>200.41651811063574</v>
      </c>
      <c r="J10015" s="297">
        <f t="shared" si="1642"/>
        <v>265.57142857142856</v>
      </c>
      <c r="K10015" s="297">
        <f>J10015/POBLA!$B$6*100000</f>
        <v>23.694788688752826</v>
      </c>
      <c r="L10015" s="549">
        <f t="shared" si="1640"/>
        <v>-0.21821756225425948</v>
      </c>
      <c r="M10015" s="401">
        <f>SUM(C10015,C9991,C9967,C9943,C9919,C9895,C9871)/POBLA!$B$6*100000</f>
        <v>165.86352082126979</v>
      </c>
    </row>
    <row r="10016" spans="1:13" s="360" customFormat="1" x14ac:dyDescent="0.25">
      <c r="A10016" s="367" t="s">
        <v>20</v>
      </c>
      <c r="B10016" s="2">
        <v>44310</v>
      </c>
      <c r="C10016" s="1">
        <v>1195</v>
      </c>
      <c r="D10016" s="39">
        <f t="shared" si="1633"/>
        <v>217631</v>
      </c>
      <c r="E10016" s="1">
        <v>7</v>
      </c>
      <c r="F10016" s="39">
        <v>3285</v>
      </c>
      <c r="G10016" s="168">
        <f>SUM(C10016,C9992,C9968,C9944,C9920,C9896,C9872,C9848,C9824,C9800,C9776,C9752,C9728,C9704)/POBLA!$B$7*100000</f>
        <v>624.8986158571447</v>
      </c>
      <c r="H10016" s="256">
        <f t="shared" si="1639"/>
        <v>1.3738891487371374</v>
      </c>
      <c r="I10016" s="297">
        <f t="shared" si="1641"/>
        <v>858.54142738698795</v>
      </c>
      <c r="J10016" s="297">
        <f t="shared" si="1642"/>
        <v>1687.2857142857142</v>
      </c>
      <c r="K10016" s="297">
        <f>J10016/POBLA!$B$7*100000</f>
        <v>44.869250070755207</v>
      </c>
      <c r="L10016" s="549">
        <f t="shared" si="1640"/>
        <v>-1.0523613963038914E-2</v>
      </c>
      <c r="M10016" s="401">
        <f>SUM(C10016,C9992,C9968,C9944,C9920,C9896,C9872)/POBLA!$B$7*100000</f>
        <v>314.08475049528647</v>
      </c>
    </row>
    <row r="10017" spans="1:13" x14ac:dyDescent="0.25">
      <c r="A10017" s="367" t="s">
        <v>31</v>
      </c>
      <c r="B10017" s="2">
        <v>44310</v>
      </c>
      <c r="C10017" s="1">
        <v>569</v>
      </c>
      <c r="D10017" s="39">
        <f t="shared" si="1633"/>
        <v>59742</v>
      </c>
      <c r="E10017" s="1">
        <v>2</v>
      </c>
      <c r="F10017" s="39">
        <v>1031</v>
      </c>
      <c r="G10017" s="168">
        <f>SUM(C10017,C9993,C9969,C9945,C9921,C9897,C9873,C9849,C9825,C9801,C9777,C9753,C9729,C9705)/POBLA!$B$8*100000</f>
        <v>496.26216033495893</v>
      </c>
      <c r="H10017" s="256">
        <f t="shared" si="1639"/>
        <v>1.8454521062516769</v>
      </c>
      <c r="I10017" s="297">
        <f t="shared" si="1641"/>
        <v>915.82804904315731</v>
      </c>
      <c r="J10017" s="297">
        <f t="shared" si="1642"/>
        <v>503.71428571428572</v>
      </c>
      <c r="K10017" s="297">
        <f>J10017/POBLA!$B$8*100000</f>
        <v>36.344044725232941</v>
      </c>
      <c r="L10017" s="549">
        <f t="shared" si="1640"/>
        <v>-5.1909307875894983E-2</v>
      </c>
      <c r="M10017" s="401">
        <f>SUM(C10017,C9993,C9969,C9945,C9921,C9897,C9873)/POBLA!$B$8*100000</f>
        <v>254.40831307663058</v>
      </c>
    </row>
    <row r="10018" spans="1:13" s="360" customFormat="1" x14ac:dyDescent="0.25">
      <c r="A10018" s="367" t="s">
        <v>41</v>
      </c>
      <c r="B10018" s="2">
        <v>44310</v>
      </c>
      <c r="C10018" s="1">
        <v>113</v>
      </c>
      <c r="D10018" s="39">
        <f t="shared" si="1633"/>
        <v>4086</v>
      </c>
      <c r="E10018" s="1"/>
      <c r="F10018" s="39">
        <v>67</v>
      </c>
      <c r="G10018" s="168">
        <f>SUM(C10018,C9994,C9970,C9946,C9922,C9898,C9874,C9850,C9826,C9802,C9778,C9754,C9730,C9706)/POBLA!$B$9*100000</f>
        <v>237.61015081139405</v>
      </c>
      <c r="H10018" s="256">
        <f t="shared" si="1639"/>
        <v>2.0513552068473611</v>
      </c>
      <c r="I10018" s="297">
        <f t="shared" si="1641"/>
        <v>487.42282006673992</v>
      </c>
      <c r="J10018" s="297">
        <f t="shared" si="1642"/>
        <v>94.142857142857139</v>
      </c>
      <c r="K10018" s="297">
        <f>J10018/POBLA!$B$9*100000</f>
        <v>15.555840391884431</v>
      </c>
      <c r="L10018" s="549">
        <f t="shared" si="1640"/>
        <v>0.15404364569961493</v>
      </c>
      <c r="M10018" s="401">
        <f>SUM(C10018,C9994,C9970,C9946,C9922,C9898,C9874)/POBLA!$B$9*100000</f>
        <v>108.89088274319101</v>
      </c>
    </row>
    <row r="10019" spans="1:13" s="360" customFormat="1" x14ac:dyDescent="0.25">
      <c r="A10019" s="367" t="s">
        <v>32</v>
      </c>
      <c r="B10019" s="2">
        <v>44310</v>
      </c>
      <c r="C10019" s="1">
        <v>90</v>
      </c>
      <c r="D10019" s="39">
        <f t="shared" si="1633"/>
        <v>24262</v>
      </c>
      <c r="E10019" s="1">
        <v>3</v>
      </c>
      <c r="F10019" s="39">
        <v>1016</v>
      </c>
      <c r="G10019" s="168">
        <f>SUM(C10019,C9995,C9971,C9947,C9923,C9899,C9875,C9851,C9827,C9803,C9779,C9755,C9731,C9707)/POBLA!$B$10*100000</f>
        <v>166.30322968136457</v>
      </c>
      <c r="H10019" s="256">
        <f t="shared" si="1639"/>
        <v>1.7537619699042408</v>
      </c>
      <c r="I10019" s="297">
        <f t="shared" si="1641"/>
        <v>291.65627968742734</v>
      </c>
      <c r="J10019" s="297">
        <f t="shared" si="1642"/>
        <v>92.857142857142861</v>
      </c>
      <c r="K10019" s="297">
        <f>J10019/POBLA!$B$10*100000</f>
        <v>12.045587173265766</v>
      </c>
      <c r="L10019" s="549">
        <f t="shared" si="1640"/>
        <v>-2.8481012658227778E-2</v>
      </c>
      <c r="M10019" s="401">
        <f>SUM(C10019,C9995,C9971,C9947,C9923,C9899,C9875)/POBLA!$B$10*100000</f>
        <v>84.319110212860352</v>
      </c>
    </row>
    <row r="10020" spans="1:13" s="360" customFormat="1" x14ac:dyDescent="0.25">
      <c r="A10020" s="367" t="s">
        <v>33</v>
      </c>
      <c r="B10020" s="2">
        <v>44310</v>
      </c>
      <c r="C10020" s="1">
        <v>182</v>
      </c>
      <c r="D10020" s="39">
        <f t="shared" si="1633"/>
        <v>25547</v>
      </c>
      <c r="E10020" s="1"/>
      <c r="F10020" s="39">
        <v>346</v>
      </c>
      <c r="G10020" s="168">
        <f>SUM(C10020,C9996,C9972,C9948,C9924,C9900,C9876,C9852,C9828,C9804,C9780,C9756,C9732,C9708)/POBLA!$B$11*100000</f>
        <v>819.13243385003409</v>
      </c>
      <c r="H10020" s="256">
        <f t="shared" si="1639"/>
        <v>1.8338538413491567</v>
      </c>
      <c r="I10020" s="297">
        <f t="shared" si="1641"/>
        <v>1502.169160389569</v>
      </c>
      <c r="J10020" s="297">
        <f t="shared" si="1642"/>
        <v>237.28571428571428</v>
      </c>
      <c r="K10020" s="297">
        <f>J10020/POBLA!$B$11*100000</f>
        <v>66.201779516587507</v>
      </c>
      <c r="L10020" s="549">
        <f t="shared" si="1640"/>
        <v>-0.30274509803921568</v>
      </c>
      <c r="M10020" s="401">
        <f>SUM(C10020,C9996,C9972,C9948,C9924,C9900,C9876)/POBLA!$B$11*100000</f>
        <v>463.41245661611259</v>
      </c>
    </row>
    <row r="10021" spans="1:13" s="360" customFormat="1" x14ac:dyDescent="0.25">
      <c r="A10021" s="367" t="s">
        <v>21</v>
      </c>
      <c r="B10021" s="2">
        <v>44310</v>
      </c>
      <c r="C10021" s="1">
        <v>118</v>
      </c>
      <c r="D10021" s="39">
        <f t="shared" si="1633"/>
        <v>13023</v>
      </c>
      <c r="E10021" s="1"/>
      <c r="F10021" s="39">
        <v>464</v>
      </c>
      <c r="G10021" s="168">
        <f>SUM(C10021,C9997,C9973,C9949,C9925,C9901,C9877,C9853,C9829,C9805,C9781,C9757,C9733,C9709)/POBLA!$B$12*100000</f>
        <v>285.11095695129484</v>
      </c>
      <c r="H10021" s="256">
        <f t="shared" si="1639"/>
        <v>1.0726577437858509</v>
      </c>
      <c r="I10021" s="297">
        <f t="shared" si="1641"/>
        <v>305.82647581200075</v>
      </c>
      <c r="J10021" s="297">
        <f t="shared" si="1642"/>
        <v>89.714285714285708</v>
      </c>
      <c r="K10021" s="297">
        <f>J10021/POBLA!$B$12*100000</f>
        <v>22.797260117826983</v>
      </c>
      <c r="L10021" s="549">
        <f t="shared" si="1640"/>
        <v>-0.27125506072874495</v>
      </c>
      <c r="M10021" s="401">
        <f>SUM(C10021,C9997,C9973,C9949,C9925,C9901,C9877)/POBLA!$B$12*100000</f>
        <v>159.5808208247889</v>
      </c>
    </row>
    <row r="10022" spans="1:13" s="360" customFormat="1" x14ac:dyDescent="0.25">
      <c r="A10022" s="367" t="s">
        <v>17</v>
      </c>
      <c r="B10022" s="2">
        <v>44310</v>
      </c>
      <c r="C10022" s="1">
        <v>730</v>
      </c>
      <c r="D10022" s="39">
        <f t="shared" si="1633"/>
        <v>91844</v>
      </c>
      <c r="E10022" s="1">
        <v>9</v>
      </c>
      <c r="F10022" s="39">
        <v>1720</v>
      </c>
      <c r="G10022" s="168">
        <f>SUM(C10022,C9998,C9974,C9950,C9926,C9902,C9878,C9854,C9830,C9806,C9782,C9758,C9734,C9710)/POBLA!$B$13*100000</f>
        <v>614.92068181384263</v>
      </c>
      <c r="H10022" s="256">
        <f t="shared" si="1639"/>
        <v>1.5533697169691585</v>
      </c>
      <c r="I10022" s="297">
        <f t="shared" si="1641"/>
        <v>955.19916546765069</v>
      </c>
      <c r="J10022" s="297">
        <f t="shared" si="1642"/>
        <v>895.28571428571433</v>
      </c>
      <c r="K10022" s="297">
        <f>J10022/POBLA!$B$13*100000</f>
        <v>44.981591784195167</v>
      </c>
      <c r="L10022" s="549">
        <f t="shared" si="1640"/>
        <v>-4.9397186872069732E-2</v>
      </c>
      <c r="M10022" s="401">
        <f>SUM(C10022,C9998,C9974,C9950,C9926,C9902,C9878)/POBLA!$B$13*100000</f>
        <v>314.87114248936615</v>
      </c>
    </row>
    <row r="10023" spans="1:13" s="360" customFormat="1" x14ac:dyDescent="0.25">
      <c r="A10023" s="367" t="s">
        <v>23</v>
      </c>
      <c r="B10023" s="2">
        <v>44310</v>
      </c>
      <c r="C10023" s="1">
        <v>145</v>
      </c>
      <c r="D10023" s="39">
        <f t="shared" si="1633"/>
        <v>14983</v>
      </c>
      <c r="E10023" s="1">
        <v>1</v>
      </c>
      <c r="F10023" s="39">
        <v>237</v>
      </c>
      <c r="G10023" s="168">
        <f>SUM(C10023,C9999,C9975,C9951,C9927,C9903,C9879,C9855,C9831,C9807,C9783,C9759,C9735,C9711)/POBLA!$B$14*100000</f>
        <v>139.38066779038036</v>
      </c>
      <c r="H10023" s="256">
        <f t="shared" si="1639"/>
        <v>1.0533253445176753</v>
      </c>
      <c r="I10023" s="297">
        <f t="shared" si="1641"/>
        <v>146.81318991940606</v>
      </c>
      <c r="J10023" s="297">
        <f t="shared" si="1642"/>
        <v>110.42857142857143</v>
      </c>
      <c r="K10023" s="297">
        <f>J10023/POBLA!$B$14*100000</f>
        <v>8.7551809037838453</v>
      </c>
      <c r="L10023" s="549">
        <f t="shared" si="1640"/>
        <v>0.21522842639593909</v>
      </c>
      <c r="M10023" s="401">
        <f>SUM(C10023,C9999,C9975,C9951,C9927,C9903,C9879)/POBLA!$B$14*100000</f>
        <v>61.286266326486931</v>
      </c>
    </row>
    <row r="10024" spans="1:13" s="360" customFormat="1" x14ac:dyDescent="0.25">
      <c r="A10024" s="367" t="s">
        <v>19</v>
      </c>
      <c r="B10024" s="2">
        <v>44310</v>
      </c>
      <c r="C10024" s="1">
        <v>180</v>
      </c>
      <c r="D10024" s="39">
        <f t="shared" si="1633"/>
        <v>69174</v>
      </c>
      <c r="E10024" s="1"/>
      <c r="F10024" s="39">
        <v>1049</v>
      </c>
      <c r="G10024" s="168">
        <f>SUM(C10024,C10000,C9976,C9952,C9928,C9904,C9880,C9856,C9832,C9808,C9784,C9760,C9736,C9712)/POBLA!$B$15*100000</f>
        <v>403.73040266121734</v>
      </c>
      <c r="H10024" s="256">
        <f t="shared" si="1639"/>
        <v>1.5826446280991735</v>
      </c>
      <c r="I10024" s="297">
        <f t="shared" si="1641"/>
        <v>638.96175297209186</v>
      </c>
      <c r="J10024" s="297">
        <f t="shared" si="1642"/>
        <v>216.57142857142858</v>
      </c>
      <c r="K10024" s="297">
        <f>J10024/POBLA!$B$15*100000</f>
        <v>32.613379359215934</v>
      </c>
      <c r="L10024" s="549">
        <f t="shared" si="1640"/>
        <v>-0.30128755364806858</v>
      </c>
      <c r="M10024" s="401">
        <f>SUM(C10024,C10000,C9976,C9952,C9928,C9904,C9880)/POBLA!$B$15*100000</f>
        <v>228.29365551451153</v>
      </c>
    </row>
    <row r="10025" spans="1:13" s="360" customFormat="1" x14ac:dyDescent="0.25">
      <c r="A10025" s="367" t="s">
        <v>18</v>
      </c>
      <c r="B10025" s="2">
        <v>44310</v>
      </c>
      <c r="C10025" s="1">
        <v>209</v>
      </c>
      <c r="D10025" s="39">
        <f t="shared" si="1633"/>
        <v>59710</v>
      </c>
      <c r="E10025" s="1"/>
      <c r="F10025" s="39">
        <v>1336</v>
      </c>
      <c r="G10025" s="168">
        <f>SUM(C10025,C10001,C9977,C9953,C9929,C9905,C9881,C9857,C9833,C9809,C9785,C9761,C9737,C9713)/POBLA!$B$16*100000</f>
        <v>402.08129907304607</v>
      </c>
      <c r="H10025" s="256">
        <f t="shared" si="1639"/>
        <v>1.7486910994764397</v>
      </c>
      <c r="I10025" s="297">
        <f t="shared" si="1641"/>
        <v>703.11598895496013</v>
      </c>
      <c r="J10025" s="297">
        <f t="shared" si="1642"/>
        <v>244.14285714285714</v>
      </c>
      <c r="K10025" s="297">
        <f>J10025/POBLA!$B$16*100000</f>
        <v>32.65644616081341</v>
      </c>
      <c r="L10025" s="549">
        <f t="shared" si="1640"/>
        <v>-0.31765612952968381</v>
      </c>
      <c r="M10025" s="401">
        <f>SUM(C10025,C10001,C9977,C9953,C9929,C9905,C9881)/POBLA!$B$16*100000</f>
        <v>228.5951231256939</v>
      </c>
    </row>
    <row r="10026" spans="1:13" s="360" customFormat="1" x14ac:dyDescent="0.25">
      <c r="A10026" s="367" t="s">
        <v>34</v>
      </c>
      <c r="B10026" s="2">
        <v>44310</v>
      </c>
      <c r="C10026" s="1">
        <v>142</v>
      </c>
      <c r="D10026" s="39">
        <f t="shared" si="1633"/>
        <v>33615</v>
      </c>
      <c r="E10026" s="1"/>
      <c r="F10026" s="39">
        <v>1250</v>
      </c>
      <c r="G10026" s="168">
        <f>SUM(C10026,C10002,C9978,C9954,C9930,C9906,C9882,C9858,C9834,C9810,C9786,C9762,C9738,C9714)/POBLA!$B$17*100000</f>
        <v>186.67548443306185</v>
      </c>
      <c r="H10026" s="256">
        <f t="shared" si="1639"/>
        <v>1.3085629921259843</v>
      </c>
      <c r="I10026" s="297">
        <f t="shared" si="1641"/>
        <v>244.27663046629502</v>
      </c>
      <c r="J10026" s="297">
        <f t="shared" si="1642"/>
        <v>194.71428571428572</v>
      </c>
      <c r="K10026" s="297">
        <f>J10026/POBLA!$B$17*100000</f>
        <v>13.669944946127078</v>
      </c>
      <c r="L10026" s="549">
        <f t="shared" si="1640"/>
        <v>-5.1697530864197594E-2</v>
      </c>
      <c r="M10026" s="401">
        <f>SUM(C10026,C10002,C9978,C9954,C9930,C9906,C9882)/POBLA!$B$17*100000</f>
        <v>95.68961462288955</v>
      </c>
    </row>
    <row r="10027" spans="1:13" s="360" customFormat="1" x14ac:dyDescent="0.25">
      <c r="A10027" s="367" t="s">
        <v>35</v>
      </c>
      <c r="B10027" s="2">
        <v>44310</v>
      </c>
      <c r="C10027" s="1">
        <v>178</v>
      </c>
      <c r="D10027" s="39">
        <f t="shared" si="1633"/>
        <v>21920</v>
      </c>
      <c r="E10027" s="1"/>
      <c r="F10027" s="39">
        <v>255</v>
      </c>
      <c r="G10027" s="168">
        <f>SUM(C10027,C10003,C9979,C9955,C9931,C9907,C9883,C9859,C9835,C9811,C9787,C9763,C9739,C9715)/POBLA!$B$18*100000</f>
        <v>407.44121031672381</v>
      </c>
      <c r="H10027" s="256">
        <f t="shared" si="1639"/>
        <v>1.6466632177961718</v>
      </c>
      <c r="I10027" s="297">
        <f t="shared" si="1641"/>
        <v>670.91845444290323</v>
      </c>
      <c r="J10027" s="297">
        <f t="shared" si="1642"/>
        <v>260.42857142857144</v>
      </c>
      <c r="K10027" s="297">
        <f>J10027/POBLA!$B$18*100000</f>
        <v>33.336265266702014</v>
      </c>
      <c r="L10027" s="549">
        <f t="shared" si="1640"/>
        <v>-0.34044117647058814</v>
      </c>
      <c r="M10027" s="401">
        <f>SUM(C10027,C10003,C9979,C9955,C9931,C9907,C9883)/POBLA!$B$18*100000</f>
        <v>233.35385686691404</v>
      </c>
    </row>
    <row r="10028" spans="1:13" s="360" customFormat="1" x14ac:dyDescent="0.25">
      <c r="A10028" s="367" t="s">
        <v>36</v>
      </c>
      <c r="B10028" s="2">
        <v>44310</v>
      </c>
      <c r="C10028" s="1">
        <v>771</v>
      </c>
      <c r="D10028" s="39">
        <f t="shared" si="1633"/>
        <v>34162</v>
      </c>
      <c r="E10028" s="1">
        <v>2</v>
      </c>
      <c r="F10028" s="39">
        <v>468</v>
      </c>
      <c r="G10028" s="168">
        <f>SUM(C10028,C10004,C9980,C9956,C9932,C9908,C9884,C9860,C9836,C9812,C9788,C9764,C9740,C9716)/POBLA!$B$19*100000</f>
        <v>1606.836530743929</v>
      </c>
      <c r="H10028" s="256">
        <f t="shared" si="1639"/>
        <v>2.1226611226611225</v>
      </c>
      <c r="I10028" s="297">
        <f t="shared" si="1641"/>
        <v>3410.7694342818118</v>
      </c>
      <c r="J10028" s="297">
        <f t="shared" si="1642"/>
        <v>648.42857142857144</v>
      </c>
      <c r="K10028" s="297">
        <f>J10028/POBLA!$B$19*100000</f>
        <v>127.56105731507441</v>
      </c>
      <c r="L10028" s="549">
        <f t="shared" si="1640"/>
        <v>-0.25075778451364017</v>
      </c>
      <c r="M10028" s="401">
        <f>SUM(C10028,C10004,C9980,C9956,C9932,C9908,C9884)/POBLA!$B$19*100000</f>
        <v>892.92740120552082</v>
      </c>
    </row>
    <row r="10029" spans="1:13" s="360" customFormat="1" x14ac:dyDescent="0.25">
      <c r="A10029" s="367" t="s">
        <v>37</v>
      </c>
      <c r="B10029" s="2">
        <v>44310</v>
      </c>
      <c r="C10029" s="1">
        <v>188</v>
      </c>
      <c r="D10029" s="39">
        <f t="shared" si="1633"/>
        <v>43512</v>
      </c>
      <c r="E10029" s="1"/>
      <c r="F10029" s="39">
        <v>690</v>
      </c>
      <c r="G10029" s="168">
        <f>SUM(C10029,C10005,C9981,C9957,C9933,C9909,C9885,C9861,C9837,C9813,C9789,C9765,C9741,C9717)/POBLA!$B$20*100000</f>
        <v>721.36024807354704</v>
      </c>
      <c r="H10029" s="256">
        <f t="shared" si="1639"/>
        <v>1.305940594059406</v>
      </c>
      <c r="I10029" s="297">
        <f t="shared" si="1641"/>
        <v>942.05363090000844</v>
      </c>
      <c r="J10029" s="297">
        <f t="shared" si="1642"/>
        <v>202.28571428571428</v>
      </c>
      <c r="K10029" s="297">
        <f>J10029/POBLA!$B$20*100000</f>
        <v>55.314963244456976</v>
      </c>
      <c r="L10029" s="549">
        <f t="shared" si="1640"/>
        <v>-0.15875613747954165</v>
      </c>
      <c r="M10029" s="401">
        <f>SUM(C10029,C10005,C9981,C9957,C9933,C9909,C9885)/POBLA!$B$20*100000</f>
        <v>387.20474271119883</v>
      </c>
    </row>
    <row r="10030" spans="1:13" s="360" customFormat="1" x14ac:dyDescent="0.25">
      <c r="A10030" s="367" t="s">
        <v>22</v>
      </c>
      <c r="B10030" s="2">
        <v>44310</v>
      </c>
      <c r="C10030" s="1">
        <v>1777</v>
      </c>
      <c r="D10030" s="39">
        <f t="shared" si="1633"/>
        <v>263979</v>
      </c>
      <c r="E10030" s="1">
        <v>5</v>
      </c>
      <c r="F10030" s="39">
        <v>4524</v>
      </c>
      <c r="G10030" s="168">
        <f>SUM(C10030,C10006,C9982,C9958,C9934,C9910,C9886,C9862,C9838,C9814,C9790,C9766,C9742,C9718)/POBLA!$B$21*100000</f>
        <v>643.84357279032054</v>
      </c>
      <c r="H10030" s="256">
        <f t="shared" si="1639"/>
        <v>1.8530967689427851</v>
      </c>
      <c r="I10030" s="297">
        <f t="shared" si="1641"/>
        <v>1193.1044444423219</v>
      </c>
      <c r="J10030" s="297">
        <f t="shared" si="1642"/>
        <v>1704.4285714285713</v>
      </c>
      <c r="K10030" s="297">
        <f>J10030/POBLA!$B$21*100000</f>
        <v>48.196468048419938</v>
      </c>
      <c r="L10030" s="549">
        <f t="shared" si="1640"/>
        <v>-0.10084886510426272</v>
      </c>
      <c r="M10030" s="401">
        <f>SUM(C10030,C10006,C9982,C9958,C9934,C9910,C9886)/POBLA!$B$21*100000</f>
        <v>337.37527633893956</v>
      </c>
    </row>
    <row r="10031" spans="1:13" s="360" customFormat="1" x14ac:dyDescent="0.25">
      <c r="A10031" s="367" t="s">
        <v>38</v>
      </c>
      <c r="B10031" s="2">
        <v>44310</v>
      </c>
      <c r="C10031" s="1">
        <v>232</v>
      </c>
      <c r="D10031" s="39">
        <f t="shared" si="1633"/>
        <v>29561</v>
      </c>
      <c r="E10031" s="1"/>
      <c r="F10031" s="39">
        <v>328</v>
      </c>
      <c r="G10031" s="168">
        <f>SUM(C10031,C10007,C9983,C9959,C9935,C9911,C9887,C9863,C9839,C9815,C9791,C9767,C9743,C9719)/POBLA!$B$22*100000</f>
        <v>298.88185069604515</v>
      </c>
      <c r="H10031" s="256">
        <f t="shared" si="1639"/>
        <v>1.5111111111111111</v>
      </c>
      <c r="I10031" s="297">
        <f t="shared" si="1641"/>
        <v>451.64368549624601</v>
      </c>
      <c r="J10031" s="297">
        <f t="shared" si="1642"/>
        <v>220.14285714285714</v>
      </c>
      <c r="K10031" s="297">
        <f>J10031/POBLA!$B$22*100000</f>
        <v>22.502292941303768</v>
      </c>
      <c r="L10031" s="549">
        <f t="shared" si="1640"/>
        <v>-0.11424439624005789</v>
      </c>
      <c r="M10031" s="401">
        <f>SUM(C10031,C10007,C9983,C9959,C9935,C9911,C9887)/POBLA!$B$22*100000</f>
        <v>157.51605058912639</v>
      </c>
    </row>
    <row r="10032" spans="1:13" s="360" customFormat="1" x14ac:dyDescent="0.25">
      <c r="A10032" s="367" t="s">
        <v>39</v>
      </c>
      <c r="B10032" s="2">
        <v>44310</v>
      </c>
      <c r="C10032" s="1">
        <v>55</v>
      </c>
      <c r="D10032" s="39">
        <f t="shared" si="1633"/>
        <v>25995</v>
      </c>
      <c r="E10032" s="1"/>
      <c r="F10032" s="39">
        <v>375</v>
      </c>
      <c r="G10032" s="168">
        <f>SUM(C10032,C10008,C9984,C9960,C9936,C9912,C9888,C9864,C9840,C9816,C9792,C9768,C9744,C9720)/POBLA!$B$23*100000</f>
        <v>691.05920941016802</v>
      </c>
      <c r="H10032" s="256">
        <f t="shared" si="1639"/>
        <v>1.3384446878422782</v>
      </c>
      <c r="I10032" s="297">
        <f t="shared" si="1641"/>
        <v>924.94452781952396</v>
      </c>
      <c r="J10032" s="297">
        <f t="shared" si="1642"/>
        <v>83.428571428571431</v>
      </c>
      <c r="K10032" s="297">
        <f>J10032/POBLA!$B$23*100000</f>
        <v>47.180100338501063</v>
      </c>
      <c r="L10032" s="549">
        <f t="shared" si="1640"/>
        <v>8.4639498432601878E-2</v>
      </c>
      <c r="M10032" s="401">
        <f>SUM(C10032,C10008,C9984,C9960,C9936,C9912,C9888)/POBLA!$B$23*100000</f>
        <v>330.26070236950744</v>
      </c>
    </row>
    <row r="10033" spans="1:13" s="360" customFormat="1" ht="15.75" thickBot="1" x14ac:dyDescent="0.3">
      <c r="A10033" s="368" t="s">
        <v>40</v>
      </c>
      <c r="B10033" s="34">
        <v>44310</v>
      </c>
      <c r="C10033" s="232">
        <v>360</v>
      </c>
      <c r="D10033" s="67">
        <f t="shared" si="1633"/>
        <v>102266</v>
      </c>
      <c r="E10033" s="232">
        <v>1</v>
      </c>
      <c r="F10033" s="67">
        <v>1600</v>
      </c>
      <c r="G10033" s="177">
        <f>SUM(C10033,C10009,C9985,C9961,C9937,C9913,C9889,C9865,C9841,C9817,C9793,C9769,C9745,C9721)/POBLA!$B$24*100000</f>
        <v>546.48258997696291</v>
      </c>
      <c r="H10033" s="402">
        <f t="shared" si="1639"/>
        <v>1.3480349344978166</v>
      </c>
      <c r="I10033" s="403">
        <f t="shared" si="1641"/>
        <v>736.67762238379237</v>
      </c>
      <c r="J10033" s="403">
        <f t="shared" si="1642"/>
        <v>710</v>
      </c>
      <c r="K10033" s="403">
        <f>J10033/POBLA!$B$24*100000</f>
        <v>41.896408474640282</v>
      </c>
      <c r="L10033" s="550">
        <f t="shared" si="1640"/>
        <v>-0.15823817292006526</v>
      </c>
      <c r="M10033" s="405">
        <f>SUM(C10033,C10009,C9985,C9961,C9937,C9913,C9889)/POBLA!$B$24*100000</f>
        <v>293.27485932248197</v>
      </c>
    </row>
    <row r="10034" spans="1:13" s="360" customFormat="1" x14ac:dyDescent="0.25">
      <c r="A10034" s="363" t="s">
        <v>16</v>
      </c>
      <c r="B10034" s="265">
        <v>44311</v>
      </c>
      <c r="C10034" s="356">
        <v>6820</v>
      </c>
      <c r="D10034" s="174">
        <f t="shared" si="1633"/>
        <v>1244879</v>
      </c>
      <c r="E10034" s="43">
        <v>138</v>
      </c>
      <c r="F10034" s="174">
        <f t="shared" ref="F10034:F10057" si="1643">E10034+F10010</f>
        <v>31709</v>
      </c>
      <c r="G10034" s="175">
        <f>SUM(C10034,C10010,C9986,C9962,C9938,C9914,C9890,C9866,C9842,C9818,C9794,C9770,C9746,C9722)/POBLA!$B$1*100000</f>
        <v>937.2366370009795</v>
      </c>
      <c r="H10034" s="300">
        <f t="shared" ref="H10034:H10057" si="1644">SUM(C10034,C10010,C9986,C9962,C9938,C9914,C9890,C9866,C9842,C9818,C9794,C9770,C9746,C9722)/SUM(C9698,C9674,C9650,C9626,C9602,C9578,C9554,C9530,C9506,C9482,C9458,C9434,C9410,C9386)</f>
        <v>1.4630547570949284</v>
      </c>
      <c r="I10034" s="301">
        <f>G10034*H10034</f>
        <v>1371.2285202879357</v>
      </c>
      <c r="J10034" s="301">
        <f>AVERAGE(C10034,C10010,C9986,C9962,C9938,C9914,C9890)</f>
        <v>11746</v>
      </c>
      <c r="K10034" s="301">
        <f>J10034/POBLA!$B$1*100000</f>
        <v>66.962576721776543</v>
      </c>
      <c r="L10034" s="548">
        <f t="shared" ref="L10034:L10057" si="1645">1-SUM(C10034,C10010,C9986,C9962,C9938,C9914,C9890)/SUM(C9866,C9842,C9818,C9794,C9770,C9746,C9722)</f>
        <v>-5.1107325383314972E-4</v>
      </c>
      <c r="M10034" s="400">
        <f>SUM(C10034,C10010,C9986,C9962,C9938,C9914,C9890)/POBLA!$B$1*100000</f>
        <v>468.73803705243574</v>
      </c>
    </row>
    <row r="10035" spans="1:13" s="360" customFormat="1" x14ac:dyDescent="0.25">
      <c r="A10035" s="375" t="s">
        <v>43</v>
      </c>
      <c r="B10035" s="2">
        <v>44311</v>
      </c>
      <c r="C10035" s="4">
        <v>2701</v>
      </c>
      <c r="D10035" s="39">
        <f t="shared" ref="D10035:D10098" si="1646">C10035+D10011</f>
        <v>327932</v>
      </c>
      <c r="E10035" s="1">
        <v>17</v>
      </c>
      <c r="F10035" s="39">
        <f t="shared" si="1643"/>
        <v>7496</v>
      </c>
      <c r="G10035" s="168">
        <f>SUM(C10035,C10011,C9987,C9963,C9939,C9915,C9891,C9867,C9843,C9819,C9795,C9771,C9747,C9723)/POBLA!$B$2*100000</f>
        <v>1370.6388836686665</v>
      </c>
      <c r="H10035" s="256">
        <f t="shared" si="1644"/>
        <v>1.4401967817976837</v>
      </c>
      <c r="I10035" s="297">
        <f t="shared" ref="I10035:I10057" si="1647">G10035*H10035</f>
        <v>1973.9897092663832</v>
      </c>
      <c r="J10035" s="297">
        <f t="shared" ref="J10035:J10057" si="1648">AVERAGE(C10035,C10011,C9987,C9963,C9939,C9915,C9891)</f>
        <v>3004</v>
      </c>
      <c r="K10035" s="297">
        <f>J10035/POBLA!$B$2*100000</f>
        <v>97.670538156862008</v>
      </c>
      <c r="L10035" s="549">
        <f t="shared" si="1645"/>
        <v>4.7330556607345642E-3</v>
      </c>
      <c r="M10035" s="401">
        <f>SUM(C10035,C10011,C9987,C9963,C9939,C9915,C9891)/POBLA!$B$2*100000</f>
        <v>683.69376709803407</v>
      </c>
    </row>
    <row r="10036" spans="1:13" s="360" customFormat="1" x14ac:dyDescent="0.25">
      <c r="A10036" s="367" t="s">
        <v>28</v>
      </c>
      <c r="B10036" s="2">
        <v>44311</v>
      </c>
      <c r="C10036" s="4">
        <v>151</v>
      </c>
      <c r="D10036" s="39">
        <f t="shared" si="1646"/>
        <v>14025</v>
      </c>
      <c r="E10036" s="1"/>
      <c r="F10036" s="39">
        <f t="shared" si="1643"/>
        <v>19</v>
      </c>
      <c r="G10036" s="168">
        <f>SUM(C10036,C10012,C9988,C9964,C9940,C9916,C9892,C9868,C9844,C9820,C9796,C9772,C9748,C9724)/POBLA!$B$3*100000</f>
        <v>565.66804192201971</v>
      </c>
      <c r="H10036" s="256">
        <f t="shared" si="1644"/>
        <v>1.621808143547274</v>
      </c>
      <c r="I10036" s="297">
        <f t="shared" si="1647"/>
        <v>917.40503693357232</v>
      </c>
      <c r="J10036" s="297">
        <f t="shared" si="1648"/>
        <v>179.28571428571428</v>
      </c>
      <c r="K10036" s="297">
        <f>J10036/POBLA!$B$3*100000</f>
        <v>43.155829338123688</v>
      </c>
      <c r="L10036" s="549">
        <f t="shared" si="1645"/>
        <v>-0.14611872146118721</v>
      </c>
      <c r="M10036" s="401">
        <f>SUM(C10036,C10012,C9988,C9964,C9940,C9916,C9892)/POBLA!$B$3*100000</f>
        <v>302.09080536686582</v>
      </c>
    </row>
    <row r="10037" spans="1:13" s="360" customFormat="1" x14ac:dyDescent="0.25">
      <c r="A10037" s="367" t="s">
        <v>15</v>
      </c>
      <c r="B10037" s="2">
        <v>44311</v>
      </c>
      <c r="C10037" s="4">
        <v>165</v>
      </c>
      <c r="D10037" s="39">
        <f t="shared" si="1646"/>
        <v>43607</v>
      </c>
      <c r="E10037" s="1">
        <v>1</v>
      </c>
      <c r="F10037" s="39">
        <f t="shared" si="1643"/>
        <v>1014</v>
      </c>
      <c r="G10037" s="168">
        <f>SUM(C10037,C10013,C9989,C9965,C9941,C9917,C9893,C9869,C9845,C9821,C9797,C9773,C9749,C9725)/POBLA!$B$4*100000</f>
        <v>271.22364452517598</v>
      </c>
      <c r="H10037" s="256">
        <f t="shared" si="1644"/>
        <v>1.3860840050912175</v>
      </c>
      <c r="I10037" s="297">
        <f t="shared" si="1647"/>
        <v>375.93875547889263</v>
      </c>
      <c r="J10037" s="297">
        <f t="shared" si="1648"/>
        <v>214.85714285714286</v>
      </c>
      <c r="K10037" s="297">
        <f>J10037/POBLA!$B$4*100000</f>
        <v>17.83726272971554</v>
      </c>
      <c r="L10037" s="549">
        <f t="shared" si="1645"/>
        <v>0.14690867838910948</v>
      </c>
      <c r="M10037" s="401">
        <f>SUM(C10037,C10013,C9989,C9965,C9941,C9917,C9893)/POBLA!$B$4*100000</f>
        <v>124.86083910800878</v>
      </c>
    </row>
    <row r="10038" spans="1:13" s="360" customFormat="1" x14ac:dyDescent="0.25">
      <c r="A10038" s="367" t="s">
        <v>29</v>
      </c>
      <c r="B10038" s="2">
        <v>44311</v>
      </c>
      <c r="C10038" s="4">
        <v>78</v>
      </c>
      <c r="D10038" s="39">
        <f t="shared" si="1646"/>
        <v>53934</v>
      </c>
      <c r="E10038" s="1"/>
      <c r="F10038" s="39">
        <f t="shared" si="1643"/>
        <v>900</v>
      </c>
      <c r="G10038" s="168">
        <f>SUM(C10038,C10014,C9990,C9966,C9942,C9918,C9894,C9870,C9846,C9822,C9798,C9774,C9750,C9726)/POBLA!$B$5*100000</f>
        <v>418.58240952254789</v>
      </c>
      <c r="H10038" s="256">
        <f t="shared" si="1644"/>
        <v>1.454800673778776</v>
      </c>
      <c r="I10038" s="297">
        <f t="shared" si="1647"/>
        <v>608.95397140534624</v>
      </c>
      <c r="J10038" s="297">
        <f t="shared" si="1648"/>
        <v>191.28571428571428</v>
      </c>
      <c r="K10038" s="297">
        <f>J10038/POBLA!$B$5*100000</f>
        <v>30.902676647223444</v>
      </c>
      <c r="L10038" s="549">
        <f t="shared" si="1645"/>
        <v>-6.9488817891373733E-2</v>
      </c>
      <c r="M10038" s="401">
        <f>SUM(C10038,C10014,C9990,C9966,C9942,C9918,C9894)/POBLA!$B$5*100000</f>
        <v>216.31873653056411</v>
      </c>
    </row>
    <row r="10039" spans="1:13" s="360" customFormat="1" x14ac:dyDescent="0.25">
      <c r="A10039" s="367" t="s">
        <v>30</v>
      </c>
      <c r="B10039" s="2">
        <v>44311</v>
      </c>
      <c r="C10039" s="4">
        <v>193</v>
      </c>
      <c r="D10039" s="39">
        <f t="shared" si="1646"/>
        <v>36590</v>
      </c>
      <c r="E10039" s="1"/>
      <c r="F10039" s="39">
        <f t="shared" si="1643"/>
        <v>448</v>
      </c>
      <c r="G10039" s="168">
        <f>SUM(C10039,C10015,C9991,C9967,C9943,C9919,C9895,C9871,C9847,C9823,C9799,C9775,C9751,C9727)/POBLA!$B$6*100000</f>
        <v>299.69637785833521</v>
      </c>
      <c r="H10039" s="256">
        <f t="shared" si="1644"/>
        <v>0.69343517753922379</v>
      </c>
      <c r="I10039" s="297">
        <f t="shared" si="1647"/>
        <v>207.82001098805696</v>
      </c>
      <c r="J10039" s="297">
        <f t="shared" si="1648"/>
        <v>265.28571428571428</v>
      </c>
      <c r="K10039" s="297">
        <f>J10039/POBLA!$B$6*100000</f>
        <v>23.669296715983862</v>
      </c>
      <c r="L10039" s="549">
        <f t="shared" si="1645"/>
        <v>-0.23635153129161113</v>
      </c>
      <c r="M10039" s="401">
        <f>SUM(C10039,C10015,C9991,C9967,C9943,C9919,C9895)/POBLA!$B$6*100000</f>
        <v>165.68507701188705</v>
      </c>
    </row>
    <row r="10040" spans="1:13" s="360" customFormat="1" x14ac:dyDescent="0.25">
      <c r="A10040" s="367" t="s">
        <v>20</v>
      </c>
      <c r="B10040" s="2">
        <v>44311</v>
      </c>
      <c r="C10040" s="4">
        <v>893</v>
      </c>
      <c r="D10040" s="39">
        <f t="shared" si="1646"/>
        <v>218524</v>
      </c>
      <c r="E10040" s="1">
        <v>2</v>
      </c>
      <c r="F10040" s="39">
        <f t="shared" si="1643"/>
        <v>3287</v>
      </c>
      <c r="G10040" s="168">
        <f>SUM(C10040,C10016,C9992,C9968,C9944,C9920,C9896,C9872,C9848,C9824,C9800,C9776,C9752,C9728)/POBLA!$B$7*100000</f>
        <v>619.52691832094558</v>
      </c>
      <c r="H10040" s="256">
        <f t="shared" si="1644"/>
        <v>1.3120635278215815</v>
      </c>
      <c r="I10040" s="297">
        <f t="shared" si="1647"/>
        <v>812.85867403261261</v>
      </c>
      <c r="J10040" s="297">
        <f t="shared" si="1648"/>
        <v>1671.5714285714287</v>
      </c>
      <c r="K10040" s="297">
        <f>J10040/POBLA!$B$7*100000</f>
        <v>44.451366952663342</v>
      </c>
      <c r="L10040" s="549">
        <f t="shared" si="1645"/>
        <v>-9.0548464987927346E-3</v>
      </c>
      <c r="M10040" s="401">
        <f>SUM(C10040,C10016,C9992,C9968,C9944,C9920,C9896)/POBLA!$B$7*100000</f>
        <v>311.15956866864337</v>
      </c>
    </row>
    <row r="10041" spans="1:13" x14ac:dyDescent="0.25">
      <c r="A10041" s="367" t="s">
        <v>31</v>
      </c>
      <c r="B10041" s="2">
        <v>44311</v>
      </c>
      <c r="C10041" s="4">
        <v>220</v>
      </c>
      <c r="D10041" s="39">
        <f t="shared" si="1646"/>
        <v>59962</v>
      </c>
      <c r="F10041" s="39">
        <f t="shared" si="1643"/>
        <v>1031</v>
      </c>
      <c r="G10041" s="168">
        <f>SUM(C10041,C10017,C9993,C9969,C9945,C9921,C9897,C9873,C9849,C9825,C9801,C9777,C9753,C9729)/POBLA!$B$8*100000</f>
        <v>497.12798556380739</v>
      </c>
      <c r="H10041" s="256">
        <f t="shared" si="1644"/>
        <v>1.788681204569055</v>
      </c>
      <c r="I10041" s="297">
        <f t="shared" si="1647"/>
        <v>889.20348404325875</v>
      </c>
      <c r="J10041" s="297">
        <f t="shared" si="1648"/>
        <v>502.14285714285717</v>
      </c>
      <c r="K10041" s="297">
        <f>J10041/POBLA!$B$8*100000</f>
        <v>36.230662850026597</v>
      </c>
      <c r="L10041" s="549">
        <f t="shared" si="1645"/>
        <v>-4.1481481481481453E-2</v>
      </c>
      <c r="M10041" s="401">
        <f>SUM(C10041,C10017,C9993,C9969,C9945,C9921,C9897)/POBLA!$B$8*100000</f>
        <v>253.61463995018616</v>
      </c>
    </row>
    <row r="10042" spans="1:13" s="360" customFormat="1" x14ac:dyDescent="0.25">
      <c r="A10042" s="367" t="s">
        <v>41</v>
      </c>
      <c r="B10042" s="2">
        <v>44311</v>
      </c>
      <c r="C10042" s="4">
        <v>120</v>
      </c>
      <c r="D10042" s="39">
        <f t="shared" si="1646"/>
        <v>4206</v>
      </c>
      <c r="E10042" s="1"/>
      <c r="F10042" s="39">
        <f t="shared" si="1643"/>
        <v>67</v>
      </c>
      <c r="G10042" s="168">
        <f>SUM(C10042,C10018,C9994,C9970,C9946,C9922,C9898,C9874,C9850,C9826,C9802,C9778,C9754,C9730)/POBLA!$B$9*100000</f>
        <v>256.44711687015547</v>
      </c>
      <c r="H10042" s="256">
        <f t="shared" si="1644"/>
        <v>2.2992592592592591</v>
      </c>
      <c r="I10042" s="297">
        <f t="shared" si="1647"/>
        <v>589.63840797404634</v>
      </c>
      <c r="J10042" s="297">
        <f t="shared" si="1648"/>
        <v>106.28571428571429</v>
      </c>
      <c r="K10042" s="297">
        <f>J10042/POBLA!$B$9*100000</f>
        <v>17.562284145010647</v>
      </c>
      <c r="L10042" s="549">
        <f t="shared" si="1645"/>
        <v>7.9207920792079167E-2</v>
      </c>
      <c r="M10042" s="401">
        <f>SUM(C10042,C10018,C9994,C9970,C9946,C9922,C9898)/POBLA!$B$9*100000</f>
        <v>122.93598901507454</v>
      </c>
    </row>
    <row r="10043" spans="1:13" s="360" customFormat="1" x14ac:dyDescent="0.25">
      <c r="A10043" s="367" t="s">
        <v>32</v>
      </c>
      <c r="B10043" s="2">
        <v>44311</v>
      </c>
      <c r="C10043" s="4">
        <v>82</v>
      </c>
      <c r="D10043" s="39">
        <f t="shared" si="1646"/>
        <v>24344</v>
      </c>
      <c r="E10043" s="1">
        <v>2</v>
      </c>
      <c r="F10043" s="39">
        <f t="shared" si="1643"/>
        <v>1018</v>
      </c>
      <c r="G10043" s="168">
        <f>SUM(C10043,C10019,C9995,C9971,C9947,C9923,C9899,C9875,C9851,C9827,C9803,C9779,C9755,C9731)/POBLA!$B$10*100000</f>
        <v>169.54627238185918</v>
      </c>
      <c r="H10043" s="256">
        <f t="shared" si="1644"/>
        <v>1.7638326585695008</v>
      </c>
      <c r="I10043" s="297">
        <f t="shared" si="1647"/>
        <v>299.05125236584342</v>
      </c>
      <c r="J10043" s="297">
        <f t="shared" si="1648"/>
        <v>94</v>
      </c>
      <c r="K10043" s="297">
        <f>J10043/POBLA!$B$10*100000</f>
        <v>12.193840553859804</v>
      </c>
      <c r="L10043" s="549">
        <f t="shared" si="1645"/>
        <v>-1.3867488443759735E-2</v>
      </c>
      <c r="M10043" s="401">
        <f>SUM(C10043,C10019,C9995,C9971,C9947,C9923,C9899)/POBLA!$B$10*100000</f>
        <v>85.356883877018632</v>
      </c>
    </row>
    <row r="10044" spans="1:13" s="360" customFormat="1" x14ac:dyDescent="0.25">
      <c r="A10044" s="375" t="s">
        <v>33</v>
      </c>
      <c r="B10044" s="2">
        <v>44311</v>
      </c>
      <c r="C10044" s="4">
        <v>220</v>
      </c>
      <c r="D10044" s="39">
        <f t="shared" si="1646"/>
        <v>25767</v>
      </c>
      <c r="E10044" s="1"/>
      <c r="F10044" s="39">
        <f t="shared" si="1643"/>
        <v>346</v>
      </c>
      <c r="G10044" s="168">
        <f>SUM(C10044,C10020,C9996,C9972,C9948,C9924,C9900,C9876,C9852,C9828,C9804,C9780,C9756,C9732)/POBLA!$B$11*100000</f>
        <v>846.19505172586969</v>
      </c>
      <c r="H10044" s="256">
        <f t="shared" si="1644"/>
        <v>1.8075089392133492</v>
      </c>
      <c r="I10044" s="297">
        <f t="shared" si="1647"/>
        <v>1529.5051203126118</v>
      </c>
      <c r="J10044" s="297">
        <f t="shared" si="1648"/>
        <v>248.42857142857142</v>
      </c>
      <c r="K10044" s="297">
        <f>J10044/POBLA!$B$11*100000</f>
        <v>69.310592763001623</v>
      </c>
      <c r="L10044" s="549">
        <f t="shared" si="1645"/>
        <v>-0.34389489953632157</v>
      </c>
      <c r="M10044" s="401">
        <f>SUM(C10044,C10020,C9996,C9972,C9948,C9924,C9900)/POBLA!$B$11*100000</f>
        <v>485.17414934101129</v>
      </c>
    </row>
    <row r="10045" spans="1:13" s="360" customFormat="1" x14ac:dyDescent="0.25">
      <c r="A10045" s="367" t="s">
        <v>21</v>
      </c>
      <c r="B10045" s="2">
        <v>44311</v>
      </c>
      <c r="C10045" s="4">
        <v>50</v>
      </c>
      <c r="D10045" s="39">
        <f t="shared" si="1646"/>
        <v>13073</v>
      </c>
      <c r="E10045" s="1"/>
      <c r="F10045" s="39">
        <f t="shared" si="1643"/>
        <v>464</v>
      </c>
      <c r="G10045" s="168">
        <f>SUM(C10045,C10021,C9997,C9973,C9949,C9925,C9901,C9877,C9853,C9829,C9805,C9781,C9757,C9733)/POBLA!$B$12*100000</f>
        <v>265.29040914184651</v>
      </c>
      <c r="H10045" s="256">
        <f t="shared" si="1644"/>
        <v>0.92635314995563445</v>
      </c>
      <c r="I10045" s="297">
        <f t="shared" si="1647"/>
        <v>245.75260616156856</v>
      </c>
      <c r="J10045" s="297">
        <f t="shared" si="1648"/>
        <v>90.285714285714292</v>
      </c>
      <c r="K10045" s="297">
        <f>J10045/POBLA!$B$12*100000</f>
        <v>22.942465596284485</v>
      </c>
      <c r="L10045" s="549">
        <f t="shared" si="1645"/>
        <v>-0.53398058252427183</v>
      </c>
      <c r="M10045" s="401">
        <f>SUM(C10045,C10021,C9997,C9973,C9949,C9925,C9901)/POBLA!$B$12*100000</f>
        <v>160.59725917399138</v>
      </c>
    </row>
    <row r="10046" spans="1:13" s="360" customFormat="1" x14ac:dyDescent="0.25">
      <c r="A10046" s="367" t="s">
        <v>17</v>
      </c>
      <c r="B10046" s="2">
        <v>44311</v>
      </c>
      <c r="C10046" s="4">
        <v>452</v>
      </c>
      <c r="D10046" s="39">
        <f t="shared" si="1646"/>
        <v>92296</v>
      </c>
      <c r="E10046" s="1">
        <v>5</v>
      </c>
      <c r="F10046" s="39">
        <f t="shared" si="1643"/>
        <v>1725</v>
      </c>
      <c r="G10046" s="168">
        <f>SUM(C10046,C10022,C9998,C9974,C9950,C9926,C9902,C9878,C9854,C9830,C9806,C9782,C9758,C9734)/POBLA!$B$13*100000</f>
        <v>614.97092453643552</v>
      </c>
      <c r="H10046" s="256">
        <f t="shared" si="1644"/>
        <v>1.4901387874360847</v>
      </c>
      <c r="I10046" s="297">
        <f t="shared" si="1647"/>
        <v>916.39202779717198</v>
      </c>
      <c r="J10046" s="297">
        <f t="shared" si="1648"/>
        <v>879</v>
      </c>
      <c r="K10046" s="297">
        <f>J10046/POBLA!$B$13*100000</f>
        <v>44.163353159111672</v>
      </c>
      <c r="L10046" s="549">
        <f t="shared" si="1645"/>
        <v>-1.0842779694430815E-2</v>
      </c>
      <c r="M10046" s="401">
        <f>SUM(C10046,C10022,C9998,C9974,C9950,C9926,C9902)/POBLA!$B$13*100000</f>
        <v>309.14347211378168</v>
      </c>
    </row>
    <row r="10047" spans="1:13" s="360" customFormat="1" x14ac:dyDescent="0.25">
      <c r="A10047" s="367" t="s">
        <v>23</v>
      </c>
      <c r="B10047" s="2">
        <v>44311</v>
      </c>
      <c r="C10047" s="4">
        <v>129</v>
      </c>
      <c r="D10047" s="39">
        <f t="shared" si="1646"/>
        <v>15112</v>
      </c>
      <c r="E10047" s="1"/>
      <c r="F10047" s="39">
        <f t="shared" si="1643"/>
        <v>237</v>
      </c>
      <c r="G10047" s="168">
        <f>SUM(C10047,C10023,C9999,C9975,C9951,C9927,C9903,C9879,C9855,C9831,C9807,C9783,C9759,C9735)/POBLA!$B$14*100000</f>
        <v>138.66711488360366</v>
      </c>
      <c r="H10047" s="256">
        <f t="shared" si="1644"/>
        <v>1.0504504504504504</v>
      </c>
      <c r="I10047" s="297">
        <f t="shared" si="1647"/>
        <v>145.66293329214582</v>
      </c>
      <c r="J10047" s="297">
        <f t="shared" si="1648"/>
        <v>116.28571428571429</v>
      </c>
      <c r="K10047" s="297">
        <f>J10047/POBLA!$B$14*100000</f>
        <v>9.2195566050194717</v>
      </c>
      <c r="L10047" s="549">
        <f t="shared" si="1645"/>
        <v>0.12941176470588234</v>
      </c>
      <c r="M10047" s="401">
        <f>SUM(C10047,C10023,C9999,C9975,C9951,C9927,C9903)/POBLA!$B$14*100000</f>
        <v>64.536896235136297</v>
      </c>
    </row>
    <row r="10048" spans="1:13" s="360" customFormat="1" x14ac:dyDescent="0.25">
      <c r="A10048" s="367" t="s">
        <v>19</v>
      </c>
      <c r="B10048" s="2">
        <v>44311</v>
      </c>
      <c r="C10048" s="4">
        <v>177</v>
      </c>
      <c r="D10048" s="39">
        <f t="shared" si="1646"/>
        <v>69351</v>
      </c>
      <c r="E10048" s="1"/>
      <c r="F10048" s="39">
        <f t="shared" si="1643"/>
        <v>1049</v>
      </c>
      <c r="G10048" s="168">
        <f>SUM(C10048,C10024,C10000,C9976,C9952,C9928,C9904,C9880,C9856,C9832,C9808,C9784,C9760,C9736)/POBLA!$B$15*100000</f>
        <v>420.89760366956455</v>
      </c>
      <c r="H10048" s="256">
        <f t="shared" si="1644"/>
        <v>1.6587537091988132</v>
      </c>
      <c r="I10048" s="297">
        <f t="shared" si="1647"/>
        <v>698.16546127978222</v>
      </c>
      <c r="J10048" s="297">
        <f t="shared" si="1648"/>
        <v>225.71428571428572</v>
      </c>
      <c r="K10048" s="297">
        <f>J10048/POBLA!$B$15*100000</f>
        <v>33.990197485198664</v>
      </c>
      <c r="L10048" s="549">
        <f t="shared" si="1645"/>
        <v>-0.30041152263374493</v>
      </c>
      <c r="M10048" s="401">
        <f>SUM(C10048,C10024,C10000,C9976,C9952,C9928,C9904)/POBLA!$B$15*100000</f>
        <v>237.93138239639066</v>
      </c>
    </row>
    <row r="10049" spans="1:13" s="360" customFormat="1" x14ac:dyDescent="0.25">
      <c r="A10049" s="367" t="s">
        <v>18</v>
      </c>
      <c r="B10049" s="2">
        <v>44311</v>
      </c>
      <c r="C10049" s="4">
        <v>128</v>
      </c>
      <c r="D10049" s="39">
        <f t="shared" si="1646"/>
        <v>59838</v>
      </c>
      <c r="E10049" s="1"/>
      <c r="F10049" s="39">
        <f t="shared" si="1643"/>
        <v>1336</v>
      </c>
      <c r="G10049" s="168">
        <f>SUM(C10049,C10025,C10001,C9977,C9953,C9929,C9905,C9881,C9857,C9833,C9809,C9785,C9761,C9737)/POBLA!$B$16*100000</f>
        <v>409.03679726060375</v>
      </c>
      <c r="H10049" s="256">
        <f t="shared" si="1644"/>
        <v>1.7474285714285713</v>
      </c>
      <c r="I10049" s="297">
        <f t="shared" si="1647"/>
        <v>714.76258629881499</v>
      </c>
      <c r="J10049" s="297">
        <f t="shared" si="1648"/>
        <v>243.57142857142858</v>
      </c>
      <c r="K10049" s="297">
        <f>J10049/POBLA!$B$16*100000</f>
        <v>32.580012114796297</v>
      </c>
      <c r="L10049" s="549">
        <f t="shared" si="1645"/>
        <v>-0.26016260162601634</v>
      </c>
      <c r="M10049" s="401">
        <f>SUM(C10049,C10025,C10001,C9977,C9953,C9929,C9905)/POBLA!$B$16*100000</f>
        <v>228.06008480357403</v>
      </c>
    </row>
    <row r="10050" spans="1:13" s="360" customFormat="1" x14ac:dyDescent="0.25">
      <c r="A10050" s="367" t="s">
        <v>34</v>
      </c>
      <c r="B10050" s="2">
        <v>44311</v>
      </c>
      <c r="C10050" s="4">
        <v>55</v>
      </c>
      <c r="D10050" s="39">
        <f t="shared" si="1646"/>
        <v>33670</v>
      </c>
      <c r="E10050" s="1"/>
      <c r="F10050" s="39">
        <f t="shared" si="1643"/>
        <v>1250</v>
      </c>
      <c r="G10050" s="168">
        <f>SUM(C10050,C10026,C10002,C9978,C9954,C9930,C9906,C9882,C9858,C9834,C9810,C9786,C9762,C9738)/POBLA!$B$17*100000</f>
        <v>186.60527928660338</v>
      </c>
      <c r="H10050" s="256">
        <f t="shared" si="1644"/>
        <v>1.3067846607669618</v>
      </c>
      <c r="I10050" s="297">
        <f t="shared" si="1647"/>
        <v>243.85291658986816</v>
      </c>
      <c r="J10050" s="297">
        <f t="shared" si="1648"/>
        <v>193</v>
      </c>
      <c r="K10050" s="297">
        <f>J10050/POBLA!$B$17*100000</f>
        <v>13.549593266483994</v>
      </c>
      <c r="L10050" s="549">
        <f t="shared" si="1645"/>
        <v>-3.3664881407804215E-2</v>
      </c>
      <c r="M10050" s="401">
        <f>SUM(C10050,C10026,C10002,C9978,C9954,C9930,C9906)/POBLA!$B$17*100000</f>
        <v>94.84715286538794</v>
      </c>
    </row>
    <row r="10051" spans="1:13" s="360" customFormat="1" x14ac:dyDescent="0.25">
      <c r="A10051" s="367" t="s">
        <v>35</v>
      </c>
      <c r="B10051" s="2">
        <v>44311</v>
      </c>
      <c r="C10051" s="4">
        <v>59</v>
      </c>
      <c r="D10051" s="39">
        <f t="shared" si="1646"/>
        <v>21979</v>
      </c>
      <c r="E10051" s="1"/>
      <c r="F10051" s="39">
        <f t="shared" si="1643"/>
        <v>255</v>
      </c>
      <c r="G10051" s="168">
        <f>SUM(C10051,C10027,C10003,C9979,C9955,C9931,C9907,C9883,C9859,C9835,C9811,C9787,C9763,C9739)/POBLA!$B$18*100000</f>
        <v>408.97727520010443</v>
      </c>
      <c r="H10051" s="256">
        <f t="shared" si="1644"/>
        <v>1.6317671092951991</v>
      </c>
      <c r="I10051" s="297">
        <f t="shared" si="1647"/>
        <v>667.35566612070147</v>
      </c>
      <c r="J10051" s="297">
        <f t="shared" si="1648"/>
        <v>260.14285714285717</v>
      </c>
      <c r="K10051" s="297">
        <f>J10051/POBLA!$B$18*100000</f>
        <v>33.299692293288189</v>
      </c>
      <c r="L10051" s="549">
        <f t="shared" si="1645"/>
        <v>-0.3253275109170306</v>
      </c>
      <c r="M10051" s="401">
        <f>SUM(C10051,C10027,C10003,C9979,C9955,C9931,C9907)/POBLA!$B$18*100000</f>
        <v>233.09784605301726</v>
      </c>
    </row>
    <row r="10052" spans="1:13" s="360" customFormat="1" x14ac:dyDescent="0.25">
      <c r="A10052" s="375" t="s">
        <v>36</v>
      </c>
      <c r="B10052" s="2">
        <v>44311</v>
      </c>
      <c r="C10052" s="4">
        <v>607</v>
      </c>
      <c r="D10052" s="39">
        <f t="shared" si="1646"/>
        <v>34769</v>
      </c>
      <c r="E10052" s="1"/>
      <c r="F10052" s="39">
        <f t="shared" si="1643"/>
        <v>468</v>
      </c>
      <c r="G10052" s="168">
        <f>SUM(C10052,C10028,C10004,C9980,C9956,C9932,C9908,C9884,C9860,C9836,C9812,C9788,C9764,C9740)/POBLA!$B$19*100000</f>
        <v>1654.6403109803118</v>
      </c>
      <c r="H10052" s="256">
        <f t="shared" si="1644"/>
        <v>2.0980294337740086</v>
      </c>
      <c r="I10052" s="297">
        <f t="shared" si="1647"/>
        <v>3471.4840747456733</v>
      </c>
      <c r="J10052" s="297">
        <f t="shared" si="1648"/>
        <v>665.85714285714289</v>
      </c>
      <c r="K10052" s="297">
        <f>J10052/POBLA!$B$19*100000</f>
        <v>130.98966471592021</v>
      </c>
      <c r="L10052" s="549">
        <f t="shared" si="1645"/>
        <v>-0.24293333333333322</v>
      </c>
      <c r="M10052" s="401">
        <f>SUM(C10052,C10028,C10004,C9980,C9956,C9932,C9908)/POBLA!$B$19*100000</f>
        <v>916.92765301144152</v>
      </c>
    </row>
    <row r="10053" spans="1:13" s="360" customFormat="1" x14ac:dyDescent="0.25">
      <c r="A10053" s="367" t="s">
        <v>37</v>
      </c>
      <c r="B10053" s="2">
        <v>44311</v>
      </c>
      <c r="C10053" s="4">
        <v>138</v>
      </c>
      <c r="D10053" s="39">
        <f t="shared" si="1646"/>
        <v>43650</v>
      </c>
      <c r="E10053" s="1">
        <v>3</v>
      </c>
      <c r="F10053" s="39">
        <f t="shared" si="1643"/>
        <v>693</v>
      </c>
      <c r="G10053" s="168">
        <f>SUM(C10053,C10029,C10005,C9981,C9957,C9933,C9909,C9885,C9861,C9837,C9813,C9789,C9765,C9741)/POBLA!$B$20*100000</f>
        <v>726.00889258349787</v>
      </c>
      <c r="H10053" s="256">
        <f t="shared" si="1644"/>
        <v>1.3008329250367467</v>
      </c>
      <c r="I10053" s="297">
        <f t="shared" si="1647"/>
        <v>944.41627134208079</v>
      </c>
      <c r="J10053" s="297">
        <f t="shared" si="1648"/>
        <v>199</v>
      </c>
      <c r="K10053" s="297">
        <f>J10053/POBLA!$B$20*100000</f>
        <v>54.416485734130347</v>
      </c>
      <c r="L10053" s="549">
        <f t="shared" si="1645"/>
        <v>-0.10380348652931848</v>
      </c>
      <c r="M10053" s="401">
        <f>SUM(C10053,C10029,C10005,C9981,C9957,C9933,C9909)/POBLA!$B$20*100000</f>
        <v>380.91540013891245</v>
      </c>
    </row>
    <row r="10054" spans="1:13" s="360" customFormat="1" x14ac:dyDescent="0.25">
      <c r="A10054" s="367" t="s">
        <v>22</v>
      </c>
      <c r="B10054" s="2">
        <v>44311</v>
      </c>
      <c r="C10054" s="4">
        <v>1143</v>
      </c>
      <c r="D10054" s="39">
        <f t="shared" si="1646"/>
        <v>265122</v>
      </c>
      <c r="E10054" s="1">
        <v>1</v>
      </c>
      <c r="F10054" s="39">
        <f t="shared" si="1643"/>
        <v>4525</v>
      </c>
      <c r="G10054" s="168">
        <f>SUM(C10054,C10030,C10006,C9982,C9958,C9934,C9910,C9886,C9862,C9838,C9814,C9790,C9766,C9742)/POBLA!$B$21*100000</f>
        <v>651.61980286267067</v>
      </c>
      <c r="H10054" s="256">
        <f t="shared" si="1644"/>
        <v>1.7834532930887703</v>
      </c>
      <c r="I10054" s="297">
        <f t="shared" si="1647"/>
        <v>1162.1334832572854</v>
      </c>
      <c r="J10054" s="297">
        <f t="shared" si="1648"/>
        <v>1737.8571428571429</v>
      </c>
      <c r="K10054" s="297">
        <f>J10054/POBLA!$B$21*100000</f>
        <v>49.141734457214703</v>
      </c>
      <c r="L10054" s="549">
        <f t="shared" si="1645"/>
        <v>-0.11820939424579469</v>
      </c>
      <c r="M10054" s="401">
        <f>SUM(C10054,C10030,C10006,C9982,C9958,C9934,C9910)/POBLA!$B$21*100000</f>
        <v>343.99214120050289</v>
      </c>
    </row>
    <row r="10055" spans="1:13" s="360" customFormat="1" x14ac:dyDescent="0.25">
      <c r="A10055" s="367" t="s">
        <v>38</v>
      </c>
      <c r="B10055" s="2">
        <v>44311</v>
      </c>
      <c r="C10055" s="4">
        <v>234</v>
      </c>
      <c r="D10055" s="39">
        <f t="shared" si="1646"/>
        <v>29795</v>
      </c>
      <c r="E10055" s="1"/>
      <c r="F10055" s="39">
        <f t="shared" si="1643"/>
        <v>328</v>
      </c>
      <c r="G10055" s="168">
        <f>SUM(C10055,C10031,C10007,C9983,C9959,C9935,C9911,C9887,C9863,C9839,C9815,C9791,C9767,C9743)/POBLA!$B$22*100000</f>
        <v>303.37938880501434</v>
      </c>
      <c r="H10055" s="256">
        <f t="shared" si="1644"/>
        <v>1.4922071392659628</v>
      </c>
      <c r="I10055" s="297">
        <f t="shared" si="1647"/>
        <v>452.70488988098674</v>
      </c>
      <c r="J10055" s="297">
        <f t="shared" si="1648"/>
        <v>222.71428571428572</v>
      </c>
      <c r="K10055" s="297">
        <f>J10055/POBLA!$B$22*100000</f>
        <v>22.76513607754223</v>
      </c>
      <c r="L10055" s="549">
        <f t="shared" si="1645"/>
        <v>-0.10645848119233503</v>
      </c>
      <c r="M10055" s="401">
        <f>SUM(C10055,C10031,C10007,C9983,C9959,C9935,C9911)/POBLA!$B$22*100000</f>
        <v>159.35595254279562</v>
      </c>
    </row>
    <row r="10056" spans="1:13" s="360" customFormat="1" x14ac:dyDescent="0.25">
      <c r="A10056" s="367" t="s">
        <v>39</v>
      </c>
      <c r="B10056" s="2">
        <v>44311</v>
      </c>
      <c r="C10056" s="4">
        <v>50</v>
      </c>
      <c r="D10056" s="39">
        <f t="shared" si="1646"/>
        <v>26045</v>
      </c>
      <c r="E10056" s="1">
        <v>1</v>
      </c>
      <c r="F10056" s="39">
        <f t="shared" si="1643"/>
        <v>376</v>
      </c>
      <c r="G10056" s="168">
        <f>SUM(C10056,C10032,C10008,C9984,C9960,C9936,C9912,C9888,C9864,C9840,C9816,C9792,C9768,C9744)/POBLA!$B$23*100000</f>
        <v>676.92133687722674</v>
      </c>
      <c r="H10056" s="256">
        <f t="shared" si="1644"/>
        <v>1.3053435114503817</v>
      </c>
      <c r="I10056" s="297">
        <f t="shared" si="1647"/>
        <v>883.61487485500595</v>
      </c>
      <c r="J10056" s="297">
        <f t="shared" si="1648"/>
        <v>83.285714285714292</v>
      </c>
      <c r="K10056" s="297">
        <f>J10056/POBLA!$B$23*100000</f>
        <v>47.099312495455685</v>
      </c>
      <c r="L10056" s="549">
        <f t="shared" si="1645"/>
        <v>5.0488599348534224E-2</v>
      </c>
      <c r="M10056" s="401">
        <f>SUM(C10056,C10032,C10008,C9984,C9960,C9936,C9912)/POBLA!$B$23*100000</f>
        <v>329.69518746818977</v>
      </c>
    </row>
    <row r="10057" spans="1:13" s="360" customFormat="1" ht="15.75" thickBot="1" x14ac:dyDescent="0.3">
      <c r="A10057" s="369" t="s">
        <v>40</v>
      </c>
      <c r="B10057" s="266">
        <v>44311</v>
      </c>
      <c r="C10057" s="357">
        <v>147</v>
      </c>
      <c r="D10057" s="176">
        <f t="shared" si="1646"/>
        <v>102413</v>
      </c>
      <c r="E10057" s="44"/>
      <c r="F10057" s="176">
        <f t="shared" si="1643"/>
        <v>1600</v>
      </c>
      <c r="G10057" s="177">
        <f>SUM(C10057,C10033,C10009,C9985,C9961,C9937,C9913,C9889,C9865,C9841,C9817,C9793,C9769,C9745)/POBLA!$B$24*100000</f>
        <v>537.21817289172543</v>
      </c>
      <c r="H10057" s="402">
        <f t="shared" si="1644"/>
        <v>1.3230635082110158</v>
      </c>
      <c r="I10057" s="403">
        <f t="shared" si="1647"/>
        <v>710.77376050083831</v>
      </c>
      <c r="J10057" s="403">
        <f t="shared" si="1648"/>
        <v>698.71428571428567</v>
      </c>
      <c r="K10057" s="403">
        <f>J10057/POBLA!$B$24*100000</f>
        <v>41.23044946669328</v>
      </c>
      <c r="L10057" s="550">
        <f t="shared" si="1645"/>
        <v>-0.16093045335865175</v>
      </c>
      <c r="M10057" s="405">
        <f>SUM(C10057,C10033,C10009,C9985,C9961,C9937,C9913)/POBLA!$B$24*100000</f>
        <v>288.61314626685299</v>
      </c>
    </row>
    <row r="10058" spans="1:13" s="360" customFormat="1" ht="15.75" thickBot="1" x14ac:dyDescent="0.3">
      <c r="A10058" s="363" t="s">
        <v>16</v>
      </c>
      <c r="B10058" s="266">
        <v>44312</v>
      </c>
      <c r="C10058" s="225">
        <v>8884</v>
      </c>
      <c r="D10058" s="174">
        <f t="shared" si="1646"/>
        <v>1253763</v>
      </c>
      <c r="E10058" s="225">
        <v>288</v>
      </c>
      <c r="F10058" s="174">
        <f t="shared" ref="F10058:F10081" si="1649">E10058+F10034</f>
        <v>31997</v>
      </c>
      <c r="G10058" s="175">
        <f>SUM(C10058,C10034,C10010,C9986,C9962,C9938,C9914,C9890,C9866,C9842,C9818,C9794,C9770,C9746)/POBLA!$B$1*100000</f>
        <v>933.52536189065461</v>
      </c>
      <c r="H10058" s="300">
        <f t="shared" ref="H10058:H10081" si="1650">SUM(C10058,C10034,C10010,C9986,C9962,C9938,C9914,C9890,C9866,C9842,C9818,C9794,C9770,C9746)/SUM(C9722,C9698,C9674,C9650,C9626,C9602,C9578,C9554,C9530,C9506,C9482,C9458,C9434,C9410)</f>
        <v>1.4183961610422009</v>
      </c>
      <c r="I10058" s="301">
        <f>G10058*H10058</f>
        <v>1324.1087895412359</v>
      </c>
      <c r="J10058" s="301">
        <f>AVERAGE(C10058,C10034,C10010,C9986,C9962,C9938,C9914)</f>
        <v>11513</v>
      </c>
      <c r="K10058" s="301">
        <f>J10058/POBLA!$B$1*100000</f>
        <v>65.634270883518923</v>
      </c>
      <c r="L10058" s="548">
        <f t="shared" ref="L10058:L10081" si="1651">1-SUM(C10058,C10034,C10010,C9986,C9962,C9938,C9914)/SUM(C9890,C9866,C9842,C9818,C9794,C9770,C9746)</f>
        <v>3.089225589225586E-2</v>
      </c>
      <c r="M10058" s="400">
        <f>SUM(C10058,C10034,C10010,C9986,C9962,C9938,C9914)/POBLA!$B$1*100000</f>
        <v>459.43989618463246</v>
      </c>
    </row>
    <row r="10059" spans="1:13" s="360" customFormat="1" ht="15.75" thickBot="1" x14ac:dyDescent="0.3">
      <c r="A10059" s="375" t="s">
        <v>43</v>
      </c>
      <c r="B10059" s="266">
        <v>44312</v>
      </c>
      <c r="C10059" s="42">
        <v>2854</v>
      </c>
      <c r="D10059" s="39">
        <f t="shared" si="1646"/>
        <v>330786</v>
      </c>
      <c r="E10059" s="1">
        <v>32</v>
      </c>
      <c r="F10059" s="39">
        <f t="shared" si="1649"/>
        <v>7528</v>
      </c>
      <c r="G10059" s="168">
        <f>SUM(C10059,C10035,C10011,C9987,C9963,C9939,C9915,C9891,C9867,C9843,C9819,C9795,C9771,C9747)/POBLA!$B$2*100000</f>
        <v>1354.2520823267698</v>
      </c>
      <c r="H10059" s="256">
        <f t="shared" si="1650"/>
        <v>1.3647444298820446</v>
      </c>
      <c r="I10059" s="297">
        <f t="shared" ref="I10059:I10081" si="1652">G10059*H10059</f>
        <v>1848.2079860116191</v>
      </c>
      <c r="J10059" s="297">
        <f t="shared" ref="J10059:J10081" si="1653">AVERAGE(C10059,C10035,C10011,C9987,C9963,C9939,C9915)</f>
        <v>2983.7142857142858</v>
      </c>
      <c r="K10059" s="297">
        <f>J10059/POBLA!$B$2*100000</f>
        <v>97.010978692420579</v>
      </c>
      <c r="L10059" s="549">
        <f t="shared" si="1651"/>
        <v>-5.778676683039663E-3</v>
      </c>
      <c r="M10059" s="401">
        <f>SUM(C10059,C10035,C10011,C9987,C9963,C9939,C9915)/POBLA!$B$2*100000</f>
        <v>679.07685084694401</v>
      </c>
    </row>
    <row r="10060" spans="1:13" s="360" customFormat="1" ht="15.75" thickBot="1" x14ac:dyDescent="0.3">
      <c r="A10060" s="367" t="s">
        <v>28</v>
      </c>
      <c r="B10060" s="266">
        <v>44312</v>
      </c>
      <c r="C10060" s="42">
        <v>210</v>
      </c>
      <c r="D10060" s="39">
        <f t="shared" si="1646"/>
        <v>14235</v>
      </c>
      <c r="E10060" s="1"/>
      <c r="F10060" s="39">
        <f t="shared" si="1649"/>
        <v>19</v>
      </c>
      <c r="G10060" s="168">
        <f>SUM(C10060,C10036,C10012,C9988,C9964,C9940,C9916,C9892,C9868,C9844,C9820,C9796,C9772,C9748)/POBLA!$B$3*100000</f>
        <v>570.96365763363008</v>
      </c>
      <c r="H10060" s="256">
        <f t="shared" si="1650"/>
        <v>1.527366387636832</v>
      </c>
      <c r="I10060" s="297">
        <f t="shared" si="1652"/>
        <v>872.0706992317904</v>
      </c>
      <c r="J10060" s="297">
        <f t="shared" si="1653"/>
        <v>180.85714285714286</v>
      </c>
      <c r="K10060" s="297">
        <f>J10060/POBLA!$B$3*100000</f>
        <v>43.534087603238717</v>
      </c>
      <c r="L10060" s="549">
        <f t="shared" si="1651"/>
        <v>-0.1446654611211573</v>
      </c>
      <c r="M10060" s="401">
        <f>SUM(C10060,C10036,C10012,C9988,C9964,C9940,C9916)/POBLA!$B$3*100000</f>
        <v>304.73861322267101</v>
      </c>
    </row>
    <row r="10061" spans="1:13" s="360" customFormat="1" ht="15.75" thickBot="1" x14ac:dyDescent="0.3">
      <c r="A10061" s="367" t="s">
        <v>15</v>
      </c>
      <c r="B10061" s="266">
        <v>44312</v>
      </c>
      <c r="C10061" s="42">
        <v>157</v>
      </c>
      <c r="D10061" s="39">
        <f t="shared" si="1646"/>
        <v>43764</v>
      </c>
      <c r="E10061" s="1">
        <v>5</v>
      </c>
      <c r="F10061" s="39">
        <f t="shared" si="1649"/>
        <v>1019</v>
      </c>
      <c r="G10061" s="168">
        <f>SUM(C10061,C10037,C10013,C9989,C9965,C9941,C9917,C9893,C9869,C9845,C9821,C9797,C9773,C9749)/POBLA!$B$4*100000</f>
        <v>264.25003383031378</v>
      </c>
      <c r="H10061" s="256">
        <f t="shared" si="1650"/>
        <v>1.3487288135593221</v>
      </c>
      <c r="I10061" s="297">
        <f t="shared" si="1652"/>
        <v>356.40163461096984</v>
      </c>
      <c r="J10061" s="297">
        <f t="shared" si="1653"/>
        <v>214.14285714285714</v>
      </c>
      <c r="K10061" s="297">
        <f>J10061/POBLA!$B$4*100000</f>
        <v>17.777963319044943</v>
      </c>
      <c r="L10061" s="549">
        <f t="shared" si="1651"/>
        <v>0.10985748218527314</v>
      </c>
      <c r="M10061" s="401">
        <f>SUM(C10061,C10037,C10013,C9989,C9965,C9941,C9917)/POBLA!$B$4*100000</f>
        <v>124.44574323331462</v>
      </c>
    </row>
    <row r="10062" spans="1:13" s="360" customFormat="1" ht="15.75" thickBot="1" x14ac:dyDescent="0.3">
      <c r="A10062" s="367" t="s">
        <v>29</v>
      </c>
      <c r="B10062" s="266">
        <v>44312</v>
      </c>
      <c r="C10062" s="42">
        <v>185</v>
      </c>
      <c r="D10062" s="39">
        <f t="shared" si="1646"/>
        <v>54119</v>
      </c>
      <c r="E10062" s="1">
        <v>3</v>
      </c>
      <c r="F10062" s="39">
        <f t="shared" si="1649"/>
        <v>903</v>
      </c>
      <c r="G10062" s="168">
        <f>SUM(C10062,C10038,C10014,C9990,C9966,C9942,C9918,C9894,C9870,C9846,C9822,C9798,C9774,C9750)/POBLA!$B$5*100000</f>
        <v>421.97501106634309</v>
      </c>
      <c r="H10062" s="256">
        <f t="shared" si="1650"/>
        <v>1.5002871912693854</v>
      </c>
      <c r="I10062" s="297">
        <f t="shared" si="1652"/>
        <v>633.08370413859166</v>
      </c>
      <c r="J10062" s="297">
        <f t="shared" si="1653"/>
        <v>196.57142857142858</v>
      </c>
      <c r="K10062" s="297">
        <f>J10062/POBLA!$B$5*100000</f>
        <v>31.756596763688918</v>
      </c>
      <c r="L10062" s="549">
        <f t="shared" si="1651"/>
        <v>-0.11326860841423958</v>
      </c>
      <c r="M10062" s="401">
        <f>SUM(C10062,C10038,C10014,C9990,C9966,C9942,C9918)/POBLA!$B$5*100000</f>
        <v>222.2961773458224</v>
      </c>
    </row>
    <row r="10063" spans="1:13" s="360" customFormat="1" ht="15.75" thickBot="1" x14ac:dyDescent="0.3">
      <c r="A10063" s="367" t="s">
        <v>30</v>
      </c>
      <c r="B10063" s="266">
        <v>44312</v>
      </c>
      <c r="C10063" s="42">
        <v>127</v>
      </c>
      <c r="D10063" s="39">
        <f t="shared" si="1646"/>
        <v>36717</v>
      </c>
      <c r="E10063" s="1">
        <v>9</v>
      </c>
      <c r="F10063" s="39">
        <f t="shared" si="1649"/>
        <v>457</v>
      </c>
      <c r="G10063" s="168">
        <f>SUM(C10063,C10039,C10015,C9991,C9967,C9943,C9919,C9895,C9871,C9847,C9823,C9799,C9775,C9751)/POBLA!$B$6*100000</f>
        <v>304.78202642574371</v>
      </c>
      <c r="H10063" s="256">
        <f t="shared" si="1650"/>
        <v>0.77250113071008597</v>
      </c>
      <c r="I10063" s="297">
        <f t="shared" si="1652"/>
        <v>235.44446003399833</v>
      </c>
      <c r="J10063" s="297">
        <f t="shared" si="1653"/>
        <v>266.28571428571428</v>
      </c>
      <c r="K10063" s="297">
        <f>J10063/POBLA!$B$6*100000</f>
        <v>23.75851862067524</v>
      </c>
      <c r="L10063" s="549">
        <f t="shared" si="1651"/>
        <v>-0.2010309278350515</v>
      </c>
      <c r="M10063" s="401">
        <f>SUM(C10063,C10039,C10015,C9991,C9967,C9943,C9919)/POBLA!$B$6*100000</f>
        <v>166.30963034472666</v>
      </c>
    </row>
    <row r="10064" spans="1:13" s="360" customFormat="1" ht="15.75" thickBot="1" x14ac:dyDescent="0.3">
      <c r="A10064" s="367" t="s">
        <v>20</v>
      </c>
      <c r="B10064" s="266">
        <v>44312</v>
      </c>
      <c r="C10064" s="42">
        <v>968</v>
      </c>
      <c r="D10064" s="39">
        <f t="shared" si="1646"/>
        <v>219492</v>
      </c>
      <c r="E10064" s="1">
        <v>16</v>
      </c>
      <c r="F10064" s="39">
        <f t="shared" si="1649"/>
        <v>3303</v>
      </c>
      <c r="G10064" s="168">
        <f>SUM(C10064,C10040,C10016,C9992,C9968,C9944,C9920,C9896,C9872,C9848,C9824,C9800,C9776,C9752)/POBLA!$B$7*100000</f>
        <v>610.69818771689552</v>
      </c>
      <c r="H10064" s="256">
        <f t="shared" si="1650"/>
        <v>1.2772525027808677</v>
      </c>
      <c r="I10064" s="297">
        <f t="shared" si="1652"/>
        <v>780.01578870514493</v>
      </c>
      <c r="J10064" s="297">
        <f t="shared" si="1653"/>
        <v>1618.4285714285713</v>
      </c>
      <c r="K10064" s="297">
        <f>J10064/POBLA!$B$7*100000</f>
        <v>43.038162226025378</v>
      </c>
      <c r="L10064" s="549">
        <f t="shared" si="1651"/>
        <v>2.6383636988655867E-2</v>
      </c>
      <c r="M10064" s="401">
        <f>SUM(C10064,C10040,C10016,C9992,C9968,C9944,C9920)/POBLA!$B$7*100000</f>
        <v>301.26713558217767</v>
      </c>
    </row>
    <row r="10065" spans="1:13" ht="15.75" thickBot="1" x14ac:dyDescent="0.3">
      <c r="A10065" s="367" t="s">
        <v>31</v>
      </c>
      <c r="B10065" s="266">
        <v>44312</v>
      </c>
      <c r="C10065" s="427">
        <v>364</v>
      </c>
      <c r="D10065" s="39">
        <f t="shared" si="1646"/>
        <v>60326</v>
      </c>
      <c r="E10065" s="1">
        <v>9</v>
      </c>
      <c r="F10065" s="39">
        <f t="shared" si="1649"/>
        <v>1040</v>
      </c>
      <c r="G10065" s="168">
        <f>SUM(C10065,C10041,C10017,C9993,C9969,C9945,C9921,C9897,C9873,C9849,C9825,C9801,C9777,C9753)/POBLA!$B$8*100000</f>
        <v>506.72421518354412</v>
      </c>
      <c r="H10065" s="256">
        <f t="shared" si="1650"/>
        <v>1.8156670113753879</v>
      </c>
      <c r="I10065" s="297">
        <f t="shared" si="1652"/>
        <v>920.04244137384444</v>
      </c>
      <c r="J10065" s="297">
        <f t="shared" si="1653"/>
        <v>524.71428571428567</v>
      </c>
      <c r="K10065" s="297">
        <f>J10065/POBLA!$B$8*100000</f>
        <v>37.859238875717693</v>
      </c>
      <c r="L10065" s="549">
        <f t="shared" si="1651"/>
        <v>-9.6417910447761157E-2</v>
      </c>
      <c r="M10065" s="401">
        <f>SUM(C10065,C10041,C10017,C9993,C9969,C9945,C9921)/POBLA!$B$8*100000</f>
        <v>265.01467213002388</v>
      </c>
    </row>
    <row r="10066" spans="1:13" s="360" customFormat="1" ht="15.75" thickBot="1" x14ac:dyDescent="0.3">
      <c r="A10066" s="367" t="s">
        <v>41</v>
      </c>
      <c r="B10066" s="266">
        <v>44312</v>
      </c>
      <c r="C10066" s="42">
        <v>81</v>
      </c>
      <c r="D10066" s="39">
        <f t="shared" si="1646"/>
        <v>4287</v>
      </c>
      <c r="E10066" s="1">
        <v>2</v>
      </c>
      <c r="F10066" s="39">
        <f t="shared" si="1649"/>
        <v>69</v>
      </c>
      <c r="G10066" s="168">
        <f>SUM(C10066,C10042,C10018,C9994,C9970,C9946,C9922,C9898,C9874,C9850,C9826,C9802,C9778,C9754)/POBLA!$B$9*100000</f>
        <v>212.32895952200374</v>
      </c>
      <c r="H10066" s="256">
        <f t="shared" si="1650"/>
        <v>1.3554852320675106</v>
      </c>
      <c r="I10066" s="297">
        <f t="shared" si="1652"/>
        <v>287.80876897233628</v>
      </c>
      <c r="J10066" s="297">
        <f t="shared" si="1653"/>
        <v>112.14285714285714</v>
      </c>
      <c r="K10066" s="297">
        <f>J10066/POBLA!$B$9*100000</f>
        <v>18.530098190636231</v>
      </c>
      <c r="L10066" s="549">
        <f t="shared" si="1651"/>
        <v>-0.57000000000000006</v>
      </c>
      <c r="M10066" s="401">
        <f>SUM(C10066,C10042,C10018,C9994,C9970,C9946,C9922)/POBLA!$B$9*100000</f>
        <v>129.71068733445364</v>
      </c>
    </row>
    <row r="10067" spans="1:13" s="360" customFormat="1" ht="15.75" thickBot="1" x14ac:dyDescent="0.3">
      <c r="A10067" s="367" t="s">
        <v>32</v>
      </c>
      <c r="B10067" s="266">
        <v>44312</v>
      </c>
      <c r="C10067" s="42">
        <v>97</v>
      </c>
      <c r="D10067" s="39">
        <f t="shared" si="1646"/>
        <v>24441</v>
      </c>
      <c r="E10067" s="1">
        <v>3</v>
      </c>
      <c r="F10067" s="39">
        <f t="shared" si="1649"/>
        <v>1021</v>
      </c>
      <c r="G10067" s="168">
        <f>SUM(C10067,C10043,C10019,C9995,C9971,C9947,C9923,C9899,C9875,C9851,C9827,C9803,C9779,C9755)/POBLA!$B$10*100000</f>
        <v>172.78931508235382</v>
      </c>
      <c r="H10067" s="256">
        <f t="shared" si="1650"/>
        <v>1.6968152866242039</v>
      </c>
      <c r="I10067" s="297">
        <f t="shared" si="1652"/>
        <v>293.19155119706409</v>
      </c>
      <c r="J10067" s="297">
        <f t="shared" si="1653"/>
        <v>98.428571428571431</v>
      </c>
      <c r="K10067" s="297">
        <f>J10067/POBLA!$B$10*100000</f>
        <v>12.76832240366171</v>
      </c>
      <c r="L10067" s="549">
        <f t="shared" si="1651"/>
        <v>-7.1539657853810334E-2</v>
      </c>
      <c r="M10067" s="401">
        <f>SUM(C10067,C10043,C10019,C9995,C9971,C9947,C9923)/POBLA!$B$10*100000</f>
        <v>89.378256825631965</v>
      </c>
    </row>
    <row r="10068" spans="1:13" s="360" customFormat="1" ht="15.75" thickBot="1" x14ac:dyDescent="0.3">
      <c r="A10068" s="375" t="s">
        <v>33</v>
      </c>
      <c r="B10068" s="266">
        <v>44312</v>
      </c>
      <c r="C10068" s="42">
        <v>179</v>
      </c>
      <c r="D10068" s="39">
        <f t="shared" si="1646"/>
        <v>25946</v>
      </c>
      <c r="E10068" s="1">
        <v>10</v>
      </c>
      <c r="F10068" s="39">
        <f t="shared" si="1649"/>
        <v>356</v>
      </c>
      <c r="G10068" s="168">
        <f>SUM(C10068,C10044,C10020,C9996,C9972,C9948,C9924,C9900,C9876,C9852,C9828,C9804,C9780,C9756)/POBLA!$B$11*100000</f>
        <v>876.88461838918829</v>
      </c>
      <c r="H10068" s="256">
        <f t="shared" si="1650"/>
        <v>1.9106382978723404</v>
      </c>
      <c r="I10068" s="297">
        <f t="shared" si="1652"/>
        <v>1675.4093347095554</v>
      </c>
      <c r="J10068" s="297">
        <f t="shared" si="1653"/>
        <v>251.85714285714286</v>
      </c>
      <c r="K10068" s="297">
        <f>J10068/POBLA!$B$11*100000</f>
        <v>70.267150684975178</v>
      </c>
      <c r="L10068" s="549">
        <f t="shared" si="1651"/>
        <v>-0.27753623188405796</v>
      </c>
      <c r="M10068" s="401">
        <f>SUM(C10068,C10044,C10020,C9996,C9972,C9948,C9924)/POBLA!$B$11*100000</f>
        <v>491.87005479482627</v>
      </c>
    </row>
    <row r="10069" spans="1:13" s="360" customFormat="1" ht="15.75" thickBot="1" x14ac:dyDescent="0.3">
      <c r="A10069" s="367" t="s">
        <v>21</v>
      </c>
      <c r="B10069" s="266">
        <v>44312</v>
      </c>
      <c r="C10069" s="42">
        <v>46</v>
      </c>
      <c r="D10069" s="39">
        <f t="shared" si="1646"/>
        <v>13119</v>
      </c>
      <c r="E10069" s="1">
        <v>3</v>
      </c>
      <c r="F10069" s="39">
        <f t="shared" si="1649"/>
        <v>467</v>
      </c>
      <c r="G10069" s="168">
        <f>SUM(C10069,C10045,C10021,C9997,C9973,C9949,C9925,C9901,C9877,C9853,C9829,C9805,C9781,C9757)/POBLA!$B$12*100000</f>
        <v>273.93013511006757</v>
      </c>
      <c r="H10069" s="256">
        <f t="shared" si="1650"/>
        <v>1.0435624394966119</v>
      </c>
      <c r="I10069" s="297">
        <f t="shared" si="1652"/>
        <v>285.86320004709859</v>
      </c>
      <c r="J10069" s="297">
        <f t="shared" si="1653"/>
        <v>80.142857142857139</v>
      </c>
      <c r="K10069" s="297">
        <f>J10069/POBLA!$B$12*100000</f>
        <v>20.365068353663915</v>
      </c>
      <c r="L10069" s="549">
        <f t="shared" si="1651"/>
        <v>-8.5106382978723305E-2</v>
      </c>
      <c r="M10069" s="401">
        <f>SUM(C10069,C10045,C10021,C9997,C9973,C9949,C9925)/POBLA!$B$12*100000</f>
        <v>142.55547847564742</v>
      </c>
    </row>
    <row r="10070" spans="1:13" s="360" customFormat="1" ht="15.75" thickBot="1" x14ac:dyDescent="0.3">
      <c r="A10070" s="367" t="s">
        <v>17</v>
      </c>
      <c r="B10070" s="266">
        <v>44312</v>
      </c>
      <c r="C10070" s="42">
        <v>715</v>
      </c>
      <c r="D10070" s="39">
        <f t="shared" si="1646"/>
        <v>93011</v>
      </c>
      <c r="E10070" s="1">
        <v>19</v>
      </c>
      <c r="F10070" s="39">
        <f t="shared" si="1649"/>
        <v>1744</v>
      </c>
      <c r="G10070" s="168">
        <f>SUM(C10070,C10046,C10022,C9998,C9974,C9950,C9926,C9902,C9878,C9854,C9830,C9806,C9782,C9758)/POBLA!$B$13*100000</f>
        <v>618.78937145349175</v>
      </c>
      <c r="H10070" s="256">
        <f t="shared" si="1650"/>
        <v>1.4523584905660378</v>
      </c>
      <c r="I10070" s="297">
        <f t="shared" si="1652"/>
        <v>898.70399750250056</v>
      </c>
      <c r="J10070" s="297">
        <f t="shared" si="1653"/>
        <v>871.28571428571433</v>
      </c>
      <c r="K10070" s="297">
        <f>J10070/POBLA!$B$13*100000</f>
        <v>43.775766441966859</v>
      </c>
      <c r="L10070" s="549">
        <f t="shared" si="1651"/>
        <v>1.8980215538040857E-2</v>
      </c>
      <c r="M10070" s="401">
        <f>SUM(C10070,C10046,C10022,C9998,C9974,C9950,C9926)/POBLA!$B$13*100000</f>
        <v>306.43036509376799</v>
      </c>
    </row>
    <row r="10071" spans="1:13" s="360" customFormat="1" ht="15.75" thickBot="1" x14ac:dyDescent="0.3">
      <c r="A10071" s="367" t="s">
        <v>23</v>
      </c>
      <c r="B10071" s="266">
        <v>44312</v>
      </c>
      <c r="C10071" s="42">
        <v>98</v>
      </c>
      <c r="D10071" s="39">
        <f t="shared" si="1646"/>
        <v>15210</v>
      </c>
      <c r="E10071" s="1"/>
      <c r="F10071" s="39">
        <f t="shared" si="1649"/>
        <v>237</v>
      </c>
      <c r="G10071" s="168">
        <f>SUM(C10071,C10047,C10023,C9999,C9975,C9951,C9927,C9903,C9879,C9855,C9831,C9807,C9783,C9759)/POBLA!$B$14*100000</f>
        <v>137.16072541374177</v>
      </c>
      <c r="H10071" s="256">
        <f t="shared" si="1650"/>
        <v>1.0446859903381642</v>
      </c>
      <c r="I10071" s="297">
        <f t="shared" si="1652"/>
        <v>143.28988826435582</v>
      </c>
      <c r="J10071" s="297">
        <f t="shared" si="1653"/>
        <v>120.28571428571429</v>
      </c>
      <c r="K10071" s="297">
        <f>J10071/POBLA!$B$14*100000</f>
        <v>9.536691230253556</v>
      </c>
      <c r="L10071" s="549">
        <f t="shared" si="1651"/>
        <v>5.1801801801801828E-2</v>
      </c>
      <c r="M10071" s="401">
        <f>SUM(C10071,C10047,C10023,C9999,C9975,C9951,C9927)/POBLA!$B$14*100000</f>
        <v>66.756838611774896</v>
      </c>
    </row>
    <row r="10072" spans="1:13" s="360" customFormat="1" ht="15.75" thickBot="1" x14ac:dyDescent="0.3">
      <c r="A10072" s="367" t="s">
        <v>19</v>
      </c>
      <c r="B10072" s="266">
        <v>44312</v>
      </c>
      <c r="C10072" s="42">
        <v>228</v>
      </c>
      <c r="D10072" s="39">
        <f t="shared" si="1646"/>
        <v>69579</v>
      </c>
      <c r="E10072" s="1">
        <v>2</v>
      </c>
      <c r="F10072" s="39">
        <f t="shared" si="1649"/>
        <v>1051</v>
      </c>
      <c r="G10072" s="168">
        <f>SUM(C10072,C10048,C10024,C10000,C9976,C9952,C9928,C9904,C9880,C9856,C9832,C9808,C9784,C9760)/POBLA!$B$15*100000</f>
        <v>439.87187846826401</v>
      </c>
      <c r="H10072" s="256">
        <f t="shared" si="1650"/>
        <v>1.7533013205282113</v>
      </c>
      <c r="I10072" s="297">
        <f t="shared" si="1652"/>
        <v>771.22794538163214</v>
      </c>
      <c r="J10072" s="297">
        <f t="shared" si="1653"/>
        <v>232.42857142857142</v>
      </c>
      <c r="K10072" s="297">
        <f>J10072/POBLA!$B$15*100000</f>
        <v>35.001298296467233</v>
      </c>
      <c r="L10072" s="549">
        <f t="shared" si="1651"/>
        <v>-0.25734157650695511</v>
      </c>
      <c r="M10072" s="401">
        <f>SUM(C10072,C10048,C10024,C10000,C9976,C9952,C9928)/POBLA!$B$15*100000</f>
        <v>245.00908807527063</v>
      </c>
    </row>
    <row r="10073" spans="1:13" s="360" customFormat="1" ht="15.75" thickBot="1" x14ac:dyDescent="0.3">
      <c r="A10073" s="367" t="s">
        <v>18</v>
      </c>
      <c r="B10073" s="266">
        <v>44312</v>
      </c>
      <c r="C10073" s="42">
        <v>268</v>
      </c>
      <c r="D10073" s="39">
        <f t="shared" si="1646"/>
        <v>60106</v>
      </c>
      <c r="E10073" s="1">
        <v>3</v>
      </c>
      <c r="F10073" s="39">
        <f t="shared" si="1649"/>
        <v>1339</v>
      </c>
      <c r="G10073" s="168">
        <f>SUM(C10073,C10049,C10025,C10001,C9977,C9953,C9929,C9905,C9881,C9857,C9833,C9809,C9785,C9761)/POBLA!$B$16*100000</f>
        <v>423.21531279677907</v>
      </c>
      <c r="H10073" s="256">
        <f t="shared" si="1650"/>
        <v>1.8080000000000001</v>
      </c>
      <c r="I10073" s="297">
        <f t="shared" si="1652"/>
        <v>765.1732855365766</v>
      </c>
      <c r="J10073" s="297">
        <f t="shared" si="1653"/>
        <v>253.57142857142858</v>
      </c>
      <c r="K10073" s="297">
        <f>J10073/POBLA!$B$16*100000</f>
        <v>33.917607920095854</v>
      </c>
      <c r="L10073" s="549">
        <f t="shared" si="1651"/>
        <v>-0.27789776817854572</v>
      </c>
      <c r="M10073" s="401">
        <f>SUM(C10073,C10049,C10025,C10001,C9977,C9953,C9929)/POBLA!$B$16*100000</f>
        <v>237.42325544067094</v>
      </c>
    </row>
    <row r="10074" spans="1:13" s="360" customFormat="1" ht="15.75" thickBot="1" x14ac:dyDescent="0.3">
      <c r="A10074" s="367" t="s">
        <v>34</v>
      </c>
      <c r="B10074" s="266">
        <v>44312</v>
      </c>
      <c r="C10074" s="42">
        <v>157</v>
      </c>
      <c r="D10074" s="39">
        <f t="shared" si="1646"/>
        <v>33827</v>
      </c>
      <c r="E10074" s="1"/>
      <c r="F10074" s="39">
        <f t="shared" si="1649"/>
        <v>1250</v>
      </c>
      <c r="G10074" s="168">
        <f>SUM(C10074,C10050,C10026,C10002,C9978,C9954,C9930,C9906,C9882,C9858,C9834,C9810,C9786,C9762)/POBLA!$B$17*100000</f>
        <v>190.74738292765289</v>
      </c>
      <c r="H10074" s="256">
        <f t="shared" si="1650"/>
        <v>1.3687657430730478</v>
      </c>
      <c r="I10074" s="297">
        <f t="shared" si="1652"/>
        <v>261.088483332208</v>
      </c>
      <c r="J10074" s="297">
        <f t="shared" si="1653"/>
        <v>196.57142857142858</v>
      </c>
      <c r="K10074" s="297">
        <f>J10074/POBLA!$B$17*100000</f>
        <v>13.800325932407089</v>
      </c>
      <c r="L10074" s="549">
        <f t="shared" si="1651"/>
        <v>-2.6099925428784587E-2</v>
      </c>
      <c r="M10074" s="401">
        <f>SUM(C10074,C10050,C10026,C10002,C9978,C9954,C9930)/POBLA!$B$17*100000</f>
        <v>96.602281526849609</v>
      </c>
    </row>
    <row r="10075" spans="1:13" s="360" customFormat="1" ht="15.75" thickBot="1" x14ac:dyDescent="0.3">
      <c r="A10075" s="367" t="s">
        <v>35</v>
      </c>
      <c r="B10075" s="266">
        <v>44312</v>
      </c>
      <c r="C10075" s="42">
        <v>237</v>
      </c>
      <c r="D10075" s="39">
        <f t="shared" si="1646"/>
        <v>22216</v>
      </c>
      <c r="E10075" s="1">
        <v>2</v>
      </c>
      <c r="F10075" s="39">
        <f t="shared" si="1649"/>
        <v>257</v>
      </c>
      <c r="G10075" s="168">
        <f>SUM(C10075,C10051,C10027,C10003,C9979,C9955,C9931,C9907,C9883,C9859,C9835,C9811,C9787,C9763)/POBLA!$B$18*100000</f>
        <v>417.16962124480142</v>
      </c>
      <c r="H10075" s="256">
        <f t="shared" si="1650"/>
        <v>1.6517992904206791</v>
      </c>
      <c r="I10075" s="297">
        <f t="shared" si="1652"/>
        <v>689.0804843572264</v>
      </c>
      <c r="J10075" s="297">
        <f t="shared" si="1653"/>
        <v>262.71428571428572</v>
      </c>
      <c r="K10075" s="297">
        <f>J10075/POBLA!$B$18*100000</f>
        <v>33.628849054012612</v>
      </c>
      <c r="L10075" s="549">
        <f t="shared" si="1651"/>
        <v>-0.29507042253521121</v>
      </c>
      <c r="M10075" s="401">
        <f>SUM(C10075,C10051,C10027,C10003,C9979,C9955,C9931)/POBLA!$B$18*100000</f>
        <v>235.40194337808828</v>
      </c>
    </row>
    <row r="10076" spans="1:13" s="360" customFormat="1" ht="15.75" thickBot="1" x14ac:dyDescent="0.3">
      <c r="A10076" s="375" t="s">
        <v>36</v>
      </c>
      <c r="B10076" s="266">
        <v>44312</v>
      </c>
      <c r="C10076" s="42">
        <v>481</v>
      </c>
      <c r="D10076" s="39">
        <f t="shared" si="1646"/>
        <v>35250</v>
      </c>
      <c r="E10076" s="1">
        <v>7</v>
      </c>
      <c r="F10076" s="39">
        <f t="shared" si="1649"/>
        <v>475</v>
      </c>
      <c r="G10076" s="168">
        <f>SUM(C10076,C10052,C10028,C10004,C9980,C9956,C9932,C9908,C9884,C9860,C9836,C9812,C9788,C9764)/POBLA!$B$19*100000</f>
        <v>1639.8860578209346</v>
      </c>
      <c r="H10076" s="256">
        <f t="shared" si="1650"/>
        <v>1.9058070416095108</v>
      </c>
      <c r="I10076" s="297">
        <f t="shared" si="1652"/>
        <v>3125.3063964323987</v>
      </c>
      <c r="J10076" s="297">
        <f t="shared" si="1653"/>
        <v>671.14285714285711</v>
      </c>
      <c r="K10076" s="297">
        <f>J10076/POBLA!$B$19*100000</f>
        <v>132.0294882719144</v>
      </c>
      <c r="L10076" s="549">
        <f t="shared" si="1651"/>
        <v>-0.29136888400219907</v>
      </c>
      <c r="M10076" s="401">
        <f>SUM(C10076,C10052,C10028,C10004,C9980,C9956,C9932)/POBLA!$B$19*100000</f>
        <v>924.20641790340096</v>
      </c>
    </row>
    <row r="10077" spans="1:13" s="360" customFormat="1" ht="15.75" thickBot="1" x14ac:dyDescent="0.3">
      <c r="A10077" s="367" t="s">
        <v>37</v>
      </c>
      <c r="B10077" s="266">
        <v>44312</v>
      </c>
      <c r="C10077" s="42">
        <v>230</v>
      </c>
      <c r="D10077" s="39">
        <f t="shared" si="1646"/>
        <v>43880</v>
      </c>
      <c r="E10077" s="1">
        <v>5</v>
      </c>
      <c r="F10077" s="39">
        <f t="shared" si="1649"/>
        <v>698</v>
      </c>
      <c r="G10077" s="168">
        <f>SUM(C10077,C10053,C10029,C10005,C9981,C9957,C9933,C9909,C9885,C9861,C9837,C9813,C9789,C9765)/POBLA!$B$20*100000</f>
        <v>757.45560544493003</v>
      </c>
      <c r="H10077" s="256">
        <f t="shared" si="1650"/>
        <v>1.3975782038345106</v>
      </c>
      <c r="I10077" s="297">
        <f t="shared" si="1652"/>
        <v>1058.6034445421071</v>
      </c>
      <c r="J10077" s="297">
        <f t="shared" si="1653"/>
        <v>203</v>
      </c>
      <c r="K10077" s="297">
        <f>J10077/POBLA!$B$20*100000</f>
        <v>55.510284442354077</v>
      </c>
      <c r="L10077" s="549">
        <f t="shared" si="1651"/>
        <v>-5.3372868791697448E-2</v>
      </c>
      <c r="M10077" s="401">
        <f>SUM(C10077,C10053,C10029,C10005,C9981,C9957,C9933)/POBLA!$B$20*100000</f>
        <v>388.57199109647848</v>
      </c>
    </row>
    <row r="10078" spans="1:13" s="360" customFormat="1" ht="15.75" thickBot="1" x14ac:dyDescent="0.3">
      <c r="A10078" s="367" t="s">
        <v>22</v>
      </c>
      <c r="B10078" s="266">
        <v>44312</v>
      </c>
      <c r="C10078" s="42">
        <v>1078</v>
      </c>
      <c r="D10078" s="39">
        <f t="shared" si="1646"/>
        <v>266200</v>
      </c>
      <c r="E10078" s="1">
        <v>18</v>
      </c>
      <c r="F10078" s="39">
        <f t="shared" si="1649"/>
        <v>4543</v>
      </c>
      <c r="G10078" s="168">
        <f>SUM(C10078,C10054,C10030,C10006,C9982,C9958,C9934,C9910,C9886,C9862,C9838,C9814,C9790,C9766)/POBLA!$B$21*100000</f>
        <v>650.88459565583037</v>
      </c>
      <c r="H10078" s="256">
        <f t="shared" si="1650"/>
        <v>1.7496199452721193</v>
      </c>
      <c r="I10078" s="297">
        <f t="shared" si="1652"/>
        <v>1138.8006706298195</v>
      </c>
      <c r="J10078" s="297">
        <f t="shared" si="1653"/>
        <v>1724.2857142857142</v>
      </c>
      <c r="K10078" s="297">
        <f>J10078/POBLA!$B$21*100000</f>
        <v>48.757972453644172</v>
      </c>
      <c r="L10078" s="549">
        <f t="shared" si="1651"/>
        <v>-0.10248447204968936</v>
      </c>
      <c r="M10078" s="401">
        <f>SUM(C10078,C10054,C10030,C10006,C9982,C9958,C9934)/POBLA!$B$21*100000</f>
        <v>341.30580717550924</v>
      </c>
    </row>
    <row r="10079" spans="1:13" s="360" customFormat="1" ht="15.75" thickBot="1" x14ac:dyDescent="0.3">
      <c r="A10079" s="367" t="s">
        <v>38</v>
      </c>
      <c r="B10079" s="266">
        <v>44312</v>
      </c>
      <c r="C10079" s="42">
        <v>111</v>
      </c>
      <c r="D10079" s="39">
        <f t="shared" si="1646"/>
        <v>29906</v>
      </c>
      <c r="E10079" s="1">
        <v>3</v>
      </c>
      <c r="F10079" s="39">
        <f t="shared" si="1649"/>
        <v>331</v>
      </c>
      <c r="G10079" s="168">
        <f>SUM(C10079,C10055,C10031,C10007,C9983,C9959,C9935,C9911,C9887,C9863,C9839,C9815,C9791,C9767)/POBLA!$B$22*100000</f>
        <v>302.5616546033836</v>
      </c>
      <c r="H10079" s="256">
        <f t="shared" si="1650"/>
        <v>1.4689826302729529</v>
      </c>
      <c r="I10079" s="297">
        <f t="shared" si="1652"/>
        <v>444.45781519901516</v>
      </c>
      <c r="J10079" s="297">
        <f t="shared" si="1653"/>
        <v>214</v>
      </c>
      <c r="K10079" s="297">
        <f>J10079/POBLA!$B$22*100000</f>
        <v>21.874389893623</v>
      </c>
      <c r="L10079" s="549">
        <f t="shared" si="1651"/>
        <v>-2.4623803009576006E-2</v>
      </c>
      <c r="M10079" s="401">
        <f>SUM(C10079,C10055,C10031,C10007,C9983,C9959,C9935)/POBLA!$B$22*100000</f>
        <v>153.12072925536103</v>
      </c>
    </row>
    <row r="10080" spans="1:13" s="360" customFormat="1" ht="15.75" thickBot="1" x14ac:dyDescent="0.3">
      <c r="A10080" s="367" t="s">
        <v>39</v>
      </c>
      <c r="B10080" s="266">
        <v>44312</v>
      </c>
      <c r="C10080" s="42">
        <v>54</v>
      </c>
      <c r="D10080" s="39">
        <f t="shared" si="1646"/>
        <v>26099</v>
      </c>
      <c r="E10080" s="1">
        <v>3</v>
      </c>
      <c r="F10080" s="39">
        <f t="shared" si="1649"/>
        <v>379</v>
      </c>
      <c r="G10080" s="168">
        <f>SUM(C10080,C10056,C10032,C10008,C9984,C9960,C9936,C9912,C9888,C9864,C9840,C9816,C9792,C9768)/POBLA!$B$23*100000</f>
        <v>648.64559181134427</v>
      </c>
      <c r="H10080" s="256">
        <f t="shared" si="1650"/>
        <v>1.1861427094105481</v>
      </c>
      <c r="I10080" s="297">
        <f t="shared" si="1652"/>
        <v>769.38623971831635</v>
      </c>
      <c r="J10080" s="297">
        <f t="shared" si="1653"/>
        <v>87</v>
      </c>
      <c r="K10080" s="297">
        <f>J10080/POBLA!$B$23*100000</f>
        <v>49.199796414635529</v>
      </c>
      <c r="L10080" s="549">
        <f t="shared" si="1651"/>
        <v>-0.13197026022304836</v>
      </c>
      <c r="M10080" s="401">
        <f>SUM(C10080,C10056,C10032,C10008,C9984,C9960,C9936)/POBLA!$B$23*100000</f>
        <v>344.39857490244867</v>
      </c>
    </row>
    <row r="10081" spans="1:13" s="360" customFormat="1" ht="15.75" thickBot="1" x14ac:dyDescent="0.3">
      <c r="A10081" s="368" t="s">
        <v>40</v>
      </c>
      <c r="B10081" s="34">
        <v>44312</v>
      </c>
      <c r="C10081" s="42">
        <v>984</v>
      </c>
      <c r="D10081" s="67">
        <f t="shared" si="1646"/>
        <v>103397</v>
      </c>
      <c r="E10081" s="232"/>
      <c r="F10081" s="67">
        <f t="shared" si="1649"/>
        <v>1600</v>
      </c>
      <c r="G10081" s="177">
        <f>SUM(C10081,C10057,C10033,C10009,C9985,C9961,C9937,C9913,C9889,C9865,C9841,C9817,C9793,C9769)/POBLA!$B$24*100000</f>
        <v>562.23799992446845</v>
      </c>
      <c r="H10081" s="402">
        <f t="shared" si="1650"/>
        <v>1.3457627118644069</v>
      </c>
      <c r="I10081" s="403">
        <f t="shared" si="1652"/>
        <v>756.63893549157285</v>
      </c>
      <c r="J10081" s="403">
        <f t="shared" si="1653"/>
        <v>723.71428571428567</v>
      </c>
      <c r="K10081" s="403">
        <f>J10081/POBLA!$B$24*100000</f>
        <v>42.705675117208784</v>
      </c>
      <c r="L10081" s="550">
        <f t="shared" si="1651"/>
        <v>-0.13536530703720295</v>
      </c>
      <c r="M10081" s="405">
        <f>SUM(C10081,C10057,C10033,C10009,C9985,C9961,C9937)/POBLA!$B$24*100000</f>
        <v>298.93972582046149</v>
      </c>
    </row>
    <row r="10082" spans="1:13" s="360" customFormat="1" x14ac:dyDescent="0.25">
      <c r="A10082" s="376" t="s">
        <v>16</v>
      </c>
      <c r="B10082" s="265">
        <v>44313</v>
      </c>
      <c r="C10082" s="43">
        <v>12410</v>
      </c>
      <c r="D10082" s="174">
        <f t="shared" si="1646"/>
        <v>1266173</v>
      </c>
      <c r="E10082" s="43">
        <v>313</v>
      </c>
      <c r="F10082" s="174">
        <f t="shared" ref="F10082:F10105" si="1654">E10082+F10058</f>
        <v>32310</v>
      </c>
      <c r="G10082" s="175">
        <f>SUM(C10082,C10058,C10034,C10010,C9986,C9962,C9938,C9914,C9890,C9866,C9842,C9818,C9794,C9770)/POBLA!$B$1*100000</f>
        <v>924.43815370961329</v>
      </c>
      <c r="H10082" s="300">
        <f t="shared" ref="H10082:H10105" si="1655">SUM(C10082,C10058,C10034,C10010,C9986,C9962,C9938,C9914,C9890,C9866,C9842,C9818,C9794,C9770)/SUM(C9746,C9722,C9698,C9674,C9650,C9626,C9602,C9578,C9554,C9530,C9506,C9482,C9458,C9434)</f>
        <v>1.3023403366743769</v>
      </c>
      <c r="I10082" s="301">
        <f>G10082*H10082</f>
        <v>1203.9330963368172</v>
      </c>
      <c r="J10082" s="301">
        <f>AVERAGE(C10082,C10058,C10034,C10010,C9986,C9962,C9938)</f>
        <v>11190.857142857143</v>
      </c>
      <c r="K10082" s="301">
        <f>J10082/POBLA!$B$1*100000</f>
        <v>63.797772008429455</v>
      </c>
      <c r="L10082" s="548">
        <f t="shared" ref="L10082:L10105" si="1656">1-SUM(C10082,C10058,C10034,C10010,C9986,C9962,C9938)/SUM(C9914,C9890,C9866,C9842,C9818,C9794,C9770)</f>
        <v>6.5437062311353933E-2</v>
      </c>
      <c r="M10082" s="400">
        <f>SUM(C10082,C10058,C10034,C10010,C9986,C9962,C9938)/POBLA!$B$1*100000</f>
        <v>446.5844040590062</v>
      </c>
    </row>
    <row r="10083" spans="1:13" s="360" customFormat="1" x14ac:dyDescent="0.25">
      <c r="A10083" s="375" t="s">
        <v>43</v>
      </c>
      <c r="B10083" s="2">
        <v>44313</v>
      </c>
      <c r="C10083" s="1">
        <v>2752</v>
      </c>
      <c r="D10083" s="39">
        <f t="shared" si="1646"/>
        <v>333538</v>
      </c>
      <c r="E10083" s="1">
        <v>51</v>
      </c>
      <c r="F10083" s="39">
        <f t="shared" si="1654"/>
        <v>7579</v>
      </c>
      <c r="G10083" s="168">
        <f>SUM(C10083,C10059,C10035,C10011,C9987,C9963,C9939,C9915,C9891,C9867,C9843,C9819,C9795,C9771)/POBLA!$B$2*100000</f>
        <v>1348.3346262866403</v>
      </c>
      <c r="H10083" s="256">
        <f t="shared" si="1655"/>
        <v>1.2782812403674249</v>
      </c>
      <c r="I10083" s="297">
        <f t="shared" ref="I10083:I10105" si="1657">G10083*H10083</f>
        <v>1723.5508585200348</v>
      </c>
      <c r="J10083" s="297">
        <f t="shared" ref="J10083:J10105" si="1658">AVERAGE(C10083,C10059,C10035,C10011,C9987,C9963,C9939)</f>
        <v>2899</v>
      </c>
      <c r="K10083" s="297">
        <f>J10083/POBLA!$B$2*100000</f>
        <v>94.256621210633469</v>
      </c>
      <c r="L10083" s="549">
        <f t="shared" si="1656"/>
        <v>4.1743400859422963E-2</v>
      </c>
      <c r="M10083" s="401">
        <f>SUM(C10083,C10059,C10035,C10011,C9987,C9963,C9939)/POBLA!$B$2*100000</f>
        <v>659.79634847443424</v>
      </c>
    </row>
    <row r="10084" spans="1:13" s="360" customFormat="1" x14ac:dyDescent="0.25">
      <c r="A10084" s="377" t="s">
        <v>28</v>
      </c>
      <c r="B10084" s="2">
        <v>44313</v>
      </c>
      <c r="C10084" s="1">
        <v>209</v>
      </c>
      <c r="D10084" s="39">
        <f t="shared" si="1646"/>
        <v>14444</v>
      </c>
      <c r="E10084" s="1"/>
      <c r="F10084" s="39">
        <f t="shared" si="1654"/>
        <v>19</v>
      </c>
      <c r="G10084" s="168">
        <f>SUM(C10084,C10060,C10036,C10012,C9988,C9964,C9940,C9916,C9892,C9868,C9844,C9820,C9796,C9772)/POBLA!$B$3*100000</f>
        <v>583.9619871075829</v>
      </c>
      <c r="H10084" s="256">
        <f t="shared" si="1655"/>
        <v>1.481979230299328</v>
      </c>
      <c r="I10084" s="297">
        <f t="shared" si="1657"/>
        <v>865.41953617776176</v>
      </c>
      <c r="J10084" s="297">
        <f t="shared" si="1658"/>
        <v>184</v>
      </c>
      <c r="K10084" s="297">
        <f>J10084/POBLA!$B$3*100000</f>
        <v>44.290604133468776</v>
      </c>
      <c r="L10084" s="549">
        <f t="shared" si="1656"/>
        <v>-0.13181019332161692</v>
      </c>
      <c r="M10084" s="401">
        <f>SUM(C10084,C10060,C10036,C10012,C9988,C9964,C9940)/POBLA!$B$3*100000</f>
        <v>310.03422893428137</v>
      </c>
    </row>
    <row r="10085" spans="1:13" s="360" customFormat="1" x14ac:dyDescent="0.25">
      <c r="A10085" s="377" t="s">
        <v>15</v>
      </c>
      <c r="B10085" s="2">
        <v>44313</v>
      </c>
      <c r="C10085" s="1">
        <v>174</v>
      </c>
      <c r="D10085" s="39">
        <f t="shared" si="1646"/>
        <v>43938</v>
      </c>
      <c r="E10085" s="1">
        <v>7</v>
      </c>
      <c r="F10085" s="39">
        <f t="shared" si="1654"/>
        <v>1026</v>
      </c>
      <c r="G10085" s="168">
        <f>SUM(C10085,C10061,C10037,C10013,C9989,C9965,C9941,C9917,C9893,C9869,C9845,C9821,C9797,C9773)/POBLA!$B$4*100000</f>
        <v>257.9405765349623</v>
      </c>
      <c r="H10085" s="256">
        <f t="shared" si="1655"/>
        <v>1.2358790771678601</v>
      </c>
      <c r="I10085" s="297">
        <f t="shared" si="1657"/>
        <v>318.78336169217499</v>
      </c>
      <c r="J10085" s="297">
        <f t="shared" si="1658"/>
        <v>202.85714285714286</v>
      </c>
      <c r="K10085" s="297">
        <f>J10085/POBLA!$B$4*100000</f>
        <v>16.841032630449511</v>
      </c>
      <c r="L10085" s="549">
        <f t="shared" si="1656"/>
        <v>0.15826911677534083</v>
      </c>
      <c r="M10085" s="401">
        <f>SUM(C10085,C10061,C10037,C10013,C9989,C9965,C9941)/POBLA!$B$4*100000</f>
        <v>117.88722841314659</v>
      </c>
    </row>
    <row r="10086" spans="1:13" s="360" customFormat="1" x14ac:dyDescent="0.25">
      <c r="A10086" s="377" t="s">
        <v>29</v>
      </c>
      <c r="B10086" s="2">
        <v>44313</v>
      </c>
      <c r="C10086" s="1">
        <v>166</v>
      </c>
      <c r="D10086" s="39">
        <f t="shared" si="1646"/>
        <v>54285</v>
      </c>
      <c r="E10086" s="1"/>
      <c r="F10086" s="39">
        <f t="shared" si="1654"/>
        <v>903</v>
      </c>
      <c r="G10086" s="168">
        <f>SUM(C10086,C10062,C10038,C10014,C9990,C9966,C9942,C9918,C9894,C9870,C9846,C9822,C9798,C9774)/POBLA!$B$5*100000</f>
        <v>413.2511785251553</v>
      </c>
      <c r="H10086" s="256">
        <f t="shared" si="1655"/>
        <v>1.3985784581738654</v>
      </c>
      <c r="I10086" s="297">
        <f t="shared" si="1657"/>
        <v>577.96419610024452</v>
      </c>
      <c r="J10086" s="297">
        <f t="shared" si="1658"/>
        <v>181.71428571428572</v>
      </c>
      <c r="K10086" s="297">
        <f>J10086/POBLA!$B$5*100000</f>
        <v>29.356388868758945</v>
      </c>
      <c r="L10086" s="549">
        <f t="shared" si="1656"/>
        <v>1.0886469673405896E-2</v>
      </c>
      <c r="M10086" s="401">
        <f>SUM(C10086,C10062,C10038,C10014,C9990,C9966,C9942)/POBLA!$B$5*100000</f>
        <v>205.49472208131257</v>
      </c>
    </row>
    <row r="10087" spans="1:13" s="360" customFormat="1" x14ac:dyDescent="0.25">
      <c r="A10087" s="377" t="s">
        <v>30</v>
      </c>
      <c r="B10087" s="2">
        <v>44313</v>
      </c>
      <c r="C10087" s="1">
        <v>135</v>
      </c>
      <c r="D10087" s="39">
        <f t="shared" si="1646"/>
        <v>36852</v>
      </c>
      <c r="E10087" s="1">
        <v>20</v>
      </c>
      <c r="F10087" s="39">
        <f t="shared" si="1654"/>
        <v>477</v>
      </c>
      <c r="G10087" s="168">
        <f>SUM(C10087,C10063,C10039,C10015,C9991,C9967,C9943,C9919,C9895,C9871,C9847,C9823,C9799,C9775)/POBLA!$B$6*100000</f>
        <v>277.48012359018236</v>
      </c>
      <c r="H10087" s="256">
        <f t="shared" si="1655"/>
        <v>0.78199647975861197</v>
      </c>
      <c r="I10087" s="297">
        <f t="shared" si="1657"/>
        <v>216.98847985050719</v>
      </c>
      <c r="J10087" s="297">
        <f t="shared" si="1658"/>
        <v>244.28571428571428</v>
      </c>
      <c r="K10087" s="297">
        <f>J10087/POBLA!$B$6*100000</f>
        <v>21.795636717464948</v>
      </c>
      <c r="L10087" s="549">
        <f t="shared" si="1656"/>
        <v>-0.22142857142857153</v>
      </c>
      <c r="M10087" s="401">
        <f>SUM(C10087,C10063,C10039,C10015,C9991,C9967,C9943)/POBLA!$B$6*100000</f>
        <v>152.56945702225462</v>
      </c>
    </row>
    <row r="10088" spans="1:13" s="360" customFormat="1" x14ac:dyDescent="0.25">
      <c r="A10088" s="377" t="s">
        <v>20</v>
      </c>
      <c r="B10088" s="2">
        <v>44313</v>
      </c>
      <c r="C10088" s="1">
        <v>2123</v>
      </c>
      <c r="D10088" s="39">
        <f t="shared" si="1646"/>
        <v>221615</v>
      </c>
      <c r="E10088" s="1">
        <v>30</v>
      </c>
      <c r="F10088" s="39">
        <f t="shared" si="1654"/>
        <v>3333</v>
      </c>
      <c r="G10088" s="168">
        <f>SUM(C10088,C10064,C10040,C10016,C9992,C9968,C9944,C9920,C9896,C9872,C9848,C9824,C9800,C9776)/POBLA!$B$7*100000</f>
        <v>606.84226621813878</v>
      </c>
      <c r="H10088" s="256">
        <f t="shared" si="1655"/>
        <v>1.1749562351971992</v>
      </c>
      <c r="I10088" s="297">
        <f t="shared" si="1657"/>
        <v>713.01310447420076</v>
      </c>
      <c r="J10088" s="297">
        <f t="shared" si="1658"/>
        <v>1598.7142857142858</v>
      </c>
      <c r="K10088" s="297">
        <f>J10088/POBLA!$B$7*100000</f>
        <v>42.513908859691945</v>
      </c>
      <c r="L10088" s="549">
        <f t="shared" si="1656"/>
        <v>3.7664459540803219E-2</v>
      </c>
      <c r="M10088" s="401">
        <f>SUM(C10088,C10064,C10040,C10016,C9992,C9968,C9944)/POBLA!$B$7*100000</f>
        <v>297.59736201784364</v>
      </c>
    </row>
    <row r="10089" spans="1:13" x14ac:dyDescent="0.25">
      <c r="A10089" s="377" t="s">
        <v>31</v>
      </c>
      <c r="B10089" s="2">
        <v>44313</v>
      </c>
      <c r="C10089" s="1">
        <v>653</v>
      </c>
      <c r="D10089" s="39">
        <f t="shared" si="1646"/>
        <v>60979</v>
      </c>
      <c r="E10089" s="1">
        <v>5</v>
      </c>
      <c r="F10089" s="39">
        <f t="shared" si="1654"/>
        <v>1045</v>
      </c>
      <c r="G10089" s="168">
        <f>SUM(C10089,C10065,C10041,C10017,C9993,C9969,C9945,C9921,C9897,C9873,C9849,C9825,C9801,C9777)/POBLA!$B$8*100000</f>
        <v>508.02295302681677</v>
      </c>
      <c r="H10089" s="256">
        <f t="shared" si="1655"/>
        <v>1.6382038157282457</v>
      </c>
      <c r="I10089" s="297">
        <f t="shared" si="1657"/>
        <v>832.24514012606255</v>
      </c>
      <c r="J10089" s="297">
        <f t="shared" si="1658"/>
        <v>532</v>
      </c>
      <c r="K10089" s="297">
        <f>J10089/POBLA!$B$8*100000</f>
        <v>38.3849184789471</v>
      </c>
      <c r="L10089" s="549">
        <f t="shared" si="1656"/>
        <v>-0.12270123605667771</v>
      </c>
      <c r="M10089" s="401">
        <f>SUM(C10089,C10065,C10041,C10017,C9993,C9969,C9945)/POBLA!$B$8*100000</f>
        <v>268.6944293526297</v>
      </c>
    </row>
    <row r="10090" spans="1:13" s="360" customFormat="1" x14ac:dyDescent="0.25">
      <c r="A10090" s="377" t="s">
        <v>41</v>
      </c>
      <c r="B10090" s="2">
        <v>44313</v>
      </c>
      <c r="C10090" s="1">
        <v>118</v>
      </c>
      <c r="D10090" s="39">
        <f t="shared" si="1646"/>
        <v>4405</v>
      </c>
      <c r="E10090" s="1">
        <v>7</v>
      </c>
      <c r="F10090" s="39">
        <f t="shared" si="1654"/>
        <v>76</v>
      </c>
      <c r="G10090" s="168">
        <f>SUM(C10090,C10066,C10042,C10018,C9994,C9970,C9946,C9922,C9898,C9874,C9850,C9826,C9802,C9778)/POBLA!$B$9*100000</f>
        <v>210.18088444512742</v>
      </c>
      <c r="H10090" s="256">
        <f t="shared" si="1655"/>
        <v>1.2102759276879163</v>
      </c>
      <c r="I10090" s="297">
        <f t="shared" si="1657"/>
        <v>254.37686490409331</v>
      </c>
      <c r="J10090" s="297">
        <f t="shared" si="1658"/>
        <v>111.14285714285714</v>
      </c>
      <c r="K10090" s="297">
        <f>J10090/POBLA!$B$9*100000</f>
        <v>18.364861646261133</v>
      </c>
      <c r="L10090" s="549">
        <f t="shared" si="1656"/>
        <v>-0.57489878542510131</v>
      </c>
      <c r="M10090" s="401">
        <f>SUM(C10090,C10066,C10042,C10018,C9994,C9970,C9946)/POBLA!$B$9*100000</f>
        <v>128.55403152382794</v>
      </c>
    </row>
    <row r="10091" spans="1:13" s="360" customFormat="1" x14ac:dyDescent="0.25">
      <c r="A10091" s="377" t="s">
        <v>32</v>
      </c>
      <c r="B10091" s="2">
        <v>44313</v>
      </c>
      <c r="C10091" s="1">
        <v>113</v>
      </c>
      <c r="D10091" s="39">
        <f t="shared" si="1646"/>
        <v>24554</v>
      </c>
      <c r="E10091" s="1">
        <v>3</v>
      </c>
      <c r="F10091" s="39">
        <f t="shared" si="1654"/>
        <v>1024</v>
      </c>
      <c r="G10091" s="168">
        <f>SUM(C10091,C10067,C10043,C10019,C9995,C9971,C9947,C9923,C9899,C9875,C9851,C9827,C9803,C9779)/POBLA!$B$10*100000</f>
        <v>175.38374924274953</v>
      </c>
      <c r="H10091" s="256">
        <f t="shared" si="1655"/>
        <v>1.6308805790108565</v>
      </c>
      <c r="I10091" s="297">
        <f t="shared" si="1657"/>
        <v>286.02995051411023</v>
      </c>
      <c r="J10091" s="297">
        <f t="shared" si="1658"/>
        <v>96.857142857142861</v>
      </c>
      <c r="K10091" s="297">
        <f>J10091/POBLA!$B$10*100000</f>
        <v>12.564474005344906</v>
      </c>
      <c r="L10091" s="549">
        <f t="shared" si="1656"/>
        <v>-5.9347181008901906E-3</v>
      </c>
      <c r="M10091" s="401">
        <f>SUM(C10091,C10067,C10043,C10019,C9995,C9971,C9947)/POBLA!$B$10*100000</f>
        <v>87.951318037414325</v>
      </c>
    </row>
    <row r="10092" spans="1:13" s="360" customFormat="1" x14ac:dyDescent="0.25">
      <c r="A10092" s="375" t="s">
        <v>33</v>
      </c>
      <c r="B10092" s="2">
        <v>44313</v>
      </c>
      <c r="C10092" s="1">
        <v>327</v>
      </c>
      <c r="D10092" s="39">
        <f t="shared" si="1646"/>
        <v>26273</v>
      </c>
      <c r="E10092" s="1">
        <v>8</v>
      </c>
      <c r="F10092" s="39">
        <f t="shared" si="1654"/>
        <v>364</v>
      </c>
      <c r="G10092" s="168">
        <f>SUM(C10092,C10068,C10044,C10020,C9996,C9972,C9948,C9924,C9900,C9876,C9852,C9828,C9804,C9780)/POBLA!$B$11*100000</f>
        <v>937.42676353409888</v>
      </c>
      <c r="H10092" s="256">
        <f t="shared" si="1655"/>
        <v>1.9626168224299065</v>
      </c>
      <c r="I10092" s="297">
        <f t="shared" si="1657"/>
        <v>1839.8095359080446</v>
      </c>
      <c r="J10092" s="297">
        <f t="shared" si="1658"/>
        <v>254.57142857142858</v>
      </c>
      <c r="K10092" s="297">
        <f>J10092/POBLA!$B$11*100000</f>
        <v>71.024425706537599</v>
      </c>
      <c r="L10092" s="549">
        <f t="shared" si="1656"/>
        <v>-0.12927756653992395</v>
      </c>
      <c r="M10092" s="401">
        <f>SUM(C10092,C10068,C10044,C10020,C9996,C9972,C9948)/POBLA!$B$11*100000</f>
        <v>497.17097994576318</v>
      </c>
    </row>
    <row r="10093" spans="1:13" s="360" customFormat="1" x14ac:dyDescent="0.25">
      <c r="A10093" s="377" t="s">
        <v>21</v>
      </c>
      <c r="B10093" s="2">
        <v>44313</v>
      </c>
      <c r="C10093" s="1">
        <v>70</v>
      </c>
      <c r="D10093" s="39">
        <f t="shared" si="1646"/>
        <v>13189</v>
      </c>
      <c r="E10093" s="1">
        <v>2</v>
      </c>
      <c r="F10093" s="39">
        <f t="shared" si="1654"/>
        <v>469</v>
      </c>
      <c r="G10093" s="168">
        <f>SUM(C10093,C10069,C10045,C10021,C9997,C9973,C9949,C9925,C9901,C9877,C9853,C9829,C9805,C9781)/POBLA!$B$12*100000</f>
        <v>276.72534057037439</v>
      </c>
      <c r="H10093" s="256">
        <f t="shared" si="1655"/>
        <v>1.0139664804469273</v>
      </c>
      <c r="I10093" s="297">
        <f t="shared" si="1657"/>
        <v>280.59021962861982</v>
      </c>
      <c r="J10093" s="297">
        <f t="shared" si="1658"/>
        <v>75.142857142857139</v>
      </c>
      <c r="K10093" s="297">
        <f>J10093/POBLA!$B$12*100000</f>
        <v>19.094520417160819</v>
      </c>
      <c r="L10093" s="549">
        <f t="shared" si="1656"/>
        <v>6.5719360568383678E-2</v>
      </c>
      <c r="M10093" s="401">
        <f>SUM(C10093,C10069,C10045,C10021,C9997,C9973,C9949)/POBLA!$B$12*100000</f>
        <v>133.66164292012573</v>
      </c>
    </row>
    <row r="10094" spans="1:13" s="360" customFormat="1" x14ac:dyDescent="0.25">
      <c r="A10094" s="377" t="s">
        <v>17</v>
      </c>
      <c r="B10094" s="2">
        <v>44313</v>
      </c>
      <c r="C10094" s="1">
        <v>998</v>
      </c>
      <c r="D10094" s="39">
        <f t="shared" si="1646"/>
        <v>94009</v>
      </c>
      <c r="E10094" s="1">
        <v>17</v>
      </c>
      <c r="F10094" s="39">
        <f t="shared" si="1654"/>
        <v>1761</v>
      </c>
      <c r="G10094" s="168">
        <f>SUM(C10094,C10070,C10046,C10022,C9998,C9974,C9950,C9926,C9902,C9878,C9854,C9830,C9806,C9782)/POBLA!$B$13*100000</f>
        <v>621.05029397016995</v>
      </c>
      <c r="H10094" s="256">
        <f t="shared" si="1655"/>
        <v>1.3491595721458196</v>
      </c>
      <c r="I10094" s="297">
        <f t="shared" si="1657"/>
        <v>837.89594889383</v>
      </c>
      <c r="J10094" s="297">
        <f t="shared" si="1658"/>
        <v>848.85714285714289</v>
      </c>
      <c r="K10094" s="297">
        <f>J10094/POBLA!$B$13*100000</f>
        <v>42.648893949527313</v>
      </c>
      <c r="L10094" s="549">
        <f t="shared" si="1656"/>
        <v>7.4310640286649021E-2</v>
      </c>
      <c r="M10094" s="401">
        <f>SUM(C10094,C10070,C10046,C10022,C9998,C9974,C9950)/POBLA!$B$13*100000</f>
        <v>298.54225764669116</v>
      </c>
    </row>
    <row r="10095" spans="1:13" s="360" customFormat="1" x14ac:dyDescent="0.25">
      <c r="A10095" s="377" t="s">
        <v>23</v>
      </c>
      <c r="B10095" s="2">
        <v>44313</v>
      </c>
      <c r="C10095" s="1">
        <v>76</v>
      </c>
      <c r="D10095" s="39">
        <f t="shared" si="1646"/>
        <v>15286</v>
      </c>
      <c r="E10095" s="1"/>
      <c r="F10095" s="39">
        <f t="shared" si="1654"/>
        <v>237</v>
      </c>
      <c r="G10095" s="168">
        <f>SUM(C10095,C10071,C10047,C10023,C9999,C9975,C9951,C9927,C9903,C9879,C9855,C9831,C9807,C9783)/POBLA!$B$14*100000</f>
        <v>129.70806172074077</v>
      </c>
      <c r="H10095" s="256">
        <f t="shared" si="1655"/>
        <v>0.95560747663551404</v>
      </c>
      <c r="I10095" s="297">
        <f t="shared" si="1657"/>
        <v>123.9499935602406</v>
      </c>
      <c r="J10095" s="297">
        <f t="shared" si="1658"/>
        <v>114.85714285714286</v>
      </c>
      <c r="K10095" s="297">
        <f>J10095/POBLA!$B$14*100000</f>
        <v>9.1062942388644412</v>
      </c>
      <c r="L10095" s="549">
        <f t="shared" si="1656"/>
        <v>3.3653846153846145E-2</v>
      </c>
      <c r="M10095" s="401">
        <f>SUM(C10095,C10071,C10047,C10023,C9999,C9975,C9951)/POBLA!$B$14*100000</f>
        <v>63.744059672051087</v>
      </c>
    </row>
    <row r="10096" spans="1:13" s="360" customFormat="1" x14ac:dyDescent="0.25">
      <c r="A10096" s="377" t="s">
        <v>19</v>
      </c>
      <c r="B10096" s="2">
        <v>44313</v>
      </c>
      <c r="C10096" s="1">
        <v>484</v>
      </c>
      <c r="D10096" s="39">
        <f t="shared" si="1646"/>
        <v>70063</v>
      </c>
      <c r="E10096" s="1">
        <v>1</v>
      </c>
      <c r="F10096" s="39">
        <f t="shared" si="1654"/>
        <v>1052</v>
      </c>
      <c r="G10096" s="168">
        <f>SUM(C10096,C10072,C10048,C10024,C10000,C9976,C9952,C9928,C9904,C9880,C9856,C9832,C9808,C9784)/POBLA!$B$15*100000</f>
        <v>476.4651227228988</v>
      </c>
      <c r="H10096" s="256">
        <f t="shared" si="1655"/>
        <v>1.7336986301369863</v>
      </c>
      <c r="I10096" s="297">
        <f t="shared" si="1657"/>
        <v>826.04693057274073</v>
      </c>
      <c r="J10096" s="297">
        <f t="shared" si="1658"/>
        <v>263.14285714285717</v>
      </c>
      <c r="K10096" s="297">
        <f>J10096/POBLA!$B$15*100000</f>
        <v>39.626546688440477</v>
      </c>
      <c r="L10096" s="549">
        <f t="shared" si="1656"/>
        <v>-0.3933434190620273</v>
      </c>
      <c r="M10096" s="401">
        <f>SUM(C10096,C10072,C10048,C10024,C10000,C9976,C9952)/POBLA!$B$15*100000</f>
        <v>277.38582681908332</v>
      </c>
    </row>
    <row r="10097" spans="1:13" s="360" customFormat="1" x14ac:dyDescent="0.25">
      <c r="A10097" s="377" t="s">
        <v>18</v>
      </c>
      <c r="B10097" s="2">
        <v>44313</v>
      </c>
      <c r="C10097" s="1">
        <v>393</v>
      </c>
      <c r="D10097" s="39">
        <f t="shared" si="1646"/>
        <v>60499</v>
      </c>
      <c r="E10097" s="1">
        <v>4</v>
      </c>
      <c r="F10097" s="39">
        <f t="shared" si="1654"/>
        <v>1343</v>
      </c>
      <c r="G10097" s="168">
        <f>SUM(C10097,C10073,C10049,C10025,C10001,C9977,C9953,C9929,C9905,C9881,C9857,C9833,C9809,C9785)/POBLA!$B$16*100000</f>
        <v>442.47669239309266</v>
      </c>
      <c r="H10097" s="256">
        <f t="shared" si="1655"/>
        <v>1.7265135699373695</v>
      </c>
      <c r="I10097" s="297">
        <f t="shared" si="1657"/>
        <v>763.94201379767776</v>
      </c>
      <c r="J10097" s="297">
        <f t="shared" si="1658"/>
        <v>266.85714285714283</v>
      </c>
      <c r="K10097" s="297">
        <f>J10097/POBLA!$B$16*100000</f>
        <v>35.694699489993823</v>
      </c>
      <c r="L10097" s="549">
        <f t="shared" si="1656"/>
        <v>-0.29722222222222228</v>
      </c>
      <c r="M10097" s="401">
        <f>SUM(C10097,C10073,C10049,C10025,C10001,C9977,C9953)/POBLA!$B$16*100000</f>
        <v>249.86289642995678</v>
      </c>
    </row>
    <row r="10098" spans="1:13" s="360" customFormat="1" x14ac:dyDescent="0.25">
      <c r="A10098" s="377" t="s">
        <v>34</v>
      </c>
      <c r="B10098" s="2">
        <v>44313</v>
      </c>
      <c r="C10098" s="1">
        <v>216</v>
      </c>
      <c r="D10098" s="39">
        <f t="shared" si="1646"/>
        <v>34043</v>
      </c>
      <c r="E10098" s="1">
        <v>5</v>
      </c>
      <c r="F10098" s="39">
        <f t="shared" si="1654"/>
        <v>1255</v>
      </c>
      <c r="G10098" s="168">
        <f>SUM(C10098,C10074,C10050,C10026,C10002,C9978,C9954,C9930,C9906,C9882,C9858,C9834,C9810,C9786)/POBLA!$B$17*100000</f>
        <v>189.62410058431743</v>
      </c>
      <c r="H10098" s="256">
        <f t="shared" si="1655"/>
        <v>1.2662916080637601</v>
      </c>
      <c r="I10098" s="297">
        <f t="shared" si="1657"/>
        <v>240.1194072565595</v>
      </c>
      <c r="J10098" s="297">
        <f t="shared" si="1658"/>
        <v>190</v>
      </c>
      <c r="K10098" s="297">
        <f>J10098/POBLA!$B$17*100000</f>
        <v>13.338977827108593</v>
      </c>
      <c r="L10098" s="549">
        <f t="shared" si="1656"/>
        <v>2.9905178701677637E-2</v>
      </c>
      <c r="M10098" s="401">
        <f>SUM(C10098,C10074,C10050,C10026,C10002,C9978,C9954)/POBLA!$B$17*100000</f>
        <v>93.372844789760165</v>
      </c>
    </row>
    <row r="10099" spans="1:13" s="360" customFormat="1" x14ac:dyDescent="0.25">
      <c r="A10099" s="377" t="s">
        <v>35</v>
      </c>
      <c r="B10099" s="2">
        <v>44313</v>
      </c>
      <c r="C10099" s="1">
        <v>463</v>
      </c>
      <c r="D10099" s="39">
        <f t="shared" ref="D10099:D10162" si="1659">C10099+D10075</f>
        <v>22679</v>
      </c>
      <c r="E10099" s="1">
        <v>6</v>
      </c>
      <c r="F10099" s="39">
        <f t="shared" si="1654"/>
        <v>263</v>
      </c>
      <c r="G10099" s="168">
        <f>SUM(C10099,C10075,C10051,C10027,C10003,C9979,C9955,C9931,C9907,C9883,C9859,C9835,C9811,C9787)/POBLA!$B$18*100000</f>
        <v>433.93832955504041</v>
      </c>
      <c r="H10099" s="256">
        <f t="shared" si="1655"/>
        <v>1.5650969529085872</v>
      </c>
      <c r="I10099" s="297">
        <f t="shared" si="1657"/>
        <v>679.15555733683607</v>
      </c>
      <c r="J10099" s="297">
        <f t="shared" si="1658"/>
        <v>284.57142857142856</v>
      </c>
      <c r="K10099" s="297">
        <f>J10099/POBLA!$B$18*100000</f>
        <v>36.426681520170263</v>
      </c>
      <c r="L10099" s="549">
        <f t="shared" si="1656"/>
        <v>-0.42489270386266087</v>
      </c>
      <c r="M10099" s="401">
        <f>SUM(C10099,C10075,C10051,C10027,C10003,C9979,C9955)/POBLA!$B$18*100000</f>
        <v>254.9867706411919</v>
      </c>
    </row>
    <row r="10100" spans="1:13" s="360" customFormat="1" x14ac:dyDescent="0.25">
      <c r="A10100" s="375" t="s">
        <v>36</v>
      </c>
      <c r="B10100" s="2">
        <v>44313</v>
      </c>
      <c r="C10100" s="1">
        <v>605</v>
      </c>
      <c r="D10100" s="39">
        <f t="shared" si="1659"/>
        <v>35855</v>
      </c>
      <c r="E10100" s="1">
        <v>1</v>
      </c>
      <c r="F10100" s="39">
        <f t="shared" si="1654"/>
        <v>476</v>
      </c>
      <c r="G10100" s="168">
        <f>SUM(C10100,C10076,C10052,C10028,C10004,C9980,C9956,C9932,C9908,C9884,C9860,C9836,C9812,C9788)/POBLA!$B$19*100000</f>
        <v>1657.394438236729</v>
      </c>
      <c r="H10100" s="256">
        <f t="shared" si="1655"/>
        <v>1.7443064182194616</v>
      </c>
      <c r="I10100" s="297">
        <f t="shared" si="1657"/>
        <v>2891.0037561375657</v>
      </c>
      <c r="J10100" s="297">
        <f t="shared" si="1658"/>
        <v>667.71428571428567</v>
      </c>
      <c r="K10100" s="297">
        <f>J10100/POBLA!$B$19*100000</f>
        <v>131.35500812748572</v>
      </c>
      <c r="L10100" s="549">
        <f t="shared" si="1656"/>
        <v>-0.24606771527592652</v>
      </c>
      <c r="M10100" s="401">
        <f>SUM(C10100,C10076,C10052,C10028,C10004,C9980,C9956)/POBLA!$B$19*100000</f>
        <v>919.48505689240028</v>
      </c>
    </row>
    <row r="10101" spans="1:13" s="360" customFormat="1" x14ac:dyDescent="0.25">
      <c r="A10101" s="377" t="s">
        <v>37</v>
      </c>
      <c r="B10101" s="2">
        <v>44313</v>
      </c>
      <c r="C10101" s="1">
        <v>172</v>
      </c>
      <c r="D10101" s="39">
        <f t="shared" si="1659"/>
        <v>44052</v>
      </c>
      <c r="E10101" s="1">
        <v>2</v>
      </c>
      <c r="F10101" s="39">
        <f t="shared" si="1654"/>
        <v>700</v>
      </c>
      <c r="G10101" s="168">
        <f>SUM(C10101,C10077,C10053,C10029,C10005,C9981,C9957,C9933,C9909,C9885,C9861,C9837,C9813,C9789)/POBLA!$B$20*100000</f>
        <v>738.31412805101479</v>
      </c>
      <c r="H10101" s="256">
        <f t="shared" si="1655"/>
        <v>1.2605042016806722</v>
      </c>
      <c r="I10101" s="297">
        <f t="shared" si="1657"/>
        <v>930.64806056850603</v>
      </c>
      <c r="J10101" s="297">
        <f t="shared" si="1658"/>
        <v>193.71428571428572</v>
      </c>
      <c r="K10101" s="297">
        <f>J10101/POBLA!$B$20*100000</f>
        <v>52.971108869691861</v>
      </c>
      <c r="L10101" s="549">
        <f t="shared" si="1656"/>
        <v>-8.9285714285713969E-3</v>
      </c>
      <c r="M10101" s="401">
        <f>SUM(C10101,C10077,C10053,C10029,C10005,C9981,C9957)/POBLA!$B$20*100000</f>
        <v>370.79776208784295</v>
      </c>
    </row>
    <row r="10102" spans="1:13" s="360" customFormat="1" x14ac:dyDescent="0.25">
      <c r="A10102" s="378" t="s">
        <v>22</v>
      </c>
      <c r="B10102" s="2">
        <v>44313</v>
      </c>
      <c r="C10102" s="1">
        <v>2002</v>
      </c>
      <c r="D10102" s="39">
        <f t="shared" si="1659"/>
        <v>268202</v>
      </c>
      <c r="E10102" s="1">
        <v>30</v>
      </c>
      <c r="F10102" s="39">
        <f t="shared" si="1654"/>
        <v>4573</v>
      </c>
      <c r="G10102" s="168">
        <f>SUM(C10102,C10078,C10054,C10030,C10006,C9982,C9958,C9934,C9910,C9886,C9862,C9838,C9814,C9790)/POBLA!$B$21*100000</f>
        <v>657.67112371897213</v>
      </c>
      <c r="H10102" s="256">
        <f t="shared" si="1655"/>
        <v>1.6185107863604733</v>
      </c>
      <c r="I10102" s="297">
        <f t="shared" si="1657"/>
        <v>1064.4478076169696</v>
      </c>
      <c r="J10102" s="297">
        <f t="shared" si="1658"/>
        <v>1704</v>
      </c>
      <c r="K10102" s="297">
        <f>J10102/POBLA!$B$21*100000</f>
        <v>48.184349248307186</v>
      </c>
      <c r="L10102" s="549">
        <f t="shared" si="1656"/>
        <v>-5.2780229479258534E-2</v>
      </c>
      <c r="M10102" s="401">
        <f>SUM(C10102,C10078,C10054,C10030,C10006,C9982,C9958)/POBLA!$B$21*100000</f>
        <v>337.29044473815031</v>
      </c>
    </row>
    <row r="10103" spans="1:13" s="360" customFormat="1" x14ac:dyDescent="0.25">
      <c r="A10103" s="377" t="s">
        <v>38</v>
      </c>
      <c r="B10103" s="2">
        <v>44313</v>
      </c>
      <c r="C10103" s="1">
        <v>122</v>
      </c>
      <c r="D10103" s="39">
        <f t="shared" si="1659"/>
        <v>30028</v>
      </c>
      <c r="E10103" s="1">
        <v>2</v>
      </c>
      <c r="F10103" s="39">
        <f t="shared" si="1654"/>
        <v>333</v>
      </c>
      <c r="G10103" s="168">
        <f>SUM(C10103,C10079,C10055,C10031,C10007,C9983,C9959,C9935,C9911,C9887,C9863,C9839,C9815,C9791)/POBLA!$B$22*100000</f>
        <v>301.02840297532589</v>
      </c>
      <c r="H10103" s="256">
        <f t="shared" si="1655"/>
        <v>1.401713469776297</v>
      </c>
      <c r="I10103" s="297">
        <f t="shared" si="1657"/>
        <v>421.95556723576141</v>
      </c>
      <c r="J10103" s="297">
        <f t="shared" si="1658"/>
        <v>210.85714285714286</v>
      </c>
      <c r="K10103" s="297">
        <f>J10103/POBLA!$B$22*100000</f>
        <v>21.553137171553772</v>
      </c>
      <c r="L10103" s="549">
        <f t="shared" si="1656"/>
        <v>-4.7651463580666853E-3</v>
      </c>
      <c r="M10103" s="401">
        <f>SUM(C10103,C10079,C10055,C10031,C10007,C9983,C9959)/POBLA!$B$22*100000</f>
        <v>150.8719602008764</v>
      </c>
    </row>
    <row r="10104" spans="1:13" s="360" customFormat="1" x14ac:dyDescent="0.25">
      <c r="A10104" s="377" t="s">
        <v>39</v>
      </c>
      <c r="B10104" s="2">
        <v>44313</v>
      </c>
      <c r="C10104" s="1">
        <v>74</v>
      </c>
      <c r="D10104" s="39">
        <f t="shared" si="1659"/>
        <v>26173</v>
      </c>
      <c r="E10104" s="1">
        <v>1</v>
      </c>
      <c r="F10104" s="39">
        <f t="shared" si="1654"/>
        <v>380</v>
      </c>
      <c r="G10104" s="168">
        <f>SUM(C10104,C10080,C10056,C10032,C10008,C9984,C9960,C9936,C9912,C9888,C9864,C9840,C9816,C9792)/POBLA!$B$23*100000</f>
        <v>631.68014477181475</v>
      </c>
      <c r="H10104" s="256">
        <f t="shared" si="1655"/>
        <v>1.061787072243346</v>
      </c>
      <c r="I10104" s="297">
        <f t="shared" si="1657"/>
        <v>670.70981151151818</v>
      </c>
      <c r="J10104" s="297">
        <f t="shared" si="1658"/>
        <v>82.714285714285708</v>
      </c>
      <c r="K10104" s="297">
        <f>J10104/POBLA!$B$23*100000</f>
        <v>46.776161123274164</v>
      </c>
      <c r="L10104" s="549">
        <f t="shared" si="1656"/>
        <v>-7.6208178438661678E-2</v>
      </c>
      <c r="M10104" s="401">
        <f>SUM(C10104,C10080,C10056,C10032,C10008,C9984,C9960)/POBLA!$B$23*100000</f>
        <v>327.43312786291921</v>
      </c>
    </row>
    <row r="10105" spans="1:13" s="360" customFormat="1" ht="15.75" thickBot="1" x14ac:dyDescent="0.3">
      <c r="A10105" s="379" t="s">
        <v>40</v>
      </c>
      <c r="B10105" s="34">
        <v>44313</v>
      </c>
      <c r="C10105" s="232">
        <v>640</v>
      </c>
      <c r="D10105" s="67">
        <f t="shared" si="1659"/>
        <v>104037</v>
      </c>
      <c r="E10105" s="232"/>
      <c r="F10105" s="67">
        <f t="shared" si="1654"/>
        <v>1600</v>
      </c>
      <c r="G10105" s="177">
        <f>SUM(C10105,C10081,C10057,C10033,C10009,C9985,C9961,C9937,C9913,C9889,C9865,C9841,C9817,C9793)/POBLA!$B$24*100000</f>
        <v>554.97988972393216</v>
      </c>
      <c r="H10105" s="402">
        <f t="shared" si="1655"/>
        <v>1.249335812964931</v>
      </c>
      <c r="I10105" s="403">
        <f t="shared" si="1657"/>
        <v>693.35625170743651</v>
      </c>
      <c r="J10105" s="403">
        <f t="shared" si="1658"/>
        <v>680.42857142857144</v>
      </c>
      <c r="K10105" s="403">
        <f>J10105/POBLA!$B$24*100000</f>
        <v>40.151427276601943</v>
      </c>
      <c r="L10105" s="550">
        <f t="shared" si="1656"/>
        <v>-2.6066350710900466E-2</v>
      </c>
      <c r="M10105" s="405">
        <f>SUM(C10105,C10081,C10057,C10033,C10009,C9985,C9961)/POBLA!$B$24*100000</f>
        <v>281.05999093621358</v>
      </c>
    </row>
    <row r="10106" spans="1:13" s="360" customFormat="1" x14ac:dyDescent="0.25">
      <c r="A10106" s="380" t="s">
        <v>16</v>
      </c>
      <c r="B10106" s="314">
        <v>44314</v>
      </c>
      <c r="C10106" s="358">
        <v>11057</v>
      </c>
      <c r="D10106" s="315">
        <f t="shared" si="1659"/>
        <v>1277230</v>
      </c>
      <c r="E10106" s="316">
        <v>174</v>
      </c>
      <c r="F10106" s="315">
        <f t="shared" ref="F10106:F10129" si="1660">E10106+F10082</f>
        <v>32484</v>
      </c>
      <c r="G10106" s="175">
        <f>SUM(C10106,C10082,C10058,C10034,C10010,C9986,C9962,C9938,C9914,C9890,C9866,C9842,C9818,C9794)/POBLA!$B$1*100000</f>
        <v>911.98742430723291</v>
      </c>
      <c r="H10106" s="300">
        <f t="shared" ref="H10106:H10129" si="1661">SUM(C10106,C10082,C10058,C10034,C10010,C9986,C9962,C9938,C9914,C9890,C9866,C9842,C9818,C9794)/SUM(C9770,C9746,C9722,C9698,C9674,C9650,C9626,C9602,C9578,C9554,C9530,C9506,C9482,C9458)</f>
        <v>1.2335029686174723</v>
      </c>
      <c r="I10106" s="301">
        <f>G10106*H10106</f>
        <v>1124.939195224774</v>
      </c>
      <c r="J10106" s="301">
        <f>AVERAGE(C10106,C10082,C10058,C10034,C10010,C9986,C9962)</f>
        <v>10929.857142857143</v>
      </c>
      <c r="K10106" s="301">
        <f>J10106/POBLA!$B$1*100000</f>
        <v>62.309841434243893</v>
      </c>
      <c r="L10106" s="548">
        <f t="shared" ref="L10106:L10129" si="1662">1-SUM(C10106,C10082,C10058,C10034,C10010,C9986,C9962)/SUM(C9938,C9914,C9890,C9866,C9842,C9818,C9794)</f>
        <v>8.3329339595514251E-2</v>
      </c>
      <c r="M10106" s="400">
        <f>SUM(C10106,C10082,C10058,C10034,C10010,C9986,C9962)/POBLA!$B$1*100000</f>
        <v>436.16889003970721</v>
      </c>
    </row>
    <row r="10107" spans="1:13" s="360" customFormat="1" x14ac:dyDescent="0.25">
      <c r="A10107" s="381" t="s">
        <v>43</v>
      </c>
      <c r="B10107" s="311">
        <v>44314</v>
      </c>
      <c r="C10107" s="111">
        <v>2909</v>
      </c>
      <c r="D10107" s="312">
        <f t="shared" si="1659"/>
        <v>336447</v>
      </c>
      <c r="E10107" s="313">
        <v>57</v>
      </c>
      <c r="F10107" s="312">
        <f t="shared" si="1660"/>
        <v>7636</v>
      </c>
      <c r="G10107" s="168">
        <f>SUM(C10107,C10083,C10059,C10035,C10011,C9987,C9963,C9939,C9915,C9891,C9867,C9843,C9819,C9795)/POBLA!$B$2*100000</f>
        <v>1356.4955134628628</v>
      </c>
      <c r="H10107" s="256">
        <f t="shared" si="1661"/>
        <v>1.2493935854819873</v>
      </c>
      <c r="I10107" s="297">
        <f t="shared" ref="I10107:I10129" si="1663">G10107*H10107</f>
        <v>1694.7967932555955</v>
      </c>
      <c r="J10107" s="297">
        <f t="shared" ref="J10107:J10129" si="1664">AVERAGE(C10107,C10083,C10059,C10035,C10011,C9987,C9963)</f>
        <v>2959</v>
      </c>
      <c r="K10107" s="297">
        <f>J10107/POBLA!$B$2*100000</f>
        <v>96.20743089419264</v>
      </c>
      <c r="L10107" s="549">
        <f t="shared" si="1662"/>
        <v>1.4042269611576508E-2</v>
      </c>
      <c r="M10107" s="401">
        <f>SUM(C10107,C10083,C10059,C10035,C10011,C9987,C9963)/POBLA!$B$2*100000</f>
        <v>673.45201625934851</v>
      </c>
    </row>
    <row r="10108" spans="1:13" s="360" customFormat="1" x14ac:dyDescent="0.25">
      <c r="A10108" s="382" t="s">
        <v>28</v>
      </c>
      <c r="B10108" s="311">
        <v>44314</v>
      </c>
      <c r="C10108" s="111">
        <v>111</v>
      </c>
      <c r="D10108" s="312">
        <f t="shared" si="1659"/>
        <v>14555</v>
      </c>
      <c r="E10108" s="313"/>
      <c r="F10108" s="312">
        <f t="shared" si="1660"/>
        <v>19</v>
      </c>
      <c r="G10108" s="168">
        <f>SUM(C10108,C10084,C10060,C10036,C10012,C9988,C9964,C9940,C9916,C9892,C9868,C9844,C9820,C9796)/POBLA!$B$3*100000</f>
        <v>570.48223802348366</v>
      </c>
      <c r="H10108" s="256">
        <f t="shared" si="1661"/>
        <v>1.3739130434782609</v>
      </c>
      <c r="I10108" s="297">
        <f t="shared" si="1663"/>
        <v>783.79298789313407</v>
      </c>
      <c r="J10108" s="297">
        <f t="shared" si="1664"/>
        <v>175.71428571428572</v>
      </c>
      <c r="K10108" s="297">
        <f>J10108/POBLA!$B$3*100000</f>
        <v>42.296151462862262</v>
      </c>
      <c r="L10108" s="549">
        <f t="shared" si="1662"/>
        <v>-7.8947368421052655E-2</v>
      </c>
      <c r="M10108" s="401">
        <f>SUM(C10108,C10084,C10060,C10036,C10012,C9988,C9964)/POBLA!$B$3*100000</f>
        <v>296.07306024003583</v>
      </c>
    </row>
    <row r="10109" spans="1:13" s="360" customFormat="1" x14ac:dyDescent="0.25">
      <c r="A10109" s="382" t="s">
        <v>15</v>
      </c>
      <c r="B10109" s="311">
        <v>44314</v>
      </c>
      <c r="C10109" s="111">
        <v>263</v>
      </c>
      <c r="D10109" s="312">
        <f t="shared" si="1659"/>
        <v>44201</v>
      </c>
      <c r="E10109" s="313">
        <v>6</v>
      </c>
      <c r="F10109" s="312">
        <f t="shared" si="1660"/>
        <v>1032</v>
      </c>
      <c r="G10109" s="168">
        <f>SUM(C10109,C10085,C10061,C10037,C10013,C9989,C9965,C9941,C9917,C9893,C9869,C9845,C9821,C9797)/POBLA!$B$4*100000</f>
        <v>259.26888333398364</v>
      </c>
      <c r="H10109" s="256">
        <f t="shared" si="1661"/>
        <v>1.2076566125290022</v>
      </c>
      <c r="I10109" s="297">
        <f t="shared" si="1663"/>
        <v>313.10778138129575</v>
      </c>
      <c r="J10109" s="297">
        <f t="shared" si="1664"/>
        <v>204.71428571428572</v>
      </c>
      <c r="K10109" s="297">
        <f>J10109/POBLA!$B$4*100000</f>
        <v>16.995211098193064</v>
      </c>
      <c r="L10109" s="549">
        <f t="shared" si="1662"/>
        <v>0.15207100591715972</v>
      </c>
      <c r="M10109" s="401">
        <f>SUM(C10109,C10085,C10061,C10037,C10013,C9989,C9965)/POBLA!$B$4*100000</f>
        <v>118.96647768735146</v>
      </c>
    </row>
    <row r="10110" spans="1:13" s="360" customFormat="1" x14ac:dyDescent="0.25">
      <c r="A10110" s="382" t="s">
        <v>29</v>
      </c>
      <c r="B10110" s="311">
        <v>44314</v>
      </c>
      <c r="C10110" s="111">
        <v>236</v>
      </c>
      <c r="D10110" s="312">
        <f t="shared" si="1659"/>
        <v>54521</v>
      </c>
      <c r="E10110" s="313">
        <v>12</v>
      </c>
      <c r="F10110" s="312">
        <f t="shared" si="1660"/>
        <v>915</v>
      </c>
      <c r="G10110" s="168">
        <f>SUM(C10110,C10086,C10062,C10038,C10014,C9990,C9966,C9942,C9918,C9894,C9870,C9846,C9822,C9798)/POBLA!$B$5*100000</f>
        <v>409.21236716349432</v>
      </c>
      <c r="H10110" s="256">
        <f t="shared" si="1661"/>
        <v>1.3509333333333333</v>
      </c>
      <c r="I10110" s="297">
        <f t="shared" si="1663"/>
        <v>552.81862721340326</v>
      </c>
      <c r="J10110" s="297">
        <f t="shared" si="1664"/>
        <v>183.42857142857142</v>
      </c>
      <c r="K10110" s="297">
        <f>J10110/POBLA!$B$5*100000</f>
        <v>29.633335933558552</v>
      </c>
      <c r="L10110" s="549">
        <f t="shared" si="1662"/>
        <v>-2.8022417934347565E-2</v>
      </c>
      <c r="M10110" s="401">
        <f>SUM(C10110,C10086,C10062,C10038,C10014,C9990,C9966)/POBLA!$B$5*100000</f>
        <v>207.43335153490986</v>
      </c>
    </row>
    <row r="10111" spans="1:13" s="360" customFormat="1" x14ac:dyDescent="0.25">
      <c r="A10111" s="382" t="s">
        <v>30</v>
      </c>
      <c r="B10111" s="311">
        <v>44314</v>
      </c>
      <c r="C10111" s="111">
        <v>335</v>
      </c>
      <c r="D10111" s="312">
        <f t="shared" si="1659"/>
        <v>37187</v>
      </c>
      <c r="E10111" s="313">
        <v>5</v>
      </c>
      <c r="F10111" s="312">
        <f t="shared" si="1660"/>
        <v>482</v>
      </c>
      <c r="G10111" s="168">
        <f>SUM(C10111,C10087,C10063,C10039,C10015,C9991,C9967,C9943,C9919,C9895,C9871,C9847,C9823,C9799)/POBLA!$B$6*100000</f>
        <v>292.64784738771647</v>
      </c>
      <c r="H10111" s="256">
        <f t="shared" si="1661"/>
        <v>0.85172682420150614</v>
      </c>
      <c r="I10111" s="297">
        <f t="shared" si="1663"/>
        <v>249.25602166494679</v>
      </c>
      <c r="J10111" s="297">
        <f t="shared" si="1664"/>
        <v>262.71428571428572</v>
      </c>
      <c r="K10111" s="297">
        <f>J10111/POBLA!$B$6*100000</f>
        <v>23.43986896106318</v>
      </c>
      <c r="L10111" s="549">
        <f t="shared" si="1662"/>
        <v>-0.27619708535739074</v>
      </c>
      <c r="M10111" s="401">
        <f>SUM(C10111,C10087,C10063,C10039,C10015,C9991,C9967)/POBLA!$B$6*100000</f>
        <v>164.07908272744223</v>
      </c>
    </row>
    <row r="10112" spans="1:13" s="360" customFormat="1" x14ac:dyDescent="0.25">
      <c r="A10112" s="382" t="s">
        <v>20</v>
      </c>
      <c r="B10112" s="311">
        <v>44314</v>
      </c>
      <c r="C10112" s="111">
        <v>1746</v>
      </c>
      <c r="D10112" s="312">
        <f t="shared" si="1659"/>
        <v>223361</v>
      </c>
      <c r="E10112" s="313">
        <v>11</v>
      </c>
      <c r="F10112" s="312">
        <f t="shared" si="1660"/>
        <v>3344</v>
      </c>
      <c r="G10112" s="168">
        <f>SUM(C10112,C10088,C10064,C10040,C10016,C9992,C9968,C9944,C9920,C9896,C9872,C9848,C9824,C9800)/POBLA!$B$7*100000</f>
        <v>604.31597282240159</v>
      </c>
      <c r="H10112" s="256">
        <f t="shared" si="1661"/>
        <v>1.1360795880617907</v>
      </c>
      <c r="I10112" s="297">
        <f t="shared" si="1663"/>
        <v>686.55104146323424</v>
      </c>
      <c r="J10112" s="297">
        <f t="shared" si="1664"/>
        <v>1511.4285714285713</v>
      </c>
      <c r="K10112" s="297">
        <f>J10112/POBLA!$B$7*100000</f>
        <v>40.192758085563462</v>
      </c>
      <c r="L10112" s="549">
        <f t="shared" si="1662"/>
        <v>0.12885961300946891</v>
      </c>
      <c r="M10112" s="401">
        <f>SUM(C10112,C10088,C10064,C10040,C10016,C9992,C9968)/POBLA!$B$7*100000</f>
        <v>281.34930659894428</v>
      </c>
    </row>
    <row r="10113" spans="1:13" x14ac:dyDescent="0.25">
      <c r="A10113" s="382" t="s">
        <v>31</v>
      </c>
      <c r="B10113" s="311">
        <v>44314</v>
      </c>
      <c r="C10113" s="111">
        <v>635</v>
      </c>
      <c r="D10113" s="312">
        <f t="shared" si="1659"/>
        <v>61614</v>
      </c>
      <c r="E10113" s="313">
        <v>2</v>
      </c>
      <c r="F10113" s="312">
        <f t="shared" si="1660"/>
        <v>1047</v>
      </c>
      <c r="G10113" s="168">
        <f>SUM(C10113,C10089,C10065,C10041,C10017,C9993,C9969,C9945,C9921,C9897,C9873,C9849,C9825,C9801)/POBLA!$B$8*100000</f>
        <v>509.89890768932173</v>
      </c>
      <c r="H10113" s="256">
        <f t="shared" si="1661"/>
        <v>1.5336371527777777</v>
      </c>
      <c r="I10113" s="297">
        <f t="shared" si="1663"/>
        <v>781.99990899315026</v>
      </c>
      <c r="J10113" s="297">
        <f t="shared" si="1664"/>
        <v>536</v>
      </c>
      <c r="K10113" s="297">
        <f>J10113/POBLA!$B$8*100000</f>
        <v>38.673526888563245</v>
      </c>
      <c r="L10113" s="549">
        <f t="shared" si="1662"/>
        <v>-0.13182503770739062</v>
      </c>
      <c r="M10113" s="401">
        <f>SUM(C10113,C10089,C10065,C10041,C10017,C9993,C9969)/POBLA!$B$8*100000</f>
        <v>270.71468821994267</v>
      </c>
    </row>
    <row r="10114" spans="1:13" s="360" customFormat="1" x14ac:dyDescent="0.25">
      <c r="A10114" s="382" t="s">
        <v>41</v>
      </c>
      <c r="B10114" s="311">
        <v>44314</v>
      </c>
      <c r="C10114" s="111">
        <v>97</v>
      </c>
      <c r="D10114" s="312">
        <f t="shared" si="1659"/>
        <v>4502</v>
      </c>
      <c r="E10114" s="313">
        <v>4</v>
      </c>
      <c r="F10114" s="312">
        <f t="shared" si="1660"/>
        <v>80</v>
      </c>
      <c r="G10114" s="168">
        <f>SUM(C10114,C10090,C10066,C10042,C10018,C9994,C9970,C9946,C9922,C9898,C9874,C9850,C9826,C9802)/POBLA!$B$9*100000</f>
        <v>211.00706716700293</v>
      </c>
      <c r="H10114" s="256">
        <f t="shared" si="1661"/>
        <v>1.3192148760330578</v>
      </c>
      <c r="I10114" s="297">
        <f t="shared" si="1663"/>
        <v>278.36366195481685</v>
      </c>
      <c r="J10114" s="297">
        <f t="shared" si="1664"/>
        <v>109.71428571428571</v>
      </c>
      <c r="K10114" s="297">
        <f>J10114/POBLA!$B$9*100000</f>
        <v>18.12880944001099</v>
      </c>
      <c r="L10114" s="549">
        <f t="shared" si="1662"/>
        <v>-0.50884086444007859</v>
      </c>
      <c r="M10114" s="401">
        <f>SUM(C10114,C10090,C10066,C10042,C10018,C9994,C9970)/POBLA!$B$9*100000</f>
        <v>126.90166608007694</v>
      </c>
    </row>
    <row r="10115" spans="1:13" s="360" customFormat="1" x14ac:dyDescent="0.25">
      <c r="A10115" s="382" t="s">
        <v>32</v>
      </c>
      <c r="B10115" s="311">
        <v>44314</v>
      </c>
      <c r="C10115" s="111">
        <v>96</v>
      </c>
      <c r="D10115" s="312">
        <f t="shared" si="1659"/>
        <v>24650</v>
      </c>
      <c r="E10115" s="313">
        <v>4</v>
      </c>
      <c r="F10115" s="312">
        <f t="shared" si="1660"/>
        <v>1028</v>
      </c>
      <c r="G10115" s="168">
        <f>SUM(C10115,C10091,C10067,C10043,C10019,C9995,C9971,C9947,C9923,C9899,C9875,C9851,C9827,C9803)/POBLA!$B$10*100000</f>
        <v>177.97818340314521</v>
      </c>
      <c r="H10115" s="256">
        <f t="shared" si="1661"/>
        <v>1.6550060313630881</v>
      </c>
      <c r="I10115" s="297">
        <f t="shared" si="1663"/>
        <v>294.55496698325118</v>
      </c>
      <c r="J10115" s="297">
        <f t="shared" si="1664"/>
        <v>93.857142857142861</v>
      </c>
      <c r="K10115" s="297">
        <f>J10115/POBLA!$B$10*100000</f>
        <v>12.175308881285551</v>
      </c>
      <c r="L10115" s="549">
        <f t="shared" si="1662"/>
        <v>8.1118881118881103E-2</v>
      </c>
      <c r="M10115" s="401">
        <f>SUM(C10115,C10091,C10067,C10043,C10019,C9995,C9971)/POBLA!$B$10*100000</f>
        <v>85.227162168998845</v>
      </c>
    </row>
    <row r="10116" spans="1:13" s="360" customFormat="1" x14ac:dyDescent="0.25">
      <c r="A10116" s="381" t="s">
        <v>33</v>
      </c>
      <c r="B10116" s="311">
        <v>44314</v>
      </c>
      <c r="C10116" s="111">
        <v>232</v>
      </c>
      <c r="D10116" s="312">
        <f t="shared" si="1659"/>
        <v>26505</v>
      </c>
      <c r="E10116" s="313">
        <v>1</v>
      </c>
      <c r="F10116" s="312">
        <f t="shared" si="1660"/>
        <v>365</v>
      </c>
      <c r="G10116" s="168">
        <f>SUM(C10116,C10092,C10068,C10044,C10020,C9996,C9972,C9948,C9924,C9900,C9876,C9852,C9828,C9804)/POBLA!$B$11*100000</f>
        <v>944.40166504848946</v>
      </c>
      <c r="H10116" s="256">
        <f t="shared" si="1661"/>
        <v>1.8497267759562841</v>
      </c>
      <c r="I10116" s="297">
        <f t="shared" si="1663"/>
        <v>1746.8850470978889</v>
      </c>
      <c r="J10116" s="297">
        <f t="shared" si="1664"/>
        <v>225.85714285714286</v>
      </c>
      <c r="K10116" s="297">
        <f>J10116/POBLA!$B$11*100000</f>
        <v>63.013253110008939</v>
      </c>
      <c r="L10116" s="549">
        <f t="shared" si="1662"/>
        <v>0.12361419068736146</v>
      </c>
      <c r="M10116" s="401">
        <f>SUM(C10116,C10092,C10068,C10044,C10020,C9996,C9972)/POBLA!$B$11*100000</f>
        <v>441.0927717700626</v>
      </c>
    </row>
    <row r="10117" spans="1:13" s="360" customFormat="1" x14ac:dyDescent="0.25">
      <c r="A10117" s="382" t="s">
        <v>21</v>
      </c>
      <c r="B10117" s="311">
        <v>44314</v>
      </c>
      <c r="C10117" s="111">
        <v>90</v>
      </c>
      <c r="D10117" s="312">
        <f t="shared" si="1659"/>
        <v>13279</v>
      </c>
      <c r="E10117" s="313"/>
      <c r="F10117" s="312">
        <f t="shared" si="1660"/>
        <v>469</v>
      </c>
      <c r="G10117" s="168">
        <f>SUM(C10117,C10093,C10069,C10045,C10021,C9997,C9973,C9949,C9925,C9901,C9877,C9853,C9829,C9805)/POBLA!$B$12*100000</f>
        <v>279.5205460306812</v>
      </c>
      <c r="H10117" s="256">
        <f t="shared" si="1661"/>
        <v>1.0175763182238668</v>
      </c>
      <c r="I10117" s="297">
        <f t="shared" si="1663"/>
        <v>284.43348809782549</v>
      </c>
      <c r="J10117" s="297">
        <f t="shared" si="1664"/>
        <v>73</v>
      </c>
      <c r="K10117" s="297">
        <f>J10117/POBLA!$B$12*100000</f>
        <v>18.549999872945204</v>
      </c>
      <c r="L10117" s="549">
        <f t="shared" si="1662"/>
        <v>0.13242784380305606</v>
      </c>
      <c r="M10117" s="401">
        <f>SUM(C10117,C10093,C10069,C10045,C10021,C9997,C9973)/POBLA!$B$12*100000</f>
        <v>129.84999911061644</v>
      </c>
    </row>
    <row r="10118" spans="1:13" s="360" customFormat="1" x14ac:dyDescent="0.25">
      <c r="A10118" s="382" t="s">
        <v>17</v>
      </c>
      <c r="B10118" s="311">
        <v>44314</v>
      </c>
      <c r="C10118" s="111">
        <v>794</v>
      </c>
      <c r="D10118" s="312">
        <f t="shared" si="1659"/>
        <v>94803</v>
      </c>
      <c r="E10118" s="313">
        <v>13</v>
      </c>
      <c r="F10118" s="312">
        <f t="shared" si="1660"/>
        <v>1774</v>
      </c>
      <c r="G10118" s="168">
        <f>SUM(C10118,C10094,C10070,C10046,C10022,C9998,C9974,C9950,C9926,C9902,C9878,C9854,C9830,C9806)/POBLA!$B$13*100000</f>
        <v>612.40854568420036</v>
      </c>
      <c r="H10118" s="256">
        <f t="shared" si="1661"/>
        <v>1.2687623607785989</v>
      </c>
      <c r="I10118" s="297">
        <f t="shared" si="1663"/>
        <v>777.00091218327452</v>
      </c>
      <c r="J10118" s="297">
        <f t="shared" si="1664"/>
        <v>833</v>
      </c>
      <c r="K10118" s="297">
        <f>J10118/POBLA!$B$13*100000</f>
        <v>41.852187919840752</v>
      </c>
      <c r="L10118" s="549">
        <f t="shared" si="1662"/>
        <v>8.2887700534759357E-2</v>
      </c>
      <c r="M10118" s="401">
        <f>SUM(C10118,C10094,C10070,C10046,C10022,C9998,C9974)/POBLA!$B$13*100000</f>
        <v>292.96531543888523</v>
      </c>
    </row>
    <row r="10119" spans="1:13" s="360" customFormat="1" x14ac:dyDescent="0.25">
      <c r="A10119" s="382" t="s">
        <v>23</v>
      </c>
      <c r="B10119" s="311">
        <v>44314</v>
      </c>
      <c r="C10119" s="111">
        <v>75</v>
      </c>
      <c r="D10119" s="312">
        <f t="shared" si="1659"/>
        <v>15361</v>
      </c>
      <c r="E10119" s="313"/>
      <c r="F10119" s="312">
        <f t="shared" si="1660"/>
        <v>237</v>
      </c>
      <c r="G10119" s="168">
        <f>SUM(C10119,C10095,C10071,C10047,C10023,C9999,C9975,C9951,C9927,C9903,C9879,C9855,C9831,C9807)/POBLA!$B$14*100000</f>
        <v>125.50602793638913</v>
      </c>
      <c r="H10119" s="256">
        <f t="shared" si="1661"/>
        <v>0.92790152403282533</v>
      </c>
      <c r="I10119" s="297">
        <f t="shared" si="1663"/>
        <v>116.45723459748183</v>
      </c>
      <c r="J10119" s="297">
        <f t="shared" si="1664"/>
        <v>114.42857142857143</v>
      </c>
      <c r="K10119" s="297">
        <f>J10119/POBLA!$B$14*100000</f>
        <v>9.0723155290179314</v>
      </c>
      <c r="L10119" s="549">
        <f t="shared" si="1662"/>
        <v>-2.4296675191815886E-2</v>
      </c>
      <c r="M10119" s="401">
        <f>SUM(C10119,C10095,C10071,C10047,C10023,C9999,C9975)/POBLA!$B$14*100000</f>
        <v>63.506208703125516</v>
      </c>
    </row>
    <row r="10120" spans="1:13" s="360" customFormat="1" x14ac:dyDescent="0.25">
      <c r="A10120" s="382" t="s">
        <v>19</v>
      </c>
      <c r="B10120" s="311">
        <v>44314</v>
      </c>
      <c r="C10120" s="111">
        <v>337</v>
      </c>
      <c r="D10120" s="312">
        <f t="shared" si="1659"/>
        <v>70400</v>
      </c>
      <c r="E10120" s="313">
        <v>8</v>
      </c>
      <c r="F10120" s="312">
        <f t="shared" si="1660"/>
        <v>1060</v>
      </c>
      <c r="G10120" s="168">
        <f>SUM(C10120,C10096,C10072,C10048,C10024,C10000,C9976,C9952,C9928,C9904,C9880,C9856,C9832,C9808)/POBLA!$B$15*100000</f>
        <v>499.65590303242044</v>
      </c>
      <c r="H10120" s="256">
        <f t="shared" si="1661"/>
        <v>1.7762312633832977</v>
      </c>
      <c r="I10120" s="297">
        <f t="shared" si="1663"/>
        <v>887.5044359001987</v>
      </c>
      <c r="J10120" s="297">
        <f t="shared" si="1664"/>
        <v>281.14285714285717</v>
      </c>
      <c r="K10120" s="297">
        <f>J10120/POBLA!$B$15*100000</f>
        <v>42.337157373968978</v>
      </c>
      <c r="L10120" s="549">
        <f t="shared" si="1662"/>
        <v>-0.45777777777777784</v>
      </c>
      <c r="M10120" s="401">
        <f>SUM(C10120,C10096,C10072,C10048,C10024,C10000,C9976)/POBLA!$B$15*100000</f>
        <v>296.36010161778279</v>
      </c>
    </row>
    <row r="10121" spans="1:13" s="360" customFormat="1" x14ac:dyDescent="0.25">
      <c r="A10121" s="382" t="s">
        <v>18</v>
      </c>
      <c r="B10121" s="311">
        <v>44314</v>
      </c>
      <c r="C10121" s="111">
        <v>320</v>
      </c>
      <c r="D10121" s="312">
        <f t="shared" si="1659"/>
        <v>60819</v>
      </c>
      <c r="E10121" s="313">
        <v>3</v>
      </c>
      <c r="F10121" s="312">
        <f t="shared" si="1660"/>
        <v>1346</v>
      </c>
      <c r="G10121" s="168">
        <f>SUM(C10121,C10097,C10073,C10049,C10025,C10001,C9977,C9953,C9929,C9905,C9881,C9857,C9833,C9809)/POBLA!$B$16*100000</f>
        <v>451.43858428859966</v>
      </c>
      <c r="H10121" s="256">
        <f t="shared" si="1661"/>
        <v>1.6716196136701338</v>
      </c>
      <c r="I10121" s="297">
        <f t="shared" si="1663"/>
        <v>754.63359186430114</v>
      </c>
      <c r="J10121" s="297">
        <f t="shared" si="1664"/>
        <v>276.14285714285717</v>
      </c>
      <c r="K10121" s="297">
        <f>J10121/POBLA!$B$16*100000</f>
        <v>36.93675273777199</v>
      </c>
      <c r="L10121" s="549">
        <f t="shared" si="1662"/>
        <v>-0.34049930651872407</v>
      </c>
      <c r="M10121" s="401">
        <f>SUM(C10121,C10097,C10073,C10049,C10025,C10001,C9977)/POBLA!$B$16*100000</f>
        <v>258.55726916440386</v>
      </c>
    </row>
    <row r="10122" spans="1:13" s="360" customFormat="1" x14ac:dyDescent="0.25">
      <c r="A10122" s="382" t="s">
        <v>34</v>
      </c>
      <c r="B10122" s="311">
        <v>44314</v>
      </c>
      <c r="C10122" s="111">
        <v>212</v>
      </c>
      <c r="D10122" s="312">
        <f t="shared" si="1659"/>
        <v>34255</v>
      </c>
      <c r="E10122" s="313">
        <v>6</v>
      </c>
      <c r="F10122" s="312">
        <f t="shared" si="1660"/>
        <v>1261</v>
      </c>
      <c r="G10122" s="168">
        <f>SUM(C10122,C10098,C10074,C10050,C10026,C10002,C9978,C9954,C9930,C9906,C9882,C9858,C9834,C9810)/POBLA!$B$17*100000</f>
        <v>186.18404840785257</v>
      </c>
      <c r="H10122" s="256">
        <f t="shared" si="1661"/>
        <v>1.1834002677376172</v>
      </c>
      <c r="I10122" s="297">
        <f t="shared" si="1663"/>
        <v>220.33025273432622</v>
      </c>
      <c r="J10122" s="297">
        <f t="shared" si="1664"/>
        <v>184.71428571428572</v>
      </c>
      <c r="K10122" s="297">
        <f>J10122/POBLA!$B$17*100000</f>
        <v>12.967893481542417</v>
      </c>
      <c r="L10122" s="549">
        <f t="shared" si="1662"/>
        <v>4.8565121412803558E-2</v>
      </c>
      <c r="M10122" s="401">
        <f>SUM(C10122,C10098,C10074,C10050,C10026,C10002,C9978)/POBLA!$B$17*100000</f>
        <v>90.775254370796901</v>
      </c>
    </row>
    <row r="10123" spans="1:13" s="360" customFormat="1" x14ac:dyDescent="0.25">
      <c r="A10123" s="382" t="s">
        <v>35</v>
      </c>
      <c r="B10123" s="311">
        <v>44314</v>
      </c>
      <c r="C10123" s="111">
        <v>311</v>
      </c>
      <c r="D10123" s="312">
        <f t="shared" si="1659"/>
        <v>22990</v>
      </c>
      <c r="E10123" s="313">
        <v>5</v>
      </c>
      <c r="F10123" s="312">
        <f t="shared" si="1660"/>
        <v>268</v>
      </c>
      <c r="G10123" s="168">
        <f>SUM(C10123,C10099,C10075,C10051,C10027,C10003,C9979,C9955,C9931,C9907,C9883,C9859,C9835,C9811)/POBLA!$B$18*100000</f>
        <v>443.92275129701477</v>
      </c>
      <c r="H10123" s="256">
        <f t="shared" si="1661"/>
        <v>1.5621621621621622</v>
      </c>
      <c r="I10123" s="297">
        <f t="shared" si="1663"/>
        <v>693.47932499912042</v>
      </c>
      <c r="J10123" s="297">
        <f t="shared" si="1664"/>
        <v>280.28571428571428</v>
      </c>
      <c r="K10123" s="297">
        <f>J10123/POBLA!$B$18*100000</f>
        <v>35.878086918962886</v>
      </c>
      <c r="L10123" s="549">
        <f t="shared" si="1662"/>
        <v>-0.3027888446215139</v>
      </c>
      <c r="M10123" s="401">
        <f>SUM(C10123,C10099,C10075,C10051,C10027,C10003,C9979)/POBLA!$B$18*100000</f>
        <v>251.14660843274018</v>
      </c>
    </row>
    <row r="10124" spans="1:13" s="360" customFormat="1" x14ac:dyDescent="0.25">
      <c r="A10124" s="383" t="s">
        <v>36</v>
      </c>
      <c r="B10124" s="311">
        <v>44314</v>
      </c>
      <c r="C10124" s="111">
        <v>565</v>
      </c>
      <c r="D10124" s="312">
        <f t="shared" si="1659"/>
        <v>36420</v>
      </c>
      <c r="E10124" s="313"/>
      <c r="F10124" s="312">
        <f t="shared" si="1660"/>
        <v>476</v>
      </c>
      <c r="G10124" s="168">
        <f>SUM(C10124,C10100,C10076,C10052,C10028,C10004,C9980,C9956,C9932,C9908,C9884,C9860,C9836,C9812)/POBLA!$B$19*100000</f>
        <v>1672.9355848979399</v>
      </c>
      <c r="H10124" s="256">
        <f t="shared" si="1661"/>
        <v>1.6632114218658323</v>
      </c>
      <c r="I10124" s="297">
        <f t="shared" si="1663"/>
        <v>2782.4455728480502</v>
      </c>
      <c r="J10124" s="297">
        <f t="shared" si="1664"/>
        <v>647.42857142857144</v>
      </c>
      <c r="K10124" s="297">
        <f>J10124/POBLA!$B$19*100000</f>
        <v>127.36433393961603</v>
      </c>
      <c r="L10124" s="549">
        <f t="shared" si="1662"/>
        <v>-0.14098690835850958</v>
      </c>
      <c r="M10124" s="401">
        <f>SUM(C10124,C10100,C10076,C10052,C10028,C10004,C9980)/POBLA!$B$19*100000</f>
        <v>891.55033757731223</v>
      </c>
    </row>
    <row r="10125" spans="1:13" s="360" customFormat="1" x14ac:dyDescent="0.25">
      <c r="A10125" s="382" t="s">
        <v>37</v>
      </c>
      <c r="B10125" s="311">
        <v>44314</v>
      </c>
      <c r="C10125" s="111">
        <v>209</v>
      </c>
      <c r="D10125" s="312">
        <f t="shared" si="1659"/>
        <v>44261</v>
      </c>
      <c r="E10125" s="313">
        <v>2</v>
      </c>
      <c r="F10125" s="312">
        <f t="shared" si="1660"/>
        <v>702</v>
      </c>
      <c r="G10125" s="168">
        <f>SUM(C10125,C10101,C10077,C10053,C10029,C10005,C9981,C9957,C9933,C9909,C9885,C9861,C9837,C9813)/POBLA!$B$20*100000</f>
        <v>729.01683903111314</v>
      </c>
      <c r="H10125" s="256">
        <f t="shared" si="1661"/>
        <v>1.2173515981735159</v>
      </c>
      <c r="I10125" s="297">
        <f t="shared" si="1663"/>
        <v>887.46981408993031</v>
      </c>
      <c r="J10125" s="297">
        <f t="shared" si="1664"/>
        <v>191.14285714285714</v>
      </c>
      <c r="K10125" s="297">
        <f>J10125/POBLA!$B$20*100000</f>
        <v>52.267952557262312</v>
      </c>
      <c r="L10125" s="549">
        <f t="shared" si="1662"/>
        <v>-7.5301204819278045E-3</v>
      </c>
      <c r="M10125" s="401">
        <f>SUM(C10125,C10101,C10077,C10053,C10029,C10005,C9981)/POBLA!$B$20*100000</f>
        <v>365.87566790083622</v>
      </c>
    </row>
    <row r="10126" spans="1:13" s="360" customFormat="1" x14ac:dyDescent="0.25">
      <c r="A10126" s="382" t="s">
        <v>22</v>
      </c>
      <c r="B10126" s="311">
        <v>44314</v>
      </c>
      <c r="C10126" s="111">
        <v>1896</v>
      </c>
      <c r="D10126" s="312">
        <f t="shared" si="1659"/>
        <v>270098</v>
      </c>
      <c r="E10126" s="313">
        <v>24</v>
      </c>
      <c r="F10126" s="312">
        <f t="shared" si="1660"/>
        <v>4597</v>
      </c>
      <c r="G10126" s="168">
        <f>SUM(C10126,C10102,C10078,C10054,C10030,C10006,C9982,C9958,C9934,C9910,C9886,C9862,C9838,C9814)/POBLA!$B$21*100000</f>
        <v>663.29828657132725</v>
      </c>
      <c r="H10126" s="256">
        <f t="shared" si="1661"/>
        <v>1.5486234897999605</v>
      </c>
      <c r="I10126" s="297">
        <f t="shared" si="1663"/>
        <v>1027.1993073284229</v>
      </c>
      <c r="J10126" s="297">
        <f t="shared" si="1664"/>
        <v>1697.5714285714287</v>
      </c>
      <c r="K10126" s="297">
        <f>J10126/POBLA!$B$21*100000</f>
        <v>48.002567246615889</v>
      </c>
      <c r="L10126" s="549">
        <f t="shared" si="1662"/>
        <v>-2.6697770865733439E-2</v>
      </c>
      <c r="M10126" s="401">
        <f>SUM(C10126,C10102,C10078,C10054,C10030,C10006,C9982)/POBLA!$B$21*100000</f>
        <v>336.0179707263112</v>
      </c>
    </row>
    <row r="10127" spans="1:13" s="360" customFormat="1" x14ac:dyDescent="0.25">
      <c r="A10127" s="382" t="s">
        <v>38</v>
      </c>
      <c r="B10127" s="311">
        <v>44314</v>
      </c>
      <c r="C10127" s="111">
        <v>220</v>
      </c>
      <c r="D10127" s="312">
        <f t="shared" si="1659"/>
        <v>30248</v>
      </c>
      <c r="E10127" s="313">
        <v>4</v>
      </c>
      <c r="F10127" s="312">
        <f t="shared" si="1660"/>
        <v>337</v>
      </c>
      <c r="G10127" s="168">
        <f>SUM(C10127,C10103,C10079,C10055,C10031,C10007,C9983,C9959,C9935,C9911,C9887,C9863,C9839,C9815)/POBLA!$B$22*100000</f>
        <v>300.72175264971435</v>
      </c>
      <c r="H10127" s="256">
        <f t="shared" si="1661"/>
        <v>1.3397085610200363</v>
      </c>
      <c r="I10127" s="297">
        <f t="shared" si="1663"/>
        <v>402.87950650977211</v>
      </c>
      <c r="J10127" s="297">
        <f t="shared" si="1664"/>
        <v>208.71428571428572</v>
      </c>
      <c r="K10127" s="297">
        <f>J10127/POBLA!$B$22*100000</f>
        <v>21.334101224688389</v>
      </c>
      <c r="L10127" s="549">
        <f t="shared" si="1662"/>
        <v>1.3504388926401045E-2</v>
      </c>
      <c r="M10127" s="401">
        <f>SUM(C10127,C10103,C10079,C10055,C10031,C10007,C9983)/POBLA!$B$22*100000</f>
        <v>149.33870857281872</v>
      </c>
    </row>
    <row r="10128" spans="1:13" s="360" customFormat="1" x14ac:dyDescent="0.25">
      <c r="A10128" s="382" t="s">
        <v>39</v>
      </c>
      <c r="B10128" s="311">
        <v>44314</v>
      </c>
      <c r="C10128" s="111">
        <v>102</v>
      </c>
      <c r="D10128" s="312">
        <f t="shared" si="1659"/>
        <v>26275</v>
      </c>
      <c r="E10128" s="313">
        <v>3</v>
      </c>
      <c r="F10128" s="312">
        <f t="shared" si="1660"/>
        <v>383</v>
      </c>
      <c r="G10128" s="168">
        <f>SUM(C10128,C10104,C10080,C10056,C10032,C10008,C9984,C9960,C9936,C9912,C9888,C9864,C9840,C9816)/POBLA!$B$23*100000</f>
        <v>621.50087654809704</v>
      </c>
      <c r="H10128" s="256">
        <f t="shared" si="1661"/>
        <v>1.010110294117647</v>
      </c>
      <c r="I10128" s="297">
        <f t="shared" si="1663"/>
        <v>627.78443320437373</v>
      </c>
      <c r="J10128" s="297">
        <f t="shared" si="1664"/>
        <v>88</v>
      </c>
      <c r="K10128" s="297">
        <f>J10128/POBLA!$B$23*100000</f>
        <v>49.765311315953177</v>
      </c>
      <c r="L10128" s="549">
        <f t="shared" si="1662"/>
        <v>-0.2753623188405796</v>
      </c>
      <c r="M10128" s="401">
        <f>SUM(C10128,C10104,C10080,C10056,C10032,C10008,C9984)/POBLA!$B$23*100000</f>
        <v>348.35717921167225</v>
      </c>
    </row>
    <row r="10129" spans="1:13" s="360" customFormat="1" ht="15.75" thickBot="1" x14ac:dyDescent="0.3">
      <c r="A10129" s="384" t="s">
        <v>40</v>
      </c>
      <c r="B10129" s="338">
        <v>44314</v>
      </c>
      <c r="C10129" s="115">
        <v>870</v>
      </c>
      <c r="D10129" s="339">
        <f t="shared" si="1659"/>
        <v>104907</v>
      </c>
      <c r="E10129" s="340">
        <v>4</v>
      </c>
      <c r="F10129" s="339">
        <f t="shared" si="1660"/>
        <v>1604</v>
      </c>
      <c r="G10129" s="177">
        <f>SUM(C10129,C10105,C10081,C10057,C10033,C10009,C9985,C9961,C9937,C9913,C9889,C9865,C9841,C9817)/POBLA!$B$24*100000</f>
        <v>563.77223460100458</v>
      </c>
      <c r="H10129" s="402">
        <f t="shared" si="1661"/>
        <v>1.2736968404212772</v>
      </c>
      <c r="I10129" s="403">
        <f t="shared" si="1663"/>
        <v>718.07491392854263</v>
      </c>
      <c r="J10129" s="403">
        <f t="shared" si="1664"/>
        <v>694.71428571428567</v>
      </c>
      <c r="K10129" s="403">
        <f>J10129/POBLA!$B$24*100000</f>
        <v>40.9944133626108</v>
      </c>
      <c r="L10129" s="550">
        <f t="shared" si="1662"/>
        <v>-3.6665956086122442E-2</v>
      </c>
      <c r="M10129" s="405">
        <f>SUM(C10129,C10105,C10081,C10057,C10033,C10009,C9985)/POBLA!$B$24*100000</f>
        <v>286.96089353827563</v>
      </c>
    </row>
    <row r="10130" spans="1:13" s="360" customFormat="1" x14ac:dyDescent="0.25">
      <c r="A10130" s="380" t="s">
        <v>16</v>
      </c>
      <c r="B10130" s="314">
        <v>44315</v>
      </c>
      <c r="C10130" s="316">
        <v>12208</v>
      </c>
      <c r="D10130" s="315">
        <f t="shared" si="1659"/>
        <v>1289438</v>
      </c>
      <c r="E10130" s="316">
        <v>335</v>
      </c>
      <c r="F10130" s="315">
        <f t="shared" ref="F10130:F10153" si="1665">E10130+F10106</f>
        <v>32819</v>
      </c>
      <c r="G10130" s="175">
        <f>SUM(C10130,C10106,C10082,C10058,C10034,C10010,C9986,C9962,C9938,C9914,C9890,C9866,C9842,C9818)/POBLA!$B$1*100000</f>
        <v>908.09372092727608</v>
      </c>
      <c r="H10130" s="300">
        <f t="shared" ref="H10130:H10153" si="1666">SUM(C10130,C10106,C10082,C10058,C10034,C10010,C9986,C9962,C9938,C9914,C9890,C9866,C9842,C9818)/SUM(C9794,C9770,C9746,C9722,C9698,C9674,C9650,C9626,C9602,C9578,C9554,C9530,C9506,C9482)</f>
        <v>1.1756240128714186</v>
      </c>
      <c r="I10130" s="301">
        <f>G10130*H10130</f>
        <v>1067.5767842598625</v>
      </c>
      <c r="J10130" s="301">
        <f>AVERAGE(C10130,C10106,C10082,C10058,C10034,C10010,C9986)</f>
        <v>10824</v>
      </c>
      <c r="K10130" s="301">
        <f>J10130/POBLA!$B$1*100000</f>
        <v>61.706362203006066</v>
      </c>
      <c r="L10130" s="548">
        <f t="shared" ref="L10130:L10153" si="1667">1-SUM(C10130,C10106,C10082,C10058,C10034,C10010,C9986)/SUM(C9962,C9938,C9914,C9890,C9866,C9842,C9818)</f>
        <v>9.2837815186417982E-2</v>
      </c>
      <c r="M10130" s="400">
        <f>SUM(C10130,C10106,C10082,C10058,C10034,C10010,C9986)/POBLA!$B$1*100000</f>
        <v>431.94453542104247</v>
      </c>
    </row>
    <row r="10131" spans="1:13" s="360" customFormat="1" x14ac:dyDescent="0.25">
      <c r="A10131" s="381" t="s">
        <v>43</v>
      </c>
      <c r="B10131" s="311">
        <v>44315</v>
      </c>
      <c r="C10131" s="313">
        <v>2972</v>
      </c>
      <c r="D10131" s="312">
        <f t="shared" si="1659"/>
        <v>339419</v>
      </c>
      <c r="E10131" s="313">
        <v>60</v>
      </c>
      <c r="F10131" s="312">
        <f t="shared" si="1665"/>
        <v>7696</v>
      </c>
      <c r="G10131" s="168">
        <f>SUM(C10131,C10107,C10083,C10059,C10035,C10011,C9987,C9963,C9939,C9915,C9891,C9867,C9843,C9819)/POBLA!$B$2*100000</f>
        <v>1360.689754282515</v>
      </c>
      <c r="H10131" s="256">
        <f t="shared" si="1666"/>
        <v>1.2074437391806117</v>
      </c>
      <c r="I10131" s="297">
        <f t="shared" ref="I10131:I10153" si="1668">G10131*H10131</f>
        <v>1642.9563247756275</v>
      </c>
      <c r="J10131" s="297">
        <f t="shared" ref="J10131:J10153" si="1669">AVERAGE(C10131,C10107,C10083,C10059,C10035,C10011,C9987)</f>
        <v>2875</v>
      </c>
      <c r="K10131" s="297">
        <f>J10131/POBLA!$B$2*100000</f>
        <v>93.476297337209814</v>
      </c>
      <c r="L10131" s="549">
        <f t="shared" si="1667"/>
        <v>7.3647871116225505E-2</v>
      </c>
      <c r="M10131" s="401">
        <f>SUM(C10131,C10107,C10083,C10059,C10035,C10011,C9987)/POBLA!$B$2*100000</f>
        <v>654.33408136046876</v>
      </c>
    </row>
    <row r="10132" spans="1:13" s="360" customFormat="1" x14ac:dyDescent="0.25">
      <c r="A10132" s="382" t="s">
        <v>28</v>
      </c>
      <c r="B10132" s="311">
        <v>44315</v>
      </c>
      <c r="C10132" s="313">
        <v>155</v>
      </c>
      <c r="D10132" s="312">
        <f t="shared" si="1659"/>
        <v>14710</v>
      </c>
      <c r="E10132" s="313"/>
      <c r="F10132" s="312">
        <f t="shared" si="1665"/>
        <v>19</v>
      </c>
      <c r="G10132" s="168">
        <f>SUM(C10132,C10108,C10084,C10060,C10036,C10012,C9988,C9964,C9940,C9916,C9892,C9868,C9844,C9820)/POBLA!$B$3*100000</f>
        <v>568.5565595828981</v>
      </c>
      <c r="H10132" s="256">
        <f t="shared" si="1666"/>
        <v>1.2992299229922992</v>
      </c>
      <c r="I10132" s="297">
        <f t="shared" si="1668"/>
        <v>738.68569512365525</v>
      </c>
      <c r="J10132" s="297">
        <f t="shared" si="1669"/>
        <v>168.85714285714286</v>
      </c>
      <c r="K10132" s="297">
        <f>J10132/POBLA!$B$3*100000</f>
        <v>40.645569942360318</v>
      </c>
      <c r="L10132" s="549">
        <f t="shared" si="1667"/>
        <v>-1.6949152542373724E-3</v>
      </c>
      <c r="M10132" s="401">
        <f>SUM(C10132,C10108,C10084,C10060,C10036,C10012,C9988)/POBLA!$B$3*100000</f>
        <v>284.5189895965222</v>
      </c>
    </row>
    <row r="10133" spans="1:13" s="360" customFormat="1" x14ac:dyDescent="0.25">
      <c r="A10133" s="382" t="s">
        <v>15</v>
      </c>
      <c r="B10133" s="311">
        <v>44315</v>
      </c>
      <c r="C10133" s="313">
        <v>400</v>
      </c>
      <c r="D10133" s="312">
        <f t="shared" si="1659"/>
        <v>44601</v>
      </c>
      <c r="E10133" s="313">
        <v>6</v>
      </c>
      <c r="F10133" s="312">
        <f t="shared" si="1665"/>
        <v>1038</v>
      </c>
      <c r="G10133" s="168">
        <f>SUM(C10133,C10109,C10085,C10061,C10037,C10013,C9989,C9965,C9941,C9917,C9893,C9869,C9845,C9821)/POBLA!$B$4*100000</f>
        <v>263.66889960574196</v>
      </c>
      <c r="H10133" s="256">
        <f t="shared" si="1666"/>
        <v>1.1536505630221576</v>
      </c>
      <c r="I10133" s="297">
        <f t="shared" si="1668"/>
        <v>304.18177448159696</v>
      </c>
      <c r="J10133" s="297">
        <f t="shared" si="1669"/>
        <v>235.71428571428572</v>
      </c>
      <c r="K10133" s="297">
        <f>J10133/POBLA!$B$4*100000</f>
        <v>19.568805521296969</v>
      </c>
      <c r="L10133" s="549">
        <f t="shared" si="1667"/>
        <v>-8.1258191349934394E-2</v>
      </c>
      <c r="M10133" s="401">
        <f>SUM(C10133,C10109,C10085,C10061,C10037,C10013,C9989)/POBLA!$B$4*100000</f>
        <v>136.98163864907877</v>
      </c>
    </row>
    <row r="10134" spans="1:13" s="360" customFormat="1" x14ac:dyDescent="0.25">
      <c r="A10134" s="382" t="s">
        <v>29</v>
      </c>
      <c r="B10134" s="311">
        <v>44315</v>
      </c>
      <c r="C10134" s="313">
        <v>235</v>
      </c>
      <c r="D10134" s="312">
        <f t="shared" si="1659"/>
        <v>54756</v>
      </c>
      <c r="E10134" s="313">
        <v>1</v>
      </c>
      <c r="F10134" s="312">
        <f t="shared" si="1665"/>
        <v>916</v>
      </c>
      <c r="G10134" s="168">
        <f>SUM(C10134,C10110,C10086,C10062,C10038,C10014,C9990,C9966,C9942,C9918,C9894,C9870,C9846,C9822)/POBLA!$B$5*100000</f>
        <v>417.28998988681639</v>
      </c>
      <c r="H10134" s="256">
        <f t="shared" si="1666"/>
        <v>1.3252950230887635</v>
      </c>
      <c r="I10134" s="297">
        <f t="shared" si="1668"/>
        <v>553.03234678175818</v>
      </c>
      <c r="J10134" s="297">
        <f t="shared" si="1669"/>
        <v>184.57142857142858</v>
      </c>
      <c r="K10134" s="297">
        <f>J10134/POBLA!$B$5*100000</f>
        <v>29.817967310091628</v>
      </c>
      <c r="L10134" s="549">
        <f t="shared" si="1667"/>
        <v>-7.7459333849727585E-4</v>
      </c>
      <c r="M10134" s="401">
        <f>SUM(C10134,C10110,C10086,C10062,C10038,C10014,C9990)/POBLA!$B$5*100000</f>
        <v>208.72577117064137</v>
      </c>
    </row>
    <row r="10135" spans="1:13" s="360" customFormat="1" x14ac:dyDescent="0.25">
      <c r="A10135" s="382" t="s">
        <v>30</v>
      </c>
      <c r="B10135" s="311">
        <v>44315</v>
      </c>
      <c r="C10135" s="313">
        <v>198</v>
      </c>
      <c r="D10135" s="312">
        <f t="shared" si="1659"/>
        <v>37385</v>
      </c>
      <c r="E10135" s="313">
        <v>13</v>
      </c>
      <c r="F10135" s="312">
        <f t="shared" si="1665"/>
        <v>495</v>
      </c>
      <c r="G10135" s="168">
        <f>SUM(C10135,C10111,C10087,C10063,C10039,C10015,C9991,C9967,C9943,C9919,C9895,C9871,C9847,C9823)/POBLA!$B$6*100000</f>
        <v>295.41372643314912</v>
      </c>
      <c r="H10135" s="256">
        <f t="shared" si="1666"/>
        <v>0.9207452725250278</v>
      </c>
      <c r="I10135" s="297">
        <f t="shared" si="1668"/>
        <v>272.0007920523239</v>
      </c>
      <c r="J10135" s="297">
        <f t="shared" si="1669"/>
        <v>242.85714285714286</v>
      </c>
      <c r="K10135" s="297">
        <f>J10135/POBLA!$B$6*100000</f>
        <v>21.668176853620121</v>
      </c>
      <c r="L10135" s="549">
        <f t="shared" si="1667"/>
        <v>-5.5245189323401611E-2</v>
      </c>
      <c r="M10135" s="401">
        <f>SUM(C10135,C10111,C10087,C10063,C10039,C10015,C9991)/POBLA!$B$6*100000</f>
        <v>151.67723797534083</v>
      </c>
    </row>
    <row r="10136" spans="1:13" s="360" customFormat="1" x14ac:dyDescent="0.25">
      <c r="A10136" s="382" t="s">
        <v>20</v>
      </c>
      <c r="B10136" s="311">
        <v>44315</v>
      </c>
      <c r="C10136" s="313">
        <v>2099</v>
      </c>
      <c r="D10136" s="312">
        <f t="shared" si="1659"/>
        <v>225460</v>
      </c>
      <c r="E10136" s="313">
        <v>19</v>
      </c>
      <c r="F10136" s="312">
        <f t="shared" si="1665"/>
        <v>3363</v>
      </c>
      <c r="G10136" s="168">
        <f>SUM(C10136,C10112,C10088,C10064,C10040,C10016,C9992,C9968,C9944,C9920,C9896,C9872,C9848,C9824)/POBLA!$B$7*100000</f>
        <v>617.45269848023509</v>
      </c>
      <c r="H10136" s="256">
        <f t="shared" si="1666"/>
        <v>1.1374057019692367</v>
      </c>
      <c r="I10136" s="297">
        <f t="shared" si="1668"/>
        <v>702.29421994771121</v>
      </c>
      <c r="J10136" s="297">
        <f t="shared" si="1669"/>
        <v>1553.4285714285713</v>
      </c>
      <c r="K10136" s="297">
        <f>J10136/POBLA!$B$7*100000</f>
        <v>41.30964569209992</v>
      </c>
      <c r="L10136" s="549">
        <f t="shared" si="1667"/>
        <v>0.11915755366545155</v>
      </c>
      <c r="M10136" s="401">
        <f>SUM(C10136,C10112,C10088,C10064,C10040,C10016,C9992)/POBLA!$B$7*100000</f>
        <v>289.16751984469943</v>
      </c>
    </row>
    <row r="10137" spans="1:13" x14ac:dyDescent="0.25">
      <c r="A10137" s="382" t="s">
        <v>31</v>
      </c>
      <c r="B10137" s="311">
        <v>44315</v>
      </c>
      <c r="C10137" s="313">
        <v>763</v>
      </c>
      <c r="D10137" s="312">
        <f t="shared" si="1659"/>
        <v>62377</v>
      </c>
      <c r="E10137" s="313">
        <v>10</v>
      </c>
      <c r="F10137" s="312">
        <f t="shared" si="1665"/>
        <v>1057</v>
      </c>
      <c r="G10137" s="168">
        <f>SUM(C10137,C10113,C10089,C10065,C10041,C10017,C9993,C9969,C9945,C9921,C9897,C9873,C9849,C9825)/POBLA!$B$8*100000</f>
        <v>527.14326016388634</v>
      </c>
      <c r="H10137" s="256">
        <f t="shared" si="1666"/>
        <v>1.4922385620915033</v>
      </c>
      <c r="I10137" s="297">
        <f t="shared" si="1668"/>
        <v>786.62350056318496</v>
      </c>
      <c r="J10137" s="297">
        <f t="shared" si="1669"/>
        <v>553.57142857142856</v>
      </c>
      <c r="K10137" s="297">
        <f>J10137/POBLA!$B$8*100000</f>
        <v>39.941342402234156</v>
      </c>
      <c r="L10137" s="549">
        <f t="shared" si="1667"/>
        <v>-0.12940833576216848</v>
      </c>
      <c r="M10137" s="401">
        <f>SUM(C10137,C10113,C10089,C10065,C10041,C10017,C9993)/POBLA!$B$8*100000</f>
        <v>279.58939681563913</v>
      </c>
    </row>
    <row r="10138" spans="1:13" s="360" customFormat="1" x14ac:dyDescent="0.25">
      <c r="A10138" s="382" t="s">
        <v>41</v>
      </c>
      <c r="B10138" s="311">
        <v>44315</v>
      </c>
      <c r="C10138" s="313">
        <v>11</v>
      </c>
      <c r="D10138" s="312">
        <f t="shared" si="1659"/>
        <v>4513</v>
      </c>
      <c r="E10138" s="313">
        <v>7</v>
      </c>
      <c r="F10138" s="312">
        <f t="shared" si="1665"/>
        <v>87</v>
      </c>
      <c r="G10138" s="168">
        <f>SUM(C10138,C10114,C10090,C10066,C10042,C10018,C9994,C9970,C9946,C9922,C9898,C9874,C9850,C9826)/POBLA!$B$9*100000</f>
        <v>197.29243398386961</v>
      </c>
      <c r="H10138" s="256">
        <f t="shared" si="1666"/>
        <v>1.1648780487804877</v>
      </c>
      <c r="I10138" s="297">
        <f t="shared" si="1668"/>
        <v>229.82162553828323</v>
      </c>
      <c r="J10138" s="297">
        <f t="shared" si="1669"/>
        <v>93.142857142857139</v>
      </c>
      <c r="K10138" s="297">
        <f>J10138/POBLA!$B$9*100000</f>
        <v>15.390603847509329</v>
      </c>
      <c r="L10138" s="549">
        <f t="shared" si="1667"/>
        <v>-0.20295202952029512</v>
      </c>
      <c r="M10138" s="401">
        <f>SUM(C10138,C10114,C10090,C10066,C10042,C10018,C9994)/POBLA!$B$9*100000</f>
        <v>107.73422693256532</v>
      </c>
    </row>
    <row r="10139" spans="1:13" s="360" customFormat="1" x14ac:dyDescent="0.25">
      <c r="A10139" s="382" t="s">
        <v>32</v>
      </c>
      <c r="B10139" s="311">
        <v>44315</v>
      </c>
      <c r="C10139" s="313">
        <v>128</v>
      </c>
      <c r="D10139" s="312">
        <f t="shared" si="1659"/>
        <v>24778</v>
      </c>
      <c r="E10139" s="313">
        <v>2</v>
      </c>
      <c r="F10139" s="312">
        <f t="shared" si="1665"/>
        <v>1030</v>
      </c>
      <c r="G10139" s="168">
        <f>SUM(C10139,C10115,C10091,C10067,C10043,C10019,C9995,C9971,C9947,C9923,C9899,C9875,C9851,C9827)/POBLA!$B$10*100000</f>
        <v>184.07510368007513</v>
      </c>
      <c r="H10139" s="256">
        <f t="shared" si="1666"/>
        <v>1.7179176755447942</v>
      </c>
      <c r="I10139" s="297">
        <f t="shared" si="1668"/>
        <v>316.22587423974164</v>
      </c>
      <c r="J10139" s="297">
        <f t="shared" si="1669"/>
        <v>97.142857142857139</v>
      </c>
      <c r="K10139" s="297">
        <f>J10139/POBLA!$B$10*100000</f>
        <v>12.601537350493414</v>
      </c>
      <c r="L10139" s="549">
        <f t="shared" si="1667"/>
        <v>7.9837618403247657E-2</v>
      </c>
      <c r="M10139" s="401">
        <f>SUM(C10139,C10115,C10091,C10067,C10043,C10019,C9995)/POBLA!$B$10*100000</f>
        <v>88.210761453453912</v>
      </c>
    </row>
    <row r="10140" spans="1:13" s="360" customFormat="1" x14ac:dyDescent="0.25">
      <c r="A10140" s="381" t="s">
        <v>33</v>
      </c>
      <c r="B10140" s="311">
        <v>44315</v>
      </c>
      <c r="C10140" s="313">
        <v>313</v>
      </c>
      <c r="D10140" s="312">
        <f t="shared" si="1659"/>
        <v>26818</v>
      </c>
      <c r="E10140" s="313">
        <v>1</v>
      </c>
      <c r="F10140" s="312">
        <f t="shared" si="1665"/>
        <v>366</v>
      </c>
      <c r="G10140" s="168">
        <f>SUM(C10140,C10116,C10092,C10068,C10044,C10020,C9996,C9972,C9948,C9924,C9900,C9876,C9852,C9828)/POBLA!$B$11*100000</f>
        <v>973.97524746950569</v>
      </c>
      <c r="H10140" s="256">
        <f t="shared" si="1666"/>
        <v>1.7976313079299691</v>
      </c>
      <c r="I10140" s="297">
        <f t="shared" si="1668"/>
        <v>1750.8483980000228</v>
      </c>
      <c r="J10140" s="297">
        <f t="shared" si="1669"/>
        <v>233.42857142857142</v>
      </c>
      <c r="K10140" s="297">
        <f>J10140/POBLA!$B$11*100000</f>
        <v>65.125651854367248</v>
      </c>
      <c r="L10140" s="549">
        <f t="shared" si="1667"/>
        <v>0.12008616047388265</v>
      </c>
      <c r="M10140" s="401">
        <f>SUM(C10140,C10116,C10092,C10068,C10044,C10020,C9996)/POBLA!$B$11*100000</f>
        <v>455.87956298057065</v>
      </c>
    </row>
    <row r="10141" spans="1:13" s="360" customFormat="1" x14ac:dyDescent="0.25">
      <c r="A10141" s="382" t="s">
        <v>21</v>
      </c>
      <c r="B10141" s="311">
        <v>44315</v>
      </c>
      <c r="C10141" s="313">
        <v>46</v>
      </c>
      <c r="D10141" s="312">
        <f t="shared" si="1659"/>
        <v>13325</v>
      </c>
      <c r="E10141" s="313">
        <v>3</v>
      </c>
      <c r="F10141" s="312">
        <f t="shared" si="1665"/>
        <v>472</v>
      </c>
      <c r="G10141" s="168">
        <f>SUM(C10141,C10117,C10093,C10069,C10045,C10021,C9997,C9973,C9949,C9925,C9901,C9877,C9853,C9829)/POBLA!$B$12*100000</f>
        <v>263.25753244344156</v>
      </c>
      <c r="H10141" s="256">
        <f t="shared" si="1666"/>
        <v>0.9119718309859155</v>
      </c>
      <c r="I10141" s="297">
        <f t="shared" si="1668"/>
        <v>240.08345388327945</v>
      </c>
      <c r="J10141" s="297">
        <f t="shared" si="1669"/>
        <v>69.142857142857139</v>
      </c>
      <c r="K10141" s="297">
        <f>J10141/POBLA!$B$12*100000</f>
        <v>17.569862893357104</v>
      </c>
      <c r="L10141" s="549">
        <f t="shared" si="1667"/>
        <v>0.12318840579710144</v>
      </c>
      <c r="M10141" s="401">
        <f>SUM(C10141,C10117,C10093,C10069,C10045,C10021,C9997)/POBLA!$B$12*100000</f>
        <v>122.98904025349972</v>
      </c>
    </row>
    <row r="10142" spans="1:13" s="360" customFormat="1" x14ac:dyDescent="0.25">
      <c r="A10142" s="382" t="s">
        <v>17</v>
      </c>
      <c r="B10142" s="311">
        <v>44315</v>
      </c>
      <c r="C10142" s="313">
        <v>879</v>
      </c>
      <c r="D10142" s="312">
        <f t="shared" si="1659"/>
        <v>95682</v>
      </c>
      <c r="E10142" s="313">
        <v>42</v>
      </c>
      <c r="F10142" s="312">
        <f t="shared" si="1665"/>
        <v>1816</v>
      </c>
      <c r="G10142" s="168">
        <f>SUM(C10142,C10118,C10094,C10070,C10046,C10022,C9998,C9974,C9950,C9926,C9902,C9878,C9854,C9830)/POBLA!$B$13*100000</f>
        <v>603.81704012082366</v>
      </c>
      <c r="H10142" s="256">
        <f t="shared" si="1666"/>
        <v>1.1818271216442129</v>
      </c>
      <c r="I10142" s="297">
        <f t="shared" si="1668"/>
        <v>713.60735452572123</v>
      </c>
      <c r="J10142" s="297">
        <f t="shared" si="1669"/>
        <v>810.57142857142856</v>
      </c>
      <c r="K10142" s="297">
        <f>J10142/POBLA!$B$13*100000</f>
        <v>40.725315427401199</v>
      </c>
      <c r="L10142" s="549">
        <f t="shared" si="1667"/>
        <v>0.10561160151324089</v>
      </c>
      <c r="M10142" s="401">
        <f>SUM(C10142,C10118,C10094,C10070,C10046,C10022,C9998)/POBLA!$B$13*100000</f>
        <v>285.07720799180845</v>
      </c>
    </row>
    <row r="10143" spans="1:13" s="360" customFormat="1" x14ac:dyDescent="0.25">
      <c r="A10143" s="382" t="s">
        <v>23</v>
      </c>
      <c r="B10143" s="311">
        <v>44315</v>
      </c>
      <c r="C10143" s="313">
        <v>156</v>
      </c>
      <c r="D10143" s="312">
        <f t="shared" si="1659"/>
        <v>15517</v>
      </c>
      <c r="E10143" s="313">
        <v>1</v>
      </c>
      <c r="F10143" s="312">
        <f t="shared" si="1665"/>
        <v>238</v>
      </c>
      <c r="G10143" s="168">
        <f>SUM(C10143,C10119,C10095,C10071,C10047,C10023,C9999,C9975,C9951,C9927,C9903,C9879,C9855,C9831)/POBLA!$B$14*100000</f>
        <v>130.02519634597485</v>
      </c>
      <c r="H10143" s="256">
        <f t="shared" si="1666"/>
        <v>0.9518282066163668</v>
      </c>
      <c r="I10143" s="297">
        <f t="shared" si="1668"/>
        <v>123.76164945293021</v>
      </c>
      <c r="J10143" s="297">
        <f t="shared" si="1669"/>
        <v>112.71428571428571</v>
      </c>
      <c r="K10143" s="297">
        <f>J10143/POBLA!$B$14*100000</f>
        <v>8.9364006896318937</v>
      </c>
      <c r="L10143" s="549">
        <f t="shared" si="1667"/>
        <v>7.2855464159812033E-2</v>
      </c>
      <c r="M10143" s="401">
        <f>SUM(C10143,C10119,C10095,C10071,C10047,C10023,C9999)/POBLA!$B$14*100000</f>
        <v>62.554804827423268</v>
      </c>
    </row>
    <row r="10144" spans="1:13" s="360" customFormat="1" x14ac:dyDescent="0.25">
      <c r="A10144" s="382" t="s">
        <v>19</v>
      </c>
      <c r="B10144" s="311">
        <v>44315</v>
      </c>
      <c r="C10144" s="313">
        <v>370</v>
      </c>
      <c r="D10144" s="312">
        <f t="shared" si="1659"/>
        <v>70770</v>
      </c>
      <c r="E10144" s="313">
        <v>8</v>
      </c>
      <c r="F10144" s="312">
        <f t="shared" si="1665"/>
        <v>1068</v>
      </c>
      <c r="G10144" s="168">
        <f>SUM(C10144,C10120,C10096,C10072,C10048,C10024,C10000,C9976,C9952,C9928,C9904,C9880,C9856,C9832)/POBLA!$B$15*100000</f>
        <v>524.35257816723572</v>
      </c>
      <c r="H10144" s="256">
        <f t="shared" si="1666"/>
        <v>1.7612544258978249</v>
      </c>
      <c r="I10144" s="297">
        <f t="shared" si="1668"/>
        <v>923.51829902797908</v>
      </c>
      <c r="J10144" s="297">
        <f t="shared" si="1669"/>
        <v>301</v>
      </c>
      <c r="K10144" s="297">
        <f>J10144/POBLA!$B$15*100000</f>
        <v>45.327434241337713</v>
      </c>
      <c r="L10144" s="549">
        <f t="shared" si="1667"/>
        <v>-0.53236363636363637</v>
      </c>
      <c r="M10144" s="401">
        <f>SUM(C10144,C10120,C10096,C10072,C10048,C10024,C10000)/POBLA!$B$15*100000</f>
        <v>317.292039689364</v>
      </c>
    </row>
    <row r="10145" spans="1:13" s="360" customFormat="1" x14ac:dyDescent="0.25">
      <c r="A10145" s="382" t="s">
        <v>18</v>
      </c>
      <c r="B10145" s="311">
        <v>44315</v>
      </c>
      <c r="C10145" s="313">
        <v>347</v>
      </c>
      <c r="D10145" s="312">
        <f t="shared" si="1659"/>
        <v>61166</v>
      </c>
      <c r="E10145" s="313">
        <v>7</v>
      </c>
      <c r="F10145" s="312">
        <f t="shared" si="1665"/>
        <v>1353</v>
      </c>
      <c r="G10145" s="168">
        <f>SUM(C10145,C10121,C10097,C10073,C10049,C10025,C10001,C9977,C9953,C9929,C9905,C9881,C9857,C9833)/POBLA!$B$16*100000</f>
        <v>470.8337234654432</v>
      </c>
      <c r="H10145" s="256">
        <f t="shared" si="1666"/>
        <v>1.68179646440516</v>
      </c>
      <c r="I10145" s="297">
        <f t="shared" si="1668"/>
        <v>791.84649144689922</v>
      </c>
      <c r="J10145" s="297">
        <f t="shared" si="1669"/>
        <v>280.57142857142856</v>
      </c>
      <c r="K10145" s="297">
        <f>J10145/POBLA!$B$16*100000</f>
        <v>37.529116594404641</v>
      </c>
      <c r="L10145" s="549">
        <f t="shared" si="1667"/>
        <v>-0.26221079691516702</v>
      </c>
      <c r="M10145" s="401">
        <f>SUM(C10145,C10121,C10097,C10073,C10049,C10025,C10001)/POBLA!$B$16*100000</f>
        <v>262.7038161608325</v>
      </c>
    </row>
    <row r="10146" spans="1:13" s="360" customFormat="1" x14ac:dyDescent="0.25">
      <c r="A10146" s="382" t="s">
        <v>34</v>
      </c>
      <c r="B10146" s="311">
        <v>44315</v>
      </c>
      <c r="C10146" s="313">
        <v>265</v>
      </c>
      <c r="D10146" s="312">
        <f t="shared" si="1659"/>
        <v>34520</v>
      </c>
      <c r="E10146" s="313">
        <v>4</v>
      </c>
      <c r="F10146" s="312">
        <f t="shared" si="1665"/>
        <v>1265</v>
      </c>
      <c r="G10146" s="168">
        <f>SUM(C10146,C10122,C10098,C10074,C10050,C10026,C10002,C9978,C9954,C9930,C9906,C9882,C9858,C9834)/POBLA!$B$17*100000</f>
        <v>185.9734329684772</v>
      </c>
      <c r="H10146" s="256">
        <f t="shared" si="1666"/>
        <v>1.129156010230179</v>
      </c>
      <c r="I10146" s="297">
        <f t="shared" si="1668"/>
        <v>209.99301957949535</v>
      </c>
      <c r="J10146" s="297">
        <f t="shared" si="1669"/>
        <v>185.14285714285714</v>
      </c>
      <c r="K10146" s="297">
        <f>J10146/POBLA!$B$17*100000</f>
        <v>12.997981401453186</v>
      </c>
      <c r="L10146" s="549">
        <f t="shared" si="1667"/>
        <v>4.2128603104212847E-2</v>
      </c>
      <c r="M10146" s="401">
        <f>SUM(C10146,C10122,C10098,C10074,C10050,C10026,C10002)/POBLA!$B$17*100000</f>
        <v>90.985869810172304</v>
      </c>
    </row>
    <row r="10147" spans="1:13" s="360" customFormat="1" x14ac:dyDescent="0.25">
      <c r="A10147" s="382" t="s">
        <v>35</v>
      </c>
      <c r="B10147" s="311">
        <v>44315</v>
      </c>
      <c r="C10147" s="313">
        <v>336</v>
      </c>
      <c r="D10147" s="312">
        <f t="shared" si="1659"/>
        <v>23326</v>
      </c>
      <c r="E10147" s="313">
        <v>4</v>
      </c>
      <c r="F10147" s="312">
        <f t="shared" si="1665"/>
        <v>272</v>
      </c>
      <c r="G10147" s="168">
        <f>SUM(C10147,C10123,C10099,C10075,C10051,C10027,C10003,C9979,C9955,C9931,C9907,C9883,C9859,C9835)/POBLA!$B$18*100000</f>
        <v>452.24310274866008</v>
      </c>
      <c r="H10147" s="256">
        <f t="shared" si="1666"/>
        <v>1.4720833333333334</v>
      </c>
      <c r="I10147" s="297">
        <f t="shared" si="1668"/>
        <v>665.73953417125676</v>
      </c>
      <c r="J10147" s="297">
        <f t="shared" si="1669"/>
        <v>278.71428571428572</v>
      </c>
      <c r="K10147" s="297">
        <f>J10147/POBLA!$B$18*100000</f>
        <v>35.676935565186845</v>
      </c>
      <c r="L10147" s="549">
        <f t="shared" si="1667"/>
        <v>-0.23324905183312272</v>
      </c>
      <c r="M10147" s="401">
        <f>SUM(C10147,C10123,C10099,C10075,C10051,C10027,C10003)/POBLA!$B$18*100000</f>
        <v>249.73854895630794</v>
      </c>
    </row>
    <row r="10148" spans="1:13" s="360" customFormat="1" x14ac:dyDescent="0.25">
      <c r="A10148" s="383" t="s">
        <v>36</v>
      </c>
      <c r="B10148" s="311">
        <v>44315</v>
      </c>
      <c r="C10148" s="313">
        <v>532</v>
      </c>
      <c r="D10148" s="312">
        <f t="shared" si="1659"/>
        <v>36952</v>
      </c>
      <c r="E10148" s="313">
        <v>2</v>
      </c>
      <c r="F10148" s="312">
        <f t="shared" si="1665"/>
        <v>478</v>
      </c>
      <c r="G10148" s="168">
        <f>SUM(C10148,C10124,C10100,C10076,C10052,C10028,C10004,C9980,C9956,C9932,C9908,C9884,C9860,C9836)/POBLA!$B$19*100000</f>
        <v>1692.411199068318</v>
      </c>
      <c r="H10148" s="256">
        <f t="shared" si="1666"/>
        <v>1.6232075471698113</v>
      </c>
      <c r="I10148" s="297">
        <f t="shared" si="1668"/>
        <v>2747.1346312424034</v>
      </c>
      <c r="J10148" s="297">
        <f t="shared" si="1669"/>
        <v>611.57142857142856</v>
      </c>
      <c r="K10148" s="297">
        <f>J10148/POBLA!$B$19*100000</f>
        <v>120.31039576246609</v>
      </c>
      <c r="L10148" s="549">
        <f t="shared" si="1667"/>
        <v>9.4863489125405209E-3</v>
      </c>
      <c r="M10148" s="401">
        <f>SUM(C10148,C10124,C10100,C10076,C10052,C10028,C10004)/POBLA!$B$19*100000</f>
        <v>842.17277033726259</v>
      </c>
    </row>
    <row r="10149" spans="1:13" s="360" customFormat="1" x14ac:dyDescent="0.25">
      <c r="A10149" s="382" t="s">
        <v>37</v>
      </c>
      <c r="B10149" s="311">
        <v>44315</v>
      </c>
      <c r="C10149" s="313">
        <v>231</v>
      </c>
      <c r="D10149" s="312">
        <f t="shared" si="1659"/>
        <v>44492</v>
      </c>
      <c r="E10149" s="313">
        <v>3</v>
      </c>
      <c r="F10149" s="312">
        <f t="shared" si="1665"/>
        <v>705</v>
      </c>
      <c r="G10149" s="168">
        <f>SUM(C10149,C10125,C10101,C10077,C10053,C10029,C10005,C9981,C9957,C9933,C9909,C9885,C9861,C9837)/POBLA!$B$20*100000</f>
        <v>740.50172546746228</v>
      </c>
      <c r="H10149" s="256">
        <f t="shared" si="1666"/>
        <v>1.230349840981372</v>
      </c>
      <c r="I10149" s="297">
        <f t="shared" si="1668"/>
        <v>911.07618017532377</v>
      </c>
      <c r="J10149" s="297">
        <f t="shared" si="1669"/>
        <v>196</v>
      </c>
      <c r="K10149" s="297">
        <f>J10149/POBLA!$B$20*100000</f>
        <v>53.596136702962546</v>
      </c>
      <c r="L10149" s="549">
        <f t="shared" si="1667"/>
        <v>-2.6946107784431073E-2</v>
      </c>
      <c r="M10149" s="401">
        <f>SUM(C10149,C10125,C10101,C10077,C10053,C10029,C10005)/POBLA!$B$20*100000</f>
        <v>375.17295692073787</v>
      </c>
    </row>
    <row r="10150" spans="1:13" s="360" customFormat="1" x14ac:dyDescent="0.25">
      <c r="A10150" s="382" t="s">
        <v>22</v>
      </c>
      <c r="B10150" s="311">
        <v>44315</v>
      </c>
      <c r="C10150" s="313">
        <v>2327</v>
      </c>
      <c r="D10150" s="312">
        <f t="shared" si="1659"/>
        <v>272425</v>
      </c>
      <c r="E10150" s="313">
        <v>13</v>
      </c>
      <c r="F10150" s="312">
        <f t="shared" si="1665"/>
        <v>4610</v>
      </c>
      <c r="G10150" s="168">
        <f>SUM(C10150,C10126,C10102,C10078,C10054,C10030,C10006,C9982,C9958,C9934,C9910,C9886,C9862,C9838)/POBLA!$B$21*100000</f>
        <v>672.2056046542009</v>
      </c>
      <c r="H10150" s="256">
        <f t="shared" si="1666"/>
        <v>1.473136270682283</v>
      </c>
      <c r="I10150" s="297">
        <f t="shared" si="1668"/>
        <v>990.2504575720186</v>
      </c>
      <c r="J10150" s="297">
        <f t="shared" si="1669"/>
        <v>1735.8571428571429</v>
      </c>
      <c r="K10150" s="297">
        <f>J10150/POBLA!$B$21*100000</f>
        <v>49.085180056688522</v>
      </c>
      <c r="L10150" s="549">
        <f t="shared" si="1667"/>
        <v>-4.5607090611823331E-2</v>
      </c>
      <c r="M10150" s="401">
        <f>SUM(C10150,C10126,C10102,C10078,C10054,C10030,C10006)/POBLA!$B$21*100000</f>
        <v>343.59626039681962</v>
      </c>
    </row>
    <row r="10151" spans="1:13" s="360" customFormat="1" x14ac:dyDescent="0.25">
      <c r="A10151" s="382" t="s">
        <v>38</v>
      </c>
      <c r="B10151" s="311">
        <v>44315</v>
      </c>
      <c r="C10151" s="313">
        <v>235</v>
      </c>
      <c r="D10151" s="312">
        <f t="shared" si="1659"/>
        <v>30483</v>
      </c>
      <c r="E10151" s="313">
        <v>4</v>
      </c>
      <c r="F10151" s="312">
        <f t="shared" si="1665"/>
        <v>341</v>
      </c>
      <c r="G10151" s="168">
        <f>SUM(C10151,C10127,C10103,C10079,C10055,C10031,C10007,C9983,C9959,C9935,C9911,C9887,C9863,C9839)/POBLA!$B$22*100000</f>
        <v>304.19712300664514</v>
      </c>
      <c r="H10151" s="256">
        <f t="shared" si="1666"/>
        <v>1.3490480507706255</v>
      </c>
      <c r="I10151" s="297">
        <f t="shared" si="1668"/>
        <v>410.37653584214684</v>
      </c>
      <c r="J10151" s="297">
        <f t="shared" si="1669"/>
        <v>199.85714285714286</v>
      </c>
      <c r="K10151" s="297">
        <f>J10151/POBLA!$B$22*100000</f>
        <v>20.428752644311469</v>
      </c>
      <c r="L10151" s="549">
        <f t="shared" si="1667"/>
        <v>0.11287254280279013</v>
      </c>
      <c r="M10151" s="401">
        <f>SUM(C10151,C10127,C10103,C10079,C10055,C10031,C10007)/POBLA!$B$22*100000</f>
        <v>143.00126851018027</v>
      </c>
    </row>
    <row r="10152" spans="1:13" s="360" customFormat="1" x14ac:dyDescent="0.25">
      <c r="A10152" s="382" t="s">
        <v>39</v>
      </c>
      <c r="B10152" s="311">
        <v>44315</v>
      </c>
      <c r="C10152" s="313">
        <v>95</v>
      </c>
      <c r="D10152" s="312">
        <f t="shared" si="1659"/>
        <v>26370</v>
      </c>
      <c r="E10152" s="313">
        <v>4</v>
      </c>
      <c r="F10152" s="312">
        <f t="shared" si="1665"/>
        <v>387</v>
      </c>
      <c r="G10152" s="168">
        <f>SUM(C10152,C10128,C10104,C10080,C10056,C10032,C10008,C9984,C9960,C9936,C9912,C9888,C9864,C9840)/POBLA!$B$23*100000</f>
        <v>644.6869875021207</v>
      </c>
      <c r="H10152" s="256">
        <f t="shared" si="1666"/>
        <v>1.0506912442396312</v>
      </c>
      <c r="I10152" s="297">
        <f t="shared" si="1668"/>
        <v>677.36697304370284</v>
      </c>
      <c r="J10152" s="297">
        <f t="shared" si="1669"/>
        <v>82.142857142857139</v>
      </c>
      <c r="K10152" s="297">
        <f>J10152/POBLA!$B$23*100000</f>
        <v>46.453009751092651</v>
      </c>
      <c r="L10152" s="549">
        <f t="shared" si="1667"/>
        <v>-1.7699115044247815E-2</v>
      </c>
      <c r="M10152" s="401">
        <f>SUM(C10152,C10128,C10104,C10080,C10056,C10032,C10008)/POBLA!$B$23*100000</f>
        <v>325.17106825764859</v>
      </c>
    </row>
    <row r="10153" spans="1:13" s="360" customFormat="1" ht="15.75" thickBot="1" x14ac:dyDescent="0.3">
      <c r="A10153" s="385" t="s">
        <v>40</v>
      </c>
      <c r="B10153" s="317">
        <v>44315</v>
      </c>
      <c r="C10153" s="319">
        <v>752</v>
      </c>
      <c r="D10153" s="318">
        <f t="shared" si="1659"/>
        <v>105659</v>
      </c>
      <c r="E10153" s="319">
        <v>12</v>
      </c>
      <c r="F10153" s="318">
        <f t="shared" si="1665"/>
        <v>1616</v>
      </c>
      <c r="G10153" s="177">
        <f>SUM(C10153,C10129,C10105,C10081,C10057,C10033,C10009,C9985,C9961,C9937,C9913,C9889,C9865,C9841)/POBLA!$B$24*100000</f>
        <v>561.11682843007668</v>
      </c>
      <c r="H10153" s="402">
        <f t="shared" si="1666"/>
        <v>1.2257025006444959</v>
      </c>
      <c r="I10153" s="403">
        <f t="shared" si="1668"/>
        <v>687.76229976045363</v>
      </c>
      <c r="J10153" s="403">
        <f t="shared" si="1669"/>
        <v>671.42857142857144</v>
      </c>
      <c r="K10153" s="403">
        <f>J10153/POBLA!$B$24*100000</f>
        <v>39.620346042416358</v>
      </c>
      <c r="L10153" s="550">
        <f t="shared" si="1667"/>
        <v>2.2665834892909076E-2</v>
      </c>
      <c r="M10153" s="405">
        <f>SUM(C10153,C10129,C10105,C10081,C10057,C10033,C10009)/POBLA!$B$24*100000</f>
        <v>277.34242229691455</v>
      </c>
    </row>
    <row r="10154" spans="1:13" s="360" customFormat="1" x14ac:dyDescent="0.25">
      <c r="A10154" s="386" t="s">
        <v>16</v>
      </c>
      <c r="B10154" s="267">
        <v>44316</v>
      </c>
      <c r="C10154" s="225">
        <v>10470</v>
      </c>
      <c r="D10154" s="315">
        <f t="shared" si="1659"/>
        <v>1299908</v>
      </c>
      <c r="E10154" s="225">
        <v>156</v>
      </c>
      <c r="F10154" s="315">
        <v>32975</v>
      </c>
      <c r="G10154" s="175">
        <f>SUM(C10154,C10130,C10106,C10082,C10058,C10034,C10010,C9986,C9962,C9938,C9914,C9890,C9866,C9842)/POBLA!$B$1*100000</f>
        <v>881.3223723587879</v>
      </c>
      <c r="H10154" s="300">
        <f t="shared" ref="H10154:H10177" si="1670">SUM(C10154,C10130,C10106,C10082,C10058,C10034,C10010,C9986,C9962,C9938,C9914,C9890,C9866,C9842)/SUM(C9818,C9794,C9770,C9746,C9722,C9698,C9674,C9650,C9626,C9602,C9578,C9554,C9530,C9506)</f>
        <v>1.0614512097992366</v>
      </c>
      <c r="I10154" s="301">
        <f>G10154*H10154</f>
        <v>935.48069836336867</v>
      </c>
      <c r="J10154" s="301">
        <f>AVERAGE(C10154,C10130,C10106,C10082,C10058,C10034,C10010)</f>
        <v>10286.428571428571</v>
      </c>
      <c r="K10154" s="301">
        <f>J10154/POBLA!$B$1*100000</f>
        <v>58.641730155572951</v>
      </c>
      <c r="L10154" s="548">
        <f t="shared" ref="L10154:L10177" si="1671">1-SUM(C10154,C10130,C10106,C10082,C10058,C10034,C10010)/SUM(C9986,C9962,C9938,C9914,C9890,C9866,C9842)</f>
        <v>0.12815265955514654</v>
      </c>
      <c r="M10154" s="400">
        <f>SUM(C10154,C10130,C10106,C10082,C10058,C10034,C10010)/POBLA!$B$1*100000</f>
        <v>410.49211108901073</v>
      </c>
    </row>
    <row r="10155" spans="1:13" s="360" customFormat="1" x14ac:dyDescent="0.25">
      <c r="A10155" s="387" t="s">
        <v>43</v>
      </c>
      <c r="B10155" s="267">
        <v>44316</v>
      </c>
      <c r="C10155" s="1">
        <v>2721</v>
      </c>
      <c r="D10155" s="312">
        <f t="shared" si="1659"/>
        <v>342140</v>
      </c>
      <c r="E10155" s="1">
        <v>56</v>
      </c>
      <c r="F10155" s="312">
        <f t="shared" ref="F10155:F10177" si="1672">E10155+F10131</f>
        <v>7752</v>
      </c>
      <c r="G10155" s="168">
        <f>SUM(C10155,C10131,C10107,C10083,C10059,C10035,C10011,C9987,C9963,C9939,C9915,C9891,C9867,C9843)/POBLA!$B$2*100000</f>
        <v>1341.4417654047313</v>
      </c>
      <c r="H10155" s="256">
        <f t="shared" si="1670"/>
        <v>1.1373986877653415</v>
      </c>
      <c r="I10155" s="297">
        <f t="shared" ref="I10155:I10177" si="1673">G10155*H10155</f>
        <v>1525.7541036849645</v>
      </c>
      <c r="J10155" s="297">
        <f t="shared" ref="J10155:J10177" si="1674">AVERAGE(C10155,C10131,C10107,C10083,C10059,C10035,C10011)</f>
        <v>2845.2857142857142</v>
      </c>
      <c r="K10155" s="297">
        <f>J10155/POBLA!$B$2*100000</f>
        <v>92.510182065351927</v>
      </c>
      <c r="L10155" s="549">
        <f t="shared" si="1671"/>
        <v>6.6726020336441594E-2</v>
      </c>
      <c r="M10155" s="401">
        <f>SUM(C10155,C10131,C10107,C10083,C10059,C10035,C10011)/POBLA!$B$2*100000</f>
        <v>647.57127445746357</v>
      </c>
    </row>
    <row r="10156" spans="1:13" s="360" customFormat="1" x14ac:dyDescent="0.25">
      <c r="A10156" s="387" t="s">
        <v>28</v>
      </c>
      <c r="B10156" s="267">
        <v>44316</v>
      </c>
      <c r="C10156" s="1">
        <v>189</v>
      </c>
      <c r="D10156" s="312">
        <f t="shared" si="1659"/>
        <v>14899</v>
      </c>
      <c r="E10156" s="1"/>
      <c r="F10156" s="312">
        <f t="shared" si="1672"/>
        <v>19</v>
      </c>
      <c r="G10156" s="168">
        <f>SUM(C10156,C10132,C10108,C10084,C10060,C10036,C10012,C9988,C9964,C9940,C9916,C9892,C9868,C9844)/POBLA!$B$3*100000</f>
        <v>579.38850081119199</v>
      </c>
      <c r="H10156" s="256">
        <f t="shared" si="1670"/>
        <v>1.2885438972162742</v>
      </c>
      <c r="I10156" s="297">
        <f t="shared" si="1673"/>
        <v>746.56751683754771</v>
      </c>
      <c r="J10156" s="297">
        <f t="shared" si="1674"/>
        <v>167.14285714285714</v>
      </c>
      <c r="K10156" s="297">
        <f>J10156/POBLA!$B$3*100000</f>
        <v>40.232924562234828</v>
      </c>
      <c r="L10156" s="549">
        <f t="shared" si="1671"/>
        <v>5.4163298302344343E-2</v>
      </c>
      <c r="M10156" s="401">
        <f>SUM(C10156,C10132,C10108,C10084,C10060,C10036,C10012)/POBLA!$B$3*100000</f>
        <v>281.63047193564381</v>
      </c>
    </row>
    <row r="10157" spans="1:13" s="360" customFormat="1" x14ac:dyDescent="0.25">
      <c r="A10157" s="387" t="s">
        <v>15</v>
      </c>
      <c r="B10157" s="267">
        <v>44316</v>
      </c>
      <c r="C10157" s="1">
        <v>203</v>
      </c>
      <c r="D10157" s="312">
        <f t="shared" si="1659"/>
        <v>44804</v>
      </c>
      <c r="E10157" s="1">
        <v>2</v>
      </c>
      <c r="F10157" s="312">
        <f t="shared" si="1672"/>
        <v>1040</v>
      </c>
      <c r="G10157" s="168">
        <f>SUM(C10157,C10133,C10109,C10085,C10061,C10037,C10013,C9989,C9965,C9941,C9917,C9893,C9869,C9845)/POBLA!$B$4*100000</f>
        <v>254.86886706222538</v>
      </c>
      <c r="H10157" s="256">
        <f t="shared" si="1670"/>
        <v>1.0685694396101635</v>
      </c>
      <c r="I10157" s="297">
        <f t="shared" si="1673"/>
        <v>272.34508245075943</v>
      </c>
      <c r="J10157" s="297">
        <f t="shared" si="1674"/>
        <v>228.85714285714286</v>
      </c>
      <c r="K10157" s="297">
        <f>J10157/POBLA!$B$4*100000</f>
        <v>18.99953117885924</v>
      </c>
      <c r="L10157" s="549">
        <f t="shared" si="1671"/>
        <v>-9.1280653950953639E-2</v>
      </c>
      <c r="M10157" s="401">
        <f>SUM(C10157,C10133,C10109,C10085,C10061,C10037,C10013)/POBLA!$B$4*100000</f>
        <v>132.99671825201466</v>
      </c>
    </row>
    <row r="10158" spans="1:13" s="360" customFormat="1" x14ac:dyDescent="0.25">
      <c r="A10158" s="387" t="s">
        <v>29</v>
      </c>
      <c r="B10158" s="267">
        <v>44316</v>
      </c>
      <c r="C10158" s="1">
        <v>120</v>
      </c>
      <c r="D10158" s="312">
        <f t="shared" si="1659"/>
        <v>54876</v>
      </c>
      <c r="E10158" s="1">
        <v>10</v>
      </c>
      <c r="F10158" s="312">
        <f t="shared" si="1672"/>
        <v>926</v>
      </c>
      <c r="G10158" s="168">
        <f>SUM(C10158,C10134,C10110,C10086,C10062,C10038,C10014,C9990,C9966,C9942,C9918,C9894,C9870,C9846)/POBLA!$B$5*100000</f>
        <v>392.73401680791733</v>
      </c>
      <c r="H10158" s="256">
        <f t="shared" si="1670"/>
        <v>1.1187298665439485</v>
      </c>
      <c r="I10158" s="297">
        <f t="shared" si="1673"/>
        <v>439.36327421079017</v>
      </c>
      <c r="J10158" s="297">
        <f t="shared" si="1674"/>
        <v>159.57142857142858</v>
      </c>
      <c r="K10158" s="297">
        <f>J10158/POBLA!$B$5*100000</f>
        <v>25.77915594843061</v>
      </c>
      <c r="L10158" s="549">
        <f t="shared" si="1671"/>
        <v>0.14992389649923898</v>
      </c>
      <c r="M10158" s="401">
        <f>SUM(C10158,C10134,C10110,C10086,C10062,C10038,C10014)/POBLA!$B$5*100000</f>
        <v>180.45409163901428</v>
      </c>
    </row>
    <row r="10159" spans="1:13" s="360" customFormat="1" x14ac:dyDescent="0.25">
      <c r="A10159" s="387" t="s">
        <v>30</v>
      </c>
      <c r="B10159" s="267">
        <v>44316</v>
      </c>
      <c r="C10159" s="1">
        <v>114</v>
      </c>
      <c r="D10159" s="312">
        <f t="shared" si="1659"/>
        <v>37499</v>
      </c>
      <c r="E10159" s="1"/>
      <c r="F10159" s="312">
        <f t="shared" si="1672"/>
        <v>495</v>
      </c>
      <c r="G10159" s="168">
        <f>SUM(C10159,C10135,C10111,C10087,C10063,C10039,C10015,C9991,C9967,C9943,C9919,C9895,C9871,C9847)/POBLA!$B$6*100000</f>
        <v>288.72208358129586</v>
      </c>
      <c r="H10159" s="256">
        <f t="shared" si="1670"/>
        <v>0.90114174324700635</v>
      </c>
      <c r="I10159" s="297">
        <f t="shared" si="1673"/>
        <v>260.1795217123568</v>
      </c>
      <c r="J10159" s="297">
        <f t="shared" si="1674"/>
        <v>206</v>
      </c>
      <c r="K10159" s="297">
        <f>J10159/POBLA!$B$6*100000</f>
        <v>18.379712366423657</v>
      </c>
      <c r="L10159" s="549">
        <f t="shared" si="1671"/>
        <v>0.19620958751393536</v>
      </c>
      <c r="M10159" s="401">
        <f>SUM(C10159,C10135,C10111,C10087,C10063,C10039,C10015)/POBLA!$B$6*100000</f>
        <v>128.6579865649656</v>
      </c>
    </row>
    <row r="10160" spans="1:13" s="360" customFormat="1" x14ac:dyDescent="0.25">
      <c r="A10160" s="387" t="s">
        <v>20</v>
      </c>
      <c r="B10160" s="267">
        <v>44316</v>
      </c>
      <c r="C10160" s="1">
        <v>1850</v>
      </c>
      <c r="D10160" s="312">
        <f t="shared" si="1659"/>
        <v>227310</v>
      </c>
      <c r="E10160" s="1">
        <v>16</v>
      </c>
      <c r="F10160" s="312">
        <f t="shared" si="1672"/>
        <v>3379</v>
      </c>
      <c r="G10160" s="168">
        <f>SUM(C10160,C10136,C10112,C10088,C10064,C10040,C10016,C9992,C9968,C9944,C9920,C9896,C9872,C9848)/POBLA!$B$7*100000</f>
        <v>604.63508356712634</v>
      </c>
      <c r="H10160" s="256">
        <f t="shared" si="1670"/>
        <v>1.0312032291713911</v>
      </c>
      <c r="I10160" s="297">
        <f t="shared" si="1673"/>
        <v>623.50165064473458</v>
      </c>
      <c r="J10160" s="297">
        <f t="shared" si="1674"/>
        <v>1553.4285714285713</v>
      </c>
      <c r="K10160" s="297">
        <f>J10160/POBLA!$B$7*100000</f>
        <v>41.30964569209992</v>
      </c>
      <c r="L10160" s="549">
        <f t="shared" si="1671"/>
        <v>8.3368456545561798E-2</v>
      </c>
      <c r="M10160" s="401">
        <f>SUM(C10160,C10136,C10112,C10088,C10064,C10040,C10016)/POBLA!$B$7*100000</f>
        <v>289.16751984469943</v>
      </c>
    </row>
    <row r="10161" spans="1:13" x14ac:dyDescent="0.25">
      <c r="A10161" s="387" t="s">
        <v>31</v>
      </c>
      <c r="B10161" s="267">
        <v>44316</v>
      </c>
      <c r="C10161" s="1">
        <v>565</v>
      </c>
      <c r="D10161" s="312">
        <f t="shared" si="1659"/>
        <v>62942</v>
      </c>
      <c r="E10161" s="1">
        <v>9</v>
      </c>
      <c r="F10161" s="312">
        <f t="shared" si="1672"/>
        <v>1066</v>
      </c>
      <c r="G10161" s="168">
        <f>SUM(C10161,C10137,C10113,C10089,C10065,C10041,C10017,C9993,C9969,C9945,C9921,C9897,C9873,C9849)/POBLA!$B$8*100000</f>
        <v>522.74198191724008</v>
      </c>
      <c r="H10161" s="256">
        <f t="shared" si="1670"/>
        <v>1.3511749347258486</v>
      </c>
      <c r="I10161" s="297">
        <f t="shared" si="1673"/>
        <v>706.31586329548759</v>
      </c>
      <c r="J10161" s="297">
        <f t="shared" si="1674"/>
        <v>538.42857142857144</v>
      </c>
      <c r="K10161" s="297">
        <f>J10161/POBLA!$B$8*100000</f>
        <v>38.848753422973047</v>
      </c>
      <c r="L10161" s="549">
        <f t="shared" si="1671"/>
        <v>-8.4292289988492586E-2</v>
      </c>
      <c r="M10161" s="401">
        <f>SUM(C10161,C10137,C10113,C10089,C10065,C10041,C10017)/POBLA!$B$8*100000</f>
        <v>271.94127396081132</v>
      </c>
    </row>
    <row r="10162" spans="1:13" s="360" customFormat="1" x14ac:dyDescent="0.25">
      <c r="A10162" s="387" t="s">
        <v>41</v>
      </c>
      <c r="B10162" s="267">
        <v>44316</v>
      </c>
      <c r="C10162" s="1">
        <v>11</v>
      </c>
      <c r="D10162" s="312">
        <f t="shared" si="1659"/>
        <v>4524</v>
      </c>
      <c r="E10162" s="1">
        <v>9</v>
      </c>
      <c r="F10162" s="312">
        <f t="shared" si="1672"/>
        <v>96</v>
      </c>
      <c r="G10162" s="168">
        <f>SUM(C10162,C10138,C10114,C10090,C10066,C10042,C10018,C9994,C9970,C9946,C9922,C9898,C9874,C9850)/POBLA!$B$9*100000</f>
        <v>183.74303734511139</v>
      </c>
      <c r="H10162" s="256">
        <f t="shared" si="1670"/>
        <v>0.99463327370304111</v>
      </c>
      <c r="I10162" s="297">
        <f t="shared" si="1673"/>
        <v>182.75693875470827</v>
      </c>
      <c r="J10162" s="297">
        <f t="shared" si="1674"/>
        <v>78.714285714285708</v>
      </c>
      <c r="K10162" s="297">
        <f>J10162/POBLA!$B$9*100000</f>
        <v>13.006476564382885</v>
      </c>
      <c r="L10162" s="549">
        <f t="shared" si="1671"/>
        <v>1.7825311942958999E-2</v>
      </c>
      <c r="M10162" s="401">
        <f>SUM(C10162,C10138,C10114,C10090,C10066,C10042,C10018)/POBLA!$B$9*100000</f>
        <v>91.045335950680197</v>
      </c>
    </row>
    <row r="10163" spans="1:13" s="360" customFormat="1" x14ac:dyDescent="0.25">
      <c r="A10163" s="387" t="s">
        <v>32</v>
      </c>
      <c r="B10163" s="267">
        <v>44316</v>
      </c>
      <c r="C10163" s="1">
        <v>89</v>
      </c>
      <c r="D10163" s="312">
        <f t="shared" ref="D10163:D10226" si="1675">C10163+D10139</f>
        <v>24867</v>
      </c>
      <c r="E10163" s="1">
        <v>6</v>
      </c>
      <c r="F10163" s="312">
        <f t="shared" si="1672"/>
        <v>1036</v>
      </c>
      <c r="G10163" s="168">
        <f>SUM(C10163,C10139,C10115,C10091,C10067,C10043,C10019,C9995,C9971,C9947,C9923,C9899,C9875,C9851)/POBLA!$B$10*100000</f>
        <v>180.96178268760028</v>
      </c>
      <c r="H10163" s="256">
        <f t="shared" si="1670"/>
        <v>1.5727170236753101</v>
      </c>
      <c r="I10163" s="297">
        <f t="shared" si="1673"/>
        <v>284.60167626742094</v>
      </c>
      <c r="J10163" s="297">
        <f t="shared" si="1674"/>
        <v>99.285714285714292</v>
      </c>
      <c r="K10163" s="297">
        <f>J10163/POBLA!$B$10*100000</f>
        <v>12.879512439107241</v>
      </c>
      <c r="L10163" s="549">
        <f t="shared" si="1671"/>
        <v>7.1428571428571175E-3</v>
      </c>
      <c r="M10163" s="401">
        <f>SUM(C10163,C10139,C10115,C10091,C10067,C10043,C10019)/POBLA!$B$10*100000</f>
        <v>90.156587073750686</v>
      </c>
    </row>
    <row r="10164" spans="1:13" s="360" customFormat="1" x14ac:dyDescent="0.25">
      <c r="A10164" s="387" t="s">
        <v>33</v>
      </c>
      <c r="B10164" s="267">
        <v>44316</v>
      </c>
      <c r="C10164" s="1">
        <v>312</v>
      </c>
      <c r="D10164" s="312">
        <f t="shared" si="1675"/>
        <v>27130</v>
      </c>
      <c r="E10164" s="1">
        <v>6</v>
      </c>
      <c r="F10164" s="312">
        <f t="shared" si="1672"/>
        <v>372</v>
      </c>
      <c r="G10164" s="168">
        <f>SUM(C10164,C10140,C10116,C10092,C10068,C10044,C10020,C9996,C9972,C9948,C9924,C9900,C9876,C9852)/POBLA!$B$11*100000</f>
        <v>947.74961777539693</v>
      </c>
      <c r="H10164" s="256">
        <f t="shared" si="1670"/>
        <v>1.48925909688733</v>
      </c>
      <c r="I10164" s="297">
        <f t="shared" si="1673"/>
        <v>1411.4447398435</v>
      </c>
      <c r="J10164" s="297">
        <f t="shared" si="1674"/>
        <v>252.14285714285714</v>
      </c>
      <c r="K10164" s="297">
        <f>J10164/POBLA!$B$11*100000</f>
        <v>70.346863845139652</v>
      </c>
      <c r="L10164" s="549">
        <f t="shared" si="1671"/>
        <v>-8.149509803921573E-2</v>
      </c>
      <c r="M10164" s="401">
        <f>SUM(C10164,C10140,C10116,C10092,C10068,C10044,C10020)/POBLA!$B$11*100000</f>
        <v>492.42804691597757</v>
      </c>
    </row>
    <row r="10165" spans="1:13" s="360" customFormat="1" x14ac:dyDescent="0.25">
      <c r="A10165" s="387" t="s">
        <v>21</v>
      </c>
      <c r="B10165" s="267">
        <v>44316</v>
      </c>
      <c r="C10165" s="1">
        <v>45</v>
      </c>
      <c r="D10165" s="312">
        <f t="shared" si="1675"/>
        <v>13370</v>
      </c>
      <c r="E10165" s="1">
        <v>1</v>
      </c>
      <c r="F10165" s="312">
        <f t="shared" si="1672"/>
        <v>473</v>
      </c>
      <c r="G10165" s="168">
        <f>SUM(C10165,C10141,C10117,C10093,C10069,C10045,C10021,C9997,C9973,C9949,C9925,C9901,C9877,C9853)/POBLA!$B$12*100000</f>
        <v>248.26506679270503</v>
      </c>
      <c r="H10165" s="256">
        <f t="shared" si="1670"/>
        <v>0.82169890664423884</v>
      </c>
      <c r="I10165" s="297">
        <f t="shared" si="1673"/>
        <v>203.99913394152466</v>
      </c>
      <c r="J10165" s="297">
        <f t="shared" si="1674"/>
        <v>66.428571428571431</v>
      </c>
      <c r="K10165" s="297">
        <f>J10165/POBLA!$B$12*100000</f>
        <v>16.880136870683994</v>
      </c>
      <c r="L10165" s="549">
        <f t="shared" si="1671"/>
        <v>9.1796875E-2</v>
      </c>
      <c r="M10165" s="401">
        <f>SUM(C10165,C10141,C10117,C10093,C10069,C10045,C10021)/POBLA!$B$12*100000</f>
        <v>118.16095809478796</v>
      </c>
    </row>
    <row r="10166" spans="1:13" s="360" customFormat="1" x14ac:dyDescent="0.25">
      <c r="A10166" s="387" t="s">
        <v>17</v>
      </c>
      <c r="B10166" s="267">
        <v>44316</v>
      </c>
      <c r="C10166" s="1">
        <v>820</v>
      </c>
      <c r="D10166" s="312">
        <f t="shared" si="1675"/>
        <v>96502</v>
      </c>
      <c r="E10166" s="1">
        <v>10</v>
      </c>
      <c r="F10166" s="312">
        <f t="shared" si="1672"/>
        <v>1826</v>
      </c>
      <c r="G10166" s="168">
        <f>SUM(C10166,C10142,C10118,C10094,C10070,C10046,C10022,C9998,C9974,C9950,C9926,C9902,C9878,C9854)/POBLA!$B$13*100000</f>
        <v>587.23694166518442</v>
      </c>
      <c r="H10166" s="256">
        <f t="shared" si="1670"/>
        <v>1.0544929628293036</v>
      </c>
      <c r="I10166" s="297">
        <f t="shared" si="1673"/>
        <v>619.23722249933928</v>
      </c>
      <c r="J10166" s="297">
        <f t="shared" si="1674"/>
        <v>769.71428571428567</v>
      </c>
      <c r="K10166" s="297">
        <f>J10166/POBLA!$B$13*100000</f>
        <v>38.672541332893495</v>
      </c>
      <c r="L10166" s="549">
        <f t="shared" si="1671"/>
        <v>0.14476190476190476</v>
      </c>
      <c r="M10166" s="401">
        <f>SUM(C10166,C10142,C10118,C10094,C10070,C10046,C10022)/POBLA!$B$13*100000</f>
        <v>270.70778933025446</v>
      </c>
    </row>
    <row r="10167" spans="1:13" s="360" customFormat="1" x14ac:dyDescent="0.25">
      <c r="A10167" s="387" t="s">
        <v>23</v>
      </c>
      <c r="B10167" s="267">
        <v>44316</v>
      </c>
      <c r="C10167" s="1">
        <v>112</v>
      </c>
      <c r="D10167" s="312">
        <f t="shared" si="1675"/>
        <v>15629</v>
      </c>
      <c r="E10167" s="1">
        <v>1</v>
      </c>
      <c r="F10167" s="312">
        <f t="shared" si="1672"/>
        <v>239</v>
      </c>
      <c r="G10167" s="168">
        <f>SUM(C10167,C10143,C10119,C10095,C10071,C10047,C10023,C9999,C9975,C9951,C9927,C9903,C9879,C9855)/POBLA!$B$14*100000</f>
        <v>123.9203548102187</v>
      </c>
      <c r="H10167" s="256">
        <f t="shared" si="1670"/>
        <v>0.85737794843664294</v>
      </c>
      <c r="I10167" s="297">
        <f t="shared" si="1673"/>
        <v>106.24657957672619</v>
      </c>
      <c r="J10167" s="297">
        <f t="shared" si="1674"/>
        <v>113</v>
      </c>
      <c r="K10167" s="297">
        <f>J10167/POBLA!$B$14*100000</f>
        <v>8.9590531628629009</v>
      </c>
      <c r="L10167" s="549">
        <f t="shared" si="1671"/>
        <v>-2.4611398963730657E-2</v>
      </c>
      <c r="M10167" s="401">
        <f>SUM(C10167,C10143,C10119,C10095,C10071,C10047,C10023)/POBLA!$B$14*100000</f>
        <v>62.713372140040306</v>
      </c>
    </row>
    <row r="10168" spans="1:13" s="360" customFormat="1" x14ac:dyDescent="0.25">
      <c r="A10168" s="387" t="s">
        <v>19</v>
      </c>
      <c r="B10168" s="267">
        <v>44316</v>
      </c>
      <c r="C10168" s="1">
        <v>347</v>
      </c>
      <c r="D10168" s="312">
        <f t="shared" si="1675"/>
        <v>71117</v>
      </c>
      <c r="E10168" s="1">
        <v>3</v>
      </c>
      <c r="F10168" s="312">
        <f t="shared" si="1672"/>
        <v>1071</v>
      </c>
      <c r="G10168" s="168">
        <f>SUM(C10168,C10144,C10120,C10096,C10072,C10048,C10024,C10000,C9976,C9952,C9928,C9904,C9880,C9856)/POBLA!$B$15*100000</f>
        <v>532.18323125876248</v>
      </c>
      <c r="H10168" s="256">
        <f t="shared" si="1670"/>
        <v>1.5976491862567812</v>
      </c>
      <c r="I10168" s="297">
        <f t="shared" si="1673"/>
        <v>850.24210636006626</v>
      </c>
      <c r="J10168" s="297">
        <f t="shared" si="1674"/>
        <v>303.28571428571428</v>
      </c>
      <c r="K10168" s="297">
        <f>J10168/POBLA!$B$15*100000</f>
        <v>45.671638772833397</v>
      </c>
      <c r="L10168" s="549">
        <f t="shared" si="1671"/>
        <v>-0.50460666194188519</v>
      </c>
      <c r="M10168" s="401">
        <f>SUM(C10168,C10144,C10120,C10096,C10072,C10048,C10024)/POBLA!$B$15*100000</f>
        <v>319.7014714098338</v>
      </c>
    </row>
    <row r="10169" spans="1:13" s="360" customFormat="1" x14ac:dyDescent="0.25">
      <c r="A10169" s="387" t="s">
        <v>18</v>
      </c>
      <c r="B10169" s="267">
        <v>44316</v>
      </c>
      <c r="C10169" s="1">
        <v>287</v>
      </c>
      <c r="D10169" s="312">
        <f t="shared" si="1675"/>
        <v>61453</v>
      </c>
      <c r="E10169" s="1">
        <v>11</v>
      </c>
      <c r="F10169" s="312">
        <f t="shared" si="1672"/>
        <v>1364</v>
      </c>
      <c r="G10169" s="168">
        <f>SUM(C10169,C10145,C10121,C10097,C10073,C10049,C10025,C10001,C9977,C9953,C9929,C9905,C9881,C9857)/POBLA!$B$16*100000</f>
        <v>483.00584529366915</v>
      </c>
      <c r="H10169" s="256">
        <f t="shared" si="1670"/>
        <v>1.602751886373724</v>
      </c>
      <c r="I10169" s="297">
        <f t="shared" si="1673"/>
        <v>774.13852967396338</v>
      </c>
      <c r="J10169" s="297">
        <f t="shared" si="1674"/>
        <v>278.85714285714283</v>
      </c>
      <c r="K10169" s="297">
        <f>J10169/POBLA!$B$16*100000</f>
        <v>37.299814456353289</v>
      </c>
      <c r="L10169" s="549">
        <f t="shared" si="1671"/>
        <v>-0.1766124171187462</v>
      </c>
      <c r="M10169" s="401">
        <f>SUM(C10169,C10145,C10121,C10097,C10073,C10049,C10025)/POBLA!$B$16*100000</f>
        <v>261.09870119447305</v>
      </c>
    </row>
    <row r="10170" spans="1:13" s="360" customFormat="1" x14ac:dyDescent="0.25">
      <c r="A10170" s="387" t="s">
        <v>34</v>
      </c>
      <c r="B10170" s="267">
        <v>44316</v>
      </c>
      <c r="C10170" s="1">
        <v>265</v>
      </c>
      <c r="D10170" s="312">
        <f t="shared" si="1675"/>
        <v>34785</v>
      </c>
      <c r="E10170" s="1">
        <v>5</v>
      </c>
      <c r="F10170" s="312">
        <f t="shared" si="1672"/>
        <v>1270</v>
      </c>
      <c r="G10170" s="168">
        <f>SUM(C10170,C10146,C10122,C10098,C10074,C10050,C10026,C10002,C9978,C9954,C9930,C9906,C9882,C9858)/POBLA!$B$17*100000</f>
        <v>184.92035577160019</v>
      </c>
      <c r="H10170" s="256">
        <f t="shared" si="1670"/>
        <v>1.0293083235638922</v>
      </c>
      <c r="I10170" s="297">
        <f t="shared" si="1673"/>
        <v>190.3400613921043</v>
      </c>
      <c r="J10170" s="297">
        <f t="shared" si="1674"/>
        <v>187.42857142857142</v>
      </c>
      <c r="K10170" s="297">
        <f>J10170/POBLA!$B$17*100000</f>
        <v>13.158450307643966</v>
      </c>
      <c r="L10170" s="549">
        <f t="shared" si="1671"/>
        <v>7.5642965204235635E-3</v>
      </c>
      <c r="M10170" s="401">
        <f>SUM(C10170,C10146,C10122,C10098,C10074,C10050,C10026)/POBLA!$B$17*100000</f>
        <v>92.109152153507765</v>
      </c>
    </row>
    <row r="10171" spans="1:13" s="360" customFormat="1" x14ac:dyDescent="0.25">
      <c r="A10171" s="387" t="s">
        <v>35</v>
      </c>
      <c r="B10171" s="267">
        <v>44316</v>
      </c>
      <c r="C10171" s="1">
        <v>298</v>
      </c>
      <c r="D10171" s="312">
        <f t="shared" si="1675"/>
        <v>23624</v>
      </c>
      <c r="E10171" s="1">
        <v>7</v>
      </c>
      <c r="F10171" s="312">
        <f t="shared" si="1672"/>
        <v>279</v>
      </c>
      <c r="G10171" s="168">
        <f>SUM(C10171,C10147,C10123,C10099,C10075,C10051,C10027,C10003,C9979,C9955,C9931,C9907,C9883,C9859)/POBLA!$B$18*100000</f>
        <v>460.43544879335701</v>
      </c>
      <c r="H10171" s="256">
        <f t="shared" si="1670"/>
        <v>1.3882670783481281</v>
      </c>
      <c r="I10171" s="297">
        <f t="shared" si="1673"/>
        <v>639.20737526426285</v>
      </c>
      <c r="J10171" s="297">
        <f t="shared" si="1674"/>
        <v>268.85714285714283</v>
      </c>
      <c r="K10171" s="297">
        <f>J10171/POBLA!$B$18*100000</f>
        <v>34.415167982409862</v>
      </c>
      <c r="L10171" s="549">
        <f t="shared" si="1671"/>
        <v>-9.737609329446073E-2</v>
      </c>
      <c r="M10171" s="401">
        <f>SUM(C10171,C10147,C10123,C10099,C10075,C10051,C10027)/POBLA!$B$18*100000</f>
        <v>240.90617587686904</v>
      </c>
    </row>
    <row r="10172" spans="1:13" s="360" customFormat="1" x14ac:dyDescent="0.25">
      <c r="A10172" s="387" t="s">
        <v>36</v>
      </c>
      <c r="B10172" s="267">
        <v>44316</v>
      </c>
      <c r="C10172" s="1">
        <v>522</v>
      </c>
      <c r="D10172" s="312">
        <f t="shared" si="1675"/>
        <v>37474</v>
      </c>
      <c r="E10172" s="1">
        <v>5</v>
      </c>
      <c r="F10172" s="312">
        <f t="shared" si="1672"/>
        <v>483</v>
      </c>
      <c r="G10172" s="168">
        <f>SUM(C10172,C10148,C10124,C10100,C10076,C10052,C10028,C10004,C9980,C9956,C9932,C9908,C9884,C9860)/POBLA!$B$19*100000</f>
        <v>1645.9844824601437</v>
      </c>
      <c r="H10172" s="256">
        <f t="shared" si="1670"/>
        <v>1.4140611796518505</v>
      </c>
      <c r="I10172" s="297">
        <f t="shared" si="1673"/>
        <v>2327.5227589562314</v>
      </c>
      <c r="J10172" s="297">
        <f t="shared" si="1674"/>
        <v>583.28571428571433</v>
      </c>
      <c r="K10172" s="297">
        <f>J10172/POBLA!$B$19*100000</f>
        <v>114.74593457092948</v>
      </c>
      <c r="L10172" s="549">
        <f t="shared" si="1671"/>
        <v>4.6918767507002856E-2</v>
      </c>
      <c r="M10172" s="401">
        <f>SUM(C10172,C10148,C10124,C10100,C10076,C10052,C10028)/POBLA!$B$19*100000</f>
        <v>803.22154199650618</v>
      </c>
    </row>
    <row r="10173" spans="1:13" s="360" customFormat="1" x14ac:dyDescent="0.25">
      <c r="A10173" s="387" t="s">
        <v>37</v>
      </c>
      <c r="B10173" s="267">
        <v>44316</v>
      </c>
      <c r="C10173" s="1">
        <v>270</v>
      </c>
      <c r="D10173" s="312">
        <f t="shared" si="1675"/>
        <v>44762</v>
      </c>
      <c r="E10173" s="1">
        <v>1</v>
      </c>
      <c r="F10173" s="312">
        <f t="shared" si="1672"/>
        <v>706</v>
      </c>
      <c r="G10173" s="168">
        <f>SUM(C10173,C10149,C10125,C10101,C10077,C10053,C10029,C10005,C9981,C9957,C9933,C9909,C9885,C9861)/POBLA!$B$20*100000</f>
        <v>771.40153897478251</v>
      </c>
      <c r="H10173" s="256">
        <f t="shared" si="1670"/>
        <v>1.2265217391304348</v>
      </c>
      <c r="I10173" s="297">
        <f t="shared" si="1673"/>
        <v>946.1407571512442</v>
      </c>
      <c r="J10173" s="297">
        <f t="shared" si="1674"/>
        <v>205.42857142857142</v>
      </c>
      <c r="K10173" s="297">
        <f>J10173/POBLA!$B$20*100000</f>
        <v>56.174376515204187</v>
      </c>
      <c r="L10173" s="549">
        <f t="shared" si="1671"/>
        <v>-3.9768618944324041E-2</v>
      </c>
      <c r="M10173" s="401">
        <f>SUM(C10173,C10149,C10125,C10101,C10077,C10053,C10029)/POBLA!$B$20*100000</f>
        <v>393.22063560642931</v>
      </c>
    </row>
    <row r="10174" spans="1:13" s="360" customFormat="1" x14ac:dyDescent="0.25">
      <c r="A10174" s="387" t="s">
        <v>22</v>
      </c>
      <c r="B10174" s="267">
        <v>44316</v>
      </c>
      <c r="C10174" s="1">
        <v>1945</v>
      </c>
      <c r="D10174" s="312">
        <f t="shared" si="1675"/>
        <v>274370</v>
      </c>
      <c r="E10174" s="1">
        <v>13</v>
      </c>
      <c r="F10174" s="312">
        <f t="shared" si="1672"/>
        <v>4623</v>
      </c>
      <c r="G10174" s="168">
        <f>SUM(C10174,C10150,C10126,C10102,C10078,C10054,C10030,C10006,C9982,C9958,C9934,C9910,C9886,C9862)/POBLA!$B$21*100000</f>
        <v>671.95110985183317</v>
      </c>
      <c r="H10174" s="256">
        <f t="shared" si="1670"/>
        <v>1.3484848484848484</v>
      </c>
      <c r="I10174" s="297">
        <f t="shared" si="1673"/>
        <v>906.11589055777495</v>
      </c>
      <c r="J10174" s="297">
        <f t="shared" si="1674"/>
        <v>1738.2857142857142</v>
      </c>
      <c r="K10174" s="297">
        <f>J10174/POBLA!$B$21*100000</f>
        <v>49.153853257327448</v>
      </c>
      <c r="L10174" s="549">
        <f t="shared" si="1671"/>
        <v>-4.9417852522638972E-2</v>
      </c>
      <c r="M10174" s="401">
        <f>SUM(C10174,C10150,C10126,C10102,C10078,C10054,C10030)/POBLA!$B$21*100000</f>
        <v>344.07697280129213</v>
      </c>
    </row>
    <row r="10175" spans="1:13" s="360" customFormat="1" x14ac:dyDescent="0.25">
      <c r="A10175" s="387" t="s">
        <v>38</v>
      </c>
      <c r="B10175" s="267">
        <v>44316</v>
      </c>
      <c r="C10175" s="1">
        <v>160</v>
      </c>
      <c r="D10175" s="312">
        <f t="shared" si="1675"/>
        <v>30643</v>
      </c>
      <c r="E10175" s="1">
        <v>6</v>
      </c>
      <c r="F10175" s="312">
        <f t="shared" si="1672"/>
        <v>347</v>
      </c>
      <c r="G10175" s="168">
        <f>SUM(C10175,C10151,C10127,C10103,C10079,C10055,C10031,C10007,C9983,C9959,C9935,C9911,C9887,C9863)/POBLA!$B$22*100000</f>
        <v>294.17987903666818</v>
      </c>
      <c r="H10175" s="256">
        <f t="shared" si="1670"/>
        <v>1.2194915254237289</v>
      </c>
      <c r="I10175" s="297">
        <f t="shared" si="1673"/>
        <v>358.74986943539449</v>
      </c>
      <c r="J10175" s="297">
        <f t="shared" si="1674"/>
        <v>187.71428571428572</v>
      </c>
      <c r="K10175" s="297">
        <f>J10175/POBLA!$B$22*100000</f>
        <v>19.187548945407627</v>
      </c>
      <c r="L10175" s="549">
        <f t="shared" si="1671"/>
        <v>0.15984654731457804</v>
      </c>
      <c r="M10175" s="401">
        <f>SUM(C10175,C10151,C10127,C10103,C10079,C10055,C10031)/POBLA!$B$22*100000</f>
        <v>134.31284261785339</v>
      </c>
    </row>
    <row r="10176" spans="1:13" s="360" customFormat="1" x14ac:dyDescent="0.25">
      <c r="A10176" s="387" t="s">
        <v>39</v>
      </c>
      <c r="B10176" s="267">
        <v>44316</v>
      </c>
      <c r="C10176" s="1">
        <v>64</v>
      </c>
      <c r="D10176" s="312">
        <f t="shared" si="1675"/>
        <v>26434</v>
      </c>
      <c r="E10176" s="1"/>
      <c r="F10176" s="312">
        <f t="shared" si="1672"/>
        <v>387</v>
      </c>
      <c r="G10176" s="168">
        <f>SUM(C10176,C10152,C10128,C10104,C10080,C10056,C10032,C10008,C9984,C9960,C9936,C9912,C9888,C9864)/POBLA!$B$23*100000</f>
        <v>623.7629361533676</v>
      </c>
      <c r="H10176" s="256">
        <f t="shared" si="1670"/>
        <v>0.98658318425760283</v>
      </c>
      <c r="I10176" s="297">
        <f t="shared" si="1673"/>
        <v>615.39402377206125</v>
      </c>
      <c r="J10176" s="297">
        <f t="shared" si="1674"/>
        <v>70.571428571428569</v>
      </c>
      <c r="K10176" s="297">
        <f>J10176/POBLA!$B$23*100000</f>
        <v>39.909194464416991</v>
      </c>
      <c r="L10176" s="549">
        <f t="shared" si="1671"/>
        <v>0.18883415435139572</v>
      </c>
      <c r="M10176" s="401">
        <f>SUM(C10176,C10152,C10128,C10104,C10080,C10056,C10032)/POBLA!$B$23*100000</f>
        <v>279.36436125091899</v>
      </c>
    </row>
    <row r="10177" spans="1:13" s="360" customFormat="1" ht="15.75" thickBot="1" x14ac:dyDescent="0.3">
      <c r="A10177" s="388" t="s">
        <v>40</v>
      </c>
      <c r="B10177" s="267">
        <v>44316</v>
      </c>
      <c r="C10177" s="1">
        <v>641</v>
      </c>
      <c r="D10177" s="318">
        <f t="shared" si="1675"/>
        <v>106300</v>
      </c>
      <c r="E10177" s="1">
        <v>24</v>
      </c>
      <c r="F10177" s="318">
        <f t="shared" si="1672"/>
        <v>1640</v>
      </c>
      <c r="G10177" s="177">
        <f>SUM(C10177,C10153,C10129,C10105,C10081,C10057,C10033,C10009,C9985,C9961,C9937,C9913,C9889,C9865)/POBLA!$B$24*100000</f>
        <v>549.78709543411753</v>
      </c>
      <c r="H10177" s="402">
        <f t="shared" si="1670"/>
        <v>1.1190247417727601</v>
      </c>
      <c r="I10177" s="403">
        <f t="shared" si="1673"/>
        <v>615.22536249815914</v>
      </c>
      <c r="J10177" s="403">
        <f t="shared" si="1674"/>
        <v>627.71428571428567</v>
      </c>
      <c r="K10177" s="403">
        <f>J10177/POBLA!$B$24*100000</f>
        <v>37.040808619229253</v>
      </c>
      <c r="L10177" s="550">
        <f t="shared" si="1671"/>
        <v>0.10745480398131224</v>
      </c>
      <c r="M10177" s="405">
        <f>SUM(C10177,C10153,C10129,C10105,C10081,C10057,C10033)/POBLA!$B$24*100000</f>
        <v>259.28566033460476</v>
      </c>
    </row>
    <row r="10178" spans="1:13" s="360" customFormat="1" x14ac:dyDescent="0.25">
      <c r="A10178" s="386" t="s">
        <v>16</v>
      </c>
      <c r="B10178" s="267">
        <v>44317</v>
      </c>
      <c r="C10178" s="42">
        <v>7508</v>
      </c>
      <c r="D10178" s="315">
        <f t="shared" si="1675"/>
        <v>1307416</v>
      </c>
      <c r="E10178" s="1">
        <v>137</v>
      </c>
      <c r="F10178" s="315">
        <f t="shared" ref="F10178:F10201" si="1676">E10178+F10154</f>
        <v>33112</v>
      </c>
      <c r="G10178" s="175">
        <f>SUM(C10178,C10154,C10130,C10106,C10082,C10058,C10034,C10010,C9986,C9962,C9938,C9914,C9890,C9866)/POBLA!$B$1*100000</f>
        <v>870.67312211902299</v>
      </c>
      <c r="H10178" s="300">
        <f t="shared" ref="H10178:H10201" si="1677">SUM(C10178,C10154,C10130,C10106,C10082,C10058,C10034,C10010,C9986,C9962,C9938,C9914,C9890,C9866)/SUM(C9842,C9818,C9794,C9770,C9746,C9722,C9698,C9674,C9650,C9626,C9602,C9578,C9554,C9530)</f>
        <v>1.020118359004502</v>
      </c>
      <c r="I10178" s="301">
        <f>G10178*H10178</f>
        <v>888.18963656538415</v>
      </c>
      <c r="J10178" s="301">
        <f>AVERAGE(C10178,C10154,C10130,C10106,C10082,C10058,C10034)</f>
        <v>9908.1428571428569</v>
      </c>
      <c r="K10178" s="301">
        <f>J10178/POBLA!$B$1*100000</f>
        <v>56.485167396709578</v>
      </c>
      <c r="L10178" s="548">
        <f t="shared" ref="L10178:L10201" si="1678">1-SUM(C10178,C10154,C10130,C10106,C10082,C10058,C10034)/SUM(C10010,C9986,C9962,C9938,C9914,C9890,C9866)</f>
        <v>0.16807206515611317</v>
      </c>
      <c r="M10178" s="400">
        <f>SUM(C10178,C10154,C10130,C10106,C10082,C10058,C10034)/POBLA!$B$1*100000</f>
        <v>395.39617177696709</v>
      </c>
    </row>
    <row r="10179" spans="1:13" s="360" customFormat="1" x14ac:dyDescent="0.25">
      <c r="A10179" s="387" t="s">
        <v>43</v>
      </c>
      <c r="B10179" s="267">
        <v>44317</v>
      </c>
      <c r="C10179" s="42">
        <v>2383</v>
      </c>
      <c r="D10179" s="312">
        <f t="shared" si="1675"/>
        <v>344523</v>
      </c>
      <c r="E10179" s="1">
        <v>42</v>
      </c>
      <c r="F10179" s="312">
        <f t="shared" si="1676"/>
        <v>7794</v>
      </c>
      <c r="G10179" s="168">
        <f>SUM(C10179,C10155,C10131,C10107,C10083,C10059,C10035,C10011,C9987,C9963,C9939,C9915,C9891,C9867)/POBLA!$B$2*100000</f>
        <v>1326.8106927780375</v>
      </c>
      <c r="H10179" s="256">
        <f t="shared" si="1677"/>
        <v>1.0964292431285096</v>
      </c>
      <c r="I10179" s="297">
        <f t="shared" ref="I10179:I10201" si="1679">G10179*H10179</f>
        <v>1454.7540436574373</v>
      </c>
      <c r="J10179" s="297">
        <f t="shared" ref="J10179:J10201" si="1680">AVERAGE(C10179,C10155,C10131,C10107,C10083,C10059,C10035)</f>
        <v>2756</v>
      </c>
      <c r="K10179" s="297">
        <f>J10179/POBLA!$B$2*100000</f>
        <v>89.607191464817475</v>
      </c>
      <c r="L10179" s="549">
        <f t="shared" si="1678"/>
        <v>0.10336493772076594</v>
      </c>
      <c r="M10179" s="401">
        <f>SUM(C10179,C10155,C10131,C10107,C10083,C10059,C10035)/POBLA!$B$2*100000</f>
        <v>627.25034025372224</v>
      </c>
    </row>
    <row r="10180" spans="1:13" s="360" customFormat="1" x14ac:dyDescent="0.25">
      <c r="A10180" s="387" t="s">
        <v>28</v>
      </c>
      <c r="B10180" s="267">
        <v>44317</v>
      </c>
      <c r="C10180" s="42">
        <v>38</v>
      </c>
      <c r="D10180" s="312">
        <f t="shared" si="1675"/>
        <v>14937</v>
      </c>
      <c r="E10180" s="1"/>
      <c r="F10180" s="312">
        <f t="shared" si="1676"/>
        <v>19</v>
      </c>
      <c r="G10180" s="168">
        <f>SUM(C10180,C10156,C10132,C10108,C10084,C10060,C10036,C10012,C9988,C9964,C9940,C9916,C9892,C9868)/POBLA!$B$3*100000</f>
        <v>551.70687322777405</v>
      </c>
      <c r="H10180" s="256">
        <f t="shared" si="1677"/>
        <v>1.1826625386996905</v>
      </c>
      <c r="I10180" s="297">
        <f t="shared" si="1679"/>
        <v>652.48305130962763</v>
      </c>
      <c r="J10180" s="297">
        <f t="shared" si="1680"/>
        <v>151.85714285714286</v>
      </c>
      <c r="K10180" s="297">
        <f>J10180/POBLA!$B$3*100000</f>
        <v>36.553503256115924</v>
      </c>
      <c r="L10180" s="549">
        <f t="shared" si="1678"/>
        <v>0.13506916192026042</v>
      </c>
      <c r="M10180" s="401">
        <f>SUM(C10180,C10156,C10132,C10108,C10084,C10060,C10036)/POBLA!$B$3*100000</f>
        <v>255.87452279281146</v>
      </c>
    </row>
    <row r="10181" spans="1:13" s="360" customFormat="1" x14ac:dyDescent="0.25">
      <c r="A10181" s="387" t="s">
        <v>15</v>
      </c>
      <c r="B10181" s="267">
        <v>44317</v>
      </c>
      <c r="C10181" s="42">
        <v>224</v>
      </c>
      <c r="D10181" s="312">
        <f t="shared" si="1675"/>
        <v>45028</v>
      </c>
      <c r="E10181" s="1">
        <v>5</v>
      </c>
      <c r="F10181" s="312">
        <f t="shared" si="1676"/>
        <v>1045</v>
      </c>
      <c r="G10181" s="168">
        <f>SUM(C10181,C10157,C10133,C10109,C10085,C10061,C10037,C10013,C9989,C9965,C9941,C9917,C9893,C9869)/POBLA!$B$4*100000</f>
        <v>252.87640686369332</v>
      </c>
      <c r="H10181" s="256">
        <f t="shared" si="1677"/>
        <v>1.0029634507737899</v>
      </c>
      <c r="I10181" s="297">
        <f t="shared" si="1679"/>
        <v>253.62579364728674</v>
      </c>
      <c r="J10181" s="297">
        <f t="shared" si="1680"/>
        <v>226.57142857142858</v>
      </c>
      <c r="K10181" s="297">
        <f>J10181/POBLA!$B$4*100000</f>
        <v>18.80977306471333</v>
      </c>
      <c r="L10181" s="549">
        <f t="shared" si="1678"/>
        <v>-8.6301369863013733E-2</v>
      </c>
      <c r="M10181" s="401">
        <f>SUM(C10181,C10157,C10133,C10109,C10085,C10061,C10037)/POBLA!$B$4*100000</f>
        <v>131.6684114529933</v>
      </c>
    </row>
    <row r="10182" spans="1:13" s="360" customFormat="1" x14ac:dyDescent="0.25">
      <c r="A10182" s="387" t="s">
        <v>29</v>
      </c>
      <c r="B10182" s="267">
        <v>44317</v>
      </c>
      <c r="C10182" s="42">
        <v>112</v>
      </c>
      <c r="D10182" s="312">
        <f t="shared" si="1675"/>
        <v>54988</v>
      </c>
      <c r="E10182" s="1"/>
      <c r="F10182" s="312">
        <f t="shared" si="1676"/>
        <v>926</v>
      </c>
      <c r="G10182" s="168">
        <f>SUM(C10182,C10158,C10134,C10110,C10086,C10062,C10038,C10014,C9990,C9966,C9942,C9918,C9894,C9870)/POBLA!$B$5*100000</f>
        <v>396.93438062404476</v>
      </c>
      <c r="H10182" s="256">
        <f t="shared" si="1677"/>
        <v>1.1077547339945897</v>
      </c>
      <c r="I10182" s="297">
        <f t="shared" si="1679"/>
        <v>439.7059392214959</v>
      </c>
      <c r="J10182" s="297">
        <f t="shared" si="1680"/>
        <v>161.71428571428572</v>
      </c>
      <c r="K10182" s="297">
        <f>J10182/POBLA!$B$5*100000</f>
        <v>26.125339779430128</v>
      </c>
      <c r="L10182" s="549">
        <f t="shared" si="1678"/>
        <v>0.14566037735849058</v>
      </c>
      <c r="M10182" s="401">
        <f>SUM(C10182,C10158,C10134,C10110,C10086,C10062,C10038)/POBLA!$B$5*100000</f>
        <v>182.87737845601089</v>
      </c>
    </row>
    <row r="10183" spans="1:13" s="360" customFormat="1" x14ac:dyDescent="0.25">
      <c r="A10183" s="387" t="s">
        <v>30</v>
      </c>
      <c r="B10183" s="267">
        <v>44317</v>
      </c>
      <c r="C10183" s="42">
        <v>148</v>
      </c>
      <c r="D10183" s="312">
        <f t="shared" si="1675"/>
        <v>37647</v>
      </c>
      <c r="E10183" s="1">
        <v>1</v>
      </c>
      <c r="F10183" s="312">
        <f t="shared" si="1676"/>
        <v>496</v>
      </c>
      <c r="G10183" s="168">
        <f>SUM(C10183,C10159,C10135,C10111,C10087,C10063,C10039,C10015,C9991,C9967,C9943,C9919,C9895,C9871)/POBLA!$B$6*100000</f>
        <v>277.39090168549097</v>
      </c>
      <c r="H10183" s="256">
        <f t="shared" si="1677"/>
        <v>0.84644704601143483</v>
      </c>
      <c r="I10183" s="297">
        <f t="shared" si="1679"/>
        <v>234.79670932213219</v>
      </c>
      <c r="J10183" s="297">
        <f t="shared" si="1680"/>
        <v>178.57142857142858</v>
      </c>
      <c r="K10183" s="297">
        <f>J10183/POBLA!$B$6*100000</f>
        <v>15.93248298060303</v>
      </c>
      <c r="L10183" s="549">
        <f t="shared" si="1678"/>
        <v>0.32759548144163531</v>
      </c>
      <c r="M10183" s="401">
        <f>SUM(C10183,C10159,C10135,C10111,C10087,C10063,C10039)/POBLA!$B$6*100000</f>
        <v>111.52738086422121</v>
      </c>
    </row>
    <row r="10184" spans="1:13" s="360" customFormat="1" x14ac:dyDescent="0.25">
      <c r="A10184" s="387" t="s">
        <v>20</v>
      </c>
      <c r="B10184" s="267">
        <v>44317</v>
      </c>
      <c r="C10184" s="42">
        <v>1239</v>
      </c>
      <c r="D10184" s="312">
        <f t="shared" si="1675"/>
        <v>228549</v>
      </c>
      <c r="E10184" s="1">
        <v>6</v>
      </c>
      <c r="F10184" s="312">
        <f t="shared" si="1676"/>
        <v>3385</v>
      </c>
      <c r="G10184" s="168">
        <f>SUM(C10184,C10160,C10136,C10112,C10088,C10064,C10040,C10016,C9992,C9968,C9944,C9920,C9896,C9872)/POBLA!$B$7*100000</f>
        <v>604.42234307064314</v>
      </c>
      <c r="H10184" s="256">
        <f t="shared" si="1677"/>
        <v>1.0007925674783145</v>
      </c>
      <c r="I10184" s="297">
        <f t="shared" si="1679"/>
        <v>604.90138856292754</v>
      </c>
      <c r="J10184" s="297">
        <f t="shared" si="1680"/>
        <v>1559.7142857142858</v>
      </c>
      <c r="K10184" s="297">
        <f>J10184/POBLA!$B$7*100000</f>
        <v>41.476798939336668</v>
      </c>
      <c r="L10184" s="549">
        <f t="shared" si="1678"/>
        <v>7.5607484548302462E-2</v>
      </c>
      <c r="M10184" s="401">
        <f>SUM(C10184,C10160,C10136,C10112,C10088,C10064,C10040)/POBLA!$B$7*100000</f>
        <v>290.33759257535667</v>
      </c>
    </row>
    <row r="10185" spans="1:13" x14ac:dyDescent="0.25">
      <c r="A10185" s="387" t="s">
        <v>31</v>
      </c>
      <c r="B10185" s="267">
        <v>44317</v>
      </c>
      <c r="C10185" s="42">
        <v>386</v>
      </c>
      <c r="D10185" s="312">
        <f t="shared" si="1675"/>
        <v>63328</v>
      </c>
      <c r="E10185" s="1">
        <v>1</v>
      </c>
      <c r="F10185" s="312">
        <f t="shared" si="1676"/>
        <v>1067</v>
      </c>
      <c r="G10185" s="168">
        <f>SUM(C10185,C10161,C10137,C10113,C10089,C10065,C10041,C10017,C9993,C9969,C9945,C9921,C9897,C9873)/POBLA!$B$8*100000</f>
        <v>513.14575229750335</v>
      </c>
      <c r="H10185" s="256">
        <f t="shared" si="1677"/>
        <v>1.2321552321552323</v>
      </c>
      <c r="I10185" s="297">
        <f t="shared" si="1679"/>
        <v>632.27522355160158</v>
      </c>
      <c r="J10185" s="297">
        <f t="shared" si="1680"/>
        <v>512.28571428571433</v>
      </c>
      <c r="K10185" s="297">
        <f>J10185/POBLA!$B$8*100000</f>
        <v>36.962491317267535</v>
      </c>
      <c r="L10185" s="549">
        <f t="shared" si="1678"/>
        <v>-1.7016449234259712E-2</v>
      </c>
      <c r="M10185" s="401">
        <f>SUM(C10185,C10161,C10137,C10113,C10089,C10065,C10041)/POBLA!$B$8*100000</f>
        <v>258.73743922087272</v>
      </c>
    </row>
    <row r="10186" spans="1:13" s="360" customFormat="1" x14ac:dyDescent="0.25">
      <c r="A10186" s="387" t="s">
        <v>41</v>
      </c>
      <c r="B10186" s="267">
        <v>44317</v>
      </c>
      <c r="C10186" s="42">
        <v>10</v>
      </c>
      <c r="D10186" s="312">
        <f t="shared" si="1675"/>
        <v>4534</v>
      </c>
      <c r="E10186" s="1"/>
      <c r="F10186" s="312">
        <f t="shared" si="1676"/>
        <v>96</v>
      </c>
      <c r="G10186" s="168">
        <f>SUM(C10186,C10162,C10138,C10114,C10090,C10066,C10042,C10018,C9994,C9970,C9946,C9922,C9898,C9874)/POBLA!$B$9*100000</f>
        <v>182.91685462323591</v>
      </c>
      <c r="H10186" s="256">
        <f t="shared" si="1677"/>
        <v>0.98051372896368472</v>
      </c>
      <c r="I10186" s="297">
        <f t="shared" si="1679"/>
        <v>179.35248721693725</v>
      </c>
      <c r="J10186" s="297">
        <f t="shared" si="1680"/>
        <v>64</v>
      </c>
      <c r="K10186" s="297">
        <f>J10186/POBLA!$B$9*100000</f>
        <v>10.575138840006412</v>
      </c>
      <c r="L10186" s="549">
        <f t="shared" si="1678"/>
        <v>0.32018209408194231</v>
      </c>
      <c r="M10186" s="401">
        <f>SUM(C10186,C10162,C10138,C10114,C10090,C10066,C10042)/POBLA!$B$9*100000</f>
        <v>74.025971880044878</v>
      </c>
    </row>
    <row r="10187" spans="1:13" s="360" customFormat="1" x14ac:dyDescent="0.25">
      <c r="A10187" s="387" t="s">
        <v>32</v>
      </c>
      <c r="B10187" s="267">
        <v>44317</v>
      </c>
      <c r="C10187" s="42">
        <v>59</v>
      </c>
      <c r="D10187" s="312">
        <f t="shared" si="1675"/>
        <v>24926</v>
      </c>
      <c r="E10187" s="1">
        <v>2</v>
      </c>
      <c r="F10187" s="312">
        <f t="shared" si="1676"/>
        <v>1038</v>
      </c>
      <c r="G10187" s="168">
        <f>SUM(C10187,C10163,C10139,C10115,C10091,C10067,C10043,C10019,C9995,C9971,C9947,C9923,C9899,C9875)/POBLA!$B$10*100000</f>
        <v>170.45432433799769</v>
      </c>
      <c r="H10187" s="256">
        <f t="shared" si="1677"/>
        <v>1.3140000000000001</v>
      </c>
      <c r="I10187" s="297">
        <f t="shared" si="1679"/>
        <v>223.97698218012897</v>
      </c>
      <c r="J10187" s="297">
        <f t="shared" si="1680"/>
        <v>94.857142857142861</v>
      </c>
      <c r="K10187" s="297">
        <f>J10187/POBLA!$B$10*100000</f>
        <v>12.305030589305336</v>
      </c>
      <c r="L10187" s="549">
        <f t="shared" si="1678"/>
        <v>-2.1538461538461506E-2</v>
      </c>
      <c r="M10187" s="401">
        <f>SUM(C10187,C10163,C10139,C10115,C10091,C10067,C10043)/POBLA!$B$10*100000</f>
        <v>86.135214125137352</v>
      </c>
    </row>
    <row r="10188" spans="1:13" s="360" customFormat="1" x14ac:dyDescent="0.25">
      <c r="A10188" s="387" t="s">
        <v>33</v>
      </c>
      <c r="B10188" s="267">
        <v>44317</v>
      </c>
      <c r="C10188" s="42">
        <v>278</v>
      </c>
      <c r="D10188" s="312">
        <f t="shared" si="1675"/>
        <v>27408</v>
      </c>
      <c r="E10188" s="1">
        <v>2</v>
      </c>
      <c r="F10188" s="312">
        <f t="shared" si="1676"/>
        <v>374</v>
      </c>
      <c r="G10188" s="168">
        <f>SUM(C10188,C10164,C10140,C10116,C10092,C10068,C10044,C10020,C9996,C9972,C9948,C9924,C9900,C9876)/POBLA!$B$11*100000</f>
        <v>982.62412534735006</v>
      </c>
      <c r="H10188" s="256">
        <f t="shared" si="1677"/>
        <v>1.4860759493670885</v>
      </c>
      <c r="I10188" s="297">
        <f t="shared" si="1679"/>
        <v>1460.2540799465683</v>
      </c>
      <c r="J10188" s="297">
        <f t="shared" si="1680"/>
        <v>265.85714285714283</v>
      </c>
      <c r="K10188" s="297">
        <f>J10188/POBLA!$B$11*100000</f>
        <v>74.17309553303393</v>
      </c>
      <c r="L10188" s="549">
        <f t="shared" si="1678"/>
        <v>-0.12040939193257083</v>
      </c>
      <c r="M10188" s="401">
        <f>SUM(C10188,C10164,C10140,C10116,C10092,C10068,C10044)/POBLA!$B$11*100000</f>
        <v>519.21166873123752</v>
      </c>
    </row>
    <row r="10189" spans="1:13" s="360" customFormat="1" x14ac:dyDescent="0.25">
      <c r="A10189" s="387" t="s">
        <v>21</v>
      </c>
      <c r="B10189" s="267">
        <v>44317</v>
      </c>
      <c r="C10189" s="42">
        <v>84</v>
      </c>
      <c r="D10189" s="312">
        <f t="shared" si="1675"/>
        <v>13454</v>
      </c>
      <c r="E10189" s="1"/>
      <c r="F10189" s="312">
        <f t="shared" si="1676"/>
        <v>473</v>
      </c>
      <c r="G10189" s="168">
        <f>SUM(C10189,C10165,C10141,C10117,C10093,C10069,C10045,C10021,C9997,C9973,C9949,C9925,C9901,C9877)/POBLA!$B$12*100000</f>
        <v>269.1020529513558</v>
      </c>
      <c r="H10189" s="256">
        <f t="shared" si="1677"/>
        <v>0.96800731261425965</v>
      </c>
      <c r="I10189" s="297">
        <f t="shared" si="1679"/>
        <v>260.49275509642212</v>
      </c>
      <c r="J10189" s="297">
        <f t="shared" si="1680"/>
        <v>61.571428571428569</v>
      </c>
      <c r="K10189" s="297">
        <f>J10189/POBLA!$B$12*100000</f>
        <v>15.645890303795271</v>
      </c>
      <c r="L10189" s="549">
        <f t="shared" si="1678"/>
        <v>0.31369426751592355</v>
      </c>
      <c r="M10189" s="401">
        <f>SUM(C10189,C10165,C10141,C10117,C10093,C10069,C10045)/POBLA!$B$12*100000</f>
        <v>109.5212321265669</v>
      </c>
    </row>
    <row r="10190" spans="1:13" s="360" customFormat="1" x14ac:dyDescent="0.25">
      <c r="A10190" s="387" t="s">
        <v>17</v>
      </c>
      <c r="B10190" s="267">
        <v>44317</v>
      </c>
      <c r="C10190" s="42">
        <v>484</v>
      </c>
      <c r="D10190" s="312">
        <f t="shared" si="1675"/>
        <v>96986</v>
      </c>
      <c r="E10190" s="1">
        <v>16</v>
      </c>
      <c r="F10190" s="312">
        <f t="shared" si="1676"/>
        <v>1842</v>
      </c>
      <c r="G10190" s="168">
        <f>SUM(C10190,C10166,C10142,C10118,C10094,C10070,C10046,C10022,C9998,C9974,C9950,C9926,C9902,C9878)/POBLA!$B$13*100000</f>
        <v>573.21922206178044</v>
      </c>
      <c r="H10190" s="256">
        <f t="shared" si="1677"/>
        <v>0.98557360055286802</v>
      </c>
      <c r="I10190" s="297">
        <f t="shared" si="1679"/>
        <v>564.94973259354299</v>
      </c>
      <c r="J10190" s="297">
        <f t="shared" si="1680"/>
        <v>734.57142857142856</v>
      </c>
      <c r="K10190" s="297">
        <f>J10190/POBLA!$B$13*100000</f>
        <v>36.9068685103449</v>
      </c>
      <c r="L10190" s="549">
        <f t="shared" si="1678"/>
        <v>0.17951172809956917</v>
      </c>
      <c r="M10190" s="401">
        <f>SUM(C10190,C10166,C10142,C10118,C10094,C10070,C10046)/POBLA!$B$13*100000</f>
        <v>258.34807957241435</v>
      </c>
    </row>
    <row r="10191" spans="1:13" s="360" customFormat="1" x14ac:dyDescent="0.25">
      <c r="A10191" s="387" t="s">
        <v>23</v>
      </c>
      <c r="B10191" s="267">
        <v>44317</v>
      </c>
      <c r="C10191" s="42">
        <v>105</v>
      </c>
      <c r="D10191" s="312">
        <f t="shared" si="1675"/>
        <v>15734</v>
      </c>
      <c r="E10191" s="1"/>
      <c r="F10191" s="312">
        <f t="shared" si="1676"/>
        <v>239</v>
      </c>
      <c r="G10191" s="168">
        <f>SUM(C10191,C10167,C10143,C10119,C10095,C10071,C10047,C10023,C9999,C9975,C9951,C9927,C9903,C9879)/POBLA!$B$14*100000</f>
        <v>120.82829221418639</v>
      </c>
      <c r="H10191" s="256">
        <f t="shared" si="1677"/>
        <v>0.80042016806722693</v>
      </c>
      <c r="I10191" s="297">
        <f t="shared" si="1679"/>
        <v>96.713401961355075</v>
      </c>
      <c r="J10191" s="297">
        <f t="shared" si="1680"/>
        <v>107.28571428571429</v>
      </c>
      <c r="K10191" s="297">
        <f>J10191/POBLA!$B$14*100000</f>
        <v>8.5060036982427789</v>
      </c>
      <c r="L10191" s="549">
        <f t="shared" si="1678"/>
        <v>2.8460543337645583E-2</v>
      </c>
      <c r="M10191" s="401">
        <f>SUM(C10191,C10167,C10143,C10119,C10095,C10071,C10047)/POBLA!$B$14*100000</f>
        <v>59.542025887699452</v>
      </c>
    </row>
    <row r="10192" spans="1:13" s="360" customFormat="1" x14ac:dyDescent="0.25">
      <c r="A10192" s="387" t="s">
        <v>19</v>
      </c>
      <c r="B10192" s="267">
        <v>44317</v>
      </c>
      <c r="C10192" s="42">
        <v>338</v>
      </c>
      <c r="D10192" s="312">
        <f t="shared" si="1675"/>
        <v>71455</v>
      </c>
      <c r="E10192" s="1"/>
      <c r="F10192" s="312">
        <f t="shared" si="1676"/>
        <v>1071</v>
      </c>
      <c r="G10192" s="168">
        <f>SUM(C10192,C10168,C10144,C10120,C10096,C10072,C10048,C10024,C10000,C9976,C9952,C9928,C9904,C9880)/POBLA!$B$15*100000</f>
        <v>571.78826516398442</v>
      </c>
      <c r="H10192" s="256">
        <f t="shared" si="1677"/>
        <v>1.7072841726618706</v>
      </c>
      <c r="I10192" s="297">
        <f t="shared" si="1679"/>
        <v>976.20505522825943</v>
      </c>
      <c r="J10192" s="297">
        <f t="shared" si="1680"/>
        <v>325.85714285714283</v>
      </c>
      <c r="K10192" s="297">
        <f>J10192/POBLA!$B$15*100000</f>
        <v>49.070658521353259</v>
      </c>
      <c r="L10192" s="549">
        <f t="shared" si="1678"/>
        <v>-0.50461741424802109</v>
      </c>
      <c r="M10192" s="401">
        <f>SUM(C10192,C10168,C10144,C10120,C10096,C10072,C10048)/POBLA!$B$15*100000</f>
        <v>343.49460964947286</v>
      </c>
    </row>
    <row r="10193" spans="1:13" s="360" customFormat="1" x14ac:dyDescent="0.25">
      <c r="A10193" s="387" t="s">
        <v>18</v>
      </c>
      <c r="B10193" s="267">
        <v>44317</v>
      </c>
      <c r="C10193" s="42">
        <v>167</v>
      </c>
      <c r="D10193" s="312">
        <f t="shared" si="1675"/>
        <v>61620</v>
      </c>
      <c r="E10193" s="1">
        <v>2</v>
      </c>
      <c r="F10193" s="312">
        <f t="shared" si="1676"/>
        <v>1366</v>
      </c>
      <c r="G10193" s="168">
        <f>SUM(C10193,C10169,C10145,C10121,C10097,C10073,C10049,C10025,C10001,C9977,C9953,C9929,C9905,C9881)/POBLA!$B$16*100000</f>
        <v>484.07592193790879</v>
      </c>
      <c r="H10193" s="256">
        <f t="shared" si="1677"/>
        <v>1.5727944372012168</v>
      </c>
      <c r="I10193" s="297">
        <f t="shared" si="1679"/>
        <v>761.35191720699345</v>
      </c>
      <c r="J10193" s="297">
        <f t="shared" si="1680"/>
        <v>272.85714285714283</v>
      </c>
      <c r="K10193" s="297">
        <f>J10193/POBLA!$B$16*100000</f>
        <v>36.497256973173556</v>
      </c>
      <c r="L10193" s="549">
        <f t="shared" si="1678"/>
        <v>-0.11761263897015795</v>
      </c>
      <c r="M10193" s="401">
        <f>SUM(C10193,C10169,C10145,C10121,C10097,C10073,C10049)/POBLA!$B$16*100000</f>
        <v>255.48079881221494</v>
      </c>
    </row>
    <row r="10194" spans="1:13" s="360" customFormat="1" x14ac:dyDescent="0.25">
      <c r="A10194" s="387" t="s">
        <v>34</v>
      </c>
      <c r="B10194" s="267">
        <v>44317</v>
      </c>
      <c r="C10194" s="42">
        <v>128</v>
      </c>
      <c r="D10194" s="312">
        <f t="shared" si="1675"/>
        <v>34913</v>
      </c>
      <c r="E10194" s="1"/>
      <c r="F10194" s="312">
        <f t="shared" si="1676"/>
        <v>1270</v>
      </c>
      <c r="G10194" s="168">
        <f>SUM(C10194,C10170,C10146,C10122,C10098,C10074,C10050,C10026,C10002,C9978,C9954,C9930,C9906,C9882)/POBLA!$B$17*100000</f>
        <v>186.81589472597878</v>
      </c>
      <c r="H10194" s="256">
        <f t="shared" si="1677"/>
        <v>1.0290023201856149</v>
      </c>
      <c r="I10194" s="297">
        <f t="shared" si="1679"/>
        <v>192.23398912058374</v>
      </c>
      <c r="J10194" s="297">
        <f t="shared" si="1680"/>
        <v>185.42857142857142</v>
      </c>
      <c r="K10194" s="297">
        <f>J10194/POBLA!$B$17*100000</f>
        <v>13.018040014727033</v>
      </c>
      <c r="L10194" s="549">
        <f t="shared" si="1678"/>
        <v>4.7688921496698455E-2</v>
      </c>
      <c r="M10194" s="401">
        <f>SUM(C10194,C10170,C10146,C10122,C10098,C10074,C10050)/POBLA!$B$17*100000</f>
        <v>91.126280103089243</v>
      </c>
    </row>
    <row r="10195" spans="1:13" s="360" customFormat="1" x14ac:dyDescent="0.25">
      <c r="A10195" s="387" t="s">
        <v>35</v>
      </c>
      <c r="B10195" s="267">
        <v>44317</v>
      </c>
      <c r="C10195" s="42">
        <v>112</v>
      </c>
      <c r="D10195" s="312">
        <f t="shared" si="1675"/>
        <v>23736</v>
      </c>
      <c r="E10195" s="1"/>
      <c r="F10195" s="312">
        <f t="shared" si="1676"/>
        <v>279</v>
      </c>
      <c r="G10195" s="168">
        <f>SUM(C10195,C10171,C10147,C10123,C10099,C10075,C10051,C10027,C10003,C9979,C9955,C9931,C9907,C9883)/POBLA!$B$18*100000</f>
        <v>465.8116758851894</v>
      </c>
      <c r="H10195" s="256">
        <f t="shared" si="1677"/>
        <v>1.3747638836418588</v>
      </c>
      <c r="I10195" s="297">
        <f t="shared" si="1679"/>
        <v>640.38106858564572</v>
      </c>
      <c r="J10195" s="297">
        <f t="shared" si="1680"/>
        <v>259.42857142857144</v>
      </c>
      <c r="K10195" s="297">
        <f>J10195/POBLA!$B$18*100000</f>
        <v>33.208259859753625</v>
      </c>
      <c r="L10195" s="549">
        <f t="shared" si="1678"/>
        <v>3.8398244651672853E-3</v>
      </c>
      <c r="M10195" s="401">
        <f>SUM(C10195,C10171,C10147,C10123,C10099,C10075,C10051)/POBLA!$B$18*100000</f>
        <v>232.4578190182753</v>
      </c>
    </row>
    <row r="10196" spans="1:13" s="360" customFormat="1" x14ac:dyDescent="0.25">
      <c r="A10196" s="387" t="s">
        <v>36</v>
      </c>
      <c r="B10196" s="267">
        <v>44317</v>
      </c>
      <c r="C10196" s="42">
        <v>527</v>
      </c>
      <c r="D10196" s="312">
        <f t="shared" si="1675"/>
        <v>38001</v>
      </c>
      <c r="E10196" s="1">
        <v>3</v>
      </c>
      <c r="F10196" s="312">
        <f t="shared" si="1676"/>
        <v>486</v>
      </c>
      <c r="G10196" s="168">
        <f>SUM(C10196,C10172,C10148,C10124,C10100,C10076,C10052,C10028,C10004,C9980,C9956,C9932,C9908,C9884)/POBLA!$B$19*100000</f>
        <v>1648.1484395901857</v>
      </c>
      <c r="H10196" s="256">
        <f t="shared" si="1677"/>
        <v>1.3534733441033926</v>
      </c>
      <c r="I10196" s="297">
        <f t="shared" si="1679"/>
        <v>2230.7249801109169</v>
      </c>
      <c r="J10196" s="297">
        <f t="shared" si="1680"/>
        <v>548.42857142857144</v>
      </c>
      <c r="K10196" s="297">
        <f>J10196/POBLA!$B$19*100000</f>
        <v>107.88871976923787</v>
      </c>
      <c r="L10196" s="549">
        <f t="shared" si="1678"/>
        <v>0.1542189909671734</v>
      </c>
      <c r="M10196" s="401">
        <f>SUM(C10196,C10172,C10148,C10124,C10100,C10076,C10052)/POBLA!$B$19*100000</f>
        <v>755.22103838466501</v>
      </c>
    </row>
    <row r="10197" spans="1:13" s="360" customFormat="1" x14ac:dyDescent="0.25">
      <c r="A10197" s="387" t="s">
        <v>37</v>
      </c>
      <c r="B10197" s="267">
        <v>44317</v>
      </c>
      <c r="C10197" s="42">
        <v>134</v>
      </c>
      <c r="D10197" s="312">
        <f t="shared" si="1675"/>
        <v>44896</v>
      </c>
      <c r="E10197" s="1">
        <v>2</v>
      </c>
      <c r="F10197" s="312">
        <f t="shared" si="1676"/>
        <v>708</v>
      </c>
      <c r="G10197" s="168">
        <f>SUM(C10197,C10173,C10149,C10125,C10101,C10077,C10053,C10029,C10005,C9981,C9957,C9933,C9909,C9885)/POBLA!$B$20*100000</f>
        <v>765.65909575660794</v>
      </c>
      <c r="H10197" s="256">
        <f t="shared" si="1677"/>
        <v>1.1740041928721174</v>
      </c>
      <c r="I10197" s="297">
        <f t="shared" si="1679"/>
        <v>898.88698872893178</v>
      </c>
      <c r="J10197" s="297">
        <f t="shared" si="1680"/>
        <v>197.71428571428572</v>
      </c>
      <c r="K10197" s="297">
        <f>J10197/POBLA!$B$20*100000</f>
        <v>54.064907577915577</v>
      </c>
      <c r="L10197" s="549">
        <f t="shared" si="1678"/>
        <v>2.2598870056497189E-2</v>
      </c>
      <c r="M10197" s="401">
        <f>SUM(C10197,C10173,C10149,C10125,C10101,C10077,C10053)/POBLA!$B$20*100000</f>
        <v>378.45435304540905</v>
      </c>
    </row>
    <row r="10198" spans="1:13" s="360" customFormat="1" x14ac:dyDescent="0.25">
      <c r="A10198" s="387" t="s">
        <v>22</v>
      </c>
      <c r="B10198" s="267">
        <v>44317</v>
      </c>
      <c r="C10198" s="42">
        <v>1456</v>
      </c>
      <c r="D10198" s="312">
        <f t="shared" si="1675"/>
        <v>275826</v>
      </c>
      <c r="E10198" s="1">
        <v>6</v>
      </c>
      <c r="F10198" s="312">
        <f t="shared" si="1676"/>
        <v>4629</v>
      </c>
      <c r="G10198" s="168">
        <f>SUM(C10198,C10174,C10150,C10126,C10102,C10078,C10054,C10030,C10006,C9982,C9958,C9934,C9910,C9886)/POBLA!$B$21*100000</f>
        <v>672.3752678557795</v>
      </c>
      <c r="H10198" s="256">
        <f t="shared" si="1677"/>
        <v>1.280590262817751</v>
      </c>
      <c r="I10198" s="297">
        <f t="shared" si="1679"/>
        <v>861.03722097558841</v>
      </c>
      <c r="J10198" s="297">
        <f t="shared" si="1680"/>
        <v>1692.4285714285713</v>
      </c>
      <c r="K10198" s="297">
        <f>J10198/POBLA!$B$21*100000</f>
        <v>47.857141645262843</v>
      </c>
      <c r="L10198" s="549">
        <f t="shared" si="1678"/>
        <v>7.0404827759618094E-3</v>
      </c>
      <c r="M10198" s="401">
        <f>SUM(C10198,C10174,C10150,C10126,C10102,C10078,C10054)/POBLA!$B$21*100000</f>
        <v>334.99999151683994</v>
      </c>
    </row>
    <row r="10199" spans="1:13" s="360" customFormat="1" x14ac:dyDescent="0.25">
      <c r="A10199" s="387" t="s">
        <v>38</v>
      </c>
      <c r="B10199" s="267">
        <v>44317</v>
      </c>
      <c r="C10199" s="42">
        <v>211</v>
      </c>
      <c r="D10199" s="312">
        <f t="shared" si="1675"/>
        <v>30854</v>
      </c>
      <c r="E10199" s="1">
        <v>4</v>
      </c>
      <c r="F10199" s="312">
        <f t="shared" si="1676"/>
        <v>351</v>
      </c>
      <c r="G10199" s="168">
        <f>SUM(C10199,C10175,C10151,C10127,C10103,C10079,C10055,C10031,C10007,C9983,C9959,C9935,C9911,C9887)/POBLA!$B$22*100000</f>
        <v>289.68234092769899</v>
      </c>
      <c r="H10199" s="256">
        <f t="shared" si="1677"/>
        <v>1.1459765467044076</v>
      </c>
      <c r="I10199" s="297">
        <f t="shared" si="1679"/>
        <v>331.96916869757337</v>
      </c>
      <c r="J10199" s="297">
        <f t="shared" si="1680"/>
        <v>184.71428571428572</v>
      </c>
      <c r="K10199" s="297">
        <f>J10199/POBLA!$B$22*100000</f>
        <v>18.880898619796092</v>
      </c>
      <c r="L10199" s="549">
        <f t="shared" si="1678"/>
        <v>0.16093445814406226</v>
      </c>
      <c r="M10199" s="401">
        <f>SUM(C10199,C10175,C10151,C10127,C10103,C10079,C10055)/POBLA!$B$22*100000</f>
        <v>132.16629033857262</v>
      </c>
    </row>
    <row r="10200" spans="1:13" s="360" customFormat="1" x14ac:dyDescent="0.25">
      <c r="A10200" s="387" t="s">
        <v>39</v>
      </c>
      <c r="B10200" s="267">
        <v>44317</v>
      </c>
      <c r="C10200" s="42">
        <v>62</v>
      </c>
      <c r="D10200" s="312">
        <f t="shared" si="1675"/>
        <v>26496</v>
      </c>
      <c r="E10200" s="1">
        <v>2</v>
      </c>
      <c r="F10200" s="312">
        <f t="shared" si="1676"/>
        <v>389</v>
      </c>
      <c r="G10200" s="168">
        <f>SUM(C10200,C10176,C10152,C10128,C10104,C10080,C10056,C10032,C10008,C9984,C9960,C9936,C9912,C9888)/POBLA!$B$23*100000</f>
        <v>613.58366792965001</v>
      </c>
      <c r="H10200" s="256">
        <f t="shared" si="1677"/>
        <v>0.91949152542372881</v>
      </c>
      <c r="I10200" s="297">
        <f t="shared" si="1679"/>
        <v>564.1849827997205</v>
      </c>
      <c r="J10200" s="297">
        <f t="shared" si="1680"/>
        <v>71.571428571428569</v>
      </c>
      <c r="K10200" s="297">
        <f>J10200/POBLA!$B$23*100000</f>
        <v>40.47470936573464</v>
      </c>
      <c r="L10200" s="549">
        <f t="shared" si="1678"/>
        <v>0.14212328767123283</v>
      </c>
      <c r="M10200" s="401">
        <f>SUM(C10200,C10176,C10152,C10128,C10104,C10080,C10056)/POBLA!$B$23*100000</f>
        <v>283.32296556014251</v>
      </c>
    </row>
    <row r="10201" spans="1:13" s="360" customFormat="1" ht="15.75" thickBot="1" x14ac:dyDescent="0.3">
      <c r="A10201" s="389" t="s">
        <v>40</v>
      </c>
      <c r="B10201" s="268">
        <v>44317</v>
      </c>
      <c r="C10201" s="42">
        <v>309</v>
      </c>
      <c r="D10201" s="339">
        <f t="shared" si="1675"/>
        <v>106609</v>
      </c>
      <c r="E10201" s="232"/>
      <c r="F10201" s="339">
        <f t="shared" si="1676"/>
        <v>1640</v>
      </c>
      <c r="G10201" s="177">
        <f>SUM(C10201,C10177,C10153,C10129,C10105,C10081,C10057,C10033,C10009,C9985,C9961,C9937,C9913,C9889)/POBLA!$B$24*100000</f>
        <v>549.55105933003506</v>
      </c>
      <c r="H10201" s="402">
        <f t="shared" si="1677"/>
        <v>1.1220481927710844</v>
      </c>
      <c r="I10201" s="403">
        <f t="shared" si="1679"/>
        <v>616.62277295670083</v>
      </c>
      <c r="J10201" s="403">
        <f t="shared" si="1680"/>
        <v>620.42857142857144</v>
      </c>
      <c r="K10201" s="403">
        <f>J10201/POBLA!$B$24*100000</f>
        <v>36.610885715364738</v>
      </c>
      <c r="L10201" s="550">
        <f t="shared" si="1678"/>
        <v>0.12615694164989943</v>
      </c>
      <c r="M10201" s="405">
        <f>SUM(C10201,C10177,C10153,C10129,C10105,C10081,C10057)/POBLA!$B$24*100000</f>
        <v>256.27620000755314</v>
      </c>
    </row>
    <row r="10202" spans="1:13" s="360" customFormat="1" x14ac:dyDescent="0.25">
      <c r="A10202" s="390" t="s">
        <v>16</v>
      </c>
      <c r="B10202" s="265">
        <v>44318</v>
      </c>
      <c r="C10202" s="356">
        <v>5102</v>
      </c>
      <c r="D10202" s="353">
        <f t="shared" si="1675"/>
        <v>1312518</v>
      </c>
      <c r="E10202" s="43">
        <v>61</v>
      </c>
      <c r="F10202" s="354">
        <f t="shared" ref="F10202:F10225" si="1681">E10202+F10178</f>
        <v>33173</v>
      </c>
      <c r="G10202" s="175">
        <f>SUM(C10202,C10178,C10154,C10130,C10106,C10082,C10058,C10034,C10010,C9986,C9962,C9938,C9914,C9890)/POBLA!$B$1*100000</f>
        <v>854.3400911035377</v>
      </c>
      <c r="H10202" s="300">
        <f t="shared" ref="H10202:H10225" si="1682">SUM(C10202,C10178,C10154,C10130,C10106,C10082,C10058,C10034,C10010,C9986,C9962,C9938,C9914,C9890)/SUM(C9866,C9842,C9818,C9794,C9770,C9746,C9722,C9698,C9674,C9650,C9626,C9602,C9578,C9554)</f>
        <v>0.98329473055699546</v>
      </c>
      <c r="I10202" s="301">
        <f>G10202*H10202</f>
        <v>840.06810968569209</v>
      </c>
      <c r="J10202" s="301">
        <f>AVERAGE(C10202,C10178,C10154,C10130,C10106,C10082,C10058)</f>
        <v>9662.7142857142862</v>
      </c>
      <c r="K10202" s="301">
        <f>J10202/POBLA!$B$1*100000</f>
        <v>55.086007721585993</v>
      </c>
      <c r="L10202" s="548">
        <f t="shared" ref="L10202:L10225" si="1683">1-SUM(C10202,C10178,C10154,C10130,C10106,C10082,C10058)/SUM(C10034,C10010,C9986,C9962,C9938,C9914,C9890)</f>
        <v>0.17736129016564905</v>
      </c>
      <c r="M10202" s="400">
        <f>SUM(C10202,C10178,C10154,C10130,C10106,C10082,C10058)/POBLA!$B$1*100000</f>
        <v>385.6020540511019</v>
      </c>
    </row>
    <row r="10203" spans="1:13" s="360" customFormat="1" x14ac:dyDescent="0.25">
      <c r="A10203" s="391" t="s">
        <v>43</v>
      </c>
      <c r="B10203" s="267">
        <v>44318</v>
      </c>
      <c r="C10203" s="4">
        <v>1700</v>
      </c>
      <c r="D10203" s="352">
        <f t="shared" si="1675"/>
        <v>346223</v>
      </c>
      <c r="E10203" s="1">
        <v>38</v>
      </c>
      <c r="F10203" s="312">
        <f t="shared" si="1681"/>
        <v>7832</v>
      </c>
      <c r="G10203" s="168">
        <f>SUM(C10203,C10179,C10155,C10131,C10107,C10083,C10059,C10035,C10011,C9987,C9963,C9939,C9915,C9891)/POBLA!$B$2*100000</f>
        <v>1278.3980991310443</v>
      </c>
      <c r="H10203" s="256">
        <f t="shared" si="1682"/>
        <v>1.0222285773710482</v>
      </c>
      <c r="I10203" s="297">
        <f t="shared" ref="I10203:I10225" si="1684">G10203*H10203</f>
        <v>1306.8150701885797</v>
      </c>
      <c r="J10203" s="297">
        <f t="shared" ref="J10203:J10225" si="1685">AVERAGE(C10203,C10179,C10155,C10131,C10107,C10083,C10059)</f>
        <v>2613</v>
      </c>
      <c r="K10203" s="297">
        <f>J10203/POBLA!$B$2*100000</f>
        <v>84.957761719001468</v>
      </c>
      <c r="L10203" s="549">
        <f t="shared" si="1683"/>
        <v>0.13015978695073238</v>
      </c>
      <c r="M10203" s="401">
        <f>SUM(C10203,C10179,C10155,C10131,C10107,C10083,C10059)/POBLA!$B$2*100000</f>
        <v>594.70433203301025</v>
      </c>
    </row>
    <row r="10204" spans="1:13" s="360" customFormat="1" x14ac:dyDescent="0.25">
      <c r="A10204" s="392" t="s">
        <v>28</v>
      </c>
      <c r="B10204" s="267">
        <v>44318</v>
      </c>
      <c r="C10204" s="4">
        <v>62</v>
      </c>
      <c r="D10204" s="352">
        <f t="shared" si="1675"/>
        <v>14999</v>
      </c>
      <c r="E10204" s="1"/>
      <c r="F10204" s="312">
        <f t="shared" si="1681"/>
        <v>19</v>
      </c>
      <c r="G10204" s="168">
        <f>SUM(C10204,C10180,C10156,C10132,C10108,C10084,C10060,C10036,C10012,C9988,C9964,C9940,C9916,C9892)/POBLA!$B$3*100000</f>
        <v>536.54215550816241</v>
      </c>
      <c r="H10204" s="256">
        <f t="shared" si="1682"/>
        <v>1.1084037792143213</v>
      </c>
      <c r="I10204" s="297">
        <f t="shared" si="1684"/>
        <v>594.70535287304529</v>
      </c>
      <c r="J10204" s="297">
        <f t="shared" si="1685"/>
        <v>139.14285714285714</v>
      </c>
      <c r="K10204" s="297">
        <f>J10204/POBLA!$B$3*100000</f>
        <v>33.493050020185237</v>
      </c>
      <c r="L10204" s="549">
        <f t="shared" si="1683"/>
        <v>0.22390438247011957</v>
      </c>
      <c r="M10204" s="401">
        <f>SUM(C10204,C10180,C10156,C10132,C10108,C10084,C10060)/POBLA!$B$3*100000</f>
        <v>234.45135014129667</v>
      </c>
    </row>
    <row r="10205" spans="1:13" s="360" customFormat="1" x14ac:dyDescent="0.25">
      <c r="A10205" s="392" t="s">
        <v>15</v>
      </c>
      <c r="B10205" s="267">
        <v>44318</v>
      </c>
      <c r="C10205" s="4">
        <v>152</v>
      </c>
      <c r="D10205" s="352">
        <f t="shared" si="1675"/>
        <v>45180</v>
      </c>
      <c r="E10205" s="1">
        <v>5</v>
      </c>
      <c r="F10205" s="312">
        <f t="shared" si="1681"/>
        <v>1050</v>
      </c>
      <c r="G10205" s="168">
        <f>SUM(C10205,C10181,C10157,C10133,C10109,C10085,C10061,C10037,C10013,C9989,C9965,C9941,C9917,C9893)/POBLA!$B$4*100000</f>
        <v>255.45000128679723</v>
      </c>
      <c r="H10205" s="256">
        <f t="shared" si="1682"/>
        <v>0.99805384365877392</v>
      </c>
      <c r="I10205" s="297">
        <f t="shared" si="1684"/>
        <v>254.95285564692671</v>
      </c>
      <c r="J10205" s="297">
        <f t="shared" si="1685"/>
        <v>224.71428571428572</v>
      </c>
      <c r="K10205" s="297">
        <f>J10205/POBLA!$B$4*100000</f>
        <v>18.655594596969777</v>
      </c>
      <c r="L10205" s="549">
        <f t="shared" si="1683"/>
        <v>-4.5877659574468099E-2</v>
      </c>
      <c r="M10205" s="401">
        <f>SUM(C10205,C10181,C10157,C10133,C10109,C10085,C10061)/POBLA!$B$4*100000</f>
        <v>130.58916217878843</v>
      </c>
    </row>
    <row r="10206" spans="1:13" s="360" customFormat="1" x14ac:dyDescent="0.25">
      <c r="A10206" s="392" t="s">
        <v>29</v>
      </c>
      <c r="B10206" s="267">
        <v>44318</v>
      </c>
      <c r="C10206" s="4">
        <v>67</v>
      </c>
      <c r="D10206" s="352">
        <f t="shared" si="1675"/>
        <v>55055</v>
      </c>
      <c r="E10206" s="1">
        <v>2</v>
      </c>
      <c r="F10206" s="312">
        <f t="shared" si="1681"/>
        <v>928</v>
      </c>
      <c r="G10206" s="168">
        <f>SUM(C10206,C10182,C10158,C10134,C10110,C10086,C10062,C10038,C10014,C9990,C9966,C9942,C9918,C9894)/POBLA!$B$5*100000</f>
        <v>397.41903798744414</v>
      </c>
      <c r="H10206" s="256">
        <f t="shared" si="1682"/>
        <v>1.0884955752212389</v>
      </c>
      <c r="I10206" s="297">
        <f t="shared" si="1684"/>
        <v>432.5888643580144</v>
      </c>
      <c r="J10206" s="297">
        <f t="shared" si="1685"/>
        <v>160.14285714285714</v>
      </c>
      <c r="K10206" s="297">
        <f>J10206/POBLA!$B$5*100000</f>
        <v>25.871471636697148</v>
      </c>
      <c r="L10206" s="549">
        <f t="shared" si="1683"/>
        <v>0.16280806572068707</v>
      </c>
      <c r="M10206" s="401">
        <f>SUM(C10206,C10182,C10158,C10134,C10110,C10086,C10062)/POBLA!$B$5*100000</f>
        <v>181.10030145688003</v>
      </c>
    </row>
    <row r="10207" spans="1:13" s="360" customFormat="1" x14ac:dyDescent="0.25">
      <c r="A10207" s="392" t="s">
        <v>30</v>
      </c>
      <c r="B10207" s="267">
        <v>44318</v>
      </c>
      <c r="C10207" s="4">
        <v>142</v>
      </c>
      <c r="D10207" s="352">
        <f t="shared" si="1675"/>
        <v>37789</v>
      </c>
      <c r="E10207" s="1"/>
      <c r="F10207" s="312">
        <f t="shared" si="1681"/>
        <v>496</v>
      </c>
      <c r="G10207" s="168">
        <f>SUM(C10207,C10183,C10159,C10135,C10111,C10087,C10063,C10039,C10015,C9991,C9967,C9943,C9919,C9895)/POBLA!$B$6*100000</f>
        <v>272.66214073684802</v>
      </c>
      <c r="H10207" s="256">
        <f t="shared" si="1682"/>
        <v>0.79150479150479147</v>
      </c>
      <c r="I10207" s="297">
        <f t="shared" si="1684"/>
        <v>215.81339085516899</v>
      </c>
      <c r="J10207" s="297">
        <f t="shared" si="1685"/>
        <v>171.28571428571428</v>
      </c>
      <c r="K10207" s="297">
        <f>J10207/POBLA!$B$6*100000</f>
        <v>15.282437674994426</v>
      </c>
      <c r="L10207" s="549">
        <f t="shared" si="1683"/>
        <v>0.35433494884221861</v>
      </c>
      <c r="M10207" s="401">
        <f>SUM(C10207,C10183,C10159,C10135,C10111,C10087,C10063)/POBLA!$B$6*100000</f>
        <v>106.97706372496098</v>
      </c>
    </row>
    <row r="10208" spans="1:13" s="360" customFormat="1" x14ac:dyDescent="0.25">
      <c r="A10208" s="392" t="s">
        <v>20</v>
      </c>
      <c r="B10208" s="267">
        <v>44318</v>
      </c>
      <c r="C10208" s="4">
        <v>969</v>
      </c>
      <c r="D10208" s="352">
        <f t="shared" si="1675"/>
        <v>229518</v>
      </c>
      <c r="E10208" s="1">
        <v>3</v>
      </c>
      <c r="F10208" s="312">
        <f t="shared" si="1681"/>
        <v>3388</v>
      </c>
      <c r="G10208" s="168">
        <f>SUM(C10208,C10184,C10160,C10136,C10112,C10088,C10064,C10040,C10016,C9992,C9968,C9944,C9920,C9896)/POBLA!$B$7*100000</f>
        <v>603.51819596058976</v>
      </c>
      <c r="H10208" s="256">
        <f t="shared" si="1682"/>
        <v>0.98850124134326411</v>
      </c>
      <c r="I10208" s="297">
        <f t="shared" si="1684"/>
        <v>596.57848588029026</v>
      </c>
      <c r="J10208" s="297">
        <f t="shared" si="1685"/>
        <v>1570.5714285714287</v>
      </c>
      <c r="K10208" s="297">
        <f>J10208/POBLA!$B$7*100000</f>
        <v>41.765518184563781</v>
      </c>
      <c r="L10208" s="549">
        <f t="shared" si="1683"/>
        <v>6.0422186137936928E-2</v>
      </c>
      <c r="M10208" s="401">
        <f>SUM(C10208,C10184,C10160,C10136,C10112,C10088,C10064)/POBLA!$B$7*100000</f>
        <v>292.35862729194645</v>
      </c>
    </row>
    <row r="10209" spans="1:13" x14ac:dyDescent="0.25">
      <c r="A10209" s="393" t="s">
        <v>31</v>
      </c>
      <c r="B10209" s="267">
        <v>44318</v>
      </c>
      <c r="C10209" s="4">
        <v>207</v>
      </c>
      <c r="D10209" s="352">
        <f t="shared" si="1675"/>
        <v>63535</v>
      </c>
      <c r="E10209" s="1">
        <v>2</v>
      </c>
      <c r="F10209" s="312">
        <f t="shared" si="1681"/>
        <v>1069</v>
      </c>
      <c r="G10209" s="168">
        <f>SUM(C10209,C10185,C10161,C10137,C10113,C10089,C10065,C10041,C10017,C9993,C9969,C9945,C9921,C9897)/POBLA!$B$8*100000</f>
        <v>511.41410183980645</v>
      </c>
      <c r="H10209" s="256">
        <f t="shared" si="1682"/>
        <v>1.2122455960321532</v>
      </c>
      <c r="I10209" s="297">
        <f t="shared" si="1684"/>
        <v>619.95949270404446</v>
      </c>
      <c r="J10209" s="297">
        <f t="shared" si="1685"/>
        <v>510.42857142857144</v>
      </c>
      <c r="K10209" s="297">
        <f>J10209/POBLA!$B$8*100000</f>
        <v>36.828494555660036</v>
      </c>
      <c r="L10209" s="549">
        <f t="shared" si="1683"/>
        <v>-1.6500711237553256E-2</v>
      </c>
      <c r="M10209" s="401">
        <f>SUM(C10209,C10185,C10161,C10137,C10113,C10089,C10065)/POBLA!$B$8*100000</f>
        <v>257.79946188962026</v>
      </c>
    </row>
    <row r="10210" spans="1:13" s="360" customFormat="1" x14ac:dyDescent="0.25">
      <c r="A10210" s="392" t="s">
        <v>41</v>
      </c>
      <c r="B10210" s="267">
        <v>44318</v>
      </c>
      <c r="C10210" s="4">
        <v>5</v>
      </c>
      <c r="D10210" s="352">
        <f t="shared" si="1675"/>
        <v>4539</v>
      </c>
      <c r="E10210" s="1">
        <v>6</v>
      </c>
      <c r="F10210" s="312">
        <f t="shared" si="1681"/>
        <v>102</v>
      </c>
      <c r="G10210" s="168">
        <f>SUM(C10210,C10186,C10162,C10138,C10114,C10090,C10066,C10042,C10018,C9994,C9970,C9946,C9922,C9898)/POBLA!$B$9*100000</f>
        <v>177.95975829198289</v>
      </c>
      <c r="H10210" s="256">
        <f t="shared" si="1682"/>
        <v>0.94225721784776906</v>
      </c>
      <c r="I10210" s="297">
        <f t="shared" si="1684"/>
        <v>167.68386673706524</v>
      </c>
      <c r="J10210" s="297">
        <f t="shared" si="1685"/>
        <v>47.571428571428569</v>
      </c>
      <c r="K10210" s="297">
        <f>J10210/POBLA!$B$9*100000</f>
        <v>7.8605384681297652</v>
      </c>
      <c r="L10210" s="549">
        <f t="shared" si="1683"/>
        <v>0.55241935483870974</v>
      </c>
      <c r="M10210" s="401">
        <f>SUM(C10210,C10186,C10162,C10138,C10114,C10090,C10066)/POBLA!$B$9*100000</f>
        <v>55.023769276908361</v>
      </c>
    </row>
    <row r="10211" spans="1:13" s="360" customFormat="1" x14ac:dyDescent="0.25">
      <c r="A10211" s="393" t="s">
        <v>32</v>
      </c>
      <c r="B10211" s="267">
        <v>44318</v>
      </c>
      <c r="C10211" s="4">
        <v>62</v>
      </c>
      <c r="D10211" s="352">
        <f t="shared" si="1675"/>
        <v>24988</v>
      </c>
      <c r="E10211" s="1">
        <v>2</v>
      </c>
      <c r="F10211" s="312">
        <f t="shared" si="1681"/>
        <v>1040</v>
      </c>
      <c r="G10211" s="168">
        <f>SUM(C10211,C10187,C10163,C10139,C10115,C10091,C10067,C10043,C10019,C9995,C9971,C9947,C9923,C9899)/POBLA!$B$10*100000</f>
        <v>168.89766384176028</v>
      </c>
      <c r="H10211" s="256">
        <f t="shared" si="1682"/>
        <v>1.2531280076997113</v>
      </c>
      <c r="I10211" s="297">
        <f t="shared" si="1684"/>
        <v>211.65039299516062</v>
      </c>
      <c r="J10211" s="297">
        <f t="shared" si="1685"/>
        <v>92</v>
      </c>
      <c r="K10211" s="297">
        <f>J10211/POBLA!$B$10*100000</f>
        <v>11.934397137820234</v>
      </c>
      <c r="L10211" s="549">
        <f t="shared" si="1683"/>
        <v>2.1276595744680882E-2</v>
      </c>
      <c r="M10211" s="401">
        <f>SUM(C10211,C10187,C10163,C10139,C10115,C10091,C10067)/POBLA!$B$10*100000</f>
        <v>83.540779964741631</v>
      </c>
    </row>
    <row r="10212" spans="1:13" s="360" customFormat="1" x14ac:dyDescent="0.25">
      <c r="A10212" s="394" t="s">
        <v>33</v>
      </c>
      <c r="B10212" s="267">
        <v>44318</v>
      </c>
      <c r="C10212" s="4">
        <v>196</v>
      </c>
      <c r="D10212" s="352">
        <f t="shared" si="1675"/>
        <v>27604</v>
      </c>
      <c r="E10212" s="1">
        <v>1</v>
      </c>
      <c r="F10212" s="312">
        <f t="shared" si="1681"/>
        <v>375</v>
      </c>
      <c r="G10212" s="168">
        <f>SUM(C10212,C10188,C10164,C10140,C10116,C10092,C10068,C10044,C10020,C9996,C9972,C9948,C9924,C9900)/POBLA!$B$11*100000</f>
        <v>997.68991261843382</v>
      </c>
      <c r="H10212" s="256">
        <f t="shared" si="1682"/>
        <v>1.4740313272877164</v>
      </c>
      <c r="I10212" s="297">
        <f t="shared" si="1684"/>
        <v>1470.6261861185158</v>
      </c>
      <c r="J10212" s="297">
        <f t="shared" si="1685"/>
        <v>262.42857142857144</v>
      </c>
      <c r="K10212" s="297">
        <f>J10212/POBLA!$B$11*100000</f>
        <v>73.21653761106036</v>
      </c>
      <c r="L10212" s="549">
        <f t="shared" si="1683"/>
        <v>-5.6354226566992516E-2</v>
      </c>
      <c r="M10212" s="401">
        <f>SUM(C10212,C10188,C10164,C10140,C10116,C10092,C10068)/POBLA!$B$11*100000</f>
        <v>512.51576327742248</v>
      </c>
    </row>
    <row r="10213" spans="1:13" s="360" customFormat="1" x14ac:dyDescent="0.25">
      <c r="A10213" s="392" t="s">
        <v>21</v>
      </c>
      <c r="B10213" s="267">
        <v>44318</v>
      </c>
      <c r="C10213" s="4">
        <v>91</v>
      </c>
      <c r="D10213" s="352">
        <f t="shared" si="1675"/>
        <v>13545</v>
      </c>
      <c r="E10213" s="1">
        <v>6</v>
      </c>
      <c r="F10213" s="312">
        <f t="shared" si="1681"/>
        <v>479</v>
      </c>
      <c r="G10213" s="168">
        <f>SUM(C10213,C10189,C10165,C10141,C10117,C10093,C10069,C10045,C10021,C9997,C9973,C9949,C9925,C9901)/POBLA!$B$12*100000</f>
        <v>280.53698437988368</v>
      </c>
      <c r="H10213" s="256">
        <f t="shared" si="1682"/>
        <v>1.0222222222222221</v>
      </c>
      <c r="I10213" s="297">
        <f t="shared" si="1684"/>
        <v>286.77113958832552</v>
      </c>
      <c r="J10213" s="297">
        <f t="shared" si="1685"/>
        <v>67.428571428571431</v>
      </c>
      <c r="K10213" s="297">
        <f>J10213/POBLA!$B$12*100000</f>
        <v>17.134246457984613</v>
      </c>
      <c r="L10213" s="549">
        <f t="shared" si="1683"/>
        <v>0.25316455696202533</v>
      </c>
      <c r="M10213" s="401">
        <f>SUM(C10213,C10189,C10165,C10141,C10117,C10093,C10069)/POBLA!$B$12*100000</f>
        <v>119.93972520589229</v>
      </c>
    </row>
    <row r="10214" spans="1:13" s="360" customFormat="1" x14ac:dyDescent="0.25">
      <c r="A10214" s="392" t="s">
        <v>17</v>
      </c>
      <c r="B10214" s="267">
        <v>44318</v>
      </c>
      <c r="C10214" s="4">
        <v>328</v>
      </c>
      <c r="D10214" s="352">
        <f t="shared" si="1675"/>
        <v>97314</v>
      </c>
      <c r="E10214" s="1">
        <v>13</v>
      </c>
      <c r="F10214" s="312">
        <f t="shared" si="1681"/>
        <v>1855</v>
      </c>
      <c r="G10214" s="168">
        <f>SUM(C10214,C10190,C10166,C10142,C10118,C10094,C10070,C10046,C10022,C9998,C9974,C9950,C9926,C9902)/POBLA!$B$13*100000</f>
        <v>561.26145408468312</v>
      </c>
      <c r="H10214" s="256">
        <f t="shared" si="1682"/>
        <v>0.94781944680128971</v>
      </c>
      <c r="I10214" s="297">
        <f t="shared" si="1684"/>
        <v>531.9745209214318</v>
      </c>
      <c r="J10214" s="297">
        <f t="shared" si="1685"/>
        <v>716.85714285714289</v>
      </c>
      <c r="K10214" s="297">
        <f>J10214/POBLA!$B$13*100000</f>
        <v>36.016854567271636</v>
      </c>
      <c r="L10214" s="549">
        <f t="shared" si="1683"/>
        <v>0.18446286364375097</v>
      </c>
      <c r="M10214" s="401">
        <f>SUM(C10214,C10190,C10166,C10142,C10118,C10094,C10070)/POBLA!$B$13*100000</f>
        <v>252.11798197090144</v>
      </c>
    </row>
    <row r="10215" spans="1:13" s="360" customFormat="1" x14ac:dyDescent="0.25">
      <c r="A10215" s="395" t="s">
        <v>23</v>
      </c>
      <c r="B10215" s="267">
        <v>44318</v>
      </c>
      <c r="C10215" s="4">
        <v>102</v>
      </c>
      <c r="D10215" s="352">
        <f t="shared" si="1675"/>
        <v>15836</v>
      </c>
      <c r="E10215" s="1"/>
      <c r="F10215" s="312">
        <f t="shared" si="1681"/>
        <v>239</v>
      </c>
      <c r="G10215" s="168">
        <f>SUM(C10215,C10191,C10167,C10143,C10119,C10095,C10071,C10047,C10023,C9999,C9975,C9951,C9927,C9903)/POBLA!$B$14*100000</f>
        <v>121.93826340250568</v>
      </c>
      <c r="H10215" s="256">
        <f t="shared" si="1682"/>
        <v>0.77325289089994975</v>
      </c>
      <c r="I10215" s="297">
        <f t="shared" si="1684"/>
        <v>94.289114687307062</v>
      </c>
      <c r="J10215" s="297">
        <f t="shared" si="1685"/>
        <v>103.42857142857143</v>
      </c>
      <c r="K10215" s="297">
        <f>J10215/POBLA!$B$14*100000</f>
        <v>8.2001953096241973</v>
      </c>
      <c r="L10215" s="549">
        <f t="shared" si="1683"/>
        <v>0.11056511056511054</v>
      </c>
      <c r="M10215" s="401">
        <f>SUM(C10215,C10191,C10167,C10143,C10119,C10095,C10071)/POBLA!$B$14*100000</f>
        <v>57.401367167369386</v>
      </c>
    </row>
    <row r="10216" spans="1:13" s="360" customFormat="1" x14ac:dyDescent="0.25">
      <c r="A10216" s="391" t="s">
        <v>19</v>
      </c>
      <c r="B10216" s="267">
        <v>44318</v>
      </c>
      <c r="C10216" s="4">
        <v>156</v>
      </c>
      <c r="D10216" s="352">
        <f t="shared" si="1675"/>
        <v>71611</v>
      </c>
      <c r="E10216" s="1">
        <v>1</v>
      </c>
      <c r="F10216" s="312">
        <f t="shared" si="1681"/>
        <v>1072</v>
      </c>
      <c r="G10216" s="168">
        <f>SUM(C10216,C10192,C10168,C10144,C10120,C10096,C10072,C10048,C10024,C10000,C9976,C9952,C9928,C9904)/POBLA!$B$15*100000</f>
        <v>578.26361291274702</v>
      </c>
      <c r="H10216" s="256">
        <f t="shared" si="1682"/>
        <v>1.6893972723273207</v>
      </c>
      <c r="I10216" s="297">
        <f t="shared" si="1684"/>
        <v>976.91697034093647</v>
      </c>
      <c r="J10216" s="297">
        <f t="shared" si="1685"/>
        <v>322.85714285714283</v>
      </c>
      <c r="K10216" s="297">
        <f>J10216/POBLA!$B$15*100000</f>
        <v>48.618890073765179</v>
      </c>
      <c r="L10216" s="549">
        <f t="shared" si="1683"/>
        <v>-0.43037974683544311</v>
      </c>
      <c r="M10216" s="401">
        <f>SUM(C10216,C10192,C10168,C10144,C10120,C10096,C10072)/POBLA!$B$15*100000</f>
        <v>340.33223051635628</v>
      </c>
    </row>
    <row r="10217" spans="1:13" s="360" customFormat="1" x14ac:dyDescent="0.25">
      <c r="A10217" s="393" t="s">
        <v>18</v>
      </c>
      <c r="B10217" s="267">
        <v>44318</v>
      </c>
      <c r="C10217" s="4">
        <v>104</v>
      </c>
      <c r="D10217" s="352">
        <f t="shared" si="1675"/>
        <v>61724</v>
      </c>
      <c r="E10217" s="1">
        <v>1</v>
      </c>
      <c r="F10217" s="312">
        <f t="shared" si="1681"/>
        <v>1367</v>
      </c>
      <c r="G10217" s="168">
        <f>SUM(C10217,C10193,C10169,C10145,C10121,C10097,C10073,C10049,C10025,C10001,C9977,C9953,C9929,C9905)/POBLA!$B$16*100000</f>
        <v>480.33065368307007</v>
      </c>
      <c r="H10217" s="256">
        <f t="shared" si="1682"/>
        <v>1.4950041631973356</v>
      </c>
      <c r="I10217" s="297">
        <f t="shared" si="1684"/>
        <v>718.09632696748736</v>
      </c>
      <c r="J10217" s="297">
        <f t="shared" si="1685"/>
        <v>269.42857142857144</v>
      </c>
      <c r="K10217" s="297">
        <f>J10217/POBLA!$B$16*100000</f>
        <v>36.038652697070859</v>
      </c>
      <c r="L10217" s="549">
        <f t="shared" si="1683"/>
        <v>-0.10615835777126104</v>
      </c>
      <c r="M10217" s="401">
        <f>SUM(C10217,C10193,C10169,C10145,C10121,C10097,C10073)/POBLA!$B$16*100000</f>
        <v>252.27056887949598</v>
      </c>
    </row>
    <row r="10218" spans="1:13" s="360" customFormat="1" x14ac:dyDescent="0.25">
      <c r="A10218" s="392" t="s">
        <v>34</v>
      </c>
      <c r="B10218" s="267">
        <v>44318</v>
      </c>
      <c r="C10218" s="4">
        <v>37</v>
      </c>
      <c r="D10218" s="352">
        <f t="shared" si="1675"/>
        <v>34950</v>
      </c>
      <c r="E10218" s="1">
        <v>1</v>
      </c>
      <c r="F10218" s="312">
        <f t="shared" si="1681"/>
        <v>1271</v>
      </c>
      <c r="G10218" s="168">
        <f>SUM(C10218,C10194,C10170,C10146,C10122,C10098,C10074,C10050,C10026,C10002,C9978,C9954,C9930,C9906)/POBLA!$B$17*100000</f>
        <v>184.70974033222481</v>
      </c>
      <c r="H10218" s="256">
        <f t="shared" si="1682"/>
        <v>1.020954598370198</v>
      </c>
      <c r="I10218" s="297">
        <f t="shared" si="1684"/>
        <v>188.58025875595013</v>
      </c>
      <c r="J10218" s="297">
        <f t="shared" si="1685"/>
        <v>182.85714285714286</v>
      </c>
      <c r="K10218" s="297">
        <f>J10218/POBLA!$B$17*100000</f>
        <v>12.837512495262406</v>
      </c>
      <c r="L10218" s="549">
        <f t="shared" si="1683"/>
        <v>5.2553663952627727E-2</v>
      </c>
      <c r="M10218" s="401">
        <f>SUM(C10218,C10194,C10170,C10146,C10122,C10098,C10074)/POBLA!$B$17*100000</f>
        <v>89.862587466836843</v>
      </c>
    </row>
    <row r="10219" spans="1:13" s="360" customFormat="1" x14ac:dyDescent="0.25">
      <c r="A10219" s="393" t="s">
        <v>35</v>
      </c>
      <c r="B10219" s="267">
        <v>44318</v>
      </c>
      <c r="C10219" s="4">
        <v>49</v>
      </c>
      <c r="D10219" s="352">
        <f t="shared" si="1675"/>
        <v>23785</v>
      </c>
      <c r="E10219" s="1">
        <v>1</v>
      </c>
      <c r="F10219" s="312">
        <f t="shared" si="1681"/>
        <v>280</v>
      </c>
      <c r="G10219" s="168">
        <f>SUM(C10219,C10195,C10171,C10147,C10123,C10099,C10075,C10051,C10027,C10003,C9979,C9955,C9931,C9907)/POBLA!$B$18*100000</f>
        <v>464.27561100180873</v>
      </c>
      <c r="H10219" s="256">
        <f t="shared" si="1682"/>
        <v>1.3528534129056322</v>
      </c>
      <c r="I10219" s="297">
        <f t="shared" si="1684"/>
        <v>628.09684487264462</v>
      </c>
      <c r="J10219" s="297">
        <f t="shared" si="1685"/>
        <v>258</v>
      </c>
      <c r="K10219" s="297">
        <f>J10219/POBLA!$B$18*100000</f>
        <v>33.02539499268449</v>
      </c>
      <c r="L10219" s="549">
        <f t="shared" si="1683"/>
        <v>8.2372322899505468E-3</v>
      </c>
      <c r="M10219" s="401">
        <f>SUM(C10219,C10195,C10171,C10147,C10123,C10099,C10075)/POBLA!$B$18*100000</f>
        <v>231.17776494879146</v>
      </c>
    </row>
    <row r="10220" spans="1:13" s="360" customFormat="1" x14ac:dyDescent="0.25">
      <c r="A10220" s="394" t="s">
        <v>36</v>
      </c>
      <c r="B10220" s="267">
        <v>44318</v>
      </c>
      <c r="C10220" s="4">
        <v>415</v>
      </c>
      <c r="D10220" s="352">
        <f t="shared" si="1675"/>
        <v>38416</v>
      </c>
      <c r="E10220" s="1"/>
      <c r="F10220" s="312">
        <f t="shared" si="1681"/>
        <v>486</v>
      </c>
      <c r="G10220" s="168">
        <f>SUM(C10220,C10196,C10172,C10148,C10124,C10100,C10076,C10052,C10028,C10004,C9980,C9956,C9932,C9908)/POBLA!$B$19*100000</f>
        <v>1634.3778033081003</v>
      </c>
      <c r="H10220" s="256">
        <f t="shared" si="1682"/>
        <v>1.2801232665639446</v>
      </c>
      <c r="I10220" s="297">
        <f t="shared" si="1684"/>
        <v>2092.2050523703697</v>
      </c>
      <c r="J10220" s="297">
        <f t="shared" si="1685"/>
        <v>521</v>
      </c>
      <c r="K10220" s="297">
        <f>J10220/POBLA!$B$19*100000</f>
        <v>102.49287861380841</v>
      </c>
      <c r="L10220" s="549">
        <f t="shared" si="1683"/>
        <v>0.21754988199957093</v>
      </c>
      <c r="M10220" s="401">
        <f>SUM(C10220,C10196,C10172,C10148,C10124,C10100,C10076)/POBLA!$B$19*100000</f>
        <v>717.45015029665888</v>
      </c>
    </row>
    <row r="10221" spans="1:13" s="360" customFormat="1" x14ac:dyDescent="0.25">
      <c r="A10221" s="393" t="s">
        <v>37</v>
      </c>
      <c r="B10221" s="267">
        <v>44318</v>
      </c>
      <c r="C10221" s="4">
        <v>152</v>
      </c>
      <c r="D10221" s="352">
        <f t="shared" si="1675"/>
        <v>45048</v>
      </c>
      <c r="E10221" s="1">
        <v>1</v>
      </c>
      <c r="F10221" s="312">
        <f t="shared" si="1681"/>
        <v>709</v>
      </c>
      <c r="G10221" s="168">
        <f>SUM(C10221,C10197,C10173,C10149,C10125,C10101,C10077,C10053,C10029,C10005,C9981,C9957,C9933,C9909)/POBLA!$B$20*100000</f>
        <v>763.19804866310449</v>
      </c>
      <c r="H10221" s="256">
        <f t="shared" si="1682"/>
        <v>1.130417172944512</v>
      </c>
      <c r="I10221" s="297">
        <f t="shared" si="1684"/>
        <v>862.73218056651467</v>
      </c>
      <c r="J10221" s="297">
        <f t="shared" si="1685"/>
        <v>199.71428571428572</v>
      </c>
      <c r="K10221" s="297">
        <f>J10221/POBLA!$B$20*100000</f>
        <v>54.611806932027442</v>
      </c>
      <c r="L10221" s="549">
        <f t="shared" si="1683"/>
        <v>-3.5893754486719942E-3</v>
      </c>
      <c r="M10221" s="401">
        <f>SUM(C10221,C10197,C10173,C10149,C10125,C10101,C10077)/POBLA!$B$20*100000</f>
        <v>382.2826485241921</v>
      </c>
    </row>
    <row r="10222" spans="1:13" s="360" customFormat="1" x14ac:dyDescent="0.25">
      <c r="A10222" s="393" t="s">
        <v>22</v>
      </c>
      <c r="B10222" s="267">
        <v>44318</v>
      </c>
      <c r="C10222" s="4">
        <v>813</v>
      </c>
      <c r="D10222" s="352">
        <f t="shared" si="1675"/>
        <v>276639</v>
      </c>
      <c r="E10222" s="1">
        <v>11</v>
      </c>
      <c r="F10222" s="312">
        <f t="shared" si="1681"/>
        <v>4640</v>
      </c>
      <c r="G10222" s="168">
        <f>SUM(C10222,C10198,C10174,C10150,C10126,C10102,C10078,C10054,C10030,C10006,C9982,C9958,C9934,C9910)/POBLA!$B$21*100000</f>
        <v>669.66065663052279</v>
      </c>
      <c r="H10222" s="256">
        <f t="shared" si="1682"/>
        <v>1.2360770395114569</v>
      </c>
      <c r="I10222" s="297">
        <f t="shared" si="1684"/>
        <v>827.75216192515484</v>
      </c>
      <c r="J10222" s="297">
        <f t="shared" si="1685"/>
        <v>1645.2857142857142</v>
      </c>
      <c r="K10222" s="297">
        <f>J10222/POBLA!$B$21*100000</f>
        <v>46.524073632859981</v>
      </c>
      <c r="L10222" s="549">
        <f t="shared" si="1683"/>
        <v>5.3267570900123351E-2</v>
      </c>
      <c r="M10222" s="401">
        <f>SUM(C10222,C10198,C10174,C10150,C10126,C10102,C10078)/POBLA!$B$21*100000</f>
        <v>325.66851543001985</v>
      </c>
    </row>
    <row r="10223" spans="1:13" s="360" customFormat="1" x14ac:dyDescent="0.25">
      <c r="A10223" s="392" t="s">
        <v>38</v>
      </c>
      <c r="B10223" s="267">
        <v>44318</v>
      </c>
      <c r="C10223" s="4">
        <v>209</v>
      </c>
      <c r="D10223" s="352">
        <f t="shared" si="1675"/>
        <v>31063</v>
      </c>
      <c r="E10223" s="1">
        <v>1</v>
      </c>
      <c r="F10223" s="312">
        <f t="shared" si="1681"/>
        <v>352</v>
      </c>
      <c r="G10223" s="168">
        <f>SUM(C10223,C10199,C10175,C10151,C10127,C10103,C10079,C10055,C10031,C10007,C9983,C9959,C9935,C9911)/POBLA!$B$22*100000</f>
        <v>288.96682350127207</v>
      </c>
      <c r="H10223" s="256">
        <f t="shared" si="1682"/>
        <v>1.0873076923076923</v>
      </c>
      <c r="I10223" s="297">
        <f t="shared" si="1684"/>
        <v>314.19585001465236</v>
      </c>
      <c r="J10223" s="297">
        <f t="shared" si="1685"/>
        <v>181.14285714285714</v>
      </c>
      <c r="K10223" s="297">
        <f>J10223/POBLA!$B$22*100000</f>
        <v>18.515838708353783</v>
      </c>
      <c r="L10223" s="549">
        <f t="shared" si="1683"/>
        <v>0.18665811417575373</v>
      </c>
      <c r="M10223" s="401">
        <f>SUM(C10223,C10199,C10175,C10151,C10127,C10103,C10079)/POBLA!$B$22*100000</f>
        <v>129.61087095847648</v>
      </c>
    </row>
    <row r="10224" spans="1:13" s="360" customFormat="1" x14ac:dyDescent="0.25">
      <c r="A10224" s="392" t="s">
        <v>39</v>
      </c>
      <c r="B10224" s="267">
        <v>44318</v>
      </c>
      <c r="C10224" s="4">
        <v>44</v>
      </c>
      <c r="D10224" s="352">
        <f t="shared" si="1675"/>
        <v>26540</v>
      </c>
      <c r="E10224" s="1"/>
      <c r="F10224" s="312">
        <f t="shared" si="1681"/>
        <v>389</v>
      </c>
      <c r="G10224" s="168">
        <f>SUM(C10224,C10200,C10176,C10152,C10128,C10104,C10080,C10056,C10032,C10008,C9984,C9960,C9936,C9912)/POBLA!$B$23*100000</f>
        <v>609.62506362042643</v>
      </c>
      <c r="H10224" s="256">
        <f t="shared" si="1682"/>
        <v>0.93171996542783064</v>
      </c>
      <c r="I10224" s="297">
        <f t="shared" si="1684"/>
        <v>567.99984320036276</v>
      </c>
      <c r="J10224" s="297">
        <f t="shared" si="1685"/>
        <v>70.714285714285708</v>
      </c>
      <c r="K10224" s="297">
        <f>J10224/POBLA!$B$23*100000</f>
        <v>39.98998230746237</v>
      </c>
      <c r="L10224" s="549">
        <f t="shared" si="1683"/>
        <v>0.15094339622641506</v>
      </c>
      <c r="M10224" s="401">
        <f>SUM(C10224,C10200,C10176,C10152,C10128,C10104,C10080)/POBLA!$B$23*100000</f>
        <v>279.9298761522366</v>
      </c>
    </row>
    <row r="10225" spans="1:13" s="360" customFormat="1" ht="15.75" thickBot="1" x14ac:dyDescent="0.3">
      <c r="A10225" s="396" t="s">
        <v>40</v>
      </c>
      <c r="B10225" s="268">
        <v>44318</v>
      </c>
      <c r="C10225" s="27">
        <v>230</v>
      </c>
      <c r="D10225" s="397">
        <f t="shared" si="1675"/>
        <v>106839</v>
      </c>
      <c r="E10225" s="232"/>
      <c r="F10225" s="339">
        <f t="shared" si="1681"/>
        <v>1640</v>
      </c>
      <c r="G10225" s="177">
        <f>SUM(C10225,C10201,C10177,C10153,C10129,C10105,C10081,C10057,C10033,C10009,C9985,C9961,C9937,C9913)/POBLA!$B$24*100000</f>
        <v>549.78709543411753</v>
      </c>
      <c r="H10225" s="402">
        <f t="shared" si="1682"/>
        <v>1.1147403685092128</v>
      </c>
      <c r="I10225" s="403">
        <f t="shared" si="1684"/>
        <v>612.86986936583787</v>
      </c>
      <c r="J10225" s="403">
        <f t="shared" si="1685"/>
        <v>632.28571428571433</v>
      </c>
      <c r="K10225" s="403">
        <f>J10225/POBLA!$B$24*100000</f>
        <v>37.310564166752094</v>
      </c>
      <c r="L10225" s="550">
        <f t="shared" si="1683"/>
        <v>9.5072582294009389E-2</v>
      </c>
      <c r="M10225" s="405">
        <f>SUM(C10225,C10201,C10177,C10153,C10129,C10105,C10081)/POBLA!$B$24*100000</f>
        <v>261.17394916726465</v>
      </c>
    </row>
    <row r="10226" spans="1:13" s="360" customFormat="1" x14ac:dyDescent="0.25">
      <c r="A10226" s="363" t="s">
        <v>16</v>
      </c>
      <c r="B10226" s="265">
        <v>44319</v>
      </c>
      <c r="C10226" s="356">
        <v>7025</v>
      </c>
      <c r="D10226" s="174">
        <f t="shared" si="1675"/>
        <v>1319543</v>
      </c>
      <c r="E10226" s="43">
        <v>278</v>
      </c>
      <c r="F10226" s="174">
        <f t="shared" ref="F10226:F10249" si="1686">E10226+F10202</f>
        <v>33451</v>
      </c>
      <c r="G10226" s="175">
        <f>SUM(C10226,C10202,C10178,C10154,C10130,C10106,C10082,C10058,C10034,C10010,C9986,C9962,C9938,C9914)/POBLA!$B$1*100000</f>
        <v>834.44400794680348</v>
      </c>
      <c r="H10226" s="300">
        <f t="shared" ref="H10226:H10241" si="1687">SUM(C10226,C10202,C10178,C10154,C10130,C10106,C10082,C10058,C10034,C10010,C9986,C9962,C9938,C9914)/SUM(C9890,C9866,C9842,C9818,C9794,C9770,C9746,C9722,C9698,C9674,C9650,C9626,C9602,C9578)</f>
        <v>0.93420943457642691</v>
      </c>
      <c r="I10226" s="301">
        <f>G10226*H10226</f>
        <v>779.54546484967079</v>
      </c>
      <c r="J10226" s="301">
        <f>AVERAGE(C10226,C10202,C10178,C10154,C10130,C10106,C10082)</f>
        <v>9397.1428571428569</v>
      </c>
      <c r="K10226" s="301">
        <f>J10226/POBLA!$B$1*100000</f>
        <v>53.572015966024431</v>
      </c>
      <c r="L10226" s="548">
        <f t="shared" ref="L10226:L10242" si="1688">1-SUM(C10226,C10202,C10178,C10154,C10130,C10106,C10082)/SUM(C10058,C10034,C10010,C9986,C9962,C9938,C9914)</f>
        <v>0.1837798265314986</v>
      </c>
      <c r="M10226" s="400">
        <f>SUM(C10226,C10202,C10178,C10154,C10130,C10106,C10082)/POBLA!$B$1*100000</f>
        <v>375.00411176217102</v>
      </c>
    </row>
    <row r="10227" spans="1:13" s="360" customFormat="1" x14ac:dyDescent="0.25">
      <c r="A10227" s="367" t="s">
        <v>43</v>
      </c>
      <c r="B10227" s="2">
        <v>44319</v>
      </c>
      <c r="C10227" s="4">
        <v>1839</v>
      </c>
      <c r="D10227" s="39">
        <f t="shared" ref="D10227:D10290" si="1689">C10227+D10203</f>
        <v>348062</v>
      </c>
      <c r="E10227" s="1">
        <v>71</v>
      </c>
      <c r="F10227" s="39">
        <f t="shared" si="1686"/>
        <v>7903</v>
      </c>
      <c r="G10227" s="168">
        <f>SUM(C10227,C10203,C10179,C10155,C10131,C10107,C10083,C10059,C10035,C10011,C9987,C9963,C9939,C9915)/POBLA!$B$2*100000</f>
        <v>1240.7799857330785</v>
      </c>
      <c r="H10227" s="256">
        <f t="shared" si="1687"/>
        <v>0.9777105964336954</v>
      </c>
      <c r="I10227" s="297">
        <f t="shared" ref="I10227:I10249" si="1690">G10227*H10227</f>
        <v>1213.1237398940802</v>
      </c>
      <c r="J10227" s="297">
        <f t="shared" ref="J10227:J10249" si="1691">AVERAGE(C10227,C10203,C10179,C10155,C10131,C10107,C10083)</f>
        <v>2468</v>
      </c>
      <c r="K10227" s="297">
        <f>J10227/POBLA!$B$2*100000</f>
        <v>80.243304983733495</v>
      </c>
      <c r="L10227" s="549">
        <f t="shared" si="1688"/>
        <v>0.17284305276261613</v>
      </c>
      <c r="M10227" s="401">
        <f>SUM(C10227,C10203,C10179,C10155,C10131,C10107,C10083)/POBLA!$B$2*100000</f>
        <v>561.70313488613454</v>
      </c>
    </row>
    <row r="10228" spans="1:13" s="360" customFormat="1" x14ac:dyDescent="0.25">
      <c r="A10228" s="367" t="s">
        <v>28</v>
      </c>
      <c r="B10228" s="2">
        <v>44319</v>
      </c>
      <c r="C10228" s="4">
        <v>176</v>
      </c>
      <c r="D10228" s="39">
        <f t="shared" si="1689"/>
        <v>15175</v>
      </c>
      <c r="E10228" s="1">
        <v>1</v>
      </c>
      <c r="F10228" s="39">
        <f t="shared" si="1686"/>
        <v>20</v>
      </c>
      <c r="G10228" s="168">
        <f>SUM(C10228,C10204,C10180,C10156,C10132,C10108,C10084,C10060,C10036,C10012,C9988,C9964,C9940,C9916)/POBLA!$B$3*100000</f>
        <v>531.00582999147889</v>
      </c>
      <c r="H10228" s="256">
        <f t="shared" si="1687"/>
        <v>1.0504761904761906</v>
      </c>
      <c r="I10228" s="297">
        <f t="shared" si="1690"/>
        <v>557.80898141009641</v>
      </c>
      <c r="J10228" s="297">
        <f t="shared" si="1691"/>
        <v>134.28571428571428</v>
      </c>
      <c r="K10228" s="297">
        <f>J10228/POBLA!$B$3*100000</f>
        <v>32.323888109829689</v>
      </c>
      <c r="L10228" s="549">
        <f t="shared" si="1688"/>
        <v>0.25750394944707744</v>
      </c>
      <c r="M10228" s="401">
        <f>SUM(C10228,C10204,C10180,C10156,C10132,C10108,C10084)/POBLA!$B$3*100000</f>
        <v>226.26721676880786</v>
      </c>
    </row>
    <row r="10229" spans="1:13" s="360" customFormat="1" x14ac:dyDescent="0.25">
      <c r="A10229" s="367" t="s">
        <v>15</v>
      </c>
      <c r="B10229" s="2">
        <v>44319</v>
      </c>
      <c r="C10229" s="4">
        <v>194</v>
      </c>
      <c r="D10229" s="39">
        <f t="shared" si="1689"/>
        <v>45374</v>
      </c>
      <c r="E10229" s="1">
        <v>8</v>
      </c>
      <c r="F10229" s="39">
        <f t="shared" si="1686"/>
        <v>1058</v>
      </c>
      <c r="G10229" s="168">
        <f>SUM(C10229,C10205,C10181,C10157,C10133,C10109,C10085,C10061,C10037,C10013,C9989,C9965,C9941,C9917)/POBLA!$B$4*100000</f>
        <v>258.10661488483998</v>
      </c>
      <c r="H10229" s="256">
        <f t="shared" si="1687"/>
        <v>0.98541996830427891</v>
      </c>
      <c r="I10229" s="297">
        <f t="shared" si="1690"/>
        <v>254.34341225894374</v>
      </c>
      <c r="J10229" s="297">
        <f t="shared" si="1691"/>
        <v>230</v>
      </c>
      <c r="K10229" s="297">
        <f>J10229/POBLA!$B$4*100000</f>
        <v>19.094410235932195</v>
      </c>
      <c r="L10229" s="549">
        <f t="shared" si="1688"/>
        <v>-7.4049366244162806E-2</v>
      </c>
      <c r="M10229" s="401">
        <f>SUM(C10229,C10205,C10181,C10157,C10133,C10109,C10085)/POBLA!$B$4*100000</f>
        <v>133.66087165152535</v>
      </c>
    </row>
    <row r="10230" spans="1:13" s="360" customFormat="1" x14ac:dyDescent="0.25">
      <c r="A10230" s="367" t="s">
        <v>29</v>
      </c>
      <c r="B10230" s="2">
        <v>44319</v>
      </c>
      <c r="C10230" s="4">
        <v>125</v>
      </c>
      <c r="D10230" s="39">
        <f t="shared" si="1689"/>
        <v>55180</v>
      </c>
      <c r="E10230" s="1"/>
      <c r="F10230" s="39">
        <f t="shared" si="1686"/>
        <v>928</v>
      </c>
      <c r="G10230" s="168">
        <f>SUM(C10230,C10206,C10182,C10158,C10134,C10110,C10086,C10062,C10038,C10014,C9990,C9966,C9942,C9918)/POBLA!$B$5*100000</f>
        <v>393.70333153471603</v>
      </c>
      <c r="H10230" s="256">
        <f t="shared" si="1687"/>
        <v>1.0811889973380657</v>
      </c>
      <c r="I10230" s="297">
        <f t="shared" si="1690"/>
        <v>425.66771027067568</v>
      </c>
      <c r="J10230" s="297">
        <f t="shared" si="1691"/>
        <v>151.57142857142858</v>
      </c>
      <c r="K10230" s="297">
        <f>J10230/POBLA!$B$5*100000</f>
        <v>24.48673631269909</v>
      </c>
      <c r="L10230" s="549">
        <f t="shared" si="1688"/>
        <v>0.22892441860465118</v>
      </c>
      <c r="M10230" s="401">
        <f>SUM(C10230,C10206,C10182,C10158,C10134,C10110,C10086)/POBLA!$B$5*100000</f>
        <v>171.4071541888936</v>
      </c>
    </row>
    <row r="10231" spans="1:13" s="360" customFormat="1" x14ac:dyDescent="0.25">
      <c r="A10231" s="367" t="s">
        <v>30</v>
      </c>
      <c r="B10231" s="2">
        <v>44319</v>
      </c>
      <c r="C10231" s="4">
        <v>117</v>
      </c>
      <c r="D10231" s="39">
        <f t="shared" si="1689"/>
        <v>37906</v>
      </c>
      <c r="E10231" s="1"/>
      <c r="F10231" s="39">
        <f t="shared" si="1686"/>
        <v>496</v>
      </c>
      <c r="G10231" s="168">
        <f>SUM(C10231,C10207,C10183,C10159,C10135,C10111,C10087,C10063,C10039,C10015,C9991,C9967,C9943,C9919)/POBLA!$B$6*100000</f>
        <v>272.39447502277386</v>
      </c>
      <c r="H10231" s="256">
        <f t="shared" si="1687"/>
        <v>0.7786279010456516</v>
      </c>
      <c r="I10231" s="297">
        <f t="shared" si="1690"/>
        <v>212.09393834341458</v>
      </c>
      <c r="J10231" s="297">
        <f t="shared" si="1691"/>
        <v>169.85714285714286</v>
      </c>
      <c r="K10231" s="297">
        <f>J10231/POBLA!$B$6*100000</f>
        <v>15.154977811149603</v>
      </c>
      <c r="L10231" s="549">
        <f t="shared" si="1688"/>
        <v>0.36212446351931327</v>
      </c>
      <c r="M10231" s="401">
        <f>SUM(C10231,C10207,C10183,C10159,C10135,C10111,C10087)/POBLA!$B$6*100000</f>
        <v>106.0848446780472</v>
      </c>
    </row>
    <row r="10232" spans="1:13" s="360" customFormat="1" x14ac:dyDescent="0.25">
      <c r="A10232" s="367" t="s">
        <v>20</v>
      </c>
      <c r="B10232" s="2">
        <v>44319</v>
      </c>
      <c r="C10232" s="4">
        <v>1206</v>
      </c>
      <c r="D10232" s="39">
        <f t="shared" si="1689"/>
        <v>230724</v>
      </c>
      <c r="E10232" s="1">
        <v>25</v>
      </c>
      <c r="F10232" s="39">
        <f t="shared" si="1686"/>
        <v>3413</v>
      </c>
      <c r="G10232" s="168">
        <f>SUM(C10232,C10208,C10184,C10160,C10136,C10112,C10088,C10064,C10040,C10016,C9992,C9968,C9944,C9920)/POBLA!$B$7*100000</f>
        <v>599.95479264449739</v>
      </c>
      <c r="H10232" s="256">
        <f t="shared" si="1687"/>
        <v>0.97032385703840696</v>
      </c>
      <c r="I10232" s="297">
        <f t="shared" si="1690"/>
        <v>582.15044844748638</v>
      </c>
      <c r="J10232" s="297">
        <f t="shared" si="1691"/>
        <v>1604.5714285714287</v>
      </c>
      <c r="K10232" s="297">
        <f>J10232/POBLA!$B$7*100000</f>
        <v>42.669665294617097</v>
      </c>
      <c r="L10232" s="549">
        <f t="shared" si="1688"/>
        <v>8.5620972724865796E-3</v>
      </c>
      <c r="M10232" s="401">
        <f>SUM(C10232,C10208,C10184,C10160,C10136,C10112,C10088)/POBLA!$B$7*100000</f>
        <v>298.68765706231966</v>
      </c>
    </row>
    <row r="10233" spans="1:13" x14ac:dyDescent="0.25">
      <c r="A10233" s="367" t="s">
        <v>31</v>
      </c>
      <c r="B10233" s="2">
        <v>44319</v>
      </c>
      <c r="C10233" s="291">
        <v>305</v>
      </c>
      <c r="D10233" s="39">
        <f t="shared" si="1689"/>
        <v>63840</v>
      </c>
      <c r="E10233" s="1">
        <v>10</v>
      </c>
      <c r="F10233" s="39">
        <f t="shared" si="1686"/>
        <v>1079</v>
      </c>
      <c r="G10233" s="168">
        <f>SUM(C10233,C10209,C10185,C10161,C10137,C10113,C10089,C10065,C10041,C10017,C9993,C9969,C9945,C9921)/POBLA!$B$8*100000</f>
        <v>518.55715997780601</v>
      </c>
      <c r="H10233" s="256">
        <f t="shared" si="1687"/>
        <v>1.208711738984191</v>
      </c>
      <c r="I10233" s="297">
        <f t="shared" si="1690"/>
        <v>626.78612659947726</v>
      </c>
      <c r="J10233" s="297">
        <f t="shared" si="1691"/>
        <v>502</v>
      </c>
      <c r="K10233" s="297">
        <f>J10233/POBLA!$B$8*100000</f>
        <v>36.220355406826023</v>
      </c>
      <c r="L10233" s="549">
        <f t="shared" si="1688"/>
        <v>4.328886468826576E-2</v>
      </c>
      <c r="M10233" s="401">
        <f>SUM(C10233,C10209,C10185,C10161,C10137,C10113,C10089)/POBLA!$B$8*100000</f>
        <v>253.54248784778213</v>
      </c>
    </row>
    <row r="10234" spans="1:13" s="360" customFormat="1" x14ac:dyDescent="0.25">
      <c r="A10234" s="367" t="s">
        <v>41</v>
      </c>
      <c r="B10234" s="2">
        <v>44319</v>
      </c>
      <c r="C10234" s="4">
        <v>86</v>
      </c>
      <c r="D10234" s="39">
        <f t="shared" si="1689"/>
        <v>4625</v>
      </c>
      <c r="E10234" s="1"/>
      <c r="F10234" s="39">
        <f t="shared" si="1686"/>
        <v>102</v>
      </c>
      <c r="G10234" s="168">
        <f>SUM(C10234,C10210,C10186,C10162,C10138,C10114,C10090,C10066,C10042,C10018,C9994,C9970,C9946,C9922)/POBLA!$B$9*100000</f>
        <v>185.5606393332375</v>
      </c>
      <c r="H10234" s="256">
        <f t="shared" si="1687"/>
        <v>0.97398091934084996</v>
      </c>
      <c r="I10234" s="297">
        <f t="shared" si="1690"/>
        <v>180.73252209126255</v>
      </c>
      <c r="J10234" s="297">
        <f t="shared" si="1691"/>
        <v>48.285714285714285</v>
      </c>
      <c r="K10234" s="297">
        <f>J10234/POBLA!$B$9*100000</f>
        <v>7.9785645712548368</v>
      </c>
      <c r="L10234" s="549">
        <f t="shared" si="1688"/>
        <v>0.56942675159235667</v>
      </c>
      <c r="M10234" s="401">
        <f>SUM(C10234,C10210,C10186,C10162,C10138,C10114,C10090)/POBLA!$B$9*100000</f>
        <v>55.849951998783858</v>
      </c>
    </row>
    <row r="10235" spans="1:13" s="360" customFormat="1" x14ac:dyDescent="0.25">
      <c r="A10235" s="367" t="s">
        <v>32</v>
      </c>
      <c r="B10235" s="2">
        <v>44319</v>
      </c>
      <c r="C10235" s="4">
        <v>80</v>
      </c>
      <c r="D10235" s="39">
        <f t="shared" si="1689"/>
        <v>25068</v>
      </c>
      <c r="E10235" s="1">
        <v>2</v>
      </c>
      <c r="F10235" s="39">
        <f t="shared" si="1686"/>
        <v>1042</v>
      </c>
      <c r="G10235" s="168">
        <f>SUM(C10235,C10211,C10187,C10163,C10139,C10115,C10091,C10067,C10043,C10019,C9995,C9971,C9947,C9923)/POBLA!$B$10*100000</f>
        <v>170.71376775403726</v>
      </c>
      <c r="H10235" s="256">
        <f t="shared" si="1687"/>
        <v>1.242681775259679</v>
      </c>
      <c r="I10235" s="297">
        <f t="shared" si="1690"/>
        <v>212.14288797385558</v>
      </c>
      <c r="J10235" s="297">
        <f t="shared" si="1691"/>
        <v>89.571428571428569</v>
      </c>
      <c r="K10235" s="297">
        <f>J10235/POBLA!$B$10*100000</f>
        <v>11.619358704057898</v>
      </c>
      <c r="L10235" s="549">
        <f t="shared" si="1688"/>
        <v>8.9985486211901278E-2</v>
      </c>
      <c r="M10235" s="401">
        <f>SUM(C10235,C10211,C10187,C10163,C10139,C10115,C10091)/POBLA!$B$10*100000</f>
        <v>81.335510928405299</v>
      </c>
    </row>
    <row r="10236" spans="1:13" s="360" customFormat="1" x14ac:dyDescent="0.25">
      <c r="A10236" s="367" t="s">
        <v>33</v>
      </c>
      <c r="B10236" s="2">
        <v>44319</v>
      </c>
      <c r="C10236" s="4">
        <v>221</v>
      </c>
      <c r="D10236" s="39">
        <f t="shared" si="1689"/>
        <v>27825</v>
      </c>
      <c r="E10236" s="1">
        <v>18</v>
      </c>
      <c r="F10236" s="39">
        <f t="shared" si="1686"/>
        <v>393</v>
      </c>
      <c r="G10236" s="168">
        <f>SUM(C10236,C10212,C10188,C10164,C10140,C10116,C10092,C10068,C10044,C10020,C9996,C9972,C9948,C9924)/POBLA!$B$11*100000</f>
        <v>1016.1036526164251</v>
      </c>
      <c r="H10236" s="256">
        <f t="shared" si="1687"/>
        <v>1.4907900122799835</v>
      </c>
      <c r="I10236" s="297">
        <f t="shared" si="1690"/>
        <v>1514.7971767617764</v>
      </c>
      <c r="J10236" s="297">
        <f t="shared" si="1691"/>
        <v>268.42857142857144</v>
      </c>
      <c r="K10236" s="297">
        <f>J10236/POBLA!$B$11*100000</f>
        <v>74.890513974514121</v>
      </c>
      <c r="L10236" s="549">
        <f t="shared" si="1688"/>
        <v>-6.5796937039137804E-2</v>
      </c>
      <c r="M10236" s="401">
        <f>SUM(C10236,C10212,C10188,C10164,C10140,C10116,C10092)/POBLA!$B$11*100000</f>
        <v>524.23359782159878</v>
      </c>
    </row>
    <row r="10237" spans="1:13" s="360" customFormat="1" x14ac:dyDescent="0.25">
      <c r="A10237" s="367" t="s">
        <v>21</v>
      </c>
      <c r="B10237" s="2">
        <v>44319</v>
      </c>
      <c r="C10237" s="4">
        <v>226</v>
      </c>
      <c r="D10237" s="39">
        <f t="shared" si="1689"/>
        <v>13771</v>
      </c>
      <c r="E10237" s="1"/>
      <c r="F10237" s="39">
        <f t="shared" si="1686"/>
        <v>479</v>
      </c>
      <c r="G10237" s="168">
        <f>SUM(C10237,C10213,C10189,C10165,C10141,C10117,C10093,C10069,C10045,C10021,C9997,C9973,C9949,C9925)/POBLA!$B$12*100000</f>
        <v>308.23492939565119</v>
      </c>
      <c r="H10237" s="256">
        <f t="shared" si="1687"/>
        <v>1.0511265164644714</v>
      </c>
      <c r="I10237" s="297">
        <f t="shared" si="1690"/>
        <v>323.99390758832311</v>
      </c>
      <c r="J10237" s="297">
        <f t="shared" si="1691"/>
        <v>93.142857142857139</v>
      </c>
      <c r="K10237" s="297">
        <f>J10237/POBLA!$B$12*100000</f>
        <v>23.668492988571963</v>
      </c>
      <c r="L10237" s="549">
        <f t="shared" si="1688"/>
        <v>-0.16221033868092682</v>
      </c>
      <c r="M10237" s="401">
        <f>SUM(C10237,C10213,C10189,C10165,C10141,C10117,C10093)/POBLA!$B$12*100000</f>
        <v>165.67945092000377</v>
      </c>
    </row>
    <row r="10238" spans="1:13" s="360" customFormat="1" x14ac:dyDescent="0.25">
      <c r="A10238" s="367" t="s">
        <v>17</v>
      </c>
      <c r="B10238" s="2">
        <v>44319</v>
      </c>
      <c r="C10238" s="4">
        <v>609</v>
      </c>
      <c r="D10238" s="39">
        <f t="shared" si="1689"/>
        <v>97923</v>
      </c>
      <c r="E10238" s="1">
        <v>11</v>
      </c>
      <c r="F10238" s="39">
        <f t="shared" si="1686"/>
        <v>1866</v>
      </c>
      <c r="G10238" s="168">
        <f>SUM(C10238,C10214,C10190,C10166,C10142,C10118,C10094,C10070,C10046,C10022,C9998,C9974,C9950,C9926)/POBLA!$B$13*100000</f>
        <v>553.22261846982769</v>
      </c>
      <c r="H10238" s="256">
        <f t="shared" si="1687"/>
        <v>0.92080615487539719</v>
      </c>
      <c r="I10238" s="297">
        <f t="shared" si="1690"/>
        <v>509.41079210330093</v>
      </c>
      <c r="J10238" s="297">
        <f t="shared" si="1691"/>
        <v>701.71428571428567</v>
      </c>
      <c r="K10238" s="297">
        <f>J10238/POBLA!$B$13*100000</f>
        <v>35.256036196579956</v>
      </c>
      <c r="L10238" s="549">
        <f t="shared" si="1688"/>
        <v>0.1946220691916708</v>
      </c>
      <c r="M10238" s="401">
        <f>SUM(C10238,C10214,C10190,C10166,C10142,C10118,C10094)/POBLA!$B$13*100000</f>
        <v>246.79225337605973</v>
      </c>
    </row>
    <row r="10239" spans="1:13" s="360" customFormat="1" x14ac:dyDescent="0.25">
      <c r="A10239" s="367" t="s">
        <v>23</v>
      </c>
      <c r="B10239" s="2">
        <v>44319</v>
      </c>
      <c r="C10239" s="4">
        <v>99</v>
      </c>
      <c r="D10239" s="39">
        <f t="shared" si="1689"/>
        <v>15935</v>
      </c>
      <c r="E10239" s="1"/>
      <c r="F10239" s="39">
        <f t="shared" si="1686"/>
        <v>239</v>
      </c>
      <c r="G10239" s="168">
        <f>SUM(C10239,C10215,C10191,C10167,C10143,C10119,C10095,C10071,C10047,C10023,C9999,C9975,C9951,C9927)/POBLA!$B$14*100000</f>
        <v>124.2374894354528</v>
      </c>
      <c r="H10239" s="256">
        <f t="shared" si="1687"/>
        <v>0.79462474645030423</v>
      </c>
      <c r="I10239" s="297">
        <f t="shared" si="1690"/>
        <v>98.722183542269036</v>
      </c>
      <c r="J10239" s="297">
        <f t="shared" si="1691"/>
        <v>103.57142857142857</v>
      </c>
      <c r="K10239" s="297">
        <f>J10239/POBLA!$B$14*100000</f>
        <v>8.2115215462397018</v>
      </c>
      <c r="L10239" s="549">
        <f t="shared" si="1688"/>
        <v>0.13895486935866985</v>
      </c>
      <c r="M10239" s="401">
        <f>SUM(C10239,C10215,C10191,C10167,C10143,C10119,C10095)/POBLA!$B$14*100000</f>
        <v>57.480650823677905</v>
      </c>
    </row>
    <row r="10240" spans="1:13" s="360" customFormat="1" x14ac:dyDescent="0.25">
      <c r="A10240" s="367" t="s">
        <v>19</v>
      </c>
      <c r="B10240" s="2">
        <v>44319</v>
      </c>
      <c r="C10240" s="4">
        <v>323</v>
      </c>
      <c r="D10240" s="39">
        <f t="shared" si="1689"/>
        <v>71934</v>
      </c>
      <c r="E10240" s="1">
        <v>8</v>
      </c>
      <c r="F10240" s="39">
        <f t="shared" si="1686"/>
        <v>1080</v>
      </c>
      <c r="G10240" s="168">
        <f>SUM(C10240,C10216,C10192,C10168,C10144,C10120,C10096,C10072,C10048,C10024,C10000,C9976,C9952,C9928)/POBLA!$B$15*100000</f>
        <v>599.64731943191623</v>
      </c>
      <c r="H10240" s="256">
        <f t="shared" si="1687"/>
        <v>1.7603890362511052</v>
      </c>
      <c r="I10240" s="297">
        <f t="shared" si="1690"/>
        <v>1055.6125667453096</v>
      </c>
      <c r="J10240" s="297">
        <f t="shared" si="1691"/>
        <v>336.42857142857144</v>
      </c>
      <c r="K10240" s="297">
        <f>J10240/POBLA!$B$15*100000</f>
        <v>50.662604479520809</v>
      </c>
      <c r="L10240" s="549">
        <f t="shared" si="1688"/>
        <v>-0.44744929317762749</v>
      </c>
      <c r="M10240" s="401">
        <f>SUM(C10240,C10216,C10192,C10168,C10144,C10120,C10096)/POBLA!$B$15*100000</f>
        <v>354.63823135664563</v>
      </c>
    </row>
    <row r="10241" spans="1:13" s="360" customFormat="1" x14ac:dyDescent="0.25">
      <c r="A10241" s="367" t="s">
        <v>18</v>
      </c>
      <c r="B10241" s="2">
        <v>44319</v>
      </c>
      <c r="C10241" s="4">
        <v>322</v>
      </c>
      <c r="D10241" s="39">
        <f t="shared" si="1689"/>
        <v>62046</v>
      </c>
      <c r="E10241" s="1">
        <v>4</v>
      </c>
      <c r="F10241" s="39">
        <f t="shared" si="1686"/>
        <v>1371</v>
      </c>
      <c r="G10241" s="168">
        <f>SUM(C10241,C10217,C10193,C10169,C10145,C10121,C10097,C10073,C10049,C10025,C10001,C9977,C9953,C9929)/POBLA!$B$16*100000</f>
        <v>496.91684166878451</v>
      </c>
      <c r="H10241" s="256">
        <f t="shared" si="1687"/>
        <v>1.5144720750101917</v>
      </c>
      <c r="I10241" s="297">
        <f t="shared" si="1690"/>
        <v>752.56668030963499</v>
      </c>
      <c r="J10241" s="297">
        <f t="shared" si="1691"/>
        <v>277.14285714285717</v>
      </c>
      <c r="K10241" s="297">
        <f>J10241/POBLA!$B$16*100000</f>
        <v>37.070512318301944</v>
      </c>
      <c r="L10241" s="549">
        <f t="shared" si="1688"/>
        <v>-9.2957746478873338E-2</v>
      </c>
      <c r="M10241" s="401">
        <f>SUM(C10241,C10217,C10193,C10169,C10145,C10121,C10097)/POBLA!$B$16*100000</f>
        <v>259.4935862281136</v>
      </c>
    </row>
    <row r="10242" spans="1:13" s="360" customFormat="1" x14ac:dyDescent="0.25">
      <c r="A10242" s="367" t="s">
        <v>34</v>
      </c>
      <c r="B10242" s="2">
        <v>44319</v>
      </c>
      <c r="C10242" s="4">
        <v>156</v>
      </c>
      <c r="D10242" s="39">
        <f t="shared" si="1689"/>
        <v>35106</v>
      </c>
      <c r="E10242" s="1">
        <v>12</v>
      </c>
      <c r="F10242" s="39">
        <f t="shared" si="1686"/>
        <v>1283</v>
      </c>
      <c r="G10242" s="168">
        <f>SUM(C10242,C10218,C10194,C10170,C10146,C10122,C10098,C10074,C10050,C10026,C10002,C9978,C9954,C9930)/POBLA!$B$17*100000</f>
        <v>186.39466384722797</v>
      </c>
      <c r="H10242" s="256">
        <f t="shared" ref="H10242:H10265" si="1692">SUM(C10242,C10218,C10194,C10170,C10146,C10122,C10098,C10074,C10050,C10026,C10002,C9978,C9954,C9930)/SUM(C9906,C9882,C9858,C9834,C9810,C9786,C9762,C9738,C9714,C9690,C9666,C9642,C9618,C9594)</f>
        <v>1.0106585458698134</v>
      </c>
      <c r="I10242" s="297">
        <f t="shared" si="1690"/>
        <v>188.3813599217321</v>
      </c>
      <c r="J10242" s="297">
        <f t="shared" si="1691"/>
        <v>182.71428571428572</v>
      </c>
      <c r="K10242" s="297">
        <f>J10242/POBLA!$B$17*100000</f>
        <v>12.827483188625484</v>
      </c>
      <c r="L10242" s="549">
        <f t="shared" si="1688"/>
        <v>7.0494186046511587E-2</v>
      </c>
      <c r="M10242" s="401">
        <f>SUM(C10242,C10218,C10194,C10170,C10146,C10122,C10098)/POBLA!$B$17*100000</f>
        <v>89.79238232037838</v>
      </c>
    </row>
    <row r="10243" spans="1:13" s="360" customFormat="1" x14ac:dyDescent="0.25">
      <c r="A10243" s="367" t="s">
        <v>35</v>
      </c>
      <c r="B10243" s="2">
        <v>44319</v>
      </c>
      <c r="C10243" s="4">
        <v>268</v>
      </c>
      <c r="D10243" s="39">
        <f t="shared" si="1689"/>
        <v>24053</v>
      </c>
      <c r="E10243" s="1">
        <v>5</v>
      </c>
      <c r="F10243" s="39">
        <f t="shared" si="1686"/>
        <v>285</v>
      </c>
      <c r="G10243" s="168">
        <f>SUM(C10243,C10219,C10195,C10171,C10147,C10123,C10099,C10075,C10051,C10027,C10003,C9979,C9955,C9931)/POBLA!$B$18*100000</f>
        <v>470.5478759422798</v>
      </c>
      <c r="H10243" s="256">
        <f t="shared" si="1692"/>
        <v>1.3338171262699565</v>
      </c>
      <c r="I10243" s="297">
        <f t="shared" si="1690"/>
        <v>627.62481566176371</v>
      </c>
      <c r="J10243" s="297">
        <f t="shared" si="1691"/>
        <v>262.42857142857144</v>
      </c>
      <c r="K10243" s="297">
        <f>J10243/POBLA!$B$18*100000</f>
        <v>33.592276080598786</v>
      </c>
      <c r="L10243" s="549">
        <f t="shared" ref="L10243:L10306" si="1693">1-SUM(C10243,C10219,C10195,C10171,C10147,C10123,C10099)/SUM(C10075,C10051,C10027,C10003,C9979,C9955,C9931)</f>
        <v>1.0875475802066825E-3</v>
      </c>
      <c r="M10243" s="401">
        <f>SUM(C10243,C10219,C10195,C10171,C10147,C10123,C10099)/POBLA!$B$18*100000</f>
        <v>235.1459325641915</v>
      </c>
    </row>
    <row r="10244" spans="1:13" s="360" customFormat="1" x14ac:dyDescent="0.25">
      <c r="A10244" s="367" t="s">
        <v>36</v>
      </c>
      <c r="B10244" s="2">
        <v>44319</v>
      </c>
      <c r="C10244" s="4">
        <v>423</v>
      </c>
      <c r="D10244" s="39">
        <f t="shared" si="1689"/>
        <v>38839</v>
      </c>
      <c r="E10244" s="1">
        <v>11</v>
      </c>
      <c r="F10244" s="39">
        <f t="shared" si="1686"/>
        <v>497</v>
      </c>
      <c r="G10244" s="168">
        <f>SUM(C10244,C10220,C10196,C10172,C10148,C10124,C10100,C10076,C10052,C10028,C10004,C9980,C9956,C9932)/POBLA!$B$19*100000</f>
        <v>1630.2466124234745</v>
      </c>
      <c r="H10244" s="256">
        <f t="shared" si="1692"/>
        <v>1.243547418967587</v>
      </c>
      <c r="I10244" s="297">
        <f t="shared" si="1690"/>
        <v>2027.2889671598639</v>
      </c>
      <c r="J10244" s="297">
        <f t="shared" si="1691"/>
        <v>512.71428571428567</v>
      </c>
      <c r="K10244" s="297">
        <f>J10244/POBLA!$B$19*100000</f>
        <v>100.86288493143908</v>
      </c>
      <c r="L10244" s="549">
        <f t="shared" si="1693"/>
        <v>0.23605789697743718</v>
      </c>
      <c r="M10244" s="401">
        <f>SUM(C10244,C10220,C10196,C10172,C10148,C10124,C10100)/POBLA!$B$19*100000</f>
        <v>706.04019452007367</v>
      </c>
    </row>
    <row r="10245" spans="1:13" s="360" customFormat="1" x14ac:dyDescent="0.25">
      <c r="A10245" s="367" t="s">
        <v>37</v>
      </c>
      <c r="B10245" s="2">
        <v>44319</v>
      </c>
      <c r="C10245" s="4">
        <v>151</v>
      </c>
      <c r="D10245" s="39">
        <f t="shared" si="1689"/>
        <v>45199</v>
      </c>
      <c r="E10245" s="1">
        <v>8</v>
      </c>
      <c r="F10245" s="39">
        <f t="shared" si="1686"/>
        <v>717</v>
      </c>
      <c r="G10245" s="168">
        <f>SUM(C10245,C10221,C10197,C10173,C10149,C10125,C10101,C10077,C10053,C10029,C10005,C9981,C9957,C9933)/POBLA!$B$20*100000</f>
        <v>749.252115133252</v>
      </c>
      <c r="H10245" s="256">
        <f t="shared" si="1692"/>
        <v>1.1030595813204509</v>
      </c>
      <c r="I10245" s="297">
        <f t="shared" si="1690"/>
        <v>826.46972442234721</v>
      </c>
      <c r="J10245" s="297">
        <f t="shared" si="1691"/>
        <v>188.42857142857142</v>
      </c>
      <c r="K10245" s="297">
        <f>J10245/POBLA!$B$20*100000</f>
        <v>51.52573200525336</v>
      </c>
      <c r="L10245" s="549">
        <f t="shared" si="1693"/>
        <v>7.1780436312456009E-2</v>
      </c>
      <c r="M10245" s="401">
        <f>SUM(C10245,C10221,C10197,C10173,C10149,C10125,C10101)/POBLA!$B$20*100000</f>
        <v>360.68012403677352</v>
      </c>
    </row>
    <row r="10246" spans="1:13" s="360" customFormat="1" x14ac:dyDescent="0.25">
      <c r="A10246" s="367" t="s">
        <v>22</v>
      </c>
      <c r="B10246" s="2">
        <v>44319</v>
      </c>
      <c r="C10246" s="4">
        <v>1317</v>
      </c>
      <c r="D10246" s="39">
        <f t="shared" si="1689"/>
        <v>277956</v>
      </c>
      <c r="E10246" s="1">
        <v>42</v>
      </c>
      <c r="F10246" s="39">
        <f t="shared" si="1686"/>
        <v>4682</v>
      </c>
      <c r="G10246" s="168">
        <f>SUM(C10246,C10222,C10198,C10174,C10150,C10126,C10102,C10078,C10054,C10030,C10006,C9982,C9958,C9934)/POBLA!$B$21*100000</f>
        <v>673.73257346840785</v>
      </c>
      <c r="H10246" s="256">
        <f t="shared" si="1692"/>
        <v>1.2225357894196727</v>
      </c>
      <c r="I10246" s="297">
        <f t="shared" si="1690"/>
        <v>823.66218356294758</v>
      </c>
      <c r="J10246" s="297">
        <f t="shared" si="1691"/>
        <v>1679.4285714285713</v>
      </c>
      <c r="K10246" s="297">
        <f>J10246/POBLA!$B$21*100000</f>
        <v>47.489538041842657</v>
      </c>
      <c r="L10246" s="549">
        <f t="shared" si="1693"/>
        <v>2.6014913007456508E-2</v>
      </c>
      <c r="M10246" s="401">
        <f>SUM(C10246,C10222,C10198,C10174,C10150,C10126,C10102)/POBLA!$B$21*100000</f>
        <v>332.42676629289866</v>
      </c>
    </row>
    <row r="10247" spans="1:13" s="360" customFormat="1" x14ac:dyDescent="0.25">
      <c r="A10247" s="367" t="s">
        <v>38</v>
      </c>
      <c r="B10247" s="2">
        <v>44319</v>
      </c>
      <c r="C10247" s="4">
        <v>105</v>
      </c>
      <c r="D10247" s="39">
        <f t="shared" si="1689"/>
        <v>31168</v>
      </c>
      <c r="E10247" s="1">
        <v>6</v>
      </c>
      <c r="F10247" s="39">
        <f t="shared" si="1686"/>
        <v>358</v>
      </c>
      <c r="G10247" s="168">
        <f>SUM(C10247,C10223,C10199,C10175,C10151,C10127,C10103,C10079,C10055,C10031,C10007,C9983,C9959,C9935)/POBLA!$B$22*100000</f>
        <v>282.11829956261442</v>
      </c>
      <c r="H10247" s="256">
        <f t="shared" si="1692"/>
        <v>1.0415094339622641</v>
      </c>
      <c r="I10247" s="297">
        <f t="shared" si="1690"/>
        <v>293.828870487855</v>
      </c>
      <c r="J10247" s="297">
        <f t="shared" si="1691"/>
        <v>180.28571428571428</v>
      </c>
      <c r="K10247" s="297">
        <f>J10247/POBLA!$B$22*100000</f>
        <v>18.42822432960763</v>
      </c>
      <c r="L10247" s="549">
        <f t="shared" si="1693"/>
        <v>0.157543391188251</v>
      </c>
      <c r="M10247" s="401">
        <f>SUM(C10247,C10223,C10199,C10175,C10151,C10127,C10103)/POBLA!$B$22*100000</f>
        <v>128.9975703072534</v>
      </c>
    </row>
    <row r="10248" spans="1:13" s="360" customFormat="1" x14ac:dyDescent="0.25">
      <c r="A10248" s="367" t="s">
        <v>39</v>
      </c>
      <c r="B10248" s="2">
        <v>44319</v>
      </c>
      <c r="C10248" s="4">
        <v>39</v>
      </c>
      <c r="D10248" s="39">
        <f t="shared" si="1689"/>
        <v>26579</v>
      </c>
      <c r="E10248" s="1">
        <v>1</v>
      </c>
      <c r="F10248" s="39">
        <f t="shared" si="1686"/>
        <v>390</v>
      </c>
      <c r="G10248" s="168">
        <f>SUM(C10248,C10224,C10200,C10176,C10152,C10128,C10104,C10080,C10056,C10032,C10008,C9984,C9960,C9936)/POBLA!$B$23*100000</f>
        <v>615.84572753492057</v>
      </c>
      <c r="H10248" s="256">
        <f t="shared" si="1692"/>
        <v>0.96714031971580816</v>
      </c>
      <c r="I10248" s="297">
        <f t="shared" si="1690"/>
        <v>595.60923382373755</v>
      </c>
      <c r="J10248" s="297">
        <f t="shared" si="1691"/>
        <v>68.571428571428569</v>
      </c>
      <c r="K10248" s="297">
        <f>J10248/POBLA!$B$23*100000</f>
        <v>38.778164661781695</v>
      </c>
      <c r="L10248" s="549">
        <f t="shared" si="1693"/>
        <v>0.21182266009852213</v>
      </c>
      <c r="M10248" s="401">
        <f>SUM(C10248,C10224,C10200,C10176,C10152,C10128,C10104)/POBLA!$B$23*100000</f>
        <v>271.44715263247184</v>
      </c>
    </row>
    <row r="10249" spans="1:13" s="360" customFormat="1" ht="15.75" thickBot="1" x14ac:dyDescent="0.3">
      <c r="A10249" s="369" t="s">
        <v>40</v>
      </c>
      <c r="B10249" s="266">
        <v>44319</v>
      </c>
      <c r="C10249" s="357">
        <v>508</v>
      </c>
      <c r="D10249" s="176">
        <f t="shared" si="1689"/>
        <v>107347</v>
      </c>
      <c r="E10249" s="44">
        <v>19</v>
      </c>
      <c r="F10249" s="176">
        <f t="shared" si="1686"/>
        <v>1659</v>
      </c>
      <c r="G10249" s="177">
        <f>SUM(C10249,C10225,C10201,C10177,C10153,C10129,C10105,C10081,C10057,C10033,C10009,C9985,C9961,C9937)/POBLA!$B$24*100000</f>
        <v>532.02537860191092</v>
      </c>
      <c r="H10249" s="402">
        <f t="shared" si="1692"/>
        <v>1.0331156181964021</v>
      </c>
      <c r="I10249" s="403">
        <f t="shared" si="1690"/>
        <v>549.64372791048811</v>
      </c>
      <c r="J10249" s="403">
        <f t="shared" si="1691"/>
        <v>564.28571428571433</v>
      </c>
      <c r="K10249" s="403">
        <f>J10249/POBLA!$B$24*100000</f>
        <v>33.297950397349922</v>
      </c>
      <c r="L10249" s="550">
        <f t="shared" si="1693"/>
        <v>0.22029214370311878</v>
      </c>
      <c r="M10249" s="405">
        <f>SUM(C10249,C10225,C10201,C10177,C10153,C10129,C10105)/POBLA!$B$24*100000</f>
        <v>233.08565278144945</v>
      </c>
    </row>
    <row r="10250" spans="1:13" s="360" customFormat="1" x14ac:dyDescent="0.25">
      <c r="A10250" s="374" t="s">
        <v>16</v>
      </c>
      <c r="B10250" s="267">
        <v>44320</v>
      </c>
      <c r="C10250" s="490">
        <v>12211</v>
      </c>
      <c r="D10250" s="262">
        <f t="shared" si="1689"/>
        <v>1331754</v>
      </c>
      <c r="E10250" s="225">
        <v>193</v>
      </c>
      <c r="F10250" s="262">
        <f t="shared" ref="F10250:F10273" si="1694">E10250+F10226</f>
        <v>33644</v>
      </c>
      <c r="G10250" s="445">
        <f>SUM(C10250,C10226,C10202,C10178,C10154,C10130,C10106,C10082,C10058,C10034,C10010,C9986,C9962,C9938)/POBLA!$B$1*100000</f>
        <v>820.45404001940358</v>
      </c>
      <c r="H10250" s="446">
        <f t="shared" si="1692"/>
        <v>0.89421655006151279</v>
      </c>
      <c r="I10250" s="447">
        <f>G10250*H10250</f>
        <v>733.66358115018147</v>
      </c>
      <c r="J10250" s="447">
        <f>AVERAGE(C10250,C10226,C10202,C10178,C10154,C10130,C10106)</f>
        <v>9368.7142857142862</v>
      </c>
      <c r="K10250" s="447">
        <f>J10250/POBLA!$B$1*100000</f>
        <v>53.409947994342474</v>
      </c>
      <c r="L10250" s="68">
        <f t="shared" si="1693"/>
        <v>0.1628242442810458</v>
      </c>
      <c r="M10250" s="450">
        <f>SUM(C10250,C10226,C10202,C10178,C10154,C10130,C10106)/POBLA!$B$1*100000</f>
        <v>373.86963596039732</v>
      </c>
    </row>
    <row r="10251" spans="1:13" s="360" customFormat="1" x14ac:dyDescent="0.25">
      <c r="A10251" s="367" t="s">
        <v>43</v>
      </c>
      <c r="B10251" s="2">
        <v>44320</v>
      </c>
      <c r="C10251" s="4">
        <v>3170</v>
      </c>
      <c r="D10251" s="39">
        <f t="shared" si="1689"/>
        <v>351232</v>
      </c>
      <c r="E10251" s="1">
        <v>36</v>
      </c>
      <c r="F10251" s="39">
        <f t="shared" si="1694"/>
        <v>7939</v>
      </c>
      <c r="G10251" s="168">
        <f>SUM(C10251,C10227,C10203,C10179,C10155,C10131,C10107,C10083,C10059,C10035,C10011,C9987,C9963,C9939)/POBLA!$B$2*100000</f>
        <v>1235.0901241560309</v>
      </c>
      <c r="H10251" s="256">
        <f t="shared" si="1692"/>
        <v>0.94740123703112533</v>
      </c>
      <c r="I10251" s="297">
        <f t="shared" ref="I10251:I10273" si="1695">G10251*H10251</f>
        <v>1170.1259114703498</v>
      </c>
      <c r="J10251" s="297">
        <f t="shared" ref="J10251:J10273" si="1696">AVERAGE(C10251,C10227,C10203,C10179,C10155,C10131,C10107)</f>
        <v>2527.7142857142858</v>
      </c>
      <c r="K10251" s="297">
        <f>J10251/POBLA!$B$2*100000</f>
        <v>82.184825097370947</v>
      </c>
      <c r="L10251" s="68">
        <f t="shared" si="1693"/>
        <v>0.12807372000197115</v>
      </c>
      <c r="M10251" s="401">
        <f>SUM(C10251,C10227,C10203,C10179,C10155,C10131,C10107)/POBLA!$B$2*100000</f>
        <v>575.29377568159668</v>
      </c>
    </row>
    <row r="10252" spans="1:13" s="360" customFormat="1" x14ac:dyDescent="0.25">
      <c r="A10252" s="367" t="s">
        <v>28</v>
      </c>
      <c r="B10252" s="2">
        <v>44320</v>
      </c>
      <c r="C10252" s="4">
        <v>181</v>
      </c>
      <c r="D10252" s="39">
        <f t="shared" si="1689"/>
        <v>15356</v>
      </c>
      <c r="E10252" s="1">
        <v>15</v>
      </c>
      <c r="F10252" s="39">
        <f t="shared" si="1694"/>
        <v>35</v>
      </c>
      <c r="G10252" s="168">
        <f>SUM(C10252,C10228,C10204,C10180,C10156,C10132,C10108,C10084,C10060,C10036,C10012,C9988,C9964,C9940)/POBLA!$B$3*100000</f>
        <v>529.56157116103964</v>
      </c>
      <c r="H10252" s="256">
        <f t="shared" si="1692"/>
        <v>1.0171058714748036</v>
      </c>
      <c r="I10252" s="297">
        <f t="shared" si="1695"/>
        <v>538.62018333531546</v>
      </c>
      <c r="J10252" s="297">
        <f t="shared" si="1696"/>
        <v>130.28571428571428</v>
      </c>
      <c r="K10252" s="297">
        <f>J10252/POBLA!$B$3*100000</f>
        <v>31.361048889536892</v>
      </c>
      <c r="L10252" s="68">
        <f t="shared" si="1693"/>
        <v>0.29192546583850931</v>
      </c>
      <c r="M10252" s="401">
        <f>SUM(C10252,C10228,C10204,C10180,C10156,C10132,C10108)/POBLA!$B$3*100000</f>
        <v>219.52734222675826</v>
      </c>
    </row>
    <row r="10253" spans="1:13" s="360" customFormat="1" x14ac:dyDescent="0.25">
      <c r="A10253" s="367" t="s">
        <v>15</v>
      </c>
      <c r="B10253" s="2">
        <v>44320</v>
      </c>
      <c r="C10253" s="4">
        <v>286</v>
      </c>
      <c r="D10253" s="39">
        <f t="shared" si="1689"/>
        <v>45660</v>
      </c>
      <c r="E10253" s="1"/>
      <c r="F10253" s="39">
        <f t="shared" si="1694"/>
        <v>1058</v>
      </c>
      <c r="G10253" s="168">
        <f>SUM(C10253,C10229,C10205,C10181,C10157,C10133,C10109,C10085,C10061,C10037,C10013,C9989,C9965,C9941)/POBLA!$B$4*100000</f>
        <v>260.84624765782155</v>
      </c>
      <c r="H10253" s="256">
        <f t="shared" si="1692"/>
        <v>0.9883611198490091</v>
      </c>
      <c r="I10253" s="297">
        <f t="shared" si="1695"/>
        <v>257.81028944349646</v>
      </c>
      <c r="J10253" s="297">
        <f t="shared" si="1696"/>
        <v>246</v>
      </c>
      <c r="K10253" s="297">
        <f>J10253/POBLA!$B$4*100000</f>
        <v>20.422717034953564</v>
      </c>
      <c r="L10253" s="68">
        <f t="shared" si="1693"/>
        <v>-0.21267605633802811</v>
      </c>
      <c r="M10253" s="401">
        <f>SUM(C10253,C10229,C10205,C10181,C10157,C10133,C10109)/POBLA!$B$4*100000</f>
        <v>142.95901924467495</v>
      </c>
    </row>
    <row r="10254" spans="1:13" s="360" customFormat="1" x14ac:dyDescent="0.25">
      <c r="A10254" s="367" t="s">
        <v>29</v>
      </c>
      <c r="B10254" s="2">
        <v>44320</v>
      </c>
      <c r="C10254" s="4">
        <v>160</v>
      </c>
      <c r="D10254" s="39">
        <f t="shared" si="1689"/>
        <v>55340</v>
      </c>
      <c r="E10254" s="1">
        <v>2</v>
      </c>
      <c r="F10254" s="39">
        <f t="shared" si="1694"/>
        <v>930</v>
      </c>
      <c r="G10254" s="168">
        <f>SUM(C10254,C10230,C10206,C10182,C10158,C10134,C10110,C10086,C10062,C10038,C10014,C9990,C9966,C9942)/POBLA!$B$5*100000</f>
        <v>375.93256154340753</v>
      </c>
      <c r="H10254" s="256">
        <f t="shared" si="1692"/>
        <v>0.98185654008438816</v>
      </c>
      <c r="I10254" s="297">
        <f t="shared" si="1695"/>
        <v>369.11184418207142</v>
      </c>
      <c r="J10254" s="297">
        <f t="shared" si="1696"/>
        <v>150.71428571428572</v>
      </c>
      <c r="K10254" s="297">
        <f>J10254/POBLA!$B$5*100000</f>
        <v>24.348262780299279</v>
      </c>
      <c r="L10254" s="68">
        <f t="shared" si="1693"/>
        <v>0.17059748427672961</v>
      </c>
      <c r="M10254" s="401">
        <f>SUM(C10254,C10230,C10206,C10182,C10158,C10134,C10110)/POBLA!$B$5*100000</f>
        <v>170.43783946209496</v>
      </c>
    </row>
    <row r="10255" spans="1:13" s="360" customFormat="1" x14ac:dyDescent="0.25">
      <c r="A10255" s="367" t="s">
        <v>30</v>
      </c>
      <c r="B10255" s="2">
        <v>44320</v>
      </c>
      <c r="C10255" s="4">
        <v>315</v>
      </c>
      <c r="D10255" s="39">
        <f t="shared" si="1689"/>
        <v>38221</v>
      </c>
      <c r="E10255" s="1">
        <v>2</v>
      </c>
      <c r="F10255" s="39">
        <f t="shared" si="1694"/>
        <v>498</v>
      </c>
      <c r="G10255" s="168">
        <f>SUM(C10255,C10231,C10207,C10183,C10159,C10135,C10111,C10087,C10063,C10039,C10015,C9991,C9967,C9943)/POBLA!$B$6*100000</f>
        <v>274.7142445447497</v>
      </c>
      <c r="H10255" s="256">
        <f t="shared" si="1692"/>
        <v>0.82260219075607799</v>
      </c>
      <c r="I10255" s="297">
        <f t="shared" si="1695"/>
        <v>225.98053939441206</v>
      </c>
      <c r="J10255" s="297">
        <f t="shared" si="1696"/>
        <v>195.57142857142858</v>
      </c>
      <c r="K10255" s="297">
        <f>J10255/POBLA!$B$6*100000</f>
        <v>17.449255360356442</v>
      </c>
      <c r="L10255" s="68">
        <f t="shared" si="1693"/>
        <v>0.1994152046783626</v>
      </c>
      <c r="M10255" s="401">
        <f>SUM(C10255,C10231,C10207,C10183,C10159,C10135,C10111)/POBLA!$B$6*100000</f>
        <v>122.14478752249508</v>
      </c>
    </row>
    <row r="10256" spans="1:13" s="360" customFormat="1" x14ac:dyDescent="0.25">
      <c r="A10256" s="367" t="s">
        <v>20</v>
      </c>
      <c r="B10256" s="2">
        <v>44320</v>
      </c>
      <c r="C10256" s="4">
        <v>1847</v>
      </c>
      <c r="D10256" s="39">
        <f t="shared" si="1689"/>
        <v>232571</v>
      </c>
      <c r="E10256" s="1">
        <v>32</v>
      </c>
      <c r="F10256" s="39">
        <f t="shared" si="1694"/>
        <v>3445</v>
      </c>
      <c r="G10256" s="168">
        <f>SUM(C10256,C10232,C10208,C10184,C10160,C10136,C10112,C10088,C10064,C10040,C10016,C9992,C9968,C9944)/POBLA!$B$7*100000</f>
        <v>588.94547195149516</v>
      </c>
      <c r="H10256" s="256">
        <f t="shared" si="1692"/>
        <v>0.93569648062867039</v>
      </c>
      <c r="I10256" s="297">
        <f t="shared" si="1695"/>
        <v>551.07420538720532</v>
      </c>
      <c r="J10256" s="297">
        <f t="shared" si="1696"/>
        <v>1565.1428571428571</v>
      </c>
      <c r="K10256" s="297">
        <f>J10256/POBLA!$B$7*100000</f>
        <v>41.621158561950217</v>
      </c>
      <c r="L10256" s="68">
        <f t="shared" si="1693"/>
        <v>2.0999017067286241E-2</v>
      </c>
      <c r="M10256" s="401">
        <f>SUM(C10256,C10232,C10208,C10184,C10160,C10136,C10112)/POBLA!$B$7*100000</f>
        <v>291.34810993365153</v>
      </c>
    </row>
    <row r="10257" spans="1:17" x14ac:dyDescent="0.25">
      <c r="A10257" s="367" t="s">
        <v>31</v>
      </c>
      <c r="B10257" s="2">
        <v>44320</v>
      </c>
      <c r="C10257" s="4">
        <v>589</v>
      </c>
      <c r="D10257" s="39">
        <f t="shared" si="1689"/>
        <v>64429</v>
      </c>
      <c r="E10257" s="1">
        <v>5</v>
      </c>
      <c r="F10257" s="39">
        <f t="shared" si="1694"/>
        <v>1084</v>
      </c>
      <c r="G10257" s="168">
        <f>SUM(C10257,C10233,C10209,C10185,C10161,C10137,C10113,C10089,C10065,C10041,C10017,C9993,C9969,C9945)/POBLA!$B$8*100000</f>
        <v>517.61918264655355</v>
      </c>
      <c r="H10257" s="256">
        <f t="shared" si="1692"/>
        <v>1.1697374857329204</v>
      </c>
      <c r="I10257" s="297">
        <f t="shared" si="1695"/>
        <v>605.47856127610885</v>
      </c>
      <c r="J10257" s="297">
        <f t="shared" si="1696"/>
        <v>492.85714285714283</v>
      </c>
      <c r="K10257" s="297">
        <f>J10257/POBLA!$B$8*100000</f>
        <v>35.560679041989125</v>
      </c>
      <c r="L10257" s="68">
        <f t="shared" si="1693"/>
        <v>7.3576799140708915E-2</v>
      </c>
      <c r="M10257" s="401">
        <f>SUM(C10257,C10233,C10209,C10185,C10161,C10137,C10113)/POBLA!$B$8*100000</f>
        <v>248.92475329392389</v>
      </c>
    </row>
    <row r="10258" spans="1:17" s="360" customFormat="1" x14ac:dyDescent="0.25">
      <c r="A10258" s="367" t="s">
        <v>41</v>
      </c>
      <c r="B10258" s="2">
        <v>44320</v>
      </c>
      <c r="C10258" s="4">
        <v>166</v>
      </c>
      <c r="D10258" s="39">
        <f t="shared" si="1689"/>
        <v>4791</v>
      </c>
      <c r="E10258" s="1">
        <v>1</v>
      </c>
      <c r="F10258" s="39">
        <f t="shared" si="1694"/>
        <v>103</v>
      </c>
      <c r="G10258" s="168">
        <f>SUM(C10258,C10234,C10210,C10186,C10162,C10138,C10114,C10090,C10066,C10042,C10018,C9994,C9970,C9946)/POBLA!$B$9*100000</f>
        <v>192.3353376526166</v>
      </c>
      <c r="H10258" s="256">
        <f t="shared" si="1692"/>
        <v>0.97897392767031122</v>
      </c>
      <c r="I10258" s="297">
        <f t="shared" si="1695"/>
        <v>188.29128093157757</v>
      </c>
      <c r="J10258" s="297">
        <f t="shared" si="1696"/>
        <v>55.142857142857146</v>
      </c>
      <c r="K10258" s="297">
        <f>J10258/POBLA!$B$9*100000</f>
        <v>9.111615161255525</v>
      </c>
      <c r="L10258" s="68">
        <f t="shared" si="1693"/>
        <v>0.50385604113110538</v>
      </c>
      <c r="M10258" s="401">
        <f>SUM(C10258,C10234,C10210,C10186,C10162,C10138,C10114)/POBLA!$B$9*100000</f>
        <v>63.781306128788664</v>
      </c>
    </row>
    <row r="10259" spans="1:17" s="360" customFormat="1" x14ac:dyDescent="0.25">
      <c r="A10259" s="367" t="s">
        <v>32</v>
      </c>
      <c r="B10259" s="2">
        <v>44320</v>
      </c>
      <c r="C10259" s="4">
        <v>140</v>
      </c>
      <c r="D10259" s="39">
        <f t="shared" si="1689"/>
        <v>25208</v>
      </c>
      <c r="E10259" s="1"/>
      <c r="F10259" s="39">
        <f t="shared" si="1694"/>
        <v>1042</v>
      </c>
      <c r="G10259" s="168">
        <f>SUM(C10259,C10235,C10211,C10187,C10163,C10139,C10115,C10091,C10067,C10043,C10019,C9995,C9971,C9947)/POBLA!$B$10*100000</f>
        <v>172.78931508235382</v>
      </c>
      <c r="H10259" s="256">
        <f t="shared" si="1692"/>
        <v>1.2087114337568059</v>
      </c>
      <c r="I10259" s="297">
        <f t="shared" si="1695"/>
        <v>208.85242077104837</v>
      </c>
      <c r="J10259" s="297">
        <f t="shared" si="1696"/>
        <v>93.428571428571431</v>
      </c>
      <c r="K10259" s="297">
        <f>J10259/POBLA!$B$10*100000</f>
        <v>12.119713863562785</v>
      </c>
      <c r="L10259" s="68">
        <f t="shared" si="1693"/>
        <v>3.539823008849563E-2</v>
      </c>
      <c r="M10259" s="401">
        <f>SUM(C10259,C10235,C10211,C10187,C10163,C10139,C10115)/POBLA!$B$10*100000</f>
        <v>84.837997044939485</v>
      </c>
    </row>
    <row r="10260" spans="1:17" s="360" customFormat="1" x14ac:dyDescent="0.25">
      <c r="A10260" s="367" t="s">
        <v>33</v>
      </c>
      <c r="B10260" s="2">
        <v>44320</v>
      </c>
      <c r="C10260" s="4">
        <v>433</v>
      </c>
      <c r="D10260" s="39">
        <f t="shared" si="1689"/>
        <v>28258</v>
      </c>
      <c r="E10260" s="1">
        <v>1</v>
      </c>
      <c r="F10260" s="39">
        <f t="shared" si="1694"/>
        <v>394</v>
      </c>
      <c r="G10260" s="168">
        <f>SUM(C10260,C10236,C10212,C10188,C10164,C10140,C10116,C10092,C10068,C10044,C10020,C9996,C9972,C9948)/POBLA!$B$11*100000</f>
        <v>1050.9781601883781</v>
      </c>
      <c r="H10260" s="256">
        <f t="shared" si="1692"/>
        <v>1.4566898685228151</v>
      </c>
      <c r="I10260" s="297">
        <f t="shared" si="1695"/>
        <v>1530.9492379851586</v>
      </c>
      <c r="J10260" s="297">
        <f t="shared" si="1696"/>
        <v>283.57142857142856</v>
      </c>
      <c r="K10260" s="297">
        <f>J10260/POBLA!$B$11*100000</f>
        <v>79.115311463230711</v>
      </c>
      <c r="L10260" s="68">
        <f t="shared" si="1693"/>
        <v>-0.11391694725028056</v>
      </c>
      <c r="M10260" s="401">
        <f>SUM(C10260,C10236,C10212,C10188,C10164,C10140,C10116)/POBLA!$B$11*100000</f>
        <v>553.807180242615</v>
      </c>
    </row>
    <row r="10261" spans="1:17" s="360" customFormat="1" x14ac:dyDescent="0.25">
      <c r="A10261" s="367" t="s">
        <v>21</v>
      </c>
      <c r="B10261" s="2">
        <v>44320</v>
      </c>
      <c r="C10261" s="4">
        <v>74</v>
      </c>
      <c r="D10261" s="39">
        <f t="shared" si="1689"/>
        <v>13845</v>
      </c>
      <c r="E10261" s="1">
        <v>7</v>
      </c>
      <c r="F10261" s="39">
        <f t="shared" si="1694"/>
        <v>486</v>
      </c>
      <c r="G10261" s="168">
        <f>SUM(C10261,C10237,C10213,C10189,C10165,C10141,C10117,C10093,C10069,C10045,C10021,C9997,C9973,C9949)/POBLA!$B$12*100000</f>
        <v>300.35753218933201</v>
      </c>
      <c r="H10261" s="256">
        <f t="shared" si="1692"/>
        <v>0.99831081081081086</v>
      </c>
      <c r="I10261" s="297">
        <f t="shared" si="1695"/>
        <v>299.85017149306623</v>
      </c>
      <c r="J10261" s="297">
        <f t="shared" si="1696"/>
        <v>93.714285714285708</v>
      </c>
      <c r="K10261" s="297">
        <f>J10261/POBLA!$B$12*100000</f>
        <v>23.813698467029461</v>
      </c>
      <c r="L10261" s="68">
        <f t="shared" si="1693"/>
        <v>-0.24714828897338403</v>
      </c>
      <c r="M10261" s="401">
        <f>SUM(C10261,C10237,C10213,C10189,C10165,C10141,C10117)/POBLA!$B$12*100000</f>
        <v>166.69588926920625</v>
      </c>
    </row>
    <row r="10262" spans="1:17" s="360" customFormat="1" x14ac:dyDescent="0.25">
      <c r="A10262" s="367" t="s">
        <v>17</v>
      </c>
      <c r="B10262" s="2">
        <v>44320</v>
      </c>
      <c r="C10262" s="4">
        <v>1030</v>
      </c>
      <c r="D10262" s="39">
        <f t="shared" si="1689"/>
        <v>98953</v>
      </c>
      <c r="E10262" s="1">
        <v>23</v>
      </c>
      <c r="F10262" s="39">
        <f t="shared" si="1694"/>
        <v>1889</v>
      </c>
      <c r="G10262" s="168">
        <f>SUM(C10262,C10238,C10214,C10190,C10166,C10142,C10118,C10094,C10070,C10046,C10022,C9998,C9974,C9950)/POBLA!$B$13*100000</f>
        <v>546.94227814572196</v>
      </c>
      <c r="H10262" s="256">
        <f t="shared" si="1692"/>
        <v>0.88303049967553537</v>
      </c>
      <c r="I10262" s="297">
        <f t="shared" si="1695"/>
        <v>482.96671316469252</v>
      </c>
      <c r="J10262" s="297">
        <f t="shared" si="1696"/>
        <v>706.28571428571433</v>
      </c>
      <c r="K10262" s="297">
        <f>J10262/POBLA!$B$13*100000</f>
        <v>35.485717214147257</v>
      </c>
      <c r="L10262" s="68">
        <f t="shared" si="1693"/>
        <v>0.16795691686300906</v>
      </c>
      <c r="M10262" s="401">
        <f>SUM(C10262,C10238,C10214,C10190,C10166,C10142,C10118)/POBLA!$B$13*100000</f>
        <v>248.40002049903083</v>
      </c>
    </row>
    <row r="10263" spans="1:17" s="360" customFormat="1" x14ac:dyDescent="0.25">
      <c r="A10263" s="367" t="s">
        <v>23</v>
      </c>
      <c r="B10263" s="2">
        <v>44320</v>
      </c>
      <c r="C10263" s="4">
        <v>82</v>
      </c>
      <c r="D10263" s="39">
        <f t="shared" si="1689"/>
        <v>16017</v>
      </c>
      <c r="E10263" s="1"/>
      <c r="F10263" s="39">
        <f t="shared" si="1694"/>
        <v>239</v>
      </c>
      <c r="G10263" s="168">
        <f>SUM(C10263,C10239,C10215,C10191,C10167,C10143,C10119,C10095,C10071,C10047,C10023,C9999,C9975,C9951)/POBLA!$B$14*100000</f>
        <v>121.70041243358013</v>
      </c>
      <c r="H10263" s="256">
        <f t="shared" si="1692"/>
        <v>0.82173447537473232</v>
      </c>
      <c r="I10263" s="297">
        <f t="shared" si="1695"/>
        <v>100.00542456399651</v>
      </c>
      <c r="J10263" s="297">
        <f t="shared" si="1696"/>
        <v>104.42857142857143</v>
      </c>
      <c r="K10263" s="297">
        <f>J10263/POBLA!$B$14*100000</f>
        <v>8.2794789659327197</v>
      </c>
      <c r="L10263" s="68">
        <f t="shared" si="1693"/>
        <v>9.079601990049746E-2</v>
      </c>
      <c r="M10263" s="401">
        <f>SUM(C10263,C10239,C10215,C10191,C10167,C10143,C10119)/POBLA!$B$14*100000</f>
        <v>57.956352761529025</v>
      </c>
    </row>
    <row r="10264" spans="1:17" s="360" customFormat="1" x14ac:dyDescent="0.25">
      <c r="A10264" s="367" t="s">
        <v>19</v>
      </c>
      <c r="B10264" s="2">
        <v>44320</v>
      </c>
      <c r="C10264" s="4">
        <v>531</v>
      </c>
      <c r="D10264" s="39">
        <f t="shared" si="1689"/>
        <v>72465</v>
      </c>
      <c r="E10264" s="1">
        <v>2</v>
      </c>
      <c r="F10264" s="39">
        <f t="shared" si="1694"/>
        <v>1082</v>
      </c>
      <c r="G10264" s="168">
        <f>SUM(C10264,C10240,C10216,C10192,C10168,C10144,C10120,C10096,C10072,C10048,C10024,C10000,C9976,C9952)/POBLA!$B$15*100000</f>
        <v>639.10176385460886</v>
      </c>
      <c r="H10264" s="256">
        <f t="shared" si="1692"/>
        <v>1.7967823878069433</v>
      </c>
      <c r="I10264" s="297">
        <f t="shared" si="1695"/>
        <v>1148.3267933103134</v>
      </c>
      <c r="J10264" s="297">
        <f t="shared" si="1696"/>
        <v>343.14285714285717</v>
      </c>
      <c r="K10264" s="297">
        <f>J10264/POBLA!$B$15*100000</f>
        <v>51.673705290789371</v>
      </c>
      <c r="L10264" s="68">
        <f t="shared" si="1693"/>
        <v>-0.30401737242128113</v>
      </c>
      <c r="M10264" s="401">
        <f>SUM(C10264,C10240,C10216,C10192,C10168,C10144,C10120)/POBLA!$B$15*100000</f>
        <v>361.71593703552554</v>
      </c>
    </row>
    <row r="10265" spans="1:17" s="360" customFormat="1" x14ac:dyDescent="0.25">
      <c r="A10265" s="367" t="s">
        <v>18</v>
      </c>
      <c r="B10265" s="2">
        <v>44320</v>
      </c>
      <c r="C10265" s="4">
        <v>330</v>
      </c>
      <c r="D10265" s="39">
        <f t="shared" si="1689"/>
        <v>62376</v>
      </c>
      <c r="E10265" s="1">
        <v>5</v>
      </c>
      <c r="F10265" s="39">
        <f t="shared" si="1694"/>
        <v>1376</v>
      </c>
      <c r="G10265" s="168">
        <f>SUM(C10265,C10241,C10217,C10193,C10169,C10145,C10121,C10097,C10073,C10049,C10025,C10001,C9977,C9953)/POBLA!$B$16*100000</f>
        <v>500.9296290846832</v>
      </c>
      <c r="H10265" s="256">
        <f t="shared" si="1692"/>
        <v>1.4749901536037811</v>
      </c>
      <c r="I10265" s="297">
        <f t="shared" si="1695"/>
        <v>738.86627054830194</v>
      </c>
      <c r="J10265" s="297">
        <f t="shared" si="1696"/>
        <v>268.14285714285717</v>
      </c>
      <c r="K10265" s="297">
        <f>J10265/POBLA!$B$16*100000</f>
        <v>35.866676093532341</v>
      </c>
      <c r="L10265" s="68">
        <f t="shared" si="1693"/>
        <v>-4.8179871520341866E-3</v>
      </c>
      <c r="M10265" s="401">
        <f>SUM(C10265,C10241,C10217,C10193,C10169,C10145,C10121)/POBLA!$B$16*100000</f>
        <v>251.06673265472639</v>
      </c>
    </row>
    <row r="10266" spans="1:17" s="360" customFormat="1" x14ac:dyDescent="0.25">
      <c r="A10266" s="367" t="s">
        <v>34</v>
      </c>
      <c r="B10266" s="2">
        <v>44320</v>
      </c>
      <c r="C10266" s="4">
        <v>212</v>
      </c>
      <c r="D10266" s="39">
        <f t="shared" si="1689"/>
        <v>35318</v>
      </c>
      <c r="E10266" s="1">
        <v>7</v>
      </c>
      <c r="F10266" s="39">
        <f t="shared" si="1694"/>
        <v>1290</v>
      </c>
      <c r="G10266" s="168">
        <f>SUM(C10266,C10242,C10218,C10194,C10170,C10146,C10122,C10098,C10074,C10050,C10026,C10002,C9978,C9954)/POBLA!$B$17*100000</f>
        <v>182.88440652430467</v>
      </c>
      <c r="H10266" s="256">
        <f t="shared" ref="H10266:H10289" si="1697">SUM(C10266,C10242,C10218,C10194,C10170,C10146,C10122,C10098,C10074,C10050,C10026,C10002,C9978,C9954)/SUM(C9930,C9906,C9882,C9858,C9834,C9810,C9786,C9762,C9738,C9714,C9690,C9666,C9642,C9618)</f>
        <v>0.98562239878925462</v>
      </c>
      <c r="I10266" s="297">
        <f t="shared" si="1695"/>
        <v>180.25496745963437</v>
      </c>
      <c r="J10266" s="297">
        <f t="shared" si="1696"/>
        <v>182.14285714285714</v>
      </c>
      <c r="K10266" s="297">
        <f>J10266/POBLA!$B$17*100000</f>
        <v>12.787365962077788</v>
      </c>
      <c r="L10266" s="68">
        <f t="shared" si="1693"/>
        <v>4.1353383458646586E-2</v>
      </c>
      <c r="M10266" s="401">
        <f>SUM(C10266,C10242,C10218,C10194,C10170,C10146,C10122)/POBLA!$B$17*100000</f>
        <v>89.511561734544514</v>
      </c>
      <c r="P10266" s="438"/>
      <c r="Q10266" s="438"/>
    </row>
    <row r="10267" spans="1:17" s="360" customFormat="1" x14ac:dyDescent="0.25">
      <c r="A10267" s="367" t="s">
        <v>35</v>
      </c>
      <c r="B10267" s="2">
        <v>44320</v>
      </c>
      <c r="C10267" s="4">
        <v>424</v>
      </c>
      <c r="D10267" s="39">
        <f t="shared" si="1689"/>
        <v>24477</v>
      </c>
      <c r="E10267" s="1">
        <v>6</v>
      </c>
      <c r="F10267" s="39">
        <f t="shared" si="1694"/>
        <v>291</v>
      </c>
      <c r="G10267" s="168">
        <f>SUM(C10267,C10243,C10219,C10195,C10171,C10147,C10123,C10099,C10075,C10051,C10027,C10003,C9979,C9955)/POBLA!$B$18*100000</f>
        <v>485.14049233439624</v>
      </c>
      <c r="H10267" s="256">
        <f t="shared" si="1697"/>
        <v>1.3463587921847247</v>
      </c>
      <c r="I10267" s="297">
        <f t="shared" si="1695"/>
        <v>653.17316729924039</v>
      </c>
      <c r="J10267" s="297">
        <f t="shared" si="1696"/>
        <v>256.85714285714283</v>
      </c>
      <c r="K10267" s="297">
        <f>J10267/POBLA!$B$18*100000</f>
        <v>32.879103099029187</v>
      </c>
      <c r="L10267" s="68">
        <f t="shared" si="1693"/>
        <v>9.7389558232931717E-2</v>
      </c>
      <c r="M10267" s="401">
        <f>SUM(C10267,C10243,C10219,C10195,C10171,C10147,C10123)/POBLA!$B$18*100000</f>
        <v>230.15372169320432</v>
      </c>
    </row>
    <row r="10268" spans="1:17" s="360" customFormat="1" x14ac:dyDescent="0.25">
      <c r="A10268" s="367" t="s">
        <v>36</v>
      </c>
      <c r="B10268" s="2">
        <v>44320</v>
      </c>
      <c r="C10268" s="4">
        <v>474</v>
      </c>
      <c r="D10268" s="39">
        <f t="shared" si="1689"/>
        <v>39313</v>
      </c>
      <c r="E10268" s="1">
        <v>14</v>
      </c>
      <c r="F10268" s="39">
        <f t="shared" si="1694"/>
        <v>511</v>
      </c>
      <c r="G10268" s="168">
        <f>SUM(C10268,C10244,C10220,C10196,C10172,C10148,C10124,C10100,C10076,C10052,C10028,C10004,C9980,C9956)/POBLA!$B$19*100000</f>
        <v>1599.7544892274282</v>
      </c>
      <c r="H10268" s="256">
        <f t="shared" si="1697"/>
        <v>1.1800899724278044</v>
      </c>
      <c r="I10268" s="297">
        <f t="shared" si="1695"/>
        <v>1887.8542310836522</v>
      </c>
      <c r="J10268" s="297">
        <f t="shared" si="1696"/>
        <v>494</v>
      </c>
      <c r="K10268" s="297">
        <f>J10268/POBLA!$B$19*100000</f>
        <v>97.181347476432535</v>
      </c>
      <c r="L10268" s="68">
        <f t="shared" si="1693"/>
        <v>0.26016260162601623</v>
      </c>
      <c r="M10268" s="401">
        <f>SUM(C10268,C10244,C10220,C10196,C10172,C10148,C10124)/POBLA!$B$19*100000</f>
        <v>680.26943233502777</v>
      </c>
    </row>
    <row r="10269" spans="1:17" s="360" customFormat="1" x14ac:dyDescent="0.25">
      <c r="A10269" s="367" t="s">
        <v>37</v>
      </c>
      <c r="B10269" s="2">
        <v>44320</v>
      </c>
      <c r="C10269" s="4">
        <v>226</v>
      </c>
      <c r="D10269" s="39">
        <f t="shared" si="1689"/>
        <v>45425</v>
      </c>
      <c r="E10269" s="1">
        <v>5</v>
      </c>
      <c r="F10269" s="39">
        <f t="shared" si="1694"/>
        <v>722</v>
      </c>
      <c r="G10269" s="168">
        <f>SUM(C10269,C10245,C10221,C10197,C10173,C10149,C10125,C10101,C10077,C10053,C10029,C10005,C9981,C9957)/POBLA!$B$20*100000</f>
        <v>746.24416868563685</v>
      </c>
      <c r="H10269" s="256">
        <f t="shared" si="1697"/>
        <v>1.0664322000781554</v>
      </c>
      <c r="I10269" s="297">
        <f t="shared" si="1695"/>
        <v>795.81881060691785</v>
      </c>
      <c r="J10269" s="297">
        <f t="shared" si="1696"/>
        <v>196.14285714285714</v>
      </c>
      <c r="K10269" s="297">
        <f>J10269/POBLA!$B$20*100000</f>
        <v>53.635200942541971</v>
      </c>
      <c r="L10269" s="68">
        <f t="shared" si="1693"/>
        <v>-1.2536873156342221E-2</v>
      </c>
      <c r="M10269" s="401">
        <f>SUM(C10269,C10245,C10221,C10197,C10173,C10149,C10125)/POBLA!$B$20*100000</f>
        <v>375.44640659779384</v>
      </c>
    </row>
    <row r="10270" spans="1:17" s="360" customFormat="1" x14ac:dyDescent="0.25">
      <c r="A10270" s="367" t="s">
        <v>22</v>
      </c>
      <c r="B10270" s="2">
        <v>44320</v>
      </c>
      <c r="C10270" s="4">
        <v>2258</v>
      </c>
      <c r="D10270" s="39">
        <f t="shared" si="1689"/>
        <v>280214</v>
      </c>
      <c r="E10270" s="1">
        <v>41</v>
      </c>
      <c r="F10270" s="39">
        <f t="shared" si="1694"/>
        <v>4723</v>
      </c>
      <c r="G10270" s="168">
        <f>SUM(C10270,C10246,C10222,C10198,C10174,C10150,C10126,C10102,C10078,C10054,C10030,C10006,C9982,C9958)/POBLA!$B$21*100000</f>
        <v>676.95617429840024</v>
      </c>
      <c r="H10270" s="256">
        <f t="shared" si="1697"/>
        <v>1.1771647735654227</v>
      </c>
      <c r="I10270" s="297">
        <f t="shared" si="1695"/>
        <v>796.88896163169113</v>
      </c>
      <c r="J10270" s="297">
        <f t="shared" si="1696"/>
        <v>1716</v>
      </c>
      <c r="K10270" s="297">
        <f>J10270/POBLA!$B$21*100000</f>
        <v>48.523675651464274</v>
      </c>
      <c r="L10270" s="68">
        <f t="shared" si="1693"/>
        <v>-7.0422535211267512E-3</v>
      </c>
      <c r="M10270" s="401">
        <f>SUM(C10270,C10246,C10222,C10198,C10174,C10150,C10126)/POBLA!$B$21*100000</f>
        <v>339.66572956024993</v>
      </c>
    </row>
    <row r="10271" spans="1:17" s="360" customFormat="1" x14ac:dyDescent="0.25">
      <c r="A10271" s="367" t="s">
        <v>38</v>
      </c>
      <c r="B10271" s="2">
        <v>44320</v>
      </c>
      <c r="C10271" s="4">
        <v>139</v>
      </c>
      <c r="D10271" s="39">
        <f t="shared" si="1689"/>
        <v>31307</v>
      </c>
      <c r="E10271" s="1">
        <v>3</v>
      </c>
      <c r="F10271" s="39">
        <f t="shared" si="1694"/>
        <v>361</v>
      </c>
      <c r="G10271" s="168">
        <f>SUM(C10271,C10247,C10223,C10199,C10175,C10151,C10127,C10103,C10079,C10055,C10031,C10007,C9983,C9959)/POBLA!$B$22*100000</f>
        <v>281.60721568659517</v>
      </c>
      <c r="H10271" s="256">
        <f t="shared" si="1697"/>
        <v>1.0241635687732342</v>
      </c>
      <c r="I10271" s="297">
        <f t="shared" si="1695"/>
        <v>288.41185100987724</v>
      </c>
      <c r="J10271" s="297">
        <f t="shared" si="1696"/>
        <v>182.71428571428572</v>
      </c>
      <c r="K10271" s="297">
        <f>J10271/POBLA!$B$22*100000</f>
        <v>18.676465069388399</v>
      </c>
      <c r="L10271" s="68">
        <f t="shared" si="1693"/>
        <v>0.13346883468834692</v>
      </c>
      <c r="M10271" s="401">
        <f>SUM(C10271,C10247,C10223,C10199,C10175,C10151,C10127)/POBLA!$B$22*100000</f>
        <v>130.7352554857188</v>
      </c>
    </row>
    <row r="10272" spans="1:17" s="360" customFormat="1" x14ac:dyDescent="0.25">
      <c r="A10272" s="367" t="s">
        <v>39</v>
      </c>
      <c r="B10272" s="2">
        <v>44320</v>
      </c>
      <c r="C10272" s="4">
        <v>76</v>
      </c>
      <c r="D10272" s="39">
        <f t="shared" si="1689"/>
        <v>26655</v>
      </c>
      <c r="E10272" s="1">
        <v>1</v>
      </c>
      <c r="F10272" s="39">
        <f t="shared" si="1694"/>
        <v>391</v>
      </c>
      <c r="G10272" s="168">
        <f>SUM(C10272,C10248,C10224,C10200,C10176,C10152,C10128,C10104,C10080,C10056,C10032,C10008,C9984,C9960)/POBLA!$B$23*100000</f>
        <v>600.01131029802639</v>
      </c>
      <c r="H10272" s="256">
        <f t="shared" si="1697"/>
        <v>0.91861471861471866</v>
      </c>
      <c r="I10272" s="297">
        <f t="shared" si="1695"/>
        <v>551.17922097507017</v>
      </c>
      <c r="J10272" s="297">
        <f t="shared" si="1696"/>
        <v>68.857142857142861</v>
      </c>
      <c r="K10272" s="297">
        <f>J10272/POBLA!$B$23*100000</f>
        <v>38.939740347872451</v>
      </c>
      <c r="L10272" s="68">
        <f t="shared" si="1693"/>
        <v>0.16753022452504318</v>
      </c>
      <c r="M10272" s="401">
        <f>SUM(C10272,C10248,C10224,C10200,C10176,C10152,C10128)/POBLA!$B$23*100000</f>
        <v>272.57818243510718</v>
      </c>
    </row>
    <row r="10273" spans="1:13" s="360" customFormat="1" ht="15.75" thickBot="1" x14ac:dyDescent="0.3">
      <c r="A10273" s="368" t="s">
        <v>40</v>
      </c>
      <c r="B10273" s="34">
        <v>44320</v>
      </c>
      <c r="C10273" s="27">
        <v>884</v>
      </c>
      <c r="D10273" s="67">
        <f t="shared" si="1689"/>
        <v>108231</v>
      </c>
      <c r="E10273" s="232">
        <v>10</v>
      </c>
      <c r="F10273" s="67">
        <f t="shared" si="1694"/>
        <v>1669</v>
      </c>
      <c r="G10273" s="255">
        <f>SUM(C10273,C10249,C10225,C10201,C10177,C10153,C10129,C10105,C10081,C10057,C10033,C10009,C9985,C9961)/POBLA!$B$24*100000</f>
        <v>528.54384606669441</v>
      </c>
      <c r="H10273" s="257">
        <f t="shared" si="1697"/>
        <v>0.99005195092295784</v>
      </c>
      <c r="I10273" s="299">
        <f t="shared" si="1695"/>
        <v>523.28586594665433</v>
      </c>
      <c r="J10273" s="299">
        <f t="shared" si="1696"/>
        <v>599.14285714285711</v>
      </c>
      <c r="K10273" s="299">
        <f>J10273/POBLA!$B$24*100000</f>
        <v>35.354836447211532</v>
      </c>
      <c r="L10273" s="68">
        <f t="shared" si="1693"/>
        <v>0.11946252361956755</v>
      </c>
      <c r="M10273" s="406">
        <f>SUM(C10273,C10249,C10225,C10201,C10177,C10153,C10129)/POBLA!$B$24*100000</f>
        <v>247.48385513048075</v>
      </c>
    </row>
    <row r="10274" spans="1:13" s="360" customFormat="1" x14ac:dyDescent="0.25">
      <c r="A10274" s="363" t="s">
        <v>16</v>
      </c>
      <c r="B10274" s="265">
        <v>44321</v>
      </c>
      <c r="C10274" s="43">
        <v>10883</v>
      </c>
      <c r="D10274" s="174">
        <f t="shared" si="1689"/>
        <v>1342637</v>
      </c>
      <c r="E10274" s="43">
        <v>352</v>
      </c>
      <c r="F10274" s="174">
        <f t="shared" ref="F10274:F10297" si="1698">E10274+F10250</f>
        <v>33996</v>
      </c>
      <c r="G10274" s="175">
        <f>SUM(C10274,C10250,C10226,C10202,C10178,C10154,C10130,C10106,C10082,C10058,C10034,C10010,C9986,C9962)/POBLA!$B$1*100000</f>
        <v>809.04657228398082</v>
      </c>
      <c r="H10274" s="300">
        <f t="shared" si="1697"/>
        <v>0.8718966375248054</v>
      </c>
      <c r="I10274" s="301">
        <f>G10274*H10274</f>
        <v>705.40498597537226</v>
      </c>
      <c r="J10274" s="301">
        <f>AVERAGE(C10274,C10250,C10226,C10202,C10178,C10154,C10130)</f>
        <v>9343.8571428571431</v>
      </c>
      <c r="K10274" s="301">
        <f>J10274/POBLA!$B$1*100000</f>
        <v>53.268240320610516</v>
      </c>
      <c r="L10274" s="68">
        <f t="shared" si="1693"/>
        <v>0.14510711158164402</v>
      </c>
      <c r="M10274" s="400">
        <f>SUM(C10274,C10250,C10226,C10202,C10178,C10154,C10130)/POBLA!$B$1*100000</f>
        <v>372.87768224427361</v>
      </c>
    </row>
    <row r="10275" spans="1:13" s="360" customFormat="1" x14ac:dyDescent="0.25">
      <c r="A10275" s="367" t="s">
        <v>43</v>
      </c>
      <c r="B10275" s="2">
        <v>44321</v>
      </c>
      <c r="C10275" s="1">
        <v>2138</v>
      </c>
      <c r="D10275" s="39">
        <f t="shared" si="1689"/>
        <v>353370</v>
      </c>
      <c r="E10275" s="1">
        <v>33</v>
      </c>
      <c r="F10275" s="39">
        <f t="shared" si="1698"/>
        <v>7972</v>
      </c>
      <c r="G10275" s="168">
        <f>SUM(C10275,C10251,C10227,C10203,C10179,C10155,C10131,C10107,C10083,C10059,C10035,C10011,C9987,C9963)/POBLA!$B$2*100000</f>
        <v>1223.6778875072098</v>
      </c>
      <c r="H10275" s="256">
        <f t="shared" si="1697"/>
        <v>0.93843660391472383</v>
      </c>
      <c r="I10275" s="297">
        <f t="shared" ref="I10275:I10297" si="1699">G10275*H10275</f>
        <v>1148.3441210378094</v>
      </c>
      <c r="J10275" s="297">
        <f t="shared" ref="J10275:J10297" si="1700">AVERAGE(C10275,C10251,C10227,C10203,C10179,C10155,C10131)</f>
        <v>2417.5714285714284</v>
      </c>
      <c r="K10275" s="297">
        <f>J10275/POBLA!$B$2*100000</f>
        <v>78.603695892551627</v>
      </c>
      <c r="L10275" s="68">
        <f t="shared" si="1693"/>
        <v>0.18297687442668853</v>
      </c>
      <c r="M10275" s="401">
        <f>SUM(C10275,C10251,C10227,C10203,C10179,C10155,C10131)/POBLA!$B$2*100000</f>
        <v>550.22587124786151</v>
      </c>
    </row>
    <row r="10276" spans="1:13" s="360" customFormat="1" x14ac:dyDescent="0.25">
      <c r="A10276" s="367" t="s">
        <v>28</v>
      </c>
      <c r="B10276" s="2">
        <v>44321</v>
      </c>
      <c r="C10276" s="1">
        <v>195</v>
      </c>
      <c r="D10276" s="39">
        <f t="shared" si="1689"/>
        <v>15551</v>
      </c>
      <c r="E10276" s="1">
        <v>40</v>
      </c>
      <c r="F10276" s="39">
        <f t="shared" si="1698"/>
        <v>75</v>
      </c>
      <c r="G10276" s="168">
        <f>SUM(C10276,C10252,C10228,C10204,C10180,C10156,C10132,C10108,C10084,C10060,C10036,C10012,C9988,C9964)/POBLA!$B$3*100000</f>
        <v>535.82002609294284</v>
      </c>
      <c r="H10276" s="256">
        <f t="shared" si="1697"/>
        <v>1.0076957899502037</v>
      </c>
      <c r="I10276" s="297">
        <f t="shared" si="1699"/>
        <v>539.94358446486683</v>
      </c>
      <c r="J10276" s="297">
        <f t="shared" si="1700"/>
        <v>142.28571428571428</v>
      </c>
      <c r="K10276" s="297">
        <f>J10276/POBLA!$B$3*100000</f>
        <v>34.249566550415295</v>
      </c>
      <c r="L10276" s="68">
        <f t="shared" si="1693"/>
        <v>0.19024390243902434</v>
      </c>
      <c r="M10276" s="401">
        <f>SUM(C10276,C10252,C10228,C10204,C10180,C10156,C10132)/POBLA!$B$3*100000</f>
        <v>239.74696585290704</v>
      </c>
    </row>
    <row r="10277" spans="1:13" s="360" customFormat="1" x14ac:dyDescent="0.25">
      <c r="A10277" s="367" t="s">
        <v>15</v>
      </c>
      <c r="B10277" s="2">
        <v>44321</v>
      </c>
      <c r="C10277" s="1">
        <v>334</v>
      </c>
      <c r="D10277" s="39">
        <f t="shared" si="1689"/>
        <v>45994</v>
      </c>
      <c r="E10277" s="1">
        <v>7</v>
      </c>
      <c r="F10277" s="39">
        <f t="shared" si="1698"/>
        <v>1065</v>
      </c>
      <c r="G10277" s="168">
        <f>SUM(C10277,C10253,C10229,C10205,C10181,C10157,C10133,C10109,C10085,C10061,C10037,C10013,C9989,C9965)/POBLA!$B$4*100000</f>
        <v>267.8198583526837</v>
      </c>
      <c r="H10277" s="256">
        <f t="shared" si="1697"/>
        <v>0.99445129469790383</v>
      </c>
      <c r="I10277" s="297">
        <f t="shared" si="1699"/>
        <v>266.33380488463553</v>
      </c>
      <c r="J10277" s="297">
        <f t="shared" si="1700"/>
        <v>256.14285714285717</v>
      </c>
      <c r="K10277" s="297">
        <f>J10277/POBLA!$B$4*100000</f>
        <v>21.264768666476041</v>
      </c>
      <c r="L10277" s="68">
        <f t="shared" si="1693"/>
        <v>-0.25122121423586874</v>
      </c>
      <c r="M10277" s="401">
        <f>SUM(C10277,C10253,C10229,C10205,C10181,C10157,C10133)/POBLA!$B$4*100000</f>
        <v>148.85338066533228</v>
      </c>
    </row>
    <row r="10278" spans="1:13" s="360" customFormat="1" x14ac:dyDescent="0.25">
      <c r="A10278" s="367" t="s">
        <v>29</v>
      </c>
      <c r="B10278" s="2">
        <v>44321</v>
      </c>
      <c r="C10278" s="1">
        <v>312</v>
      </c>
      <c r="D10278" s="39">
        <f t="shared" si="1689"/>
        <v>55652</v>
      </c>
      <c r="E10278" s="1"/>
      <c r="F10278" s="39">
        <f t="shared" si="1698"/>
        <v>930</v>
      </c>
      <c r="G10278" s="168">
        <f>SUM(C10278,C10254,C10230,C10206,C10182,C10158,C10134,C10110,C10086,C10062,C10038,C10014,C9990,C9966)/POBLA!$B$5*100000</f>
        <v>390.14917753645432</v>
      </c>
      <c r="H10278" s="256">
        <f t="shared" si="1697"/>
        <v>1.0058309037900874</v>
      </c>
      <c r="I10278" s="297">
        <f t="shared" si="1699"/>
        <v>392.42409985445113</v>
      </c>
      <c r="J10278" s="297">
        <f t="shared" si="1700"/>
        <v>161.57142857142858</v>
      </c>
      <c r="K10278" s="297">
        <f>J10278/POBLA!$B$5*100000</f>
        <v>26.102260857363493</v>
      </c>
      <c r="L10278" s="68">
        <f t="shared" si="1693"/>
        <v>0.11915887850467288</v>
      </c>
      <c r="M10278" s="401">
        <f>SUM(C10278,C10254,C10230,C10206,C10182,C10158,C10134)/POBLA!$B$5*100000</f>
        <v>182.71582600154446</v>
      </c>
    </row>
    <row r="10279" spans="1:13" s="360" customFormat="1" x14ac:dyDescent="0.25">
      <c r="A10279" s="367" t="s">
        <v>30</v>
      </c>
      <c r="B10279" s="2">
        <v>44321</v>
      </c>
      <c r="C10279" s="1">
        <v>136</v>
      </c>
      <c r="D10279" s="39">
        <f t="shared" si="1689"/>
        <v>38357</v>
      </c>
      <c r="E10279" s="1">
        <v>9</v>
      </c>
      <c r="F10279" s="39">
        <f t="shared" si="1698"/>
        <v>507</v>
      </c>
      <c r="G10279" s="168">
        <f>SUM(C10279,C10255,C10231,C10207,C10183,C10159,C10135,C10111,C10087,C10063,C10039,C10015,C9991,C9967)/POBLA!$B$6*100000</f>
        <v>268.46871121635331</v>
      </c>
      <c r="H10279" s="256">
        <f t="shared" si="1697"/>
        <v>0.85580204778156999</v>
      </c>
      <c r="I10279" s="297">
        <f t="shared" si="1699"/>
        <v>229.75607282423411</v>
      </c>
      <c r="J10279" s="297">
        <f t="shared" si="1700"/>
        <v>167.14285714285714</v>
      </c>
      <c r="K10279" s="297">
        <f>J10279/POBLA!$B$6*100000</f>
        <v>14.912804069844437</v>
      </c>
      <c r="L10279" s="68">
        <f t="shared" si="1693"/>
        <v>0.36378466557911904</v>
      </c>
      <c r="M10279" s="401">
        <f>SUM(C10279,C10255,C10231,C10207,C10183,C10159,C10135)/POBLA!$B$6*100000</f>
        <v>104.38962848891104</v>
      </c>
    </row>
    <row r="10280" spans="1:13" s="360" customFormat="1" x14ac:dyDescent="0.25">
      <c r="A10280" s="367" t="s">
        <v>20</v>
      </c>
      <c r="B10280" s="2">
        <v>44321</v>
      </c>
      <c r="C10280" s="1">
        <v>1810</v>
      </c>
      <c r="D10280" s="39">
        <f t="shared" si="1689"/>
        <v>234381</v>
      </c>
      <c r="E10280" s="1">
        <v>21</v>
      </c>
      <c r="F10280" s="39">
        <f t="shared" si="1698"/>
        <v>3466</v>
      </c>
      <c r="G10280" s="168">
        <f>SUM(C10280,C10256,C10232,C10208,C10184,C10160,C10136,C10112,C10088,C10064,C10040,C10016,C9992,C9968)/POBLA!$B$7*100000</f>
        <v>574.39934050446095</v>
      </c>
      <c r="H10280" s="256">
        <f t="shared" si="1697"/>
        <v>0.90312330141740182</v>
      </c>
      <c r="I10280" s="297">
        <f t="shared" si="1699"/>
        <v>518.75342872836711</v>
      </c>
      <c r="J10280" s="297">
        <f t="shared" si="1700"/>
        <v>1574.2857142857142</v>
      </c>
      <c r="K10280" s="297">
        <f>J10280/POBLA!$B$7*100000</f>
        <v>41.864290557930943</v>
      </c>
      <c r="L10280" s="68">
        <f t="shared" si="1693"/>
        <v>-4.1587901701323204E-2</v>
      </c>
      <c r="M10280" s="401">
        <f>SUM(C10280,C10256,C10232,C10208,C10184,C10160,C10136)/POBLA!$B$7*100000</f>
        <v>293.05003390551661</v>
      </c>
    </row>
    <row r="10281" spans="1:13" x14ac:dyDescent="0.25">
      <c r="A10281" s="367" t="s">
        <v>31</v>
      </c>
      <c r="B10281" s="2">
        <v>44321</v>
      </c>
      <c r="C10281" s="1">
        <v>844</v>
      </c>
      <c r="D10281" s="39">
        <f t="shared" si="1689"/>
        <v>65273</v>
      </c>
      <c r="E10281" s="1">
        <v>3</v>
      </c>
      <c r="F10281" s="39">
        <f t="shared" si="1698"/>
        <v>1087</v>
      </c>
      <c r="G10281" s="168">
        <f>SUM(C10281,C10257,C10233,C10209,C10185,C10161,C10137,C10113,C10089,C10065,C10041,C10017,C9993,C9969)/POBLA!$B$8*100000</f>
        <v>534.71923091631004</v>
      </c>
      <c r="H10281" s="256">
        <f t="shared" si="1697"/>
        <v>1.1709590772633907</v>
      </c>
      <c r="I10281" s="297">
        <f t="shared" si="1699"/>
        <v>626.13433722875232</v>
      </c>
      <c r="J10281" s="297">
        <f t="shared" si="1700"/>
        <v>522.71428571428567</v>
      </c>
      <c r="K10281" s="297">
        <f>J10281/POBLA!$B$8*100000</f>
        <v>37.714934670909621</v>
      </c>
      <c r="L10281" s="68">
        <f t="shared" si="1693"/>
        <v>2.4786780383795337E-2</v>
      </c>
      <c r="M10281" s="401">
        <f>SUM(C10281,C10257,C10233,C10209,C10185,C10161,C10137)/POBLA!$B$8*100000</f>
        <v>264.00454269636737</v>
      </c>
    </row>
    <row r="10282" spans="1:13" s="360" customFormat="1" x14ac:dyDescent="0.25">
      <c r="A10282" s="367" t="s">
        <v>41</v>
      </c>
      <c r="B10282" s="2">
        <v>44321</v>
      </c>
      <c r="C10282" s="1">
        <v>295</v>
      </c>
      <c r="D10282" s="39">
        <f t="shared" si="1689"/>
        <v>5086</v>
      </c>
      <c r="E10282" s="1"/>
      <c r="F10282" s="39">
        <f t="shared" si="1698"/>
        <v>103</v>
      </c>
      <c r="G10282" s="168">
        <f>SUM(C10282,C10258,C10234,C10210,C10186,C10162,C10138,C10114,C10090,C10066,C10042,C10018,C9994,C9970)/POBLA!$B$9*100000</f>
        <v>223.39980799513543</v>
      </c>
      <c r="H10282" s="256">
        <f t="shared" si="1697"/>
        <v>1.1219917012448133</v>
      </c>
      <c r="I10282" s="297">
        <f t="shared" si="1699"/>
        <v>250.65273063022664</v>
      </c>
      <c r="J10282" s="297">
        <f t="shared" si="1700"/>
        <v>83.428571428571431</v>
      </c>
      <c r="K10282" s="297">
        <f>J10282/POBLA!$B$9*100000</f>
        <v>13.785448845008357</v>
      </c>
      <c r="L10282" s="68">
        <f t="shared" si="1693"/>
        <v>0.23958333333333337</v>
      </c>
      <c r="M10282" s="401">
        <f>SUM(C10282,C10258,C10234,C10210,C10186,C10162,C10138)/POBLA!$B$9*100000</f>
        <v>96.498141915058511</v>
      </c>
    </row>
    <row r="10283" spans="1:13" s="360" customFormat="1" x14ac:dyDescent="0.25">
      <c r="A10283" s="367" t="s">
        <v>32</v>
      </c>
      <c r="B10283" s="2">
        <v>44321</v>
      </c>
      <c r="C10283" s="1">
        <v>82</v>
      </c>
      <c r="D10283" s="39">
        <f t="shared" si="1689"/>
        <v>25290</v>
      </c>
      <c r="E10283" s="1">
        <v>4</v>
      </c>
      <c r="F10283" s="39">
        <f t="shared" si="1698"/>
        <v>1046</v>
      </c>
      <c r="G10283" s="168">
        <f>SUM(C10283,C10259,C10235,C10211,C10187,C10163,C10139,C10115,C10091,C10067,C10043,C10019,C9995,C9971)/POBLA!$B$10*100000</f>
        <v>168.24905530166134</v>
      </c>
      <c r="H10283" s="256">
        <f t="shared" si="1697"/>
        <v>1.1076003415883859</v>
      </c>
      <c r="I10283" s="297">
        <f t="shared" si="1699"/>
        <v>186.35271112404334</v>
      </c>
      <c r="J10283" s="297">
        <f t="shared" si="1700"/>
        <v>91.428571428571431</v>
      </c>
      <c r="K10283" s="297">
        <f>J10283/POBLA!$B$10*100000</f>
        <v>11.860270447523213</v>
      </c>
      <c r="L10283" s="68">
        <f t="shared" si="1693"/>
        <v>2.5875190258751957E-2</v>
      </c>
      <c r="M10283" s="401">
        <f>SUM(C10283,C10259,C10235,C10211,C10187,C10163,C10139)/POBLA!$B$10*100000</f>
        <v>83.021893132662498</v>
      </c>
    </row>
    <row r="10284" spans="1:13" s="360" customFormat="1" x14ac:dyDescent="0.25">
      <c r="A10284" s="367" t="s">
        <v>33</v>
      </c>
      <c r="B10284" s="2">
        <v>44321</v>
      </c>
      <c r="C10284" s="1">
        <v>386</v>
      </c>
      <c r="D10284" s="39">
        <f t="shared" si="1689"/>
        <v>28644</v>
      </c>
      <c r="E10284" s="1">
        <v>5</v>
      </c>
      <c r="F10284" s="39">
        <f t="shared" si="1698"/>
        <v>399</v>
      </c>
      <c r="G10284" s="168">
        <f>SUM(C10284,C10260,C10236,C10212,C10188,C10164,C10140,C10116,C10092,C10068,C10044,C10020,C9996,C9972)/POBLA!$B$11*100000</f>
        <v>1037.8653453413237</v>
      </c>
      <c r="H10284" s="256">
        <f t="shared" si="1697"/>
        <v>1.3070976809557273</v>
      </c>
      <c r="I10284" s="297">
        <f t="shared" si="1699"/>
        <v>1356.5913860399594</v>
      </c>
      <c r="J10284" s="297">
        <f t="shared" si="1700"/>
        <v>305.57142857142856</v>
      </c>
      <c r="K10284" s="297">
        <f>J10284/POBLA!$B$11*100000</f>
        <v>85.253224795894454</v>
      </c>
      <c r="L10284" s="68">
        <f t="shared" si="1693"/>
        <v>-0.35294117647058831</v>
      </c>
      <c r="M10284" s="401">
        <f>SUM(C10284,C10260,C10236,C10212,C10188,C10164,C10140)/POBLA!$B$11*100000</f>
        <v>596.7725735712612</v>
      </c>
    </row>
    <row r="10285" spans="1:13" s="360" customFormat="1" x14ac:dyDescent="0.25">
      <c r="A10285" s="367" t="s">
        <v>21</v>
      </c>
      <c r="B10285" s="2">
        <v>44321</v>
      </c>
      <c r="C10285" s="1">
        <v>76</v>
      </c>
      <c r="D10285" s="39">
        <f t="shared" si="1689"/>
        <v>13921</v>
      </c>
      <c r="E10285" s="1">
        <v>2</v>
      </c>
      <c r="F10285" s="39">
        <f t="shared" si="1698"/>
        <v>488</v>
      </c>
      <c r="G10285" s="168">
        <f>SUM(C10285,C10261,C10237,C10213,C10189,C10165,C10141,C10117,C10093,C10069,C10045,C10021,C9997,C9973)/POBLA!$B$12*100000</f>
        <v>292.98835415761403</v>
      </c>
      <c r="H10285" s="256">
        <f t="shared" si="1697"/>
        <v>0.99140154772141009</v>
      </c>
      <c r="I10285" s="297">
        <f t="shared" si="1699"/>
        <v>290.46910777620718</v>
      </c>
      <c r="J10285" s="297">
        <f t="shared" si="1700"/>
        <v>91.714285714285708</v>
      </c>
      <c r="K10285" s="297">
        <f>J10285/POBLA!$B$12*100000</f>
        <v>23.305479292428224</v>
      </c>
      <c r="L10285" s="68">
        <f t="shared" si="1693"/>
        <v>-0.25636007827788654</v>
      </c>
      <c r="M10285" s="401">
        <f>SUM(C10285,C10261,C10237,C10213,C10189,C10165,C10141)/POBLA!$B$12*100000</f>
        <v>163.13835504699756</v>
      </c>
    </row>
    <row r="10286" spans="1:13" s="360" customFormat="1" x14ac:dyDescent="0.25">
      <c r="A10286" s="367" t="s">
        <v>17</v>
      </c>
      <c r="B10286" s="2">
        <v>44321</v>
      </c>
      <c r="C10286" s="1">
        <v>973</v>
      </c>
      <c r="D10286" s="39">
        <f t="shared" si="1689"/>
        <v>99926</v>
      </c>
      <c r="E10286" s="1">
        <v>34</v>
      </c>
      <c r="F10286" s="39">
        <f t="shared" si="1698"/>
        <v>1923</v>
      </c>
      <c r="G10286" s="168">
        <f>SUM(C10286,C10262,C10238,C10214,C10190,C10166,C10142,C10118,C10094,C10070,C10046,C10022,C9998,C9974)/POBLA!$B$13*100000</f>
        <v>550.35878328203546</v>
      </c>
      <c r="H10286" s="256">
        <f t="shared" si="1697"/>
        <v>0.89581288845273144</v>
      </c>
      <c r="I10286" s="297">
        <f t="shared" si="1699"/>
        <v>493.018491337211</v>
      </c>
      <c r="J10286" s="297">
        <f t="shared" si="1700"/>
        <v>731.85714285714289</v>
      </c>
      <c r="K10286" s="297">
        <f>J10286/POBLA!$B$13*100000</f>
        <v>36.770495406164322</v>
      </c>
      <c r="L10286" s="68">
        <f t="shared" si="1693"/>
        <v>0.12141999657005664</v>
      </c>
      <c r="M10286" s="401">
        <f>SUM(C10286,C10262,C10238,C10214,C10190,C10166,C10142)/POBLA!$B$13*100000</f>
        <v>257.39346784315029</v>
      </c>
    </row>
    <row r="10287" spans="1:13" s="360" customFormat="1" x14ac:dyDescent="0.25">
      <c r="A10287" s="367" t="s">
        <v>23</v>
      </c>
      <c r="B10287" s="2">
        <v>44321</v>
      </c>
      <c r="C10287" s="1">
        <v>181</v>
      </c>
      <c r="D10287" s="39">
        <f t="shared" si="1689"/>
        <v>16198</v>
      </c>
      <c r="E10287" s="1"/>
      <c r="F10287" s="39">
        <f t="shared" si="1698"/>
        <v>239</v>
      </c>
      <c r="G10287" s="168">
        <f>SUM(C10287,C10263,C10239,C10215,C10191,C10167,C10143,C10119,C10095,C10071,C10047,C10023,C9999,C9975)/POBLA!$B$14*100000</f>
        <v>129.86662903335781</v>
      </c>
      <c r="H10287" s="256">
        <f t="shared" si="1697"/>
        <v>0.8878048780487805</v>
      </c>
      <c r="I10287" s="297">
        <f t="shared" si="1699"/>
        <v>115.29622675156645</v>
      </c>
      <c r="J10287" s="297">
        <f t="shared" si="1700"/>
        <v>119.57142857142857</v>
      </c>
      <c r="K10287" s="297">
        <f>J10287/POBLA!$B$14*100000</f>
        <v>9.4800600471760408</v>
      </c>
      <c r="L10287" s="68">
        <f t="shared" si="1693"/>
        <v>-4.4943820224719211E-2</v>
      </c>
      <c r="M10287" s="401">
        <f>SUM(C10287,C10263,C10239,C10215,C10191,C10167,C10143)/POBLA!$B$14*100000</f>
        <v>66.360420330232287</v>
      </c>
    </row>
    <row r="10288" spans="1:13" s="360" customFormat="1" x14ac:dyDescent="0.25">
      <c r="A10288" s="367" t="s">
        <v>19</v>
      </c>
      <c r="B10288" s="2">
        <v>44321</v>
      </c>
      <c r="C10288" s="1">
        <v>492</v>
      </c>
      <c r="D10288" s="39">
        <f t="shared" si="1689"/>
        <v>72957</v>
      </c>
      <c r="E10288" s="1"/>
      <c r="F10288" s="39">
        <f t="shared" si="1698"/>
        <v>1082</v>
      </c>
      <c r="G10288" s="168">
        <f>SUM(C10288,C10264,C10240,C10216,C10192,C10168,C10144,C10120,C10096,C10072,C10048,C10024,C10000,C9976)/POBLA!$B$15*100000</f>
        <v>681.41740844535934</v>
      </c>
      <c r="H10288" s="256">
        <f t="shared" si="1697"/>
        <v>1.893305439330544</v>
      </c>
      <c r="I10288" s="297">
        <f t="shared" si="1699"/>
        <v>1290.1312858641218</v>
      </c>
      <c r="J10288" s="297">
        <f t="shared" si="1700"/>
        <v>365.28571428571428</v>
      </c>
      <c r="K10288" s="297">
        <f>J10288/POBLA!$B$15*100000</f>
        <v>55.008186689653797</v>
      </c>
      <c r="L10288" s="68">
        <f t="shared" si="1693"/>
        <v>-0.29928861788617889</v>
      </c>
      <c r="M10288" s="401">
        <f>SUM(C10288,C10264,C10240,C10216,C10192,C10168,C10144)/POBLA!$B$15*100000</f>
        <v>385.05730682757655</v>
      </c>
    </row>
    <row r="10289" spans="1:13" s="360" customFormat="1" x14ac:dyDescent="0.25">
      <c r="A10289" s="367" t="s">
        <v>18</v>
      </c>
      <c r="B10289" s="2">
        <v>44321</v>
      </c>
      <c r="C10289" s="1">
        <v>377</v>
      </c>
      <c r="D10289" s="39">
        <f t="shared" si="1689"/>
        <v>62753</v>
      </c>
      <c r="E10289" s="1">
        <v>5</v>
      </c>
      <c r="F10289" s="39">
        <f t="shared" si="1698"/>
        <v>1381</v>
      </c>
      <c r="G10289" s="168">
        <f>SUM(C10289,C10265,C10241,C10217,C10193,C10169,C10145,C10121,C10097,C10073,C10049,C10025,C10001,C9977)/POBLA!$B$16*100000</f>
        <v>517.24829790933779</v>
      </c>
      <c r="H10289" s="256">
        <f t="shared" si="1697"/>
        <v>1.4521216672925272</v>
      </c>
      <c r="I10289" s="297">
        <f t="shared" si="1699"/>
        <v>751.1074607643294</v>
      </c>
      <c r="J10289" s="297">
        <f t="shared" si="1700"/>
        <v>276.28571428571428</v>
      </c>
      <c r="K10289" s="297">
        <f>J10289/POBLA!$B$16*100000</f>
        <v>36.955861249276268</v>
      </c>
      <c r="L10289" s="68">
        <f t="shared" si="1693"/>
        <v>-5.1733057423697382E-4</v>
      </c>
      <c r="M10289" s="401">
        <f>SUM(C10289,C10265,C10241,C10217,C10193,C10169,C10145)/POBLA!$B$16*100000</f>
        <v>258.69102874493387</v>
      </c>
    </row>
    <row r="10290" spans="1:13" s="360" customFormat="1" x14ac:dyDescent="0.25">
      <c r="A10290" s="367" t="s">
        <v>34</v>
      </c>
      <c r="B10290" s="2">
        <v>44321</v>
      </c>
      <c r="C10290" s="1">
        <v>309</v>
      </c>
      <c r="D10290" s="39">
        <f t="shared" si="1689"/>
        <v>35627</v>
      </c>
      <c r="E10290" s="1">
        <v>4</v>
      </c>
      <c r="F10290" s="39">
        <f t="shared" si="1698"/>
        <v>1294</v>
      </c>
      <c r="G10290" s="168">
        <f>SUM(C10290,C10266,C10242,C10218,C10194,C10170,C10146,C10122,C10098,C10074,C10050,C10026,C10002,C9978)/POBLA!$B$17*100000</f>
        <v>187.09671531181266</v>
      </c>
      <c r="H10290" s="256">
        <f t="shared" ref="H10290:H10313" si="1701">SUM(C10290,C10266,C10242,C10218,C10194,C10170,C10146,C10122,C10098,C10074,C10050,C10026,C10002,C9978)/SUM(C9954,C9930,C9906,C9882,C9858,C9834,C9810,C9786,C9762,C9738,C9714,C9690,C9666,C9642)</f>
        <v>0.98740274175620601</v>
      </c>
      <c r="I10290" s="297">
        <f t="shared" si="1699"/>
        <v>184.73980967246416</v>
      </c>
      <c r="J10290" s="297">
        <f t="shared" si="1700"/>
        <v>196</v>
      </c>
      <c r="K10290" s="297">
        <f>J10290/POBLA!$B$17*100000</f>
        <v>13.760208705859391</v>
      </c>
      <c r="L10290" s="68">
        <f t="shared" si="1693"/>
        <v>-6.1098221191028701E-2</v>
      </c>
      <c r="M10290" s="401">
        <f>SUM(C10290,C10266,C10242,C10218,C10194,C10170,C10146)/POBLA!$B$17*100000</f>
        <v>96.321460941015744</v>
      </c>
    </row>
    <row r="10291" spans="1:13" s="360" customFormat="1" x14ac:dyDescent="0.25">
      <c r="A10291" s="367" t="s">
        <v>35</v>
      </c>
      <c r="B10291" s="2">
        <v>44321</v>
      </c>
      <c r="C10291" s="1">
        <v>574</v>
      </c>
      <c r="D10291" s="39">
        <f t="shared" ref="D10291:D10354" si="1702">C10291+D10267</f>
        <v>25051</v>
      </c>
      <c r="E10291" s="1">
        <v>96</v>
      </c>
      <c r="F10291" s="39">
        <f t="shared" si="1698"/>
        <v>387</v>
      </c>
      <c r="G10291" s="168">
        <f>SUM(C10291,C10267,C10243,C10219,C10195,C10171,C10147,C10123,C10099,C10075,C10051,C10027,C10003,C9979)/POBLA!$B$18*100000</f>
        <v>514.965752153371</v>
      </c>
      <c r="H10291" s="256">
        <f t="shared" si="1701"/>
        <v>1.3881987577639752</v>
      </c>
      <c r="I10291" s="297">
        <f t="shared" si="1699"/>
        <v>714.87481743030071</v>
      </c>
      <c r="J10291" s="297">
        <f t="shared" si="1700"/>
        <v>294.42857142857144</v>
      </c>
      <c r="K10291" s="297">
        <f>J10291/POBLA!$B$18*100000</f>
        <v>37.688449102947253</v>
      </c>
      <c r="L10291" s="68">
        <f t="shared" si="1693"/>
        <v>-5.0458715596330306E-2</v>
      </c>
      <c r="M10291" s="401">
        <f>SUM(C10291,C10267,C10243,C10219,C10195,C10171,C10147)/POBLA!$B$18*100000</f>
        <v>263.81914372063073</v>
      </c>
    </row>
    <row r="10292" spans="1:13" s="360" customFormat="1" x14ac:dyDescent="0.25">
      <c r="A10292" s="367" t="s">
        <v>36</v>
      </c>
      <c r="B10292" s="2">
        <v>44321</v>
      </c>
      <c r="C10292" s="1">
        <v>294</v>
      </c>
      <c r="D10292" s="39">
        <f t="shared" si="1702"/>
        <v>39607</v>
      </c>
      <c r="E10292" s="1">
        <v>8</v>
      </c>
      <c r="F10292" s="39">
        <f t="shared" si="1698"/>
        <v>519</v>
      </c>
      <c r="G10292" s="168">
        <f>SUM(C10292,C10268,C10244,C10220,C10196,C10172,C10148,C10124,C10100,C10076,C10052,C10028,C10004,C9980)/POBLA!$B$19*100000</f>
        <v>1518.507735163123</v>
      </c>
      <c r="H10292" s="256">
        <f t="shared" si="1701"/>
        <v>1.0643960286817429</v>
      </c>
      <c r="I10292" s="297">
        <f t="shared" si="1699"/>
        <v>1616.2936028301358</v>
      </c>
      <c r="J10292" s="297">
        <f t="shared" si="1700"/>
        <v>455.28571428571428</v>
      </c>
      <c r="K10292" s="297">
        <f>J10292/POBLA!$B$19*100000</f>
        <v>89.565342512258667</v>
      </c>
      <c r="L10292" s="68">
        <f t="shared" si="1693"/>
        <v>0.29677846425419241</v>
      </c>
      <c r="M10292" s="401">
        <f>SUM(C10292,C10268,C10244,C10220,C10196,C10172,C10148)/POBLA!$B$19*100000</f>
        <v>626.95739758581078</v>
      </c>
    </row>
    <row r="10293" spans="1:13" s="360" customFormat="1" x14ac:dyDescent="0.25">
      <c r="A10293" s="367" t="s">
        <v>37</v>
      </c>
      <c r="B10293" s="2">
        <v>44321</v>
      </c>
      <c r="C10293" s="1">
        <v>223</v>
      </c>
      <c r="D10293" s="39">
        <f t="shared" si="1702"/>
        <v>45648</v>
      </c>
      <c r="E10293" s="1"/>
      <c r="F10293" s="39">
        <f t="shared" si="1698"/>
        <v>722</v>
      </c>
      <c r="G10293" s="168">
        <f>SUM(C10293,C10269,C10245,C10221,C10197,C10173,C10149,C10125,C10101,C10077,C10053,C10029,C10005,C9981)/POBLA!$B$20*100000</f>
        <v>745.15036997741311</v>
      </c>
      <c r="H10293" s="256">
        <f t="shared" si="1701"/>
        <v>1.0488837567359508</v>
      </c>
      <c r="I10293" s="297">
        <f t="shared" si="1699"/>
        <v>781.57611939509275</v>
      </c>
      <c r="J10293" s="297">
        <f t="shared" si="1700"/>
        <v>198.14285714285714</v>
      </c>
      <c r="K10293" s="297">
        <f>J10293/POBLA!$B$20*100000</f>
        <v>54.182100296653829</v>
      </c>
      <c r="L10293" s="68">
        <f t="shared" si="1693"/>
        <v>-3.6621823617339233E-2</v>
      </c>
      <c r="M10293" s="401">
        <f>SUM(C10293,C10269,C10245,C10221,C10197,C10173,C10149)/POBLA!$B$20*100000</f>
        <v>379.27470207657683</v>
      </c>
    </row>
    <row r="10294" spans="1:13" s="360" customFormat="1" x14ac:dyDescent="0.25">
      <c r="A10294" s="367" t="s">
        <v>22</v>
      </c>
      <c r="B10294" s="2">
        <v>44321</v>
      </c>
      <c r="C10294" s="1">
        <v>2293</v>
      </c>
      <c r="D10294" s="39">
        <f t="shared" si="1702"/>
        <v>282507</v>
      </c>
      <c r="E10294" s="1">
        <v>19</v>
      </c>
      <c r="F10294" s="39">
        <f t="shared" si="1698"/>
        <v>4742</v>
      </c>
      <c r="G10294" s="168">
        <f>SUM(C10294,C10270,C10246,C10222,C10198,C10174,C10150,C10126,C10102,C10078,C10054,C10030,C10006,C9982)/POBLA!$B$21*100000</f>
        <v>686.90974879100827</v>
      </c>
      <c r="H10294" s="256">
        <f t="shared" si="1701"/>
        <v>1.157754265560957</v>
      </c>
      <c r="I10294" s="297">
        <f t="shared" si="1699"/>
        <v>795.27269171819523</v>
      </c>
      <c r="J10294" s="297">
        <f t="shared" si="1700"/>
        <v>1772.7142857142858</v>
      </c>
      <c r="K10294" s="297">
        <f>J10294/POBLA!$B$21*100000</f>
        <v>50.127396866385304</v>
      </c>
      <c r="L10294" s="68">
        <f t="shared" si="1693"/>
        <v>-4.4264916266935961E-2</v>
      </c>
      <c r="M10294" s="401">
        <f>SUM(C10294,C10270,C10246,C10222,C10198,C10174,C10150)/POBLA!$B$21*100000</f>
        <v>350.89177806469712</v>
      </c>
    </row>
    <row r="10295" spans="1:13" s="360" customFormat="1" x14ac:dyDescent="0.25">
      <c r="A10295" s="367" t="s">
        <v>38</v>
      </c>
      <c r="B10295" s="2">
        <v>44321</v>
      </c>
      <c r="C10295" s="1">
        <v>254</v>
      </c>
      <c r="D10295" s="39">
        <f t="shared" si="1702"/>
        <v>31561</v>
      </c>
      <c r="E10295" s="1">
        <v>2</v>
      </c>
      <c r="F10295" s="39">
        <f t="shared" si="1698"/>
        <v>363</v>
      </c>
      <c r="G10295" s="168">
        <f>SUM(C10295,C10271,C10247,C10223,C10199,C10175,C10151,C10127,C10103,C10079,C10055,C10031,C10007,C9983)/POBLA!$B$22*100000</f>
        <v>283.54933441546825</v>
      </c>
      <c r="H10295" s="256">
        <f t="shared" si="1701"/>
        <v>1.0090942160785741</v>
      </c>
      <c r="I10295" s="297">
        <f t="shared" si="1699"/>
        <v>286.12799333157841</v>
      </c>
      <c r="J10295" s="297">
        <f t="shared" si="1700"/>
        <v>187.57142857142858</v>
      </c>
      <c r="K10295" s="297">
        <f>J10295/POBLA!$B$22*100000</f>
        <v>19.172946548949934</v>
      </c>
      <c r="L10295" s="68">
        <f t="shared" si="1693"/>
        <v>0.10130047912388773</v>
      </c>
      <c r="M10295" s="401">
        <f>SUM(C10295,C10271,C10247,C10223,C10199,C10175,C10151)/POBLA!$B$22*100000</f>
        <v>134.21062584264956</v>
      </c>
    </row>
    <row r="10296" spans="1:13" s="360" customFormat="1" x14ac:dyDescent="0.25">
      <c r="A10296" s="367" t="s">
        <v>39</v>
      </c>
      <c r="B10296" s="2">
        <v>44321</v>
      </c>
      <c r="C10296" s="1">
        <v>104</v>
      </c>
      <c r="D10296" s="39">
        <f t="shared" si="1702"/>
        <v>26759</v>
      </c>
      <c r="E10296" s="1">
        <v>2</v>
      </c>
      <c r="F10296" s="39">
        <f t="shared" si="1698"/>
        <v>393</v>
      </c>
      <c r="G10296" s="168">
        <f>SUM(C10296,C10272,C10248,C10224,C10200,C10176,C10152,C10128,C10104,C10080,C10056,C10032,C10008,C9984)/POBLA!$B$23*100000</f>
        <v>622.06639144941471</v>
      </c>
      <c r="H10296" s="256">
        <f t="shared" si="1701"/>
        <v>0.93617021276595747</v>
      </c>
      <c r="I10296" s="297">
        <f t="shared" si="1699"/>
        <v>582.36002603775</v>
      </c>
      <c r="J10296" s="297">
        <f t="shared" si="1700"/>
        <v>69.142857142857139</v>
      </c>
      <c r="K10296" s="297">
        <f>J10296/POBLA!$B$23*100000</f>
        <v>39.101316033963208</v>
      </c>
      <c r="L10296" s="68">
        <f t="shared" si="1693"/>
        <v>0.2142857142857143</v>
      </c>
      <c r="M10296" s="401">
        <f>SUM(C10296,C10272,C10248,C10224,C10200,C10176,C10152)/POBLA!$B$23*100000</f>
        <v>273.70921223774246</v>
      </c>
    </row>
    <row r="10297" spans="1:13" s="360" customFormat="1" ht="15.75" thickBot="1" x14ac:dyDescent="0.3">
      <c r="A10297" s="369" t="s">
        <v>40</v>
      </c>
      <c r="B10297" s="266">
        <v>44321</v>
      </c>
      <c r="C10297" s="44">
        <v>514</v>
      </c>
      <c r="D10297" s="176">
        <f t="shared" si="1702"/>
        <v>108745</v>
      </c>
      <c r="E10297" s="44">
        <v>15</v>
      </c>
      <c r="F10297" s="176">
        <f t="shared" si="1698"/>
        <v>1684</v>
      </c>
      <c r="G10297" s="177">
        <f>SUM(C10297,C10273,C10249,C10225,C10201,C10177,C10153,C10129,C10105,C10081,C10057,C10033,C10009,C9985)/POBLA!$B$24*100000</f>
        <v>513.43753540541559</v>
      </c>
      <c r="H10297" s="402">
        <f t="shared" si="1701"/>
        <v>0.9528033289531318</v>
      </c>
      <c r="I10297" s="403">
        <f t="shared" si="1699"/>
        <v>489.20499294377146</v>
      </c>
      <c r="J10297" s="403">
        <f t="shared" si="1700"/>
        <v>548.28571428571433</v>
      </c>
      <c r="K10297" s="403">
        <f>J10297/POBLA!$B$24*100000</f>
        <v>32.353805981020002</v>
      </c>
      <c r="L10297" s="68">
        <f t="shared" si="1693"/>
        <v>0.21077524162039896</v>
      </c>
      <c r="M10297" s="405">
        <f>SUM(C10297,C10273,C10249,C10225,C10201,C10177,C10153)/POBLA!$B$24*100000</f>
        <v>226.47664186714002</v>
      </c>
    </row>
    <row r="10298" spans="1:13" s="360" customFormat="1" x14ac:dyDescent="0.25">
      <c r="A10298" s="363" t="s">
        <v>16</v>
      </c>
      <c r="B10298" s="274">
        <v>44322</v>
      </c>
      <c r="C10298" s="43">
        <v>10739</v>
      </c>
      <c r="D10298" s="174">
        <f t="shared" si="1702"/>
        <v>1353376</v>
      </c>
      <c r="E10298" s="43">
        <v>148</v>
      </c>
      <c r="F10298" s="174">
        <f t="shared" ref="F10298:F10321" si="1703">E10298+F10274</f>
        <v>34144</v>
      </c>
      <c r="G10298" s="175">
        <f>SUM(C10298,C10274,C10250,C10226,C10202,C10178,C10154,C10130,C10106,C10082,C10058,C10034,C10010,C9986)/POBLA!$B$1*100000</f>
        <v>796.4476199125246</v>
      </c>
      <c r="H10298" s="300">
        <f t="shared" si="1701"/>
        <v>0.85347913739385428</v>
      </c>
      <c r="I10298" s="301">
        <f>G10298*H10298</f>
        <v>679.75142762232986</v>
      </c>
      <c r="J10298" s="301">
        <f>AVERAGE(C10298,C10274,C10250,C10226,C10202,C10178,C10154)</f>
        <v>9134</v>
      </c>
      <c r="K10298" s="301">
        <f>J10298/POBLA!$B$1*100000</f>
        <v>52.071869213068865</v>
      </c>
      <c r="L10298" s="68">
        <f t="shared" si="1693"/>
        <v>0.15613451589061345</v>
      </c>
      <c r="M10298" s="400">
        <f>SUM(C10298,C10274,C10250,C10226,C10202,C10178,C10154)/POBLA!$B$1*100000</f>
        <v>364.50308449148207</v>
      </c>
    </row>
    <row r="10299" spans="1:13" s="360" customFormat="1" x14ac:dyDescent="0.25">
      <c r="A10299" s="367" t="s">
        <v>43</v>
      </c>
      <c r="B10299" s="2">
        <v>44322</v>
      </c>
      <c r="C10299" s="1">
        <v>2800</v>
      </c>
      <c r="D10299" s="39">
        <f t="shared" si="1702"/>
        <v>356170</v>
      </c>
      <c r="E10299" s="1">
        <v>55</v>
      </c>
      <c r="F10299" s="39">
        <f t="shared" si="1703"/>
        <v>8027</v>
      </c>
      <c r="G10299" s="168">
        <f>SUM(C10299,C10275,C10251,C10227,C10203,C10179,C10155,C10131,C10107,C10083,C10059,C10035,C10011,C9987)/POBLA!$B$2*100000</f>
        <v>1198.9676315154604</v>
      </c>
      <c r="H10299" s="256">
        <f t="shared" si="1701"/>
        <v>0.89285973705237165</v>
      </c>
      <c r="I10299" s="297">
        <f t="shared" ref="I10299:I10321" si="1704">G10299*H10299</f>
        <v>1070.5099242091987</v>
      </c>
      <c r="J10299" s="297">
        <f t="shared" ref="J10299:J10321" si="1705">AVERAGE(C10299,C10275,C10251,C10227,C10203,C10179,C10155)</f>
        <v>2393</v>
      </c>
      <c r="K10299" s="297">
        <f>J10299/POBLA!$B$2*100000</f>
        <v>77.804792879284548</v>
      </c>
      <c r="L10299" s="68">
        <f>(SUM(C10299,C10275,C10251,C10227,C10203,C10179,C10155)/SUM(C10131,C10107,C10083,C10059,C10035,C10011,C9987))-1</f>
        <v>-0.16765217391304343</v>
      </c>
      <c r="M10299" s="401">
        <f>SUM(C10299,C10275,C10251,C10227,C10203,C10179,C10155)/POBLA!$B$2*100000</f>
        <v>544.63355015499178</v>
      </c>
    </row>
    <row r="10300" spans="1:13" s="360" customFormat="1" x14ac:dyDescent="0.25">
      <c r="A10300" s="367" t="s">
        <v>28</v>
      </c>
      <c r="B10300" s="2">
        <v>44322</v>
      </c>
      <c r="C10300" s="1">
        <v>146</v>
      </c>
      <c r="D10300" s="39">
        <f t="shared" si="1702"/>
        <v>15697</v>
      </c>
      <c r="E10300" s="1">
        <v>31</v>
      </c>
      <c r="F10300" s="39">
        <f t="shared" si="1703"/>
        <v>106</v>
      </c>
      <c r="G10300" s="168">
        <f>SUM(C10300,C10276,C10252,C10228,C10204,C10180,C10156,C10132,C10108,C10084,C10060,C10036,C10012,C9988)/POBLA!$B$3*100000</f>
        <v>522.09956720377045</v>
      </c>
      <c r="H10300" s="256">
        <f t="shared" si="1701"/>
        <v>0.96787148594377514</v>
      </c>
      <c r="I10300" s="297">
        <f t="shared" si="1704"/>
        <v>505.32528392011517</v>
      </c>
      <c r="J10300" s="297">
        <f t="shared" si="1705"/>
        <v>141</v>
      </c>
      <c r="K10300" s="297">
        <f>J10300/POBLA!$B$3*100000</f>
        <v>33.94008251532118</v>
      </c>
      <c r="L10300" s="68">
        <f t="shared" si="1693"/>
        <v>0.1649746192893401</v>
      </c>
      <c r="M10300" s="401">
        <f>SUM(C10300,C10276,C10252,C10228,C10204,C10180,C10156)/POBLA!$B$3*100000</f>
        <v>237.58057760724827</v>
      </c>
    </row>
    <row r="10301" spans="1:13" s="360" customFormat="1" x14ac:dyDescent="0.25">
      <c r="A10301" s="367" t="s">
        <v>15</v>
      </c>
      <c r="B10301" s="2">
        <v>44322</v>
      </c>
      <c r="C10301" s="1">
        <v>293</v>
      </c>
      <c r="D10301" s="39">
        <f t="shared" si="1702"/>
        <v>46287</v>
      </c>
      <c r="E10301" s="1">
        <v>3</v>
      </c>
      <c r="F10301" s="39">
        <f t="shared" si="1703"/>
        <v>1068</v>
      </c>
      <c r="G10301" s="168">
        <f>SUM(C10301,C10277,C10253,C10229,C10205,C10181,C10157,C10133,C10109,C10085,C10061,C10037,C10013,C9989)/POBLA!$B$4*100000</f>
        <v>276.95196759595564</v>
      </c>
      <c r="H10301" s="256">
        <f t="shared" si="1701"/>
        <v>1.0533628039153773</v>
      </c>
      <c r="I10301" s="297">
        <f t="shared" si="1704"/>
        <v>291.73090113675653</v>
      </c>
      <c r="J10301" s="297">
        <f t="shared" si="1705"/>
        <v>240.85714285714286</v>
      </c>
      <c r="K10301" s="297">
        <f>J10301/POBLA!$B$4*100000</f>
        <v>19.995761278125268</v>
      </c>
      <c r="L10301" s="68">
        <f t="shared" si="1693"/>
        <v>-2.1818181818181737E-2</v>
      </c>
      <c r="M10301" s="401">
        <f>SUM(C10301,C10277,C10253,C10229,C10205,C10181,C10157)/POBLA!$B$4*100000</f>
        <v>139.97032894687686</v>
      </c>
    </row>
    <row r="10302" spans="1:13" s="360" customFormat="1" x14ac:dyDescent="0.25">
      <c r="A10302" s="367" t="s">
        <v>29</v>
      </c>
      <c r="B10302" s="2">
        <v>44322</v>
      </c>
      <c r="C10302" s="1">
        <v>192</v>
      </c>
      <c r="D10302" s="39">
        <f t="shared" si="1702"/>
        <v>55844</v>
      </c>
      <c r="E10302" s="1"/>
      <c r="F10302" s="39">
        <f t="shared" si="1703"/>
        <v>930</v>
      </c>
      <c r="G10302" s="168">
        <f>SUM(C10302,C10278,C10254,C10230,C10206,C10182,C10158,C10134,C10110,C10086,C10062,C10038,C10014,C9990)/POBLA!$B$5*100000</f>
        <v>384.49484163012892</v>
      </c>
      <c r="H10302" s="256">
        <f t="shared" si="1701"/>
        <v>0.97103223174214603</v>
      </c>
      <c r="I10302" s="297">
        <f t="shared" si="1704"/>
        <v>373.35688416144706</v>
      </c>
      <c r="J10302" s="297">
        <f t="shared" si="1705"/>
        <v>155.42857142857142</v>
      </c>
      <c r="K10302" s="297">
        <f>J10302/POBLA!$B$5*100000</f>
        <v>25.109867208498212</v>
      </c>
      <c r="L10302" s="68">
        <f t="shared" si="1693"/>
        <v>0.15789473684210531</v>
      </c>
      <c r="M10302" s="401">
        <f>SUM(C10302,C10278,C10254,C10230,C10206,C10182,C10158)/POBLA!$B$5*100000</f>
        <v>175.76907045948749</v>
      </c>
    </row>
    <row r="10303" spans="1:13" s="360" customFormat="1" x14ac:dyDescent="0.25">
      <c r="A10303" s="367" t="s">
        <v>30</v>
      </c>
      <c r="B10303" s="2">
        <v>44322</v>
      </c>
      <c r="C10303" s="1">
        <v>225</v>
      </c>
      <c r="D10303" s="39">
        <f t="shared" si="1702"/>
        <v>38582</v>
      </c>
      <c r="E10303" s="1">
        <v>6</v>
      </c>
      <c r="F10303" s="39">
        <f t="shared" si="1703"/>
        <v>513</v>
      </c>
      <c r="G10303" s="168">
        <f>SUM(C10303,C10279,C10255,C10231,C10207,C10183,C10159,C10135,C10111,C10087,C10063,C10039,C10015,C9991)/POBLA!$B$6*100000</f>
        <v>258.47585789091909</v>
      </c>
      <c r="H10303" s="256">
        <f t="shared" si="1701"/>
        <v>0.86632775119617222</v>
      </c>
      <c r="I10303" s="297">
        <f t="shared" si="1704"/>
        <v>223.92480870514132</v>
      </c>
      <c r="J10303" s="297">
        <f t="shared" si="1705"/>
        <v>171</v>
      </c>
      <c r="K10303" s="297">
        <f>J10303/POBLA!$B$6*100000</f>
        <v>15.256945702225462</v>
      </c>
      <c r="L10303" s="68">
        <f t="shared" si="1693"/>
        <v>0.29588235294117649</v>
      </c>
      <c r="M10303" s="401">
        <f>SUM(C10303,C10279,C10255,C10231,C10207,C10183,C10159)/POBLA!$B$6*100000</f>
        <v>106.79861991557823</v>
      </c>
    </row>
    <row r="10304" spans="1:13" s="360" customFormat="1" x14ac:dyDescent="0.25">
      <c r="A10304" s="367" t="s">
        <v>20</v>
      </c>
      <c r="B10304" s="2">
        <v>44322</v>
      </c>
      <c r="C10304" s="1">
        <v>1866</v>
      </c>
      <c r="D10304" s="39">
        <f t="shared" si="1702"/>
        <v>236247</v>
      </c>
      <c r="E10304" s="1">
        <v>13</v>
      </c>
      <c r="F10304" s="39">
        <f t="shared" si="1703"/>
        <v>3479</v>
      </c>
      <c r="G10304" s="168">
        <f>SUM(C10304,C10280,C10256,C10232,C10208,C10184,C10160,C10136,C10112,C10088,C10064,C10040,C10016,C9992)/POBLA!$B$7*100000</f>
        <v>576.02148679014488</v>
      </c>
      <c r="H10304" s="256">
        <f t="shared" si="1701"/>
        <v>0.92045213105001489</v>
      </c>
      <c r="I10304" s="297">
        <f t="shared" si="1704"/>
        <v>530.2002050465868</v>
      </c>
      <c r="J10304" s="297">
        <f t="shared" si="1705"/>
        <v>1541</v>
      </c>
      <c r="K10304" s="297">
        <f>J10304/POBLA!$B$7*100000</f>
        <v>40.979138135063621</v>
      </c>
      <c r="L10304" s="68">
        <f t="shared" si="1693"/>
        <v>8.0007356998345047E-3</v>
      </c>
      <c r="M10304" s="401">
        <f>SUM(C10304,C10280,C10256,C10232,C10208,C10184,C10160)/POBLA!$B$7*100000</f>
        <v>286.85396694544534</v>
      </c>
    </row>
    <row r="10305" spans="1:13" x14ac:dyDescent="0.25">
      <c r="A10305" s="367" t="s">
        <v>31</v>
      </c>
      <c r="B10305" s="2">
        <v>44322</v>
      </c>
      <c r="C10305" s="1">
        <v>726</v>
      </c>
      <c r="D10305" s="39">
        <f t="shared" si="1702"/>
        <v>65999</v>
      </c>
      <c r="E10305" s="1">
        <v>3</v>
      </c>
      <c r="F10305" s="39">
        <f t="shared" si="1703"/>
        <v>1090</v>
      </c>
      <c r="G10305" s="168">
        <f>SUM(C10305,C10281,C10257,C10233,C10209,C10185,C10161,C10137,C10113,C10089,C10065,C10041,C10017,C9993)/POBLA!$B$8*100000</f>
        <v>540.92431172305714</v>
      </c>
      <c r="H10305" s="256">
        <f t="shared" si="1701"/>
        <v>1.1477342314758114</v>
      </c>
      <c r="I10305" s="297">
        <f t="shared" si="1704"/>
        <v>620.83734920204529</v>
      </c>
      <c r="J10305" s="297">
        <f t="shared" si="1705"/>
        <v>517.42857142857144</v>
      </c>
      <c r="K10305" s="297">
        <f>J10305/POBLA!$B$8*100000</f>
        <v>37.333559272488294</v>
      </c>
      <c r="L10305" s="68">
        <f t="shared" si="1693"/>
        <v>6.5290322580645155E-2</v>
      </c>
      <c r="M10305" s="401">
        <f>SUM(C10305,C10281,C10257,C10233,C10209,C10185,C10161)/POBLA!$B$8*100000</f>
        <v>261.33491490741801</v>
      </c>
    </row>
    <row r="10306" spans="1:13" s="360" customFormat="1" x14ac:dyDescent="0.25">
      <c r="A10306" s="367" t="s">
        <v>41</v>
      </c>
      <c r="B10306" s="2">
        <v>44322</v>
      </c>
      <c r="C10306" s="1">
        <v>353</v>
      </c>
      <c r="D10306" s="39">
        <f t="shared" si="1702"/>
        <v>5439</v>
      </c>
      <c r="E10306" s="1">
        <v>1</v>
      </c>
      <c r="F10306" s="39">
        <f t="shared" si="1703"/>
        <v>104</v>
      </c>
      <c r="G10306" s="168">
        <f>SUM(C10306,C10282,C10258,C10234,C10210,C10186,C10162,C10138,C10114,C10090,C10066,C10042,C10018,C9994)/POBLA!$B$9*100000</f>
        <v>260.74326702390806</v>
      </c>
      <c r="H10306" s="256">
        <f t="shared" si="1701"/>
        <v>1.1954545454545455</v>
      </c>
      <c r="I10306" s="297">
        <f t="shared" si="1704"/>
        <v>311.7067237603992</v>
      </c>
      <c r="J10306" s="297">
        <f t="shared" si="1705"/>
        <v>132.28571428571428</v>
      </c>
      <c r="K10306" s="297">
        <f>J10306/POBLA!$B$9*100000</f>
        <v>21.85843429876325</v>
      </c>
      <c r="L10306" s="68">
        <f t="shared" si="1693"/>
        <v>-0.42024539877300615</v>
      </c>
      <c r="M10306" s="401">
        <f>SUM(C10306,C10282,C10258,C10234,C10210,C10186,C10162)/POBLA!$B$9*100000</f>
        <v>153.00904009134277</v>
      </c>
    </row>
    <row r="10307" spans="1:13" s="360" customFormat="1" x14ac:dyDescent="0.25">
      <c r="A10307" s="367" t="s">
        <v>32</v>
      </c>
      <c r="B10307" s="2">
        <v>44322</v>
      </c>
      <c r="C10307" s="1">
        <v>91</v>
      </c>
      <c r="D10307" s="39">
        <f t="shared" si="1702"/>
        <v>25381</v>
      </c>
      <c r="E10307" s="1">
        <v>5</v>
      </c>
      <c r="F10307" s="39">
        <f t="shared" si="1703"/>
        <v>1051</v>
      </c>
      <c r="G10307" s="168">
        <f>SUM(C10307,C10283,C10259,C10235,C10211,C10187,C10163,C10139,C10115,C10091,C10067,C10043,C10019,C9995)/POBLA!$B$10*100000</f>
        <v>166.43295138938436</v>
      </c>
      <c r="H10307" s="256">
        <f t="shared" si="1701"/>
        <v>1.0620860927152318</v>
      </c>
      <c r="I10307" s="297">
        <f t="shared" si="1704"/>
        <v>176.76612304021535</v>
      </c>
      <c r="J10307" s="297">
        <f t="shared" si="1705"/>
        <v>86.142857142857139</v>
      </c>
      <c r="K10307" s="297">
        <f>J10307/POBLA!$B$10*100000</f>
        <v>11.174598562275778</v>
      </c>
      <c r="L10307" s="68">
        <f t="shared" ref="L10307:L10370" si="1706">1-SUM(C10307,C10283,C10259,C10235,C10211,C10187,C10163)/SUM(C10139,C10115,C10091,C10067,C10043,C10019,C9995)</f>
        <v>0.1132352941176471</v>
      </c>
      <c r="M10307" s="401">
        <f>SUM(C10307,C10283,C10259,C10235,C10211,C10187,C10163)/POBLA!$B$10*100000</f>
        <v>78.222189935930459</v>
      </c>
    </row>
    <row r="10308" spans="1:13" s="360" customFormat="1" x14ac:dyDescent="0.25">
      <c r="A10308" s="367" t="s">
        <v>33</v>
      </c>
      <c r="B10308" s="2">
        <v>44322</v>
      </c>
      <c r="C10308" s="1">
        <v>392</v>
      </c>
      <c r="D10308" s="39">
        <f t="shared" si="1702"/>
        <v>29036</v>
      </c>
      <c r="E10308" s="1"/>
      <c r="F10308" s="39">
        <f t="shared" si="1703"/>
        <v>399</v>
      </c>
      <c r="G10308" s="168">
        <f>SUM(C10308,C10284,C10260,C10236,C10212,C10188,C10164,C10140,C10116,C10092,C10068,C10044,C10020,C9996)/POBLA!$B$11*100000</f>
        <v>1074.6928253373064</v>
      </c>
      <c r="H10308" s="256">
        <f t="shared" si="1701"/>
        <v>1.3155737704918034</v>
      </c>
      <c r="I10308" s="297">
        <f t="shared" si="1704"/>
        <v>1413.8376923494893</v>
      </c>
      <c r="J10308" s="297">
        <f t="shared" si="1705"/>
        <v>316.85714285714283</v>
      </c>
      <c r="K10308" s="297">
        <f>J10308/POBLA!$B$11*100000</f>
        <v>88.401894622390785</v>
      </c>
      <c r="L10308" s="68">
        <f t="shared" si="1706"/>
        <v>-0.35740514075887386</v>
      </c>
      <c r="M10308" s="401">
        <f>SUM(C10308,C10284,C10260,C10236,C10212,C10188,C10164)/POBLA!$B$11*100000</f>
        <v>618.81326235673555</v>
      </c>
    </row>
    <row r="10309" spans="1:13" s="360" customFormat="1" x14ac:dyDescent="0.25">
      <c r="A10309" s="367" t="s">
        <v>21</v>
      </c>
      <c r="B10309" s="2">
        <v>44322</v>
      </c>
      <c r="C10309" s="1">
        <v>78</v>
      </c>
      <c r="D10309" s="39">
        <f t="shared" si="1702"/>
        <v>13999</v>
      </c>
      <c r="E10309" s="1">
        <v>10</v>
      </c>
      <c r="F10309" s="39">
        <f t="shared" si="1703"/>
        <v>498</v>
      </c>
      <c r="G10309" s="168">
        <f>SUM(C10309,C10285,C10261,C10237,C10213,C10189,C10165,C10141,C10117,C10093,C10069,C10045,C10021,C9997)/POBLA!$B$12*100000</f>
        <v>294.2589020941171</v>
      </c>
      <c r="H10309" s="256">
        <f t="shared" si="1701"/>
        <v>1.0275066548358474</v>
      </c>
      <c r="I10309" s="297">
        <f t="shared" si="1704"/>
        <v>302.3529801463954</v>
      </c>
      <c r="J10309" s="297">
        <f t="shared" si="1705"/>
        <v>96.285714285714292</v>
      </c>
      <c r="K10309" s="297">
        <f>J10309/POBLA!$B$12*100000</f>
        <v>24.467123120088196</v>
      </c>
      <c r="L10309" s="68">
        <f t="shared" si="1706"/>
        <v>-0.39256198347107429</v>
      </c>
      <c r="M10309" s="401">
        <f>SUM(C10309,C10285,C10261,C10237,C10213,C10189,C10165)/POBLA!$B$12*100000</f>
        <v>171.26986184061738</v>
      </c>
    </row>
    <row r="10310" spans="1:13" s="360" customFormat="1" x14ac:dyDescent="0.25">
      <c r="A10310" s="367" t="s">
        <v>17</v>
      </c>
      <c r="B10310" s="2">
        <v>44322</v>
      </c>
      <c r="C10310" s="1">
        <v>767</v>
      </c>
      <c r="D10310" s="39">
        <f t="shared" si="1702"/>
        <v>100693</v>
      </c>
      <c r="E10310" s="1">
        <v>28</v>
      </c>
      <c r="F10310" s="39">
        <f t="shared" si="1703"/>
        <v>1951</v>
      </c>
      <c r="G10310" s="168">
        <f>SUM(C10310,C10286,C10262,C10238,C10214,C10190,C10166,C10142,C10118,C10094,C10070,C10046,C10022,C9998)/POBLA!$B$13*100000</f>
        <v>536.84349090455987</v>
      </c>
      <c r="H10310" s="256">
        <f t="shared" si="1701"/>
        <v>0.87452938287772142</v>
      </c>
      <c r="I10310" s="297">
        <f t="shared" si="1704"/>
        <v>469.48540680268638</v>
      </c>
      <c r="J10310" s="297">
        <f t="shared" si="1705"/>
        <v>715.85714285714289</v>
      </c>
      <c r="K10310" s="297">
        <f>J10310/POBLA!$B$13*100000</f>
        <v>35.966611844678788</v>
      </c>
      <c r="L10310" s="68">
        <f t="shared" si="1706"/>
        <v>0.11684878392668308</v>
      </c>
      <c r="M10310" s="401">
        <f>SUM(C10310,C10286,C10262,C10238,C10214,C10190,C10166)/POBLA!$B$13*100000</f>
        <v>251.76628291275148</v>
      </c>
    </row>
    <row r="10311" spans="1:13" s="360" customFormat="1" x14ac:dyDescent="0.25">
      <c r="A10311" s="367" t="s">
        <v>23</v>
      </c>
      <c r="B10311" s="2">
        <v>44322</v>
      </c>
      <c r="C10311" s="1">
        <v>157</v>
      </c>
      <c r="D10311" s="39">
        <f t="shared" si="1702"/>
        <v>16355</v>
      </c>
      <c r="E10311" s="1">
        <v>1</v>
      </c>
      <c r="F10311" s="39">
        <f t="shared" si="1703"/>
        <v>240</v>
      </c>
      <c r="G10311" s="168">
        <f>SUM(C10311,C10287,C10263,C10239,C10215,C10191,C10167,C10143,C10119,C10095,C10071,C10047,C10023,C9999)/POBLA!$B$14*100000</f>
        <v>128.99450881396407</v>
      </c>
      <c r="H10311" s="256">
        <f t="shared" si="1701"/>
        <v>0.87473118279569895</v>
      </c>
      <c r="I10311" s="297">
        <f t="shared" si="1704"/>
        <v>112.835519268989</v>
      </c>
      <c r="J10311" s="297">
        <f t="shared" si="1705"/>
        <v>119.71428571428571</v>
      </c>
      <c r="K10311" s="297">
        <f>J10311/POBLA!$B$14*100000</f>
        <v>9.4913862837915435</v>
      </c>
      <c r="L10311" s="68">
        <f t="shared" si="1706"/>
        <v>-6.2103929024081017E-2</v>
      </c>
      <c r="M10311" s="401">
        <f>SUM(C10311,C10287,C10263,C10239,C10215,C10191,C10167)/POBLA!$B$14*100000</f>
        <v>66.439703986540806</v>
      </c>
    </row>
    <row r="10312" spans="1:13" s="360" customFormat="1" x14ac:dyDescent="0.25">
      <c r="A10312" s="367" t="s">
        <v>19</v>
      </c>
      <c r="B10312" s="2">
        <v>44322</v>
      </c>
      <c r="C10312" s="1">
        <v>484</v>
      </c>
      <c r="D10312" s="39">
        <f t="shared" si="1702"/>
        <v>73441</v>
      </c>
      <c r="E10312" s="1">
        <v>22</v>
      </c>
      <c r="F10312" s="39">
        <f t="shared" si="1703"/>
        <v>1104</v>
      </c>
      <c r="G10312" s="168">
        <f>SUM(C10312,C10288,C10264,C10240,C10216,C10192,C10168,C10144,C10120,C10096,C10072,C10048,C10024,C10000)/POBLA!$B$15*100000</f>
        <v>719.51654752528782</v>
      </c>
      <c r="H10312" s="256">
        <f t="shared" si="1701"/>
        <v>1.9188755020080321</v>
      </c>
      <c r="I10312" s="297">
        <f t="shared" si="1704"/>
        <v>1380.6626763356728</v>
      </c>
      <c r="J10312" s="297">
        <f t="shared" si="1705"/>
        <v>381.57142857142856</v>
      </c>
      <c r="K10312" s="297">
        <f>J10312/POBLA!$B$15*100000</f>
        <v>57.460643976560533</v>
      </c>
      <c r="L10312" s="68">
        <f t="shared" si="1706"/>
        <v>-0.26767916468913144</v>
      </c>
      <c r="M10312" s="401">
        <f>SUM(C10312,C10288,C10264,C10240,C10216,C10192,C10168)/POBLA!$B$15*100000</f>
        <v>402.22450783592376</v>
      </c>
    </row>
    <row r="10313" spans="1:13" s="360" customFormat="1" x14ac:dyDescent="0.25">
      <c r="A10313" s="367" t="s">
        <v>18</v>
      </c>
      <c r="B10313" s="2">
        <v>44322</v>
      </c>
      <c r="C10313" s="1">
        <v>364</v>
      </c>
      <c r="D10313" s="39">
        <f t="shared" si="1702"/>
        <v>63117</v>
      </c>
      <c r="E10313" s="1">
        <v>5</v>
      </c>
      <c r="F10313" s="39">
        <f t="shared" si="1703"/>
        <v>1386</v>
      </c>
      <c r="G10313" s="168">
        <f>SUM(C10313,C10289,C10265,C10241,C10217,C10193,C10169,C10145,C10121,C10097,C10073,C10049,C10025,C10001)/POBLA!$B$16*100000</f>
        <v>523.6687577747756</v>
      </c>
      <c r="H10313" s="256">
        <f t="shared" si="1701"/>
        <v>1.3902698863636365</v>
      </c>
      <c r="I10313" s="297">
        <f t="shared" si="1704"/>
        <v>728.04090436372394</v>
      </c>
      <c r="J10313" s="297">
        <f t="shared" si="1705"/>
        <v>278.71428571428572</v>
      </c>
      <c r="K10313" s="297">
        <f>J10313/POBLA!$B$16*100000</f>
        <v>37.280705944849011</v>
      </c>
      <c r="L10313" s="68">
        <f t="shared" si="1706"/>
        <v>6.6191446028512901E-3</v>
      </c>
      <c r="M10313" s="401">
        <f>SUM(C10313,C10289,C10265,C10241,C10217,C10193,C10169)/POBLA!$B$16*100000</f>
        <v>260.9649416139431</v>
      </c>
    </row>
    <row r="10314" spans="1:13" s="360" customFormat="1" x14ac:dyDescent="0.25">
      <c r="A10314" s="367" t="s">
        <v>34</v>
      </c>
      <c r="B10314" s="2">
        <v>44322</v>
      </c>
      <c r="C10314" s="1">
        <v>262</v>
      </c>
      <c r="D10314" s="39">
        <f t="shared" si="1702"/>
        <v>35889</v>
      </c>
      <c r="E10314" s="1">
        <v>3</v>
      </c>
      <c r="F10314" s="39">
        <f t="shared" si="1703"/>
        <v>1297</v>
      </c>
      <c r="G10314" s="168">
        <f>SUM(C10314,C10290,C10266,C10242,C10218,C10194,C10170,C10146,C10122,C10098,C10074,C10050,C10026,C10002)/POBLA!$B$17*100000</f>
        <v>187.09671531181266</v>
      </c>
      <c r="H10314" s="256">
        <f t="shared" ref="H10314:H10337" si="1707">SUM(C10314,C10290,C10266,C10242,C10218,C10194,C10170,C10146,C10122,C10098,C10074,C10050,C10026,C10002)/SUM(C9978,C9954,C9930,C9906,C9882,C9858,C9834,C9810,C9786,C9762,C9738,C9714,C9690,C9666)</f>
        <v>0.9736938253562295</v>
      </c>
      <c r="I10314" s="297">
        <f t="shared" si="1704"/>
        <v>182.1749164435443</v>
      </c>
      <c r="J10314" s="297">
        <f t="shared" si="1705"/>
        <v>195.57142857142858</v>
      </c>
      <c r="K10314" s="297">
        <f>J10314/POBLA!$B$17*100000</f>
        <v>13.730120785948621</v>
      </c>
      <c r="L10314" s="68">
        <f t="shared" si="1706"/>
        <v>-5.6327160493827133E-2</v>
      </c>
      <c r="M10314" s="401">
        <f>SUM(C10314,C10290,C10266,C10242,C10218,C10194,C10170)/POBLA!$B$17*100000</f>
        <v>96.110845501640341</v>
      </c>
    </row>
    <row r="10315" spans="1:13" s="360" customFormat="1" x14ac:dyDescent="0.25">
      <c r="A10315" s="367" t="s">
        <v>35</v>
      </c>
      <c r="B10315" s="2">
        <v>44322</v>
      </c>
      <c r="C10315" s="1">
        <v>431</v>
      </c>
      <c r="D10315" s="39">
        <f t="shared" si="1702"/>
        <v>25482</v>
      </c>
      <c r="E10315" s="1">
        <v>23</v>
      </c>
      <c r="F10315" s="39">
        <f t="shared" si="1703"/>
        <v>410</v>
      </c>
      <c r="G10315" s="168">
        <f>SUM(C10315,C10291,C10267,C10243,C10219,C10195,C10171,C10147,C10123,C10099,C10075,C10051,C10027,C10003)/POBLA!$B$18*100000</f>
        <v>525.71820633703567</v>
      </c>
      <c r="H10315" s="256">
        <f t="shared" si="1707"/>
        <v>1.4094028826355525</v>
      </c>
      <c r="I10315" s="297">
        <f t="shared" si="1704"/>
        <v>740.94875546541027</v>
      </c>
      <c r="J10315" s="297">
        <f t="shared" si="1705"/>
        <v>308</v>
      </c>
      <c r="K10315" s="297">
        <f>J10315/POBLA!$B$18*100000</f>
        <v>39.425665340103969</v>
      </c>
      <c r="L10315" s="68">
        <f t="shared" si="1706"/>
        <v>-0.10507432086109691</v>
      </c>
      <c r="M10315" s="401">
        <f>SUM(C10315,C10291,C10267,C10243,C10219,C10195,C10171)/POBLA!$B$18*100000</f>
        <v>275.97965738072776</v>
      </c>
    </row>
    <row r="10316" spans="1:13" s="360" customFormat="1" x14ac:dyDescent="0.25">
      <c r="A10316" s="367" t="s">
        <v>36</v>
      </c>
      <c r="B10316" s="2">
        <v>44322</v>
      </c>
      <c r="C10316" s="1">
        <v>379</v>
      </c>
      <c r="D10316" s="39">
        <f t="shared" si="1702"/>
        <v>39986</v>
      </c>
      <c r="E10316" s="1">
        <v>4</v>
      </c>
      <c r="F10316" s="39">
        <f t="shared" si="1703"/>
        <v>523</v>
      </c>
      <c r="G10316" s="168">
        <f>SUM(C10316,C10292,C10268,C10244,C10220,C10196,C10172,C10148,C10124,C10100,C10076,C10052,C10028,C10004)/POBLA!$B$19*100000</f>
        <v>1439.0314914779433</v>
      </c>
      <c r="H10316" s="256">
        <f t="shared" si="1707"/>
        <v>0.97377529286474973</v>
      </c>
      <c r="I10316" s="297">
        <f t="shared" si="1704"/>
        <v>1401.2933120555319</v>
      </c>
      <c r="J10316" s="297">
        <f t="shared" si="1705"/>
        <v>433.42857142857144</v>
      </c>
      <c r="K10316" s="297">
        <f>J10316/POBLA!$B$19*100000</f>
        <v>85.265531591525843</v>
      </c>
      <c r="L10316" s="68">
        <f t="shared" si="1706"/>
        <v>0.29128708245736978</v>
      </c>
      <c r="M10316" s="401">
        <f>SUM(C10316,C10292,C10268,C10244,C10220,C10196,C10172)/POBLA!$B$19*100000</f>
        <v>596.85872114068081</v>
      </c>
    </row>
    <row r="10317" spans="1:13" s="360" customFormat="1" x14ac:dyDescent="0.25">
      <c r="A10317" s="367" t="s">
        <v>37</v>
      </c>
      <c r="B10317" s="2">
        <v>44322</v>
      </c>
      <c r="C10317" s="1">
        <v>335</v>
      </c>
      <c r="D10317" s="39">
        <f t="shared" si="1702"/>
        <v>45983</v>
      </c>
      <c r="E10317" s="1">
        <v>7</v>
      </c>
      <c r="F10317" s="39">
        <f t="shared" si="1703"/>
        <v>729</v>
      </c>
      <c r="G10317" s="168">
        <f>SUM(C10317,C10293,C10269,C10245,C10221,C10197,C10173,C10149,C10125,C10101,C10077,C10053,C10029,C10005)/POBLA!$B$20*100000</f>
        <v>782.88642541113165</v>
      </c>
      <c r="H10317" s="256">
        <f t="shared" si="1707"/>
        <v>1.0948374760994264</v>
      </c>
      <c r="I10317" s="297">
        <f t="shared" si="1704"/>
        <v>857.13339806962517</v>
      </c>
      <c r="J10317" s="297">
        <f t="shared" si="1705"/>
        <v>213</v>
      </c>
      <c r="K10317" s="297">
        <f>J10317/POBLA!$B$20*100000</f>
        <v>58.244781212913381</v>
      </c>
      <c r="L10317" s="68">
        <f t="shared" si="1706"/>
        <v>-8.6734693877551061E-2</v>
      </c>
      <c r="M10317" s="401">
        <f>SUM(C10317,C10293,C10269,C10245,C10221,C10197,C10173)/POBLA!$B$20*100000</f>
        <v>407.71346849039372</v>
      </c>
    </row>
    <row r="10318" spans="1:13" s="360" customFormat="1" x14ac:dyDescent="0.25">
      <c r="A10318" s="367" t="s">
        <v>22</v>
      </c>
      <c r="B10318" s="2">
        <v>44322</v>
      </c>
      <c r="C10318" s="1">
        <v>1996</v>
      </c>
      <c r="D10318" s="39">
        <f t="shared" si="1702"/>
        <v>284503</v>
      </c>
      <c r="E10318" s="1">
        <v>21</v>
      </c>
      <c r="F10318" s="39">
        <f t="shared" si="1703"/>
        <v>4763</v>
      </c>
      <c r="G10318" s="168">
        <f>SUM(C10318,C10294,C10270,C10246,C10222,C10198,C10174,C10150,C10126,C10102,C10078,C10054,C10030,C10006)/POBLA!$B$21*100000</f>
        <v>685.12828517443359</v>
      </c>
      <c r="H10318" s="256">
        <f t="shared" si="1707"/>
        <v>1.1177800332164607</v>
      </c>
      <c r="I10318" s="297">
        <f t="shared" si="1704"/>
        <v>765.8227173598151</v>
      </c>
      <c r="J10318" s="297">
        <f t="shared" si="1705"/>
        <v>1725.4285714285713</v>
      </c>
      <c r="K10318" s="297">
        <f>J10318/POBLA!$B$21*100000</f>
        <v>48.790289253944849</v>
      </c>
      <c r="L10318" s="68">
        <f t="shared" si="1706"/>
        <v>6.0077359888075499E-3</v>
      </c>
      <c r="M10318" s="401">
        <f>SUM(C10318,C10294,C10270,C10246,C10222,C10198,C10174)/POBLA!$B$21*100000</f>
        <v>341.53202477761397</v>
      </c>
    </row>
    <row r="10319" spans="1:13" s="360" customFormat="1" x14ac:dyDescent="0.25">
      <c r="A10319" s="367" t="s">
        <v>38</v>
      </c>
      <c r="B10319" s="2">
        <v>44322</v>
      </c>
      <c r="C10319" s="1">
        <v>345</v>
      </c>
      <c r="D10319" s="39">
        <f t="shared" si="1702"/>
        <v>31906</v>
      </c>
      <c r="E10319" s="1"/>
      <c r="F10319" s="39">
        <f t="shared" si="1703"/>
        <v>363</v>
      </c>
      <c r="G10319" s="168">
        <f>SUM(C10319,C10295,C10271,C10247,C10223,C10199,C10175,C10151,C10127,C10103,C10079,C10055,C10031,C10007)/POBLA!$B$22*100000</f>
        <v>288.45573962525282</v>
      </c>
      <c r="H10319" s="256">
        <f t="shared" si="1707"/>
        <v>0.98088286409454295</v>
      </c>
      <c r="I10319" s="297">
        <f t="shared" si="1704"/>
        <v>282.94129204812771</v>
      </c>
      <c r="J10319" s="297">
        <f t="shared" si="1705"/>
        <v>203.28571428571428</v>
      </c>
      <c r="K10319" s="297">
        <f>J10319/POBLA!$B$22*100000</f>
        <v>20.779210159296081</v>
      </c>
      <c r="L10319" s="68">
        <f t="shared" si="1706"/>
        <v>-1.71551107934238E-2</v>
      </c>
      <c r="M10319" s="401">
        <f>SUM(C10319,C10295,C10271,C10247,C10223,C10199,C10175)/POBLA!$B$22*100000</f>
        <v>145.45447111507258</v>
      </c>
    </row>
    <row r="10320" spans="1:13" s="360" customFormat="1" x14ac:dyDescent="0.25">
      <c r="A10320" s="367" t="s">
        <v>39</v>
      </c>
      <c r="B10320" s="2">
        <v>44322</v>
      </c>
      <c r="C10320" s="1">
        <v>88</v>
      </c>
      <c r="D10320" s="39">
        <f t="shared" si="1702"/>
        <v>26847</v>
      </c>
      <c r="E10320" s="1">
        <v>3</v>
      </c>
      <c r="F10320" s="39">
        <f t="shared" si="1703"/>
        <v>396</v>
      </c>
      <c r="G10320" s="168">
        <f>SUM(C10320,C10296,C10272,C10248,C10224,C10200,C10176,C10152,C10128,C10104,C10080,C10056,C10032,C10008)/POBLA!$B$23*100000</f>
        <v>594.92167618616747</v>
      </c>
      <c r="H10320" s="256">
        <f t="shared" si="1707"/>
        <v>0.8470209339774557</v>
      </c>
      <c r="I10320" s="297">
        <f t="shared" si="1704"/>
        <v>503.91111380664103</v>
      </c>
      <c r="J10320" s="297">
        <f t="shared" si="1705"/>
        <v>68.142857142857139</v>
      </c>
      <c r="K10320" s="297">
        <f>J10320/POBLA!$B$23*100000</f>
        <v>38.53580113264556</v>
      </c>
      <c r="L10320" s="68">
        <f t="shared" si="1706"/>
        <v>0.1704347826086956</v>
      </c>
      <c r="M10320" s="401">
        <f>SUM(C10320,C10296,C10272,C10248,C10224,C10200,C10176)/POBLA!$B$23*100000</f>
        <v>269.75060792851895</v>
      </c>
    </row>
    <row r="10321" spans="1:13" s="360" customFormat="1" ht="15.75" thickBot="1" x14ac:dyDescent="0.3">
      <c r="A10321" s="368" t="s">
        <v>40</v>
      </c>
      <c r="B10321" s="34">
        <v>44322</v>
      </c>
      <c r="C10321" s="232">
        <v>577</v>
      </c>
      <c r="D10321" s="67">
        <f t="shared" si="1702"/>
        <v>109322</v>
      </c>
      <c r="E10321" s="232">
        <v>7</v>
      </c>
      <c r="F10321" s="67">
        <f t="shared" si="1703"/>
        <v>1691</v>
      </c>
      <c r="G10321" s="255">
        <f>SUM(C10321,C10297,C10273,C10249,C10225,C10201,C10177,C10153,C10129,C10105,C10081,C10057,C10033,C10009)/POBLA!$B$24*100000</f>
        <v>493.49248461044601</v>
      </c>
      <c r="H10321" s="257">
        <f t="shared" si="1707"/>
        <v>0.9072466912562378</v>
      </c>
      <c r="I10321" s="299">
        <f t="shared" si="1704"/>
        <v>447.719423822647</v>
      </c>
      <c r="J10321" s="299">
        <f t="shared" si="1705"/>
        <v>523.28571428571433</v>
      </c>
      <c r="K10321" s="299">
        <f>J10321/POBLA!$B$24*100000</f>
        <v>30.878580330504498</v>
      </c>
      <c r="L10321" s="68">
        <f t="shared" si="1706"/>
        <v>0.22063829787234046</v>
      </c>
      <c r="M10321" s="406">
        <f>SUM(C10321,C10297,C10273,C10249,C10225,C10201,C10177)/POBLA!$B$24*100000</f>
        <v>216.15006231353149</v>
      </c>
    </row>
    <row r="10322" spans="1:13" x14ac:dyDescent="0.25">
      <c r="A10322" s="363" t="s">
        <v>16</v>
      </c>
      <c r="B10322" s="265">
        <v>44323</v>
      </c>
      <c r="C10322" s="356">
        <v>9793</v>
      </c>
      <c r="D10322" s="174">
        <f t="shared" si="1702"/>
        <v>1363169</v>
      </c>
      <c r="E10322" s="43">
        <v>362</v>
      </c>
      <c r="F10322" s="174">
        <f t="shared" ref="F10322:F10345" si="1708">E10322+F10298</f>
        <v>34506</v>
      </c>
      <c r="G10322" s="175">
        <f>SUM(C10322,C10298,C10274,C10250,C10226,C10202,C10178,C10154,C10130,C10106,C10082,C10058,C10034,C10010)/POBLA!$B$1*100000</f>
        <v>771.13569750109184</v>
      </c>
      <c r="H10322" s="300">
        <f t="shared" si="1707"/>
        <v>0.81746046134972294</v>
      </c>
      <c r="I10322" s="301">
        <f>G10322*H10322</f>
        <v>630.37294304248292</v>
      </c>
      <c r="J10322" s="301">
        <f>AVERAGE(C10322,C10298,C10274,C10250,C10226,C10202,C10178)</f>
        <v>9037.2857142857138</v>
      </c>
      <c r="K10322" s="301">
        <f>J10322/POBLA!$B$1*100000</f>
        <v>51.520512344583018</v>
      </c>
      <c r="L10322" s="68">
        <f t="shared" si="1706"/>
        <v>0.12143601138809801</v>
      </c>
      <c r="M10322" s="400">
        <f>SUM(C10322,C10298,C10274,C10250,C10226,C10202,C10178)/POBLA!$B$1*100000</f>
        <v>360.64358641208116</v>
      </c>
    </row>
    <row r="10323" spans="1:13" x14ac:dyDescent="0.25">
      <c r="A10323" s="367" t="s">
        <v>43</v>
      </c>
      <c r="B10323" s="2">
        <v>44323</v>
      </c>
      <c r="C10323" s="4">
        <v>2079</v>
      </c>
      <c r="D10323" s="39">
        <f t="shared" si="1702"/>
        <v>358249</v>
      </c>
      <c r="E10323" s="1">
        <v>55</v>
      </c>
      <c r="F10323" s="39">
        <f t="shared" si="1708"/>
        <v>8082</v>
      </c>
      <c r="G10323" s="168">
        <f>SUM(C10323,C10299,C10275,C10251,C10227,C10203,C10179,C10155,C10131,C10107,C10083,C10059,C10035,C10011)/POBLA!$B$2*100000</f>
        <v>1171.3311609983723</v>
      </c>
      <c r="H10323" s="256">
        <f t="shared" si="1707"/>
        <v>0.8654063273198972</v>
      </c>
      <c r="I10323" s="297">
        <f t="shared" ref="I10323:I10345" si="1709">G10323*H10323</f>
        <v>1013.6773981149526</v>
      </c>
      <c r="J10323" s="297">
        <f t="shared" ref="J10323:J10345" si="1710">AVERAGE(C10323,C10299,C10275,C10251,C10227,C10203,C10179)</f>
        <v>2301.2857142857142</v>
      </c>
      <c r="K10323" s="297">
        <f>J10323/POBLA!$B$2*100000</f>
        <v>74.822840934415538</v>
      </c>
      <c r="L10323" s="68">
        <f t="shared" si="1706"/>
        <v>0.19119345282924138</v>
      </c>
      <c r="M10323" s="401">
        <f>SUM(C10323,C10299,C10275,C10251,C10227,C10203,C10179)/POBLA!$B$2*100000</f>
        <v>523.75988654090872</v>
      </c>
    </row>
    <row r="10324" spans="1:13" x14ac:dyDescent="0.25">
      <c r="A10324" s="367" t="s">
        <v>28</v>
      </c>
      <c r="B10324" s="2">
        <v>44323</v>
      </c>
      <c r="C10324" s="4">
        <v>186</v>
      </c>
      <c r="D10324" s="39">
        <f t="shared" si="1702"/>
        <v>15883</v>
      </c>
      <c r="E10324" s="1">
        <v>1</v>
      </c>
      <c r="F10324" s="39">
        <f t="shared" si="1708"/>
        <v>107</v>
      </c>
      <c r="G10324" s="168">
        <f>SUM(C10324,C10300,C10276,C10252,C10228,C10204,C10180,C10156,C10132,C10108,C10084,C10060,C10036,C10012)/POBLA!$B$3*100000</f>
        <v>518.48892012767249</v>
      </c>
      <c r="H10324" s="256">
        <f t="shared" si="1707"/>
        <v>0.93085566119273988</v>
      </c>
      <c r="I10324" s="297">
        <f t="shared" si="1709"/>
        <v>482.63834656655428</v>
      </c>
      <c r="J10324" s="297">
        <f t="shared" si="1710"/>
        <v>140.57142857142858</v>
      </c>
      <c r="K10324" s="297">
        <f>J10324/POBLA!$B$3*100000</f>
        <v>33.836921170289806</v>
      </c>
      <c r="L10324" s="68">
        <f t="shared" si="1706"/>
        <v>0.15897435897435896</v>
      </c>
      <c r="M10324" s="401">
        <f>SUM(C10324,C10300,C10276,C10252,C10228,C10204,C10180)/POBLA!$B$3*100000</f>
        <v>236.85844819202867</v>
      </c>
    </row>
    <row r="10325" spans="1:13" x14ac:dyDescent="0.25">
      <c r="A10325" s="367" t="s">
        <v>15</v>
      </c>
      <c r="B10325" s="2">
        <v>44323</v>
      </c>
      <c r="C10325" s="4">
        <v>353</v>
      </c>
      <c r="D10325" s="39">
        <f t="shared" si="1702"/>
        <v>46640</v>
      </c>
      <c r="E10325" s="1">
        <v>3</v>
      </c>
      <c r="F10325" s="39">
        <f t="shared" si="1708"/>
        <v>1071</v>
      </c>
      <c r="G10325" s="168">
        <f>SUM(C10325,C10301,C10277,C10253,C10229,C10205,C10181,C10157,C10133,C10109,C10085,C10061,C10037,C10013)/POBLA!$B$4*100000</f>
        <v>285.41992343971685</v>
      </c>
      <c r="H10325" s="256">
        <f t="shared" si="1707"/>
        <v>1.0763932373199749</v>
      </c>
      <c r="I10325" s="297">
        <f t="shared" si="1709"/>
        <v>307.22407538689623</v>
      </c>
      <c r="J10325" s="297">
        <f t="shared" si="1710"/>
        <v>262.28571428571428</v>
      </c>
      <c r="K10325" s="297">
        <f>J10325/POBLA!$B$4*100000</f>
        <v>21.77474359824317</v>
      </c>
      <c r="L10325" s="68">
        <f t="shared" si="1706"/>
        <v>-0.14606741573033699</v>
      </c>
      <c r="M10325" s="401">
        <f>SUM(C10325,C10301,C10277,C10253,C10229,C10205,C10181)/POBLA!$B$4*100000</f>
        <v>152.42320518770222</v>
      </c>
    </row>
    <row r="10326" spans="1:13" x14ac:dyDescent="0.25">
      <c r="A10326" s="367" t="s">
        <v>29</v>
      </c>
      <c r="B10326" s="2">
        <v>44323</v>
      </c>
      <c r="C10326" s="4">
        <v>274</v>
      </c>
      <c r="D10326" s="39">
        <f t="shared" si="1702"/>
        <v>56118</v>
      </c>
      <c r="E10326" s="1">
        <v>1</v>
      </c>
      <c r="F10326" s="39">
        <f t="shared" si="1708"/>
        <v>931</v>
      </c>
      <c r="G10326" s="168">
        <f>SUM(C10326,C10302,C10278,C10254,C10230,C10206,C10182,C10158,C10134,C10110,C10086,C10062,C10038,C10014)/POBLA!$B$5*100000</f>
        <v>381.10224008633361</v>
      </c>
      <c r="H10326" s="256">
        <f t="shared" si="1707"/>
        <v>0.9240109674892284</v>
      </c>
      <c r="I10326" s="297">
        <f t="shared" si="1709"/>
        <v>352.14264957448535</v>
      </c>
      <c r="J10326" s="297">
        <f t="shared" si="1710"/>
        <v>177.42857142857142</v>
      </c>
      <c r="K10326" s="297">
        <f>J10326/POBLA!$B$5*100000</f>
        <v>28.664021206759905</v>
      </c>
      <c r="L10326" s="68">
        <f t="shared" si="1706"/>
        <v>-0.11190689346463745</v>
      </c>
      <c r="M10326" s="401">
        <f>SUM(C10326,C10302,C10278,C10254,C10230,C10206,C10182)/POBLA!$B$5*100000</f>
        <v>200.64814844731933</v>
      </c>
    </row>
    <row r="10327" spans="1:13" x14ac:dyDescent="0.25">
      <c r="A10327" s="367" t="s">
        <v>30</v>
      </c>
      <c r="B10327" s="2">
        <v>44323</v>
      </c>
      <c r="C10327" s="4">
        <v>134</v>
      </c>
      <c r="D10327" s="39">
        <f t="shared" si="1702"/>
        <v>38716</v>
      </c>
      <c r="E10327" s="1">
        <v>8</v>
      </c>
      <c r="F10327" s="39">
        <f t="shared" si="1708"/>
        <v>521</v>
      </c>
      <c r="G10327" s="168">
        <f>SUM(C10327,C10303,C10279,C10255,C10231,C10207,C10183,C10159,C10135,C10111,C10087,C10063,C10039,C10015)/POBLA!$B$6*100000</f>
        <v>237.24104457437139</v>
      </c>
      <c r="H10327" s="256">
        <f t="shared" si="1707"/>
        <v>0.80992994212610414</v>
      </c>
      <c r="I10327" s="297">
        <f t="shared" si="1709"/>
        <v>192.14862550205711</v>
      </c>
      <c r="J10327" s="297">
        <f t="shared" si="1710"/>
        <v>173.85714285714286</v>
      </c>
      <c r="K10327" s="297">
        <f>J10327/POBLA!$B$6*100000</f>
        <v>15.511865429915112</v>
      </c>
      <c r="L10327" s="68">
        <f t="shared" si="1706"/>
        <v>0.15603328710124831</v>
      </c>
      <c r="M10327" s="401">
        <f>SUM(C10327,C10303,C10279,C10255,C10231,C10207,C10183)/POBLA!$B$6*100000</f>
        <v>108.58305800940578</v>
      </c>
    </row>
    <row r="10328" spans="1:13" x14ac:dyDescent="0.25">
      <c r="A10328" s="367" t="s">
        <v>20</v>
      </c>
      <c r="B10328" s="2">
        <v>44323</v>
      </c>
      <c r="C10328" s="4">
        <v>1583</v>
      </c>
      <c r="D10328" s="39">
        <f t="shared" si="1702"/>
        <v>237830</v>
      </c>
      <c r="E10328" s="1">
        <v>10</v>
      </c>
      <c r="F10328" s="39">
        <f t="shared" si="1708"/>
        <v>3489</v>
      </c>
      <c r="G10328" s="168">
        <f>SUM(C10328,C10304,C10280,C10256,C10232,C10208,C10184,C10160,C10136,C10112,C10088,C10064,C10040,C10016)/POBLA!$B$7*100000</f>
        <v>568.92127272002017</v>
      </c>
      <c r="H10328" s="256">
        <f t="shared" si="1707"/>
        <v>0.90976356523218238</v>
      </c>
      <c r="I10328" s="297">
        <f t="shared" si="1709"/>
        <v>517.58384540619625</v>
      </c>
      <c r="J10328" s="297">
        <f t="shared" si="1710"/>
        <v>1502.8571428571429</v>
      </c>
      <c r="K10328" s="297">
        <f>J10328/POBLA!$B$7*100000</f>
        <v>39.964821839331535</v>
      </c>
      <c r="L10328" s="68">
        <f t="shared" si="1706"/>
        <v>3.2554717675188471E-2</v>
      </c>
      <c r="M10328" s="401">
        <f>SUM(C10328,C10304,C10280,C10256,C10232,C10208,C10184)/POBLA!$B$7*100000</f>
        <v>279.75375287532074</v>
      </c>
    </row>
    <row r="10329" spans="1:13" x14ac:dyDescent="0.25">
      <c r="A10329" s="367" t="s">
        <v>31</v>
      </c>
      <c r="B10329" s="2">
        <v>44323</v>
      </c>
      <c r="C10329" s="4">
        <v>741</v>
      </c>
      <c r="D10329" s="39">
        <f t="shared" si="1702"/>
        <v>66740</v>
      </c>
      <c r="E10329" s="1">
        <v>3</v>
      </c>
      <c r="F10329" s="39">
        <f t="shared" si="1708"/>
        <v>1093</v>
      </c>
      <c r="G10329" s="168">
        <f>SUM(C10329,C10305,C10281,C10257,C10233,C10209,C10185,C10161,C10137,C10113,C10089,C10065,C10041,C10017)/POBLA!$B$8*100000</f>
        <v>545.97495889133961</v>
      </c>
      <c r="H10329" s="256">
        <f t="shared" si="1707"/>
        <v>1.1208709820767293</v>
      </c>
      <c r="I10329" s="297">
        <f t="shared" si="1709"/>
        <v>611.9674883618377</v>
      </c>
      <c r="J10329" s="297">
        <f t="shared" si="1710"/>
        <v>542.57142857142856</v>
      </c>
      <c r="K10329" s="297">
        <f>J10329/POBLA!$B$8*100000</f>
        <v>39.14766927578976</v>
      </c>
      <c r="L10329" s="68">
        <f t="shared" si="1706"/>
        <v>-7.6943486335898648E-3</v>
      </c>
      <c r="M10329" s="401">
        <f>SUM(C10329,C10305,C10281,C10257,C10233,C10209,C10185)/POBLA!$B$8*100000</f>
        <v>274.03368493052835</v>
      </c>
    </row>
    <row r="10330" spans="1:13" x14ac:dyDescent="0.25">
      <c r="A10330" s="367" t="s">
        <v>41</v>
      </c>
      <c r="B10330" s="2">
        <v>44323</v>
      </c>
      <c r="C10330" s="4">
        <v>326</v>
      </c>
      <c r="D10330" s="39">
        <f t="shared" si="1702"/>
        <v>5765</v>
      </c>
      <c r="E10330" s="1">
        <v>1</v>
      </c>
      <c r="F10330" s="39">
        <f t="shared" si="1708"/>
        <v>105</v>
      </c>
      <c r="G10330" s="168">
        <f>SUM(C10330,C10306,C10282,C10258,C10234,C10210,C10186,C10162,C10138,C10114,C10090,C10066,C10042,C10018)/POBLA!$B$9*100000</f>
        <v>296.10388752017951</v>
      </c>
      <c r="H10330" s="256">
        <f t="shared" si="1707"/>
        <v>1.3453453453453454</v>
      </c>
      <c r="I10330" s="297">
        <f t="shared" si="1709"/>
        <v>398.36198681393523</v>
      </c>
      <c r="J10330" s="297">
        <f t="shared" si="1710"/>
        <v>177.28571428571428</v>
      </c>
      <c r="K10330" s="297">
        <f>J10330/POBLA!$B$9*100000</f>
        <v>29.294078795642758</v>
      </c>
      <c r="L10330" s="68">
        <f t="shared" si="1706"/>
        <v>-1.2522686025408349</v>
      </c>
      <c r="M10330" s="401">
        <f>SUM(C10330,C10306,C10282,C10258,C10234,C10210,C10186)/POBLA!$B$9*100000</f>
        <v>205.05855156949929</v>
      </c>
    </row>
    <row r="10331" spans="1:13" x14ac:dyDescent="0.25">
      <c r="A10331" s="367" t="s">
        <v>32</v>
      </c>
      <c r="B10331" s="2">
        <v>44323</v>
      </c>
      <c r="C10331" s="4">
        <v>126</v>
      </c>
      <c r="D10331" s="39">
        <f t="shared" si="1702"/>
        <v>25507</v>
      </c>
      <c r="F10331" s="39">
        <f t="shared" si="1708"/>
        <v>1051</v>
      </c>
      <c r="G10331" s="168">
        <f>SUM(C10331,C10307,C10283,C10259,C10235,C10211,C10187,C10163,C10139,C10115,C10091,C10067,C10043,C10019)/POBLA!$B$10*100000</f>
        <v>173.17848020641318</v>
      </c>
      <c r="H10331" s="256">
        <f t="shared" si="1707"/>
        <v>1.0871335504885993</v>
      </c>
      <c r="I10331" s="297">
        <f t="shared" si="1709"/>
        <v>188.26813605501758</v>
      </c>
      <c r="J10331" s="297">
        <f t="shared" si="1710"/>
        <v>91.428571428571431</v>
      </c>
      <c r="K10331" s="297">
        <f>J10331/POBLA!$B$10*100000</f>
        <v>11.860270447523213</v>
      </c>
      <c r="L10331" s="68">
        <f t="shared" si="1706"/>
        <v>7.9136690647481966E-2</v>
      </c>
      <c r="M10331" s="401">
        <f>SUM(C10331,C10307,C10283,C10259,C10235,C10211,C10187)/POBLA!$B$10*100000</f>
        <v>83.021893132662498</v>
      </c>
    </row>
    <row r="10332" spans="1:13" x14ac:dyDescent="0.25">
      <c r="A10332" s="367" t="s">
        <v>33</v>
      </c>
      <c r="B10332" s="2">
        <v>44323</v>
      </c>
      <c r="C10332" s="4">
        <v>366</v>
      </c>
      <c r="D10332" s="39">
        <f t="shared" si="1702"/>
        <v>29402</v>
      </c>
      <c r="E10332" s="1">
        <v>10</v>
      </c>
      <c r="F10332" s="39">
        <f t="shared" si="1708"/>
        <v>409</v>
      </c>
      <c r="G10332" s="168">
        <f>SUM(C10332,C10308,C10284,C10260,C10236,C10212,C10188,C10164,C10140,C10116,C10092,C10068,C10044,C10020)/POBLA!$B$11*100000</f>
        <v>1126.3070965437967</v>
      </c>
      <c r="H10332" s="256">
        <f t="shared" si="1707"/>
        <v>1.3944732297063904</v>
      </c>
      <c r="I10332" s="297">
        <f t="shared" si="1709"/>
        <v>1570.6050945586553</v>
      </c>
      <c r="J10332" s="297">
        <f t="shared" si="1710"/>
        <v>324.57142857142856</v>
      </c>
      <c r="K10332" s="297">
        <f>J10332/POBLA!$B$11*100000</f>
        <v>90.554149946831316</v>
      </c>
      <c r="L10332" s="68">
        <f t="shared" si="1706"/>
        <v>-0.28725212464589234</v>
      </c>
      <c r="M10332" s="401">
        <f>SUM(C10332,C10308,C10284,C10260,C10236,C10212,C10188)/POBLA!$B$11*100000</f>
        <v>633.8790496278192</v>
      </c>
    </row>
    <row r="10333" spans="1:13" x14ac:dyDescent="0.25">
      <c r="A10333" s="367" t="s">
        <v>21</v>
      </c>
      <c r="B10333" s="2">
        <v>44323</v>
      </c>
      <c r="C10333" s="4">
        <v>85</v>
      </c>
      <c r="D10333" s="39">
        <f t="shared" si="1702"/>
        <v>14084</v>
      </c>
      <c r="F10333" s="39">
        <f t="shared" si="1708"/>
        <v>498</v>
      </c>
      <c r="G10333" s="168">
        <f>SUM(C10333,C10309,C10285,C10261,C10237,C10213,C10189,C10165,C10141,C10117,C10093,C10069,C10045,C10021)/POBLA!$B$12*100000</f>
        <v>299.59520342743008</v>
      </c>
      <c r="H10333" s="256">
        <f t="shared" si="1707"/>
        <v>1.0424403183023874</v>
      </c>
      <c r="I10333" s="297">
        <f t="shared" si="1709"/>
        <v>312.31011922275871</v>
      </c>
      <c r="J10333" s="297">
        <f t="shared" si="1710"/>
        <v>102</v>
      </c>
      <c r="K10333" s="297">
        <f>J10333/POBLA!$B$12*100000</f>
        <v>25.919177904663165</v>
      </c>
      <c r="L10333" s="68">
        <f t="shared" si="1706"/>
        <v>-0.53548387096774186</v>
      </c>
      <c r="M10333" s="401">
        <f>SUM(C10333,C10309,C10285,C10261,C10237,C10213,C10189)/POBLA!$B$12*100000</f>
        <v>181.43424533264215</v>
      </c>
    </row>
    <row r="10334" spans="1:13" x14ac:dyDescent="0.25">
      <c r="A10334" s="367" t="s">
        <v>17</v>
      </c>
      <c r="B10334" s="2">
        <v>44323</v>
      </c>
      <c r="C10334" s="4">
        <v>923</v>
      </c>
      <c r="D10334" s="39">
        <f t="shared" si="1702"/>
        <v>101616</v>
      </c>
      <c r="E10334" s="1">
        <v>16</v>
      </c>
      <c r="F10334" s="39">
        <f t="shared" si="1708"/>
        <v>1967</v>
      </c>
      <c r="G10334" s="168">
        <f>SUM(C10334,C10310,C10286,C10262,C10238,C10214,C10190,C10166,C10142,C10118,C10094,C10070,C10046,C10022)/POBLA!$B$13*100000</f>
        <v>527.64907267006913</v>
      </c>
      <c r="H10334" s="256">
        <f t="shared" si="1707"/>
        <v>0.85604825562438869</v>
      </c>
      <c r="I10334" s="297">
        <f t="shared" si="1709"/>
        <v>451.69306824103899</v>
      </c>
      <c r="J10334" s="297">
        <f t="shared" si="1710"/>
        <v>730.57142857142856</v>
      </c>
      <c r="K10334" s="297">
        <f>J10334/POBLA!$B$13*100000</f>
        <v>36.70589761997352</v>
      </c>
      <c r="L10334" s="68">
        <f t="shared" si="1706"/>
        <v>5.08537490720119E-2</v>
      </c>
      <c r="M10334" s="401">
        <f>SUM(C10334,C10310,C10286,C10262,C10238,C10214,C10190)/POBLA!$B$13*100000</f>
        <v>256.94128333981467</v>
      </c>
    </row>
    <row r="10335" spans="1:13" x14ac:dyDescent="0.25">
      <c r="A10335" s="367" t="s">
        <v>23</v>
      </c>
      <c r="B10335" s="2">
        <v>44323</v>
      </c>
      <c r="C10335" s="4">
        <v>225</v>
      </c>
      <c r="D10335" s="39">
        <f t="shared" si="1702"/>
        <v>16580</v>
      </c>
      <c r="F10335" s="39">
        <f t="shared" si="1708"/>
        <v>240</v>
      </c>
      <c r="G10335" s="168">
        <f>SUM(C10335,C10311,C10287,C10263,C10239,C10215,C10191,C10167,C10143,C10119,C10095,C10071,C10047,C10023)/POBLA!$B$14*100000</f>
        <v>138.11212928944403</v>
      </c>
      <c r="H10335" s="256">
        <f t="shared" si="1707"/>
        <v>0.96777777777777774</v>
      </c>
      <c r="I10335" s="297">
        <f t="shared" si="1709"/>
        <v>133.66184956789527</v>
      </c>
      <c r="J10335" s="297">
        <f t="shared" si="1710"/>
        <v>135.85714285714286</v>
      </c>
      <c r="K10335" s="297">
        <f>J10335/POBLA!$B$14*100000</f>
        <v>10.771251021343387</v>
      </c>
      <c r="L10335" s="68">
        <f t="shared" si="1706"/>
        <v>-0.20227560050568894</v>
      </c>
      <c r="M10335" s="401">
        <f>SUM(C10335,C10311,C10287,C10263,C10239,C10215,C10191)/POBLA!$B$14*100000</f>
        <v>75.398757149403707</v>
      </c>
    </row>
    <row r="10336" spans="1:13" x14ac:dyDescent="0.25">
      <c r="A10336" s="367" t="s">
        <v>19</v>
      </c>
      <c r="B10336" s="2">
        <v>44323</v>
      </c>
      <c r="C10336" s="4">
        <v>608</v>
      </c>
      <c r="D10336" s="39">
        <f t="shared" si="1702"/>
        <v>74049</v>
      </c>
      <c r="E10336" s="1">
        <v>4</v>
      </c>
      <c r="F10336" s="39">
        <f t="shared" si="1708"/>
        <v>1108</v>
      </c>
      <c r="G10336" s="168">
        <f>SUM(C10336,C10312,C10288,C10264,C10240,C10216,C10192,C10168,C10144,C10120,C10096,C10072,C10048,C10024)/POBLA!$B$15*100000</f>
        <v>761.22983418592071</v>
      </c>
      <c r="H10336" s="256">
        <f t="shared" si="1707"/>
        <v>1.9104308390022675</v>
      </c>
      <c r="I10336" s="297">
        <f t="shared" si="1709"/>
        <v>1454.2769507973655</v>
      </c>
      <c r="J10336" s="297">
        <f t="shared" si="1710"/>
        <v>418.85714285714283</v>
      </c>
      <c r="K10336" s="297">
        <f>J10336/POBLA!$B$15*100000</f>
        <v>63.075480396583856</v>
      </c>
      <c r="L10336" s="68">
        <f t="shared" si="1706"/>
        <v>-0.38106453132359874</v>
      </c>
      <c r="M10336" s="401">
        <f>SUM(C10336,C10312,C10288,C10264,C10240,C10216,C10192)/POBLA!$B$15*100000</f>
        <v>441.52836277608702</v>
      </c>
    </row>
    <row r="10337" spans="1:13" x14ac:dyDescent="0.25">
      <c r="A10337" s="367" t="s">
        <v>18</v>
      </c>
      <c r="B10337" s="2">
        <v>44323</v>
      </c>
      <c r="C10337" s="4">
        <v>321</v>
      </c>
      <c r="D10337" s="39">
        <f t="shared" si="1702"/>
        <v>63438</v>
      </c>
      <c r="E10337" s="1">
        <v>4</v>
      </c>
      <c r="F10337" s="39">
        <f t="shared" si="1708"/>
        <v>1390</v>
      </c>
      <c r="G10337" s="168">
        <f>SUM(C10337,C10313,C10289,C10265,C10241,C10217,C10193,C10169,C10145,C10121,C10097,C10073,C10049,C10025)/POBLA!$B$16*100000</f>
        <v>526.61146854643459</v>
      </c>
      <c r="H10337" s="256">
        <f t="shared" si="1707"/>
        <v>1.3543171654626762</v>
      </c>
      <c r="I10337" s="297">
        <f t="shared" si="1709"/>
        <v>713.19895138194454</v>
      </c>
      <c r="J10337" s="297">
        <f t="shared" si="1710"/>
        <v>283.57142857142856</v>
      </c>
      <c r="K10337" s="297">
        <f>J10337/POBLA!$B$16*100000</f>
        <v>37.930395335994504</v>
      </c>
      <c r="L10337" s="68">
        <f t="shared" si="1706"/>
        <v>-1.6905737704917989E-2</v>
      </c>
      <c r="M10337" s="401">
        <f>SUM(C10337,C10313,C10289,C10265,C10241,C10217,C10193)/POBLA!$B$16*100000</f>
        <v>265.51276735196154</v>
      </c>
    </row>
    <row r="10338" spans="1:13" x14ac:dyDescent="0.25">
      <c r="A10338" s="367" t="s">
        <v>34</v>
      </c>
      <c r="B10338" s="2">
        <v>44323</v>
      </c>
      <c r="C10338" s="4">
        <v>270</v>
      </c>
      <c r="D10338" s="39">
        <f t="shared" si="1702"/>
        <v>36159</v>
      </c>
      <c r="E10338" s="1">
        <v>1</v>
      </c>
      <c r="F10338" s="39">
        <f t="shared" si="1708"/>
        <v>1298</v>
      </c>
      <c r="G10338" s="168">
        <f>SUM(C10338,C10314,C10290,C10266,C10242,C10218,C10194,C10170,C10146,C10122,C10098,C10074,C10050,C10026)/POBLA!$B$17*100000</f>
        <v>188.57102338744042</v>
      </c>
      <c r="H10338" s="256">
        <f t="shared" ref="H10338:H10361" si="1711">SUM(C10338,C10314,C10290,C10266,C10242,C10218,C10194,C10170,C10146,C10122,C10098,C10074,C10050,C10026)/SUM(C10002,C9978,C9954,C9930,C9906,C9882,C9858,C9834,C9810,C9786,C9762,C9738,C9714,C9690)</f>
        <v>0.98064987221613731</v>
      </c>
      <c r="I10338" s="297">
        <f t="shared" si="1709"/>
        <v>184.92214998855968</v>
      </c>
      <c r="J10338" s="297">
        <f t="shared" si="1710"/>
        <v>196.28571428571428</v>
      </c>
      <c r="K10338" s="297">
        <f>J10338/POBLA!$B$17*100000</f>
        <v>13.780267319133239</v>
      </c>
      <c r="L10338" s="68">
        <f t="shared" si="1706"/>
        <v>-4.7256097560975707E-2</v>
      </c>
      <c r="M10338" s="401">
        <f>SUM(C10338,C10314,C10290,C10266,C10242,C10218,C10194)/POBLA!$B$17*100000</f>
        <v>96.461871233932669</v>
      </c>
    </row>
    <row r="10339" spans="1:13" x14ac:dyDescent="0.25">
      <c r="A10339" s="367" t="s">
        <v>35</v>
      </c>
      <c r="B10339" s="2">
        <v>44323</v>
      </c>
      <c r="C10339" s="4">
        <v>480</v>
      </c>
      <c r="D10339" s="39">
        <f t="shared" si="1702"/>
        <v>25962</v>
      </c>
      <c r="E10339" s="1">
        <v>74</v>
      </c>
      <c r="F10339" s="39">
        <f t="shared" si="1708"/>
        <v>484</v>
      </c>
      <c r="G10339" s="168">
        <f>SUM(C10339,C10315,C10291,C10267,C10243,C10219,C10195,C10171,C10147,C10123,C10099,C10075,C10051,C10027)/POBLA!$B$18*100000</f>
        <v>540.18281732220362</v>
      </c>
      <c r="H10339" s="256">
        <f t="shared" si="1711"/>
        <v>1.3813420621931261</v>
      </c>
      <c r="I10339" s="297">
        <f t="shared" si="1709"/>
        <v>746.17724684114546</v>
      </c>
      <c r="J10339" s="297">
        <f t="shared" si="1710"/>
        <v>334</v>
      </c>
      <c r="K10339" s="297">
        <f>J10339/POBLA!$B$18*100000</f>
        <v>42.753805920762098</v>
      </c>
      <c r="L10339" s="68">
        <f t="shared" si="1706"/>
        <v>-0.24229543039319879</v>
      </c>
      <c r="M10339" s="401">
        <f>SUM(C10339,C10315,C10291,C10267,C10243,C10219,C10195)/POBLA!$B$18*100000</f>
        <v>299.27664144533469</v>
      </c>
    </row>
    <row r="10340" spans="1:13" x14ac:dyDescent="0.25">
      <c r="A10340" s="367" t="s">
        <v>36</v>
      </c>
      <c r="B10340" s="2">
        <v>44323</v>
      </c>
      <c r="C10340" s="4">
        <v>451</v>
      </c>
      <c r="D10340" s="39">
        <f t="shared" si="1702"/>
        <v>40437</v>
      </c>
      <c r="E10340" s="1">
        <v>6</v>
      </c>
      <c r="F10340" s="39">
        <f t="shared" si="1708"/>
        <v>529</v>
      </c>
      <c r="G10340" s="168">
        <f>SUM(C10340,C10316,C10292,C10268,C10244,C10220,C10196,C10172,C10148,C10124,C10100,C10076,C10052,C10028)/POBLA!$B$19*100000</f>
        <v>1386.1129034796431</v>
      </c>
      <c r="H10340" s="256">
        <f t="shared" si="1711"/>
        <v>0.90460906406470665</v>
      </c>
      <c r="I10340" s="297">
        <f t="shared" si="1709"/>
        <v>1253.8902963047331</v>
      </c>
      <c r="J10340" s="297">
        <f t="shared" si="1710"/>
        <v>423.28571428571428</v>
      </c>
      <c r="K10340" s="297">
        <f>J10340/POBLA!$B$19*100000</f>
        <v>83.270194497590978</v>
      </c>
      <c r="L10340" s="68">
        <f t="shared" si="1706"/>
        <v>0.27430810678422723</v>
      </c>
      <c r="M10340" s="401">
        <f>SUM(C10340,C10316,C10292,C10268,C10244,C10220,C10196)/POBLA!$B$19*100000</f>
        <v>582.89136148313685</v>
      </c>
    </row>
    <row r="10341" spans="1:13" x14ac:dyDescent="0.25">
      <c r="A10341" s="367" t="s">
        <v>37</v>
      </c>
      <c r="B10341" s="2">
        <v>44323</v>
      </c>
      <c r="C10341" s="4">
        <v>254</v>
      </c>
      <c r="D10341" s="39">
        <f t="shared" si="1702"/>
        <v>46237</v>
      </c>
      <c r="E10341" s="1">
        <v>4</v>
      </c>
      <c r="F10341" s="39">
        <f t="shared" si="1708"/>
        <v>733</v>
      </c>
      <c r="G10341" s="168">
        <f>SUM(C10341,C10317,C10293,C10269,C10245,C10221,C10197,C10173,C10149,C10125,C10101,C10077,C10053,C10029)/POBLA!$B$20*100000</f>
        <v>796.55890926392817</v>
      </c>
      <c r="H10341" s="256">
        <f t="shared" si="1711"/>
        <v>1.1021566401816119</v>
      </c>
      <c r="I10341" s="297">
        <f t="shared" si="1709"/>
        <v>877.93269114106045</v>
      </c>
      <c r="J10341" s="297">
        <f t="shared" si="1710"/>
        <v>210.71428571428572</v>
      </c>
      <c r="K10341" s="297">
        <f>J10341/POBLA!$B$20*100000</f>
        <v>57.619753379642681</v>
      </c>
      <c r="L10341" s="68">
        <f t="shared" si="1706"/>
        <v>-2.5730180806675884E-2</v>
      </c>
      <c r="M10341" s="401">
        <f>SUM(C10341,C10317,C10293,C10269,C10245,C10221,C10197)/POBLA!$B$20*100000</f>
        <v>403.3382736574988</v>
      </c>
    </row>
    <row r="10342" spans="1:13" x14ac:dyDescent="0.25">
      <c r="A10342" s="367" t="s">
        <v>22</v>
      </c>
      <c r="B10342" s="2">
        <v>44323</v>
      </c>
      <c r="C10342" s="4">
        <v>1946</v>
      </c>
      <c r="D10342" s="39">
        <f t="shared" si="1702"/>
        <v>286449</v>
      </c>
      <c r="E10342" s="1">
        <v>23</v>
      </c>
      <c r="F10342" s="39">
        <f t="shared" si="1708"/>
        <v>4786</v>
      </c>
      <c r="G10342" s="168">
        <f>SUM(C10342,C10318,C10294,C10270,C10246,C10222,C10198,C10174,C10150,C10126,C10102,C10078,C10054,C10030)/POBLA!$B$21*100000</f>
        <v>685.63727477916916</v>
      </c>
      <c r="H10342" s="256">
        <f t="shared" si="1711"/>
        <v>1.0933399467917211</v>
      </c>
      <c r="I10342" s="297">
        <f t="shared" si="1709"/>
        <v>749.63462152547743</v>
      </c>
      <c r="J10342" s="297">
        <f t="shared" si="1710"/>
        <v>1725.5714285714287</v>
      </c>
      <c r="K10342" s="297">
        <f>J10342/POBLA!$B$21*100000</f>
        <v>48.794328853982435</v>
      </c>
      <c r="L10342" s="68">
        <f t="shared" si="1706"/>
        <v>7.3142669296515361E-3</v>
      </c>
      <c r="M10342" s="401">
        <f>SUM(C10342,C10318,C10294,C10270,C10246,C10222,C10198)/POBLA!$B$21*100000</f>
        <v>341.56030197787703</v>
      </c>
    </row>
    <row r="10343" spans="1:13" x14ac:dyDescent="0.25">
      <c r="A10343" s="367" t="s">
        <v>38</v>
      </c>
      <c r="B10343" s="2">
        <v>44323</v>
      </c>
      <c r="C10343" s="4">
        <v>349</v>
      </c>
      <c r="D10343" s="39">
        <f t="shared" si="1702"/>
        <v>32255</v>
      </c>
      <c r="E10343" s="1">
        <v>2</v>
      </c>
      <c r="F10343" s="39">
        <f t="shared" si="1708"/>
        <v>365</v>
      </c>
      <c r="G10343" s="168">
        <f>SUM(C10343,C10319,C10295,C10271,C10247,C10223,C10199,C10175,C10151,C10127,C10103,C10079,C10055,C10031)/POBLA!$B$22*100000</f>
        <v>299.08628424645281</v>
      </c>
      <c r="H10343" s="256">
        <f t="shared" si="1711"/>
        <v>1.0093135563987581</v>
      </c>
      <c r="I10343" s="297">
        <f t="shared" si="1709"/>
        <v>301.87184122287715</v>
      </c>
      <c r="J10343" s="297">
        <f t="shared" si="1710"/>
        <v>230.28571428571428</v>
      </c>
      <c r="K10343" s="297">
        <f>J10343/POBLA!$B$22*100000</f>
        <v>23.539063089799917</v>
      </c>
      <c r="L10343" s="68">
        <f t="shared" si="1706"/>
        <v>-0.22678843226788437</v>
      </c>
      <c r="M10343" s="401">
        <f>SUM(C10343,C10319,C10295,C10271,C10247,C10223,C10199)/POBLA!$B$22*100000</f>
        <v>164.77344162859941</v>
      </c>
    </row>
    <row r="10344" spans="1:13" x14ac:dyDescent="0.25">
      <c r="A10344" s="367" t="s">
        <v>39</v>
      </c>
      <c r="B10344" s="2">
        <v>44323</v>
      </c>
      <c r="C10344" s="4">
        <v>83</v>
      </c>
      <c r="D10344" s="39">
        <f t="shared" si="1702"/>
        <v>26930</v>
      </c>
      <c r="E10344" s="1">
        <v>5</v>
      </c>
      <c r="F10344" s="39">
        <f t="shared" si="1708"/>
        <v>401</v>
      </c>
      <c r="G10344" s="168">
        <f>SUM(C10344,C10320,C10296,C10272,C10248,C10224,C10200,C10176,C10152,C10128,C10104,C10080,C10056,C10032)/POBLA!$B$23*100000</f>
        <v>559.8597523044732</v>
      </c>
      <c r="H10344" s="256">
        <f t="shared" si="1711"/>
        <v>0.80097087378640774</v>
      </c>
      <c r="I10344" s="297">
        <f t="shared" si="1709"/>
        <v>448.43135500115574</v>
      </c>
      <c r="J10344" s="297">
        <f t="shared" si="1710"/>
        <v>70.857142857142861</v>
      </c>
      <c r="K10344" s="297">
        <f>J10344/POBLA!$B$23*100000</f>
        <v>40.070770150507755</v>
      </c>
      <c r="L10344" s="68">
        <f t="shared" si="1706"/>
        <v>-4.0485829959513442E-3</v>
      </c>
      <c r="M10344" s="401">
        <f>SUM(C10344,C10320,C10296,C10272,C10248,C10224,C10200)/POBLA!$B$23*100000</f>
        <v>280.49539105355427</v>
      </c>
    </row>
    <row r="10345" spans="1:13" ht="15.75" thickBot="1" x14ac:dyDescent="0.3">
      <c r="A10345" s="369" t="s">
        <v>40</v>
      </c>
      <c r="B10345" s="266">
        <v>44323</v>
      </c>
      <c r="C10345" s="357">
        <v>596</v>
      </c>
      <c r="D10345" s="176">
        <f t="shared" si="1702"/>
        <v>109918</v>
      </c>
      <c r="E10345" s="44">
        <v>16</v>
      </c>
      <c r="F10345" s="176">
        <f t="shared" si="1708"/>
        <v>1707</v>
      </c>
      <c r="G10345" s="177">
        <f>SUM(C10345,C10321,C10297,C10273,C10249,C10225,C10201,C10177,C10153,C10129,C10105,C10081,C10057,C10033)/POBLA!$B$24*100000</f>
        <v>472.78031647720832</v>
      </c>
      <c r="H10345" s="402">
        <f t="shared" si="1711"/>
        <v>0.86011808910359633</v>
      </c>
      <c r="I10345" s="403">
        <f t="shared" si="1709"/>
        <v>406.64690237416994</v>
      </c>
      <c r="J10345" s="403">
        <f t="shared" si="1710"/>
        <v>516.85714285714289</v>
      </c>
      <c r="K10345" s="403">
        <f>J10345/POBLA!$B$24*100000</f>
        <v>30.499236591800511</v>
      </c>
      <c r="L10345" s="68">
        <f t="shared" si="1706"/>
        <v>0.17660446062812929</v>
      </c>
      <c r="M10345" s="405">
        <f>SUM(C10345,C10321,C10297,C10273,C10249,C10225,C10201)/POBLA!$B$24*100000</f>
        <v>213.49465614260359</v>
      </c>
    </row>
    <row r="10346" spans="1:13" ht="15.75" thickBot="1" x14ac:dyDescent="0.3">
      <c r="A10346" s="363" t="s">
        <v>16</v>
      </c>
      <c r="B10346" s="266">
        <v>44324</v>
      </c>
      <c r="C10346" s="42">
        <v>7443</v>
      </c>
      <c r="D10346" s="174">
        <f t="shared" si="1702"/>
        <v>1370612</v>
      </c>
      <c r="E10346" s="225">
        <v>81</v>
      </c>
      <c r="F10346" s="174">
        <f t="shared" ref="F10346:F10369" si="1712">E10346+F10322</f>
        <v>34587</v>
      </c>
      <c r="G10346" s="175">
        <f>SUM(C10346,C10322,C10298,C10274,C10250,C10226,C10202,C10178,C10154,C10130,C10106,C10082,C10058,C10034)/POBLA!$B$1*100000</f>
        <v>755.66920076635836</v>
      </c>
      <c r="H10346" s="300">
        <f t="shared" si="1711"/>
        <v>0.80200026621812948</v>
      </c>
      <c r="I10346" s="301">
        <f>G10346*H10346</f>
        <v>606.04690018746055</v>
      </c>
      <c r="J10346" s="301">
        <f>AVERAGE(C10346,C10322,C10298,C10274,C10250,C10226,C10202)</f>
        <v>9028</v>
      </c>
      <c r="K10346" s="301">
        <f>J10346/POBLA!$B$1*100000</f>
        <v>51.467575569913038</v>
      </c>
      <c r="L10346" s="68">
        <f t="shared" si="1706"/>
        <v>8.8830255057168017E-2</v>
      </c>
      <c r="M10346" s="400">
        <f>SUM(C10346,C10322,C10298,C10274,C10250,C10226,C10202)/POBLA!$B$1*100000</f>
        <v>360.27302898939126</v>
      </c>
    </row>
    <row r="10347" spans="1:13" ht="15.75" thickBot="1" x14ac:dyDescent="0.3">
      <c r="A10347" s="367" t="s">
        <v>43</v>
      </c>
      <c r="B10347" s="266">
        <v>44324</v>
      </c>
      <c r="C10347" s="42">
        <v>2054</v>
      </c>
      <c r="D10347" s="39">
        <f t="shared" si="1702"/>
        <v>360303</v>
      </c>
      <c r="E10347" s="1">
        <v>22</v>
      </c>
      <c r="F10347" s="39">
        <f t="shared" si="1712"/>
        <v>8104</v>
      </c>
      <c r="G10347" s="168">
        <f>SUM(C10347,C10323,C10299,C10275,C10251,C10227,C10203,C10179,C10155,C10131,C10107,C10083,C10059,C10035)/POBLA!$B$2*100000</f>
        <v>1140.3132870297816</v>
      </c>
      <c r="H10347" s="256">
        <f t="shared" si="1711"/>
        <v>0.83215489014378585</v>
      </c>
      <c r="I10347" s="297">
        <f t="shared" ref="I10347:I10369" si="1713">G10347*H10347</f>
        <v>948.91727809776728</v>
      </c>
      <c r="J10347" s="297">
        <f t="shared" ref="J10347:J10369" si="1714">AVERAGE(C10347,C10323,C10299,C10275,C10251,C10227,C10203)</f>
        <v>2254.2857142857142</v>
      </c>
      <c r="K10347" s="297">
        <f>J10347/POBLA!$B$2*100000</f>
        <v>73.294706682294205</v>
      </c>
      <c r="L10347" s="68">
        <f t="shared" si="1706"/>
        <v>0.18204437072361601</v>
      </c>
      <c r="M10347" s="401">
        <f>SUM(C10347,C10323,C10299,C10275,C10251,C10227,C10203)/POBLA!$B$2*100000</f>
        <v>513.06294677605945</v>
      </c>
    </row>
    <row r="10348" spans="1:13" ht="15.75" thickBot="1" x14ac:dyDescent="0.3">
      <c r="A10348" s="367" t="s">
        <v>28</v>
      </c>
      <c r="B10348" s="266">
        <v>44324</v>
      </c>
      <c r="C10348" s="42">
        <v>51</v>
      </c>
      <c r="D10348" s="39">
        <f t="shared" si="1702"/>
        <v>15934</v>
      </c>
      <c r="E10348" s="1">
        <v>2</v>
      </c>
      <c r="F10348" s="39">
        <f t="shared" si="1712"/>
        <v>109</v>
      </c>
      <c r="G10348" s="168">
        <f>SUM(C10348,C10324,C10300,C10276,C10252,C10228,C10204,C10180,C10156,C10132,C10108,C10084,C10060,C10036)/POBLA!$B$3*100000</f>
        <v>495.86219845079171</v>
      </c>
      <c r="H10348" s="256">
        <f t="shared" si="1711"/>
        <v>0.89565217391304353</v>
      </c>
      <c r="I10348" s="297">
        <f t="shared" si="1713"/>
        <v>444.12005600375261</v>
      </c>
      <c r="J10348" s="297">
        <f t="shared" si="1714"/>
        <v>142.42857142857142</v>
      </c>
      <c r="K10348" s="297">
        <f>J10348/POBLA!$B$3*100000</f>
        <v>34.283953665425749</v>
      </c>
      <c r="L10348" s="68">
        <f t="shared" si="1706"/>
        <v>6.2088428974600207E-2</v>
      </c>
      <c r="M10348" s="401">
        <f>SUM(C10348,C10324,C10300,C10276,C10252,C10228,C10204)/POBLA!$B$3*100000</f>
        <v>239.98767565798028</v>
      </c>
    </row>
    <row r="10349" spans="1:13" ht="15.75" thickBot="1" x14ac:dyDescent="0.3">
      <c r="A10349" s="367" t="s">
        <v>15</v>
      </c>
      <c r="B10349" s="266">
        <v>44324</v>
      </c>
      <c r="C10349" s="42">
        <v>237</v>
      </c>
      <c r="D10349" s="39">
        <f t="shared" si="1702"/>
        <v>46877</v>
      </c>
      <c r="E10349" s="1">
        <v>4</v>
      </c>
      <c r="F10349" s="39">
        <f t="shared" si="1712"/>
        <v>1075</v>
      </c>
      <c r="G10349" s="168">
        <f>SUM(C10349,C10325,C10301,C10277,C10253,C10229,C10205,C10181,C10157,C10133,C10109,C10085,C10061,C10037)/POBLA!$B$4*100000</f>
        <v>285.17086591490039</v>
      </c>
      <c r="H10349" s="256">
        <f t="shared" si="1711"/>
        <v>1.060840024706609</v>
      </c>
      <c r="I10349" s="297">
        <f t="shared" si="1713"/>
        <v>302.520668442768</v>
      </c>
      <c r="J10349" s="297">
        <f t="shared" si="1714"/>
        <v>264.14285714285717</v>
      </c>
      <c r="K10349" s="297">
        <f>J10349/POBLA!$B$4*100000</f>
        <v>21.928922065986725</v>
      </c>
      <c r="L10349" s="68">
        <f t="shared" si="1706"/>
        <v>-0.16582597730138704</v>
      </c>
      <c r="M10349" s="401">
        <f>SUM(C10349,C10325,C10301,C10277,C10253,C10229,C10205)/POBLA!$B$4*100000</f>
        <v>153.50245446190706</v>
      </c>
    </row>
    <row r="10350" spans="1:13" ht="15.75" thickBot="1" x14ac:dyDescent="0.3">
      <c r="A10350" s="367" t="s">
        <v>29</v>
      </c>
      <c r="B10350" s="266">
        <v>44324</v>
      </c>
      <c r="C10350" s="42">
        <v>127</v>
      </c>
      <c r="D10350" s="39">
        <f t="shared" si="1702"/>
        <v>56245</v>
      </c>
      <c r="E10350" s="1">
        <v>1</v>
      </c>
      <c r="F10350" s="39">
        <f t="shared" si="1712"/>
        <v>932</v>
      </c>
      <c r="G10350" s="168">
        <f>SUM(C10350,C10326,C10302,C10278,C10254,C10230,C10206,C10182,C10158,C10134,C10110,C10086,C10062,C10038)/POBLA!$B$5*100000</f>
        <v>385.94881372032688</v>
      </c>
      <c r="H10350" s="256">
        <f t="shared" si="1711"/>
        <v>0.93247462919594071</v>
      </c>
      <c r="I10350" s="297">
        <f t="shared" si="1713"/>
        <v>359.88747696247498</v>
      </c>
      <c r="J10350" s="297">
        <f t="shared" si="1714"/>
        <v>179.57142857142858</v>
      </c>
      <c r="K10350" s="297">
        <f>J10350/POBLA!$B$5*100000</f>
        <v>29.010205037759427</v>
      </c>
      <c r="L10350" s="68">
        <f t="shared" si="1706"/>
        <v>-0.11042402826855113</v>
      </c>
      <c r="M10350" s="401">
        <f>SUM(C10350,C10326,C10302,C10278,C10254,C10230,C10206)/POBLA!$B$5*100000</f>
        <v>203.07143526431597</v>
      </c>
    </row>
    <row r="10351" spans="1:13" ht="15.75" thickBot="1" x14ac:dyDescent="0.3">
      <c r="A10351" s="367" t="s">
        <v>30</v>
      </c>
      <c r="B10351" s="266">
        <v>44324</v>
      </c>
      <c r="C10351" s="42">
        <v>266</v>
      </c>
      <c r="D10351" s="39">
        <f t="shared" si="1702"/>
        <v>38982</v>
      </c>
      <c r="E10351" s="1">
        <v>8</v>
      </c>
      <c r="F10351" s="39">
        <f t="shared" si="1712"/>
        <v>529</v>
      </c>
      <c r="G10351" s="168">
        <f>SUM(C10351,C10327,C10303,C10279,C10255,C10231,C10207,C10183,C10159,C10135,C10111,C10087,C10063,C10039)/POBLA!$B$6*100000</f>
        <v>230.63862362720948</v>
      </c>
      <c r="H10351" s="256">
        <f t="shared" si="1711"/>
        <v>0.7636632200886263</v>
      </c>
      <c r="I10351" s="297">
        <f t="shared" si="1713"/>
        <v>176.13023399596352</v>
      </c>
      <c r="J10351" s="297">
        <f t="shared" si="1714"/>
        <v>190.71428571428572</v>
      </c>
      <c r="K10351" s="297">
        <f>J10351/POBLA!$B$6*100000</f>
        <v>17.01589182328404</v>
      </c>
      <c r="L10351" s="68">
        <f t="shared" si="1706"/>
        <v>-6.800000000000006E-2</v>
      </c>
      <c r="M10351" s="401">
        <f>SUM(C10351,C10327,C10303,C10279,C10255,C10231,C10207)/POBLA!$B$6*100000</f>
        <v>119.11124276298825</v>
      </c>
    </row>
    <row r="10352" spans="1:13" ht="15.75" thickBot="1" x14ac:dyDescent="0.3">
      <c r="A10352" s="367" t="s">
        <v>20</v>
      </c>
      <c r="B10352" s="266">
        <v>44324</v>
      </c>
      <c r="C10352" s="42">
        <v>1603</v>
      </c>
      <c r="D10352" s="39">
        <f t="shared" si="1702"/>
        <v>239433</v>
      </c>
      <c r="E10352" s="1">
        <v>7</v>
      </c>
      <c r="F10352" s="39">
        <f t="shared" si="1712"/>
        <v>3496</v>
      </c>
      <c r="G10352" s="168">
        <f>SUM(C10352,C10328,C10304,C10280,C10256,C10232,C10208,C10184,C10160,C10136,C10112,C10088,C10064,C10040)/POBLA!$B$7*100000</f>
        <v>579.77103804066007</v>
      </c>
      <c r="H10352" s="256">
        <f t="shared" si="1711"/>
        <v>0.92778416102812888</v>
      </c>
      <c r="I10352" s="297">
        <f t="shared" si="1713"/>
        <v>537.90238611696122</v>
      </c>
      <c r="J10352" s="297">
        <f t="shared" si="1714"/>
        <v>1554.8571428571429</v>
      </c>
      <c r="K10352" s="297">
        <f>J10352/POBLA!$B$7*100000</f>
        <v>41.347635066471909</v>
      </c>
      <c r="L10352" s="68">
        <f t="shared" si="1706"/>
        <v>3.1141234658362826E-3</v>
      </c>
      <c r="M10352" s="401">
        <f>SUM(C10352,C10328,C10304,C10280,C10256,C10232,C10208)/POBLA!$B$7*100000</f>
        <v>289.43344546530335</v>
      </c>
    </row>
    <row r="10353" spans="1:13" ht="15.75" thickBot="1" x14ac:dyDescent="0.3">
      <c r="A10353" s="367" t="s">
        <v>31</v>
      </c>
      <c r="B10353" s="266">
        <v>44324</v>
      </c>
      <c r="C10353" s="42">
        <v>410</v>
      </c>
      <c r="D10353" s="39">
        <f t="shared" si="1702"/>
        <v>67150</v>
      </c>
      <c r="E10353" s="1">
        <v>4</v>
      </c>
      <c r="F10353" s="39">
        <f t="shared" si="1712"/>
        <v>1097</v>
      </c>
      <c r="G10353" s="168">
        <f>SUM(C10353,C10329,C10305,C10281,C10257,C10233,C10209,C10185,C10161,C10137,C10113,C10089,C10065,C10041)/POBLA!$B$8*100000</f>
        <v>534.50277460909797</v>
      </c>
      <c r="H10353" s="256">
        <f t="shared" si="1711"/>
        <v>1.0770572840942134</v>
      </c>
      <c r="I10353" s="297">
        <f t="shared" si="1713"/>
        <v>575.69010676129653</v>
      </c>
      <c r="J10353" s="297">
        <f t="shared" si="1714"/>
        <v>546</v>
      </c>
      <c r="K10353" s="297">
        <f>J10353/POBLA!$B$8*100000</f>
        <v>39.395047912603602</v>
      </c>
      <c r="L10353" s="68">
        <f t="shared" si="1706"/>
        <v>-6.5811489124372624E-2</v>
      </c>
      <c r="M10353" s="401">
        <f>SUM(C10353,C10329,C10305,C10281,C10257,C10233,C10209)/POBLA!$B$8*100000</f>
        <v>275.7653353882252</v>
      </c>
    </row>
    <row r="10354" spans="1:13" ht="15.75" thickBot="1" x14ac:dyDescent="0.3">
      <c r="A10354" s="367" t="s">
        <v>41</v>
      </c>
      <c r="B10354" s="266">
        <v>44324</v>
      </c>
      <c r="C10354" s="42">
        <v>132</v>
      </c>
      <c r="D10354" s="39">
        <f t="shared" si="1702"/>
        <v>5897</v>
      </c>
      <c r="F10354" s="39">
        <f t="shared" si="1712"/>
        <v>105</v>
      </c>
      <c r="G10354" s="168">
        <f>SUM(C10354,C10330,C10306,C10282,C10258,C10234,C10210,C10186,C10162,C10138,C10114,C10090,C10066,C10042)/POBLA!$B$9*100000</f>
        <v>299.24338186330641</v>
      </c>
      <c r="H10354" s="256">
        <f t="shared" si="1711"/>
        <v>1.2593880389429764</v>
      </c>
      <c r="I10354" s="297">
        <f t="shared" si="1713"/>
        <v>376.86353585149368</v>
      </c>
      <c r="J10354" s="297">
        <f t="shared" si="1714"/>
        <v>194.71428571428572</v>
      </c>
      <c r="K10354" s="297">
        <f>J10354/POBLA!$B$9*100000</f>
        <v>32.173915711894509</v>
      </c>
      <c r="L10354" s="68">
        <f t="shared" si="1706"/>
        <v>-2.0424107142857144</v>
      </c>
      <c r="M10354" s="401">
        <f>SUM(C10354,C10330,C10306,C10282,C10258,C10234,C10210)/POBLA!$B$9*100000</f>
        <v>225.21740998326152</v>
      </c>
    </row>
    <row r="10355" spans="1:13" ht="15.75" thickBot="1" x14ac:dyDescent="0.3">
      <c r="A10355" s="367" t="s">
        <v>32</v>
      </c>
      <c r="B10355" s="266">
        <v>44324</v>
      </c>
      <c r="C10355" s="42">
        <v>85</v>
      </c>
      <c r="D10355" s="39">
        <f t="shared" ref="D10355:D10418" si="1715">C10355+D10331</f>
        <v>25592</v>
      </c>
      <c r="E10355" s="1">
        <v>4</v>
      </c>
      <c r="F10355" s="39">
        <f t="shared" si="1712"/>
        <v>1055</v>
      </c>
      <c r="G10355" s="168">
        <f>SUM(C10355,C10331,C10307,C10283,C10259,C10235,C10211,C10187,C10163,C10139,C10115,C10091,C10067,C10043)/POBLA!$B$10*100000</f>
        <v>172.52987166631425</v>
      </c>
      <c r="H10355" s="256">
        <f t="shared" si="1711"/>
        <v>1.0374414976599065</v>
      </c>
      <c r="I10355" s="297">
        <f t="shared" si="1713"/>
        <v>178.98964845257251</v>
      </c>
      <c r="J10355" s="297">
        <f t="shared" si="1714"/>
        <v>95.142857142857139</v>
      </c>
      <c r="K10355" s="297">
        <f>J10355/POBLA!$B$10*100000</f>
        <v>12.342093934453844</v>
      </c>
      <c r="L10355" s="68">
        <f t="shared" si="1706"/>
        <v>-3.0120481927711218E-3</v>
      </c>
      <c r="M10355" s="401">
        <f>SUM(C10355,C10331,C10307,C10283,C10259,C10235,C10211)/POBLA!$B$10*100000</f>
        <v>86.394657541176912</v>
      </c>
    </row>
    <row r="10356" spans="1:13" ht="15.75" thickBot="1" x14ac:dyDescent="0.3">
      <c r="A10356" s="367" t="s">
        <v>33</v>
      </c>
      <c r="B10356" s="266">
        <v>44324</v>
      </c>
      <c r="C10356" s="42">
        <v>374</v>
      </c>
      <c r="D10356" s="39">
        <f t="shared" si="1715"/>
        <v>29776</v>
      </c>
      <c r="F10356" s="39">
        <f t="shared" si="1712"/>
        <v>409</v>
      </c>
      <c r="G10356" s="168">
        <f>SUM(C10356,C10332,C10308,C10284,C10260,C10236,C10212,C10188,C10164,C10140,C10116,C10092,C10068,C10044)/POBLA!$B$11*100000</f>
        <v>1179.8743401743168</v>
      </c>
      <c r="H10356" s="256">
        <f t="shared" si="1711"/>
        <v>1.4403950953678475</v>
      </c>
      <c r="I10356" s="297">
        <f t="shared" si="1713"/>
        <v>1699.4852127374611</v>
      </c>
      <c r="J10356" s="297">
        <f t="shared" si="1714"/>
        <v>338.28571428571428</v>
      </c>
      <c r="K10356" s="297">
        <f>J10356/POBLA!$B$11*100000</f>
        <v>94.380381634725595</v>
      </c>
      <c r="L10356" s="68">
        <f t="shared" si="1706"/>
        <v>-0.27243417517463731</v>
      </c>
      <c r="M10356" s="401">
        <f>SUM(C10356,C10332,C10308,C10284,C10260,C10236,C10212)/POBLA!$B$11*100000</f>
        <v>660.66267144307926</v>
      </c>
    </row>
    <row r="10357" spans="1:13" ht="15.75" thickBot="1" x14ac:dyDescent="0.3">
      <c r="A10357" s="367" t="s">
        <v>21</v>
      </c>
      <c r="B10357" s="266">
        <v>44324</v>
      </c>
      <c r="C10357" s="42">
        <v>94</v>
      </c>
      <c r="D10357" s="39">
        <f t="shared" si="1715"/>
        <v>14178</v>
      </c>
      <c r="F10357" s="39">
        <f t="shared" si="1712"/>
        <v>498</v>
      </c>
      <c r="G10357" s="168">
        <f>SUM(C10357,C10333,C10309,C10285,C10261,C10237,C10213,C10189,C10165,C10141,C10117,C10093,C10069,C10045)/POBLA!$B$12*100000</f>
        <v>293.49657333221523</v>
      </c>
      <c r="H10357" s="256">
        <f t="shared" si="1711"/>
        <v>1.0294117647058822</v>
      </c>
      <c r="I10357" s="297">
        <f t="shared" si="1713"/>
        <v>302.12882548904508</v>
      </c>
      <c r="J10357" s="297">
        <f t="shared" si="1714"/>
        <v>103.42857142857143</v>
      </c>
      <c r="K10357" s="297">
        <f>J10357/POBLA!$B$12*100000</f>
        <v>26.282191600806907</v>
      </c>
      <c r="L10357" s="68">
        <f t="shared" si="1706"/>
        <v>-0.67981438515081205</v>
      </c>
      <c r="M10357" s="401">
        <f>SUM(C10357,C10333,C10309,C10285,C10261,C10237,C10213)/POBLA!$B$12*100000</f>
        <v>183.97534120564836</v>
      </c>
    </row>
    <row r="10358" spans="1:13" ht="15.75" thickBot="1" x14ac:dyDescent="0.3">
      <c r="A10358" s="367" t="s">
        <v>17</v>
      </c>
      <c r="B10358" s="266">
        <v>44324</v>
      </c>
      <c r="C10358" s="42">
        <v>720</v>
      </c>
      <c r="D10358" s="39">
        <f t="shared" si="1715"/>
        <v>102336</v>
      </c>
      <c r="E10358" s="1">
        <v>24</v>
      </c>
      <c r="F10358" s="39">
        <f t="shared" si="1712"/>
        <v>1991</v>
      </c>
      <c r="G10358" s="168">
        <f>SUM(C10358,C10334,C10310,C10286,C10262,C10238,C10214,C10190,C10166,C10142,C10118,C10094,C10070,C10046)/POBLA!$B$13*100000</f>
        <v>527.14664544414063</v>
      </c>
      <c r="H10358" s="256">
        <f t="shared" si="1711"/>
        <v>0.8572595800310483</v>
      </c>
      <c r="I10358" s="297">
        <f t="shared" si="1713"/>
        <v>451.90151188821994</v>
      </c>
      <c r="J10358" s="297">
        <f t="shared" si="1714"/>
        <v>764.28571428571433</v>
      </c>
      <c r="K10358" s="297">
        <f>J10358/POBLA!$B$13*100000</f>
        <v>38.399795124532332</v>
      </c>
      <c r="L10358" s="68">
        <f t="shared" si="1706"/>
        <v>-4.0451186308829268E-2</v>
      </c>
      <c r="M10358" s="401">
        <f>SUM(C10358,C10334,C10310,C10286,C10262,C10238,C10214)/POBLA!$B$13*100000</f>
        <v>268.79856587172628</v>
      </c>
    </row>
    <row r="10359" spans="1:13" ht="15.75" thickBot="1" x14ac:dyDescent="0.3">
      <c r="A10359" s="367" t="s">
        <v>23</v>
      </c>
      <c r="B10359" s="266">
        <v>44324</v>
      </c>
      <c r="C10359" s="42">
        <v>141</v>
      </c>
      <c r="D10359" s="39">
        <f t="shared" si="1715"/>
        <v>16721</v>
      </c>
      <c r="F10359" s="39">
        <f t="shared" si="1712"/>
        <v>240</v>
      </c>
      <c r="G10359" s="168">
        <f>SUM(C10359,C10335,C10311,C10287,C10263,C10239,C10215,C10191,C10167,C10143,C10119,C10095,C10071,C10047)/POBLA!$B$14*100000</f>
        <v>137.79499466420995</v>
      </c>
      <c r="H10359" s="256">
        <f t="shared" si="1711"/>
        <v>0.98862343572241185</v>
      </c>
      <c r="I10359" s="297">
        <f t="shared" si="1713"/>
        <v>136.22736105028264</v>
      </c>
      <c r="J10359" s="297">
        <f t="shared" si="1714"/>
        <v>141</v>
      </c>
      <c r="K10359" s="297">
        <f>J10359/POBLA!$B$14*100000</f>
        <v>11.178995539501496</v>
      </c>
      <c r="L10359" s="68">
        <f t="shared" si="1706"/>
        <v>-0.31424766977363516</v>
      </c>
      <c r="M10359" s="401">
        <f>SUM(C10359,C10335,C10311,C10287,C10263,C10239,C10215)/POBLA!$B$14*100000</f>
        <v>78.252968776510471</v>
      </c>
    </row>
    <row r="10360" spans="1:13" ht="15.75" thickBot="1" x14ac:dyDescent="0.3">
      <c r="A10360" s="367" t="s">
        <v>19</v>
      </c>
      <c r="B10360" s="266">
        <v>44324</v>
      </c>
      <c r="C10360" s="42">
        <v>408</v>
      </c>
      <c r="D10360" s="39">
        <f t="shared" si="1715"/>
        <v>74457</v>
      </c>
      <c r="E10360" s="1">
        <v>1</v>
      </c>
      <c r="F10360" s="39">
        <f t="shared" si="1712"/>
        <v>1109</v>
      </c>
      <c r="G10360" s="168">
        <f>SUM(C10360,C10336,C10312,C10288,C10264,C10240,C10216,C10192,C10168,C10144,C10120,C10096,C10072,C10048)/POBLA!$B$15*100000</f>
        <v>795.56423620261512</v>
      </c>
      <c r="H10360" s="256">
        <f t="shared" si="1711"/>
        <v>1.9705333830660201</v>
      </c>
      <c r="I10360" s="297">
        <f t="shared" si="1713"/>
        <v>1567.6858858106734</v>
      </c>
      <c r="J10360" s="297">
        <f t="shared" si="1714"/>
        <v>428.85714285714283</v>
      </c>
      <c r="K10360" s="297">
        <f>J10360/POBLA!$B$15*100000</f>
        <v>64.581375221877465</v>
      </c>
      <c r="L10360" s="68">
        <f t="shared" si="1706"/>
        <v>-0.31608943445857074</v>
      </c>
      <c r="M10360" s="401">
        <f>SUM(C10360,C10336,C10312,C10288,C10264,C10240,C10216)/POBLA!$B$15*100000</f>
        <v>452.06962655314226</v>
      </c>
    </row>
    <row r="10361" spans="1:13" ht="15.75" thickBot="1" x14ac:dyDescent="0.3">
      <c r="A10361" s="367" t="s">
        <v>18</v>
      </c>
      <c r="B10361" s="266">
        <v>44324</v>
      </c>
      <c r="C10361" s="42">
        <v>272</v>
      </c>
      <c r="D10361" s="39">
        <f t="shared" si="1715"/>
        <v>63710</v>
      </c>
      <c r="E10361" s="1">
        <v>5</v>
      </c>
      <c r="F10361" s="39">
        <f t="shared" si="1712"/>
        <v>1395</v>
      </c>
      <c r="G10361" s="168">
        <f>SUM(C10361,C10337,C10313,C10289,C10265,C10241,C10217,C10193,C10169,C10145,C10121,C10097,C10073,C10049)/POBLA!$B$16*100000</f>
        <v>535.03832211982183</v>
      </c>
      <c r="H10361" s="256">
        <f t="shared" si="1711"/>
        <v>1.3306719893546242</v>
      </c>
      <c r="I10361" s="297">
        <f t="shared" si="1713"/>
        <v>711.96050847614356</v>
      </c>
      <c r="J10361" s="297">
        <f t="shared" si="1714"/>
        <v>298.57142857142856</v>
      </c>
      <c r="K10361" s="297">
        <f>J10361/POBLA!$B$16*100000</f>
        <v>39.93678904394384</v>
      </c>
      <c r="L10361" s="68">
        <f t="shared" si="1706"/>
        <v>-9.4240837696335067E-2</v>
      </c>
      <c r="M10361" s="401">
        <f>SUM(C10361,C10337,C10313,C10289,C10265,C10241,C10217)/POBLA!$B$16*100000</f>
        <v>279.55752330760691</v>
      </c>
    </row>
    <row r="10362" spans="1:13" ht="15.75" thickBot="1" x14ac:dyDescent="0.3">
      <c r="A10362" s="367" t="s">
        <v>34</v>
      </c>
      <c r="B10362" s="266">
        <v>44324</v>
      </c>
      <c r="C10362" s="42">
        <v>182</v>
      </c>
      <c r="D10362" s="39">
        <f t="shared" si="1715"/>
        <v>36341</v>
      </c>
      <c r="F10362" s="39">
        <f t="shared" si="1712"/>
        <v>1298</v>
      </c>
      <c r="G10362" s="168">
        <f>SUM(C10362,C10338,C10314,C10290,C10266,C10242,C10218,C10194,C10170,C10146,C10122,C10098,C10074,C10050)/POBLA!$B$17*100000</f>
        <v>191.3792292457791</v>
      </c>
      <c r="H10362" s="256">
        <f t="shared" ref="H10362:H10385" si="1716">SUM(C10362,C10338,C10314,C10290,C10266,C10242,C10218,C10194,C10170,C10146,C10122,C10098,C10074,C10050)/SUM(C10026,C10002,C9978,C9954,C9930,C9906,C9882,C9858,C9834,C9810,C9786,C9762,C9738,C9714)</f>
        <v>1.0251974426476118</v>
      </c>
      <c r="I10362" s="297">
        <f t="shared" si="1713"/>
        <v>196.20149639864377</v>
      </c>
      <c r="J10362" s="297">
        <f t="shared" si="1714"/>
        <v>204</v>
      </c>
      <c r="K10362" s="297">
        <f>J10362/POBLA!$B$17*100000</f>
        <v>14.321849877527121</v>
      </c>
      <c r="L10362" s="68">
        <f t="shared" si="1706"/>
        <v>-0.10015408320493058</v>
      </c>
      <c r="M10362" s="401">
        <f>SUM(C10362,C10338,C10314,C10290,C10266,C10242,C10218)/POBLA!$B$17*100000</f>
        <v>100.25294914268986</v>
      </c>
    </row>
    <row r="10363" spans="1:13" ht="15.75" thickBot="1" x14ac:dyDescent="0.3">
      <c r="A10363" s="367" t="s">
        <v>35</v>
      </c>
      <c r="B10363" s="266">
        <v>44324</v>
      </c>
      <c r="C10363" s="42">
        <v>263</v>
      </c>
      <c r="D10363" s="39">
        <f t="shared" si="1715"/>
        <v>26225</v>
      </c>
      <c r="F10363" s="39">
        <f t="shared" si="1712"/>
        <v>484</v>
      </c>
      <c r="G10363" s="168">
        <f>SUM(C10363,C10339,C10315,C10291,C10267,C10243,C10219,C10195,C10171,C10147,C10123,C10099,C10075,C10051)/POBLA!$B$18*100000</f>
        <v>551.06327691281683</v>
      </c>
      <c r="H10363" s="256">
        <f t="shared" si="1716"/>
        <v>1.3524976437323279</v>
      </c>
      <c r="I10363" s="297">
        <f t="shared" si="1713"/>
        <v>745.31178357200008</v>
      </c>
      <c r="J10363" s="297">
        <f t="shared" si="1714"/>
        <v>355.57142857142856</v>
      </c>
      <c r="K10363" s="297">
        <f>J10363/POBLA!$B$18*100000</f>
        <v>45.515065413505923</v>
      </c>
      <c r="L10363" s="68">
        <f t="shared" si="1706"/>
        <v>-0.37059471365638763</v>
      </c>
      <c r="M10363" s="401">
        <f>SUM(C10363,C10339,C10315,C10291,C10267,C10243,C10219)/POBLA!$B$18*100000</f>
        <v>318.60545789454147</v>
      </c>
    </row>
    <row r="10364" spans="1:13" ht="15.75" thickBot="1" x14ac:dyDescent="0.3">
      <c r="A10364" s="367" t="s">
        <v>36</v>
      </c>
      <c r="B10364" s="266">
        <v>44324</v>
      </c>
      <c r="C10364" s="42">
        <v>521</v>
      </c>
      <c r="D10364" s="39">
        <f t="shared" si="1715"/>
        <v>40958</v>
      </c>
      <c r="F10364" s="39">
        <f t="shared" si="1712"/>
        <v>529</v>
      </c>
      <c r="G10364" s="168">
        <f>SUM(C10364,C10340,C10316,C10292,C10268,C10244,C10220,C10196,C10172,C10148,C10124,C10100,C10076,C10052)/POBLA!$B$19*100000</f>
        <v>1336.9320596150517</v>
      </c>
      <c r="H10364" s="256">
        <f t="shared" si="1716"/>
        <v>0.83202742409402541</v>
      </c>
      <c r="I10364" s="297">
        <f t="shared" si="1713"/>
        <v>1112.3641377502315</v>
      </c>
      <c r="J10364" s="297">
        <f t="shared" si="1714"/>
        <v>422.42857142857144</v>
      </c>
      <c r="K10364" s="297">
        <f>J10364/POBLA!$B$19*100000</f>
        <v>83.101574461483821</v>
      </c>
      <c r="L10364" s="68">
        <f t="shared" si="1706"/>
        <v>0.22974733003386294</v>
      </c>
      <c r="M10364" s="401">
        <f>SUM(C10364,C10340,C10316,C10292,C10268,C10244,C10220)/POBLA!$B$19*100000</f>
        <v>581.71102123038668</v>
      </c>
    </row>
    <row r="10365" spans="1:13" ht="15.75" thickBot="1" x14ac:dyDescent="0.3">
      <c r="A10365" s="367" t="s">
        <v>37</v>
      </c>
      <c r="B10365" s="266">
        <v>44324</v>
      </c>
      <c r="C10365" s="42">
        <v>201</v>
      </c>
      <c r="D10365" s="39">
        <f t="shared" si="1715"/>
        <v>46438</v>
      </c>
      <c r="E10365" s="1">
        <v>1</v>
      </c>
      <c r="F10365" s="39">
        <f t="shared" si="1712"/>
        <v>734</v>
      </c>
      <c r="G10365" s="168">
        <f>SUM(C10365,C10341,C10317,C10293,C10269,C10245,C10221,C10197,C10173,C10149,C10125,C10101,C10077,C10053)/POBLA!$B$20*100000</f>
        <v>800.11375506565537</v>
      </c>
      <c r="H10365" s="256">
        <f t="shared" si="1716"/>
        <v>1.1091736163760424</v>
      </c>
      <c r="I10365" s="297">
        <f t="shared" si="1713"/>
        <v>887.46506721838796</v>
      </c>
      <c r="J10365" s="297">
        <f t="shared" si="1714"/>
        <v>220.28571428571428</v>
      </c>
      <c r="K10365" s="297">
        <f>J10365/POBLA!$B$20*100000</f>
        <v>60.237057431463739</v>
      </c>
      <c r="L10365" s="68">
        <f t="shared" si="1706"/>
        <v>-0.11416184971098264</v>
      </c>
      <c r="M10365" s="401">
        <f>SUM(C10365,C10341,C10317,C10293,C10269,C10245,C10221)/POBLA!$B$20*100000</f>
        <v>421.6594020202462</v>
      </c>
    </row>
    <row r="10366" spans="1:13" ht="15.75" thickBot="1" x14ac:dyDescent="0.3">
      <c r="A10366" s="367" t="s">
        <v>22</v>
      </c>
      <c r="B10366" s="266">
        <v>44324</v>
      </c>
      <c r="C10366" s="42">
        <v>1808</v>
      </c>
      <c r="D10366" s="39">
        <f t="shared" si="1715"/>
        <v>288257</v>
      </c>
      <c r="E10366" s="1">
        <v>1</v>
      </c>
      <c r="F10366" s="39">
        <f t="shared" si="1712"/>
        <v>4787</v>
      </c>
      <c r="G10366" s="168">
        <f>SUM(C10366,C10342,C10318,C10294,C10270,C10246,C10222,C10198,C10174,C10150,C10126,C10102,C10078,C10054)/POBLA!$B$21*100000</f>
        <v>686.51386798732506</v>
      </c>
      <c r="H10366" s="256">
        <f t="shared" si="1716"/>
        <v>1.0662743203478413</v>
      </c>
      <c r="I10366" s="297">
        <f t="shared" si="1713"/>
        <v>732.01210799755268</v>
      </c>
      <c r="J10366" s="297">
        <f t="shared" si="1714"/>
        <v>1775.8571428571429</v>
      </c>
      <c r="K10366" s="297">
        <f>J10366/POBLA!$B$21*100000</f>
        <v>50.216268067212155</v>
      </c>
      <c r="L10366" s="68">
        <f t="shared" si="1706"/>
        <v>-4.929518021440038E-2</v>
      </c>
      <c r="M10366" s="401">
        <f>SUM(C10366,C10342,C10318,C10294,C10270,C10246,C10222)/POBLA!$B$21*100000</f>
        <v>351.51387647048512</v>
      </c>
    </row>
    <row r="10367" spans="1:13" ht="15.75" thickBot="1" x14ac:dyDescent="0.3">
      <c r="A10367" s="367" t="s">
        <v>38</v>
      </c>
      <c r="B10367" s="266">
        <v>44324</v>
      </c>
      <c r="C10367" s="42">
        <v>263</v>
      </c>
      <c r="D10367" s="39">
        <f t="shared" si="1715"/>
        <v>32518</v>
      </c>
      <c r="E10367" s="1">
        <v>5</v>
      </c>
      <c r="F10367" s="39">
        <f t="shared" si="1712"/>
        <v>370</v>
      </c>
      <c r="G10367" s="168">
        <f>SUM(C10367,C10343,C10319,C10295,C10271,C10247,C10223,C10199,C10175,C10151,C10127,C10103,C10079,C10055)/POBLA!$B$22*100000</f>
        <v>302.25500427777206</v>
      </c>
      <c r="H10367" s="256">
        <f t="shared" si="1716"/>
        <v>1.0112859097127223</v>
      </c>
      <c r="I10367" s="297">
        <f t="shared" si="1713"/>
        <v>305.66622696626945</v>
      </c>
      <c r="J10367" s="297">
        <f t="shared" si="1714"/>
        <v>237.71428571428572</v>
      </c>
      <c r="K10367" s="297">
        <f>J10367/POBLA!$B$22*100000</f>
        <v>24.298387705599918</v>
      </c>
      <c r="L10367" s="68">
        <f t="shared" si="1706"/>
        <v>-0.28692962103634967</v>
      </c>
      <c r="M10367" s="401">
        <f>SUM(C10367,C10343,C10319,C10295,C10271,C10247,C10223)/POBLA!$B$22*100000</f>
        <v>170.08871393919941</v>
      </c>
    </row>
    <row r="10368" spans="1:13" ht="15.75" thickBot="1" x14ac:dyDescent="0.3">
      <c r="A10368" s="367" t="s">
        <v>39</v>
      </c>
      <c r="B10368" s="266">
        <v>44324</v>
      </c>
      <c r="C10368" s="42">
        <v>46</v>
      </c>
      <c r="D10368" s="39">
        <f t="shared" si="1715"/>
        <v>26976</v>
      </c>
      <c r="F10368" s="39">
        <f t="shared" si="1712"/>
        <v>401</v>
      </c>
      <c r="G10368" s="168">
        <f>SUM(C10368,C10344,C10320,C10296,C10272,C10248,C10224,C10200,C10176,C10152,C10128,C10104,C10080,C10056)/POBLA!$B$23*100000</f>
        <v>554.7701181926144</v>
      </c>
      <c r="H10368" s="256">
        <f t="shared" si="1716"/>
        <v>0.80278232405891981</v>
      </c>
      <c r="I10368" s="297">
        <f t="shared" si="1713"/>
        <v>445.35964480110863</v>
      </c>
      <c r="J10368" s="297">
        <f t="shared" si="1714"/>
        <v>68.571428571428569</v>
      </c>
      <c r="K10368" s="297">
        <f>J10368/POBLA!$B$23*100000</f>
        <v>38.778164661781695</v>
      </c>
      <c r="L10368" s="68">
        <f t="shared" si="1706"/>
        <v>4.1916167664670656E-2</v>
      </c>
      <c r="M10368" s="401">
        <f>SUM(C10368,C10344,C10320,C10296,C10272,C10248,C10224)/POBLA!$B$23*100000</f>
        <v>271.44715263247184</v>
      </c>
    </row>
    <row r="10369" spans="1:14" ht="15.75" thickBot="1" x14ac:dyDescent="0.3">
      <c r="A10369" s="368" t="s">
        <v>40</v>
      </c>
      <c r="B10369" s="34">
        <v>44324</v>
      </c>
      <c r="C10369" s="42">
        <v>323</v>
      </c>
      <c r="D10369" s="67">
        <f t="shared" si="1715"/>
        <v>110241</v>
      </c>
      <c r="E10369" s="232"/>
      <c r="F10369" s="67">
        <f t="shared" si="1712"/>
        <v>1707</v>
      </c>
      <c r="G10369" s="255">
        <f>SUM(C10369,C10345,C10321,C10297,C10273,C10249,C10225,C10201,C10177,C10153,C10129,C10105,C10081,C10057)/POBLA!$B$24*100000</f>
        <v>470.59698251444547</v>
      </c>
      <c r="H10369" s="257">
        <f t="shared" si="1716"/>
        <v>0.86113810603606522</v>
      </c>
      <c r="I10369" s="299">
        <f t="shared" si="1713"/>
        <v>405.24899422877689</v>
      </c>
      <c r="J10369" s="299">
        <f t="shared" si="1714"/>
        <v>518.85714285714289</v>
      </c>
      <c r="K10369" s="299">
        <f>J10369/POBLA!$B$24*100000</f>
        <v>30.617254643841754</v>
      </c>
      <c r="L10369" s="68">
        <f t="shared" si="1706"/>
        <v>0.16371172000921019</v>
      </c>
      <c r="M10369" s="406">
        <f>SUM(C10369,C10345,C10321,C10297,C10273,C10249,C10225)/POBLA!$B$24*100000</f>
        <v>214.32078250689227</v>
      </c>
    </row>
    <row r="10370" spans="1:14" x14ac:dyDescent="0.25">
      <c r="A10370" s="363" t="s">
        <v>16</v>
      </c>
      <c r="B10370" s="265">
        <v>44325</v>
      </c>
      <c r="C10370" s="415">
        <v>4240</v>
      </c>
      <c r="D10370" s="174">
        <f t="shared" si="1715"/>
        <v>1374852</v>
      </c>
      <c r="E10370" s="43">
        <v>212</v>
      </c>
      <c r="F10370" s="174">
        <f t="shared" ref="F10370:F10393" si="1717">E10370+F10346</f>
        <v>34799</v>
      </c>
      <c r="G10370" s="175">
        <f>SUM(C10370,C10346,C10322,C10298,C10274,C10250,C10226,C10202,C10178,C10154,C10130,C10106,C10082,C10058)/POBLA!$B$1*100000</f>
        <v>740.96092152728261</v>
      </c>
      <c r="H10370" s="300">
        <f t="shared" si="1716"/>
        <v>0.79058040656439699</v>
      </c>
      <c r="I10370" s="301">
        <f>G10370*H10370</f>
        <v>585.78918658936936</v>
      </c>
      <c r="J10370" s="301">
        <f>AVERAGE(C10370,C10346,C10322,C10298,C10274,C10250,C10226)</f>
        <v>8904.8571428571431</v>
      </c>
      <c r="K10370" s="301">
        <f>J10370/POBLA!$B$1*100000</f>
        <v>50.765552496597245</v>
      </c>
      <c r="L10370" s="68">
        <f t="shared" si="1706"/>
        <v>7.8431082659412454E-2</v>
      </c>
      <c r="M10370" s="400">
        <f>SUM(C10370,C10346,C10322,C10298,C10274,C10250,C10226)/POBLA!$B$1*100000</f>
        <v>355.35886747618071</v>
      </c>
      <c r="N10370"/>
    </row>
    <row r="10371" spans="1:14" x14ac:dyDescent="0.25">
      <c r="A10371" s="367" t="s">
        <v>43</v>
      </c>
      <c r="B10371" s="2">
        <v>44325</v>
      </c>
      <c r="C10371" s="4">
        <v>1561</v>
      </c>
      <c r="D10371" s="39">
        <f t="shared" si="1715"/>
        <v>361864</v>
      </c>
      <c r="E10371" s="1">
        <v>29</v>
      </c>
      <c r="F10371" s="39">
        <f t="shared" si="1717"/>
        <v>8133</v>
      </c>
      <c r="G10371" s="168">
        <f>SUM(C10371,C10347,C10323,C10299,C10275,C10251,C10227,C10203,C10179,C10155,C10131,C10107,C10083,C10059)/POBLA!$B$2*100000</f>
        <v>1103.2479030421575</v>
      </c>
      <c r="H10371" s="256">
        <f t="shared" si="1716"/>
        <v>0.80491507733181511</v>
      </c>
      <c r="I10371" s="297">
        <f t="shared" ref="I10371:I10393" si="1718">G10371*H10371</f>
        <v>888.02087119334112</v>
      </c>
      <c r="J10371" s="297">
        <f t="shared" ref="J10371:J10393" si="1719">AVERAGE(C10371,C10347,C10323,C10299,C10275,C10251,C10227)</f>
        <v>2234.4285714285716</v>
      </c>
      <c r="K10371" s="297">
        <f>J10371/POBLA!$B$2*100000</f>
        <v>72.649081572735341</v>
      </c>
      <c r="L10371" s="68">
        <f t="shared" ref="L10371:L10434" si="1720">1-SUM(C10371,C10347,C10323,C10299,C10275,C10251,C10227)/SUM(C10203,C10179,C10155,C10131,C10107,C10083,C10059)</f>
        <v>0.1448799956262643</v>
      </c>
      <c r="M10371" s="401">
        <f>SUM(C10371,C10347,C10323,C10299,C10275,C10251,C10227)/POBLA!$B$2*100000</f>
        <v>508.54357100914734</v>
      </c>
      <c r="N10371"/>
    </row>
    <row r="10372" spans="1:14" x14ac:dyDescent="0.25">
      <c r="A10372" s="367" t="s">
        <v>28</v>
      </c>
      <c r="B10372" s="2">
        <v>44325</v>
      </c>
      <c r="C10372" s="4">
        <v>236</v>
      </c>
      <c r="D10372" s="39">
        <f t="shared" si="1715"/>
        <v>16170</v>
      </c>
      <c r="F10372" s="39">
        <f t="shared" si="1717"/>
        <v>109</v>
      </c>
      <c r="G10372" s="168">
        <f>SUM(C10372,C10348,C10324,C10300,C10276,C10252,C10228,C10204,C10180,C10156,C10132,C10108,C10084,C10060)/POBLA!$B$3*100000</f>
        <v>516.32253188201366</v>
      </c>
      <c r="H10372" s="256">
        <f t="shared" si="1716"/>
        <v>0.91276595744680855</v>
      </c>
      <c r="I10372" s="297">
        <f t="shared" si="1718"/>
        <v>471.28163016464651</v>
      </c>
      <c r="J10372" s="297">
        <f t="shared" si="1719"/>
        <v>167.28571428571428</v>
      </c>
      <c r="K10372" s="297">
        <f>J10372/POBLA!$B$3*100000</f>
        <v>40.267311677245289</v>
      </c>
      <c r="L10372" s="68">
        <f t="shared" si="1720"/>
        <v>-0.20225872689938407</v>
      </c>
      <c r="M10372" s="401">
        <f>SUM(C10372,C10348,C10324,C10300,C10276,C10252,C10228)/POBLA!$B$3*100000</f>
        <v>281.87118174071702</v>
      </c>
      <c r="N10372"/>
    </row>
    <row r="10373" spans="1:14" x14ac:dyDescent="0.25">
      <c r="A10373" s="367" t="s">
        <v>15</v>
      </c>
      <c r="B10373" s="2">
        <v>44325</v>
      </c>
      <c r="C10373" s="4">
        <v>102</v>
      </c>
      <c r="D10373" s="39">
        <f t="shared" si="1715"/>
        <v>46979</v>
      </c>
      <c r="E10373" s="1">
        <v>3</v>
      </c>
      <c r="F10373" s="39">
        <f t="shared" si="1717"/>
        <v>1078</v>
      </c>
      <c r="G10373" s="168">
        <f>SUM(C10373,C10349,C10325,C10301,C10277,C10253,C10229,C10205,C10181,C10157,C10133,C10109,C10085,C10061)/POBLA!$B$4*100000</f>
        <v>279.94065789375372</v>
      </c>
      <c r="H10373" s="256">
        <f t="shared" si="1716"/>
        <v>1.0321395775941231</v>
      </c>
      <c r="I10373" s="297">
        <f t="shared" si="1718"/>
        <v>288.93783238987987</v>
      </c>
      <c r="J10373" s="297">
        <f t="shared" si="1719"/>
        <v>257</v>
      </c>
      <c r="K10373" s="297">
        <f>J10373/POBLA!$B$4*100000</f>
        <v>21.335927959280756</v>
      </c>
      <c r="L10373" s="68">
        <f t="shared" si="1720"/>
        <v>-0.14367450731087095</v>
      </c>
      <c r="M10373" s="401">
        <f>SUM(C10373,C10349,C10325,C10301,C10277,C10253,C10229)/POBLA!$B$4*100000</f>
        <v>149.35149571496527</v>
      </c>
    </row>
    <row r="10374" spans="1:14" x14ac:dyDescent="0.25">
      <c r="A10374" s="367" t="s">
        <v>29</v>
      </c>
      <c r="B10374" s="2">
        <v>44325</v>
      </c>
      <c r="C10374" s="4">
        <v>98</v>
      </c>
      <c r="D10374" s="39">
        <f t="shared" si="1715"/>
        <v>56343</v>
      </c>
      <c r="F10374" s="39">
        <f t="shared" si="1717"/>
        <v>932</v>
      </c>
      <c r="G10374" s="168">
        <f>SUM(C10374,C10350,C10326,C10302,C10278,C10254,C10230,C10206,C10182,C10158,C10134,C10110,C10086,C10062)/POBLA!$B$5*100000</f>
        <v>389.17986280965567</v>
      </c>
      <c r="H10374" s="256">
        <f t="shared" si="1716"/>
        <v>0.92975685063681979</v>
      </c>
      <c r="I10374" s="297">
        <f t="shared" si="1718"/>
        <v>361.84264357717507</v>
      </c>
      <c r="J10374" s="297">
        <f t="shared" si="1719"/>
        <v>184</v>
      </c>
      <c r="K10374" s="297">
        <f>J10374/POBLA!$B$5*100000</f>
        <v>29.72565162182509</v>
      </c>
      <c r="L10374" s="68">
        <f t="shared" si="1720"/>
        <v>-0.14897413024085648</v>
      </c>
      <c r="M10374" s="401">
        <f>SUM(C10374,C10350,C10326,C10302,C10278,C10254,C10230)/POBLA!$B$5*100000</f>
        <v>208.07956135277561</v>
      </c>
    </row>
    <row r="10375" spans="1:14" x14ac:dyDescent="0.25">
      <c r="A10375" s="367" t="s">
        <v>30</v>
      </c>
      <c r="B10375" s="2">
        <v>44325</v>
      </c>
      <c r="C10375" s="4">
        <v>269</v>
      </c>
      <c r="D10375" s="39">
        <f t="shared" si="1715"/>
        <v>39251</v>
      </c>
      <c r="F10375" s="39">
        <f t="shared" si="1717"/>
        <v>529</v>
      </c>
      <c r="G10375" s="168">
        <f>SUM(C10375,C10351,C10327,C10303,C10279,C10255,C10231,C10207,C10183,C10159,C10135,C10111,C10087,C10063)/POBLA!$B$6*100000</f>
        <v>237.41948838375413</v>
      </c>
      <c r="H10375" s="256">
        <f t="shared" si="1716"/>
        <v>0.79220005954153017</v>
      </c>
      <c r="I10375" s="297">
        <f t="shared" si="1718"/>
        <v>188.08373283392964</v>
      </c>
      <c r="J10375" s="297">
        <f t="shared" si="1719"/>
        <v>208.85714285714286</v>
      </c>
      <c r="K10375" s="297">
        <f>J10375/POBLA!$B$6*100000</f>
        <v>18.634632094113304</v>
      </c>
      <c r="L10375" s="68">
        <f t="shared" si="1720"/>
        <v>-0.21934945788156801</v>
      </c>
      <c r="M10375" s="401">
        <f>SUM(C10375,C10351,C10327,C10303,C10279,C10255,C10231)/POBLA!$B$6*100000</f>
        <v>130.44242465879313</v>
      </c>
    </row>
    <row r="10376" spans="1:14" x14ac:dyDescent="0.25">
      <c r="A10376" s="367" t="s">
        <v>20</v>
      </c>
      <c r="B10376" s="2">
        <v>44325</v>
      </c>
      <c r="C10376" s="4">
        <v>1163</v>
      </c>
      <c r="D10376" s="39">
        <f t="shared" si="1715"/>
        <v>240596</v>
      </c>
      <c r="E10376" s="1">
        <v>5</v>
      </c>
      <c r="F10376" s="39">
        <f t="shared" si="1717"/>
        <v>3501</v>
      </c>
      <c r="G10376" s="168">
        <f>SUM(C10376,C10352,C10328,C10304,C10280,C10256,C10232,C10208,C10184,C10160,C10136,C10112,C10088,C10064)/POBLA!$B$7*100000</f>
        <v>586.95102979696583</v>
      </c>
      <c r="H10376" s="256">
        <f t="shared" si="1716"/>
        <v>0.94741812250504354</v>
      </c>
      <c r="I10376" s="297">
        <f t="shared" si="1718"/>
        <v>556.08804265264325</v>
      </c>
      <c r="J10376" s="297">
        <f t="shared" si="1719"/>
        <v>1582.5714285714287</v>
      </c>
      <c r="K10376" s="297">
        <f>J10376/POBLA!$B$7*100000</f>
        <v>42.084628929288478</v>
      </c>
      <c r="L10376" s="68">
        <f t="shared" si="1720"/>
        <v>-7.6405311988356761E-3</v>
      </c>
      <c r="M10376" s="401">
        <f>SUM(C10376,C10352,C10328,C10304,C10280,C10256,C10232)/POBLA!$B$7*100000</f>
        <v>294.59240250501938</v>
      </c>
    </row>
    <row r="10377" spans="1:14" x14ac:dyDescent="0.25">
      <c r="A10377" s="367" t="s">
        <v>31</v>
      </c>
      <c r="B10377" s="2">
        <v>44325</v>
      </c>
      <c r="C10377" s="4">
        <v>283</v>
      </c>
      <c r="D10377" s="39">
        <f t="shared" si="1715"/>
        <v>67433</v>
      </c>
      <c r="E10377" s="1">
        <v>3</v>
      </c>
      <c r="F10377" s="39">
        <f t="shared" si="1717"/>
        <v>1100</v>
      </c>
      <c r="G10377" s="168">
        <f>SUM(C10377,C10353,C10329,C10305,C10281,C10257,C10233,C10209,C10185,C10161,C10137,C10113,C10089,C10065)/POBLA!$B$8*100000</f>
        <v>539.04835706055212</v>
      </c>
      <c r="H10377" s="256">
        <f t="shared" si="1716"/>
        <v>1.0843251088534107</v>
      </c>
      <c r="I10377" s="297">
        <f t="shared" si="1718"/>
        <v>584.50366844693542</v>
      </c>
      <c r="J10377" s="297">
        <f t="shared" si="1719"/>
        <v>556.85714285714289</v>
      </c>
      <c r="K10377" s="297">
        <f>J10377/POBLA!$B$8*100000</f>
        <v>40.178413595847424</v>
      </c>
      <c r="L10377" s="68">
        <f t="shared" si="1720"/>
        <v>-9.095997760985175E-2</v>
      </c>
      <c r="M10377" s="401">
        <f>SUM(C10377,C10353,C10329,C10305,C10281,C10257,C10233)/POBLA!$B$8*100000</f>
        <v>281.24889517093197</v>
      </c>
    </row>
    <row r="10378" spans="1:14" x14ac:dyDescent="0.25">
      <c r="A10378" s="367" t="s">
        <v>41</v>
      </c>
      <c r="B10378" s="2">
        <v>44325</v>
      </c>
      <c r="C10378" s="4">
        <v>5</v>
      </c>
      <c r="D10378" s="39">
        <f t="shared" si="1715"/>
        <v>5902</v>
      </c>
      <c r="F10378" s="39">
        <f t="shared" si="1717"/>
        <v>105</v>
      </c>
      <c r="G10378" s="168">
        <f>SUM(C10378,C10354,C10330,C10306,C10282,C10258,C10234,C10210,C10186,C10162,C10138,C10114,C10090,C10066)/POBLA!$B$9*100000</f>
        <v>280.24117926016987</v>
      </c>
      <c r="H10378" s="256">
        <f t="shared" si="1716"/>
        <v>1.0927835051546391</v>
      </c>
      <c r="I10378" s="297">
        <f t="shared" si="1718"/>
        <v>306.24293816059799</v>
      </c>
      <c r="J10378" s="297">
        <f t="shared" si="1719"/>
        <v>194.71428571428572</v>
      </c>
      <c r="K10378" s="297">
        <f>J10378/POBLA!$B$9*100000</f>
        <v>32.173915711894509</v>
      </c>
      <c r="L10378" s="68">
        <f t="shared" si="1720"/>
        <v>-3.0930930930930929</v>
      </c>
      <c r="M10378" s="401">
        <f>SUM(C10378,C10354,C10330,C10306,C10282,C10258,C10234)/POBLA!$B$9*100000</f>
        <v>225.21740998326152</v>
      </c>
    </row>
    <row r="10379" spans="1:14" x14ac:dyDescent="0.25">
      <c r="A10379" s="367" t="s">
        <v>32</v>
      </c>
      <c r="B10379" s="2">
        <v>44325</v>
      </c>
      <c r="C10379" s="4">
        <v>66</v>
      </c>
      <c r="D10379" s="39">
        <f t="shared" si="1715"/>
        <v>25658</v>
      </c>
      <c r="E10379" s="1">
        <v>3</v>
      </c>
      <c r="F10379" s="39">
        <f t="shared" si="1717"/>
        <v>1058</v>
      </c>
      <c r="G10379" s="168">
        <f>SUM(C10379,C10355,C10331,C10307,C10283,C10259,C10235,C10211,C10187,C10163,C10139,C10115,C10091,C10067)/POBLA!$B$10*100000</f>
        <v>170.45432433799769</v>
      </c>
      <c r="H10379" s="256">
        <f t="shared" si="1716"/>
        <v>1.0053557765876051</v>
      </c>
      <c r="I10379" s="297">
        <f t="shared" si="1718"/>
        <v>171.36723961754319</v>
      </c>
      <c r="J10379" s="297">
        <f t="shared" si="1719"/>
        <v>95.714285714285708</v>
      </c>
      <c r="K10379" s="297">
        <f>J10379/POBLA!$B$10*100000</f>
        <v>12.416220624750864</v>
      </c>
      <c r="L10379" s="68">
        <f t="shared" si="1720"/>
        <v>-4.0372670807453437E-2</v>
      </c>
      <c r="M10379" s="401">
        <f>SUM(C10379,C10355,C10331,C10307,C10283,C10259,C10235)/POBLA!$B$10*100000</f>
        <v>86.913544373256045</v>
      </c>
    </row>
    <row r="10380" spans="1:14" x14ac:dyDescent="0.25">
      <c r="A10380" s="367" t="s">
        <v>33</v>
      </c>
      <c r="B10380" s="2">
        <v>44325</v>
      </c>
      <c r="C10380" s="4">
        <v>272</v>
      </c>
      <c r="D10380" s="39">
        <f t="shared" si="1715"/>
        <v>30048</v>
      </c>
      <c r="F10380" s="39">
        <f t="shared" si="1717"/>
        <v>409</v>
      </c>
      <c r="G10380" s="168">
        <f>SUM(C10380,C10356,C10332,C10308,C10284,C10260,C10236,C10212,C10188,C10164,C10140,C10116,C10092,C10068)/POBLA!$B$11*100000</f>
        <v>1194.3821353242492</v>
      </c>
      <c r="H10380" s="256">
        <f t="shared" si="1716"/>
        <v>1.4114737883283877</v>
      </c>
      <c r="I10380" s="297">
        <f t="shared" si="1718"/>
        <v>1685.8390772578671</v>
      </c>
      <c r="J10380" s="297">
        <f t="shared" si="1719"/>
        <v>349.14285714285717</v>
      </c>
      <c r="K10380" s="297">
        <f>J10380/POBLA!$B$11*100000</f>
        <v>97.409481720975251</v>
      </c>
      <c r="L10380" s="68">
        <f t="shared" si="1720"/>
        <v>-0.33043004899292328</v>
      </c>
      <c r="M10380" s="401">
        <f>SUM(C10380,C10356,C10332,C10308,C10284,C10260,C10236)/POBLA!$B$11*100000</f>
        <v>681.86637204682665</v>
      </c>
    </row>
    <row r="10381" spans="1:14" x14ac:dyDescent="0.25">
      <c r="A10381" s="367" t="s">
        <v>21</v>
      </c>
      <c r="B10381" s="2">
        <v>44325</v>
      </c>
      <c r="C10381" s="4">
        <v>108</v>
      </c>
      <c r="D10381" s="39">
        <f t="shared" si="1715"/>
        <v>14286</v>
      </c>
      <c r="F10381" s="39">
        <f t="shared" si="1717"/>
        <v>498</v>
      </c>
      <c r="G10381" s="168">
        <f>SUM(C10381,C10357,C10333,C10309,C10285,C10261,C10237,C10213,C10189,C10165,C10141,C10117,C10093,C10069)/POBLA!$B$12*100000</f>
        <v>308.23492939565119</v>
      </c>
      <c r="H10381" s="256">
        <f t="shared" si="1716"/>
        <v>1.1618773946360152</v>
      </c>
      <c r="I10381" s="297">
        <f t="shared" si="1718"/>
        <v>358.13119670203531</v>
      </c>
      <c r="J10381" s="297">
        <f t="shared" si="1719"/>
        <v>105.85714285714286</v>
      </c>
      <c r="K10381" s="297">
        <f>J10381/POBLA!$B$12*100000</f>
        <v>26.899314884251268</v>
      </c>
      <c r="L10381" s="68">
        <f t="shared" si="1720"/>
        <v>-0.56991525423728806</v>
      </c>
      <c r="M10381" s="401">
        <f>SUM(C10381,C10357,C10333,C10309,C10285,C10261,C10237)/POBLA!$B$12*100000</f>
        <v>188.29520418975886</v>
      </c>
    </row>
    <row r="10382" spans="1:14" x14ac:dyDescent="0.25">
      <c r="A10382" s="367" t="s">
        <v>17</v>
      </c>
      <c r="B10382" s="2">
        <v>44325</v>
      </c>
      <c r="C10382" s="4">
        <v>290</v>
      </c>
      <c r="D10382" s="39">
        <f t="shared" si="1715"/>
        <v>102626</v>
      </c>
      <c r="E10382" s="1">
        <v>21</v>
      </c>
      <c r="F10382" s="39">
        <f t="shared" si="1717"/>
        <v>2012</v>
      </c>
      <c r="G10382" s="168">
        <f>SUM(C10382,C10358,C10334,C10310,C10286,C10262,C10238,C10214,C10190,C10166,C10142,C10118,C10094,C10070)/POBLA!$B$13*100000</f>
        <v>519.00732438409955</v>
      </c>
      <c r="H10382" s="256">
        <f t="shared" si="1716"/>
        <v>0.84395424836601307</v>
      </c>
      <c r="I10382" s="297">
        <f t="shared" si="1718"/>
        <v>438.01843634703829</v>
      </c>
      <c r="J10382" s="297">
        <f t="shared" si="1719"/>
        <v>758.85714285714289</v>
      </c>
      <c r="K10382" s="297">
        <f>J10382/POBLA!$B$13*100000</f>
        <v>38.127048916171169</v>
      </c>
      <c r="L10382" s="68">
        <f t="shared" si="1720"/>
        <v>-5.8589079314467885E-2</v>
      </c>
      <c r="M10382" s="401">
        <f>SUM(C10382,C10358,C10334,C10310,C10286,C10262,C10238)/POBLA!$B$13*100000</f>
        <v>266.88934241319816</v>
      </c>
    </row>
    <row r="10383" spans="1:14" x14ac:dyDescent="0.25">
      <c r="A10383" s="367" t="s">
        <v>23</v>
      </c>
      <c r="B10383" s="2">
        <v>44325</v>
      </c>
      <c r="C10383" s="4">
        <v>179</v>
      </c>
      <c r="D10383" s="39">
        <f t="shared" si="1715"/>
        <v>16900</v>
      </c>
      <c r="F10383" s="39">
        <f t="shared" si="1717"/>
        <v>240</v>
      </c>
      <c r="G10383" s="168">
        <f>SUM(C10383,C10359,C10335,C10311,C10287,C10263,C10239,C10215,C10191,C10167,C10143,C10119,C10095,C10071)/POBLA!$B$14*100000</f>
        <v>141.75917747963598</v>
      </c>
      <c r="H10383" s="256">
        <f t="shared" si="1716"/>
        <v>1.0222984562607205</v>
      </c>
      <c r="I10383" s="297">
        <f t="shared" si="1718"/>
        <v>144.92018829822135</v>
      </c>
      <c r="J10383" s="297">
        <f t="shared" si="1719"/>
        <v>152</v>
      </c>
      <c r="K10383" s="297">
        <f>J10383/POBLA!$B$14*100000</f>
        <v>12.05111575889523</v>
      </c>
      <c r="L10383" s="68">
        <f t="shared" si="1720"/>
        <v>-0.46961325966850831</v>
      </c>
      <c r="M10383" s="401">
        <f>SUM(C10383,C10359,C10335,C10311,C10287,C10263,C10239)/POBLA!$B$14*100000</f>
        <v>84.357810312266608</v>
      </c>
    </row>
    <row r="10384" spans="1:14" x14ac:dyDescent="0.25">
      <c r="A10384" s="367" t="s">
        <v>19</v>
      </c>
      <c r="B10384" s="2">
        <v>44325</v>
      </c>
      <c r="C10384" s="4">
        <v>320</v>
      </c>
      <c r="D10384" s="39">
        <f t="shared" si="1715"/>
        <v>74777</v>
      </c>
      <c r="F10384" s="39">
        <f t="shared" si="1717"/>
        <v>1109</v>
      </c>
      <c r="G10384" s="168">
        <f>SUM(C10384,C10360,C10336,C10312,C10288,C10264,C10240,C10216,C10192,C10168,C10144,C10120,C10096,C10072)/POBLA!$B$15*100000</f>
        <v>817.09853220431376</v>
      </c>
      <c r="H10384" s="256">
        <f t="shared" si="1716"/>
        <v>1.9413237924865832</v>
      </c>
      <c r="I10384" s="297">
        <f t="shared" si="1718"/>
        <v>1586.2528213740989</v>
      </c>
      <c r="J10384" s="297">
        <f t="shared" si="1719"/>
        <v>452.28571428571428</v>
      </c>
      <c r="K10384" s="297">
        <f>J10384/POBLA!$B$15*100000</f>
        <v>68.109471669708213</v>
      </c>
      <c r="L10384" s="68">
        <f t="shared" si="1720"/>
        <v>-0.40088495575221228</v>
      </c>
      <c r="M10384" s="401">
        <f>SUM(C10384,C10360,C10336,C10312,C10288,C10264,C10240)/POBLA!$B$15*100000</f>
        <v>476.76630168795754</v>
      </c>
    </row>
    <row r="10385" spans="1:14" x14ac:dyDescent="0.25">
      <c r="A10385" s="367" t="s">
        <v>18</v>
      </c>
      <c r="B10385" s="2">
        <v>44325</v>
      </c>
      <c r="C10385" s="4">
        <v>153</v>
      </c>
      <c r="D10385" s="39">
        <f t="shared" si="1715"/>
        <v>63863</v>
      </c>
      <c r="E10385" s="1">
        <v>1</v>
      </c>
      <c r="F10385" s="39">
        <f t="shared" si="1717"/>
        <v>1396</v>
      </c>
      <c r="G10385" s="168">
        <f>SUM(C10385,C10361,C10337,C10313,C10289,C10265,C10241,C10217,C10193,C10169,C10145,C10121,C10097,C10073)/POBLA!$B$16*100000</f>
        <v>538.3823116330708</v>
      </c>
      <c r="H10385" s="256">
        <f t="shared" si="1716"/>
        <v>1.3162197514715501</v>
      </c>
      <c r="I10385" s="297">
        <f t="shared" si="1718"/>
        <v>708.62943241435914</v>
      </c>
      <c r="J10385" s="297">
        <f t="shared" si="1719"/>
        <v>305.57142857142856</v>
      </c>
      <c r="K10385" s="297">
        <f>J10385/POBLA!$B$16*100000</f>
        <v>40.873106107653527</v>
      </c>
      <c r="L10385" s="68">
        <f t="shared" si="1720"/>
        <v>-0.13414634146341453</v>
      </c>
      <c r="M10385" s="401">
        <f>SUM(C10385,C10361,C10337,C10313,C10289,C10265,C10241)/POBLA!$B$16*100000</f>
        <v>286.11174275357473</v>
      </c>
    </row>
    <row r="10386" spans="1:14" x14ac:dyDescent="0.25">
      <c r="A10386" s="367" t="s">
        <v>34</v>
      </c>
      <c r="B10386" s="2">
        <v>44325</v>
      </c>
      <c r="C10386" s="4">
        <v>113</v>
      </c>
      <c r="D10386" s="39">
        <f t="shared" si="1715"/>
        <v>36454</v>
      </c>
      <c r="E10386" s="1">
        <v>2</v>
      </c>
      <c r="F10386" s="39">
        <f t="shared" si="1717"/>
        <v>1300</v>
      </c>
      <c r="G10386" s="168">
        <f>SUM(C10386,C10362,C10338,C10314,C10290,C10266,C10242,C10218,C10194,C10170,C10146,C10122,C10098,C10074)/POBLA!$B$17*100000</f>
        <v>195.45112774037014</v>
      </c>
      <c r="H10386" s="256">
        <f t="shared" ref="H10386:H10409" si="1721">SUM(C10386,C10362,C10338,C10314,C10290,C10266,C10242,C10218,C10194,C10170,C10146,C10122,C10098,C10074)/SUM(C10050,C10026,C10002,C9978,C9954,C9930,C9906,C9882,C9858,C9834,C9810,C9786,C9762,C9738)</f>
        <v>1.0474040632054176</v>
      </c>
      <c r="I10386" s="297">
        <f t="shared" si="1718"/>
        <v>204.71630535334478</v>
      </c>
      <c r="J10386" s="297">
        <f t="shared" si="1719"/>
        <v>214.85714285714286</v>
      </c>
      <c r="K10386" s="297">
        <f>J10386/POBLA!$B$17*100000</f>
        <v>15.084077181933328</v>
      </c>
      <c r="L10386" s="68">
        <f t="shared" si="1720"/>
        <v>-0.17500000000000004</v>
      </c>
      <c r="M10386" s="401">
        <f>SUM(C10386,C10362,C10338,C10314,C10290,C10266,C10242)/POBLA!$B$17*100000</f>
        <v>105.58854027353328</v>
      </c>
    </row>
    <row r="10387" spans="1:14" x14ac:dyDescent="0.25">
      <c r="A10387" s="367" t="s">
        <v>35</v>
      </c>
      <c r="B10387" s="2">
        <v>44325</v>
      </c>
      <c r="C10387" s="4">
        <v>21</v>
      </c>
      <c r="D10387" s="39">
        <f t="shared" si="1715"/>
        <v>26246</v>
      </c>
      <c r="E10387" s="1">
        <v>1</v>
      </c>
      <c r="F10387" s="39">
        <f t="shared" si="1717"/>
        <v>485</v>
      </c>
      <c r="G10387" s="168">
        <f>SUM(C10387,C10363,C10339,C10315,C10291,C10267,C10243,C10219,C10195,C10171,C10147,C10123,C10099,C10075)/POBLA!$B$18*100000</f>
        <v>546.199071448778</v>
      </c>
      <c r="H10387" s="256">
        <f t="shared" si="1721"/>
        <v>1.3355242566510173</v>
      </c>
      <c r="I10387" s="297">
        <f t="shared" si="1718"/>
        <v>729.46210888010512</v>
      </c>
      <c r="J10387" s="297">
        <f t="shared" si="1719"/>
        <v>351.57142857142856</v>
      </c>
      <c r="K10387" s="297">
        <f>J10387/POBLA!$B$18*100000</f>
        <v>45.003043785712364</v>
      </c>
      <c r="L10387" s="68">
        <f t="shared" si="1720"/>
        <v>-0.36267995570321143</v>
      </c>
      <c r="M10387" s="401">
        <f>SUM(C10387,C10363,C10339,C10315,C10291,C10267,C10243)/POBLA!$B$18*100000</f>
        <v>315.02130649998657</v>
      </c>
    </row>
    <row r="10388" spans="1:14" x14ac:dyDescent="0.25">
      <c r="A10388" s="367" t="s">
        <v>36</v>
      </c>
      <c r="B10388" s="2">
        <v>44325</v>
      </c>
      <c r="C10388" s="4">
        <v>491</v>
      </c>
      <c r="D10388" s="39">
        <f t="shared" si="1715"/>
        <v>41449</v>
      </c>
      <c r="F10388" s="39">
        <f t="shared" si="1717"/>
        <v>529</v>
      </c>
      <c r="G10388" s="168">
        <f>SUM(C10388,C10364,C10340,C10316,C10292,C10268,C10244,C10220,C10196,C10172,C10148,C10124,C10100,C10076)/POBLA!$B$19*100000</f>
        <v>1314.1121480618813</v>
      </c>
      <c r="H10388" s="256">
        <f t="shared" si="1721"/>
        <v>0.79419807395077879</v>
      </c>
      <c r="I10388" s="297">
        <f t="shared" si="1718"/>
        <v>1043.6653369460666</v>
      </c>
      <c r="J10388" s="297">
        <f t="shared" si="1719"/>
        <v>433.28571428571428</v>
      </c>
      <c r="K10388" s="297">
        <f>J10388/POBLA!$B$19*100000</f>
        <v>85.237428252174638</v>
      </c>
      <c r="L10388" s="68">
        <f t="shared" si="1720"/>
        <v>0.16835755415409925</v>
      </c>
      <c r="M10388" s="401">
        <f>SUM(C10388,C10364,C10340,C10316,C10292,C10268,C10244)/POBLA!$B$19*100000</f>
        <v>596.6619977652224</v>
      </c>
    </row>
    <row r="10389" spans="1:14" x14ac:dyDescent="0.25">
      <c r="A10389" s="367" t="s">
        <v>37</v>
      </c>
      <c r="B10389" s="2">
        <v>44325</v>
      </c>
      <c r="C10389" s="4">
        <v>122</v>
      </c>
      <c r="D10389" s="39">
        <f t="shared" si="1715"/>
        <v>46560</v>
      </c>
      <c r="E10389" s="1">
        <v>1</v>
      </c>
      <c r="F10389" s="39">
        <f t="shared" si="1717"/>
        <v>735</v>
      </c>
      <c r="G10389" s="168">
        <f>SUM(C10389,C10365,C10341,C10317,C10293,C10269,C10245,C10221,C10197,C10173,C10149,C10125,C10101,C10077)/POBLA!$B$20*100000</f>
        <v>795.73856023276039</v>
      </c>
      <c r="H10389" s="256">
        <f t="shared" si="1721"/>
        <v>1.0960451977401129</v>
      </c>
      <c r="I10389" s="297">
        <f t="shared" si="1718"/>
        <v>872.16542759974857</v>
      </c>
      <c r="J10389" s="297">
        <f t="shared" si="1719"/>
        <v>216</v>
      </c>
      <c r="K10389" s="297">
        <f>J10389/POBLA!$B$20*100000</f>
        <v>59.065130244081182</v>
      </c>
      <c r="L10389" s="68">
        <f t="shared" si="1720"/>
        <v>-8.1545064377682497E-2</v>
      </c>
      <c r="M10389" s="401">
        <f>SUM(C10389,C10365,C10341,C10317,C10293,C10269,C10245)/POBLA!$B$20*100000</f>
        <v>413.45591170856824</v>
      </c>
    </row>
    <row r="10390" spans="1:14" x14ac:dyDescent="0.25">
      <c r="A10390" s="367" t="s">
        <v>22</v>
      </c>
      <c r="B10390" s="2">
        <v>44325</v>
      </c>
      <c r="C10390" s="4">
        <v>845</v>
      </c>
      <c r="D10390" s="39">
        <f t="shared" si="1715"/>
        <v>289102</v>
      </c>
      <c r="E10390" s="1">
        <v>1</v>
      </c>
      <c r="F10390" s="39">
        <f t="shared" si="1717"/>
        <v>4788</v>
      </c>
      <c r="G10390" s="168">
        <f>SUM(C10390,C10366,C10342,C10318,C10294,C10270,C10246,C10222,C10198,C10174,C10150,C10126,C10102,C10078)/POBLA!$B$21*100000</f>
        <v>678.08726230892387</v>
      </c>
      <c r="H10390" s="256">
        <f t="shared" si="1721"/>
        <v>1.0406179482728692</v>
      </c>
      <c r="I10390" s="297">
        <f t="shared" si="1718"/>
        <v>705.62977565387928</v>
      </c>
      <c r="J10390" s="297">
        <f t="shared" si="1719"/>
        <v>1780.4285714285713</v>
      </c>
      <c r="K10390" s="297">
        <f>J10390/POBLA!$B$21*100000</f>
        <v>50.345535268414856</v>
      </c>
      <c r="L10390" s="68">
        <f t="shared" si="1720"/>
        <v>-8.2139446036294084E-2</v>
      </c>
      <c r="M10390" s="401">
        <f>SUM(C10390,C10366,C10342,C10318,C10294,C10270,C10246)/POBLA!$B$21*100000</f>
        <v>352.41874687890402</v>
      </c>
    </row>
    <row r="10391" spans="1:14" x14ac:dyDescent="0.25">
      <c r="A10391" s="367" t="s">
        <v>38</v>
      </c>
      <c r="B10391" s="2">
        <v>44325</v>
      </c>
      <c r="C10391" s="4">
        <v>286</v>
      </c>
      <c r="D10391" s="39">
        <f t="shared" si="1715"/>
        <v>32804</v>
      </c>
      <c r="E10391" s="1">
        <v>1</v>
      </c>
      <c r="F10391" s="39">
        <f t="shared" si="1717"/>
        <v>371</v>
      </c>
      <c r="G10391" s="168">
        <f>SUM(C10391,C10367,C10343,C10319,C10295,C10271,C10247,C10223,C10199,C10175,C10151,C10127,C10103,C10079)/POBLA!$B$22*100000</f>
        <v>307.570276588372</v>
      </c>
      <c r="H10391" s="256">
        <f t="shared" si="1721"/>
        <v>1.0138140161725067</v>
      </c>
      <c r="I10391" s="297">
        <f t="shared" si="1718"/>
        <v>311.81905736334613</v>
      </c>
      <c r="J10391" s="297">
        <f t="shared" si="1719"/>
        <v>248.71428571428572</v>
      </c>
      <c r="K10391" s="297">
        <f>J10391/POBLA!$B$22*100000</f>
        <v>25.42277223284222</v>
      </c>
      <c r="L10391" s="68">
        <f t="shared" si="1720"/>
        <v>-0.37302839116719233</v>
      </c>
      <c r="M10391" s="401">
        <f>SUM(C10391,C10367,C10343,C10319,C10295,C10271,C10247)/POBLA!$B$22*100000</f>
        <v>177.95940562989554</v>
      </c>
    </row>
    <row r="10392" spans="1:14" x14ac:dyDescent="0.25">
      <c r="A10392" s="367" t="s">
        <v>39</v>
      </c>
      <c r="B10392" s="2">
        <v>44325</v>
      </c>
      <c r="C10392" s="4">
        <v>42</v>
      </c>
      <c r="D10392" s="39">
        <f t="shared" si="1715"/>
        <v>27018</v>
      </c>
      <c r="F10392" s="39">
        <f t="shared" si="1717"/>
        <v>401</v>
      </c>
      <c r="G10392" s="168">
        <f>SUM(C10392,C10368,C10344,C10320,C10296,C10272,C10248,C10224,C10200,C10176,C10152,C10128,C10104,C10080)/POBLA!$B$23*100000</f>
        <v>550.24599898207316</v>
      </c>
      <c r="H10392" s="256">
        <f t="shared" si="1721"/>
        <v>0.8128654970760234</v>
      </c>
      <c r="I10392" s="297">
        <f t="shared" si="1718"/>
        <v>447.27598747665598</v>
      </c>
      <c r="J10392" s="297">
        <f t="shared" si="1719"/>
        <v>68.285714285714292</v>
      </c>
      <c r="K10392" s="297">
        <f>J10392/POBLA!$B$23*100000</f>
        <v>38.616588975690945</v>
      </c>
      <c r="L10392" s="68">
        <f t="shared" si="1720"/>
        <v>3.4343434343434343E-2</v>
      </c>
      <c r="M10392" s="401">
        <f>SUM(C10392,C10368,C10344,C10320,C10296,C10272,C10248)/POBLA!$B$23*100000</f>
        <v>270.31612282983656</v>
      </c>
    </row>
    <row r="10393" spans="1:14" ht="15.75" thickBot="1" x14ac:dyDescent="0.3">
      <c r="A10393" s="368" t="s">
        <v>40</v>
      </c>
      <c r="B10393" s="34">
        <v>44325</v>
      </c>
      <c r="C10393" s="27">
        <v>317</v>
      </c>
      <c r="D10393" s="67">
        <f t="shared" si="1715"/>
        <v>110558</v>
      </c>
      <c r="E10393" s="232"/>
      <c r="F10393" s="67">
        <f t="shared" si="1717"/>
        <v>1707</v>
      </c>
      <c r="G10393" s="255">
        <f>SUM(C10393,C10369,C10345,C10321,C10297,C10273,C10249,C10225,C10201,C10177,C10153,C10129,C10105,C10081)/POBLA!$B$24*100000</f>
        <v>480.62851693795085</v>
      </c>
      <c r="H10393" s="257">
        <f t="shared" si="1721"/>
        <v>0.89466168717047456</v>
      </c>
      <c r="I10393" s="299">
        <f t="shared" si="1718"/>
        <v>429.99991986595012</v>
      </c>
      <c r="J10393" s="299">
        <f t="shared" si="1719"/>
        <v>531.28571428571433</v>
      </c>
      <c r="K10393" s="299">
        <f>J10393/POBLA!$B$24*100000</f>
        <v>31.350652538669461</v>
      </c>
      <c r="L10393" s="68">
        <f t="shared" si="1720"/>
        <v>0.15973791233619516</v>
      </c>
      <c r="M10393" s="406">
        <f>SUM(C10393,C10369,C10345,C10321,C10297,C10273,C10249)/POBLA!$B$24*100000</f>
        <v>219.4545677706862</v>
      </c>
    </row>
    <row r="10394" spans="1:14" x14ac:dyDescent="0.25">
      <c r="A10394" s="363" t="s">
        <v>16</v>
      </c>
      <c r="B10394" s="265">
        <v>44326</v>
      </c>
      <c r="C10394" s="356">
        <v>7213</v>
      </c>
      <c r="D10394" s="174">
        <f t="shared" si="1715"/>
        <v>1382065</v>
      </c>
      <c r="E10394" s="43">
        <v>225</v>
      </c>
      <c r="F10394" s="174">
        <f t="shared" ref="F10394:F10417" si="1722">E10394+F10370</f>
        <v>35024</v>
      </c>
      <c r="G10394" s="175">
        <f>SUM(C10394,C10370,C10346,C10322,C10298,C10274,C10250,C10226,C10202,C10178,C10154,C10130,C10106,C10082)/POBLA!$B$1*100000</f>
        <v>731.43474532243943</v>
      </c>
      <c r="H10394" s="300">
        <f t="shared" si="1721"/>
        <v>0.78351887927401975</v>
      </c>
      <c r="I10394" s="301">
        <f>G10394*H10394</f>
        <v>573.09293191711583</v>
      </c>
      <c r="J10394" s="421">
        <f>AVERAGE(C10394,C10370,C10346,C10322,C10298,C10274,C10250)</f>
        <v>8931.7142857142862</v>
      </c>
      <c r="K10394" s="301">
        <f>J10394/POBLA!$B$1*100000</f>
        <v>50.918661937181199</v>
      </c>
      <c r="L10394" s="68">
        <f t="shared" si="1720"/>
        <v>4.9528732137427811E-2</v>
      </c>
      <c r="M10394" s="400">
        <f>SUM(C10394,C10370,C10346,C10322,C10298,C10274,C10250)/POBLA!$B$1*100000</f>
        <v>356.4306335602684</v>
      </c>
      <c r="N10394" s="360"/>
    </row>
    <row r="10395" spans="1:14" x14ac:dyDescent="0.25">
      <c r="A10395" s="367" t="s">
        <v>43</v>
      </c>
      <c r="B10395" s="2">
        <v>44326</v>
      </c>
      <c r="C10395" s="4">
        <v>1875</v>
      </c>
      <c r="D10395" s="39">
        <f t="shared" si="1715"/>
        <v>363739</v>
      </c>
      <c r="E10395" s="1">
        <v>72</v>
      </c>
      <c r="F10395" s="39">
        <f t="shared" si="1722"/>
        <v>8205</v>
      </c>
      <c r="G10395" s="168">
        <f>SUM(C10395,C10371,C10347,C10323,C10299,C10275,C10251,C10227,C10203,C10179,C10155,C10131,C10107,C10083)/POBLA!$B$2*100000</f>
        <v>1071.4171917054173</v>
      </c>
      <c r="H10395" s="256">
        <f t="shared" si="1721"/>
        <v>0.79115048497070972</v>
      </c>
      <c r="I10395" s="297">
        <f t="shared" ref="I10395:I10417" si="1723">G10395*H10395</f>
        <v>847.65223082369675</v>
      </c>
      <c r="J10395" s="422">
        <f t="shared" ref="J10395:J10417" si="1724">AVERAGE(C10395,C10371,C10347,C10323,C10299,C10275,C10251)</f>
        <v>2239.5714285714284</v>
      </c>
      <c r="K10395" s="297">
        <f>J10395/POBLA!$B$2*100000</f>
        <v>72.816293831326121</v>
      </c>
      <c r="L10395" s="68">
        <f t="shared" si="1720"/>
        <v>9.255614725630934E-2</v>
      </c>
      <c r="M10395" s="401">
        <f>SUM(C10395,C10371,C10347,C10323,C10299,C10275,C10251)/POBLA!$B$2*100000</f>
        <v>509.71405681928286</v>
      </c>
      <c r="N10395" s="360"/>
    </row>
    <row r="10396" spans="1:14" x14ac:dyDescent="0.25">
      <c r="A10396" s="367" t="s">
        <v>28</v>
      </c>
      <c r="B10396" s="2">
        <v>44326</v>
      </c>
      <c r="C10396" s="4">
        <v>179</v>
      </c>
      <c r="D10396" s="39">
        <f t="shared" si="1715"/>
        <v>16349</v>
      </c>
      <c r="E10396" s="1">
        <v>5</v>
      </c>
      <c r="F10396" s="39">
        <f t="shared" si="1722"/>
        <v>114</v>
      </c>
      <c r="G10396" s="168">
        <f>SUM(C10396,C10372,C10348,C10324,C10300,C10276,C10252,C10228,C10204,C10180,C10156,C10132,C10108,C10084)/POBLA!$B$3*100000</f>
        <v>508.86052792474447</v>
      </c>
      <c r="H10396" s="256">
        <f t="shared" si="1721"/>
        <v>0.89123102866779091</v>
      </c>
      <c r="I10396" s="297">
        <f t="shared" si="1723"/>
        <v>453.51229175080516</v>
      </c>
      <c r="J10396" s="422">
        <f t="shared" si="1724"/>
        <v>167.71428571428572</v>
      </c>
      <c r="K10396" s="297">
        <f>J10396/POBLA!$B$3*100000</f>
        <v>40.370473022276663</v>
      </c>
      <c r="L10396" s="68">
        <f t="shared" si="1720"/>
        <v>-0.24893617021276593</v>
      </c>
      <c r="M10396" s="401">
        <f>SUM(C10396,C10372,C10348,C10324,C10300,C10276,C10252)/POBLA!$B$3*100000</f>
        <v>282.59331115593665</v>
      </c>
      <c r="N10396" s="360"/>
    </row>
    <row r="10397" spans="1:14" x14ac:dyDescent="0.25">
      <c r="A10397" s="367" t="s">
        <v>15</v>
      </c>
      <c r="B10397" s="2">
        <v>44326</v>
      </c>
      <c r="C10397" s="4">
        <v>177</v>
      </c>
      <c r="D10397" s="39">
        <f t="shared" si="1715"/>
        <v>47156</v>
      </c>
      <c r="E10397" s="1">
        <v>6</v>
      </c>
      <c r="F10397" s="39">
        <f t="shared" si="1722"/>
        <v>1084</v>
      </c>
      <c r="G10397" s="168">
        <f>SUM(C10397,C10373,C10349,C10325,C10301,C10277,C10253,C10229,C10205,C10181,C10157,C10133,C10109,C10085)/POBLA!$B$4*100000</f>
        <v>281.60104139253048</v>
      </c>
      <c r="H10397" s="256">
        <f t="shared" si="1721"/>
        <v>1.0656613257932768</v>
      </c>
      <c r="I10397" s="297">
        <f t="shared" si="1723"/>
        <v>300.09133911513146</v>
      </c>
      <c r="J10397" s="422">
        <f t="shared" si="1724"/>
        <v>254.57142857142858</v>
      </c>
      <c r="K10397" s="297">
        <f>J10397/POBLA!$B$4*100000</f>
        <v>21.134309963000728</v>
      </c>
      <c r="L10397" s="68">
        <f t="shared" si="1720"/>
        <v>-0.10683229813664585</v>
      </c>
      <c r="M10397" s="401">
        <f>SUM(C10397,C10373,C10349,C10325,C10301,C10277,C10253)/POBLA!$B$4*100000</f>
        <v>147.94016974100506</v>
      </c>
      <c r="N10397" s="360"/>
    </row>
    <row r="10398" spans="1:14" x14ac:dyDescent="0.25">
      <c r="A10398" s="367" t="s">
        <v>29</v>
      </c>
      <c r="B10398" s="2">
        <v>44326</v>
      </c>
      <c r="C10398" s="4">
        <v>232</v>
      </c>
      <c r="D10398" s="39">
        <f t="shared" si="1715"/>
        <v>56575</v>
      </c>
      <c r="E10398" s="1">
        <v>3</v>
      </c>
      <c r="F10398" s="39">
        <f t="shared" si="1722"/>
        <v>935</v>
      </c>
      <c r="G10398" s="168">
        <f>SUM(C10398,C10374,C10350,C10326,C10302,C10278,C10254,C10230,C10206,C10182,C10158,C10134,C10110,C10086)/POBLA!$B$5*100000</f>
        <v>396.77282816957842</v>
      </c>
      <c r="H10398" s="256">
        <f t="shared" si="1721"/>
        <v>0.9402756508422665</v>
      </c>
      <c r="I10398" s="297">
        <f t="shared" si="1723"/>
        <v>373.07582924367711</v>
      </c>
      <c r="J10398" s="422">
        <f t="shared" si="1724"/>
        <v>199.28571428571428</v>
      </c>
      <c r="K10398" s="297">
        <f>J10398/POBLA!$B$5*100000</f>
        <v>32.195096282954971</v>
      </c>
      <c r="L10398" s="68">
        <f t="shared" si="1720"/>
        <v>-0.31479736098020727</v>
      </c>
      <c r="M10398" s="401">
        <f>SUM(C10398,C10374,C10350,C10326,C10302,C10278,C10254)/POBLA!$B$5*100000</f>
        <v>225.36567398068479</v>
      </c>
      <c r="N10398" s="360"/>
    </row>
    <row r="10399" spans="1:14" x14ac:dyDescent="0.25">
      <c r="A10399" s="367" t="s">
        <v>30</v>
      </c>
      <c r="B10399" s="2">
        <v>44326</v>
      </c>
      <c r="C10399" s="4">
        <v>133</v>
      </c>
      <c r="D10399" s="39">
        <f t="shared" si="1715"/>
        <v>39384</v>
      </c>
      <c r="E10399" s="1">
        <v>1</v>
      </c>
      <c r="F10399" s="39">
        <f t="shared" si="1722"/>
        <v>530</v>
      </c>
      <c r="G10399" s="168">
        <f>SUM(C10399,C10375,C10351,C10327,C10303,C10279,C10255,C10231,C10207,C10183,C10159,C10135,C10111,C10087)/POBLA!$B$6*100000</f>
        <v>237.95481981190238</v>
      </c>
      <c r="H10399" s="256">
        <f t="shared" si="1721"/>
        <v>0.78073770491803274</v>
      </c>
      <c r="I10399" s="297">
        <f t="shared" si="1723"/>
        <v>185.78029989412869</v>
      </c>
      <c r="J10399" s="422">
        <f t="shared" si="1724"/>
        <v>211.14285714285714</v>
      </c>
      <c r="K10399" s="297">
        <f>J10399/POBLA!$B$6*100000</f>
        <v>18.838567876265024</v>
      </c>
      <c r="L10399" s="68">
        <f t="shared" si="1720"/>
        <v>-0.2430613961312027</v>
      </c>
      <c r="M10399" s="401">
        <f>SUM(C10399,C10375,C10351,C10327,C10303,C10279,C10255)/POBLA!$B$6*100000</f>
        <v>131.86997513385518</v>
      </c>
      <c r="N10399" s="360"/>
    </row>
    <row r="10400" spans="1:14" x14ac:dyDescent="0.25">
      <c r="A10400" s="367" t="s">
        <v>20</v>
      </c>
      <c r="B10400" s="2">
        <v>44326</v>
      </c>
      <c r="C10400" s="4">
        <v>1388</v>
      </c>
      <c r="D10400" s="39">
        <f t="shared" si="1715"/>
        <v>241984</v>
      </c>
      <c r="E10400" s="1">
        <v>16</v>
      </c>
      <c r="F10400" s="39">
        <f t="shared" si="1722"/>
        <v>3517</v>
      </c>
      <c r="G10400" s="168">
        <f>SUM(C10400,C10376,C10352,C10328,C10304,C10280,C10256,C10232,C10208,C10184,C10160,C10136,C10112,C10088)/POBLA!$B$7*100000</f>
        <v>598.11990586233026</v>
      </c>
      <c r="H10400" s="256">
        <f t="shared" si="1721"/>
        <v>0.97940344001741786</v>
      </c>
      <c r="I10400" s="297">
        <f t="shared" si="1723"/>
        <v>585.80069334446034</v>
      </c>
      <c r="J10400" s="422">
        <f t="shared" si="1724"/>
        <v>1608.5714285714287</v>
      </c>
      <c r="K10400" s="297">
        <f>J10400/POBLA!$B$7*100000</f>
        <v>42.776035542858665</v>
      </c>
      <c r="L10400" s="68">
        <f t="shared" si="1720"/>
        <v>-2.49287749287741E-3</v>
      </c>
      <c r="M10400" s="401">
        <f>SUM(C10400,C10376,C10352,C10328,C10304,C10280,C10256)/POBLA!$B$7*100000</f>
        <v>299.4322488000106</v>
      </c>
      <c r="N10400" s="360"/>
    </row>
    <row r="10401" spans="1:14" x14ac:dyDescent="0.25">
      <c r="A10401" s="367" t="s">
        <v>31</v>
      </c>
      <c r="B10401" s="2">
        <v>44326</v>
      </c>
      <c r="C10401" s="291">
        <v>417</v>
      </c>
      <c r="D10401" s="39">
        <f t="shared" si="1715"/>
        <v>67850</v>
      </c>
      <c r="E10401" s="1">
        <v>4</v>
      </c>
      <c r="F10401" s="39">
        <f t="shared" si="1722"/>
        <v>1104</v>
      </c>
      <c r="G10401" s="168">
        <f>SUM(C10401,C10377,C10353,C10329,C10305,C10281,C10257,C10233,C10209,C10185,C10161,C10137,C10113,C10089)/POBLA!$B$8*100000</f>
        <v>542.87241848796612</v>
      </c>
      <c r="H10401" s="256">
        <f t="shared" si="1721"/>
        <v>1.0713370354549339</v>
      </c>
      <c r="I10401" s="297">
        <f t="shared" si="1723"/>
        <v>581.59932745314779</v>
      </c>
      <c r="J10401" s="422">
        <f t="shared" si="1724"/>
        <v>572.85714285714289</v>
      </c>
      <c r="K10401" s="297">
        <f>J10401/POBLA!$B$8*100000</f>
        <v>41.332847234311998</v>
      </c>
      <c r="L10401" s="68">
        <f t="shared" si="1720"/>
        <v>-0.14114968696641994</v>
      </c>
      <c r="M10401" s="401">
        <f>SUM(C10401,C10377,C10353,C10329,C10305,C10281,C10257)/POBLA!$B$8*100000</f>
        <v>289.32993064018393</v>
      </c>
      <c r="N10401" s="360"/>
    </row>
    <row r="10402" spans="1:14" x14ac:dyDescent="0.25">
      <c r="A10402" s="367" t="s">
        <v>41</v>
      </c>
      <c r="B10402" s="2">
        <v>44326</v>
      </c>
      <c r="C10402" s="4">
        <v>148</v>
      </c>
      <c r="D10402" s="39">
        <f t="shared" si="1715"/>
        <v>6050</v>
      </c>
      <c r="F10402" s="39">
        <f t="shared" si="1722"/>
        <v>105</v>
      </c>
      <c r="G10402" s="168">
        <f>SUM(C10402,C10378,C10354,C10330,C10306,C10282,C10258,C10234,C10210,C10186,C10162,C10138,C10114,C10090)/POBLA!$B$9*100000</f>
        <v>291.31202773330159</v>
      </c>
      <c r="H10402" s="256">
        <f t="shared" si="1721"/>
        <v>1.3719844357976654</v>
      </c>
      <c r="I10402" s="297">
        <f t="shared" si="1723"/>
        <v>399.67556801074761</v>
      </c>
      <c r="J10402" s="422">
        <f t="shared" si="1724"/>
        <v>203.57142857142858</v>
      </c>
      <c r="K10402" s="297">
        <f>J10402/POBLA!$B$9*100000</f>
        <v>33.637439390645397</v>
      </c>
      <c r="L10402" s="68">
        <f t="shared" si="1720"/>
        <v>-3.2159763313609471</v>
      </c>
      <c r="M10402" s="401">
        <f>SUM(C10402,C10378,C10354,C10330,C10306,C10282,C10258)/POBLA!$B$9*100000</f>
        <v>235.46207573451775</v>
      </c>
      <c r="N10402" s="360"/>
    </row>
    <row r="10403" spans="1:14" x14ac:dyDescent="0.25">
      <c r="A10403" s="367" t="s">
        <v>32</v>
      </c>
      <c r="B10403" s="2">
        <v>44326</v>
      </c>
      <c r="C10403" s="4">
        <v>48</v>
      </c>
      <c r="D10403" s="39">
        <f t="shared" si="1715"/>
        <v>25706</v>
      </c>
      <c r="F10403" s="39">
        <f t="shared" si="1722"/>
        <v>1058</v>
      </c>
      <c r="G10403" s="168">
        <f>SUM(C10403,C10379,C10355,C10331,C10307,C10283,C10259,C10235,C10211,C10187,C10163,C10139,C10115,C10091)/POBLA!$B$10*100000</f>
        <v>164.09796064502822</v>
      </c>
      <c r="H10403" s="256">
        <f t="shared" si="1721"/>
        <v>0.9496996996996997</v>
      </c>
      <c r="I10403" s="297">
        <f t="shared" si="1723"/>
        <v>155.84378394591644</v>
      </c>
      <c r="J10403" s="422">
        <f t="shared" si="1724"/>
        <v>91.142857142857139</v>
      </c>
      <c r="K10403" s="297">
        <f>J10403/POBLA!$B$10*100000</f>
        <v>11.823207102374704</v>
      </c>
      <c r="L10403" s="68">
        <f t="shared" si="1720"/>
        <v>-1.7543859649122862E-2</v>
      </c>
      <c r="M10403" s="401">
        <f>SUM(C10403,C10379,C10355,C10331,C10307,C10283,C10259)/POBLA!$B$10*100000</f>
        <v>82.762449716622925</v>
      </c>
      <c r="N10403" s="360"/>
    </row>
    <row r="10404" spans="1:14" x14ac:dyDescent="0.25">
      <c r="A10404" s="367" t="s">
        <v>33</v>
      </c>
      <c r="B10404" s="2">
        <v>44326</v>
      </c>
      <c r="C10404" s="4">
        <v>453</v>
      </c>
      <c r="D10404" s="39">
        <f t="shared" si="1715"/>
        <v>30501</v>
      </c>
      <c r="E10404" s="1">
        <v>4</v>
      </c>
      <c r="F10404" s="39">
        <f t="shared" si="1722"/>
        <v>413</v>
      </c>
      <c r="G10404" s="168">
        <f>SUM(C10404,C10380,C10356,C10332,C10308,C10284,C10260,C10236,C10212,C10188,C10164,C10140,C10116,C10092)/POBLA!$B$11*100000</f>
        <v>1270.8270559219704</v>
      </c>
      <c r="H10404" s="256">
        <f t="shared" si="1721"/>
        <v>1.4492523067133312</v>
      </c>
      <c r="I10404" s="297">
        <f t="shared" si="1723"/>
        <v>1841.7490422286271</v>
      </c>
      <c r="J10404" s="422">
        <f t="shared" si="1724"/>
        <v>382.28571428571428</v>
      </c>
      <c r="K10404" s="297">
        <f>J10404/POBLA!$B$11*100000</f>
        <v>106.65620830005308</v>
      </c>
      <c r="L10404" s="68">
        <f t="shared" si="1720"/>
        <v>-0.42416178818520489</v>
      </c>
      <c r="M10404" s="401">
        <f>SUM(C10404,C10380,C10356,C10332,C10308,C10284,C10260)/POBLA!$B$11*100000</f>
        <v>746.59345810037166</v>
      </c>
      <c r="N10404" s="360"/>
    </row>
    <row r="10405" spans="1:14" x14ac:dyDescent="0.25">
      <c r="A10405" s="367" t="s">
        <v>21</v>
      </c>
      <c r="B10405" s="2">
        <v>44326</v>
      </c>
      <c r="C10405" s="4">
        <v>94</v>
      </c>
      <c r="D10405" s="39">
        <f t="shared" si="1715"/>
        <v>14380</v>
      </c>
      <c r="E10405" s="1">
        <v>6</v>
      </c>
      <c r="F10405" s="39">
        <f t="shared" si="1722"/>
        <v>504</v>
      </c>
      <c r="G10405" s="168">
        <f>SUM(C10405,C10381,C10357,C10333,C10309,C10285,C10261,C10237,C10213,C10189,C10165,C10141,C10117,C10093)/POBLA!$B$12*100000</f>
        <v>320.43218958608094</v>
      </c>
      <c r="H10405" s="256">
        <f t="shared" si="1721"/>
        <v>1.1697588126159555</v>
      </c>
      <c r="I10405" s="297">
        <f t="shared" si="1723"/>
        <v>374.82837761414476</v>
      </c>
      <c r="J10405" s="422">
        <f t="shared" si="1724"/>
        <v>87</v>
      </c>
      <c r="K10405" s="297">
        <f>J10405/POBLA!$B$12*100000</f>
        <v>22.107534095153873</v>
      </c>
      <c r="L10405" s="68">
        <f t="shared" si="1720"/>
        <v>6.5950920245398725E-2</v>
      </c>
      <c r="M10405" s="401">
        <f>SUM(C10405,C10381,C10357,C10333,C10309,C10285,C10261)/POBLA!$B$12*100000</f>
        <v>154.75273866607714</v>
      </c>
      <c r="N10405" s="360"/>
    </row>
    <row r="10406" spans="1:14" x14ac:dyDescent="0.25">
      <c r="A10406" s="367" t="s">
        <v>17</v>
      </c>
      <c r="B10406" s="2">
        <v>44326</v>
      </c>
      <c r="C10406" s="4">
        <v>839</v>
      </c>
      <c r="D10406" s="39">
        <f t="shared" si="1715"/>
        <v>103465</v>
      </c>
      <c r="E10406" s="1">
        <v>22</v>
      </c>
      <c r="F10406" s="39">
        <f t="shared" si="1722"/>
        <v>2034</v>
      </c>
      <c r="G10406" s="168">
        <f>SUM(C10406,C10382,C10358,C10334,C10310,C10286,C10262,C10238,C10214,C10190,C10166,C10142,C10118,C10094)/POBLA!$B$13*100000</f>
        <v>525.23742198561251</v>
      </c>
      <c r="H10406" s="256">
        <f t="shared" si="1721"/>
        <v>0.84881455017862939</v>
      </c>
      <c r="I10406" s="297">
        <f t="shared" si="1723"/>
        <v>445.82916607970066</v>
      </c>
      <c r="J10406" s="422">
        <f t="shared" si="1724"/>
        <v>791.71428571428567</v>
      </c>
      <c r="K10406" s="297">
        <f>J10406/POBLA!$B$13*100000</f>
        <v>39.777881229936099</v>
      </c>
      <c r="L10406" s="68">
        <f t="shared" si="1720"/>
        <v>-0.12825732899022801</v>
      </c>
      <c r="M10406" s="401">
        <f>SUM(C10406,C10382,C10358,C10334,C10310,C10286,C10262)/POBLA!$B$13*100000</f>
        <v>278.44516860955275</v>
      </c>
      <c r="N10406" s="360"/>
    </row>
    <row r="10407" spans="1:14" x14ac:dyDescent="0.25">
      <c r="A10407" s="367" t="s">
        <v>23</v>
      </c>
      <c r="B10407" s="2">
        <v>44326</v>
      </c>
      <c r="C10407" s="4">
        <v>162</v>
      </c>
      <c r="D10407" s="39">
        <f t="shared" si="1715"/>
        <v>17062</v>
      </c>
      <c r="E10407" s="1">
        <v>2</v>
      </c>
      <c r="F10407" s="39">
        <f t="shared" si="1722"/>
        <v>242</v>
      </c>
      <c r="G10407" s="168">
        <f>SUM(C10407,C10383,C10359,C10335,C10311,C10287,C10263,C10239,C10215,C10191,C10167,C10143,C10119,C10095)/POBLA!$B$14*100000</f>
        <v>146.83333148338136</v>
      </c>
      <c r="H10407" s="256">
        <f t="shared" si="1721"/>
        <v>1.0705202312138729</v>
      </c>
      <c r="I10407" s="297">
        <f t="shared" si="1723"/>
        <v>157.18805196949265</v>
      </c>
      <c r="J10407" s="422">
        <f t="shared" si="1724"/>
        <v>161</v>
      </c>
      <c r="K10407" s="297">
        <f>J10407/POBLA!$B$14*100000</f>
        <v>12.76466866567192</v>
      </c>
      <c r="L10407" s="68">
        <f t="shared" si="1720"/>
        <v>-0.55448275862068974</v>
      </c>
      <c r="M10407" s="401">
        <f>SUM(C10407,C10383,C10359,C10335,C10311,C10287,C10263)/POBLA!$B$14*100000</f>
        <v>89.352680659703452</v>
      </c>
      <c r="N10407" s="360"/>
    </row>
    <row r="10408" spans="1:14" x14ac:dyDescent="0.25">
      <c r="A10408" s="367" t="s">
        <v>19</v>
      </c>
      <c r="B10408" s="2">
        <v>44326</v>
      </c>
      <c r="C10408" s="4">
        <v>446</v>
      </c>
      <c r="D10408" s="39">
        <f t="shared" si="1715"/>
        <v>75223</v>
      </c>
      <c r="E10408" s="1">
        <v>26</v>
      </c>
      <c r="F10408" s="39">
        <f t="shared" si="1722"/>
        <v>1135</v>
      </c>
      <c r="G10408" s="168">
        <f>SUM(C10408,C10384,C10360,C10336,C10312,C10288,C10264,C10240,C10216,C10192,C10168,C10144,C10120,C10096)/POBLA!$B$15*100000</f>
        <v>849.92703939571447</v>
      </c>
      <c r="H10408" s="256">
        <f t="shared" si="1721"/>
        <v>1.9322149948647724</v>
      </c>
      <c r="I10408" s="297">
        <f t="shared" si="1723"/>
        <v>1642.2417700614217</v>
      </c>
      <c r="J10408" s="422">
        <f t="shared" si="1724"/>
        <v>469.85714285714283</v>
      </c>
      <c r="K10408" s="297">
        <f>J10408/POBLA!$B$15*100000</f>
        <v>70.755544005581271</v>
      </c>
      <c r="L10408" s="68">
        <f t="shared" si="1720"/>
        <v>-0.39660297239915066</v>
      </c>
      <c r="M10408" s="401">
        <f>SUM(C10408,C10384,C10360,C10336,C10312,C10288,C10264)/POBLA!$B$15*100000</f>
        <v>495.28880803906895</v>
      </c>
      <c r="N10408" s="360"/>
    </row>
    <row r="10409" spans="1:14" x14ac:dyDescent="0.25">
      <c r="A10409" s="367" t="s">
        <v>18</v>
      </c>
      <c r="B10409" s="2">
        <v>44326</v>
      </c>
      <c r="C10409" s="4">
        <v>325</v>
      </c>
      <c r="D10409" s="39">
        <f t="shared" si="1715"/>
        <v>64188</v>
      </c>
      <c r="E10409" s="1">
        <v>10</v>
      </c>
      <c r="F10409" s="39">
        <f t="shared" si="1722"/>
        <v>1406</v>
      </c>
      <c r="G10409" s="168">
        <f>SUM(C10409,C10385,C10361,C10337,C10313,C10289,C10265,C10241,C10217,C10193,C10169,C10145,C10121,C10097)/POBLA!$B$16*100000</f>
        <v>546.00660772327819</v>
      </c>
      <c r="H10409" s="256">
        <f t="shared" si="1721"/>
        <v>1.2901390644753477</v>
      </c>
      <c r="I10409" s="297">
        <f t="shared" si="1723"/>
        <v>704.42445408546826</v>
      </c>
      <c r="J10409" s="422">
        <f t="shared" si="1724"/>
        <v>306</v>
      </c>
      <c r="K10409" s="297">
        <f>J10409/POBLA!$B$16*100000</f>
        <v>40.930431642166369</v>
      </c>
      <c r="L10409" s="68">
        <f t="shared" si="1720"/>
        <v>-0.10412371134020626</v>
      </c>
      <c r="M10409" s="401">
        <f>SUM(C10409,C10385,C10361,C10337,C10313,C10289,C10265)/POBLA!$B$16*100000</f>
        <v>286.51302149516459</v>
      </c>
      <c r="N10409" s="360"/>
    </row>
    <row r="10410" spans="1:14" x14ac:dyDescent="0.25">
      <c r="A10410" s="367" t="s">
        <v>34</v>
      </c>
      <c r="B10410" s="2">
        <v>44326</v>
      </c>
      <c r="C10410" s="4">
        <v>283</v>
      </c>
      <c r="D10410" s="39">
        <f t="shared" si="1715"/>
        <v>36737</v>
      </c>
      <c r="E10410" s="1">
        <v>3</v>
      </c>
      <c r="F10410" s="39">
        <f t="shared" si="1722"/>
        <v>1303</v>
      </c>
      <c r="G10410" s="168">
        <f>SUM(C10410,C10386,C10362,C10338,C10314,C10290,C10266,C10242,C10218,C10194,C10170,C10146,C10122,C10098)/POBLA!$B$17*100000</f>
        <v>204.2969761941369</v>
      </c>
      <c r="H10410" s="256">
        <f t="shared" ref="H10410:H10433" si="1725">SUM(C10410,C10386,C10362,C10338,C10314,C10290,C10266,C10242,C10218,C10194,C10170,C10146,C10122,C10098)/SUM(C10074,C10050,C10026,C10002,C9978,C9954,C9930,C9906,C9882,C9858,C9834,C9810,C9786,C9762)</f>
        <v>1.0710342289289658</v>
      </c>
      <c r="I10410" s="297">
        <f t="shared" si="1723"/>
        <v>218.8090543706067</v>
      </c>
      <c r="J10410" s="422">
        <f t="shared" si="1724"/>
        <v>233</v>
      </c>
      <c r="K10410" s="297">
        <f>J10410/POBLA!$B$17*100000</f>
        <v>16.357799124822645</v>
      </c>
      <c r="L10410" s="68">
        <f t="shared" si="1720"/>
        <v>-0.27521501172791241</v>
      </c>
      <c r="M10410" s="401">
        <f>SUM(C10410,C10386,C10362,C10338,C10314,C10290,C10266)/POBLA!$B$17*100000</f>
        <v>114.50459387375852</v>
      </c>
      <c r="N10410" s="360"/>
    </row>
    <row r="10411" spans="1:14" x14ac:dyDescent="0.25">
      <c r="A10411" s="367" t="s">
        <v>35</v>
      </c>
      <c r="B10411" s="2">
        <v>44326</v>
      </c>
      <c r="C10411" s="4">
        <v>298</v>
      </c>
      <c r="D10411" s="39">
        <f t="shared" si="1715"/>
        <v>26544</v>
      </c>
      <c r="E10411" s="1">
        <v>32</v>
      </c>
      <c r="F10411" s="39">
        <f t="shared" si="1722"/>
        <v>517</v>
      </c>
      <c r="G10411" s="168">
        <f>SUM(C10411,C10387,C10363,C10339,C10315,C10291,C10267,C10243,C10219,C10195,C10171,C10147,C10123,C10099)/POBLA!$B$18*100000</f>
        <v>554.00740127262975</v>
      </c>
      <c r="H10411" s="256">
        <f t="shared" si="1725"/>
        <v>1.328014728444308</v>
      </c>
      <c r="I10411" s="297">
        <f t="shared" si="1723"/>
        <v>735.72998855720823</v>
      </c>
      <c r="J10411" s="422">
        <f t="shared" si="1724"/>
        <v>355.85714285714283</v>
      </c>
      <c r="K10411" s="297">
        <f>J10411/POBLA!$B$18*100000</f>
        <v>45.551638386919741</v>
      </c>
      <c r="L10411" s="68">
        <f t="shared" si="1720"/>
        <v>-0.35601524224278713</v>
      </c>
      <c r="M10411" s="401">
        <f>SUM(C10411,C10387,C10363,C10339,C10315,C10291,C10267)/POBLA!$B$18*100000</f>
        <v>318.86146870843828</v>
      </c>
      <c r="N10411" s="360"/>
    </row>
    <row r="10412" spans="1:14" x14ac:dyDescent="0.25">
      <c r="A10412" s="367" t="s">
        <v>36</v>
      </c>
      <c r="B10412" s="2">
        <v>44326</v>
      </c>
      <c r="C10412" s="4">
        <v>423</v>
      </c>
      <c r="D10412" s="39">
        <f t="shared" si="1715"/>
        <v>41872</v>
      </c>
      <c r="E10412" s="1">
        <v>12</v>
      </c>
      <c r="F10412" s="39">
        <f t="shared" si="1722"/>
        <v>541</v>
      </c>
      <c r="G10412" s="168">
        <f>SUM(C10412,C10388,C10364,C10340,C10316,C10292,C10268,C10244,C10220,C10196,C10172,C10148,C10124,C10100)/POBLA!$B$19*100000</f>
        <v>1302.702192285296</v>
      </c>
      <c r="H10412" s="256">
        <f t="shared" si="1725"/>
        <v>0.79438579654510555</v>
      </c>
      <c r="I10412" s="297">
        <f t="shared" si="1723"/>
        <v>1034.84811867961</v>
      </c>
      <c r="J10412" s="422">
        <f t="shared" si="1724"/>
        <v>433.28571428571428</v>
      </c>
      <c r="K10412" s="297">
        <f>J10412/POBLA!$B$19*100000</f>
        <v>85.237428252174638</v>
      </c>
      <c r="L10412" s="68">
        <f t="shared" si="1720"/>
        <v>0.15491780440234049</v>
      </c>
      <c r="M10412" s="401">
        <f>SUM(C10412,C10388,C10364,C10340,C10316,C10292,C10268)/POBLA!$B$19*100000</f>
        <v>596.6619977652224</v>
      </c>
      <c r="N10412" s="360"/>
    </row>
    <row r="10413" spans="1:14" x14ac:dyDescent="0.25">
      <c r="A10413" s="367" t="s">
        <v>37</v>
      </c>
      <c r="B10413" s="2">
        <v>44326</v>
      </c>
      <c r="C10413" s="4">
        <v>244</v>
      </c>
      <c r="D10413" s="39">
        <f t="shared" si="1715"/>
        <v>46804</v>
      </c>
      <c r="E10413" s="1">
        <v>1</v>
      </c>
      <c r="F10413" s="39">
        <f t="shared" si="1722"/>
        <v>736</v>
      </c>
      <c r="G10413" s="168">
        <f>SUM(C10413,C10389,C10365,C10341,C10317,C10293,C10269,C10245,C10221,C10197,C10173,C10149,C10125,C10101)/POBLA!$B$20*100000</f>
        <v>799.56685571154344</v>
      </c>
      <c r="H10413" s="256">
        <f t="shared" si="1725"/>
        <v>1.055595667870036</v>
      </c>
      <c r="I10413" s="297">
        <f t="shared" si="1723"/>
        <v>844.01930906157145</v>
      </c>
      <c r="J10413" s="422">
        <f t="shared" si="1724"/>
        <v>229.28571428571428</v>
      </c>
      <c r="K10413" s="297">
        <f>J10413/POBLA!$B$20*100000</f>
        <v>62.698104524967128</v>
      </c>
      <c r="L10413" s="68">
        <f t="shared" si="1720"/>
        <v>-0.21683093252463981</v>
      </c>
      <c r="M10413" s="401">
        <f>SUM(C10413,C10389,C10365,C10341,C10317,C10293,C10269)/POBLA!$B$20*100000</f>
        <v>438.88673167476986</v>
      </c>
      <c r="N10413" s="360"/>
    </row>
    <row r="10414" spans="1:14" x14ac:dyDescent="0.25">
      <c r="A10414" s="367" t="s">
        <v>22</v>
      </c>
      <c r="B10414" s="2">
        <v>44326</v>
      </c>
      <c r="C10414" s="4">
        <v>1257</v>
      </c>
      <c r="D10414" s="39">
        <f t="shared" si="1715"/>
        <v>290359</v>
      </c>
      <c r="E10414" s="1">
        <v>24</v>
      </c>
      <c r="F10414" s="39">
        <f t="shared" si="1722"/>
        <v>4812</v>
      </c>
      <c r="G10414" s="168">
        <f>SUM(C10414,C10390,C10366,C10342,C10318,C10294,C10270,C10246,C10222,C10198,C10174,C10150,C10126,C10102)/POBLA!$B$21*100000</f>
        <v>683.14888115601718</v>
      </c>
      <c r="H10414" s="256">
        <f t="shared" si="1725"/>
        <v>1.0495699018159701</v>
      </c>
      <c r="I10414" s="297">
        <f t="shared" si="1723"/>
        <v>717.01250412061074</v>
      </c>
      <c r="J10414" s="422">
        <f t="shared" si="1724"/>
        <v>1771.8571428571429</v>
      </c>
      <c r="K10414" s="297">
        <f>J10414/POBLA!$B$21*100000</f>
        <v>50.103159266159793</v>
      </c>
      <c r="L10414" s="68">
        <f t="shared" si="1720"/>
        <v>-5.5035726437563826E-2</v>
      </c>
      <c r="M10414" s="401">
        <f>SUM(C10414,C10390,C10366,C10342,C10318,C10294,C10270)/POBLA!$B$21*100000</f>
        <v>350.72211486311858</v>
      </c>
      <c r="N10414" s="360"/>
    </row>
    <row r="10415" spans="1:14" x14ac:dyDescent="0.25">
      <c r="A10415" s="367" t="s">
        <v>38</v>
      </c>
      <c r="B10415" s="2">
        <v>44326</v>
      </c>
      <c r="C10415" s="4">
        <v>223</v>
      </c>
      <c r="D10415" s="39">
        <f t="shared" si="1715"/>
        <v>33027</v>
      </c>
      <c r="E10415" s="1">
        <v>10</v>
      </c>
      <c r="F10415" s="39">
        <f t="shared" si="1722"/>
        <v>381</v>
      </c>
      <c r="G10415" s="168">
        <f>SUM(C10415,C10391,C10367,C10343,C10319,C10295,C10271,C10247,C10223,C10199,C10175,C10151,C10127,C10103)/POBLA!$B$22*100000</f>
        <v>319.01855541120273</v>
      </c>
      <c r="H10415" s="256">
        <f t="shared" si="1725"/>
        <v>1.054391891891892</v>
      </c>
      <c r="I10415" s="297">
        <f t="shared" si="1723"/>
        <v>336.37057818863639</v>
      </c>
      <c r="J10415" s="422">
        <f t="shared" si="1724"/>
        <v>265.57142857142856</v>
      </c>
      <c r="K10415" s="297">
        <f>J10415/POBLA!$B$22*100000</f>
        <v>27.145855014849904</v>
      </c>
      <c r="L10415" s="68">
        <f t="shared" si="1720"/>
        <v>-0.47305863708399376</v>
      </c>
      <c r="M10415" s="401">
        <f>SUM(C10415,C10391,C10367,C10343,C10319,C10295,C10271)/POBLA!$B$22*100000</f>
        <v>190.02098510394936</v>
      </c>
      <c r="N10415" s="360"/>
    </row>
    <row r="10416" spans="1:14" x14ac:dyDescent="0.25">
      <c r="A10416" s="367" t="s">
        <v>39</v>
      </c>
      <c r="B10416" s="2">
        <v>44326</v>
      </c>
      <c r="C10416" s="4">
        <v>38</v>
      </c>
      <c r="D10416" s="39">
        <f t="shared" si="1715"/>
        <v>27056</v>
      </c>
      <c r="F10416" s="39">
        <f t="shared" si="1722"/>
        <v>401</v>
      </c>
      <c r="G10416" s="168">
        <f>SUM(C10416,C10392,C10368,C10344,C10320,C10296,C10272,C10248,C10224,C10200,C10176,C10152,C10128,C10104)/POBLA!$B$23*100000</f>
        <v>541.19776056099079</v>
      </c>
      <c r="H10416" s="256">
        <f t="shared" si="1725"/>
        <v>0.83435047951176988</v>
      </c>
      <c r="I10416" s="297">
        <f t="shared" si="1723"/>
        <v>451.54861103475866</v>
      </c>
      <c r="J10416" s="422">
        <f t="shared" si="1724"/>
        <v>68.142857142857139</v>
      </c>
      <c r="K10416" s="297">
        <f>J10416/POBLA!$B$23*100000</f>
        <v>38.53580113264556</v>
      </c>
      <c r="L10416" s="68">
        <f t="shared" si="1720"/>
        <v>6.2499999999999778E-3</v>
      </c>
      <c r="M10416" s="401">
        <f>SUM(C10416,C10392,C10368,C10344,C10320,C10296,C10272)/POBLA!$B$23*100000</f>
        <v>269.75060792851895</v>
      </c>
      <c r="N10416" s="360"/>
    </row>
    <row r="10417" spans="1:14" ht="15.75" thickBot="1" x14ac:dyDescent="0.3">
      <c r="A10417" s="368" t="s">
        <v>40</v>
      </c>
      <c r="B10417" s="34">
        <v>44326</v>
      </c>
      <c r="C10417" s="27">
        <v>486</v>
      </c>
      <c r="D10417" s="67">
        <f t="shared" si="1715"/>
        <v>111044</v>
      </c>
      <c r="E10417" s="232">
        <v>12</v>
      </c>
      <c r="F10417" s="67">
        <f t="shared" si="1722"/>
        <v>1719</v>
      </c>
      <c r="G10417" s="255">
        <f>SUM(C10417,C10393,C10369,C10345,C10321,C10297,C10273,C10249,C10225,C10201,C10177,C10153,C10129,C10105)/POBLA!$B$24*100000</f>
        <v>451.24202197968202</v>
      </c>
      <c r="H10417" s="257">
        <f t="shared" si="1725"/>
        <v>0.80258186397984888</v>
      </c>
      <c r="I10417" s="299">
        <f t="shared" si="1723"/>
        <v>362.15866310648914</v>
      </c>
      <c r="J10417" s="428">
        <f t="shared" si="1724"/>
        <v>528.14285714285711</v>
      </c>
      <c r="K10417" s="299">
        <f>J10417/POBLA!$B$24*100000</f>
        <v>31.165195599747506</v>
      </c>
      <c r="L10417" s="68">
        <f t="shared" si="1720"/>
        <v>6.4050632911392458E-2</v>
      </c>
      <c r="M10417" s="406">
        <f>SUM(C10417,C10393,C10369,C10345,C10321,C10297,C10273)/POBLA!$B$24*100000</f>
        <v>218.15636919823257</v>
      </c>
      <c r="N10417" s="360"/>
    </row>
    <row r="10418" spans="1:14" x14ac:dyDescent="0.25">
      <c r="A10418" s="363" t="s">
        <v>16</v>
      </c>
      <c r="B10418" s="265">
        <v>44327</v>
      </c>
      <c r="C10418" s="43">
        <v>11212</v>
      </c>
      <c r="D10418" s="174">
        <f t="shared" si="1715"/>
        <v>1393277</v>
      </c>
      <c r="E10418" s="43">
        <v>248</v>
      </c>
      <c r="F10418" s="174">
        <f t="shared" ref="F10418:F10441" si="1726">E10418+F10394</f>
        <v>35272</v>
      </c>
      <c r="G10418" s="175">
        <f>SUM(C10418,C10394,C10370,C10346,C10322,C10298,C10274,C10250,C10226,C10202,C10178,C10154,C10130,C10106)/POBLA!$B$1*100000</f>
        <v>724.60508697809337</v>
      </c>
      <c r="H10418" s="300">
        <f t="shared" si="1725"/>
        <v>0.78383295201563918</v>
      </c>
      <c r="I10418" s="301">
        <f>G10418*H10418</f>
        <v>567.96934437158791</v>
      </c>
      <c r="J10418" s="421">
        <f>AVERAGE(C10418,C10394,C10370,C10346,C10322,C10298,C10274)</f>
        <v>8789</v>
      </c>
      <c r="K10418" s="301">
        <f>J10418/POBLA!$B$1*100000</f>
        <v>50.105064431099436</v>
      </c>
      <c r="L10418" s="68">
        <f t="shared" si="1720"/>
        <v>6.1877677986002078E-2</v>
      </c>
      <c r="M10418" s="400">
        <f>SUM(C10418,C10394,C10370,C10346,C10322,C10298,C10274)/POBLA!$B$1*100000</f>
        <v>350.73545101769605</v>
      </c>
      <c r="N10418" s="360"/>
    </row>
    <row r="10419" spans="1:14" x14ac:dyDescent="0.25">
      <c r="A10419" s="367" t="s">
        <v>43</v>
      </c>
      <c r="B10419" s="2">
        <v>44327</v>
      </c>
      <c r="C10419" s="1">
        <v>2618</v>
      </c>
      <c r="D10419" s="39">
        <f t="shared" ref="D10419:D10482" si="1727">C10419+D10395</f>
        <v>366357</v>
      </c>
      <c r="E10419" s="1">
        <v>56</v>
      </c>
      <c r="F10419" s="39">
        <f t="shared" si="1726"/>
        <v>8261</v>
      </c>
      <c r="G10419" s="168">
        <f>SUM(C10419,C10395,C10371,C10347,C10323,C10299,C10275,C10251,C10227,C10203,C10179,C10155,C10131,C10107)/POBLA!$B$2*100000</f>
        <v>1067.0603834121353</v>
      </c>
      <c r="H10419" s="256">
        <f t="shared" si="1725"/>
        <v>0.79139136725343617</v>
      </c>
      <c r="I10419" s="297">
        <f t="shared" ref="I10419:I10441" si="1728">G10419*H10419</f>
        <v>844.46237577050556</v>
      </c>
      <c r="J10419" s="422">
        <f t="shared" ref="J10419:J10441" si="1729">AVERAGE(C10419,C10395,C10371,C10347,C10323,C10299,C10275)</f>
        <v>2160.7142857142858</v>
      </c>
      <c r="K10419" s="297">
        <f>J10419/POBLA!$B$2*100000</f>
        <v>70.252372532934075</v>
      </c>
      <c r="L10419" s="68">
        <f t="shared" si="1720"/>
        <v>0.14519046004295244</v>
      </c>
      <c r="M10419" s="401">
        <f>SUM(C10419,C10395,C10371,C10347,C10323,C10299,C10275)/POBLA!$B$2*100000</f>
        <v>491.76660773053857</v>
      </c>
    </row>
    <row r="10420" spans="1:14" x14ac:dyDescent="0.25">
      <c r="A10420" s="367" t="s">
        <v>28</v>
      </c>
      <c r="B10420" s="2">
        <v>44327</v>
      </c>
      <c r="C10420" s="1">
        <v>155</v>
      </c>
      <c r="D10420" s="39">
        <f t="shared" si="1727"/>
        <v>16504</v>
      </c>
      <c r="F10420" s="39">
        <f t="shared" si="1726"/>
        <v>114</v>
      </c>
      <c r="G10420" s="168">
        <f>SUM(C10420,C10396,C10372,C10348,C10324,C10300,C10276,C10252,C10228,C10204,C10180,C10156,C10132,C10108)/POBLA!$B$3*100000</f>
        <v>495.86219845079171</v>
      </c>
      <c r="H10420" s="256">
        <f t="shared" si="1725"/>
        <v>0.8491343775762572</v>
      </c>
      <c r="I10420" s="297">
        <f t="shared" si="1728"/>
        <v>421.05363924510755</v>
      </c>
      <c r="J10420" s="422">
        <f t="shared" si="1729"/>
        <v>164</v>
      </c>
      <c r="K10420" s="297">
        <f>J10420/POBLA!$B$3*100000</f>
        <v>39.476408032004777</v>
      </c>
      <c r="L10420" s="68">
        <f t="shared" si="1720"/>
        <v>-0.25877192982456143</v>
      </c>
      <c r="M10420" s="401">
        <f>SUM(C10420,C10396,C10372,C10348,C10324,C10300,C10276)/POBLA!$B$3*100000</f>
        <v>276.33485622403344</v>
      </c>
    </row>
    <row r="10421" spans="1:14" x14ac:dyDescent="0.25">
      <c r="A10421" s="367" t="s">
        <v>15</v>
      </c>
      <c r="B10421" s="2">
        <v>44327</v>
      </c>
      <c r="C10421" s="1">
        <v>286</v>
      </c>
      <c r="D10421" s="39">
        <f t="shared" si="1727"/>
        <v>47442</v>
      </c>
      <c r="E10421" s="1">
        <v>4</v>
      </c>
      <c r="F10421" s="39">
        <f t="shared" si="1726"/>
        <v>1088</v>
      </c>
      <c r="G10421" s="168">
        <f>SUM(C10421,C10397,C10373,C10349,C10325,C10301,C10277,C10253,C10229,C10205,C10181,C10157,C10133,C10109)/POBLA!$B$4*100000</f>
        <v>290.89918898568004</v>
      </c>
      <c r="H10421" s="256">
        <f t="shared" si="1725"/>
        <v>1.1277759897006758</v>
      </c>
      <c r="I10421" s="297">
        <f t="shared" si="1728"/>
        <v>328.06912076144926</v>
      </c>
      <c r="J10421" s="422">
        <f t="shared" si="1729"/>
        <v>254.57142857142858</v>
      </c>
      <c r="K10421" s="297">
        <f>J10421/POBLA!$B$4*100000</f>
        <v>21.134309963000728</v>
      </c>
      <c r="L10421" s="68">
        <f t="shared" si="1720"/>
        <v>-3.4843205574912828E-2</v>
      </c>
      <c r="M10421" s="401">
        <f>SUM(C10421,C10397,C10373,C10349,C10325,C10301,C10277)/POBLA!$B$4*100000</f>
        <v>147.94016974100506</v>
      </c>
    </row>
    <row r="10422" spans="1:14" x14ac:dyDescent="0.25">
      <c r="A10422" s="367" t="s">
        <v>29</v>
      </c>
      <c r="B10422" s="2">
        <v>44327</v>
      </c>
      <c r="C10422" s="1">
        <v>274</v>
      </c>
      <c r="D10422" s="39">
        <f t="shared" si="1727"/>
        <v>56849</v>
      </c>
      <c r="E10422" s="1">
        <v>1</v>
      </c>
      <c r="F10422" s="39">
        <f t="shared" si="1726"/>
        <v>936</v>
      </c>
      <c r="G10422" s="168">
        <f>SUM(C10422,C10398,C10374,C10350,C10326,C10302,C10278,C10254,C10230,C10206,C10182,C10158,C10134,C10110)/POBLA!$B$5*100000</f>
        <v>414.220493251954</v>
      </c>
      <c r="H10422" s="256">
        <f t="shared" si="1725"/>
        <v>1.0023455824863174</v>
      </c>
      <c r="I10422" s="297">
        <f t="shared" si="1728"/>
        <v>415.19208158639952</v>
      </c>
      <c r="J10422" s="422">
        <f t="shared" si="1729"/>
        <v>215.57142857142858</v>
      </c>
      <c r="K10422" s="297">
        <f>J10422/POBLA!$B$5*100000</f>
        <v>34.826093398551293</v>
      </c>
      <c r="L10422" s="68">
        <f t="shared" si="1720"/>
        <v>-0.43033175355450237</v>
      </c>
      <c r="M10422" s="401">
        <f>SUM(C10422,C10398,C10374,C10350,C10326,C10302,C10278)/POBLA!$B$5*100000</f>
        <v>243.78265378985904</v>
      </c>
    </row>
    <row r="10423" spans="1:14" x14ac:dyDescent="0.25">
      <c r="A10423" s="367" t="s">
        <v>30</v>
      </c>
      <c r="B10423" s="2">
        <v>44327</v>
      </c>
      <c r="C10423" s="1">
        <v>38</v>
      </c>
      <c r="D10423" s="39">
        <f t="shared" si="1727"/>
        <v>39422</v>
      </c>
      <c r="E10423" s="1">
        <v>4</v>
      </c>
      <c r="F10423" s="39">
        <f t="shared" si="1726"/>
        <v>534</v>
      </c>
      <c r="G10423" s="168">
        <f>SUM(C10423,C10399,C10375,C10351,C10327,C10303,C10279,C10255,C10231,C10207,C10183,C10159,C10135,C10111)/POBLA!$B$6*100000</f>
        <v>229.30029505683879</v>
      </c>
      <c r="H10423" s="256">
        <f t="shared" si="1725"/>
        <v>0.82636655948553051</v>
      </c>
      <c r="I10423" s="297">
        <f t="shared" si="1728"/>
        <v>189.48609591513687</v>
      </c>
      <c r="J10423" s="422">
        <f t="shared" si="1729"/>
        <v>171.57142857142858</v>
      </c>
      <c r="K10423" s="297">
        <f>J10423/POBLA!$B$6*100000</f>
        <v>15.307929647763393</v>
      </c>
      <c r="L10423" s="68">
        <f t="shared" si="1720"/>
        <v>0.12271731190650115</v>
      </c>
      <c r="M10423" s="401">
        <f>SUM(C10423,C10399,C10375,C10351,C10327,C10303,C10279)/POBLA!$B$6*100000</f>
        <v>107.15550753434376</v>
      </c>
    </row>
    <row r="10424" spans="1:14" x14ac:dyDescent="0.25">
      <c r="A10424" s="367" t="s">
        <v>20</v>
      </c>
      <c r="B10424" s="2">
        <v>44327</v>
      </c>
      <c r="C10424" s="1">
        <v>2546</v>
      </c>
      <c r="D10424" s="39">
        <f t="shared" si="1727"/>
        <v>244530</v>
      </c>
      <c r="E10424" s="1">
        <v>21</v>
      </c>
      <c r="F10424" s="39">
        <f t="shared" si="1726"/>
        <v>3538</v>
      </c>
      <c r="G10424" s="168">
        <f>SUM(C10424,C10400,C10376,C10352,C10328,C10304,C10280,C10256,C10232,C10208,C10184,C10160,C10136,C10112)/POBLA!$B$7*100000</f>
        <v>609.36855961387596</v>
      </c>
      <c r="H10424" s="256">
        <f t="shared" si="1725"/>
        <v>1.0041630148992111</v>
      </c>
      <c r="I10424" s="297">
        <f t="shared" si="1728"/>
        <v>611.90537000665938</v>
      </c>
      <c r="J10424" s="422">
        <f t="shared" si="1729"/>
        <v>1708.4285714285713</v>
      </c>
      <c r="K10424" s="297">
        <f>J10424/POBLA!$B$7*100000</f>
        <v>45.431492811460629</v>
      </c>
      <c r="L10424" s="68">
        <f t="shared" si="1720"/>
        <v>-9.1548010222709086E-2</v>
      </c>
      <c r="M10424" s="401">
        <f>SUM(C10424,C10400,C10376,C10352,C10328,C10304,C10280)/POBLA!$B$7*100000</f>
        <v>318.02044968022443</v>
      </c>
    </row>
    <row r="10425" spans="1:14" x14ac:dyDescent="0.25">
      <c r="A10425" s="367" t="s">
        <v>31</v>
      </c>
      <c r="B10425" s="2">
        <v>44327</v>
      </c>
      <c r="C10425" s="1">
        <v>713</v>
      </c>
      <c r="D10425" s="39">
        <f t="shared" si="1727"/>
        <v>68563</v>
      </c>
      <c r="E10425" s="1">
        <v>8</v>
      </c>
      <c r="F10425" s="39">
        <f t="shared" si="1726"/>
        <v>1112</v>
      </c>
      <c r="G10425" s="168">
        <f>SUM(C10425,C10401,C10377,C10353,C10329,C10305,C10281,C10257,C10233,C10209,C10185,C10161,C10137,C10113)/POBLA!$B$8*100000</f>
        <v>547.20154463220831</v>
      </c>
      <c r="H10425" s="256">
        <f t="shared" si="1725"/>
        <v>1.0771197273114614</v>
      </c>
      <c r="I10425" s="297">
        <f t="shared" si="1728"/>
        <v>589.40157853865469</v>
      </c>
      <c r="J10425" s="422">
        <f t="shared" si="1729"/>
        <v>590.57142857142856</v>
      </c>
      <c r="K10425" s="297">
        <f>J10425/POBLA!$B$8*100000</f>
        <v>42.610970191183483</v>
      </c>
      <c r="L10425" s="68">
        <f t="shared" si="1720"/>
        <v>-0.19826086956521749</v>
      </c>
      <c r="M10425" s="401">
        <f>SUM(C10425,C10401,C10377,C10353,C10329,C10305,C10281)/POBLA!$B$8*100000</f>
        <v>298.2767913382844</v>
      </c>
    </row>
    <row r="10426" spans="1:14" x14ac:dyDescent="0.25">
      <c r="A10426" s="367" t="s">
        <v>41</v>
      </c>
      <c r="B10426" s="2">
        <v>44327</v>
      </c>
      <c r="C10426" s="1">
        <v>373</v>
      </c>
      <c r="D10426" s="39">
        <f t="shared" si="1727"/>
        <v>6423</v>
      </c>
      <c r="E10426" s="1">
        <v>1</v>
      </c>
      <c r="F10426" s="39">
        <f t="shared" si="1726"/>
        <v>106</v>
      </c>
      <c r="G10426" s="168">
        <f>SUM(C10426,C10402,C10378,C10354,C10330,C10306,C10282,C10258,C10234,C10210,C10186,C10162,C10138,C10114)/POBLA!$B$9*100000</f>
        <v>333.44734654895217</v>
      </c>
      <c r="H10426" s="256">
        <f t="shared" si="1725"/>
        <v>1.5864779874213837</v>
      </c>
      <c r="I10426" s="297">
        <f t="shared" si="1728"/>
        <v>529.00687526398235</v>
      </c>
      <c r="J10426" s="422">
        <f t="shared" si="1729"/>
        <v>233.14285714285714</v>
      </c>
      <c r="K10426" s="297">
        <f>J10426/POBLA!$B$9*100000</f>
        <v>38.523720060023358</v>
      </c>
      <c r="L10426" s="68">
        <f t="shared" si="1720"/>
        <v>-3.2279792746113989</v>
      </c>
      <c r="M10426" s="401">
        <f>SUM(C10426,C10402,C10378,C10354,C10330,C10306,C10282)/POBLA!$B$9*100000</f>
        <v>269.66604042016348</v>
      </c>
    </row>
    <row r="10427" spans="1:14" x14ac:dyDescent="0.25">
      <c r="A10427" s="367" t="s">
        <v>32</v>
      </c>
      <c r="B10427" s="2">
        <v>44327</v>
      </c>
      <c r="C10427" s="1">
        <v>99</v>
      </c>
      <c r="D10427" s="39">
        <f t="shared" si="1727"/>
        <v>25805</v>
      </c>
      <c r="F10427" s="39">
        <f t="shared" si="1726"/>
        <v>1058</v>
      </c>
      <c r="G10427" s="168">
        <f>SUM(C10427,C10403,C10379,C10355,C10331,C10307,C10283,C10259,C10235,C10211,C10187,C10163,C10139,C10115)/POBLA!$B$10*100000</f>
        <v>162.28185673275124</v>
      </c>
      <c r="H10427" s="256">
        <f t="shared" si="1725"/>
        <v>0.92529585798816572</v>
      </c>
      <c r="I10427" s="297">
        <f t="shared" si="1728"/>
        <v>150.15872986144365</v>
      </c>
      <c r="J10427" s="422">
        <f t="shared" si="1729"/>
        <v>85.285714285714292</v>
      </c>
      <c r="K10427" s="297">
        <f>J10427/POBLA!$B$10*100000</f>
        <v>11.06340852683025</v>
      </c>
      <c r="L10427" s="68">
        <f t="shared" si="1720"/>
        <v>8.7155963302752326E-2</v>
      </c>
      <c r="M10427" s="401">
        <f>SUM(C10427,C10403,C10379,C10355,C10331,C10307,C10283)/POBLA!$B$10*100000</f>
        <v>77.443859687811738</v>
      </c>
    </row>
    <row r="10428" spans="1:14" x14ac:dyDescent="0.25">
      <c r="A10428" s="367" t="s">
        <v>33</v>
      </c>
      <c r="B10428" s="2">
        <v>44327</v>
      </c>
      <c r="C10428" s="1">
        <v>395</v>
      </c>
      <c r="D10428" s="39">
        <f t="shared" si="1727"/>
        <v>30896</v>
      </c>
      <c r="E10428" s="1">
        <v>18</v>
      </c>
      <c r="F10428" s="39">
        <f t="shared" si="1726"/>
        <v>431</v>
      </c>
      <c r="G10428" s="168">
        <f>SUM(C10428,C10404,C10380,C10356,C10332,C10308,C10284,C10260,C10236,C10212,C10188,C10164,C10140,C10116)/POBLA!$B$11*100000</f>
        <v>1289.7987880411129</v>
      </c>
      <c r="H10428" s="256">
        <f t="shared" si="1725"/>
        <v>1.3758928571428573</v>
      </c>
      <c r="I10428" s="297">
        <f t="shared" si="1728"/>
        <v>1774.6249396172814</v>
      </c>
      <c r="J10428" s="422">
        <f t="shared" si="1729"/>
        <v>376.85714285714283</v>
      </c>
      <c r="K10428" s="297">
        <f>J10428/POBLA!$B$11*100000</f>
        <v>105.14165825692827</v>
      </c>
      <c r="L10428" s="68">
        <f t="shared" si="1720"/>
        <v>-0.32896725440806041</v>
      </c>
      <c r="M10428" s="401">
        <f>SUM(C10428,C10404,C10380,C10356,C10332,C10308,C10284)/POBLA!$B$11*100000</f>
        <v>735.99160779849785</v>
      </c>
    </row>
    <row r="10429" spans="1:14" x14ac:dyDescent="0.25">
      <c r="A10429" s="367" t="s">
        <v>21</v>
      </c>
      <c r="B10429" s="2">
        <v>44327</v>
      </c>
      <c r="C10429" s="1">
        <v>12</v>
      </c>
      <c r="D10429" s="39">
        <f t="shared" si="1727"/>
        <v>14392</v>
      </c>
      <c r="F10429" s="39">
        <f t="shared" si="1726"/>
        <v>504</v>
      </c>
      <c r="G10429" s="168">
        <f>SUM(C10429,C10405,C10381,C10357,C10333,C10309,C10285,C10261,C10237,C10213,C10189,C10165,C10141,C10117)/POBLA!$B$12*100000</f>
        <v>305.69383352264498</v>
      </c>
      <c r="H10429" s="256">
        <f t="shared" si="1725"/>
        <v>1.1046831955922864</v>
      </c>
      <c r="I10429" s="297">
        <f t="shared" si="1728"/>
        <v>337.69484088865187</v>
      </c>
      <c r="J10429" s="422">
        <f t="shared" si="1729"/>
        <v>78.142857142857139</v>
      </c>
      <c r="K10429" s="297">
        <f>J10429/POBLA!$B$12*100000</f>
        <v>19.856849179062678</v>
      </c>
      <c r="L10429" s="68">
        <f t="shared" si="1720"/>
        <v>0.16615853658536583</v>
      </c>
      <c r="M10429" s="401">
        <f>SUM(C10429,C10405,C10381,C10357,C10333,C10309,C10285)/POBLA!$B$12*100000</f>
        <v>138.99794425343873</v>
      </c>
    </row>
    <row r="10430" spans="1:14" x14ac:dyDescent="0.25">
      <c r="A10430" s="367" t="s">
        <v>17</v>
      </c>
      <c r="B10430" s="2">
        <v>44327</v>
      </c>
      <c r="C10430" s="1">
        <v>1036</v>
      </c>
      <c r="D10430" s="39">
        <f t="shared" si="1727"/>
        <v>104501</v>
      </c>
      <c r="E10430" s="1">
        <v>47</v>
      </c>
      <c r="F10430" s="39">
        <f t="shared" si="1726"/>
        <v>2081</v>
      </c>
      <c r="G10430" s="168">
        <f>SUM(C10430,C10406,C10382,C10358,C10334,C10310,C10286,C10262,C10238,C10214,C10190,C10166,C10142,C10118)/POBLA!$B$13*100000</f>
        <v>527.14664544414063</v>
      </c>
      <c r="H10430" s="256">
        <f t="shared" si="1725"/>
        <v>0.84879864088665968</v>
      </c>
      <c r="I10430" s="297">
        <f t="shared" si="1728"/>
        <v>447.44135620094846</v>
      </c>
      <c r="J10430" s="422">
        <f t="shared" si="1729"/>
        <v>792.57142857142856</v>
      </c>
      <c r="K10430" s="297">
        <f>J10430/POBLA!$B$13*100000</f>
        <v>39.820946420729975</v>
      </c>
      <c r="L10430" s="68">
        <f t="shared" si="1720"/>
        <v>-0.12216828478964392</v>
      </c>
      <c r="M10430" s="401">
        <f>SUM(C10430,C10406,C10382,C10358,C10334,C10310,C10286)/POBLA!$B$13*100000</f>
        <v>278.74662494510983</v>
      </c>
    </row>
    <row r="10431" spans="1:14" x14ac:dyDescent="0.25">
      <c r="A10431" s="367" t="s">
        <v>23</v>
      </c>
      <c r="B10431" s="2">
        <v>44327</v>
      </c>
      <c r="C10431" s="1">
        <v>136</v>
      </c>
      <c r="D10431" s="39">
        <f t="shared" si="1727"/>
        <v>17198</v>
      </c>
      <c r="F10431" s="39">
        <f t="shared" si="1726"/>
        <v>242</v>
      </c>
      <c r="G10431" s="168">
        <f>SUM(C10431,C10407,C10383,C10359,C10335,C10311,C10287,C10263,C10239,C10215,C10191,C10167,C10143,C10119)/POBLA!$B$14*100000</f>
        <v>151.59035086189263</v>
      </c>
      <c r="H10431" s="256">
        <f t="shared" si="1725"/>
        <v>1.1687041564792175</v>
      </c>
      <c r="I10431" s="297">
        <f t="shared" si="1728"/>
        <v>177.16427313443685</v>
      </c>
      <c r="J10431" s="422">
        <f t="shared" si="1729"/>
        <v>168.71428571428572</v>
      </c>
      <c r="K10431" s="297">
        <f>J10431/POBLA!$B$14*100000</f>
        <v>13.376285442909085</v>
      </c>
      <c r="L10431" s="68">
        <f t="shared" si="1720"/>
        <v>-0.61559507523939816</v>
      </c>
      <c r="M10431" s="401">
        <f>SUM(C10431,C10407,C10383,C10359,C10335,C10311,C10287)/POBLA!$B$14*100000</f>
        <v>93.633998100363598</v>
      </c>
    </row>
    <row r="10432" spans="1:14" x14ac:dyDescent="0.25">
      <c r="A10432" s="367" t="s">
        <v>19</v>
      </c>
      <c r="B10432" s="2">
        <v>44327</v>
      </c>
      <c r="C10432" s="1">
        <v>657</v>
      </c>
      <c r="D10432" s="39">
        <f t="shared" si="1727"/>
        <v>75880</v>
      </c>
      <c r="E10432" s="1">
        <v>2</v>
      </c>
      <c r="F10432" s="39">
        <f t="shared" si="1726"/>
        <v>1137</v>
      </c>
      <c r="G10432" s="168">
        <f>SUM(C10432,C10408,C10384,C10360,C10336,C10312,C10288,C10264,C10240,C10216,C10192,C10168,C10144,C10120)/POBLA!$B$15*100000</f>
        <v>875.97901987329396</v>
      </c>
      <c r="H10432" s="256">
        <f t="shared" si="1725"/>
        <v>1.8384955752212389</v>
      </c>
      <c r="I10432" s="297">
        <f t="shared" si="1728"/>
        <v>1610.4835520236886</v>
      </c>
      <c r="J10432" s="422">
        <f t="shared" si="1729"/>
        <v>487.85714285714283</v>
      </c>
      <c r="K10432" s="297">
        <f>J10432/POBLA!$B$15*100000</f>
        <v>73.466154691109779</v>
      </c>
      <c r="L10432" s="68">
        <f t="shared" si="1720"/>
        <v>-0.42173189009159029</v>
      </c>
      <c r="M10432" s="401">
        <f>SUM(C10432,C10408,C10384,C10360,C10336,C10312,C10288)/POBLA!$B$15*100000</f>
        <v>514.26308283776848</v>
      </c>
    </row>
    <row r="10433" spans="1:13" x14ac:dyDescent="0.25">
      <c r="A10433" s="367" t="s">
        <v>18</v>
      </c>
      <c r="B10433" s="2">
        <v>44327</v>
      </c>
      <c r="C10433" s="1">
        <v>465</v>
      </c>
      <c r="D10433" s="39">
        <f t="shared" si="1727"/>
        <v>64653</v>
      </c>
      <c r="E10433" s="1">
        <v>6</v>
      </c>
      <c r="F10433" s="39">
        <f t="shared" si="1726"/>
        <v>1412</v>
      </c>
      <c r="G10433" s="168">
        <f>SUM(C10433,C10409,C10385,C10361,C10337,C10313,C10289,C10265,C10241,C10217,C10193,C10169,C10145,C10121)/POBLA!$B$16*100000</f>
        <v>555.63729752143502</v>
      </c>
      <c r="H10433" s="256">
        <f t="shared" si="1725"/>
        <v>1.2557436517533254</v>
      </c>
      <c r="I10433" s="297">
        <f t="shared" si="1728"/>
        <v>697.73800903991571</v>
      </c>
      <c r="J10433" s="422">
        <f t="shared" si="1729"/>
        <v>325.28571428571428</v>
      </c>
      <c r="K10433" s="297">
        <f>J10433/POBLA!$B$16*100000</f>
        <v>43.510080695244078</v>
      </c>
      <c r="L10433" s="68">
        <f t="shared" si="1720"/>
        <v>-0.21310602024507186</v>
      </c>
      <c r="M10433" s="401">
        <f>SUM(C10433,C10409,C10385,C10361,C10337,C10313,C10289)/POBLA!$B$16*100000</f>
        <v>304.57056486670859</v>
      </c>
    </row>
    <row r="10434" spans="1:13" x14ac:dyDescent="0.25">
      <c r="A10434" s="367" t="s">
        <v>34</v>
      </c>
      <c r="B10434" s="2">
        <v>44327</v>
      </c>
      <c r="C10434" s="1">
        <v>322</v>
      </c>
      <c r="D10434" s="39">
        <f t="shared" si="1727"/>
        <v>37059</v>
      </c>
      <c r="E10434" s="1">
        <v>2</v>
      </c>
      <c r="F10434" s="39">
        <f t="shared" si="1726"/>
        <v>1305</v>
      </c>
      <c r="G10434" s="168">
        <f>SUM(C10434,C10410,C10386,C10362,C10338,C10314,C10290,C10266,C10242,C10218,C10194,C10170,C10146,C10122)/POBLA!$B$17*100000</f>
        <v>211.73872171873433</v>
      </c>
      <c r="H10434" s="256">
        <f t="shared" ref="H10434:H10457" si="1730">SUM(C10434,C10410,C10386,C10362,C10338,C10314,C10290,C10266,C10242,C10218,C10194,C10170,C10146,C10122)/SUM(C10098,C10074,C10050,C10026,C10002,C9978,C9954,C9930,C9906,C9882,C9858,C9834,C9810,C9786)</f>
        <v>1.1166234727878563</v>
      </c>
      <c r="I10434" s="297">
        <f t="shared" si="1728"/>
        <v>236.43242676923464</v>
      </c>
      <c r="J10434" s="422">
        <f t="shared" si="1729"/>
        <v>248.71428571428572</v>
      </c>
      <c r="K10434" s="297">
        <f>J10434/POBLA!$B$17*100000</f>
        <v>17.461022854884256</v>
      </c>
      <c r="L10434" s="68">
        <f t="shared" si="1720"/>
        <v>-0.36549019607843136</v>
      </c>
      <c r="M10434" s="401">
        <f>SUM(C10434,C10410,C10386,C10362,C10338,C10314,C10290)/POBLA!$B$17*100000</f>
        <v>122.2271599841898</v>
      </c>
    </row>
    <row r="10435" spans="1:13" x14ac:dyDescent="0.25">
      <c r="A10435" s="367" t="s">
        <v>35</v>
      </c>
      <c r="B10435" s="2">
        <v>44327</v>
      </c>
      <c r="C10435" s="1">
        <v>462</v>
      </c>
      <c r="D10435" s="39">
        <f t="shared" si="1727"/>
        <v>27006</v>
      </c>
      <c r="E10435" s="1">
        <v>3</v>
      </c>
      <c r="F10435" s="39">
        <f t="shared" si="1726"/>
        <v>520</v>
      </c>
      <c r="G10435" s="168">
        <f>SUM(C10435,C10411,C10387,C10363,C10339,C10315,C10291,C10267,C10243,C10219,C10195,C10171,C10147,C10123)/POBLA!$B$18*100000</f>
        <v>553.87939586568143</v>
      </c>
      <c r="H10435" s="256">
        <f t="shared" si="1730"/>
        <v>1.2764011799410029</v>
      </c>
      <c r="I10435" s="297">
        <f t="shared" si="1728"/>
        <v>706.97231442796556</v>
      </c>
      <c r="J10435" s="422">
        <f t="shared" si="1729"/>
        <v>361.28571428571428</v>
      </c>
      <c r="K10435" s="297">
        <f>J10435/POBLA!$B$18*100000</f>
        <v>46.246524881782435</v>
      </c>
      <c r="L10435" s="68">
        <f t="shared" ref="L10435:L10465" si="1731">1-SUM(C10435,C10411,C10387,C10363,C10339,C10315,C10291)/SUM(C10267,C10243,C10219,C10195,C10171,C10147,C10123)</f>
        <v>-0.40656284760845374</v>
      </c>
      <c r="M10435" s="401">
        <f>SUM(C10435,C10411,C10387,C10363,C10339,C10315,C10291)/POBLA!$B$18*100000</f>
        <v>323.72567417247706</v>
      </c>
    </row>
    <row r="10436" spans="1:13" x14ac:dyDescent="0.25">
      <c r="A10436" s="367" t="s">
        <v>36</v>
      </c>
      <c r="B10436" s="2">
        <v>44327</v>
      </c>
      <c r="C10436" s="1">
        <v>525</v>
      </c>
      <c r="D10436" s="39">
        <f t="shared" si="1727"/>
        <v>42397</v>
      </c>
      <c r="E10436" s="1">
        <v>23</v>
      </c>
      <c r="F10436" s="39">
        <f t="shared" si="1726"/>
        <v>564</v>
      </c>
      <c r="G10436" s="168">
        <f>SUM(C10436,C10412,C10388,C10364,C10340,C10316,C10292,C10268,C10244,C10220,C10196,C10172,C10148,C10124)/POBLA!$B$19*100000</f>
        <v>1286.964322248627</v>
      </c>
      <c r="H10436" s="256">
        <f t="shared" si="1730"/>
        <v>0.77649851632047473</v>
      </c>
      <c r="I10436" s="297">
        <f t="shared" si="1728"/>
        <v>999.32588678344416</v>
      </c>
      <c r="J10436" s="422">
        <f t="shared" si="1729"/>
        <v>440.57142857142856</v>
      </c>
      <c r="K10436" s="297">
        <f>J10436/POBLA!$B$19*100000</f>
        <v>86.670698559085579</v>
      </c>
      <c r="L10436" s="68">
        <f t="shared" si="1731"/>
        <v>0.10815500289184499</v>
      </c>
      <c r="M10436" s="401">
        <f>SUM(C10436,C10412,C10388,C10364,C10340,C10316,C10292)/POBLA!$B$19*100000</f>
        <v>606.69488991359913</v>
      </c>
    </row>
    <row r="10437" spans="1:13" x14ac:dyDescent="0.25">
      <c r="A10437" s="367" t="s">
        <v>37</v>
      </c>
      <c r="B10437" s="2">
        <v>44327</v>
      </c>
      <c r="C10437" s="1">
        <v>216</v>
      </c>
      <c r="D10437" s="39">
        <f t="shared" si="1727"/>
        <v>47020</v>
      </c>
      <c r="E10437" s="1">
        <v>2</v>
      </c>
      <c r="F10437" s="39">
        <f t="shared" si="1726"/>
        <v>738</v>
      </c>
      <c r="G10437" s="168">
        <f>SUM(C10437,C10413,C10389,C10365,C10341,C10317,C10293,C10269,C10245,C10221,C10197,C10173,C10149,C10125)/POBLA!$B$20*100000</f>
        <v>811.59864150200428</v>
      </c>
      <c r="H10437" s="256">
        <f t="shared" si="1730"/>
        <v>1.0992592592592592</v>
      </c>
      <c r="I10437" s="297">
        <f t="shared" si="1728"/>
        <v>892.15732147331425</v>
      </c>
      <c r="J10437" s="422">
        <f t="shared" si="1729"/>
        <v>227.85714285714286</v>
      </c>
      <c r="K10437" s="297">
        <f>J10437/POBLA!$B$20*100000</f>
        <v>62.30746212917294</v>
      </c>
      <c r="L10437" s="68">
        <f t="shared" si="1731"/>
        <v>-0.16168973051711588</v>
      </c>
      <c r="M10437" s="401">
        <f>SUM(C10437,C10413,C10389,C10365,C10341,C10317,C10293)/POBLA!$B$20*100000</f>
        <v>436.15223490421056</v>
      </c>
    </row>
    <row r="10438" spans="1:13" x14ac:dyDescent="0.25">
      <c r="A10438" s="367" t="s">
        <v>22</v>
      </c>
      <c r="B10438" s="2">
        <v>44327</v>
      </c>
      <c r="C10438" s="1">
        <v>2192</v>
      </c>
      <c r="D10438" s="39">
        <f t="shared" si="1727"/>
        <v>292551</v>
      </c>
      <c r="E10438" s="1">
        <v>27</v>
      </c>
      <c r="F10438" s="39">
        <f t="shared" si="1726"/>
        <v>4839</v>
      </c>
      <c r="G10438" s="168">
        <f>SUM(C10438,C10414,C10390,C10366,C10342,C10318,C10294,C10270,C10246,C10222,C10198,C10174,C10150,C10126)/POBLA!$B$21*100000</f>
        <v>688.52154920600447</v>
      </c>
      <c r="H10438" s="256">
        <f t="shared" si="1730"/>
        <v>1.0469085905924842</v>
      </c>
      <c r="I10438" s="297">
        <f t="shared" si="1728"/>
        <v>720.81912467181189</v>
      </c>
      <c r="J10438" s="422">
        <f t="shared" si="1729"/>
        <v>1762.4285714285713</v>
      </c>
      <c r="K10438" s="297">
        <f>J10438/POBLA!$B$21*100000</f>
        <v>49.836545663679217</v>
      </c>
      <c r="L10438" s="68">
        <f t="shared" si="1731"/>
        <v>-2.7056277056277001E-2</v>
      </c>
      <c r="M10438" s="401">
        <f>SUM(C10438,C10414,C10390,C10366,C10342,C10318,C10294)/POBLA!$B$21*100000</f>
        <v>348.85581964575459</v>
      </c>
    </row>
    <row r="10439" spans="1:13" x14ac:dyDescent="0.25">
      <c r="A10439" s="367" t="s">
        <v>38</v>
      </c>
      <c r="B10439" s="2">
        <v>44327</v>
      </c>
      <c r="C10439" s="1">
        <v>228</v>
      </c>
      <c r="D10439" s="39">
        <f t="shared" si="1727"/>
        <v>33255</v>
      </c>
      <c r="E10439" s="1">
        <v>5</v>
      </c>
      <c r="F10439" s="39">
        <f t="shared" si="1726"/>
        <v>386</v>
      </c>
      <c r="G10439" s="168">
        <f>SUM(C10439,C10415,C10391,C10367,C10343,C10319,C10295,C10271,C10247,C10223,C10199,C10175,C10151,C10127)/POBLA!$B$22*100000</f>
        <v>329.85353358281043</v>
      </c>
      <c r="H10439" s="256">
        <f t="shared" si="1730"/>
        <v>1.0957555178268252</v>
      </c>
      <c r="I10439" s="297">
        <f t="shared" si="1728"/>
        <v>361.43882949804055</v>
      </c>
      <c r="J10439" s="422">
        <f t="shared" si="1729"/>
        <v>278.28571428571428</v>
      </c>
      <c r="K10439" s="297">
        <f>J10439/POBLA!$B$22*100000</f>
        <v>28.445468299584515</v>
      </c>
      <c r="L10439" s="68">
        <f t="shared" si="1731"/>
        <v>-0.52306489444878812</v>
      </c>
      <c r="M10439" s="401">
        <f>SUM(C10439,C10415,C10391,C10367,C10343,C10319,C10295)/POBLA!$B$22*100000</f>
        <v>199.1182780970916</v>
      </c>
    </row>
    <row r="10440" spans="1:13" x14ac:dyDescent="0.25">
      <c r="A10440" s="367" t="s">
        <v>39</v>
      </c>
      <c r="B10440" s="2">
        <v>44327</v>
      </c>
      <c r="C10440" s="1">
        <v>90</v>
      </c>
      <c r="D10440" s="39">
        <f t="shared" si="1727"/>
        <v>27146</v>
      </c>
      <c r="F10440" s="39">
        <f t="shared" si="1726"/>
        <v>401</v>
      </c>
      <c r="G10440" s="168">
        <f>SUM(C10440,C10416,C10392,C10368,C10344,C10320,C10296,C10272,C10248,C10224,C10200,C10176,C10152,C10128)/POBLA!$B$23*100000</f>
        <v>550.24599898207316</v>
      </c>
      <c r="H10440" s="256">
        <f t="shared" si="1730"/>
        <v>0.87108325872873771</v>
      </c>
      <c r="I10440" s="297">
        <f t="shared" si="1728"/>
        <v>479.31007789575398</v>
      </c>
      <c r="J10440" s="422">
        <f t="shared" si="1729"/>
        <v>70.142857142857139</v>
      </c>
      <c r="K10440" s="297">
        <f>J10440/POBLA!$B$23*100000</f>
        <v>39.666830935280856</v>
      </c>
      <c r="L10440" s="68">
        <f t="shared" si="1731"/>
        <v>-1.8672199170124415E-2</v>
      </c>
      <c r="M10440" s="401">
        <f>SUM(C10440,C10416,C10392,C10368,C10344,C10320,C10296)/POBLA!$B$23*100000</f>
        <v>277.66781654696598</v>
      </c>
    </row>
    <row r="10441" spans="1:13" ht="15.75" thickBot="1" x14ac:dyDescent="0.3">
      <c r="A10441" s="368" t="s">
        <v>40</v>
      </c>
      <c r="B10441" s="34">
        <v>44327</v>
      </c>
      <c r="C10441" s="232">
        <v>926</v>
      </c>
      <c r="D10441" s="67">
        <f t="shared" si="1727"/>
        <v>111970</v>
      </c>
      <c r="E10441" s="232">
        <v>12</v>
      </c>
      <c r="F10441" s="67">
        <f t="shared" si="1726"/>
        <v>1731</v>
      </c>
      <c r="G10441" s="255">
        <f>SUM(C10441,C10417,C10393,C10369,C10345,C10321,C10297,C10273,C10249,C10225,C10201,C10177,C10153,C10129)/POBLA!$B$24*100000</f>
        <v>468.11860342157939</v>
      </c>
      <c r="H10441" s="257">
        <f t="shared" si="1730"/>
        <v>0.8434875066454014</v>
      </c>
      <c r="I10441" s="299">
        <f t="shared" si="1728"/>
        <v>394.85219361439545</v>
      </c>
      <c r="J10441" s="428">
        <f t="shared" si="1729"/>
        <v>534.14285714285711</v>
      </c>
      <c r="K10441" s="299">
        <f>J10441/POBLA!$B$24*100000</f>
        <v>31.519249755871229</v>
      </c>
      <c r="L10441" s="68">
        <f t="shared" si="1731"/>
        <v>0.1084883166428231</v>
      </c>
      <c r="M10441" s="406">
        <f>SUM(C10441,C10417,C10393,C10369,C10345,C10321,C10297)/POBLA!$B$24*100000</f>
        <v>220.63474829109859</v>
      </c>
    </row>
    <row r="10442" spans="1:13" x14ac:dyDescent="0.25">
      <c r="A10442" s="363" t="s">
        <v>16</v>
      </c>
      <c r="B10442" s="265">
        <v>44328</v>
      </c>
      <c r="C10442" s="43">
        <v>10349</v>
      </c>
      <c r="D10442" s="174">
        <f t="shared" si="1727"/>
        <v>1403626</v>
      </c>
      <c r="E10442" s="43">
        <v>296</v>
      </c>
      <c r="F10442" s="174">
        <f t="shared" ref="F10442:F10465" si="1732">E10442+F10418</f>
        <v>35568</v>
      </c>
      <c r="G10442" s="175">
        <f>SUM(C10442,C10418,C10394,C10370,C10346,C10322,C10298,C10274,C10250,C10226,C10202,C10178,C10154,C10130)/POBLA!$B$1*100000</f>
        <v>720.56886151248659</v>
      </c>
      <c r="H10442" s="300">
        <f t="shared" si="1730"/>
        <v>0.79010833078081921</v>
      </c>
      <c r="I10442" s="301">
        <f>G10442*H10442</f>
        <v>569.32746038226605</v>
      </c>
      <c r="J10442" s="421">
        <f>AVERAGE(C10442,C10418,C10394,C10370,C10346,C10322,C10298)</f>
        <v>8712.7142857142862</v>
      </c>
      <c r="K10442" s="301">
        <f>J10442/POBLA!$B$1*100000</f>
        <v>49.67016846688756</v>
      </c>
      <c r="L10442" s="68">
        <f t="shared" si="1731"/>
        <v>6.754628709465349E-2</v>
      </c>
      <c r="M10442" s="400">
        <f>SUM(C10442,C10418,C10394,C10370,C10346,C10322,C10298)/POBLA!$B$1*100000</f>
        <v>347.69117926821292</v>
      </c>
    </row>
    <row r="10443" spans="1:13" x14ac:dyDescent="0.25">
      <c r="A10443" s="367" t="s">
        <v>43</v>
      </c>
      <c r="B10443" s="2">
        <v>44328</v>
      </c>
      <c r="C10443" s="1">
        <v>2220</v>
      </c>
      <c r="D10443" s="39">
        <f t="shared" si="1727"/>
        <v>368577</v>
      </c>
      <c r="E10443" s="1">
        <v>54</v>
      </c>
      <c r="F10443" s="39">
        <f t="shared" si="1732"/>
        <v>8315</v>
      </c>
      <c r="G10443" s="168">
        <f>SUM(C10443,C10419,C10395,C10371,C10347,C10323,C10299,C10275,C10251,C10227,C10203,C10179,C10155,C10131)/POBLA!$B$2*100000</f>
        <v>1044.6585855459309</v>
      </c>
      <c r="H10443" s="256">
        <f t="shared" si="1730"/>
        <v>0.77011576903717549</v>
      </c>
      <c r="I10443" s="297">
        <f t="shared" ref="I10443:I10465" si="1733">G10443*H10443</f>
        <v>804.50804998899252</v>
      </c>
      <c r="J10443" s="422">
        <f t="shared" ref="J10443:J10465" si="1734">AVERAGE(C10443,C10419,C10395,C10371,C10347,C10323,C10299)</f>
        <v>2172.4285714285716</v>
      </c>
      <c r="K10443" s="297">
        <f>J10443/POBLA!$B$2*100000</f>
        <v>70.633244899724204</v>
      </c>
      <c r="L10443" s="68">
        <f t="shared" si="1731"/>
        <v>0.10140046091118593</v>
      </c>
      <c r="M10443" s="401">
        <f>SUM(C10443,C10419,C10395,C10371,C10347,C10323,C10299)/POBLA!$B$2*100000</f>
        <v>494.43271429806941</v>
      </c>
    </row>
    <row r="10444" spans="1:13" x14ac:dyDescent="0.25">
      <c r="A10444" s="367" t="s">
        <v>28</v>
      </c>
      <c r="B10444" s="2">
        <v>44328</v>
      </c>
      <c r="C10444" s="1">
        <v>282</v>
      </c>
      <c r="D10444" s="39">
        <f t="shared" si="1727"/>
        <v>16786</v>
      </c>
      <c r="E10444" s="1">
        <v>1</v>
      </c>
      <c r="F10444" s="39">
        <f t="shared" si="1732"/>
        <v>115</v>
      </c>
      <c r="G10444" s="168">
        <f>SUM(C10444,C10420,C10396,C10372,C10348,C10324,C10300,C10276,C10252,C10228,C10204,C10180,C10156,C10132)/POBLA!$B$3*100000</f>
        <v>537.02357511830894</v>
      </c>
      <c r="H10444" s="256">
        <f t="shared" si="1730"/>
        <v>0.94135021097046412</v>
      </c>
      <c r="I10444" s="297">
        <f t="shared" si="1733"/>
        <v>505.527255733733</v>
      </c>
      <c r="J10444" s="422">
        <f t="shared" si="1734"/>
        <v>176.42857142857142</v>
      </c>
      <c r="K10444" s="297">
        <f>J10444/POBLA!$B$3*100000</f>
        <v>42.468087037914543</v>
      </c>
      <c r="L10444" s="68">
        <f t="shared" si="1731"/>
        <v>-0.23995983935742982</v>
      </c>
      <c r="M10444" s="401">
        <f>SUM(C10444,C10420,C10396,C10372,C10348,C10324,C10300)/POBLA!$B$3*100000</f>
        <v>297.27660926540182</v>
      </c>
    </row>
    <row r="10445" spans="1:13" x14ac:dyDescent="0.25">
      <c r="A10445" s="367" t="s">
        <v>15</v>
      </c>
      <c r="B10445" s="2">
        <v>44328</v>
      </c>
      <c r="C10445" s="1">
        <v>302</v>
      </c>
      <c r="D10445" s="39">
        <f t="shared" si="1727"/>
        <v>47744</v>
      </c>
      <c r="E10445" s="1">
        <v>4</v>
      </c>
      <c r="F10445" s="39">
        <f t="shared" si="1732"/>
        <v>1092</v>
      </c>
      <c r="G10445" s="168">
        <f>SUM(C10445,C10421,C10397,C10373,C10349,C10325,C10301,C10277,C10253,C10229,C10205,C10181,C10157,C10133)/POBLA!$B$4*100000</f>
        <v>294.13693680829459</v>
      </c>
      <c r="H10445" s="256">
        <f t="shared" si="1730"/>
        <v>1.1344860710854947</v>
      </c>
      <c r="I10445" s="297">
        <f t="shared" si="1733"/>
        <v>333.69425780076455</v>
      </c>
      <c r="J10445" s="422">
        <f t="shared" si="1734"/>
        <v>250</v>
      </c>
      <c r="K10445" s="297">
        <f>J10445/POBLA!$B$4*100000</f>
        <v>20.754793734708905</v>
      </c>
      <c r="L10445" s="68">
        <f t="shared" si="1731"/>
        <v>2.3982152816508617E-2</v>
      </c>
      <c r="M10445" s="401">
        <f>SUM(C10445,C10421,C10397,C10373,C10349,C10325,C10301)/POBLA!$B$4*100000</f>
        <v>145.28355614296234</v>
      </c>
    </row>
    <row r="10446" spans="1:13" x14ac:dyDescent="0.25">
      <c r="A10446" s="367" t="s">
        <v>29</v>
      </c>
      <c r="B10446" s="2">
        <v>44328</v>
      </c>
      <c r="C10446" s="1">
        <v>244</v>
      </c>
      <c r="D10446" s="39">
        <f t="shared" si="1727"/>
        <v>57093</v>
      </c>
      <c r="E10446" s="1">
        <v>1</v>
      </c>
      <c r="F10446" s="39">
        <f t="shared" si="1732"/>
        <v>937</v>
      </c>
      <c r="G10446" s="168">
        <f>SUM(C10446,C10422,C10398,C10374,C10350,C10326,C10302,C10278,C10254,C10230,C10206,C10182,C10158,C10134)/POBLA!$B$5*100000</f>
        <v>415.5129128876855</v>
      </c>
      <c r="H10446" s="256">
        <f t="shared" si="1730"/>
        <v>1.0153967627319385</v>
      </c>
      <c r="I10446" s="297">
        <f t="shared" si="1733"/>
        <v>421.91046661947382</v>
      </c>
      <c r="J10446" s="422">
        <f t="shared" si="1734"/>
        <v>205.85714285714286</v>
      </c>
      <c r="K10446" s="297">
        <f>J10446/POBLA!$B$5*100000</f>
        <v>33.256726698020152</v>
      </c>
      <c r="L10446" s="68">
        <f t="shared" si="1731"/>
        <v>-0.27409372236958451</v>
      </c>
      <c r="M10446" s="401">
        <f>SUM(C10446,C10422,C10398,C10374,C10350,C10326,C10302)/POBLA!$B$5*100000</f>
        <v>232.79708688614107</v>
      </c>
    </row>
    <row r="10447" spans="1:13" x14ac:dyDescent="0.25">
      <c r="A10447" s="367" t="s">
        <v>30</v>
      </c>
      <c r="B10447" s="2">
        <v>44328</v>
      </c>
      <c r="C10447" s="1">
        <v>61</v>
      </c>
      <c r="D10447" s="39">
        <f t="shared" si="1727"/>
        <v>39483</v>
      </c>
      <c r="E10447" s="1">
        <v>5</v>
      </c>
      <c r="F10447" s="39">
        <f t="shared" si="1732"/>
        <v>539</v>
      </c>
      <c r="G10447" s="168">
        <f>SUM(C10447,C10423,C10399,C10375,C10351,C10327,C10303,C10279,C10255,C10231,C10207,C10183,C10159,C10135)/POBLA!$B$6*100000</f>
        <v>204.85349317140154</v>
      </c>
      <c r="H10447" s="256">
        <f t="shared" si="1730"/>
        <v>0.7</v>
      </c>
      <c r="I10447" s="297">
        <f t="shared" si="1733"/>
        <v>143.39744521998108</v>
      </c>
      <c r="J10447" s="422">
        <f t="shared" si="1734"/>
        <v>160.85714285714286</v>
      </c>
      <c r="K10447" s="297">
        <f>J10447/POBLA!$B$6*100000</f>
        <v>14.35198066892721</v>
      </c>
      <c r="L10447" s="68">
        <f t="shared" si="1731"/>
        <v>3.7606837606837584E-2</v>
      </c>
      <c r="M10447" s="401">
        <f>SUM(C10447,C10423,C10399,C10375,C10351,C10327,C10303)/POBLA!$B$6*100000</f>
        <v>100.46386468249045</v>
      </c>
    </row>
    <row r="10448" spans="1:13" x14ac:dyDescent="0.25">
      <c r="A10448" s="367" t="s">
        <v>20</v>
      </c>
      <c r="B10448" s="2">
        <v>44328</v>
      </c>
      <c r="C10448" s="1">
        <v>2570</v>
      </c>
      <c r="D10448" s="39">
        <f t="shared" si="1727"/>
        <v>247100</v>
      </c>
      <c r="E10448" s="1">
        <v>21</v>
      </c>
      <c r="F10448" s="39">
        <f t="shared" si="1732"/>
        <v>3559</v>
      </c>
      <c r="G10448" s="168">
        <f>SUM(C10448,C10424,C10400,C10376,C10352,C10328,C10304,C10280,C10256,C10232,C10208,C10184,C10160,C10136)/POBLA!$B$7*100000</f>
        <v>631.28083075163875</v>
      </c>
      <c r="H10448" s="256">
        <f t="shared" si="1730"/>
        <v>1.0446204620462045</v>
      </c>
      <c r="I10448" s="297">
        <f t="shared" si="1733"/>
        <v>659.44887310068873</v>
      </c>
      <c r="J10448" s="422">
        <f t="shared" si="1734"/>
        <v>1817</v>
      </c>
      <c r="K10448" s="297">
        <f>J10448/POBLA!$B$7*100000</f>
        <v>48.31868526373173</v>
      </c>
      <c r="L10448" s="68">
        <f t="shared" si="1731"/>
        <v>-0.15417422867513619</v>
      </c>
      <c r="M10448" s="401">
        <f>SUM(C10448,C10424,C10400,C10376,C10352,C10328,C10304)/POBLA!$B$7*100000</f>
        <v>338.23079684612213</v>
      </c>
    </row>
    <row r="10449" spans="1:13" x14ac:dyDescent="0.25">
      <c r="A10449" s="367" t="s">
        <v>31</v>
      </c>
      <c r="B10449" s="2">
        <v>44328</v>
      </c>
      <c r="C10449" s="1">
        <v>696</v>
      </c>
      <c r="D10449" s="39">
        <f t="shared" si="1727"/>
        <v>69259</v>
      </c>
      <c r="E10449" s="1">
        <v>6</v>
      </c>
      <c r="F10449" s="39">
        <f t="shared" si="1732"/>
        <v>1118</v>
      </c>
      <c r="G10449" s="168">
        <f>SUM(C10449,C10425,C10401,C10377,C10353,C10329,C10305,C10281,C10257,C10233,C10209,C10185,C10161,C10137)/POBLA!$B$8*100000</f>
        <v>551.60282287885445</v>
      </c>
      <c r="H10449" s="256">
        <f t="shared" si="1730"/>
        <v>1.0817885948776</v>
      </c>
      <c r="I10449" s="297">
        <f t="shared" si="1733"/>
        <v>596.7176426926336</v>
      </c>
      <c r="J10449" s="422">
        <f t="shared" si="1734"/>
        <v>569.42857142857144</v>
      </c>
      <c r="K10449" s="297">
        <f>J10449/POBLA!$B$8*100000</f>
        <v>41.085468597498156</v>
      </c>
      <c r="L10449" s="68">
        <f t="shared" si="1731"/>
        <v>-8.9368679967204212E-2</v>
      </c>
      <c r="M10449" s="401">
        <f>SUM(C10449,C10425,C10401,C10377,C10353,C10329,C10305)/POBLA!$B$8*100000</f>
        <v>287.59828018248709</v>
      </c>
    </row>
    <row r="10450" spans="1:13" x14ac:dyDescent="0.25">
      <c r="A10450" s="367" t="s">
        <v>41</v>
      </c>
      <c r="B10450" s="2">
        <v>44328</v>
      </c>
      <c r="C10450" s="1">
        <v>322</v>
      </c>
      <c r="D10450" s="39">
        <f t="shared" si="1727"/>
        <v>6745</v>
      </c>
      <c r="E10450" s="1">
        <v>22</v>
      </c>
      <c r="F10450" s="39">
        <f t="shared" si="1732"/>
        <v>128</v>
      </c>
      <c r="G10450" s="168">
        <f>SUM(C10450,C10426,C10402,C10378,C10354,C10330,C10306,C10282,C10258,C10234,C10210,C10186,C10162,C10138)/POBLA!$B$9*100000</f>
        <v>370.62556903334968</v>
      </c>
      <c r="H10450" s="256">
        <f t="shared" si="1730"/>
        <v>1.7564604541895066</v>
      </c>
      <c r="I10450" s="297">
        <f t="shared" si="1733"/>
        <v>650.98915531856164</v>
      </c>
      <c r="J10450" s="422">
        <f t="shared" si="1734"/>
        <v>237</v>
      </c>
      <c r="K10450" s="297">
        <f>J10450/POBLA!$B$9*100000</f>
        <v>39.161061016898742</v>
      </c>
      <c r="L10450" s="68">
        <f t="shared" si="1731"/>
        <v>-1.8407534246575343</v>
      </c>
      <c r="M10450" s="401">
        <f>SUM(C10450,C10426,C10402,C10378,C10354,C10330,C10306)/POBLA!$B$9*100000</f>
        <v>274.12742711829117</v>
      </c>
    </row>
    <row r="10451" spans="1:13" x14ac:dyDescent="0.25">
      <c r="A10451" s="367" t="s">
        <v>32</v>
      </c>
      <c r="B10451" s="2">
        <v>44328</v>
      </c>
      <c r="C10451" s="1">
        <v>89</v>
      </c>
      <c r="D10451" s="39">
        <f t="shared" si="1727"/>
        <v>25894</v>
      </c>
      <c r="E10451" s="1">
        <v>5</v>
      </c>
      <c r="F10451" s="39">
        <f t="shared" si="1732"/>
        <v>1063</v>
      </c>
      <c r="G10451" s="168">
        <f>SUM(C10451,C10427,C10403,C10379,C10355,C10331,C10307,C10283,C10259,C10235,C10211,C10187,C10163,C10139)/POBLA!$B$10*100000</f>
        <v>161.37380477661273</v>
      </c>
      <c r="H10451" s="256">
        <f t="shared" si="1730"/>
        <v>0.90670553935860054</v>
      </c>
      <c r="I10451" s="297">
        <f t="shared" si="1733"/>
        <v>146.31852269832817</v>
      </c>
      <c r="J10451" s="422">
        <f t="shared" si="1734"/>
        <v>86.285714285714292</v>
      </c>
      <c r="K10451" s="297">
        <f>J10451/POBLA!$B$10*100000</f>
        <v>11.193130234850035</v>
      </c>
      <c r="L10451" s="68">
        <f t="shared" si="1731"/>
        <v>5.6250000000000022E-2</v>
      </c>
      <c r="M10451" s="401">
        <f>SUM(C10451,C10427,C10403,C10379,C10355,C10331,C10307)/POBLA!$B$10*100000</f>
        <v>78.351911643950231</v>
      </c>
    </row>
    <row r="10452" spans="1:13" x14ac:dyDescent="0.25">
      <c r="A10452" s="367" t="s">
        <v>33</v>
      </c>
      <c r="B10452" s="2">
        <v>44328</v>
      </c>
      <c r="C10452" s="1">
        <v>648</v>
      </c>
      <c r="D10452" s="39">
        <f t="shared" si="1727"/>
        <v>31544</v>
      </c>
      <c r="E10452" s="1">
        <v>4</v>
      </c>
      <c r="F10452" s="39">
        <f t="shared" si="1732"/>
        <v>435</v>
      </c>
      <c r="G10452" s="168">
        <f>SUM(C10452,C10428,C10404,C10380,C10356,C10332,C10308,C10284,C10260,C10236,C10212,C10188,C10164,C10140)/POBLA!$B$11*100000</f>
        <v>1405.8611492405728</v>
      </c>
      <c r="H10452" s="256">
        <f t="shared" si="1730"/>
        <v>1.488626292466765</v>
      </c>
      <c r="I10452" s="297">
        <f t="shared" si="1733"/>
        <v>2092.8018703170592</v>
      </c>
      <c r="J10452" s="422">
        <f t="shared" si="1734"/>
        <v>414.28571428571428</v>
      </c>
      <c r="K10452" s="297">
        <f>J10452/POBLA!$B$11*100000</f>
        <v>115.58408223847309</v>
      </c>
      <c r="L10452" s="68">
        <f t="shared" si="1731"/>
        <v>-0.35577372604020563</v>
      </c>
      <c r="M10452" s="401">
        <f>SUM(C10452,C10428,C10404,C10380,C10356,C10332,C10308)/POBLA!$B$11*100000</f>
        <v>809.08857566931147</v>
      </c>
    </row>
    <row r="10453" spans="1:13" x14ac:dyDescent="0.25">
      <c r="A10453" s="367" t="s">
        <v>21</v>
      </c>
      <c r="B10453" s="2">
        <v>44328</v>
      </c>
      <c r="C10453" s="1">
        <v>28</v>
      </c>
      <c r="D10453" s="39">
        <f t="shared" si="1727"/>
        <v>14420</v>
      </c>
      <c r="F10453" s="39">
        <f t="shared" si="1732"/>
        <v>504</v>
      </c>
      <c r="G10453" s="168">
        <f>SUM(C10453,C10429,C10405,C10381,C10357,C10333,C10309,C10285,C10261,C10237,C10213,C10189,C10165,C10141)/POBLA!$B$12*100000</f>
        <v>289.9390391100066</v>
      </c>
      <c r="H10453" s="256">
        <f t="shared" si="1730"/>
        <v>1.0372727272727273</v>
      </c>
      <c r="I10453" s="297">
        <f t="shared" si="1733"/>
        <v>300.74585784047053</v>
      </c>
      <c r="J10453" s="422">
        <f t="shared" si="1734"/>
        <v>71.285714285714292</v>
      </c>
      <c r="K10453" s="297">
        <f>J10453/POBLA!$B$12*100000</f>
        <v>18.11438343757272</v>
      </c>
      <c r="L10453" s="68">
        <f t="shared" si="1731"/>
        <v>0.22274143302180682</v>
      </c>
      <c r="M10453" s="401">
        <f>SUM(C10453,C10429,C10405,C10381,C10357,C10333,C10309)/POBLA!$B$12*100000</f>
        <v>126.80068406300902</v>
      </c>
    </row>
    <row r="10454" spans="1:13" x14ac:dyDescent="0.25">
      <c r="A10454" s="367" t="s">
        <v>17</v>
      </c>
      <c r="B10454" s="2">
        <v>44328</v>
      </c>
      <c r="C10454" s="1">
        <v>825</v>
      </c>
      <c r="D10454" s="39">
        <f t="shared" si="1727"/>
        <v>105326</v>
      </c>
      <c r="E10454" s="1">
        <v>16</v>
      </c>
      <c r="F10454" s="39">
        <f t="shared" si="1732"/>
        <v>2097</v>
      </c>
      <c r="G10454" s="168">
        <f>SUM(C10454,C10430,C10406,C10382,C10358,C10334,C10310,C10286,C10262,C10238,C10214,C10190,C10166,C10142)/POBLA!$B$13*100000</f>
        <v>528.7041698445189</v>
      </c>
      <c r="H10454" s="256">
        <f t="shared" si="1730"/>
        <v>0.86331938633193861</v>
      </c>
      <c r="I10454" s="297">
        <f t="shared" si="1733"/>
        <v>456.44055946130709</v>
      </c>
      <c r="J10454" s="422">
        <f t="shared" si="1734"/>
        <v>771.42857142857144</v>
      </c>
      <c r="K10454" s="297">
        <f>J10454/POBLA!$B$13*100000</f>
        <v>38.758671714481231</v>
      </c>
      <c r="L10454" s="68">
        <f t="shared" si="1731"/>
        <v>-5.406988092914311E-2</v>
      </c>
      <c r="M10454" s="401">
        <f>SUM(C10454,C10430,C10406,C10382,C10358,C10334,C10310)/POBLA!$B$13*100000</f>
        <v>271.31070200136861</v>
      </c>
    </row>
    <row r="10455" spans="1:13" x14ac:dyDescent="0.25">
      <c r="A10455" s="367" t="s">
        <v>23</v>
      </c>
      <c r="B10455" s="2">
        <v>44328</v>
      </c>
      <c r="C10455" s="1">
        <v>139</v>
      </c>
      <c r="D10455" s="39">
        <f t="shared" si="1727"/>
        <v>17337</v>
      </c>
      <c r="E10455" s="1">
        <v>3</v>
      </c>
      <c r="F10455" s="39">
        <f t="shared" si="1732"/>
        <v>245</v>
      </c>
      <c r="G10455" s="168">
        <f>SUM(C10455,C10431,C10407,C10383,C10359,C10335,C10311,C10287,C10263,C10239,C10215,C10191,C10167,C10143)/POBLA!$B$14*100000</f>
        <v>156.66450486563798</v>
      </c>
      <c r="H10455" s="256">
        <f t="shared" si="1730"/>
        <v>1.2482627921667719</v>
      </c>
      <c r="I10455" s="297">
        <f t="shared" si="1733"/>
        <v>195.5584722770061</v>
      </c>
      <c r="J10455" s="422">
        <f t="shared" si="1734"/>
        <v>162.71428571428572</v>
      </c>
      <c r="K10455" s="297">
        <f>J10455/POBLA!$B$14*100000</f>
        <v>12.900583505057959</v>
      </c>
      <c r="L10455" s="68">
        <f t="shared" si="1731"/>
        <v>-0.36081242532855429</v>
      </c>
      <c r="M10455" s="401">
        <f>SUM(C10455,C10431,C10407,C10383,C10359,C10335,C10311)/POBLA!$B$14*100000</f>
        <v>90.304084535405707</v>
      </c>
    </row>
    <row r="10456" spans="1:13" x14ac:dyDescent="0.25">
      <c r="A10456" s="367" t="s">
        <v>19</v>
      </c>
      <c r="B10456" s="2">
        <v>44328</v>
      </c>
      <c r="C10456" s="1">
        <v>514</v>
      </c>
      <c r="D10456" s="39">
        <f t="shared" si="1727"/>
        <v>76394</v>
      </c>
      <c r="E10456" s="1">
        <v>2</v>
      </c>
      <c r="F10456" s="39">
        <f t="shared" si="1732"/>
        <v>1139</v>
      </c>
      <c r="G10456" s="168">
        <f>SUM(C10456,C10432,C10408,C10384,C10360,C10336,C10312,C10288,C10264,C10240,C10216,C10192,C10168,C10144)/POBLA!$B$15*100000</f>
        <v>902.63335828099093</v>
      </c>
      <c r="H10456" s="256">
        <f t="shared" si="1730"/>
        <v>1.8065099457504521</v>
      </c>
      <c r="I10456" s="297">
        <f t="shared" si="1733"/>
        <v>1630.6161391007413</v>
      </c>
      <c r="J10456" s="422">
        <f t="shared" si="1734"/>
        <v>491</v>
      </c>
      <c r="K10456" s="297">
        <f>J10456/POBLA!$B$15*100000</f>
        <v>73.939435921916342</v>
      </c>
      <c r="L10456" s="68">
        <f t="shared" si="1731"/>
        <v>-0.34415330465389138</v>
      </c>
      <c r="M10456" s="401">
        <f>SUM(C10456,C10432,C10408,C10384,C10360,C10336,C10312)/POBLA!$B$15*100000</f>
        <v>517.57605145341438</v>
      </c>
    </row>
    <row r="10457" spans="1:13" x14ac:dyDescent="0.25">
      <c r="A10457" s="367" t="s">
        <v>18</v>
      </c>
      <c r="B10457" s="2">
        <v>44328</v>
      </c>
      <c r="C10457" s="1">
        <v>363</v>
      </c>
      <c r="D10457" s="39">
        <f t="shared" si="1727"/>
        <v>65016</v>
      </c>
      <c r="E10457" s="1">
        <v>6</v>
      </c>
      <c r="F10457" s="39">
        <f t="shared" si="1732"/>
        <v>1418</v>
      </c>
      <c r="G10457" s="168">
        <f>SUM(C10457,C10433,C10409,C10385,C10361,C10337,C10313,C10289,C10265,C10241,C10217,C10193,C10169,C10145)/POBLA!$B$16*100000</f>
        <v>561.38895948422305</v>
      </c>
      <c r="H10457" s="256">
        <f t="shared" si="1730"/>
        <v>1.2435555555555555</v>
      </c>
      <c r="I10457" s="297">
        <f t="shared" si="1733"/>
        <v>698.11835939415823</v>
      </c>
      <c r="J10457" s="422">
        <f t="shared" si="1734"/>
        <v>323.28571428571428</v>
      </c>
      <c r="K10457" s="297">
        <f>J10457/POBLA!$B$16*100000</f>
        <v>43.242561534184169</v>
      </c>
      <c r="L10457" s="68">
        <f t="shared" si="1731"/>
        <v>-0.17011375387797312</v>
      </c>
      <c r="M10457" s="401">
        <f>SUM(C10457,C10433,C10409,C10385,C10361,C10337,C10313)/POBLA!$B$16*100000</f>
        <v>302.69793073928918</v>
      </c>
    </row>
    <row r="10458" spans="1:13" x14ac:dyDescent="0.25">
      <c r="A10458" s="367" t="s">
        <v>34</v>
      </c>
      <c r="B10458" s="2">
        <v>44328</v>
      </c>
      <c r="C10458" s="1">
        <v>350</v>
      </c>
      <c r="D10458" s="39">
        <f t="shared" si="1727"/>
        <v>37409</v>
      </c>
      <c r="E10458" s="1">
        <v>3</v>
      </c>
      <c r="F10458" s="39">
        <f t="shared" si="1732"/>
        <v>1308</v>
      </c>
      <c r="G10458" s="168">
        <f>SUM(C10458,C10434,C10410,C10386,C10362,C10338,C10314,C10290,C10266,C10242,C10218,C10194,C10170,C10146)/POBLA!$B$17*100000</f>
        <v>221.42703193000264</v>
      </c>
      <c r="H10458" s="256">
        <f t="shared" ref="H10458:H10481" si="1735">SUM(C10458,C10434,C10410,C10386,C10362,C10338,C10314,C10290,C10266,C10242,C10218,C10194,C10170,C10146)/SUM(C10122,C10098,C10074,C10050,C10026,C10002,C9978,C9954,C9930,C9906,C9882,C9858,C9834,C9810)</f>
        <v>1.1892911010558069</v>
      </c>
      <c r="I10458" s="297">
        <f t="shared" si="1733"/>
        <v>263.34119860755214</v>
      </c>
      <c r="J10458" s="422">
        <f t="shared" si="1734"/>
        <v>254.57142857142858</v>
      </c>
      <c r="K10458" s="297">
        <f>J10458/POBLA!$B$17*100000</f>
        <v>17.872224426998134</v>
      </c>
      <c r="L10458" s="68">
        <f t="shared" si="1731"/>
        <v>-0.2988338192419826</v>
      </c>
      <c r="M10458" s="401">
        <f>SUM(C10458,C10434,C10410,C10386,C10362,C10338,C10314)/POBLA!$B$17*100000</f>
        <v>125.10557098898691</v>
      </c>
    </row>
    <row r="10459" spans="1:13" x14ac:dyDescent="0.25">
      <c r="A10459" s="367" t="s">
        <v>35</v>
      </c>
      <c r="B10459" s="2">
        <v>44328</v>
      </c>
      <c r="C10459" s="1">
        <v>474</v>
      </c>
      <c r="D10459" s="39">
        <f t="shared" si="1727"/>
        <v>27480</v>
      </c>
      <c r="E10459" s="1">
        <v>1</v>
      </c>
      <c r="F10459" s="39">
        <f t="shared" si="1732"/>
        <v>521</v>
      </c>
      <c r="G10459" s="168">
        <f>SUM(C10459,C10435,C10411,C10387,C10363,C10339,C10315,C10291,C10267,C10243,C10219,C10195,C10171,C10147)/POBLA!$B$18*100000</f>
        <v>574.74427719826883</v>
      </c>
      <c r="H10459" s="256">
        <f t="shared" si="1735"/>
        <v>1.2946943483275664</v>
      </c>
      <c r="I10459" s="297">
        <f t="shared" si="1733"/>
        <v>744.11816742221083</v>
      </c>
      <c r="J10459" s="422">
        <f t="shared" si="1734"/>
        <v>347</v>
      </c>
      <c r="K10459" s="297">
        <f>J10459/POBLA!$B$18*100000</f>
        <v>44.417876211091155</v>
      </c>
      <c r="L10459" s="68">
        <f t="shared" si="1731"/>
        <v>-0.17855409995147986</v>
      </c>
      <c r="M10459" s="401">
        <f>SUM(C10459,C10435,C10411,C10387,C10363,C10339,C10315)/POBLA!$B$18*100000</f>
        <v>310.9251334776381</v>
      </c>
    </row>
    <row r="10460" spans="1:13" x14ac:dyDescent="0.25">
      <c r="A10460" s="367" t="s">
        <v>36</v>
      </c>
      <c r="B10460" s="2">
        <v>44328</v>
      </c>
      <c r="C10460" s="1">
        <v>435</v>
      </c>
      <c r="D10460" s="39">
        <f t="shared" si="1727"/>
        <v>42832</v>
      </c>
      <c r="E10460" s="1">
        <v>9</v>
      </c>
      <c r="F10460" s="39">
        <f t="shared" si="1732"/>
        <v>573</v>
      </c>
      <c r="G10460" s="168">
        <f>SUM(C10460,C10436,C10412,C10388,C10364,C10340,C10316,C10292,C10268,C10244,C10220,C10196,C10172,C10148)/POBLA!$B$19*100000</f>
        <v>1261.3902834390394</v>
      </c>
      <c r="H10460" s="256">
        <f t="shared" si="1735"/>
        <v>0.75399811853245535</v>
      </c>
      <c r="I10460" s="297">
        <f t="shared" si="1733"/>
        <v>951.08590044815628</v>
      </c>
      <c r="J10460" s="422">
        <f t="shared" si="1734"/>
        <v>460.71428571428572</v>
      </c>
      <c r="K10460" s="297">
        <f>J10460/POBLA!$B$19*100000</f>
        <v>90.633269407604089</v>
      </c>
      <c r="L10460" s="68">
        <f t="shared" si="1731"/>
        <v>-1.1923438970818934E-2</v>
      </c>
      <c r="M10460" s="401">
        <f>SUM(C10460,C10436,C10412,C10388,C10364,C10340,C10316)/POBLA!$B$19*100000</f>
        <v>634.43288585322853</v>
      </c>
    </row>
    <row r="10461" spans="1:13" x14ac:dyDescent="0.25">
      <c r="A10461" s="367" t="s">
        <v>37</v>
      </c>
      <c r="B10461" s="2">
        <v>44328</v>
      </c>
      <c r="C10461" s="1">
        <v>230</v>
      </c>
      <c r="D10461" s="39">
        <f t="shared" si="1727"/>
        <v>47250</v>
      </c>
      <c r="E10461" s="1">
        <v>2</v>
      </c>
      <c r="F10461" s="39">
        <f t="shared" si="1732"/>
        <v>740</v>
      </c>
      <c r="G10461" s="168">
        <f>SUM(C10461,C10437,C10413,C10389,C10365,C10341,C10317,C10293,C10269,C10245,C10221,C10197,C10173,C10149)/POBLA!$B$20*100000</f>
        <v>817.34108472017886</v>
      </c>
      <c r="H10461" s="256">
        <f t="shared" si="1735"/>
        <v>1.1211552888222056</v>
      </c>
      <c r="I10461" s="297">
        <f t="shared" si="1733"/>
        <v>916.36627990570696</v>
      </c>
      <c r="J10461" s="422">
        <f t="shared" si="1734"/>
        <v>228.85714285714286</v>
      </c>
      <c r="K10461" s="297">
        <f>J10461/POBLA!$B$20*100000</f>
        <v>62.580911806228876</v>
      </c>
      <c r="L10461" s="68">
        <f t="shared" si="1731"/>
        <v>-0.15501081470800293</v>
      </c>
      <c r="M10461" s="401">
        <f>SUM(C10461,C10437,C10413,C10389,C10365,C10341,C10317)/POBLA!$B$20*100000</f>
        <v>438.06638264360208</v>
      </c>
    </row>
    <row r="10462" spans="1:13" x14ac:dyDescent="0.25">
      <c r="A10462" s="367" t="s">
        <v>22</v>
      </c>
      <c r="B10462" s="2">
        <v>44328</v>
      </c>
      <c r="C10462" s="1">
        <v>2269</v>
      </c>
      <c r="D10462" s="39">
        <f t="shared" si="1727"/>
        <v>294820</v>
      </c>
      <c r="E10462" s="1">
        <v>24</v>
      </c>
      <c r="F10462" s="39">
        <f t="shared" si="1732"/>
        <v>4863</v>
      </c>
      <c r="G10462" s="168">
        <f>SUM(C10462,C10438,C10414,C10390,C10366,C10342,C10318,C10294,C10270,C10246,C10222,C10198,C10174,C10150)/POBLA!$B$21*100000</f>
        <v>699.06894490413754</v>
      </c>
      <c r="H10462" s="256">
        <f t="shared" si="1735"/>
        <v>1.0539284648505776</v>
      </c>
      <c r="I10462" s="297">
        <f t="shared" si="1733"/>
        <v>736.76865992753062</v>
      </c>
      <c r="J10462" s="422">
        <f t="shared" si="1734"/>
        <v>1759</v>
      </c>
      <c r="K10462" s="297">
        <f>J10462/POBLA!$B$21*100000</f>
        <v>49.739595262777186</v>
      </c>
      <c r="L10462" s="68">
        <f t="shared" si="1731"/>
        <v>7.7363204126037477E-3</v>
      </c>
      <c r="M10462" s="401">
        <f>SUM(C10462,C10438,C10414,C10390,C10366,C10342,C10318)/POBLA!$B$21*100000</f>
        <v>348.17716683944036</v>
      </c>
    </row>
    <row r="10463" spans="1:13" x14ac:dyDescent="0.25">
      <c r="A10463" s="367" t="s">
        <v>38</v>
      </c>
      <c r="B10463" s="2">
        <v>44328</v>
      </c>
      <c r="C10463" s="1">
        <v>342</v>
      </c>
      <c r="D10463" s="39">
        <f t="shared" si="1727"/>
        <v>33597</v>
      </c>
      <c r="E10463" s="1">
        <v>3</v>
      </c>
      <c r="F10463" s="39">
        <f t="shared" si="1732"/>
        <v>389</v>
      </c>
      <c r="G10463" s="168">
        <f>SUM(C10463,C10439,C10415,C10391,C10367,C10343,C10319,C10295,C10271,C10247,C10223,C10199,C10175,C10151)/POBLA!$B$22*100000</f>
        <v>342.32398015767961</v>
      </c>
      <c r="H10463" s="256">
        <f t="shared" si="1735"/>
        <v>1.1383412644459552</v>
      </c>
      <c r="I10463" s="297">
        <f t="shared" si="1733"/>
        <v>389.68151242286507</v>
      </c>
      <c r="J10463" s="422">
        <f t="shared" si="1734"/>
        <v>290.85714285714283</v>
      </c>
      <c r="K10463" s="297">
        <f>J10463/POBLA!$B$22*100000</f>
        <v>29.730479187861434</v>
      </c>
      <c r="L10463" s="68">
        <f t="shared" si="1731"/>
        <v>-0.55064737242955064</v>
      </c>
      <c r="M10463" s="401">
        <f>SUM(C10463,C10439,C10415,C10391,C10367,C10343,C10319)/POBLA!$B$22*100000</f>
        <v>208.11335431503005</v>
      </c>
    </row>
    <row r="10464" spans="1:13" x14ac:dyDescent="0.25">
      <c r="A10464" s="367" t="s">
        <v>39</v>
      </c>
      <c r="B10464" s="2">
        <v>44328</v>
      </c>
      <c r="C10464" s="1">
        <v>94</v>
      </c>
      <c r="D10464" s="39">
        <f t="shared" si="1727"/>
        <v>27240</v>
      </c>
      <c r="E10464" s="1">
        <v>1</v>
      </c>
      <c r="F10464" s="39">
        <f t="shared" si="1732"/>
        <v>402</v>
      </c>
      <c r="G10464" s="168">
        <f>SUM(C10464,C10440,C10416,C10392,C10368,C10344,C10320,C10296,C10272,C10248,C10224,C10200,C10176,C10152)/POBLA!$B$23*100000</f>
        <v>545.72187977153203</v>
      </c>
      <c r="H10464" s="256">
        <f t="shared" si="1735"/>
        <v>0.87807097361237485</v>
      </c>
      <c r="I10464" s="297">
        <f t="shared" si="1733"/>
        <v>479.18254229256451</v>
      </c>
      <c r="J10464" s="422">
        <f t="shared" si="1734"/>
        <v>68.714285714285708</v>
      </c>
      <c r="K10464" s="297">
        <f>J10464/POBLA!$B$23*100000</f>
        <v>38.858952504827073</v>
      </c>
      <c r="L10464" s="68">
        <f t="shared" si="1731"/>
        <v>6.1983471074380514E-3</v>
      </c>
      <c r="M10464" s="401">
        <f>SUM(C10464,C10440,C10416,C10392,C10368,C10344,C10320)/POBLA!$B$23*100000</f>
        <v>272.01266753378951</v>
      </c>
    </row>
    <row r="10465" spans="1:13" ht="15.75" thickBot="1" x14ac:dyDescent="0.3">
      <c r="A10465" s="368" t="s">
        <v>40</v>
      </c>
      <c r="B10465" s="34">
        <v>44328</v>
      </c>
      <c r="C10465" s="232">
        <v>629</v>
      </c>
      <c r="D10465" s="67">
        <f t="shared" si="1727"/>
        <v>112599</v>
      </c>
      <c r="E10465" s="232">
        <v>7</v>
      </c>
      <c r="F10465" s="67">
        <f t="shared" si="1732"/>
        <v>1738</v>
      </c>
      <c r="G10465" s="255">
        <f>SUM(C10465,C10441,C10417,C10393,C10369,C10345,C10321,C10297,C10273,C10249,C10225,C10201,C10177,C10153)/POBLA!$B$24*100000</f>
        <v>453.89742815060993</v>
      </c>
      <c r="H10465" s="257">
        <f t="shared" si="1735"/>
        <v>0.80510780824785433</v>
      </c>
      <c r="I10465" s="299">
        <f t="shared" si="1733"/>
        <v>365.43636354767551</v>
      </c>
      <c r="J10465" s="428">
        <f t="shared" si="1734"/>
        <v>550.57142857142856</v>
      </c>
      <c r="K10465" s="299">
        <f>J10465/POBLA!$B$24*100000</f>
        <v>32.48868375478142</v>
      </c>
      <c r="L10465" s="68">
        <f t="shared" si="1731"/>
        <v>-4.168837936425307E-3</v>
      </c>
      <c r="M10465" s="406">
        <f>SUM(C10465,C10441,C10417,C10393,C10369,C10345,C10321)/POBLA!$B$24*100000</f>
        <v>227.42078628346994</v>
      </c>
    </row>
    <row r="10466" spans="1:13" x14ac:dyDescent="0.25">
      <c r="A10466" s="363" t="s">
        <v>16</v>
      </c>
      <c r="B10466" s="265">
        <v>44329</v>
      </c>
      <c r="C10466" s="356">
        <v>10673</v>
      </c>
      <c r="D10466" s="174">
        <f t="shared" si="1727"/>
        <v>1414299</v>
      </c>
      <c r="E10466" s="43">
        <v>231</v>
      </c>
      <c r="F10466" s="174">
        <f t="shared" ref="F10466:F10489" si="1736">E10466+F10442</f>
        <v>35799</v>
      </c>
      <c r="G10466" s="175">
        <f>SUM(C10466,C10442,C10418,C10394,C10370,C10346,C10322,C10298,C10274,C10250,C10226,C10202,C10178,C10154)/POBLA!$B$1*100000</f>
        <v>711.81800545357908</v>
      </c>
      <c r="H10466" s="300">
        <f t="shared" si="1735"/>
        <v>0.78385962709523516</v>
      </c>
      <c r="I10466" s="301">
        <f>G10466*H10466</f>
        <v>557.96539631451651</v>
      </c>
      <c r="J10466" s="421">
        <f>AVERAGE(C10466,C10442,C10418,C10394,C10370,C10346,C10322)</f>
        <v>8703.2857142857138</v>
      </c>
      <c r="K10466" s="301">
        <f>J10466/POBLA!$B$1*100000</f>
        <v>49.616417280299579</v>
      </c>
      <c r="L10466" s="399">
        <f>1-(SUM(C10466,C10442,C10418,C10394,C10370,C10346,C10322)/SUM(C10298,C10274,C10250,C10226,C10202,C10178,C10154))</f>
        <v>4.7155056460946532E-2</v>
      </c>
      <c r="M10466" s="400">
        <f>SUM(C10466,C10442,C10418,C10394,C10370,C10346,C10322)/POBLA!$B$1*100000</f>
        <v>347.31492096209706</v>
      </c>
    </row>
    <row r="10467" spans="1:13" x14ac:dyDescent="0.25">
      <c r="A10467" s="367" t="s">
        <v>43</v>
      </c>
      <c r="B10467" s="2">
        <v>44329</v>
      </c>
      <c r="C10467" s="4">
        <v>2615</v>
      </c>
      <c r="D10467" s="39">
        <f t="shared" si="1727"/>
        <v>371192</v>
      </c>
      <c r="E10467" s="1">
        <v>74</v>
      </c>
      <c r="F10467" s="39">
        <f t="shared" si="1736"/>
        <v>8389</v>
      </c>
      <c r="G10467" s="168">
        <f>SUM(C10467,C10443,C10419,C10395,C10371,C10347,C10323,C10299,C10275,C10251,C10227,C10203,C10179,C10155)/POBLA!$B$2*100000</f>
        <v>1033.0512679287538</v>
      </c>
      <c r="H10467" s="256">
        <f t="shared" si="1735"/>
        <v>0.75921146953405017</v>
      </c>
      <c r="I10467" s="297">
        <f t="shared" ref="I10467:I10489" si="1737">G10467*H10467</f>
        <v>784.30437122820297</v>
      </c>
      <c r="J10467" s="422">
        <f t="shared" ref="J10467:J10489" si="1738">AVERAGE(C10467,C10443,C10419,C10395,C10371,C10347,C10323)</f>
        <v>2146</v>
      </c>
      <c r="K10467" s="297">
        <f>J10467/POBLA!$B$2*100000</f>
        <v>69.773959681966005</v>
      </c>
      <c r="L10467" s="200">
        <f>1-(SUM(C10467,C10443,C10419,C10395,C10371,C10347,C10323)/SUM(C10299,C10275,C10251,C10227,C10203,C10179,C10155))</f>
        <v>0.10321771834517346</v>
      </c>
      <c r="M10467" s="401">
        <f>SUM(C10467,C10443,C10419,C10395,C10371,C10347,C10323)/POBLA!$B$2*100000</f>
        <v>488.41771777376198</v>
      </c>
    </row>
    <row r="10468" spans="1:13" x14ac:dyDescent="0.25">
      <c r="A10468" s="367" t="s">
        <v>28</v>
      </c>
      <c r="B10468" s="2">
        <v>44329</v>
      </c>
      <c r="C10468" s="4">
        <v>251</v>
      </c>
      <c r="D10468" s="39">
        <f t="shared" si="1727"/>
        <v>17037</v>
      </c>
      <c r="F10468" s="39">
        <f t="shared" si="1736"/>
        <v>115</v>
      </c>
      <c r="G10468" s="168">
        <f>SUM(C10468,C10444,C10420,C10396,C10372,C10348,C10324,C10300,C10276,C10252,C10228,C10204,C10180,C10156)/POBLA!$B$3*100000</f>
        <v>560.13171640533608</v>
      </c>
      <c r="H10468" s="256">
        <f t="shared" si="1735"/>
        <v>0.985182049110923</v>
      </c>
      <c r="I10468" s="297">
        <f t="shared" si="1737"/>
        <v>551.83171214022741</v>
      </c>
      <c r="J10468" s="422">
        <f t="shared" si="1738"/>
        <v>191.42857142857142</v>
      </c>
      <c r="K10468" s="297">
        <f>J10468/POBLA!$B$3*100000</f>
        <v>46.078734114012541</v>
      </c>
      <c r="L10468" s="200">
        <f t="shared" ref="L10468:L10489" si="1739">1-(SUM(C10468,C10444,C10420,C10396,C10372,C10348,C10324)/SUM(C10300,C10276,C10252,C10228,C10204,C10180,C10156))</f>
        <v>-0.35764944275582566</v>
      </c>
      <c r="M10468" s="401">
        <f>SUM(C10468,C10444,C10420,C10396,C10372,C10348,C10324)/POBLA!$B$3*100000</f>
        <v>322.55113879808778</v>
      </c>
    </row>
    <row r="10469" spans="1:13" x14ac:dyDescent="0.25">
      <c r="A10469" s="367" t="s">
        <v>15</v>
      </c>
      <c r="B10469" s="2">
        <v>44329</v>
      </c>
      <c r="C10469" s="4">
        <v>490</v>
      </c>
      <c r="D10469" s="39">
        <f t="shared" si="1727"/>
        <v>48234</v>
      </c>
      <c r="E10469" s="1">
        <v>4</v>
      </c>
      <c r="F10469" s="39">
        <f t="shared" si="1736"/>
        <v>1096</v>
      </c>
      <c r="G10469" s="168">
        <f>SUM(C10469,C10445,C10421,C10397,C10373,C10349,C10325,C10301,C10277,C10253,C10229,C10205,C10181,C10157)/POBLA!$B$4*100000</f>
        <v>301.60866255278978</v>
      </c>
      <c r="H10469" s="256">
        <f t="shared" si="1735"/>
        <v>1.1438916876574308</v>
      </c>
      <c r="I10469" s="297">
        <f t="shared" si="1737"/>
        <v>345.00764201961124</v>
      </c>
      <c r="J10469" s="422">
        <f t="shared" si="1738"/>
        <v>278.14285714285717</v>
      </c>
      <c r="K10469" s="297">
        <f>J10469/POBLA!$B$4*100000</f>
        <v>23.091190515130425</v>
      </c>
      <c r="L10469" s="200">
        <f t="shared" si="1739"/>
        <v>-0.15480427046263334</v>
      </c>
      <c r="M10469" s="401">
        <f>SUM(C10469,C10445,C10421,C10397,C10373,C10349,C10325)/POBLA!$B$4*100000</f>
        <v>161.63833360591298</v>
      </c>
    </row>
    <row r="10470" spans="1:13" x14ac:dyDescent="0.25">
      <c r="A10470" s="367" t="s">
        <v>29</v>
      </c>
      <c r="B10470" s="2">
        <v>44329</v>
      </c>
      <c r="C10470" s="4">
        <v>222</v>
      </c>
      <c r="D10470" s="39">
        <f t="shared" si="1727"/>
        <v>57315</v>
      </c>
      <c r="E10470" s="1">
        <v>1</v>
      </c>
      <c r="F10470" s="39">
        <f t="shared" si="1736"/>
        <v>938</v>
      </c>
      <c r="G10470" s="168">
        <f>SUM(C10470,C10446,C10422,C10398,C10374,C10350,C10326,C10302,C10278,C10254,C10230,C10206,C10182,C10158)/POBLA!$B$5*100000</f>
        <v>413.41273097962176</v>
      </c>
      <c r="H10470" s="256">
        <f t="shared" si="1735"/>
        <v>0.99070847851335653</v>
      </c>
      <c r="I10470" s="297">
        <f t="shared" si="1737"/>
        <v>409.57149770687266</v>
      </c>
      <c r="J10470" s="422">
        <f t="shared" si="1738"/>
        <v>210.14285714285714</v>
      </c>
      <c r="K10470" s="297">
        <f>J10470/POBLA!$B$5*100000</f>
        <v>33.949094360019181</v>
      </c>
      <c r="L10470" s="200">
        <f t="shared" si="1739"/>
        <v>-0.35202205882352944</v>
      </c>
      <c r="M10470" s="401">
        <f>SUM(C10470,C10446,C10422,C10398,C10374,C10350,C10326)/POBLA!$B$5*100000</f>
        <v>237.64366052013429</v>
      </c>
    </row>
    <row r="10471" spans="1:13" x14ac:dyDescent="0.25">
      <c r="A10471" s="367" t="s">
        <v>30</v>
      </c>
      <c r="B10471" s="2">
        <v>44329</v>
      </c>
      <c r="C10471" s="4">
        <v>448</v>
      </c>
      <c r="D10471" s="39">
        <f t="shared" si="1727"/>
        <v>39931</v>
      </c>
      <c r="E10471" s="1">
        <v>7</v>
      </c>
      <c r="F10471" s="39">
        <f t="shared" si="1736"/>
        <v>546</v>
      </c>
      <c r="G10471" s="168">
        <f>SUM(C10471,C10447,C10423,C10399,C10375,C10351,C10327,C10303,C10279,C10255,C10231,C10207,C10183,C10159)/POBLA!$B$6*100000</f>
        <v>227.15896934424575</v>
      </c>
      <c r="H10471" s="256">
        <f t="shared" si="1735"/>
        <v>0.76895197825430384</v>
      </c>
      <c r="I10471" s="297">
        <f t="shared" si="1737"/>
        <v>174.67433885546652</v>
      </c>
      <c r="J10471" s="422">
        <f t="shared" si="1738"/>
        <v>192.71428571428572</v>
      </c>
      <c r="K10471" s="297">
        <f>J10471/POBLA!$B$6*100000</f>
        <v>17.194335632666792</v>
      </c>
      <c r="L10471" s="200">
        <f t="shared" si="1739"/>
        <v>-0.12698412698412698</v>
      </c>
      <c r="M10471" s="401">
        <f>SUM(C10471,C10447,C10423,C10399,C10375,C10351,C10327)/POBLA!$B$6*100000</f>
        <v>120.36034942866753</v>
      </c>
    </row>
    <row r="10472" spans="1:13" x14ac:dyDescent="0.25">
      <c r="A10472" s="367" t="s">
        <v>20</v>
      </c>
      <c r="B10472" s="2">
        <v>44329</v>
      </c>
      <c r="C10472" s="4">
        <v>2669</v>
      </c>
      <c r="D10472" s="39">
        <f t="shared" si="1727"/>
        <v>249769</v>
      </c>
      <c r="E10472" s="1">
        <v>16</v>
      </c>
      <c r="F10472" s="39">
        <f t="shared" si="1736"/>
        <v>3575</v>
      </c>
      <c r="G10472" s="168">
        <f>SUM(C10472,C10448,C10424,C10400,C10376,C10352,C10328,C10304,C10280,C10256,C10232,C10208,C10184,C10160)/POBLA!$B$7*100000</f>
        <v>646.43859112606208</v>
      </c>
      <c r="H10472" s="256">
        <f t="shared" si="1735"/>
        <v>1.0469443128472371</v>
      </c>
      <c r="I10472" s="297">
        <f t="shared" si="1737"/>
        <v>676.78520658441107</v>
      </c>
      <c r="J10472" s="422">
        <f t="shared" si="1738"/>
        <v>1931.7142857142858</v>
      </c>
      <c r="K10472" s="297">
        <f>J10472/POBLA!$B$7*100000</f>
        <v>51.369232025802383</v>
      </c>
      <c r="L10472" s="200">
        <f t="shared" si="1739"/>
        <v>-0.25354593492166488</v>
      </c>
      <c r="M10472" s="401">
        <f>SUM(C10472,C10448,C10424,C10400,C10376,C10352,C10328)/POBLA!$B$7*100000</f>
        <v>359.58462418061669</v>
      </c>
    </row>
    <row r="10473" spans="1:13" x14ac:dyDescent="0.25">
      <c r="A10473" s="367" t="s">
        <v>31</v>
      </c>
      <c r="B10473" s="2">
        <v>44329</v>
      </c>
      <c r="C10473" s="451">
        <v>806</v>
      </c>
      <c r="D10473" s="39">
        <f t="shared" si="1727"/>
        <v>70065</v>
      </c>
      <c r="E10473" s="1">
        <v>3</v>
      </c>
      <c r="F10473" s="39">
        <f t="shared" si="1736"/>
        <v>1121</v>
      </c>
      <c r="G10473" s="168">
        <f>SUM(C10473,C10449,C10425,C10401,C10377,C10353,C10329,C10305,C10281,C10257,C10233,C10209,C10185,C10161)/POBLA!$B$8*100000</f>
        <v>554.70536328222806</v>
      </c>
      <c r="H10473" s="256">
        <f t="shared" si="1735"/>
        <v>1.0522857924993156</v>
      </c>
      <c r="I10473" s="297">
        <f t="shared" si="1737"/>
        <v>583.70857280506016</v>
      </c>
      <c r="J10473" s="422">
        <f t="shared" si="1738"/>
        <v>580.85714285714289</v>
      </c>
      <c r="K10473" s="297">
        <f>J10473/POBLA!$B$8*100000</f>
        <v>41.910064053544282</v>
      </c>
      <c r="L10473" s="200">
        <f t="shared" si="1739"/>
        <v>-0.12258420762009936</v>
      </c>
      <c r="M10473" s="401">
        <f>SUM(C10473,C10449,C10425,C10401,C10377,C10353,C10329)/POBLA!$B$8*100000</f>
        <v>293.37044837481</v>
      </c>
    </row>
    <row r="10474" spans="1:13" x14ac:dyDescent="0.25">
      <c r="A10474" s="367" t="s">
        <v>41</v>
      </c>
      <c r="B10474" s="2">
        <v>44329</v>
      </c>
      <c r="C10474" s="4">
        <v>144</v>
      </c>
      <c r="D10474" s="39">
        <f t="shared" si="1727"/>
        <v>6889</v>
      </c>
      <c r="E10474" s="1">
        <v>10</v>
      </c>
      <c r="F10474" s="39">
        <f t="shared" si="1736"/>
        <v>138</v>
      </c>
      <c r="G10474" s="168">
        <f>SUM(C10474,C10450,C10426,C10402,C10378,C10354,C10330,C10306,C10282,C10258,C10234,C10210,C10186,C10162)/POBLA!$B$9*100000</f>
        <v>392.60202943523797</v>
      </c>
      <c r="H10474" s="256">
        <f t="shared" si="1735"/>
        <v>1.9899497487437185</v>
      </c>
      <c r="I10474" s="297">
        <f t="shared" si="1737"/>
        <v>781.25830983092578</v>
      </c>
      <c r="J10474" s="422">
        <f t="shared" si="1738"/>
        <v>207.14285714285714</v>
      </c>
      <c r="K10474" s="297">
        <f>J10474/POBLA!$B$9*100000</f>
        <v>34.227569906270745</v>
      </c>
      <c r="L10474" s="200">
        <f t="shared" si="1739"/>
        <v>-0.56587473002159827</v>
      </c>
      <c r="M10474" s="401">
        <f>SUM(C10474,C10450,C10426,C10402,C10378,C10354,C10330)/POBLA!$B$9*100000</f>
        <v>239.59298934389523</v>
      </c>
    </row>
    <row r="10475" spans="1:13" x14ac:dyDescent="0.25">
      <c r="A10475" s="367" t="s">
        <v>32</v>
      </c>
      <c r="B10475" s="2">
        <v>44329</v>
      </c>
      <c r="C10475" s="4">
        <v>95</v>
      </c>
      <c r="D10475" s="39">
        <f t="shared" si="1727"/>
        <v>25989</v>
      </c>
      <c r="F10475" s="39">
        <f t="shared" si="1736"/>
        <v>1063</v>
      </c>
      <c r="G10475" s="168">
        <f>SUM(C10475,C10451,C10427,C10403,C10379,C10355,C10331,C10307,C10283,C10259,C10235,C10211,C10187,C10163)/POBLA!$B$10*100000</f>
        <v>157.09298841195982</v>
      </c>
      <c r="H10475" s="256">
        <f t="shared" si="1735"/>
        <v>0.85341789992952788</v>
      </c>
      <c r="I10475" s="297">
        <f t="shared" si="1737"/>
        <v>134.0659682641884</v>
      </c>
      <c r="J10475" s="422">
        <f t="shared" si="1738"/>
        <v>86.857142857142861</v>
      </c>
      <c r="K10475" s="297">
        <f>J10475/POBLA!$B$10*100000</f>
        <v>11.267256925147054</v>
      </c>
      <c r="L10475" s="200">
        <f t="shared" si="1739"/>
        <v>-8.2918739635158278E-3</v>
      </c>
      <c r="M10475" s="401">
        <f>SUM(C10475,C10451,C10427,C10403,C10379,C10355,C10331)/POBLA!$B$10*100000</f>
        <v>78.870798476029378</v>
      </c>
    </row>
    <row r="10476" spans="1:13" x14ac:dyDescent="0.25">
      <c r="A10476" s="367" t="s">
        <v>33</v>
      </c>
      <c r="B10476" s="2">
        <v>44329</v>
      </c>
      <c r="C10476" s="4">
        <v>643</v>
      </c>
      <c r="D10476" s="39">
        <f t="shared" si="1727"/>
        <v>32187</v>
      </c>
      <c r="E10476" s="1">
        <v>3</v>
      </c>
      <c r="F10476" s="39">
        <f t="shared" si="1736"/>
        <v>438</v>
      </c>
      <c r="G10476" s="168">
        <f>SUM(C10476,C10452,C10428,C10404,C10380,C10356,C10332,C10308,C10284,C10260,C10236,C10212,C10188,C10164)/POBLA!$B$11*100000</f>
        <v>1497.9298492305288</v>
      </c>
      <c r="H10476" s="256">
        <f t="shared" si="1735"/>
        <v>1.5379547407619594</v>
      </c>
      <c r="I10476" s="297">
        <f t="shared" si="1737"/>
        <v>2303.7483129529387</v>
      </c>
      <c r="J10476" s="422">
        <f t="shared" si="1738"/>
        <v>450.14285714285717</v>
      </c>
      <c r="K10476" s="297">
        <f>J10476/POBLA!$B$11*100000</f>
        <v>125.58808383911334</v>
      </c>
      <c r="L10476" s="200">
        <f t="shared" si="1739"/>
        <v>-0.42064923354373307</v>
      </c>
      <c r="M10476" s="401">
        <f>SUM(C10476,C10452,C10428,C10404,C10380,C10356,C10332)/POBLA!$B$11*100000</f>
        <v>879.11658687379338</v>
      </c>
    </row>
    <row r="10477" spans="1:13" x14ac:dyDescent="0.25">
      <c r="A10477" s="367" t="s">
        <v>21</v>
      </c>
      <c r="B10477" s="2">
        <v>44329</v>
      </c>
      <c r="C10477" s="4">
        <v>26</v>
      </c>
      <c r="D10477" s="39">
        <f t="shared" si="1727"/>
        <v>14446</v>
      </c>
      <c r="F10477" s="39">
        <f t="shared" si="1736"/>
        <v>504</v>
      </c>
      <c r="G10477" s="168">
        <f>SUM(C10477,C10453,C10429,C10405,C10381,C10357,C10333,C10309,C10285,C10261,C10237,C10213,C10189,C10165)/POBLA!$B$12*100000</f>
        <v>284.85684736399418</v>
      </c>
      <c r="H10477" s="256">
        <f t="shared" si="1735"/>
        <v>1.082046332046332</v>
      </c>
      <c r="I10477" s="297">
        <f t="shared" si="1737"/>
        <v>308.2283068484918</v>
      </c>
      <c r="J10477" s="422">
        <f t="shared" si="1738"/>
        <v>63.857142857142854</v>
      </c>
      <c r="K10477" s="297">
        <f>J10477/POBLA!$B$12*100000</f>
        <v>16.226712217625259</v>
      </c>
      <c r="L10477" s="200">
        <f t="shared" si="1739"/>
        <v>0.33679525222551931</v>
      </c>
      <c r="M10477" s="401">
        <f>SUM(C10477,C10453,C10429,C10405,C10381,C10357,C10333)/POBLA!$B$12*100000</f>
        <v>113.58698552337682</v>
      </c>
    </row>
    <row r="10478" spans="1:13" x14ac:dyDescent="0.25">
      <c r="A10478" s="367" t="s">
        <v>17</v>
      </c>
      <c r="B10478" s="2">
        <v>44329</v>
      </c>
      <c r="C10478" s="4">
        <v>995</v>
      </c>
      <c r="D10478" s="39">
        <f t="shared" si="1727"/>
        <v>106321</v>
      </c>
      <c r="E10478" s="1">
        <v>12</v>
      </c>
      <c r="F10478" s="39">
        <f t="shared" si="1736"/>
        <v>2109</v>
      </c>
      <c r="G10478" s="168">
        <f>SUM(C10478,C10454,C10430,C10406,C10382,C10358,C10334,C10310,C10286,C10262,C10238,C10214,C10190,C10166)/POBLA!$B$13*100000</f>
        <v>534.53232566528902</v>
      </c>
      <c r="H10478" s="256">
        <f t="shared" si="1735"/>
        <v>0.88525545015809615</v>
      </c>
      <c r="I10478" s="297">
        <f t="shared" si="1737"/>
        <v>473.19765458087949</v>
      </c>
      <c r="J10478" s="422">
        <f t="shared" si="1738"/>
        <v>804</v>
      </c>
      <c r="K10478" s="297">
        <f>J10478/POBLA!$B$13*100000</f>
        <v>40.395148964648214</v>
      </c>
      <c r="L10478" s="200">
        <f t="shared" si="1739"/>
        <v>-0.12312911594492126</v>
      </c>
      <c r="M10478" s="401">
        <f>SUM(C10478,C10454,C10430,C10406,C10382,C10358,C10334)/POBLA!$B$13*100000</f>
        <v>282.76604275253749</v>
      </c>
    </row>
    <row r="10479" spans="1:13" x14ac:dyDescent="0.25">
      <c r="A10479" s="367" t="s">
        <v>23</v>
      </c>
      <c r="B10479" s="2">
        <v>44329</v>
      </c>
      <c r="C10479" s="4">
        <v>164</v>
      </c>
      <c r="D10479" s="39">
        <f t="shared" si="1727"/>
        <v>17501</v>
      </c>
      <c r="E10479" s="1">
        <v>7</v>
      </c>
      <c r="F10479" s="39">
        <f t="shared" si="1736"/>
        <v>252</v>
      </c>
      <c r="G10479" s="168">
        <f>SUM(C10479,C10455,C10431,C10407,C10383,C10359,C10335,C10311,C10287,C10263,C10239,C10215,C10191,C10167)/POBLA!$B$14*100000</f>
        <v>157.29877411610616</v>
      </c>
      <c r="H10479" s="256">
        <f t="shared" si="1735"/>
        <v>1.2097560975609756</v>
      </c>
      <c r="I10479" s="297">
        <f t="shared" si="1737"/>
        <v>190.29315112582597</v>
      </c>
      <c r="J10479" s="422">
        <f t="shared" si="1738"/>
        <v>163.71428571428572</v>
      </c>
      <c r="K10479" s="297">
        <f>J10479/POBLA!$B$14*100000</f>
        <v>12.979867161366478</v>
      </c>
      <c r="L10479" s="200">
        <f t="shared" si="1739"/>
        <v>-0.36754176610978528</v>
      </c>
      <c r="M10479" s="401">
        <f>SUM(C10479,C10455,C10431,C10407,C10383,C10359,C10335)/POBLA!$B$14*100000</f>
        <v>90.859070129565353</v>
      </c>
    </row>
    <row r="10480" spans="1:13" x14ac:dyDescent="0.25">
      <c r="A10480" s="367" t="s">
        <v>19</v>
      </c>
      <c r="B10480" s="2">
        <v>44329</v>
      </c>
      <c r="C10480" s="4">
        <v>649</v>
      </c>
      <c r="D10480" s="39">
        <f t="shared" si="1727"/>
        <v>77043</v>
      </c>
      <c r="E10480" s="1">
        <v>6</v>
      </c>
      <c r="F10480" s="39">
        <f t="shared" si="1736"/>
        <v>1145</v>
      </c>
      <c r="G10480" s="168">
        <f>SUM(C10480,C10456,C10432,C10408,C10384,C10360,C10336,C10312,C10288,C10264,C10240,C10216,C10192,C10168)/POBLA!$B$15*100000</f>
        <v>944.64782390668267</v>
      </c>
      <c r="H10480" s="256">
        <f t="shared" si="1735"/>
        <v>1.8015508328546812</v>
      </c>
      <c r="I10480" s="297">
        <f t="shared" si="1737"/>
        <v>1701.8310739134465</v>
      </c>
      <c r="J10480" s="422">
        <f t="shared" si="1738"/>
        <v>514.57142857142856</v>
      </c>
      <c r="K10480" s="297">
        <f>J10480/POBLA!$B$15*100000</f>
        <v>77.489045152965559</v>
      </c>
      <c r="L10480" s="200">
        <f t="shared" si="1739"/>
        <v>-0.34855859228753272</v>
      </c>
      <c r="M10480" s="401">
        <f>SUM(C10480,C10456,C10432,C10408,C10384,C10360,C10336)/POBLA!$B$15*100000</f>
        <v>542.42331607075903</v>
      </c>
    </row>
    <row r="10481" spans="1:13" x14ac:dyDescent="0.25">
      <c r="A10481" s="367" t="s">
        <v>18</v>
      </c>
      <c r="B10481" s="2">
        <v>44329</v>
      </c>
      <c r="C10481" s="4">
        <v>555</v>
      </c>
      <c r="D10481" s="39">
        <f t="shared" si="1727"/>
        <v>65571</v>
      </c>
      <c r="E10481" s="1">
        <v>3</v>
      </c>
      <c r="F10481" s="39">
        <f t="shared" si="1736"/>
        <v>1421</v>
      </c>
      <c r="G10481" s="168">
        <f>SUM(C10481,C10457,C10433,C10409,C10385,C10361,C10337,C10313,C10289,C10265,C10241,C10217,C10193,C10169)/POBLA!$B$16*100000</f>
        <v>589.21095223445377</v>
      </c>
      <c r="H10481" s="256">
        <f t="shared" si="1735"/>
        <v>1.2514204545454546</v>
      </c>
      <c r="I10481" s="297">
        <f t="shared" si="1737"/>
        <v>737.35063766840028</v>
      </c>
      <c r="J10481" s="422">
        <f t="shared" si="1738"/>
        <v>350.57142857142856</v>
      </c>
      <c r="K10481" s="297">
        <f>J10481/POBLA!$B$16*100000</f>
        <v>46.89228723150152</v>
      </c>
      <c r="L10481" s="200">
        <f t="shared" si="1739"/>
        <v>-0.25781650435674019</v>
      </c>
      <c r="M10481" s="401">
        <f>SUM(C10481,C10457,C10433,C10409,C10385,C10361,C10337)/POBLA!$B$16*100000</f>
        <v>328.24601062051067</v>
      </c>
    </row>
    <row r="10482" spans="1:13" x14ac:dyDescent="0.25">
      <c r="A10482" s="367" t="s">
        <v>34</v>
      </c>
      <c r="B10482" s="2">
        <v>44329</v>
      </c>
      <c r="C10482" s="4">
        <v>261</v>
      </c>
      <c r="D10482" s="39">
        <f t="shared" si="1727"/>
        <v>37670</v>
      </c>
      <c r="E10482" s="1">
        <v>1</v>
      </c>
      <c r="F10482" s="39">
        <f t="shared" si="1736"/>
        <v>1309</v>
      </c>
      <c r="G10482" s="168">
        <f>SUM(C10482,C10458,C10434,C10410,C10386,C10362,C10338,C10314,C10290,C10266,C10242,C10218,C10194,C10170)/POBLA!$B$17*100000</f>
        <v>221.14621134416879</v>
      </c>
      <c r="H10482" s="256">
        <f t="shared" ref="H10482:H10505" si="1740">SUM(C10482,C10458,C10434,C10410,C10386,C10362,C10338,C10314,C10290,C10266,C10242,C10218,C10194,C10170)/SUM(C10146,C10122,C10098,C10074,C10050,C10026,C10002,C9978,C9954,C9930,C9906,C9882,C9858,C9834)</f>
        <v>1.189127972819932</v>
      </c>
      <c r="I10482" s="297">
        <f t="shared" si="1737"/>
        <v>262.97114599249966</v>
      </c>
      <c r="J10482" s="422">
        <f t="shared" si="1738"/>
        <v>254.42857142857142</v>
      </c>
      <c r="K10482" s="297">
        <f>J10482/POBLA!$B$17*100000</f>
        <v>17.862195120361207</v>
      </c>
      <c r="L10482" s="200">
        <f t="shared" si="1739"/>
        <v>-0.30094959824689549</v>
      </c>
      <c r="M10482" s="401">
        <f>SUM(C10482,C10458,C10434,C10410,C10386,C10362,C10338)/POBLA!$B$17*100000</f>
        <v>125.03536584252846</v>
      </c>
    </row>
    <row r="10483" spans="1:13" x14ac:dyDescent="0.25">
      <c r="A10483" s="367" t="s">
        <v>35</v>
      </c>
      <c r="B10483" s="2">
        <v>44329</v>
      </c>
      <c r="C10483" s="4">
        <v>568</v>
      </c>
      <c r="D10483" s="39">
        <f t="shared" ref="D10483:D10546" si="1741">C10483+D10459</f>
        <v>28048</v>
      </c>
      <c r="E10483" s="1">
        <v>16</v>
      </c>
      <c r="F10483" s="39">
        <f t="shared" si="1736"/>
        <v>537</v>
      </c>
      <c r="G10483" s="168">
        <f>SUM(C10483,C10459,C10435,C10411,C10387,C10363,C10339,C10315,C10291,C10267,C10243,C10219,C10195,C10171)/POBLA!$B$18*100000</f>
        <v>604.44153161029521</v>
      </c>
      <c r="H10483" s="256">
        <f t="shared" si="1740"/>
        <v>1.3365411831304841</v>
      </c>
      <c r="I10483" s="297">
        <f t="shared" si="1737"/>
        <v>807.86099979162589</v>
      </c>
      <c r="J10483" s="422">
        <f t="shared" si="1738"/>
        <v>366.57142857142856</v>
      </c>
      <c r="K10483" s="297">
        <f>J10483/POBLA!$B$18*100000</f>
        <v>46.923124889938208</v>
      </c>
      <c r="L10483" s="200">
        <f t="shared" si="1739"/>
        <v>-0.19016697588126164</v>
      </c>
      <c r="M10483" s="401">
        <f>SUM(C10483,C10459,C10435,C10411,C10387,C10363,C10339)/POBLA!$B$18*100000</f>
        <v>328.46187422956746</v>
      </c>
    </row>
    <row r="10484" spans="1:13" x14ac:dyDescent="0.25">
      <c r="A10484" s="367" t="s">
        <v>36</v>
      </c>
      <c r="B10484" s="2">
        <v>44329</v>
      </c>
      <c r="C10484" s="4">
        <v>587</v>
      </c>
      <c r="D10484" s="39">
        <f t="shared" si="1741"/>
        <v>43419</v>
      </c>
      <c r="E10484" s="1">
        <v>8</v>
      </c>
      <c r="F10484" s="39">
        <f t="shared" si="1736"/>
        <v>581</v>
      </c>
      <c r="G10484" s="168">
        <f>SUM(C10484,C10460,C10436,C10412,C10388,C10364,C10340,C10316,C10292,C10268,C10244,C10220,C10196,C10172)/POBLA!$B$19*100000</f>
        <v>1272.2100690892494</v>
      </c>
      <c r="H10484" s="256">
        <f t="shared" si="1740"/>
        <v>0.75171451819132862</v>
      </c>
      <c r="I10484" s="297">
        <f t="shared" si="1737"/>
        <v>956.33877912358196</v>
      </c>
      <c r="J10484" s="422">
        <f t="shared" si="1738"/>
        <v>490.42857142857144</v>
      </c>
      <c r="K10484" s="297">
        <f>J10484/POBLA!$B$19*100000</f>
        <v>96.478763992652659</v>
      </c>
      <c r="L10484" s="200">
        <f t="shared" si="1739"/>
        <v>-0.1315095583388266</v>
      </c>
      <c r="M10484" s="401">
        <f>SUM(C10484,C10460,C10436,C10412,C10388,C10364,C10340)/POBLA!$B$19*100000</f>
        <v>675.35134794856867</v>
      </c>
    </row>
    <row r="10485" spans="1:13" x14ac:dyDescent="0.25">
      <c r="A10485" s="367" t="s">
        <v>37</v>
      </c>
      <c r="B10485" s="2">
        <v>44329</v>
      </c>
      <c r="C10485" s="4">
        <v>209</v>
      </c>
      <c r="D10485" s="39">
        <f t="shared" si="1741"/>
        <v>47459</v>
      </c>
      <c r="E10485" s="1">
        <v>5</v>
      </c>
      <c r="F10485" s="39">
        <f t="shared" si="1736"/>
        <v>745</v>
      </c>
      <c r="G10485" s="168">
        <f>SUM(C10485,C10461,C10437,C10413,C10389,C10365,C10341,C10317,C10293,C10269,C10245,C10221,C10197,C10173)/POBLA!$B$20*100000</f>
        <v>811.32519182494855</v>
      </c>
      <c r="H10485" s="256">
        <f t="shared" si="1740"/>
        <v>1.095642540620384</v>
      </c>
      <c r="I10485" s="297">
        <f t="shared" si="1737"/>
        <v>888.92239444040706</v>
      </c>
      <c r="J10485" s="422">
        <f t="shared" si="1738"/>
        <v>210.85714285714286</v>
      </c>
      <c r="K10485" s="297">
        <f>J10485/POBLA!$B$20*100000</f>
        <v>57.658817619222106</v>
      </c>
      <c r="L10485" s="200">
        <f t="shared" si="1739"/>
        <v>1.0060362173038184E-2</v>
      </c>
      <c r="M10485" s="401">
        <f>SUM(C10485,C10461,C10437,C10413,C10389,C10365,C10341)/POBLA!$B$20*100000</f>
        <v>403.61172333455477</v>
      </c>
    </row>
    <row r="10486" spans="1:13" x14ac:dyDescent="0.25">
      <c r="A10486" s="367" t="s">
        <v>22</v>
      </c>
      <c r="B10486" s="2">
        <v>44329</v>
      </c>
      <c r="C10486" s="4">
        <v>2181</v>
      </c>
      <c r="D10486" s="39">
        <f t="shared" si="1741"/>
        <v>297001</v>
      </c>
      <c r="E10486" s="1">
        <v>28</v>
      </c>
      <c r="F10486" s="39">
        <f t="shared" si="1736"/>
        <v>4891</v>
      </c>
      <c r="G10486" s="168">
        <f>SUM(C10486,C10462,C10438,C10414,C10390,C10366,C10342,C10318,C10294,C10270,C10246,C10222,C10198,C10174)/POBLA!$B$21*100000</f>
        <v>694.94047366572613</v>
      </c>
      <c r="H10486" s="256">
        <f t="shared" si="1740"/>
        <v>1.0338213023725391</v>
      </c>
      <c r="I10486" s="297">
        <f t="shared" si="1737"/>
        <v>718.44426555649022</v>
      </c>
      <c r="J10486" s="422">
        <f t="shared" si="1738"/>
        <v>1785.4285714285713</v>
      </c>
      <c r="K10486" s="297">
        <f>J10486/POBLA!$B$21*100000</f>
        <v>50.486921269730317</v>
      </c>
      <c r="L10486" s="200">
        <f t="shared" si="1739"/>
        <v>-3.4773969200198707E-2</v>
      </c>
      <c r="M10486" s="401">
        <f>SUM(C10486,C10462,C10438,C10414,C10390,C10366,C10342)/POBLA!$B$21*100000</f>
        <v>353.40844888811222</v>
      </c>
    </row>
    <row r="10487" spans="1:13" x14ac:dyDescent="0.25">
      <c r="A10487" s="367" t="s">
        <v>38</v>
      </c>
      <c r="B10487" s="2">
        <v>44329</v>
      </c>
      <c r="C10487" s="4">
        <v>403</v>
      </c>
      <c r="D10487" s="39">
        <f t="shared" si="1741"/>
        <v>34000</v>
      </c>
      <c r="E10487" s="1">
        <v>3</v>
      </c>
      <c r="F10487" s="39">
        <f t="shared" si="1736"/>
        <v>392</v>
      </c>
      <c r="G10487" s="168">
        <f>SUM(C10487,C10463,C10439,C10415,C10391,C10367,C10343,C10319,C10295,C10271,C10247,C10223,C10199,C10175)/POBLA!$B$22*100000</f>
        <v>359.49639839192571</v>
      </c>
      <c r="H10487" s="256">
        <f t="shared" si="1740"/>
        <v>1.1817876344086022</v>
      </c>
      <c r="I10487" s="297">
        <f t="shared" si="1737"/>
        <v>424.84839823400631</v>
      </c>
      <c r="J10487" s="422">
        <f t="shared" si="1738"/>
        <v>299.14285714285717</v>
      </c>
      <c r="K10487" s="297">
        <f>J10487/POBLA!$B$22*100000</f>
        <v>30.577418182407591</v>
      </c>
      <c r="L10487" s="200">
        <f t="shared" si="1739"/>
        <v>-0.47153900210822197</v>
      </c>
      <c r="M10487" s="401">
        <f>SUM(C10487,C10463,C10439,C10415,C10391,C10367,C10343)/POBLA!$B$22*100000</f>
        <v>214.0419272768531</v>
      </c>
    </row>
    <row r="10488" spans="1:13" x14ac:dyDescent="0.25">
      <c r="A10488" s="367" t="s">
        <v>39</v>
      </c>
      <c r="B10488" s="2">
        <v>44329</v>
      </c>
      <c r="C10488" s="4">
        <v>117</v>
      </c>
      <c r="D10488" s="39">
        <f t="shared" si="1741"/>
        <v>27357</v>
      </c>
      <c r="E10488" s="1">
        <v>2</v>
      </c>
      <c r="F10488" s="39">
        <f t="shared" si="1736"/>
        <v>404</v>
      </c>
      <c r="G10488" s="168">
        <f>SUM(C10488,C10464,C10440,C10416,C10392,C10368,C10344,C10320,C10296,C10272,C10248,C10224,C10200,C10176)/POBLA!$B$23*100000</f>
        <v>558.16320760052031</v>
      </c>
      <c r="H10488" s="256">
        <f t="shared" si="1740"/>
        <v>0.86578947368421055</v>
      </c>
      <c r="I10488" s="297">
        <f t="shared" si="1737"/>
        <v>483.25182973834524</v>
      </c>
      <c r="J10488" s="422">
        <f t="shared" si="1738"/>
        <v>72.857142857142861</v>
      </c>
      <c r="K10488" s="297">
        <f>J10488/POBLA!$B$23*100000</f>
        <v>41.201799953143052</v>
      </c>
      <c r="L10488" s="200">
        <f t="shared" si="1739"/>
        <v>-6.9182389937106903E-2</v>
      </c>
      <c r="M10488" s="401">
        <f>SUM(C10488,C10464,C10440,C10416,C10392,C10368,C10344)/POBLA!$B$23*100000</f>
        <v>288.41259967200136</v>
      </c>
    </row>
    <row r="10489" spans="1:13" ht="15.75" thickBot="1" x14ac:dyDescent="0.3">
      <c r="A10489" s="369" t="s">
        <v>40</v>
      </c>
      <c r="B10489" s="266">
        <v>44329</v>
      </c>
      <c r="C10489" s="357">
        <v>760</v>
      </c>
      <c r="D10489" s="176">
        <f t="shared" si="1741"/>
        <v>113359</v>
      </c>
      <c r="E10489" s="44">
        <v>7</v>
      </c>
      <c r="F10489" s="176">
        <f t="shared" si="1736"/>
        <v>1745</v>
      </c>
      <c r="G10489" s="177">
        <f>SUM(C10489,C10465,C10441,C10417,C10393,C10369,C10345,C10321,C10297,C10273,C10249,C10225,C10201,C10177)/POBLA!$B$24*100000</f>
        <v>454.36950035877487</v>
      </c>
      <c r="H10489" s="402">
        <f t="shared" si="1740"/>
        <v>0.80975917551793042</v>
      </c>
      <c r="I10489" s="403">
        <f t="shared" si="1737"/>
        <v>367.92987199101555</v>
      </c>
      <c r="J10489" s="423">
        <f t="shared" si="1738"/>
        <v>576.71428571428567</v>
      </c>
      <c r="K10489" s="403">
        <f>J10489/POBLA!$B$24*100000</f>
        <v>34.031348292177626</v>
      </c>
      <c r="L10489" s="404">
        <f t="shared" si="1739"/>
        <v>-0.10210210210210202</v>
      </c>
      <c r="M10489" s="405">
        <f>SUM(C10489,C10465,C10441,C10417,C10393,C10369,C10345)/POBLA!$B$24*100000</f>
        <v>238.21943804524341</v>
      </c>
    </row>
    <row r="10490" spans="1:13" x14ac:dyDescent="0.25">
      <c r="A10490" s="374" t="s">
        <v>16</v>
      </c>
      <c r="B10490" s="267">
        <v>44330</v>
      </c>
      <c r="C10490" s="416">
        <v>11294</v>
      </c>
      <c r="D10490" s="262">
        <f t="shared" si="1741"/>
        <v>1425593</v>
      </c>
      <c r="E10490" s="225">
        <v>391</v>
      </c>
      <c r="F10490" s="262">
        <f t="shared" ref="F10490:F10513" si="1742">E10490+F10466</f>
        <v>36190</v>
      </c>
      <c r="G10490" s="445">
        <f>SUM(C10490,C10466,C10442,C10418,C10394,C10370,C10346,C10322,C10298,C10274,C10250,C10226,C10202,C10178)/POBLA!$B$1*100000</f>
        <v>716.51553339660177</v>
      </c>
      <c r="H10490" s="446">
        <f t="shared" si="1740"/>
        <v>0.81300050454739514</v>
      </c>
      <c r="I10490" s="447">
        <f>G10490*H10490</f>
        <v>582.52749016748317</v>
      </c>
      <c r="J10490" s="448">
        <f>AVERAGE(C10490,C10466,C10442,C10418,C10394,C10370,C10346)</f>
        <v>8917.7142857142862</v>
      </c>
      <c r="K10490" s="447">
        <f>J10490/POBLA!$B$1*100000</f>
        <v>50.838849569217224</v>
      </c>
      <c r="L10490" s="449">
        <f>1-(SUM(C10490,C10466,C10442,C10418,C10394,C10370,C10346)/SUM(C10322,C10298,C10274,C10250,C10226,C10202,C10178))</f>
        <v>1.3230900554844216E-2</v>
      </c>
      <c r="M10490" s="450">
        <f>SUM(C10490,C10466,C10442,C10418,C10394,C10370,C10346)/POBLA!$B$1*100000</f>
        <v>355.8719469845206</v>
      </c>
    </row>
    <row r="10491" spans="1:13" x14ac:dyDescent="0.25">
      <c r="A10491" s="367" t="s">
        <v>43</v>
      </c>
      <c r="B10491" s="2">
        <v>44330</v>
      </c>
      <c r="C10491" s="416">
        <v>2774</v>
      </c>
      <c r="D10491" s="39">
        <f t="shared" si="1741"/>
        <v>373966</v>
      </c>
      <c r="E10491" s="1">
        <v>37</v>
      </c>
      <c r="F10491" s="39">
        <f t="shared" si="1742"/>
        <v>8426</v>
      </c>
      <c r="G10491" s="168">
        <f>SUM(C10491,C10467,C10443,C10419,C10395,C10371,C10347,C10323,C10299,C10275,C10251,C10227,C10203,C10179)/POBLA!$B$2*100000</f>
        <v>1034.7744831492312</v>
      </c>
      <c r="H10491" s="256">
        <f t="shared" si="1740"/>
        <v>0.77138979107082262</v>
      </c>
      <c r="I10491" s="297">
        <f t="shared" ref="I10491:I10513" si="1743">G10491*H10491</f>
        <v>798.21447236190386</v>
      </c>
      <c r="J10491" s="422">
        <f t="shared" ref="J10491:J10513" si="1744">AVERAGE(C10491,C10467,C10443,C10419,C10395,C10371,C10347)</f>
        <v>2245.2857142857142</v>
      </c>
      <c r="K10491" s="297">
        <f>J10491/POBLA!$B$2*100000</f>
        <v>73.002085229760326</v>
      </c>
      <c r="L10491" s="200">
        <f>1-(SUM(C10491,C10467,C10443,C10419,C10395,C10371,C10347)/SUM(C10323,C10299,C10275,C10251,C10227,C10203,C10179))</f>
        <v>2.4334223105096475E-2</v>
      </c>
      <c r="M10491" s="401">
        <f>SUM(C10491,C10467,C10443,C10419,C10395,C10371,C10347)/POBLA!$B$2*100000</f>
        <v>511.01459660832228</v>
      </c>
    </row>
    <row r="10492" spans="1:13" x14ac:dyDescent="0.25">
      <c r="A10492" s="367" t="s">
        <v>28</v>
      </c>
      <c r="B10492" s="2">
        <v>44330</v>
      </c>
      <c r="C10492" s="416">
        <v>195</v>
      </c>
      <c r="D10492" s="39">
        <f t="shared" si="1741"/>
        <v>17232</v>
      </c>
      <c r="E10492" s="1">
        <v>6</v>
      </c>
      <c r="F10492" s="39">
        <f t="shared" si="1742"/>
        <v>121</v>
      </c>
      <c r="G10492" s="168">
        <f>SUM(C10492,C10468,C10444,C10420,C10396,C10372,C10348,C10324,C10300,C10276,C10252,C10228,C10204,C10180)/POBLA!$B$3*100000</f>
        <v>561.57597523577522</v>
      </c>
      <c r="H10492" s="256">
        <f t="shared" si="1740"/>
        <v>0.96925633568757785</v>
      </c>
      <c r="I10492" s="297">
        <f t="shared" si="1743"/>
        <v>544.31107196720541</v>
      </c>
      <c r="J10492" s="422">
        <f t="shared" si="1744"/>
        <v>192.71428571428572</v>
      </c>
      <c r="K10492" s="297">
        <f>J10492/POBLA!$B$3*100000</f>
        <v>46.388218149106656</v>
      </c>
      <c r="L10492" s="200">
        <f t="shared" ref="L10492:L10513" si="1745">1-(SUM(C10492,C10468,C10444,C10420,C10396,C10372,C10348)/SUM(C10324,C10300,C10276,C10252,C10228,C10204,C10180))</f>
        <v>-0.37093495934959342</v>
      </c>
      <c r="M10492" s="401">
        <f>SUM(C10492,C10468,C10444,C10420,C10396,C10372,C10348)/POBLA!$B$3*100000</f>
        <v>324.7175270437466</v>
      </c>
    </row>
    <row r="10493" spans="1:13" x14ac:dyDescent="0.25">
      <c r="A10493" s="367" t="s">
        <v>15</v>
      </c>
      <c r="B10493" s="2">
        <v>44330</v>
      </c>
      <c r="C10493" s="416">
        <v>487</v>
      </c>
      <c r="D10493" s="39">
        <f t="shared" si="1741"/>
        <v>48721</v>
      </c>
      <c r="E10493" s="1">
        <v>6</v>
      </c>
      <c r="F10493" s="39">
        <f t="shared" si="1742"/>
        <v>1102</v>
      </c>
      <c r="G10493" s="168">
        <f>SUM(C10493,C10469,C10445,C10421,C10397,C10373,C10349,C10325,C10301,C10277,C10253,C10229,C10205,C10181)/POBLA!$B$4*100000</f>
        <v>325.18610823541911</v>
      </c>
      <c r="H10493" s="256">
        <f t="shared" si="1740"/>
        <v>1.2758957654723126</v>
      </c>
      <c r="I10493" s="297">
        <f t="shared" si="1743"/>
        <v>414.90357848799238</v>
      </c>
      <c r="J10493" s="422">
        <f t="shared" si="1744"/>
        <v>297.28571428571428</v>
      </c>
      <c r="K10493" s="297">
        <f>J10493/POBLA!$B$4*100000</f>
        <v>24.680414721102419</v>
      </c>
      <c r="L10493" s="200">
        <f t="shared" si="1745"/>
        <v>-0.13344226579520702</v>
      </c>
      <c r="M10493" s="401">
        <f>SUM(C10493,C10469,C10445,C10421,C10397,C10373,C10349)/POBLA!$B$4*100000</f>
        <v>172.76290304771692</v>
      </c>
    </row>
    <row r="10494" spans="1:13" x14ac:dyDescent="0.25">
      <c r="A10494" s="367" t="s">
        <v>29</v>
      </c>
      <c r="B10494" s="2">
        <v>44330</v>
      </c>
      <c r="C10494" s="416">
        <v>245</v>
      </c>
      <c r="D10494" s="39">
        <f t="shared" si="1741"/>
        <v>57560</v>
      </c>
      <c r="E10494" s="1">
        <v>1</v>
      </c>
      <c r="F10494" s="39">
        <f t="shared" si="1742"/>
        <v>939</v>
      </c>
      <c r="G10494" s="168">
        <f>SUM(C10494,C10470,C10446,C10422,C10398,C10374,C10350,C10326,C10302,C10278,C10254,C10230,C10206,C10182)/POBLA!$B$5*100000</f>
        <v>433.60678778792681</v>
      </c>
      <c r="H10494" s="256">
        <f t="shared" si="1740"/>
        <v>1.1040723981900453</v>
      </c>
      <c r="I10494" s="297">
        <f t="shared" si="1743"/>
        <v>478.73328606449843</v>
      </c>
      <c r="J10494" s="422">
        <f t="shared" si="1744"/>
        <v>206</v>
      </c>
      <c r="K10494" s="297">
        <f>J10494/POBLA!$B$5*100000</f>
        <v>33.279805620086783</v>
      </c>
      <c r="L10494" s="200">
        <f t="shared" si="1745"/>
        <v>-0.16103059581320456</v>
      </c>
      <c r="M10494" s="401">
        <f>SUM(C10494,C10470,C10446,C10422,C10398,C10374,C10350)/POBLA!$B$5*100000</f>
        <v>232.95863934060748</v>
      </c>
    </row>
    <row r="10495" spans="1:13" x14ac:dyDescent="0.25">
      <c r="A10495" s="367" t="s">
        <v>30</v>
      </c>
      <c r="B10495" s="2">
        <v>44330</v>
      </c>
      <c r="C10495" s="416">
        <v>327</v>
      </c>
      <c r="D10495" s="39">
        <f t="shared" si="1741"/>
        <v>40258</v>
      </c>
      <c r="E10495" s="1">
        <v>7</v>
      </c>
      <c r="F10495" s="39">
        <f t="shared" si="1742"/>
        <v>553</v>
      </c>
      <c r="G10495" s="168">
        <f>SUM(C10495,C10471,C10447,C10423,C10399,C10375,C10351,C10327,C10303,C10279,C10255,C10231,C10207,C10183)/POBLA!$B$6*100000</f>
        <v>246.16323504350908</v>
      </c>
      <c r="H10495" s="256">
        <f t="shared" si="1740"/>
        <v>0.85259579728059331</v>
      </c>
      <c r="I10495" s="297">
        <f t="shared" si="1743"/>
        <v>209.87773964309071</v>
      </c>
      <c r="J10495" s="422">
        <f t="shared" si="1744"/>
        <v>220.28571428571428</v>
      </c>
      <c r="K10495" s="297">
        <f>J10495/POBLA!$B$6*100000</f>
        <v>19.654311004871897</v>
      </c>
      <c r="L10495" s="200">
        <f t="shared" si="1745"/>
        <v>-0.26705012325390309</v>
      </c>
      <c r="M10495" s="401">
        <f>SUM(C10495,C10471,C10447,C10423,C10399,C10375,C10351)/POBLA!$B$6*100000</f>
        <v>137.58017703410329</v>
      </c>
    </row>
    <row r="10496" spans="1:13" x14ac:dyDescent="0.25">
      <c r="A10496" s="367" t="s">
        <v>20</v>
      </c>
      <c r="B10496" s="2">
        <v>44330</v>
      </c>
      <c r="C10496" s="416">
        <v>2885</v>
      </c>
      <c r="D10496" s="39">
        <f t="shared" si="1741"/>
        <v>252654</v>
      </c>
      <c r="E10496" s="1">
        <v>10</v>
      </c>
      <c r="F10496" s="39">
        <f t="shared" si="1742"/>
        <v>3585</v>
      </c>
      <c r="G10496" s="168">
        <f>SUM(C10496,C10472,C10448,C10424,C10400,C10376,C10352,C10328,C10304,C10280,C10256,C10232,C10208,C10184)/POBLA!$B$7*100000</f>
        <v>673.96189285856747</v>
      </c>
      <c r="H10496" s="256">
        <f t="shared" si="1740"/>
        <v>1.1146589259796806</v>
      </c>
      <c r="I10496" s="297">
        <f t="shared" si="1743"/>
        <v>751.23763964496345</v>
      </c>
      <c r="J10496" s="422">
        <f t="shared" si="1744"/>
        <v>2117.7142857142858</v>
      </c>
      <c r="K10496" s="297">
        <f>J10496/POBLA!$B$7*100000</f>
        <v>56.315448569035247</v>
      </c>
      <c r="L10496" s="200">
        <f t="shared" si="1745"/>
        <v>-0.40912547528517118</v>
      </c>
      <c r="M10496" s="401">
        <f>SUM(C10496,C10472,C10448,C10424,C10400,C10376,C10352)/POBLA!$B$7*100000</f>
        <v>394.20813998324667</v>
      </c>
    </row>
    <row r="10497" spans="1:13" x14ac:dyDescent="0.25">
      <c r="A10497" s="367" t="s">
        <v>31</v>
      </c>
      <c r="B10497" s="2">
        <v>44330</v>
      </c>
      <c r="C10497" s="416">
        <v>925</v>
      </c>
      <c r="D10497" s="39">
        <f t="shared" si="1741"/>
        <v>70990</v>
      </c>
      <c r="E10497" s="1">
        <v>6</v>
      </c>
      <c r="F10497" s="39">
        <f t="shared" si="1742"/>
        <v>1127</v>
      </c>
      <c r="G10497" s="168">
        <f>SUM(C10497,C10473,C10449,C10425,C10401,C10377,C10353,C10329,C10305,C10281,C10257,C10233,C10209,C10185)/POBLA!$B$8*100000</f>
        <v>580.6801201476809</v>
      </c>
      <c r="H10497" s="256">
        <f t="shared" si="1740"/>
        <v>1.1108350586611455</v>
      </c>
      <c r="I10497" s="297">
        <f t="shared" si="1743"/>
        <v>645.03983532761015</v>
      </c>
      <c r="J10497" s="422">
        <f t="shared" si="1744"/>
        <v>607.14285714285711</v>
      </c>
      <c r="K10497" s="297">
        <f>J10497/POBLA!$B$8*100000</f>
        <v>43.806633602450368</v>
      </c>
      <c r="L10497" s="200">
        <f t="shared" si="1745"/>
        <v>-0.11901000526592953</v>
      </c>
      <c r="M10497" s="401">
        <f>SUM(C10497,C10473,C10449,C10425,C10401,C10377,C10353)/POBLA!$B$8*100000</f>
        <v>306.6464352171526</v>
      </c>
    </row>
    <row r="10498" spans="1:13" x14ac:dyDescent="0.25">
      <c r="A10498" s="367" t="s">
        <v>41</v>
      </c>
      <c r="B10498" s="2">
        <v>44330</v>
      </c>
      <c r="C10498" s="416">
        <v>49</v>
      </c>
      <c r="D10498" s="39">
        <f t="shared" si="1741"/>
        <v>6938</v>
      </c>
      <c r="E10498" s="1">
        <v>24</v>
      </c>
      <c r="F10498" s="39">
        <f t="shared" si="1742"/>
        <v>162</v>
      </c>
      <c r="G10498" s="168">
        <f>SUM(C10498,C10474,C10450,C10426,C10402,C10378,C10354,C10330,C10306,C10282,C10258,C10234,C10210,C10186)/POBLA!$B$9*100000</f>
        <v>398.88101812149176</v>
      </c>
      <c r="H10498" s="256">
        <f t="shared" si="1740"/>
        <v>2.170863309352518</v>
      </c>
      <c r="I10498" s="297">
        <f t="shared" si="1743"/>
        <v>865.91616703712327</v>
      </c>
      <c r="J10498" s="422">
        <f t="shared" si="1744"/>
        <v>167.57142857142858</v>
      </c>
      <c r="K10498" s="297">
        <f>J10498/POBLA!$B$9*100000</f>
        <v>27.68892379314179</v>
      </c>
      <c r="L10498" s="200">
        <f t="shared" si="1745"/>
        <v>5.4794520547945202E-2</v>
      </c>
      <c r="M10498" s="401">
        <f>SUM(C10498,C10474,C10450,C10426,C10402,C10378,C10354)/POBLA!$B$9*100000</f>
        <v>193.82246655199251</v>
      </c>
    </row>
    <row r="10499" spans="1:13" x14ac:dyDescent="0.25">
      <c r="A10499" s="367" t="s">
        <v>32</v>
      </c>
      <c r="B10499" s="2">
        <v>44330</v>
      </c>
      <c r="C10499" s="416">
        <v>97</v>
      </c>
      <c r="D10499" s="39">
        <f t="shared" si="1741"/>
        <v>26086</v>
      </c>
      <c r="F10499" s="39">
        <f t="shared" si="1742"/>
        <v>1063</v>
      </c>
      <c r="G10499" s="168">
        <f>SUM(C10499,C10475,C10451,C10427,C10403,C10379,C10355,C10331,C10307,C10283,C10259,C10235,C10211,C10187)/POBLA!$B$10*100000</f>
        <v>158.13076207611812</v>
      </c>
      <c r="H10499" s="256">
        <f t="shared" si="1740"/>
        <v>0.87383512544802866</v>
      </c>
      <c r="I10499" s="297">
        <f t="shared" si="1743"/>
        <v>138.18021431597705</v>
      </c>
      <c r="J10499" s="422">
        <f t="shared" si="1744"/>
        <v>82.714285714285708</v>
      </c>
      <c r="K10499" s="297">
        <f>J10499/POBLA!$B$10*100000</f>
        <v>10.729838420493657</v>
      </c>
      <c r="L10499" s="200">
        <f t="shared" si="1745"/>
        <v>9.5312500000000022E-2</v>
      </c>
      <c r="M10499" s="401">
        <f>SUM(C10499,C10475,C10451,C10427,C10403,C10379,C10355)/POBLA!$B$10*100000</f>
        <v>75.108868943455604</v>
      </c>
    </row>
    <row r="10500" spans="1:13" x14ac:dyDescent="0.25">
      <c r="A10500" s="367" t="s">
        <v>33</v>
      </c>
      <c r="B10500" s="2">
        <v>44330</v>
      </c>
      <c r="C10500" s="416">
        <v>650</v>
      </c>
      <c r="D10500" s="39">
        <f t="shared" si="1741"/>
        <v>32837</v>
      </c>
      <c r="E10500" s="1">
        <v>2</v>
      </c>
      <c r="F10500" s="39">
        <f t="shared" si="1742"/>
        <v>440</v>
      </c>
      <c r="G10500" s="168">
        <f>SUM(C10500,C10476,C10452,C10428,C10404,C10380,C10356,C10332,C10308,C10284,C10260,C10236,C10212,C10188)/POBLA!$B$11*100000</f>
        <v>1592.2305177050901</v>
      </c>
      <c r="H10500" s="256">
        <f t="shared" si="1740"/>
        <v>1.6800117750956727</v>
      </c>
      <c r="I10500" s="297">
        <f t="shared" si="1743"/>
        <v>2674.9660184112304</v>
      </c>
      <c r="J10500" s="422">
        <f t="shared" si="1744"/>
        <v>490.71428571428572</v>
      </c>
      <c r="K10500" s="297">
        <f>J10500/POBLA!$B$11*100000</f>
        <v>136.90735258246727</v>
      </c>
      <c r="L10500" s="200">
        <f t="shared" si="1745"/>
        <v>-0.51188380281690149</v>
      </c>
      <c r="M10500" s="401">
        <f>SUM(C10500,C10476,C10452,C10428,C10404,C10380,C10356)/POBLA!$B$11*100000</f>
        <v>958.35146807727074</v>
      </c>
    </row>
    <row r="10501" spans="1:13" x14ac:dyDescent="0.25">
      <c r="A10501" s="367" t="s">
        <v>21</v>
      </c>
      <c r="B10501" s="2">
        <v>44330</v>
      </c>
      <c r="C10501" s="416">
        <v>79</v>
      </c>
      <c r="D10501" s="39">
        <f t="shared" si="1741"/>
        <v>14525</v>
      </c>
      <c r="E10501" s="1">
        <v>7</v>
      </c>
      <c r="F10501" s="39">
        <f t="shared" si="1742"/>
        <v>511</v>
      </c>
      <c r="G10501" s="168">
        <f>SUM(C10501,C10477,C10453,C10429,C10405,C10381,C10357,C10333,C10309,C10285,C10261,C10237,C10213,C10189)/POBLA!$B$12*100000</f>
        <v>293.49657333221523</v>
      </c>
      <c r="H10501" s="256">
        <f t="shared" si="1740"/>
        <v>1.1821903787103378</v>
      </c>
      <c r="I10501" s="297">
        <f t="shared" si="1743"/>
        <v>346.96882517779795</v>
      </c>
      <c r="J10501" s="422">
        <f t="shared" si="1744"/>
        <v>63</v>
      </c>
      <c r="K10501" s="297">
        <f>J10501/POBLA!$B$12*100000</f>
        <v>16.008903999939015</v>
      </c>
      <c r="L10501" s="200">
        <f t="shared" si="1745"/>
        <v>0.38235294117647056</v>
      </c>
      <c r="M10501" s="401">
        <f>SUM(C10501,C10477,C10453,C10429,C10405,C10381,C10357)/POBLA!$B$12*100000</f>
        <v>112.06232799957309</v>
      </c>
    </row>
    <row r="10502" spans="1:13" x14ac:dyDescent="0.25">
      <c r="A10502" s="367" t="s">
        <v>17</v>
      </c>
      <c r="B10502" s="2">
        <v>44330</v>
      </c>
      <c r="C10502" s="416">
        <v>1060</v>
      </c>
      <c r="D10502" s="39">
        <f t="shared" si="1741"/>
        <v>107381</v>
      </c>
      <c r="E10502" s="1">
        <v>32</v>
      </c>
      <c r="F10502" s="39">
        <f t="shared" si="1742"/>
        <v>2141</v>
      </c>
      <c r="G10502" s="168">
        <f>SUM(C10502,C10478,C10454,C10430,C10406,C10382,C10358,C10334,C10310,C10286,C10262,C10238,C10214,C10190)/POBLA!$B$13*100000</f>
        <v>546.59057908757211</v>
      </c>
      <c r="H10502" s="256">
        <f t="shared" si="1740"/>
        <v>0.93078370978781655</v>
      </c>
      <c r="I10502" s="297">
        <f t="shared" si="1743"/>
        <v>508.75760693820132</v>
      </c>
      <c r="J10502" s="422">
        <f t="shared" si="1744"/>
        <v>823.57142857142856</v>
      </c>
      <c r="K10502" s="297">
        <f>J10502/POBLA!$B$13*100000</f>
        <v>41.378470821108202</v>
      </c>
      <c r="L10502" s="200">
        <f t="shared" si="1745"/>
        <v>-0.12729761439186538</v>
      </c>
      <c r="M10502" s="401">
        <f>SUM(C10502,C10478,C10454,C10430,C10406,C10382,C10358)/POBLA!$B$13*100000</f>
        <v>289.64929574775744</v>
      </c>
    </row>
    <row r="10503" spans="1:13" x14ac:dyDescent="0.25">
      <c r="A10503" s="367" t="s">
        <v>23</v>
      </c>
      <c r="B10503" s="2">
        <v>44330</v>
      </c>
      <c r="C10503" s="416">
        <v>133</v>
      </c>
      <c r="D10503" s="39">
        <f t="shared" si="1741"/>
        <v>17634</v>
      </c>
      <c r="E10503" s="1">
        <v>1</v>
      </c>
      <c r="F10503" s="39">
        <f t="shared" si="1742"/>
        <v>253</v>
      </c>
      <c r="G10503" s="168">
        <f>SUM(C10503,C10479,C10455,C10431,C10407,C10383,C10359,C10335,C10311,C10287,C10263,C10239,C10215,C10191)/POBLA!$B$14*100000</f>
        <v>158.96373089858511</v>
      </c>
      <c r="H10503" s="256">
        <f t="shared" si="1740"/>
        <v>1.2827895073576456</v>
      </c>
      <c r="I10503" s="297">
        <f t="shared" si="1743"/>
        <v>203.91700604712935</v>
      </c>
      <c r="J10503" s="422">
        <f t="shared" si="1744"/>
        <v>150.57142857142858</v>
      </c>
      <c r="K10503" s="297">
        <f>J10503/POBLA!$B$14*100000</f>
        <v>11.9378533927402</v>
      </c>
      <c r="L10503" s="200">
        <f t="shared" si="1745"/>
        <v>-0.10830704521556256</v>
      </c>
      <c r="M10503" s="401">
        <f>SUM(C10503,C10479,C10455,C10431,C10407,C10383,C10359)/POBLA!$B$14*100000</f>
        <v>83.564973749181391</v>
      </c>
    </row>
    <row r="10504" spans="1:13" x14ac:dyDescent="0.25">
      <c r="A10504" s="367" t="s">
        <v>19</v>
      </c>
      <c r="B10504" s="2">
        <v>44330</v>
      </c>
      <c r="C10504" s="416">
        <v>457</v>
      </c>
      <c r="D10504" s="39">
        <f t="shared" si="1741"/>
        <v>77500</v>
      </c>
      <c r="E10504" s="1">
        <v>4</v>
      </c>
      <c r="F10504" s="39">
        <f t="shared" si="1742"/>
        <v>1149</v>
      </c>
      <c r="G10504" s="168">
        <f>SUM(C10504,C10480,C10456,C10432,C10408,C10384,C10360,C10336,C10312,C10288,C10264,C10240,C10216,C10192)/POBLA!$B$15*100000</f>
        <v>961.2126669849124</v>
      </c>
      <c r="H10504" s="256">
        <f t="shared" si="1740"/>
        <v>1.806168647425014</v>
      </c>
      <c r="I10504" s="297">
        <f t="shared" si="1743"/>
        <v>1736.1121826159297</v>
      </c>
      <c r="J10504" s="422">
        <f t="shared" si="1744"/>
        <v>493</v>
      </c>
      <c r="K10504" s="297">
        <f>J10504/POBLA!$B$15*100000</f>
        <v>74.240614886975067</v>
      </c>
      <c r="L10504" s="200">
        <f t="shared" si="1745"/>
        <v>-0.17701227830832189</v>
      </c>
      <c r="M10504" s="401">
        <f>SUM(C10504,C10480,C10456,C10432,C10408,C10384,C10360)/POBLA!$B$15*100000</f>
        <v>519.68430420882544</v>
      </c>
    </row>
    <row r="10505" spans="1:13" x14ac:dyDescent="0.25">
      <c r="A10505" s="367" t="s">
        <v>18</v>
      </c>
      <c r="B10505" s="2">
        <v>44330</v>
      </c>
      <c r="C10505" s="416">
        <v>393</v>
      </c>
      <c r="D10505" s="39">
        <f t="shared" si="1741"/>
        <v>65964</v>
      </c>
      <c r="E10505" s="1">
        <v>5</v>
      </c>
      <c r="F10505" s="39">
        <f t="shared" si="1742"/>
        <v>1426</v>
      </c>
      <c r="G10505" s="168">
        <f>SUM(C10505,C10481,C10457,C10433,C10409,C10385,C10361,C10337,C10313,C10289,C10265,C10241,C10217,C10193)/POBLA!$B$16*100000</f>
        <v>603.38946777062915</v>
      </c>
      <c r="H10505" s="256">
        <f t="shared" si="1740"/>
        <v>1.2492384381057879</v>
      </c>
      <c r="I10505" s="297">
        <f t="shared" si="1743"/>
        <v>753.77731628726349</v>
      </c>
      <c r="J10505" s="422">
        <f t="shared" si="1744"/>
        <v>360.85714285714283</v>
      </c>
      <c r="K10505" s="297">
        <f>J10505/POBLA!$B$16*100000</f>
        <v>48.26810005980964</v>
      </c>
      <c r="L10505" s="200">
        <f t="shared" si="1745"/>
        <v>-0.27254408060453406</v>
      </c>
      <c r="M10505" s="401">
        <f>SUM(C10505,C10481,C10457,C10433,C10409,C10385,C10361)/POBLA!$B$16*100000</f>
        <v>337.8767004186675</v>
      </c>
    </row>
    <row r="10506" spans="1:13" x14ac:dyDescent="0.25">
      <c r="A10506" s="367" t="s">
        <v>34</v>
      </c>
      <c r="B10506" s="2">
        <v>44330</v>
      </c>
      <c r="C10506" s="416">
        <v>382</v>
      </c>
      <c r="D10506" s="39">
        <f t="shared" si="1741"/>
        <v>38052</v>
      </c>
      <c r="E10506" s="1">
        <v>5</v>
      </c>
      <c r="F10506" s="39">
        <f t="shared" si="1742"/>
        <v>1314</v>
      </c>
      <c r="G10506" s="168">
        <f>SUM(C10506,C10482,C10458,C10434,C10410,C10386,C10362,C10338,C10314,C10290,C10266,C10242,C10218,C10194)/POBLA!$B$17*100000</f>
        <v>229.36021347980932</v>
      </c>
      <c r="H10506" s="256">
        <f t="shared" ref="H10506:H10529" si="1746">SUM(C10506,C10482,C10458,C10434,C10410,C10386,C10362,C10338,C10314,C10290,C10266,C10242,C10218,C10194)/SUM(C10170,C10146,C10122,C10098,C10074,C10050,C10026,C10002,C9978,C9954,C9930,C9906,C9882,C9858)</f>
        <v>1.2403189066059226</v>
      </c>
      <c r="I10506" s="297">
        <f t="shared" si="1743"/>
        <v>284.4798092021781</v>
      </c>
      <c r="J10506" s="422">
        <f t="shared" si="1744"/>
        <v>270.42857142857144</v>
      </c>
      <c r="K10506" s="297">
        <f>J10506/POBLA!$B$17*100000</f>
        <v>18.985477463696672</v>
      </c>
      <c r="L10506" s="200">
        <f t="shared" si="1745"/>
        <v>-0.37772925764192133</v>
      </c>
      <c r="M10506" s="401">
        <f>SUM(C10506,C10482,C10458,C10434,C10410,C10386,C10362)/POBLA!$B$17*100000</f>
        <v>132.89834224587668</v>
      </c>
    </row>
    <row r="10507" spans="1:13" x14ac:dyDescent="0.25">
      <c r="A10507" s="367" t="s">
        <v>35</v>
      </c>
      <c r="B10507" s="2">
        <v>44330</v>
      </c>
      <c r="C10507" s="416">
        <v>624</v>
      </c>
      <c r="D10507" s="39">
        <f t="shared" si="1741"/>
        <v>28672</v>
      </c>
      <c r="E10507" s="1">
        <v>5</v>
      </c>
      <c r="F10507" s="39">
        <f t="shared" si="1742"/>
        <v>542</v>
      </c>
      <c r="G10507" s="168">
        <f>SUM(C10507,C10483,C10459,C10435,C10411,C10387,C10363,C10339,C10315,C10291,C10267,C10243,C10219,C10195)/POBLA!$B$18*100000</f>
        <v>646.17129427547025</v>
      </c>
      <c r="H10507" s="256">
        <f t="shared" si="1746"/>
        <v>1.4033917153183209</v>
      </c>
      <c r="I10507" s="297">
        <f t="shared" si="1743"/>
        <v>906.83144106271163</v>
      </c>
      <c r="J10507" s="422">
        <f t="shared" si="1744"/>
        <v>387.14285714285717</v>
      </c>
      <c r="K10507" s="297">
        <f>J10507/POBLA!$B$18*100000</f>
        <v>49.556378975733651</v>
      </c>
      <c r="L10507" s="200">
        <f t="shared" si="1745"/>
        <v>-0.15911035072711721</v>
      </c>
      <c r="M10507" s="401">
        <f>SUM(C10507,C10483,C10459,C10435,C10411,C10387,C10363)/POBLA!$B$18*100000</f>
        <v>346.89465283013556</v>
      </c>
    </row>
    <row r="10508" spans="1:13" x14ac:dyDescent="0.25">
      <c r="A10508" s="367" t="s">
        <v>36</v>
      </c>
      <c r="B10508" s="2">
        <v>44330</v>
      </c>
      <c r="C10508" s="416">
        <v>641</v>
      </c>
      <c r="D10508" s="39">
        <f t="shared" si="1741"/>
        <v>44060</v>
      </c>
      <c r="E10508" s="1">
        <v>19</v>
      </c>
      <c r="F10508" s="39">
        <f t="shared" si="1742"/>
        <v>600</v>
      </c>
      <c r="G10508" s="168">
        <f>SUM(C10508,C10484,C10460,C10436,C10412,C10388,C10364,C10340,C10316,C10292,C10268,C10244,C10220,C10196)/POBLA!$B$19*100000</f>
        <v>1295.6201507687949</v>
      </c>
      <c r="H10508" s="256">
        <f t="shared" si="1746"/>
        <v>0.78713995458348274</v>
      </c>
      <c r="I10508" s="297">
        <f t="shared" si="1743"/>
        <v>1019.8343866335942</v>
      </c>
      <c r="J10508" s="422">
        <f t="shared" si="1744"/>
        <v>517.57142857142856</v>
      </c>
      <c r="K10508" s="297">
        <f>J10508/POBLA!$B$19*100000</f>
        <v>101.81839846937972</v>
      </c>
      <c r="L10508" s="200">
        <f t="shared" si="1745"/>
        <v>-0.22274721565980427</v>
      </c>
      <c r="M10508" s="401">
        <f>SUM(C10508,C10484,C10460,C10436,C10412,C10388,C10364)/POBLA!$B$19*100000</f>
        <v>712.72878928565808</v>
      </c>
    </row>
    <row r="10509" spans="1:13" x14ac:dyDescent="0.25">
      <c r="A10509" s="367" t="s">
        <v>37</v>
      </c>
      <c r="B10509" s="2">
        <v>44330</v>
      </c>
      <c r="C10509" s="416">
        <v>271</v>
      </c>
      <c r="D10509" s="39">
        <f t="shared" si="1741"/>
        <v>47730</v>
      </c>
      <c r="E10509" s="1">
        <v>2</v>
      </c>
      <c r="F10509" s="39">
        <f t="shared" si="1742"/>
        <v>747</v>
      </c>
      <c r="G10509" s="168">
        <f>SUM(C10509,C10485,C10461,C10437,C10413,C10389,C10365,C10341,C10317,C10293,C10269,C10245,C10221,C10197)/POBLA!$B$20*100000</f>
        <v>811.59864150200428</v>
      </c>
      <c r="H10509" s="256">
        <f t="shared" si="1746"/>
        <v>1.0521091811414391</v>
      </c>
      <c r="I10509" s="297">
        <f t="shared" si="1743"/>
        <v>853.89038212617811</v>
      </c>
      <c r="J10509" s="422">
        <f t="shared" si="1744"/>
        <v>213.28571428571428</v>
      </c>
      <c r="K10509" s="297">
        <f>J10509/POBLA!$B$20*100000</f>
        <v>58.322909692072223</v>
      </c>
      <c r="L10509" s="200">
        <f t="shared" si="1745"/>
        <v>-1.2203389830508504E-2</v>
      </c>
      <c r="M10509" s="401">
        <f>SUM(C10509,C10485,C10461,C10437,C10413,C10389,C10365)/POBLA!$B$20*100000</f>
        <v>408.26036784450559</v>
      </c>
    </row>
    <row r="10510" spans="1:13" x14ac:dyDescent="0.25">
      <c r="A10510" s="367" t="s">
        <v>22</v>
      </c>
      <c r="B10510" s="2">
        <v>44330</v>
      </c>
      <c r="C10510" s="416">
        <v>2193</v>
      </c>
      <c r="D10510" s="39">
        <f t="shared" si="1741"/>
        <v>299194</v>
      </c>
      <c r="E10510" s="1">
        <v>27</v>
      </c>
      <c r="F10510" s="39">
        <f t="shared" si="1742"/>
        <v>4918</v>
      </c>
      <c r="G10510" s="168">
        <f>SUM(C10510,C10486,C10462,C10438,C10414,C10390,C10366,C10342,C10318,C10294,C10270,C10246,C10222,C10198)/POBLA!$B$21*100000</f>
        <v>701.95321933097273</v>
      </c>
      <c r="H10510" s="256">
        <f t="shared" si="1746"/>
        <v>1.0446492446239952</v>
      </c>
      <c r="I10510" s="297">
        <f t="shared" si="1743"/>
        <v>733.29490033548234</v>
      </c>
      <c r="J10510" s="422">
        <f t="shared" si="1744"/>
        <v>1820.7142857142858</v>
      </c>
      <c r="K10510" s="297">
        <f>J10510/POBLA!$B$21*100000</f>
        <v>51.484702479013677</v>
      </c>
      <c r="L10510" s="200">
        <f t="shared" si="1745"/>
        <v>-5.5137014653530825E-2</v>
      </c>
      <c r="M10510" s="401">
        <f>SUM(C10510,C10486,C10462,C10438,C10414,C10390,C10366)/POBLA!$B$21*100000</f>
        <v>360.3929173530957</v>
      </c>
    </row>
    <row r="10511" spans="1:13" x14ac:dyDescent="0.25">
      <c r="A10511" s="367" t="s">
        <v>38</v>
      </c>
      <c r="B10511" s="2">
        <v>44330</v>
      </c>
      <c r="C10511" s="416">
        <v>454</v>
      </c>
      <c r="D10511" s="39">
        <f t="shared" si="1741"/>
        <v>34454</v>
      </c>
      <c r="E10511" s="1">
        <v>3</v>
      </c>
      <c r="F10511" s="39">
        <f t="shared" si="1742"/>
        <v>395</v>
      </c>
      <c r="G10511" s="168">
        <f>SUM(C10511,C10487,C10463,C10439,C10415,C10391,C10367,C10343,C10319,C10295,C10271,C10247,C10223,C10199)/POBLA!$B$22*100000</f>
        <v>389.54813030185636</v>
      </c>
      <c r="H10511" s="256">
        <f t="shared" si="1746"/>
        <v>1.3241834607366227</v>
      </c>
      <c r="I10511" s="297">
        <f t="shared" si="1743"/>
        <v>515.83319130659299</v>
      </c>
      <c r="J10511" s="422">
        <f t="shared" si="1744"/>
        <v>314.14285714285717</v>
      </c>
      <c r="K10511" s="297">
        <f>J10511/POBLA!$B$22*100000</f>
        <v>32.110669810465282</v>
      </c>
      <c r="L10511" s="200">
        <f t="shared" si="1745"/>
        <v>-0.36414392059553347</v>
      </c>
      <c r="M10511" s="401">
        <f>SUM(C10511,C10487,C10463,C10439,C10415,C10391,C10367)/POBLA!$B$22*100000</f>
        <v>224.77468867325695</v>
      </c>
    </row>
    <row r="10512" spans="1:13" x14ac:dyDescent="0.25">
      <c r="A10512" s="367" t="s">
        <v>39</v>
      </c>
      <c r="B10512" s="2">
        <v>44330</v>
      </c>
      <c r="C10512" s="416">
        <v>71</v>
      </c>
      <c r="D10512" s="39">
        <f t="shared" si="1741"/>
        <v>27428</v>
      </c>
      <c r="F10512" s="39">
        <f t="shared" si="1742"/>
        <v>404</v>
      </c>
      <c r="G10512" s="168">
        <f>SUM(C10512,C10488,C10464,C10440,C10416,C10392,C10368,C10344,C10320,C10296,C10272,C10248,C10224,C10200)/POBLA!$B$23*100000</f>
        <v>562.12181190974388</v>
      </c>
      <c r="H10512" s="256">
        <f t="shared" si="1746"/>
        <v>0.90117860380779691</v>
      </c>
      <c r="I10512" s="297">
        <f t="shared" si="1743"/>
        <v>506.57214962673203</v>
      </c>
      <c r="J10512" s="422">
        <f t="shared" si="1744"/>
        <v>71.142857142857139</v>
      </c>
      <c r="K10512" s="297">
        <f>J10512/POBLA!$B$23*100000</f>
        <v>40.232345836598505</v>
      </c>
      <c r="L10512" s="200">
        <f t="shared" si="1745"/>
        <v>-4.0322580645162365E-3</v>
      </c>
      <c r="M10512" s="401">
        <f>SUM(C10512,C10488,C10464,C10440,C10416,C10392,C10368)/POBLA!$B$23*100000</f>
        <v>281.62642085618955</v>
      </c>
    </row>
    <row r="10513" spans="1:13" ht="15.75" thickBot="1" x14ac:dyDescent="0.3">
      <c r="A10513" s="369" t="s">
        <v>40</v>
      </c>
      <c r="B10513" s="266">
        <v>44330</v>
      </c>
      <c r="C10513" s="416">
        <v>677</v>
      </c>
      <c r="D10513" s="176">
        <f t="shared" si="1741"/>
        <v>114036</v>
      </c>
      <c r="E10513" s="44"/>
      <c r="F10513" s="176">
        <f t="shared" si="1742"/>
        <v>1745</v>
      </c>
      <c r="G10513" s="177">
        <f>SUM(C10513,C10489,C10465,C10441,C10417,C10393,C10369,C10345,C10321,C10297,C10273,C10249,C10225,C10201)/POBLA!$B$24*100000</f>
        <v>456.49382529551718</v>
      </c>
      <c r="H10513" s="402">
        <f t="shared" si="1746"/>
        <v>0.83031018568208648</v>
      </c>
      <c r="I10513" s="403">
        <f t="shared" si="1743"/>
        <v>379.03147284384681</v>
      </c>
      <c r="J10513" s="423">
        <f t="shared" si="1744"/>
        <v>588.28571428571433</v>
      </c>
      <c r="K10513" s="403">
        <f>J10513/POBLA!$B$24*100000</f>
        <v>34.714167021844808</v>
      </c>
      <c r="L10513" s="404">
        <f t="shared" si="1745"/>
        <v>-0.13819789939192928</v>
      </c>
      <c r="M10513" s="405">
        <f>SUM(C10513,C10489,C10465,C10441,C10417,C10393,C10369)/POBLA!$B$24*100000</f>
        <v>242.99916915291362</v>
      </c>
    </row>
    <row r="10514" spans="1:13" ht="15.75" thickBot="1" x14ac:dyDescent="0.3">
      <c r="A10514" s="374" t="s">
        <v>16</v>
      </c>
      <c r="B10514" s="266">
        <v>44331</v>
      </c>
      <c r="C10514" s="416">
        <v>8390</v>
      </c>
      <c r="D10514" s="262">
        <f t="shared" si="1741"/>
        <v>1433983</v>
      </c>
      <c r="E10514" s="225">
        <v>262</v>
      </c>
      <c r="F10514" s="262">
        <f t="shared" ref="F10514:F10537" si="1747">E10514+F10490</f>
        <v>36452</v>
      </c>
      <c r="G10514" s="445">
        <f>SUM(C10514,C10490,C10466,C10442,C10418,C10394,C10370,C10346,C10322,C10298,C10274,C10250,C10226,C10202)/POBLA!$B$1*100000</f>
        <v>721.54371257833225</v>
      </c>
      <c r="H10514" s="446">
        <f t="shared" si="1746"/>
        <v>0.82871940599505001</v>
      </c>
      <c r="I10514" s="447">
        <f>G10514*H10514</f>
        <v>597.95727688737861</v>
      </c>
      <c r="J10514" s="448">
        <f>AVERAGE(C10514,C10490,C10466,C10442,C10418,C10394,C10370)</f>
        <v>9053</v>
      </c>
      <c r="K10514" s="447">
        <f>J10514/POBLA!$B$1*100000</f>
        <v>51.610097655563003</v>
      </c>
      <c r="L10514" s="449">
        <f>1-(SUM(C10514,C10490,C10466,C10442,C10418,C10394,C10370)/SUM(C10346,C10322,C10298,C10274,C10250,C10226,C10202))</f>
        <v>-2.7691626052281926E-3</v>
      </c>
      <c r="M10514" s="450">
        <f>SUM(C10514,C10490,C10466,C10442,C10418,C10394,C10370)/POBLA!$B$1*100000</f>
        <v>361.27068358894098</v>
      </c>
    </row>
    <row r="10515" spans="1:13" ht="15.75" thickBot="1" x14ac:dyDescent="0.3">
      <c r="A10515" s="367" t="s">
        <v>43</v>
      </c>
      <c r="B10515" s="266">
        <v>44331</v>
      </c>
      <c r="C10515" s="416">
        <v>2292</v>
      </c>
      <c r="D10515" s="39">
        <f t="shared" si="1741"/>
        <v>376258</v>
      </c>
      <c r="E10515" s="1">
        <v>36</v>
      </c>
      <c r="F10515" s="39">
        <f t="shared" si="1747"/>
        <v>8462</v>
      </c>
      <c r="G10515" s="168">
        <f>SUM(C10515,C10491,C10467,C10443,C10419,C10395,C10371,C10347,C10323,C10299,C10275,C10251,C10227,C10203)/POBLA!$B$2*100000</f>
        <v>1031.8157551291663</v>
      </c>
      <c r="H10515" s="256">
        <f t="shared" si="1746"/>
        <v>0.7776661438933542</v>
      </c>
      <c r="I10515" s="297">
        <f t="shared" ref="I10515:I10537" si="1748">G10515*H10515</f>
        <v>802.40817949970813</v>
      </c>
      <c r="J10515" s="422">
        <f t="shared" ref="J10515:J10537" si="1749">AVERAGE(C10515,C10491,C10467,C10443,C10419,C10395,C10371)</f>
        <v>2279.2857142857142</v>
      </c>
      <c r="K10515" s="297">
        <f>J10515/POBLA!$B$2*100000</f>
        <v>74.107544050443849</v>
      </c>
      <c r="L10515" s="200">
        <f>1-(SUM(C10515,C10491,C10467,C10443,C10419,C10395,C10371)/SUM(C10347,C10323,C10299,C10275,C10251,C10227,C10203))</f>
        <v>-1.1089987325728856E-2</v>
      </c>
      <c r="M10515" s="401">
        <f>SUM(C10515,C10491,C10467,C10443,C10419,C10395,C10371)/POBLA!$B$2*100000</f>
        <v>518.75280835310696</v>
      </c>
    </row>
    <row r="10516" spans="1:13" ht="15.75" thickBot="1" x14ac:dyDescent="0.3">
      <c r="A10516" s="367" t="s">
        <v>28</v>
      </c>
      <c r="B10516" s="266">
        <v>44331</v>
      </c>
      <c r="C10516" s="416">
        <v>375</v>
      </c>
      <c r="D10516" s="39">
        <f t="shared" si="1741"/>
        <v>17607</v>
      </c>
      <c r="E10516" s="1">
        <v>3</v>
      </c>
      <c r="F10516" s="39">
        <f t="shared" si="1747"/>
        <v>124</v>
      </c>
      <c r="G10516" s="168">
        <f>SUM(C10516,C10492,C10468,C10444,C10420,C10396,C10372,C10348,C10324,C10300,C10276,C10252,C10228,C10204)/POBLA!$B$3*100000</f>
        <v>642.69517954544358</v>
      </c>
      <c r="H10516" s="256">
        <f t="shared" si="1746"/>
        <v>1.1649214659685865</v>
      </c>
      <c r="I10516" s="297">
        <f t="shared" si="1748"/>
        <v>748.68941072702205</v>
      </c>
      <c r="J10516" s="422">
        <f t="shared" si="1749"/>
        <v>239</v>
      </c>
      <c r="K10516" s="297">
        <f>J10516/POBLA!$B$3*100000</f>
        <v>57.529643412494771</v>
      </c>
      <c r="L10516" s="200">
        <f t="shared" ref="L10516:L10537" si="1750">1-(SUM(C10516,C10492,C10468,C10444,C10420,C10396,C10372)/SUM(C10348,C10324,C10300,C10276,C10252,C10228,C10204))</f>
        <v>-0.67803410230692074</v>
      </c>
      <c r="M10516" s="401">
        <f>SUM(C10516,C10492,C10468,C10444,C10420,C10396,C10372)/POBLA!$B$3*100000</f>
        <v>402.7075038874633</v>
      </c>
    </row>
    <row r="10517" spans="1:13" ht="15.75" thickBot="1" x14ac:dyDescent="0.3">
      <c r="A10517" s="367" t="s">
        <v>15</v>
      </c>
      <c r="B10517" s="266">
        <v>44331</v>
      </c>
      <c r="C10517" s="416">
        <v>342</v>
      </c>
      <c r="D10517" s="39">
        <f t="shared" si="1741"/>
        <v>49063</v>
      </c>
      <c r="E10517" s="1">
        <v>2</v>
      </c>
      <c r="F10517" s="39">
        <f t="shared" si="1747"/>
        <v>1104</v>
      </c>
      <c r="G10517" s="168">
        <f>SUM(C10517,C10493,C10469,C10445,C10421,C10397,C10373,C10349,C10325,C10301,C10277,C10253,C10229,C10205)/POBLA!$B$4*100000</f>
        <v>334.98237087820172</v>
      </c>
      <c r="H10517" s="256">
        <f t="shared" si="1746"/>
        <v>1.3246881155613921</v>
      </c>
      <c r="I10517" s="297">
        <f t="shared" si="1748"/>
        <v>443.74716562493239</v>
      </c>
      <c r="J10517" s="422">
        <f t="shared" si="1749"/>
        <v>312.28571428571428</v>
      </c>
      <c r="K10517" s="297">
        <f>J10517/POBLA!$B$4*100000</f>
        <v>25.925702345184948</v>
      </c>
      <c r="L10517" s="200">
        <f t="shared" si="1750"/>
        <v>-0.18226068144943208</v>
      </c>
      <c r="M10517" s="401">
        <f>SUM(C10517,C10493,C10469,C10445,C10421,C10397,C10373)/POBLA!$B$4*100000</f>
        <v>181.47991641629466</v>
      </c>
    </row>
    <row r="10518" spans="1:13" ht="15.75" thickBot="1" x14ac:dyDescent="0.3">
      <c r="A10518" s="367" t="s">
        <v>29</v>
      </c>
      <c r="B10518" s="266">
        <v>44331</v>
      </c>
      <c r="C10518" s="416">
        <v>164</v>
      </c>
      <c r="D10518" s="39">
        <f t="shared" si="1741"/>
        <v>57724</v>
      </c>
      <c r="E10518" s="1">
        <v>18</v>
      </c>
      <c r="F10518" s="39">
        <f t="shared" si="1747"/>
        <v>957</v>
      </c>
      <c r="G10518" s="168">
        <f>SUM(C10518,C10494,C10470,C10446,C10422,C10398,C10374,C10350,C10326,C10302,C10278,C10254,C10230,C10206)/POBLA!$B$5*100000</f>
        <v>442.00751542018179</v>
      </c>
      <c r="H10518" s="256">
        <f t="shared" si="1746"/>
        <v>1.1135531135531136</v>
      </c>
      <c r="I10518" s="297">
        <f t="shared" si="1748"/>
        <v>492.19884501001928</v>
      </c>
      <c r="J10518" s="422">
        <f t="shared" si="1749"/>
        <v>211.28571428571428</v>
      </c>
      <c r="K10518" s="297">
        <f>J10518/POBLA!$B$5*100000</f>
        <v>34.133725736552258</v>
      </c>
      <c r="L10518" s="200">
        <f t="shared" si="1750"/>
        <v>-0.17661097852028629</v>
      </c>
      <c r="M10518" s="401">
        <f>SUM(C10518,C10494,C10470,C10446,C10422,C10398,C10374)/POBLA!$B$5*100000</f>
        <v>238.9360801558658</v>
      </c>
    </row>
    <row r="10519" spans="1:13" ht="15.75" thickBot="1" x14ac:dyDescent="0.3">
      <c r="A10519" s="367" t="s">
        <v>30</v>
      </c>
      <c r="B10519" s="266">
        <v>44331</v>
      </c>
      <c r="C10519" s="416">
        <v>51</v>
      </c>
      <c r="D10519" s="39">
        <f t="shared" si="1741"/>
        <v>40309</v>
      </c>
      <c r="F10519" s="39">
        <f t="shared" si="1747"/>
        <v>553</v>
      </c>
      <c r="G10519" s="168">
        <f>SUM(C10519,C10495,C10471,C10447,C10423,C10399,C10375,C10351,C10327,C10303,C10279,C10255,C10231,C10207)/POBLA!$B$6*100000</f>
        <v>237.50871028844549</v>
      </c>
      <c r="H10519" s="256">
        <f t="shared" si="1746"/>
        <v>0.85622386619491797</v>
      </c>
      <c r="I10519" s="297">
        <f t="shared" si="1748"/>
        <v>203.36062617814147</v>
      </c>
      <c r="J10519" s="422">
        <f t="shared" si="1749"/>
        <v>189.57142857142858</v>
      </c>
      <c r="K10519" s="297">
        <f>J10519/POBLA!$B$6*100000</f>
        <v>16.913923932208178</v>
      </c>
      <c r="L10519" s="200">
        <f t="shared" si="1750"/>
        <v>5.9925093632958726E-3</v>
      </c>
      <c r="M10519" s="401">
        <f>SUM(C10519,C10495,C10471,C10447,C10423,C10399,C10375)/POBLA!$B$6*100000</f>
        <v>118.39746752545724</v>
      </c>
    </row>
    <row r="10520" spans="1:13" ht="15.75" thickBot="1" x14ac:dyDescent="0.3">
      <c r="A10520" s="367" t="s">
        <v>20</v>
      </c>
      <c r="B10520" s="266">
        <v>44331</v>
      </c>
      <c r="C10520" s="416">
        <v>2125</v>
      </c>
      <c r="D10520" s="39">
        <f t="shared" si="1741"/>
        <v>254779</v>
      </c>
      <c r="E10520" s="1">
        <v>8</v>
      </c>
      <c r="F10520" s="39">
        <f t="shared" si="1747"/>
        <v>3593</v>
      </c>
      <c r="G10520" s="168">
        <f>SUM(C10520,C10496,C10472,C10448,C10424,C10400,C10376,C10352,C10328,C10304,C10280,C10256,C10232,C10208)/POBLA!$B$7*100000</f>
        <v>697.52290284407445</v>
      </c>
      <c r="H10520" s="256">
        <f t="shared" si="1746"/>
        <v>1.1540322935456906</v>
      </c>
      <c r="I10520" s="297">
        <f t="shared" si="1748"/>
        <v>804.96395536979514</v>
      </c>
      <c r="J10520" s="422">
        <f t="shared" si="1749"/>
        <v>2192.2857142857142</v>
      </c>
      <c r="K10520" s="297">
        <f>J10520/POBLA!$B$7*100000</f>
        <v>58.298493911253018</v>
      </c>
      <c r="L10520" s="200">
        <f t="shared" si="1750"/>
        <v>-0.40995957368614477</v>
      </c>
      <c r="M10520" s="401">
        <f>SUM(C10520,C10496,C10472,C10448,C10424,C10400,C10376)/POBLA!$B$7*100000</f>
        <v>408.08945737877116</v>
      </c>
    </row>
    <row r="10521" spans="1:13" ht="15.75" thickBot="1" x14ac:dyDescent="0.3">
      <c r="A10521" s="367" t="s">
        <v>31</v>
      </c>
      <c r="B10521" s="266">
        <v>44331</v>
      </c>
      <c r="C10521" s="416">
        <v>691</v>
      </c>
      <c r="D10521" s="39">
        <f t="shared" si="1741"/>
        <v>71681</v>
      </c>
      <c r="E10521" s="1">
        <v>4</v>
      </c>
      <c r="F10521" s="39">
        <f t="shared" si="1747"/>
        <v>1131</v>
      </c>
      <c r="G10521" s="168">
        <f>SUM(C10521,C10497,C10473,C10449,C10425,C10401,C10377,C10353,C10329,C10305,C10281,C10257,C10233,C10209)/POBLA!$B$8*100000</f>
        <v>602.68651138091184</v>
      </c>
      <c r="H10521" s="256">
        <f t="shared" si="1746"/>
        <v>1.1744938132733409</v>
      </c>
      <c r="I10521" s="297">
        <f t="shared" si="1748"/>
        <v>707.85157896017392</v>
      </c>
      <c r="J10521" s="422">
        <f t="shared" si="1749"/>
        <v>647.28571428571433</v>
      </c>
      <c r="K10521" s="297">
        <f>J10521/POBLA!$B$8*100000</f>
        <v>46.703025141812383</v>
      </c>
      <c r="L10521" s="200">
        <f t="shared" si="1750"/>
        <v>-0.18550497121925691</v>
      </c>
      <c r="M10521" s="401">
        <f>SUM(C10521,C10497,C10473,C10449,C10425,C10401,C10377)/POBLA!$B$8*100000</f>
        <v>326.9211759926867</v>
      </c>
    </row>
    <row r="10522" spans="1:13" ht="15.75" thickBot="1" x14ac:dyDescent="0.3">
      <c r="A10522" s="367" t="s">
        <v>41</v>
      </c>
      <c r="B10522" s="266">
        <v>44331</v>
      </c>
      <c r="C10522" s="416">
        <v>7</v>
      </c>
      <c r="D10522" s="39">
        <f t="shared" si="1741"/>
        <v>6945</v>
      </c>
      <c r="F10522" s="39">
        <f t="shared" si="1747"/>
        <v>162</v>
      </c>
      <c r="G10522" s="168">
        <f>SUM(C10522,C10498,C10474,C10450,C10426,C10402,C10378,C10354,C10330,C10306,C10282,C10258,C10234,C10210)/POBLA!$B$9*100000</f>
        <v>398.38530848836649</v>
      </c>
      <c r="H10522" s="256">
        <f t="shared" si="1746"/>
        <v>2.1779584462511292</v>
      </c>
      <c r="I10522" s="297">
        <f t="shared" si="1748"/>
        <v>867.66664748459948</v>
      </c>
      <c r="J10522" s="422">
        <f t="shared" si="1749"/>
        <v>149.71428571428572</v>
      </c>
      <c r="K10522" s="297">
        <f>J10522/POBLA!$B$9*100000</f>
        <v>24.738271215014997</v>
      </c>
      <c r="L10522" s="200">
        <f t="shared" si="1750"/>
        <v>0.23110785033015402</v>
      </c>
      <c r="M10522" s="401">
        <f>SUM(C10522,C10498,C10474,C10450,C10426,C10402,C10378)/POBLA!$B$9*100000</f>
        <v>173.16789850510497</v>
      </c>
    </row>
    <row r="10523" spans="1:13" ht="15.75" thickBot="1" x14ac:dyDescent="0.3">
      <c r="A10523" s="367" t="s">
        <v>32</v>
      </c>
      <c r="B10523" s="266">
        <v>44331</v>
      </c>
      <c r="C10523" s="416">
        <v>92</v>
      </c>
      <c r="D10523" s="39">
        <f t="shared" si="1741"/>
        <v>26178</v>
      </c>
      <c r="F10523" s="39">
        <f t="shared" si="1747"/>
        <v>1063</v>
      </c>
      <c r="G10523" s="168">
        <f>SUM(C10523,C10499,C10475,C10451,C10427,C10403,C10379,C10355,C10331,C10307,C10283,C10259,C10235,C10211)/POBLA!$B$10*100000</f>
        <v>162.41157844077102</v>
      </c>
      <c r="H10523" s="256">
        <f t="shared" si="1746"/>
        <v>0.95281582952815824</v>
      </c>
      <c r="I10523" s="297">
        <f t="shared" si="1748"/>
        <v>154.74832283702079</v>
      </c>
      <c r="J10523" s="422">
        <f t="shared" si="1749"/>
        <v>83.714285714285708</v>
      </c>
      <c r="K10523" s="297">
        <f>J10523/POBLA!$B$10*100000</f>
        <v>10.859560128513442</v>
      </c>
      <c r="L10523" s="200">
        <f t="shared" si="1750"/>
        <v>0.12012012012012008</v>
      </c>
      <c r="M10523" s="401">
        <f>SUM(C10523,C10499,C10475,C10451,C10427,C10403,C10379)/POBLA!$B$10*100000</f>
        <v>76.016920899594098</v>
      </c>
    </row>
    <row r="10524" spans="1:13" ht="15.75" thickBot="1" x14ac:dyDescent="0.3">
      <c r="A10524" s="367" t="s">
        <v>33</v>
      </c>
      <c r="B10524" s="266">
        <v>44331</v>
      </c>
      <c r="C10524" s="416">
        <v>534</v>
      </c>
      <c r="D10524" s="39">
        <f t="shared" si="1741"/>
        <v>33371</v>
      </c>
      <c r="F10524" s="39">
        <f t="shared" si="1747"/>
        <v>440</v>
      </c>
      <c r="G10524" s="168">
        <f>SUM(C10524,C10500,C10476,C10452,C10428,C10404,C10380,C10356,C10332,C10308,C10284,C10260,C10236,C10212)/POBLA!$B$11*100000</f>
        <v>1663.65350921245</v>
      </c>
      <c r="H10524" s="256">
        <f t="shared" si="1746"/>
        <v>1.6930721181147075</v>
      </c>
      <c r="I10524" s="297">
        <f t="shared" si="1748"/>
        <v>2816.6853706512888</v>
      </c>
      <c r="J10524" s="422">
        <f t="shared" si="1749"/>
        <v>513.57142857142856</v>
      </c>
      <c r="K10524" s="297">
        <f>J10524/POBLA!$B$11*100000</f>
        <v>143.28440539562436</v>
      </c>
      <c r="L10524" s="200">
        <f t="shared" si="1750"/>
        <v>-0.51815878378378377</v>
      </c>
      <c r="M10524" s="401">
        <f>SUM(C10524,C10500,C10476,C10452,C10428,C10404,C10380)/POBLA!$B$11*100000</f>
        <v>1002.9908377693707</v>
      </c>
    </row>
    <row r="10525" spans="1:13" ht="15.75" thickBot="1" x14ac:dyDescent="0.3">
      <c r="A10525" s="367" t="s">
        <v>21</v>
      </c>
      <c r="B10525" s="266">
        <v>44331</v>
      </c>
      <c r="C10525" s="416">
        <v>134</v>
      </c>
      <c r="D10525" s="39">
        <f t="shared" si="1741"/>
        <v>14659</v>
      </c>
      <c r="E10525" s="1">
        <v>6</v>
      </c>
      <c r="F10525" s="39">
        <f t="shared" si="1747"/>
        <v>517</v>
      </c>
      <c r="G10525" s="168">
        <f>SUM(C10525,C10501,C10477,C10453,C10429,C10405,C10381,C10357,C10333,C10309,C10285,C10261,C10237,C10213)/POBLA!$B$12*100000</f>
        <v>306.20205269724619</v>
      </c>
      <c r="H10525" s="256">
        <f t="shared" si="1746"/>
        <v>1.137865911237016</v>
      </c>
      <c r="I10525" s="297">
        <f t="shared" si="1748"/>
        <v>348.41687771499682</v>
      </c>
      <c r="J10525" s="422">
        <f t="shared" si="1749"/>
        <v>68.714285714285708</v>
      </c>
      <c r="K10525" s="297">
        <f>J10525/POBLA!$B$12*100000</f>
        <v>17.460958784513981</v>
      </c>
      <c r="L10525" s="200">
        <f t="shared" si="1750"/>
        <v>0.33563535911602205</v>
      </c>
      <c r="M10525" s="401">
        <f>SUM(C10525,C10501,C10477,C10453,C10429,C10405,C10381)/POBLA!$B$12*100000</f>
        <v>122.22671149159787</v>
      </c>
    </row>
    <row r="10526" spans="1:13" ht="15.75" thickBot="1" x14ac:dyDescent="0.3">
      <c r="A10526" s="367" t="s">
        <v>17</v>
      </c>
      <c r="B10526" s="266">
        <v>44331</v>
      </c>
      <c r="C10526" s="416">
        <v>596</v>
      </c>
      <c r="D10526" s="39">
        <f t="shared" si="1741"/>
        <v>107977</v>
      </c>
      <c r="E10526" s="1">
        <v>21</v>
      </c>
      <c r="F10526" s="39">
        <f t="shared" si="1747"/>
        <v>2162</v>
      </c>
      <c r="G10526" s="168">
        <f>SUM(C10526,C10502,C10478,C10454,C10430,C10406,C10382,C10358,C10334,C10310,C10286,C10262,C10238,C10214)/POBLA!$B$13*100000</f>
        <v>552.21776401797081</v>
      </c>
      <c r="H10526" s="256">
        <f t="shared" si="1746"/>
        <v>0.96336225786659657</v>
      </c>
      <c r="I10526" s="297">
        <f t="shared" si="1748"/>
        <v>531.9857519783958</v>
      </c>
      <c r="J10526" s="422">
        <f t="shared" si="1749"/>
        <v>805.85714285714289</v>
      </c>
      <c r="K10526" s="297">
        <f>J10526/POBLA!$B$13*100000</f>
        <v>40.488456878034931</v>
      </c>
      <c r="L10526" s="200">
        <f t="shared" si="1750"/>
        <v>-5.4392523364485967E-2</v>
      </c>
      <c r="M10526" s="401">
        <f>SUM(C10526,C10502,C10478,C10454,C10430,C10406,C10382)/POBLA!$B$13*100000</f>
        <v>283.41919814624447</v>
      </c>
    </row>
    <row r="10527" spans="1:13" ht="15.75" thickBot="1" x14ac:dyDescent="0.3">
      <c r="A10527" s="367" t="s">
        <v>23</v>
      </c>
      <c r="B10527" s="266">
        <v>44331</v>
      </c>
      <c r="C10527" s="416">
        <v>164</v>
      </c>
      <c r="D10527" s="39">
        <f t="shared" si="1741"/>
        <v>17798</v>
      </c>
      <c r="E10527" s="1">
        <v>5</v>
      </c>
      <c r="F10527" s="39">
        <f t="shared" si="1747"/>
        <v>258</v>
      </c>
      <c r="G10527" s="168">
        <f>SUM(C10527,C10503,C10479,C10455,C10431,C10407,C10383,C10359,C10335,C10311,C10287,C10263,C10239,C10215)/POBLA!$B$14*100000</f>
        <v>163.64146662078787</v>
      </c>
      <c r="H10527" s="256">
        <f t="shared" si="1746"/>
        <v>1.3543307086614174</v>
      </c>
      <c r="I10527" s="297">
        <f t="shared" si="1748"/>
        <v>221.6246634549253</v>
      </c>
      <c r="J10527" s="422">
        <f t="shared" si="1749"/>
        <v>153.85714285714286</v>
      </c>
      <c r="K10527" s="297">
        <f>J10527/POBLA!$B$14*100000</f>
        <v>12.198356834896771</v>
      </c>
      <c r="L10527" s="200">
        <f t="shared" si="1750"/>
        <v>-9.1185410334346573E-2</v>
      </c>
      <c r="M10527" s="401">
        <f>SUM(C10527,C10503,C10479,C10455,C10431,C10407,C10383)/POBLA!$B$14*100000</f>
        <v>85.388497844277381</v>
      </c>
    </row>
    <row r="10528" spans="1:13" ht="15.75" thickBot="1" x14ac:dyDescent="0.3">
      <c r="A10528" s="367" t="s">
        <v>19</v>
      </c>
      <c r="B10528" s="266">
        <v>44331</v>
      </c>
      <c r="C10528" s="416">
        <v>476</v>
      </c>
      <c r="D10528" s="39">
        <f t="shared" si="1741"/>
        <v>77976</v>
      </c>
      <c r="E10528" s="1">
        <v>2</v>
      </c>
      <c r="F10528" s="39">
        <f t="shared" si="1747"/>
        <v>1151</v>
      </c>
      <c r="G10528" s="168">
        <f>SUM(C10528,C10504,C10480,C10456,C10432,C10408,C10384,C10360,C10336,C10312,C10288,C10264,C10240,C10216)/POBLA!$B$15*100000</f>
        <v>981.99401557396425</v>
      </c>
      <c r="H10528" s="256">
        <f t="shared" si="1746"/>
        <v>1.7174084803792469</v>
      </c>
      <c r="I10528" s="297">
        <f t="shared" si="1748"/>
        <v>1686.4848500283965</v>
      </c>
      <c r="J10528" s="422">
        <f t="shared" si="1749"/>
        <v>502.71428571428572</v>
      </c>
      <c r="K10528" s="297">
        <f>J10528/POBLA!$B$15*100000</f>
        <v>75.703484145831709</v>
      </c>
      <c r="L10528" s="200">
        <f t="shared" si="1750"/>
        <v>-0.17221852098600943</v>
      </c>
      <c r="M10528" s="401">
        <f>SUM(C10528,C10504,C10480,C10456,C10432,C10408,C10384)/POBLA!$B$15*100000</f>
        <v>529.92438902082199</v>
      </c>
    </row>
    <row r="10529" spans="1:13" ht="15.75" thickBot="1" x14ac:dyDescent="0.3">
      <c r="A10529" s="367" t="s">
        <v>18</v>
      </c>
      <c r="B10529" s="266">
        <v>44331</v>
      </c>
      <c r="C10529" s="416">
        <v>322</v>
      </c>
      <c r="D10529" s="39">
        <f t="shared" si="1741"/>
        <v>66286</v>
      </c>
      <c r="E10529" s="1">
        <v>1</v>
      </c>
      <c r="F10529" s="39">
        <f t="shared" si="1747"/>
        <v>1427</v>
      </c>
      <c r="G10529" s="168">
        <f>SUM(C10529,C10505,C10481,C10457,C10433,C10409,C10385,C10361,C10337,C10313,C10289,C10265,C10241,C10217)/POBLA!$B$16*100000</f>
        <v>624.12220275277218</v>
      </c>
      <c r="H10529" s="256">
        <f t="shared" si="1746"/>
        <v>1.2893064382426085</v>
      </c>
      <c r="I10529" s="297">
        <f t="shared" si="1748"/>
        <v>804.6847742593078</v>
      </c>
      <c r="J10529" s="422">
        <f t="shared" si="1749"/>
        <v>368</v>
      </c>
      <c r="K10529" s="297">
        <f>J10529/POBLA!$B$16*100000</f>
        <v>49.223525635023613</v>
      </c>
      <c r="L10529" s="200">
        <f t="shared" si="1750"/>
        <v>-0.23253588516746415</v>
      </c>
      <c r="M10529" s="401">
        <f>SUM(C10529,C10505,C10481,C10457,C10433,C10409,C10385)/POBLA!$B$16*100000</f>
        <v>344.56467944516527</v>
      </c>
    </row>
    <row r="10530" spans="1:13" ht="15.75" thickBot="1" x14ac:dyDescent="0.3">
      <c r="A10530" s="367" t="s">
        <v>34</v>
      </c>
      <c r="B10530" s="266">
        <v>44331</v>
      </c>
      <c r="C10530" s="416">
        <v>312</v>
      </c>
      <c r="D10530" s="39">
        <f t="shared" si="1741"/>
        <v>38364</v>
      </c>
      <c r="E10530" s="1">
        <v>4</v>
      </c>
      <c r="F10530" s="39">
        <f t="shared" si="1747"/>
        <v>1318</v>
      </c>
      <c r="G10530" s="168">
        <f>SUM(C10530,C10506,C10482,C10458,C10434,C10410,C10386,C10362,C10338,C10314,C10290,C10266,C10242,C10218)/POBLA!$B$17*100000</f>
        <v>242.27796042816715</v>
      </c>
      <c r="H10530" s="256">
        <f t="shared" ref="H10530:H10553" si="1751">SUM(C10530,C10506,C10482,C10458,C10434,C10410,C10386,C10362,C10338,C10314,C10290,C10266,C10242,C10218)/SUM(C10194,C10170,C10146,C10122,C10098,C10074,C10050,C10026,C10002,C9978,C9954,C9930,C9906,C9882)</f>
        <v>1.296880871852687</v>
      </c>
      <c r="I10530" s="297">
        <f t="shared" si="1748"/>
        <v>314.20565255077219</v>
      </c>
      <c r="J10530" s="422">
        <f t="shared" si="1749"/>
        <v>289</v>
      </c>
      <c r="K10530" s="297">
        <f>J10530/POBLA!$B$17*100000</f>
        <v>20.289287326496755</v>
      </c>
      <c r="L10530" s="200">
        <f t="shared" si="1750"/>
        <v>-0.41666666666666674</v>
      </c>
      <c r="M10530" s="401">
        <f>SUM(C10530,C10506,C10482,C10458,C10434,C10410,C10386)/POBLA!$B$17*100000</f>
        <v>142.02501128547729</v>
      </c>
    </row>
    <row r="10531" spans="1:13" ht="15.75" thickBot="1" x14ac:dyDescent="0.3">
      <c r="A10531" s="367" t="s">
        <v>35</v>
      </c>
      <c r="B10531" s="266">
        <v>44331</v>
      </c>
      <c r="C10531" s="416">
        <v>284</v>
      </c>
      <c r="D10531" s="39">
        <f t="shared" si="1741"/>
        <v>28956</v>
      </c>
      <c r="E10531" s="1">
        <v>5</v>
      </c>
      <c r="F10531" s="39">
        <f t="shared" si="1747"/>
        <v>547</v>
      </c>
      <c r="G10531" s="168">
        <f>SUM(C10531,C10507,C10483,C10459,C10435,C10411,C10387,C10363,C10339,C10315,C10291,C10267,C10243,C10219)/POBLA!$B$18*100000</f>
        <v>668.1882242705932</v>
      </c>
      <c r="H10531" s="256">
        <f t="shared" si="1751"/>
        <v>1.4344600164880461</v>
      </c>
      <c r="I10531" s="297">
        <f t="shared" si="1748"/>
        <v>958.48929120431342</v>
      </c>
      <c r="J10531" s="422">
        <f t="shared" si="1749"/>
        <v>390.14285714285717</v>
      </c>
      <c r="K10531" s="297">
        <f>J10531/POBLA!$B$18*100000</f>
        <v>49.940395196578827</v>
      </c>
      <c r="L10531" s="200">
        <f t="shared" si="1750"/>
        <v>-9.7227802330253077E-2</v>
      </c>
      <c r="M10531" s="401">
        <f>SUM(C10531,C10507,C10483,C10459,C10435,C10411,C10387)/POBLA!$B$18*100000</f>
        <v>349.58276637605172</v>
      </c>
    </row>
    <row r="10532" spans="1:13" ht="15.75" thickBot="1" x14ac:dyDescent="0.3">
      <c r="A10532" s="367" t="s">
        <v>36</v>
      </c>
      <c r="B10532" s="266">
        <v>44331</v>
      </c>
      <c r="C10532" s="416">
        <v>461</v>
      </c>
      <c r="D10532" s="39">
        <f t="shared" si="1741"/>
        <v>44521</v>
      </c>
      <c r="E10532" s="1">
        <v>4</v>
      </c>
      <c r="F10532" s="39">
        <f t="shared" si="1747"/>
        <v>604</v>
      </c>
      <c r="G10532" s="168">
        <f>SUM(C10532,C10508,C10484,C10460,C10436,C10412,C10388,C10364,C10340,C10316,C10292,C10268,C10244,C10220)/POBLA!$B$19*100000</f>
        <v>1282.6364079885427</v>
      </c>
      <c r="H10532" s="256">
        <f t="shared" si="1751"/>
        <v>0.77822869419909291</v>
      </c>
      <c r="I10532" s="297">
        <f t="shared" si="1748"/>
        <v>998.18445692113858</v>
      </c>
      <c r="J10532" s="422">
        <f t="shared" si="1749"/>
        <v>509</v>
      </c>
      <c r="K10532" s="297">
        <f>J10532/POBLA!$B$19*100000</f>
        <v>100.13219810830802</v>
      </c>
      <c r="L10532" s="200">
        <f t="shared" si="1750"/>
        <v>-0.20493743659113961</v>
      </c>
      <c r="M10532" s="401">
        <f>SUM(C10532,C10508,C10484,C10460,C10436,C10412,C10388)/POBLA!$B$19*100000</f>
        <v>700.92538675815615</v>
      </c>
    </row>
    <row r="10533" spans="1:13" ht="15.75" thickBot="1" x14ac:dyDescent="0.3">
      <c r="A10533" s="367" t="s">
        <v>37</v>
      </c>
      <c r="B10533" s="266">
        <v>44331</v>
      </c>
      <c r="C10533" s="416">
        <v>194</v>
      </c>
      <c r="D10533" s="39">
        <f t="shared" si="1741"/>
        <v>47924</v>
      </c>
      <c r="E10533" s="1">
        <v>3</v>
      </c>
      <c r="F10533" s="39">
        <f t="shared" si="1747"/>
        <v>750</v>
      </c>
      <c r="G10533" s="168">
        <f>SUM(C10533,C10509,C10485,C10461,C10437,C10413,C10389,C10365,C10341,C10317,C10293,C10269,C10245,C10221)/POBLA!$B$20*100000</f>
        <v>828.00562212536033</v>
      </c>
      <c r="H10533" s="256">
        <f t="shared" si="1751"/>
        <v>1.0814285714285714</v>
      </c>
      <c r="I10533" s="297">
        <f t="shared" si="1748"/>
        <v>895.42893706985399</v>
      </c>
      <c r="J10533" s="422">
        <f t="shared" si="1749"/>
        <v>212.28571428571428</v>
      </c>
      <c r="K10533" s="297">
        <f>J10533/POBLA!$B$20*100000</f>
        <v>58.049460015016294</v>
      </c>
      <c r="L10533" s="200">
        <f t="shared" si="1750"/>
        <v>3.6316472114137466E-2</v>
      </c>
      <c r="M10533" s="401">
        <f>SUM(C10533,C10509,C10485,C10461,C10437,C10413,C10389)/POBLA!$B$20*100000</f>
        <v>406.34622010511407</v>
      </c>
    </row>
    <row r="10534" spans="1:13" ht="15.75" thickBot="1" x14ac:dyDescent="0.3">
      <c r="A10534" s="367" t="s">
        <v>22</v>
      </c>
      <c r="B10534" s="266">
        <v>44331</v>
      </c>
      <c r="C10534" s="416">
        <v>2449</v>
      </c>
      <c r="D10534" s="39">
        <f t="shared" si="1741"/>
        <v>301643</v>
      </c>
      <c r="E10534" s="1">
        <v>14</v>
      </c>
      <c r="F10534" s="39">
        <f t="shared" si="1747"/>
        <v>4932</v>
      </c>
      <c r="G10534" s="168">
        <f>SUM(C10534,C10510,C10486,C10462,C10438,C10414,C10390,C10366,C10342,C10318,C10294,C10270,C10246,C10222)/POBLA!$B$21*100000</f>
        <v>730.03247919222213</v>
      </c>
      <c r="H10534" s="256">
        <f t="shared" si="1751"/>
        <v>1.085751535032383</v>
      </c>
      <c r="I10534" s="297">
        <f t="shared" si="1748"/>
        <v>792.63388490645139</v>
      </c>
      <c r="J10534" s="422">
        <f t="shared" si="1749"/>
        <v>1912.2857142857142</v>
      </c>
      <c r="K10534" s="297">
        <f>J10534/POBLA!$B$21*100000</f>
        <v>54.074086103105294</v>
      </c>
      <c r="L10534" s="200">
        <f t="shared" si="1750"/>
        <v>-7.6824068860107841E-2</v>
      </c>
      <c r="M10534" s="401">
        <f>SUM(C10534,C10510,C10486,C10462,C10438,C10414,C10390)/POBLA!$B$21*100000</f>
        <v>378.51860272173712</v>
      </c>
    </row>
    <row r="10535" spans="1:13" ht="15.75" thickBot="1" x14ac:dyDescent="0.3">
      <c r="A10535" s="367" t="s">
        <v>38</v>
      </c>
      <c r="B10535" s="266">
        <v>44331</v>
      </c>
      <c r="C10535" s="416">
        <v>471</v>
      </c>
      <c r="D10535" s="39">
        <f t="shared" si="1741"/>
        <v>34925</v>
      </c>
      <c r="E10535" s="1">
        <v>2</v>
      </c>
      <c r="F10535" s="39">
        <f t="shared" si="1747"/>
        <v>397</v>
      </c>
      <c r="G10535" s="168">
        <f>SUM(C10535,C10511,C10487,C10463,C10439,C10415,C10391,C10367,C10343,C10319,C10295,C10271,C10247,C10223)/POBLA!$B$22*100000</f>
        <v>416.12449185485622</v>
      </c>
      <c r="H10535" s="256">
        <f t="shared" si="1751"/>
        <v>1.4364855328158082</v>
      </c>
      <c r="I10535" s="297">
        <f t="shared" si="1748"/>
        <v>597.75681239983055</v>
      </c>
      <c r="J10535" s="422">
        <f t="shared" si="1749"/>
        <v>343.85714285714283</v>
      </c>
      <c r="K10535" s="297">
        <f>J10535/POBLA!$B$22*100000</f>
        <v>35.147968273665263</v>
      </c>
      <c r="L10535" s="200">
        <f t="shared" si="1750"/>
        <v>-0.44651442307692313</v>
      </c>
      <c r="M10535" s="401">
        <f>SUM(C10535,C10511,C10487,C10463,C10439,C10415,C10391)/POBLA!$B$22*100000</f>
        <v>246.03577791565687</v>
      </c>
    </row>
    <row r="10536" spans="1:13" ht="15.75" thickBot="1" x14ac:dyDescent="0.3">
      <c r="A10536" s="367" t="s">
        <v>39</v>
      </c>
      <c r="B10536" s="266">
        <v>44331</v>
      </c>
      <c r="C10536" s="416">
        <v>34</v>
      </c>
      <c r="D10536" s="39">
        <f t="shared" si="1741"/>
        <v>27462</v>
      </c>
      <c r="F10536" s="39">
        <f t="shared" si="1747"/>
        <v>404</v>
      </c>
      <c r="G10536" s="168">
        <f>SUM(C10536,C10512,C10488,C10464,C10440,C10416,C10392,C10368,C10344,C10320,C10296,C10272,C10248,C10224)/POBLA!$B$23*100000</f>
        <v>546.28739467284959</v>
      </c>
      <c r="H10536" s="256">
        <f t="shared" si="1751"/>
        <v>0.89032258064516134</v>
      </c>
      <c r="I10536" s="297">
        <f t="shared" si="1748"/>
        <v>486.37200299905322</v>
      </c>
      <c r="J10536" s="422">
        <f t="shared" si="1749"/>
        <v>69.428571428571431</v>
      </c>
      <c r="K10536" s="297">
        <f>J10536/POBLA!$B$23*100000</f>
        <v>39.262891720053965</v>
      </c>
      <c r="L10536" s="200">
        <f t="shared" si="1750"/>
        <v>-1.2499999999999956E-2</v>
      </c>
      <c r="M10536" s="401">
        <f>SUM(C10536,C10512,C10488,C10464,C10440,C10416,C10392)/POBLA!$B$23*100000</f>
        <v>274.8402420403778</v>
      </c>
    </row>
    <row r="10537" spans="1:13" ht="15.75" thickBot="1" x14ac:dyDescent="0.3">
      <c r="A10537" s="368" t="s">
        <v>40</v>
      </c>
      <c r="B10537" s="34">
        <v>44331</v>
      </c>
      <c r="C10537" s="416">
        <v>509</v>
      </c>
      <c r="D10537" s="67">
        <f t="shared" si="1741"/>
        <v>114545</v>
      </c>
      <c r="E10537" s="232"/>
      <c r="F10537" s="67">
        <f t="shared" si="1747"/>
        <v>1745</v>
      </c>
      <c r="G10537" s="255">
        <f>SUM(C10537,C10513,C10489,C10465,C10441,C10417,C10393,C10369,C10345,C10321,C10297,C10273,C10249,C10225)/POBLA!$B$24*100000</f>
        <v>468.29563049964122</v>
      </c>
      <c r="H10537" s="257">
        <f t="shared" si="1751"/>
        <v>0.85214216686352406</v>
      </c>
      <c r="I10537" s="299">
        <f t="shared" si="1748"/>
        <v>399.05445330668448</v>
      </c>
      <c r="J10537" s="428">
        <f t="shared" si="1749"/>
        <v>614.85714285714289</v>
      </c>
      <c r="K10537" s="299">
        <f>J10537/POBLA!$B$24*100000</f>
        <v>36.282121141821285</v>
      </c>
      <c r="L10537" s="260">
        <f t="shared" si="1750"/>
        <v>-0.18502202643171817</v>
      </c>
      <c r="M10537" s="406">
        <f>SUM(C10537,C10513,C10489,C10465,C10441,C10417,C10393)/POBLA!$B$24*100000</f>
        <v>253.97484799274898</v>
      </c>
    </row>
    <row r="10538" spans="1:13" x14ac:dyDescent="0.25">
      <c r="A10538" s="363" t="s">
        <v>16</v>
      </c>
      <c r="B10538" s="265">
        <v>44332</v>
      </c>
      <c r="C10538" s="43">
        <v>5415</v>
      </c>
      <c r="D10538" s="174">
        <f t="shared" si="1741"/>
        <v>1439398</v>
      </c>
      <c r="E10538" s="43">
        <v>150</v>
      </c>
      <c r="F10538" s="174">
        <v>36601</v>
      </c>
      <c r="G10538" s="175">
        <f>SUM(C10538,C10514,C10490,C10466,C10442,C10418,C10394,C10370,C10346,C10322,C10298,C10274,C10250,C10226)/POBLA!$B$1*100000</f>
        <v>723.32808909066978</v>
      </c>
      <c r="H10538" s="300">
        <f t="shared" si="1751"/>
        <v>0.84665123013992971</v>
      </c>
      <c r="I10538" s="301">
        <f>G10538*H10538</f>
        <v>612.40661642338023</v>
      </c>
      <c r="J10538" s="421">
        <f>AVERAGE(C10538,C10514,C10490,C10466,C10442,C10418,C10394)</f>
        <v>9220.8571428571431</v>
      </c>
      <c r="K10538" s="301">
        <f>J10538/POBLA!$B$1*100000</f>
        <v>52.567031659212716</v>
      </c>
      <c r="L10538" s="399">
        <f>1-(SUM(C10538,C10514,C10490,C10466,C10442,C10418,C10394)/SUM(C10370,C10346,C10322,C10298,C10274,C10250,C10226))</f>
        <v>-3.5486251483941356E-2</v>
      </c>
      <c r="M10538" s="400">
        <f>SUM(C10538,C10514,C10490,C10466,C10442,C10418,C10394)/POBLA!$B$1*100000</f>
        <v>367.96922161448907</v>
      </c>
    </row>
    <row r="10539" spans="1:13" x14ac:dyDescent="0.25">
      <c r="A10539" s="367" t="s">
        <v>43</v>
      </c>
      <c r="B10539" s="2">
        <v>44332</v>
      </c>
      <c r="C10539" s="1">
        <v>1851</v>
      </c>
      <c r="D10539" s="39">
        <f t="shared" si="1741"/>
        <v>378109</v>
      </c>
      <c r="E10539" s="1">
        <v>23</v>
      </c>
      <c r="F10539" s="39">
        <f t="shared" ref="F10539:F10561" si="1752">E10539+F10515</f>
        <v>8485</v>
      </c>
      <c r="G10539" s="168">
        <f>SUM(C10539,C10515,C10491,C10467,C10443,C10419,C10395,C10371,C10347,C10323,C10299,C10275,C10251,C10227)/POBLA!$B$2*100000</f>
        <v>1036.7252928327903</v>
      </c>
      <c r="H10539" s="256">
        <f t="shared" si="1751"/>
        <v>0.81095653500852005</v>
      </c>
      <c r="I10539" s="297">
        <f t="shared" ref="I10539:I10561" si="1753">G10539*H10539</f>
        <v>840.73915123137294</v>
      </c>
      <c r="J10539" s="422">
        <f t="shared" ref="J10539:J10561" si="1754">AVERAGE(C10539,C10515,C10491,C10467,C10443,C10419,C10395)</f>
        <v>2320.7142857142858</v>
      </c>
      <c r="K10539" s="297">
        <f>J10539/POBLA!$B$2*100000</f>
        <v>75.454531689091851</v>
      </c>
      <c r="L10539" s="200">
        <f>1-(SUM(C10539,C10515,C10491,C10467,C10443,C10419,C10395)/SUM(C10371,C10347,C10323,C10299,C10275,C10251,C10227))</f>
        <v>-3.861645674828984E-2</v>
      </c>
      <c r="M10539" s="401">
        <f>SUM(C10539,C10515,C10491,C10467,C10443,C10419,C10395)/POBLA!$B$2*100000</f>
        <v>528.18172182364287</v>
      </c>
    </row>
    <row r="10540" spans="1:13" x14ac:dyDescent="0.25">
      <c r="A10540" s="367" t="s">
        <v>28</v>
      </c>
      <c r="B10540" s="2">
        <v>44332</v>
      </c>
      <c r="C10540" s="1">
        <v>422</v>
      </c>
      <c r="D10540" s="39">
        <f t="shared" si="1741"/>
        <v>18029</v>
      </c>
      <c r="F10540" s="39">
        <f t="shared" si="1752"/>
        <v>124</v>
      </c>
      <c r="G10540" s="168">
        <f>SUM(C10540,C10516,C10492,C10468,C10444,C10420,C10396,C10372,C10348,C10324,C10300,C10276,C10252,C10228)/POBLA!$B$3*100000</f>
        <v>729.35070937179557</v>
      </c>
      <c r="H10540" s="256">
        <f t="shared" si="1751"/>
        <v>1.3593539703903095</v>
      </c>
      <c r="I10540" s="297">
        <f t="shared" si="1753"/>
        <v>991.445782591539</v>
      </c>
      <c r="J10540" s="422">
        <f t="shared" si="1754"/>
        <v>265.57142857142856</v>
      </c>
      <c r="K10540" s="297">
        <f>J10540/POBLA!$B$3*100000</f>
        <v>63.925646804439786</v>
      </c>
      <c r="L10540" s="200">
        <f t="shared" ref="L10540:L10561" si="1755">1-(SUM(C10540,C10516,C10492,C10468,C10444,C10420,C10396)/SUM(C10372,C10348,C10324,C10300,C10276,C10252,C10228))</f>
        <v>-0.58753202391118697</v>
      </c>
      <c r="M10540" s="401">
        <f>SUM(C10540,C10516,C10492,C10468,C10444,C10420,C10396)/POBLA!$B$3*100000</f>
        <v>447.4795276310785</v>
      </c>
    </row>
    <row r="10541" spans="1:13" x14ac:dyDescent="0.25">
      <c r="A10541" s="367" t="s">
        <v>15</v>
      </c>
      <c r="B10541" s="2">
        <v>44332</v>
      </c>
      <c r="C10541" s="1">
        <v>234</v>
      </c>
      <c r="D10541" s="39">
        <f t="shared" si="1741"/>
        <v>49297</v>
      </c>
      <c r="E10541" s="1">
        <v>4</v>
      </c>
      <c r="F10541" s="39">
        <f t="shared" si="1752"/>
        <v>1108</v>
      </c>
      <c r="G10541" s="168">
        <f>SUM(C10541,C10517,C10493,C10469,C10445,C10421,C10397,C10373,C10349,C10325,C10301,C10277,C10253,C10229)/POBLA!$B$4*100000</f>
        <v>341.78994322318624</v>
      </c>
      <c r="H10541" s="256">
        <f t="shared" si="1751"/>
        <v>1.3379915502112447</v>
      </c>
      <c r="I10541" s="297">
        <f t="shared" si="1753"/>
        <v>457.31205597980426</v>
      </c>
      <c r="J10541" s="422">
        <f t="shared" si="1754"/>
        <v>331.14285714285717</v>
      </c>
      <c r="K10541" s="297">
        <f>J10541/POBLA!$B$4*100000</f>
        <v>27.491206786888714</v>
      </c>
      <c r="L10541" s="200">
        <f t="shared" si="1755"/>
        <v>-0.2884936075597555</v>
      </c>
      <c r="M10541" s="401">
        <f>SUM(C10541,C10517,C10493,C10469,C10445,C10421,C10397)/POBLA!$B$4*100000</f>
        <v>192.43844750822097</v>
      </c>
    </row>
    <row r="10542" spans="1:13" x14ac:dyDescent="0.25">
      <c r="A10542" s="367" t="s">
        <v>29</v>
      </c>
      <c r="B10542" s="2">
        <v>44332</v>
      </c>
      <c r="C10542" s="1">
        <v>145</v>
      </c>
      <c r="D10542" s="39">
        <f t="shared" si="1741"/>
        <v>57869</v>
      </c>
      <c r="E10542" s="1">
        <v>1</v>
      </c>
      <c r="F10542" s="39">
        <f t="shared" si="1752"/>
        <v>958</v>
      </c>
      <c r="G10542" s="168">
        <f>SUM(C10542,C10518,C10494,C10470,C10446,C10422,C10398,C10374,C10350,C10326,C10302,C10278,C10254,C10230)/POBLA!$B$5*100000</f>
        <v>454.60860686856415</v>
      </c>
      <c r="H10542" s="256">
        <f t="shared" si="1751"/>
        <v>1.1439024390243901</v>
      </c>
      <c r="I10542" s="297">
        <f t="shared" si="1753"/>
        <v>520.02789419843066</v>
      </c>
      <c r="J10542" s="422">
        <f t="shared" si="1754"/>
        <v>218</v>
      </c>
      <c r="K10542" s="297">
        <f>J10542/POBLA!$B$5*100000</f>
        <v>35.218435073684077</v>
      </c>
      <c r="L10542" s="200">
        <f t="shared" si="1755"/>
        <v>-0.18478260869565211</v>
      </c>
      <c r="M10542" s="401">
        <f>SUM(C10542,C10518,C10494,C10470,C10446,C10422,C10398)/POBLA!$B$5*100000</f>
        <v>246.52904551578851</v>
      </c>
    </row>
    <row r="10543" spans="1:13" x14ac:dyDescent="0.25">
      <c r="A10543" s="367" t="s">
        <v>30</v>
      </c>
      <c r="B10543" s="2">
        <v>44332</v>
      </c>
      <c r="C10543" s="1">
        <v>241</v>
      </c>
      <c r="D10543" s="39">
        <f t="shared" si="1741"/>
        <v>40550</v>
      </c>
      <c r="F10543" s="39">
        <f t="shared" si="1752"/>
        <v>553</v>
      </c>
      <c r="G10543" s="168">
        <f>SUM(C10543,C10519,C10495,C10471,C10447,C10423,C10399,C10375,C10351,C10327,C10303,C10279,C10255,C10231)/POBLA!$B$6*100000</f>
        <v>246.34167885289185</v>
      </c>
      <c r="H10543" s="256">
        <f t="shared" si="1751"/>
        <v>0.90346858638743455</v>
      </c>
      <c r="I10543" s="297">
        <f t="shared" si="1753"/>
        <v>222.56196836152958</v>
      </c>
      <c r="J10543" s="422">
        <f t="shared" si="1754"/>
        <v>185.57142857142858</v>
      </c>
      <c r="K10543" s="297">
        <f>J10543/POBLA!$B$6*100000</f>
        <v>16.557036313442669</v>
      </c>
      <c r="L10543" s="200">
        <f t="shared" si="1755"/>
        <v>0.11149110807113538</v>
      </c>
      <c r="M10543" s="401">
        <f>SUM(C10543,C10519,C10495,C10471,C10447,C10423,C10399)/POBLA!$B$6*100000</f>
        <v>115.89925419409869</v>
      </c>
    </row>
    <row r="10544" spans="1:13" x14ac:dyDescent="0.25">
      <c r="A10544" s="367" t="s">
        <v>20</v>
      </c>
      <c r="B10544" s="2">
        <v>44332</v>
      </c>
      <c r="C10544" s="1">
        <v>1865</v>
      </c>
      <c r="D10544" s="39">
        <f t="shared" si="1741"/>
        <v>256644</v>
      </c>
      <c r="E10544" s="1">
        <v>3</v>
      </c>
      <c r="F10544" s="39">
        <f t="shared" si="1752"/>
        <v>3596</v>
      </c>
      <c r="G10544" s="168">
        <f>SUM(C10544,C10520,C10496,C10472,C10448,C10424,C10400,C10376,C10352,C10328,C10304,C10280,C10256,C10232)/POBLA!$B$7*100000</f>
        <v>721.34983845018542</v>
      </c>
      <c r="H10544" s="256">
        <f t="shared" si="1751"/>
        <v>1.1952412425644414</v>
      </c>
      <c r="I10544" s="297">
        <f t="shared" si="1753"/>
        <v>862.18707723285866</v>
      </c>
      <c r="J10544" s="422">
        <f t="shared" si="1754"/>
        <v>2292.5714285714284</v>
      </c>
      <c r="K10544" s="297">
        <f>J10544/POBLA!$B$7*100000</f>
        <v>60.965347992166592</v>
      </c>
      <c r="L10544" s="200">
        <f t="shared" si="1755"/>
        <v>-0.4486369380754649</v>
      </c>
      <c r="M10544" s="401">
        <f>SUM(C10544,C10520,C10496,C10472,C10448,C10424,C10400)/POBLA!$B$7*100000</f>
        <v>426.75743594516615</v>
      </c>
    </row>
    <row r="10545" spans="1:13" x14ac:dyDescent="0.25">
      <c r="A10545" s="367" t="s">
        <v>31</v>
      </c>
      <c r="B10545" s="2">
        <v>44332</v>
      </c>
      <c r="C10545" s="1">
        <v>401</v>
      </c>
      <c r="D10545" s="39">
        <f t="shared" si="1741"/>
        <v>72082</v>
      </c>
      <c r="F10545" s="39">
        <f t="shared" si="1752"/>
        <v>1131</v>
      </c>
      <c r="G10545" s="168">
        <f>SUM(C10545,C10521,C10497,C10473,C10449,C10425,C10401,C10377,C10353,C10329,C10305,C10281,C10257,C10233)/POBLA!$B$8*100000</f>
        <v>616.68401924729483</v>
      </c>
      <c r="H10545" s="256">
        <f t="shared" si="1751"/>
        <v>1.2058408577878104</v>
      </c>
      <c r="I10545" s="297">
        <f t="shared" si="1753"/>
        <v>743.6227867531926</v>
      </c>
      <c r="J10545" s="422">
        <f t="shared" si="1754"/>
        <v>664.14285714285711</v>
      </c>
      <c r="K10545" s="297">
        <f>J10545/POBLA!$B$8*100000</f>
        <v>47.919303439480409</v>
      </c>
      <c r="L10545" s="200">
        <f t="shared" si="1755"/>
        <v>-0.19266290405336073</v>
      </c>
      <c r="M10545" s="401">
        <f>SUM(C10545,C10521,C10497,C10473,C10449,C10425,C10401)/POBLA!$B$8*100000</f>
        <v>335.43512407636291</v>
      </c>
    </row>
    <row r="10546" spans="1:13" x14ac:dyDescent="0.25">
      <c r="A10546" s="367" t="s">
        <v>41</v>
      </c>
      <c r="B10546" s="2">
        <v>44332</v>
      </c>
      <c r="C10546" s="1">
        <v>1221</v>
      </c>
      <c r="D10546" s="39">
        <f t="shared" si="1741"/>
        <v>8166</v>
      </c>
      <c r="F10546" s="39">
        <f t="shared" si="1752"/>
        <v>162</v>
      </c>
      <c r="G10546" s="168">
        <f>SUM(C10546,C10522,C10498,C10474,C10450,C10426,C10402,C10378,C10354,C10330,C10306,C10282,C10258,C10234)/POBLA!$B$9*100000</f>
        <v>599.31294644848833</v>
      </c>
      <c r="H10546" s="256">
        <f t="shared" si="1751"/>
        <v>3.3676880222841228</v>
      </c>
      <c r="I10546" s="297">
        <f t="shared" si="1753"/>
        <v>2018.2990313543801</v>
      </c>
      <c r="J10546" s="422">
        <f t="shared" si="1754"/>
        <v>323.42857142857144</v>
      </c>
      <c r="K10546" s="297">
        <f>J10546/POBLA!$B$9*100000</f>
        <v>53.442219495032397</v>
      </c>
      <c r="L10546" s="200">
        <f t="shared" si="1755"/>
        <v>-0.66104181951577412</v>
      </c>
      <c r="M10546" s="401">
        <f>SUM(C10546,C10522,C10498,C10474,C10450,C10426,C10402)/POBLA!$B$9*100000</f>
        <v>374.09553646522676</v>
      </c>
    </row>
    <row r="10547" spans="1:13" x14ac:dyDescent="0.25">
      <c r="A10547" s="367" t="s">
        <v>32</v>
      </c>
      <c r="B10547" s="2">
        <v>44332</v>
      </c>
      <c r="C10547" s="1">
        <v>64</v>
      </c>
      <c r="D10547" s="39">
        <f t="shared" ref="D10547:D10610" si="1756">C10547+D10523</f>
        <v>26242</v>
      </c>
      <c r="E10547" s="1">
        <v>3</v>
      </c>
      <c r="F10547" s="39">
        <f t="shared" si="1752"/>
        <v>1066</v>
      </c>
      <c r="G10547" s="168">
        <f>SUM(C10547,C10523,C10499,C10475,C10451,C10427,C10403,C10379,C10355,C10331,C10307,C10283,C10259,C10235)/POBLA!$B$10*100000</f>
        <v>162.6710218568106</v>
      </c>
      <c r="H10547" s="256">
        <f t="shared" si="1751"/>
        <v>0.96313364055299544</v>
      </c>
      <c r="I10547" s="297">
        <f t="shared" si="1753"/>
        <v>156.67393349342589</v>
      </c>
      <c r="J10547" s="422">
        <f t="shared" si="1754"/>
        <v>83.428571428571431</v>
      </c>
      <c r="K10547" s="297">
        <f>J10547/POBLA!$B$10*100000</f>
        <v>10.822496783364933</v>
      </c>
      <c r="L10547" s="200">
        <f t="shared" si="1755"/>
        <v>0.12835820895522387</v>
      </c>
      <c r="M10547" s="401">
        <f>SUM(C10547,C10523,C10499,C10475,C10451,C10427,C10403)/POBLA!$B$10*100000</f>
        <v>75.757477483554538</v>
      </c>
    </row>
    <row r="10548" spans="1:13" x14ac:dyDescent="0.25">
      <c r="A10548" s="367" t="s">
        <v>33</v>
      </c>
      <c r="B10548" s="2">
        <v>44332</v>
      </c>
      <c r="C10548" s="1">
        <v>221</v>
      </c>
      <c r="D10548" s="39">
        <f t="shared" si="1756"/>
        <v>33592</v>
      </c>
      <c r="E10548" s="1">
        <v>1</v>
      </c>
      <c r="F10548" s="39">
        <f t="shared" si="1752"/>
        <v>441</v>
      </c>
      <c r="G10548" s="168">
        <f>SUM(C10548,C10524,C10500,C10476,C10452,C10428,C10404,C10380,C10356,C10332,C10308,C10284,C10260,C10236)/POBLA!$B$11*100000</f>
        <v>1670.6284107268405</v>
      </c>
      <c r="H10548" s="256">
        <f t="shared" si="1751"/>
        <v>1.674496644295302</v>
      </c>
      <c r="I10548" s="297">
        <f t="shared" si="1753"/>
        <v>2797.4616676264877</v>
      </c>
      <c r="J10548" s="422">
        <f t="shared" si="1754"/>
        <v>506.28571428571428</v>
      </c>
      <c r="K10548" s="297">
        <f>J10548/POBLA!$B$11*100000</f>
        <v>141.25171981143055</v>
      </c>
      <c r="L10548" s="200">
        <f t="shared" si="1755"/>
        <v>-0.45008183306055649</v>
      </c>
      <c r="M10548" s="401">
        <f>SUM(C10548,C10524,C10500,C10476,C10452,C10428,C10404)/POBLA!$B$11*100000</f>
        <v>988.7620386800138</v>
      </c>
    </row>
    <row r="10549" spans="1:13" x14ac:dyDescent="0.25">
      <c r="A10549" s="367" t="s">
        <v>21</v>
      </c>
      <c r="B10549" s="2">
        <v>44332</v>
      </c>
      <c r="C10549" s="1">
        <v>195</v>
      </c>
      <c r="D10549" s="39">
        <f t="shared" si="1756"/>
        <v>14854</v>
      </c>
      <c r="F10549" s="39">
        <f t="shared" si="1752"/>
        <v>517</v>
      </c>
      <c r="G10549" s="168">
        <f>SUM(C10549,C10525,C10501,C10477,C10453,C10429,C10405,C10381,C10357,C10333,C10309,C10285,C10261,C10237)/POBLA!$B$12*100000</f>
        <v>332.62944977651063</v>
      </c>
      <c r="H10549" s="256">
        <f t="shared" si="1751"/>
        <v>1.1856884057971016</v>
      </c>
      <c r="I10549" s="297">
        <f t="shared" si="1753"/>
        <v>394.39488202667792</v>
      </c>
      <c r="J10549" s="422">
        <f t="shared" si="1754"/>
        <v>81.142857142857139</v>
      </c>
      <c r="K10549" s="297">
        <f>J10549/POBLA!$B$12*100000</f>
        <v>20.619177940964533</v>
      </c>
      <c r="L10549" s="200">
        <f t="shared" si="1755"/>
        <v>0.23346828609986503</v>
      </c>
      <c r="M10549" s="401">
        <f>SUM(C10549,C10525,C10501,C10477,C10453,C10429,C10405)/POBLA!$B$12*100000</f>
        <v>144.33424558675173</v>
      </c>
    </row>
    <row r="10550" spans="1:13" x14ac:dyDescent="0.25">
      <c r="A10550" s="367" t="s">
        <v>17</v>
      </c>
      <c r="B10550" s="2">
        <v>44332</v>
      </c>
      <c r="C10550" s="1">
        <v>360</v>
      </c>
      <c r="D10550" s="39">
        <f t="shared" si="1756"/>
        <v>108337</v>
      </c>
      <c r="E10550" s="1">
        <v>29</v>
      </c>
      <c r="F10550" s="39">
        <f t="shared" si="1752"/>
        <v>2191</v>
      </c>
      <c r="G10550" s="168">
        <f>SUM(C10550,C10526,C10502,C10478,C10454,C10430,C10406,C10382,C10358,C10334,C10310,C10286,C10262,C10238)/POBLA!$B$13*100000</f>
        <v>553.82553114094185</v>
      </c>
      <c r="H10550" s="256">
        <f t="shared" si="1751"/>
        <v>0.98675140990063559</v>
      </c>
      <c r="I10550" s="297">
        <f t="shared" si="1753"/>
        <v>546.48812369229267</v>
      </c>
      <c r="J10550" s="422">
        <f t="shared" si="1754"/>
        <v>815.85714285714289</v>
      </c>
      <c r="K10550" s="297">
        <f>J10550/POBLA!$B$13*100000</f>
        <v>40.990884103963396</v>
      </c>
      <c r="L10550" s="200">
        <f t="shared" si="1755"/>
        <v>-7.5112951807228878E-2</v>
      </c>
      <c r="M10550" s="401">
        <f>SUM(C10550,C10526,C10502,C10478,C10454,C10430,C10406)/POBLA!$B$13*100000</f>
        <v>286.93618872774374</v>
      </c>
    </row>
    <row r="10551" spans="1:13" x14ac:dyDescent="0.25">
      <c r="A10551" s="367" t="s">
        <v>23</v>
      </c>
      <c r="B10551" s="2">
        <v>44332</v>
      </c>
      <c r="C10551" s="1">
        <v>120</v>
      </c>
      <c r="D10551" s="39">
        <f t="shared" si="1756"/>
        <v>17918</v>
      </c>
      <c r="E10551" s="1">
        <v>1</v>
      </c>
      <c r="F10551" s="39">
        <f t="shared" si="1752"/>
        <v>259</v>
      </c>
      <c r="G10551" s="168">
        <f>SUM(C10551,C10527,C10503,C10479,C10455,C10431,C10407,C10383,C10359,C10335,C10311,C10287,C10263,C10239)/POBLA!$B$14*100000</f>
        <v>165.06857243434123</v>
      </c>
      <c r="H10551" s="256">
        <f t="shared" si="1751"/>
        <v>1.3537061118335501</v>
      </c>
      <c r="I10551" s="297">
        <f t="shared" si="1753"/>
        <v>223.45433537600678</v>
      </c>
      <c r="J10551" s="422">
        <f t="shared" si="1754"/>
        <v>145.42857142857142</v>
      </c>
      <c r="K10551" s="297">
        <f>J10551/POBLA!$B$14*100000</f>
        <v>11.530108874582089</v>
      </c>
      <c r="L10551" s="200">
        <f t="shared" si="1755"/>
        <v>4.3233082706766957E-2</v>
      </c>
      <c r="M10551" s="401">
        <f>SUM(C10551,C10527,C10503,C10479,C10455,C10431,C10407)/POBLA!$B$14*100000</f>
        <v>80.710762122074627</v>
      </c>
    </row>
    <row r="10552" spans="1:13" x14ac:dyDescent="0.25">
      <c r="A10552" s="367" t="s">
        <v>19</v>
      </c>
      <c r="B10552" s="2">
        <v>44332</v>
      </c>
      <c r="C10552" s="1">
        <v>416</v>
      </c>
      <c r="D10552" s="39">
        <f t="shared" si="1756"/>
        <v>78392</v>
      </c>
      <c r="E10552" s="1">
        <v>14</v>
      </c>
      <c r="F10552" s="39">
        <f t="shared" si="1752"/>
        <v>1165</v>
      </c>
      <c r="G10552" s="168">
        <f>SUM(C10552,C10528,C10504,C10480,C10456,C10432,C10408,C10384,C10360,C10336,C10312,C10288,C10264,C10240)/POBLA!$B$15*100000</f>
        <v>1021.1472810315981</v>
      </c>
      <c r="H10552" s="256">
        <f t="shared" si="1751"/>
        <v>1.7658854166666667</v>
      </c>
      <c r="I10552" s="297">
        <f t="shared" si="1753"/>
        <v>1803.2290918425174</v>
      </c>
      <c r="J10552" s="422">
        <f t="shared" si="1754"/>
        <v>516.42857142857144</v>
      </c>
      <c r="K10552" s="297">
        <f>J10552/POBLA!$B$15*100000</f>
        <v>77.768711334805815</v>
      </c>
      <c r="L10552" s="200">
        <f t="shared" si="1755"/>
        <v>-0.14181933038534433</v>
      </c>
      <c r="M10552" s="401">
        <f>SUM(C10552,C10528,C10504,C10480,C10456,C10432,C10408)/POBLA!$B$15*100000</f>
        <v>544.38097934364066</v>
      </c>
    </row>
    <row r="10553" spans="1:13" x14ac:dyDescent="0.25">
      <c r="A10553" s="367" t="s">
        <v>18</v>
      </c>
      <c r="B10553" s="2">
        <v>44332</v>
      </c>
      <c r="C10553" s="1">
        <v>153</v>
      </c>
      <c r="D10553" s="39">
        <f t="shared" si="1756"/>
        <v>66439</v>
      </c>
      <c r="E10553" s="1">
        <v>7</v>
      </c>
      <c r="F10553" s="39">
        <f t="shared" si="1752"/>
        <v>1434</v>
      </c>
      <c r="G10553" s="168">
        <f>SUM(C10553,C10529,C10505,C10481,C10457,C10433,C10409,C10385,C10361,C10337,C10313,C10289,C10265,C10241)/POBLA!$B$16*100000</f>
        <v>630.67642219874006</v>
      </c>
      <c r="H10553" s="256">
        <f t="shared" si="1751"/>
        <v>1.3130047340573656</v>
      </c>
      <c r="I10553" s="297">
        <f t="shared" si="1753"/>
        <v>828.08112800530751</v>
      </c>
      <c r="J10553" s="422">
        <f t="shared" si="1754"/>
        <v>368</v>
      </c>
      <c r="K10553" s="297">
        <f>J10553/POBLA!$B$16*100000</f>
        <v>49.223525635023613</v>
      </c>
      <c r="L10553" s="200">
        <f t="shared" si="1755"/>
        <v>-0.20430107526881724</v>
      </c>
      <c r="M10553" s="401">
        <f>SUM(C10553,C10529,C10505,C10481,C10457,C10433,C10409)/POBLA!$B$16*100000</f>
        <v>344.56467944516527</v>
      </c>
    </row>
    <row r="10554" spans="1:13" x14ac:dyDescent="0.25">
      <c r="A10554" s="367" t="s">
        <v>34</v>
      </c>
      <c r="B10554" s="2">
        <v>44332</v>
      </c>
      <c r="C10554" s="1">
        <v>94</v>
      </c>
      <c r="D10554" s="39">
        <f t="shared" si="1756"/>
        <v>38458</v>
      </c>
      <c r="F10554" s="39">
        <f t="shared" si="1752"/>
        <v>1318</v>
      </c>
      <c r="G10554" s="168">
        <f>SUM(C10554,C10530,C10506,C10482,C10458,C10434,C10410,C10386,C10362,C10338,C10314,C10290,C10266,C10242)/POBLA!$B$17*100000</f>
        <v>246.27965377629971</v>
      </c>
      <c r="H10554" s="256">
        <f t="shared" ref="H10554:H10577" si="1757">SUM(C10554,C10530,C10506,C10482,C10458,C10434,C10410,C10386,C10362,C10338,C10314,C10290,C10266,C10242)/SUM(C10218,C10194,C10170,C10146,C10122,C10098,C10074,C10050,C10026,C10002,C9978,C9954,C9930,C9906)</f>
        <v>1.3333333333333333</v>
      </c>
      <c r="I10554" s="297">
        <f t="shared" si="1753"/>
        <v>328.37287170173295</v>
      </c>
      <c r="J10554" s="422">
        <f t="shared" si="1754"/>
        <v>286.28571428571428</v>
      </c>
      <c r="K10554" s="297">
        <f>J10554/POBLA!$B$17*100000</f>
        <v>20.098730500395206</v>
      </c>
      <c r="L10554" s="200">
        <f t="shared" si="1755"/>
        <v>-0.33244680851063824</v>
      </c>
      <c r="M10554" s="401">
        <f>SUM(C10554,C10530,C10506,C10482,C10458,C10434,C10410)/POBLA!$B$17*100000</f>
        <v>140.69111350276643</v>
      </c>
    </row>
    <row r="10555" spans="1:13" x14ac:dyDescent="0.25">
      <c r="A10555" s="367" t="s">
        <v>35</v>
      </c>
      <c r="B10555" s="2">
        <v>44332</v>
      </c>
      <c r="C10555" s="1">
        <v>269</v>
      </c>
      <c r="D10555" s="39">
        <f t="shared" si="1756"/>
        <v>29225</v>
      </c>
      <c r="E10555" s="1">
        <v>1</v>
      </c>
      <c r="F10555" s="39">
        <f t="shared" si="1752"/>
        <v>548</v>
      </c>
      <c r="G10555" s="168">
        <f>SUM(C10555,C10531,C10507,C10483,C10459,C10435,C10411,C10387,C10363,C10339,C10315,C10291,C10267,C10243)/POBLA!$B$18*100000</f>
        <v>696.34941379923885</v>
      </c>
      <c r="H10555" s="256">
        <f t="shared" si="1757"/>
        <v>1.4998621450234353</v>
      </c>
      <c r="I10555" s="297">
        <f t="shared" si="1753"/>
        <v>1044.428125466738</v>
      </c>
      <c r="J10555" s="422">
        <f t="shared" si="1754"/>
        <v>425.57142857142856</v>
      </c>
      <c r="K10555" s="297">
        <f>J10555/POBLA!$B$18*100000</f>
        <v>54.475443899893186</v>
      </c>
      <c r="L10555" s="200">
        <f t="shared" si="1755"/>
        <v>-0.21048354327509133</v>
      </c>
      <c r="M10555" s="401">
        <f>SUM(C10555,C10531,C10507,C10483,C10459,C10435,C10411)/POBLA!$B$18*100000</f>
        <v>381.32810729925228</v>
      </c>
    </row>
    <row r="10556" spans="1:13" x14ac:dyDescent="0.25">
      <c r="A10556" s="367" t="s">
        <v>36</v>
      </c>
      <c r="B10556" s="2">
        <v>44332</v>
      </c>
      <c r="C10556" s="1">
        <v>244</v>
      </c>
      <c r="D10556" s="39">
        <f t="shared" si="1756"/>
        <v>44765</v>
      </c>
      <c r="E10556" s="1">
        <v>3</v>
      </c>
      <c r="F10556" s="39">
        <f t="shared" si="1752"/>
        <v>607</v>
      </c>
      <c r="G10556" s="168">
        <f>SUM(C10556,C10532,C10508,C10484,C10460,C10436,C10412,C10388,C10364,C10340,C10316,C10292,C10268,C10244)/POBLA!$B$19*100000</f>
        <v>1248.9967107851623</v>
      </c>
      <c r="H10556" s="256">
        <f t="shared" si="1757"/>
        <v>0.76420317766008672</v>
      </c>
      <c r="I10556" s="297">
        <f t="shared" si="1753"/>
        <v>954.4872552690174</v>
      </c>
      <c r="J10556" s="422">
        <f t="shared" si="1754"/>
        <v>473.71428571428572</v>
      </c>
      <c r="K10556" s="297">
        <f>J10556/POBLA!$B$19*100000</f>
        <v>93.190673288562834</v>
      </c>
      <c r="L10556" s="200">
        <f t="shared" si="1755"/>
        <v>-9.3306956808440589E-2</v>
      </c>
      <c r="M10556" s="401">
        <f>SUM(C10556,C10532,C10508,C10484,C10460,C10436,C10412)/POBLA!$B$19*100000</f>
        <v>652.33471301993984</v>
      </c>
    </row>
    <row r="10557" spans="1:13" x14ac:dyDescent="0.25">
      <c r="A10557" s="367" t="s">
        <v>37</v>
      </c>
      <c r="B10557" s="2">
        <v>44332</v>
      </c>
      <c r="C10557" s="1">
        <v>217</v>
      </c>
      <c r="D10557" s="39">
        <f t="shared" si="1756"/>
        <v>48141</v>
      </c>
      <c r="F10557" s="39">
        <f t="shared" si="1752"/>
        <v>750</v>
      </c>
      <c r="G10557" s="168">
        <f>SUM(C10557,C10533,C10509,C10485,C10461,C10437,C10413,C10389,C10365,C10341,C10317,C10293,C10269,C10245)/POBLA!$B$20*100000</f>
        <v>845.77985113399586</v>
      </c>
      <c r="H10557" s="256">
        <f t="shared" si="1757"/>
        <v>1.1082049444643498</v>
      </c>
      <c r="I10557" s="297">
        <f t="shared" si="1753"/>
        <v>937.29741295501594</v>
      </c>
      <c r="J10557" s="422">
        <f t="shared" si="1754"/>
        <v>225.85714285714286</v>
      </c>
      <c r="K10557" s="297">
        <f>J10557/POBLA!$B$20*100000</f>
        <v>61.760562775061075</v>
      </c>
      <c r="L10557" s="200">
        <f t="shared" si="1755"/>
        <v>-4.5634920634920695E-2</v>
      </c>
      <c r="M10557" s="401">
        <f>SUM(C10557,C10533,C10509,C10485,C10461,C10437,C10413)/POBLA!$B$20*100000</f>
        <v>432.32393942542757</v>
      </c>
    </row>
    <row r="10558" spans="1:13" x14ac:dyDescent="0.25">
      <c r="A10558" s="367" t="s">
        <v>22</v>
      </c>
      <c r="B10558" s="2">
        <v>44332</v>
      </c>
      <c r="C10558" s="1">
        <v>1364</v>
      </c>
      <c r="D10558" s="39">
        <f t="shared" si="1756"/>
        <v>303007</v>
      </c>
      <c r="E10558" s="1">
        <v>15</v>
      </c>
      <c r="F10558" s="39">
        <f t="shared" si="1752"/>
        <v>4947</v>
      </c>
      <c r="G10558" s="168">
        <f>SUM(C10558,C10534,C10510,C10486,C10462,C10438,C10414,C10390,C10366,C10342,C10318,C10294,C10270,C10246)/POBLA!$B$21*100000</f>
        <v>745.61321653718539</v>
      </c>
      <c r="H10558" s="256">
        <f t="shared" si="1757"/>
        <v>1.1134194747065282</v>
      </c>
      <c r="I10558" s="297">
        <f t="shared" si="1753"/>
        <v>830.18027589107783</v>
      </c>
      <c r="J10558" s="422">
        <f t="shared" si="1754"/>
        <v>1986.4285714285713</v>
      </c>
      <c r="K10558" s="297">
        <f>J10558/POBLA!$B$21*100000</f>
        <v>56.170638522611625</v>
      </c>
      <c r="L10558" s="200">
        <f t="shared" si="1755"/>
        <v>-0.11570247933884303</v>
      </c>
      <c r="M10558" s="401">
        <f>SUM(C10558,C10534,C10510,C10486,C10462,C10438,C10414)/POBLA!$B$21*100000</f>
        <v>393.19446965828138</v>
      </c>
    </row>
    <row r="10559" spans="1:13" x14ac:dyDescent="0.25">
      <c r="A10559" s="367" t="s">
        <v>38</v>
      </c>
      <c r="B10559" s="2">
        <v>44332</v>
      </c>
      <c r="C10559" s="1">
        <v>401</v>
      </c>
      <c r="D10559" s="39">
        <f t="shared" si="1756"/>
        <v>35326</v>
      </c>
      <c r="E10559" s="1">
        <v>11</v>
      </c>
      <c r="F10559" s="39">
        <f t="shared" si="1752"/>
        <v>408</v>
      </c>
      <c r="G10559" s="168">
        <f>SUM(C10559,C10535,C10511,C10487,C10463,C10439,C10415,C10391,C10367,C10343,C10319,C10295,C10271,C10247)/POBLA!$B$22*100000</f>
        <v>435.75011269399471</v>
      </c>
      <c r="H10559" s="256">
        <f t="shared" si="1757"/>
        <v>1.5079589671029359</v>
      </c>
      <c r="I10559" s="297">
        <f t="shared" si="1753"/>
        <v>657.0932898530242</v>
      </c>
      <c r="J10559" s="422">
        <f t="shared" si="1754"/>
        <v>360.28571428571428</v>
      </c>
      <c r="K10559" s="297">
        <f>J10559/POBLA!$B$22*100000</f>
        <v>36.827243866299874</v>
      </c>
      <c r="L10559" s="200">
        <f t="shared" si="1755"/>
        <v>-0.44859276278001148</v>
      </c>
      <c r="M10559" s="401">
        <f>SUM(C10559,C10535,C10511,C10487,C10463,C10439,C10415)/POBLA!$B$22*100000</f>
        <v>257.79070706409914</v>
      </c>
    </row>
    <row r="10560" spans="1:13" x14ac:dyDescent="0.25">
      <c r="A10560" s="367" t="s">
        <v>39</v>
      </c>
      <c r="B10560" s="2">
        <v>44332</v>
      </c>
      <c r="C10560" s="1">
        <v>69</v>
      </c>
      <c r="D10560" s="39">
        <f t="shared" si="1756"/>
        <v>27531</v>
      </c>
      <c r="F10560" s="39">
        <f t="shared" si="1752"/>
        <v>404</v>
      </c>
      <c r="G10560" s="168">
        <f>SUM(C10560,C10536,C10512,C10488,C10464,C10440,C10416,C10392,C10368,C10344,C10320,C10296,C10272,C10248)/POBLA!$B$23*100000</f>
        <v>560.42526720579087</v>
      </c>
      <c r="H10560" s="256">
        <f t="shared" si="1757"/>
        <v>0.91929499072356213</v>
      </c>
      <c r="I10560" s="297">
        <f t="shared" si="1753"/>
        <v>515.19614081719737</v>
      </c>
      <c r="J10560" s="422">
        <f t="shared" si="1754"/>
        <v>73.285714285714292</v>
      </c>
      <c r="K10560" s="297">
        <f>J10560/POBLA!$B$23*100000</f>
        <v>41.444163482279194</v>
      </c>
      <c r="L10560" s="200">
        <f t="shared" si="1755"/>
        <v>-7.322175732217584E-2</v>
      </c>
      <c r="M10560" s="401">
        <f>SUM(C10560,C10536,C10512,C10488,C10464,C10440,C10416)/POBLA!$B$23*100000</f>
        <v>290.10914437595432</v>
      </c>
    </row>
    <row r="10561" spans="1:13" ht="15.75" thickBot="1" x14ac:dyDescent="0.3">
      <c r="A10561" s="368" t="s">
        <v>40</v>
      </c>
      <c r="B10561" s="34">
        <v>44332</v>
      </c>
      <c r="C10561" s="232">
        <v>368</v>
      </c>
      <c r="D10561" s="67">
        <f t="shared" si="1756"/>
        <v>114913</v>
      </c>
      <c r="E10561" s="232">
        <v>3</v>
      </c>
      <c r="F10561" s="67">
        <f t="shared" si="1752"/>
        <v>1748</v>
      </c>
      <c r="G10561" s="255">
        <f>SUM(C10561,C10537,C10513,C10489,C10465,C10441,C10417,C10393,C10369,C10345,C10321,C10297,C10273,C10249)/POBLA!$B$24*100000</f>
        <v>476.43887609048681</v>
      </c>
      <c r="H10561" s="257">
        <f t="shared" si="1757"/>
        <v>0.86658795749704842</v>
      </c>
      <c r="I10561" s="299">
        <f t="shared" si="1753"/>
        <v>412.87619250344432</v>
      </c>
      <c r="J10561" s="428">
        <f t="shared" si="1754"/>
        <v>622.14285714285711</v>
      </c>
      <c r="K10561" s="299">
        <f>J10561/POBLA!$B$24*100000</f>
        <v>36.712044045685793</v>
      </c>
      <c r="L10561" s="260">
        <f t="shared" si="1755"/>
        <v>-0.17101371336380744</v>
      </c>
      <c r="M10561" s="406">
        <f>SUM(C10561,C10537,C10513,C10489,C10465,C10441,C10417)/POBLA!$B$24*100000</f>
        <v>256.98430831980056</v>
      </c>
    </row>
    <row r="10562" spans="1:13" x14ac:dyDescent="0.25">
      <c r="A10562" s="363" t="s">
        <v>16</v>
      </c>
      <c r="B10562" s="265">
        <v>44333</v>
      </c>
      <c r="C10562" s="416">
        <v>8979</v>
      </c>
      <c r="D10562" s="174">
        <f t="shared" si="1756"/>
        <v>1448377</v>
      </c>
      <c r="E10562" s="43">
        <v>226</v>
      </c>
      <c r="F10562" s="174">
        <f t="shared" ref="F10562:F10585" si="1758">E10562+F10538</f>
        <v>36827</v>
      </c>
      <c r="G10562" s="175">
        <f>SUM(C10562,C10538,C10514,C10490,C10466,C10442,C10418,C10394,C10370,C10346,C10322,C10298,C10274,C10250)/POBLA!$B$1*100000</f>
        <v>734.46761530507058</v>
      </c>
      <c r="H10562" s="300">
        <f t="shared" si="1757"/>
        <v>0.88018801538556135</v>
      </c>
      <c r="I10562" s="301">
        <f>G10562*H10562</f>
        <v>646.46959268033606</v>
      </c>
      <c r="J10562" s="421">
        <f>AVERAGE(C10562,C10538,C10514,C10490,C10466,C10442,C10418)</f>
        <v>9473.1428571428569</v>
      </c>
      <c r="K10562" s="301">
        <f>J10562/POBLA!$B$1*100000</f>
        <v>54.005283106400306</v>
      </c>
      <c r="L10562" s="200">
        <f t="shared" ref="L10562:L10569" si="1759">(SUM(C10562,C10538,C10514,C10490,C10466,C10442,C10418)/SUM(C10394,C10370,C10346,C10322,C10298,C10274,C10250))-1</f>
        <v>6.0618662230894627E-2</v>
      </c>
      <c r="M10562" s="400">
        <f>SUM(C10562,C10538,C10514,C10490,C10466,C10442,C10418)/POBLA!$B$1*100000</f>
        <v>378.03698174480212</v>
      </c>
    </row>
    <row r="10563" spans="1:13" x14ac:dyDescent="0.25">
      <c r="A10563" s="367" t="s">
        <v>43</v>
      </c>
      <c r="B10563" s="2">
        <v>44333</v>
      </c>
      <c r="C10563" s="416">
        <v>2445</v>
      </c>
      <c r="D10563" s="39">
        <f t="shared" si="1756"/>
        <v>380554</v>
      </c>
      <c r="E10563" s="1">
        <v>71</v>
      </c>
      <c r="F10563" s="39">
        <f t="shared" si="1758"/>
        <v>8556</v>
      </c>
      <c r="G10563" s="168">
        <f>SUM(C10563,C10539,C10515,C10491,C10467,C10443,C10419,C10395,C10371,C10347,C10323,C10299,C10275,C10251)/POBLA!$B$2*100000</f>
        <v>1056.4284706367378</v>
      </c>
      <c r="H10563" s="256">
        <f t="shared" si="1757"/>
        <v>0.85142288140034594</v>
      </c>
      <c r="I10563" s="297">
        <f t="shared" ref="I10563:I10585" si="1760">G10563*H10563</f>
        <v>899.46737246289206</v>
      </c>
      <c r="J10563" s="422">
        <f t="shared" ref="J10563:J10585" si="1761">AVERAGE(C10563,C10539,C10515,C10491,C10467,C10443,C10419)</f>
        <v>2402.1428571428573</v>
      </c>
      <c r="K10563" s="297">
        <f>J10563/POBLA!$B$2*100000</f>
        <v>78.102059116779273</v>
      </c>
      <c r="L10563" s="200">
        <f t="shared" si="1759"/>
        <v>7.2590419085284186E-2</v>
      </c>
      <c r="M10563" s="401">
        <f>SUM(C10563,C10539,C10515,C10491,C10467,C10443,C10419)/POBLA!$B$2*100000</f>
        <v>546.7144138174549</v>
      </c>
    </row>
    <row r="10564" spans="1:13" x14ac:dyDescent="0.25">
      <c r="A10564" s="367" t="s">
        <v>28</v>
      </c>
      <c r="B10564" s="2">
        <v>44333</v>
      </c>
      <c r="C10564" s="416">
        <v>163</v>
      </c>
      <c r="D10564" s="39">
        <f t="shared" si="1756"/>
        <v>18192</v>
      </c>
      <c r="F10564" s="39">
        <f t="shared" si="1758"/>
        <v>124</v>
      </c>
      <c r="G10564" s="168">
        <f>SUM(C10564,C10540,C10516,C10492,C10468,C10444,C10420,C10396,C10372,C10348,C10324,C10300,C10276,C10252)/POBLA!$B$3*100000</f>
        <v>726.22148190584392</v>
      </c>
      <c r="H10564" s="256">
        <f t="shared" si="1757"/>
        <v>1.3676337262012692</v>
      </c>
      <c r="I10564" s="297">
        <f t="shared" si="1760"/>
        <v>993.20499134629688</v>
      </c>
      <c r="J10564" s="422">
        <f t="shared" si="1761"/>
        <v>263.28571428571428</v>
      </c>
      <c r="K10564" s="297">
        <f>J10564/POBLA!$B$3*100000</f>
        <v>63.375452964272469</v>
      </c>
      <c r="L10564" s="200">
        <f t="shared" si="1759"/>
        <v>0.56984667802385003</v>
      </c>
      <c r="M10564" s="401">
        <f>SUM(C10564,C10540,C10516,C10492,C10468,C10444,C10420)/POBLA!$B$3*100000</f>
        <v>443.62817074990733</v>
      </c>
    </row>
    <row r="10565" spans="1:13" x14ac:dyDescent="0.25">
      <c r="A10565" s="367" t="s">
        <v>15</v>
      </c>
      <c r="B10565" s="2">
        <v>44333</v>
      </c>
      <c r="C10565" s="416">
        <v>442</v>
      </c>
      <c r="D10565" s="39">
        <f t="shared" si="1756"/>
        <v>49739</v>
      </c>
      <c r="E10565" s="1">
        <v>8</v>
      </c>
      <c r="F10565" s="39">
        <f t="shared" si="1758"/>
        <v>1116</v>
      </c>
      <c r="G10565" s="168">
        <f>SUM(C10565,C10541,C10517,C10493,C10469,C10445,C10421,C10397,C10373,C10349,C10325,C10301,C10277,C10253)/POBLA!$B$4*100000</f>
        <v>362.37869860801749</v>
      </c>
      <c r="H10565" s="256">
        <f t="shared" si="1757"/>
        <v>1.4039884207140561</v>
      </c>
      <c r="I10565" s="297">
        <f t="shared" si="1760"/>
        <v>508.7754967590854</v>
      </c>
      <c r="J10565" s="422">
        <f t="shared" si="1761"/>
        <v>369</v>
      </c>
      <c r="K10565" s="297">
        <f>J10565/POBLA!$B$4*100000</f>
        <v>30.634075552430343</v>
      </c>
      <c r="L10565" s="200">
        <f t="shared" si="1759"/>
        <v>0.44949494949494939</v>
      </c>
      <c r="M10565" s="401">
        <f>SUM(C10565,C10541,C10517,C10493,C10469,C10445,C10421)/POBLA!$B$4*100000</f>
        <v>214.43852886701242</v>
      </c>
    </row>
    <row r="10566" spans="1:13" x14ac:dyDescent="0.25">
      <c r="A10566" s="367" t="s">
        <v>29</v>
      </c>
      <c r="B10566" s="2">
        <v>44333</v>
      </c>
      <c r="C10566" s="416">
        <v>265</v>
      </c>
      <c r="D10566" s="39">
        <f t="shared" si="1756"/>
        <v>58134</v>
      </c>
      <c r="E10566" s="1">
        <v>3</v>
      </c>
      <c r="F10566" s="39">
        <f t="shared" si="1758"/>
        <v>961</v>
      </c>
      <c r="G10566" s="168">
        <f>SUM(C10566,C10542,C10518,C10494,C10470,C10446,C10422,C10398,C10374,C10350,C10326,C10302,C10278,C10254)/POBLA!$B$5*100000</f>
        <v>477.22595049386587</v>
      </c>
      <c r="H10566" s="256">
        <f t="shared" si="1757"/>
        <v>1.2121460812474354</v>
      </c>
      <c r="I10566" s="297">
        <f t="shared" si="1760"/>
        <v>578.4675657607221</v>
      </c>
      <c r="J10566" s="422">
        <f t="shared" si="1761"/>
        <v>222.71428571428572</v>
      </c>
      <c r="K10566" s="297">
        <f>J10566/POBLA!$B$5*100000</f>
        <v>35.980039501883013</v>
      </c>
      <c r="L10566" s="200">
        <f t="shared" si="1759"/>
        <v>0.11756272401433687</v>
      </c>
      <c r="M10566" s="401">
        <f>SUM(C10566,C10542,C10518,C10494,C10470,C10446,C10422)/POBLA!$B$5*100000</f>
        <v>251.86027651318108</v>
      </c>
    </row>
    <row r="10567" spans="1:13" x14ac:dyDescent="0.25">
      <c r="A10567" s="367" t="s">
        <v>30</v>
      </c>
      <c r="B10567" s="2">
        <v>44333</v>
      </c>
      <c r="C10567" s="416">
        <v>294</v>
      </c>
      <c r="D10567" s="39">
        <f t="shared" si="1756"/>
        <v>40844</v>
      </c>
      <c r="E10567" s="1">
        <v>1</v>
      </c>
      <c r="F10567" s="39">
        <f t="shared" si="1758"/>
        <v>554</v>
      </c>
      <c r="G10567" s="168">
        <f>SUM(C10567,C10543,C10519,C10495,C10471,C10447,C10423,C10399,C10375,C10351,C10327,C10303,C10279,C10255)/POBLA!$B$6*100000</f>
        <v>262.13395598326554</v>
      </c>
      <c r="H10567" s="256">
        <f t="shared" si="1757"/>
        <v>0.96233213232885684</v>
      </c>
      <c r="I10567" s="297">
        <f t="shared" si="1760"/>
        <v>252.25992881717463</v>
      </c>
      <c r="J10567" s="422">
        <f t="shared" si="1761"/>
        <v>208.57142857142858</v>
      </c>
      <c r="K10567" s="297">
        <f>J10567/POBLA!$B$6*100000</f>
        <v>18.609140121344339</v>
      </c>
      <c r="L10567" s="200">
        <f t="shared" si="1759"/>
        <v>-1.2178619756427644E-2</v>
      </c>
      <c r="M10567" s="401">
        <f>SUM(C10567,C10543,C10519,C10495,C10471,C10447,C10423)/POBLA!$B$6*100000</f>
        <v>130.26398084941036</v>
      </c>
    </row>
    <row r="10568" spans="1:13" x14ac:dyDescent="0.25">
      <c r="A10568" s="367" t="s">
        <v>20</v>
      </c>
      <c r="B10568" s="2">
        <v>44333</v>
      </c>
      <c r="C10568" s="416">
        <v>2745</v>
      </c>
      <c r="D10568" s="39">
        <f t="shared" si="1756"/>
        <v>259389</v>
      </c>
      <c r="E10568" s="1">
        <v>18</v>
      </c>
      <c r="F10568" s="39">
        <f t="shared" si="1758"/>
        <v>3614</v>
      </c>
      <c r="G10568" s="168">
        <f>SUM(C10568,C10544,C10520,C10496,C10472,C10448,C10424,C10400,C10376,C10352,C10328,C10304,C10280,C10256)/POBLA!$B$7*100000</f>
        <v>762.27579146112839</v>
      </c>
      <c r="H10568" s="256">
        <f t="shared" si="1757"/>
        <v>1.2705553831833696</v>
      </c>
      <c r="I10568" s="297">
        <f t="shared" si="1760"/>
        <v>968.51361031130034</v>
      </c>
      <c r="J10568" s="422">
        <f t="shared" si="1761"/>
        <v>2486.4285714285716</v>
      </c>
      <c r="K10568" s="297">
        <f>J10568/POBLA!$B$7*100000</f>
        <v>66.120506094445389</v>
      </c>
      <c r="L10568" s="200">
        <f t="shared" si="1759"/>
        <v>0.54573712255772655</v>
      </c>
      <c r="M10568" s="401">
        <f>SUM(C10568,C10544,C10520,C10496,C10472,C10448,C10424)/POBLA!$B$7*100000</f>
        <v>462.84354266111774</v>
      </c>
    </row>
    <row r="10569" spans="1:13" x14ac:dyDescent="0.25">
      <c r="A10569" s="367" t="s">
        <v>31</v>
      </c>
      <c r="B10569" s="2">
        <v>44333</v>
      </c>
      <c r="C10569" s="331">
        <v>465</v>
      </c>
      <c r="D10569" s="39">
        <f t="shared" si="1756"/>
        <v>72547</v>
      </c>
      <c r="E10569" s="1">
        <v>52</v>
      </c>
      <c r="F10569" s="39">
        <f t="shared" si="1758"/>
        <v>1183</v>
      </c>
      <c r="G10569" s="168">
        <f>SUM(C10569,C10545,C10521,C10497,C10473,C10449,C10425,C10401,C10377,C10353,C10329,C10305,C10281,C10257)/POBLA!$B$8*100000</f>
        <v>628.22835563194064</v>
      </c>
      <c r="H10569" s="256">
        <f t="shared" si="1757"/>
        <v>1.2114929734242381</v>
      </c>
      <c r="I10569" s="297">
        <f t="shared" si="1760"/>
        <v>761.09423855395949</v>
      </c>
      <c r="J10569" s="422">
        <f t="shared" si="1761"/>
        <v>671</v>
      </c>
      <c r="K10569" s="297">
        <f>J10569/POBLA!$B$8*100000</f>
        <v>48.414060713108093</v>
      </c>
      <c r="L10569" s="200">
        <f t="shared" si="1759"/>
        <v>0.17132169576059852</v>
      </c>
      <c r="M10569" s="401">
        <f>SUM(C10569,C10545,C10521,C10497,C10473,C10449,C10425)/POBLA!$B$8*100000</f>
        <v>338.8984249917566</v>
      </c>
    </row>
    <row r="10570" spans="1:13" x14ac:dyDescent="0.25">
      <c r="A10570" s="367" t="s">
        <v>41</v>
      </c>
      <c r="B10570" s="2">
        <v>44333</v>
      </c>
      <c r="C10570" s="416">
        <v>5630</v>
      </c>
      <c r="D10570" s="39">
        <f t="shared" si="1756"/>
        <v>13796</v>
      </c>
      <c r="F10570" s="39">
        <f t="shared" si="1758"/>
        <v>162</v>
      </c>
      <c r="G10570" s="168">
        <f>SUM(C10570,C10546,C10522,C10498,C10474,C10450,C10426,C10402,C10378,C10354,C10330,C10306,C10282,C10258)/POBLA!$B$9*100000</f>
        <v>1515.3843484640438</v>
      </c>
      <c r="H10570" s="256">
        <f t="shared" si="1757"/>
        <v>8.1665182546749779</v>
      </c>
      <c r="I10570" s="297">
        <f t="shared" si="1760"/>
        <v>12375.413944580361</v>
      </c>
      <c r="J10570" s="422">
        <f t="shared" si="1761"/>
        <v>1106.5714285714287</v>
      </c>
      <c r="K10570" s="297">
        <f>J10570/POBLA!$B$9*100000</f>
        <v>182.84603896136085</v>
      </c>
      <c r="L10570" s="200">
        <f>(SUM(C10570,C10546,C10522,C10498,C10474,C10450,C10426)/SUM(C10402,C10378,C10354,C10330,C10306,C10282,C10258))-1</f>
        <v>4.4357894736842107</v>
      </c>
      <c r="M10570" s="401">
        <f>SUM(C10570,C10546,C10522,C10498,C10474,C10450,C10426)/POBLA!$B$9*100000</f>
        <v>1279.922272729526</v>
      </c>
    </row>
    <row r="10571" spans="1:13" x14ac:dyDescent="0.25">
      <c r="A10571" s="367" t="s">
        <v>32</v>
      </c>
      <c r="B10571" s="2">
        <v>44333</v>
      </c>
      <c r="C10571" s="416">
        <v>77</v>
      </c>
      <c r="D10571" s="39">
        <f t="shared" si="1756"/>
        <v>26319</v>
      </c>
      <c r="E10571" s="1">
        <v>4</v>
      </c>
      <c r="F10571" s="39">
        <f t="shared" si="1758"/>
        <v>1070</v>
      </c>
      <c r="G10571" s="168">
        <f>SUM(C10571,C10547,C10523,C10499,C10475,C10451,C10427,C10403,C10379,C10355,C10331,C10307,C10283,C10259)/POBLA!$B$10*100000</f>
        <v>162.28185673275124</v>
      </c>
      <c r="H10571" s="256">
        <f t="shared" si="1757"/>
        <v>0.95060790273556228</v>
      </c>
      <c r="I10571" s="297">
        <f t="shared" si="1760"/>
        <v>154.26641548075364</v>
      </c>
      <c r="J10571" s="422">
        <f t="shared" si="1761"/>
        <v>87.571428571428569</v>
      </c>
      <c r="K10571" s="297">
        <f>J10571/POBLA!$B$10*100000</f>
        <v>11.359915288018328</v>
      </c>
      <c r="L10571" s="200">
        <f t="shared" ref="L10571:L10593" si="1762">(SUM(C10571,C10547,C10523,C10499,C10475,C10451,C10427)/SUM(C10403,C10379,C10355,C10331,C10307,C10283,C10259))-1</f>
        <v>-3.9184952978056464E-2</v>
      </c>
      <c r="M10571" s="401">
        <f>SUM(C10571,C10547,C10523,C10499,C10475,C10451,C10427)/POBLA!$B$10*100000</f>
        <v>79.519407016128298</v>
      </c>
    </row>
    <row r="10572" spans="1:13" x14ac:dyDescent="0.25">
      <c r="A10572" s="367" t="s">
        <v>33</v>
      </c>
      <c r="B10572" s="2">
        <v>44333</v>
      </c>
      <c r="C10572" s="416">
        <v>509</v>
      </c>
      <c r="D10572" s="39">
        <f t="shared" si="1756"/>
        <v>34101</v>
      </c>
      <c r="E10572" s="1">
        <v>13</v>
      </c>
      <c r="F10572" s="39">
        <f t="shared" si="1758"/>
        <v>454</v>
      </c>
      <c r="G10572" s="168">
        <f>SUM(C10572,C10548,C10524,C10500,C10476,C10452,C10428,C10404,C10380,C10356,C10332,C10308,C10284,C10260)/POBLA!$B$11*100000</f>
        <v>1750.9792761726205</v>
      </c>
      <c r="H10572" s="256">
        <f t="shared" si="1757"/>
        <v>1.7232289950576607</v>
      </c>
      <c r="I10572" s="297">
        <f t="shared" si="1760"/>
        <v>3017.3382584457349</v>
      </c>
      <c r="J10572" s="422">
        <f t="shared" si="1761"/>
        <v>514.28571428571433</v>
      </c>
      <c r="K10572" s="297">
        <f>J10572/POBLA!$B$11*100000</f>
        <v>143.48368829603555</v>
      </c>
      <c r="L10572" s="200">
        <f t="shared" si="1762"/>
        <v>0.34529147982062791</v>
      </c>
      <c r="M10572" s="401">
        <f>SUM(C10572,C10548,C10524,C10500,C10476,C10452,C10428)/POBLA!$B$11*100000</f>
        <v>1004.3858180722489</v>
      </c>
    </row>
    <row r="10573" spans="1:13" x14ac:dyDescent="0.25">
      <c r="A10573" s="367" t="s">
        <v>21</v>
      </c>
      <c r="B10573" s="2">
        <v>44333</v>
      </c>
      <c r="C10573" s="416">
        <v>162</v>
      </c>
      <c r="D10573" s="39">
        <f t="shared" si="1756"/>
        <v>15016</v>
      </c>
      <c r="F10573" s="39">
        <f t="shared" si="1758"/>
        <v>517</v>
      </c>
      <c r="G10573" s="168">
        <f>SUM(C10573,C10549,C10525,C10501,C10477,C10453,C10429,C10405,C10381,C10357,C10333,C10309,C10285,C10261)/POBLA!$B$12*100000</f>
        <v>316.36643618927098</v>
      </c>
      <c r="H10573" s="256">
        <f t="shared" si="1757"/>
        <v>1.0263808738664468</v>
      </c>
      <c r="I10573" s="297">
        <f t="shared" si="1760"/>
        <v>324.71245923795743</v>
      </c>
      <c r="J10573" s="422">
        <f t="shared" si="1761"/>
        <v>90.857142857142861</v>
      </c>
      <c r="K10573" s="297">
        <f>J10573/POBLA!$B$12*100000</f>
        <v>23.08767107474198</v>
      </c>
      <c r="L10573" s="200">
        <f t="shared" si="1762"/>
        <v>4.4334975369458185E-2</v>
      </c>
      <c r="M10573" s="401">
        <f>SUM(C10573,C10549,C10525,C10501,C10477,C10453,C10429)/POBLA!$B$12*100000</f>
        <v>161.61369752319385</v>
      </c>
    </row>
    <row r="10574" spans="1:13" x14ac:dyDescent="0.25">
      <c r="A10574" s="367" t="s">
        <v>17</v>
      </c>
      <c r="B10574" s="2">
        <v>44333</v>
      </c>
      <c r="C10574" s="416">
        <v>898</v>
      </c>
      <c r="D10574" s="39">
        <f t="shared" si="1756"/>
        <v>109235</v>
      </c>
      <c r="E10574" s="1">
        <v>31</v>
      </c>
      <c r="F10574" s="39">
        <f t="shared" si="1758"/>
        <v>2222</v>
      </c>
      <c r="G10574" s="168">
        <f>SUM(C10574,C10550,C10526,C10502,C10478,C10454,C10430,C10406,C10382,C10358,C10334,C10310,C10286,C10262)/POBLA!$B$13*100000</f>
        <v>568.34567797027444</v>
      </c>
      <c r="H10574" s="256">
        <f t="shared" si="1757"/>
        <v>1.0273363000635727</v>
      </c>
      <c r="I10574" s="297">
        <f t="shared" si="1760"/>
        <v>583.88214596310456</v>
      </c>
      <c r="J10574" s="422">
        <f t="shared" si="1761"/>
        <v>824.28571428571433</v>
      </c>
      <c r="K10574" s="297">
        <f>J10574/POBLA!$B$13*100000</f>
        <v>41.414358480103097</v>
      </c>
      <c r="L10574" s="200">
        <f t="shared" si="1762"/>
        <v>4.114038253338137E-2</v>
      </c>
      <c r="M10574" s="401">
        <f>SUM(C10574,C10550,C10526,C10502,C10478,C10454,C10430)/POBLA!$B$13*100000</f>
        <v>289.90050936072168</v>
      </c>
    </row>
    <row r="10575" spans="1:13" x14ac:dyDescent="0.25">
      <c r="A10575" s="367" t="s">
        <v>23</v>
      </c>
      <c r="B10575" s="2">
        <v>44333</v>
      </c>
      <c r="C10575" s="416">
        <v>152</v>
      </c>
      <c r="D10575" s="39">
        <f t="shared" si="1756"/>
        <v>18070</v>
      </c>
      <c r="F10575" s="39">
        <f t="shared" si="1758"/>
        <v>259</v>
      </c>
      <c r="G10575" s="168">
        <f>SUM(C10575,C10551,C10527,C10503,C10479,C10455,C10431,C10407,C10383,C10359,C10335,C10311,C10287,C10263)/POBLA!$B$14*100000</f>
        <v>169.27060621869288</v>
      </c>
      <c r="H10575" s="256">
        <f t="shared" si="1757"/>
        <v>1.3624760689215061</v>
      </c>
      <c r="I10575" s="297">
        <f t="shared" si="1760"/>
        <v>230.62715014480492</v>
      </c>
      <c r="J10575" s="422">
        <f t="shared" si="1761"/>
        <v>144</v>
      </c>
      <c r="K10575" s="297">
        <f>J10575/POBLA!$B$14*100000</f>
        <v>11.41684650842706</v>
      </c>
      <c r="L10575" s="200">
        <f t="shared" si="1762"/>
        <v>-0.10559006211180122</v>
      </c>
      <c r="M10575" s="401">
        <f>SUM(C10575,C10551,C10527,C10503,C10479,C10455,C10431)/POBLA!$B$14*100000</f>
        <v>79.917925558989424</v>
      </c>
    </row>
    <row r="10576" spans="1:13" x14ac:dyDescent="0.25">
      <c r="A10576" s="367" t="s">
        <v>19</v>
      </c>
      <c r="B10576" s="2">
        <v>44333</v>
      </c>
      <c r="C10576" s="416">
        <v>700</v>
      </c>
      <c r="D10576" s="39">
        <f t="shared" si="1756"/>
        <v>79092</v>
      </c>
      <c r="E10576" s="1">
        <v>1</v>
      </c>
      <c r="F10576" s="39">
        <f t="shared" si="1758"/>
        <v>1166</v>
      </c>
      <c r="G10576" s="168">
        <f>SUM(C10576,C10552,C10528,C10504,C10480,C10456,C10432,C10408,C10384,C10360,C10336,C10312,C10288,C10264)/POBLA!$B$15*100000</f>
        <v>1077.9195159451674</v>
      </c>
      <c r="H10576" s="256">
        <f t="shared" si="1757"/>
        <v>1.7975891511803115</v>
      </c>
      <c r="I10576" s="297">
        <f t="shared" si="1760"/>
        <v>1937.6564277085656</v>
      </c>
      <c r="J10576" s="422">
        <f t="shared" si="1761"/>
        <v>552.71428571428567</v>
      </c>
      <c r="K10576" s="297">
        <f>J10576/POBLA!$B$15*100000</f>
        <v>83.232958272299769</v>
      </c>
      <c r="L10576" s="200">
        <f t="shared" si="1762"/>
        <v>0.17634539373669811</v>
      </c>
      <c r="M10576" s="401">
        <f>SUM(C10576,C10552,C10528,C10504,C10480,C10456,C10432)/POBLA!$B$15*100000</f>
        <v>582.63070790609845</v>
      </c>
    </row>
    <row r="10577" spans="1:13" x14ac:dyDescent="0.25">
      <c r="A10577" s="367" t="s">
        <v>18</v>
      </c>
      <c r="B10577" s="2">
        <v>44333</v>
      </c>
      <c r="C10577" s="416">
        <v>406</v>
      </c>
      <c r="D10577" s="39">
        <f t="shared" si="1756"/>
        <v>66845</v>
      </c>
      <c r="E10577" s="1">
        <v>11</v>
      </c>
      <c r="F10577" s="39">
        <f t="shared" si="1758"/>
        <v>1445</v>
      </c>
      <c r="G10577" s="168">
        <f>SUM(C10577,C10553,C10529,C10505,C10481,C10457,C10433,C10409,C10385,C10361,C10337,C10313,C10289,C10265)/POBLA!$B$16*100000</f>
        <v>641.91222696325622</v>
      </c>
      <c r="H10577" s="256">
        <f t="shared" si="1757"/>
        <v>1.2917900403768505</v>
      </c>
      <c r="I10577" s="297">
        <f t="shared" si="1760"/>
        <v>829.2158215872588</v>
      </c>
      <c r="J10577" s="422">
        <f t="shared" si="1761"/>
        <v>379.57142857142856</v>
      </c>
      <c r="K10577" s="297">
        <f>J10577/POBLA!$B$16*100000</f>
        <v>50.771315066870237</v>
      </c>
      <c r="L10577" s="200">
        <f t="shared" si="1762"/>
        <v>0.24042950513538752</v>
      </c>
      <c r="M10577" s="401">
        <f>SUM(C10577,C10553,C10529,C10505,C10481,C10457,C10433)/POBLA!$B$16*100000</f>
        <v>355.39920546809168</v>
      </c>
    </row>
    <row r="10578" spans="1:13" x14ac:dyDescent="0.25">
      <c r="A10578" s="367" t="s">
        <v>34</v>
      </c>
      <c r="B10578" s="2">
        <v>44333</v>
      </c>
      <c r="C10578" s="416">
        <v>248</v>
      </c>
      <c r="D10578" s="39">
        <f t="shared" si="1756"/>
        <v>38706</v>
      </c>
      <c r="E10578" s="1">
        <v>2</v>
      </c>
      <c r="F10578" s="39">
        <f t="shared" si="1758"/>
        <v>1320</v>
      </c>
      <c r="G10578" s="168">
        <f>SUM(C10578,C10554,C10530,C10506,C10482,C10458,C10434,C10410,C10386,C10362,C10338,C10314,C10290,C10266)/POBLA!$B$17*100000</f>
        <v>252.73852725047863</v>
      </c>
      <c r="H10578" s="256">
        <f t="shared" ref="H10578:H10601" si="1763">SUM(C10578,C10554,C10530,C10506,C10482,C10458,C10434,C10410,C10386,C10362,C10338,C10314,C10290,C10266)/SUM(C10242,C10218,C10194,C10170,C10146,C10122,C10098,C10074,C10050,C10026,C10002,C9978,C9954,C9930)</f>
        <v>1.3559322033898304</v>
      </c>
      <c r="I10578" s="297">
        <f t="shared" si="1760"/>
        <v>342.69630813624218</v>
      </c>
      <c r="J10578" s="422">
        <f t="shared" si="1761"/>
        <v>281.28571428571428</v>
      </c>
      <c r="K10578" s="297">
        <f>J10578/POBLA!$B$17*100000</f>
        <v>19.747704768102871</v>
      </c>
      <c r="L10578" s="200">
        <f t="shared" si="1762"/>
        <v>0.20723482526057624</v>
      </c>
      <c r="M10578" s="401">
        <f>SUM(C10578,C10554,C10530,C10506,C10482,C10458,C10434)/POBLA!$B$17*100000</f>
        <v>138.2339333767201</v>
      </c>
    </row>
    <row r="10579" spans="1:13" x14ac:dyDescent="0.25">
      <c r="A10579" s="367" t="s">
        <v>35</v>
      </c>
      <c r="B10579" s="2">
        <v>44333</v>
      </c>
      <c r="C10579" s="416">
        <v>562</v>
      </c>
      <c r="D10579" s="39">
        <f t="shared" si="1756"/>
        <v>29787</v>
      </c>
      <c r="E10579" s="1">
        <v>3</v>
      </c>
      <c r="F10579" s="39">
        <f t="shared" si="1758"/>
        <v>551</v>
      </c>
      <c r="G10579" s="168">
        <f>SUM(C10579,C10555,C10531,C10507,C10483,C10459,C10435,C10411,C10387,C10363,C10339,C10315,C10291,C10267)/POBLA!$B$18*100000</f>
        <v>733.98300344206541</v>
      </c>
      <c r="H10579" s="256">
        <f t="shared" si="1763"/>
        <v>1.559847660500544</v>
      </c>
      <c r="I10579" s="297">
        <f t="shared" si="1760"/>
        <v>1144.9016707662686</v>
      </c>
      <c r="J10579" s="422">
        <f t="shared" si="1761"/>
        <v>463.28571428571428</v>
      </c>
      <c r="K10579" s="297">
        <f>J10579/POBLA!$B$18*100000</f>
        <v>59.303076390518164</v>
      </c>
      <c r="L10579" s="200">
        <f t="shared" si="1762"/>
        <v>0.30188679245283012</v>
      </c>
      <c r="M10579" s="401">
        <f>SUM(C10579,C10555,C10531,C10507,C10483,C10459,C10435)/POBLA!$B$18*100000</f>
        <v>415.12153473362713</v>
      </c>
    </row>
    <row r="10580" spans="1:13" x14ac:dyDescent="0.25">
      <c r="A10580" s="367" t="s">
        <v>36</v>
      </c>
      <c r="B10580" s="2">
        <v>44333</v>
      </c>
      <c r="C10580" s="416">
        <v>319</v>
      </c>
      <c r="D10580" s="39">
        <f t="shared" si="1756"/>
        <v>45084</v>
      </c>
      <c r="E10580" s="1">
        <v>12</v>
      </c>
      <c r="F10580" s="39">
        <f t="shared" si="1758"/>
        <v>619</v>
      </c>
      <c r="G10580" s="168">
        <f>SUM(C10580,C10556,C10532,C10508,C10484,C10460,C10436,C10412,C10388,C10364,C10340,C10316,C10292,C10268)/POBLA!$B$19*100000</f>
        <v>1228.5374797374923</v>
      </c>
      <c r="H10580" s="256">
        <f t="shared" si="1763"/>
        <v>0.75358996017859303</v>
      </c>
      <c r="I10580" s="297">
        <f t="shared" si="1760"/>
        <v>925.81351043328584</v>
      </c>
      <c r="J10580" s="422">
        <f t="shared" si="1761"/>
        <v>458.85714285714283</v>
      </c>
      <c r="K10580" s="297">
        <f>J10580/POBLA!$B$19*100000</f>
        <v>90.267925996038542</v>
      </c>
      <c r="L10580" s="200">
        <f t="shared" si="1762"/>
        <v>5.9017474447741414E-2</v>
      </c>
      <c r="M10580" s="401">
        <f>SUM(C10580,C10556,C10532,C10508,C10484,C10460,C10436)/POBLA!$B$19*100000</f>
        <v>631.87548197226988</v>
      </c>
    </row>
    <row r="10581" spans="1:13" x14ac:dyDescent="0.25">
      <c r="A10581" s="367" t="s">
        <v>37</v>
      </c>
      <c r="B10581" s="2">
        <v>44333</v>
      </c>
      <c r="C10581" s="416">
        <v>216</v>
      </c>
      <c r="D10581" s="39">
        <f t="shared" si="1756"/>
        <v>48357</v>
      </c>
      <c r="E10581" s="1">
        <v>1</v>
      </c>
      <c r="F10581" s="39">
        <f t="shared" si="1758"/>
        <v>751</v>
      </c>
      <c r="G10581" s="168">
        <f>SUM(C10581,C10557,C10533,C10509,C10485,C10461,C10437,C10413,C10389,C10365,C10341,C10317,C10293,C10269)/POBLA!$B$20*100000</f>
        <v>863.55408014263128</v>
      </c>
      <c r="H10581" s="256">
        <f t="shared" si="1763"/>
        <v>1.1525547445255475</v>
      </c>
      <c r="I10581" s="297">
        <f t="shared" si="1760"/>
        <v>995.29335222278462</v>
      </c>
      <c r="J10581" s="422">
        <f t="shared" si="1761"/>
        <v>221.85714285714286</v>
      </c>
      <c r="K10581" s="297">
        <f>J10581/POBLA!$B$20*100000</f>
        <v>60.666764066837359</v>
      </c>
      <c r="L10581" s="200">
        <f t="shared" si="1762"/>
        <v>-3.2398753894080978E-2</v>
      </c>
      <c r="M10581" s="401">
        <f>SUM(C10581,C10557,C10533,C10509,C10485,C10461,C10437)/POBLA!$B$20*100000</f>
        <v>424.66734846786142</v>
      </c>
    </row>
    <row r="10582" spans="1:13" x14ac:dyDescent="0.25">
      <c r="A10582" s="367" t="s">
        <v>22</v>
      </c>
      <c r="B10582" s="2">
        <v>44333</v>
      </c>
      <c r="C10582" s="416">
        <v>1618</v>
      </c>
      <c r="D10582" s="39">
        <f t="shared" si="1756"/>
        <v>304625</v>
      </c>
      <c r="E10582" s="1">
        <v>33</v>
      </c>
      <c r="F10582" s="39">
        <f t="shared" si="1758"/>
        <v>4980</v>
      </c>
      <c r="G10582" s="168">
        <f>SUM(C10582,C10558,C10534,C10510,C10486,C10462,C10438,C10414,C10390,C10366,C10342,C10318,C10294,C10270)/POBLA!$B$21*100000</f>
        <v>754.12465381637583</v>
      </c>
      <c r="H10582" s="256">
        <f t="shared" si="1763"/>
        <v>1.119323428187694</v>
      </c>
      <c r="I10582" s="297">
        <f t="shared" si="1760"/>
        <v>844.10939279060381</v>
      </c>
      <c r="J10582" s="422">
        <f t="shared" si="1761"/>
        <v>2038</v>
      </c>
      <c r="K10582" s="297">
        <f>J10582/POBLA!$B$21*100000</f>
        <v>57.628934136179602</v>
      </c>
      <c r="L10582" s="200">
        <f t="shared" si="1762"/>
        <v>0.15020559542046286</v>
      </c>
      <c r="M10582" s="401">
        <f>SUM(C10582,C10558,C10534,C10510,C10486,C10462,C10438)/POBLA!$B$21*100000</f>
        <v>403.40253895325719</v>
      </c>
    </row>
    <row r="10583" spans="1:13" x14ac:dyDescent="0.25">
      <c r="A10583" s="367" t="s">
        <v>38</v>
      </c>
      <c r="B10583" s="2">
        <v>44333</v>
      </c>
      <c r="C10583" s="416">
        <v>429</v>
      </c>
      <c r="D10583" s="39">
        <f t="shared" si="1756"/>
        <v>35755</v>
      </c>
      <c r="E10583" s="1">
        <v>5</v>
      </c>
      <c r="F10583" s="39">
        <f t="shared" si="1758"/>
        <v>413</v>
      </c>
      <c r="G10583" s="168">
        <f>SUM(C10583,C10559,C10535,C10511,C10487,C10463,C10439,C10415,C10391,C10367,C10343,C10319,C10295,C10271)/POBLA!$B$22*100000</f>
        <v>468.86834786004067</v>
      </c>
      <c r="H10583" s="256">
        <f t="shared" si="1763"/>
        <v>1.6619565217391303</v>
      </c>
      <c r="I10583" s="297">
        <f t="shared" si="1760"/>
        <v>779.23880856304584</v>
      </c>
      <c r="J10583" s="422">
        <f t="shared" si="1761"/>
        <v>389.71428571428572</v>
      </c>
      <c r="K10583" s="297">
        <f>J10583/POBLA!$B$22*100000</f>
        <v>39.835337536584483</v>
      </c>
      <c r="L10583" s="200">
        <f t="shared" si="1762"/>
        <v>0.46745562130177509</v>
      </c>
      <c r="M10583" s="401">
        <f>SUM(C10583,C10559,C10535,C10511,C10487,C10463,C10439)/POBLA!$B$22*100000</f>
        <v>278.84736275609134</v>
      </c>
    </row>
    <row r="10584" spans="1:13" x14ac:dyDescent="0.25">
      <c r="A10584" s="367" t="s">
        <v>39</v>
      </c>
      <c r="B10584" s="2">
        <v>44333</v>
      </c>
      <c r="C10584" s="416">
        <v>46</v>
      </c>
      <c r="D10584" s="39">
        <f t="shared" si="1756"/>
        <v>27577</v>
      </c>
      <c r="E10584" s="1">
        <v>3</v>
      </c>
      <c r="F10584" s="39">
        <f t="shared" si="1758"/>
        <v>407</v>
      </c>
      <c r="G10584" s="168">
        <f>SUM(C10584,C10560,C10536,C10512,C10488,C10464,C10440,C10416,C10392,C10368,C10344,C10320,C10296,C10272)/POBLA!$B$23*100000</f>
        <v>564.38387151501445</v>
      </c>
      <c r="H10584" s="256">
        <f t="shared" si="1763"/>
        <v>0.91643709825528008</v>
      </c>
      <c r="I10584" s="297">
        <f t="shared" si="1760"/>
        <v>517.22231751330071</v>
      </c>
      <c r="J10584" s="422">
        <f t="shared" si="1761"/>
        <v>74.428571428571431</v>
      </c>
      <c r="K10584" s="297">
        <f>J10584/POBLA!$B$23*100000</f>
        <v>42.090466226642214</v>
      </c>
      <c r="L10584" s="200">
        <f t="shared" si="1762"/>
        <v>9.2243186582809278E-2</v>
      </c>
      <c r="M10584" s="401">
        <f>SUM(C10584,C10560,C10536,C10512,C10488,C10464,C10440)/POBLA!$B$23*100000</f>
        <v>294.6332635864955</v>
      </c>
    </row>
    <row r="10585" spans="1:13" ht="15.75" thickBot="1" x14ac:dyDescent="0.3">
      <c r="A10585" s="368" t="s">
        <v>40</v>
      </c>
      <c r="B10585" s="34">
        <v>44333</v>
      </c>
      <c r="C10585" s="416">
        <v>910</v>
      </c>
      <c r="D10585" s="67">
        <f t="shared" si="1756"/>
        <v>115823</v>
      </c>
      <c r="E10585" s="232">
        <v>7</v>
      </c>
      <c r="F10585" s="67">
        <f t="shared" si="1758"/>
        <v>1755</v>
      </c>
      <c r="G10585" s="255">
        <f>SUM(C10585,C10561,C10537,C10513,C10489,C10465,C10441,C10417,C10393,C10369,C10345,C10321,C10297,C10273)/POBLA!$B$24*100000</f>
        <v>500.16050455077607</v>
      </c>
      <c r="H10585" s="257">
        <f t="shared" si="1763"/>
        <v>0.94010647737355812</v>
      </c>
      <c r="I10585" s="299">
        <f t="shared" si="1760"/>
        <v>470.2041300546116</v>
      </c>
      <c r="J10585" s="428">
        <f t="shared" si="1761"/>
        <v>682.71428571428567</v>
      </c>
      <c r="K10585" s="299">
        <f>J10585/POBLA!$B$24*100000</f>
        <v>40.28630505036336</v>
      </c>
      <c r="L10585" s="260">
        <f t="shared" si="1762"/>
        <v>0.29266973221530979</v>
      </c>
      <c r="M10585" s="406">
        <f>SUM(C10585,C10561,C10537,C10513,C10489,C10465,C10441)/POBLA!$B$24*100000</f>
        <v>282.00413535254353</v>
      </c>
    </row>
    <row r="10586" spans="1:13" x14ac:dyDescent="0.25">
      <c r="A10586" s="363" t="s">
        <v>16</v>
      </c>
      <c r="B10586" s="265">
        <v>44334</v>
      </c>
      <c r="C10586" s="43">
        <v>14593</v>
      </c>
      <c r="D10586" s="174">
        <f t="shared" si="1756"/>
        <v>1462970</v>
      </c>
      <c r="E10586" s="43">
        <v>488</v>
      </c>
      <c r="F10586" s="174">
        <f t="shared" ref="F10586:F10609" si="1764">E10586+F10562</f>
        <v>37315</v>
      </c>
      <c r="G10586" s="175">
        <f>SUM(C10586,C10562,C10538,C10514,C10490,C10466,C10442,C10418,C10394,C10370,C10346,C10322,C10298,C10274)/POBLA!$B$1*100000</f>
        <v>748.04711962579859</v>
      </c>
      <c r="H10586" s="300">
        <f t="shared" si="1763"/>
        <v>0.91174774349103993</v>
      </c>
      <c r="I10586" s="301">
        <f>G10586*H10586</f>
        <v>682.03027334379385</v>
      </c>
      <c r="J10586" s="421">
        <f>AVERAGE(C10586,C10562,C10538,C10514,C10490,C10466,C10442)</f>
        <v>9956.1428571428569</v>
      </c>
      <c r="K10586" s="301">
        <f>J10586/POBLA!$B$1*100000</f>
        <v>56.758809801157504</v>
      </c>
      <c r="L10586" s="399">
        <f t="shared" si="1762"/>
        <v>0.13279586496107143</v>
      </c>
      <c r="M10586" s="400">
        <f>SUM(C10586,C10562,C10538,C10514,C10490,C10466,C10442)/POBLA!$B$1*100000</f>
        <v>397.31166860810248</v>
      </c>
    </row>
    <row r="10587" spans="1:13" x14ac:dyDescent="0.25">
      <c r="A10587" s="367" t="s">
        <v>43</v>
      </c>
      <c r="B10587" s="2">
        <v>44334</v>
      </c>
      <c r="C10587" s="1">
        <v>3465</v>
      </c>
      <c r="D10587" s="39">
        <f t="shared" si="1756"/>
        <v>384019</v>
      </c>
      <c r="E10587" s="1">
        <v>47</v>
      </c>
      <c r="F10587" s="39">
        <f t="shared" si="1764"/>
        <v>8603</v>
      </c>
      <c r="G10587" s="168">
        <f>SUM(C10587,C10563,C10539,C10515,C10491,C10467,C10443,C10419,C10395,C10371,C10347,C10323,C10299,C10275)/POBLA!$B$2*100000</f>
        <v>1066.0199515809036</v>
      </c>
      <c r="H10587" s="256">
        <f t="shared" si="1763"/>
        <v>0.863111064311475</v>
      </c>
      <c r="I10587" s="297">
        <f t="shared" ref="I10587:I10609" si="1765">G10587*H10587</f>
        <v>920.09361498626072</v>
      </c>
      <c r="J10587" s="422">
        <f t="shared" ref="J10587:J10609" si="1766">AVERAGE(C10587,C10563,C10539,C10515,C10491,C10467,C10443)</f>
        <v>2523.1428571428573</v>
      </c>
      <c r="K10587" s="297">
        <f>J10587/POBLA!$B$2*100000</f>
        <v>82.036191978623592</v>
      </c>
      <c r="L10587" s="200">
        <f t="shared" si="1762"/>
        <v>0.16773553719008261</v>
      </c>
      <c r="M10587" s="401">
        <f>SUM(C10587,C10563,C10539,C10515,C10491,C10467,C10443)/POBLA!$B$2*100000</f>
        <v>574.25334385036513</v>
      </c>
    </row>
    <row r="10588" spans="1:13" x14ac:dyDescent="0.25">
      <c r="A10588" s="367" t="s">
        <v>28</v>
      </c>
      <c r="B10588" s="2">
        <v>44334</v>
      </c>
      <c r="C10588" s="1">
        <v>440</v>
      </c>
      <c r="D10588" s="39">
        <f t="shared" si="1756"/>
        <v>18632</v>
      </c>
      <c r="E10588" s="1">
        <v>9</v>
      </c>
      <c r="F10588" s="39">
        <f t="shared" si="1764"/>
        <v>133</v>
      </c>
      <c r="G10588" s="168">
        <f>SUM(C10588,C10564,C10540,C10516,C10492,C10468,C10444,C10420,C10396,C10372,C10348,C10324,C10300,C10276)/POBLA!$B$3*100000</f>
        <v>788.56532141980267</v>
      </c>
      <c r="H10588" s="256">
        <f t="shared" si="1763"/>
        <v>1.489090909090909</v>
      </c>
      <c r="I10588" s="297">
        <f t="shared" si="1765"/>
        <v>1174.2454513505788</v>
      </c>
      <c r="J10588" s="422">
        <f t="shared" si="1766"/>
        <v>304</v>
      </c>
      <c r="K10588" s="297">
        <f>J10588/POBLA!$B$3*100000</f>
        <v>73.175780742252755</v>
      </c>
      <c r="L10588" s="200">
        <f t="shared" si="1762"/>
        <v>0.85365853658536595</v>
      </c>
      <c r="M10588" s="401">
        <f>SUM(C10588,C10564,C10540,C10516,C10492,C10468,C10444)/POBLA!$B$3*100000</f>
        <v>512.23046519576928</v>
      </c>
    </row>
    <row r="10589" spans="1:13" x14ac:dyDescent="0.25">
      <c r="A10589" s="367" t="s">
        <v>15</v>
      </c>
      <c r="B10589" s="2">
        <v>44334</v>
      </c>
      <c r="C10589" s="1">
        <v>525</v>
      </c>
      <c r="D10589" s="39">
        <f t="shared" si="1756"/>
        <v>50264</v>
      </c>
      <c r="E10589" s="1">
        <v>11</v>
      </c>
      <c r="F10589" s="39">
        <f t="shared" si="1764"/>
        <v>1127</v>
      </c>
      <c r="G10589" s="168">
        <f>SUM(C10589,C10565,C10541,C10517,C10493,C10469,C10445,C10421,C10397,C10373,C10349,C10325,C10301,C10277)/POBLA!$B$4*100000</f>
        <v>382.22028141839922</v>
      </c>
      <c r="H10589" s="256">
        <f t="shared" si="1763"/>
        <v>1.4653087205601527</v>
      </c>
      <c r="I10589" s="297">
        <f t="shared" si="1765"/>
        <v>560.07071153733602</v>
      </c>
      <c r="J10589" s="422">
        <f t="shared" si="1766"/>
        <v>403.14285714285717</v>
      </c>
      <c r="K10589" s="297">
        <f>J10589/POBLA!$B$4*100000</f>
        <v>33.468587382484877</v>
      </c>
      <c r="L10589" s="200">
        <f t="shared" si="1762"/>
        <v>0.58361391694725029</v>
      </c>
      <c r="M10589" s="401">
        <f>SUM(C10589,C10565,C10541,C10517,C10493,C10469,C10445)/POBLA!$B$4*100000</f>
        <v>234.28011167739416</v>
      </c>
    </row>
    <row r="10590" spans="1:13" x14ac:dyDescent="0.25">
      <c r="A10590" s="367" t="s">
        <v>29</v>
      </c>
      <c r="B10590" s="2">
        <v>44334</v>
      </c>
      <c r="C10590" s="1">
        <v>320</v>
      </c>
      <c r="D10590" s="39">
        <f t="shared" si="1756"/>
        <v>58454</v>
      </c>
      <c r="E10590" s="1">
        <v>7</v>
      </c>
      <c r="F10590" s="39">
        <f t="shared" si="1764"/>
        <v>968</v>
      </c>
      <c r="G10590" s="168">
        <f>SUM(C10590,C10566,C10542,C10518,C10494,C10470,C10446,C10422,C10398,C10374,C10350,C10326,C10302,C10278)/POBLA!$B$5*100000</f>
        <v>503.07434320849637</v>
      </c>
      <c r="H10590" s="256">
        <f t="shared" si="1763"/>
        <v>1.3382036957455952</v>
      </c>
      <c r="I10590" s="297">
        <f t="shared" si="1765"/>
        <v>673.21594531639778</v>
      </c>
      <c r="J10590" s="422">
        <f t="shared" si="1766"/>
        <v>229.28571428571428</v>
      </c>
      <c r="K10590" s="297">
        <f>J10590/POBLA!$B$5*100000</f>
        <v>37.041669916948187</v>
      </c>
      <c r="L10590" s="200">
        <f t="shared" si="1762"/>
        <v>6.3618290258449228E-2</v>
      </c>
      <c r="M10590" s="401">
        <f>SUM(C10590,C10566,C10542,C10518,C10494,C10470,C10446)/POBLA!$B$5*100000</f>
        <v>259.2916894186373</v>
      </c>
    </row>
    <row r="10591" spans="1:13" x14ac:dyDescent="0.25">
      <c r="A10591" s="367" t="s">
        <v>30</v>
      </c>
      <c r="B10591" s="2">
        <v>44334</v>
      </c>
      <c r="C10591" s="1">
        <v>35</v>
      </c>
      <c r="D10591" s="39">
        <f t="shared" si="1756"/>
        <v>40879</v>
      </c>
      <c r="E10591" s="1">
        <v>5</v>
      </c>
      <c r="F10591" s="39">
        <f t="shared" si="1764"/>
        <v>559</v>
      </c>
      <c r="G10591" s="168">
        <f>SUM(C10591,C10567,C10543,C10519,C10495,C10471,C10447,C10423,C10399,C10375,C10351,C10327,C10303,C10279)/POBLA!$B$6*100000</f>
        <v>237.15182266967997</v>
      </c>
      <c r="H10591" s="256">
        <f t="shared" si="1763"/>
        <v>0.86326729457616114</v>
      </c>
      <c r="I10591" s="297">
        <f t="shared" si="1765"/>
        <v>204.72541235986014</v>
      </c>
      <c r="J10591" s="422">
        <f t="shared" si="1766"/>
        <v>208.14285714285714</v>
      </c>
      <c r="K10591" s="297">
        <f>J10591/POBLA!$B$6*100000</f>
        <v>18.570902162190894</v>
      </c>
      <c r="L10591" s="200">
        <f t="shared" si="1762"/>
        <v>0.21315570358034974</v>
      </c>
      <c r="M10591" s="401">
        <f>SUM(C10591,C10567,C10543,C10519,C10495,C10471,C10447)/POBLA!$B$6*100000</f>
        <v>129.99631513533626</v>
      </c>
    </row>
    <row r="10592" spans="1:13" x14ac:dyDescent="0.25">
      <c r="A10592" s="367" t="s">
        <v>20</v>
      </c>
      <c r="B10592" s="2">
        <v>44334</v>
      </c>
      <c r="C10592" s="1">
        <v>4074</v>
      </c>
      <c r="D10592" s="39">
        <f t="shared" si="1756"/>
        <v>263463</v>
      </c>
      <c r="E10592" s="1">
        <v>25</v>
      </c>
      <c r="F10592" s="39">
        <f t="shared" si="1764"/>
        <v>3639</v>
      </c>
      <c r="G10592" s="168">
        <f>SUM(C10592,C10568,C10544,C10520,C10496,C10472,C10448,C10424,C10400,C10376,C10352,C10328,C10304,C10280)/POBLA!$B$7*100000</f>
        <v>821.49742716962066</v>
      </c>
      <c r="H10592" s="256">
        <f t="shared" si="1763"/>
        <v>1.3948616065381316</v>
      </c>
      <c r="I10592" s="297">
        <f t="shared" si="1765"/>
        <v>1145.8752210287589</v>
      </c>
      <c r="J10592" s="422">
        <f t="shared" si="1766"/>
        <v>2704.7142857142858</v>
      </c>
      <c r="K10592" s="297">
        <f>J10592/POBLA!$B$7*100000</f>
        <v>71.925282498485174</v>
      </c>
      <c r="L10592" s="200">
        <f t="shared" si="1762"/>
        <v>0.5831591270173091</v>
      </c>
      <c r="M10592" s="401">
        <f>SUM(C10592,C10568,C10544,C10520,C10496,C10472,C10448)/POBLA!$B$7*100000</f>
        <v>503.47697748939623</v>
      </c>
    </row>
    <row r="10593" spans="1:13" x14ac:dyDescent="0.25">
      <c r="A10593" s="367" t="s">
        <v>31</v>
      </c>
      <c r="B10593" s="2">
        <v>44334</v>
      </c>
      <c r="C10593" s="1">
        <v>921</v>
      </c>
      <c r="D10593" s="39">
        <f t="shared" si="1756"/>
        <v>73468</v>
      </c>
      <c r="E10593" s="1">
        <v>6</v>
      </c>
      <c r="F10593" s="39">
        <f t="shared" si="1764"/>
        <v>1189</v>
      </c>
      <c r="G10593" s="168">
        <f>SUM(C10593,C10569,C10545,C10521,C10497,C10473,C10449,C10425,C10401,C10377,C10353,C10329,C10305,C10281)/POBLA!$B$8*100000</f>
        <v>652.18285363008056</v>
      </c>
      <c r="H10593" s="256">
        <f t="shared" si="1763"/>
        <v>1.2599665458600502</v>
      </c>
      <c r="I10593" s="297">
        <f t="shared" si="1765"/>
        <v>821.72857735744333</v>
      </c>
      <c r="J10593" s="422">
        <f t="shared" si="1766"/>
        <v>700.71428571428567</v>
      </c>
      <c r="K10593" s="297">
        <f>J10593/POBLA!$B$8*100000</f>
        <v>50.558008898828014</v>
      </c>
      <c r="L10593" s="200">
        <f t="shared" si="1762"/>
        <v>0.1865021770682147</v>
      </c>
      <c r="M10593" s="401">
        <f>SUM(C10593,C10569,C10545,C10521,C10497,C10473,C10449)/POBLA!$B$8*100000</f>
        <v>353.9060622917961</v>
      </c>
    </row>
    <row r="10594" spans="1:13" x14ac:dyDescent="0.25">
      <c r="A10594" s="367" t="s">
        <v>41</v>
      </c>
      <c r="B10594" s="2">
        <v>44334</v>
      </c>
      <c r="C10594" s="1">
        <v>328</v>
      </c>
      <c r="D10594" s="39">
        <f t="shared" si="1756"/>
        <v>14124</v>
      </c>
      <c r="E10594" s="1">
        <v>25</v>
      </c>
      <c r="F10594" s="39">
        <f t="shared" si="1764"/>
        <v>187</v>
      </c>
      <c r="G10594" s="168">
        <f>SUM(C10594,C10570,C10546,C10522,C10498,C10474,C10450,C10426,C10402,C10378,C10354,C10330,C10306,C10282)/POBLA!$B$9*100000</f>
        <v>1542.15266865281</v>
      </c>
      <c r="H10594" s="256">
        <f t="shared" si="1763"/>
        <v>8.0180412371134029</v>
      </c>
      <c r="I10594" s="297">
        <f t="shared" si="1765"/>
        <v>12365.043691182713</v>
      </c>
      <c r="J10594" s="422">
        <f t="shared" si="1766"/>
        <v>1100.1428571428571</v>
      </c>
      <c r="K10594" s="297">
        <f>J10594/POBLA!$B$9*100000</f>
        <v>181.78380403323521</v>
      </c>
      <c r="L10594" s="200">
        <f>(SUM(C10594,C10570,C10546,C10522,C10498,C10474,C10450)/SUM(C10426,C10402,C10378,C10354,C10330,C10306,C10282))-1</f>
        <v>3.71875</v>
      </c>
      <c r="M10594" s="401">
        <f>SUM(C10594,C10570,C10546,C10522,C10498,C10474,C10450)/POBLA!$B$9*100000</f>
        <v>1272.4866282326464</v>
      </c>
    </row>
    <row r="10595" spans="1:13" x14ac:dyDescent="0.25">
      <c r="A10595" s="367" t="s">
        <v>32</v>
      </c>
      <c r="B10595" s="2">
        <v>44334</v>
      </c>
      <c r="C10595" s="1">
        <v>145</v>
      </c>
      <c r="D10595" s="39">
        <f t="shared" si="1756"/>
        <v>26464</v>
      </c>
      <c r="F10595" s="39">
        <f t="shared" si="1764"/>
        <v>1070</v>
      </c>
      <c r="G10595" s="168">
        <f>SUM(C10595,C10571,C10547,C10523,C10499,C10475,C10451,C10427,C10403,C10379,C10355,C10331,C10307,C10283)/POBLA!$B$10*100000</f>
        <v>162.93046527285014</v>
      </c>
      <c r="H10595" s="256">
        <f t="shared" si="1763"/>
        <v>0.9429429429429429</v>
      </c>
      <c r="I10595" s="297">
        <f t="shared" si="1765"/>
        <v>153.63413241944428</v>
      </c>
      <c r="J10595" s="422">
        <f t="shared" si="1766"/>
        <v>94.142857142857139</v>
      </c>
      <c r="K10595" s="297">
        <f>J10595/POBLA!$B$10*100000</f>
        <v>12.212372226434059</v>
      </c>
      <c r="L10595" s="200">
        <f t="shared" ref="L10595:L10617" si="1767">(SUM(C10595,C10571,C10547,C10523,C10499,C10475,C10451)/SUM(C10427,C10403,C10379,C10355,C10331,C10307,C10283))-1</f>
        <v>0.10385259631490795</v>
      </c>
      <c r="M10595" s="401">
        <f>SUM(C10595,C10571,C10547,C10523,C10499,C10475,C10451)/POBLA!$B$10*100000</f>
        <v>85.486605585038419</v>
      </c>
    </row>
    <row r="10596" spans="1:13" x14ac:dyDescent="0.25">
      <c r="A10596" s="367" t="s">
        <v>33</v>
      </c>
      <c r="B10596" s="2">
        <v>44334</v>
      </c>
      <c r="C10596" s="1">
        <v>799</v>
      </c>
      <c r="D10596" s="39">
        <f t="shared" si="1756"/>
        <v>34900</v>
      </c>
      <c r="E10596" s="1">
        <v>18</v>
      </c>
      <c r="F10596" s="39">
        <f t="shared" si="1764"/>
        <v>472</v>
      </c>
      <c r="G10596" s="168">
        <f>SUM(C10596,C10572,C10548,C10524,C10500,C10476,C10452,C10428,C10404,C10380,C10356,C10332,C10308,C10284)/POBLA!$B$11*100000</f>
        <v>1853.0918343432991</v>
      </c>
      <c r="H10596" s="256">
        <f t="shared" si="1763"/>
        <v>1.7632067958587736</v>
      </c>
      <c r="I10596" s="297">
        <f t="shared" si="1765"/>
        <v>3267.3841156645058</v>
      </c>
      <c r="J10596" s="422">
        <f t="shared" si="1766"/>
        <v>572</v>
      </c>
      <c r="K10596" s="297">
        <f>J10596/POBLA!$B$11*100000</f>
        <v>159.58574664925732</v>
      </c>
      <c r="L10596" s="200">
        <f t="shared" si="1767"/>
        <v>0.5178165276724791</v>
      </c>
      <c r="M10596" s="401">
        <f>SUM(C10596,C10572,C10548,C10524,C10500,C10476,C10452)/POBLA!$B$11*100000</f>
        <v>1117.1002265448012</v>
      </c>
    </row>
    <row r="10597" spans="1:13" x14ac:dyDescent="0.25">
      <c r="A10597" s="367" t="s">
        <v>21</v>
      </c>
      <c r="B10597" s="2">
        <v>44334</v>
      </c>
      <c r="C10597" s="1">
        <v>376</v>
      </c>
      <c r="D10597" s="39">
        <f t="shared" si="1756"/>
        <v>15392</v>
      </c>
      <c r="F10597" s="39">
        <f t="shared" si="1764"/>
        <v>517</v>
      </c>
      <c r="G10597" s="168">
        <f>SUM(C10597,C10573,C10549,C10525,C10501,C10477,C10453,C10429,C10405,C10381,C10357,C10333,C10309,C10285)/POBLA!$B$12*100000</f>
        <v>393.10753155405797</v>
      </c>
      <c r="H10597" s="256">
        <f t="shared" si="1763"/>
        <v>1.3087986463620982</v>
      </c>
      <c r="I10597" s="297">
        <f t="shared" si="1765"/>
        <v>514.4986051726969</v>
      </c>
      <c r="J10597" s="422">
        <f t="shared" si="1766"/>
        <v>142.85714285714286</v>
      </c>
      <c r="K10597" s="297">
        <f>J10597/POBLA!$B$12*100000</f>
        <v>36.301369614374181</v>
      </c>
      <c r="L10597" s="200">
        <f t="shared" si="1767"/>
        <v>0.82815356489945158</v>
      </c>
      <c r="M10597" s="401">
        <f>SUM(C10597,C10573,C10549,C10525,C10501,C10477,C10453)/POBLA!$B$12*100000</f>
        <v>254.10958730061927</v>
      </c>
    </row>
    <row r="10598" spans="1:13" x14ac:dyDescent="0.25">
      <c r="A10598" s="367" t="s">
        <v>17</v>
      </c>
      <c r="B10598" s="2">
        <v>44334</v>
      </c>
      <c r="C10598" s="1">
        <v>1095</v>
      </c>
      <c r="D10598" s="39">
        <f t="shared" si="1756"/>
        <v>110330</v>
      </c>
      <c r="E10598" s="1">
        <v>21</v>
      </c>
      <c r="F10598" s="39">
        <f t="shared" si="1764"/>
        <v>2243</v>
      </c>
      <c r="G10598" s="168">
        <f>SUM(C10598,C10574,C10550,C10526,C10502,C10478,C10454,C10430,C10406,C10382,C10358,C10334,C10310,C10286)/POBLA!$B$13*100000</f>
        <v>571.6114549388094</v>
      </c>
      <c r="H10598" s="256">
        <f t="shared" si="1763"/>
        <v>1.0451038030497888</v>
      </c>
      <c r="I10598" s="297">
        <f t="shared" si="1765"/>
        <v>597.39330542337268</v>
      </c>
      <c r="J10598" s="422">
        <f t="shared" si="1766"/>
        <v>832.71428571428567</v>
      </c>
      <c r="K10598" s="297">
        <f>J10598/POBLA!$B$13*100000</f>
        <v>41.837832856242791</v>
      </c>
      <c r="L10598" s="200">
        <f t="shared" si="1767"/>
        <v>5.0648882480172963E-2</v>
      </c>
      <c r="M10598" s="401">
        <f>SUM(C10598,C10574,C10550,C10526,C10502,C10478,C10454)/POBLA!$B$13*100000</f>
        <v>292.86482999369957</v>
      </c>
    </row>
    <row r="10599" spans="1:13" x14ac:dyDescent="0.25">
      <c r="A10599" s="367" t="s">
        <v>23</v>
      </c>
      <c r="B10599" s="2">
        <v>44334</v>
      </c>
      <c r="C10599" s="1">
        <v>129</v>
      </c>
      <c r="D10599" s="39">
        <f t="shared" si="1756"/>
        <v>18199</v>
      </c>
      <c r="F10599" s="39">
        <f t="shared" si="1764"/>
        <v>259</v>
      </c>
      <c r="G10599" s="168">
        <f>SUM(C10599,C10575,C10551,C10527,C10503,C10479,C10455,C10431,C10407,C10383,C10359,C10335,C10311,C10287)/POBLA!$B$14*100000</f>
        <v>172.99693806519338</v>
      </c>
      <c r="H10599" s="256">
        <f t="shared" si="1763"/>
        <v>1.4214983713355049</v>
      </c>
      <c r="I10599" s="297">
        <f t="shared" si="1765"/>
        <v>245.9148657057016</v>
      </c>
      <c r="J10599" s="422">
        <f t="shared" si="1766"/>
        <v>143</v>
      </c>
      <c r="K10599" s="297">
        <f>J10599/POBLA!$B$14*100000</f>
        <v>11.337562852118539</v>
      </c>
      <c r="L10599" s="200">
        <f t="shared" si="1767"/>
        <v>-0.15241320914479251</v>
      </c>
      <c r="M10599" s="401">
        <f>SUM(C10599,C10575,C10551,C10527,C10503,C10479,C10455)/POBLA!$B$14*100000</f>
        <v>79.362939964829764</v>
      </c>
    </row>
    <row r="10600" spans="1:13" x14ac:dyDescent="0.25">
      <c r="A10600" s="367" t="s">
        <v>19</v>
      </c>
      <c r="B10600" s="2">
        <v>44334</v>
      </c>
      <c r="C10600" s="1">
        <v>807</v>
      </c>
      <c r="D10600" s="39">
        <f t="shared" si="1756"/>
        <v>79899</v>
      </c>
      <c r="E10600" s="1">
        <v>10</v>
      </c>
      <c r="F10600" s="39">
        <f t="shared" si="1764"/>
        <v>1176</v>
      </c>
      <c r="G10600" s="168">
        <f>SUM(C10600,C10576,C10552,C10528,C10504,C10480,C10456,C10432,C10408,C10384,C10360,C10336,C10312,C10288)/POBLA!$B$15*100000</f>
        <v>1119.4822131232711</v>
      </c>
      <c r="H10600" s="256">
        <f t="shared" si="1763"/>
        <v>1.7516493873704053</v>
      </c>
      <c r="I10600" s="297">
        <f t="shared" si="1765"/>
        <v>1960.9403327894433</v>
      </c>
      <c r="J10600" s="422">
        <f t="shared" si="1766"/>
        <v>574.14285714285711</v>
      </c>
      <c r="K10600" s="297">
        <f>J10600/POBLA!$B$15*100000</f>
        <v>86.459875755071792</v>
      </c>
      <c r="L10600" s="200">
        <f t="shared" si="1767"/>
        <v>0.17686676427525616</v>
      </c>
      <c r="M10600" s="401">
        <f>SUM(C10600,C10576,C10552,C10528,C10504,C10480,C10456)/POBLA!$B$15*100000</f>
        <v>605.21913028550262</v>
      </c>
    </row>
    <row r="10601" spans="1:13" x14ac:dyDescent="0.25">
      <c r="A10601" s="367" t="s">
        <v>18</v>
      </c>
      <c r="B10601" s="2">
        <v>44334</v>
      </c>
      <c r="C10601" s="1">
        <v>557</v>
      </c>
      <c r="D10601" s="39">
        <f t="shared" si="1756"/>
        <v>67402</v>
      </c>
      <c r="E10601" s="1">
        <v>13</v>
      </c>
      <c r="F10601" s="39">
        <f t="shared" si="1764"/>
        <v>1458</v>
      </c>
      <c r="G10601" s="168">
        <f>SUM(C10601,C10577,C10553,C10529,C10505,C10481,C10457,C10433,C10409,C10385,C10361,C10337,C10313,C10289)/POBLA!$B$16*100000</f>
        <v>672.27565174355618</v>
      </c>
      <c r="H10601" s="256">
        <f t="shared" si="1763"/>
        <v>1.3420560747663552</v>
      </c>
      <c r="I10601" s="297">
        <f t="shared" si="1765"/>
        <v>902.23162233995026</v>
      </c>
      <c r="J10601" s="422">
        <f t="shared" si="1766"/>
        <v>392.71428571428572</v>
      </c>
      <c r="K10601" s="297">
        <f>J10601/POBLA!$B$16*100000</f>
        <v>52.529298125263935</v>
      </c>
      <c r="L10601" s="200">
        <f t="shared" si="1767"/>
        <v>0.207290294246816</v>
      </c>
      <c r="M10601" s="401">
        <f>SUM(C10601,C10577,C10553,C10529,C10505,C10481,C10457)/POBLA!$B$16*100000</f>
        <v>367.70508687684753</v>
      </c>
    </row>
    <row r="10602" spans="1:13" x14ac:dyDescent="0.25">
      <c r="A10602" s="367" t="s">
        <v>34</v>
      </c>
      <c r="B10602" s="2">
        <v>44334</v>
      </c>
      <c r="C10602" s="1">
        <v>518</v>
      </c>
      <c r="D10602" s="39">
        <f t="shared" si="1756"/>
        <v>39224</v>
      </c>
      <c r="E10602" s="1">
        <v>8</v>
      </c>
      <c r="F10602" s="39">
        <f t="shared" si="1764"/>
        <v>1328</v>
      </c>
      <c r="G10602" s="168">
        <f>SUM(C10602,C10578,C10554,C10530,C10506,C10482,C10458,C10434,C10410,C10386,C10362,C10338,C10314,C10290)/POBLA!$B$17*100000</f>
        <v>274.22130206676928</v>
      </c>
      <c r="H10602" s="256">
        <f t="shared" ref="H10602:H10625" si="1768">SUM(C10602,C10578,C10554,C10530,C10506,C10482,C10458,C10434,C10410,C10386,C10362,C10338,C10314,C10290)/SUM(C10266,C10242,C10218,C10194,C10170,C10146,C10122,C10098,C10074,C10050,C10026,C10002,C9978,C9954)</f>
        <v>1.4994241842610365</v>
      </c>
      <c r="I10602" s="297">
        <f t="shared" si="1765"/>
        <v>411.1740521584648</v>
      </c>
      <c r="J10602" s="422">
        <f t="shared" si="1766"/>
        <v>309.28571428571428</v>
      </c>
      <c r="K10602" s="297">
        <f>J10602/POBLA!$B$17*100000</f>
        <v>21.713448868939928</v>
      </c>
      <c r="L10602" s="200">
        <f t="shared" si="1767"/>
        <v>0.24353819643882835</v>
      </c>
      <c r="M10602" s="401">
        <f>SUM(C10602,C10578,C10554,C10530,C10506,C10482,C10458)/POBLA!$B$17*100000</f>
        <v>151.99414208257951</v>
      </c>
    </row>
    <row r="10603" spans="1:13" x14ac:dyDescent="0.25">
      <c r="A10603" s="367" t="s">
        <v>35</v>
      </c>
      <c r="B10603" s="2">
        <v>44334</v>
      </c>
      <c r="C10603" s="1">
        <v>735</v>
      </c>
      <c r="D10603" s="39">
        <f t="shared" si="1756"/>
        <v>30522</v>
      </c>
      <c r="E10603" s="1">
        <v>8</v>
      </c>
      <c r="F10603" s="39">
        <f t="shared" si="1764"/>
        <v>559</v>
      </c>
      <c r="G10603" s="168">
        <f>SUM(C10603,C10579,C10555,C10531,C10507,C10483,C10459,C10435,C10411,C10387,C10363,C10339,C10315,C10291)/POBLA!$B$18*100000</f>
        <v>773.79268500301453</v>
      </c>
      <c r="H10603" s="256">
        <f t="shared" si="1768"/>
        <v>1.5949868073878628</v>
      </c>
      <c r="I10603" s="297">
        <f t="shared" si="1765"/>
        <v>1234.1891242330403</v>
      </c>
      <c r="J10603" s="422">
        <f t="shared" si="1766"/>
        <v>502.28571428571428</v>
      </c>
      <c r="K10603" s="297">
        <f>J10603/POBLA!$B$18*100000</f>
        <v>64.295287261505365</v>
      </c>
      <c r="L10603" s="200">
        <f t="shared" si="1767"/>
        <v>0.39027283511269273</v>
      </c>
      <c r="M10603" s="401">
        <f>SUM(C10603,C10579,C10555,C10531,C10507,C10483,C10459)/POBLA!$B$18*100000</f>
        <v>450.06701083053753</v>
      </c>
    </row>
    <row r="10604" spans="1:13" x14ac:dyDescent="0.25">
      <c r="A10604" s="367" t="s">
        <v>36</v>
      </c>
      <c r="B10604" s="2">
        <v>44334</v>
      </c>
      <c r="C10604" s="1">
        <v>294</v>
      </c>
      <c r="D10604" s="39">
        <f t="shared" si="1756"/>
        <v>45378</v>
      </c>
      <c r="E10604" s="1">
        <v>10</v>
      </c>
      <c r="F10604" s="39">
        <f t="shared" si="1764"/>
        <v>629</v>
      </c>
      <c r="G10604" s="168">
        <f>SUM(C10604,C10580,C10556,C10532,C10508,C10484,C10460,C10436,C10412,C10388,C10364,C10340,C10316,C10292)/POBLA!$B$19*100000</f>
        <v>1193.1272721549865</v>
      </c>
      <c r="H10604" s="256">
        <f t="shared" si="1768"/>
        <v>0.74581898671913427</v>
      </c>
      <c r="I10604" s="297">
        <f t="shared" si="1765"/>
        <v>889.85697314559673</v>
      </c>
      <c r="J10604" s="422">
        <f t="shared" si="1766"/>
        <v>425.85714285714283</v>
      </c>
      <c r="K10604" s="297">
        <f>J10604/POBLA!$B$19*100000</f>
        <v>83.776054605912492</v>
      </c>
      <c r="L10604" s="200">
        <f t="shared" si="1767"/>
        <v>-3.3398184176394285E-2</v>
      </c>
      <c r="M10604" s="401">
        <f>SUM(C10604,C10580,C10556,C10532,C10508,C10484,C10460)/POBLA!$B$19*100000</f>
        <v>586.43238224138747</v>
      </c>
    </row>
    <row r="10605" spans="1:13" x14ac:dyDescent="0.25">
      <c r="A10605" s="367" t="s">
        <v>37</v>
      </c>
      <c r="B10605" s="2">
        <v>44334</v>
      </c>
      <c r="C10605" s="1">
        <v>369</v>
      </c>
      <c r="D10605" s="39">
        <f t="shared" si="1756"/>
        <v>48726</v>
      </c>
      <c r="E10605" s="1">
        <v>5</v>
      </c>
      <c r="F10605" s="39">
        <f t="shared" si="1764"/>
        <v>756</v>
      </c>
      <c r="G10605" s="168">
        <f>SUM(C10605,C10581,C10557,C10533,C10509,C10485,C10461,C10437,C10413,C10389,C10365,C10341,C10317,C10293)/POBLA!$B$20*100000</f>
        <v>902.65738396162965</v>
      </c>
      <c r="H10605" s="256">
        <f t="shared" si="1768"/>
        <v>1.2096005862953463</v>
      </c>
      <c r="I10605" s="297">
        <f t="shared" si="1765"/>
        <v>1091.8549008638108</v>
      </c>
      <c r="J10605" s="422">
        <f t="shared" si="1766"/>
        <v>243.71428571428572</v>
      </c>
      <c r="K10605" s="297">
        <f>J10605/POBLA!$B$20*100000</f>
        <v>66.643592722488421</v>
      </c>
      <c r="L10605" s="200">
        <f t="shared" si="1767"/>
        <v>6.959247648902811E-2</v>
      </c>
      <c r="M10605" s="401">
        <f>SUM(C10605,C10581,C10557,C10533,C10509,C10485,C10461)/POBLA!$B$20*100000</f>
        <v>466.50514905741898</v>
      </c>
    </row>
    <row r="10606" spans="1:13" x14ac:dyDescent="0.25">
      <c r="A10606" s="367" t="s">
        <v>22</v>
      </c>
      <c r="B10606" s="2">
        <v>44334</v>
      </c>
      <c r="C10606" s="1">
        <v>3302</v>
      </c>
      <c r="D10606" s="39">
        <f t="shared" si="1756"/>
        <v>307927</v>
      </c>
      <c r="E10606" s="1">
        <v>24</v>
      </c>
      <c r="F10606" s="39">
        <f t="shared" si="1764"/>
        <v>5004</v>
      </c>
      <c r="G10606" s="168">
        <f>SUM(C10606,C10582,C10558,C10534,C10510,C10486,C10462,C10438,C10414,C10390,C10366,C10342,C10318,C10294)/POBLA!$B$21*100000</f>
        <v>783.64605089104293</v>
      </c>
      <c r="H10606" s="256">
        <f t="shared" si="1768"/>
        <v>1.1576023391812866</v>
      </c>
      <c r="I10606" s="297">
        <f t="shared" si="1765"/>
        <v>907.1505016016489</v>
      </c>
      <c r="J10606" s="422">
        <f t="shared" si="1766"/>
        <v>2196.5714285714284</v>
      </c>
      <c r="K10606" s="297">
        <f>J10606/POBLA!$B$21*100000</f>
        <v>62.112890177898329</v>
      </c>
      <c r="L10606" s="200">
        <f t="shared" si="1767"/>
        <v>0.24633217151657605</v>
      </c>
      <c r="M10606" s="401">
        <f>SUM(C10606,C10582,C10558,C10534,C10510,C10486,C10462)/POBLA!$B$21*100000</f>
        <v>434.79023124528828</v>
      </c>
    </row>
    <row r="10607" spans="1:13" x14ac:dyDescent="0.25">
      <c r="A10607" s="367" t="s">
        <v>38</v>
      </c>
      <c r="B10607" s="2">
        <v>44334</v>
      </c>
      <c r="C10607" s="1">
        <v>444</v>
      </c>
      <c r="D10607" s="39">
        <f t="shared" si="1756"/>
        <v>36199</v>
      </c>
      <c r="E10607" s="1">
        <v>5</v>
      </c>
      <c r="F10607" s="39">
        <f t="shared" si="1764"/>
        <v>418</v>
      </c>
      <c r="G10607" s="168">
        <f>SUM(C10607,C10583,C10559,C10535,C10511,C10487,C10463,C10439,C10415,C10391,C10367,C10343,C10319,C10295)/POBLA!$B$22*100000</f>
        <v>500.04446429721372</v>
      </c>
      <c r="H10607" s="256">
        <f t="shared" si="1768"/>
        <v>1.7756805807622504</v>
      </c>
      <c r="I10607" s="297">
        <f t="shared" si="1765"/>
        <v>887.91924477022485</v>
      </c>
      <c r="J10607" s="422">
        <f t="shared" si="1766"/>
        <v>420.57142857142856</v>
      </c>
      <c r="K10607" s="297">
        <f>J10607/POBLA!$B$22*100000</f>
        <v>42.989455171446004</v>
      </c>
      <c r="L10607" s="200">
        <f t="shared" si="1767"/>
        <v>0.51129363449691989</v>
      </c>
      <c r="M10607" s="401">
        <f>SUM(C10607,C10583,C10559,C10535,C10511,C10487,C10463)/POBLA!$B$22*100000</f>
        <v>300.92618620012206</v>
      </c>
    </row>
    <row r="10608" spans="1:13" x14ac:dyDescent="0.25">
      <c r="A10608" s="367" t="s">
        <v>39</v>
      </c>
      <c r="B10608" s="2">
        <v>44334</v>
      </c>
      <c r="C10608" s="1">
        <v>78</v>
      </c>
      <c r="D10608" s="39">
        <f t="shared" si="1756"/>
        <v>27655</v>
      </c>
      <c r="F10608" s="39">
        <f t="shared" si="1764"/>
        <v>407</v>
      </c>
      <c r="G10608" s="168">
        <f>SUM(C10608,C10584,C10560,C10536,C10512,C10488,C10464,C10440,C10416,C10392,C10368,C10344,C10320,C10296)/POBLA!$B$23*100000</f>
        <v>565.51490131764967</v>
      </c>
      <c r="H10608" s="256">
        <f t="shared" si="1768"/>
        <v>0.94250706880301605</v>
      </c>
      <c r="I10608" s="297">
        <f t="shared" si="1765"/>
        <v>533.00179200532489</v>
      </c>
      <c r="J10608" s="422">
        <f t="shared" si="1766"/>
        <v>72.714285714285708</v>
      </c>
      <c r="K10608" s="297">
        <f>J10608/POBLA!$B$23*100000</f>
        <v>41.121012110097674</v>
      </c>
      <c r="L10608" s="200">
        <f t="shared" si="1767"/>
        <v>3.6659877800407248E-2</v>
      </c>
      <c r="M10608" s="401">
        <f>SUM(C10608,C10584,C10560,C10536,C10512,C10488,C10464)/POBLA!$B$23*100000</f>
        <v>287.84708477068369</v>
      </c>
    </row>
    <row r="10609" spans="1:13" ht="15.75" thickBot="1" x14ac:dyDescent="0.3">
      <c r="A10609" s="369" t="s">
        <v>40</v>
      </c>
      <c r="B10609" s="266">
        <v>44334</v>
      </c>
      <c r="C10609" s="44">
        <v>1194</v>
      </c>
      <c r="D10609" s="176">
        <f t="shared" si="1756"/>
        <v>117017</v>
      </c>
      <c r="E10609" s="44"/>
      <c r="F10609" s="176">
        <f t="shared" si="1764"/>
        <v>1755</v>
      </c>
      <c r="G10609" s="177">
        <f>SUM(C10609,C10585,C10561,C10537,C10513,C10489,C10465,C10441,C10417,C10393,C10369,C10345,C10321,C10297)/POBLA!$B$24*100000</f>
        <v>518.45330261716833</v>
      </c>
      <c r="H10609" s="402">
        <f t="shared" si="1768"/>
        <v>0.9809087864240259</v>
      </c>
      <c r="I10609" s="403">
        <f t="shared" si="1765"/>
        <v>508.55539988773484</v>
      </c>
      <c r="J10609" s="423">
        <f t="shared" si="1766"/>
        <v>721</v>
      </c>
      <c r="K10609" s="403">
        <f>J10609/POBLA!$B$24*100000</f>
        <v>42.545507760867103</v>
      </c>
      <c r="L10609" s="404">
        <f t="shared" si="1767"/>
        <v>0.34982615672639739</v>
      </c>
      <c r="M10609" s="405">
        <f>SUM(C10609,C10585,C10561,C10537,C10513,C10489,C10465)/POBLA!$B$24*100000</f>
        <v>297.81855432606972</v>
      </c>
    </row>
    <row r="10610" spans="1:13" x14ac:dyDescent="0.25">
      <c r="A10610" s="363" t="s">
        <v>16</v>
      </c>
      <c r="B10610" s="267">
        <v>44335</v>
      </c>
      <c r="C10610" s="225">
        <v>14055</v>
      </c>
      <c r="D10610" s="174">
        <f t="shared" si="1756"/>
        <v>1477025</v>
      </c>
      <c r="E10610" s="225">
        <v>276</v>
      </c>
      <c r="F10610" s="174">
        <f t="shared" ref="F10610:F10633" si="1769">E10610+F10586</f>
        <v>37591</v>
      </c>
      <c r="G10610" s="175">
        <f>SUM(C10610,C10586,C10562,C10538,C10514,C10490,C10466,C10442,C10418,C10394,C10370,C10346,C10322,C10298)/POBLA!$B$1*100000</f>
        <v>766.13032185306531</v>
      </c>
      <c r="H10610" s="300">
        <f t="shared" si="1768"/>
        <v>0.94695453648637218</v>
      </c>
      <c r="I10610" s="301">
        <f>G10610*H10610</f>
        <v>725.49058381852456</v>
      </c>
      <c r="J10610" s="421">
        <f>AVERAGE(C10610,C10586,C10562,C10538,C10514,C10490,C10466)</f>
        <v>10485.571428571429</v>
      </c>
      <c r="K10610" s="301">
        <f>J10610/POBLA!$B$1*100000</f>
        <v>59.777020369264626</v>
      </c>
      <c r="L10610" s="399">
        <f t="shared" si="1767"/>
        <v>0.20347931594221902</v>
      </c>
      <c r="M10610" s="400">
        <f>SUM(C10610,C10586,C10562,C10538,C10514,C10490,C10466)/POBLA!$B$1*100000</f>
        <v>418.43914258485239</v>
      </c>
    </row>
    <row r="10611" spans="1:13" x14ac:dyDescent="0.25">
      <c r="A10611" s="367" t="s">
        <v>43</v>
      </c>
      <c r="B10611" s="267">
        <v>44335</v>
      </c>
      <c r="C10611" s="1">
        <v>3060</v>
      </c>
      <c r="D10611" s="39">
        <f t="shared" ref="D10611:D10674" si="1770">C10611+D10587</f>
        <v>387079</v>
      </c>
      <c r="E10611" s="1">
        <v>34</v>
      </c>
      <c r="F10611" s="39">
        <f t="shared" si="1769"/>
        <v>8637</v>
      </c>
      <c r="G10611" s="168">
        <f>SUM(C10611,C10587,C10563,C10539,C10515,C10491,C10467,C10443,C10419,C10395,C10371,C10347,C10323,C10299)/POBLA!$B$2*100000</f>
        <v>1095.9973937182629</v>
      </c>
      <c r="H10611" s="256">
        <f t="shared" si="1768"/>
        <v>0.89565841215857156</v>
      </c>
      <c r="I10611" s="297">
        <f t="shared" ref="I10611:I10633" si="1771">G10611*H10611</f>
        <v>981.63928538763207</v>
      </c>
      <c r="J10611" s="422">
        <f t="shared" ref="J10611:J10633" si="1772">AVERAGE(C10611,C10587,C10563,C10539,C10515,C10491,C10467)</f>
        <v>2643.1428571428573</v>
      </c>
      <c r="K10611" s="297">
        <f>J10611/POBLA!$B$2*100000</f>
        <v>85.93781134574192</v>
      </c>
      <c r="L10611" s="200">
        <f t="shared" si="1767"/>
        <v>0.21667653054514369</v>
      </c>
      <c r="M10611" s="401">
        <f>SUM(C10611,C10587,C10563,C10539,C10515,C10491,C10467)/POBLA!$B$2*100000</f>
        <v>601.56467942019333</v>
      </c>
    </row>
    <row r="10612" spans="1:13" x14ac:dyDescent="0.25">
      <c r="A10612" s="367" t="s">
        <v>28</v>
      </c>
      <c r="B10612" s="267">
        <v>44335</v>
      </c>
      <c r="C10612" s="1">
        <v>428</v>
      </c>
      <c r="D10612" s="39">
        <f t="shared" si="1770"/>
        <v>19060</v>
      </c>
      <c r="F10612" s="39">
        <f t="shared" si="1769"/>
        <v>133</v>
      </c>
      <c r="G10612" s="168">
        <f>SUM(C10612,C10588,C10564,C10540,C10516,C10492,C10468,C10444,C10420,C10396,C10372,C10348,C10324,C10300)/POBLA!$B$3*100000</f>
        <v>844.65070600185823</v>
      </c>
      <c r="H10612" s="256">
        <f t="shared" si="1768"/>
        <v>1.5763701707097935</v>
      </c>
      <c r="I10612" s="297">
        <f t="shared" si="1771"/>
        <v>1331.4821776102967</v>
      </c>
      <c r="J10612" s="422">
        <f t="shared" si="1772"/>
        <v>324.85714285714283</v>
      </c>
      <c r="K10612" s="297">
        <f>J10612/POBLA!$B$3*100000</f>
        <v>78.196299533779495</v>
      </c>
      <c r="L10612" s="200">
        <f t="shared" si="1767"/>
        <v>0.84129554655870442</v>
      </c>
      <c r="M10612" s="401">
        <f>SUM(C10612,C10588,C10564,C10540,C10516,C10492,C10468)/POBLA!$B$3*100000</f>
        <v>547.37409673645652</v>
      </c>
    </row>
    <row r="10613" spans="1:13" x14ac:dyDescent="0.25">
      <c r="A10613" s="367" t="s">
        <v>15</v>
      </c>
      <c r="B10613" s="267">
        <v>44335</v>
      </c>
      <c r="C10613" s="1">
        <v>613</v>
      </c>
      <c r="D10613" s="39">
        <f t="shared" si="1770"/>
        <v>50877</v>
      </c>
      <c r="E10613" s="1">
        <v>9</v>
      </c>
      <c r="F10613" s="39">
        <f t="shared" si="1769"/>
        <v>1136</v>
      </c>
      <c r="G10613" s="168">
        <f>SUM(C10613,C10589,C10565,C10541,C10517,C10493,C10469,C10445,C10421,C10397,C10373,C10349,C10325,C10301)/POBLA!$B$4*100000</f>
        <v>405.38263122633435</v>
      </c>
      <c r="H10613" s="256">
        <f t="shared" si="1768"/>
        <v>1.5136391816491011</v>
      </c>
      <c r="I10613" s="297">
        <f t="shared" si="1771"/>
        <v>613.603034184188</v>
      </c>
      <c r="J10613" s="422">
        <f t="shared" si="1772"/>
        <v>447.57142857142856</v>
      </c>
      <c r="K10613" s="297">
        <f>J10613/POBLA!$B$4*100000</f>
        <v>37.157010726195999</v>
      </c>
      <c r="L10613" s="200">
        <f t="shared" si="1767"/>
        <v>0.79028571428571426</v>
      </c>
      <c r="M10613" s="401">
        <f>SUM(C10613,C10589,C10565,C10541,C10517,C10493,C10469)/POBLA!$B$4*100000</f>
        <v>260.09907508337199</v>
      </c>
    </row>
    <row r="10614" spans="1:13" x14ac:dyDescent="0.25">
      <c r="A10614" s="367" t="s">
        <v>29</v>
      </c>
      <c r="B10614" s="267">
        <v>44335</v>
      </c>
      <c r="C10614" s="1">
        <v>314</v>
      </c>
      <c r="D10614" s="39">
        <f t="shared" si="1770"/>
        <v>58768</v>
      </c>
      <c r="E10614" s="1">
        <v>1</v>
      </c>
      <c r="F10614" s="39">
        <f t="shared" si="1769"/>
        <v>969</v>
      </c>
      <c r="G10614" s="168">
        <f>SUM(C10614,C10590,C10566,C10542,C10518,C10494,C10470,C10446,C10422,C10398,C10374,C10350,C10326,C10302)/POBLA!$B$5*100000</f>
        <v>503.39744811742924</v>
      </c>
      <c r="H10614" s="256">
        <f t="shared" si="1768"/>
        <v>1.2902691511387163</v>
      </c>
      <c r="I10614" s="297">
        <f t="shared" si="1771"/>
        <v>649.51819806787137</v>
      </c>
      <c r="J10614" s="422">
        <f t="shared" si="1772"/>
        <v>239.28571428571428</v>
      </c>
      <c r="K10614" s="297">
        <f>J10614/POBLA!$B$5*100000</f>
        <v>38.657194461612598</v>
      </c>
      <c r="L10614" s="200">
        <f t="shared" si="1767"/>
        <v>0.16238723108952113</v>
      </c>
      <c r="M10614" s="401">
        <f>SUM(C10614,C10590,C10566,C10542,C10518,C10494,C10470)/POBLA!$B$5*100000</f>
        <v>270.60036123128822</v>
      </c>
    </row>
    <row r="10615" spans="1:13" x14ac:dyDescent="0.25">
      <c r="A10615" s="367" t="s">
        <v>30</v>
      </c>
      <c r="B10615" s="267">
        <v>44335</v>
      </c>
      <c r="C10615" s="1">
        <v>1042</v>
      </c>
      <c r="D10615" s="39">
        <f t="shared" si="1770"/>
        <v>41921</v>
      </c>
      <c r="E10615" s="1">
        <v>5</v>
      </c>
      <c r="F10615" s="39">
        <f t="shared" si="1769"/>
        <v>564</v>
      </c>
      <c r="G10615" s="168">
        <f>SUM(C10615,C10591,C10567,C10543,C10519,C10495,C10471,C10447,C10423,C10399,C10375,C10351,C10327,C10303)/POBLA!$B$6*100000</f>
        <v>317.98686832006752</v>
      </c>
      <c r="H10615" s="256">
        <f t="shared" si="1768"/>
        <v>1.1844466600199401</v>
      </c>
      <c r="I10615" s="297">
        <f t="shared" si="1771"/>
        <v>376.63848411190446</v>
      </c>
      <c r="J10615" s="422">
        <f t="shared" si="1772"/>
        <v>348.28571428571428</v>
      </c>
      <c r="K10615" s="297">
        <f>J10615/POBLA!$B$6*100000</f>
        <v>31.074714805368149</v>
      </c>
      <c r="L10615" s="200">
        <f t="shared" si="1767"/>
        <v>1.1651865008880993</v>
      </c>
      <c r="M10615" s="401">
        <f>SUM(C10615,C10591,C10567,C10543,C10519,C10495,C10471)/POBLA!$B$6*100000</f>
        <v>217.52300363757706</v>
      </c>
    </row>
    <row r="10616" spans="1:13" x14ac:dyDescent="0.25">
      <c r="A10616" s="367" t="s">
        <v>20</v>
      </c>
      <c r="B10616" s="267">
        <v>44335</v>
      </c>
      <c r="C10616" s="1">
        <v>3910</v>
      </c>
      <c r="D10616" s="39">
        <f t="shared" si="1770"/>
        <v>267373</v>
      </c>
      <c r="E10616" s="1">
        <v>23</v>
      </c>
      <c r="F10616" s="39">
        <f t="shared" si="1769"/>
        <v>3662</v>
      </c>
      <c r="G10616" s="168">
        <f>SUM(C10616,C10592,C10568,C10544,C10520,C10496,C10472,C10448,C10424,C10400,C10376,C10352,C10328,C10304)/POBLA!$B$7*100000</f>
        <v>877.34180749644315</v>
      </c>
      <c r="H10616" s="256">
        <f t="shared" si="1768"/>
        <v>1.5274074074074073</v>
      </c>
      <c r="I10616" s="297">
        <f t="shared" si="1771"/>
        <v>1340.0583755982709</v>
      </c>
      <c r="J10616" s="422">
        <f t="shared" si="1772"/>
        <v>2896.1428571428573</v>
      </c>
      <c r="K10616" s="297">
        <f>J10616/POBLA!$B$7*100000</f>
        <v>77.015858664331589</v>
      </c>
      <c r="L10616" s="200">
        <f t="shared" si="1767"/>
        <v>0.59391461592892525</v>
      </c>
      <c r="M10616" s="401">
        <f>SUM(C10616,C10592,C10568,C10544,C10520,C10496,C10472)/POBLA!$B$7*100000</f>
        <v>539.11101065032108</v>
      </c>
    </row>
    <row r="10617" spans="1:13" x14ac:dyDescent="0.25">
      <c r="A10617" s="367" t="s">
        <v>31</v>
      </c>
      <c r="B10617" s="267">
        <v>44335</v>
      </c>
      <c r="C10617" s="1">
        <v>1046</v>
      </c>
      <c r="D10617" s="39">
        <f t="shared" si="1770"/>
        <v>74514</v>
      </c>
      <c r="E10617" s="1">
        <v>11</v>
      </c>
      <c r="F10617" s="39">
        <f t="shared" si="1769"/>
        <v>1200</v>
      </c>
      <c r="G10617" s="168">
        <f>SUM(C10617,C10593,C10569,C10545,C10521,C10497,C10473,C10449,C10425,C10401,C10377,C10353,C10329,C10305)/POBLA!$B$8*100000</f>
        <v>666.75757831569581</v>
      </c>
      <c r="H10617" s="256">
        <f t="shared" si="1768"/>
        <v>1.2469302388341654</v>
      </c>
      <c r="I10617" s="297">
        <f t="shared" si="1771"/>
        <v>831.4001863736803</v>
      </c>
      <c r="J10617" s="422">
        <f t="shared" si="1772"/>
        <v>750.71428571428567</v>
      </c>
      <c r="K10617" s="297">
        <f>J10617/POBLA!$B$8*100000</f>
        <v>54.165614019029803</v>
      </c>
      <c r="L10617" s="200">
        <f t="shared" si="1767"/>
        <v>0.3183642749623683</v>
      </c>
      <c r="M10617" s="401">
        <f>SUM(C10617,C10593,C10569,C10545,C10521,C10497,C10473)/POBLA!$B$8*100000</f>
        <v>379.15929813320867</v>
      </c>
    </row>
    <row r="10618" spans="1:13" x14ac:dyDescent="0.25">
      <c r="A10618" s="367" t="s">
        <v>41</v>
      </c>
      <c r="B10618" s="267">
        <v>44335</v>
      </c>
      <c r="C10618" s="1">
        <v>5016</v>
      </c>
      <c r="D10618" s="39">
        <f t="shared" si="1770"/>
        <v>19140</v>
      </c>
      <c r="E10618" s="1">
        <v>31</v>
      </c>
      <c r="F10618" s="39">
        <f t="shared" si="1769"/>
        <v>218</v>
      </c>
      <c r="G10618" s="168">
        <f>SUM(C10618,C10594,C10570,C10546,C10522,C10498,C10474,C10450,C10426,C10402,C10378,C10354,C10330,C10306)/POBLA!$B$9*100000</f>
        <v>2322.2343946476576</v>
      </c>
      <c r="H10618" s="256">
        <f t="shared" si="1768"/>
        <v>10.394970414201184</v>
      </c>
      <c r="I10618" s="297">
        <f t="shared" si="1771"/>
        <v>24139.5578272028</v>
      </c>
      <c r="J10618" s="422">
        <f t="shared" si="1772"/>
        <v>1770.7142857142858</v>
      </c>
      <c r="K10618" s="297">
        <f>J10618/POBLA!$B$9*100000</f>
        <v>292.58670964705237</v>
      </c>
      <c r="L10618" s="200">
        <f>(SUM(C10618,C10594,C10570,C10546,C10522,C10498,C10474)/SUM(C10450,C10426,C10402,C10378,C10354,C10330,C10306))-1</f>
        <v>6.4713682941531046</v>
      </c>
      <c r="M10618" s="401">
        <f>SUM(C10618,C10594,C10570,C10546,C10522,C10498,C10474)/POBLA!$B$9*100000</f>
        <v>2048.1069675293666</v>
      </c>
    </row>
    <row r="10619" spans="1:13" x14ac:dyDescent="0.25">
      <c r="A10619" s="367" t="s">
        <v>32</v>
      </c>
      <c r="B10619" s="267">
        <v>44335</v>
      </c>
      <c r="C10619" s="1">
        <v>139</v>
      </c>
      <c r="D10619" s="39">
        <f t="shared" si="1770"/>
        <v>26603</v>
      </c>
      <c r="E10619" s="1">
        <v>6</v>
      </c>
      <c r="F10619" s="39">
        <f t="shared" si="1769"/>
        <v>1076</v>
      </c>
      <c r="G10619" s="168">
        <f>SUM(C10619,C10595,C10571,C10547,C10523,C10499,C10475,C10451,C10427,C10403,C10379,C10355,C10331,C10307)/POBLA!$B$10*100000</f>
        <v>170.3246026299779</v>
      </c>
      <c r="H10619" s="256">
        <f t="shared" si="1768"/>
        <v>1.0123361603700849</v>
      </c>
      <c r="I10619" s="297">
        <f t="shared" si="1771"/>
        <v>172.4257542429923</v>
      </c>
      <c r="J10619" s="422">
        <f t="shared" si="1772"/>
        <v>101.28571428571429</v>
      </c>
      <c r="K10619" s="297">
        <f>J10619/POBLA!$B$10*100000</f>
        <v>13.138955855146811</v>
      </c>
      <c r="L10619" s="200">
        <f t="shared" ref="L10619:L10641" si="1773">(SUM(C10619,C10595,C10571,C10547,C10523,C10499,C10475)/SUM(C10451,C10427,C10403,C10379,C10355,C10331,C10307))-1</f>
        <v>0.17384105960264895</v>
      </c>
      <c r="M10619" s="401">
        <f>SUM(C10619,C10595,C10571,C10547,C10523,C10499,C10475)/POBLA!$B$10*100000</f>
        <v>91.972690986027686</v>
      </c>
    </row>
    <row r="10620" spans="1:13" x14ac:dyDescent="0.25">
      <c r="A10620" s="367" t="s">
        <v>33</v>
      </c>
      <c r="B10620" s="267">
        <v>44335</v>
      </c>
      <c r="C10620" s="1">
        <v>783</v>
      </c>
      <c r="D10620" s="39">
        <f t="shared" si="1770"/>
        <v>35683</v>
      </c>
      <c r="E10620" s="1">
        <v>1</v>
      </c>
      <c r="F10620" s="39">
        <f t="shared" si="1769"/>
        <v>473</v>
      </c>
      <c r="G10620" s="168">
        <f>SUM(C10620,C10596,C10572,C10548,C10524,C10500,C10476,C10452,C10428,C10404,C10380,C10356,C10332,C10308)/POBLA!$B$11*100000</f>
        <v>1963.853270391822</v>
      </c>
      <c r="H10620" s="256">
        <f t="shared" si="1768"/>
        <v>1.8922043010752687</v>
      </c>
      <c r="I10620" s="297">
        <f t="shared" si="1771"/>
        <v>3716.0116049161384</v>
      </c>
      <c r="J10620" s="422">
        <f t="shared" si="1772"/>
        <v>591.28571428571433</v>
      </c>
      <c r="K10620" s="297">
        <f>J10620/POBLA!$B$11*100000</f>
        <v>164.96638496035865</v>
      </c>
      <c r="L10620" s="200">
        <f t="shared" si="1773"/>
        <v>0.42724137931034489</v>
      </c>
      <c r="M10620" s="401">
        <f>SUM(C10620,C10596,C10572,C10548,C10524,C10500,C10476)/POBLA!$B$11*100000</f>
        <v>1154.7646947225105</v>
      </c>
    </row>
    <row r="10621" spans="1:13" x14ac:dyDescent="0.25">
      <c r="A10621" s="367" t="s">
        <v>21</v>
      </c>
      <c r="B10621" s="267">
        <v>44335</v>
      </c>
      <c r="C10621" s="1">
        <v>109</v>
      </c>
      <c r="D10621" s="39">
        <f t="shared" si="1770"/>
        <v>15501</v>
      </c>
      <c r="F10621" s="39">
        <f t="shared" si="1769"/>
        <v>517</v>
      </c>
      <c r="G10621" s="168">
        <f>SUM(C10621,C10597,C10573,C10549,C10525,C10501,C10477,C10453,C10429,C10405,C10381,C10357,C10333,C10309)/POBLA!$B$12*100000</f>
        <v>401.49314793497842</v>
      </c>
      <c r="H10621" s="256">
        <f t="shared" si="1768"/>
        <v>1.3703382480485689</v>
      </c>
      <c r="I10621" s="297">
        <f t="shared" si="1771"/>
        <v>550.1814169447232</v>
      </c>
      <c r="J10621" s="422">
        <f t="shared" si="1772"/>
        <v>154.42857142857142</v>
      </c>
      <c r="K10621" s="297">
        <f>J10621/POBLA!$B$12*100000</f>
        <v>39.241780553138483</v>
      </c>
      <c r="L10621" s="200">
        <f t="shared" si="1773"/>
        <v>1.1663326653306614</v>
      </c>
      <c r="M10621" s="401">
        <f>SUM(C10621,C10597,C10573,C10549,C10525,C10501,C10477)/POBLA!$B$12*100000</f>
        <v>274.69246387196944</v>
      </c>
    </row>
    <row r="10622" spans="1:13" x14ac:dyDescent="0.25">
      <c r="A10622" s="367" t="s">
        <v>17</v>
      </c>
      <c r="B10622" s="267">
        <v>44335</v>
      </c>
      <c r="C10622" s="1">
        <v>1145</v>
      </c>
      <c r="D10622" s="39">
        <f t="shared" si="1770"/>
        <v>111475</v>
      </c>
      <c r="E10622" s="1">
        <v>7</v>
      </c>
      <c r="F10622" s="39">
        <f t="shared" si="1769"/>
        <v>2250</v>
      </c>
      <c r="G10622" s="168">
        <f>SUM(C10622,C10598,C10574,C10550,C10526,C10502,C10478,C10454,C10430,C10406,C10382,C10358,C10334,C10310)/POBLA!$B$13*100000</f>
        <v>580.25320322477887</v>
      </c>
      <c r="H10622" s="256">
        <f t="shared" si="1768"/>
        <v>1.0543180573306554</v>
      </c>
      <c r="I10622" s="297">
        <f t="shared" si="1771"/>
        <v>611.77142998383886</v>
      </c>
      <c r="J10622" s="422">
        <f t="shared" si="1772"/>
        <v>878.42857142857144</v>
      </c>
      <c r="K10622" s="297">
        <f>J10622/POBLA!$B$13*100000</f>
        <v>44.134643031915758</v>
      </c>
      <c r="L10622" s="200">
        <f t="shared" si="1773"/>
        <v>0.13870370370370377</v>
      </c>
      <c r="M10622" s="401">
        <f>SUM(C10622,C10598,C10574,C10550,C10526,C10502,C10478)/POBLA!$B$13*100000</f>
        <v>308.94250122341026</v>
      </c>
    </row>
    <row r="10623" spans="1:13" x14ac:dyDescent="0.25">
      <c r="A10623" s="367" t="s">
        <v>23</v>
      </c>
      <c r="B10623" s="267">
        <v>44335</v>
      </c>
      <c r="C10623" s="1">
        <v>151</v>
      </c>
      <c r="D10623" s="39">
        <f t="shared" si="1770"/>
        <v>18350</v>
      </c>
      <c r="F10623" s="39">
        <f t="shared" si="1769"/>
        <v>259</v>
      </c>
      <c r="G10623" s="168">
        <f>SUM(C10623,C10599,C10575,C10551,C10527,C10503,C10479,C10455,C10431,C10407,C10383,C10359,C10335,C10311)/POBLA!$B$14*100000</f>
        <v>170.61842837593773</v>
      </c>
      <c r="H10623" s="256">
        <f t="shared" si="1768"/>
        <v>1.3137973137973138</v>
      </c>
      <c r="I10623" s="297">
        <f t="shared" si="1771"/>
        <v>224.15803288462635</v>
      </c>
      <c r="J10623" s="422">
        <f t="shared" si="1772"/>
        <v>144.71428571428572</v>
      </c>
      <c r="K10623" s="297">
        <f>J10623/POBLA!$B$14*100000</f>
        <v>11.473477691504575</v>
      </c>
      <c r="L10623" s="200">
        <f t="shared" si="1773"/>
        <v>-0.11062335381913957</v>
      </c>
      <c r="M10623" s="401">
        <f>SUM(C10623,C10599,C10575,C10551,C10527,C10503,C10479)/POBLA!$B$14*100000</f>
        <v>80.314343840532032</v>
      </c>
    </row>
    <row r="10624" spans="1:13" x14ac:dyDescent="0.25">
      <c r="A10624" s="367" t="s">
        <v>19</v>
      </c>
      <c r="B10624" s="267">
        <v>44335</v>
      </c>
      <c r="C10624" s="1">
        <v>738</v>
      </c>
      <c r="D10624" s="39">
        <f t="shared" si="1770"/>
        <v>80637</v>
      </c>
      <c r="E10624" s="1">
        <v>4</v>
      </c>
      <c r="F10624" s="39">
        <f t="shared" si="1769"/>
        <v>1180</v>
      </c>
      <c r="G10624" s="168">
        <f>SUM(C10624,C10600,C10576,C10552,C10528,C10504,C10480,C10456,C10432,C10408,C10384,C10360,C10336,C10312)/POBLA!$B$15*100000</f>
        <v>1156.527225825494</v>
      </c>
      <c r="H10624" s="256">
        <f t="shared" si="1768"/>
        <v>1.6972375690607735</v>
      </c>
      <c r="I10624" s="297">
        <f t="shared" si="1771"/>
        <v>1962.9014573126617</v>
      </c>
      <c r="J10624" s="422">
        <f t="shared" si="1772"/>
        <v>606.14285714285711</v>
      </c>
      <c r="K10624" s="297">
        <f>J10624/POBLA!$B$15*100000</f>
        <v>91.278739196011358</v>
      </c>
      <c r="L10624" s="200">
        <f t="shared" si="1773"/>
        <v>0.23450683735816114</v>
      </c>
      <c r="M10624" s="401">
        <f>SUM(C10624,C10600,C10576,C10552,C10528,C10504,C10480)/POBLA!$B$15*100000</f>
        <v>638.95117437207944</v>
      </c>
    </row>
    <row r="10625" spans="1:17" x14ac:dyDescent="0.25">
      <c r="A10625" s="367" t="s">
        <v>18</v>
      </c>
      <c r="B10625" s="267">
        <v>44335</v>
      </c>
      <c r="C10625" s="1">
        <v>536</v>
      </c>
      <c r="D10625" s="39">
        <f t="shared" si="1770"/>
        <v>67938</v>
      </c>
      <c r="E10625" s="1">
        <v>10</v>
      </c>
      <c r="F10625" s="39">
        <f t="shared" si="1769"/>
        <v>1468</v>
      </c>
      <c r="G10625" s="168">
        <f>SUM(C10625,C10601,C10577,C10553,C10529,C10505,C10481,C10457,C10433,C10409,C10385,C10361,C10337,C10313)/POBLA!$B$16*100000</f>
        <v>693.54342504781903</v>
      </c>
      <c r="H10625" s="256">
        <f t="shared" si="1768"/>
        <v>1.3408326868373417</v>
      </c>
      <c r="I10625" s="297">
        <f t="shared" si="1771"/>
        <v>929.92569404523965</v>
      </c>
      <c r="J10625" s="422">
        <f t="shared" si="1772"/>
        <v>417.42857142857144</v>
      </c>
      <c r="K10625" s="297">
        <f>J10625/POBLA!$B$16*100000</f>
        <v>55.835070615504264</v>
      </c>
      <c r="L10625" s="200">
        <f t="shared" si="1773"/>
        <v>0.29120636323464422</v>
      </c>
      <c r="M10625" s="401">
        <f>SUM(C10625,C10601,C10577,C10553,C10529,C10505,C10481)/POBLA!$B$16*100000</f>
        <v>390.84549430852985</v>
      </c>
    </row>
    <row r="10626" spans="1:17" x14ac:dyDescent="0.25">
      <c r="A10626" s="367" t="s">
        <v>34</v>
      </c>
      <c r="B10626" s="267">
        <v>44335</v>
      </c>
      <c r="C10626" s="1">
        <v>465</v>
      </c>
      <c r="D10626" s="39">
        <f t="shared" si="1770"/>
        <v>39689</v>
      </c>
      <c r="E10626" s="1">
        <v>4</v>
      </c>
      <c r="F10626" s="39">
        <f t="shared" si="1769"/>
        <v>1332</v>
      </c>
      <c r="G10626" s="168">
        <f>SUM(C10626,C10602,C10578,C10554,C10530,C10506,C10482,C10458,C10434,C10410,C10386,C10362,C10338,C10314)/POBLA!$B$17*100000</f>
        <v>285.17330491429004</v>
      </c>
      <c r="H10626" s="256">
        <f t="shared" ref="H10626:H10649" si="1774">SUM(C10626,C10602,C10578,C10554,C10530,C10506,C10482,C10458,C10434,C10410,C10386,C10362,C10338,C10314)/SUM(C10290,C10266,C10242,C10218,C10194,C10170,C10146,C10122,C10098,C10074,C10050,C10026,C10002,C9978)</f>
        <v>1.5242026266416511</v>
      </c>
      <c r="I10626" s="297">
        <f t="shared" si="1771"/>
        <v>434.66190039844133</v>
      </c>
      <c r="J10626" s="422">
        <f t="shared" si="1772"/>
        <v>325.71428571428572</v>
      </c>
      <c r="K10626" s="297">
        <f>J10626/POBLA!$B$17*100000</f>
        <v>22.866819132186162</v>
      </c>
      <c r="L10626" s="200">
        <f t="shared" si="1773"/>
        <v>0.27946127946127941</v>
      </c>
      <c r="M10626" s="401">
        <f>SUM(C10626,C10602,C10578,C10554,C10530,C10506,C10482)/POBLA!$B$17*100000</f>
        <v>160.06773392530312</v>
      </c>
    </row>
    <row r="10627" spans="1:17" x14ac:dyDescent="0.25">
      <c r="A10627" s="367" t="s">
        <v>35</v>
      </c>
      <c r="B10627" s="267">
        <v>44335</v>
      </c>
      <c r="C10627" s="1">
        <v>659</v>
      </c>
      <c r="D10627" s="39">
        <f t="shared" si="1770"/>
        <v>31181</v>
      </c>
      <c r="E10627" s="1">
        <v>4</v>
      </c>
      <c r="F10627" s="39">
        <f t="shared" si="1769"/>
        <v>563</v>
      </c>
      <c r="G10627" s="168">
        <f>SUM(C10627,C10603,C10579,C10555,C10531,C10507,C10483,C10459,C10435,C10411,C10387,C10363,C10339,C10315)/POBLA!$B$18*100000</f>
        <v>784.67314459362763</v>
      </c>
      <c r="H10627" s="256">
        <f t="shared" si="1774"/>
        <v>1.5237385036042754</v>
      </c>
      <c r="I10627" s="297">
        <f t="shared" si="1771"/>
        <v>1195.6366831615553</v>
      </c>
      <c r="J10627" s="422">
        <f t="shared" si="1772"/>
        <v>528.71428571428567</v>
      </c>
      <c r="K10627" s="297">
        <f>J10627/POBLA!$B$18*100000</f>
        <v>67.678287302284218</v>
      </c>
      <c r="L10627" s="200">
        <f t="shared" si="1773"/>
        <v>0.52367229312474262</v>
      </c>
      <c r="M10627" s="401">
        <f>SUM(C10627,C10603,C10579,C10555,C10531,C10507,C10483)/POBLA!$B$18*100000</f>
        <v>473.74801111598953</v>
      </c>
    </row>
    <row r="10628" spans="1:17" x14ac:dyDescent="0.25">
      <c r="A10628" s="367" t="s">
        <v>36</v>
      </c>
      <c r="B10628" s="267">
        <v>44335</v>
      </c>
      <c r="C10628" s="1">
        <v>524</v>
      </c>
      <c r="D10628" s="39">
        <f t="shared" si="1770"/>
        <v>45902</v>
      </c>
      <c r="E10628" s="1">
        <v>6</v>
      </c>
      <c r="F10628" s="39">
        <f t="shared" si="1769"/>
        <v>635</v>
      </c>
      <c r="G10628" s="168">
        <f>SUM(C10628,C10604,C10580,C10556,C10532,C10508,C10484,C10460,C10436,C10412,C10388,C10364,C10340,C10316)/POBLA!$B$19*100000</f>
        <v>1238.3736485104105</v>
      </c>
      <c r="H10628" s="256">
        <f t="shared" si="1774"/>
        <v>0.81552014509651505</v>
      </c>
      <c r="I10628" s="297">
        <f t="shared" si="1771"/>
        <v>1009.9186575169107</v>
      </c>
      <c r="J10628" s="422">
        <f t="shared" si="1772"/>
        <v>438.57142857142856</v>
      </c>
      <c r="K10628" s="297">
        <f>J10628/POBLA!$B$19*100000</f>
        <v>86.277251808168842</v>
      </c>
      <c r="L10628" s="200">
        <f t="shared" si="1773"/>
        <v>-4.806201550387601E-2</v>
      </c>
      <c r="M10628" s="401">
        <f>SUM(C10628,C10604,C10580,C10556,C10532,C10508,C10484)/POBLA!$B$19*100000</f>
        <v>603.94076265718195</v>
      </c>
    </row>
    <row r="10629" spans="1:17" x14ac:dyDescent="0.25">
      <c r="A10629" s="367" t="s">
        <v>37</v>
      </c>
      <c r="B10629" s="267">
        <v>44335</v>
      </c>
      <c r="C10629" s="1">
        <v>260</v>
      </c>
      <c r="D10629" s="39">
        <f t="shared" si="1770"/>
        <v>48986</v>
      </c>
      <c r="E10629" s="1">
        <v>4</v>
      </c>
      <c r="F10629" s="39">
        <f t="shared" si="1769"/>
        <v>760</v>
      </c>
      <c r="G10629" s="168">
        <f>SUM(C10629,C10605,C10581,C10557,C10533,C10509,C10485,C10461,C10437,C10413,C10389,C10365,C10341,C10317)/POBLA!$B$20*100000</f>
        <v>912.77502201269897</v>
      </c>
      <c r="H10629" s="256">
        <f t="shared" si="1774"/>
        <v>1.2249541284403669</v>
      </c>
      <c r="I10629" s="297">
        <f t="shared" si="1771"/>
        <v>1118.1075315517023</v>
      </c>
      <c r="J10629" s="422">
        <f t="shared" si="1772"/>
        <v>248</v>
      </c>
      <c r="K10629" s="297">
        <f>J10629/POBLA!$B$20*100000</f>
        <v>67.815519909870986</v>
      </c>
      <c r="L10629" s="200">
        <f t="shared" si="1773"/>
        <v>8.3645443196004976E-2</v>
      </c>
      <c r="M10629" s="401">
        <f>SUM(C10629,C10605,C10581,C10557,C10533,C10509,C10485)/POBLA!$B$20*100000</f>
        <v>474.70863936909689</v>
      </c>
    </row>
    <row r="10630" spans="1:17" x14ac:dyDescent="0.25">
      <c r="A10630" s="367" t="s">
        <v>22</v>
      </c>
      <c r="B10630" s="267">
        <v>44335</v>
      </c>
      <c r="C10630" s="1">
        <v>3086</v>
      </c>
      <c r="D10630" s="39">
        <f t="shared" si="1770"/>
        <v>311013</v>
      </c>
      <c r="E10630" s="1">
        <v>46</v>
      </c>
      <c r="F10630" s="39">
        <f t="shared" si="1769"/>
        <v>5050</v>
      </c>
      <c r="G10630" s="168">
        <f>SUM(C10630,C10606,C10582,C10558,C10534,C10510,C10486,C10462,C10438,C10414,C10390,C10366,C10342,C10318)/POBLA!$B$21*100000</f>
        <v>806.06987069967408</v>
      </c>
      <c r="H10630" s="256">
        <f t="shared" si="1774"/>
        <v>1.1734727482298699</v>
      </c>
      <c r="I10630" s="297">
        <f t="shared" si="1771"/>
        <v>945.90102643524244</v>
      </c>
      <c r="J10630" s="422">
        <f t="shared" si="1772"/>
        <v>2313.2857142857142</v>
      </c>
      <c r="K10630" s="297">
        <f>J10630/POBLA!$B$21*100000</f>
        <v>65.413243408604814</v>
      </c>
      <c r="L10630" s="200">
        <f t="shared" si="1773"/>
        <v>0.31511410704133835</v>
      </c>
      <c r="M10630" s="401">
        <f>SUM(C10630,C10606,C10582,C10558,C10534,C10510,C10486)/POBLA!$B$21*100000</f>
        <v>457.89270386023372</v>
      </c>
    </row>
    <row r="10631" spans="1:17" x14ac:dyDescent="0.25">
      <c r="A10631" s="367" t="s">
        <v>38</v>
      </c>
      <c r="B10631" s="267">
        <v>44335</v>
      </c>
      <c r="C10631" s="1">
        <v>639</v>
      </c>
      <c r="D10631" s="39">
        <f t="shared" si="1770"/>
        <v>36838</v>
      </c>
      <c r="E10631" s="1">
        <v>2</v>
      </c>
      <c r="F10631" s="39">
        <f t="shared" si="1769"/>
        <v>420</v>
      </c>
      <c r="G10631" s="168">
        <f>SUM(C10631,C10607,C10583,C10559,C10535,C10511,C10487,C10463,C10439,C10415,C10391,C10367,C10343,C10319)/POBLA!$B$22*100000</f>
        <v>539.39792275069431</v>
      </c>
      <c r="H10631" s="256">
        <f t="shared" si="1774"/>
        <v>1.902307137707282</v>
      </c>
      <c r="I10631" s="297">
        <f t="shared" si="1771"/>
        <v>1026.1005185131269</v>
      </c>
      <c r="J10631" s="422">
        <f t="shared" si="1772"/>
        <v>463</v>
      </c>
      <c r="K10631" s="297">
        <f>J10631/POBLA!$B$22*100000</f>
        <v>47.326366919380611</v>
      </c>
      <c r="L10631" s="200">
        <f t="shared" si="1773"/>
        <v>0.59184675834970535</v>
      </c>
      <c r="M10631" s="401">
        <f>SUM(C10631,C10607,C10583,C10559,C10535,C10511,C10487)/POBLA!$B$22*100000</f>
        <v>331.28456843566426</v>
      </c>
    </row>
    <row r="10632" spans="1:17" x14ac:dyDescent="0.25">
      <c r="A10632" s="367" t="s">
        <v>39</v>
      </c>
      <c r="B10632" s="267">
        <v>44335</v>
      </c>
      <c r="C10632" s="1">
        <v>107</v>
      </c>
      <c r="D10632" s="39">
        <f t="shared" si="1770"/>
        <v>27762</v>
      </c>
      <c r="F10632" s="39">
        <f t="shared" si="1769"/>
        <v>407</v>
      </c>
      <c r="G10632" s="168">
        <f>SUM(C10632,C10608,C10584,C10560,C10536,C10512,C10488,C10464,C10440,C10416,C10392,C10368,C10344,C10320)/POBLA!$B$23*100000</f>
        <v>567.21144602160268</v>
      </c>
      <c r="H10632" s="256">
        <f t="shared" si="1774"/>
        <v>0.91181818181818186</v>
      </c>
      <c r="I10632" s="297">
        <f t="shared" si="1771"/>
        <v>517.19370941787952</v>
      </c>
      <c r="J10632" s="422">
        <f t="shared" si="1772"/>
        <v>74.571428571428569</v>
      </c>
      <c r="K10632" s="297">
        <f>J10632/POBLA!$B$23*100000</f>
        <v>42.171254069687592</v>
      </c>
      <c r="L10632" s="200">
        <f t="shared" si="1773"/>
        <v>8.5239085239085188E-2</v>
      </c>
      <c r="M10632" s="401">
        <f>SUM(C10632,C10608,C10584,C10560,C10536,C10512,C10488)/POBLA!$B$23*100000</f>
        <v>295.19877848781312</v>
      </c>
    </row>
    <row r="10633" spans="1:17" ht="15.75" thickBot="1" x14ac:dyDescent="0.3">
      <c r="A10633" s="369" t="s">
        <v>40</v>
      </c>
      <c r="B10633" s="267">
        <v>44335</v>
      </c>
      <c r="C10633" s="1">
        <v>827</v>
      </c>
      <c r="D10633" s="176">
        <f t="shared" si="1770"/>
        <v>117844</v>
      </c>
      <c r="E10633" s="1">
        <v>10</v>
      </c>
      <c r="F10633" s="176">
        <f t="shared" si="1769"/>
        <v>1765</v>
      </c>
      <c r="G10633" s="177">
        <f>SUM(C10633,C10609,C10585,C10561,C10537,C10513,C10489,C10465,C10441,C10417,C10393,C10369,C10345,C10321)/POBLA!$B$24*100000</f>
        <v>536.92312776162237</v>
      </c>
      <c r="H10633" s="402">
        <f t="shared" si="1774"/>
        <v>1.0457418687507183</v>
      </c>
      <c r="I10633" s="403">
        <f t="shared" si="1771"/>
        <v>561.48299500091969</v>
      </c>
      <c r="J10633" s="423">
        <f t="shared" si="1772"/>
        <v>749.28571428571433</v>
      </c>
      <c r="K10633" s="403">
        <f>J10633/POBLA!$B$24*100000</f>
        <v>44.214620211164643</v>
      </c>
      <c r="L10633" s="404">
        <f t="shared" si="1773"/>
        <v>0.36092371562013503</v>
      </c>
      <c r="M10633" s="405">
        <f>SUM(C10633,C10609,C10585,C10561,C10537,C10513,C10489)/POBLA!$B$24*100000</f>
        <v>309.50234147815246</v>
      </c>
    </row>
    <row r="10634" spans="1:17" x14ac:dyDescent="0.25">
      <c r="A10634" s="363" t="s">
        <v>16</v>
      </c>
      <c r="B10634" s="267">
        <v>44336</v>
      </c>
      <c r="C10634" s="1">
        <v>14709</v>
      </c>
      <c r="D10634" s="174">
        <f t="shared" si="1770"/>
        <v>1491734</v>
      </c>
      <c r="E10634" s="1">
        <v>81</v>
      </c>
      <c r="F10634" s="174">
        <f t="shared" ref="F10634:F10657" si="1775">E10634+F10610</f>
        <v>37672</v>
      </c>
      <c r="G10634" s="175">
        <f>SUM(C10634,C10610,C10586,C10562,C10538,C10514,C10490,C10466,C10442,C10418,C10394,C10370,C10346,C10322)/POBLA!$B$1*100000</f>
        <v>788.76282905427865</v>
      </c>
      <c r="H10634" s="300">
        <f t="shared" si="1774"/>
        <v>0.99035116602007067</v>
      </c>
      <c r="I10634" s="301">
        <f>G10634*H10634</f>
        <v>781.15218746719449</v>
      </c>
      <c r="J10634" s="421">
        <f>AVERAGE(C10634,C10610,C10586,C10562,C10538,C10514,C10490)</f>
        <v>11062.142857142857</v>
      </c>
      <c r="K10634" s="301">
        <f>J10634/POBLA!$B$1*100000</f>
        <v>63.063986870311673</v>
      </c>
      <c r="L10634" s="399">
        <f t="shared" si="1773"/>
        <v>0.27103064524071363</v>
      </c>
      <c r="M10634" s="400">
        <f>SUM(C10634,C10610,C10586,C10562,C10538,C10514,C10490)/POBLA!$B$1*100000</f>
        <v>441.44790809218171</v>
      </c>
    </row>
    <row r="10635" spans="1:17" x14ac:dyDescent="0.25">
      <c r="A10635" s="367" t="s">
        <v>43</v>
      </c>
      <c r="B10635" s="267">
        <v>44336</v>
      </c>
      <c r="C10635" s="1">
        <v>3045</v>
      </c>
      <c r="D10635" s="39">
        <f t="shared" si="1770"/>
        <v>390124</v>
      </c>
      <c r="E10635" s="1">
        <v>57</v>
      </c>
      <c r="F10635" s="39">
        <f t="shared" si="1775"/>
        <v>8694</v>
      </c>
      <c r="G10635" s="168">
        <f>SUM(C10635,C10611,C10587,C10563,C10539,C10515,C10491,C10467,C10443,C10419,C10395,C10371,C10347,C10323)/POBLA!$B$2*100000</f>
        <v>1103.9631999261294</v>
      </c>
      <c r="H10635" s="256">
        <f t="shared" si="1774"/>
        <v>0.92076147087536608</v>
      </c>
      <c r="I10635" s="297">
        <f t="shared" ref="I10635:I10657" si="1776">G10635*H10635</f>
        <v>1016.4867797562588</v>
      </c>
      <c r="J10635" s="422">
        <f t="shared" ref="J10635:J10657" si="1777">AVERAGE(C10635,C10611,C10587,C10563,C10539,C10515,C10491)</f>
        <v>2704.5714285714284</v>
      </c>
      <c r="K10635" s="297">
        <f>J10635/POBLA!$B$2*100000</f>
        <v>87.935068878909618</v>
      </c>
      <c r="L10635" s="200">
        <f t="shared" si="1773"/>
        <v>0.26028491545732924</v>
      </c>
      <c r="M10635" s="401">
        <f>SUM(C10635,C10611,C10587,C10563,C10539,C10515,C10491)/POBLA!$B$2*100000</f>
        <v>615.5454821523673</v>
      </c>
      <c r="Q10635" s="463"/>
    </row>
    <row r="10636" spans="1:17" x14ac:dyDescent="0.25">
      <c r="A10636" s="367" t="s">
        <v>28</v>
      </c>
      <c r="B10636" s="267">
        <v>44336</v>
      </c>
      <c r="C10636" s="1">
        <v>213</v>
      </c>
      <c r="D10636" s="39">
        <f t="shared" si="1770"/>
        <v>19273</v>
      </c>
      <c r="E10636" s="1">
        <v>10</v>
      </c>
      <c r="F10636" s="39">
        <f t="shared" si="1775"/>
        <v>143</v>
      </c>
      <c r="G10636" s="168">
        <f>SUM(C10636,C10612,C10588,C10564,C10540,C10516,C10492,C10468,C10444,C10420,C10396,C10372,C10348,C10324)/POBLA!$B$3*100000</f>
        <v>860.7782629417627</v>
      </c>
      <c r="H10636" s="256">
        <f t="shared" si="1774"/>
        <v>1.6486860304287689</v>
      </c>
      <c r="I10636" s="297">
        <f t="shared" si="1776"/>
        <v>1419.1530974088259</v>
      </c>
      <c r="J10636" s="422">
        <f t="shared" si="1777"/>
        <v>319.42857142857144</v>
      </c>
      <c r="K10636" s="297">
        <f>J10636/POBLA!$B$3*100000</f>
        <v>76.889589163382126</v>
      </c>
      <c r="L10636" s="200">
        <f t="shared" si="1773"/>
        <v>0.66865671641791047</v>
      </c>
      <c r="M10636" s="401">
        <f>SUM(C10636,C10612,C10588,C10564,C10540,C10516,C10492)/POBLA!$B$3*100000</f>
        <v>538.22712414367481</v>
      </c>
    </row>
    <row r="10637" spans="1:17" x14ac:dyDescent="0.25">
      <c r="A10637" s="367" t="s">
        <v>15</v>
      </c>
      <c r="B10637" s="267">
        <v>44336</v>
      </c>
      <c r="C10637" s="1">
        <v>757</v>
      </c>
      <c r="D10637" s="39">
        <f t="shared" si="1770"/>
        <v>51634</v>
      </c>
      <c r="E10637" s="1">
        <v>5</v>
      </c>
      <c r="F10637" s="39">
        <f t="shared" si="1775"/>
        <v>1141</v>
      </c>
      <c r="G10637" s="168">
        <f>SUM(C10637,C10613,C10589,C10565,C10541,C10517,C10493,C10469,C10445,C10421,C10397,C10373,C10349,C10325)/POBLA!$B$4*100000</f>
        <v>443.90352839795406</v>
      </c>
      <c r="H10637" s="256">
        <f t="shared" si="1774"/>
        <v>1.6028177458033572</v>
      </c>
      <c r="I10637" s="297">
        <f t="shared" si="1776"/>
        <v>711.49645274096531</v>
      </c>
      <c r="J10637" s="422">
        <f t="shared" si="1777"/>
        <v>485.71428571428572</v>
      </c>
      <c r="K10637" s="297">
        <f>J10637/POBLA!$B$4*100000</f>
        <v>40.323599256005878</v>
      </c>
      <c r="L10637" s="200">
        <f t="shared" si="1773"/>
        <v>0.74627632254750909</v>
      </c>
      <c r="M10637" s="401">
        <f>SUM(C10637,C10613,C10589,C10565,C10541,C10517,C10493)/POBLA!$B$4*100000</f>
        <v>282.26519479204114</v>
      </c>
    </row>
    <row r="10638" spans="1:17" x14ac:dyDescent="0.25">
      <c r="A10638" s="367" t="s">
        <v>29</v>
      </c>
      <c r="B10638" s="267">
        <v>44336</v>
      </c>
      <c r="C10638" s="1">
        <v>410</v>
      </c>
      <c r="D10638" s="39">
        <f t="shared" si="1770"/>
        <v>59178</v>
      </c>
      <c r="E10638" s="1">
        <v>4</v>
      </c>
      <c r="F10638" s="39">
        <f t="shared" si="1775"/>
        <v>973</v>
      </c>
      <c r="G10638" s="168">
        <f>SUM(C10638,C10614,C10590,C10566,C10542,C10518,C10494,C10470,C10446,C10422,C10398,C10374,C10350,C10326)/POBLA!$B$5*100000</f>
        <v>538.61588319111331</v>
      </c>
      <c r="H10638" s="256">
        <f t="shared" si="1774"/>
        <v>1.4008403361344537</v>
      </c>
      <c r="I10638" s="297">
        <f t="shared" si="1776"/>
        <v>754.51485485679484</v>
      </c>
      <c r="J10638" s="422">
        <f t="shared" si="1777"/>
        <v>266.14285714285717</v>
      </c>
      <c r="K10638" s="297">
        <f>J10638/POBLA!$B$5*100000</f>
        <v>42.996031810139868</v>
      </c>
      <c r="L10638" s="200">
        <f t="shared" si="1773"/>
        <v>0.26648538409245415</v>
      </c>
      <c r="M10638" s="401">
        <f>SUM(C10638,C10614,C10590,C10566,C10542,C10518,C10494)/POBLA!$B$5*100000</f>
        <v>300.97222267097908</v>
      </c>
    </row>
    <row r="10639" spans="1:17" x14ac:dyDescent="0.25">
      <c r="A10639" s="367" t="s">
        <v>30</v>
      </c>
      <c r="B10639" s="267">
        <v>44336</v>
      </c>
      <c r="C10639" s="1">
        <v>236</v>
      </c>
      <c r="D10639" s="39">
        <f t="shared" si="1770"/>
        <v>42157</v>
      </c>
      <c r="E10639" s="1">
        <v>7</v>
      </c>
      <c r="F10639" s="39">
        <f t="shared" si="1775"/>
        <v>571</v>
      </c>
      <c r="G10639" s="168">
        <f>SUM(C10639,C10615,C10591,C10567,C10543,C10519,C10495,C10471,C10447,C10423,C10399,C10375,C10351,C10327)/POBLA!$B$6*100000</f>
        <v>318.96830927167269</v>
      </c>
      <c r="H10639" s="256">
        <f t="shared" si="1774"/>
        <v>1.2340352088367277</v>
      </c>
      <c r="I10639" s="297">
        <f t="shared" si="1776"/>
        <v>393.61812414436656</v>
      </c>
      <c r="J10639" s="422">
        <f t="shared" si="1777"/>
        <v>318</v>
      </c>
      <c r="K10639" s="297">
        <f>J10639/POBLA!$B$6*100000</f>
        <v>28.372565691857876</v>
      </c>
      <c r="L10639" s="200">
        <f t="shared" si="1773"/>
        <v>0.65011119347664947</v>
      </c>
      <c r="M10639" s="401">
        <f>SUM(C10639,C10615,C10591,C10567,C10543,C10519,C10495)/POBLA!$B$6*100000</f>
        <v>198.60795984300515</v>
      </c>
    </row>
    <row r="10640" spans="1:17" x14ac:dyDescent="0.25">
      <c r="A10640" s="367" t="s">
        <v>20</v>
      </c>
      <c r="B10640" s="267">
        <v>44336</v>
      </c>
      <c r="C10640" s="1">
        <v>3516</v>
      </c>
      <c r="D10640" s="39">
        <f t="shared" si="1770"/>
        <v>270889</v>
      </c>
      <c r="E10640" s="1">
        <v>19</v>
      </c>
      <c r="F10640" s="39">
        <f t="shared" si="1775"/>
        <v>3681</v>
      </c>
      <c r="G10640" s="168">
        <f>SUM(C10640,C10616,C10592,C10568,C10544,C10520,C10496,C10472,C10448,C10424,C10400,C10376,C10352,C10328)/POBLA!$B$7*100000</f>
        <v>921.21953489608961</v>
      </c>
      <c r="H10640" s="256">
        <f t="shared" si="1774"/>
        <v>1.5992798116430451</v>
      </c>
      <c r="I10640" s="297">
        <f t="shared" si="1776"/>
        <v>1473.2878042505117</v>
      </c>
      <c r="J10640" s="422">
        <f t="shared" si="1777"/>
        <v>3017.1428571428573</v>
      </c>
      <c r="K10640" s="297">
        <f>J10640/POBLA!$B$7*100000</f>
        <v>80.233558673638981</v>
      </c>
      <c r="L10640" s="200">
        <f t="shared" si="1773"/>
        <v>0.56189912734802538</v>
      </c>
      <c r="M10640" s="401">
        <f>SUM(C10640,C10616,C10592,C10568,C10544,C10520,C10496)/POBLA!$B$7*100000</f>
        <v>561.63491071547287</v>
      </c>
    </row>
    <row r="10641" spans="1:13" x14ac:dyDescent="0.25">
      <c r="A10641" s="367" t="s">
        <v>31</v>
      </c>
      <c r="B10641" s="267">
        <v>44336</v>
      </c>
      <c r="C10641" s="1">
        <v>1150</v>
      </c>
      <c r="D10641" s="39">
        <f t="shared" si="1770"/>
        <v>75664</v>
      </c>
      <c r="E10641" s="1">
        <v>9</v>
      </c>
      <c r="F10641" s="39">
        <f t="shared" si="1775"/>
        <v>1209</v>
      </c>
      <c r="G10641" s="168">
        <f>SUM(C10641,C10617,C10593,C10569,C10545,C10521,C10497,C10473,C10449,C10425,C10401,C10377,C10353,C10329)/POBLA!$B$8*100000</f>
        <v>697.35006973500697</v>
      </c>
      <c r="H10641" s="256">
        <f t="shared" si="1774"/>
        <v>1.2891823396025077</v>
      </c>
      <c r="I10641" s="297">
        <f t="shared" si="1776"/>
        <v>899.01139442294823</v>
      </c>
      <c r="J10641" s="422">
        <f t="shared" si="1777"/>
        <v>799.85714285714289</v>
      </c>
      <c r="K10641" s="297">
        <f>J10641/POBLA!$B$8*100000</f>
        <v>57.711374480028141</v>
      </c>
      <c r="L10641" s="200">
        <f t="shared" si="1773"/>
        <v>0.37702902115100834</v>
      </c>
      <c r="M10641" s="401">
        <f>SUM(C10641,C10617,C10593,C10569,C10545,C10521,C10497)/POBLA!$B$8*100000</f>
        <v>403.97962136019703</v>
      </c>
    </row>
    <row r="10642" spans="1:13" x14ac:dyDescent="0.25">
      <c r="A10642" s="367" t="s">
        <v>41</v>
      </c>
      <c r="B10642" s="267">
        <v>44336</v>
      </c>
      <c r="C10642" s="1">
        <v>984</v>
      </c>
      <c r="D10642" s="39">
        <f t="shared" si="1770"/>
        <v>20124</v>
      </c>
      <c r="E10642" s="1">
        <v>40</v>
      </c>
      <c r="F10642" s="39">
        <f t="shared" si="1775"/>
        <v>258</v>
      </c>
      <c r="G10642" s="168">
        <f>SUM(C10642,C10618,C10594,C10570,C10546,C10522,C10498,C10474,C10450,C10426,C10402,C10378,C10354,C10330)/POBLA!$B$9*100000</f>
        <v>2426.4986541483463</v>
      </c>
      <c r="H10642" s="256">
        <f t="shared" si="1774"/>
        <v>9.3060836501901143</v>
      </c>
      <c r="I10642" s="297">
        <f t="shared" si="1776"/>
        <v>22581.199452578243</v>
      </c>
      <c r="J10642" s="422">
        <f t="shared" si="1777"/>
        <v>1890.7142857142858</v>
      </c>
      <c r="K10642" s="297">
        <f>J10642/POBLA!$B$9*100000</f>
        <v>312.41509497206442</v>
      </c>
      <c r="L10642" s="200">
        <f>(SUM(C10642,C10618,C10594,C10570,C10546,C10522,C10498)/SUM(C10474,C10450,C10426,C10402,C10378,C10354,C10330))-1</f>
        <v>8.1275862068965523</v>
      </c>
      <c r="M10642" s="401">
        <f>SUM(C10642,C10618,C10594,C10570,C10546,C10522,C10498)/POBLA!$B$9*100000</f>
        <v>2186.9056648044507</v>
      </c>
    </row>
    <row r="10643" spans="1:13" x14ac:dyDescent="0.25">
      <c r="A10643" s="367" t="s">
        <v>32</v>
      </c>
      <c r="B10643" s="267">
        <v>44336</v>
      </c>
      <c r="C10643" s="1">
        <v>165</v>
      </c>
      <c r="D10643" s="39">
        <f t="shared" si="1770"/>
        <v>26768</v>
      </c>
      <c r="E10643" s="1">
        <v>3</v>
      </c>
      <c r="F10643" s="39">
        <f t="shared" si="1775"/>
        <v>1079</v>
      </c>
      <c r="G10643" s="168">
        <f>SUM(C10643,C10619,C10595,C10571,C10547,C10523,C10499,C10475,C10451,C10427,C10403,C10379,C10355,C10331)/POBLA!$B$10*100000</f>
        <v>179.92400902344201</v>
      </c>
      <c r="H10643" s="256">
        <f t="shared" si="1774"/>
        <v>1.0810600155884644</v>
      </c>
      <c r="I10643" s="297">
        <f t="shared" si="1776"/>
        <v>194.50865199962124</v>
      </c>
      <c r="J10643" s="422">
        <f t="shared" si="1777"/>
        <v>111.28571428571429</v>
      </c>
      <c r="K10643" s="297">
        <f>J10643/POBLA!$B$10*100000</f>
        <v>14.436172935344663</v>
      </c>
      <c r="L10643" s="200">
        <f t="shared" ref="L10643:L10665" si="1778">(SUM(C10643,C10619,C10595,C10571,C10547,C10523,C10499)/SUM(C10475,C10451,C10427,C10403,C10379,C10355,C10331))-1</f>
        <v>0.28125</v>
      </c>
      <c r="M10643" s="401">
        <f>SUM(C10643,C10619,C10595,C10571,C10547,C10523,C10499)/POBLA!$B$10*100000</f>
        <v>101.05321054741263</v>
      </c>
    </row>
    <row r="10644" spans="1:13" x14ac:dyDescent="0.25">
      <c r="A10644" s="367" t="s">
        <v>33</v>
      </c>
      <c r="B10644" s="267">
        <v>44336</v>
      </c>
      <c r="C10644" s="1">
        <v>705</v>
      </c>
      <c r="D10644" s="39">
        <f t="shared" si="1770"/>
        <v>36388</v>
      </c>
      <c r="F10644" s="39">
        <f t="shared" si="1775"/>
        <v>473</v>
      </c>
      <c r="G10644" s="168">
        <f>SUM(C10644,C10620,C10596,C10572,C10548,C10524,C10500,C10476,C10452,C10428,C10404,C10380,C10356,C10332)/POBLA!$B$11*100000</f>
        <v>2051.1790373519925</v>
      </c>
      <c r="H10644" s="256">
        <f t="shared" si="1774"/>
        <v>1.9086188992731048</v>
      </c>
      <c r="I10644" s="297">
        <f t="shared" si="1776"/>
        <v>3914.9190764828268</v>
      </c>
      <c r="J10644" s="422">
        <f t="shared" si="1777"/>
        <v>600.14285714285711</v>
      </c>
      <c r="K10644" s="297">
        <f>J10644/POBLA!$B$11*100000</f>
        <v>167.43749292545701</v>
      </c>
      <c r="L10644" s="200">
        <f t="shared" si="1778"/>
        <v>0.33322754681053635</v>
      </c>
      <c r="M10644" s="401">
        <f>SUM(C10644,C10620,C10596,C10572,C10548,C10524,C10500)/POBLA!$B$11*100000</f>
        <v>1172.0624504781993</v>
      </c>
    </row>
    <row r="10645" spans="1:13" x14ac:dyDescent="0.25">
      <c r="A10645" s="367" t="s">
        <v>21</v>
      </c>
      <c r="B10645" s="267">
        <v>44336</v>
      </c>
      <c r="C10645" s="1">
        <v>110</v>
      </c>
      <c r="D10645" s="39">
        <f t="shared" si="1770"/>
        <v>15611</v>
      </c>
      <c r="F10645" s="39">
        <f t="shared" si="1775"/>
        <v>517</v>
      </c>
      <c r="G10645" s="168">
        <f>SUM(C10645,C10621,C10597,C10573,C10549,C10525,C10501,C10477,C10453,C10429,C10405,C10381,C10357,C10333)/POBLA!$B$12*100000</f>
        <v>409.62465472859827</v>
      </c>
      <c r="H10645" s="256">
        <f t="shared" si="1774"/>
        <v>1.3920552677029361</v>
      </c>
      <c r="I10645" s="297">
        <f t="shared" si="1776"/>
        <v>570.22015839594167</v>
      </c>
      <c r="J10645" s="422">
        <f t="shared" si="1777"/>
        <v>166.42857142857142</v>
      </c>
      <c r="K10645" s="297">
        <f>J10645/POBLA!$B$12*100000</f>
        <v>42.291095600745912</v>
      </c>
      <c r="L10645" s="200">
        <f t="shared" si="1778"/>
        <v>1.6062639821029081</v>
      </c>
      <c r="M10645" s="401">
        <f>SUM(C10645,C10621,C10597,C10573,C10549,C10525,C10501)/POBLA!$B$12*100000</f>
        <v>296.03766920522145</v>
      </c>
    </row>
    <row r="10646" spans="1:13" x14ac:dyDescent="0.25">
      <c r="A10646" s="367" t="s">
        <v>17</v>
      </c>
      <c r="B10646" s="267">
        <v>44336</v>
      </c>
      <c r="C10646" s="1">
        <v>1120</v>
      </c>
      <c r="D10646" s="39">
        <f t="shared" si="1770"/>
        <v>112595</v>
      </c>
      <c r="E10646" s="1">
        <v>28</v>
      </c>
      <c r="F10646" s="39">
        <f t="shared" si="1775"/>
        <v>2278</v>
      </c>
      <c r="G10646" s="168">
        <f>SUM(C10646,C10622,C10598,C10574,C10550,C10526,C10502,C10478,C10454,C10430,C10406,C10382,C10358,C10334)/POBLA!$B$13*100000</f>
        <v>597.98888430005354</v>
      </c>
      <c r="H10646" s="256">
        <f t="shared" si="1774"/>
        <v>1.1138979878334114</v>
      </c>
      <c r="I10646" s="297">
        <f t="shared" si="1776"/>
        <v>666.09861496857627</v>
      </c>
      <c r="J10646" s="422">
        <f t="shared" si="1777"/>
        <v>896.28571428571433</v>
      </c>
      <c r="K10646" s="297">
        <f>J10646/POBLA!$B$13*100000</f>
        <v>45.031834506788009</v>
      </c>
      <c r="L10646" s="200">
        <f t="shared" si="1778"/>
        <v>0.11478322672352514</v>
      </c>
      <c r="M10646" s="401">
        <f>SUM(C10646,C10622,C10598,C10574,C10550,C10526,C10502)/POBLA!$B$13*100000</f>
        <v>315.22284154751605</v>
      </c>
    </row>
    <row r="10647" spans="1:13" x14ac:dyDescent="0.25">
      <c r="A10647" s="367" t="s">
        <v>23</v>
      </c>
      <c r="B10647" s="267">
        <v>44336</v>
      </c>
      <c r="C10647" s="1">
        <v>175</v>
      </c>
      <c r="D10647" s="39">
        <f t="shared" si="1770"/>
        <v>18525</v>
      </c>
      <c r="F10647" s="39">
        <f t="shared" si="1775"/>
        <v>259</v>
      </c>
      <c r="G10647" s="168">
        <f>SUM(C10647,C10623,C10599,C10575,C10551,C10527,C10503,C10479,C10455,C10431,C10407,C10383,C10359,C10335)/POBLA!$B$14*100000</f>
        <v>172.04553418949112</v>
      </c>
      <c r="H10647" s="256">
        <f t="shared" si="1774"/>
        <v>1.3337430854333128</v>
      </c>
      <c r="I10647" s="297">
        <f t="shared" si="1776"/>
        <v>229.46454160491439</v>
      </c>
      <c r="J10647" s="422">
        <f t="shared" si="1777"/>
        <v>146.28571428571428</v>
      </c>
      <c r="K10647" s="297">
        <f>J10647/POBLA!$B$14*100000</f>
        <v>11.598066294275108</v>
      </c>
      <c r="L10647" s="200">
        <f t="shared" si="1778"/>
        <v>-0.10645724258289702</v>
      </c>
      <c r="M10647" s="401">
        <f>SUM(C10647,C10623,C10599,C10575,C10551,C10527,C10503)/POBLA!$B$14*100000</f>
        <v>81.186464059925754</v>
      </c>
    </row>
    <row r="10648" spans="1:13" x14ac:dyDescent="0.25">
      <c r="A10648" s="367" t="s">
        <v>19</v>
      </c>
      <c r="B10648" s="267">
        <v>44336</v>
      </c>
      <c r="C10648" s="1">
        <v>761</v>
      </c>
      <c r="D10648" s="39">
        <f t="shared" si="1770"/>
        <v>81398</v>
      </c>
      <c r="E10648" s="1">
        <v>23</v>
      </c>
      <c r="F10648" s="39">
        <f t="shared" si="1775"/>
        <v>1203</v>
      </c>
      <c r="G10648" s="168">
        <f>SUM(C10648,C10624,C10600,C10576,C10552,C10528,C10504,C10480,C10456,C10432,C10408,C10384,C10360,C10336)/POBLA!$B$15*100000</f>
        <v>1198.2405124861268</v>
      </c>
      <c r="H10648" s="256">
        <f t="shared" si="1774"/>
        <v>1.665341146923399</v>
      </c>
      <c r="I10648" s="297">
        <f t="shared" si="1776"/>
        <v>1995.4792293537278</v>
      </c>
      <c r="J10648" s="422">
        <f t="shared" si="1777"/>
        <v>622.14285714285711</v>
      </c>
      <c r="K10648" s="297">
        <f>J10648/POBLA!$B$15*100000</f>
        <v>93.688170916481127</v>
      </c>
      <c r="L10648" s="200">
        <f t="shared" si="1778"/>
        <v>0.20905052748473074</v>
      </c>
      <c r="M10648" s="401">
        <f>SUM(C10648,C10624,C10600,C10576,C10552,C10528,C10504)/POBLA!$B$15*100000</f>
        <v>655.8171964153679</v>
      </c>
    </row>
    <row r="10649" spans="1:13" x14ac:dyDescent="0.25">
      <c r="A10649" s="367" t="s">
        <v>18</v>
      </c>
      <c r="B10649" s="267">
        <v>44336</v>
      </c>
      <c r="C10649" s="1">
        <v>620</v>
      </c>
      <c r="D10649" s="39">
        <f t="shared" si="1770"/>
        <v>68558</v>
      </c>
      <c r="E10649" s="1">
        <v>26</v>
      </c>
      <c r="F10649" s="39">
        <f t="shared" si="1775"/>
        <v>1494</v>
      </c>
      <c r="G10649" s="168">
        <f>SUM(C10649,C10625,C10601,C10577,C10553,C10529,C10505,C10481,C10457,C10433,C10409,C10385,C10361,C10337)/POBLA!$B$16*100000</f>
        <v>727.78587766348755</v>
      </c>
      <c r="H10649" s="256">
        <f t="shared" si="1774"/>
        <v>1.3897828863346104</v>
      </c>
      <c r="I10649" s="297">
        <f t="shared" si="1776"/>
        <v>1011.4643576927294</v>
      </c>
      <c r="J10649" s="422">
        <f t="shared" si="1777"/>
        <v>426.71428571428572</v>
      </c>
      <c r="K10649" s="297">
        <f>J10649/POBLA!$B$16*100000</f>
        <v>57.077123863282416</v>
      </c>
      <c r="L10649" s="200">
        <f t="shared" si="1778"/>
        <v>0.21719641401792988</v>
      </c>
      <c r="M10649" s="401">
        <f>SUM(C10649,C10625,C10601,C10577,C10553,C10529,C10505)/POBLA!$B$16*100000</f>
        <v>399.53986704297699</v>
      </c>
    </row>
    <row r="10650" spans="1:13" x14ac:dyDescent="0.25">
      <c r="A10650" s="367" t="s">
        <v>34</v>
      </c>
      <c r="B10650" s="267">
        <v>44336</v>
      </c>
      <c r="C10650" s="1">
        <v>636</v>
      </c>
      <c r="D10650" s="39">
        <f t="shared" si="1770"/>
        <v>40325</v>
      </c>
      <c r="E10650" s="1">
        <v>7</v>
      </c>
      <c r="F10650" s="39">
        <f t="shared" si="1775"/>
        <v>1339</v>
      </c>
      <c r="G10650" s="168">
        <f>SUM(C10650,C10626,C10602,C10578,C10554,C10530,C10506,C10482,C10458,C10434,C10410,C10386,C10362,C10338)/POBLA!$B$17*100000</f>
        <v>311.4300296897564</v>
      </c>
      <c r="H10650" s="256">
        <f t="shared" ref="H10650:H10673" si="1779">SUM(C10650,C10626,C10602,C10578,C10554,C10530,C10506,C10482,C10458,C10434,C10410,C10386,C10362,C10338)/SUM(C10314,C10290,C10266,C10242,C10218,C10194,C10170,C10146,C10122,C10098,C10074,C10050,C10026,C10002)</f>
        <v>1.6645403377110695</v>
      </c>
      <c r="I10650" s="297">
        <f t="shared" si="1776"/>
        <v>518.38784679315552</v>
      </c>
      <c r="J10650" s="422">
        <f t="shared" si="1777"/>
        <v>379.28571428571428</v>
      </c>
      <c r="K10650" s="297">
        <f>J10650/POBLA!$B$17*100000</f>
        <v>26.62780912103257</v>
      </c>
      <c r="L10650" s="200">
        <f t="shared" si="1778"/>
        <v>0.49073554183043244</v>
      </c>
      <c r="M10650" s="401">
        <f>SUM(C10650,C10626,C10602,C10578,C10554,C10530,C10506)/POBLA!$B$17*100000</f>
        <v>186.39466384722797</v>
      </c>
    </row>
    <row r="10651" spans="1:13" x14ac:dyDescent="0.25">
      <c r="A10651" s="367" t="s">
        <v>35</v>
      </c>
      <c r="B10651" s="267">
        <v>44336</v>
      </c>
      <c r="C10651" s="1">
        <v>675</v>
      </c>
      <c r="D10651" s="39">
        <f t="shared" si="1770"/>
        <v>31856</v>
      </c>
      <c r="E10651" s="1">
        <v>5</v>
      </c>
      <c r="F10651" s="39">
        <f t="shared" si="1775"/>
        <v>568</v>
      </c>
      <c r="G10651" s="168">
        <f>SUM(C10651,C10627,C10603,C10579,C10555,C10531,C10507,C10483,C10459,C10435,C10411,C10387,C10363,C10339)/POBLA!$B$18*100000</f>
        <v>815.90646388903474</v>
      </c>
      <c r="H10651" s="256">
        <f t="shared" si="1779"/>
        <v>1.5519844168492818</v>
      </c>
      <c r="I10651" s="297">
        <f t="shared" si="1776"/>
        <v>1266.2741175623833</v>
      </c>
      <c r="J10651" s="422">
        <f t="shared" si="1777"/>
        <v>544</v>
      </c>
      <c r="K10651" s="297">
        <f>J10651/POBLA!$B$18*100000</f>
        <v>69.634941379923887</v>
      </c>
      <c r="L10651" s="200">
        <f t="shared" si="1778"/>
        <v>0.48402182385035064</v>
      </c>
      <c r="M10651" s="401">
        <f>SUM(C10651,C10627,C10603,C10579,C10555,C10531,C10507)/POBLA!$B$18*100000</f>
        <v>487.44458965946723</v>
      </c>
    </row>
    <row r="10652" spans="1:13" x14ac:dyDescent="0.25">
      <c r="A10652" s="367" t="s">
        <v>36</v>
      </c>
      <c r="B10652" s="267">
        <v>44336</v>
      </c>
      <c r="C10652" s="1">
        <v>743</v>
      </c>
      <c r="D10652" s="39">
        <f t="shared" si="1770"/>
        <v>46645</v>
      </c>
      <c r="E10652" s="1">
        <v>6</v>
      </c>
      <c r="F10652" s="39">
        <f t="shared" si="1775"/>
        <v>641</v>
      </c>
      <c r="G10652" s="168">
        <f>SUM(C10652,C10628,C10604,C10580,C10556,C10532,C10508,C10484,C10460,C10436,C10412,C10388,C10364,C10340)/POBLA!$B$19*100000</f>
        <v>1309.9809571772557</v>
      </c>
      <c r="H10652" s="256">
        <f t="shared" si="1779"/>
        <v>0.91032125768967875</v>
      </c>
      <c r="I10652" s="297">
        <f t="shared" si="1776"/>
        <v>1192.5035124871285</v>
      </c>
      <c r="J10652" s="422">
        <f t="shared" si="1777"/>
        <v>460.85714285714283</v>
      </c>
      <c r="K10652" s="297">
        <f>J10652/POBLA!$B$19*100000</f>
        <v>90.66137274695528</v>
      </c>
      <c r="L10652" s="200">
        <f t="shared" si="1778"/>
        <v>-6.0297116224876213E-2</v>
      </c>
      <c r="M10652" s="401">
        <f>SUM(C10652,C10628,C10604,C10580,C10556,C10532,C10508)/POBLA!$B$19*100000</f>
        <v>634.62960922868695</v>
      </c>
    </row>
    <row r="10653" spans="1:13" x14ac:dyDescent="0.25">
      <c r="A10653" s="367" t="s">
        <v>37</v>
      </c>
      <c r="B10653" s="267">
        <v>44336</v>
      </c>
      <c r="C10653" s="1">
        <v>370</v>
      </c>
      <c r="D10653" s="39">
        <f t="shared" si="1770"/>
        <v>49356</v>
      </c>
      <c r="E10653" s="1">
        <v>2</v>
      </c>
      <c r="F10653" s="39">
        <f t="shared" si="1775"/>
        <v>762</v>
      </c>
      <c r="G10653" s="168">
        <f>SUM(C10653,C10629,C10605,C10581,C10557,C10533,C10509,C10485,C10461,C10437,C10413,C10389,C10365,C10341)/POBLA!$B$20*100000</f>
        <v>922.3457607096567</v>
      </c>
      <c r="H10653" s="256">
        <f t="shared" si="1779"/>
        <v>1.1781348236115963</v>
      </c>
      <c r="I10653" s="297">
        <f t="shared" si="1776"/>
        <v>1086.6476601025749</v>
      </c>
      <c r="J10653" s="422">
        <f t="shared" si="1777"/>
        <v>271</v>
      </c>
      <c r="K10653" s="297">
        <f>J10653/POBLA!$B$20*100000</f>
        <v>74.104862482157401</v>
      </c>
      <c r="L10653" s="200">
        <f t="shared" si="1778"/>
        <v>0.28523035230352312</v>
      </c>
      <c r="M10653" s="401">
        <f>SUM(C10653,C10629,C10605,C10581,C10557,C10533,C10509)/POBLA!$B$20*100000</f>
        <v>518.73403737510182</v>
      </c>
    </row>
    <row r="10654" spans="1:13" x14ac:dyDescent="0.25">
      <c r="A10654" s="367" t="s">
        <v>22</v>
      </c>
      <c r="B10654" s="267">
        <v>44336</v>
      </c>
      <c r="C10654" s="1">
        <v>2947</v>
      </c>
      <c r="D10654" s="39">
        <f t="shared" si="1770"/>
        <v>313960</v>
      </c>
      <c r="E10654" s="1">
        <v>67</v>
      </c>
      <c r="F10654" s="39">
        <f t="shared" si="1775"/>
        <v>5117</v>
      </c>
      <c r="G10654" s="168">
        <f>SUM(C10654,C10630,C10606,C10582,C10558,C10534,C10510,C10486,C10462,C10438,C10414,C10390,C10366,C10342)/POBLA!$B$21*100000</f>
        <v>832.96148814987373</v>
      </c>
      <c r="H10654" s="256">
        <f t="shared" si="1779"/>
        <v>1.2157744851211358</v>
      </c>
      <c r="I10654" s="297">
        <f t="shared" si="1776"/>
        <v>1012.6933243811478</v>
      </c>
      <c r="J10654" s="422">
        <f t="shared" si="1777"/>
        <v>2422.7142857142858</v>
      </c>
      <c r="K10654" s="297">
        <f>J10654/POBLA!$B$21*100000</f>
        <v>68.507577037394498</v>
      </c>
      <c r="L10654" s="200">
        <f t="shared" si="1778"/>
        <v>0.35693710993758998</v>
      </c>
      <c r="M10654" s="401">
        <f>SUM(C10654,C10630,C10606,C10582,C10558,C10534,C10510)/POBLA!$B$21*100000</f>
        <v>479.55303926176146</v>
      </c>
    </row>
    <row r="10655" spans="1:13" x14ac:dyDescent="0.25">
      <c r="A10655" s="367" t="s">
        <v>38</v>
      </c>
      <c r="B10655" s="267">
        <v>44336</v>
      </c>
      <c r="C10655" s="1">
        <v>790</v>
      </c>
      <c r="D10655" s="39">
        <f t="shared" si="1770"/>
        <v>37628</v>
      </c>
      <c r="E10655" s="1">
        <v>9</v>
      </c>
      <c r="F10655" s="39">
        <f t="shared" si="1775"/>
        <v>429</v>
      </c>
      <c r="G10655" s="168">
        <f>SUM(C10655,C10631,C10607,C10583,C10559,C10535,C10511,C10487,C10463,C10439,C10415,C10391,C10367,C10343)/POBLA!$B$22*100000</f>
        <v>584.88438771640574</v>
      </c>
      <c r="H10655" s="256">
        <f t="shared" si="1779"/>
        <v>2.0276399716513112</v>
      </c>
      <c r="I10655" s="297">
        <f t="shared" si="1776"/>
        <v>1185.9349633285874</v>
      </c>
      <c r="J10655" s="422">
        <f t="shared" si="1777"/>
        <v>518.28571428571433</v>
      </c>
      <c r="K10655" s="297">
        <f>J10655/POBLA!$B$22*100000</f>
        <v>52.977494348507513</v>
      </c>
      <c r="L10655" s="200">
        <f t="shared" si="1778"/>
        <v>0.73256924546322821</v>
      </c>
      <c r="M10655" s="401">
        <f>SUM(C10655,C10631,C10607,C10583,C10559,C10535,C10511)/POBLA!$B$22*100000</f>
        <v>370.84246043955261</v>
      </c>
    </row>
    <row r="10656" spans="1:13" x14ac:dyDescent="0.25">
      <c r="A10656" s="367" t="s">
        <v>39</v>
      </c>
      <c r="B10656" s="267">
        <v>44336</v>
      </c>
      <c r="C10656" s="1">
        <v>90</v>
      </c>
      <c r="D10656" s="39">
        <f t="shared" si="1770"/>
        <v>27852</v>
      </c>
      <c r="F10656" s="39">
        <f t="shared" si="1775"/>
        <v>407</v>
      </c>
      <c r="G10656" s="168">
        <f>SUM(C10656,C10632,C10608,C10584,C10560,C10536,C10512,C10488,C10464,C10440,C10416,C10392,C10368,C10344)/POBLA!$B$23*100000</f>
        <v>568.34247582423802</v>
      </c>
      <c r="H10656" s="256">
        <f t="shared" si="1779"/>
        <v>0.95532319391634979</v>
      </c>
      <c r="I10656" s="297">
        <f t="shared" si="1776"/>
        <v>542.95074924273683</v>
      </c>
      <c r="J10656" s="422">
        <f t="shared" si="1777"/>
        <v>70.714285714285708</v>
      </c>
      <c r="K10656" s="297">
        <f>J10656/POBLA!$B$23*100000</f>
        <v>39.98998230746237</v>
      </c>
      <c r="L10656" s="200">
        <f t="shared" si="1778"/>
        <v>-2.9411764705882359E-2</v>
      </c>
      <c r="M10656" s="401">
        <f>SUM(C10656,C10632,C10608,C10584,C10560,C10536,C10512)/POBLA!$B$23*100000</f>
        <v>279.9298761522366</v>
      </c>
    </row>
    <row r="10657" spans="1:13" ht="15.75" thickBot="1" x14ac:dyDescent="0.3">
      <c r="A10657" s="369" t="s">
        <v>40</v>
      </c>
      <c r="B10657" s="267">
        <v>44336</v>
      </c>
      <c r="C10657" s="1">
        <v>957</v>
      </c>
      <c r="D10657" s="176">
        <f t="shared" si="1770"/>
        <v>118801</v>
      </c>
      <c r="E10657" s="1">
        <v>26</v>
      </c>
      <c r="F10657" s="176">
        <f t="shared" si="1775"/>
        <v>1791</v>
      </c>
      <c r="G10657" s="177">
        <f>SUM(C10657,C10633,C10609,C10585,C10561,C10537,C10513,C10489,C10465,C10441,C10417,C10393,C10369,C10345)/POBLA!$B$24*100000</f>
        <v>559.34655764945808</v>
      </c>
      <c r="H10657" s="402">
        <f t="shared" si="1779"/>
        <v>1.1334449360277412</v>
      </c>
      <c r="I10657" s="403">
        <f t="shared" si="1776"/>
        <v>633.98852325232724</v>
      </c>
      <c r="J10657" s="423">
        <f t="shared" si="1777"/>
        <v>777.42857142857144</v>
      </c>
      <c r="K10657" s="403">
        <f>J10657/POBLA!$B$24*100000</f>
        <v>45.875302800602093</v>
      </c>
      <c r="L10657" s="404">
        <f t="shared" si="1778"/>
        <v>0.34803071587812728</v>
      </c>
      <c r="M10657" s="405">
        <f>SUM(C10657,C10633,C10609,C10585,C10561,C10537,C10513)/POBLA!$B$24*100000</f>
        <v>321.12711960421461</v>
      </c>
    </row>
    <row r="10658" spans="1:13" x14ac:dyDescent="0.25">
      <c r="A10658" s="363" t="s">
        <v>16</v>
      </c>
      <c r="B10658" s="267">
        <v>44337</v>
      </c>
      <c r="C10658" s="463">
        <v>13510</v>
      </c>
      <c r="D10658" s="174">
        <f t="shared" si="1770"/>
        <v>1505244</v>
      </c>
      <c r="E10658" s="1">
        <v>362</v>
      </c>
      <c r="F10658" s="174">
        <f t="shared" ref="F10658:F10681" si="1780">E10658+F10634</f>
        <v>38034</v>
      </c>
      <c r="G10658" s="175">
        <f>SUM(C10658,C10634,C10610,C10586,C10562,C10538,C10514,C10490,C10466,C10442,C10418,C10394,C10370,C10346)/POBLA!$B$1*100000</f>
        <v>809.95301274871463</v>
      </c>
      <c r="H10658" s="300">
        <f t="shared" si="1779"/>
        <v>1.0503378528233258</v>
      </c>
      <c r="I10658" s="301">
        <f>G10658*H10658</f>
        <v>850.72430829826874</v>
      </c>
      <c r="J10658" s="421">
        <f>AVERAGE(C10658,C10634,C10610,C10586,C10562,C10538,C10514)</f>
        <v>11378.714285714286</v>
      </c>
      <c r="K10658" s="301">
        <f>J10658/POBLA!$B$1*100000</f>
        <v>64.868723680599146</v>
      </c>
      <c r="L10658" s="399">
        <f t="shared" si="1778"/>
        <v>0.27596757657311288</v>
      </c>
      <c r="M10658" s="400">
        <f>SUM(C10658,C10634,C10610,C10586,C10562,C10538,C10514)/POBLA!$B$1*100000</f>
        <v>454.08106576419402</v>
      </c>
    </row>
    <row r="10659" spans="1:13" x14ac:dyDescent="0.25">
      <c r="A10659" s="367" t="s">
        <v>43</v>
      </c>
      <c r="B10659" s="267">
        <v>44337</v>
      </c>
      <c r="C10659" s="463">
        <v>2932</v>
      </c>
      <c r="D10659" s="39">
        <f t="shared" si="1770"/>
        <v>393056</v>
      </c>
      <c r="E10659" s="1">
        <v>61</v>
      </c>
      <c r="F10659" s="39">
        <f t="shared" si="1780"/>
        <v>8755</v>
      </c>
      <c r="G10659" s="168">
        <f>SUM(C10659,C10635,C10611,C10587,C10563,C10539,C10515,C10491,C10467,C10443,C10419,C10395,C10371,C10347)/POBLA!$B$2*100000</f>
        <v>1131.6972109273954</v>
      </c>
      <c r="H10659" s="256">
        <f t="shared" si="1779"/>
        <v>0.96616332648642644</v>
      </c>
      <c r="I10659" s="297">
        <f t="shared" ref="I10659:I10681" si="1781">G10659*H10659</f>
        <v>1093.4043418850233</v>
      </c>
      <c r="J10659" s="422">
        <f t="shared" ref="J10659:J10681" si="1782">AVERAGE(C10659,C10635,C10611,C10587,C10563,C10539,C10515)</f>
        <v>2727.1428571428573</v>
      </c>
      <c r="K10659" s="297">
        <f>J10659/POBLA!$B$2*100000</f>
        <v>88.668944902724746</v>
      </c>
      <c r="L10659" s="200">
        <f t="shared" si="1778"/>
        <v>0.21460838582426667</v>
      </c>
      <c r="M10659" s="401">
        <f>SUM(C10659,C10635,C10611,C10587,C10563,C10539,C10515)/POBLA!$B$2*100000</f>
        <v>620.68261431907308</v>
      </c>
    </row>
    <row r="10660" spans="1:13" x14ac:dyDescent="0.25">
      <c r="A10660" s="367" t="s">
        <v>28</v>
      </c>
      <c r="B10660" s="267">
        <v>44337</v>
      </c>
      <c r="C10660" s="463">
        <v>564</v>
      </c>
      <c r="D10660" s="39">
        <f t="shared" si="1770"/>
        <v>19837</v>
      </c>
      <c r="F10660" s="39">
        <f t="shared" si="1780"/>
        <v>143</v>
      </c>
      <c r="G10660" s="168">
        <f>SUM(C10660,C10636,C10612,C10588,C10564,C10540,C10516,C10492,C10468,C10444,C10420,C10396,C10372,C10348)/POBLA!$B$3*100000</f>
        <v>951.76656925943223</v>
      </c>
      <c r="H10660" s="256">
        <f t="shared" si="1779"/>
        <v>1.8356545961002786</v>
      </c>
      <c r="I10660" s="297">
        <f t="shared" si="1781"/>
        <v>1747.1146772756708</v>
      </c>
      <c r="J10660" s="422">
        <f t="shared" si="1782"/>
        <v>372.14285714285717</v>
      </c>
      <c r="K10660" s="297">
        <f>J10660/POBLA!$B$3*100000</f>
        <v>89.578434602240804</v>
      </c>
      <c r="L10660" s="200">
        <f t="shared" si="1778"/>
        <v>0.93106004447739066</v>
      </c>
      <c r="M10660" s="401">
        <f>SUM(C10660,C10636,C10612,C10588,C10564,C10540,C10516)/POBLA!$B$3*100000</f>
        <v>627.04904221568563</v>
      </c>
    </row>
    <row r="10661" spans="1:13" x14ac:dyDescent="0.25">
      <c r="A10661" s="367" t="s">
        <v>15</v>
      </c>
      <c r="B10661" s="267">
        <v>44337</v>
      </c>
      <c r="C10661" s="463">
        <v>601</v>
      </c>
      <c r="D10661" s="39">
        <f t="shared" si="1770"/>
        <v>52235</v>
      </c>
      <c r="E10661" s="1">
        <v>9</v>
      </c>
      <c r="F10661" s="39">
        <f t="shared" si="1780"/>
        <v>1150</v>
      </c>
      <c r="G10661" s="168">
        <f>SUM(C10661,C10637,C10613,C10589,C10565,C10541,C10517,C10493,C10469,C10445,C10421,C10397,C10373,C10349)/POBLA!$B$4*100000</f>
        <v>464.49228378278531</v>
      </c>
      <c r="H10661" s="256">
        <f t="shared" si="1779"/>
        <v>1.6273996509598603</v>
      </c>
      <c r="I10661" s="297">
        <f t="shared" si="1781"/>
        <v>755.91458050165318</v>
      </c>
      <c r="J10661" s="422">
        <f t="shared" si="1782"/>
        <v>502</v>
      </c>
      <c r="K10661" s="297">
        <f>J10661/POBLA!$B$4*100000</f>
        <v>41.675625819295483</v>
      </c>
      <c r="L10661" s="200">
        <f t="shared" si="1778"/>
        <v>0.68861124459394518</v>
      </c>
      <c r="M10661" s="401">
        <f>SUM(C10661,C10637,C10613,C10589,C10565,C10541,C10517)/POBLA!$B$4*100000</f>
        <v>291.72938073506839</v>
      </c>
    </row>
    <row r="10662" spans="1:13" x14ac:dyDescent="0.25">
      <c r="A10662" s="367" t="s">
        <v>29</v>
      </c>
      <c r="B10662" s="267">
        <v>44337</v>
      </c>
      <c r="C10662" s="463">
        <v>375</v>
      </c>
      <c r="D10662" s="39">
        <f t="shared" si="1770"/>
        <v>59553</v>
      </c>
      <c r="E10662" s="1">
        <v>19</v>
      </c>
      <c r="F10662" s="39">
        <f t="shared" si="1780"/>
        <v>992</v>
      </c>
      <c r="G10662" s="168">
        <f>SUM(C10662,C10638,C10614,C10590,C10566,C10542,C10518,C10494,C10470,C10446,C10422,C10398,C10374,C10350)/POBLA!$B$5*100000</f>
        <v>554.9326810922239</v>
      </c>
      <c r="H10662" s="256">
        <f t="shared" si="1779"/>
        <v>1.4561254768969902</v>
      </c>
      <c r="I10662" s="297">
        <f t="shared" si="1781"/>
        <v>808.05161490113994</v>
      </c>
      <c r="J10662" s="422">
        <f t="shared" si="1782"/>
        <v>284.71428571428572</v>
      </c>
      <c r="K10662" s="297">
        <f>J10662/POBLA!$B$5*100000</f>
        <v>45.996291678802336</v>
      </c>
      <c r="L10662" s="200">
        <f t="shared" si="1778"/>
        <v>0.38210818307905692</v>
      </c>
      <c r="M10662" s="401">
        <f>SUM(C10662,C10638,C10614,C10590,C10566,C10542,C10518)/POBLA!$B$5*100000</f>
        <v>321.97404175161631</v>
      </c>
    </row>
    <row r="10663" spans="1:13" x14ac:dyDescent="0.25">
      <c r="A10663" s="367" t="s">
        <v>30</v>
      </c>
      <c r="B10663" s="267">
        <v>44337</v>
      </c>
      <c r="C10663" s="463">
        <v>684</v>
      </c>
      <c r="D10663" s="39">
        <f t="shared" si="1770"/>
        <v>42841</v>
      </c>
      <c r="F10663" s="39">
        <f t="shared" si="1780"/>
        <v>571</v>
      </c>
      <c r="G10663" s="168">
        <f>SUM(C10663,C10639,C10615,C10591,C10567,C10543,C10519,C10495,C10471,C10447,C10423,C10399,C10375,C10351)/POBLA!$B$6*100000</f>
        <v>368.04035685192997</v>
      </c>
      <c r="H10663" s="256">
        <f t="shared" si="1779"/>
        <v>1.55133508837909</v>
      </c>
      <c r="I10663" s="297">
        <f t="shared" si="1781"/>
        <v>570.95391952396062</v>
      </c>
      <c r="J10663" s="422">
        <f t="shared" si="1782"/>
        <v>369</v>
      </c>
      <c r="K10663" s="297">
        <f>J10663/POBLA!$B$6*100000</f>
        <v>32.922882831118102</v>
      </c>
      <c r="L10663" s="200">
        <f t="shared" si="1778"/>
        <v>0.67509727626459148</v>
      </c>
      <c r="M10663" s="401">
        <f>SUM(C10663,C10639,C10615,C10591,C10567,C10543,C10519)/POBLA!$B$6*100000</f>
        <v>230.46017981782674</v>
      </c>
    </row>
    <row r="10664" spans="1:13" x14ac:dyDescent="0.25">
      <c r="A10664" s="367" t="s">
        <v>20</v>
      </c>
      <c r="B10664" s="267">
        <v>44337</v>
      </c>
      <c r="C10664" s="463">
        <v>2826</v>
      </c>
      <c r="D10664" s="39">
        <f t="shared" si="1770"/>
        <v>273715</v>
      </c>
      <c r="E10664" s="1">
        <v>25</v>
      </c>
      <c r="F10664" s="39">
        <f t="shared" si="1780"/>
        <v>3706</v>
      </c>
      <c r="G10664" s="168">
        <f>SUM(C10664,C10640,C10616,C10592,C10568,C10544,C10520,C10496,C10472,C10448,C10424,C10400,C10376,C10352)/POBLA!$B$7*100000</f>
        <v>954.27408953715644</v>
      </c>
      <c r="H10664" s="256">
        <f t="shared" si="1779"/>
        <v>1.6773394409647564</v>
      </c>
      <c r="I10664" s="297">
        <f t="shared" si="1781"/>
        <v>1600.6415678714059</v>
      </c>
      <c r="J10664" s="422">
        <f t="shared" si="1782"/>
        <v>3008.7142857142858</v>
      </c>
      <c r="K10664" s="297">
        <f>J10664/POBLA!$B$7*100000</f>
        <v>80.009421364844258</v>
      </c>
      <c r="L10664" s="200">
        <f t="shared" si="1778"/>
        <v>0.42073664328116567</v>
      </c>
      <c r="M10664" s="401">
        <f>SUM(C10664,C10640,C10616,C10592,C10568,C10544,C10520)/POBLA!$B$7*100000</f>
        <v>560.06594955390972</v>
      </c>
    </row>
    <row r="10665" spans="1:13" x14ac:dyDescent="0.25">
      <c r="A10665" s="367" t="s">
        <v>31</v>
      </c>
      <c r="B10665" s="267">
        <v>44337</v>
      </c>
      <c r="C10665" s="463">
        <v>1028</v>
      </c>
      <c r="D10665" s="39">
        <f t="shared" si="1770"/>
        <v>76692</v>
      </c>
      <c r="E10665" s="1">
        <v>6</v>
      </c>
      <c r="F10665" s="39">
        <f t="shared" si="1780"/>
        <v>1215</v>
      </c>
      <c r="G10665" s="168">
        <f>SUM(C10665,C10641,C10617,C10593,C10569,C10545,C10521,C10497,C10473,C10449,C10425,C10401,C10377,C10353)/POBLA!$B$8*100000</f>
        <v>718.05772312496526</v>
      </c>
      <c r="H10665" s="256">
        <f t="shared" si="1779"/>
        <v>1.3151843531121976</v>
      </c>
      <c r="I10665" s="297">
        <f t="shared" si="1781"/>
        <v>944.37828208532494</v>
      </c>
      <c r="J10665" s="422">
        <f t="shared" si="1782"/>
        <v>814.57142857142856</v>
      </c>
      <c r="K10665" s="297">
        <f>J10665/POBLA!$B$8*100000</f>
        <v>58.773041129687535</v>
      </c>
      <c r="L10665" s="200">
        <f t="shared" si="1778"/>
        <v>0.34164705882352941</v>
      </c>
      <c r="M10665" s="401">
        <f>SUM(C10665,C10641,C10617,C10593,C10569,C10545,C10521)/POBLA!$B$8*100000</f>
        <v>411.41128790781266</v>
      </c>
    </row>
    <row r="10666" spans="1:13" x14ac:dyDescent="0.25">
      <c r="A10666" s="367" t="s">
        <v>41</v>
      </c>
      <c r="B10666" s="267">
        <v>44337</v>
      </c>
      <c r="C10666" s="463">
        <v>1088</v>
      </c>
      <c r="D10666" s="39">
        <f t="shared" si="1770"/>
        <v>21212</v>
      </c>
      <c r="E10666" s="1">
        <v>44</v>
      </c>
      <c r="F10666" s="39">
        <f t="shared" si="1780"/>
        <v>302</v>
      </c>
      <c r="G10666" s="168">
        <f>SUM(C10666,C10642,C10618,C10594,C10570,C10546,C10522,C10498,C10474,C10450,C10426,C10402,C10378,C10354)/POBLA!$B$9*100000</f>
        <v>2552.4089009621725</v>
      </c>
      <c r="H10666" s="256">
        <f t="shared" si="1779"/>
        <v>8.6199776785714288</v>
      </c>
      <c r="I10666" s="297">
        <f t="shared" si="1781"/>
        <v>22001.70775288096</v>
      </c>
      <c r="J10666" s="422">
        <f t="shared" si="1782"/>
        <v>2039.1428571428571</v>
      </c>
      <c r="K10666" s="297">
        <f>J10666/POBLA!$B$9*100000</f>
        <v>336.94091920145428</v>
      </c>
      <c r="L10666" s="200">
        <f>(SUM(C10666,C10642,C10618,C10594,C10570,C10546,C10522)/SUM(C10498,C10474,C10450,C10426,C10402,C10378,C10354))-1</f>
        <v>11.168797953964194</v>
      </c>
      <c r="M10666" s="401">
        <f>SUM(C10666,C10642,C10618,C10594,C10570,C10546,C10522)/POBLA!$B$9*100000</f>
        <v>2358.5864344101801</v>
      </c>
    </row>
    <row r="10667" spans="1:13" x14ac:dyDescent="0.25">
      <c r="A10667" s="367" t="s">
        <v>32</v>
      </c>
      <c r="B10667" s="267">
        <v>44337</v>
      </c>
      <c r="C10667" s="463">
        <v>146</v>
      </c>
      <c r="D10667" s="39">
        <f t="shared" si="1770"/>
        <v>26914</v>
      </c>
      <c r="F10667" s="39">
        <f t="shared" si="1780"/>
        <v>1079</v>
      </c>
      <c r="G10667" s="168">
        <f>SUM(C10667,C10643,C10619,C10595,C10571,C10547,C10523,C10499,C10475,C10451,C10427,C10403,C10379,C10355)/POBLA!$B$10*100000</f>
        <v>182.51844318383772</v>
      </c>
      <c r="H10667" s="256">
        <f t="shared" si="1779"/>
        <v>1.053932584269663</v>
      </c>
      <c r="I10667" s="297">
        <f t="shared" si="1781"/>
        <v>192.36213450161773</v>
      </c>
      <c r="J10667" s="422">
        <f t="shared" si="1782"/>
        <v>118.28571428571429</v>
      </c>
      <c r="K10667" s="297">
        <f>J10667/POBLA!$B$10*100000</f>
        <v>15.34422489148316</v>
      </c>
      <c r="L10667" s="200">
        <f t="shared" ref="L10667:L10689" si="1783">(SUM(C10667,C10643,C10619,C10595,C10571,C10547,C10523)/SUM(C10499,C10475,C10451,C10427,C10403,C10379,C10355))-1</f>
        <v>0.43005181347150256</v>
      </c>
      <c r="M10667" s="401">
        <f>SUM(C10667,C10643,C10619,C10595,C10571,C10547,C10523)/POBLA!$B$10*100000</f>
        <v>107.40957424038211</v>
      </c>
    </row>
    <row r="10668" spans="1:13" x14ac:dyDescent="0.25">
      <c r="A10668" s="367" t="s">
        <v>33</v>
      </c>
      <c r="B10668" s="267">
        <v>44337</v>
      </c>
      <c r="C10668" s="463">
        <v>860</v>
      </c>
      <c r="D10668" s="39">
        <f t="shared" si="1770"/>
        <v>37248</v>
      </c>
      <c r="E10668" s="1">
        <v>17</v>
      </c>
      <c r="F10668" s="39">
        <f t="shared" si="1780"/>
        <v>490</v>
      </c>
      <c r="G10668" s="168">
        <f>SUM(C10668,C10644,C10620,C10596,C10572,C10548,C10524,C10500,C10476,C10452,C10428,C10404,C10380,C10356)/POBLA!$B$11*100000</f>
        <v>2189.0030912763514</v>
      </c>
      <c r="H10668" s="256">
        <f t="shared" si="1779"/>
        <v>1.9435224176368591</v>
      </c>
      <c r="I10668" s="297">
        <f t="shared" si="1781"/>
        <v>4254.3765801719728</v>
      </c>
      <c r="J10668" s="422">
        <f t="shared" si="1782"/>
        <v>630.14285714285711</v>
      </c>
      <c r="K10668" s="297">
        <f>J10668/POBLA!$B$11*100000</f>
        <v>175.80737474272576</v>
      </c>
      <c r="L10668" s="200">
        <f t="shared" si="1783"/>
        <v>0.28413391557496359</v>
      </c>
      <c r="M10668" s="401">
        <f>SUM(C10668,C10644,C10620,C10596,C10572,C10548,C10524)/POBLA!$B$11*100000</f>
        <v>1230.6516231990804</v>
      </c>
    </row>
    <row r="10669" spans="1:13" x14ac:dyDescent="0.25">
      <c r="A10669" s="367" t="s">
        <v>21</v>
      </c>
      <c r="B10669" s="267">
        <v>44337</v>
      </c>
      <c r="C10669" s="463">
        <v>147</v>
      </c>
      <c r="D10669" s="39">
        <f t="shared" si="1770"/>
        <v>15758</v>
      </c>
      <c r="F10669" s="39">
        <f t="shared" si="1780"/>
        <v>517</v>
      </c>
      <c r="G10669" s="168">
        <f>SUM(C10669,C10645,C10621,C10597,C10573,C10549,C10525,C10501,C10477,C10453,C10429,C10405,C10381,C10357)/POBLA!$B$12*100000</f>
        <v>425.37944914123665</v>
      </c>
      <c r="H10669" s="256">
        <f t="shared" si="1779"/>
        <v>1.4198473282442747</v>
      </c>
      <c r="I10669" s="297">
        <f t="shared" si="1781"/>
        <v>603.97387435320616</v>
      </c>
      <c r="J10669" s="422">
        <f t="shared" si="1782"/>
        <v>176.14285714285714</v>
      </c>
      <c r="K10669" s="297">
        <f>J10669/POBLA!$B$12*100000</f>
        <v>44.759588734523362</v>
      </c>
      <c r="L10669" s="200">
        <f t="shared" si="1783"/>
        <v>1.795918367346939</v>
      </c>
      <c r="M10669" s="401">
        <f>SUM(C10669,C10645,C10621,C10597,C10573,C10549,C10525)/POBLA!$B$12*100000</f>
        <v>313.31712114166356</v>
      </c>
    </row>
    <row r="10670" spans="1:13" x14ac:dyDescent="0.25">
      <c r="A10670" s="367" t="s">
        <v>17</v>
      </c>
      <c r="B10670" s="267">
        <v>44337</v>
      </c>
      <c r="C10670" s="463">
        <v>1064</v>
      </c>
      <c r="D10670" s="39">
        <f t="shared" si="1770"/>
        <v>113659</v>
      </c>
      <c r="E10670" s="1">
        <v>29</v>
      </c>
      <c r="F10670" s="39">
        <f t="shared" si="1780"/>
        <v>2307</v>
      </c>
      <c r="G10670" s="168">
        <f>SUM(C10670,C10646,C10622,C10598,C10574,C10550,C10526,C10502,C10478,C10454,C10430,C10406,C10382,C10358)/POBLA!$B$13*100000</f>
        <v>605.07310818564486</v>
      </c>
      <c r="H10670" s="256">
        <f t="shared" si="1779"/>
        <v>1.1467339554370597</v>
      </c>
      <c r="I10670" s="297">
        <f t="shared" si="1781"/>
        <v>693.8578786783205</v>
      </c>
      <c r="J10670" s="422">
        <f t="shared" si="1782"/>
        <v>896.85714285714289</v>
      </c>
      <c r="K10670" s="297">
        <f>J10670/POBLA!$B$13*100000</f>
        <v>45.060544633983916</v>
      </c>
      <c r="L10670" s="200">
        <f t="shared" si="1783"/>
        <v>8.8985255854293177E-2</v>
      </c>
      <c r="M10670" s="401">
        <f>SUM(C10670,C10646,C10622,C10598,C10574,C10550,C10526)/POBLA!$B$13*100000</f>
        <v>315.42381243788742</v>
      </c>
    </row>
    <row r="10671" spans="1:13" x14ac:dyDescent="0.25">
      <c r="A10671" s="367" t="s">
        <v>23</v>
      </c>
      <c r="B10671" s="267">
        <v>44337</v>
      </c>
      <c r="C10671" s="463">
        <v>188</v>
      </c>
      <c r="D10671" s="39">
        <f t="shared" si="1770"/>
        <v>18713</v>
      </c>
      <c r="F10671" s="39">
        <f t="shared" si="1780"/>
        <v>259</v>
      </c>
      <c r="G10671" s="168">
        <f>SUM(C10671,C10647,C10623,C10599,C10575,C10551,C10527,C10503,C10479,C10455,C10431,C10407,C10383,C10359)/POBLA!$B$14*100000</f>
        <v>169.11203890607581</v>
      </c>
      <c r="H10671" s="256">
        <f t="shared" si="1779"/>
        <v>1.2244546498277842</v>
      </c>
      <c r="I10671" s="297">
        <f t="shared" si="1781"/>
        <v>207.07002238040167</v>
      </c>
      <c r="J10671" s="422">
        <f t="shared" si="1782"/>
        <v>154.14285714285714</v>
      </c>
      <c r="K10671" s="297">
        <f>J10671/POBLA!$B$14*100000</f>
        <v>12.221009308127774</v>
      </c>
      <c r="L10671" s="200">
        <f t="shared" si="1783"/>
        <v>2.371916508538896E-2</v>
      </c>
      <c r="M10671" s="401">
        <f>SUM(C10671,C10647,C10623,C10599,C10575,C10551,C10527)/POBLA!$B$14*100000</f>
        <v>85.547065156894433</v>
      </c>
    </row>
    <row r="10672" spans="1:13" x14ac:dyDescent="0.25">
      <c r="A10672" s="367" t="s">
        <v>19</v>
      </c>
      <c r="B10672" s="267">
        <v>44337</v>
      </c>
      <c r="C10672" s="463">
        <v>777</v>
      </c>
      <c r="D10672" s="39">
        <f t="shared" si="1770"/>
        <v>82175</v>
      </c>
      <c r="E10672" s="1">
        <v>14</v>
      </c>
      <c r="F10672" s="39">
        <f t="shared" si="1780"/>
        <v>1217</v>
      </c>
      <c r="G10672" s="168">
        <f>SUM(C10672,C10648,C10624,C10600,C10576,C10552,C10528,C10504,C10480,C10456,C10432,C10408,C10384,C10360)/POBLA!$B$15*100000</f>
        <v>1223.6901350335891</v>
      </c>
      <c r="H10672" s="256">
        <f t="shared" si="1779"/>
        <v>1.6075173095944608</v>
      </c>
      <c r="I10672" s="297">
        <f t="shared" si="1781"/>
        <v>1967.1030736464775</v>
      </c>
      <c r="J10672" s="422">
        <f t="shared" si="1782"/>
        <v>667.85714285714289</v>
      </c>
      <c r="K10672" s="297">
        <f>J10672/POBLA!$B$15*100000</f>
        <v>100.5722615463948</v>
      </c>
      <c r="L10672" s="200">
        <f t="shared" si="1783"/>
        <v>0.35467980295566504</v>
      </c>
      <c r="M10672" s="401">
        <f>SUM(C10672,C10648,C10624,C10600,C10576,C10552,C10528)/POBLA!$B$15*100000</f>
        <v>704.00583082476351</v>
      </c>
    </row>
    <row r="10673" spans="1:13" x14ac:dyDescent="0.25">
      <c r="A10673" s="367" t="s">
        <v>18</v>
      </c>
      <c r="B10673" s="267">
        <v>44337</v>
      </c>
      <c r="C10673" s="463">
        <v>715</v>
      </c>
      <c r="D10673" s="39">
        <f t="shared" si="1770"/>
        <v>69273</v>
      </c>
      <c r="E10673" s="1">
        <v>8</v>
      </c>
      <c r="F10673" s="39">
        <f t="shared" si="1780"/>
        <v>1502</v>
      </c>
      <c r="G10673" s="168">
        <f>SUM(C10673,C10649,C10625,C10601,C10577,C10553,C10529,C10505,C10481,C10457,C10433,C10409,C10385,C10361)/POBLA!$B$16*100000</f>
        <v>780.48715239229011</v>
      </c>
      <c r="H10673" s="256">
        <f t="shared" si="1779"/>
        <v>1.4820929641859284</v>
      </c>
      <c r="I10673" s="297">
        <f t="shared" si="1781"/>
        <v>1156.7545171981237</v>
      </c>
      <c r="J10673" s="422">
        <f t="shared" si="1782"/>
        <v>472.71428571428572</v>
      </c>
      <c r="K10673" s="297">
        <f>J10673/POBLA!$B$16*100000</f>
        <v>63.230064567660378</v>
      </c>
      <c r="L10673" s="200">
        <f t="shared" si="1783"/>
        <v>0.30997624703087889</v>
      </c>
      <c r="M10673" s="401">
        <f>SUM(C10673,C10649,C10625,C10601,C10577,C10553,C10529)/POBLA!$B$16*100000</f>
        <v>442.61045197362262</v>
      </c>
    </row>
    <row r="10674" spans="1:13" x14ac:dyDescent="0.25">
      <c r="A10674" s="367" t="s">
        <v>34</v>
      </c>
      <c r="B10674" s="267">
        <v>44337</v>
      </c>
      <c r="C10674" s="463">
        <v>478</v>
      </c>
      <c r="D10674" s="39">
        <f t="shared" si="1770"/>
        <v>40803</v>
      </c>
      <c r="E10674" s="1">
        <v>6</v>
      </c>
      <c r="F10674" s="39">
        <f t="shared" si="1780"/>
        <v>1345</v>
      </c>
      <c r="G10674" s="168">
        <f>SUM(C10674,C10650,C10626,C10602,C10578,C10554,C10530,C10506,C10482,C10458,C10434,C10410,C10386,C10362)/POBLA!$B$17*100000</f>
        <v>326.03270015311745</v>
      </c>
      <c r="H10674" s="256">
        <f t="shared" ref="H10674:H10697" si="1784">SUM(C10674,C10650,C10626,C10602,C10578,C10554,C10530,C10506,C10482,C10458,C10434,C10410,C10386,C10362)/SUM(C10338,C10314,C10290,C10266,C10242,C10218,C10194,C10170,C10146,C10122,C10098,C10074,C10050,C10026)</f>
        <v>1.7289650037230082</v>
      </c>
      <c r="I10674" s="297">
        <f t="shared" si="1781"/>
        <v>563.69912863405716</v>
      </c>
      <c r="J10674" s="422">
        <f t="shared" si="1782"/>
        <v>393</v>
      </c>
      <c r="K10674" s="297">
        <f>J10674/POBLA!$B$17*100000</f>
        <v>27.590622558177252</v>
      </c>
      <c r="L10674" s="200">
        <f t="shared" si="1783"/>
        <v>0.45324881141045958</v>
      </c>
      <c r="M10674" s="401">
        <f>SUM(C10674,C10650,C10626,C10602,C10578,C10554,C10530)/POBLA!$B$17*100000</f>
        <v>193.13435790724074</v>
      </c>
    </row>
    <row r="10675" spans="1:13" x14ac:dyDescent="0.25">
      <c r="A10675" s="367" t="s">
        <v>35</v>
      </c>
      <c r="B10675" s="267">
        <v>44337</v>
      </c>
      <c r="C10675" s="463">
        <v>701</v>
      </c>
      <c r="D10675" s="39">
        <f t="shared" ref="D10675:D10738" si="1785">C10675+D10651</f>
        <v>32557</v>
      </c>
      <c r="E10675" s="1">
        <v>13</v>
      </c>
      <c r="F10675" s="39">
        <f t="shared" si="1780"/>
        <v>581</v>
      </c>
      <c r="G10675" s="168">
        <f>SUM(C10675,C10651,C10627,C10603,C10579,C10555,C10531,C10507,C10483,C10459,C10435,C10411,C10387,C10363)/POBLA!$B$18*100000</f>
        <v>844.19565882462871</v>
      </c>
      <c r="H10675" s="256">
        <f t="shared" si="1784"/>
        <v>1.5627962085308056</v>
      </c>
      <c r="I10675" s="297">
        <f t="shared" si="1781"/>
        <v>1319.3057748692952</v>
      </c>
      <c r="J10675" s="422">
        <f t="shared" si="1782"/>
        <v>555</v>
      </c>
      <c r="K10675" s="297">
        <f>J10675/POBLA!$B$18*100000</f>
        <v>71.043000856356173</v>
      </c>
      <c r="L10675" s="200">
        <f t="shared" si="1783"/>
        <v>0.43357933579335795</v>
      </c>
      <c r="M10675" s="401">
        <f>SUM(C10675,C10651,C10627,C10603,C10579,C10555,C10531)/POBLA!$B$18*100000</f>
        <v>497.30100599449315</v>
      </c>
    </row>
    <row r="10676" spans="1:13" x14ac:dyDescent="0.25">
      <c r="A10676" s="367" t="s">
        <v>36</v>
      </c>
      <c r="B10676" s="267">
        <v>44337</v>
      </c>
      <c r="C10676" s="463">
        <v>781</v>
      </c>
      <c r="D10676" s="39">
        <f t="shared" si="1785"/>
        <v>47426</v>
      </c>
      <c r="E10676" s="1">
        <v>3</v>
      </c>
      <c r="F10676" s="39">
        <f t="shared" si="1780"/>
        <v>644</v>
      </c>
      <c r="G10676" s="168">
        <f>SUM(C10676,C10652,C10628,C10604,C10580,C10556,C10532,C10508,C10484,C10460,C10436,C10412,C10388,C10364)/POBLA!$B$19*100000</f>
        <v>1374.8996710785163</v>
      </c>
      <c r="H10676" s="256">
        <f t="shared" si="1784"/>
        <v>0.99191030371842182</v>
      </c>
      <c r="I10676" s="297">
        <f t="shared" si="1781"/>
        <v>1363.7771503218494</v>
      </c>
      <c r="J10676" s="422">
        <f t="shared" si="1782"/>
        <v>480.85714285714283</v>
      </c>
      <c r="K10676" s="297">
        <f>J10676/POBLA!$B$19*100000</f>
        <v>94.595840256122585</v>
      </c>
      <c r="L10676" s="200">
        <f t="shared" si="1783"/>
        <v>-7.0935688655810125E-2</v>
      </c>
      <c r="M10676" s="401">
        <f>SUM(C10676,C10652,C10628,C10604,C10580,C10556,C10532)/POBLA!$B$19*100000</f>
        <v>662.17088179285815</v>
      </c>
    </row>
    <row r="10677" spans="1:13" x14ac:dyDescent="0.25">
      <c r="A10677" s="367" t="s">
        <v>37</v>
      </c>
      <c r="B10677" s="267">
        <v>44337</v>
      </c>
      <c r="C10677" s="463">
        <v>313</v>
      </c>
      <c r="D10677" s="39">
        <f t="shared" si="1785"/>
        <v>49669</v>
      </c>
      <c r="E10677" s="1">
        <v>1</v>
      </c>
      <c r="F10677" s="39">
        <f t="shared" si="1780"/>
        <v>763</v>
      </c>
      <c r="G10677" s="168">
        <f>SUM(C10677,C10653,C10629,C10605,C10581,C10557,C10533,C10509,C10485,C10461,C10437,C10413,C10389,C10365)/POBLA!$B$20*100000</f>
        <v>938.47929165595656</v>
      </c>
      <c r="H10677" s="256">
        <f t="shared" si="1784"/>
        <v>1.1781668383110195</v>
      </c>
      <c r="I10677" s="297">
        <f t="shared" si="1781"/>
        <v>1105.6851798706634</v>
      </c>
      <c r="J10677" s="422">
        <f t="shared" si="1782"/>
        <v>277</v>
      </c>
      <c r="K10677" s="297">
        <f>J10677/POBLA!$B$20*100000</f>
        <v>75.745560544492989</v>
      </c>
      <c r="L10677" s="200">
        <f t="shared" si="1783"/>
        <v>0.29872739450770269</v>
      </c>
      <c r="M10677" s="401">
        <f>SUM(C10677,C10653,C10629,C10605,C10581,C10557,C10533)/POBLA!$B$20*100000</f>
        <v>530.21892381145096</v>
      </c>
    </row>
    <row r="10678" spans="1:13" x14ac:dyDescent="0.25">
      <c r="A10678" s="367" t="s">
        <v>22</v>
      </c>
      <c r="B10678" s="267">
        <v>44337</v>
      </c>
      <c r="C10678" s="463">
        <v>3635</v>
      </c>
      <c r="D10678" s="39">
        <f t="shared" si="1785"/>
        <v>317595</v>
      </c>
      <c r="E10678" s="1">
        <v>56</v>
      </c>
      <c r="F10678" s="39">
        <f t="shared" si="1780"/>
        <v>5173</v>
      </c>
      <c r="G10678" s="168">
        <f>SUM(C10678,C10654,C10630,C10606,C10582,C10558,C10534,C10510,C10486,C10462,C10438,C10414,C10390,C10366)/POBLA!$B$21*100000</f>
        <v>880.72167939423457</v>
      </c>
      <c r="H10678" s="256">
        <f t="shared" si="1784"/>
        <v>1.2845300449540149</v>
      </c>
      <c r="I10678" s="297">
        <f t="shared" si="1781"/>
        <v>1131.3134584242516</v>
      </c>
      <c r="J10678" s="422">
        <f t="shared" si="1782"/>
        <v>2628.7142857142858</v>
      </c>
      <c r="K10678" s="297">
        <f>J10678/POBLA!$B$21*100000</f>
        <v>74.332680291591259</v>
      </c>
      <c r="L10678" s="200">
        <f t="shared" si="1783"/>
        <v>0.4437818752451943</v>
      </c>
      <c r="M10678" s="401">
        <f>SUM(C10678,C10654,C10630,C10606,C10582,C10558,C10534)/POBLA!$B$21*100000</f>
        <v>520.32876204113882</v>
      </c>
    </row>
    <row r="10679" spans="1:13" x14ac:dyDescent="0.25">
      <c r="A10679" s="367" t="s">
        <v>38</v>
      </c>
      <c r="B10679" s="267">
        <v>44337</v>
      </c>
      <c r="C10679" s="463">
        <v>645</v>
      </c>
      <c r="D10679" s="39">
        <f t="shared" si="1785"/>
        <v>38273</v>
      </c>
      <c r="E10679" s="1">
        <v>8</v>
      </c>
      <c r="F10679" s="39">
        <f t="shared" si="1780"/>
        <v>437</v>
      </c>
      <c r="G10679" s="168">
        <f>SUM(C10679,C10655,C10631,C10607,C10583,C10559,C10535,C10511,C10487,C10463,C10439,C10415,C10391,C10367)/POBLA!$B$22*100000</f>
        <v>615.14055317674399</v>
      </c>
      <c r="H10679" s="256">
        <f t="shared" si="1784"/>
        <v>2.0567327409432674</v>
      </c>
      <c r="I10679" s="297">
        <f t="shared" si="1781"/>
        <v>1265.1797160005624</v>
      </c>
      <c r="J10679" s="422">
        <f t="shared" si="1782"/>
        <v>545.57142857142856</v>
      </c>
      <c r="K10679" s="297">
        <f>J10679/POBLA!$B$22*100000</f>
        <v>55.766552071926732</v>
      </c>
      <c r="L10679" s="200">
        <f t="shared" si="1783"/>
        <v>0.73669849931787179</v>
      </c>
      <c r="M10679" s="401">
        <f>SUM(C10679,C10655,C10631,C10607,C10583,C10559,C10535)/POBLA!$B$22*100000</f>
        <v>390.36586450348716</v>
      </c>
    </row>
    <row r="10680" spans="1:13" x14ac:dyDescent="0.25">
      <c r="A10680" s="367" t="s">
        <v>39</v>
      </c>
      <c r="B10680" s="267">
        <v>44337</v>
      </c>
      <c r="C10680" s="463">
        <v>86</v>
      </c>
      <c r="D10680" s="39">
        <f t="shared" si="1785"/>
        <v>27938</v>
      </c>
      <c r="F10680" s="39">
        <f t="shared" si="1780"/>
        <v>407</v>
      </c>
      <c r="G10680" s="168">
        <f>SUM(C10680,C10656,C10632,C10608,C10584,C10560,C10536,C10512,C10488,C10464,C10440,C10416,C10392,C10368)/POBLA!$B$23*100000</f>
        <v>570.03902052819092</v>
      </c>
      <c r="H10680" s="256">
        <f t="shared" si="1784"/>
        <v>1.0181818181818181</v>
      </c>
      <c r="I10680" s="297">
        <f t="shared" si="1781"/>
        <v>580.40336635597612</v>
      </c>
      <c r="J10680" s="422">
        <f t="shared" si="1782"/>
        <v>72.857142857142861</v>
      </c>
      <c r="K10680" s="297">
        <f>J10680/POBLA!$B$23*100000</f>
        <v>41.201799953143052</v>
      </c>
      <c r="L10680" s="200">
        <f t="shared" si="1783"/>
        <v>2.4096385542168752E-2</v>
      </c>
      <c r="M10680" s="401">
        <f>SUM(C10680,C10656,C10632,C10608,C10584,C10560,C10536)/POBLA!$B$23*100000</f>
        <v>288.41259967200136</v>
      </c>
    </row>
    <row r="10681" spans="1:13" ht="15.75" thickBot="1" x14ac:dyDescent="0.3">
      <c r="A10681" s="369" t="s">
        <v>40</v>
      </c>
      <c r="B10681" s="267">
        <v>44337</v>
      </c>
      <c r="C10681" s="463">
        <v>1324</v>
      </c>
      <c r="D10681" s="176">
        <f t="shared" si="1785"/>
        <v>120125</v>
      </c>
      <c r="E10681" s="1">
        <v>14</v>
      </c>
      <c r="F10681" s="176">
        <f t="shared" si="1780"/>
        <v>1805</v>
      </c>
      <c r="G10681" s="177">
        <f>SUM(C10681,C10657,C10633,C10609,C10585,C10561,C10537,C10513,C10489,C10465,C10441,C10417,C10393,C10369)/POBLA!$B$24*100000</f>
        <v>602.30512859246949</v>
      </c>
      <c r="H10681" s="402">
        <f t="shared" si="1784"/>
        <v>1.2739640539191213</v>
      </c>
      <c r="I10681" s="403">
        <f t="shared" si="1781"/>
        <v>767.31508331794009</v>
      </c>
      <c r="J10681" s="423">
        <f t="shared" si="1782"/>
        <v>869.85714285714289</v>
      </c>
      <c r="K10681" s="403">
        <f>J10681/POBLA!$B$24*100000</f>
        <v>51.329422777079415</v>
      </c>
      <c r="L10681" s="404">
        <f t="shared" si="1783"/>
        <v>0.47863040310830507</v>
      </c>
      <c r="M10681" s="405">
        <f>SUM(C10681,C10657,C10633,C10609,C10585,C10561,C10537)/POBLA!$B$24*100000</f>
        <v>359.30595943955586</v>
      </c>
    </row>
    <row r="10682" spans="1:13" x14ac:dyDescent="0.25">
      <c r="A10682" s="363" t="s">
        <v>16</v>
      </c>
      <c r="B10682" s="267">
        <v>44338</v>
      </c>
      <c r="C10682" s="463">
        <v>11322</v>
      </c>
      <c r="D10682" s="174">
        <f t="shared" si="1785"/>
        <v>1516566</v>
      </c>
      <c r="E10682" s="1">
        <v>172</v>
      </c>
      <c r="F10682" s="174">
        <f t="shared" ref="F10682:F10705" si="1786">E10682+F10658</f>
        <v>38206</v>
      </c>
      <c r="G10682" s="175">
        <f>SUM(C10682,C10658,C10634,C10610,C10586,C10562,C10538,C10514,C10490,C10466,C10442,C10418,C10394,C10370)/POBLA!$B$1*100000</f>
        <v>832.06673955816211</v>
      </c>
      <c r="H10682" s="300">
        <f t="shared" si="1784"/>
        <v>1.1010991829683221</v>
      </c>
      <c r="I10682" s="301">
        <f>G10682*H10682</f>
        <v>916.18800710260791</v>
      </c>
      <c r="J10682" s="421">
        <f>AVERAGE(C10682,C10658,C10634,C10610,C10586,C10562,C10538)</f>
        <v>11797.571428571429</v>
      </c>
      <c r="K10682" s="301">
        <f>J10682/POBLA!$B$1*100000</f>
        <v>67.256579424174461</v>
      </c>
      <c r="L10682" s="399">
        <f t="shared" si="1783"/>
        <v>0.30316706379889857</v>
      </c>
      <c r="M10682" s="400">
        <f>SUM(C10682,C10658,C10634,C10610,C10586,C10562,C10538)/POBLA!$B$1*100000</f>
        <v>470.79605596922119</v>
      </c>
    </row>
    <row r="10683" spans="1:13" x14ac:dyDescent="0.25">
      <c r="A10683" s="367" t="s">
        <v>43</v>
      </c>
      <c r="B10683" s="267">
        <v>44338</v>
      </c>
      <c r="C10683" s="463">
        <v>3013</v>
      </c>
      <c r="D10683" s="39">
        <f t="shared" si="1785"/>
        <v>396069</v>
      </c>
      <c r="E10683" s="1">
        <v>22</v>
      </c>
      <c r="F10683" s="39">
        <f t="shared" si="1786"/>
        <v>8777</v>
      </c>
      <c r="G10683" s="168">
        <f>SUM(C10683,C10659,C10635,C10611,C10587,C10563,C10539,C10515,C10491,C10467,C10443,C10419,C10395,C10371)/POBLA!$B$2*100000</f>
        <v>1162.877652369616</v>
      </c>
      <c r="H10683" s="256">
        <f t="shared" si="1784"/>
        <v>1.0197878649635037</v>
      </c>
      <c r="I10683" s="297">
        <f t="shared" ref="I10683:I10705" si="1787">G10683*H10683</f>
        <v>1185.8885183237821</v>
      </c>
      <c r="J10683" s="422">
        <f t="shared" ref="J10683:J10705" si="1788">AVERAGE(C10683,C10659,C10635,C10611,C10587,C10563,C10539)</f>
        <v>2830.1428571428573</v>
      </c>
      <c r="K10683" s="297">
        <f>J10683/POBLA!$B$2*100000</f>
        <v>92.017834859501306</v>
      </c>
      <c r="L10683" s="200">
        <f t="shared" si="1783"/>
        <v>0.24167972422438111</v>
      </c>
      <c r="M10683" s="401">
        <f>SUM(C10683,C10659,C10635,C10611,C10587,C10563,C10539)/POBLA!$B$2*100000</f>
        <v>644.12484401650897</v>
      </c>
    </row>
    <row r="10684" spans="1:13" x14ac:dyDescent="0.25">
      <c r="A10684" s="367" t="s">
        <v>28</v>
      </c>
      <c r="B10684" s="267">
        <v>44338</v>
      </c>
      <c r="C10684" s="463">
        <v>260</v>
      </c>
      <c r="D10684" s="39">
        <f t="shared" si="1785"/>
        <v>20097</v>
      </c>
      <c r="F10684" s="39">
        <f t="shared" si="1786"/>
        <v>143</v>
      </c>
      <c r="G10684" s="168">
        <f>SUM(C10684,C10660,C10636,C10612,C10588,C10564,C10540,C10516,C10492,C10468,C10444,C10420,C10396,C10372)/POBLA!$B$3*100000</f>
        <v>1002.074918519731</v>
      </c>
      <c r="H10684" s="256">
        <f t="shared" si="1784"/>
        <v>2.0208737864077668</v>
      </c>
      <c r="I10684" s="297">
        <f t="shared" si="1787"/>
        <v>2025.0669348532233</v>
      </c>
      <c r="J10684" s="422">
        <f t="shared" si="1788"/>
        <v>355.71428571428572</v>
      </c>
      <c r="K10684" s="297">
        <f>J10684/POBLA!$B$3*100000</f>
        <v>85.623916376038238</v>
      </c>
      <c r="L10684" s="200">
        <f t="shared" si="1783"/>
        <v>0.48834429169157212</v>
      </c>
      <c r="M10684" s="401">
        <f>SUM(C10684,C10660,C10636,C10612,C10588,C10564,C10540)/POBLA!$B$3*100000</f>
        <v>599.36741463226758</v>
      </c>
    </row>
    <row r="10685" spans="1:13" x14ac:dyDescent="0.25">
      <c r="A10685" s="367" t="s">
        <v>15</v>
      </c>
      <c r="B10685" s="267">
        <v>44338</v>
      </c>
      <c r="C10685" s="463">
        <v>685</v>
      </c>
      <c r="D10685" s="39">
        <f t="shared" si="1785"/>
        <v>52920</v>
      </c>
      <c r="E10685" s="1">
        <v>6</v>
      </c>
      <c r="F10685" s="39">
        <f t="shared" si="1786"/>
        <v>1156</v>
      </c>
      <c r="G10685" s="168">
        <f>SUM(C10685,C10661,C10637,C10613,C10589,C10565,C10541,C10517,C10493,C10469,C10445,C10421,C10397,C10373)/POBLA!$B$4*100000</f>
        <v>501.68487415538368</v>
      </c>
      <c r="H10685" s="256">
        <f t="shared" si="1784"/>
        <v>1.7592430858806405</v>
      </c>
      <c r="I10685" s="297">
        <f t="shared" si="1787"/>
        <v>882.58564614875797</v>
      </c>
      <c r="J10685" s="422">
        <f t="shared" si="1788"/>
        <v>551</v>
      </c>
      <c r="K10685" s="297">
        <f>J10685/POBLA!$B$4*100000</f>
        <v>45.743565391298425</v>
      </c>
      <c r="L10685" s="200">
        <f t="shared" si="1783"/>
        <v>0.76440988106129915</v>
      </c>
      <c r="M10685" s="401">
        <f>SUM(C10685,C10661,C10637,C10613,C10589,C10565,C10541)/POBLA!$B$4*100000</f>
        <v>320.20495773908902</v>
      </c>
    </row>
    <row r="10686" spans="1:13" x14ac:dyDescent="0.25">
      <c r="A10686" s="367" t="s">
        <v>29</v>
      </c>
      <c r="B10686" s="267">
        <v>44338</v>
      </c>
      <c r="C10686" s="463">
        <v>238</v>
      </c>
      <c r="D10686" s="39">
        <f t="shared" si="1785"/>
        <v>59791</v>
      </c>
      <c r="E10686" s="1">
        <v>12</v>
      </c>
      <c r="F10686" s="39">
        <f t="shared" si="1786"/>
        <v>1004</v>
      </c>
      <c r="G10686" s="168">
        <f>SUM(C10686,C10662,C10638,C10614,C10590,C10566,C10542,C10518,C10494,C10470,C10446,C10422,C10398,C10374)/POBLA!$B$5*100000</f>
        <v>572.86500353799875</v>
      </c>
      <c r="H10686" s="256">
        <f t="shared" si="1784"/>
        <v>1.4843030556718293</v>
      </c>
      <c r="I10686" s="297">
        <f t="shared" si="1787"/>
        <v>850.30527523890487</v>
      </c>
      <c r="J10686" s="422">
        <f t="shared" si="1788"/>
        <v>295.28571428571428</v>
      </c>
      <c r="K10686" s="297">
        <f>J10686/POBLA!$B$5*100000</f>
        <v>47.704131911733278</v>
      </c>
      <c r="L10686" s="200">
        <f t="shared" si="1783"/>
        <v>0.39756592292089254</v>
      </c>
      <c r="M10686" s="401">
        <f>SUM(C10686,C10662,C10638,C10614,C10590,C10566,C10542)/POBLA!$B$5*100000</f>
        <v>333.92892338213295</v>
      </c>
    </row>
    <row r="10687" spans="1:13" x14ac:dyDescent="0.25">
      <c r="A10687" s="367" t="s">
        <v>30</v>
      </c>
      <c r="B10687" s="267">
        <v>44338</v>
      </c>
      <c r="C10687" s="463">
        <v>958</v>
      </c>
      <c r="D10687" s="39">
        <f t="shared" si="1785"/>
        <v>43799</v>
      </c>
      <c r="E10687" s="1">
        <v>1</v>
      </c>
      <c r="F10687" s="39">
        <f t="shared" si="1786"/>
        <v>572</v>
      </c>
      <c r="G10687" s="168">
        <f>SUM(C10687,C10663,C10639,C10615,C10591,C10567,C10543,C10519,C10495,C10471,C10447,C10423,C10399,C10375)/POBLA!$B$6*100000</f>
        <v>429.78191489836291</v>
      </c>
      <c r="H10687" s="256">
        <f t="shared" si="1784"/>
        <v>1.8634429400386847</v>
      </c>
      <c r="I10687" s="297">
        <f t="shared" si="1787"/>
        <v>800.87407507366117</v>
      </c>
      <c r="J10687" s="422">
        <f t="shared" si="1788"/>
        <v>498.57142857142856</v>
      </c>
      <c r="K10687" s="297">
        <f>J10687/POBLA!$B$6*100000</f>
        <v>44.483492481843662</v>
      </c>
      <c r="L10687" s="200">
        <f t="shared" si="1783"/>
        <v>1.6299924642049737</v>
      </c>
      <c r="M10687" s="401">
        <f>SUM(C10687,C10663,C10639,C10615,C10591,C10567,C10543)/POBLA!$B$6*100000</f>
        <v>311.38444737290564</v>
      </c>
    </row>
    <row r="10688" spans="1:13" x14ac:dyDescent="0.25">
      <c r="A10688" s="367" t="s">
        <v>20</v>
      </c>
      <c r="B10688" s="267">
        <v>44338</v>
      </c>
      <c r="C10688" s="463">
        <v>4202</v>
      </c>
      <c r="D10688" s="39">
        <f t="shared" si="1785"/>
        <v>277917</v>
      </c>
      <c r="E10688" s="1">
        <v>10</v>
      </c>
      <c r="F10688" s="39">
        <f t="shared" si="1786"/>
        <v>3716</v>
      </c>
      <c r="G10688" s="168">
        <f>SUM(C10688,C10664,C10640,C10616,C10592,C10568,C10544,C10520,C10496,C10472,C10448,C10424,C10400,C10376)/POBLA!$B$7*100000</f>
        <v>1023.3881583321145</v>
      </c>
      <c r="H10688" s="256">
        <f t="shared" si="1784"/>
        <v>1.7651591597101184</v>
      </c>
      <c r="I10688" s="297">
        <f t="shared" si="1787"/>
        <v>1806.4429816188008</v>
      </c>
      <c r="J10688" s="422">
        <f t="shared" si="1788"/>
        <v>3305.4285714285716</v>
      </c>
      <c r="K10688" s="297">
        <f>J10688/POBLA!$B$7*100000</f>
        <v>87.8998144219062</v>
      </c>
      <c r="L10688" s="200">
        <f t="shared" si="1783"/>
        <v>0.50775446370389687</v>
      </c>
      <c r="M10688" s="401">
        <f>SUM(C10688,C10664,C10640,C10616,C10592,C10568,C10544)/POBLA!$B$7*100000</f>
        <v>615.29870095334331</v>
      </c>
    </row>
    <row r="10689" spans="1:13" x14ac:dyDescent="0.25">
      <c r="A10689" s="367" t="s">
        <v>31</v>
      </c>
      <c r="B10689" s="267">
        <v>44338</v>
      </c>
      <c r="C10689" s="463">
        <v>873</v>
      </c>
      <c r="D10689" s="39">
        <f t="shared" si="1785"/>
        <v>77565</v>
      </c>
      <c r="E10689" s="1">
        <v>6</v>
      </c>
      <c r="F10689" s="39">
        <f t="shared" si="1786"/>
        <v>1221</v>
      </c>
      <c r="G10689" s="168">
        <f>SUM(C10689,C10665,C10641,C10617,C10593,C10569,C10545,C10521,C10497,C10473,C10449,C10425,C10401,C10377)/POBLA!$B$8*100000</f>
        <v>751.4641465380339</v>
      </c>
      <c r="H10689" s="256">
        <f t="shared" si="1784"/>
        <v>1.4059125269978401</v>
      </c>
      <c r="I10689" s="297">
        <f t="shared" si="1787"/>
        <v>1056.4928572075623</v>
      </c>
      <c r="J10689" s="422">
        <f t="shared" si="1788"/>
        <v>840.57142857142856</v>
      </c>
      <c r="K10689" s="297">
        <f>J10689/POBLA!$B$8*100000</f>
        <v>60.648995792192459</v>
      </c>
      <c r="L10689" s="200">
        <f t="shared" si="1783"/>
        <v>0.29860957845950131</v>
      </c>
      <c r="M10689" s="401">
        <f>SUM(C10689,C10665,C10641,C10617,C10593,C10569,C10545)/POBLA!$B$8*100000</f>
        <v>424.54297054534726</v>
      </c>
    </row>
    <row r="10690" spans="1:13" x14ac:dyDescent="0.25">
      <c r="A10690" s="367" t="s">
        <v>41</v>
      </c>
      <c r="B10690" s="267">
        <v>44338</v>
      </c>
      <c r="C10690" s="463">
        <v>1084</v>
      </c>
      <c r="D10690" s="39">
        <f t="shared" si="1785"/>
        <v>22296</v>
      </c>
      <c r="F10690" s="39">
        <f t="shared" si="1786"/>
        <v>302</v>
      </c>
      <c r="G10690" s="168">
        <f>SUM(C10690,C10666,C10642,C10618,C10594,C10570,C10546,C10522,C10498,C10474,C10450,C10426,C10402,C10378)/POBLA!$B$9*100000</f>
        <v>2709.7140912072678</v>
      </c>
      <c r="H10690" s="256">
        <f t="shared" si="1784"/>
        <v>9.0552181115405848</v>
      </c>
      <c r="I10690" s="297">
        <f t="shared" si="1787"/>
        <v>24537.052115796789</v>
      </c>
      <c r="J10690" s="422">
        <f t="shared" si="1788"/>
        <v>2193</v>
      </c>
      <c r="K10690" s="297">
        <f>J10690/POBLA!$B$9*100000</f>
        <v>362.36374181459468</v>
      </c>
      <c r="L10690" s="200">
        <f>(SUM(C10690,C10666,C10642,C10618,C10594,C10570,C10546)/SUM(C10522,C10498,C10474,C10450,C10426,C10402,C10378))-1</f>
        <v>13.647900763358779</v>
      </c>
      <c r="M10690" s="401">
        <f>SUM(C10690,C10666,C10642,C10618,C10594,C10570,C10546)/POBLA!$B$9*100000</f>
        <v>2536.5461927021629</v>
      </c>
    </row>
    <row r="10691" spans="1:13" x14ac:dyDescent="0.25">
      <c r="A10691" s="367" t="s">
        <v>32</v>
      </c>
      <c r="B10691" s="267">
        <v>44338</v>
      </c>
      <c r="C10691" s="463">
        <v>74</v>
      </c>
      <c r="D10691" s="39">
        <f t="shared" si="1785"/>
        <v>26988</v>
      </c>
      <c r="E10691" s="1">
        <v>3</v>
      </c>
      <c r="F10691" s="39">
        <f t="shared" si="1786"/>
        <v>1082</v>
      </c>
      <c r="G10691" s="168">
        <f>SUM(C10691,C10667,C10643,C10619,C10595,C10571,C10547,C10523,C10499,C10475,C10451,C10427,C10403,C10379)/POBLA!$B$10*100000</f>
        <v>181.09150439562009</v>
      </c>
      <c r="H10691" s="256">
        <f t="shared" si="1784"/>
        <v>1.0496240601503759</v>
      </c>
      <c r="I10691" s="297">
        <f t="shared" si="1787"/>
        <v>190.07800010247041</v>
      </c>
      <c r="J10691" s="422">
        <f t="shared" si="1788"/>
        <v>115.71428571428571</v>
      </c>
      <c r="K10691" s="297">
        <f>J10691/POBLA!$B$10*100000</f>
        <v>15.010654785146567</v>
      </c>
      <c r="L10691" s="200">
        <f t="shared" ref="L10691:L10713" si="1789">(SUM(C10691,C10667,C10643,C10619,C10595,C10571,C10547)/SUM(C10523,C10499,C10475,C10451,C10427,C10403,C10379))-1</f>
        <v>0.38225255972696237</v>
      </c>
      <c r="M10691" s="401">
        <f>SUM(C10691,C10667,C10643,C10619,C10595,C10571,C10547)/POBLA!$B$10*100000</f>
        <v>105.07458349602598</v>
      </c>
    </row>
    <row r="10692" spans="1:13" x14ac:dyDescent="0.25">
      <c r="A10692" s="367" t="s">
        <v>33</v>
      </c>
      <c r="B10692" s="267">
        <v>44338</v>
      </c>
      <c r="C10692" s="463">
        <v>731</v>
      </c>
      <c r="D10692" s="39">
        <f t="shared" si="1785"/>
        <v>37979</v>
      </c>
      <c r="E10692" s="1">
        <v>4</v>
      </c>
      <c r="F10692" s="39">
        <f t="shared" si="1786"/>
        <v>494</v>
      </c>
      <c r="G10692" s="168">
        <f>SUM(C10692,C10668,C10644,C10620,C10596,C10572,C10548,C10524,C10500,C10476,C10452,C10428,C10404,C10380)/POBLA!$B$11*100000</f>
        <v>2288.6046849018489</v>
      </c>
      <c r="H10692" s="256">
        <f t="shared" si="1784"/>
        <v>1.9397020572239301</v>
      </c>
      <c r="I10692" s="297">
        <f t="shared" si="1787"/>
        <v>4439.2112154764409</v>
      </c>
      <c r="J10692" s="422">
        <f t="shared" si="1788"/>
        <v>658.28571428571433</v>
      </c>
      <c r="K10692" s="297">
        <f>J10692/POBLA!$B$11*100000</f>
        <v>183.6591210189255</v>
      </c>
      <c r="L10692" s="200">
        <f t="shared" si="1789"/>
        <v>0.28178025034770515</v>
      </c>
      <c r="M10692" s="401">
        <f>SUM(C10692,C10668,C10644,C10620,C10596,C10572,C10548)/POBLA!$B$11*100000</f>
        <v>1285.6138471324784</v>
      </c>
    </row>
    <row r="10693" spans="1:13" x14ac:dyDescent="0.25">
      <c r="A10693" s="367" t="s">
        <v>21</v>
      </c>
      <c r="B10693" s="267">
        <v>44338</v>
      </c>
      <c r="C10693" s="463">
        <v>127</v>
      </c>
      <c r="D10693" s="39">
        <f t="shared" si="1785"/>
        <v>15885</v>
      </c>
      <c r="F10693" s="39">
        <f t="shared" si="1786"/>
        <v>517</v>
      </c>
      <c r="G10693" s="168">
        <f>SUM(C10693,C10669,C10645,C10621,C10597,C10573,C10549,C10525,C10501,C10477,C10453,C10429,C10405,C10381)/POBLA!$B$12*100000</f>
        <v>433.7650655221571</v>
      </c>
      <c r="H10693" s="256">
        <f t="shared" si="1784"/>
        <v>1.4779220779220779</v>
      </c>
      <c r="I10693" s="297">
        <f t="shared" si="1787"/>
        <v>641.07096696651263</v>
      </c>
      <c r="J10693" s="422">
        <f t="shared" si="1788"/>
        <v>175.14285714285714</v>
      </c>
      <c r="K10693" s="297">
        <f>J10693/POBLA!$B$12*100000</f>
        <v>44.505479147222744</v>
      </c>
      <c r="L10693" s="200">
        <f t="shared" si="1789"/>
        <v>1.5488565488565489</v>
      </c>
      <c r="M10693" s="401">
        <f>SUM(C10693,C10669,C10645,C10621,C10597,C10573,C10549)/POBLA!$B$12*100000</f>
        <v>311.53835403055922</v>
      </c>
    </row>
    <row r="10694" spans="1:13" x14ac:dyDescent="0.25">
      <c r="A10694" s="367" t="s">
        <v>17</v>
      </c>
      <c r="B10694" s="267">
        <v>44338</v>
      </c>
      <c r="C10694" s="463">
        <v>798</v>
      </c>
      <c r="D10694" s="39">
        <f t="shared" si="1785"/>
        <v>114457</v>
      </c>
      <c r="E10694" s="1">
        <v>33</v>
      </c>
      <c r="F10694" s="39">
        <f t="shared" si="1786"/>
        <v>2340</v>
      </c>
      <c r="G10694" s="168">
        <f>SUM(C10694,C10670,C10646,C10622,C10598,C10574,C10550,C10526,C10502,C10478,C10454,C10430,C10406,C10382)/POBLA!$B$13*100000</f>
        <v>608.99204054788686</v>
      </c>
      <c r="H10694" s="256">
        <f t="shared" si="1784"/>
        <v>1.1552611513534121</v>
      </c>
      <c r="I10694" s="297">
        <f t="shared" si="1787"/>
        <v>703.54484592841561</v>
      </c>
      <c r="J10694" s="422">
        <f t="shared" si="1788"/>
        <v>925.71428571428567</v>
      </c>
      <c r="K10694" s="297">
        <f>J10694/POBLA!$B$13*100000</f>
        <v>46.510406057377473</v>
      </c>
      <c r="L10694" s="200">
        <f t="shared" si="1789"/>
        <v>0.14873249423861012</v>
      </c>
      <c r="M10694" s="401">
        <f>SUM(C10694,C10670,C10646,C10622,C10598,C10574,C10550)/POBLA!$B$13*100000</f>
        <v>325.57284240164233</v>
      </c>
    </row>
    <row r="10695" spans="1:13" x14ac:dyDescent="0.25">
      <c r="A10695" s="367" t="s">
        <v>23</v>
      </c>
      <c r="B10695" s="267">
        <v>44338</v>
      </c>
      <c r="C10695" s="463">
        <v>166</v>
      </c>
      <c r="D10695" s="39">
        <f t="shared" si="1785"/>
        <v>18879</v>
      </c>
      <c r="E10695" s="1">
        <v>5</v>
      </c>
      <c r="F10695" s="39">
        <f t="shared" si="1786"/>
        <v>264</v>
      </c>
      <c r="G10695" s="168">
        <f>SUM(C10695,C10671,C10647,C10623,C10599,C10575,C10551,C10527,C10503,C10479,C10455,C10431,C10407,C10383)/POBLA!$B$14*100000</f>
        <v>171.09413031378887</v>
      </c>
      <c r="H10695" s="256">
        <f t="shared" si="1784"/>
        <v>1.241657077100115</v>
      </c>
      <c r="I10695" s="297">
        <f t="shared" si="1787"/>
        <v>212.44023775440527</v>
      </c>
      <c r="J10695" s="422">
        <f t="shared" si="1788"/>
        <v>154.42857142857142</v>
      </c>
      <c r="K10695" s="297">
        <f>J10695/POBLA!$B$14*100000</f>
        <v>12.24366178135878</v>
      </c>
      <c r="L10695" s="200">
        <f t="shared" si="1789"/>
        <v>3.7140204271124411E-3</v>
      </c>
      <c r="M10695" s="401">
        <f>SUM(C10695,C10671,C10647,C10623,C10599,C10575,C10551)/POBLA!$B$14*100000</f>
        <v>85.705632469511471</v>
      </c>
    </row>
    <row r="10696" spans="1:13" x14ac:dyDescent="0.25">
      <c r="A10696" s="367" t="s">
        <v>19</v>
      </c>
      <c r="B10696" s="267">
        <v>44338</v>
      </c>
      <c r="C10696" s="463">
        <v>668</v>
      </c>
      <c r="D10696" s="39">
        <f t="shared" si="1785"/>
        <v>82843</v>
      </c>
      <c r="E10696" s="1">
        <v>3</v>
      </c>
      <c r="F10696" s="39">
        <f t="shared" si="1786"/>
        <v>1220</v>
      </c>
      <c r="G10696" s="168">
        <f>SUM(C10696,C10672,C10648,C10624,C10600,C10576,C10552,C10528,C10504,C10480,C10456,C10432,C10408,C10384)/POBLA!$B$15*100000</f>
        <v>1262.8434004912228</v>
      </c>
      <c r="H10696" s="256">
        <f t="shared" si="1784"/>
        <v>1.5873556691273898</v>
      </c>
      <c r="I10696" s="297">
        <f t="shared" si="1787"/>
        <v>2004.5816309898532</v>
      </c>
      <c r="J10696" s="422">
        <f t="shared" si="1788"/>
        <v>695.28571428571433</v>
      </c>
      <c r="K10696" s="297">
        <f>J10696/POBLA!$B$15*100000</f>
        <v>104.702715924343</v>
      </c>
      <c r="L10696" s="200">
        <f t="shared" si="1789"/>
        <v>0.38306337027564652</v>
      </c>
      <c r="M10696" s="401">
        <f>SUM(C10696,C10672,C10648,C10624,C10600,C10576,C10552)/POBLA!$B$15*100000</f>
        <v>732.91901147040085</v>
      </c>
    </row>
    <row r="10697" spans="1:13" x14ac:dyDescent="0.25">
      <c r="A10697" s="367" t="s">
        <v>18</v>
      </c>
      <c r="B10697" s="267">
        <v>44338</v>
      </c>
      <c r="C10697" s="463">
        <v>547</v>
      </c>
      <c r="D10697" s="39">
        <f t="shared" si="1785"/>
        <v>69820</v>
      </c>
      <c r="E10697" s="1">
        <v>4</v>
      </c>
      <c r="F10697" s="39">
        <f t="shared" si="1786"/>
        <v>1506</v>
      </c>
      <c r="G10697" s="168">
        <f>SUM(C10697,C10673,C10649,C10625,C10601,C10577,C10553,C10529,C10505,C10481,C10457,C10433,C10409,C10385)/POBLA!$B$16*100000</f>
        <v>817.27103703802777</v>
      </c>
      <c r="H10697" s="256">
        <f t="shared" si="1784"/>
        <v>1.5275000000000001</v>
      </c>
      <c r="I10697" s="297">
        <f t="shared" si="1787"/>
        <v>1248.3815090755875</v>
      </c>
      <c r="J10697" s="422">
        <f t="shared" si="1788"/>
        <v>504.85714285714283</v>
      </c>
      <c r="K10697" s="297">
        <f>J10697/POBLA!$B$16*100000</f>
        <v>67.529479656123229</v>
      </c>
      <c r="L10697" s="200">
        <f t="shared" si="1789"/>
        <v>0.37189440993788825</v>
      </c>
      <c r="M10697" s="401">
        <f>SUM(C10697,C10673,C10649,C10625,C10601,C10577,C10553)/POBLA!$B$16*100000</f>
        <v>472.70635759286262</v>
      </c>
    </row>
    <row r="10698" spans="1:13" x14ac:dyDescent="0.25">
      <c r="A10698" s="367" t="s">
        <v>34</v>
      </c>
      <c r="B10698" s="267">
        <v>44338</v>
      </c>
      <c r="C10698" s="463">
        <v>603</v>
      </c>
      <c r="D10698" s="39">
        <f t="shared" si="1785"/>
        <v>41406</v>
      </c>
      <c r="E10698" s="1">
        <v>1</v>
      </c>
      <c r="F10698" s="39">
        <f t="shared" si="1786"/>
        <v>1346</v>
      </c>
      <c r="G10698" s="168">
        <f>SUM(C10698,C10674,C10650,C10626,C10602,C10578,C10554,C10530,C10506,C10482,C10458,C10434,C10410,C10386)/POBLA!$B$17*100000</f>
        <v>355.5890668121317</v>
      </c>
      <c r="H10698" s="256">
        <f t="shared" ref="H10698:H10721" si="1790">SUM(C10698,C10674,C10650,C10626,C10602,C10578,C10554,C10530,C10506,C10482,C10458,C10434,C10410,C10386)/SUM(C10362,C10338,C10314,C10290,C10266,C10242,C10218,C10194,C10170,C10146,C10122,C10098,C10074,C10050)</f>
        <v>1.8580337490829053</v>
      </c>
      <c r="I10698" s="297">
        <f t="shared" si="1787"/>
        <v>660.69648694183672</v>
      </c>
      <c r="J10698" s="422">
        <f t="shared" si="1788"/>
        <v>434.57142857142856</v>
      </c>
      <c r="K10698" s="297">
        <f>J10698/POBLA!$B$17*100000</f>
        <v>30.509150789522064</v>
      </c>
      <c r="L10698" s="200">
        <f t="shared" si="1789"/>
        <v>0.50370736529906091</v>
      </c>
      <c r="M10698" s="401">
        <f>SUM(C10698,C10674,C10650,C10626,C10602,C10578,C10554)/POBLA!$B$17*100000</f>
        <v>213.56405552665444</v>
      </c>
    </row>
    <row r="10699" spans="1:13" x14ac:dyDescent="0.25">
      <c r="A10699" s="367" t="s">
        <v>35</v>
      </c>
      <c r="B10699" s="267">
        <v>44338</v>
      </c>
      <c r="C10699" s="463">
        <v>360</v>
      </c>
      <c r="D10699" s="39">
        <f t="shared" si="1785"/>
        <v>32917</v>
      </c>
      <c r="F10699" s="39">
        <f t="shared" si="1786"/>
        <v>581</v>
      </c>
      <c r="G10699" s="168">
        <f>SUM(C10699,C10675,C10651,C10627,C10603,C10579,C10555,C10531,C10507,C10483,C10459,C10435,C10411,C10387)/POBLA!$B$18*100000</f>
        <v>856.61218329862243</v>
      </c>
      <c r="H10699" s="256">
        <f t="shared" si="1790"/>
        <v>1.5544715447154471</v>
      </c>
      <c r="I10699" s="297">
        <f t="shared" si="1787"/>
        <v>1331.5792637942814</v>
      </c>
      <c r="J10699" s="422">
        <f t="shared" si="1788"/>
        <v>565.85714285714289</v>
      </c>
      <c r="K10699" s="297">
        <f>J10699/POBLA!$B$18*100000</f>
        <v>72.432773846081545</v>
      </c>
      <c r="L10699" s="200">
        <f t="shared" si="1789"/>
        <v>0.45038447455144626</v>
      </c>
      <c r="M10699" s="401">
        <f>SUM(C10699,C10675,C10651,C10627,C10603,C10579,C10555)/POBLA!$B$18*100000</f>
        <v>507.02941692257087</v>
      </c>
    </row>
    <row r="10700" spans="1:13" x14ac:dyDescent="0.25">
      <c r="A10700" s="367" t="s">
        <v>36</v>
      </c>
      <c r="B10700" s="267">
        <v>44338</v>
      </c>
      <c r="C10700" s="463">
        <v>592</v>
      </c>
      <c r="D10700" s="39">
        <f t="shared" si="1785"/>
        <v>48018</v>
      </c>
      <c r="E10700" s="1">
        <v>3</v>
      </c>
      <c r="F10700" s="39">
        <f t="shared" si="1786"/>
        <v>647</v>
      </c>
      <c r="G10700" s="168">
        <f>SUM(C10700,C10676,C10652,C10628,C10604,C10580,C10556,C10532,C10508,C10484,C10460,C10436,C10412,C10388)/POBLA!$B$19*100000</f>
        <v>1388.8670307360601</v>
      </c>
      <c r="H10700" s="256">
        <f t="shared" si="1790"/>
        <v>1.0388463802236609</v>
      </c>
      <c r="I10700" s="297">
        <f t="shared" si="1787"/>
        <v>1442.8194874921401</v>
      </c>
      <c r="J10700" s="422">
        <f t="shared" si="1788"/>
        <v>499.57142857142856</v>
      </c>
      <c r="K10700" s="297">
        <f>J10700/POBLA!$B$19*100000</f>
        <v>98.277377711129148</v>
      </c>
      <c r="L10700" s="200">
        <f t="shared" si="1789"/>
        <v>-1.8523715969688492E-2</v>
      </c>
      <c r="M10700" s="401">
        <f>SUM(C10700,C10676,C10652,C10628,C10604,C10580,C10556)/POBLA!$B$19*100000</f>
        <v>687.94164397790405</v>
      </c>
    </row>
    <row r="10701" spans="1:13" x14ac:dyDescent="0.25">
      <c r="A10701" s="367" t="s">
        <v>37</v>
      </c>
      <c r="B10701" s="267">
        <v>44338</v>
      </c>
      <c r="C10701" s="463">
        <v>193</v>
      </c>
      <c r="D10701" s="39">
        <f t="shared" si="1785"/>
        <v>49862</v>
      </c>
      <c r="E10701" s="1">
        <v>1</v>
      </c>
      <c r="F10701" s="39">
        <f t="shared" si="1786"/>
        <v>764</v>
      </c>
      <c r="G10701" s="168">
        <f>SUM(C10701,C10677,C10653,C10629,C10605,C10581,C10557,C10533,C10509,C10485,C10461,C10437,C10413,C10389)/POBLA!$B$20*100000</f>
        <v>936.29169423950918</v>
      </c>
      <c r="H10701" s="256">
        <f t="shared" si="1790"/>
        <v>1.1701982228298018</v>
      </c>
      <c r="I10701" s="297">
        <f t="shared" si="1787"/>
        <v>1095.6468766493779</v>
      </c>
      <c r="J10701" s="422">
        <f t="shared" si="1788"/>
        <v>276.85714285714283</v>
      </c>
      <c r="K10701" s="297">
        <f>J10701/POBLA!$B$20*100000</f>
        <v>75.706496304913571</v>
      </c>
      <c r="L10701" s="200">
        <f t="shared" si="1789"/>
        <v>0.30417227456258411</v>
      </c>
      <c r="M10701" s="401">
        <f>SUM(C10701,C10677,C10653,C10629,C10605,C10581,C10557)/POBLA!$B$20*100000</f>
        <v>529.945474134395</v>
      </c>
    </row>
    <row r="10702" spans="1:13" x14ac:dyDescent="0.25">
      <c r="A10702" s="367" t="s">
        <v>22</v>
      </c>
      <c r="B10702" s="267">
        <v>44338</v>
      </c>
      <c r="C10702" s="463">
        <v>3103</v>
      </c>
      <c r="D10702" s="39">
        <f t="shared" si="1785"/>
        <v>320698</v>
      </c>
      <c r="E10702" s="1">
        <v>5</v>
      </c>
      <c r="F10702" s="39">
        <f t="shared" si="1786"/>
        <v>5178</v>
      </c>
      <c r="G10702" s="168">
        <f>SUM(C10702,C10678,C10654,C10630,C10606,C10582,C10558,C10534,C10510,C10486,C10462,C10438,C10414,C10390)/POBLA!$B$21*100000</f>
        <v>917.3406537349374</v>
      </c>
      <c r="H10702" s="256">
        <f t="shared" si="1790"/>
        <v>1.3362303319878079</v>
      </c>
      <c r="I10702" s="297">
        <f t="shared" si="1787"/>
        <v>1225.7784062861481</v>
      </c>
      <c r="J10702" s="422">
        <f t="shared" si="1788"/>
        <v>2722.1428571428573</v>
      </c>
      <c r="K10702" s="297">
        <f>J10702/POBLA!$B$21*100000</f>
        <v>76.974578716171493</v>
      </c>
      <c r="L10702" s="200">
        <f t="shared" si="1789"/>
        <v>0.42350216644255201</v>
      </c>
      <c r="M10702" s="401">
        <f>SUM(C10702,C10678,C10654,C10630,C10606,C10582,C10558)/POBLA!$B$21*100000</f>
        <v>538.82205101320039</v>
      </c>
    </row>
    <row r="10703" spans="1:13" x14ac:dyDescent="0.25">
      <c r="A10703" s="367" t="s">
        <v>38</v>
      </c>
      <c r="B10703" s="267">
        <v>44338</v>
      </c>
      <c r="C10703" s="463">
        <v>790</v>
      </c>
      <c r="D10703" s="39">
        <f t="shared" si="1785"/>
        <v>39063</v>
      </c>
      <c r="E10703" s="1">
        <v>5</v>
      </c>
      <c r="F10703" s="39">
        <f t="shared" si="1786"/>
        <v>442</v>
      </c>
      <c r="G10703" s="168">
        <f>SUM(C10703,C10679,C10655,C10631,C10607,C10583,C10559,C10535,C10511,C10487,C10463,C10439,C10415,C10391)/POBLA!$B$22*100000</f>
        <v>669.00879370917085</v>
      </c>
      <c r="H10703" s="256">
        <f t="shared" si="1790"/>
        <v>2.2133919513019951</v>
      </c>
      <c r="I10703" s="297">
        <f t="shared" si="1787"/>
        <v>1480.7786793461355</v>
      </c>
      <c r="J10703" s="422">
        <f t="shared" si="1788"/>
        <v>591.14285714285711</v>
      </c>
      <c r="K10703" s="297">
        <f>J10703/POBLA!$B$22*100000</f>
        <v>60.424716541930557</v>
      </c>
      <c r="L10703" s="200">
        <f t="shared" si="1789"/>
        <v>0.71915247195679277</v>
      </c>
      <c r="M10703" s="401">
        <f>SUM(C10703,C10679,C10655,C10631,C10607,C10583,C10559)/POBLA!$B$22*100000</f>
        <v>422.97301579351392</v>
      </c>
    </row>
    <row r="10704" spans="1:13" x14ac:dyDescent="0.25">
      <c r="A10704" s="367" t="s">
        <v>39</v>
      </c>
      <c r="B10704" s="267">
        <v>44338</v>
      </c>
      <c r="C10704" s="463">
        <v>53</v>
      </c>
      <c r="D10704" s="39">
        <f t="shared" si="1785"/>
        <v>27991</v>
      </c>
      <c r="E10704" s="1">
        <v>1</v>
      </c>
      <c r="F10704" s="39">
        <f t="shared" si="1786"/>
        <v>408</v>
      </c>
      <c r="G10704" s="168">
        <f>SUM(C10704,C10680,C10656,C10632,C10608,C10584,C10560,C10536,C10512,C10488,C10464,C10440,C10416,C10392)/POBLA!$B$23*100000</f>
        <v>573.99762483741449</v>
      </c>
      <c r="H10704" s="256">
        <f t="shared" si="1790"/>
        <v>1.0346585117227318</v>
      </c>
      <c r="I10704" s="297">
        <f t="shared" si="1787"/>
        <v>593.89152824666223</v>
      </c>
      <c r="J10704" s="422">
        <f t="shared" si="1788"/>
        <v>75.571428571428569</v>
      </c>
      <c r="K10704" s="297">
        <f>J10704/POBLA!$B$23*100000</f>
        <v>42.73676897100524</v>
      </c>
      <c r="L10704" s="200">
        <f t="shared" si="1789"/>
        <v>8.847736625514413E-2</v>
      </c>
      <c r="M10704" s="401">
        <f>SUM(C10704,C10680,C10656,C10632,C10608,C10584,C10560)/POBLA!$B$23*100000</f>
        <v>299.15738279703669</v>
      </c>
    </row>
    <row r="10705" spans="1:13" ht="15.75" thickBot="1" x14ac:dyDescent="0.3">
      <c r="A10705" s="369" t="s">
        <v>40</v>
      </c>
      <c r="B10705" s="267">
        <v>44338</v>
      </c>
      <c r="C10705" s="463">
        <v>731</v>
      </c>
      <c r="D10705" s="176">
        <f t="shared" si="1785"/>
        <v>120856</v>
      </c>
      <c r="F10705" s="176">
        <f t="shared" si="1786"/>
        <v>1805</v>
      </c>
      <c r="G10705" s="177">
        <f>SUM(C10705,C10681,C10657,C10633,C10609,C10585,C10561,C10537,C10513,C10489,C10465,C10441,C10417,C10393)/POBLA!$B$24*100000</f>
        <v>626.38081120888251</v>
      </c>
      <c r="H10705" s="402">
        <f t="shared" si="1790"/>
        <v>1.3310344827586207</v>
      </c>
      <c r="I10705" s="403">
        <f t="shared" si="1787"/>
        <v>833.73445905734013</v>
      </c>
      <c r="J10705" s="423">
        <f t="shared" si="1788"/>
        <v>901.57142857142856</v>
      </c>
      <c r="K10705" s="403">
        <f>J10705/POBLA!$B$24*100000</f>
        <v>53.200851888019081</v>
      </c>
      <c r="L10705" s="404">
        <f t="shared" si="1789"/>
        <v>0.46631040892193298</v>
      </c>
      <c r="M10705" s="405">
        <f>SUM(C10705,C10681,C10657,C10633,C10609,C10585,C10561)/POBLA!$B$24*100000</f>
        <v>372.40596321613356</v>
      </c>
    </row>
    <row r="10706" spans="1:13" x14ac:dyDescent="0.25">
      <c r="A10706" s="363" t="s">
        <v>16</v>
      </c>
      <c r="B10706" s="267">
        <v>44339</v>
      </c>
      <c r="C10706" s="1">
        <v>6885</v>
      </c>
      <c r="D10706" s="174">
        <f t="shared" si="1785"/>
        <v>1523451</v>
      </c>
      <c r="E10706" s="1">
        <v>195</v>
      </c>
      <c r="F10706" s="174">
        <f t="shared" ref="F10706:F10729" si="1791">E10706+F10682</f>
        <v>38401</v>
      </c>
      <c r="G10706" s="175">
        <f>SUM(C10706,C10682,C10658,C10634,C10610,C10586,C10562,C10538,C10514,C10490,C10466,C10442,C10418,C10394)/POBLA!$B$1*100000</f>
        <v>847.14557621992765</v>
      </c>
      <c r="H10706" s="300">
        <f t="shared" si="1790"/>
        <v>1.1433066867734067</v>
      </c>
      <c r="I10706" s="301">
        <f>G10706*H10706</f>
        <v>968.547201962754</v>
      </c>
      <c r="J10706" s="421">
        <f>AVERAGE(C10706,C10682,C10658,C10634,C10610,C10586,C10562)</f>
        <v>12007.571428571429</v>
      </c>
      <c r="K10706" s="301">
        <f>J10706/POBLA!$B$1*100000</f>
        <v>68.453764943634113</v>
      </c>
      <c r="L10706" s="399">
        <f t="shared" si="1789"/>
        <v>0.30221857280079334</v>
      </c>
      <c r="M10706" s="400">
        <f>SUM(C10706,C10682,C10658,C10634,C10610,C10586,C10562)/POBLA!$B$1*100000</f>
        <v>479.17635460543875</v>
      </c>
    </row>
    <row r="10707" spans="1:13" x14ac:dyDescent="0.25">
      <c r="A10707" s="367" t="s">
        <v>43</v>
      </c>
      <c r="B10707" s="267">
        <v>44339</v>
      </c>
      <c r="C10707" s="1">
        <v>1790</v>
      </c>
      <c r="D10707" s="39">
        <f t="shared" si="1785"/>
        <v>397859</v>
      </c>
      <c r="E10707" s="1">
        <v>38</v>
      </c>
      <c r="F10707" s="39">
        <f t="shared" si="1791"/>
        <v>8815</v>
      </c>
      <c r="G10707" s="168">
        <f>SUM(C10707,C10683,C10659,C10635,C10611,C10587,C10563,C10539,C10515,C10491,C10467,C10443,C10419,C10395)/POBLA!$B$2*100000</f>
        <v>1170.3232426618667</v>
      </c>
      <c r="H10707" s="256">
        <f t="shared" si="1790"/>
        <v>1.0607980667216788</v>
      </c>
      <c r="I10707" s="297">
        <f t="shared" ref="I10707:I10729" si="1792">G10707*H10707</f>
        <v>1241.4766332551544</v>
      </c>
      <c r="J10707" s="422">
        <f t="shared" ref="J10707:J10729" si="1793">AVERAGE(C10707,C10683,C10659,C10635,C10611,C10587,C10563)</f>
        <v>2821.4285714285716</v>
      </c>
      <c r="K10707" s="297">
        <f>J10707/POBLA!$B$2*100000</f>
        <v>91.734502976889132</v>
      </c>
      <c r="L10707" s="200">
        <f t="shared" si="1789"/>
        <v>0.21575869498307165</v>
      </c>
      <c r="M10707" s="401">
        <f>SUM(C10707,C10683,C10659,C10635,C10611,C10587,C10563)/POBLA!$B$2*100000</f>
        <v>642.14152083822387</v>
      </c>
    </row>
    <row r="10708" spans="1:13" x14ac:dyDescent="0.25">
      <c r="A10708" s="367" t="s">
        <v>28</v>
      </c>
      <c r="B10708" s="267">
        <v>44339</v>
      </c>
      <c r="C10708" s="1">
        <v>214</v>
      </c>
      <c r="D10708" s="39">
        <f t="shared" si="1785"/>
        <v>20311</v>
      </c>
      <c r="E10708" s="1">
        <v>3</v>
      </c>
      <c r="F10708" s="39">
        <f t="shared" si="1791"/>
        <v>146</v>
      </c>
      <c r="G10708" s="168">
        <f>SUM(C10708,C10684,C10660,C10636,C10612,C10588,C10564,C10540,C10516,C10492,C10468,C10444,C10420,C10396)/POBLA!$B$3*100000</f>
        <v>996.77930280812063</v>
      </c>
      <c r="H10708" s="256">
        <f t="shared" si="1790"/>
        <v>1.9305361305361306</v>
      </c>
      <c r="I10708" s="297">
        <f t="shared" si="1792"/>
        <v>1924.3184582416911</v>
      </c>
      <c r="J10708" s="422">
        <f t="shared" si="1793"/>
        <v>326</v>
      </c>
      <c r="K10708" s="297">
        <f>J10708/POBLA!$B$3*100000</f>
        <v>78.47139645386315</v>
      </c>
      <c r="L10708" s="200">
        <f t="shared" si="1789"/>
        <v>0.22754168908015071</v>
      </c>
      <c r="M10708" s="401">
        <f>SUM(C10708,C10684,C10660,C10636,C10612,C10588,C10564)/POBLA!$B$3*100000</f>
        <v>549.29977517704208</v>
      </c>
    </row>
    <row r="10709" spans="1:13" x14ac:dyDescent="0.25">
      <c r="A10709" s="367" t="s">
        <v>15</v>
      </c>
      <c r="B10709" s="267">
        <v>44339</v>
      </c>
      <c r="C10709" s="1">
        <v>473</v>
      </c>
      <c r="D10709" s="39">
        <f t="shared" si="1785"/>
        <v>53393</v>
      </c>
      <c r="E10709" s="1">
        <v>1</v>
      </c>
      <c r="F10709" s="39">
        <f t="shared" si="1791"/>
        <v>1157</v>
      </c>
      <c r="G10709" s="168">
        <f>SUM(C10709,C10685,C10661,C10637,C10613,C10589,C10565,C10541,C10517,C10493,C10469,C10445,C10421,C10397)/POBLA!$B$4*100000</f>
        <v>532.48498805769168</v>
      </c>
      <c r="H10709" s="256">
        <f t="shared" si="1790"/>
        <v>1.9021352313167259</v>
      </c>
      <c r="I10709" s="297">
        <f t="shared" si="1792"/>
        <v>1012.8584559318014</v>
      </c>
      <c r="J10709" s="422">
        <f t="shared" si="1793"/>
        <v>585.14285714285711</v>
      </c>
      <c r="K10709" s="297">
        <f>J10709/POBLA!$B$4*100000</f>
        <v>48.578077221352956</v>
      </c>
      <c r="L10709" s="200">
        <f t="shared" si="1789"/>
        <v>0.76704055220017264</v>
      </c>
      <c r="M10709" s="401">
        <f>SUM(C10709,C10685,C10661,C10637,C10613,C10589,C10565)/POBLA!$B$4*100000</f>
        <v>340.04654054947071</v>
      </c>
    </row>
    <row r="10710" spans="1:13" x14ac:dyDescent="0.25">
      <c r="A10710" s="367" t="s">
        <v>29</v>
      </c>
      <c r="B10710" s="267">
        <v>44339</v>
      </c>
      <c r="C10710" s="1">
        <v>257</v>
      </c>
      <c r="D10710" s="39">
        <f t="shared" si="1785"/>
        <v>60048</v>
      </c>
      <c r="F10710" s="39">
        <f t="shared" si="1791"/>
        <v>1004</v>
      </c>
      <c r="G10710" s="168">
        <f>SUM(C10710,C10686,C10662,C10638,C10614,C10590,C10566,C10542,C10518,C10494,C10470,C10446,C10422,C10398)/POBLA!$B$5*100000</f>
        <v>598.55184379816285</v>
      </c>
      <c r="H10710" s="256">
        <f t="shared" si="1790"/>
        <v>1.5379825653798256</v>
      </c>
      <c r="I10710" s="297">
        <f t="shared" si="1792"/>
        <v>920.56230023752312</v>
      </c>
      <c r="J10710" s="422">
        <f t="shared" si="1793"/>
        <v>311.28571428571428</v>
      </c>
      <c r="K10710" s="297">
        <f>J10710/POBLA!$B$5*100000</f>
        <v>50.288971183196324</v>
      </c>
      <c r="L10710" s="200">
        <f t="shared" si="1789"/>
        <v>0.42791612057667106</v>
      </c>
      <c r="M10710" s="401">
        <f>SUM(C10710,C10686,C10662,C10638,C10614,C10590,C10566)/POBLA!$B$5*100000</f>
        <v>352.02279828237431</v>
      </c>
    </row>
    <row r="10711" spans="1:13" x14ac:dyDescent="0.25">
      <c r="A10711" s="367" t="s">
        <v>30</v>
      </c>
      <c r="B10711" s="267">
        <v>44339</v>
      </c>
      <c r="C10711" s="1">
        <v>3691</v>
      </c>
      <c r="D10711" s="39">
        <f t="shared" si="1785"/>
        <v>47490</v>
      </c>
      <c r="E10711" s="1">
        <v>3</v>
      </c>
      <c r="F10711" s="39">
        <f t="shared" si="1791"/>
        <v>575</v>
      </c>
      <c r="G10711" s="168">
        <f>SUM(C10711,C10687,C10663,C10639,C10615,C10591,C10567,C10543,C10519,C10495,C10471,C10447,C10423,C10399)/POBLA!$B$6*100000</f>
        <v>735.09927275225493</v>
      </c>
      <c r="H10711" s="256">
        <f t="shared" si="1790"/>
        <v>3.0962044344231492</v>
      </c>
      <c r="I10711" s="297">
        <f t="shared" si="1792"/>
        <v>2276.0176280367637</v>
      </c>
      <c r="J10711" s="422">
        <f t="shared" si="1793"/>
        <v>991.42857142857144</v>
      </c>
      <c r="K10711" s="297">
        <f>J10711/POBLA!$B$6*100000</f>
        <v>88.457145508308031</v>
      </c>
      <c r="L10711" s="200">
        <f t="shared" si="1789"/>
        <v>4.342571208622017</v>
      </c>
      <c r="M10711" s="401">
        <f>SUM(C10711,C10687,C10663,C10639,C10615,C10591,C10567)/POBLA!$B$6*100000</f>
        <v>619.20001855815622</v>
      </c>
    </row>
    <row r="10712" spans="1:13" x14ac:dyDescent="0.25">
      <c r="A10712" s="367" t="s">
        <v>20</v>
      </c>
      <c r="B10712" s="267">
        <v>44339</v>
      </c>
      <c r="C10712" s="1">
        <v>3225</v>
      </c>
      <c r="D10712" s="39">
        <f t="shared" si="1785"/>
        <v>281142</v>
      </c>
      <c r="E10712" s="1">
        <v>9</v>
      </c>
      <c r="F10712" s="39">
        <f t="shared" si="1791"/>
        <v>3725</v>
      </c>
      <c r="G10712" s="168">
        <f>SUM(C10712,C10688,C10664,C10640,C10616,C10592,C10568,C10544,C10520,C10496,C10472,C10448,C10424,C10400)/POBLA!$B$7*100000</f>
        <v>1078.2220213006422</v>
      </c>
      <c r="H10712" s="256">
        <f t="shared" si="1790"/>
        <v>1.8369880391446176</v>
      </c>
      <c r="I10712" s="297">
        <f t="shared" si="1792"/>
        <v>1980.6809566716126</v>
      </c>
      <c r="J10712" s="422">
        <f t="shared" si="1793"/>
        <v>3499.7142857142858</v>
      </c>
      <c r="K10712" s="297">
        <f>J10712/POBLA!$B$7*100000</f>
        <v>93.066369336496578</v>
      </c>
      <c r="L10712" s="200">
        <f t="shared" si="1789"/>
        <v>0.52654536390827511</v>
      </c>
      <c r="M10712" s="401">
        <f>SUM(C10712,C10688,C10664,C10640,C10616,C10592,C10568)/POBLA!$B$7*100000</f>
        <v>651.46458535547606</v>
      </c>
    </row>
    <row r="10713" spans="1:13" x14ac:dyDescent="0.25">
      <c r="A10713" s="367" t="s">
        <v>31</v>
      </c>
      <c r="B10713" s="267">
        <v>44339</v>
      </c>
      <c r="C10713" s="1">
        <v>776</v>
      </c>
      <c r="D10713" s="39">
        <f t="shared" si="1785"/>
        <v>78341</v>
      </c>
      <c r="E10713" s="1">
        <v>4</v>
      </c>
      <c r="F10713" s="39">
        <f t="shared" si="1791"/>
        <v>1225</v>
      </c>
      <c r="G10713" s="168">
        <f>SUM(C10713,C10689,C10665,C10641,C10617,C10593,C10569,C10545,C10521,C10497,C10473,C10449,C10425,C10401)/POBLA!$B$8*100000</f>
        <v>787.03513302322369</v>
      </c>
      <c r="H10713" s="256">
        <f t="shared" si="1790"/>
        <v>1.4600455093026368</v>
      </c>
      <c r="I10713" s="297">
        <f t="shared" si="1792"/>
        <v>1149.107111633961</v>
      </c>
      <c r="J10713" s="422">
        <f t="shared" si="1793"/>
        <v>894.14285714285711</v>
      </c>
      <c r="K10713" s="297">
        <f>J10713/POBLA!$B$8*100000</f>
        <v>64.514286992408671</v>
      </c>
      <c r="L10713" s="200">
        <f t="shared" si="1789"/>
        <v>0.34631103463110335</v>
      </c>
      <c r="M10713" s="401">
        <f>SUM(C10713,C10689,C10665,C10641,C10617,C10593,C10569)/POBLA!$B$8*100000</f>
        <v>451.60000894686073</v>
      </c>
    </row>
    <row r="10714" spans="1:13" x14ac:dyDescent="0.25">
      <c r="A10714" s="367" t="s">
        <v>41</v>
      </c>
      <c r="B10714" s="267">
        <v>44339</v>
      </c>
      <c r="C10714" s="1">
        <v>872</v>
      </c>
      <c r="D10714" s="39">
        <f t="shared" si="1785"/>
        <v>23168</v>
      </c>
      <c r="F10714" s="39">
        <f t="shared" si="1791"/>
        <v>302</v>
      </c>
      <c r="G10714" s="168">
        <f>SUM(C10714,C10690,C10666,C10642,C10618,C10594,C10570,C10546,C10522,C10498,C10474,C10450,C10426,C10402)/POBLA!$B$9*100000</f>
        <v>2852.9741751804795</v>
      </c>
      <c r="H10714" s="256">
        <f t="shared" si="1790"/>
        <v>10.180424528301886</v>
      </c>
      <c r="I10714" s="297">
        <f t="shared" si="1792"/>
        <v>29044.488271619197</v>
      </c>
      <c r="J10714" s="422">
        <f t="shared" si="1793"/>
        <v>2143.1428571428573</v>
      </c>
      <c r="K10714" s="297">
        <f>J10714/POBLA!$B$9*100000</f>
        <v>354.1255198164647</v>
      </c>
      <c r="L10714" s="200">
        <f>(SUM(C10714,C10690,C10666,C10642,C10618,C10594,C10570)/SUM(C10546,C10522,C10498,C10474,C10450,C10426,C10402))-1</f>
        <v>5.6263250883392226</v>
      </c>
      <c r="M10714" s="401">
        <f>SUM(C10714,C10690,C10666,C10642,C10618,C10594,C10570)/POBLA!$B$9*100000</f>
        <v>2478.8786387152527</v>
      </c>
    </row>
    <row r="10715" spans="1:13" x14ac:dyDescent="0.25">
      <c r="A10715" s="367" t="s">
        <v>32</v>
      </c>
      <c r="B10715" s="267">
        <v>44339</v>
      </c>
      <c r="C10715" s="1">
        <v>142</v>
      </c>
      <c r="D10715" s="39">
        <f t="shared" si="1785"/>
        <v>27130</v>
      </c>
      <c r="E10715" s="1">
        <v>2</v>
      </c>
      <c r="F10715" s="39">
        <f t="shared" si="1791"/>
        <v>1084</v>
      </c>
      <c r="G10715" s="168">
        <f>SUM(C10715,C10691,C10667,C10643,C10619,C10595,C10571,C10547,C10523,C10499,C10475,C10451,C10427,C10403)/POBLA!$B$10*100000</f>
        <v>190.95035420512374</v>
      </c>
      <c r="H10715" s="256">
        <f t="shared" si="1790"/>
        <v>1.1202435312024352</v>
      </c>
      <c r="I10715" s="297">
        <f t="shared" si="1792"/>
        <v>213.91089907910361</v>
      </c>
      <c r="J10715" s="422">
        <f t="shared" si="1793"/>
        <v>126.85714285714286</v>
      </c>
      <c r="K10715" s="297">
        <f>J10715/POBLA!$B$10*100000</f>
        <v>16.456125245938463</v>
      </c>
      <c r="L10715" s="200">
        <f t="shared" ref="L10715:L10737" si="1794">(SUM(C10715,C10691,C10667,C10643,C10619,C10595,C10571)/SUM(C10547,C10523,C10499,C10475,C10451,C10427,C10403))-1</f>
        <v>0.52054794520547953</v>
      </c>
      <c r="M10715" s="401">
        <f>SUM(C10715,C10691,C10667,C10643,C10619,C10595,C10571)/POBLA!$B$10*100000</f>
        <v>115.19287672156922</v>
      </c>
    </row>
    <row r="10716" spans="1:13" x14ac:dyDescent="0.25">
      <c r="A10716" s="367" t="s">
        <v>33</v>
      </c>
      <c r="B10716" s="267">
        <v>44339</v>
      </c>
      <c r="C10716" s="1">
        <v>503</v>
      </c>
      <c r="D10716" s="39">
        <f t="shared" si="1785"/>
        <v>38482</v>
      </c>
      <c r="F10716" s="39">
        <f t="shared" si="1791"/>
        <v>494</v>
      </c>
      <c r="G10716" s="168">
        <f>SUM(C10716,C10692,C10668,C10644,C10620,C10596,C10572,C10548,C10524,C10500,C10476,C10452,C10428,C10404)/POBLA!$B$11*100000</f>
        <v>2353.0527748948184</v>
      </c>
      <c r="H10716" s="256">
        <f t="shared" si="1790"/>
        <v>1.970100443821537</v>
      </c>
      <c r="I10716" s="297">
        <f t="shared" si="1792"/>
        <v>4635.7503161557806</v>
      </c>
      <c r="J10716" s="422">
        <f t="shared" si="1793"/>
        <v>698.57142857142856</v>
      </c>
      <c r="K10716" s="297">
        <f>J10716/POBLA!$B$11*100000</f>
        <v>194.89867660211496</v>
      </c>
      <c r="L10716" s="200">
        <f t="shared" si="1794"/>
        <v>0.3797968397291196</v>
      </c>
      <c r="M10716" s="401">
        <f>SUM(C10716,C10692,C10668,C10644,C10620,C10596,C10572)/POBLA!$B$11*100000</f>
        <v>1364.2907362148046</v>
      </c>
    </row>
    <row r="10717" spans="1:13" x14ac:dyDescent="0.25">
      <c r="A10717" s="367" t="s">
        <v>21</v>
      </c>
      <c r="B10717" s="267">
        <v>44339</v>
      </c>
      <c r="C10717" s="1">
        <v>216</v>
      </c>
      <c r="D10717" s="39">
        <f t="shared" si="1785"/>
        <v>16101</v>
      </c>
      <c r="E10717" s="1">
        <v>1</v>
      </c>
      <c r="F10717" s="39">
        <f t="shared" si="1791"/>
        <v>518</v>
      </c>
      <c r="G10717" s="168">
        <f>SUM(C10717,C10693,C10669,C10645,C10621,C10597,C10573,C10549,C10525,C10501,C10477,C10453,C10429,C10405)/POBLA!$B$12*100000</f>
        <v>461.20890095062396</v>
      </c>
      <c r="H10717" s="256">
        <f t="shared" si="1790"/>
        <v>1.4962901896125309</v>
      </c>
      <c r="I10717" s="297">
        <f t="shared" si="1792"/>
        <v>690.10235385439614</v>
      </c>
      <c r="J10717" s="422">
        <f t="shared" si="1793"/>
        <v>178.14285714285714</v>
      </c>
      <c r="K10717" s="297">
        <f>J10717/POBLA!$B$12*100000</f>
        <v>45.267807909124599</v>
      </c>
      <c r="L10717" s="200">
        <f t="shared" si="1794"/>
        <v>1.1954225352112675</v>
      </c>
      <c r="M10717" s="401">
        <f>SUM(C10717,C10693,C10669,C10645,C10621,C10597,C10573)/POBLA!$B$12*100000</f>
        <v>316.87465536387219</v>
      </c>
    </row>
    <row r="10718" spans="1:13" x14ac:dyDescent="0.25">
      <c r="A10718" s="367" t="s">
        <v>17</v>
      </c>
      <c r="B10718" s="267">
        <v>44339</v>
      </c>
      <c r="C10718" s="1">
        <v>416</v>
      </c>
      <c r="D10718" s="39">
        <f t="shared" si="1785"/>
        <v>114873</v>
      </c>
      <c r="E10718" s="1">
        <v>33</v>
      </c>
      <c r="F10718" s="39">
        <f t="shared" si="1791"/>
        <v>2373</v>
      </c>
      <c r="G10718" s="168">
        <f>SUM(C10718,C10694,C10670,C10646,C10622,C10598,C10574,C10550,C10526,C10502,C10478,C10454,C10430,C10406)/POBLA!$B$13*100000</f>
        <v>615.32262359458548</v>
      </c>
      <c r="H10718" s="256">
        <f t="shared" si="1790"/>
        <v>1.1855759922555662</v>
      </c>
      <c r="I10718" s="297">
        <f t="shared" si="1792"/>
        <v>729.51173002544897</v>
      </c>
      <c r="J10718" s="422">
        <f t="shared" si="1793"/>
        <v>933.71428571428567</v>
      </c>
      <c r="K10718" s="297">
        <f>J10718/POBLA!$B$13*100000</f>
        <v>46.91234783812024</v>
      </c>
      <c r="L10718" s="200">
        <f t="shared" si="1794"/>
        <v>0.14445806338644718</v>
      </c>
      <c r="M10718" s="401">
        <f>SUM(C10718,C10694,C10670,C10646,C10622,C10598,C10574)/POBLA!$B$13*100000</f>
        <v>328.38643486684174</v>
      </c>
    </row>
    <row r="10719" spans="1:13" x14ac:dyDescent="0.25">
      <c r="A10719" s="367" t="s">
        <v>23</v>
      </c>
      <c r="B10719" s="267">
        <v>44339</v>
      </c>
      <c r="C10719" s="1">
        <v>139</v>
      </c>
      <c r="D10719" s="39">
        <f t="shared" si="1785"/>
        <v>19018</v>
      </c>
      <c r="F10719" s="39">
        <f t="shared" si="1791"/>
        <v>264</v>
      </c>
      <c r="G10719" s="168">
        <f>SUM(C10719,C10695,C10671,C10647,C10623,C10599,C10575,C10551,C10527,C10503,C10479,C10455,C10431,C10407)/POBLA!$B$14*100000</f>
        <v>167.922784061448</v>
      </c>
      <c r="H10719" s="256">
        <f t="shared" si="1790"/>
        <v>1.1845637583892616</v>
      </c>
      <c r="I10719" s="297">
        <f t="shared" si="1792"/>
        <v>198.91524420701725</v>
      </c>
      <c r="J10719" s="422">
        <f t="shared" si="1793"/>
        <v>157.14285714285714</v>
      </c>
      <c r="K10719" s="297">
        <f>J10719/POBLA!$B$14*100000</f>
        <v>12.458860277053338</v>
      </c>
      <c r="L10719" s="200">
        <f t="shared" si="1794"/>
        <v>8.0550098231827016E-2</v>
      </c>
      <c r="M10719" s="401">
        <f>SUM(C10719,C10695,C10671,C10647,C10623,C10599,C10575)/POBLA!$B$14*100000</f>
        <v>87.212021939373372</v>
      </c>
    </row>
    <row r="10720" spans="1:13" x14ac:dyDescent="0.25">
      <c r="A10720" s="367" t="s">
        <v>19</v>
      </c>
      <c r="B10720" s="267">
        <v>44339</v>
      </c>
      <c r="C10720" s="1">
        <v>794</v>
      </c>
      <c r="D10720" s="39">
        <f t="shared" si="1785"/>
        <v>83637</v>
      </c>
      <c r="E10720" s="1">
        <v>26</v>
      </c>
      <c r="F10720" s="39">
        <f t="shared" si="1791"/>
        <v>1246</v>
      </c>
      <c r="G10720" s="168">
        <f>SUM(C10720,C10696,C10672,C10648,C10624,C10600,C10576,C10552,C10528,C10504,C10480,C10456,C10432,C10408)/POBLA!$B$15*100000</f>
        <v>1334.22281521014</v>
      </c>
      <c r="H10720" s="256">
        <f t="shared" si="1790"/>
        <v>1.6328787320309621</v>
      </c>
      <c r="I10720" s="297">
        <f t="shared" si="1792"/>
        <v>2178.6240587471138</v>
      </c>
      <c r="J10720" s="422">
        <f t="shared" si="1793"/>
        <v>749.28571428571433</v>
      </c>
      <c r="K10720" s="297">
        <f>J10720/POBLA!$B$15*100000</f>
        <v>112.83454798092849</v>
      </c>
      <c r="L10720" s="200">
        <f t="shared" si="1794"/>
        <v>0.45089903181189483</v>
      </c>
      <c r="M10720" s="401">
        <f>SUM(C10720,C10696,C10672,C10648,C10624,C10600,C10576)/POBLA!$B$15*100000</f>
        <v>789.84183586649942</v>
      </c>
    </row>
    <row r="10721" spans="1:13" x14ac:dyDescent="0.25">
      <c r="A10721" s="367" t="s">
        <v>18</v>
      </c>
      <c r="B10721" s="267">
        <v>44339</v>
      </c>
      <c r="C10721" s="1">
        <v>274</v>
      </c>
      <c r="D10721" s="39">
        <f t="shared" si="1785"/>
        <v>70094</v>
      </c>
      <c r="E10721" s="1">
        <v>1</v>
      </c>
      <c r="F10721" s="39">
        <f t="shared" si="1791"/>
        <v>1507</v>
      </c>
      <c r="G10721" s="168">
        <f>SUM(C10721,C10697,C10673,C10649,C10625,C10601,C10577,C10553,C10529,C10505,C10481,C10457,C10433,C10409)/POBLA!$B$16*100000</f>
        <v>833.45594628215247</v>
      </c>
      <c r="H10721" s="256">
        <f t="shared" si="1790"/>
        <v>1.5480745341614908</v>
      </c>
      <c r="I10721" s="297">
        <f t="shared" si="1792"/>
        <v>1290.2519257848676</v>
      </c>
      <c r="J10721" s="422">
        <f t="shared" si="1793"/>
        <v>522.14285714285711</v>
      </c>
      <c r="K10721" s="297">
        <f>J10721/POBLA!$B$16*100000</f>
        <v>69.841609548141022</v>
      </c>
      <c r="L10721" s="200">
        <f t="shared" si="1794"/>
        <v>0.41886645962732927</v>
      </c>
      <c r="M10721" s="401">
        <f>SUM(C10721,C10697,C10673,C10649,C10625,C10601,C10577)/POBLA!$B$16*100000</f>
        <v>488.8912668369872</v>
      </c>
    </row>
    <row r="10722" spans="1:13" x14ac:dyDescent="0.25">
      <c r="A10722" s="367" t="s">
        <v>34</v>
      </c>
      <c r="B10722" s="267">
        <v>44339</v>
      </c>
      <c r="C10722" s="1">
        <v>344</v>
      </c>
      <c r="D10722" s="39">
        <f t="shared" si="1785"/>
        <v>41750</v>
      </c>
      <c r="E10722" s="1">
        <v>2</v>
      </c>
      <c r="F10722" s="39">
        <f t="shared" si="1791"/>
        <v>1348</v>
      </c>
      <c r="G10722" s="168">
        <f>SUM(C10722,C10698,C10674,C10650,C10626,C10602,C10578,C10554,C10530,C10506,C10482,C10458,C10434,C10410)/POBLA!$B$17*100000</f>
        <v>371.80645564403744</v>
      </c>
      <c r="H10722" s="256">
        <f t="shared" ref="H10722:H10745" si="1795">SUM(C10722,C10698,C10674,C10650,C10626,C10602,C10578,C10554,C10530,C10506,C10482,C10458,C10434,C10410)/SUM(C10386,C10362,C10338,C10314,C10290,C10266,C10242,C10218,C10194,C10170,C10146,C10122,C10098,C10074)</f>
        <v>1.9022988505747127</v>
      </c>
      <c r="I10722" s="297">
        <f t="shared" si="1792"/>
        <v>707.28699320791031</v>
      </c>
      <c r="J10722" s="422">
        <f t="shared" si="1793"/>
        <v>470.28571428571428</v>
      </c>
      <c r="K10722" s="297">
        <f>J10722/POBLA!$B$17*100000</f>
        <v>33.016477448753001</v>
      </c>
      <c r="L10722" s="200">
        <f t="shared" si="1794"/>
        <v>0.64271457085828354</v>
      </c>
      <c r="M10722" s="401">
        <f>SUM(C10722,C10698,C10674,C10650,C10626,C10602,C10578)/POBLA!$B$17*100000</f>
        <v>231.11534214127101</v>
      </c>
    </row>
    <row r="10723" spans="1:13" x14ac:dyDescent="0.25">
      <c r="A10723" s="367" t="s">
        <v>35</v>
      </c>
      <c r="B10723" s="267">
        <v>44339</v>
      </c>
      <c r="C10723" s="1">
        <v>209</v>
      </c>
      <c r="D10723" s="39">
        <f t="shared" si="1785"/>
        <v>33126</v>
      </c>
      <c r="E10723" s="1">
        <v>8</v>
      </c>
      <c r="F10723" s="39">
        <f t="shared" si="1791"/>
        <v>589</v>
      </c>
      <c r="G10723" s="168">
        <f>SUM(C10723,C10699,C10675,C10651,C10627,C10603,C10579,C10555,C10531,C10507,C10483,C10459,C10435,C10411)/POBLA!$B$18*100000</f>
        <v>880.67719980491972</v>
      </c>
      <c r="H10723" s="256">
        <f t="shared" si="1795"/>
        <v>1.61237403327865</v>
      </c>
      <c r="I10723" s="297">
        <f t="shared" si="1792"/>
        <v>1419.981048666006</v>
      </c>
      <c r="J10723" s="422">
        <f t="shared" si="1793"/>
        <v>557.28571428571433</v>
      </c>
      <c r="K10723" s="297">
        <f>J10723/POBLA!$B$18*100000</f>
        <v>71.335584643666792</v>
      </c>
      <c r="L10723" s="200">
        <f t="shared" si="1794"/>
        <v>0.30949983215844235</v>
      </c>
      <c r="M10723" s="401">
        <f>SUM(C10723,C10699,C10675,C10651,C10627,C10603,C10579)/POBLA!$B$18*100000</f>
        <v>499.34909250566744</v>
      </c>
    </row>
    <row r="10724" spans="1:13" x14ac:dyDescent="0.25">
      <c r="A10724" s="367" t="s">
        <v>36</v>
      </c>
      <c r="B10724" s="267">
        <v>44339</v>
      </c>
      <c r="C10724" s="1">
        <v>682</v>
      </c>
      <c r="D10724" s="39">
        <f t="shared" si="1785"/>
        <v>48700</v>
      </c>
      <c r="E10724" s="1">
        <v>4</v>
      </c>
      <c r="F10724" s="39">
        <f t="shared" si="1791"/>
        <v>651</v>
      </c>
      <c r="G10724" s="168">
        <f>SUM(C10724,C10700,C10676,C10652,C10628,C10604,C10580,C10556,C10532,C10508,C10484,C10460,C10436,C10412)/POBLA!$B$19*100000</f>
        <v>1426.4411954486079</v>
      </c>
      <c r="H10724" s="256">
        <f t="shared" si="1795"/>
        <v>1.0854790419161677</v>
      </c>
      <c r="I10724" s="297">
        <f t="shared" si="1792"/>
        <v>1548.372022185308</v>
      </c>
      <c r="J10724" s="422">
        <f t="shared" si="1793"/>
        <v>562.14285714285711</v>
      </c>
      <c r="K10724" s="297">
        <f>J10724/POBLA!$B$19*100000</f>
        <v>110.58664034695259</v>
      </c>
      <c r="L10724" s="200">
        <f t="shared" si="1794"/>
        <v>0.18667068757539207</v>
      </c>
      <c r="M10724" s="401">
        <f>SUM(C10724,C10700,C10676,C10652,C10628,C10604,C10580)/POBLA!$B$19*100000</f>
        <v>774.10648242866807</v>
      </c>
    </row>
    <row r="10725" spans="1:13" x14ac:dyDescent="0.25">
      <c r="A10725" s="367" t="s">
        <v>37</v>
      </c>
      <c r="B10725" s="267">
        <v>44339</v>
      </c>
      <c r="C10725" s="1">
        <v>131</v>
      </c>
      <c r="D10725" s="39">
        <f t="shared" si="1785"/>
        <v>49993</v>
      </c>
      <c r="E10725" s="1">
        <v>1</v>
      </c>
      <c r="F10725" s="39">
        <f t="shared" si="1791"/>
        <v>765</v>
      </c>
      <c r="G10725" s="168">
        <f>SUM(C10725,C10701,C10677,C10653,C10629,C10605,C10581,C10557,C10533,C10509,C10485,C10461,C10437,C10413)/POBLA!$B$20*100000</f>
        <v>938.75274133301252</v>
      </c>
      <c r="H10725" s="256">
        <f t="shared" si="1795"/>
        <v>1.1797250859106529</v>
      </c>
      <c r="I10725" s="297">
        <f t="shared" si="1792"/>
        <v>1107.4701584179491</v>
      </c>
      <c r="J10725" s="422">
        <f t="shared" si="1793"/>
        <v>264.57142857142856</v>
      </c>
      <c r="K10725" s="297">
        <f>J10725/POBLA!$B$20*100000</f>
        <v>72.346971701083561</v>
      </c>
      <c r="L10725" s="200">
        <f t="shared" si="1794"/>
        <v>0.17141049968374444</v>
      </c>
      <c r="M10725" s="401">
        <f>SUM(C10725,C10701,C10677,C10653,C10629,C10605,C10581)/POBLA!$B$20*100000</f>
        <v>506.42880190758495</v>
      </c>
    </row>
    <row r="10726" spans="1:13" x14ac:dyDescent="0.25">
      <c r="A10726" s="367" t="s">
        <v>22</v>
      </c>
      <c r="B10726" s="267">
        <v>44339</v>
      </c>
      <c r="C10726" s="1">
        <v>1887</v>
      </c>
      <c r="D10726" s="39">
        <f t="shared" si="1785"/>
        <v>322585</v>
      </c>
      <c r="E10726" s="1">
        <v>18</v>
      </c>
      <c r="F10726" s="39">
        <f t="shared" si="1791"/>
        <v>5196</v>
      </c>
      <c r="G10726" s="168">
        <f>SUM(C10726,C10702,C10678,C10654,C10630,C10606,C10582,C10558,C10534,C10510,C10486,C10462,C10438,C10414)/POBLA!$B$21*100000</f>
        <v>946.80549640907827</v>
      </c>
      <c r="H10726" s="256">
        <f t="shared" si="1795"/>
        <v>1.3962885738115096</v>
      </c>
      <c r="I10726" s="297">
        <f t="shared" si="1792"/>
        <v>1322.0136962579302</v>
      </c>
      <c r="J10726" s="422">
        <f t="shared" si="1793"/>
        <v>2796.8571428571427</v>
      </c>
      <c r="K10726" s="297">
        <f>J10726/POBLA!$B$21*100000</f>
        <v>79.087289535828148</v>
      </c>
      <c r="L10726" s="200">
        <f t="shared" si="1794"/>
        <v>0.40798274002157497</v>
      </c>
      <c r="M10726" s="401">
        <f>SUM(C10726,C10702,C10678,C10654,C10630,C10606,C10582)/POBLA!$B$21*100000</f>
        <v>553.61102675079701</v>
      </c>
    </row>
    <row r="10727" spans="1:13" x14ac:dyDescent="0.25">
      <c r="A10727" s="367" t="s">
        <v>38</v>
      </c>
      <c r="B10727" s="267">
        <v>44339</v>
      </c>
      <c r="C10727" s="1">
        <v>402</v>
      </c>
      <c r="D10727" s="39">
        <f t="shared" si="1785"/>
        <v>39465</v>
      </c>
      <c r="F10727" s="39">
        <f t="shared" si="1791"/>
        <v>442</v>
      </c>
      <c r="G10727" s="168">
        <f>SUM(C10727,C10703,C10679,C10655,C10631,C10607,C10583,C10559,C10535,C10511,C10487,C10463,C10439,C10415)/POBLA!$B$22*100000</f>
        <v>680.86593963281689</v>
      </c>
      <c r="H10727" s="256">
        <f t="shared" si="1795"/>
        <v>2.2136922565636423</v>
      </c>
      <c r="I10727" s="297">
        <f t="shared" si="1792"/>
        <v>1507.2276583230951</v>
      </c>
      <c r="J10727" s="422">
        <f t="shared" si="1793"/>
        <v>591.28571428571433</v>
      </c>
      <c r="K10727" s="297">
        <f>J10727/POBLA!$B$22*100000</f>
        <v>60.439318938388254</v>
      </c>
      <c r="L10727" s="200">
        <f t="shared" si="1794"/>
        <v>0.64115781126090399</v>
      </c>
      <c r="M10727" s="401">
        <f>SUM(C10727,C10703,C10679,C10655,C10631,C10607,C10583)/POBLA!$B$22*100000</f>
        <v>423.07523256871775</v>
      </c>
    </row>
    <row r="10728" spans="1:13" x14ac:dyDescent="0.25">
      <c r="A10728" s="367" t="s">
        <v>39</v>
      </c>
      <c r="B10728" s="267">
        <v>44339</v>
      </c>
      <c r="C10728" s="1">
        <v>60</v>
      </c>
      <c r="D10728" s="39">
        <f t="shared" si="1785"/>
        <v>28051</v>
      </c>
      <c r="F10728" s="39">
        <f t="shared" si="1791"/>
        <v>408</v>
      </c>
      <c r="G10728" s="168">
        <f>SUM(C10728,C10704,C10680,C10656,C10632,C10608,C10584,C10560,C10536,C10512,C10488,C10464,C10440,C10416)/POBLA!$B$23*100000</f>
        <v>584.17689306113209</v>
      </c>
      <c r="H10728" s="256">
        <f t="shared" si="1795"/>
        <v>1.0616649537512848</v>
      </c>
      <c r="I10728" s="297">
        <f t="shared" si="1792"/>
        <v>620.20013415431606</v>
      </c>
      <c r="J10728" s="422">
        <f t="shared" si="1793"/>
        <v>74.285714285714292</v>
      </c>
      <c r="K10728" s="297">
        <f>J10728/POBLA!$B$23*100000</f>
        <v>42.009678383596842</v>
      </c>
      <c r="L10728" s="200">
        <f t="shared" si="1794"/>
        <v>1.3645224171539905E-2</v>
      </c>
      <c r="M10728" s="401">
        <f>SUM(C10728,C10704,C10680,C10656,C10632,C10608,C10584)/POBLA!$B$23*100000</f>
        <v>294.06774868517783</v>
      </c>
    </row>
    <row r="10729" spans="1:13" ht="15.75" thickBot="1" x14ac:dyDescent="0.3">
      <c r="A10729" s="369" t="s">
        <v>40</v>
      </c>
      <c r="B10729" s="267">
        <v>44339</v>
      </c>
      <c r="C10729" s="1">
        <v>419</v>
      </c>
      <c r="D10729" s="176">
        <f t="shared" si="1785"/>
        <v>121275</v>
      </c>
      <c r="E10729" s="1">
        <v>12</v>
      </c>
      <c r="F10729" s="176">
        <f t="shared" si="1791"/>
        <v>1817</v>
      </c>
      <c r="G10729" s="177">
        <f>SUM(C10729,C10705,C10681,C10657,C10633,C10609,C10585,C10561,C10537,C10513,C10489,C10465,C10441,C10417)/POBLA!$B$24*100000</f>
        <v>632.39973186298573</v>
      </c>
      <c r="H10729" s="402">
        <f t="shared" si="1795"/>
        <v>1.3157765500306937</v>
      </c>
      <c r="I10729" s="403">
        <f t="shared" si="1792"/>
        <v>832.09673743101519</v>
      </c>
      <c r="J10729" s="423">
        <f t="shared" si="1793"/>
        <v>908.85714285714289</v>
      </c>
      <c r="K10729" s="403">
        <f>J10729/POBLA!$B$24*100000</f>
        <v>53.630774791883603</v>
      </c>
      <c r="L10729" s="404">
        <f t="shared" si="1794"/>
        <v>0.46084959816303095</v>
      </c>
      <c r="M10729" s="405">
        <f>SUM(C10729,C10705,C10681,C10657,C10633,C10609,C10585)/POBLA!$B$24*100000</f>
        <v>375.41542354318517</v>
      </c>
    </row>
    <row r="10730" spans="1:13" x14ac:dyDescent="0.25">
      <c r="A10730" s="363" t="s">
        <v>16</v>
      </c>
      <c r="B10730" s="267">
        <v>44340</v>
      </c>
      <c r="C10730" s="1">
        <v>7549</v>
      </c>
      <c r="D10730" s="174">
        <f t="shared" si="1785"/>
        <v>1531000</v>
      </c>
      <c r="E10730" s="1">
        <v>189</v>
      </c>
      <c r="F10730" s="174">
        <f t="shared" ref="F10730:F10753" si="1796">E10730+F10706</f>
        <v>38590</v>
      </c>
      <c r="G10730" s="175">
        <f>SUM(C10730,C10706,C10682,C10658,C10634,C10610,C10586,C10562,C10538,C10514,C10490,C10466,C10442,C10418)/POBLA!$B$1*100000</f>
        <v>849.0610730510632</v>
      </c>
      <c r="H10730" s="300">
        <f t="shared" si="1795"/>
        <v>1.1608158875153933</v>
      </c>
      <c r="I10730" s="301">
        <f>G10730*H10730</f>
        <v>985.60358306854209</v>
      </c>
      <c r="J10730" s="421">
        <f>AVERAGE(C10730,C10706,C10682,C10658,C10634,C10610,C10586)</f>
        <v>11803.285714285714</v>
      </c>
      <c r="K10730" s="301">
        <f>J10730/POBLA!$B$1*100000</f>
        <v>67.289155900894443</v>
      </c>
      <c r="L10730" s="399">
        <f t="shared" si="1794"/>
        <v>0.24597357944263476</v>
      </c>
      <c r="M10730" s="400">
        <f>SUM(C10730,C10706,C10682,C10658,C10634,C10610,C10586)/POBLA!$B$1*100000</f>
        <v>471.02409130626108</v>
      </c>
    </row>
    <row r="10731" spans="1:13" x14ac:dyDescent="0.25">
      <c r="A10731" s="367" t="s">
        <v>43</v>
      </c>
      <c r="B10731" s="267">
        <v>44340</v>
      </c>
      <c r="C10731" s="1">
        <v>2135</v>
      </c>
      <c r="D10731" s="39">
        <f t="shared" si="1785"/>
        <v>399994</v>
      </c>
      <c r="E10731" s="1">
        <v>33</v>
      </c>
      <c r="F10731" s="39">
        <f t="shared" si="1796"/>
        <v>8848</v>
      </c>
      <c r="G10731" s="168">
        <f>SUM(C10731,C10707,C10683,C10659,C10635,C10611,C10587,C10563,C10539,C10515,C10491,C10467,C10443,C10419)/POBLA!$B$2*100000</f>
        <v>1178.7767512906232</v>
      </c>
      <c r="H10731" s="256">
        <f t="shared" si="1795"/>
        <v>1.1002033198798289</v>
      </c>
      <c r="I10731" s="297">
        <f t="shared" ref="I10731:I10753" si="1797">G10731*H10731</f>
        <v>1296.8940951671029</v>
      </c>
      <c r="J10731" s="422">
        <f t="shared" ref="J10731:J10753" si="1798">AVERAGE(C10731,C10707,C10683,C10659,C10635,C10611,C10587)</f>
        <v>2777.1428571428573</v>
      </c>
      <c r="K10731" s="297">
        <f>J10731/POBLA!$B$2*100000</f>
        <v>90.294619639024035</v>
      </c>
      <c r="L10731" s="200">
        <f t="shared" si="1794"/>
        <v>0.15611061552185546</v>
      </c>
      <c r="M10731" s="401">
        <f>SUM(C10731,C10707,C10683,C10659,C10635,C10611,C10587)/POBLA!$B$2*100000</f>
        <v>632.06233747316821</v>
      </c>
    </row>
    <row r="10732" spans="1:13" x14ac:dyDescent="0.25">
      <c r="A10732" s="367" t="s">
        <v>28</v>
      </c>
      <c r="B10732" s="267">
        <v>44340</v>
      </c>
      <c r="C10732" s="1">
        <v>492</v>
      </c>
      <c r="D10732" s="39">
        <f t="shared" si="1785"/>
        <v>20803</v>
      </c>
      <c r="E10732" s="1">
        <v>0</v>
      </c>
      <c r="F10732" s="39">
        <f t="shared" si="1796"/>
        <v>146</v>
      </c>
      <c r="G10732" s="168">
        <f>SUM(C10732,C10708,C10684,C10660,C10636,C10612,C10588,C10564,C10540,C10516,C10492,C10468,C10444,C10420)/POBLA!$B$3*100000</f>
        <v>1072.1214717960322</v>
      </c>
      <c r="H10732" s="256">
        <f t="shared" si="1795"/>
        <v>2.1069063386944182</v>
      </c>
      <c r="I10732" s="297">
        <f t="shared" si="1797"/>
        <v>2258.8595247774492</v>
      </c>
      <c r="J10732" s="422">
        <f t="shared" si="1798"/>
        <v>373</v>
      </c>
      <c r="K10732" s="297">
        <f>J10732/POBLA!$B$3*100000</f>
        <v>89.784757292303539</v>
      </c>
      <c r="L10732" s="200">
        <f t="shared" si="1794"/>
        <v>0.41671188279978288</v>
      </c>
      <c r="M10732" s="401">
        <f>SUM(C10732,C10708,C10684,C10660,C10636,C10612,C10588)/POBLA!$B$3*100000</f>
        <v>628.49330104612488</v>
      </c>
    </row>
    <row r="10733" spans="1:13" x14ac:dyDescent="0.25">
      <c r="A10733" s="367" t="s">
        <v>15</v>
      </c>
      <c r="B10733" s="267">
        <v>44340</v>
      </c>
      <c r="C10733" s="1">
        <v>471</v>
      </c>
      <c r="D10733" s="39">
        <f t="shared" si="1785"/>
        <v>53864</v>
      </c>
      <c r="E10733" s="1">
        <v>5</v>
      </c>
      <c r="F10733" s="39">
        <f t="shared" si="1796"/>
        <v>1162</v>
      </c>
      <c r="G10733" s="168">
        <f>SUM(C10733,C10709,C10685,C10661,C10637,C10613,C10589,C10565,C10541,C10517,C10493,C10469,C10445,C10421)/POBLA!$B$4*100000</f>
        <v>556.89262548970942</v>
      </c>
      <c r="H10733" s="256">
        <f t="shared" si="1795"/>
        <v>1.9775943396226414</v>
      </c>
      <c r="I10733" s="297">
        <f t="shared" si="1797"/>
        <v>1101.3077039460409</v>
      </c>
      <c r="J10733" s="422">
        <f t="shared" si="1798"/>
        <v>589.28571428571433</v>
      </c>
      <c r="K10733" s="297">
        <f>J10733/POBLA!$B$4*100000</f>
        <v>48.922013803242422</v>
      </c>
      <c r="L10733" s="200">
        <f t="shared" si="1794"/>
        <v>0.59698025551684086</v>
      </c>
      <c r="M10733" s="401">
        <f>SUM(C10733,C10709,C10685,C10661,C10637,C10613,C10589)/POBLA!$B$4*100000</f>
        <v>342.45409662269691</v>
      </c>
    </row>
    <row r="10734" spans="1:13" x14ac:dyDescent="0.25">
      <c r="A10734" s="367" t="s">
        <v>29</v>
      </c>
      <c r="B10734" s="267">
        <v>44340</v>
      </c>
      <c r="C10734" s="1">
        <v>215</v>
      </c>
      <c r="D10734" s="39">
        <f t="shared" si="1785"/>
        <v>60263</v>
      </c>
      <c r="E10734" s="1">
        <v>1</v>
      </c>
      <c r="F10734" s="39">
        <f t="shared" si="1796"/>
        <v>1005</v>
      </c>
      <c r="G10734" s="168">
        <f>SUM(C10734,C10710,C10686,C10662,C10638,C10614,C10590,C10566,C10542,C10518,C10494,C10470,C10446,C10422)/POBLA!$B$5*100000</f>
        <v>595.80545207223338</v>
      </c>
      <c r="H10734" s="256">
        <f t="shared" si="1795"/>
        <v>1.501628664495114</v>
      </c>
      <c r="I10734" s="297">
        <f t="shared" si="1797"/>
        <v>894.67854529413546</v>
      </c>
      <c r="J10734" s="422">
        <f t="shared" si="1798"/>
        <v>304.14285714285717</v>
      </c>
      <c r="K10734" s="297">
        <f>J10734/POBLA!$B$5*100000</f>
        <v>49.135025079864619</v>
      </c>
      <c r="L10734" s="200">
        <f t="shared" si="1794"/>
        <v>0.36561898652982672</v>
      </c>
      <c r="M10734" s="401">
        <f>SUM(C10734,C10710,C10686,C10662,C10638,C10614,C10590)/POBLA!$B$5*100000</f>
        <v>343.94517555905225</v>
      </c>
    </row>
    <row r="10735" spans="1:13" x14ac:dyDescent="0.25">
      <c r="A10735" s="367" t="s">
        <v>30</v>
      </c>
      <c r="B10735" s="267">
        <v>44340</v>
      </c>
      <c r="C10735" s="1">
        <v>327</v>
      </c>
      <c r="D10735" s="39">
        <f t="shared" si="1785"/>
        <v>47817</v>
      </c>
      <c r="E10735" s="1">
        <v>15</v>
      </c>
      <c r="F10735" s="39">
        <f t="shared" si="1796"/>
        <v>590</v>
      </c>
      <c r="G10735" s="168">
        <f>SUM(C10735,C10711,C10687,C10663,C10639,C10615,C10591,C10567,C10543,C10519,C10495,C10471,C10447,C10423)/POBLA!$B$6*100000</f>
        <v>752.40832226238194</v>
      </c>
      <c r="H10735" s="256">
        <f t="shared" si="1795"/>
        <v>3.1619797525309337</v>
      </c>
      <c r="I10735" s="297">
        <f t="shared" si="1797"/>
        <v>2379.0998806294215</v>
      </c>
      <c r="J10735" s="422">
        <f t="shared" si="1798"/>
        <v>996.14285714285711</v>
      </c>
      <c r="K10735" s="297">
        <f>J10735/POBLA!$B$6*100000</f>
        <v>88.877763058995953</v>
      </c>
      <c r="L10735" s="200">
        <f t="shared" si="1794"/>
        <v>3.7760273972602736</v>
      </c>
      <c r="M10735" s="401">
        <f>SUM(C10735,C10711,C10687,C10663,C10639,C10615,C10591)/POBLA!$B$6*100000</f>
        <v>622.14434141297158</v>
      </c>
    </row>
    <row r="10736" spans="1:13" x14ac:dyDescent="0.25">
      <c r="A10736" s="367" t="s">
        <v>20</v>
      </c>
      <c r="B10736" s="267">
        <v>44340</v>
      </c>
      <c r="C10736" s="1">
        <v>2807</v>
      </c>
      <c r="D10736" s="39">
        <f t="shared" si="1785"/>
        <v>283949</v>
      </c>
      <c r="E10736" s="1">
        <v>9</v>
      </c>
      <c r="F10736" s="39">
        <f t="shared" si="1796"/>
        <v>3734</v>
      </c>
      <c r="G10736" s="168">
        <f>SUM(C10736,C10712,C10688,C10664,C10640,C10616,C10592,C10568,C10544,C10520,C10496,C10472,C10448,C10424)/POBLA!$B$7*100000</f>
        <v>1115.9568668643381</v>
      </c>
      <c r="H10736" s="256">
        <f t="shared" si="1795"/>
        <v>1.8657744975991464</v>
      </c>
      <c r="I10736" s="297">
        <f t="shared" si="1797"/>
        <v>2082.123862616128</v>
      </c>
      <c r="J10736" s="422">
        <f t="shared" si="1798"/>
        <v>3508.5714285714284</v>
      </c>
      <c r="K10736" s="297">
        <f>J10736/POBLA!$B$7*100000</f>
        <v>93.301903457602904</v>
      </c>
      <c r="L10736" s="200">
        <f t="shared" si="1794"/>
        <v>0.4110887675955186</v>
      </c>
      <c r="M10736" s="401">
        <f>SUM(C10736,C10712,C10688,C10664,C10640,C10616,C10592)/POBLA!$B$7*100000</f>
        <v>653.11332420322037</v>
      </c>
    </row>
    <row r="10737" spans="1:13" x14ac:dyDescent="0.25">
      <c r="A10737" s="367" t="s">
        <v>31</v>
      </c>
      <c r="B10737" s="267">
        <v>44340</v>
      </c>
      <c r="C10737" s="1">
        <v>463</v>
      </c>
      <c r="D10737" s="39">
        <f t="shared" si="1785"/>
        <v>78804</v>
      </c>
      <c r="E10737" s="1">
        <v>13</v>
      </c>
      <c r="F10737" s="39">
        <f t="shared" si="1796"/>
        <v>1238</v>
      </c>
      <c r="G10737" s="168">
        <f>SUM(C10737,C10713,C10689,C10665,C10641,C10617,C10593,C10569,C10545,C10521,C10497,C10473,C10449,C10425)/POBLA!$B$8*100000</f>
        <v>790.35412973380915</v>
      </c>
      <c r="H10737" s="256">
        <f t="shared" si="1795"/>
        <v>1.4558745348219033</v>
      </c>
      <c r="I10737" s="297">
        <f t="shared" si="1797"/>
        <v>1150.6564509707796</v>
      </c>
      <c r="J10737" s="422">
        <f t="shared" si="1798"/>
        <v>893.85714285714289</v>
      </c>
      <c r="K10737" s="297">
        <f>J10737/POBLA!$B$8*100000</f>
        <v>64.493672106007523</v>
      </c>
      <c r="L10737" s="200">
        <f t="shared" si="1794"/>
        <v>0.33212688950393865</v>
      </c>
      <c r="M10737" s="401">
        <f>SUM(C10737,C10713,C10689,C10665,C10641,C10617,C10593)/POBLA!$B$8*100000</f>
        <v>451.45570474205266</v>
      </c>
    </row>
    <row r="10738" spans="1:13" x14ac:dyDescent="0.25">
      <c r="A10738" s="367" t="s">
        <v>41</v>
      </c>
      <c r="B10738" s="267">
        <v>44340</v>
      </c>
      <c r="C10738" s="1">
        <v>758</v>
      </c>
      <c r="D10738" s="39">
        <f t="shared" si="1785"/>
        <v>23926</v>
      </c>
      <c r="E10738" s="1">
        <v>62</v>
      </c>
      <c r="F10738" s="39">
        <f t="shared" si="1796"/>
        <v>364</v>
      </c>
      <c r="G10738" s="168">
        <f>SUM(C10738,C10714,C10690,C10666,C10642,C10618,C10594,C10570,C10546,C10522,C10498,C10474,C10450,C10426)/POBLA!$B$9*100000</f>
        <v>2953.7684672492906</v>
      </c>
      <c r="H10738" s="256">
        <f t="shared" si="1795"/>
        <v>10.13953488372093</v>
      </c>
      <c r="I10738" s="297">
        <f t="shared" si="1797"/>
        <v>29949.838412109086</v>
      </c>
      <c r="J10738" s="422">
        <f t="shared" si="1798"/>
        <v>1447.1428571428571</v>
      </c>
      <c r="K10738" s="297">
        <f>J10738/POBLA!$B$9*100000</f>
        <v>239.12088493139495</v>
      </c>
      <c r="L10738" s="200">
        <f>(SUM(C10738,C10714,C10690,C10666,C10642,C10618,C10594)/SUM(C10570,C10546,C10522,C10498,C10474,C10450,C10426))-1</f>
        <v>0.30777175316292271</v>
      </c>
      <c r="M10738" s="401">
        <f>SUM(C10738,C10714,C10690,C10666,C10642,C10618,C10594)/POBLA!$B$9*100000</f>
        <v>1673.8461945197648</v>
      </c>
    </row>
    <row r="10739" spans="1:13" x14ac:dyDescent="0.25">
      <c r="A10739" s="367" t="s">
        <v>32</v>
      </c>
      <c r="B10739" s="267">
        <v>44340</v>
      </c>
      <c r="C10739" s="1">
        <v>114</v>
      </c>
      <c r="D10739" s="39">
        <f t="shared" ref="D10739:D10802" si="1799">C10739+D10715</f>
        <v>27244</v>
      </c>
      <c r="E10739" s="1">
        <v>2</v>
      </c>
      <c r="F10739" s="39">
        <f t="shared" si="1796"/>
        <v>1086</v>
      </c>
      <c r="G10739" s="168">
        <f>SUM(C10739,C10715,C10691,C10667,C10643,C10619,C10595,C10571,C10547,C10523,C10499,C10475,C10451,C10427)/POBLA!$B$10*100000</f>
        <v>199.51198693442959</v>
      </c>
      <c r="H10739" s="256">
        <f t="shared" si="1795"/>
        <v>1.215810276679842</v>
      </c>
      <c r="I10739" s="297">
        <f t="shared" si="1797"/>
        <v>242.56872403569386</v>
      </c>
      <c r="J10739" s="422">
        <f t="shared" si="1798"/>
        <v>132.14285714285714</v>
      </c>
      <c r="K10739" s="297">
        <f>J10739/POBLA!$B$10*100000</f>
        <v>17.141797131185896</v>
      </c>
      <c r="L10739" s="200">
        <f t="shared" ref="L10739:L10761" si="1800">(SUM(C10739,C10715,C10691,C10667,C10643,C10619,C10595)/SUM(C10571,C10547,C10523,C10499,C10475,C10451,C10427))-1</f>
        <v>0.50897226753670477</v>
      </c>
      <c r="M10739" s="401">
        <f>SUM(C10739,C10715,C10691,C10667,C10643,C10619,C10595)/POBLA!$B$10*100000</f>
        <v>119.99257991830126</v>
      </c>
    </row>
    <row r="10740" spans="1:13" x14ac:dyDescent="0.25">
      <c r="A10740" s="367" t="s">
        <v>33</v>
      </c>
      <c r="B10740" s="267">
        <v>44340</v>
      </c>
      <c r="C10740" s="1">
        <v>657</v>
      </c>
      <c r="D10740" s="39">
        <f t="shared" si="1799"/>
        <v>39139</v>
      </c>
      <c r="E10740" s="1">
        <v>6</v>
      </c>
      <c r="F10740" s="39">
        <f t="shared" si="1796"/>
        <v>500</v>
      </c>
      <c r="G10740" s="168">
        <f>SUM(C10740,C10716,C10692,C10668,C10644,C10620,C10596,C10572,C10548,C10524,C10500,C10476,C10452,C10428)/POBLA!$B$11*100000</f>
        <v>2409.9679712522461</v>
      </c>
      <c r="H10740" s="256">
        <f t="shared" si="1795"/>
        <v>1.8963776070252469</v>
      </c>
      <c r="I10740" s="297">
        <f t="shared" si="1797"/>
        <v>4570.2092943308235</v>
      </c>
      <c r="J10740" s="422">
        <f t="shared" si="1798"/>
        <v>719.71428571428567</v>
      </c>
      <c r="K10740" s="297">
        <f>J10740/POBLA!$B$11*100000</f>
        <v>200.7974504542853</v>
      </c>
      <c r="L10740" s="200">
        <f t="shared" si="1800"/>
        <v>0.39944444444444449</v>
      </c>
      <c r="M10740" s="401">
        <f>SUM(C10740,C10716,C10692,C10668,C10644,C10620,C10596)/POBLA!$B$11*100000</f>
        <v>1405.5821531799972</v>
      </c>
    </row>
    <row r="10741" spans="1:13" x14ac:dyDescent="0.25">
      <c r="A10741" s="367" t="s">
        <v>21</v>
      </c>
      <c r="B10741" s="267">
        <v>44340</v>
      </c>
      <c r="C10741" s="1">
        <v>193</v>
      </c>
      <c r="D10741" s="39">
        <f t="shared" si="1799"/>
        <v>16294</v>
      </c>
      <c r="E10741" s="1">
        <v>7</v>
      </c>
      <c r="F10741" s="39">
        <f t="shared" si="1796"/>
        <v>525</v>
      </c>
      <c r="G10741" s="168">
        <f>SUM(C10741,C10717,C10693,C10669,C10645,C10621,C10597,C10573,C10549,C10525,C10501,C10477,C10453,C10429)/POBLA!$B$12*100000</f>
        <v>486.36575009338532</v>
      </c>
      <c r="H10741" s="256">
        <f t="shared" si="1795"/>
        <v>1.5178429817605075</v>
      </c>
      <c r="I10741" s="297">
        <f t="shared" si="1797"/>
        <v>738.22684034792974</v>
      </c>
      <c r="J10741" s="422">
        <f t="shared" si="1798"/>
        <v>182.57142857142858</v>
      </c>
      <c r="K10741" s="297">
        <f>J10741/POBLA!$B$12*100000</f>
        <v>46.393150367170207</v>
      </c>
      <c r="L10741" s="200">
        <f t="shared" si="1800"/>
        <v>1.0094339622641511</v>
      </c>
      <c r="M10741" s="401">
        <f>SUM(C10741,C10717,C10693,C10669,C10645,C10621,C10597)/POBLA!$B$12*100000</f>
        <v>324.75205257019144</v>
      </c>
    </row>
    <row r="10742" spans="1:13" x14ac:dyDescent="0.25">
      <c r="A10742" s="367" t="s">
        <v>17</v>
      </c>
      <c r="B10742" s="267">
        <v>44340</v>
      </c>
      <c r="C10742" s="1">
        <v>330</v>
      </c>
      <c r="D10742" s="39">
        <f t="shared" si="1799"/>
        <v>115203</v>
      </c>
      <c r="E10742" s="1">
        <v>20</v>
      </c>
      <c r="F10742" s="39">
        <f t="shared" si="1796"/>
        <v>2393</v>
      </c>
      <c r="G10742" s="168">
        <f>SUM(C10742,C10718,C10694,C10670,C10646,C10622,C10598,C10574,C10550,C10526,C10502,C10478,C10454,C10430)/POBLA!$B$13*100000</f>
        <v>589.7490777948268</v>
      </c>
      <c r="H10742" s="256">
        <f t="shared" si="1795"/>
        <v>1.1228237995025827</v>
      </c>
      <c r="I10742" s="297">
        <f t="shared" si="1797"/>
        <v>662.18430028273167</v>
      </c>
      <c r="J10742" s="422">
        <f t="shared" si="1798"/>
        <v>852.57142857142856</v>
      </c>
      <c r="K10742" s="297">
        <f>J10742/POBLA!$B$13*100000</f>
        <v>42.835509776300739</v>
      </c>
      <c r="L10742" s="200">
        <f t="shared" si="1800"/>
        <v>3.4315424610052103E-2</v>
      </c>
      <c r="M10742" s="401">
        <f>SUM(C10742,C10718,C10694,C10670,C10646,C10622,C10598)/POBLA!$B$13*100000</f>
        <v>299.84856843410518</v>
      </c>
    </row>
    <row r="10743" spans="1:13" x14ac:dyDescent="0.25">
      <c r="A10743" s="367" t="s">
        <v>23</v>
      </c>
      <c r="B10743" s="267">
        <v>44340</v>
      </c>
      <c r="C10743" s="1">
        <v>104</v>
      </c>
      <c r="D10743" s="39">
        <f t="shared" si="1799"/>
        <v>19122</v>
      </c>
      <c r="E10743" s="1">
        <v>4</v>
      </c>
      <c r="F10743" s="39">
        <f t="shared" si="1796"/>
        <v>268</v>
      </c>
      <c r="G10743" s="168">
        <f>SUM(C10743,C10719,C10695,C10671,C10647,C10623,C10599,C10575,C10551,C10527,C10503,C10479,C10455,C10431)/POBLA!$B$14*100000</f>
        <v>163.32433199555376</v>
      </c>
      <c r="H10743" s="256">
        <f t="shared" si="1795"/>
        <v>1.1123110151187905</v>
      </c>
      <c r="I10743" s="297">
        <f t="shared" si="1797"/>
        <v>181.66745351557276</v>
      </c>
      <c r="J10743" s="422">
        <f t="shared" si="1798"/>
        <v>150.28571428571428</v>
      </c>
      <c r="K10743" s="297">
        <f>J10743/POBLA!$B$14*100000</f>
        <v>11.915200919509193</v>
      </c>
      <c r="L10743" s="200">
        <f t="shared" si="1800"/>
        <v>4.3650793650793718E-2</v>
      </c>
      <c r="M10743" s="401">
        <f>SUM(C10743,C10719,C10695,C10671,C10647,C10623,C10599)/POBLA!$B$14*100000</f>
        <v>83.406406436564353</v>
      </c>
    </row>
    <row r="10744" spans="1:13" x14ac:dyDescent="0.25">
      <c r="A10744" s="367" t="s">
        <v>19</v>
      </c>
      <c r="B10744" s="267">
        <v>44340</v>
      </c>
      <c r="C10744" s="1">
        <v>861</v>
      </c>
      <c r="D10744" s="39">
        <f t="shared" si="1799"/>
        <v>84498</v>
      </c>
      <c r="E10744" s="1">
        <v>2</v>
      </c>
      <c r="F10744" s="39">
        <f t="shared" si="1796"/>
        <v>1248</v>
      </c>
      <c r="G10744" s="168">
        <f>SUM(C10744,C10720,C10696,C10672,C10648,C10624,C10600,C10576,C10552,C10528,C10504,C10480,C10456,C10432)/POBLA!$B$15*100000</f>
        <v>1396.7174504598249</v>
      </c>
      <c r="H10744" s="256">
        <f t="shared" si="1795"/>
        <v>1.6433380581148123</v>
      </c>
      <c r="I10744" s="297">
        <f t="shared" si="1797"/>
        <v>2295.2789427737202</v>
      </c>
      <c r="J10744" s="422">
        <f t="shared" si="1798"/>
        <v>772.28571428571433</v>
      </c>
      <c r="K10744" s="297">
        <f>J10744/POBLA!$B$15*100000</f>
        <v>116.2981060791038</v>
      </c>
      <c r="L10744" s="200">
        <f t="shared" si="1800"/>
        <v>0.39726027397260277</v>
      </c>
      <c r="M10744" s="401">
        <f>SUM(C10744,C10720,C10696,C10672,C10648,C10624,C10600)/POBLA!$B$15*100000</f>
        <v>814.08674255372659</v>
      </c>
    </row>
    <row r="10745" spans="1:13" x14ac:dyDescent="0.25">
      <c r="A10745" s="367" t="s">
        <v>18</v>
      </c>
      <c r="B10745" s="267">
        <v>44340</v>
      </c>
      <c r="C10745" s="1">
        <v>425</v>
      </c>
      <c r="D10745" s="39">
        <f t="shared" si="1799"/>
        <v>70519</v>
      </c>
      <c r="E10745" s="1">
        <v>12</v>
      </c>
      <c r="F10745" s="39">
        <f t="shared" si="1796"/>
        <v>1519</v>
      </c>
      <c r="G10745" s="168">
        <f>SUM(C10745,C10721,C10697,C10673,C10649,C10625,C10601,C10577,C10553,C10529,C10505,C10481,C10457,C10433)/POBLA!$B$16*100000</f>
        <v>846.83190433514801</v>
      </c>
      <c r="H10745" s="256">
        <f t="shared" si="1795"/>
        <v>1.5509554140127388</v>
      </c>
      <c r="I10745" s="297">
        <f t="shared" si="1797"/>
        <v>1313.3985267873156</v>
      </c>
      <c r="J10745" s="422">
        <f t="shared" si="1798"/>
        <v>524.85714285714289</v>
      </c>
      <c r="K10745" s="297">
        <f>J10745/POBLA!$B$16*100000</f>
        <v>70.204671266722343</v>
      </c>
      <c r="L10745" s="200">
        <f t="shared" si="1800"/>
        <v>0.38276251411366213</v>
      </c>
      <c r="M10745" s="401">
        <f>SUM(C10745,C10721,C10697,C10673,C10649,C10625,C10601)/POBLA!$B$16*100000</f>
        <v>491.43269886705639</v>
      </c>
    </row>
    <row r="10746" spans="1:13" x14ac:dyDescent="0.25">
      <c r="A10746" s="367" t="s">
        <v>34</v>
      </c>
      <c r="B10746" s="267">
        <v>44340</v>
      </c>
      <c r="C10746" s="1">
        <v>355</v>
      </c>
      <c r="D10746" s="39">
        <f t="shared" si="1799"/>
        <v>42105</v>
      </c>
      <c r="E10746" s="1">
        <v>2</v>
      </c>
      <c r="F10746" s="39">
        <f t="shared" si="1796"/>
        <v>1350</v>
      </c>
      <c r="G10746" s="168">
        <f>SUM(C10746,C10722,C10698,C10674,C10650,C10626,C10602,C10578,C10554,C10530,C10506,C10482,C10458,C10434)/POBLA!$B$17*100000</f>
        <v>376.86122618904699</v>
      </c>
      <c r="H10746" s="256">
        <f t="shared" ref="H10746:H10769" si="1801">SUM(C10746,C10722,C10698,C10674,C10650,C10626,C10602,C10578,C10554,C10530,C10506,C10482,C10458,C10434)/SUM(C10410,C10386,C10362,C10338,C10314,C10290,C10266,C10242,C10218,C10194,C10170,C10146,C10122,C10098)</f>
        <v>1.8446735395189005</v>
      </c>
      <c r="I10746" s="297">
        <f t="shared" si="1797"/>
        <v>695.18593202158229</v>
      </c>
      <c r="J10746" s="422">
        <f t="shared" si="1798"/>
        <v>485.57142857142856</v>
      </c>
      <c r="K10746" s="297">
        <f>J10746/POBLA!$B$17*100000</f>
        <v>34.089613258903839</v>
      </c>
      <c r="L10746" s="200">
        <f t="shared" si="1800"/>
        <v>0.72625698324022347</v>
      </c>
      <c r="M10746" s="401">
        <f>SUM(C10746,C10722,C10698,C10674,C10650,C10626,C10602)/POBLA!$B$17*100000</f>
        <v>238.62729281232689</v>
      </c>
    </row>
    <row r="10747" spans="1:13" x14ac:dyDescent="0.25">
      <c r="A10747" s="367" t="s">
        <v>35</v>
      </c>
      <c r="B10747" s="267">
        <v>44340</v>
      </c>
      <c r="C10747" s="1">
        <v>263</v>
      </c>
      <c r="D10747" s="39">
        <f t="shared" si="1799"/>
        <v>33389</v>
      </c>
      <c r="E10747" s="1">
        <v>3</v>
      </c>
      <c r="F10747" s="39">
        <f t="shared" si="1796"/>
        <v>592</v>
      </c>
      <c r="G10747" s="168">
        <f>SUM(C10747,C10723,C10699,C10675,C10651,C10627,C10603,C10579,C10555,C10531,C10507,C10483,C10459,C10435)/POBLA!$B$18*100000</f>
        <v>876.19701056172607</v>
      </c>
      <c r="H10747" s="256">
        <f t="shared" si="1801"/>
        <v>1.5815619223659889</v>
      </c>
      <c r="I10747" s="297">
        <f t="shared" si="1797"/>
        <v>1385.7598283953362</v>
      </c>
      <c r="J10747" s="422">
        <f t="shared" si="1798"/>
        <v>514.57142857142856</v>
      </c>
      <c r="K10747" s="297">
        <f>J10747/POBLA!$B$18*100000</f>
        <v>65.867925118299851</v>
      </c>
      <c r="L10747" s="200">
        <f t="shared" si="1800"/>
        <v>0.11069996916435398</v>
      </c>
      <c r="M10747" s="401">
        <f>SUM(C10747,C10723,C10699,C10675,C10651,C10627,C10603)/POBLA!$B$18*100000</f>
        <v>461.075475828099</v>
      </c>
    </row>
    <row r="10748" spans="1:13" x14ac:dyDescent="0.25">
      <c r="A10748" s="367" t="s">
        <v>36</v>
      </c>
      <c r="B10748" s="267">
        <v>44340</v>
      </c>
      <c r="C10748" s="1">
        <v>622</v>
      </c>
      <c r="D10748" s="39">
        <f t="shared" si="1799"/>
        <v>49322</v>
      </c>
      <c r="E10748" s="1">
        <v>4</v>
      </c>
      <c r="F10748" s="39">
        <f t="shared" si="1796"/>
        <v>655</v>
      </c>
      <c r="G10748" s="168">
        <f>SUM(C10748,C10724,C10700,C10676,C10652,C10628,C10604,C10580,C10556,C10532,C10508,C10484,C10460,C10436)/POBLA!$B$19*100000</f>
        <v>1465.5891471648226</v>
      </c>
      <c r="H10748" s="256">
        <f t="shared" si="1801"/>
        <v>1.1250377529447297</v>
      </c>
      <c r="I10748" s="297">
        <f t="shared" si="1797"/>
        <v>1648.8431208664949</v>
      </c>
      <c r="J10748" s="422">
        <f t="shared" si="1798"/>
        <v>605.42857142857144</v>
      </c>
      <c r="K10748" s="297">
        <f>J10748/POBLA!$B$19*100000</f>
        <v>119.10195217036468</v>
      </c>
      <c r="L10748" s="200">
        <f t="shared" si="1800"/>
        <v>0.31942714819427143</v>
      </c>
      <c r="M10748" s="401">
        <f>SUM(C10748,C10724,C10700,C10676,C10652,C10628,C10604)/POBLA!$B$19*100000</f>
        <v>833.71366519255275</v>
      </c>
    </row>
    <row r="10749" spans="1:13" x14ac:dyDescent="0.25">
      <c r="A10749" s="367" t="s">
        <v>37</v>
      </c>
      <c r="B10749" s="267">
        <v>44340</v>
      </c>
      <c r="C10749" s="1">
        <v>157</v>
      </c>
      <c r="D10749" s="39">
        <f t="shared" si="1799"/>
        <v>50150</v>
      </c>
      <c r="E10749" s="1">
        <v>1</v>
      </c>
      <c r="F10749" s="39">
        <f t="shared" si="1796"/>
        <v>766</v>
      </c>
      <c r="G10749" s="168">
        <f>SUM(C10749,C10725,C10701,C10677,C10653,C10629,C10605,C10581,C10557,C10533,C10509,C10485,C10461,C10437)/POBLA!$B$20*100000</f>
        <v>914.96261942914646</v>
      </c>
      <c r="H10749" s="256">
        <f t="shared" si="1801"/>
        <v>1.1443228454172367</v>
      </c>
      <c r="I10749" s="297">
        <f t="shared" si="1797"/>
        <v>1047.0126281155692</v>
      </c>
      <c r="J10749" s="422">
        <f t="shared" si="1798"/>
        <v>256.14285714285717</v>
      </c>
      <c r="K10749" s="297">
        <f>J10749/POBLA!$B$20*100000</f>
        <v>70.042181565897863</v>
      </c>
      <c r="L10749" s="200">
        <f t="shared" si="1800"/>
        <v>0.15453960077269802</v>
      </c>
      <c r="M10749" s="401">
        <f>SUM(C10749,C10725,C10701,C10677,C10653,C10629,C10605)/POBLA!$B$20*100000</f>
        <v>490.29527096128498</v>
      </c>
    </row>
    <row r="10750" spans="1:13" x14ac:dyDescent="0.25">
      <c r="A10750" s="367" t="s">
        <v>22</v>
      </c>
      <c r="B10750" s="267">
        <v>44340</v>
      </c>
      <c r="C10750" s="1">
        <v>2106</v>
      </c>
      <c r="D10750" s="39">
        <f t="shared" si="1799"/>
        <v>324691</v>
      </c>
      <c r="E10750" s="1">
        <v>15</v>
      </c>
      <c r="F10750" s="39">
        <f t="shared" si="1796"/>
        <v>5211</v>
      </c>
      <c r="G10750" s="168">
        <f>SUM(C10750,C10726,C10702,C10678,C10654,C10630,C10606,C10582,C10558,C10534,C10510,C10486,C10462,C10438)/POBLA!$B$21*100000</f>
        <v>970.81283943244273</v>
      </c>
      <c r="H10750" s="256">
        <f t="shared" si="1801"/>
        <v>1.4210853098224265</v>
      </c>
      <c r="I10750" s="297">
        <f t="shared" si="1797"/>
        <v>1379.6078647044426</v>
      </c>
      <c r="J10750" s="422">
        <f t="shared" si="1798"/>
        <v>2866.5714285714284</v>
      </c>
      <c r="K10750" s="297">
        <f>J10750/POBLA!$B$21*100000</f>
        <v>81.05861435416935</v>
      </c>
      <c r="L10750" s="200">
        <f t="shared" si="1800"/>
        <v>0.40656105425487166</v>
      </c>
      <c r="M10750" s="401">
        <f>SUM(C10750,C10726,C10702,C10678,C10654,C10630,C10606)/POBLA!$B$21*100000</f>
        <v>567.41030047918537</v>
      </c>
    </row>
    <row r="10751" spans="1:13" x14ac:dyDescent="0.25">
      <c r="A10751" s="367" t="s">
        <v>38</v>
      </c>
      <c r="B10751" s="267">
        <v>44340</v>
      </c>
      <c r="C10751" s="1">
        <v>645</v>
      </c>
      <c r="D10751" s="39">
        <f t="shared" si="1799"/>
        <v>40110</v>
      </c>
      <c r="E10751" s="1">
        <v>11</v>
      </c>
      <c r="F10751" s="39">
        <f t="shared" si="1796"/>
        <v>453</v>
      </c>
      <c r="G10751" s="168">
        <f>SUM(C10751,C10727,C10703,C10679,C10655,C10631,C10607,C10583,C10559,C10535,C10511,C10487,C10463,C10439)/POBLA!$B$22*100000</f>
        <v>724.00141876883981</v>
      </c>
      <c r="H10751" s="256">
        <f t="shared" si="1801"/>
        <v>2.2694649150913171</v>
      </c>
      <c r="I10751" s="297">
        <f t="shared" si="1797"/>
        <v>1643.0958183722182</v>
      </c>
      <c r="J10751" s="422">
        <f t="shared" si="1798"/>
        <v>622.14285714285711</v>
      </c>
      <c r="K10751" s="297">
        <f>J10751/POBLA!$B$22*100000</f>
        <v>63.593436573249775</v>
      </c>
      <c r="L10751" s="200">
        <f t="shared" si="1800"/>
        <v>0.59640762463343111</v>
      </c>
      <c r="M10751" s="401">
        <f>SUM(C10751,C10727,C10703,C10679,C10655,C10631,C10607)/POBLA!$B$22*100000</f>
        <v>445.15405601274847</v>
      </c>
    </row>
    <row r="10752" spans="1:13" x14ac:dyDescent="0.25">
      <c r="A10752" s="367" t="s">
        <v>39</v>
      </c>
      <c r="B10752" s="267">
        <v>44340</v>
      </c>
      <c r="C10752" s="1">
        <v>14</v>
      </c>
      <c r="D10752" s="39">
        <f t="shared" si="1799"/>
        <v>28065</v>
      </c>
      <c r="E10752" s="1">
        <v>1</v>
      </c>
      <c r="F10752" s="39">
        <f t="shared" si="1796"/>
        <v>409</v>
      </c>
      <c r="G10752" s="168">
        <f>SUM(C10752,C10728,C10704,C10680,C10656,C10632,C10608,C10584,C10560,C10536,C10512,C10488,C10464,C10440)/POBLA!$B$23*100000</f>
        <v>570.60453542950859</v>
      </c>
      <c r="H10752" s="256">
        <f t="shared" si="1801"/>
        <v>1.0543364681295715</v>
      </c>
      <c r="I10752" s="297">
        <f t="shared" si="1797"/>
        <v>601.60917058346308</v>
      </c>
      <c r="J10752" s="422">
        <f t="shared" si="1798"/>
        <v>69.714285714285708</v>
      </c>
      <c r="K10752" s="297">
        <f>J10752/POBLA!$B$23*100000</f>
        <v>39.424467406144721</v>
      </c>
      <c r="L10752" s="200">
        <f t="shared" si="1800"/>
        <v>-6.3339731285988465E-2</v>
      </c>
      <c r="M10752" s="401">
        <f>SUM(C10752,C10728,C10704,C10680,C10656,C10632,C10608)/POBLA!$B$23*100000</f>
        <v>275.97127184301308</v>
      </c>
    </row>
    <row r="10753" spans="1:13" ht="15.75" thickBot="1" x14ac:dyDescent="0.3">
      <c r="A10753" s="369" t="s">
        <v>40</v>
      </c>
      <c r="B10753" s="267">
        <v>44340</v>
      </c>
      <c r="C10753" s="1">
        <v>588</v>
      </c>
      <c r="D10753" s="176">
        <f t="shared" si="1799"/>
        <v>121863</v>
      </c>
      <c r="F10753" s="176">
        <f t="shared" si="1796"/>
        <v>1817</v>
      </c>
      <c r="G10753" s="177">
        <f>SUM(C10753,C10729,C10705,C10681,C10657,C10633,C10609,C10585,C10561,C10537,C10513,C10489,C10465,C10441)/POBLA!$B$24*100000</f>
        <v>638.41865251708907</v>
      </c>
      <c r="H10753" s="402">
        <f t="shared" si="1801"/>
        <v>1.4148031907937753</v>
      </c>
      <c r="I10753" s="403">
        <f t="shared" si="1797"/>
        <v>903.23674664344003</v>
      </c>
      <c r="J10753" s="423">
        <f t="shared" si="1798"/>
        <v>862.85714285714289</v>
      </c>
      <c r="K10753" s="403">
        <f>J10753/POBLA!$B$24*100000</f>
        <v>50.916359594935074</v>
      </c>
      <c r="L10753" s="404">
        <f t="shared" si="1800"/>
        <v>0.2638627327892864</v>
      </c>
      <c r="M10753" s="405">
        <f>SUM(C10753,C10729,C10705,C10681,C10657,C10633,C10609)/POBLA!$B$24*100000</f>
        <v>356.41451716454549</v>
      </c>
    </row>
    <row r="10754" spans="1:13" x14ac:dyDescent="0.25">
      <c r="A10754" s="363" t="s">
        <v>16</v>
      </c>
      <c r="B10754" s="267">
        <v>44341</v>
      </c>
      <c r="C10754" s="1">
        <v>8612</v>
      </c>
      <c r="D10754" s="174">
        <f t="shared" si="1799"/>
        <v>1539612</v>
      </c>
      <c r="E10754" s="1">
        <v>378</v>
      </c>
      <c r="F10754" s="174">
        <f t="shared" ref="F10754:F10777" si="1802">E10754+F10730</f>
        <v>38968</v>
      </c>
      <c r="G10754" s="175">
        <f>SUM(C10754,C10730,C10706,C10682,C10658,C10634,C10610,C10586,C10562,C10538,C10514,C10490,C10466,C10442)/POBLA!$B$1*100000</f>
        <v>834.23877614346759</v>
      </c>
      <c r="H10754" s="300">
        <f t="shared" si="1801"/>
        <v>1.1513012965760323</v>
      </c>
      <c r="I10754" s="301">
        <f>G10754*H10754</f>
        <v>960.46018462797656</v>
      </c>
      <c r="J10754" s="421">
        <f>AVERAGE(C10754,C10730,C10706,C10682,C10658,C10634,C10610)</f>
        <v>10948.857142857143</v>
      </c>
      <c r="K10754" s="301">
        <f>J10754/POBLA!$B$1*100000</f>
        <v>62.418158219337862</v>
      </c>
      <c r="L10754" s="399">
        <f t="shared" si="1800"/>
        <v>9.9708722540283734E-2</v>
      </c>
      <c r="M10754" s="400">
        <f>SUM(C10754,C10730,C10706,C10682,C10658,C10634,C10610)/POBLA!$B$1*100000</f>
        <v>436.92710753536494</v>
      </c>
    </row>
    <row r="10755" spans="1:13" x14ac:dyDescent="0.25">
      <c r="A10755" s="367" t="s">
        <v>43</v>
      </c>
      <c r="B10755" s="267">
        <v>44341</v>
      </c>
      <c r="C10755" s="1">
        <v>2290</v>
      </c>
      <c r="D10755" s="39">
        <f t="shared" si="1799"/>
        <v>402284</v>
      </c>
      <c r="E10755" s="1">
        <v>28</v>
      </c>
      <c r="F10755" s="39">
        <f t="shared" si="1802"/>
        <v>8876</v>
      </c>
      <c r="G10755" s="168">
        <f>SUM(C10755,C10731,C10707,C10683,C10659,C10635,C10611,C10587,C10563,C10539,C10515,C10491,C10467,C10443)/POBLA!$B$2*100000</f>
        <v>1168.1123250204996</v>
      </c>
      <c r="H10755" s="256">
        <f t="shared" si="1801"/>
        <v>1.0947012401352876</v>
      </c>
      <c r="I10755" s="297">
        <f t="shared" ref="I10755:I10777" si="1803">G10755*H10755</f>
        <v>1278.734010817255</v>
      </c>
      <c r="J10755" s="422">
        <f t="shared" ref="J10755:J10777" si="1804">AVERAGE(C10755,C10731,C10707,C10683,C10659,C10635,C10611)</f>
        <v>2609.2857142857142</v>
      </c>
      <c r="K10755" s="297">
        <f>J10755/POBLA!$B$2*100000</f>
        <v>84.836997310019242</v>
      </c>
      <c r="L10755" s="200">
        <f t="shared" si="1800"/>
        <v>3.4141093873853556E-2</v>
      </c>
      <c r="M10755" s="401">
        <f>SUM(C10755,C10731,C10707,C10683,C10659,C10635,C10611)/POBLA!$B$2*100000</f>
        <v>593.85898117013471</v>
      </c>
    </row>
    <row r="10756" spans="1:13" x14ac:dyDescent="0.25">
      <c r="A10756" s="367" t="s">
        <v>28</v>
      </c>
      <c r="B10756" s="267">
        <v>44341</v>
      </c>
      <c r="C10756" s="1">
        <v>505</v>
      </c>
      <c r="D10756" s="39">
        <f t="shared" si="1799"/>
        <v>21308</v>
      </c>
      <c r="F10756" s="39">
        <f t="shared" si="1802"/>
        <v>146</v>
      </c>
      <c r="G10756" s="168">
        <f>SUM(C10756,C10732,C10708,C10684,C10660,C10636,C10612,C10588,C10564,C10540,C10516,C10492,C10468,C10444)/POBLA!$B$3*100000</f>
        <v>1156.369903571652</v>
      </c>
      <c r="H10756" s="256">
        <f t="shared" si="1801"/>
        <v>2.3320388349514563</v>
      </c>
      <c r="I10756" s="297">
        <f t="shared" si="1803"/>
        <v>2696.699522698163</v>
      </c>
      <c r="J10756" s="422">
        <f t="shared" si="1804"/>
        <v>382.28571428571428</v>
      </c>
      <c r="K10756" s="297">
        <f>J10756/POBLA!$B$3*100000</f>
        <v>92.019919767983254</v>
      </c>
      <c r="L10756" s="200">
        <f t="shared" si="1800"/>
        <v>0.25751879699248126</v>
      </c>
      <c r="M10756" s="401">
        <f>SUM(C10756,C10732,C10708,C10684,C10660,C10636,C10612)/POBLA!$B$3*100000</f>
        <v>644.13943837588283</v>
      </c>
    </row>
    <row r="10757" spans="1:13" x14ac:dyDescent="0.25">
      <c r="A10757" s="367" t="s">
        <v>15</v>
      </c>
      <c r="B10757" s="267">
        <v>44341</v>
      </c>
      <c r="C10757" s="1">
        <v>632</v>
      </c>
      <c r="D10757" s="39">
        <f t="shared" si="1799"/>
        <v>54496</v>
      </c>
      <c r="E10757" s="1">
        <v>11</v>
      </c>
      <c r="F10757" s="39">
        <f t="shared" si="1802"/>
        <v>1173</v>
      </c>
      <c r="G10757" s="168">
        <f>SUM(C10757,C10733,C10709,C10685,C10661,C10637,C10613,C10589,C10565,C10541,C10517,C10493,C10469,C10445)/POBLA!$B$4*100000</f>
        <v>585.6172600185464</v>
      </c>
      <c r="H10757" s="256">
        <f t="shared" si="1801"/>
        <v>2.0131278538812785</v>
      </c>
      <c r="I10757" s="297">
        <f t="shared" si="1803"/>
        <v>1178.9224178569709</v>
      </c>
      <c r="J10757" s="422">
        <f t="shared" si="1804"/>
        <v>604.57142857142856</v>
      </c>
      <c r="K10757" s="297">
        <f>J10757/POBLA!$B$4*100000</f>
        <v>50.191021191593187</v>
      </c>
      <c r="L10757" s="200">
        <f t="shared" si="1800"/>
        <v>0.49964564138908574</v>
      </c>
      <c r="M10757" s="401">
        <f>SUM(C10757,C10733,C10709,C10685,C10661,C10637,C10613)/POBLA!$B$4*100000</f>
        <v>351.33714834115233</v>
      </c>
    </row>
    <row r="10758" spans="1:13" x14ac:dyDescent="0.25">
      <c r="A10758" s="367" t="s">
        <v>29</v>
      </c>
      <c r="B10758" s="267">
        <v>44341</v>
      </c>
      <c r="C10758" s="1">
        <v>232</v>
      </c>
      <c r="D10758" s="39">
        <f t="shared" si="1799"/>
        <v>60495</v>
      </c>
      <c r="E10758" s="1">
        <v>1</v>
      </c>
      <c r="F10758" s="39">
        <f t="shared" si="1802"/>
        <v>1006</v>
      </c>
      <c r="G10758" s="168">
        <f>SUM(C10758,C10734,C10710,C10686,C10662,C10638,C10614,C10590,C10566,C10542,C10518,C10494,C10470,C10446)/POBLA!$B$5*100000</f>
        <v>589.02024898464276</v>
      </c>
      <c r="H10758" s="256">
        <f t="shared" si="1801"/>
        <v>1.421996879875195</v>
      </c>
      <c r="I10758" s="297">
        <f t="shared" si="1803"/>
        <v>837.58495623947249</v>
      </c>
      <c r="J10758" s="422">
        <f t="shared" si="1804"/>
        <v>291.57142857142856</v>
      </c>
      <c r="K10758" s="297">
        <f>J10758/POBLA!$B$5*100000</f>
        <v>47.10407993800078</v>
      </c>
      <c r="L10758" s="200">
        <f t="shared" si="1800"/>
        <v>0.2716510903426792</v>
      </c>
      <c r="M10758" s="401">
        <f>SUM(C10758,C10734,C10710,C10686,C10662,C10638,C10614)/POBLA!$B$5*100000</f>
        <v>329.72855956600546</v>
      </c>
    </row>
    <row r="10759" spans="1:13" x14ac:dyDescent="0.25">
      <c r="A10759" s="367" t="s">
        <v>30</v>
      </c>
      <c r="B10759" s="267">
        <v>44341</v>
      </c>
      <c r="C10759" s="1">
        <v>24</v>
      </c>
      <c r="D10759" s="39">
        <f t="shared" si="1799"/>
        <v>47841</v>
      </c>
      <c r="E10759" s="1">
        <v>9</v>
      </c>
      <c r="F10759" s="39">
        <f t="shared" si="1802"/>
        <v>599</v>
      </c>
      <c r="G10759" s="168">
        <f>SUM(C10759,C10735,C10711,C10687,C10663,C10639,C10615,C10591,C10567,C10543,C10519,C10495,C10471,C10447)/POBLA!$B$6*100000</f>
        <v>751.15921559670278</v>
      </c>
      <c r="H10759" s="256">
        <f t="shared" si="1801"/>
        <v>3.2758754863813229</v>
      </c>
      <c r="I10759" s="297">
        <f t="shared" si="1803"/>
        <v>2460.7040607426616</v>
      </c>
      <c r="J10759" s="422">
        <f t="shared" si="1804"/>
        <v>994.57142857142856</v>
      </c>
      <c r="K10759" s="297">
        <f>J10759/POBLA!$B$6*100000</f>
        <v>88.737557208766631</v>
      </c>
      <c r="L10759" s="200">
        <f t="shared" si="1800"/>
        <v>3.7783115991763898</v>
      </c>
      <c r="M10759" s="401">
        <f>SUM(C10759,C10735,C10711,C10687,C10663,C10639,C10615)/POBLA!$B$6*100000</f>
        <v>621.16290046136646</v>
      </c>
    </row>
    <row r="10760" spans="1:13" x14ac:dyDescent="0.25">
      <c r="A10760" s="367" t="s">
        <v>20</v>
      </c>
      <c r="B10760" s="267">
        <v>44341</v>
      </c>
      <c r="C10760" s="1">
        <v>3424</v>
      </c>
      <c r="D10760" s="39">
        <f t="shared" si="1799"/>
        <v>287373</v>
      </c>
      <c r="E10760" s="1">
        <v>13</v>
      </c>
      <c r="F10760" s="39">
        <f t="shared" si="1802"/>
        <v>3747</v>
      </c>
      <c r="G10760" s="168">
        <f>SUM(C10760,C10736,C10712,C10688,C10664,C10640,C10616,C10592,C10568,C10544,C10520,C10496,C10472,C10448)/POBLA!$B$7*100000</f>
        <v>1139.3051363533618</v>
      </c>
      <c r="H10760" s="256">
        <f t="shared" si="1801"/>
        <v>1.8696487017237617</v>
      </c>
      <c r="I10760" s="297">
        <f t="shared" si="1803"/>
        <v>2130.1003690502762</v>
      </c>
      <c r="J10760" s="422">
        <f t="shared" si="1804"/>
        <v>3415.7142857142858</v>
      </c>
      <c r="K10760" s="297">
        <f>J10760/POBLA!$B$7*100000</f>
        <v>90.832594123423675</v>
      </c>
      <c r="L10760" s="200">
        <f t="shared" si="1800"/>
        <v>0.26287434637933771</v>
      </c>
      <c r="M10760" s="401">
        <f>SUM(C10760,C10736,C10712,C10688,C10664,C10640,C10616)/POBLA!$B$7*100000</f>
        <v>635.82815886396577</v>
      </c>
    </row>
    <row r="10761" spans="1:13" x14ac:dyDescent="0.25">
      <c r="A10761" s="367" t="s">
        <v>31</v>
      </c>
      <c r="B10761" s="267">
        <v>44341</v>
      </c>
      <c r="C10761" s="1">
        <v>689</v>
      </c>
      <c r="D10761" s="39">
        <f t="shared" si="1799"/>
        <v>79493</v>
      </c>
      <c r="E10761" s="1">
        <v>13</v>
      </c>
      <c r="F10761" s="39">
        <f t="shared" si="1802"/>
        <v>1251</v>
      </c>
      <c r="G10761" s="168">
        <f>SUM(C10761,C10737,C10713,C10689,C10665,C10641,C10617,C10593,C10569,C10545,C10521,C10497,C10473,C10449)/POBLA!$B$8*100000</f>
        <v>788.62247927611236</v>
      </c>
      <c r="H10761" s="256">
        <f t="shared" si="1801"/>
        <v>1.441191983122363</v>
      </c>
      <c r="I10761" s="297">
        <f t="shared" si="1803"/>
        <v>1136.5563948428151</v>
      </c>
      <c r="J10761" s="422">
        <f t="shared" si="1804"/>
        <v>860.71428571428567</v>
      </c>
      <c r="K10761" s="297">
        <f>J10761/POBLA!$B$8*100000</f>
        <v>62.102345283473753</v>
      </c>
      <c r="L10761" s="200">
        <f t="shared" si="1800"/>
        <v>0.22833843017329247</v>
      </c>
      <c r="M10761" s="401">
        <f>SUM(C10761,C10737,C10713,C10689,C10665,C10641,C10617)/POBLA!$B$8*100000</f>
        <v>434.71641698431625</v>
      </c>
    </row>
    <row r="10762" spans="1:13" x14ac:dyDescent="0.25">
      <c r="A10762" s="367" t="s">
        <v>41</v>
      </c>
      <c r="B10762" s="267">
        <v>44341</v>
      </c>
      <c r="C10762" s="1">
        <v>771</v>
      </c>
      <c r="D10762" s="39">
        <f t="shared" si="1799"/>
        <v>24697</v>
      </c>
      <c r="E10762" s="1">
        <v>12</v>
      </c>
      <c r="F10762" s="39">
        <f t="shared" si="1802"/>
        <v>376</v>
      </c>
      <c r="G10762" s="168">
        <f>SUM(C10762,C10738,C10714,C10690,C10666,C10642,C10618,C10594,C10570,C10546,C10522,C10498,C10474,C10450)/POBLA!$B$9*100000</f>
        <v>3019.5326119105807</v>
      </c>
      <c r="H10762" s="256">
        <f t="shared" si="1801"/>
        <v>9.055500495540139</v>
      </c>
      <c r="I10762" s="297">
        <f t="shared" si="1803"/>
        <v>27343.379063455875</v>
      </c>
      <c r="J10762" s="422">
        <f t="shared" si="1804"/>
        <v>1510.4285714285713</v>
      </c>
      <c r="K10762" s="297">
        <f>J10762/POBLA!$B$9*100000</f>
        <v>249.57799766827628</v>
      </c>
      <c r="L10762" s="200">
        <f>(SUM(C10762,C10738,C10714,C10690,C10666,C10642,C10618)/SUM(C10594,C10570,C10546,C10522,C10498,C10474,C10450))-1</f>
        <v>0.37293857940527197</v>
      </c>
      <c r="M10762" s="401">
        <f>SUM(C10762,C10738,C10714,C10690,C10666,C10642,C10618)/POBLA!$B$9*100000</f>
        <v>1747.0459836779341</v>
      </c>
    </row>
    <row r="10763" spans="1:13" x14ac:dyDescent="0.25">
      <c r="A10763" s="367" t="s">
        <v>32</v>
      </c>
      <c r="B10763" s="267">
        <v>44341</v>
      </c>
      <c r="C10763" s="1">
        <v>124</v>
      </c>
      <c r="D10763" s="39">
        <f t="shared" si="1799"/>
        <v>27368</v>
      </c>
      <c r="E10763" s="1">
        <v>2</v>
      </c>
      <c r="F10763" s="39">
        <f t="shared" si="1802"/>
        <v>1088</v>
      </c>
      <c r="G10763" s="168">
        <f>SUM(C10763,C10739,C10715,C10691,C10667,C10643,C10619,C10595,C10571,C10547,C10523,C10499,C10475,C10451)/POBLA!$B$10*100000</f>
        <v>202.7550296349242</v>
      </c>
      <c r="H10763" s="256">
        <f t="shared" si="1801"/>
        <v>1.249400479616307</v>
      </c>
      <c r="I10763" s="297">
        <f t="shared" si="1803"/>
        <v>253.32223127049284</v>
      </c>
      <c r="J10763" s="422">
        <f t="shared" si="1804"/>
        <v>129.14285714285714</v>
      </c>
      <c r="K10763" s="297">
        <f>J10763/POBLA!$B$10*100000</f>
        <v>16.75263200712654</v>
      </c>
      <c r="L10763" s="200">
        <f t="shared" ref="L10763:L10785" si="1805">(SUM(C10763,C10739,C10715,C10691,C10667,C10643,C10619)/SUM(C10595,C10571,C10547,C10523,C10499,C10475,C10451))-1</f>
        <v>0.37177541729893782</v>
      </c>
      <c r="M10763" s="401">
        <f>SUM(C10763,C10739,C10715,C10691,C10667,C10643,C10619)/POBLA!$B$10*100000</f>
        <v>117.26842404988578</v>
      </c>
    </row>
    <row r="10764" spans="1:13" x14ac:dyDescent="0.25">
      <c r="A10764" s="367" t="s">
        <v>33</v>
      </c>
      <c r="B10764" s="267">
        <v>44341</v>
      </c>
      <c r="C10764" s="1">
        <v>461</v>
      </c>
      <c r="D10764" s="39">
        <f t="shared" si="1799"/>
        <v>39600</v>
      </c>
      <c r="E10764" s="1">
        <v>1</v>
      </c>
      <c r="F10764" s="39">
        <f t="shared" si="1802"/>
        <v>501</v>
      </c>
      <c r="G10764" s="168">
        <f>SUM(C10764,C10740,C10716,C10692,C10668,C10644,C10620,C10596,C10572,C10548,C10524,C10500,C10476,C10452)/POBLA!$B$11*100000</f>
        <v>2428.381711250237</v>
      </c>
      <c r="H10764" s="256">
        <f t="shared" si="1801"/>
        <v>1.8827601124810729</v>
      </c>
      <c r="I10764" s="297">
        <f t="shared" si="1803"/>
        <v>4572.0602238204765</v>
      </c>
      <c r="J10764" s="422">
        <f t="shared" si="1804"/>
        <v>671.42857142857144</v>
      </c>
      <c r="K10764" s="297">
        <f>J10764/POBLA!$B$11*100000</f>
        <v>187.32592638649086</v>
      </c>
      <c r="L10764" s="200">
        <f t="shared" si="1805"/>
        <v>0.17382617382617394</v>
      </c>
      <c r="M10764" s="401">
        <f>SUM(C10764,C10740,C10716,C10692,C10668,C10644,C10620)/POBLA!$B$11*100000</f>
        <v>1311.281484705436</v>
      </c>
    </row>
    <row r="10765" spans="1:13" x14ac:dyDescent="0.25">
      <c r="A10765" s="367" t="s">
        <v>21</v>
      </c>
      <c r="B10765" s="267">
        <v>44341</v>
      </c>
      <c r="C10765" s="1">
        <v>192</v>
      </c>
      <c r="D10765" s="39">
        <f t="shared" si="1799"/>
        <v>16486</v>
      </c>
      <c r="F10765" s="39">
        <f t="shared" si="1802"/>
        <v>525</v>
      </c>
      <c r="G10765" s="168">
        <f>SUM(C10765,C10741,C10717,C10693,C10669,C10645,C10621,C10597,C10573,C10549,C10525,C10501,C10477,C10453)/POBLA!$B$12*100000</f>
        <v>532.10547580749676</v>
      </c>
      <c r="H10765" s="256">
        <f t="shared" si="1801"/>
        <v>1.740648379052369</v>
      </c>
      <c r="I10765" s="297">
        <f t="shared" si="1803"/>
        <v>926.2085339492088</v>
      </c>
      <c r="J10765" s="422">
        <f t="shared" si="1804"/>
        <v>156.28571428571428</v>
      </c>
      <c r="K10765" s="297">
        <f>J10765/POBLA!$B$12*100000</f>
        <v>39.713698358125356</v>
      </c>
      <c r="L10765" s="200">
        <f t="shared" si="1805"/>
        <v>9.4000000000000083E-2</v>
      </c>
      <c r="M10765" s="401">
        <f>SUM(C10765,C10741,C10717,C10693,C10669,C10645,C10621)/POBLA!$B$12*100000</f>
        <v>277.99588850687746</v>
      </c>
    </row>
    <row r="10766" spans="1:13" x14ac:dyDescent="0.25">
      <c r="A10766" s="367" t="s">
        <v>17</v>
      </c>
      <c r="B10766" s="267">
        <v>44341</v>
      </c>
      <c r="C10766" s="1">
        <v>428</v>
      </c>
      <c r="D10766" s="39">
        <f t="shared" si="1799"/>
        <v>115631</v>
      </c>
      <c r="E10766" s="1">
        <v>25</v>
      </c>
      <c r="F10766" s="39">
        <f t="shared" si="1802"/>
        <v>2418</v>
      </c>
      <c r="G10766" s="168">
        <f>SUM(C10766,C10742,C10718,C10694,C10670,C10646,C10622,C10598,C10574,C10550,C10526,C10502,C10478,C10454)/POBLA!$B$13*100000</f>
        <v>559.20150245837647</v>
      </c>
      <c r="H10766" s="256">
        <f t="shared" si="1801"/>
        <v>1.0608082348455967</v>
      </c>
      <c r="I10766" s="297">
        <f t="shared" si="1803"/>
        <v>593.20555874587592</v>
      </c>
      <c r="J10766" s="422">
        <f t="shared" si="1804"/>
        <v>757.28571428571433</v>
      </c>
      <c r="K10766" s="297">
        <f>J10766/POBLA!$B$13*100000</f>
        <v>38.048096066382406</v>
      </c>
      <c r="L10766" s="200">
        <f t="shared" si="1805"/>
        <v>-9.0581574884199711E-2</v>
      </c>
      <c r="M10766" s="401">
        <f>SUM(C10766,C10742,C10718,C10694,C10670,C10646,C10622)/POBLA!$B$13*100000</f>
        <v>266.33667246467689</v>
      </c>
    </row>
    <row r="10767" spans="1:13" x14ac:dyDescent="0.25">
      <c r="A10767" s="367" t="s">
        <v>23</v>
      </c>
      <c r="B10767" s="267">
        <v>44341</v>
      </c>
      <c r="C10767" s="1">
        <v>218</v>
      </c>
      <c r="D10767" s="39">
        <f t="shared" si="1799"/>
        <v>19340</v>
      </c>
      <c r="F10767" s="39">
        <f t="shared" si="1802"/>
        <v>268</v>
      </c>
      <c r="G10767" s="168">
        <f>SUM(C10767,C10743,C10719,C10695,C10671,C10647,C10623,C10599,C10575,C10551,C10527,C10503,C10479,C10455)/POBLA!$B$14*100000</f>
        <v>169.82559181285251</v>
      </c>
      <c r="H10767" s="256">
        <f t="shared" si="1801"/>
        <v>1.1202928870292888</v>
      </c>
      <c r="I10767" s="297">
        <f t="shared" si="1803"/>
        <v>190.25440254347808</v>
      </c>
      <c r="J10767" s="422">
        <f t="shared" si="1804"/>
        <v>163</v>
      </c>
      <c r="K10767" s="297">
        <f>J10767/POBLA!$B$14*100000</f>
        <v>12.923235978288965</v>
      </c>
      <c r="L10767" s="200">
        <f t="shared" si="1805"/>
        <v>0.13986013986013979</v>
      </c>
      <c r="M10767" s="401">
        <f>SUM(C10767,C10743,C10719,C10695,C10671,C10647,C10623)/POBLA!$B$14*100000</f>
        <v>90.462651848022745</v>
      </c>
    </row>
    <row r="10768" spans="1:13" x14ac:dyDescent="0.25">
      <c r="A10768" s="367" t="s">
        <v>19</v>
      </c>
      <c r="B10768" s="267">
        <v>44341</v>
      </c>
      <c r="C10768" s="1">
        <v>940</v>
      </c>
      <c r="D10768" s="39">
        <f t="shared" si="1799"/>
        <v>85438</v>
      </c>
      <c r="E10768" s="1">
        <v>20</v>
      </c>
      <c r="F10768" s="39">
        <f t="shared" si="1802"/>
        <v>1268</v>
      </c>
      <c r="G10768" s="168">
        <f>SUM(C10768,C10744,C10720,C10696,C10672,C10648,C10624,C10600,C10576,C10552,C10528,C10504,C10480,C10456)/POBLA!$B$15*100000</f>
        <v>1439.3342740156343</v>
      </c>
      <c r="H10768" s="256">
        <f t="shared" si="1801"/>
        <v>1.6431150077359464</v>
      </c>
      <c r="I10768" s="297">
        <f t="shared" si="1803"/>
        <v>2364.9917467838118</v>
      </c>
      <c r="J10768" s="422">
        <f t="shared" si="1804"/>
        <v>791.28571428571433</v>
      </c>
      <c r="K10768" s="297">
        <f>J10768/POBLA!$B$15*100000</f>
        <v>119.15930624716165</v>
      </c>
      <c r="L10768" s="200">
        <f t="shared" si="1805"/>
        <v>0.37820353321721822</v>
      </c>
      <c r="M10768" s="401">
        <f>SUM(C10768,C10744,C10720,C10696,C10672,C10648,C10624)/POBLA!$B$15*100000</f>
        <v>834.11514373013165</v>
      </c>
    </row>
    <row r="10769" spans="1:13" x14ac:dyDescent="0.25">
      <c r="A10769" s="367" t="s">
        <v>18</v>
      </c>
      <c r="B10769" s="267">
        <v>44341</v>
      </c>
      <c r="C10769" s="1">
        <v>485</v>
      </c>
      <c r="D10769" s="39">
        <f t="shared" si="1799"/>
        <v>71004</v>
      </c>
      <c r="F10769" s="39">
        <f t="shared" si="1802"/>
        <v>1519</v>
      </c>
      <c r="G10769" s="168">
        <f>SUM(C10769,C10745,C10721,C10697,C10673,C10649,C10625,C10601,C10577,C10553,C10529,C10505,C10481,C10457)/POBLA!$B$16*100000</f>
        <v>849.5070959457471</v>
      </c>
      <c r="H10769" s="256">
        <f t="shared" si="1801"/>
        <v>1.5288878189696677</v>
      </c>
      <c r="I10769" s="297">
        <f t="shared" si="1803"/>
        <v>1298.8010511197494</v>
      </c>
      <c r="J10769" s="422">
        <f t="shared" si="1804"/>
        <v>514.57142857142856</v>
      </c>
      <c r="K10769" s="297">
        <f>J10769/POBLA!$B$16*100000</f>
        <v>68.828858438414215</v>
      </c>
      <c r="L10769" s="200">
        <f t="shared" si="1805"/>
        <v>0.3102946526009458</v>
      </c>
      <c r="M10769" s="401">
        <f>SUM(C10769,C10745,C10721,C10697,C10673,C10649,C10625)/POBLA!$B$16*100000</f>
        <v>481.80200906889957</v>
      </c>
    </row>
    <row r="10770" spans="1:13" x14ac:dyDescent="0.25">
      <c r="A10770" s="367" t="s">
        <v>34</v>
      </c>
      <c r="B10770" s="267">
        <v>44341</v>
      </c>
      <c r="C10770" s="1">
        <v>430</v>
      </c>
      <c r="D10770" s="39">
        <f t="shared" si="1799"/>
        <v>42535</v>
      </c>
      <c r="E10770" s="1">
        <v>5</v>
      </c>
      <c r="F10770" s="39">
        <f t="shared" si="1802"/>
        <v>1355</v>
      </c>
      <c r="G10770" s="168">
        <f>SUM(C10770,C10746,C10722,C10698,C10674,C10650,C10626,C10602,C10578,C10554,C10530,C10506,C10482,C10458)/POBLA!$B$17*100000</f>
        <v>384.44338200656136</v>
      </c>
      <c r="H10770" s="256">
        <f t="shared" ref="H10770:H10793" si="1806">SUM(C10770,C10746,C10722,C10698,C10674,C10650,C10626,C10602,C10578,C10554,C10530,C10506,C10482,C10458)/SUM(C10434,C10410,C10386,C10362,C10338,C10314,C10290,C10266,C10242,C10218,C10194,C10170,C10146,C10122)</f>
        <v>1.8156498673740054</v>
      </c>
      <c r="I10770" s="297">
        <f t="shared" si="1803"/>
        <v>698.01457555302727</v>
      </c>
      <c r="J10770" s="422">
        <f t="shared" si="1804"/>
        <v>473</v>
      </c>
      <c r="K10770" s="297">
        <f>J10770/POBLA!$B$17*100000</f>
        <v>33.207034274854557</v>
      </c>
      <c r="L10770" s="200">
        <f t="shared" si="1805"/>
        <v>0.52933025404157052</v>
      </c>
      <c r="M10770" s="401">
        <f>SUM(C10770,C10746,C10722,C10698,C10674,C10650,C10626)/POBLA!$B$17*100000</f>
        <v>232.44923992398188</v>
      </c>
    </row>
    <row r="10771" spans="1:13" x14ac:dyDescent="0.25">
      <c r="A10771" s="367" t="s">
        <v>35</v>
      </c>
      <c r="B10771" s="267">
        <v>44341</v>
      </c>
      <c r="C10771" s="1">
        <v>222</v>
      </c>
      <c r="D10771" s="39">
        <f t="shared" si="1799"/>
        <v>33611</v>
      </c>
      <c r="F10771" s="39">
        <f t="shared" si="1802"/>
        <v>592</v>
      </c>
      <c r="G10771" s="168">
        <f>SUM(C10771,C10747,C10723,C10699,C10675,C10651,C10627,C10603,C10579,C10555,C10531,C10507,C10483,C10459)/POBLA!$B$18*100000</f>
        <v>845.47571289411269</v>
      </c>
      <c r="H10771" s="256">
        <f t="shared" si="1806"/>
        <v>1.5264617517910792</v>
      </c>
      <c r="I10771" s="297">
        <f t="shared" si="1803"/>
        <v>1290.5863378011588</v>
      </c>
      <c r="J10771" s="422">
        <f t="shared" si="1804"/>
        <v>441.28571428571428</v>
      </c>
      <c r="K10771" s="297">
        <f>J10771/POBLA!$B$18*100000</f>
        <v>56.486957437653601</v>
      </c>
      <c r="L10771" s="200">
        <f t="shared" si="1805"/>
        <v>-0.12144482366325371</v>
      </c>
      <c r="M10771" s="401">
        <f>SUM(C10771,C10747,C10723,C10699,C10675,C10651,C10627)/POBLA!$B$18*100000</f>
        <v>395.40870206357522</v>
      </c>
    </row>
    <row r="10772" spans="1:13" x14ac:dyDescent="0.25">
      <c r="A10772" s="367" t="s">
        <v>36</v>
      </c>
      <c r="B10772" s="267">
        <v>44341</v>
      </c>
      <c r="C10772" s="1">
        <v>484</v>
      </c>
      <c r="D10772" s="39">
        <f t="shared" si="1799"/>
        <v>49806</v>
      </c>
      <c r="E10772" s="1">
        <v>4</v>
      </c>
      <c r="F10772" s="39">
        <f t="shared" si="1802"/>
        <v>659</v>
      </c>
      <c r="G10772" s="168">
        <f>SUM(C10772,C10748,C10724,C10700,C10676,C10652,C10628,C10604,C10580,C10556,C10532,C10508,C10484,C10460)/POBLA!$B$19*100000</f>
        <v>1457.5234887710296</v>
      </c>
      <c r="H10772" s="256">
        <f t="shared" si="1806"/>
        <v>1.1325282788138185</v>
      </c>
      <c r="I10772" s="297">
        <f t="shared" si="1803"/>
        <v>1650.686568068566</v>
      </c>
      <c r="J10772" s="422">
        <f t="shared" si="1804"/>
        <v>632.57142857142856</v>
      </c>
      <c r="K10772" s="297">
        <f>J10772/POBLA!$B$19*100000</f>
        <v>124.44158664709175</v>
      </c>
      <c r="L10772" s="200">
        <f t="shared" si="1805"/>
        <v>0.48540758134854078</v>
      </c>
      <c r="M10772" s="401">
        <f>SUM(C10772,C10748,C10724,C10700,C10676,C10652,C10628)/POBLA!$B$19*100000</f>
        <v>871.09110652964227</v>
      </c>
    </row>
    <row r="10773" spans="1:13" x14ac:dyDescent="0.25">
      <c r="A10773" s="367" t="s">
        <v>37</v>
      </c>
      <c r="B10773" s="267">
        <v>44341</v>
      </c>
      <c r="C10773" s="1">
        <v>146</v>
      </c>
      <c r="D10773" s="39">
        <f t="shared" si="1799"/>
        <v>50296</v>
      </c>
      <c r="E10773" s="1">
        <v>2</v>
      </c>
      <c r="F10773" s="39">
        <f t="shared" si="1802"/>
        <v>768</v>
      </c>
      <c r="G10773" s="168">
        <f>SUM(C10773,C10749,C10725,C10701,C10677,C10653,C10629,C10605,C10581,C10557,C10533,C10509,C10485,C10461)/POBLA!$B$20*100000</f>
        <v>895.82114203523122</v>
      </c>
      <c r="H10773" s="256">
        <f t="shared" si="1806"/>
        <v>1.1037735849056605</v>
      </c>
      <c r="I10773" s="297">
        <f t="shared" si="1803"/>
        <v>988.78371337851001</v>
      </c>
      <c r="J10773" s="422">
        <f t="shared" si="1804"/>
        <v>224.28571428571428</v>
      </c>
      <c r="K10773" s="297">
        <f>J10773/POBLA!$B$20*100000</f>
        <v>61.330856139687462</v>
      </c>
      <c r="L10773" s="200">
        <f t="shared" si="1805"/>
        <v>-7.9718640093786597E-2</v>
      </c>
      <c r="M10773" s="401">
        <f>SUM(C10773,C10749,C10725,C10701,C10677,C10653,C10629)/POBLA!$B$20*100000</f>
        <v>429.3159929778123</v>
      </c>
    </row>
    <row r="10774" spans="1:13" x14ac:dyDescent="0.25">
      <c r="A10774" s="367" t="s">
        <v>22</v>
      </c>
      <c r="B10774" s="267">
        <v>44341</v>
      </c>
      <c r="C10774" s="1">
        <v>2296</v>
      </c>
      <c r="D10774" s="39">
        <f t="shared" si="1799"/>
        <v>326987</v>
      </c>
      <c r="E10774" s="1">
        <v>31</v>
      </c>
      <c r="F10774" s="39">
        <f t="shared" si="1802"/>
        <v>5242</v>
      </c>
      <c r="G10774" s="168">
        <f>SUM(C10774,C10750,C10726,C10702,C10678,C10654,C10630,C10606,C10582,C10558,C10534,C10510,C10486,C10462)/POBLA!$B$21*100000</f>
        <v>973.75366825980416</v>
      </c>
      <c r="H10774" s="256">
        <f t="shared" si="1806"/>
        <v>1.4142675263871207</v>
      </c>
      <c r="I10774" s="297">
        <f t="shared" si="1803"/>
        <v>1377.1481917201781</v>
      </c>
      <c r="J10774" s="422">
        <f t="shared" si="1804"/>
        <v>2722.8571428571427</v>
      </c>
      <c r="K10774" s="297">
        <f>J10774/POBLA!$B$21*100000</f>
        <v>76.994776716359397</v>
      </c>
      <c r="L10774" s="200">
        <f t="shared" si="1805"/>
        <v>0.23959417273673256</v>
      </c>
      <c r="M10774" s="401">
        <f>SUM(C10774,C10750,C10726,C10702,C10678,C10654,C10630)/POBLA!$B$21*100000</f>
        <v>538.96343701451588</v>
      </c>
    </row>
    <row r="10775" spans="1:13" x14ac:dyDescent="0.25">
      <c r="A10775" s="367" t="s">
        <v>38</v>
      </c>
      <c r="B10775" s="267">
        <v>44341</v>
      </c>
      <c r="C10775" s="1">
        <v>419</v>
      </c>
      <c r="D10775" s="39">
        <f t="shared" si="1799"/>
        <v>40529</v>
      </c>
      <c r="E10775" s="1">
        <v>11</v>
      </c>
      <c r="F10775" s="39">
        <f t="shared" si="1802"/>
        <v>464</v>
      </c>
      <c r="G10775" s="168">
        <f>SUM(C10775,C10751,C10727,C10703,C10679,C10655,C10631,C10607,C10583,C10559,C10535,C10511,C10487,C10463)/POBLA!$B$22*100000</f>
        <v>743.52482283277436</v>
      </c>
      <c r="H10775" s="256">
        <f t="shared" si="1806"/>
        <v>2.2541059807871089</v>
      </c>
      <c r="I10775" s="297">
        <f t="shared" si="1803"/>
        <v>1675.9837500110323</v>
      </c>
      <c r="J10775" s="422">
        <f t="shared" si="1804"/>
        <v>618.57142857142856</v>
      </c>
      <c r="K10775" s="297">
        <f>J10775/POBLA!$B$22*100000</f>
        <v>63.228376661807474</v>
      </c>
      <c r="L10775" s="200">
        <f t="shared" si="1805"/>
        <v>0.47078804347826098</v>
      </c>
      <c r="M10775" s="401">
        <f>SUM(C10775,C10751,C10727,C10703,C10679,C10655,C10631)/POBLA!$B$22*100000</f>
        <v>442.59863663265236</v>
      </c>
    </row>
    <row r="10776" spans="1:13" x14ac:dyDescent="0.25">
      <c r="A10776" s="367" t="s">
        <v>39</v>
      </c>
      <c r="B10776" s="267">
        <v>44341</v>
      </c>
      <c r="C10776" s="1">
        <v>112</v>
      </c>
      <c r="D10776" s="39">
        <f t="shared" si="1799"/>
        <v>28177</v>
      </c>
      <c r="E10776" s="1">
        <v>0</v>
      </c>
      <c r="F10776" s="39">
        <f t="shared" si="1802"/>
        <v>409</v>
      </c>
      <c r="G10776" s="168">
        <f>SUM(C10776,C10752,C10728,C10704,C10680,C10656,C10632,C10608,C10584,C10560,C10536,C10512,C10488,C10464)/POBLA!$B$23*100000</f>
        <v>583.04586325849687</v>
      </c>
      <c r="H10776" s="256">
        <f t="shared" si="1806"/>
        <v>1.0596094552929085</v>
      </c>
      <c r="I10776" s="297">
        <f t="shared" si="1803"/>
        <v>617.80090957811944</v>
      </c>
      <c r="J10776" s="422">
        <f t="shared" si="1804"/>
        <v>74.571428571428569</v>
      </c>
      <c r="K10776" s="297">
        <f>J10776/POBLA!$B$23*100000</f>
        <v>42.171254069687592</v>
      </c>
      <c r="L10776" s="200">
        <f t="shared" si="1805"/>
        <v>2.5540275049115824E-2</v>
      </c>
      <c r="M10776" s="401">
        <f>SUM(C10776,C10752,C10728,C10704,C10680,C10656,C10632)/POBLA!$B$23*100000</f>
        <v>295.19877848781312</v>
      </c>
    </row>
    <row r="10777" spans="1:13" ht="15.75" thickBot="1" x14ac:dyDescent="0.3">
      <c r="A10777" s="369" t="s">
        <v>40</v>
      </c>
      <c r="B10777" s="267">
        <v>44341</v>
      </c>
      <c r="C10777" s="1">
        <v>465</v>
      </c>
      <c r="D10777" s="176">
        <f t="shared" si="1799"/>
        <v>122328</v>
      </c>
      <c r="E10777" s="1">
        <v>10</v>
      </c>
      <c r="F10777" s="176">
        <f t="shared" si="1802"/>
        <v>1827</v>
      </c>
      <c r="G10777" s="177">
        <f>SUM(C10777,C10753,C10729,C10705,C10681,C10657,C10633,C10609,C10585,C10561,C10537,C10513,C10489,C10465)/POBLA!$B$24*100000</f>
        <v>611.2154915215832</v>
      </c>
      <c r="H10777" s="402">
        <f t="shared" si="1806"/>
        <v>1.3056851128198663</v>
      </c>
      <c r="I10777" s="403">
        <f t="shared" si="1803"/>
        <v>798.05496800460844</v>
      </c>
      <c r="J10777" s="423">
        <f t="shared" si="1804"/>
        <v>758.71428571428567</v>
      </c>
      <c r="K10777" s="403">
        <f>J10777/POBLA!$B$24*100000</f>
        <v>44.770991027930485</v>
      </c>
      <c r="L10777" s="404">
        <f t="shared" si="1805"/>
        <v>5.2308301961561332E-2</v>
      </c>
      <c r="M10777" s="405">
        <f>SUM(C10777,C10753,C10729,C10705,C10681,C10657,C10633)/POBLA!$B$24*100000</f>
        <v>313.39693719551343</v>
      </c>
    </row>
    <row r="10778" spans="1:13" x14ac:dyDescent="0.25">
      <c r="A10778" s="363" t="s">
        <v>16</v>
      </c>
      <c r="B10778" s="267">
        <v>44342</v>
      </c>
      <c r="C10778" s="1">
        <v>12659</v>
      </c>
      <c r="D10778" s="174">
        <f t="shared" si="1799"/>
        <v>1552271</v>
      </c>
      <c r="E10778" s="1">
        <v>168</v>
      </c>
      <c r="F10778" s="174">
        <f t="shared" ref="F10778:F10801" si="1807">E10778+F10754</f>
        <v>39136</v>
      </c>
      <c r="G10778" s="175">
        <f>SUM(C10778,C10754,C10730,C10706,C10682,C10658,C10634,C10610,C10586,C10562,C10538,C10514,C10490,C10466)/POBLA!$B$1*100000</f>
        <v>847.4078168575237</v>
      </c>
      <c r="H10778" s="300">
        <f t="shared" si="1806"/>
        <v>1.1760261400677237</v>
      </c>
      <c r="I10778" s="301">
        <f>G10778*H10778</f>
        <v>996.57374392217014</v>
      </c>
      <c r="J10778" s="421">
        <f>AVERAGE(C10778,C10754,C10730,C10706,C10682,C10658,C10634)</f>
        <v>10749.428571428571</v>
      </c>
      <c r="K10778" s="301">
        <f>J10778/POBLA!$B$1*100000</f>
        <v>61.281239181810186</v>
      </c>
      <c r="L10778" s="399">
        <f t="shared" si="1805"/>
        <v>2.5163830569898682E-2</v>
      </c>
      <c r="M10778" s="400">
        <f>SUM(C10778,C10754,C10730,C10706,C10682,C10658,C10634)/POBLA!$B$1*100000</f>
        <v>428.96867427267136</v>
      </c>
    </row>
    <row r="10779" spans="1:13" x14ac:dyDescent="0.25">
      <c r="A10779" s="367" t="s">
        <v>43</v>
      </c>
      <c r="B10779" s="267">
        <v>44342</v>
      </c>
      <c r="C10779" s="1">
        <v>3658</v>
      </c>
      <c r="D10779" s="39">
        <f t="shared" si="1799"/>
        <v>405942</v>
      </c>
      <c r="E10779" s="1">
        <v>59</v>
      </c>
      <c r="F10779" s="39">
        <f t="shared" si="1807"/>
        <v>8935</v>
      </c>
      <c r="G10779" s="168">
        <f>SUM(C10779,C10755,C10731,C10707,C10683,C10659,C10635,C10611,C10587,C10563,C10539,C10515,C10491,C10467)/POBLA!$B$2*100000</f>
        <v>1214.8667304364676</v>
      </c>
      <c r="H10779" s="256">
        <f t="shared" si="1806"/>
        <v>1.1629318394024277</v>
      </c>
      <c r="I10779" s="297">
        <f t="shared" ref="I10779:I10801" si="1808">G10779*H10779</f>
        <v>1412.8072014552945</v>
      </c>
      <c r="J10779" s="422">
        <f t="shared" ref="J10779:J10801" si="1809">AVERAGE(C10779,C10755,C10731,C10707,C10683,C10659,C10635)</f>
        <v>2694.7142857142858</v>
      </c>
      <c r="K10779" s="297">
        <f>J10779/POBLA!$B$2*100000</f>
        <v>87.614578716610623</v>
      </c>
      <c r="L10779" s="200">
        <f t="shared" si="1805"/>
        <v>1.9511404172521951E-2</v>
      </c>
      <c r="M10779" s="401">
        <f>SUM(C10779,C10755,C10731,C10707,C10683,C10659,C10635)/POBLA!$B$2*100000</f>
        <v>613.30205101627428</v>
      </c>
    </row>
    <row r="10780" spans="1:13" x14ac:dyDescent="0.25">
      <c r="A10780" s="367" t="s">
        <v>28</v>
      </c>
      <c r="B10780" s="267">
        <v>44342</v>
      </c>
      <c r="C10780" s="1">
        <v>321</v>
      </c>
      <c r="D10780" s="39">
        <f t="shared" si="1799"/>
        <v>21629</v>
      </c>
      <c r="E10780" s="1">
        <v>12</v>
      </c>
      <c r="F10780" s="39">
        <f t="shared" si="1807"/>
        <v>158</v>
      </c>
      <c r="G10780" s="168">
        <f>SUM(C10780,C10756,C10732,C10708,C10684,C10660,C10636,C10612,C10588,C10564,C10540,C10516,C10492,C10468)/POBLA!$B$3*100000</f>
        <v>1165.7575859695069</v>
      </c>
      <c r="H10780" s="256">
        <f t="shared" si="1806"/>
        <v>2.1707754370237562</v>
      </c>
      <c r="I10780" s="297">
        <f t="shared" si="1808"/>
        <v>2530.5979331467151</v>
      </c>
      <c r="J10780" s="422">
        <f t="shared" si="1809"/>
        <v>367</v>
      </c>
      <c r="K10780" s="297">
        <f>J10780/POBLA!$B$3*100000</f>
        <v>88.340498461864343</v>
      </c>
      <c r="L10780" s="200">
        <f t="shared" si="1805"/>
        <v>0.1297273526824978</v>
      </c>
      <c r="M10780" s="401">
        <f>SUM(C10780,C10756,C10732,C10708,C10684,C10660,C10636)/POBLA!$B$3*100000</f>
        <v>618.38348923305034</v>
      </c>
    </row>
    <row r="10781" spans="1:13" x14ac:dyDescent="0.25">
      <c r="A10781" s="367" t="s">
        <v>15</v>
      </c>
      <c r="B10781" s="267">
        <v>44342</v>
      </c>
      <c r="C10781" s="1">
        <v>591</v>
      </c>
      <c r="D10781" s="39">
        <f t="shared" si="1799"/>
        <v>55087</v>
      </c>
      <c r="E10781" s="1">
        <v>12</v>
      </c>
      <c r="F10781" s="39">
        <f t="shared" si="1807"/>
        <v>1185</v>
      </c>
      <c r="G10781" s="168">
        <f>SUM(C10781,C10757,C10733,C10709,C10685,C10661,C10637,C10613,C10589,C10565,C10541,C10517,C10493,C10469)/POBLA!$B$4*100000</f>
        <v>609.60980157587005</v>
      </c>
      <c r="H10781" s="256">
        <f t="shared" si="1806"/>
        <v>2.072537397685577</v>
      </c>
      <c r="I10781" s="297">
        <f t="shared" si="1808"/>
        <v>1263.4391117616747</v>
      </c>
      <c r="J10781" s="422">
        <f t="shared" si="1809"/>
        <v>601.42857142857144</v>
      </c>
      <c r="K10781" s="297">
        <f>J10781/POBLA!$B$4*100000</f>
        <v>49.930103784642569</v>
      </c>
      <c r="L10781" s="200">
        <f t="shared" si="1805"/>
        <v>0.34375997446536877</v>
      </c>
      <c r="M10781" s="401">
        <f>SUM(C10781,C10757,C10733,C10709,C10685,C10661,C10637)/POBLA!$B$4*100000</f>
        <v>349.51072649249801</v>
      </c>
    </row>
    <row r="10782" spans="1:13" x14ac:dyDescent="0.25">
      <c r="A10782" s="367" t="s">
        <v>29</v>
      </c>
      <c r="B10782" s="267">
        <v>44342</v>
      </c>
      <c r="C10782" s="1">
        <v>422</v>
      </c>
      <c r="D10782" s="39">
        <f t="shared" si="1799"/>
        <v>60917</v>
      </c>
      <c r="E10782" s="1">
        <v>4</v>
      </c>
      <c r="F10782" s="39">
        <f t="shared" si="1807"/>
        <v>1010</v>
      </c>
      <c r="G10782" s="168">
        <f>SUM(C10782,C10758,C10734,C10710,C10686,C10662,C10638,C10614,C10590,C10566,C10542,C10518,C10494,C10470)/POBLA!$B$5*100000</f>
        <v>617.77658587966926</v>
      </c>
      <c r="H10782" s="256">
        <f t="shared" si="1806"/>
        <v>1.4867807153965786</v>
      </c>
      <c r="I10782" s="297">
        <f t="shared" si="1808"/>
        <v>918.4983143094305</v>
      </c>
      <c r="J10782" s="422">
        <f t="shared" si="1809"/>
        <v>307</v>
      </c>
      <c r="K10782" s="297">
        <f>J10782/POBLA!$B$5*100000</f>
        <v>49.596603521197302</v>
      </c>
      <c r="L10782" s="200">
        <f t="shared" si="1805"/>
        <v>0.28298507462686562</v>
      </c>
      <c r="M10782" s="401">
        <f>SUM(C10782,C10758,C10734,C10710,C10686,C10662,C10638)/POBLA!$B$5*100000</f>
        <v>347.17622464838109</v>
      </c>
    </row>
    <row r="10783" spans="1:13" x14ac:dyDescent="0.25">
      <c r="A10783" s="367" t="s">
        <v>30</v>
      </c>
      <c r="B10783" s="267">
        <v>44342</v>
      </c>
      <c r="C10783" s="1">
        <v>721</v>
      </c>
      <c r="D10783" s="39">
        <f t="shared" si="1799"/>
        <v>48562</v>
      </c>
      <c r="E10783" s="1">
        <v>2</v>
      </c>
      <c r="F10783" s="39">
        <f t="shared" si="1807"/>
        <v>601</v>
      </c>
      <c r="G10783" s="168">
        <f>SUM(C10783,C10759,C10735,C10711,C10687,C10663,C10639,C10615,C10591,C10567,C10543,C10519,C10495,C10471)/POBLA!$B$6*100000</f>
        <v>810.04567269301162</v>
      </c>
      <c r="H10783" s="256">
        <f t="shared" si="1806"/>
        <v>3.9542682926829267</v>
      </c>
      <c r="I10783" s="297">
        <f t="shared" si="1808"/>
        <v>3203.1379191549881</v>
      </c>
      <c r="J10783" s="422">
        <f t="shared" si="1809"/>
        <v>948.71428571428567</v>
      </c>
      <c r="K10783" s="297">
        <f>J10783/POBLA!$B$6*100000</f>
        <v>84.646095579347772</v>
      </c>
      <c r="L10783" s="200">
        <f t="shared" si="1805"/>
        <v>1.7239540607054962</v>
      </c>
      <c r="M10783" s="401">
        <f>SUM(C10783,C10759,C10735,C10711,C10687,C10663,C10639)/POBLA!$B$6*100000</f>
        <v>592.52266905543445</v>
      </c>
    </row>
    <row r="10784" spans="1:13" x14ac:dyDescent="0.25">
      <c r="A10784" s="367" t="s">
        <v>20</v>
      </c>
      <c r="B10784" s="267">
        <v>44342</v>
      </c>
      <c r="C10784" s="1">
        <v>4523</v>
      </c>
      <c r="D10784" s="39">
        <f t="shared" si="1799"/>
        <v>291896</v>
      </c>
      <c r="E10784" s="1">
        <v>22</v>
      </c>
      <c r="F10784" s="39">
        <f t="shared" si="1807"/>
        <v>3769</v>
      </c>
      <c r="G10784" s="168">
        <f>SUM(C10784,C10760,C10736,C10712,C10688,C10664,C10640,C10616,C10592,C10568,C10544,C10520,C10496,C10472)/POBLA!$B$7*100000</f>
        <v>1191.2404100573071</v>
      </c>
      <c r="H10784" s="256">
        <f t="shared" si="1806"/>
        <v>1.8870213572602048</v>
      </c>
      <c r="I10784" s="297">
        <f t="shared" si="1808"/>
        <v>2247.8960954095428</v>
      </c>
      <c r="J10784" s="422">
        <f t="shared" si="1809"/>
        <v>3503.2857142857142</v>
      </c>
      <c r="K10784" s="297">
        <f>J10784/POBLA!$B$7*100000</f>
        <v>93.161342772426551</v>
      </c>
      <c r="L10784" s="200">
        <f t="shared" si="1805"/>
        <v>0.20963843535737192</v>
      </c>
      <c r="M10784" s="401">
        <f>SUM(C10784,C10760,C10736,C10712,C10688,C10664,C10640)/POBLA!$B$7*100000</f>
        <v>652.12939940698584</v>
      </c>
    </row>
    <row r="10785" spans="1:13" x14ac:dyDescent="0.25">
      <c r="A10785" s="367" t="s">
        <v>31</v>
      </c>
      <c r="B10785" s="267">
        <v>44342</v>
      </c>
      <c r="C10785" s="1">
        <v>829</v>
      </c>
      <c r="D10785" s="39">
        <f t="shared" si="1799"/>
        <v>80322</v>
      </c>
      <c r="E10785" s="1">
        <v>14</v>
      </c>
      <c r="F10785" s="39">
        <f t="shared" si="1807"/>
        <v>1265</v>
      </c>
      <c r="G10785" s="168">
        <f>SUM(C10785,C10761,C10737,C10713,C10689,C10665,C10641,C10617,C10593,C10569,C10545,C10521,C10497,C10473)/POBLA!$B$8*100000</f>
        <v>798.2187088958492</v>
      </c>
      <c r="H10785" s="256">
        <f t="shared" si="1806"/>
        <v>1.4470896010464356</v>
      </c>
      <c r="I10785" s="297">
        <f t="shared" si="1808"/>
        <v>1155.0939930038953</v>
      </c>
      <c r="J10785" s="422">
        <f t="shared" si="1809"/>
        <v>829.71428571428567</v>
      </c>
      <c r="K10785" s="297">
        <f>J10785/POBLA!$B$8*100000</f>
        <v>59.865630108948636</v>
      </c>
      <c r="L10785" s="200">
        <f t="shared" si="1805"/>
        <v>0.10523311132254998</v>
      </c>
      <c r="M10785" s="401">
        <f>SUM(C10785,C10761,C10737,C10713,C10689,C10665,C10641)/POBLA!$B$8*100000</f>
        <v>419.05941076264048</v>
      </c>
    </row>
    <row r="10786" spans="1:13" x14ac:dyDescent="0.25">
      <c r="A10786" s="367" t="s">
        <v>41</v>
      </c>
      <c r="B10786" s="267">
        <v>44342</v>
      </c>
      <c r="C10786" s="1">
        <v>845</v>
      </c>
      <c r="D10786" s="39">
        <f t="shared" si="1799"/>
        <v>25542</v>
      </c>
      <c r="E10786" s="1">
        <v>24</v>
      </c>
      <c r="F10786" s="39">
        <f t="shared" si="1807"/>
        <v>400</v>
      </c>
      <c r="G10786" s="168">
        <f>SUM(C10786,C10762,C10738,C10714,C10690,C10666,C10642,C10618,C10594,C10570,C10546,C10522,C10498,C10474)/POBLA!$B$9*100000</f>
        <v>3105.951324618758</v>
      </c>
      <c r="H10786" s="256">
        <f t="shared" si="1806"/>
        <v>8.3802942487739642</v>
      </c>
      <c r="I10786" s="297">
        <f t="shared" si="1808"/>
        <v>26028.786022674452</v>
      </c>
      <c r="J10786" s="422">
        <f t="shared" si="1809"/>
        <v>914.57142857142856</v>
      </c>
      <c r="K10786" s="297">
        <f>J10786/POBLA!$B$9*100000</f>
        <v>151.12062244134162</v>
      </c>
      <c r="L10786" s="200">
        <f>(SUM(C10786,C10762,C10738,C10714,C10690,C10666,C10642)/SUM(C10618,C10594,C10570,C10546,C10522,C10498,C10474))-1</f>
        <v>-0.48350141185962081</v>
      </c>
      <c r="M10786" s="401">
        <f>SUM(C10786,C10762,C10738,C10714,C10690,C10666,C10642)/POBLA!$B$9*100000</f>
        <v>1057.8443570893915</v>
      </c>
    </row>
    <row r="10787" spans="1:13" x14ac:dyDescent="0.25">
      <c r="A10787" s="367" t="s">
        <v>32</v>
      </c>
      <c r="B10787" s="267">
        <v>44342</v>
      </c>
      <c r="C10787" s="1">
        <v>126</v>
      </c>
      <c r="D10787" s="39">
        <f t="shared" si="1799"/>
        <v>27494</v>
      </c>
      <c r="E10787" s="1">
        <v>2</v>
      </c>
      <c r="F10787" s="39">
        <f t="shared" si="1807"/>
        <v>1090</v>
      </c>
      <c r="G10787" s="168">
        <f>SUM(C10787,C10763,C10739,C10715,C10691,C10667,C10643,C10619,C10595,C10571,C10547,C10523,C10499,C10475)/POBLA!$B$10*100000</f>
        <v>207.55473283165622</v>
      </c>
      <c r="H10787" s="256">
        <f t="shared" si="1806"/>
        <v>1.2861736334405145</v>
      </c>
      <c r="I10787" s="297">
        <f t="shared" si="1808"/>
        <v>266.95142486386652</v>
      </c>
      <c r="J10787" s="422">
        <f t="shared" si="1809"/>
        <v>127.28571428571429</v>
      </c>
      <c r="K10787" s="297">
        <f>J10787/POBLA!$B$10*100000</f>
        <v>16.511720263661228</v>
      </c>
      <c r="L10787" s="200">
        <f t="shared" ref="L10787:L10809" si="1810">(SUM(C10787,C10763,C10739,C10715,C10691,C10667,C10643)/SUM(C10619,C10595,C10571,C10547,C10523,C10499,C10475))-1</f>
        <v>0.25669957686882938</v>
      </c>
      <c r="M10787" s="401">
        <f>SUM(C10787,C10763,C10739,C10715,C10691,C10667,C10643)/POBLA!$B$10*100000</f>
        <v>115.58204184562858</v>
      </c>
    </row>
    <row r="10788" spans="1:13" x14ac:dyDescent="0.25">
      <c r="A10788" s="367" t="s">
        <v>33</v>
      </c>
      <c r="B10788" s="267">
        <v>44342</v>
      </c>
      <c r="C10788" s="1">
        <v>873</v>
      </c>
      <c r="D10788" s="39">
        <f t="shared" si="1799"/>
        <v>40473</v>
      </c>
      <c r="E10788" s="1">
        <v>23</v>
      </c>
      <c r="F10788" s="39">
        <f t="shared" si="1807"/>
        <v>524</v>
      </c>
      <c r="G10788" s="168">
        <f>SUM(C10788,C10764,C10740,C10716,C10692,C10668,C10644,C10620,C10596,C10572,C10548,C10524,C10500,C10476)/POBLA!$B$11*100000</f>
        <v>2491.1558248797528</v>
      </c>
      <c r="H10788" s="256">
        <f t="shared" si="1806"/>
        <v>1.7719785671760271</v>
      </c>
      <c r="I10788" s="297">
        <f t="shared" si="1808"/>
        <v>4414.2747291826381</v>
      </c>
      <c r="J10788" s="422">
        <f t="shared" si="1809"/>
        <v>684.28571428571433</v>
      </c>
      <c r="K10788" s="297">
        <f>J10788/POBLA!$B$11*100000</f>
        <v>190.91301859389174</v>
      </c>
      <c r="L10788" s="200">
        <f t="shared" si="1810"/>
        <v>0.15728436820488034</v>
      </c>
      <c r="M10788" s="401">
        <f>SUM(C10788,C10764,C10740,C10716,C10692,C10668,C10644)/POBLA!$B$11*100000</f>
        <v>1336.3911301572423</v>
      </c>
    </row>
    <row r="10789" spans="1:13" x14ac:dyDescent="0.25">
      <c r="A10789" s="367" t="s">
        <v>21</v>
      </c>
      <c r="B10789" s="267">
        <v>44342</v>
      </c>
      <c r="C10789" s="1">
        <v>126</v>
      </c>
      <c r="D10789" s="39">
        <f t="shared" si="1799"/>
        <v>16612</v>
      </c>
      <c r="E10789" s="1">
        <v>7</v>
      </c>
      <c r="F10789" s="39">
        <f t="shared" si="1807"/>
        <v>532</v>
      </c>
      <c r="G10789" s="168">
        <f>SUM(C10789,C10765,C10741,C10717,C10693,C10669,C10645,C10621,C10597,C10573,C10549,C10525,C10501,C10477)/POBLA!$B$12*100000</f>
        <v>557.00821536295734</v>
      </c>
      <c r="H10789" s="256">
        <f t="shared" si="1806"/>
        <v>1.9211218229623137</v>
      </c>
      <c r="I10789" s="297">
        <f t="shared" si="1808"/>
        <v>1070.0806381030695</v>
      </c>
      <c r="J10789" s="422">
        <f t="shared" si="1809"/>
        <v>158.71428571428572</v>
      </c>
      <c r="K10789" s="297">
        <f>J10789/POBLA!$B$12*100000</f>
        <v>40.330821641569713</v>
      </c>
      <c r="L10789" s="200">
        <f t="shared" si="1810"/>
        <v>2.7752081406105411E-2</v>
      </c>
      <c r="M10789" s="401">
        <f>SUM(C10789,C10765,C10741,C10717,C10693,C10669,C10645)/POBLA!$B$12*100000</f>
        <v>282.31575149098802</v>
      </c>
    </row>
    <row r="10790" spans="1:13" x14ac:dyDescent="0.25">
      <c r="A10790" s="367" t="s">
        <v>17</v>
      </c>
      <c r="B10790" s="267">
        <v>44342</v>
      </c>
      <c r="C10790" s="1">
        <v>907</v>
      </c>
      <c r="D10790" s="39">
        <f t="shared" si="1799"/>
        <v>116538</v>
      </c>
      <c r="E10790" s="1">
        <v>26</v>
      </c>
      <c r="F10790" s="39">
        <f t="shared" si="1807"/>
        <v>2444</v>
      </c>
      <c r="G10790" s="168">
        <f>SUM(C10790,C10766,C10742,C10718,C10694,C10670,C10646,C10622,C10598,C10574,C10550,C10526,C10502,C10478)/POBLA!$B$13*100000</f>
        <v>563.32140571098978</v>
      </c>
      <c r="H10790" s="256">
        <f t="shared" si="1806"/>
        <v>1.0654756248218189</v>
      </c>
      <c r="I10790" s="297">
        <f t="shared" si="1808"/>
        <v>600.20522672542222</v>
      </c>
      <c r="J10790" s="422">
        <f t="shared" si="1809"/>
        <v>723.28571428571433</v>
      </c>
      <c r="K10790" s="297">
        <f>J10790/POBLA!$B$13*100000</f>
        <v>36.339843498225648</v>
      </c>
      <c r="L10790" s="200">
        <f t="shared" si="1810"/>
        <v>-0.17661408359082775</v>
      </c>
      <c r="M10790" s="401">
        <f>SUM(C10790,C10766,C10742,C10718,C10694,C10670,C10646)/POBLA!$B$13*100000</f>
        <v>254.37890448757949</v>
      </c>
    </row>
    <row r="10791" spans="1:13" x14ac:dyDescent="0.25">
      <c r="A10791" s="367" t="s">
        <v>23</v>
      </c>
      <c r="B10791" s="267">
        <v>44342</v>
      </c>
      <c r="C10791" s="1">
        <v>163</v>
      </c>
      <c r="D10791" s="39">
        <f t="shared" si="1799"/>
        <v>19503</v>
      </c>
      <c r="E10791" s="1">
        <v>10</v>
      </c>
      <c r="F10791" s="39">
        <f t="shared" si="1807"/>
        <v>278</v>
      </c>
      <c r="G10791" s="168">
        <f>SUM(C10791,C10767,C10743,C10719,C10695,C10671,C10647,C10623,C10599,C10575,C10551,C10527,C10503,C10479)/POBLA!$B$14*100000</f>
        <v>171.72839956425705</v>
      </c>
      <c r="H10791" s="256">
        <f t="shared" si="1806"/>
        <v>1.0961538461538463</v>
      </c>
      <c r="I10791" s="297">
        <f t="shared" si="1808"/>
        <v>188.24074567620485</v>
      </c>
      <c r="J10791" s="422">
        <f t="shared" si="1809"/>
        <v>164.71428571428572</v>
      </c>
      <c r="K10791" s="297">
        <f>J10791/POBLA!$B$14*100000</f>
        <v>13.059150817675</v>
      </c>
      <c r="L10791" s="200">
        <f t="shared" si="1810"/>
        <v>0.13820335636722603</v>
      </c>
      <c r="M10791" s="401">
        <f>SUM(C10791,C10767,C10743,C10719,C10695,C10671,C10647)/POBLA!$B$14*100000</f>
        <v>91.414055723724999</v>
      </c>
    </row>
    <row r="10792" spans="1:13" x14ac:dyDescent="0.25">
      <c r="A10792" s="367" t="s">
        <v>19</v>
      </c>
      <c r="B10792" s="267">
        <v>44342</v>
      </c>
      <c r="C10792" s="1">
        <v>994</v>
      </c>
      <c r="D10792" s="39">
        <f t="shared" si="1799"/>
        <v>86432</v>
      </c>
      <c r="E10792" s="1">
        <v>7</v>
      </c>
      <c r="F10792" s="39">
        <f t="shared" si="1807"/>
        <v>1275</v>
      </c>
      <c r="G10792" s="168">
        <f>SUM(C10792,C10768,C10744,C10720,C10696,C10672,C10648,C10624,C10600,C10576,C10552,C10528,C10504,C10480)/POBLA!$B$15*100000</f>
        <v>1511.6172256297275</v>
      </c>
      <c r="H10792" s="256">
        <f t="shared" si="1806"/>
        <v>1.6746746746746746</v>
      </c>
      <c r="I10792" s="297">
        <f t="shared" si="1808"/>
        <v>2531.4670855640979</v>
      </c>
      <c r="J10792" s="422">
        <f t="shared" si="1809"/>
        <v>827.85714285714289</v>
      </c>
      <c r="K10792" s="297">
        <f>J10792/POBLA!$B$15*100000</f>
        <v>124.66657875109259</v>
      </c>
      <c r="L10792" s="200">
        <f t="shared" si="1810"/>
        <v>0.36577893000235684</v>
      </c>
      <c r="M10792" s="401">
        <f>SUM(C10792,C10768,C10744,C10720,C10696,C10672,C10648)/POBLA!$B$15*100000</f>
        <v>872.66605125764806</v>
      </c>
    </row>
    <row r="10793" spans="1:13" x14ac:dyDescent="0.25">
      <c r="A10793" s="367" t="s">
        <v>18</v>
      </c>
      <c r="B10793" s="267">
        <v>44342</v>
      </c>
      <c r="C10793" s="1">
        <v>649</v>
      </c>
      <c r="D10793" s="39">
        <f t="shared" si="1799"/>
        <v>71653</v>
      </c>
      <c r="E10793" s="1">
        <v>18</v>
      </c>
      <c r="F10793" s="39">
        <f t="shared" si="1807"/>
        <v>1537</v>
      </c>
      <c r="G10793" s="168">
        <f>SUM(C10793,C10769,C10745,C10721,C10697,C10673,C10649,C10625,C10601,C10577,C10553,C10529,C10505,C10481)/POBLA!$B$16*100000</f>
        <v>887.76233597731425</v>
      </c>
      <c r="H10793" s="256">
        <f t="shared" si="1806"/>
        <v>1.5813676435549202</v>
      </c>
      <c r="I10793" s="297">
        <f t="shared" si="1808"/>
        <v>1403.8786332812567</v>
      </c>
      <c r="J10793" s="422">
        <f t="shared" si="1809"/>
        <v>530.71428571428567</v>
      </c>
      <c r="K10793" s="297">
        <f>J10793/POBLA!$B$16*100000</f>
        <v>70.988120238397784</v>
      </c>
      <c r="L10793" s="200">
        <f t="shared" si="1810"/>
        <v>0.27138945927446945</v>
      </c>
      <c r="M10793" s="401">
        <f>SUM(C10793,C10769,C10745,C10721,C10697,C10673,C10649)/POBLA!$B$16*100000</f>
        <v>496.91684166878451</v>
      </c>
    </row>
    <row r="10794" spans="1:13" x14ac:dyDescent="0.25">
      <c r="A10794" s="367" t="s">
        <v>34</v>
      </c>
      <c r="B10794" s="267">
        <v>44342</v>
      </c>
      <c r="C10794" s="1">
        <v>371</v>
      </c>
      <c r="D10794" s="39">
        <f t="shared" si="1799"/>
        <v>42906</v>
      </c>
      <c r="E10794" s="1">
        <v>9</v>
      </c>
      <c r="F10794" s="39">
        <f t="shared" si="1807"/>
        <v>1364</v>
      </c>
      <c r="G10794" s="168">
        <f>SUM(C10794,C10770,C10746,C10722,C10698,C10674,C10650,C10626,C10602,C10578,C10554,C10530,C10506,C10482)/POBLA!$B$17*100000</f>
        <v>385.91769008218915</v>
      </c>
      <c r="H10794" s="256">
        <f t="shared" ref="H10794:H10817" si="1811">SUM(C10794,C10770,C10746,C10722,C10698,C10674,C10650,C10626,C10602,C10578,C10554,C10530,C10506,C10482)/SUM(C10458,C10434,C10410,C10386,C10362,C10338,C10314,C10290,C10266,C10242,C10218,C10194,C10170,C10146)</f>
        <v>1.7428662016487</v>
      </c>
      <c r="I10794" s="297">
        <f t="shared" si="1808"/>
        <v>672.60289866258518</v>
      </c>
      <c r="J10794" s="422">
        <f t="shared" si="1809"/>
        <v>459.57142857142856</v>
      </c>
      <c r="K10794" s="297">
        <f>J10794/POBLA!$B$17*100000</f>
        <v>32.264279450983722</v>
      </c>
      <c r="L10794" s="200">
        <f t="shared" si="1810"/>
        <v>0.41096491228070176</v>
      </c>
      <c r="M10794" s="401">
        <f>SUM(C10794,C10770,C10746,C10722,C10698,C10674,C10650)/POBLA!$B$17*100000</f>
        <v>225.84995615688601</v>
      </c>
    </row>
    <row r="10795" spans="1:13" x14ac:dyDescent="0.25">
      <c r="A10795" s="367" t="s">
        <v>35</v>
      </c>
      <c r="B10795" s="267">
        <v>44342</v>
      </c>
      <c r="C10795" s="1">
        <v>610</v>
      </c>
      <c r="D10795" s="39">
        <f t="shared" si="1799"/>
        <v>34221</v>
      </c>
      <c r="E10795" s="1">
        <v>7</v>
      </c>
      <c r="F10795" s="39">
        <f t="shared" si="1807"/>
        <v>599</v>
      </c>
      <c r="G10795" s="168">
        <f>SUM(C10795,C10771,C10747,C10723,C10699,C10675,C10651,C10627,C10603,C10579,C10555,C10531,C10507,C10483)/POBLA!$B$18*100000</f>
        <v>862.88444823909367</v>
      </c>
      <c r="H10795" s="256">
        <f t="shared" si="1811"/>
        <v>1.501336302895323</v>
      </c>
      <c r="I10795" s="297">
        <f t="shared" si="1808"/>
        <v>1295.4797473451517</v>
      </c>
      <c r="J10795" s="422">
        <f t="shared" si="1809"/>
        <v>434.28571428571428</v>
      </c>
      <c r="K10795" s="297">
        <f>J10795/POBLA!$B$18*100000</f>
        <v>55.590919589014867</v>
      </c>
      <c r="L10795" s="200">
        <f t="shared" si="1810"/>
        <v>-0.17860037827614161</v>
      </c>
      <c r="M10795" s="401">
        <f>SUM(C10795,C10771,C10747,C10723,C10699,C10675,C10651)/POBLA!$B$18*100000</f>
        <v>389.13643712310409</v>
      </c>
    </row>
    <row r="10796" spans="1:13" x14ac:dyDescent="0.25">
      <c r="A10796" s="367" t="s">
        <v>36</v>
      </c>
      <c r="B10796" s="267">
        <v>44342</v>
      </c>
      <c r="C10796" s="1">
        <v>550</v>
      </c>
      <c r="D10796" s="39">
        <f t="shared" si="1799"/>
        <v>50356</v>
      </c>
      <c r="E10796" s="1">
        <v>7</v>
      </c>
      <c r="F10796" s="39">
        <f t="shared" si="1807"/>
        <v>666</v>
      </c>
      <c r="G10796" s="168">
        <f>SUM(C10796,C10772,C10748,C10724,C10700,C10676,C10652,C10628,C10604,C10580,C10556,C10532,C10508,C10484)/POBLA!$B$19*100000</f>
        <v>1480.1466769487417</v>
      </c>
      <c r="H10796" s="256">
        <f t="shared" si="1811"/>
        <v>1.1734248284466624</v>
      </c>
      <c r="I10796" s="297">
        <f t="shared" si="1808"/>
        <v>1736.8408604744748</v>
      </c>
      <c r="J10796" s="422">
        <f t="shared" si="1809"/>
        <v>636.28571428571433</v>
      </c>
      <c r="K10796" s="297">
        <f>J10796/POBLA!$B$19*100000</f>
        <v>125.17227347022283</v>
      </c>
      <c r="L10796" s="200">
        <f t="shared" si="1810"/>
        <v>0.45081433224755707</v>
      </c>
      <c r="M10796" s="401">
        <f>SUM(C10796,C10772,C10748,C10724,C10700,C10676,C10652)/POBLA!$B$19*100000</f>
        <v>876.20591429155991</v>
      </c>
    </row>
    <row r="10797" spans="1:13" x14ac:dyDescent="0.25">
      <c r="A10797" s="367" t="s">
        <v>37</v>
      </c>
      <c r="B10797" s="267">
        <v>44342</v>
      </c>
      <c r="C10797" s="1">
        <v>315</v>
      </c>
      <c r="D10797" s="39">
        <f t="shared" si="1799"/>
        <v>50611</v>
      </c>
      <c r="E10797" s="1">
        <v>11</v>
      </c>
      <c r="F10797" s="39">
        <f t="shared" si="1807"/>
        <v>779</v>
      </c>
      <c r="G10797" s="168">
        <f>SUM(C10797,C10773,C10749,C10725,C10701,C10677,C10653,C10629,C10605,C10581,C10557,C10533,C10509,C10485)/POBLA!$B$20*100000</f>
        <v>919.06436458498547</v>
      </c>
      <c r="H10797" s="256">
        <f t="shared" si="1811"/>
        <v>1.1244563399130143</v>
      </c>
      <c r="I10797" s="297">
        <f t="shared" si="1808"/>
        <v>1033.4477515457129</v>
      </c>
      <c r="J10797" s="422">
        <f t="shared" si="1809"/>
        <v>232.14285714285714</v>
      </c>
      <c r="K10797" s="297">
        <f>J10797/POBLA!$B$20*100000</f>
        <v>63.479389316555498</v>
      </c>
      <c r="L10797" s="200">
        <f t="shared" si="1810"/>
        <v>-6.3940092165898577E-2</v>
      </c>
      <c r="M10797" s="401">
        <f>SUM(C10797,C10773,C10749,C10725,C10701,C10677,C10653)/POBLA!$B$20*100000</f>
        <v>444.35572521588847</v>
      </c>
    </row>
    <row r="10798" spans="1:13" x14ac:dyDescent="0.25">
      <c r="A10798" s="367" t="s">
        <v>22</v>
      </c>
      <c r="B10798" s="267">
        <v>44342</v>
      </c>
      <c r="C10798" s="1">
        <v>2717</v>
      </c>
      <c r="D10798" s="39">
        <f t="shared" si="1799"/>
        <v>329704</v>
      </c>
      <c r="E10798" s="1">
        <v>54</v>
      </c>
      <c r="F10798" s="39">
        <f t="shared" si="1807"/>
        <v>5296</v>
      </c>
      <c r="G10798" s="168">
        <f>SUM(C10798,C10774,C10750,C10726,C10702,C10678,C10654,C10630,C10606,C10582,C10558,C10534,C10510,C10486)/POBLA!$B$21*100000</f>
        <v>986.421853977669</v>
      </c>
      <c r="H10798" s="256">
        <f t="shared" si="1811"/>
        <v>1.4110508858506594</v>
      </c>
      <c r="I10798" s="297">
        <f t="shared" si="1808"/>
        <v>1391.8914308776396</v>
      </c>
      <c r="J10798" s="422">
        <f t="shared" si="1809"/>
        <v>2670.1428571428573</v>
      </c>
      <c r="K10798" s="297">
        <f>J10798/POBLA!$B$21*100000</f>
        <v>75.50416430249075</v>
      </c>
      <c r="L10798" s="200">
        <f t="shared" si="1810"/>
        <v>0.15426418822948196</v>
      </c>
      <c r="M10798" s="401">
        <f>SUM(C10798,C10774,C10750,C10726,C10702,C10678,C10654)/POBLA!$B$21*100000</f>
        <v>528.52915011743517</v>
      </c>
    </row>
    <row r="10799" spans="1:13" x14ac:dyDescent="0.25">
      <c r="A10799" s="367" t="s">
        <v>38</v>
      </c>
      <c r="B10799" s="267">
        <v>44342</v>
      </c>
      <c r="C10799" s="1">
        <v>555</v>
      </c>
      <c r="D10799" s="39">
        <f t="shared" si="1799"/>
        <v>41084</v>
      </c>
      <c r="E10799" s="1">
        <v>12</v>
      </c>
      <c r="F10799" s="39">
        <f t="shared" si="1807"/>
        <v>476</v>
      </c>
      <c r="G10799" s="168">
        <f>SUM(C10799,C10775,C10751,C10727,C10703,C10679,C10655,C10631,C10607,C10583,C10559,C10535,C10511,C10487)/POBLA!$B$22*100000</f>
        <v>765.29699595119348</v>
      </c>
      <c r="H10799" s="256">
        <f t="shared" si="1811"/>
        <v>2.2355927142430576</v>
      </c>
      <c r="I10799" s="297">
        <f t="shared" si="1808"/>
        <v>1710.8923883805869</v>
      </c>
      <c r="J10799" s="422">
        <f t="shared" si="1809"/>
        <v>606.57142857142856</v>
      </c>
      <c r="K10799" s="297">
        <f>J10799/POBLA!$B$22*100000</f>
        <v>62.001775359361325</v>
      </c>
      <c r="L10799" s="200">
        <f t="shared" si="1810"/>
        <v>0.31008947855600133</v>
      </c>
      <c r="M10799" s="401">
        <f>SUM(C10799,C10775,C10751,C10727,C10703,C10679,C10655)/POBLA!$B$22*100000</f>
        <v>434.01242751552928</v>
      </c>
    </row>
    <row r="10800" spans="1:13" x14ac:dyDescent="0.25">
      <c r="A10800" s="367" t="s">
        <v>39</v>
      </c>
      <c r="B10800" s="267">
        <v>44342</v>
      </c>
      <c r="C10800" s="1">
        <v>42</v>
      </c>
      <c r="D10800" s="39">
        <f t="shared" si="1799"/>
        <v>28219</v>
      </c>
      <c r="E10800" s="1">
        <v>4</v>
      </c>
      <c r="F10800" s="39">
        <f t="shared" si="1807"/>
        <v>413</v>
      </c>
      <c r="G10800" s="168">
        <f>SUM(C10800,C10776,C10752,C10728,C10704,C10680,C10656,C10632,C10608,C10584,C10560,C10536,C10512,C10488)/POBLA!$B$23*100000</f>
        <v>553.63908838997907</v>
      </c>
      <c r="H10800" s="256">
        <f t="shared" si="1811"/>
        <v>1.0145077720207254</v>
      </c>
      <c r="I10800" s="297">
        <f t="shared" si="1808"/>
        <v>561.67115806610309</v>
      </c>
      <c r="J10800" s="422">
        <f t="shared" si="1809"/>
        <v>65.285714285714292</v>
      </c>
      <c r="K10800" s="297">
        <f>J10800/POBLA!$B$23*100000</f>
        <v>36.920044271737993</v>
      </c>
      <c r="L10800" s="200">
        <f t="shared" si="1810"/>
        <v>-0.12452107279693492</v>
      </c>
      <c r="M10800" s="401">
        <f>SUM(C10800,C10776,C10752,C10728,C10704,C10680,C10656)/POBLA!$B$23*100000</f>
        <v>258.44030990216595</v>
      </c>
    </row>
    <row r="10801" spans="1:13" ht="15.75" thickBot="1" x14ac:dyDescent="0.3">
      <c r="A10801" s="369" t="s">
        <v>40</v>
      </c>
      <c r="B10801" s="267">
        <v>44342</v>
      </c>
      <c r="C10801" s="1">
        <v>1832</v>
      </c>
      <c r="D10801" s="176">
        <f t="shared" si="1799"/>
        <v>124160</v>
      </c>
      <c r="E10801" s="1">
        <v>16</v>
      </c>
      <c r="F10801" s="176">
        <f t="shared" si="1807"/>
        <v>1843</v>
      </c>
      <c r="G10801" s="177">
        <f>SUM(C10801,C10777,C10753,C10729,C10705,C10681,C10657,C10633,C10609,C10585,C10561,C10537,C10513,C10489)/POBLA!$B$24*100000</f>
        <v>682.20334982438919</v>
      </c>
      <c r="H10801" s="402">
        <f t="shared" si="1811"/>
        <v>1.5029901196047841</v>
      </c>
      <c r="I10801" s="403">
        <f t="shared" si="1808"/>
        <v>1025.3448943473431</v>
      </c>
      <c r="J10801" s="423">
        <f t="shared" si="1809"/>
        <v>902.28571428571433</v>
      </c>
      <c r="K10801" s="403">
        <f>J10801/POBLA!$B$24*100000</f>
        <v>53.243001192319525</v>
      </c>
      <c r="L10801" s="404">
        <f t="shared" si="1810"/>
        <v>0.20419447092469012</v>
      </c>
      <c r="M10801" s="405">
        <f>SUM(C10801,C10777,C10753,C10729,C10705,C10681,C10657)/POBLA!$B$24*100000</f>
        <v>372.70100834623668</v>
      </c>
    </row>
    <row r="10802" spans="1:13" x14ac:dyDescent="0.25">
      <c r="A10802" s="363" t="s">
        <v>16</v>
      </c>
      <c r="B10802" s="267">
        <v>44343</v>
      </c>
      <c r="C10802" s="1">
        <v>15550</v>
      </c>
      <c r="D10802" s="174">
        <f t="shared" si="1799"/>
        <v>1567821</v>
      </c>
      <c r="E10802" s="1">
        <v>150</v>
      </c>
      <c r="F10802" s="174">
        <f t="shared" ref="F10802:F10825" si="1812">E10802+F10778</f>
        <v>39286</v>
      </c>
      <c r="G10802" s="175">
        <f>SUM(C10802,C10778,C10754,C10730,C10706,C10682,C10658,C10634,C10610,C10586,C10562,C10538,C10514,C10490)/POBLA!$B$1*100000</f>
        <v>875.21102532611769</v>
      </c>
      <c r="H10802" s="300">
        <f t="shared" si="1811"/>
        <v>1.2295432520963312</v>
      </c>
      <c r="I10802" s="301">
        <f>G10802*H10802</f>
        <v>1076.1098103500392</v>
      </c>
      <c r="J10802" s="421">
        <f>AVERAGE(C10802,C10778,C10754,C10730,C10706,C10682,C10658)</f>
        <v>10869.571428571429</v>
      </c>
      <c r="K10802" s="301">
        <f>J10802/POBLA!$B$1*100000</f>
        <v>61.966159604847995</v>
      </c>
      <c r="L10802" s="399">
        <f t="shared" si="1810"/>
        <v>-1.7408148769936127E-2</v>
      </c>
      <c r="M10802" s="400">
        <f>SUM(C10802,C10778,C10754,C10730,C10706,C10682,C10658)/POBLA!$B$1*100000</f>
        <v>433.76311723393593</v>
      </c>
    </row>
    <row r="10803" spans="1:13" x14ac:dyDescent="0.25">
      <c r="A10803" s="367" t="s">
        <v>43</v>
      </c>
      <c r="B10803" s="267">
        <v>44343</v>
      </c>
      <c r="C10803" s="1">
        <v>3093</v>
      </c>
      <c r="D10803" s="39">
        <f t="shared" ref="D10803:D10866" si="1813">C10803+D10779</f>
        <v>409035</v>
      </c>
      <c r="E10803" s="1">
        <v>39</v>
      </c>
      <c r="F10803" s="39">
        <f t="shared" si="1812"/>
        <v>8974</v>
      </c>
      <c r="G10803" s="168">
        <f>SUM(C10803,C10779,C10755,C10731,C10707,C10683,C10659,C10635,C10611,C10587,C10563,C10539,C10515,C10491)/POBLA!$B$2*100000</f>
        <v>1230.4081809154891</v>
      </c>
      <c r="H10803" s="256">
        <f t="shared" si="1811"/>
        <v>1.191042709218519</v>
      </c>
      <c r="I10803" s="297">
        <f t="shared" ref="I10803:I10825" si="1814">G10803*H10803</f>
        <v>1465.4686932422137</v>
      </c>
      <c r="J10803" s="422">
        <f t="shared" ref="J10803:J10825" si="1815">AVERAGE(C10803,C10779,C10755,C10731,C10707,C10683,C10659)</f>
        <v>2701.5714285714284</v>
      </c>
      <c r="K10803" s="297">
        <f>J10803/POBLA!$B$2*100000</f>
        <v>87.837528394731649</v>
      </c>
      <c r="L10803" s="200">
        <f t="shared" si="1810"/>
        <v>-1.1092330445806597E-3</v>
      </c>
      <c r="M10803" s="401">
        <f>SUM(C10803,C10779,C10755,C10731,C10707,C10683,C10659)/POBLA!$B$2*100000</f>
        <v>614.86269876312167</v>
      </c>
    </row>
    <row r="10804" spans="1:13" x14ac:dyDescent="0.25">
      <c r="A10804" s="367" t="s">
        <v>28</v>
      </c>
      <c r="B10804" s="267">
        <v>44343</v>
      </c>
      <c r="C10804" s="1">
        <v>572</v>
      </c>
      <c r="D10804" s="39">
        <f t="shared" si="1813"/>
        <v>22201</v>
      </c>
      <c r="E10804" s="1">
        <v>7</v>
      </c>
      <c r="F10804" s="39">
        <f t="shared" si="1812"/>
        <v>165</v>
      </c>
      <c r="G10804" s="168">
        <f>SUM(C10804,C10780,C10756,C10732,C10708,C10684,C10660,C10636,C10612,C10588,C10564,C10540,C10516,C10492)/POBLA!$B$3*100000</f>
        <v>1243.025433398004</v>
      </c>
      <c r="H10804" s="256">
        <f t="shared" si="1811"/>
        <v>2.2191663085517832</v>
      </c>
      <c r="I10804" s="297">
        <f t="shared" si="1814"/>
        <v>2758.4801624698289</v>
      </c>
      <c r="J10804" s="422">
        <f t="shared" si="1815"/>
        <v>418.28571428571428</v>
      </c>
      <c r="K10804" s="297">
        <f>J10804/POBLA!$B$3*100000</f>
        <v>100.68547275061846</v>
      </c>
      <c r="L10804" s="200">
        <f t="shared" si="1810"/>
        <v>0.30948121645796056</v>
      </c>
      <c r="M10804" s="401">
        <f>SUM(C10804,C10780,C10756,C10732,C10708,C10684,C10660)/POBLA!$B$3*100000</f>
        <v>704.79830925432918</v>
      </c>
    </row>
    <row r="10805" spans="1:13" x14ac:dyDescent="0.25">
      <c r="A10805" s="367" t="s">
        <v>15</v>
      </c>
      <c r="B10805" s="267">
        <v>44343</v>
      </c>
      <c r="C10805" s="1">
        <v>861</v>
      </c>
      <c r="D10805" s="39">
        <f t="shared" si="1813"/>
        <v>55948</v>
      </c>
      <c r="E10805" s="1">
        <v>9</v>
      </c>
      <c r="F10805" s="39">
        <f t="shared" si="1812"/>
        <v>1194</v>
      </c>
      <c r="G10805" s="168">
        <f>SUM(C10805,C10781,C10757,C10733,C10709,C10685,C10661,C10637,C10613,C10589,C10565,C10541,C10517,C10493)/POBLA!$B$4*100000</f>
        <v>640.40991547817805</v>
      </c>
      <c r="H10805" s="256">
        <f t="shared" si="1811"/>
        <v>2.1233140655105971</v>
      </c>
      <c r="I10805" s="297">
        <f t="shared" si="1814"/>
        <v>1359.7913812272682</v>
      </c>
      <c r="J10805" s="422">
        <f t="shared" si="1815"/>
        <v>616.28571428571433</v>
      </c>
      <c r="K10805" s="297">
        <f>J10805/POBLA!$B$4*100000</f>
        <v>51.16353152659098</v>
      </c>
      <c r="L10805" s="200">
        <f t="shared" si="1810"/>
        <v>0.26882352941176468</v>
      </c>
      <c r="M10805" s="401">
        <f>SUM(C10805,C10781,C10757,C10733,C10709,C10685,C10661)/POBLA!$B$4*100000</f>
        <v>358.14472068613691</v>
      </c>
    </row>
    <row r="10806" spans="1:13" x14ac:dyDescent="0.25">
      <c r="A10806" s="367" t="s">
        <v>29</v>
      </c>
      <c r="B10806" s="267">
        <v>44343</v>
      </c>
      <c r="C10806" s="1">
        <v>504</v>
      </c>
      <c r="D10806" s="39">
        <f t="shared" si="1813"/>
        <v>61421</v>
      </c>
      <c r="E10806" s="1">
        <v>3</v>
      </c>
      <c r="F10806" s="39">
        <f t="shared" si="1812"/>
        <v>1013</v>
      </c>
      <c r="G10806" s="168">
        <f>SUM(C10806,C10782,C10758,C10734,C10710,C10686,C10662,C10638,C10614,C10590,C10566,C10542,C10518,C10494)/POBLA!$B$5*100000</f>
        <v>663.3343780392056</v>
      </c>
      <c r="H10806" s="256">
        <f t="shared" si="1811"/>
        <v>1.6045330207112154</v>
      </c>
      <c r="I10806" s="297">
        <f t="shared" si="1814"/>
        <v>1064.3419133368418</v>
      </c>
      <c r="J10806" s="422">
        <f t="shared" si="1815"/>
        <v>320.42857142857144</v>
      </c>
      <c r="K10806" s="297">
        <f>J10806/POBLA!$B$5*100000</f>
        <v>51.766022195460927</v>
      </c>
      <c r="L10806" s="200">
        <f t="shared" si="1810"/>
        <v>0.20397208803005906</v>
      </c>
      <c r="M10806" s="401">
        <f>SUM(C10806,C10782,C10758,C10734,C10710,C10686,C10662)/POBLA!$B$5*100000</f>
        <v>362.36215536822652</v>
      </c>
    </row>
    <row r="10807" spans="1:13" x14ac:dyDescent="0.25">
      <c r="A10807" s="367" t="s">
        <v>30</v>
      </c>
      <c r="B10807" s="267">
        <v>44343</v>
      </c>
      <c r="C10807" s="1">
        <v>691</v>
      </c>
      <c r="D10807" s="39">
        <f t="shared" si="1813"/>
        <v>49253</v>
      </c>
      <c r="F10807" s="39">
        <f t="shared" si="1812"/>
        <v>601</v>
      </c>
      <c r="G10807" s="168">
        <f>SUM(C10807,C10783,C10759,C10735,C10711,C10687,C10663,C10639,C10615,C10591,C10567,C10543,C10519,C10495)/POBLA!$B$6*100000</f>
        <v>831.72659553301617</v>
      </c>
      <c r="H10807" s="256">
        <f t="shared" si="1811"/>
        <v>3.6614296936370776</v>
      </c>
      <c r="I10807" s="297">
        <f t="shared" si="1814"/>
        <v>3045.308453872261</v>
      </c>
      <c r="J10807" s="422">
        <f t="shared" si="1815"/>
        <v>1013.7142857142857</v>
      </c>
      <c r="K10807" s="297">
        <f>J10807/POBLA!$B$6*100000</f>
        <v>90.44551938428728</v>
      </c>
      <c r="L10807" s="200">
        <f t="shared" si="1810"/>
        <v>2.1877807726864331</v>
      </c>
      <c r="M10807" s="401">
        <f>SUM(C10807,C10783,C10759,C10735,C10711,C10687,C10663)/POBLA!$B$6*100000</f>
        <v>633.11863569001105</v>
      </c>
    </row>
    <row r="10808" spans="1:13" x14ac:dyDescent="0.25">
      <c r="A10808" s="367" t="s">
        <v>20</v>
      </c>
      <c r="B10808" s="267">
        <v>44343</v>
      </c>
      <c r="C10808" s="1">
        <v>4933</v>
      </c>
      <c r="D10808" s="39">
        <f t="shared" si="1813"/>
        <v>296829</v>
      </c>
      <c r="E10808" s="1">
        <v>41</v>
      </c>
      <c r="F10808" s="39">
        <f t="shared" si="1812"/>
        <v>3810</v>
      </c>
      <c r="G10808" s="168">
        <f>SUM(C10808,C10784,C10760,C10736,C10712,C10688,C10664,C10640,C10616,C10592,C10568,C10544,C10520,C10496)/POBLA!$B$7*100000</f>
        <v>1251.4459705620338</v>
      </c>
      <c r="H10808" s="256">
        <f t="shared" si="1811"/>
        <v>1.9359085112509771</v>
      </c>
      <c r="I10808" s="297">
        <f t="shared" si="1814"/>
        <v>2422.6849057817808</v>
      </c>
      <c r="J10808" s="422">
        <f t="shared" si="1815"/>
        <v>3705.7142857142858</v>
      </c>
      <c r="K10808" s="297">
        <f>J10808/POBLA!$B$7*100000</f>
        <v>98.544437120937275</v>
      </c>
      <c r="L10808" s="200">
        <f t="shared" si="1810"/>
        <v>0.22821969696969702</v>
      </c>
      <c r="M10808" s="401">
        <f>SUM(C10808,C10784,C10760,C10736,C10712,C10688,C10664)/POBLA!$B$7*100000</f>
        <v>689.81105984656097</v>
      </c>
    </row>
    <row r="10809" spans="1:13" x14ac:dyDescent="0.25">
      <c r="A10809" s="367" t="s">
        <v>31</v>
      </c>
      <c r="B10809" s="267">
        <v>44343</v>
      </c>
      <c r="C10809" s="1">
        <v>1353</v>
      </c>
      <c r="D10809" s="39">
        <f t="shared" si="1813"/>
        <v>81675</v>
      </c>
      <c r="E10809" s="1">
        <v>21</v>
      </c>
      <c r="F10809" s="39">
        <f t="shared" si="1812"/>
        <v>1286</v>
      </c>
      <c r="G10809" s="168">
        <f>SUM(C10809,C10785,C10761,C10737,C10713,C10689,C10665,C10641,C10617,C10593,C10569,C10545,C10521,C10497)/POBLA!$B$8*100000</f>
        <v>837.68590891085682</v>
      </c>
      <c r="H10809" s="256">
        <f t="shared" si="1811"/>
        <v>1.5101456815816858</v>
      </c>
      <c r="I10809" s="297">
        <f t="shared" si="1814"/>
        <v>1265.0277578635598</v>
      </c>
      <c r="J10809" s="422">
        <f t="shared" si="1815"/>
        <v>858.71428571428567</v>
      </c>
      <c r="K10809" s="297">
        <f>J10809/POBLA!$B$8*100000</f>
        <v>61.958041078665687</v>
      </c>
      <c r="L10809" s="200">
        <f t="shared" si="1810"/>
        <v>7.3584568672977246E-2</v>
      </c>
      <c r="M10809" s="401">
        <f>SUM(C10809,C10785,C10761,C10737,C10713,C10689,C10665)/POBLA!$B$8*100000</f>
        <v>433.70628755065979</v>
      </c>
    </row>
    <row r="10810" spans="1:13" x14ac:dyDescent="0.25">
      <c r="A10810" s="367" t="s">
        <v>41</v>
      </c>
      <c r="B10810" s="267">
        <v>44343</v>
      </c>
      <c r="C10810" s="1">
        <v>1104</v>
      </c>
      <c r="D10810" s="39">
        <f t="shared" si="1813"/>
        <v>26646</v>
      </c>
      <c r="E10810" s="1">
        <v>27</v>
      </c>
      <c r="F10810" s="39">
        <f t="shared" si="1812"/>
        <v>427</v>
      </c>
      <c r="G10810" s="168">
        <f>SUM(C10810,C10786,C10762,C10738,C10714,C10690,C10666,C10642,C10618,C10594,C10570,C10546,C10522,C10498)/POBLA!$B$9*100000</f>
        <v>3264.5784072188544</v>
      </c>
      <c r="H10810" s="256">
        <f t="shared" si="1811"/>
        <v>8.3152356902356903</v>
      </c>
      <c r="I10810" s="297">
        <f t="shared" si="1814"/>
        <v>27145.738885279003</v>
      </c>
      <c r="J10810" s="422">
        <f t="shared" si="1815"/>
        <v>931.71428571428567</v>
      </c>
      <c r="K10810" s="297">
        <f>J10810/POBLA!$B$9*100000</f>
        <v>153.95324891634331</v>
      </c>
      <c r="L10810" s="200">
        <f>(SUM(C10810,C10786,C10762,C10738,C10714,C10690,C10666)/SUM(C10642,C10618,C10594,C10570,C10546,C10522,C10498))-1</f>
        <v>-0.50721571590479786</v>
      </c>
      <c r="M10810" s="401">
        <f>SUM(C10810,C10786,C10762,C10738,C10714,C10690,C10666)/POBLA!$B$9*100000</f>
        <v>1077.6727424144035</v>
      </c>
    </row>
    <row r="10811" spans="1:13" x14ac:dyDescent="0.25">
      <c r="A10811" s="367" t="s">
        <v>32</v>
      </c>
      <c r="B10811" s="267">
        <v>44343</v>
      </c>
      <c r="C10811" s="1">
        <v>228</v>
      </c>
      <c r="D10811" s="39">
        <f t="shared" si="1813"/>
        <v>27722</v>
      </c>
      <c r="F10811" s="39">
        <f t="shared" si="1812"/>
        <v>1090</v>
      </c>
      <c r="G10811" s="168">
        <f>SUM(C10811,C10787,C10763,C10739,C10715,C10691,C10667,C10643,C10619,C10595,C10571,C10547,C10523,C10499)/POBLA!$B$10*100000</f>
        <v>224.80771999828769</v>
      </c>
      <c r="H10811" s="256">
        <f t="shared" si="1811"/>
        <v>1.4310487200660611</v>
      </c>
      <c r="I10811" s="297">
        <f t="shared" si="1814"/>
        <v>321.71079996451903</v>
      </c>
      <c r="J10811" s="422">
        <f t="shared" si="1815"/>
        <v>136.28571428571428</v>
      </c>
      <c r="K10811" s="297">
        <f>J10811/POBLA!$B$10*100000</f>
        <v>17.679215635839288</v>
      </c>
      <c r="L10811" s="200">
        <f t="shared" ref="L10811:L10833" si="1816">(SUM(C10811,C10787,C10763,C10739,C10715,C10691,C10667)/SUM(C10643,C10619,C10595,C10571,C10547,C10523,C10499))-1</f>
        <v>0.22464698331193844</v>
      </c>
      <c r="M10811" s="401">
        <f>SUM(C10811,C10787,C10763,C10739,C10715,C10691,C10667)/POBLA!$B$10*100000</f>
        <v>123.75450945087505</v>
      </c>
    </row>
    <row r="10812" spans="1:13" x14ac:dyDescent="0.25">
      <c r="A10812" s="367" t="s">
        <v>33</v>
      </c>
      <c r="B10812" s="267">
        <v>44343</v>
      </c>
      <c r="C10812" s="1">
        <v>692</v>
      </c>
      <c r="D10812" s="39">
        <f t="shared" si="1813"/>
        <v>41165</v>
      </c>
      <c r="E10812" s="1">
        <v>10</v>
      </c>
      <c r="F10812" s="39">
        <f t="shared" si="1812"/>
        <v>534</v>
      </c>
      <c r="G10812" s="168">
        <f>SUM(C10812,C10788,C10764,C10740,C10716,C10692,C10668,C10644,C10620,C10596,C10572,C10548,C10524,C10500)/POBLA!$B$11*100000</f>
        <v>2504.8266318479582</v>
      </c>
      <c r="H10812" s="256">
        <f t="shared" si="1811"/>
        <v>1.6721922145650958</v>
      </c>
      <c r="I10812" s="297">
        <f t="shared" si="1814"/>
        <v>4188.5515926114667</v>
      </c>
      <c r="J10812" s="422">
        <f t="shared" si="1815"/>
        <v>682.42857142857144</v>
      </c>
      <c r="K10812" s="297">
        <f>J10812/POBLA!$B$11*100000</f>
        <v>190.39488305282273</v>
      </c>
      <c r="L10812" s="200">
        <f t="shared" si="1816"/>
        <v>0.13711021185432037</v>
      </c>
      <c r="M10812" s="401">
        <f>SUM(C10812,C10788,C10764,C10740,C10716,C10692,C10668)/POBLA!$B$11*100000</f>
        <v>1332.7641813697592</v>
      </c>
    </row>
    <row r="10813" spans="1:13" x14ac:dyDescent="0.25">
      <c r="A10813" s="367" t="s">
        <v>21</v>
      </c>
      <c r="B10813" s="267">
        <v>44343</v>
      </c>
      <c r="C10813" s="1">
        <v>135</v>
      </c>
      <c r="D10813" s="39">
        <f t="shared" si="1813"/>
        <v>16747</v>
      </c>
      <c r="E10813" s="1">
        <v>2</v>
      </c>
      <c r="F10813" s="39">
        <f t="shared" si="1812"/>
        <v>534</v>
      </c>
      <c r="G10813" s="168">
        <f>SUM(C10813,C10789,C10765,C10741,C10717,C10693,C10669,C10645,C10621,C10597,C10573,C10549,C10525,C10501)/POBLA!$B$12*100000</f>
        <v>584.70616037872492</v>
      </c>
      <c r="H10813" s="256">
        <f t="shared" si="1811"/>
        <v>2.0526315789473686</v>
      </c>
      <c r="I10813" s="297">
        <f t="shared" si="1814"/>
        <v>1200.1863291984355</v>
      </c>
      <c r="J10813" s="422">
        <f t="shared" si="1815"/>
        <v>162.28571428571428</v>
      </c>
      <c r="K10813" s="297">
        <f>J10813/POBLA!$B$12*100000</f>
        <v>41.238355881929067</v>
      </c>
      <c r="L10813" s="200">
        <f t="shared" si="1816"/>
        <v>-2.4892703862660959E-2</v>
      </c>
      <c r="M10813" s="401">
        <f>SUM(C10813,C10789,C10765,C10741,C10717,C10693,C10669)/POBLA!$B$12*100000</f>
        <v>288.66849117350347</v>
      </c>
    </row>
    <row r="10814" spans="1:13" x14ac:dyDescent="0.25">
      <c r="A10814" s="367" t="s">
        <v>17</v>
      </c>
      <c r="B10814" s="267">
        <v>44343</v>
      </c>
      <c r="C10814" s="1">
        <v>1103</v>
      </c>
      <c r="D10814" s="39">
        <f t="shared" si="1813"/>
        <v>117641</v>
      </c>
      <c r="E10814" s="1">
        <v>42</v>
      </c>
      <c r="F10814" s="39">
        <f t="shared" si="1812"/>
        <v>2486</v>
      </c>
      <c r="G10814" s="168">
        <f>SUM(C10814,C10790,C10766,C10742,C10718,C10694,C10670,C10646,C10622,C10598,C10574,C10550,C10526,C10502)/POBLA!$B$13*100000</f>
        <v>568.74761975101717</v>
      </c>
      <c r="H10814" s="256">
        <f t="shared" si="1811"/>
        <v>1.0640097753548265</v>
      </c>
      <c r="I10814" s="297">
        <f t="shared" si="1814"/>
        <v>605.1530271248721</v>
      </c>
      <c r="J10814" s="422">
        <f t="shared" si="1815"/>
        <v>720.85714285714289</v>
      </c>
      <c r="K10814" s="297">
        <f>J10814/POBLA!$B$13*100000</f>
        <v>36.217825457643016</v>
      </c>
      <c r="L10814" s="200">
        <f t="shared" si="1816"/>
        <v>-0.1957284029327383</v>
      </c>
      <c r="M10814" s="401">
        <f>SUM(C10814,C10790,C10766,C10742,C10718,C10694,C10670)/POBLA!$B$13*100000</f>
        <v>253.52477820350109</v>
      </c>
    </row>
    <row r="10815" spans="1:13" x14ac:dyDescent="0.25">
      <c r="A10815" s="367" t="s">
        <v>23</v>
      </c>
      <c r="B10815" s="267">
        <v>44343</v>
      </c>
      <c r="C10815" s="1">
        <v>159</v>
      </c>
      <c r="D10815" s="39">
        <f t="shared" si="1813"/>
        <v>19662</v>
      </c>
      <c r="E10815" s="1">
        <v>8</v>
      </c>
      <c r="F10815" s="39">
        <f t="shared" si="1812"/>
        <v>286</v>
      </c>
      <c r="G10815" s="168">
        <f>SUM(C10815,C10791,C10767,C10743,C10719,C10695,C10671,C10647,C10623,C10599,C10575,C10551,C10527,C10503)/POBLA!$B$14*100000</f>
        <v>171.33198128271442</v>
      </c>
      <c r="H10815" s="256">
        <f t="shared" si="1811"/>
        <v>1.0892137096774193</v>
      </c>
      <c r="I10815" s="297">
        <f t="shared" si="1814"/>
        <v>186.61714291932753</v>
      </c>
      <c r="J10815" s="422">
        <f t="shared" si="1815"/>
        <v>162.42857142857142</v>
      </c>
      <c r="K10815" s="297">
        <f>J10815/POBLA!$B$14*100000</f>
        <v>12.877931031826952</v>
      </c>
      <c r="L10815" s="200">
        <f t="shared" si="1816"/>
        <v>0.1103515625</v>
      </c>
      <c r="M10815" s="401">
        <f>SUM(C10815,C10791,C10767,C10743,C10719,C10695,C10671)/POBLA!$B$14*100000</f>
        <v>90.145517222788655</v>
      </c>
    </row>
    <row r="10816" spans="1:13" x14ac:dyDescent="0.25">
      <c r="A10816" s="367" t="s">
        <v>19</v>
      </c>
      <c r="B10816" s="267">
        <v>44343</v>
      </c>
      <c r="C10816" s="1">
        <v>903</v>
      </c>
      <c r="D10816" s="39">
        <f t="shared" si="1813"/>
        <v>87335</v>
      </c>
      <c r="E10816" s="1">
        <v>16</v>
      </c>
      <c r="F10816" s="39">
        <f t="shared" si="1812"/>
        <v>1291</v>
      </c>
      <c r="G10816" s="168">
        <f>SUM(C10816,C10792,C10768,C10744,C10720,C10696,C10672,C10648,C10624,C10600,C10576,C10552,C10528,C10504)/POBLA!$B$15*100000</f>
        <v>1549.8669541921852</v>
      </c>
      <c r="H10816" s="256">
        <f t="shared" si="1811"/>
        <v>1.640682289175833</v>
      </c>
      <c r="I10816" s="297">
        <f t="shared" si="1814"/>
        <v>2542.8392623220102</v>
      </c>
      <c r="J10816" s="422">
        <f t="shared" si="1815"/>
        <v>848.14285714285711</v>
      </c>
      <c r="K10816" s="297">
        <f>J10816/POBLA!$B$15*100000</f>
        <v>127.72139396811677</v>
      </c>
      <c r="L10816" s="200">
        <f t="shared" si="1816"/>
        <v>0.36326061997703785</v>
      </c>
      <c r="M10816" s="401">
        <f>SUM(C10816,C10792,C10768,C10744,C10720,C10696,C10672)/POBLA!$B$15*100000</f>
        <v>894.04975777681739</v>
      </c>
    </row>
    <row r="10817" spans="1:13" x14ac:dyDescent="0.25">
      <c r="A10817" s="367" t="s">
        <v>18</v>
      </c>
      <c r="B10817" s="267">
        <v>44343</v>
      </c>
      <c r="C10817" s="1">
        <v>728</v>
      </c>
      <c r="D10817" s="39">
        <f t="shared" si="1813"/>
        <v>72381</v>
      </c>
      <c r="E10817" s="1">
        <v>22</v>
      </c>
      <c r="F10817" s="39">
        <f t="shared" si="1812"/>
        <v>1559</v>
      </c>
      <c r="G10817" s="168">
        <f>SUM(C10817,C10793,C10769,C10745,C10721,C10697,C10673,C10649,C10625,C10601,C10577,C10553,C10529,C10505)/POBLA!$B$16*100000</f>
        <v>910.9027434089968</v>
      </c>
      <c r="H10817" s="256">
        <f t="shared" si="1811"/>
        <v>1.5459704880817253</v>
      </c>
      <c r="I10817" s="297">
        <f t="shared" si="1814"/>
        <v>1408.2287588229894</v>
      </c>
      <c r="J10817" s="422">
        <f t="shared" si="1815"/>
        <v>546.14285714285711</v>
      </c>
      <c r="K10817" s="297">
        <f>J10817/POBLA!$B$16*100000</f>
        <v>73.051839480859954</v>
      </c>
      <c r="L10817" s="200">
        <f t="shared" si="1816"/>
        <v>0.27987947773685962</v>
      </c>
      <c r="M10817" s="401">
        <f>SUM(C10817,C10793,C10769,C10745,C10721,C10697,C10673)/POBLA!$B$16*100000</f>
        <v>511.36287636601969</v>
      </c>
    </row>
    <row r="10818" spans="1:13" x14ac:dyDescent="0.25">
      <c r="A10818" s="367" t="s">
        <v>34</v>
      </c>
      <c r="B10818" s="267">
        <v>44343</v>
      </c>
      <c r="C10818" s="1">
        <v>615</v>
      </c>
      <c r="D10818" s="39">
        <f t="shared" si="1813"/>
        <v>43521</v>
      </c>
      <c r="E10818" s="1">
        <v>12</v>
      </c>
      <c r="F10818" s="39">
        <f t="shared" si="1812"/>
        <v>1376</v>
      </c>
      <c r="G10818" s="168">
        <f>SUM(C10818,C10794,C10770,C10746,C10722,C10698,C10674,C10650,C10626,C10602,C10578,C10554,C10530,C10506)/POBLA!$B$17*100000</f>
        <v>410.77031192848625</v>
      </c>
      <c r="H10818" s="256">
        <f t="shared" ref="H10818:H10841" si="1817">SUM(C10818,C10794,C10770,C10746,C10722,C10698,C10674,C10650,C10626,C10602,C10578,C10554,C10530,C10506)/SUM(C10482,C10458,C10434,C10410,C10386,C10362,C10338,C10314,C10290,C10266,C10242,C10218,C10194,C10170)</f>
        <v>1.8574603174603175</v>
      </c>
      <c r="I10818" s="297">
        <f t="shared" si="1814"/>
        <v>762.98955399795966</v>
      </c>
      <c r="J10818" s="422">
        <f t="shared" si="1815"/>
        <v>456.57142857142856</v>
      </c>
      <c r="K10818" s="297">
        <f>J10818/POBLA!$B$17*100000</f>
        <v>32.053664011608319</v>
      </c>
      <c r="L10818" s="200">
        <f t="shared" si="1816"/>
        <v>0.20376647834274952</v>
      </c>
      <c r="M10818" s="401">
        <f>SUM(C10818,C10794,C10770,C10746,C10722,C10698,C10674)/POBLA!$B$17*100000</f>
        <v>224.37564808125825</v>
      </c>
    </row>
    <row r="10819" spans="1:13" x14ac:dyDescent="0.25">
      <c r="A10819" s="367" t="s">
        <v>35</v>
      </c>
      <c r="B10819" s="267">
        <v>44343</v>
      </c>
      <c r="C10819" s="1">
        <v>750</v>
      </c>
      <c r="D10819" s="39">
        <f t="shared" si="1813"/>
        <v>34971</v>
      </c>
      <c r="E10819" s="1">
        <v>9</v>
      </c>
      <c r="F10819" s="39">
        <f t="shared" si="1812"/>
        <v>608</v>
      </c>
      <c r="G10819" s="168">
        <f>SUM(C10819,C10795,C10771,C10747,C10723,C10699,C10675,C10651,C10627,C10603,C10579,C10555,C10531,C10507)/POBLA!$B$18*100000</f>
        <v>886.18143230370038</v>
      </c>
      <c r="H10819" s="256">
        <f t="shared" si="1817"/>
        <v>1.4661160525201187</v>
      </c>
      <c r="I10819" s="297">
        <f t="shared" si="1814"/>
        <v>1299.244823345726</v>
      </c>
      <c r="J10819" s="422">
        <f t="shared" si="1815"/>
        <v>445</v>
      </c>
      <c r="K10819" s="297">
        <f>J10819/POBLA!$B$18*100000</f>
        <v>56.962406092033326</v>
      </c>
      <c r="L10819" s="200">
        <f t="shared" si="1816"/>
        <v>-0.18198529411764708</v>
      </c>
      <c r="M10819" s="401">
        <f>SUM(C10819,C10795,C10771,C10747,C10723,C10699,C10675)/POBLA!$B$18*100000</f>
        <v>398.73684264423326</v>
      </c>
    </row>
    <row r="10820" spans="1:13" x14ac:dyDescent="0.25">
      <c r="A10820" s="367" t="s">
        <v>36</v>
      </c>
      <c r="B10820" s="267">
        <v>44343</v>
      </c>
      <c r="C10820" s="1">
        <v>503</v>
      </c>
      <c r="D10820" s="39">
        <f t="shared" si="1813"/>
        <v>50859</v>
      </c>
      <c r="E10820" s="1">
        <v>9</v>
      </c>
      <c r="F10820" s="39">
        <f t="shared" si="1812"/>
        <v>675</v>
      </c>
      <c r="G10820" s="168">
        <f>SUM(C10820,C10796,C10772,C10748,C10724,C10700,C10676,C10652,C10628,C10604,C10580,C10556,C10532,C10508)/POBLA!$B$19*100000</f>
        <v>1463.6219134102391</v>
      </c>
      <c r="H10820" s="256">
        <f t="shared" si="1817"/>
        <v>1.1504561620535023</v>
      </c>
      <c r="I10820" s="297">
        <f t="shared" si="1814"/>
        <v>1683.8328491993473</v>
      </c>
      <c r="J10820" s="422">
        <f t="shared" si="1815"/>
        <v>602</v>
      </c>
      <c r="K10820" s="297">
        <f>J10820/POBLA!$B$19*100000</f>
        <v>118.42747202593601</v>
      </c>
      <c r="L10820" s="200">
        <f t="shared" si="1816"/>
        <v>0.30626162430254178</v>
      </c>
      <c r="M10820" s="401">
        <f>SUM(C10820,C10796,C10772,C10748,C10724,C10700,C10676)/POBLA!$B$19*100000</f>
        <v>828.99230418155207</v>
      </c>
    </row>
    <row r="10821" spans="1:13" x14ac:dyDescent="0.25">
      <c r="A10821" s="367" t="s">
        <v>37</v>
      </c>
      <c r="B10821" s="267">
        <v>44343</v>
      </c>
      <c r="C10821" s="1">
        <v>194</v>
      </c>
      <c r="D10821" s="39">
        <f t="shared" si="1813"/>
        <v>50805</v>
      </c>
      <c r="F10821" s="39">
        <f t="shared" si="1812"/>
        <v>779</v>
      </c>
      <c r="G10821" s="168">
        <f>SUM(C10821,C10797,C10773,C10749,C10725,C10701,C10677,C10653,C10629,C10605,C10581,C10557,C10533,C10509)/POBLA!$B$20*100000</f>
        <v>914.96261942914646</v>
      </c>
      <c r="H10821" s="256">
        <f t="shared" si="1817"/>
        <v>1.1277384563532187</v>
      </c>
      <c r="I10821" s="297">
        <f t="shared" si="1814"/>
        <v>1031.8385320559232</v>
      </c>
      <c r="J10821" s="422">
        <f t="shared" si="1815"/>
        <v>207</v>
      </c>
      <c r="K10821" s="297">
        <f>J10821/POBLA!$B$20*100000</f>
        <v>56.604083150577807</v>
      </c>
      <c r="L10821" s="200">
        <f t="shared" si="1816"/>
        <v>-0.23616236162361626</v>
      </c>
      <c r="M10821" s="401">
        <f>SUM(C10821,C10797,C10773,C10749,C10725,C10701,C10677)/POBLA!$B$20*100000</f>
        <v>396.22858205404458</v>
      </c>
    </row>
    <row r="10822" spans="1:13" x14ac:dyDescent="0.25">
      <c r="A10822" s="367" t="s">
        <v>22</v>
      </c>
      <c r="B10822" s="267">
        <v>44343</v>
      </c>
      <c r="C10822" s="1">
        <v>3542</v>
      </c>
      <c r="D10822" s="39">
        <f t="shared" si="1813"/>
        <v>333246</v>
      </c>
      <c r="E10822" s="1">
        <v>103</v>
      </c>
      <c r="F10822" s="39">
        <f t="shared" si="1812"/>
        <v>5399</v>
      </c>
      <c r="G10822" s="168">
        <f>SUM(C10822,C10798,C10774,C10750,C10726,C10702,C10678,C10654,C10630,C10606,C10582,C10558,C10534,C10510)/POBLA!$B$21*100000</f>
        <v>1024.907123535736</v>
      </c>
      <c r="H10822" s="256">
        <f t="shared" si="1817"/>
        <v>1.4748128255208333</v>
      </c>
      <c r="I10822" s="297">
        <f t="shared" si="1814"/>
        <v>1511.5461707581685</v>
      </c>
      <c r="J10822" s="422">
        <f t="shared" si="1815"/>
        <v>2755.1428571428573</v>
      </c>
      <c r="K10822" s="297">
        <f>J10822/POBLA!$B$21*100000</f>
        <v>77.907726324853499</v>
      </c>
      <c r="L10822" s="200">
        <f t="shared" si="1816"/>
        <v>0.1372132790848517</v>
      </c>
      <c r="M10822" s="401">
        <f>SUM(C10822,C10798,C10774,C10750,C10726,C10702,C10678)/POBLA!$B$21*100000</f>
        <v>545.35408427397442</v>
      </c>
    </row>
    <row r="10823" spans="1:13" x14ac:dyDescent="0.25">
      <c r="A10823" s="367" t="s">
        <v>38</v>
      </c>
      <c r="B10823" s="267">
        <v>44343</v>
      </c>
      <c r="C10823" s="1">
        <v>582</v>
      </c>
      <c r="D10823" s="39">
        <f t="shared" si="1813"/>
        <v>41666</v>
      </c>
      <c r="E10823" s="1">
        <v>8</v>
      </c>
      <c r="F10823" s="39">
        <f t="shared" si="1812"/>
        <v>484</v>
      </c>
      <c r="G10823" s="168">
        <f>SUM(C10823,C10799,C10775,C10751,C10727,C10703,C10679,C10655,C10631,C10607,C10583,C10559,C10535,C10511)/POBLA!$B$22*100000</f>
        <v>783.59379871268186</v>
      </c>
      <c r="H10823" s="256">
        <f t="shared" si="1817"/>
        <v>2.1796986067671309</v>
      </c>
      <c r="I10823" s="297">
        <f t="shared" si="1814"/>
        <v>1707.9983113253963</v>
      </c>
      <c r="J10823" s="422">
        <f t="shared" si="1815"/>
        <v>576.85714285714289</v>
      </c>
      <c r="K10823" s="297">
        <f>J10823/POBLA!$B$22*100000</f>
        <v>58.964476896161344</v>
      </c>
      <c r="L10823" s="200">
        <f t="shared" si="1816"/>
        <v>0.11300992282249167</v>
      </c>
      <c r="M10823" s="401">
        <f>SUM(C10823,C10799,C10775,C10751,C10727,C10703,C10679)/POBLA!$B$22*100000</f>
        <v>412.75133827312936</v>
      </c>
    </row>
    <row r="10824" spans="1:13" x14ac:dyDescent="0.25">
      <c r="A10824" s="367" t="s">
        <v>39</v>
      </c>
      <c r="B10824" s="267">
        <v>44343</v>
      </c>
      <c r="C10824" s="1">
        <v>79</v>
      </c>
      <c r="D10824" s="39">
        <f t="shared" si="1813"/>
        <v>28298</v>
      </c>
      <c r="F10824" s="39">
        <f t="shared" si="1812"/>
        <v>413</v>
      </c>
      <c r="G10824" s="168">
        <f>SUM(C10824,C10800,C10776,C10752,C10728,C10704,C10680,C10656,C10632,C10608,C10584,C10560,C10536,C10512)/POBLA!$B$23*100000</f>
        <v>532.14952213990841</v>
      </c>
      <c r="H10824" s="256">
        <f t="shared" si="1817"/>
        <v>0.95339412360688958</v>
      </c>
      <c r="I10824" s="297">
        <f t="shared" si="1814"/>
        <v>507.34822728840305</v>
      </c>
      <c r="J10824" s="422">
        <f t="shared" si="1815"/>
        <v>63.714285714285715</v>
      </c>
      <c r="K10824" s="297">
        <f>J10824/POBLA!$B$23*100000</f>
        <v>36.031377998238824</v>
      </c>
      <c r="L10824" s="200">
        <f t="shared" si="1816"/>
        <v>-9.8989898989898961E-2</v>
      </c>
      <c r="M10824" s="401">
        <f>SUM(C10824,C10800,C10776,C10752,C10728,C10704,C10680)/POBLA!$B$23*100000</f>
        <v>252.21964598767178</v>
      </c>
    </row>
    <row r="10825" spans="1:13" ht="15.75" thickBot="1" x14ac:dyDescent="0.3">
      <c r="A10825" s="368" t="s">
        <v>40</v>
      </c>
      <c r="B10825" s="268">
        <v>44343</v>
      </c>
      <c r="C10825" s="232">
        <v>2206</v>
      </c>
      <c r="D10825" s="67">
        <f t="shared" si="1813"/>
        <v>126366</v>
      </c>
      <c r="E10825" s="232">
        <v>11</v>
      </c>
      <c r="F10825" s="67">
        <f t="shared" si="1812"/>
        <v>1854</v>
      </c>
      <c r="G10825" s="255">
        <f>SUM(C10825,C10801,C10777,C10753,C10729,C10705,C10681,C10657,C10633,C10609,C10585,C10561,C10537,C10513)/POBLA!$B$24*100000</f>
        <v>767.53040145020589</v>
      </c>
      <c r="H10825" s="257">
        <f t="shared" si="1817"/>
        <v>1.6892207792207792</v>
      </c>
      <c r="I10825" s="299">
        <f t="shared" si="1814"/>
        <v>1296.5283028133542</v>
      </c>
      <c r="J10825" s="428">
        <f t="shared" si="1815"/>
        <v>1080.7142857142858</v>
      </c>
      <c r="K10825" s="299">
        <f>J10825/POBLA!$B$24*100000</f>
        <v>63.771897406570169</v>
      </c>
      <c r="L10825" s="260">
        <f t="shared" si="1816"/>
        <v>0.39011392870268291</v>
      </c>
      <c r="M10825" s="406">
        <f>SUM(C10825,C10801,C10777,C10753,C10729,C10705,C10681)/POBLA!$B$24*100000</f>
        <v>446.40328184599116</v>
      </c>
    </row>
    <row r="10826" spans="1:13" x14ac:dyDescent="0.25">
      <c r="A10826" s="363" t="s">
        <v>16</v>
      </c>
      <c r="B10826" s="265">
        <v>44344</v>
      </c>
      <c r="C10826" s="356">
        <v>15035</v>
      </c>
      <c r="D10826" s="174">
        <f t="shared" si="1813"/>
        <v>1582856</v>
      </c>
      <c r="E10826" s="43">
        <v>240</v>
      </c>
      <c r="F10826" s="174">
        <f t="shared" ref="F10826:F10849" si="1818">E10826+F10802</f>
        <v>39526</v>
      </c>
      <c r="G10826" s="175">
        <f>SUM(C10826,C10802,C10778,C10754,C10730,C10706,C10682,C10658,C10634,C10610,C10586,C10562,C10538,C10514)/POBLA!$B$1*100000</f>
        <v>896.53803022277748</v>
      </c>
      <c r="H10826" s="300">
        <f t="shared" si="1817"/>
        <v>1.2512471655328798</v>
      </c>
      <c r="I10826" s="301">
        <f>G10826*H10826</f>
        <v>1121.7906691086816</v>
      </c>
      <c r="J10826" s="421">
        <f>AVERAGE(C10826,C10802,C10778,C10754,C10730,C10706,C10682)</f>
        <v>11087.428571428571</v>
      </c>
      <c r="K10826" s="301">
        <f>J10826/POBLA!$B$1*100000</f>
        <v>63.208137779797624</v>
      </c>
      <c r="L10826" s="399">
        <f t="shared" si="1816"/>
        <v>-2.5599176407075874E-2</v>
      </c>
      <c r="M10826" s="400">
        <f>SUM(C10826,C10802,C10778,C10754,C10730,C10706,C10682)/POBLA!$B$1*100000</f>
        <v>442.4569644585834</v>
      </c>
    </row>
    <row r="10827" spans="1:13" x14ac:dyDescent="0.25">
      <c r="A10827" s="367" t="s">
        <v>43</v>
      </c>
      <c r="B10827" s="2">
        <v>44344</v>
      </c>
      <c r="C10827" s="4">
        <v>3026</v>
      </c>
      <c r="D10827" s="39">
        <f t="shared" si="1813"/>
        <v>412061</v>
      </c>
      <c r="E10827" s="1">
        <v>45</v>
      </c>
      <c r="F10827" s="39">
        <f t="shared" si="1818"/>
        <v>9019</v>
      </c>
      <c r="G10827" s="168">
        <f>SUM(C10827,C10803,C10779,C10755,C10731,C10707,C10683,C10659,C10635,C10611,C10587,C10563,C10539,C10515)/POBLA!$B$2*100000</f>
        <v>1238.6015815864375</v>
      </c>
      <c r="H10827" s="256">
        <f t="shared" si="1817"/>
        <v>1.196977314145667</v>
      </c>
      <c r="I10827" s="297">
        <f t="shared" ref="I10827:I10849" si="1819">G10827*H10827</f>
        <v>1482.5779944239093</v>
      </c>
      <c r="J10827" s="422">
        <f t="shared" ref="J10827:J10849" si="1820">AVERAGE(C10827,C10803,C10779,C10755,C10731,C10707,C10683)</f>
        <v>2715</v>
      </c>
      <c r="K10827" s="297">
        <f>J10827/POBLA!$B$2*100000</f>
        <v>88.274138181052038</v>
      </c>
      <c r="L10827" s="200">
        <f t="shared" si="1816"/>
        <v>-4.4525929806181752E-3</v>
      </c>
      <c r="M10827" s="401">
        <f>SUM(C10827,C10803,C10779,C10755,C10731,C10707,C10683)/POBLA!$B$2*100000</f>
        <v>617.91896726736434</v>
      </c>
    </row>
    <row r="10828" spans="1:13" x14ac:dyDescent="0.25">
      <c r="A10828" s="367" t="s">
        <v>28</v>
      </c>
      <c r="B10828" s="2">
        <v>44344</v>
      </c>
      <c r="C10828" s="4">
        <v>422</v>
      </c>
      <c r="D10828" s="39">
        <f t="shared" si="1813"/>
        <v>22623</v>
      </c>
      <c r="E10828" s="1">
        <v>3</v>
      </c>
      <c r="F10828" s="39">
        <f t="shared" si="1818"/>
        <v>168</v>
      </c>
      <c r="G10828" s="168">
        <f>SUM(C10828,C10804,C10780,C10756,C10732,C10708,C10684,C10660,C10636,C10612,C10588,C10564,C10540,C10516)/POBLA!$B$3*100000</f>
        <v>1297.6665591496205</v>
      </c>
      <c r="H10828" s="256">
        <f t="shared" si="1817"/>
        <v>2.3107586798114017</v>
      </c>
      <c r="I10828" s="297">
        <f t="shared" si="1819"/>
        <v>2998.5942650559814</v>
      </c>
      <c r="J10828" s="422">
        <f t="shared" si="1820"/>
        <v>398</v>
      </c>
      <c r="K10828" s="297">
        <f>J10828/POBLA!$B$3*100000</f>
        <v>95.802502419133546</v>
      </c>
      <c r="L10828" s="200">
        <f t="shared" si="1816"/>
        <v>6.9481765834932929E-2</v>
      </c>
      <c r="M10828" s="401">
        <f>SUM(C10828,C10804,C10780,C10756,C10732,C10708,C10684)/POBLA!$B$3*100000</f>
        <v>670.61751693393478</v>
      </c>
    </row>
    <row r="10829" spans="1:13" x14ac:dyDescent="0.25">
      <c r="A10829" s="367" t="s">
        <v>15</v>
      </c>
      <c r="B10829" s="2">
        <v>44344</v>
      </c>
      <c r="C10829" s="4">
        <v>727</v>
      </c>
      <c r="D10829" s="39">
        <f t="shared" si="1813"/>
        <v>56675</v>
      </c>
      <c r="E10829" s="1">
        <v>11</v>
      </c>
      <c r="F10829" s="39">
        <f t="shared" si="1818"/>
        <v>1205</v>
      </c>
      <c r="G10829" s="168">
        <f>SUM(C10829,C10805,C10781,C10757,C10733,C10709,C10685,C10661,C10637,C10613,C10589,C10565,C10541,C10517)/POBLA!$B$4*100000</f>
        <v>660.33451746349851</v>
      </c>
      <c r="H10829" s="256">
        <f t="shared" si="1817"/>
        <v>2.0306356905795253</v>
      </c>
      <c r="I10829" s="297">
        <f t="shared" si="1819"/>
        <v>1340.8988388829889</v>
      </c>
      <c r="J10829" s="422">
        <f t="shared" si="1820"/>
        <v>634.28571428571433</v>
      </c>
      <c r="K10829" s="297">
        <f>J10829/POBLA!$B$4*100000</f>
        <v>52.657876675490023</v>
      </c>
      <c r="L10829" s="200">
        <f t="shared" si="1816"/>
        <v>0.26351735913488894</v>
      </c>
      <c r="M10829" s="401">
        <f>SUM(C10829,C10805,C10781,C10757,C10733,C10709,C10685)/POBLA!$B$4*100000</f>
        <v>368.60513672843018</v>
      </c>
    </row>
    <row r="10830" spans="1:13" x14ac:dyDescent="0.25">
      <c r="A10830" s="367" t="s">
        <v>29</v>
      </c>
      <c r="B10830" s="2">
        <v>44344</v>
      </c>
      <c r="C10830" s="4">
        <v>440</v>
      </c>
      <c r="D10830" s="39">
        <f t="shared" si="1813"/>
        <v>61861</v>
      </c>
      <c r="E10830" s="1">
        <v>27</v>
      </c>
      <c r="F10830" s="39">
        <f t="shared" si="1818"/>
        <v>1040</v>
      </c>
      <c r="G10830" s="168">
        <f>SUM(C10830,C10806,C10782,C10758,C10734,C10710,C10686,C10662,C10638,C10614,C10590,C10566,C10542,C10518)/POBLA!$B$5*100000</f>
        <v>694.83710666016145</v>
      </c>
      <c r="H10830" s="256">
        <f t="shared" si="1817"/>
        <v>1.6024590163934427</v>
      </c>
      <c r="I10830" s="297">
        <f t="shared" si="1819"/>
        <v>1113.447986492308</v>
      </c>
      <c r="J10830" s="422">
        <f t="shared" si="1820"/>
        <v>329.71428571428572</v>
      </c>
      <c r="K10830" s="297">
        <f>J10830/POBLA!$B$5*100000</f>
        <v>53.266152129792161</v>
      </c>
      <c r="L10830" s="200">
        <f t="shared" si="1816"/>
        <v>0.15805318615153041</v>
      </c>
      <c r="M10830" s="401">
        <f>SUM(C10830,C10806,C10782,C10758,C10734,C10710,C10686)/POBLA!$B$5*100000</f>
        <v>372.8630649085452</v>
      </c>
    </row>
    <row r="10831" spans="1:13" x14ac:dyDescent="0.25">
      <c r="A10831" s="367" t="s">
        <v>30</v>
      </c>
      <c r="B10831" s="2">
        <v>44344</v>
      </c>
      <c r="C10831" s="4">
        <v>491</v>
      </c>
      <c r="D10831" s="39">
        <f t="shared" si="1813"/>
        <v>49744</v>
      </c>
      <c r="E10831" s="1">
        <v>1</v>
      </c>
      <c r="F10831" s="39">
        <f t="shared" si="1818"/>
        <v>602</v>
      </c>
      <c r="G10831" s="168">
        <f>SUM(C10831,C10807,C10783,C10759,C10735,C10711,C10687,C10663,C10639,C10615,C10591,C10567,C10543,C10519)/POBLA!$B$6*100000</f>
        <v>846.35898790240185</v>
      </c>
      <c r="H10831" s="256">
        <f t="shared" si="1817"/>
        <v>3.4382022471910112</v>
      </c>
      <c r="I10831" s="297">
        <f t="shared" si="1819"/>
        <v>2909.953374136348</v>
      </c>
      <c r="J10831" s="422">
        <f t="shared" si="1820"/>
        <v>986.14285714285711</v>
      </c>
      <c r="K10831" s="297">
        <f>J10831/POBLA!$B$6*100000</f>
        <v>87.985544012082173</v>
      </c>
      <c r="L10831" s="200">
        <f t="shared" si="1816"/>
        <v>1.6724738675958188</v>
      </c>
      <c r="M10831" s="401">
        <f>SUM(C10831,C10807,C10783,C10759,C10735,C10711,C10687)/POBLA!$B$6*100000</f>
        <v>615.89880808457531</v>
      </c>
    </row>
    <row r="10832" spans="1:13" x14ac:dyDescent="0.25">
      <c r="A10832" s="367" t="s">
        <v>20</v>
      </c>
      <c r="B10832" s="2">
        <v>44344</v>
      </c>
      <c r="C10832" s="4">
        <v>4654</v>
      </c>
      <c r="D10832" s="39">
        <f t="shared" si="1813"/>
        <v>301483</v>
      </c>
      <c r="E10832" s="1">
        <v>35</v>
      </c>
      <c r="F10832" s="39">
        <f t="shared" si="1818"/>
        <v>3845</v>
      </c>
      <c r="G10832" s="168">
        <f>SUM(C10832,C10808,C10784,C10760,C10736,C10712,C10688,C10664,C10640,C10616,C10592,C10568,C10544,C10520)/POBLA!$B$7*100000</f>
        <v>1298.4882128468669</v>
      </c>
      <c r="H10832" s="256">
        <f t="shared" si="1817"/>
        <v>1.9266493055555556</v>
      </c>
      <c r="I10832" s="297">
        <f t="shared" si="1819"/>
        <v>2501.7314135534907</v>
      </c>
      <c r="J10832" s="422">
        <f t="shared" si="1820"/>
        <v>3966.8571428571427</v>
      </c>
      <c r="K10832" s="297">
        <f>J10832/POBLA!$B$7*100000</f>
        <v>105.4888947561367</v>
      </c>
      <c r="L10832" s="200">
        <f t="shared" si="1816"/>
        <v>0.31845591377427462</v>
      </c>
      <c r="M10832" s="401">
        <f>SUM(C10832,C10808,C10784,C10760,C10736,C10712,C10688)/POBLA!$B$7*100000</f>
        <v>738.42226329295693</v>
      </c>
    </row>
    <row r="10833" spans="1:13" x14ac:dyDescent="0.25">
      <c r="A10833" s="367" t="s">
        <v>31</v>
      </c>
      <c r="B10833" s="2">
        <v>44344</v>
      </c>
      <c r="C10833" s="4">
        <v>1476</v>
      </c>
      <c r="D10833" s="39">
        <f t="shared" si="1813"/>
        <v>83151</v>
      </c>
      <c r="E10833" s="1">
        <v>13</v>
      </c>
      <c r="F10833" s="39">
        <f t="shared" si="1818"/>
        <v>1299</v>
      </c>
      <c r="G10833" s="168">
        <f>SUM(C10833,C10809,C10785,C10761,C10737,C10713,C10689,C10665,C10641,C10617,C10593,C10569,C10545,C10521)/POBLA!$B$8*100000</f>
        <v>877.44171733548058</v>
      </c>
      <c r="H10833" s="256">
        <f t="shared" si="1817"/>
        <v>1.5110586481113319</v>
      </c>
      <c r="I10833" s="297">
        <f t="shared" si="1819"/>
        <v>1325.8658951934367</v>
      </c>
      <c r="J10833" s="422">
        <f t="shared" si="1820"/>
        <v>922.71428571428567</v>
      </c>
      <c r="K10833" s="297">
        <f>J10833/POBLA!$B$8*100000</f>
        <v>66.575775632523971</v>
      </c>
      <c r="L10833" s="200">
        <f t="shared" si="1816"/>
        <v>0.13276043493511058</v>
      </c>
      <c r="M10833" s="401">
        <f>SUM(C10833,C10809,C10785,C10761,C10737,C10713,C10689)/POBLA!$B$8*100000</f>
        <v>466.03042942766791</v>
      </c>
    </row>
    <row r="10834" spans="1:13" x14ac:dyDescent="0.25">
      <c r="A10834" s="367" t="s">
        <v>41</v>
      </c>
      <c r="B10834" s="2">
        <v>44344</v>
      </c>
      <c r="C10834" s="4">
        <v>1203</v>
      </c>
      <c r="D10834" s="39">
        <f t="shared" si="1813"/>
        <v>27849</v>
      </c>
      <c r="E10834" s="1">
        <v>25</v>
      </c>
      <c r="F10834" s="39">
        <f t="shared" si="1818"/>
        <v>452</v>
      </c>
      <c r="G10834" s="168">
        <f>SUM(C10834,C10810,C10786,C10762,C10738,C10714,C10690,C10666,C10642,C10618,C10594,C10570,C10546,C10522)/POBLA!$B$9*100000</f>
        <v>3455.2613794277195</v>
      </c>
      <c r="H10834" s="256">
        <f t="shared" si="1817"/>
        <v>8.6623860811930413</v>
      </c>
      <c r="I10834" s="297">
        <f>G10834*H10834</f>
        <v>29930.808080038547</v>
      </c>
      <c r="J10834" s="422">
        <f t="shared" si="1820"/>
        <v>948.14285714285711</v>
      </c>
      <c r="K10834" s="297">
        <f>J10834/POBLA!$B$9*100000</f>
        <v>156.66784928822</v>
      </c>
      <c r="L10834" s="200">
        <f>(SUM(C10834,C10810,C10786,C10762,C10738,C10714,C10690)/SUM(C10666,C10642,C10618,C10594,C10570,C10546,C10522))-1</f>
        <v>-0.53502872355331377</v>
      </c>
      <c r="M10834" s="401">
        <f>SUM(C10834,C10810,C10786,C10762,C10738,C10714,C10690)/POBLA!$B$9*100000</f>
        <v>1096.6749450175398</v>
      </c>
    </row>
    <row r="10835" spans="1:13" x14ac:dyDescent="0.25">
      <c r="A10835" s="367" t="s">
        <v>32</v>
      </c>
      <c r="B10835" s="2">
        <v>44344</v>
      </c>
      <c r="C10835" s="4">
        <v>182</v>
      </c>
      <c r="D10835" s="39">
        <f t="shared" si="1813"/>
        <v>27904</v>
      </c>
      <c r="F10835" s="39">
        <f t="shared" si="1818"/>
        <v>1090</v>
      </c>
      <c r="G10835" s="168">
        <f>SUM(C10835,C10811,C10787,C10763,C10739,C10715,C10691,C10667,C10643,C10619,C10595,C10571,C10547,C10523)/POBLA!$B$10*100000</f>
        <v>235.8340651799694</v>
      </c>
      <c r="H10835" s="256">
        <f t="shared" si="1817"/>
        <v>1.4913863822805578</v>
      </c>
      <c r="I10835" s="297">
        <f t="shared" si="1819"/>
        <v>351.71971328727182</v>
      </c>
      <c r="J10835" s="422">
        <f t="shared" si="1820"/>
        <v>141.42857142857142</v>
      </c>
      <c r="K10835" s="297">
        <f>J10835/POBLA!$B$10*100000</f>
        <v>18.34635584851247</v>
      </c>
      <c r="L10835" s="200">
        <f t="shared" ref="L10835:L10857" si="1821">(SUM(C10835,C10811,C10787,C10763,C10739,C10715,C10691)/SUM(C10667,C10643,C10619,C10595,C10571,C10547,C10523))-1</f>
        <v>0.19565217391304346</v>
      </c>
      <c r="M10835" s="401">
        <f>SUM(C10835,C10811,C10787,C10763,C10739,C10715,C10691)/POBLA!$B$10*100000</f>
        <v>128.42449093958729</v>
      </c>
    </row>
    <row r="10836" spans="1:13" x14ac:dyDescent="0.25">
      <c r="A10836" s="367" t="s">
        <v>33</v>
      </c>
      <c r="B10836" s="2">
        <v>44344</v>
      </c>
      <c r="C10836" s="4">
        <v>570</v>
      </c>
      <c r="D10836" s="39">
        <f t="shared" si="1813"/>
        <v>41735</v>
      </c>
      <c r="E10836" s="1">
        <v>10</v>
      </c>
      <c r="F10836" s="39">
        <f t="shared" si="1818"/>
        <v>544</v>
      </c>
      <c r="G10836" s="168">
        <f>SUM(C10836,C10812,C10788,C10764,C10740,C10716,C10692,C10668,C10644,C10620,C10596,C10572,C10548,C10524)/POBLA!$B$11*100000</f>
        <v>2482.5069470019084</v>
      </c>
      <c r="H10836" s="256">
        <f t="shared" si="1817"/>
        <v>1.55913790082355</v>
      </c>
      <c r="I10836" s="297">
        <f t="shared" si="1819"/>
        <v>3870.5706701284353</v>
      </c>
      <c r="J10836" s="422">
        <f t="shared" si="1820"/>
        <v>641</v>
      </c>
      <c r="K10836" s="297">
        <f>J10836/POBLA!$B$11*100000</f>
        <v>178.83647482897541</v>
      </c>
      <c r="L10836" s="200">
        <f t="shared" si="1821"/>
        <v>1.7229653139877676E-2</v>
      </c>
      <c r="M10836" s="401">
        <f>SUM(C10836,C10812,C10788,C10764,C10740,C10716,C10692)/POBLA!$B$11*100000</f>
        <v>1251.855323802828</v>
      </c>
    </row>
    <row r="10837" spans="1:13" x14ac:dyDescent="0.25">
      <c r="A10837" s="367" t="s">
        <v>21</v>
      </c>
      <c r="B10837" s="2">
        <v>44344</v>
      </c>
      <c r="C10837" s="4">
        <v>210</v>
      </c>
      <c r="D10837" s="39">
        <f t="shared" si="1813"/>
        <v>16957</v>
      </c>
      <c r="F10837" s="39">
        <f t="shared" si="1818"/>
        <v>534</v>
      </c>
      <c r="G10837" s="168">
        <f>SUM(C10837,C10813,C10789,C10765,C10741,C10717,C10693,C10669,C10645,C10621,C10597,C10573,C10549,C10525)/POBLA!$B$12*100000</f>
        <v>617.99451631510601</v>
      </c>
      <c r="H10837" s="256">
        <f t="shared" si="1817"/>
        <v>2.1056277056277057</v>
      </c>
      <c r="I10837" s="297">
        <f t="shared" si="1819"/>
        <v>1301.2663754790804</v>
      </c>
      <c r="J10837" s="422">
        <f t="shared" si="1820"/>
        <v>171.28571428571428</v>
      </c>
      <c r="K10837" s="297">
        <f>J10837/POBLA!$B$12*100000</f>
        <v>43.525342167634641</v>
      </c>
      <c r="L10837" s="200">
        <f t="shared" si="1821"/>
        <v>-2.7575020275750206E-2</v>
      </c>
      <c r="M10837" s="401">
        <f>SUM(C10837,C10813,C10789,C10765,C10741,C10717,C10693)/POBLA!$B$12*100000</f>
        <v>304.67739517344251</v>
      </c>
    </row>
    <row r="10838" spans="1:13" x14ac:dyDescent="0.25">
      <c r="A10838" s="367" t="s">
        <v>17</v>
      </c>
      <c r="B10838" s="2">
        <v>44344</v>
      </c>
      <c r="C10838" s="4">
        <v>1127</v>
      </c>
      <c r="D10838" s="39">
        <f t="shared" si="1813"/>
        <v>118768</v>
      </c>
      <c r="E10838" s="1">
        <v>25</v>
      </c>
      <c r="F10838" s="39">
        <f t="shared" si="1818"/>
        <v>2511</v>
      </c>
      <c r="G10838" s="168">
        <f>SUM(C10838,C10814,C10790,C10766,C10742,C10718,C10694,C10670,C10646,C10622,C10598,C10574,C10550,C10526)/POBLA!$B$13*100000</f>
        <v>572.11388216473779</v>
      </c>
      <c r="H10838" s="256">
        <f t="shared" si="1817"/>
        <v>1.0466954683334866</v>
      </c>
      <c r="I10838" s="297">
        <f t="shared" si="1819"/>
        <v>598.82900783250943</v>
      </c>
      <c r="J10838" s="422">
        <f t="shared" si="1820"/>
        <v>729.85714285714289</v>
      </c>
      <c r="K10838" s="297">
        <f>J10838/POBLA!$B$13*100000</f>
        <v>36.670009960978632</v>
      </c>
      <c r="L10838" s="200">
        <f t="shared" si="1821"/>
        <v>-0.18620579802484871</v>
      </c>
      <c r="M10838" s="401">
        <f>SUM(C10838,C10814,C10790,C10766,C10742,C10718,C10694)/POBLA!$B$13*100000</f>
        <v>256.69006972685042</v>
      </c>
    </row>
    <row r="10839" spans="1:13" x14ac:dyDescent="0.25">
      <c r="A10839" s="367" t="s">
        <v>23</v>
      </c>
      <c r="B10839" s="2">
        <v>44344</v>
      </c>
      <c r="C10839" s="4">
        <v>214</v>
      </c>
      <c r="D10839" s="39">
        <f t="shared" si="1813"/>
        <v>19876</v>
      </c>
      <c r="F10839" s="39">
        <f t="shared" si="1818"/>
        <v>286</v>
      </c>
      <c r="G10839" s="168">
        <f>SUM(C10839,C10815,C10791,C10767,C10743,C10719,C10695,C10671,C10647,C10623,C10599,C10575,C10551,C10527)/POBLA!$B$14*100000</f>
        <v>177.75395744370465</v>
      </c>
      <c r="H10839" s="256">
        <f t="shared" si="1817"/>
        <v>1.1182044887780549</v>
      </c>
      <c r="I10839" s="297">
        <f t="shared" si="1819"/>
        <v>198.76527311161388</v>
      </c>
      <c r="J10839" s="422">
        <f t="shared" si="1820"/>
        <v>166.14285714285714</v>
      </c>
      <c r="K10839" s="297">
        <f>J10839/POBLA!$B$14*100000</f>
        <v>13.172413183830029</v>
      </c>
      <c r="L10839" s="200">
        <f t="shared" si="1821"/>
        <v>7.7849860982390995E-2</v>
      </c>
      <c r="M10839" s="401">
        <f>SUM(C10839,C10815,C10791,C10767,C10743,C10719,C10695)/POBLA!$B$14*100000</f>
        <v>92.206892286810216</v>
      </c>
    </row>
    <row r="10840" spans="1:13" x14ac:dyDescent="0.25">
      <c r="A10840" s="367" t="s">
        <v>19</v>
      </c>
      <c r="B10840" s="2">
        <v>44344</v>
      </c>
      <c r="C10840" s="4">
        <v>987</v>
      </c>
      <c r="D10840" s="39">
        <f t="shared" si="1813"/>
        <v>88322</v>
      </c>
      <c r="E10840" s="1">
        <v>16</v>
      </c>
      <c r="F10840" s="39">
        <f t="shared" si="1818"/>
        <v>1307</v>
      </c>
      <c r="G10840" s="168">
        <f>SUM(C10840,C10816,C10792,C10768,C10744,C10720,C10696,C10672,C10648,C10624,C10600,C10576,C10552,C10528)/POBLA!$B$15*100000</f>
        <v>1629.6793799327465</v>
      </c>
      <c r="H10840" s="256">
        <f t="shared" si="1817"/>
        <v>1.6954410151966159</v>
      </c>
      <c r="I10840" s="297">
        <f t="shared" si="1819"/>
        <v>2763.0252623581673</v>
      </c>
      <c r="J10840" s="422">
        <f t="shared" si="1820"/>
        <v>878.14285714285711</v>
      </c>
      <c r="K10840" s="297">
        <f>J10840/POBLA!$B$15*100000</f>
        <v>132.23907844399758</v>
      </c>
      <c r="L10840" s="200">
        <f t="shared" si="1821"/>
        <v>0.31486631016042788</v>
      </c>
      <c r="M10840" s="401">
        <f>SUM(C10840,C10816,C10792,C10768,C10744,C10720,C10696)/POBLA!$B$15*100000</f>
        <v>925.67354910798315</v>
      </c>
    </row>
    <row r="10841" spans="1:13" x14ac:dyDescent="0.25">
      <c r="A10841" s="367" t="s">
        <v>18</v>
      </c>
      <c r="B10841" s="2">
        <v>44344</v>
      </c>
      <c r="C10841" s="4">
        <v>600</v>
      </c>
      <c r="D10841" s="39">
        <f t="shared" si="1813"/>
        <v>72981</v>
      </c>
      <c r="E10841" s="1">
        <v>16</v>
      </c>
      <c r="F10841" s="39">
        <f t="shared" si="1818"/>
        <v>1575</v>
      </c>
      <c r="G10841" s="168">
        <f>SUM(C10841,C10817,C10793,C10769,C10745,C10721,C10697,C10673,C10649,C10625,C10601,C10577,C10553,C10529)/POBLA!$B$16*100000</f>
        <v>938.59097657869745</v>
      </c>
      <c r="H10841" s="256">
        <f t="shared" si="1817"/>
        <v>1.555530924407005</v>
      </c>
      <c r="I10841" s="297">
        <f t="shared" si="1819"/>
        <v>1460.0072894375348</v>
      </c>
      <c r="J10841" s="422">
        <f t="shared" si="1820"/>
        <v>529.71428571428567</v>
      </c>
      <c r="K10841" s="297">
        <f>J10841/POBLA!$B$16*100000</f>
        <v>70.854360657867829</v>
      </c>
      <c r="L10841" s="200">
        <f t="shared" si="1821"/>
        <v>0.12058023572076149</v>
      </c>
      <c r="M10841" s="401">
        <f>SUM(C10841,C10817,C10793,C10769,C10745,C10721,C10697)/POBLA!$B$16*100000</f>
        <v>495.98052460507489</v>
      </c>
    </row>
    <row r="10842" spans="1:13" x14ac:dyDescent="0.25">
      <c r="A10842" s="367" t="s">
        <v>34</v>
      </c>
      <c r="B10842" s="2">
        <v>44344</v>
      </c>
      <c r="C10842" s="4">
        <v>636</v>
      </c>
      <c r="D10842" s="39">
        <f t="shared" si="1813"/>
        <v>44157</v>
      </c>
      <c r="E10842" s="1">
        <v>8</v>
      </c>
      <c r="F10842" s="39">
        <f t="shared" si="1818"/>
        <v>1384</v>
      </c>
      <c r="G10842" s="168">
        <f>SUM(C10842,C10818,C10794,C10770,C10746,C10722,C10698,C10674,C10650,C10626,C10602,C10578,C10554,C10530)/POBLA!$B$17*100000</f>
        <v>428.60241912893667</v>
      </c>
      <c r="H10842" s="256">
        <f t="shared" ref="H10842:H10865" si="1822">SUM(C10842,C10818,C10794,C10770,C10746,C10722,C10698,C10674,C10650,C10626,C10602,C10578,C10554,C10530)/SUM(C10506,C10482,C10458,C10434,C10410,C10386,C10362,C10338,C10314,C10290,C10266,C10242,C10218,C10194)</f>
        <v>1.8686868686868687</v>
      </c>
      <c r="I10842" s="297">
        <f t="shared" si="1819"/>
        <v>800.92371251366956</v>
      </c>
      <c r="J10842" s="422">
        <f t="shared" si="1820"/>
        <v>479.14285714285717</v>
      </c>
      <c r="K10842" s="297">
        <f>J10842/POBLA!$B$17*100000</f>
        <v>33.638294460242271</v>
      </c>
      <c r="L10842" s="200">
        <f t="shared" si="1821"/>
        <v>0.21919302071973834</v>
      </c>
      <c r="M10842" s="401">
        <f>SUM(C10842,C10818,C10794,C10770,C10746,C10722,C10698)/POBLA!$B$17*100000</f>
        <v>235.4680612216959</v>
      </c>
    </row>
    <row r="10843" spans="1:13" x14ac:dyDescent="0.25">
      <c r="A10843" s="367" t="s">
        <v>35</v>
      </c>
      <c r="B10843" s="2">
        <v>44344</v>
      </c>
      <c r="C10843" s="4">
        <v>921</v>
      </c>
      <c r="D10843" s="39">
        <f t="shared" si="1813"/>
        <v>35892</v>
      </c>
      <c r="E10843" s="1">
        <v>9</v>
      </c>
      <c r="F10843" s="39">
        <f t="shared" si="1818"/>
        <v>617</v>
      </c>
      <c r="G10843" s="168">
        <f>SUM(C10843,C10819,C10795,C10771,C10747,C10723,C10699,C10675,C10651,C10627,C10603,C10579,C10555,C10531)/POBLA!$B$18*100000</f>
        <v>924.19903816737224</v>
      </c>
      <c r="H10843" s="256">
        <f t="shared" si="1822"/>
        <v>1.43026941362916</v>
      </c>
      <c r="I10843" s="297">
        <f t="shared" si="1819"/>
        <v>1321.8536163962813</v>
      </c>
      <c r="J10843" s="422">
        <f t="shared" si="1820"/>
        <v>476.42857142857144</v>
      </c>
      <c r="K10843" s="297">
        <f>J10843/POBLA!$B$18*100000</f>
        <v>60.985433167554149</v>
      </c>
      <c r="L10843" s="200">
        <f t="shared" si="1821"/>
        <v>-0.14157014157014158</v>
      </c>
      <c r="M10843" s="401">
        <f>SUM(C10843,C10819,C10795,C10771,C10747,C10723,C10699)/POBLA!$B$18*100000</f>
        <v>426.89803217287897</v>
      </c>
    </row>
    <row r="10844" spans="1:13" x14ac:dyDescent="0.25">
      <c r="A10844" s="367" t="s">
        <v>36</v>
      </c>
      <c r="B10844" s="2">
        <v>44344</v>
      </c>
      <c r="C10844" s="4">
        <v>638</v>
      </c>
      <c r="D10844" s="39">
        <f t="shared" si="1813"/>
        <v>51497</v>
      </c>
      <c r="E10844" s="1">
        <v>6</v>
      </c>
      <c r="F10844" s="39">
        <f t="shared" si="1818"/>
        <v>681</v>
      </c>
      <c r="G10844" s="168">
        <f>SUM(C10844,C10820,C10796,C10772,C10748,C10724,C10700,C10676,C10652,C10628,C10604,C10580,C10556,C10532)/POBLA!$B$19*100000</f>
        <v>1463.031743283864</v>
      </c>
      <c r="H10844" s="256">
        <f t="shared" si="1822"/>
        <v>1.1292134831460674</v>
      </c>
      <c r="I10844" s="297">
        <f t="shared" si="1819"/>
        <v>1652.0751707868351</v>
      </c>
      <c r="J10844" s="422">
        <f t="shared" si="1820"/>
        <v>581.57142857142856</v>
      </c>
      <c r="K10844" s="297">
        <f>J10844/POBLA!$B$19*100000</f>
        <v>114.40869449871511</v>
      </c>
      <c r="L10844" s="200">
        <f t="shared" si="1821"/>
        <v>0.20944741532976829</v>
      </c>
      <c r="M10844" s="401">
        <f>SUM(C10844,C10820,C10796,C10772,C10748,C10724,C10700)/POBLA!$B$19*100000</f>
        <v>800.86086149100572</v>
      </c>
    </row>
    <row r="10845" spans="1:13" x14ac:dyDescent="0.25">
      <c r="A10845" s="367" t="s">
        <v>37</v>
      </c>
      <c r="B10845" s="2">
        <v>44344</v>
      </c>
      <c r="C10845" s="4">
        <v>220</v>
      </c>
      <c r="D10845" s="39">
        <f t="shared" si="1813"/>
        <v>51025</v>
      </c>
      <c r="E10845" s="1">
        <v>4</v>
      </c>
      <c r="F10845" s="39">
        <f t="shared" si="1818"/>
        <v>783</v>
      </c>
      <c r="G10845" s="168">
        <f>SUM(C10845,C10821,C10797,C10773,C10749,C10725,C10701,C10677,C10653,C10629,C10605,C10581,C10557,C10533)/POBLA!$B$20*100000</f>
        <v>901.01668589929398</v>
      </c>
      <c r="H10845" s="256">
        <f t="shared" si="1822"/>
        <v>1.1101752021563343</v>
      </c>
      <c r="I10845" s="297">
        <f t="shared" si="1819"/>
        <v>1000.286381414479</v>
      </c>
      <c r="J10845" s="422">
        <f t="shared" si="1820"/>
        <v>193.71428571428572</v>
      </c>
      <c r="K10845" s="297">
        <f>J10845/POBLA!$B$20*100000</f>
        <v>52.971108869691861</v>
      </c>
      <c r="L10845" s="200">
        <f t="shared" si="1821"/>
        <v>-0.30067044868488912</v>
      </c>
      <c r="M10845" s="401">
        <f>SUM(C10845,C10821,C10797,C10773,C10749,C10725,C10701)/POBLA!$B$20*100000</f>
        <v>370.79776208784295</v>
      </c>
    </row>
    <row r="10846" spans="1:13" x14ac:dyDescent="0.25">
      <c r="A10846" s="367" t="s">
        <v>22</v>
      </c>
      <c r="B10846" s="2">
        <v>44344</v>
      </c>
      <c r="C10846" s="4">
        <v>3653</v>
      </c>
      <c r="D10846" s="39">
        <f t="shared" si="1813"/>
        <v>336899</v>
      </c>
      <c r="E10846" s="1">
        <v>44</v>
      </c>
      <c r="F10846" s="39">
        <f t="shared" si="1818"/>
        <v>5443</v>
      </c>
      <c r="G10846" s="168">
        <f>SUM(C10846,C10822,C10798,C10774,C10750,C10726,C10702,C10678,C10654,C10630,C10606,C10582,C10558,C10534)/POBLA!$B$21*100000</f>
        <v>1066.1918359198487</v>
      </c>
      <c r="H10846" s="256">
        <f t="shared" si="1822"/>
        <v>1.5188930067676443</v>
      </c>
      <c r="I10846" s="297">
        <f t="shared" si="1819"/>
        <v>1619.4313234514138</v>
      </c>
      <c r="J10846" s="422">
        <f t="shared" si="1820"/>
        <v>2757.7142857142858</v>
      </c>
      <c r="K10846" s="297">
        <f>J10846/POBLA!$B$21*100000</f>
        <v>77.980439125530012</v>
      </c>
      <c r="L10846" s="200">
        <f t="shared" si="1821"/>
        <v>4.9073419922830208E-2</v>
      </c>
      <c r="M10846" s="401">
        <f>SUM(C10846,C10822,C10798,C10774,C10750,C10726,C10702)/POBLA!$B$21*100000</f>
        <v>545.86307387871</v>
      </c>
    </row>
    <row r="10847" spans="1:13" x14ac:dyDescent="0.25">
      <c r="A10847" s="367" t="s">
        <v>38</v>
      </c>
      <c r="B10847" s="2">
        <v>44344</v>
      </c>
      <c r="C10847" s="4">
        <v>633</v>
      </c>
      <c r="D10847" s="39">
        <f t="shared" si="1813"/>
        <v>42299</v>
      </c>
      <c r="E10847" s="1">
        <v>9</v>
      </c>
      <c r="F10847" s="39">
        <f t="shared" si="1818"/>
        <v>493</v>
      </c>
      <c r="G10847" s="168">
        <f>SUM(C10847,C10823,C10799,C10775,C10751,C10727,C10703,C10679,C10655,C10631,C10607,C10583,C10559,C10535)/POBLA!$B$22*100000</f>
        <v>801.89060147417035</v>
      </c>
      <c r="H10847" s="256">
        <f t="shared" si="1822"/>
        <v>2.0585148255051169</v>
      </c>
      <c r="I10847" s="297">
        <f t="shared" si="1819"/>
        <v>1650.703691567795</v>
      </c>
      <c r="J10847" s="422">
        <f t="shared" si="1820"/>
        <v>575.14285714285711</v>
      </c>
      <c r="K10847" s="297">
        <f>J10847/POBLA!$B$22*100000</f>
        <v>58.789248138669031</v>
      </c>
      <c r="L10847" s="200">
        <f t="shared" si="1821"/>
        <v>5.4202670856245083E-2</v>
      </c>
      <c r="M10847" s="401">
        <f>SUM(C10847,C10823,C10799,C10775,C10751,C10727,C10703)/POBLA!$B$22*100000</f>
        <v>411.52473697068319</v>
      </c>
    </row>
    <row r="10848" spans="1:13" x14ac:dyDescent="0.25">
      <c r="A10848" s="367" t="s">
        <v>39</v>
      </c>
      <c r="B10848" s="2">
        <v>44344</v>
      </c>
      <c r="C10848" s="4">
        <v>80</v>
      </c>
      <c r="D10848" s="39">
        <f t="shared" si="1813"/>
        <v>28378</v>
      </c>
      <c r="E10848" s="1">
        <v>2</v>
      </c>
      <c r="F10848" s="39">
        <f t="shared" si="1818"/>
        <v>415</v>
      </c>
      <c r="G10848" s="168">
        <f>SUM(C10848,C10824,C10800,C10776,C10752,C10728,C10704,C10680,C10656,C10632,C10608,C10584,C10560,C10536)/POBLA!$B$23*100000</f>
        <v>537.23915625176721</v>
      </c>
      <c r="H10848" s="256">
        <f t="shared" si="1822"/>
        <v>0.95573440643863183</v>
      </c>
      <c r="I10848" s="297">
        <f t="shared" si="1819"/>
        <v>513.45794611587417</v>
      </c>
      <c r="J10848" s="422">
        <f t="shared" si="1820"/>
        <v>62.857142857142854</v>
      </c>
      <c r="K10848" s="297">
        <f>J10848/POBLA!$B$23*100000</f>
        <v>35.546650939966554</v>
      </c>
      <c r="L10848" s="200">
        <f t="shared" si="1821"/>
        <v>-0.13725490196078427</v>
      </c>
      <c r="M10848" s="401">
        <f>SUM(C10848,C10824,C10800,C10776,C10752,C10728,C10704)/POBLA!$B$23*100000</f>
        <v>248.82655657976588</v>
      </c>
    </row>
    <row r="10849" spans="1:13" ht="15.75" thickBot="1" x14ac:dyDescent="0.3">
      <c r="A10849" s="368" t="s">
        <v>40</v>
      </c>
      <c r="B10849" s="34">
        <v>44344</v>
      </c>
      <c r="C10849" s="27">
        <v>1062</v>
      </c>
      <c r="D10849" s="67">
        <f t="shared" si="1813"/>
        <v>127428</v>
      </c>
      <c r="E10849" s="232">
        <v>11</v>
      </c>
      <c r="F10849" s="67">
        <f t="shared" si="1818"/>
        <v>1865</v>
      </c>
      <c r="G10849" s="255">
        <f>SUM(C10849,C10825,C10801,C10777,C10753,C10729,C10705,C10681,C10657,C10633,C10609,C10585,C10561,C10537)/POBLA!$B$24*100000</f>
        <v>790.24887646814454</v>
      </c>
      <c r="H10849" s="257">
        <f t="shared" si="1822"/>
        <v>1.7311271975180973</v>
      </c>
      <c r="I10849" s="299">
        <f t="shared" si="1819"/>
        <v>1368.0213228621242</v>
      </c>
      <c r="J10849" s="428">
        <f t="shared" si="1820"/>
        <v>1043.2857142857142</v>
      </c>
      <c r="K10849" s="299">
        <f>J10849/POBLA!$B$24*100000</f>
        <v>61.563273861226953</v>
      </c>
      <c r="L10849" s="260">
        <f t="shared" si="1821"/>
        <v>0.19937592379701097</v>
      </c>
      <c r="M10849" s="406">
        <f>SUM(C10849,C10825,C10801,C10777,C10753,C10729,C10705)/POBLA!$B$24*100000</f>
        <v>430.94291702858868</v>
      </c>
    </row>
    <row r="10850" spans="1:13" x14ac:dyDescent="0.25">
      <c r="A10850" s="363" t="s">
        <v>16</v>
      </c>
      <c r="B10850" s="265">
        <v>44345</v>
      </c>
      <c r="C10850" s="356">
        <v>10962</v>
      </c>
      <c r="D10850" s="174">
        <f t="shared" si="1813"/>
        <v>1593818</v>
      </c>
      <c r="E10850" s="43">
        <v>224</v>
      </c>
      <c r="F10850" s="174">
        <f t="shared" ref="F10850:F10873" si="1823">E10850+F10826</f>
        <v>39750</v>
      </c>
      <c r="G10850" s="175">
        <f>SUM(C10850,C10826,C10802,C10778,C10754,C10730,C10706,C10682,C10658,C10634,C10610,C10586,C10562,C10538)/POBLA!$B$1*100000</f>
        <v>911.2007023944451</v>
      </c>
      <c r="H10850" s="300">
        <f t="shared" si="1822"/>
        <v>1.2628489258653519</v>
      </c>
      <c r="I10850" s="301">
        <f>G10850*H10850</f>
        <v>1150.7088282665793</v>
      </c>
      <c r="J10850" s="421">
        <f>AVERAGE(C10850,C10826,C10802,C10778,C10754,C10730,C10706)</f>
        <v>11036</v>
      </c>
      <c r="K10850" s="301">
        <f>J10850/POBLA!$B$1*100000</f>
        <v>62.914949489317721</v>
      </c>
      <c r="L10850" s="399">
        <f t="shared" si="1821"/>
        <v>-6.4553237349091241E-2</v>
      </c>
      <c r="M10850" s="400">
        <f>SUM(C10850,C10826,C10802,C10778,C10754,C10730,C10706)/POBLA!$B$1*100000</f>
        <v>440.40464642522397</v>
      </c>
    </row>
    <row r="10851" spans="1:13" x14ac:dyDescent="0.25">
      <c r="A10851" s="367" t="s">
        <v>43</v>
      </c>
      <c r="B10851" s="2">
        <v>44345</v>
      </c>
      <c r="C10851" s="4">
        <v>2265</v>
      </c>
      <c r="D10851" s="39">
        <f t="shared" si="1813"/>
        <v>414326</v>
      </c>
      <c r="E10851" s="1">
        <v>41</v>
      </c>
      <c r="F10851" s="39">
        <f t="shared" si="1823"/>
        <v>9060</v>
      </c>
      <c r="G10851" s="168">
        <f>SUM(C10851,C10827,C10803,C10779,C10755,C10731,C10707,C10683,C10659,C10635,C10611,C10587,C10563,C10539)/POBLA!$B$2*100000</f>
        <v>1237.7237172288358</v>
      </c>
      <c r="H10851" s="256">
        <f t="shared" si="1822"/>
        <v>1.199558846699228</v>
      </c>
      <c r="I10851" s="297">
        <f t="shared" ref="I10851:I10857" si="1824">G10851*H10851</f>
        <v>1484.7224347713036</v>
      </c>
      <c r="J10851" s="422">
        <f t="shared" ref="J10851:J10873" si="1825">AVERAGE(C10851,C10827,C10803,C10779,C10755,C10731,C10707)</f>
        <v>2608.1428571428573</v>
      </c>
      <c r="K10851" s="297">
        <f>J10851/POBLA!$B$2*100000</f>
        <v>84.799839030332407</v>
      </c>
      <c r="L10851" s="200">
        <f t="shared" si="1821"/>
        <v>-7.8441270001514352E-2</v>
      </c>
      <c r="M10851" s="401">
        <f>SUM(C10851,C10827,C10803,C10779,C10755,C10731,C10707)/POBLA!$B$2*100000</f>
        <v>593.59887321232679</v>
      </c>
    </row>
    <row r="10852" spans="1:13" x14ac:dyDescent="0.25">
      <c r="A10852" s="367" t="s">
        <v>28</v>
      </c>
      <c r="B10852" s="2">
        <v>44345</v>
      </c>
      <c r="C10852" s="4">
        <v>298</v>
      </c>
      <c r="D10852" s="39">
        <f t="shared" si="1813"/>
        <v>22921</v>
      </c>
      <c r="F10852" s="39">
        <f t="shared" si="1823"/>
        <v>168</v>
      </c>
      <c r="G10852" s="168">
        <f>SUM(C10852,C10828,C10804,C10780,C10756,C10732,C10708,C10684,C10660,C10636,C10612,C10588,C10564,C10540)/POBLA!$B$3*100000</f>
        <v>1279.1319041589841</v>
      </c>
      <c r="H10852" s="256">
        <f t="shared" si="1822"/>
        <v>1.9902621722846443</v>
      </c>
      <c r="I10852" s="297">
        <f t="shared" si="1824"/>
        <v>2545.807842210053</v>
      </c>
      <c r="J10852" s="422">
        <f t="shared" si="1825"/>
        <v>403.42857142857144</v>
      </c>
      <c r="K10852" s="297">
        <f>J10852/POBLA!$B$3*100000</f>
        <v>97.109212789530915</v>
      </c>
      <c r="L10852" s="200">
        <f t="shared" si="1821"/>
        <v>0.13413654618473903</v>
      </c>
      <c r="M10852" s="401">
        <f>SUM(C10852,C10828,C10804,C10780,C10756,C10732,C10708)/POBLA!$B$3*100000</f>
        <v>679.76448952671637</v>
      </c>
    </row>
    <row r="10853" spans="1:13" x14ac:dyDescent="0.25">
      <c r="A10853" s="367" t="s">
        <v>15</v>
      </c>
      <c r="B10853" s="2">
        <v>44345</v>
      </c>
      <c r="C10853" s="4">
        <v>700</v>
      </c>
      <c r="D10853" s="39">
        <f t="shared" si="1813"/>
        <v>57375</v>
      </c>
      <c r="E10853" s="1">
        <v>3</v>
      </c>
      <c r="F10853" s="39">
        <f t="shared" si="1823"/>
        <v>1208</v>
      </c>
      <c r="G10853" s="168">
        <f>SUM(C10853,C10829,C10805,C10781,C10757,C10733,C10709,C10685,C10661,C10637,C10613,C10589,C10565,C10541)/POBLA!$B$4*100000</f>
        <v>690.0553820916017</v>
      </c>
      <c r="H10853" s="256">
        <f t="shared" si="1822"/>
        <v>2.0599752168525405</v>
      </c>
      <c r="I10853" s="297">
        <f t="shared" si="1824"/>
        <v>1421.49698536441</v>
      </c>
      <c r="J10853" s="422">
        <f t="shared" si="1825"/>
        <v>636.42857142857144</v>
      </c>
      <c r="K10853" s="297">
        <f>J10853/POBLA!$B$4*100000</f>
        <v>52.835774907501815</v>
      </c>
      <c r="L10853" s="200">
        <f t="shared" si="1821"/>
        <v>0.15504277936219868</v>
      </c>
      <c r="M10853" s="401">
        <f>SUM(C10853,C10829,C10805,C10781,C10757,C10733,C10709)/POBLA!$B$4*100000</f>
        <v>369.85042435251273</v>
      </c>
    </row>
    <row r="10854" spans="1:13" x14ac:dyDescent="0.25">
      <c r="A10854" s="367" t="s">
        <v>29</v>
      </c>
      <c r="B10854" s="2">
        <v>44345</v>
      </c>
      <c r="C10854" s="4">
        <v>313</v>
      </c>
      <c r="D10854" s="39">
        <f t="shared" si="1813"/>
        <v>62174</v>
      </c>
      <c r="F10854" s="39">
        <f t="shared" si="1823"/>
        <v>1040</v>
      </c>
      <c r="G10854" s="168">
        <f>SUM(C10854,C10830,C10806,C10782,C10758,C10734,C10710,C10686,C10662,C10638,C10614,C10590,C10566,C10542)/POBLA!$B$5*100000</f>
        <v>718.90842237566119</v>
      </c>
      <c r="H10854" s="256">
        <f t="shared" si="1822"/>
        <v>1.6264619883040936</v>
      </c>
      <c r="I10854" s="297">
        <f t="shared" si="1824"/>
        <v>1169.2772220656771</v>
      </c>
      <c r="J10854" s="422">
        <f t="shared" si="1825"/>
        <v>340.42857142857144</v>
      </c>
      <c r="K10854" s="297">
        <f>J10854/POBLA!$B$5*100000</f>
        <v>54.997071284789747</v>
      </c>
      <c r="L10854" s="200">
        <f t="shared" si="1821"/>
        <v>0.15287856797290766</v>
      </c>
      <c r="M10854" s="401">
        <f>SUM(C10854,C10830,C10806,C10782,C10758,C10734,C10710)/POBLA!$B$5*100000</f>
        <v>384.97949899352818</v>
      </c>
    </row>
    <row r="10855" spans="1:13" x14ac:dyDescent="0.25">
      <c r="A10855" s="367" t="s">
        <v>30</v>
      </c>
      <c r="B10855" s="2">
        <v>44345</v>
      </c>
      <c r="C10855" s="4">
        <v>749</v>
      </c>
      <c r="D10855" s="39">
        <f t="shared" si="1813"/>
        <v>50493</v>
      </c>
      <c r="F10855" s="39">
        <f t="shared" si="1823"/>
        <v>602</v>
      </c>
      <c r="G10855" s="168">
        <f>SUM(C10855,C10831,C10807,C10783,C10759,C10735,C10711,C10687,C10663,C10639,C10615,C10591,C10567,C10543)/POBLA!$B$6*100000</f>
        <v>908.63587737698299</v>
      </c>
      <c r="H10855" s="256">
        <f t="shared" si="1822"/>
        <v>3.8256949661908339</v>
      </c>
      <c r="I10855" s="297">
        <f t="shared" si="1824"/>
        <v>3476.1637021815159</v>
      </c>
      <c r="J10855" s="422">
        <f t="shared" si="1825"/>
        <v>956.28571428571433</v>
      </c>
      <c r="K10855" s="297">
        <f>J10855/POBLA!$B$6*100000</f>
        <v>85.321632857725362</v>
      </c>
      <c r="L10855" s="200">
        <f t="shared" si="1821"/>
        <v>0.91805157593123199</v>
      </c>
      <c r="M10855" s="401">
        <f>SUM(C10855,C10831,C10807,C10783,C10759,C10735,C10711)/POBLA!$B$6*100000</f>
        <v>597.25143000407741</v>
      </c>
    </row>
    <row r="10856" spans="1:13" x14ac:dyDescent="0.25">
      <c r="A10856" s="367" t="s">
        <v>20</v>
      </c>
      <c r="B10856" s="2">
        <v>44345</v>
      </c>
      <c r="C10856" s="4">
        <v>3393</v>
      </c>
      <c r="D10856" s="39">
        <f t="shared" si="1813"/>
        <v>304876</v>
      </c>
      <c r="E10856" s="1">
        <v>12</v>
      </c>
      <c r="F10856" s="39">
        <f t="shared" si="1823"/>
        <v>3857</v>
      </c>
      <c r="G10856" s="168">
        <f>SUM(C10856,C10832,C10808,C10784,C10760,C10736,C10712,C10688,C10664,C10640,C10616,C10592,C10568,C10544)/POBLA!$B$7*100000</f>
        <v>1332.2075815394433</v>
      </c>
      <c r="H10856" s="256">
        <f t="shared" si="1822"/>
        <v>1.9099123141441099</v>
      </c>
      <c r="I10856" s="297">
        <f t="shared" si="1824"/>
        <v>2544.3996649783262</v>
      </c>
      <c r="J10856" s="422">
        <f t="shared" si="1825"/>
        <v>3851.2857142857142</v>
      </c>
      <c r="K10856" s="297">
        <f>J10856/POBLA!$B$7*100000</f>
        <v>102.41555436944286</v>
      </c>
      <c r="L10856" s="200">
        <f t="shared" si="1821"/>
        <v>0.16513959719941229</v>
      </c>
      <c r="M10856" s="401">
        <f>SUM(C10856,C10832,C10808,C10784,C10760,C10736,C10712)/POBLA!$B$7*100000</f>
        <v>716.90888058610005</v>
      </c>
    </row>
    <row r="10857" spans="1:13" x14ac:dyDescent="0.25">
      <c r="A10857" s="367" t="s">
        <v>31</v>
      </c>
      <c r="B10857" s="2">
        <v>44345</v>
      </c>
      <c r="C10857" s="4">
        <v>1145</v>
      </c>
      <c r="D10857" s="39">
        <f t="shared" si="1813"/>
        <v>84296</v>
      </c>
      <c r="E10857" s="1">
        <v>3</v>
      </c>
      <c r="F10857" s="39">
        <f t="shared" si="1823"/>
        <v>1302</v>
      </c>
      <c r="G10857" s="168">
        <f>SUM(C10857,C10833,C10809,C10785,C10761,C10737,C10713,C10689,C10665,C10641,C10617,C10593,C10569,C10545)/POBLA!$B$8*100000</f>
        <v>910.19877182691289</v>
      </c>
      <c r="H10857" s="256">
        <f t="shared" si="1822"/>
        <v>1.5102358434095535</v>
      </c>
      <c r="I10857" s="297">
        <f t="shared" si="1824"/>
        <v>1374.6148098403576</v>
      </c>
      <c r="J10857" s="422">
        <f t="shared" si="1825"/>
        <v>961.57142857142856</v>
      </c>
      <c r="K10857" s="297">
        <f>J10857/POBLA!$B$8*100000</f>
        <v>69.379400183080804</v>
      </c>
      <c r="L10857" s="200">
        <f t="shared" si="1821"/>
        <v>0.14394969408565594</v>
      </c>
      <c r="M10857" s="401">
        <f>SUM(C10857,C10833,C10809,C10785,C10761,C10737,C10713)/POBLA!$B$8*100000</f>
        <v>485.65580128156563</v>
      </c>
    </row>
    <row r="10858" spans="1:13" x14ac:dyDescent="0.25">
      <c r="A10858" s="367" t="s">
        <v>41</v>
      </c>
      <c r="B10858" s="2">
        <v>44345</v>
      </c>
      <c r="C10858" s="4">
        <v>1021</v>
      </c>
      <c r="D10858" s="39">
        <f t="shared" si="1813"/>
        <v>28870</v>
      </c>
      <c r="E10858" s="1">
        <v>12</v>
      </c>
      <c r="F10858" s="39">
        <f t="shared" si="1823"/>
        <v>464</v>
      </c>
      <c r="G10858" s="168">
        <f>SUM(C10858,C10834,C10810,C10786,C10762,C10738,C10714,C10690,C10666,C10642,C10618,C10594,C10570,C10546)/POBLA!$B$9*100000</f>
        <v>3622.8112354240711</v>
      </c>
      <c r="H10858" s="256">
        <f t="shared" si="1822"/>
        <v>9.0937370385732059</v>
      </c>
      <c r="I10858" s="297">
        <f>G10858*H10858</f>
        <v>32944.892715335031</v>
      </c>
      <c r="J10858" s="422">
        <f t="shared" si="1825"/>
        <v>939.14285714285711</v>
      </c>
      <c r="K10858" s="297">
        <f>J10858/POBLA!$B$9*100000</f>
        <v>155.18072038884407</v>
      </c>
      <c r="L10858" s="200">
        <f>(SUM(C10858,C10834,C10810,C10786,C10762,C10738,C10714)/SUM(C10690,C10666,C10642,C10618,C10594,C10570,C10546))-1</f>
        <v>-0.57175428310859222</v>
      </c>
      <c r="M10858" s="401">
        <f>SUM(C10858,C10834,C10810,C10786,C10762,C10738,C10714)/POBLA!$B$9*100000</f>
        <v>1086.2650427219087</v>
      </c>
    </row>
    <row r="10859" spans="1:13" x14ac:dyDescent="0.25">
      <c r="A10859" s="367" t="s">
        <v>32</v>
      </c>
      <c r="B10859" s="2">
        <v>44345</v>
      </c>
      <c r="C10859" s="4">
        <v>165</v>
      </c>
      <c r="D10859" s="39">
        <f t="shared" si="1813"/>
        <v>28069</v>
      </c>
      <c r="E10859" s="1">
        <v>1</v>
      </c>
      <c r="F10859" s="39">
        <f t="shared" si="1823"/>
        <v>1091</v>
      </c>
      <c r="G10859" s="168">
        <f>SUM(C10859,C10835,C10811,C10787,C10763,C10739,C10715,C10691,C10667,C10643,C10619,C10595,C10571,C10547)/POBLA!$B$10*100000</f>
        <v>245.30374986541375</v>
      </c>
      <c r="H10859" s="256">
        <f t="shared" si="1822"/>
        <v>1.5103833865814698</v>
      </c>
      <c r="I10859" s="297">
        <f t="shared" ref="I10859:I10873" si="1826">G10859*H10859</f>
        <v>370.50270846285736</v>
      </c>
      <c r="J10859" s="422">
        <f t="shared" si="1825"/>
        <v>154.42857142857142</v>
      </c>
      <c r="K10859" s="297">
        <f>J10859/POBLA!$B$10*100000</f>
        <v>20.032738052769677</v>
      </c>
      <c r="L10859" s="200">
        <f t="shared" ref="L10859:L10881" si="1827">(SUM(C10859,C10835,C10811,C10787,C10763,C10739,C10715)/SUM(C10691,C10667,C10643,C10619,C10595,C10571,C10547))-1</f>
        <v>0.33456790123456792</v>
      </c>
      <c r="M10859" s="401">
        <f>SUM(C10859,C10835,C10811,C10787,C10763,C10739,C10715)/POBLA!$B$10*100000</f>
        <v>140.22916636938777</v>
      </c>
    </row>
    <row r="10860" spans="1:13" x14ac:dyDescent="0.25">
      <c r="A10860" s="367" t="s">
        <v>33</v>
      </c>
      <c r="B10860" s="2">
        <v>44345</v>
      </c>
      <c r="C10860" s="4">
        <v>305</v>
      </c>
      <c r="D10860" s="39">
        <f t="shared" si="1813"/>
        <v>42040</v>
      </c>
      <c r="E10860" s="1">
        <v>1</v>
      </c>
      <c r="F10860" s="39">
        <f t="shared" si="1823"/>
        <v>545</v>
      </c>
      <c r="G10860" s="168">
        <f>SUM(C10860,C10836,C10812,C10788,C10764,C10740,C10716,C10692,C10668,C10644,C10620,C10596,C10572,C10548)/POBLA!$B$11*100000</f>
        <v>2418.6168491300905</v>
      </c>
      <c r="H10860" s="256">
        <f t="shared" si="1822"/>
        <v>1.4537984236122756</v>
      </c>
      <c r="I10860" s="297">
        <f t="shared" si="1826"/>
        <v>3516.1813625874147</v>
      </c>
      <c r="J10860" s="422">
        <f t="shared" si="1825"/>
        <v>580.14285714285711</v>
      </c>
      <c r="K10860" s="297">
        <f>J10860/POBLA!$B$11*100000</f>
        <v>161.85757171394454</v>
      </c>
      <c r="L10860" s="200">
        <f t="shared" si="1827"/>
        <v>-0.11870659722222221</v>
      </c>
      <c r="M10860" s="401">
        <f>SUM(C10860,C10836,C10812,C10788,C10764,C10740,C10716)/POBLA!$B$11*100000</f>
        <v>1133.0030019976118</v>
      </c>
    </row>
    <row r="10861" spans="1:13" x14ac:dyDescent="0.25">
      <c r="A10861" s="367" t="s">
        <v>21</v>
      </c>
      <c r="B10861" s="2">
        <v>44345</v>
      </c>
      <c r="C10861" s="4">
        <v>223</v>
      </c>
      <c r="D10861" s="39">
        <f t="shared" si="1813"/>
        <v>17180</v>
      </c>
      <c r="F10861" s="39">
        <f t="shared" si="1823"/>
        <v>534</v>
      </c>
      <c r="G10861" s="168">
        <f>SUM(C10861,C10837,C10813,C10789,C10765,C10741,C10717,C10693,C10669,C10645,C10621,C10597,C10573,C10549)/POBLA!$B$12*100000</f>
        <v>640.61026958486116</v>
      </c>
      <c r="H10861" s="256">
        <f t="shared" si="1822"/>
        <v>2.0921161825726142</v>
      </c>
      <c r="I10861" s="297">
        <f t="shared" si="1826"/>
        <v>1340.231111720693</v>
      </c>
      <c r="J10861" s="422">
        <f t="shared" si="1825"/>
        <v>185</v>
      </c>
      <c r="K10861" s="297">
        <f>J10861/POBLA!$B$12*100000</f>
        <v>47.010273650614565</v>
      </c>
      <c r="L10861" s="200">
        <f t="shared" si="1827"/>
        <v>5.6280587275693295E-2</v>
      </c>
      <c r="M10861" s="401">
        <f>SUM(C10861,C10837,C10813,C10789,C10765,C10741,C10717)/POBLA!$B$12*100000</f>
        <v>329.07191555430194</v>
      </c>
    </row>
    <row r="10862" spans="1:13" x14ac:dyDescent="0.25">
      <c r="A10862" s="367" t="s">
        <v>17</v>
      </c>
      <c r="B10862" s="2">
        <v>44345</v>
      </c>
      <c r="C10862" s="4">
        <v>660</v>
      </c>
      <c r="D10862" s="39">
        <f t="shared" si="1813"/>
        <v>119428</v>
      </c>
      <c r="E10862" s="1">
        <v>34</v>
      </c>
      <c r="F10862" s="39">
        <f t="shared" si="1823"/>
        <v>2545</v>
      </c>
      <c r="G10862" s="168">
        <f>SUM(C10862,C10838,C10814,C10790,C10766,C10742,C10718,C10694,C10670,C10646,C10622,C10598,C10574,C10550)/POBLA!$B$13*100000</f>
        <v>575.32941641067998</v>
      </c>
      <c r="H10862" s="256">
        <f t="shared" si="1822"/>
        <v>1.0418524247111274</v>
      </c>
      <c r="I10862" s="297">
        <f t="shared" si="1826"/>
        <v>599.40834749510486</v>
      </c>
      <c r="J10862" s="422">
        <f t="shared" si="1825"/>
        <v>710.14285714285711</v>
      </c>
      <c r="K10862" s="297">
        <f>J10862/POBLA!$B$13*100000</f>
        <v>35.679510572719664</v>
      </c>
      <c r="L10862" s="200">
        <f t="shared" si="1827"/>
        <v>-0.23287037037037039</v>
      </c>
      <c r="M10862" s="401">
        <f>SUM(C10862,C10838,C10814,C10790,C10766,C10742,C10718)/POBLA!$B$13*100000</f>
        <v>249.75657400903768</v>
      </c>
    </row>
    <row r="10863" spans="1:13" x14ac:dyDescent="0.25">
      <c r="A10863" s="367" t="s">
        <v>23</v>
      </c>
      <c r="B10863" s="2">
        <v>44345</v>
      </c>
      <c r="C10863" s="4">
        <v>199</v>
      </c>
      <c r="D10863" s="39">
        <f t="shared" si="1813"/>
        <v>20075</v>
      </c>
      <c r="E10863" s="1">
        <v>6</v>
      </c>
      <c r="F10863" s="39">
        <f t="shared" si="1823"/>
        <v>292</v>
      </c>
      <c r="G10863" s="168">
        <f>SUM(C10863,C10839,C10815,C10791,C10767,C10743,C10719,C10695,C10671,C10647,C10623,C10599,C10575,C10551)/POBLA!$B$14*100000</f>
        <v>180.52888541450287</v>
      </c>
      <c r="H10863" s="256">
        <f t="shared" si="1822"/>
        <v>1.1031976744186047</v>
      </c>
      <c r="I10863" s="297">
        <f t="shared" si="1826"/>
        <v>199.15904655466232</v>
      </c>
      <c r="J10863" s="422">
        <f t="shared" si="1825"/>
        <v>170.85714285714286</v>
      </c>
      <c r="K10863" s="297">
        <f>J10863/POBLA!$B$14*100000</f>
        <v>13.54617899214163</v>
      </c>
      <c r="L10863" s="200">
        <f t="shared" si="1827"/>
        <v>0.1063829787234043</v>
      </c>
      <c r="M10863" s="401">
        <f>SUM(C10863,C10839,C10815,C10791,C10767,C10743,C10719)/POBLA!$B$14*100000</f>
        <v>94.82325294499141</v>
      </c>
    </row>
    <row r="10864" spans="1:13" x14ac:dyDescent="0.25">
      <c r="A10864" s="367" t="s">
        <v>19</v>
      </c>
      <c r="B10864" s="2">
        <v>44345</v>
      </c>
      <c r="C10864" s="4">
        <v>628</v>
      </c>
      <c r="D10864" s="39">
        <f t="shared" si="1813"/>
        <v>88950</v>
      </c>
      <c r="E10864" s="1">
        <v>1</v>
      </c>
      <c r="F10864" s="39">
        <f t="shared" si="1823"/>
        <v>1308</v>
      </c>
      <c r="G10864" s="168">
        <f>SUM(C10864,C10840,C10816,C10792,C10768,C10744,C10720,C10696,C10672,C10648,C10624,C10600,C10576,C10552)/POBLA!$B$15*100000</f>
        <v>1652.5689812772096</v>
      </c>
      <c r="H10864" s="256">
        <f t="shared" si="1822"/>
        <v>1.6828707253488728</v>
      </c>
      <c r="I10864" s="297">
        <f t="shared" si="1826"/>
        <v>2781.0599602110256</v>
      </c>
      <c r="J10864" s="422">
        <f t="shared" si="1825"/>
        <v>872.42857142857144</v>
      </c>
      <c r="K10864" s="297">
        <f>J10864/POBLA!$B$15*100000</f>
        <v>131.37856711525839</v>
      </c>
      <c r="L10864" s="200">
        <f t="shared" si="1827"/>
        <v>0.25477707006369421</v>
      </c>
      <c r="M10864" s="401">
        <f>SUM(C10864,C10840,C10816,C10792,C10768,C10744,C10720)/POBLA!$B$15*100000</f>
        <v>919.64996980680883</v>
      </c>
    </row>
    <row r="10865" spans="1:13" x14ac:dyDescent="0.25">
      <c r="A10865" s="367" t="s">
        <v>18</v>
      </c>
      <c r="B10865" s="2">
        <v>44345</v>
      </c>
      <c r="C10865" s="4">
        <v>463</v>
      </c>
      <c r="D10865" s="39">
        <f t="shared" si="1813"/>
        <v>73444</v>
      </c>
      <c r="E10865" s="1">
        <v>6</v>
      </c>
      <c r="F10865" s="39">
        <f t="shared" si="1823"/>
        <v>1581</v>
      </c>
      <c r="G10865" s="168">
        <f>SUM(C10865,C10841,C10817,C10793,C10769,C10745,C10721,C10697,C10673,C10649,C10625,C10601,C10577,C10553)/POBLA!$B$16*100000</f>
        <v>957.45107743342112</v>
      </c>
      <c r="H10865" s="256">
        <f t="shared" si="1822"/>
        <v>1.534076296613802</v>
      </c>
      <c r="I10865" s="297">
        <f t="shared" si="1826"/>
        <v>1468.8030030579573</v>
      </c>
      <c r="J10865" s="422">
        <f t="shared" si="1825"/>
        <v>517.71428571428567</v>
      </c>
      <c r="K10865" s="297">
        <f>J10865/POBLA!$B$16*100000</f>
        <v>69.249245691508364</v>
      </c>
      <c r="L10865" s="200">
        <f t="shared" si="1827"/>
        <v>2.5466893039049143E-2</v>
      </c>
      <c r="M10865" s="401">
        <f>SUM(C10865,C10841,C10817,C10793,C10769,C10745,C10721)/POBLA!$B$16*100000</f>
        <v>484.74471984055856</v>
      </c>
    </row>
    <row r="10866" spans="1:13" x14ac:dyDescent="0.25">
      <c r="A10866" s="367" t="s">
        <v>34</v>
      </c>
      <c r="B10866" s="2">
        <v>44345</v>
      </c>
      <c r="C10866" s="4">
        <v>508</v>
      </c>
      <c r="D10866" s="39">
        <f t="shared" si="1813"/>
        <v>44665</v>
      </c>
      <c r="E10866" s="1">
        <v>2</v>
      </c>
      <c r="F10866" s="39">
        <f t="shared" si="1823"/>
        <v>1386</v>
      </c>
      <c r="G10866" s="168">
        <f>SUM(C10866,C10842,C10818,C10794,C10770,C10746,C10722,C10698,C10674,C10650,C10626,C10602,C10578,C10554)/POBLA!$B$17*100000</f>
        <v>442.36262783479611</v>
      </c>
      <c r="H10866" s="256">
        <f t="shared" ref="H10866:H10889" si="1828">SUM(C10866,C10842,C10818,C10794,C10770,C10746,C10722,C10698,C10674,C10650,C10626,C10602,C10578,C10554)/SUM(C10530,C10506,C10482,C10458,C10434,C10410,C10386,C10362,C10338,C10314,C10290,C10266,C10242,C10218)</f>
        <v>1.8258475804114749</v>
      </c>
      <c r="I10866" s="297">
        <f t="shared" si="1826"/>
        <v>807.68673369662429</v>
      </c>
      <c r="J10866" s="422">
        <f t="shared" si="1825"/>
        <v>465.57142857142856</v>
      </c>
      <c r="K10866" s="297">
        <f>J10866/POBLA!$B$17*100000</f>
        <v>32.685510329734512</v>
      </c>
      <c r="L10866" s="200">
        <f t="shared" si="1827"/>
        <v>7.1334648257725286E-2</v>
      </c>
      <c r="M10866" s="401">
        <f>SUM(C10866,C10842,C10818,C10794,C10770,C10746,C10722)/POBLA!$B$17*100000</f>
        <v>228.79857230814162</v>
      </c>
    </row>
    <row r="10867" spans="1:13" x14ac:dyDescent="0.25">
      <c r="A10867" s="367" t="s">
        <v>35</v>
      </c>
      <c r="B10867" s="2">
        <v>44345</v>
      </c>
      <c r="C10867" s="4">
        <v>462</v>
      </c>
      <c r="D10867" s="39">
        <f t="shared" ref="D10867:D10897" si="1829">C10867+D10843</f>
        <v>36354</v>
      </c>
      <c r="E10867" s="1">
        <v>7</v>
      </c>
      <c r="F10867" s="39">
        <f t="shared" si="1823"/>
        <v>624</v>
      </c>
      <c r="G10867" s="168">
        <f>SUM(C10867,C10843,C10819,C10795,C10771,C10747,C10723,C10699,C10675,C10651,C10627,C10603,C10579,C10555)/POBLA!$B$18*100000</f>
        <v>946.98400060418544</v>
      </c>
      <c r="H10867" s="256">
        <f t="shared" si="1828"/>
        <v>1.4172413793103449</v>
      </c>
      <c r="I10867" s="297">
        <f t="shared" si="1826"/>
        <v>1342.1049112011042</v>
      </c>
      <c r="J10867" s="422">
        <f t="shared" si="1825"/>
        <v>491</v>
      </c>
      <c r="K10867" s="297">
        <f>J10867/POBLA!$B$18*100000</f>
        <v>62.85065481165924</v>
      </c>
      <c r="L10867" s="200">
        <f t="shared" si="1827"/>
        <v>-0.13228982580156523</v>
      </c>
      <c r="M10867" s="401">
        <f>SUM(C10867,C10843,C10819,C10795,C10771,C10747,C10723)/POBLA!$B$18*100000</f>
        <v>439.95458368161474</v>
      </c>
    </row>
    <row r="10868" spans="1:13" x14ac:dyDescent="0.25">
      <c r="A10868" s="367" t="s">
        <v>36</v>
      </c>
      <c r="B10868" s="2">
        <v>44345</v>
      </c>
      <c r="C10868" s="4">
        <v>581</v>
      </c>
      <c r="D10868" s="39">
        <f t="shared" si="1829"/>
        <v>52078</v>
      </c>
      <c r="F10868" s="39">
        <f t="shared" si="1823"/>
        <v>681</v>
      </c>
      <c r="G10868" s="168">
        <f>SUM(C10868,C10844,C10820,C10796,C10772,C10748,C10724,C10700,C10676,C10652,C10628,C10604,C10580,C10556)/POBLA!$B$19*100000</f>
        <v>1486.6385483388678</v>
      </c>
      <c r="H10868" s="256">
        <f t="shared" si="1828"/>
        <v>1.1590490797546011</v>
      </c>
      <c r="I10868" s="297">
        <f t="shared" si="1826"/>
        <v>1723.0870413798809</v>
      </c>
      <c r="J10868" s="422">
        <f t="shared" si="1825"/>
        <v>580</v>
      </c>
      <c r="K10868" s="297">
        <f>J10868/POBLA!$B$19*100000</f>
        <v>114.09955776585197</v>
      </c>
      <c r="L10868" s="200">
        <f t="shared" si="1827"/>
        <v>0.16099513869030591</v>
      </c>
      <c r="M10868" s="401">
        <f>SUM(C10868,C10844,C10820,C10796,C10772,C10748,C10724)/POBLA!$B$19*100000</f>
        <v>798.6969043609638</v>
      </c>
    </row>
    <row r="10869" spans="1:13" x14ac:dyDescent="0.25">
      <c r="A10869" s="367" t="s">
        <v>37</v>
      </c>
      <c r="B10869" s="2">
        <v>44345</v>
      </c>
      <c r="C10869" s="4">
        <v>188</v>
      </c>
      <c r="D10869" s="39">
        <f t="shared" si="1829"/>
        <v>51213</v>
      </c>
      <c r="E10869" s="1">
        <v>2</v>
      </c>
      <c r="F10869" s="39">
        <f t="shared" si="1823"/>
        <v>785</v>
      </c>
      <c r="G10869" s="168">
        <f>SUM(C10869,C10845,C10821,C10797,C10773,C10749,C10725,C10701,C10677,C10653,C10629,C10605,C10581,C10557)/POBLA!$B$20*100000</f>
        <v>899.37598783695842</v>
      </c>
      <c r="H10869" s="256">
        <f t="shared" si="1828"/>
        <v>1.0861955085865258</v>
      </c>
      <c r="I10869" s="297">
        <f t="shared" si="1826"/>
        <v>976.89815851907406</v>
      </c>
      <c r="J10869" s="422">
        <f t="shared" si="1825"/>
        <v>193</v>
      </c>
      <c r="K10869" s="297">
        <f>J10869/POBLA!$B$20*100000</f>
        <v>52.77578767179476</v>
      </c>
      <c r="L10869" s="200">
        <f t="shared" si="1827"/>
        <v>-0.30288957688338491</v>
      </c>
      <c r="M10869" s="401">
        <f>SUM(C10869,C10845,C10821,C10797,C10773,C10749,C10725)/POBLA!$B$20*100000</f>
        <v>369.4305137025633</v>
      </c>
    </row>
    <row r="10870" spans="1:13" x14ac:dyDescent="0.25">
      <c r="A10870" s="367" t="s">
        <v>22</v>
      </c>
      <c r="B10870" s="2">
        <v>44345</v>
      </c>
      <c r="C10870" s="4">
        <v>3197</v>
      </c>
      <c r="D10870" s="39">
        <f t="shared" si="1829"/>
        <v>340096</v>
      </c>
      <c r="E10870" s="1">
        <v>55</v>
      </c>
      <c r="F10870" s="39">
        <f t="shared" si="1823"/>
        <v>5498</v>
      </c>
      <c r="G10870" s="168">
        <f>SUM(C10870,C10846,C10822,C10798,C10774,C10750,C10726,C10702,C10678,C10654,C10630,C10606,C10582,C10558)/POBLA!$B$21*100000</f>
        <v>1087.3431817166411</v>
      </c>
      <c r="H10870" s="256">
        <f t="shared" si="1828"/>
        <v>1.4894449393810281</v>
      </c>
      <c r="I10870" s="297">
        <f t="shared" si="1826"/>
        <v>1619.5377993783168</v>
      </c>
      <c r="J10870" s="422">
        <f t="shared" si="1825"/>
        <v>2771.1428571428573</v>
      </c>
      <c r="K10870" s="297">
        <f>J10870/POBLA!$B$21*100000</f>
        <v>78.36016152906295</v>
      </c>
      <c r="L10870" s="200">
        <f t="shared" si="1827"/>
        <v>1.8000524796641271E-2</v>
      </c>
      <c r="M10870" s="401">
        <f>SUM(C10870,C10846,C10822,C10798,C10774,C10750,C10726)/POBLA!$B$21*100000</f>
        <v>548.52113070344058</v>
      </c>
    </row>
    <row r="10871" spans="1:13" x14ac:dyDescent="0.25">
      <c r="A10871" s="367" t="s">
        <v>38</v>
      </c>
      <c r="B10871" s="2">
        <v>44345</v>
      </c>
      <c r="C10871" s="4">
        <v>662</v>
      </c>
      <c r="D10871" s="39">
        <f t="shared" si="1829"/>
        <v>42961</v>
      </c>
      <c r="E10871" s="1">
        <v>6</v>
      </c>
      <c r="F10871" s="39">
        <f t="shared" si="1823"/>
        <v>499</v>
      </c>
      <c r="G10871" s="168">
        <f>SUM(C10871,C10847,C10823,C10799,C10775,C10751,C10727,C10703,C10679,C10655,C10631,C10607,C10583,C10559)/POBLA!$B$22*100000</f>
        <v>821.4140055381049</v>
      </c>
      <c r="H10871" s="256">
        <f t="shared" si="1828"/>
        <v>1.9739621714566447</v>
      </c>
      <c r="I10871" s="297">
        <f t="shared" si="1826"/>
        <v>1621.4401740368978</v>
      </c>
      <c r="J10871" s="422">
        <f t="shared" si="1825"/>
        <v>556.85714285714289</v>
      </c>
      <c r="K10871" s="297">
        <f>J10871/POBLA!$B$22*100000</f>
        <v>56.920141392084417</v>
      </c>
      <c r="L10871" s="200">
        <f t="shared" si="1827"/>
        <v>-5.7999033349444229E-2</v>
      </c>
      <c r="M10871" s="401">
        <f>SUM(C10871,C10847,C10823,C10799,C10775,C10751,C10727)/POBLA!$B$22*100000</f>
        <v>398.44098974459098</v>
      </c>
    </row>
    <row r="10872" spans="1:13" x14ac:dyDescent="0.25">
      <c r="A10872" s="367" t="s">
        <v>39</v>
      </c>
      <c r="B10872" s="2">
        <v>44345</v>
      </c>
      <c r="C10872" s="4">
        <v>40</v>
      </c>
      <c r="D10872" s="39">
        <f t="shared" si="1829"/>
        <v>28418</v>
      </c>
      <c r="F10872" s="39">
        <f t="shared" si="1823"/>
        <v>415</v>
      </c>
      <c r="G10872" s="168">
        <f>SUM(C10872,C10848,C10824,C10800,C10776,C10752,C10728,C10704,C10680,C10656,C10632,C10608,C10584,C10560)/POBLA!$B$23*100000</f>
        <v>540.63224565967312</v>
      </c>
      <c r="H10872" s="256">
        <f t="shared" si="1828"/>
        <v>0.98964803312629401</v>
      </c>
      <c r="I10872" s="297">
        <f t="shared" si="1826"/>
        <v>535.03563856174685</v>
      </c>
      <c r="J10872" s="422">
        <f t="shared" si="1825"/>
        <v>61</v>
      </c>
      <c r="K10872" s="297">
        <f>J10872/POBLA!$B$23*100000</f>
        <v>34.496408980376636</v>
      </c>
      <c r="L10872" s="200">
        <f t="shared" si="1827"/>
        <v>-0.19281663516068048</v>
      </c>
      <c r="M10872" s="401">
        <f>SUM(C10872,C10848,C10824,C10800,C10776,C10752,C10728)/POBLA!$B$23*100000</f>
        <v>241.47486286263646</v>
      </c>
    </row>
    <row r="10873" spans="1:13" ht="15.75" thickBot="1" x14ac:dyDescent="0.3">
      <c r="A10873" s="368" t="s">
        <v>40</v>
      </c>
      <c r="B10873" s="34">
        <v>44345</v>
      </c>
      <c r="C10873" s="27">
        <v>714</v>
      </c>
      <c r="D10873" s="67">
        <f t="shared" si="1829"/>
        <v>128142</v>
      </c>
      <c r="E10873" s="232"/>
      <c r="F10873" s="67">
        <f t="shared" si="1823"/>
        <v>1865</v>
      </c>
      <c r="G10873" s="255">
        <f>SUM(C10873,C10849,C10825,C10801,C10777,C10753,C10729,C10705,C10681,C10657,C10633,C10609,C10585,C10561)/POBLA!$B$24*100000</f>
        <v>802.3457268023717</v>
      </c>
      <c r="H10873" s="257">
        <f t="shared" si="1828"/>
        <v>1.7133316532258065</v>
      </c>
      <c r="I10873" s="299">
        <f t="shared" si="1826"/>
        <v>1374.6843305609689</v>
      </c>
      <c r="J10873" s="428">
        <f t="shared" si="1825"/>
        <v>1040.8571428571429</v>
      </c>
      <c r="K10873" s="299">
        <f>J10873/POBLA!$B$24*100000</f>
        <v>61.419966226605453</v>
      </c>
      <c r="L10873" s="260">
        <f t="shared" si="1827"/>
        <v>0.15449215655205206</v>
      </c>
      <c r="M10873" s="406">
        <f>SUM(C10873,C10849,C10825,C10801,C10777,C10753,C10729)/POBLA!$B$24*100000</f>
        <v>429.9397635862382</v>
      </c>
    </row>
    <row r="10874" spans="1:13" x14ac:dyDescent="0.25">
      <c r="A10874" s="363" t="s">
        <v>16</v>
      </c>
      <c r="B10874" s="265">
        <v>44346</v>
      </c>
      <c r="C10874" s="356">
        <v>6446</v>
      </c>
      <c r="D10874" s="174">
        <f t="shared" si="1829"/>
        <v>1600264</v>
      </c>
      <c r="E10874" s="43">
        <v>196</v>
      </c>
      <c r="F10874" s="174">
        <f t="shared" ref="F10874:F10897" si="1830">E10874+F10850</f>
        <v>39946</v>
      </c>
      <c r="G10874" s="175">
        <f>SUM(C10874,C10850,C10826,C10802,C10778,C10754,C10730,C10706,C10682,C10658,C10634,C10610,C10586,C10562)/POBLA!$B$1*100000</f>
        <v>917.07831320664945</v>
      </c>
      <c r="H10874" s="300">
        <f t="shared" si="1828"/>
        <v>1.2678593947036569</v>
      </c>
      <c r="I10874" s="301">
        <f>G10874*H10874</f>
        <v>1162.7263550780333</v>
      </c>
      <c r="J10874" s="421">
        <f>AVERAGE(C10874,C10850,C10826,C10802,C10778,C10754,C10730)</f>
        <v>10973.285714285714</v>
      </c>
      <c r="K10874" s="301">
        <f>J10874/POBLA!$B$1*100000</f>
        <v>62.557422657315819</v>
      </c>
      <c r="L10874" s="399">
        <f t="shared" si="1827"/>
        <v>-8.6136128395179257E-2</v>
      </c>
      <c r="M10874" s="400">
        <f>SUM(C10874,C10850,C10826,C10802,C10778,C10754,C10730)/POBLA!$B$1*100000</f>
        <v>437.90195860121077</v>
      </c>
    </row>
    <row r="10875" spans="1:13" x14ac:dyDescent="0.25">
      <c r="A10875" s="367" t="s">
        <v>43</v>
      </c>
      <c r="B10875" s="2">
        <v>44346</v>
      </c>
      <c r="C10875" s="4">
        <v>1819</v>
      </c>
      <c r="D10875" s="39">
        <f t="shared" si="1829"/>
        <v>416145</v>
      </c>
      <c r="E10875" s="1">
        <v>30</v>
      </c>
      <c r="F10875" s="39">
        <f t="shared" si="1830"/>
        <v>9090</v>
      </c>
      <c r="G10875" s="168">
        <f>SUM(C10875,C10851,C10827,C10803,C10779,C10755,C10731,C10707,C10683,C10659,C10635,C10611,C10587,C10563)/POBLA!$B$2*100000</f>
        <v>1236.6832853976043</v>
      </c>
      <c r="H10875" s="256">
        <f t="shared" si="1828"/>
        <v>1.1928746158188546</v>
      </c>
      <c r="I10875" s="297">
        <f t="shared" ref="I10875:I10881" si="1831">G10875*H10875</f>
        <v>1475.2080989582662</v>
      </c>
      <c r="J10875" s="422">
        <f t="shared" ref="J10875:J10897" si="1832">AVERAGE(C10875,C10851,C10827,C10803,C10779,C10755,C10731)</f>
        <v>2612.2857142857142</v>
      </c>
      <c r="K10875" s="297">
        <f>J10875/POBLA!$B$2*100000</f>
        <v>84.934537794197198</v>
      </c>
      <c r="L10875" s="200">
        <f t="shared" si="1827"/>
        <v>-7.4126582278481012E-2</v>
      </c>
      <c r="M10875" s="401">
        <f>SUM(C10875,C10851,C10827,C10803,C10779,C10755,C10731)/POBLA!$B$2*100000</f>
        <v>594.54176455938034</v>
      </c>
    </row>
    <row r="10876" spans="1:13" x14ac:dyDescent="0.25">
      <c r="A10876" s="367" t="s">
        <v>28</v>
      </c>
      <c r="B10876" s="2">
        <v>44346</v>
      </c>
      <c r="C10876" s="4">
        <v>497</v>
      </c>
      <c r="D10876" s="39">
        <f t="shared" si="1829"/>
        <v>23418</v>
      </c>
      <c r="F10876" s="39">
        <f t="shared" si="1830"/>
        <v>168</v>
      </c>
      <c r="G10876" s="168">
        <f>SUM(C10876,C10852,C10828,C10804,C10780,C10756,C10732,C10708,C10684,C10660,C10636,C10612,C10588,C10564)/POBLA!$B$3*100000</f>
        <v>1297.185139539474</v>
      </c>
      <c r="H10876" s="256">
        <f t="shared" si="1828"/>
        <v>1.7785478547854785</v>
      </c>
      <c r="I10876" s="297">
        <f t="shared" si="1831"/>
        <v>2307.1058471875331</v>
      </c>
      <c r="J10876" s="422">
        <f t="shared" si="1832"/>
        <v>443.85714285714283</v>
      </c>
      <c r="K10876" s="297">
        <f>J10876/POBLA!$B$3*100000</f>
        <v>106.84076633749027</v>
      </c>
      <c r="L10876" s="200">
        <f t="shared" si="1827"/>
        <v>0.36152497808939521</v>
      </c>
      <c r="M10876" s="401">
        <f>SUM(C10876,C10852,C10828,C10804,C10780,C10756,C10732)/POBLA!$B$3*100000</f>
        <v>747.88536436243191</v>
      </c>
    </row>
    <row r="10877" spans="1:13" x14ac:dyDescent="0.25">
      <c r="A10877" s="367" t="s">
        <v>15</v>
      </c>
      <c r="B10877" s="2">
        <v>44346</v>
      </c>
      <c r="C10877" s="4">
        <v>352</v>
      </c>
      <c r="D10877" s="39">
        <f t="shared" si="1829"/>
        <v>57727</v>
      </c>
      <c r="E10877" s="1">
        <v>6</v>
      </c>
      <c r="F10877" s="39">
        <f t="shared" si="1830"/>
        <v>1214</v>
      </c>
      <c r="G10877" s="168">
        <f>SUM(C10877,C10853,C10829,C10805,C10781,C10757,C10733,C10709,C10685,C10661,C10637,C10613,C10589,C10565)/POBLA!$B$4*100000</f>
        <v>699.85164473438431</v>
      </c>
      <c r="H10877" s="256">
        <f t="shared" si="1828"/>
        <v>2.0476074811756133</v>
      </c>
      <c r="I10877" s="297">
        <f t="shared" si="1831"/>
        <v>1433.0214634711829</v>
      </c>
      <c r="J10877" s="422">
        <f t="shared" si="1832"/>
        <v>619.14285714285711</v>
      </c>
      <c r="K10877" s="297">
        <f>J10877/POBLA!$B$4*100000</f>
        <v>51.400729169273369</v>
      </c>
      <c r="L10877" s="200">
        <f t="shared" si="1827"/>
        <v>5.810546875E-2</v>
      </c>
      <c r="M10877" s="401">
        <f>SUM(C10877,C10853,C10829,C10805,C10781,C10757,C10733)/POBLA!$B$4*100000</f>
        <v>359.8051041849136</v>
      </c>
    </row>
    <row r="10878" spans="1:13" x14ac:dyDescent="0.25">
      <c r="A10878" s="367" t="s">
        <v>29</v>
      </c>
      <c r="B10878" s="2">
        <v>44346</v>
      </c>
      <c r="C10878" s="4">
        <v>128</v>
      </c>
      <c r="D10878" s="39">
        <f t="shared" si="1829"/>
        <v>62302</v>
      </c>
      <c r="F10878" s="39">
        <f t="shared" si="1830"/>
        <v>1040</v>
      </c>
      <c r="G10878" s="168">
        <f>SUM(C10878,C10854,C10830,C10806,C10782,C10758,C10734,C10710,C10686,C10662,C10638,C10614,C10590,C10566)/POBLA!$B$5*100000</f>
        <v>716.16203064973172</v>
      </c>
      <c r="H10878" s="256">
        <f t="shared" si="1828"/>
        <v>1.5753375977256574</v>
      </c>
      <c r="I10878" s="297">
        <f t="shared" si="1831"/>
        <v>1128.196972946077</v>
      </c>
      <c r="J10878" s="422">
        <f t="shared" si="1832"/>
        <v>322</v>
      </c>
      <c r="K10878" s="297">
        <f>J10878/POBLA!$B$5*100000</f>
        <v>52.019890338193903</v>
      </c>
      <c r="L10878" s="200">
        <f t="shared" si="1827"/>
        <v>3.4419458467186859E-2</v>
      </c>
      <c r="M10878" s="401">
        <f>SUM(C10878,C10854,C10830,C10806,C10782,C10758,C10734)/POBLA!$B$5*100000</f>
        <v>364.13923236735735</v>
      </c>
    </row>
    <row r="10879" spans="1:13" x14ac:dyDescent="0.25">
      <c r="A10879" s="367" t="s">
        <v>30</v>
      </c>
      <c r="B10879" s="2">
        <v>44346</v>
      </c>
      <c r="C10879" s="4">
        <v>620</v>
      </c>
      <c r="D10879" s="39">
        <f t="shared" si="1829"/>
        <v>51113</v>
      </c>
      <c r="F10879" s="39">
        <f t="shared" si="1830"/>
        <v>602</v>
      </c>
      <c r="G10879" s="168">
        <f>SUM(C10879,C10855,C10831,C10807,C10783,C10759,C10735,C10711,C10687,C10663,C10639,C10615,C10591,C10567)/POBLA!$B$6*100000</f>
        <v>942.450979255015</v>
      </c>
      <c r="H10879" s="256">
        <f t="shared" si="1828"/>
        <v>3.8257877580586745</v>
      </c>
      <c r="I10879" s="297">
        <f t="shared" si="1831"/>
        <v>3605.6174190042461</v>
      </c>
      <c r="J10879" s="422">
        <f t="shared" si="1832"/>
        <v>517.57142857142856</v>
      </c>
      <c r="K10879" s="297">
        <f>J10879/POBLA!$B$6*100000</f>
        <v>46.178708670979823</v>
      </c>
      <c r="L10879" s="200">
        <f t="shared" si="1827"/>
        <v>-0.47795389048991355</v>
      </c>
      <c r="M10879" s="401">
        <f>SUM(C10879,C10855,C10831,C10807,C10783,C10759,C10735)/POBLA!$B$6*100000</f>
        <v>323.25096069685873</v>
      </c>
    </row>
    <row r="10880" spans="1:13" x14ac:dyDescent="0.25">
      <c r="A10880" s="367" t="s">
        <v>20</v>
      </c>
      <c r="B10880" s="2">
        <v>44346</v>
      </c>
      <c r="C10880" s="4">
        <v>3441</v>
      </c>
      <c r="D10880" s="39">
        <f t="shared" si="1829"/>
        <v>308317</v>
      </c>
      <c r="E10880" s="1">
        <v>15</v>
      </c>
      <c r="F10880" s="39">
        <f t="shared" si="1830"/>
        <v>3872</v>
      </c>
      <c r="G10880" s="168">
        <f>SUM(C10880,C10856,C10832,C10808,C10784,C10760,C10736,C10712,C10688,C10664,C10640,C10616,C10592,C10568)/POBLA!$B$7*100000</f>
        <v>1374.1174593466208</v>
      </c>
      <c r="H10880" s="256">
        <f t="shared" si="1828"/>
        <v>1.9049251640492517</v>
      </c>
      <c r="I10880" s="297">
        <f t="shared" si="1831"/>
        <v>2617.5909266688027</v>
      </c>
      <c r="J10880" s="422">
        <f t="shared" si="1832"/>
        <v>3882.1428571428573</v>
      </c>
      <c r="K10880" s="297">
        <f>J10880/POBLA!$B$7*100000</f>
        <v>103.23612485587782</v>
      </c>
      <c r="L10880" s="200">
        <f t="shared" si="1827"/>
        <v>0.10927422646746665</v>
      </c>
      <c r="M10880" s="401">
        <f>SUM(C10880,C10856,C10832,C10808,C10784,C10760,C10736)/POBLA!$B$7*100000</f>
        <v>722.6528739911447</v>
      </c>
    </row>
    <row r="10881" spans="1:13" x14ac:dyDescent="0.25">
      <c r="A10881" s="367" t="s">
        <v>31</v>
      </c>
      <c r="B10881" s="2">
        <v>44346</v>
      </c>
      <c r="C10881" s="4">
        <v>737</v>
      </c>
      <c r="D10881" s="39">
        <f t="shared" si="1829"/>
        <v>85033</v>
      </c>
      <c r="E10881" s="1">
        <v>14</v>
      </c>
      <c r="F10881" s="39">
        <f t="shared" si="1830"/>
        <v>1316</v>
      </c>
      <c r="G10881" s="168">
        <f>SUM(C10881,C10857,C10833,C10809,C10785,C10761,C10737,C10713,C10689,C10665,C10641,C10617,C10593,C10569)/POBLA!$B$8*100000</f>
        <v>934.44187823466893</v>
      </c>
      <c r="H10881" s="256">
        <f t="shared" si="1828"/>
        <v>1.5152685152685152</v>
      </c>
      <c r="I10881" s="297">
        <f t="shared" si="1831"/>
        <v>1415.9303574373696</v>
      </c>
      <c r="J10881" s="422">
        <f t="shared" si="1832"/>
        <v>956</v>
      </c>
      <c r="K10881" s="297">
        <f>J10881/POBLA!$B$8*100000</f>
        <v>68.977409898258315</v>
      </c>
      <c r="L10881" s="200">
        <f t="shared" si="1827"/>
        <v>6.9180380252436446E-2</v>
      </c>
      <c r="M10881" s="401">
        <f>SUM(C10881,C10857,C10833,C10809,C10785,C10761,C10737)/POBLA!$B$8*100000</f>
        <v>482.84186928780821</v>
      </c>
    </row>
    <row r="10882" spans="1:13" x14ac:dyDescent="0.25">
      <c r="A10882" s="367" t="s">
        <v>41</v>
      </c>
      <c r="B10882" s="2">
        <v>44346</v>
      </c>
      <c r="C10882" s="4">
        <v>777</v>
      </c>
      <c r="D10882" s="39">
        <f t="shared" si="1829"/>
        <v>29647</v>
      </c>
      <c r="E10882" s="1">
        <v>4</v>
      </c>
      <c r="F10882" s="39">
        <f t="shared" si="1830"/>
        <v>468</v>
      </c>
      <c r="G10882" s="168">
        <f>SUM(C10882,C10858,C10834,C10810,C10786,C10762,C10738,C10714,C10690,C10666,C10642,C10618,C10594,C10570)/POBLA!$B$9*100000</f>
        <v>3549.4462097215269</v>
      </c>
      <c r="H10882" s="256">
        <f t="shared" si="1828"/>
        <v>5.9225255031706645</v>
      </c>
      <c r="I10882" s="297">
        <f>G10882*H10882</f>
        <v>21021.685699208196</v>
      </c>
      <c r="J10882" s="422">
        <f t="shared" si="1832"/>
        <v>925.57142857142856</v>
      </c>
      <c r="K10882" s="297">
        <f>J10882/POBLA!$B$9*100000</f>
        <v>152.93822442946771</v>
      </c>
      <c r="L10882" s="200">
        <f>(SUM(C10882,C10858,C10834,C10810,C10786,C10762,C10738)/SUM(C10714,C10690,C10666,C10642,C10618,C10594,C10570))-1</f>
        <v>-0.56812425009998668</v>
      </c>
      <c r="M10882" s="401">
        <f>SUM(C10882,C10858,C10834,C10810,C10786,C10762,C10738)/POBLA!$B$9*100000</f>
        <v>1070.5675710062742</v>
      </c>
    </row>
    <row r="10883" spans="1:13" x14ac:dyDescent="0.25">
      <c r="A10883" s="367" t="s">
        <v>32</v>
      </c>
      <c r="B10883" s="2">
        <v>44346</v>
      </c>
      <c r="C10883" s="4">
        <v>143</v>
      </c>
      <c r="D10883" s="39">
        <f t="shared" si="1829"/>
        <v>28212</v>
      </c>
      <c r="E10883" s="1">
        <v>1</v>
      </c>
      <c r="F10883" s="39">
        <f t="shared" si="1830"/>
        <v>1092</v>
      </c>
      <c r="G10883" s="168">
        <f>SUM(C10883,C10859,C10835,C10811,C10787,C10763,C10739,C10715,C10691,C10667,C10643,C10619,C10595,C10571)/POBLA!$B$10*100000</f>
        <v>255.55176479897676</v>
      </c>
      <c r="H10883" s="256">
        <f t="shared" si="1828"/>
        <v>1.5709728867623605</v>
      </c>
      <c r="I10883" s="297">
        <f t="shared" ref="I10883:I10897" si="1833">G10883*H10883</f>
        <v>401.4648936634643</v>
      </c>
      <c r="J10883" s="422">
        <f t="shared" si="1832"/>
        <v>154.57142857142858</v>
      </c>
      <c r="K10883" s="297">
        <f>J10883/POBLA!$B$10*100000</f>
        <v>20.051269725343936</v>
      </c>
      <c r="L10883" s="200">
        <f t="shared" ref="L10883:L10905" si="1834">(SUM(C10883,C10859,C10835,C10811,C10787,C10763,C10739)/SUM(C10715,C10691,C10667,C10643,C10619,C10595,C10571))-1</f>
        <v>0.21846846846846857</v>
      </c>
      <c r="M10883" s="401">
        <f>SUM(C10883,C10859,C10835,C10811,C10787,C10763,C10739)/POBLA!$B$10*100000</f>
        <v>140.35888807740753</v>
      </c>
    </row>
    <row r="10884" spans="1:13" x14ac:dyDescent="0.25">
      <c r="A10884" s="367" t="s">
        <v>33</v>
      </c>
      <c r="B10884" s="2">
        <v>44346</v>
      </c>
      <c r="C10884" s="4">
        <v>298</v>
      </c>
      <c r="D10884" s="39">
        <f t="shared" si="1829"/>
        <v>42338</v>
      </c>
      <c r="F10884" s="39">
        <f t="shared" si="1830"/>
        <v>545</v>
      </c>
      <c r="G10884" s="168">
        <f>SUM(C10884,C10860,C10836,C10812,C10788,C10764,C10740,C10716,C10692,C10668,C10644,C10620,C10596,C10572)/POBLA!$B$11*100000</f>
        <v>2440.0995457944132</v>
      </c>
      <c r="H10884" s="256">
        <f t="shared" si="1828"/>
        <v>1.4605878423513694</v>
      </c>
      <c r="I10884" s="297">
        <f t="shared" si="1833"/>
        <v>3563.9797307144186</v>
      </c>
      <c r="J10884" s="422">
        <f t="shared" si="1832"/>
        <v>550.85714285714289</v>
      </c>
      <c r="K10884" s="297">
        <f>J10884/POBLA!$B$11*100000</f>
        <v>153.68697279708698</v>
      </c>
      <c r="L10884" s="200">
        <f t="shared" si="1834"/>
        <v>-0.21145194274028634</v>
      </c>
      <c r="M10884" s="401">
        <f>SUM(C10884,C10860,C10836,C10812,C10788,C10764,C10740)/POBLA!$B$11*100000</f>
        <v>1075.8088095796088</v>
      </c>
    </row>
    <row r="10885" spans="1:13" x14ac:dyDescent="0.25">
      <c r="A10885" s="367" t="s">
        <v>21</v>
      </c>
      <c r="B10885" s="2">
        <v>44346</v>
      </c>
      <c r="C10885" s="4">
        <v>109</v>
      </c>
      <c r="D10885" s="39">
        <f t="shared" si="1829"/>
        <v>17289</v>
      </c>
      <c r="F10885" s="39">
        <f t="shared" si="1830"/>
        <v>534</v>
      </c>
      <c r="G10885" s="168">
        <f>SUM(C10885,C10861,C10837,C10813,C10789,C10765,C10741,C10717,C10693,C10669,C10645,C10621,C10597,C10573)/POBLA!$B$12*100000</f>
        <v>618.75684507700794</v>
      </c>
      <c r="H10885" s="256">
        <f t="shared" si="1828"/>
        <v>1.8601986249045073</v>
      </c>
      <c r="I10885" s="297">
        <f t="shared" si="1833"/>
        <v>1151.0106323625014</v>
      </c>
      <c r="J10885" s="422">
        <f t="shared" si="1832"/>
        <v>169.71428571428572</v>
      </c>
      <c r="K10885" s="297">
        <f>J10885/POBLA!$B$12*100000</f>
        <v>43.126027101876531</v>
      </c>
      <c r="L10885" s="200">
        <f t="shared" si="1834"/>
        <v>-4.7313552526062508E-2</v>
      </c>
      <c r="M10885" s="401">
        <f>SUM(C10885,C10861,C10837,C10813,C10789,C10765,C10741)/POBLA!$B$12*100000</f>
        <v>301.88218971313569</v>
      </c>
    </row>
    <row r="10886" spans="1:13" x14ac:dyDescent="0.25">
      <c r="A10886" s="367" t="s">
        <v>17</v>
      </c>
      <c r="B10886" s="2">
        <v>44346</v>
      </c>
      <c r="C10886" s="4">
        <v>450</v>
      </c>
      <c r="D10886" s="39">
        <f t="shared" si="1829"/>
        <v>119878</v>
      </c>
      <c r="E10886" s="1">
        <v>14</v>
      </c>
      <c r="F10886" s="39">
        <f t="shared" si="1830"/>
        <v>2559</v>
      </c>
      <c r="G10886" s="168">
        <f>SUM(C10886,C10862,C10838,C10814,C10790,C10766,C10742,C10718,C10694,C10670,C10646,C10622,C10598,C10574)/POBLA!$B$13*100000</f>
        <v>579.85126144403614</v>
      </c>
      <c r="H10886" s="256">
        <f t="shared" si="1828"/>
        <v>1.0469926517282047</v>
      </c>
      <c r="I10886" s="297">
        <f t="shared" si="1833"/>
        <v>607.10000982723591</v>
      </c>
      <c r="J10886" s="422">
        <f t="shared" si="1832"/>
        <v>715</v>
      </c>
      <c r="K10886" s="297">
        <f>J10886/POBLA!$B$13*100000</f>
        <v>35.92354665388492</v>
      </c>
      <c r="L10886" s="200">
        <f t="shared" si="1834"/>
        <v>-0.23424112607099146</v>
      </c>
      <c r="M10886" s="401">
        <f>SUM(C10886,C10862,C10838,C10814,C10790,C10766,C10742)/POBLA!$B$13*100000</f>
        <v>251.46482657719443</v>
      </c>
    </row>
    <row r="10887" spans="1:13" x14ac:dyDescent="0.25">
      <c r="A10887" s="367" t="s">
        <v>23</v>
      </c>
      <c r="B10887" s="2">
        <v>44346</v>
      </c>
      <c r="C10887" s="4">
        <v>189</v>
      </c>
      <c r="D10887" s="39">
        <f t="shared" si="1829"/>
        <v>20264</v>
      </c>
      <c r="E10887" s="1">
        <v>1</v>
      </c>
      <c r="F10887" s="39">
        <f t="shared" si="1830"/>
        <v>293</v>
      </c>
      <c r="G10887" s="168">
        <f>SUM(C10887,C10863,C10839,C10815,C10791,C10767,C10743,C10719,C10695,C10671,C10647,C10623,C10599,C10575)/POBLA!$B$14*100000</f>
        <v>185.99945769979084</v>
      </c>
      <c r="H10887" s="256">
        <f t="shared" si="1828"/>
        <v>1.1268011527377522</v>
      </c>
      <c r="I10887" s="297">
        <f t="shared" si="1833"/>
        <v>209.5844033447211</v>
      </c>
      <c r="J10887" s="422">
        <f t="shared" si="1832"/>
        <v>178</v>
      </c>
      <c r="K10887" s="297">
        <f>J10887/POBLA!$B$14*100000</f>
        <v>14.112490822916783</v>
      </c>
      <c r="L10887" s="200">
        <f t="shared" si="1834"/>
        <v>0.1327272727272728</v>
      </c>
      <c r="M10887" s="401">
        <f>SUM(C10887,C10863,C10839,C10815,C10791,C10767,C10743)/POBLA!$B$14*100000</f>
        <v>98.787435760417466</v>
      </c>
    </row>
    <row r="10888" spans="1:13" x14ac:dyDescent="0.25">
      <c r="A10888" s="367" t="s">
        <v>19</v>
      </c>
      <c r="B10888" s="2">
        <v>44346</v>
      </c>
      <c r="C10888" s="4">
        <v>600</v>
      </c>
      <c r="D10888" s="39">
        <f t="shared" si="1829"/>
        <v>89550</v>
      </c>
      <c r="E10888" s="1">
        <v>5</v>
      </c>
      <c r="F10888" s="39">
        <f t="shared" si="1830"/>
        <v>1313</v>
      </c>
      <c r="G10888" s="168">
        <f>SUM(C10888,C10864,C10840,C10816,C10792,C10768,C10744,C10720,C10696,C10672,C10648,C10624,C10600,C10576)/POBLA!$B$15*100000</f>
        <v>1680.2774460626119</v>
      </c>
      <c r="H10888" s="256">
        <f t="shared" si="1828"/>
        <v>1.645480017696505</v>
      </c>
      <c r="I10888" s="297">
        <f t="shared" si="1833"/>
        <v>2764.8629616821449</v>
      </c>
      <c r="J10888" s="422">
        <f t="shared" si="1832"/>
        <v>844.71428571428567</v>
      </c>
      <c r="K10888" s="297">
        <f>J10888/POBLA!$B$15*100000</f>
        <v>127.20508717087324</v>
      </c>
      <c r="L10888" s="200">
        <f t="shared" si="1834"/>
        <v>0.12735938989513818</v>
      </c>
      <c r="M10888" s="401">
        <f>SUM(C10888,C10864,C10840,C10816,C10792,C10768,C10744)/POBLA!$B$15*100000</f>
        <v>890.43561019611275</v>
      </c>
    </row>
    <row r="10889" spans="1:13" x14ac:dyDescent="0.25">
      <c r="A10889" s="367" t="s">
        <v>18</v>
      </c>
      <c r="B10889" s="2">
        <v>44346</v>
      </c>
      <c r="C10889" s="4">
        <v>170</v>
      </c>
      <c r="D10889" s="39">
        <f t="shared" si="1829"/>
        <v>73614</v>
      </c>
      <c r="E10889" s="1">
        <v>29</v>
      </c>
      <c r="F10889" s="39">
        <f t="shared" si="1830"/>
        <v>1610</v>
      </c>
      <c r="G10889" s="168">
        <f>SUM(C10889,C10865,C10841,C10817,C10793,C10769,C10745,C10721,C10697,C10673,C10649,C10625,C10601,C10577)/POBLA!$B$16*100000</f>
        <v>959.72499030243034</v>
      </c>
      <c r="H10889" s="256">
        <f t="shared" si="1828"/>
        <v>1.5217391304347827</v>
      </c>
      <c r="I10889" s="297">
        <f t="shared" si="1833"/>
        <v>1460.4510721993506</v>
      </c>
      <c r="J10889" s="422">
        <f t="shared" si="1832"/>
        <v>502.85714285714283</v>
      </c>
      <c r="K10889" s="297">
        <f>J10889/POBLA!$B$16*100000</f>
        <v>67.26196049506332</v>
      </c>
      <c r="L10889" s="200">
        <f t="shared" si="1834"/>
        <v>-3.6935704514363898E-2</v>
      </c>
      <c r="M10889" s="401">
        <f>SUM(C10889,C10865,C10841,C10817,C10793,C10769,C10745)/POBLA!$B$16*100000</f>
        <v>470.8337234654432</v>
      </c>
    </row>
    <row r="10890" spans="1:13" x14ac:dyDescent="0.25">
      <c r="A10890" s="367" t="s">
        <v>34</v>
      </c>
      <c r="B10890" s="2">
        <v>44346</v>
      </c>
      <c r="C10890" s="4">
        <v>287</v>
      </c>
      <c r="D10890" s="39">
        <f t="shared" si="1829"/>
        <v>44952</v>
      </c>
      <c r="E10890" s="1">
        <v>1</v>
      </c>
      <c r="F10890" s="39">
        <f t="shared" si="1830"/>
        <v>1387</v>
      </c>
      <c r="G10890" s="168">
        <f>SUM(C10890,C10866,C10842,C10818,C10794,C10770,C10746,C10722,C10698,C10674,C10650,C10626,C10602,C10578)/POBLA!$B$17*100000</f>
        <v>455.91222110128007</v>
      </c>
      <c r="H10890" s="256">
        <f t="shared" ref="H10890:H10913" si="1835">SUM(C10890,C10866,C10842,C10818,C10794,C10770,C10746,C10722,C10698,C10674,C10650,C10626,C10602,C10578)/SUM(C10554,C10530,C10506,C10482,C10458,C10434,C10410,C10386,C10362,C10338,C10314,C10290,C10266,C10242)</f>
        <v>1.8511972633979477</v>
      </c>
      <c r="I10890" s="297">
        <f t="shared" si="1833"/>
        <v>843.98345605236966</v>
      </c>
      <c r="J10890" s="422">
        <f t="shared" si="1832"/>
        <v>457.42857142857144</v>
      </c>
      <c r="K10890" s="297">
        <f>J10890/POBLA!$B$17*100000</f>
        <v>32.113839851429866</v>
      </c>
      <c r="L10890" s="200">
        <f t="shared" si="1834"/>
        <v>-2.7339003645200477E-2</v>
      </c>
      <c r="M10890" s="401">
        <f>SUM(C10890,C10866,C10842,C10818,C10794,C10770,C10746)/POBLA!$B$17*100000</f>
        <v>224.79687896000905</v>
      </c>
    </row>
    <row r="10891" spans="1:13" x14ac:dyDescent="0.25">
      <c r="A10891" s="367" t="s">
        <v>35</v>
      </c>
      <c r="B10891" s="2">
        <v>44346</v>
      </c>
      <c r="C10891" s="4">
        <v>255</v>
      </c>
      <c r="D10891" s="39">
        <f t="shared" si="1829"/>
        <v>36609</v>
      </c>
      <c r="E10891" s="1">
        <v>3</v>
      </c>
      <c r="F10891" s="39">
        <f t="shared" si="1830"/>
        <v>627</v>
      </c>
      <c r="G10891" s="168">
        <f>SUM(C10891,C10867,C10843,C10819,C10795,C10771,C10747,C10723,C10699,C10675,C10651,C10627,C10603,C10579)/POBLA!$B$18*100000</f>
        <v>945.19192490690807</v>
      </c>
      <c r="H10891" s="256">
        <f t="shared" si="1835"/>
        <v>1.3573529411764707</v>
      </c>
      <c r="I10891" s="297">
        <f t="shared" si="1833"/>
        <v>1282.9590392486414</v>
      </c>
      <c r="J10891" s="422">
        <f t="shared" si="1832"/>
        <v>497.57142857142856</v>
      </c>
      <c r="K10891" s="297">
        <f>J10891/POBLA!$B$18*100000</f>
        <v>63.691833200177228</v>
      </c>
      <c r="L10891" s="200">
        <f t="shared" si="1834"/>
        <v>-0.1071520123045373</v>
      </c>
      <c r="M10891" s="401">
        <f>SUM(C10891,C10867,C10843,C10819,C10795,C10771,C10747)/POBLA!$B$18*100000</f>
        <v>445.84283240124068</v>
      </c>
    </row>
    <row r="10892" spans="1:13" x14ac:dyDescent="0.25">
      <c r="A10892" s="367" t="s">
        <v>36</v>
      </c>
      <c r="B10892" s="2">
        <v>44346</v>
      </c>
      <c r="C10892" s="4">
        <v>453</v>
      </c>
      <c r="D10892" s="39">
        <f t="shared" si="1829"/>
        <v>52531</v>
      </c>
      <c r="E10892" s="1">
        <v>4</v>
      </c>
      <c r="F10892" s="39">
        <f t="shared" si="1830"/>
        <v>685</v>
      </c>
      <c r="G10892" s="168">
        <f>SUM(C10892,C10868,C10844,C10820,C10796,C10772,C10748,C10724,C10700,C10676,C10652,C10628,C10604,C10580)/POBLA!$B$19*100000</f>
        <v>1527.7537338096663</v>
      </c>
      <c r="H10892" s="256">
        <f t="shared" si="1835"/>
        <v>1.2231847535044889</v>
      </c>
      <c r="I10892" s="297">
        <f t="shared" si="1833"/>
        <v>1868.7250743055392</v>
      </c>
      <c r="J10892" s="422">
        <f t="shared" si="1832"/>
        <v>547.28571428571433</v>
      </c>
      <c r="K10892" s="297">
        <f>J10892/POBLA!$B$19*100000</f>
        <v>107.66389305442831</v>
      </c>
      <c r="L10892" s="200">
        <f t="shared" si="1834"/>
        <v>-2.6429479034307479E-2</v>
      </c>
      <c r="M10892" s="401">
        <f>SUM(C10892,C10868,C10844,C10820,C10796,C10772,C10748)/POBLA!$B$19*100000</f>
        <v>753.64725138099811</v>
      </c>
    </row>
    <row r="10893" spans="1:13" x14ac:dyDescent="0.25">
      <c r="A10893" s="367" t="s">
        <v>37</v>
      </c>
      <c r="B10893" s="2">
        <v>44346</v>
      </c>
      <c r="C10893" s="4">
        <v>111</v>
      </c>
      <c r="D10893" s="39">
        <f t="shared" si="1829"/>
        <v>51324</v>
      </c>
      <c r="F10893" s="39">
        <f t="shared" si="1830"/>
        <v>785</v>
      </c>
      <c r="G10893" s="168">
        <f>SUM(C10893,C10869,C10845,C10821,C10797,C10773,C10749,C10725,C10701,C10677,C10653,C10629,C10605,C10581)/POBLA!$B$20*100000</f>
        <v>870.39032206902971</v>
      </c>
      <c r="H10893" s="256">
        <f t="shared" si="1835"/>
        <v>1.0290979631425801</v>
      </c>
      <c r="I10893" s="297">
        <f t="shared" si="1833"/>
        <v>895.71690758025272</v>
      </c>
      <c r="J10893" s="422">
        <f t="shared" si="1832"/>
        <v>190.14285714285714</v>
      </c>
      <c r="K10893" s="297">
        <f>J10893/POBLA!$B$20*100000</f>
        <v>51.99450288020639</v>
      </c>
      <c r="L10893" s="200">
        <f t="shared" si="1834"/>
        <v>-0.28131749460043198</v>
      </c>
      <c r="M10893" s="401">
        <f>SUM(C10893,C10869,C10845,C10821,C10797,C10773,C10749)/POBLA!$B$20*100000</f>
        <v>363.9615201614447</v>
      </c>
    </row>
    <row r="10894" spans="1:13" x14ac:dyDescent="0.25">
      <c r="A10894" s="367" t="s">
        <v>22</v>
      </c>
      <c r="B10894" s="2">
        <v>44346</v>
      </c>
      <c r="C10894" s="4">
        <v>2540</v>
      </c>
      <c r="D10894" s="39">
        <f t="shared" si="1829"/>
        <v>342636</v>
      </c>
      <c r="E10894" s="1">
        <v>11</v>
      </c>
      <c r="F10894" s="39">
        <f t="shared" si="1830"/>
        <v>5509</v>
      </c>
      <c r="G10894" s="168">
        <f>SUM(C10894,C10870,C10846,C10822,C10798,C10774,C10750,C10726,C10702,C10678,C10654,C10630,C10606,C10582)/POBLA!$B$21*100000</f>
        <v>1120.5971692260362</v>
      </c>
      <c r="H10894" s="256">
        <f t="shared" si="1835"/>
        <v>1.5029202063106797</v>
      </c>
      <c r="I10894" s="297">
        <f t="shared" si="1833"/>
        <v>1684.1681287643578</v>
      </c>
      <c r="J10894" s="422">
        <f t="shared" si="1832"/>
        <v>2864.4285714285716</v>
      </c>
      <c r="K10894" s="297">
        <f>J10894/POBLA!$B$21*100000</f>
        <v>80.998020353605582</v>
      </c>
      <c r="L10894" s="200">
        <f t="shared" si="1834"/>
        <v>2.415977117172341E-2</v>
      </c>
      <c r="M10894" s="401">
        <f>SUM(C10894,C10870,C10846,C10822,C10798,C10774,C10750)/POBLA!$B$21*100000</f>
        <v>566.98614247523903</v>
      </c>
    </row>
    <row r="10895" spans="1:13" x14ac:dyDescent="0.25">
      <c r="A10895" s="367" t="s">
        <v>38</v>
      </c>
      <c r="B10895" s="2">
        <v>44346</v>
      </c>
      <c r="C10895" s="4">
        <v>411</v>
      </c>
      <c r="D10895" s="39">
        <f t="shared" si="1829"/>
        <v>43372</v>
      </c>
      <c r="E10895" s="1">
        <v>11</v>
      </c>
      <c r="F10895" s="39">
        <f t="shared" si="1830"/>
        <v>510</v>
      </c>
      <c r="G10895" s="168">
        <f>SUM(C10895,C10871,C10847,C10823,C10799,C10775,C10751,C10727,C10703,C10679,C10655,C10631,C10607,C10583)/POBLA!$B$22*100000</f>
        <v>822.4361732901433</v>
      </c>
      <c r="H10895" s="256">
        <f t="shared" si="1835"/>
        <v>1.8874032371569318</v>
      </c>
      <c r="I10895" s="297">
        <f t="shared" si="1833"/>
        <v>1552.2686958227757</v>
      </c>
      <c r="J10895" s="422">
        <f t="shared" si="1832"/>
        <v>558.14285714285711</v>
      </c>
      <c r="K10895" s="297">
        <f>J10895/POBLA!$B$22*100000</f>
        <v>57.051562960203647</v>
      </c>
      <c r="L10895" s="200">
        <f t="shared" si="1834"/>
        <v>-5.6052186518482761E-2</v>
      </c>
      <c r="M10895" s="401">
        <f>SUM(C10895,C10871,C10847,C10823,C10799,C10775,C10751)/POBLA!$B$22*100000</f>
        <v>399.36094072142555</v>
      </c>
    </row>
    <row r="10896" spans="1:13" x14ac:dyDescent="0.25">
      <c r="A10896" s="367" t="s">
        <v>39</v>
      </c>
      <c r="B10896" s="2">
        <v>44346</v>
      </c>
      <c r="C10896" s="4">
        <v>32</v>
      </c>
      <c r="D10896" s="39">
        <f t="shared" si="1829"/>
        <v>28450</v>
      </c>
      <c r="E10896" s="1">
        <v>3</v>
      </c>
      <c r="F10896" s="39">
        <f t="shared" si="1830"/>
        <v>418</v>
      </c>
      <c r="G10896" s="168">
        <f>SUM(C10896,C10872,C10848,C10824,C10800,C10776,C10752,C10728,C10704,C10680,C10656,C10632,C10608,C10584)/POBLA!$B$23*100000</f>
        <v>519.70819431092013</v>
      </c>
      <c r="H10896" s="256">
        <f t="shared" si="1835"/>
        <v>0.92734611503531783</v>
      </c>
      <c r="I10896" s="297">
        <f t="shared" si="1833"/>
        <v>481.94937494625185</v>
      </c>
      <c r="J10896" s="422">
        <f t="shared" si="1832"/>
        <v>57</v>
      </c>
      <c r="K10896" s="297">
        <f>J10896/POBLA!$B$23*100000</f>
        <v>32.234349375106035</v>
      </c>
      <c r="L10896" s="200">
        <f t="shared" si="1834"/>
        <v>-0.23269230769230764</v>
      </c>
      <c r="M10896" s="401">
        <f>SUM(C10896,C10872,C10848,C10824,C10800,C10776,C10752)/POBLA!$B$23*100000</f>
        <v>225.64044562574225</v>
      </c>
    </row>
    <row r="10897" spans="1:13" ht="15.75" thickBot="1" x14ac:dyDescent="0.3">
      <c r="A10897" s="368" t="s">
        <v>40</v>
      </c>
      <c r="B10897" s="34">
        <v>44346</v>
      </c>
      <c r="C10897" s="27">
        <v>481</v>
      </c>
      <c r="D10897" s="67">
        <f t="shared" si="1829"/>
        <v>128623</v>
      </c>
      <c r="E10897" s="232"/>
      <c r="F10897" s="67">
        <f t="shared" si="1830"/>
        <v>1865</v>
      </c>
      <c r="G10897" s="255">
        <f>SUM(C10897,C10873,C10849,C10825,C10801,C10777,C10753,C10729,C10705,C10681,C10657,C10633,C10609,C10585)/POBLA!$B$24*100000</f>
        <v>809.01374674270176</v>
      </c>
      <c r="H10897" s="257">
        <f t="shared" si="1835"/>
        <v>1.6980431013128561</v>
      </c>
      <c r="I10897" s="299">
        <f t="shared" si="1833"/>
        <v>1373.7402115237107</v>
      </c>
      <c r="J10897" s="428">
        <f t="shared" si="1832"/>
        <v>1049.7142857142858</v>
      </c>
      <c r="K10897" s="299">
        <f>J10897/POBLA!$B$24*100000</f>
        <v>61.942617599930948</v>
      </c>
      <c r="L10897" s="260">
        <f t="shared" si="1834"/>
        <v>0.15498270983967299</v>
      </c>
      <c r="M10897" s="406">
        <f>SUM(C10897,C10873,C10849,C10825,C10801,C10777,C10753)/POBLA!$B$24*100000</f>
        <v>433.59832319951659</v>
      </c>
    </row>
    <row r="10898" spans="1:13" x14ac:dyDescent="0.25">
      <c r="A10898" s="363" t="s">
        <v>16</v>
      </c>
      <c r="B10898" s="265">
        <v>44347</v>
      </c>
      <c r="C10898" s="356">
        <v>10022</v>
      </c>
      <c r="D10898" s="174">
        <f t="shared" ref="D10898:D10961" si="1836">C10898+D10874</f>
        <v>1610286</v>
      </c>
      <c r="E10898" s="43">
        <v>249</v>
      </c>
      <c r="F10898" s="174">
        <f t="shared" ref="F10898:F10921" si="1837">E10898+F10874</f>
        <v>40195</v>
      </c>
      <c r="G10898" s="175">
        <f>SUM(C10898,C10874,C10850,C10826,C10802,C10778,C10754,C10730,C10706,C10682,C10658,C10634,C10610,C10586)/POBLA!$B$1*100000</f>
        <v>923.02433461996566</v>
      </c>
      <c r="H10898" s="300">
        <f t="shared" si="1835"/>
        <v>1.2567257090519584</v>
      </c>
      <c r="I10898" s="301">
        <f>G10898*H10898</f>
        <v>1159.9884113974883</v>
      </c>
      <c r="J10898" s="421">
        <f>AVERAGE(C10898,C10874,C10850,C10826,C10802,C10778,C10754)</f>
        <v>11326.571428571429</v>
      </c>
      <c r="K10898" s="301">
        <f>J10898/POBLA!$B$1*100000</f>
        <v>64.571463330529241</v>
      </c>
      <c r="L10898" s="399">
        <f t="shared" si="1834"/>
        <v>-4.0388269610156957E-2</v>
      </c>
      <c r="M10898" s="400">
        <f>SUM(C10898,C10874,C10850,C10826,C10802,C10778,C10754)/POBLA!$B$1*100000</f>
        <v>452.00024331370469</v>
      </c>
    </row>
    <row r="10899" spans="1:13" x14ac:dyDescent="0.25">
      <c r="A10899" s="367" t="s">
        <v>43</v>
      </c>
      <c r="B10899" s="2">
        <v>44347</v>
      </c>
      <c r="C10899" s="4">
        <v>2105</v>
      </c>
      <c r="D10899" s="39">
        <f t="shared" si="1836"/>
        <v>418250</v>
      </c>
      <c r="E10899" s="1">
        <v>70</v>
      </c>
      <c r="F10899" s="39">
        <f t="shared" si="1837"/>
        <v>9160</v>
      </c>
      <c r="G10899" s="168">
        <f>SUM(C10899,C10875,C10851,C10827,C10803,C10779,C10755,C10731,C10707,C10683,C10659,C10635,C10611,C10587)/POBLA!$B$2*100000</f>
        <v>1225.6286971907689</v>
      </c>
      <c r="H10899" s="256">
        <f t="shared" si="1835"/>
        <v>1.1601625015388404</v>
      </c>
      <c r="I10899" s="297">
        <f t="shared" ref="I10899:I10905" si="1838">G10899*H10899</f>
        <v>1421.9284552906324</v>
      </c>
      <c r="J10899" s="422">
        <f t="shared" ref="J10899:J10921" si="1839">AVERAGE(C10899,C10875,C10851,C10827,C10803,C10779,C10755)</f>
        <v>2608</v>
      </c>
      <c r="K10899" s="297">
        <f>J10899/POBLA!$B$2*100000</f>
        <v>84.795194245371547</v>
      </c>
      <c r="L10899" s="200">
        <f t="shared" si="1834"/>
        <v>-6.0905349794238672E-2</v>
      </c>
      <c r="M10899" s="401">
        <f>SUM(C10899,C10875,C10851,C10827,C10803,C10779,C10755)/POBLA!$B$2*100000</f>
        <v>593.56635971760079</v>
      </c>
    </row>
    <row r="10900" spans="1:13" x14ac:dyDescent="0.25">
      <c r="A10900" s="367" t="s">
        <v>28</v>
      </c>
      <c r="B10900" s="2">
        <v>44347</v>
      </c>
      <c r="C10900" s="4">
        <v>324</v>
      </c>
      <c r="D10900" s="39">
        <f t="shared" si="1836"/>
        <v>23742</v>
      </c>
      <c r="F10900" s="39">
        <f t="shared" si="1837"/>
        <v>168</v>
      </c>
      <c r="G10900" s="168">
        <f>SUM(C10900,C10876,C10852,C10828,C10804,C10780,C10756,C10732,C10708,C10684,C10660,C10636,C10612,C10588)/POBLA!$B$3*100000</f>
        <v>1335.9394181562591</v>
      </c>
      <c r="H10900" s="256">
        <f t="shared" si="1835"/>
        <v>1.8395757374875705</v>
      </c>
      <c r="I10900" s="297">
        <f t="shared" si="1838"/>
        <v>2457.5617403935162</v>
      </c>
      <c r="J10900" s="422">
        <f t="shared" si="1839"/>
        <v>419.85714285714283</v>
      </c>
      <c r="K10900" s="297">
        <f>J10900/POBLA!$B$3*100000</f>
        <v>101.06373101573347</v>
      </c>
      <c r="L10900" s="200">
        <f t="shared" si="1834"/>
        <v>0.12562236690923023</v>
      </c>
      <c r="M10900" s="401">
        <f>SUM(C10900,C10876,C10852,C10828,C10804,C10780,C10756)/POBLA!$B$3*100000</f>
        <v>707.44611711013442</v>
      </c>
    </row>
    <row r="10901" spans="1:13" x14ac:dyDescent="0.25">
      <c r="A10901" s="367" t="s">
        <v>15</v>
      </c>
      <c r="B10901" s="2">
        <v>44347</v>
      </c>
      <c r="C10901" s="4">
        <v>480</v>
      </c>
      <c r="D10901" s="39">
        <f t="shared" si="1836"/>
        <v>58207</v>
      </c>
      <c r="E10901" s="1">
        <v>15</v>
      </c>
      <c r="F10901" s="39">
        <f t="shared" si="1837"/>
        <v>1229</v>
      </c>
      <c r="G10901" s="168">
        <f>SUM(C10901,C10877,C10853,C10829,C10805,C10781,C10757,C10733,C10709,C10685,C10661,C10637,C10613,C10589)/POBLA!$B$4*100000</f>
        <v>703.00637338206002</v>
      </c>
      <c r="H10901" s="256">
        <f t="shared" si="1835"/>
        <v>1.9399770904925544</v>
      </c>
      <c r="I10901" s="297">
        <f t="shared" si="1838"/>
        <v>1363.8162588314513</v>
      </c>
      <c r="J10901" s="422">
        <f t="shared" si="1839"/>
        <v>620.42857142857144</v>
      </c>
      <c r="K10901" s="297">
        <f>J10901/POBLA!$B$4*100000</f>
        <v>51.507468108480445</v>
      </c>
      <c r="L10901" s="200">
        <f t="shared" si="1834"/>
        <v>5.2848484848484922E-2</v>
      </c>
      <c r="M10901" s="401">
        <f>SUM(C10901,C10877,C10853,C10829,C10805,C10781,C10757)/POBLA!$B$4*100000</f>
        <v>360.55227675936311</v>
      </c>
    </row>
    <row r="10902" spans="1:13" x14ac:dyDescent="0.25">
      <c r="A10902" s="367" t="s">
        <v>29</v>
      </c>
      <c r="B10902" s="2">
        <v>44347</v>
      </c>
      <c r="C10902" s="4">
        <v>444</v>
      </c>
      <c r="D10902" s="39">
        <f t="shared" si="1836"/>
        <v>62746</v>
      </c>
      <c r="E10902" s="1">
        <v>8</v>
      </c>
      <c r="F10902" s="39">
        <f t="shared" si="1837"/>
        <v>1048</v>
      </c>
      <c r="G10902" s="168">
        <f>SUM(C10902,C10878,C10854,C10830,C10806,C10782,C10758,C10734,C10710,C10686,C10662,C10638,C10614,C10590)/POBLA!$B$5*100000</f>
        <v>745.07991999922456</v>
      </c>
      <c r="H10902" s="256">
        <f t="shared" si="1835"/>
        <v>1.5612728503723765</v>
      </c>
      <c r="I10902" s="297">
        <f t="shared" si="1838"/>
        <v>1163.2730504524116</v>
      </c>
      <c r="J10902" s="422">
        <f t="shared" si="1839"/>
        <v>354.71428571428572</v>
      </c>
      <c r="K10902" s="297">
        <f>J10902/POBLA!$B$5*100000</f>
        <v>57.304963491453179</v>
      </c>
      <c r="L10902" s="200">
        <f t="shared" si="1834"/>
        <v>0.16627524659464532</v>
      </c>
      <c r="M10902" s="401">
        <f>SUM(C10902,C10878,C10854,C10830,C10806,C10782,C10758)/POBLA!$B$5*100000</f>
        <v>401.13474444017231</v>
      </c>
    </row>
    <row r="10903" spans="1:13" x14ac:dyDescent="0.25">
      <c r="A10903" s="367" t="s">
        <v>30</v>
      </c>
      <c r="B10903" s="2">
        <v>44347</v>
      </c>
      <c r="C10903" s="4">
        <v>341</v>
      </c>
      <c r="D10903" s="39">
        <f t="shared" si="1836"/>
        <v>51454</v>
      </c>
      <c r="E10903" s="1">
        <v>10</v>
      </c>
      <c r="F10903" s="39">
        <f t="shared" si="1837"/>
        <v>612</v>
      </c>
      <c r="G10903" s="168">
        <f>SUM(C10903,C10879,C10855,C10831,C10807,C10783,C10759,C10735,C10711,C10687,C10663,C10639,C10615,C10591)/POBLA!$B$6*100000</f>
        <v>946.64440877550953</v>
      </c>
      <c r="H10903" s="256">
        <f t="shared" si="1835"/>
        <v>3.6113002042205582</v>
      </c>
      <c r="I10903" s="297">
        <f t="shared" si="1838"/>
        <v>3418.6171467352469</v>
      </c>
      <c r="J10903" s="422">
        <f t="shared" si="1839"/>
        <v>519.57142857142856</v>
      </c>
      <c r="K10903" s="297">
        <f>J10903/POBLA!$B$6*100000</f>
        <v>46.357152480362579</v>
      </c>
      <c r="L10903" s="200">
        <f t="shared" si="1834"/>
        <v>-0.47841675032267317</v>
      </c>
      <c r="M10903" s="401">
        <f>SUM(C10903,C10879,C10855,C10831,C10807,C10783,C10759)/POBLA!$B$6*100000</f>
        <v>324.50006736253806</v>
      </c>
    </row>
    <row r="10904" spans="1:13" x14ac:dyDescent="0.25">
      <c r="A10904" s="367" t="s">
        <v>20</v>
      </c>
      <c r="B10904" s="2">
        <v>44347</v>
      </c>
      <c r="C10904" s="4">
        <v>3581</v>
      </c>
      <c r="D10904" s="39">
        <f t="shared" si="1836"/>
        <v>311898</v>
      </c>
      <c r="E10904" s="1">
        <v>34</v>
      </c>
      <c r="F10904" s="39">
        <f t="shared" si="1837"/>
        <v>3906</v>
      </c>
      <c r="G10904" s="168">
        <f>SUM(C10904,C10880,C10856,C10832,C10808,C10784,C10760,C10736,C10712,C10688,C10664,C10640,C10616,C10592)/POBLA!$B$7*100000</f>
        <v>1396.3488412291083</v>
      </c>
      <c r="H10904" s="256">
        <f t="shared" si="1835"/>
        <v>1.8318158032443748</v>
      </c>
      <c r="I10904" s="297">
        <f t="shared" si="1838"/>
        <v>2557.8538742054511</v>
      </c>
      <c r="J10904" s="422">
        <f t="shared" si="1839"/>
        <v>3992.7142857142858</v>
      </c>
      <c r="K10904" s="297">
        <f>J10904/POBLA!$B$7*100000</f>
        <v>106.1765024322697</v>
      </c>
      <c r="L10904" s="200">
        <f t="shared" si="1834"/>
        <v>0.13798859934853414</v>
      </c>
      <c r="M10904" s="401">
        <f>SUM(C10904,C10880,C10856,C10832,C10808,C10784,C10760)/POBLA!$B$7*100000</f>
        <v>743.23551702588793</v>
      </c>
    </row>
    <row r="10905" spans="1:13" x14ac:dyDescent="0.25">
      <c r="A10905" s="367" t="s">
        <v>31</v>
      </c>
      <c r="B10905" s="2">
        <v>44347</v>
      </c>
      <c r="C10905" s="4">
        <v>748</v>
      </c>
      <c r="D10905" s="39">
        <f t="shared" si="1836"/>
        <v>85781</v>
      </c>
      <c r="E10905" s="1">
        <v>20</v>
      </c>
      <c r="F10905" s="39">
        <f t="shared" si="1837"/>
        <v>1336</v>
      </c>
      <c r="G10905" s="168">
        <f>SUM(C10905,C10881,C10857,C10833,C10809,C10785,C10761,C10737,C10713,C10689,C10665,C10641,C10617,C10593)/POBLA!$B$8*100000</f>
        <v>954.8609232150111</v>
      </c>
      <c r="H10905" s="256">
        <f t="shared" si="1835"/>
        <v>1.5199264959228207</v>
      </c>
      <c r="I10905" s="297">
        <f t="shared" si="1838"/>
        <v>1451.3184171158214</v>
      </c>
      <c r="J10905" s="422">
        <f t="shared" si="1839"/>
        <v>996.71428571428567</v>
      </c>
      <c r="K10905" s="297">
        <f>J10905/POBLA!$B$8*100000</f>
        <v>71.91503121042264</v>
      </c>
      <c r="L10905" s="200">
        <f t="shared" si="1834"/>
        <v>0.11507112034521327</v>
      </c>
      <c r="M10905" s="401">
        <f>SUM(C10905,C10881,C10857,C10833,C10809,C10785,C10761)/POBLA!$B$8*100000</f>
        <v>503.4052184729585</v>
      </c>
    </row>
    <row r="10906" spans="1:13" x14ac:dyDescent="0.25">
      <c r="A10906" s="367" t="s">
        <v>41</v>
      </c>
      <c r="B10906" s="2">
        <v>44347</v>
      </c>
      <c r="C10906" s="4">
        <v>860</v>
      </c>
      <c r="D10906" s="39">
        <f t="shared" si="1836"/>
        <v>30507</v>
      </c>
      <c r="E10906" s="1">
        <v>27</v>
      </c>
      <c r="F10906" s="39">
        <f t="shared" si="1837"/>
        <v>495</v>
      </c>
      <c r="G10906" s="168">
        <f>SUM(C10906,C10882,C10858,C10834,C10810,C10786,C10762,C10738,C10714,C10690,C10666,C10642,C10618,C10594)/POBLA!$B$9*100000</f>
        <v>2761.2678930522989</v>
      </c>
      <c r="H10906" s="256">
        <f t="shared" si="1835"/>
        <v>1.8221567986042961</v>
      </c>
      <c r="I10906" s="297">
        <f>G10906*H10906</f>
        <v>5031.4630640930072</v>
      </c>
      <c r="J10906" s="422">
        <f t="shared" si="1839"/>
        <v>940.14285714285711</v>
      </c>
      <c r="K10906" s="297">
        <f>J10906/POBLA!$B$9*100000</f>
        <v>155.34595693321918</v>
      </c>
      <c r="L10906" s="200">
        <f>(SUM(C10906,C10882,C10858,C10834,C10810,C10786,C10762)/SUM(C10738,C10714,C10690,C10666,C10642,C10618,C10594))-1</f>
        <v>-0.35034550839091805</v>
      </c>
      <c r="M10906" s="401">
        <f>SUM(C10906,C10882,C10858,C10834,C10810,C10786,C10762)/POBLA!$B$9*100000</f>
        <v>1087.4216985325343</v>
      </c>
    </row>
    <row r="10907" spans="1:13" x14ac:dyDescent="0.25">
      <c r="A10907" s="367" t="s">
        <v>32</v>
      </c>
      <c r="B10907" s="2">
        <v>44347</v>
      </c>
      <c r="C10907" s="4">
        <v>157</v>
      </c>
      <c r="D10907" s="39">
        <f t="shared" si="1836"/>
        <v>28369</v>
      </c>
      <c r="F10907" s="39">
        <f t="shared" si="1837"/>
        <v>1092</v>
      </c>
      <c r="G10907" s="168">
        <f>SUM(C10907,C10883,C10859,C10835,C10811,C10787,C10763,C10739,C10715,C10691,C10667,C10643,C10619,C10595)/POBLA!$B$10*100000</f>
        <v>265.92950144055953</v>
      </c>
      <c r="H10907" s="256">
        <f t="shared" si="1835"/>
        <v>1.6386890487609913</v>
      </c>
      <c r="I10907" s="297">
        <f t="shared" ref="I10907:I10921" si="1840">G10907*H10907</f>
        <v>435.77576175311515</v>
      </c>
      <c r="J10907" s="422">
        <f t="shared" si="1839"/>
        <v>160.71428571428572</v>
      </c>
      <c r="K10907" s="297">
        <f>J10907/POBLA!$B$10*100000</f>
        <v>20.848131646036901</v>
      </c>
      <c r="L10907" s="200">
        <f t="shared" ref="L10907:L10929" si="1841">(SUM(C10907,C10883,C10859,C10835,C10811,C10787,C10763)/SUM(C10739,C10715,C10691,C10667,C10643,C10619,C10595))-1</f>
        <v>0.21621621621621623</v>
      </c>
      <c r="M10907" s="401">
        <f>SUM(C10907,C10883,C10859,C10835,C10811,C10787,C10763)/POBLA!$B$10*100000</f>
        <v>145.9369215222583</v>
      </c>
    </row>
    <row r="10908" spans="1:13" x14ac:dyDescent="0.25">
      <c r="A10908" s="367" t="s">
        <v>33</v>
      </c>
      <c r="B10908" s="2">
        <v>44347</v>
      </c>
      <c r="C10908" s="4">
        <v>490</v>
      </c>
      <c r="D10908" s="39">
        <f t="shared" si="1836"/>
        <v>42828</v>
      </c>
      <c r="E10908" s="1">
        <v>16</v>
      </c>
      <c r="F10908" s="39">
        <f t="shared" si="1837"/>
        <v>561</v>
      </c>
      <c r="G10908" s="168">
        <f>SUM(C10908,C10884,C10860,C10836,C10812,C10788,C10764,C10740,C10716,C10692,C10668,C10644,C10620,C10596)/POBLA!$B$11*100000</f>
        <v>2434.7986206434762</v>
      </c>
      <c r="H10908" s="256">
        <f t="shared" si="1835"/>
        <v>1.3905353728489485</v>
      </c>
      <c r="I10908" s="297">
        <f t="shared" si="1840"/>
        <v>3385.6736077685814</v>
      </c>
      <c r="J10908" s="422">
        <f t="shared" si="1839"/>
        <v>527</v>
      </c>
      <c r="K10908" s="297">
        <f>J10908/POBLA!$B$11*100000</f>
        <v>147.03092392335421</v>
      </c>
      <c r="L10908" s="200">
        <f t="shared" si="1841"/>
        <v>-0.26776498610559751</v>
      </c>
      <c r="M10908" s="401">
        <f>SUM(C10908,C10884,C10860,C10836,C10812,C10788,C10764)/POBLA!$B$11*100000</f>
        <v>1029.2164674634794</v>
      </c>
    </row>
    <row r="10909" spans="1:13" x14ac:dyDescent="0.25">
      <c r="A10909" s="367" t="s">
        <v>21</v>
      </c>
      <c r="B10909" s="2">
        <v>44347</v>
      </c>
      <c r="C10909" s="4">
        <v>112</v>
      </c>
      <c r="D10909" s="39">
        <f t="shared" si="1836"/>
        <v>17401</v>
      </c>
      <c r="F10909" s="39">
        <f t="shared" si="1837"/>
        <v>534</v>
      </c>
      <c r="G10909" s="168">
        <f>SUM(C10909,C10885,C10861,C10837,C10813,C10789,C10765,C10741,C10717,C10693,C10669,C10645,C10621,C10597)/POBLA!$B$12*100000</f>
        <v>606.05136571197693</v>
      </c>
      <c r="H10909" s="256">
        <f t="shared" si="1835"/>
        <v>1.9156626506024097</v>
      </c>
      <c r="I10909" s="297">
        <f t="shared" si="1840"/>
        <v>1160.9899656410162</v>
      </c>
      <c r="J10909" s="422">
        <f t="shared" si="1839"/>
        <v>158.14285714285714</v>
      </c>
      <c r="K10909" s="297">
        <f>J10909/POBLA!$B$12*100000</f>
        <v>40.185616163112222</v>
      </c>
      <c r="L10909" s="200">
        <f t="shared" si="1841"/>
        <v>-0.13380281690140849</v>
      </c>
      <c r="M10909" s="401">
        <f>SUM(C10909,C10885,C10861,C10837,C10813,C10789,C10765)/POBLA!$B$12*100000</f>
        <v>281.29931314178549</v>
      </c>
    </row>
    <row r="10910" spans="1:13" x14ac:dyDescent="0.25">
      <c r="A10910" s="367" t="s">
        <v>17</v>
      </c>
      <c r="B10910" s="2">
        <v>44347</v>
      </c>
      <c r="C10910" s="4">
        <v>788</v>
      </c>
      <c r="D10910" s="39">
        <f t="shared" si="1836"/>
        <v>120666</v>
      </c>
      <c r="E10910" s="1">
        <v>18</v>
      </c>
      <c r="F10910" s="39">
        <f t="shared" si="1837"/>
        <v>2577</v>
      </c>
      <c r="G10910" s="168">
        <f>SUM(C10910,C10886,C10862,C10838,C10814,C10790,C10766,C10742,C10718,C10694,C10670,C10646,C10622,C10598)/POBLA!$B$13*100000</f>
        <v>574.3245619588231</v>
      </c>
      <c r="H10910" s="256">
        <f t="shared" si="1835"/>
        <v>1.010519801980198</v>
      </c>
      <c r="I10910" s="297">
        <f t="shared" si="1840"/>
        <v>580.3663426229939</v>
      </c>
      <c r="J10910" s="422">
        <f t="shared" si="1839"/>
        <v>780.42857142857144</v>
      </c>
      <c r="K10910" s="297">
        <f>J10910/POBLA!$B$13*100000</f>
        <v>39.210856217816847</v>
      </c>
      <c r="L10910" s="200">
        <f t="shared" si="1841"/>
        <v>-8.4617962466487895E-2</v>
      </c>
      <c r="M10910" s="401">
        <f>SUM(C10910,C10886,C10862,C10838,C10814,C10790,C10766)/POBLA!$B$13*100000</f>
        <v>274.47599352471792</v>
      </c>
    </row>
    <row r="10911" spans="1:13" x14ac:dyDescent="0.25">
      <c r="A10911" s="367" t="s">
        <v>23</v>
      </c>
      <c r="B10911" s="2">
        <v>44347</v>
      </c>
      <c r="C10911" s="4">
        <v>191</v>
      </c>
      <c r="D10911" s="39">
        <f t="shared" si="1836"/>
        <v>20455</v>
      </c>
      <c r="E10911" s="1">
        <v>5</v>
      </c>
      <c r="F10911" s="39">
        <f t="shared" si="1837"/>
        <v>298</v>
      </c>
      <c r="G10911" s="168">
        <f>SUM(C10911,C10887,C10863,C10839,C10815,C10791,C10767,C10743,C10719,C10695,C10671,C10647,C10623,C10599)/POBLA!$B$14*100000</f>
        <v>189.09152029582319</v>
      </c>
      <c r="H10911" s="256">
        <f t="shared" si="1835"/>
        <v>1.1170960187353629</v>
      </c>
      <c r="I10911" s="297">
        <f t="shared" si="1840"/>
        <v>211.23338449908115</v>
      </c>
      <c r="J10911" s="422">
        <f t="shared" si="1839"/>
        <v>190.42857142857142</v>
      </c>
      <c r="K10911" s="297">
        <f>J10911/POBLA!$B$14*100000</f>
        <v>15.097873408465546</v>
      </c>
      <c r="L10911" s="200">
        <f t="shared" si="1841"/>
        <v>0.2671102661596958</v>
      </c>
      <c r="M10911" s="401">
        <f>SUM(C10911,C10887,C10863,C10839,C10815,C10791,C10767)/POBLA!$B$14*100000</f>
        <v>105.68511385925883</v>
      </c>
    </row>
    <row r="10912" spans="1:13" x14ac:dyDescent="0.25">
      <c r="A10912" s="367" t="s">
        <v>19</v>
      </c>
      <c r="B10912" s="2">
        <v>44347</v>
      </c>
      <c r="C10912" s="4">
        <v>858</v>
      </c>
      <c r="D10912" s="39">
        <f t="shared" si="1836"/>
        <v>90408</v>
      </c>
      <c r="E10912" s="1">
        <v>12</v>
      </c>
      <c r="F10912" s="39">
        <f t="shared" si="1837"/>
        <v>1325</v>
      </c>
      <c r="G10912" s="168">
        <f>SUM(C10912,C10888,C10864,C10840,C10816,C10792,C10768,C10744,C10720,C10696,C10672,C10648,C10624,C10600)/POBLA!$B$15*100000</f>
        <v>1704.0705843022513</v>
      </c>
      <c r="H10912" s="256">
        <f t="shared" si="1835"/>
        <v>1.5808885163453479</v>
      </c>
      <c r="I10912" s="297">
        <f t="shared" si="1840"/>
        <v>2693.945617765336</v>
      </c>
      <c r="J10912" s="422">
        <f t="shared" si="1839"/>
        <v>844.28571428571433</v>
      </c>
      <c r="K10912" s="297">
        <f>J10912/POBLA!$B$15*100000</f>
        <v>127.14054882121781</v>
      </c>
      <c r="L10912" s="200">
        <f t="shared" si="1841"/>
        <v>9.3229744728079877E-2</v>
      </c>
      <c r="M10912" s="401">
        <f>SUM(C10912,C10888,C10864,C10840,C10816,C10792,C10768)/POBLA!$B$15*100000</f>
        <v>889.98384174852458</v>
      </c>
    </row>
    <row r="10913" spans="1:13" x14ac:dyDescent="0.25">
      <c r="A10913" s="367" t="s">
        <v>18</v>
      </c>
      <c r="B10913" s="2">
        <v>44347</v>
      </c>
      <c r="C10913" s="4">
        <v>598</v>
      </c>
      <c r="D10913" s="39">
        <f t="shared" si="1836"/>
        <v>74212</v>
      </c>
      <c r="E10913" s="1">
        <v>15</v>
      </c>
      <c r="F10913" s="39">
        <f t="shared" si="1837"/>
        <v>1625</v>
      </c>
      <c r="G10913" s="168">
        <f>SUM(C10913,C10889,C10865,C10841,C10817,C10793,C10769,C10745,C10721,C10697,C10673,C10649,C10625,C10601)/POBLA!$B$16*100000</f>
        <v>985.40682976418179</v>
      </c>
      <c r="H10913" s="256">
        <f t="shared" si="1835"/>
        <v>1.535111481558658</v>
      </c>
      <c r="I10913" s="297">
        <f t="shared" si="1840"/>
        <v>1512.7093383773133</v>
      </c>
      <c r="J10913" s="422">
        <f t="shared" si="1839"/>
        <v>527.57142857142856</v>
      </c>
      <c r="K10913" s="297">
        <f>J10913/POBLA!$B$16*100000</f>
        <v>70.567732985303635</v>
      </c>
      <c r="L10913" s="200">
        <f t="shared" si="1841"/>
        <v>5.1714752313554158E-3</v>
      </c>
      <c r="M10913" s="401">
        <f>SUM(C10913,C10889,C10865,C10841,C10817,C10793,C10769)/POBLA!$B$16*100000</f>
        <v>493.97413089712552</v>
      </c>
    </row>
    <row r="10914" spans="1:13" x14ac:dyDescent="0.25">
      <c r="A10914" s="367" t="s">
        <v>34</v>
      </c>
      <c r="B10914" s="2">
        <v>44347</v>
      </c>
      <c r="C10914" s="4">
        <v>427</v>
      </c>
      <c r="D10914" s="39">
        <f t="shared" si="1836"/>
        <v>45379</v>
      </c>
      <c r="E10914" s="1">
        <v>16</v>
      </c>
      <c r="F10914" s="39">
        <f t="shared" si="1837"/>
        <v>1403</v>
      </c>
      <c r="G10914" s="168">
        <f>SUM(C10914,C10890,C10866,C10842,C10818,C10794,C10770,C10746,C10722,C10698,C10674,C10650,C10626,C10602)/POBLA!$B$17*100000</f>
        <v>468.47894231734557</v>
      </c>
      <c r="H10914" s="256">
        <f t="shared" ref="H10914:H10937" si="1842">SUM(C10914,C10890,C10866,C10842,C10818,C10794,C10770,C10746,C10722,C10698,C10674,C10650,C10626,C10602)/SUM(C10578,C10554,C10530,C10506,C10482,C10458,C10434,C10410,C10386,C10362,C10338,C10314,C10290,C10266)</f>
        <v>1.8536111111111111</v>
      </c>
      <c r="I10914" s="297">
        <f t="shared" si="1840"/>
        <v>868.37777280101307</v>
      </c>
      <c r="J10914" s="422">
        <f t="shared" si="1839"/>
        <v>467.71428571428572</v>
      </c>
      <c r="K10914" s="297">
        <f>J10914/POBLA!$B$17*100000</f>
        <v>32.835949929288375</v>
      </c>
      <c r="L10914" s="200">
        <f t="shared" si="1841"/>
        <v>-3.6775522212415424E-2</v>
      </c>
      <c r="M10914" s="401">
        <f>SUM(C10914,C10890,C10866,C10842,C10818,C10794,C10770)/POBLA!$B$17*100000</f>
        <v>229.85164950501863</v>
      </c>
    </row>
    <row r="10915" spans="1:13" x14ac:dyDescent="0.25">
      <c r="A10915" s="367" t="s">
        <v>35</v>
      </c>
      <c r="B10915" s="2">
        <v>44347</v>
      </c>
      <c r="C10915" s="4">
        <v>409</v>
      </c>
      <c r="D10915" s="39">
        <f t="shared" si="1836"/>
        <v>37018</v>
      </c>
      <c r="E10915" s="1">
        <v>8</v>
      </c>
      <c r="F10915" s="39">
        <f t="shared" si="1837"/>
        <v>635</v>
      </c>
      <c r="G10915" s="168">
        <f>SUM(C10915,C10891,C10867,C10843,C10819,C10795,C10771,C10747,C10723,C10699,C10675,C10651,C10627,C10603)/POBLA!$B$18*100000</f>
        <v>925.60709764380454</v>
      </c>
      <c r="H10915" s="256">
        <f t="shared" si="1842"/>
        <v>1.2610742936867807</v>
      </c>
      <c r="I10915" s="297">
        <f t="shared" si="1840"/>
        <v>1167.2593168926319</v>
      </c>
      <c r="J10915" s="422">
        <f t="shared" si="1839"/>
        <v>518.42857142857144</v>
      </c>
      <c r="K10915" s="297">
        <f>J10915/POBLA!$B$18*100000</f>
        <v>66.361660259386497</v>
      </c>
      <c r="L10915" s="200">
        <f t="shared" si="1841"/>
        <v>7.4958356468628473E-3</v>
      </c>
      <c r="M10915" s="401">
        <f>SUM(C10915,C10891,C10867,C10843,C10819,C10795,C10771)/POBLA!$B$18*100000</f>
        <v>464.53162181570548</v>
      </c>
    </row>
    <row r="10916" spans="1:13" x14ac:dyDescent="0.25">
      <c r="A10916" s="367" t="s">
        <v>36</v>
      </c>
      <c r="B10916" s="2">
        <v>44347</v>
      </c>
      <c r="C10916" s="4">
        <v>532</v>
      </c>
      <c r="D10916" s="39">
        <f t="shared" si="1836"/>
        <v>53063</v>
      </c>
      <c r="E10916" s="1">
        <v>17</v>
      </c>
      <c r="F10916" s="39">
        <f t="shared" si="1837"/>
        <v>702</v>
      </c>
      <c r="G10916" s="168">
        <f>SUM(C10916,C10892,C10868,C10844,C10820,C10796,C10772,C10748,C10724,C10700,C10676,C10652,C10628,C10604)/POBLA!$B$19*100000</f>
        <v>1569.655812782298</v>
      </c>
      <c r="H10916" s="256">
        <f t="shared" si="1842"/>
        <v>1.2776621297037629</v>
      </c>
      <c r="I10916" s="297">
        <f t="shared" si="1840"/>
        <v>2005.4897886613219</v>
      </c>
      <c r="J10916" s="422">
        <f t="shared" si="1839"/>
        <v>534.42857142857144</v>
      </c>
      <c r="K10916" s="297">
        <f>J10916/POBLA!$B$19*100000</f>
        <v>105.13459251282075</v>
      </c>
      <c r="L10916" s="200">
        <f t="shared" si="1841"/>
        <v>-0.11727229825389329</v>
      </c>
      <c r="M10916" s="401">
        <f>SUM(C10916,C10892,C10868,C10844,C10820,C10796,C10772)/POBLA!$B$19*100000</f>
        <v>735.94214758974522</v>
      </c>
    </row>
    <row r="10917" spans="1:13" x14ac:dyDescent="0.25">
      <c r="A10917" s="367" t="s">
        <v>37</v>
      </c>
      <c r="B10917" s="2">
        <v>44347</v>
      </c>
      <c r="C10917" s="4">
        <v>218</v>
      </c>
      <c r="D10917" s="39">
        <f t="shared" si="1836"/>
        <v>51542</v>
      </c>
      <c r="E10917" s="1">
        <v>6</v>
      </c>
      <c r="F10917" s="39">
        <f t="shared" si="1837"/>
        <v>791</v>
      </c>
      <c r="G10917" s="168">
        <f>SUM(C10917,C10893,C10869,C10845,C10821,C10797,C10773,C10749,C10725,C10701,C10677,C10653,C10629,C10605)/POBLA!$B$20*100000</f>
        <v>870.93722142314152</v>
      </c>
      <c r="H10917" s="256">
        <f t="shared" si="1842"/>
        <v>1.0085497150094997</v>
      </c>
      <c r="I10917" s="297">
        <f t="shared" si="1840"/>
        <v>878.38348645747499</v>
      </c>
      <c r="J10917" s="422">
        <f t="shared" si="1839"/>
        <v>198.85714285714286</v>
      </c>
      <c r="K10917" s="297">
        <f>J10917/POBLA!$B$20*100000</f>
        <v>54.37742149455093</v>
      </c>
      <c r="L10917" s="200">
        <f t="shared" si="1841"/>
        <v>-0.22364751812604577</v>
      </c>
      <c r="M10917" s="401">
        <f>SUM(C10917,C10893,C10869,C10845,C10821,C10797,C10773)/POBLA!$B$20*100000</f>
        <v>380.64195046185648</v>
      </c>
    </row>
    <row r="10918" spans="1:13" x14ac:dyDescent="0.25">
      <c r="A10918" s="367" t="s">
        <v>22</v>
      </c>
      <c r="B10918" s="2">
        <v>44347</v>
      </c>
      <c r="C10918" s="4">
        <v>2435</v>
      </c>
      <c r="D10918" s="39">
        <f t="shared" si="1836"/>
        <v>345071</v>
      </c>
      <c r="E10918" s="1">
        <v>52</v>
      </c>
      <c r="F10918" s="39">
        <f t="shared" si="1837"/>
        <v>5561</v>
      </c>
      <c r="G10918" s="168">
        <f>SUM(C10918,C10894,C10870,C10846,C10822,C10798,C10774,C10750,C10726,C10702,C10678,C10654,C10630,C10606)/POBLA!$B$21*100000</f>
        <v>1143.6996418409815</v>
      </c>
      <c r="H10918" s="256">
        <f t="shared" si="1842"/>
        <v>1.5165922981739097</v>
      </c>
      <c r="I10918" s="297">
        <f t="shared" si="1840"/>
        <v>1734.5260682402916</v>
      </c>
      <c r="J10918" s="422">
        <f t="shared" si="1839"/>
        <v>2911.4285714285716</v>
      </c>
      <c r="K10918" s="297">
        <f>J10918/POBLA!$B$21*100000</f>
        <v>82.327048765970872</v>
      </c>
      <c r="L10918" s="200">
        <f t="shared" si="1841"/>
        <v>1.5648360410644768E-2</v>
      </c>
      <c r="M10918" s="401">
        <f>SUM(C10918,C10894,C10870,C10846,C10822,C10798,C10774)/POBLA!$B$21*100000</f>
        <v>576.28934136179601</v>
      </c>
    </row>
    <row r="10919" spans="1:13" x14ac:dyDescent="0.25">
      <c r="A10919" s="367" t="s">
        <v>38</v>
      </c>
      <c r="B10919" s="2">
        <v>44347</v>
      </c>
      <c r="C10919" s="4">
        <v>545</v>
      </c>
      <c r="D10919" s="39">
        <f t="shared" si="1836"/>
        <v>43917</v>
      </c>
      <c r="E10919" s="1">
        <v>13</v>
      </c>
      <c r="F10919" s="39">
        <f t="shared" si="1837"/>
        <v>523</v>
      </c>
      <c r="G10919" s="168">
        <f>SUM(C10919,C10895,C10871,C10847,C10823,C10799,C10775,C10751,C10727,C10703,C10679,C10655,C10631,C10607)/POBLA!$B$22*100000</f>
        <v>834.29331921378946</v>
      </c>
      <c r="H10919" s="256">
        <f t="shared" si="1842"/>
        <v>1.7793764988009593</v>
      </c>
      <c r="I10919" s="297">
        <f t="shared" si="1840"/>
        <v>1484.5219253156638</v>
      </c>
      <c r="J10919" s="422">
        <f t="shared" si="1839"/>
        <v>543.85714285714289</v>
      </c>
      <c r="K10919" s="297">
        <f>J10919/POBLA!$B$22*100000</f>
        <v>55.591323314434433</v>
      </c>
      <c r="L10919" s="200">
        <f t="shared" si="1841"/>
        <v>-0.12583237657864521</v>
      </c>
      <c r="M10919" s="401">
        <f>SUM(C10919,C10895,C10871,C10847,C10823,C10799,C10775)/POBLA!$B$22*100000</f>
        <v>389.13926320104099</v>
      </c>
    </row>
    <row r="10920" spans="1:13" x14ac:dyDescent="0.25">
      <c r="A10920" s="367" t="s">
        <v>39</v>
      </c>
      <c r="B10920" s="2">
        <v>44347</v>
      </c>
      <c r="C10920" s="4">
        <v>29</v>
      </c>
      <c r="D10920" s="39">
        <f t="shared" si="1836"/>
        <v>28479</v>
      </c>
      <c r="E10920" s="1">
        <v>2</v>
      </c>
      <c r="F10920" s="39">
        <f t="shared" si="1837"/>
        <v>420</v>
      </c>
      <c r="G10920" s="168">
        <f>SUM(C10920,C10896,C10872,C10848,C10824,C10800,C10776,C10752,C10728,C10704,C10680,C10656,C10632,C10608)/POBLA!$B$23*100000</f>
        <v>510.09444098851998</v>
      </c>
      <c r="H10920" s="256">
        <f t="shared" si="1842"/>
        <v>0.90380761523046094</v>
      </c>
      <c r="I10920" s="297">
        <f t="shared" si="1840"/>
        <v>461.02724025214934</v>
      </c>
      <c r="J10920" s="422">
        <f t="shared" si="1839"/>
        <v>59.142857142857146</v>
      </c>
      <c r="K10920" s="297">
        <f>J10920/POBLA!$B$23*100000</f>
        <v>33.446167020786717</v>
      </c>
      <c r="L10920" s="200">
        <f t="shared" si="1841"/>
        <v>-0.15163934426229508</v>
      </c>
      <c r="M10920" s="401">
        <f>SUM(C10920,C10896,C10872,C10848,C10824,C10800,C10776)/POBLA!$B$23*100000</f>
        <v>234.12316914550698</v>
      </c>
    </row>
    <row r="10921" spans="1:13" ht="15.75" thickBot="1" x14ac:dyDescent="0.3">
      <c r="A10921" s="368" t="s">
        <v>40</v>
      </c>
      <c r="B10921" s="34">
        <v>44347</v>
      </c>
      <c r="C10921" s="27">
        <v>1481</v>
      </c>
      <c r="D10921" s="67">
        <f t="shared" si="1836"/>
        <v>130104</v>
      </c>
      <c r="E10921" s="232">
        <v>25</v>
      </c>
      <c r="F10921" s="67">
        <f t="shared" si="1837"/>
        <v>1890</v>
      </c>
      <c r="G10921" s="255">
        <f>SUM(C10921,C10897,C10873,C10849,C10825,C10801,C10777,C10753,C10729,C10705,C10681,C10657,C10633,C10609)/POBLA!$B$24*100000</f>
        <v>842.7079006004758</v>
      </c>
      <c r="H10921" s="257">
        <f t="shared" si="1842"/>
        <v>1.6848749410099104</v>
      </c>
      <c r="I10921" s="299">
        <f t="shared" si="1840"/>
        <v>1419.8574243128121</v>
      </c>
      <c r="J10921" s="428">
        <f t="shared" si="1839"/>
        <v>1177.2857142857142</v>
      </c>
      <c r="K10921" s="299">
        <f>J10921/POBLA!$B$24*100000</f>
        <v>69.470483347990054</v>
      </c>
      <c r="L10921" s="260">
        <f t="shared" si="1841"/>
        <v>0.36440397350993381</v>
      </c>
      <c r="M10921" s="406">
        <f>SUM(C10921,C10897,C10873,C10849,C10825,C10801,C10777)/POBLA!$B$24*100000</f>
        <v>486.29338343593037</v>
      </c>
    </row>
    <row r="10922" spans="1:13" x14ac:dyDescent="0.25">
      <c r="A10922" s="363" t="s">
        <v>16</v>
      </c>
      <c r="B10922" s="265">
        <v>44348</v>
      </c>
      <c r="C10922" s="356">
        <v>13283</v>
      </c>
      <c r="D10922" s="174">
        <f t="shared" si="1836"/>
        <v>1623569</v>
      </c>
      <c r="E10922" s="43">
        <v>267</v>
      </c>
      <c r="F10922" s="174">
        <f t="shared" ref="F10922:F10945" si="1843">E10922+F10898</f>
        <v>40462</v>
      </c>
      <c r="G10922" s="175">
        <f>SUM(C10922,C10898,C10874,C10850,C10826,C10802,C10778,C10754,C10730,C10706,C10682,C10658,C10634,C10610)/POBLA!$B$1*100000</f>
        <v>915.55617733190786</v>
      </c>
      <c r="H10922" s="300">
        <f t="shared" si="1842"/>
        <v>1.2239284843311791</v>
      </c>
      <c r="I10922" s="301">
        <f>G10922*H10922</f>
        <v>1120.5752844418903</v>
      </c>
      <c r="J10922" s="421">
        <f>AVERAGE(C10922,C10898,C10874,C10850,C10826,C10802,C10778)</f>
        <v>11993.857142857143</v>
      </c>
      <c r="K10922" s="301">
        <f>J10922/POBLA!$B$1*100000</f>
        <v>68.375581399506132</v>
      </c>
      <c r="L10922" s="399">
        <f t="shared" si="1841"/>
        <v>9.5443751467863658E-2</v>
      </c>
      <c r="M10922" s="400">
        <f>SUM(C10922,C10898,C10874,C10850,C10826,C10802,C10778)/POBLA!$B$1*100000</f>
        <v>478.62906979654286</v>
      </c>
    </row>
    <row r="10923" spans="1:13" x14ac:dyDescent="0.25">
      <c r="A10923" s="367" t="s">
        <v>43</v>
      </c>
      <c r="B10923" s="2">
        <v>44348</v>
      </c>
      <c r="C10923" s="4">
        <v>2430</v>
      </c>
      <c r="D10923" s="39">
        <f t="shared" si="1836"/>
        <v>420680</v>
      </c>
      <c r="E10923" s="1">
        <v>42</v>
      </c>
      <c r="F10923" s="39">
        <f t="shared" si="1843"/>
        <v>9202</v>
      </c>
      <c r="G10923" s="168">
        <f>SUM(C10923,C10899,C10875,C10851,C10827,C10803,C10779,C10755,C10731,C10707,C10683,C10659,C10635,C10611)/POBLA!$B$2*100000</f>
        <v>1191.9772301493736</v>
      </c>
      <c r="H10923" s="256">
        <f t="shared" si="1842"/>
        <v>1.1181565864519474</v>
      </c>
      <c r="I10923" s="297">
        <f t="shared" ref="I10923:I10929" si="1844">G10923*H10923</f>
        <v>1332.8171907922708</v>
      </c>
      <c r="J10923" s="422">
        <f t="shared" ref="J10923:J10945" si="1845">AVERAGE(C10923,C10899,C10875,C10851,C10827,C10803,C10779)</f>
        <v>2628</v>
      </c>
      <c r="K10923" s="297">
        <f>J10923/POBLA!$B$2*100000</f>
        <v>85.445464139891271</v>
      </c>
      <c r="L10923" s="200">
        <f t="shared" si="1841"/>
        <v>7.1721872433616607E-3</v>
      </c>
      <c r="M10923" s="401">
        <f>SUM(C10923,C10899,C10875,C10851,C10827,C10803,C10779)/POBLA!$B$2*100000</f>
        <v>598.11824897923884</v>
      </c>
    </row>
    <row r="10924" spans="1:13" x14ac:dyDescent="0.25">
      <c r="A10924" s="367" t="s">
        <v>28</v>
      </c>
      <c r="B10924" s="2">
        <v>44348</v>
      </c>
      <c r="C10924" s="4">
        <v>455</v>
      </c>
      <c r="D10924" s="39">
        <f t="shared" si="1836"/>
        <v>24197</v>
      </c>
      <c r="E10924" s="1">
        <v>8</v>
      </c>
      <c r="F10924" s="39">
        <f t="shared" si="1843"/>
        <v>176</v>
      </c>
      <c r="G10924" s="168">
        <f>SUM(C10924,C10900,C10876,C10852,C10828,C10804,C10780,C10756,C10732,C10708,C10684,C10660,C10636,C10612)/POBLA!$B$3*100000</f>
        <v>1339.5500652323572</v>
      </c>
      <c r="H10924" s="256">
        <f t="shared" si="1842"/>
        <v>1.6987179487179487</v>
      </c>
      <c r="I10924" s="297">
        <f t="shared" si="1844"/>
        <v>2275.517739016504</v>
      </c>
      <c r="J10924" s="422">
        <f t="shared" si="1845"/>
        <v>412.71428571428572</v>
      </c>
      <c r="K10924" s="297">
        <f>J10924/POBLA!$B$3*100000</f>
        <v>99.34437526521063</v>
      </c>
      <c r="L10924" s="200">
        <f t="shared" si="1841"/>
        <v>7.9596412556053764E-2</v>
      </c>
      <c r="M10924" s="401">
        <f>SUM(C10924,C10900,C10876,C10852,C10828,C10804,C10780)/POBLA!$B$3*100000</f>
        <v>695.41062685647444</v>
      </c>
    </row>
    <row r="10925" spans="1:13" x14ac:dyDescent="0.25">
      <c r="A10925" s="367" t="s">
        <v>15</v>
      </c>
      <c r="B10925" s="2">
        <v>44348</v>
      </c>
      <c r="C10925" s="4">
        <v>791</v>
      </c>
      <c r="D10925" s="39">
        <f t="shared" si="1836"/>
        <v>58998</v>
      </c>
      <c r="E10925" s="1">
        <v>13</v>
      </c>
      <c r="F10925" s="39">
        <f t="shared" si="1843"/>
        <v>1242</v>
      </c>
      <c r="G10925" s="168">
        <f>SUM(C10925,C10901,C10877,C10853,C10829,C10805,C10781,C10757,C10733,C10709,C10685,C10661,C10637,C10613)/POBLA!$B$4*100000</f>
        <v>725.08947391579034</v>
      </c>
      <c r="H10925" s="256">
        <f t="shared" si="1842"/>
        <v>1.8970460469157255</v>
      </c>
      <c r="I10925" s="297">
        <f t="shared" si="1844"/>
        <v>1375.5281201521532</v>
      </c>
      <c r="J10925" s="422">
        <f t="shared" si="1845"/>
        <v>643.14285714285711</v>
      </c>
      <c r="K10925" s="297">
        <f>J10925/POBLA!$B$4*100000</f>
        <v>53.393189367805427</v>
      </c>
      <c r="L10925" s="200">
        <f t="shared" si="1841"/>
        <v>6.3799621928166461E-2</v>
      </c>
      <c r="M10925" s="401">
        <f>SUM(C10925,C10901,C10877,C10853,C10829,C10805,C10781)/POBLA!$B$4*100000</f>
        <v>373.75232557463795</v>
      </c>
    </row>
    <row r="10926" spans="1:13" x14ac:dyDescent="0.25">
      <c r="A10926" s="367" t="s">
        <v>29</v>
      </c>
      <c r="B10926" s="2">
        <v>44348</v>
      </c>
      <c r="C10926" s="4">
        <v>506</v>
      </c>
      <c r="D10926" s="39">
        <f t="shared" si="1836"/>
        <v>63252</v>
      </c>
      <c r="F10926" s="39">
        <f t="shared" si="1843"/>
        <v>1048</v>
      </c>
      <c r="G10926" s="168">
        <f>SUM(C10926,C10902,C10878,C10854,C10830,C10806,C10782,C10758,C10734,C10710,C10686,C10662,C10638,C10614)/POBLA!$B$5*100000</f>
        <v>775.1286765299825</v>
      </c>
      <c r="H10926" s="256">
        <f t="shared" si="1842"/>
        <v>1.5407835581245986</v>
      </c>
      <c r="I10926" s="297">
        <f t="shared" si="1844"/>
        <v>1194.3055202282774</v>
      </c>
      <c r="J10926" s="422">
        <f t="shared" si="1845"/>
        <v>393.85714285714283</v>
      </c>
      <c r="K10926" s="297">
        <f>J10926/POBLA!$B$5*100000</f>
        <v>63.628588137710999</v>
      </c>
      <c r="L10926" s="200">
        <f t="shared" si="1841"/>
        <v>0.35080842724154837</v>
      </c>
      <c r="M10926" s="401">
        <f>SUM(C10926,C10902,C10878,C10854,C10830,C10806,C10782)/POBLA!$B$5*100000</f>
        <v>445.40011696397698</v>
      </c>
    </row>
    <row r="10927" spans="1:13" x14ac:dyDescent="0.25">
      <c r="A10927" s="367" t="s">
        <v>30</v>
      </c>
      <c r="B10927" s="2">
        <v>44348</v>
      </c>
      <c r="C10927" s="4">
        <v>167</v>
      </c>
      <c r="D10927" s="39">
        <f t="shared" si="1836"/>
        <v>51621</v>
      </c>
      <c r="E10927" s="1">
        <v>23</v>
      </c>
      <c r="F10927" s="39">
        <f t="shared" si="1843"/>
        <v>635</v>
      </c>
      <c r="G10927" s="168">
        <f>SUM(C10927,C10903,C10879,C10855,C10831,C10807,C10783,C10759,C10735,C10711,C10687,C10663,C10639,C10615)/POBLA!$B$6*100000</f>
        <v>958.42170019477135</v>
      </c>
      <c r="H10927" s="256">
        <f t="shared" si="1842"/>
        <v>4.0413844996237769</v>
      </c>
      <c r="I10927" s="297">
        <f t="shared" si="1844"/>
        <v>3873.3506032702153</v>
      </c>
      <c r="J10927" s="422">
        <f t="shared" si="1845"/>
        <v>540</v>
      </c>
      <c r="K10927" s="297">
        <f>J10927/POBLA!$B$6*100000</f>
        <v>48.17982853334356</v>
      </c>
      <c r="L10927" s="200">
        <f t="shared" si="1841"/>
        <v>-0.45705257110025854</v>
      </c>
      <c r="M10927" s="401">
        <f>SUM(C10927,C10903,C10879,C10855,C10831,C10807,C10783)/POBLA!$B$6*100000</f>
        <v>337.25879973340494</v>
      </c>
    </row>
    <row r="10928" spans="1:13" x14ac:dyDescent="0.25">
      <c r="A10928" s="367" t="s">
        <v>20</v>
      </c>
      <c r="B10928" s="2">
        <v>44348</v>
      </c>
      <c r="C10928" s="4">
        <v>5132</v>
      </c>
      <c r="D10928" s="39">
        <f t="shared" si="1836"/>
        <v>317030</v>
      </c>
      <c r="E10928" s="1">
        <v>43</v>
      </c>
      <c r="F10928" s="39">
        <f t="shared" si="1843"/>
        <v>3949</v>
      </c>
      <c r="G10928" s="168">
        <f>SUM(C10928,C10904,C10880,C10856,C10832,C10808,C10784,C10760,C10736,C10712,C10688,C10664,C10640,C10616)/POBLA!$B$7*100000</f>
        <v>1424.4837718890028</v>
      </c>
      <c r="H10928" s="256">
        <f t="shared" si="1842"/>
        <v>1.7340088048685744</v>
      </c>
      <c r="I10928" s="297">
        <f t="shared" si="1844"/>
        <v>2470.0674028479289</v>
      </c>
      <c r="J10928" s="422">
        <f t="shared" si="1845"/>
        <v>4236.7142857142853</v>
      </c>
      <c r="K10928" s="297">
        <f>J10928/POBLA!$B$7*100000</f>
        <v>112.66508757500526</v>
      </c>
      <c r="L10928" s="200">
        <f t="shared" si="1841"/>
        <v>0.24035968214136338</v>
      </c>
      <c r="M10928" s="401">
        <f>SUM(C10928,C10904,C10880,C10856,C10832,C10808,C10784)/POBLA!$B$7*100000</f>
        <v>788.65561302503693</v>
      </c>
    </row>
    <row r="10929" spans="1:13" x14ac:dyDescent="0.25">
      <c r="A10929" s="367" t="s">
        <v>31</v>
      </c>
      <c r="B10929" s="2">
        <v>44348</v>
      </c>
      <c r="C10929" s="4">
        <v>1271</v>
      </c>
      <c r="D10929" s="39">
        <f t="shared" si="1836"/>
        <v>87052</v>
      </c>
      <c r="E10929" s="1">
        <v>22</v>
      </c>
      <c r="F10929" s="39">
        <f t="shared" si="1843"/>
        <v>1358</v>
      </c>
      <c r="G10929" s="168">
        <f>SUM(C10929,C10905,C10881,C10857,C10833,C10809,C10785,C10761,C10737,C10713,C10689,C10665,C10641,C10617)/POBLA!$B$8*100000</f>
        <v>980.11415905642377</v>
      </c>
      <c r="H10929" s="256">
        <f t="shared" si="1842"/>
        <v>1.5028211085297045</v>
      </c>
      <c r="I10929" s="297">
        <f t="shared" si="1844"/>
        <v>1472.9362469988339</v>
      </c>
      <c r="J10929" s="422">
        <f t="shared" si="1845"/>
        <v>1079.8571428571429</v>
      </c>
      <c r="K10929" s="297">
        <f>J10929/POBLA!$B$8*100000</f>
        <v>77.913963153158207</v>
      </c>
      <c r="L10929" s="200">
        <f t="shared" si="1841"/>
        <v>0.25460580912863073</v>
      </c>
      <c r="M10929" s="401">
        <f>SUM(C10929,C10905,C10881,C10857,C10833,C10809,C10785)/POBLA!$B$8*100000</f>
        <v>545.39774207210735</v>
      </c>
    </row>
    <row r="10930" spans="1:13" x14ac:dyDescent="0.25">
      <c r="A10930" s="367" t="s">
        <v>41</v>
      </c>
      <c r="B10930" s="2">
        <v>44348</v>
      </c>
      <c r="C10930" s="4">
        <v>1057</v>
      </c>
      <c r="D10930" s="39">
        <f t="shared" si="1836"/>
        <v>31564</v>
      </c>
      <c r="E10930" s="1">
        <v>12</v>
      </c>
      <c r="F10930" s="39">
        <f t="shared" si="1843"/>
        <v>507</v>
      </c>
      <c r="G10930" s="168">
        <f>SUM(C10930,C10906,C10882,C10858,C10834,C10810,C10786,C10762,C10738,C10714,C10690,C10666,C10642,C10618)/POBLA!$B$9*100000</f>
        <v>2881.725333901747</v>
      </c>
      <c r="H10930" s="256">
        <f t="shared" si="1842"/>
        <v>1.8686381656487732</v>
      </c>
      <c r="I10930" s="297">
        <f>G10930*H10930</f>
        <v>5384.9019418457592</v>
      </c>
      <c r="J10930" s="422">
        <f t="shared" si="1845"/>
        <v>981</v>
      </c>
      <c r="K10930" s="297">
        <f>J10930/POBLA!$B$9*100000</f>
        <v>162.09705003197328</v>
      </c>
      <c r="L10930" s="200">
        <f>(SUM(C10930,C10906,C10882,C10858,C10834,C10810,C10786)/SUM(C10762,C10738,C10714,C10690,C10666,C10642,C10618))-1</f>
        <v>-0.35051546391752575</v>
      </c>
      <c r="M10930" s="401">
        <f>SUM(C10930,C10906,C10882,C10858,C10834,C10810,C10786)/POBLA!$B$9*100000</f>
        <v>1134.6793502238129</v>
      </c>
    </row>
    <row r="10931" spans="1:13" x14ac:dyDescent="0.25">
      <c r="A10931" s="367" t="s">
        <v>32</v>
      </c>
      <c r="B10931" s="2">
        <v>44348</v>
      </c>
      <c r="C10931" s="4">
        <v>278</v>
      </c>
      <c r="D10931" s="39">
        <f t="shared" si="1836"/>
        <v>28647</v>
      </c>
      <c r="F10931" s="39">
        <f t="shared" si="1843"/>
        <v>1092</v>
      </c>
      <c r="G10931" s="168">
        <f>SUM(C10931,C10907,C10883,C10859,C10835,C10811,C10787,C10763,C10739,C10715,C10691,C10667,C10643,C10619)/POBLA!$B$10*100000</f>
        <v>283.18248860719098</v>
      </c>
      <c r="H10931" s="256">
        <f t="shared" si="1842"/>
        <v>1.7380573248407643</v>
      </c>
      <c r="I10931" s="297">
        <f t="shared" ref="I10931:I10945" si="1846">G10931*H10931</f>
        <v>492.18739859036452</v>
      </c>
      <c r="J10931" s="422">
        <f t="shared" si="1845"/>
        <v>182.71428571428572</v>
      </c>
      <c r="K10931" s="297">
        <f>J10931/POBLA!$B$10*100000</f>
        <v>23.702009222472174</v>
      </c>
      <c r="L10931" s="200">
        <f t="shared" ref="L10931:L10953" si="1847">(SUM(C10931,C10907,C10883,C10859,C10835,C10811,C10787)/SUM(C10763,C10739,C10715,C10691,C10667,C10643,C10619))-1</f>
        <v>0.41482300884955747</v>
      </c>
      <c r="M10931" s="401">
        <f>SUM(C10931,C10907,C10883,C10859,C10835,C10811,C10787)/POBLA!$B$10*100000</f>
        <v>165.91406455730521</v>
      </c>
    </row>
    <row r="10932" spans="1:13" x14ac:dyDescent="0.25">
      <c r="A10932" s="367" t="s">
        <v>33</v>
      </c>
      <c r="B10932" s="2">
        <v>44348</v>
      </c>
      <c r="C10932" s="4">
        <v>528</v>
      </c>
      <c r="D10932" s="39">
        <f t="shared" si="1836"/>
        <v>43356</v>
      </c>
      <c r="E10932" s="1">
        <v>10</v>
      </c>
      <c r="F10932" s="39">
        <f t="shared" si="1843"/>
        <v>571</v>
      </c>
      <c r="G10932" s="168">
        <f>SUM(C10932,C10908,C10884,C10860,C10836,C10812,C10788,C10764,C10740,C10716,C10692,C10668,C10644,C10620)/POBLA!$B$11*100000</f>
        <v>2359.190688227482</v>
      </c>
      <c r="H10932" s="256">
        <f t="shared" si="1842"/>
        <v>1.2731105088828667</v>
      </c>
      <c r="I10932" s="297">
        <f t="shared" si="1846"/>
        <v>3003.5104576410104</v>
      </c>
      <c r="J10932" s="422">
        <f t="shared" si="1845"/>
        <v>536.57142857142856</v>
      </c>
      <c r="K10932" s="297">
        <f>J10932/POBLA!$B$11*100000</f>
        <v>149.70131478886375</v>
      </c>
      <c r="L10932" s="200">
        <f t="shared" si="1847"/>
        <v>-0.20085106382978724</v>
      </c>
      <c r="M10932" s="401">
        <f>SUM(C10932,C10908,C10884,C10860,C10836,C10812,C10788)/POBLA!$B$11*100000</f>
        <v>1047.9092035220463</v>
      </c>
    </row>
    <row r="10933" spans="1:13" x14ac:dyDescent="0.25">
      <c r="A10933" s="367" t="s">
        <v>21</v>
      </c>
      <c r="B10933" s="2">
        <v>44348</v>
      </c>
      <c r="C10933" s="4">
        <v>100</v>
      </c>
      <c r="D10933" s="39">
        <f t="shared" si="1836"/>
        <v>17501</v>
      </c>
      <c r="F10933" s="39">
        <f t="shared" si="1843"/>
        <v>534</v>
      </c>
      <c r="G10933" s="168">
        <f>SUM(C10933,C10909,C10885,C10861,C10837,C10813,C10789,C10765,C10741,C10717,C10693,C10669,C10645,C10621)/POBLA!$B$12*100000</f>
        <v>535.91711961700605</v>
      </c>
      <c r="H10933" s="256">
        <f t="shared" si="1842"/>
        <v>1.363283775048481</v>
      </c>
      <c r="I10933" s="297">
        <f t="shared" si="1846"/>
        <v>730.60711394458031</v>
      </c>
      <c r="J10933" s="422">
        <f t="shared" si="1845"/>
        <v>145</v>
      </c>
      <c r="K10933" s="297">
        <f>J10933/POBLA!$B$12*100000</f>
        <v>36.845890158589796</v>
      </c>
      <c r="L10933" s="200">
        <f t="shared" si="1847"/>
        <v>-7.2212065813528348E-2</v>
      </c>
      <c r="M10933" s="401">
        <f>SUM(C10933,C10909,C10885,C10861,C10837,C10813,C10789)/POBLA!$B$12*100000</f>
        <v>257.92123111012853</v>
      </c>
    </row>
    <row r="10934" spans="1:13" x14ac:dyDescent="0.25">
      <c r="A10934" s="367" t="s">
        <v>17</v>
      </c>
      <c r="B10934" s="2">
        <v>44348</v>
      </c>
      <c r="C10934" s="4">
        <v>1033</v>
      </c>
      <c r="D10934" s="39">
        <f t="shared" si="1836"/>
        <v>121699</v>
      </c>
      <c r="E10934" s="1">
        <v>41</v>
      </c>
      <c r="F10934" s="39">
        <f t="shared" si="1843"/>
        <v>2618</v>
      </c>
      <c r="G10934" s="168">
        <f>SUM(C10934,C10910,C10886,C10862,C10838,C10814,C10790,C10766,C10742,C10718,C10694,C10670,C10646,C10622)/POBLA!$B$13*100000</f>
        <v>571.20951315806656</v>
      </c>
      <c r="H10934" s="256">
        <f t="shared" si="1842"/>
        <v>0.99929682693152855</v>
      </c>
      <c r="I10934" s="297">
        <f t="shared" si="1846"/>
        <v>570.80785401195908</v>
      </c>
      <c r="J10934" s="422">
        <f t="shared" si="1845"/>
        <v>866.85714285714289</v>
      </c>
      <c r="K10934" s="297">
        <f>J10934/POBLA!$B$13*100000</f>
        <v>43.553262956198544</v>
      </c>
      <c r="L10934" s="200">
        <f t="shared" si="1847"/>
        <v>0.1446896811922278</v>
      </c>
      <c r="M10934" s="401">
        <f>SUM(C10934,C10910,C10886,C10862,C10838,C10814,C10790)/POBLA!$B$13*100000</f>
        <v>304.87284069338978</v>
      </c>
    </row>
    <row r="10935" spans="1:13" x14ac:dyDescent="0.25">
      <c r="A10935" s="367" t="s">
        <v>23</v>
      </c>
      <c r="B10935" s="2">
        <v>44348</v>
      </c>
      <c r="C10935" s="4">
        <v>153</v>
      </c>
      <c r="D10935" s="39">
        <f t="shared" si="1836"/>
        <v>20608</v>
      </c>
      <c r="E10935" s="1">
        <v>3</v>
      </c>
      <c r="F10935" s="39">
        <f t="shared" si="1843"/>
        <v>301</v>
      </c>
      <c r="G10935" s="168">
        <f>SUM(C10935,C10911,C10887,C10863,C10839,C10815,C10791,C10767,C10743,C10719,C10695,C10671,C10647,C10623)/POBLA!$B$14*100000</f>
        <v>190.99432804722767</v>
      </c>
      <c r="H10935" s="256">
        <f t="shared" si="1842"/>
        <v>1.1040329972502292</v>
      </c>
      <c r="I10935" s="297">
        <f t="shared" si="1846"/>
        <v>210.86404045177429</v>
      </c>
      <c r="J10935" s="422">
        <f t="shared" si="1845"/>
        <v>181.14285714285714</v>
      </c>
      <c r="K10935" s="297">
        <f>J10935/POBLA!$B$14*100000</f>
        <v>14.361668028457848</v>
      </c>
      <c r="L10935" s="200">
        <f t="shared" si="1847"/>
        <v>0.11130587204206832</v>
      </c>
      <c r="M10935" s="401">
        <f>SUM(C10935,C10911,C10887,C10863,C10839,C10815,C10791)/POBLA!$B$14*100000</f>
        <v>100.53167619920494</v>
      </c>
    </row>
    <row r="10936" spans="1:13" x14ac:dyDescent="0.25">
      <c r="A10936" s="367" t="s">
        <v>19</v>
      </c>
      <c r="B10936" s="2">
        <v>44348</v>
      </c>
      <c r="C10936" s="4">
        <v>845</v>
      </c>
      <c r="D10936" s="39">
        <f t="shared" si="1836"/>
        <v>91253</v>
      </c>
      <c r="E10936" s="1">
        <v>35</v>
      </c>
      <c r="F10936" s="39">
        <f t="shared" si="1843"/>
        <v>1360</v>
      </c>
      <c r="G10936" s="168">
        <f>SUM(C10936,C10912,C10888,C10864,C10840,C10816,C10792,C10768,C10744,C10720,C10696,C10672,C10648,C10624)/POBLA!$B$15*100000</f>
        <v>1709.792984638367</v>
      </c>
      <c r="H10936" s="256">
        <f t="shared" si="1842"/>
        <v>1.527306967984934</v>
      </c>
      <c r="I10936" s="297">
        <f t="shared" si="1846"/>
        <v>2611.3787392499353</v>
      </c>
      <c r="J10936" s="422">
        <f t="shared" si="1845"/>
        <v>830.71428571428567</v>
      </c>
      <c r="K10936" s="297">
        <f>J10936/POBLA!$B$15*100000</f>
        <v>125.09683441546218</v>
      </c>
      <c r="L10936" s="200">
        <f t="shared" si="1847"/>
        <v>4.9828488896912715E-2</v>
      </c>
      <c r="M10936" s="401">
        <f>SUM(C10936,C10912,C10888,C10864,C10840,C10816,C10792)/POBLA!$B$15*100000</f>
        <v>875.67784090823534</v>
      </c>
    </row>
    <row r="10937" spans="1:13" x14ac:dyDescent="0.25">
      <c r="A10937" s="367" t="s">
        <v>18</v>
      </c>
      <c r="B10937" s="2">
        <v>44348</v>
      </c>
      <c r="C10937" s="4">
        <v>607</v>
      </c>
      <c r="D10937" s="39">
        <f t="shared" si="1836"/>
        <v>74819</v>
      </c>
      <c r="E10937" s="1">
        <v>15</v>
      </c>
      <c r="F10937" s="39">
        <f t="shared" si="1843"/>
        <v>1640</v>
      </c>
      <c r="G10937" s="168">
        <f>SUM(C10937,C10913,C10889,C10865,C10841,C10817,C10793,C10769,C10745,C10721,C10697,C10673,C10649,C10625)/POBLA!$B$16*100000</f>
        <v>992.09480879067974</v>
      </c>
      <c r="H10937" s="256">
        <f t="shared" si="1842"/>
        <v>1.4757262236370872</v>
      </c>
      <c r="I10937" s="297">
        <f t="shared" si="1846"/>
        <v>1464.0603256666279</v>
      </c>
      <c r="J10937" s="422">
        <f t="shared" si="1845"/>
        <v>545</v>
      </c>
      <c r="K10937" s="297">
        <f>J10937/POBLA!$B$16*100000</f>
        <v>72.898971388825714</v>
      </c>
      <c r="L10937" s="200">
        <f t="shared" si="1847"/>
        <v>5.9133814547473573E-2</v>
      </c>
      <c r="M10937" s="401">
        <f>SUM(C10937,C10913,C10889,C10865,C10841,C10817,C10793)/POBLA!$B$16*100000</f>
        <v>510.29279972178006</v>
      </c>
    </row>
    <row r="10938" spans="1:13" x14ac:dyDescent="0.25">
      <c r="A10938" s="367" t="s">
        <v>34</v>
      </c>
      <c r="B10938" s="2">
        <v>44348</v>
      </c>
      <c r="C10938" s="4">
        <v>679</v>
      </c>
      <c r="D10938" s="39">
        <f t="shared" si="1836"/>
        <v>46058</v>
      </c>
      <c r="E10938" s="1">
        <v>12</v>
      </c>
      <c r="F10938" s="39">
        <f t="shared" si="1843"/>
        <v>1415</v>
      </c>
      <c r="G10938" s="168">
        <f>SUM(C10938,C10914,C10890,C10866,C10842,C10818,C10794,C10770,C10746,C10722,C10698,C10674,C10650,C10626)/POBLA!$B$17*100000</f>
        <v>479.78197089715854</v>
      </c>
      <c r="H10938" s="256">
        <f t="shared" ref="H10938:H10961" si="1848">SUM(C10938,C10914,C10890,C10866,C10842,C10818,C10794,C10770,C10746,C10722,C10698,C10674,C10650,C10626)/SUM(C10602,C10578,C10554,C10530,C10506,C10482,C10458,C10434,C10410,C10386,C10362,C10338,C10314,C10290)</f>
        <v>1.749615975422427</v>
      </c>
      <c r="I10938" s="297">
        <f t="shared" si="1846"/>
        <v>839.43420100132653</v>
      </c>
      <c r="J10938" s="422">
        <f t="shared" si="1845"/>
        <v>503.28571428571428</v>
      </c>
      <c r="K10938" s="297">
        <f>J10938/POBLA!$B$17*100000</f>
        <v>35.333247281882393</v>
      </c>
      <c r="L10938" s="200">
        <f t="shared" si="1847"/>
        <v>6.4028994261552397E-2</v>
      </c>
      <c r="M10938" s="401">
        <f>SUM(C10938,C10914,C10890,C10866,C10842,C10818,C10794)/POBLA!$B$17*100000</f>
        <v>247.33273097317672</v>
      </c>
    </row>
    <row r="10939" spans="1:13" x14ac:dyDescent="0.25">
      <c r="A10939" s="367" t="s">
        <v>35</v>
      </c>
      <c r="B10939" s="2">
        <v>44348</v>
      </c>
      <c r="C10939" s="4">
        <v>616</v>
      </c>
      <c r="D10939" s="39">
        <f t="shared" si="1836"/>
        <v>37634</v>
      </c>
      <c r="E10939" s="1">
        <v>6</v>
      </c>
      <c r="F10939" s="39">
        <f t="shared" si="1843"/>
        <v>641</v>
      </c>
      <c r="G10939" s="168">
        <f>SUM(C10939,C10915,C10891,C10867,C10843,C10819,C10795,C10771,C10747,C10723,C10699,C10675,C10651,C10627)/POBLA!$B$18*100000</f>
        <v>910.37445421694611</v>
      </c>
      <c r="H10939" s="256">
        <f t="shared" si="1848"/>
        <v>1.1765095119933831</v>
      </c>
      <c r="I10939" s="297">
        <f t="shared" si="1846"/>
        <v>1071.0642048620216</v>
      </c>
      <c r="J10939" s="422">
        <f t="shared" si="1845"/>
        <v>574.71428571428567</v>
      </c>
      <c r="K10939" s="297">
        <f>J10939/POBLA!$B$18*100000</f>
        <v>73.566536021910139</v>
      </c>
      <c r="L10939" s="200">
        <f t="shared" si="1847"/>
        <v>0.30236322434444807</v>
      </c>
      <c r="M10939" s="401">
        <f>SUM(C10939,C10915,C10891,C10867,C10843,C10819,C10795)/POBLA!$B$18*100000</f>
        <v>514.965752153371</v>
      </c>
    </row>
    <row r="10940" spans="1:13" x14ac:dyDescent="0.25">
      <c r="A10940" s="367" t="s">
        <v>36</v>
      </c>
      <c r="B10940" s="2">
        <v>44348</v>
      </c>
      <c r="C10940" s="4">
        <v>436</v>
      </c>
      <c r="D10940" s="39">
        <f t="shared" si="1836"/>
        <v>53499</v>
      </c>
      <c r="E10940" s="1">
        <v>6</v>
      </c>
      <c r="F10940" s="39">
        <f t="shared" si="1843"/>
        <v>708</v>
      </c>
      <c r="G10940" s="168">
        <f>SUM(C10940,C10916,C10892,C10868,C10844,C10820,C10796,C10772,C10748,C10724,C10700,C10676,C10652,C10628)/POBLA!$B$19*100000</f>
        <v>1597.5905320973861</v>
      </c>
      <c r="H10940" s="256">
        <f t="shared" si="1848"/>
        <v>1.3389942291838417</v>
      </c>
      <c r="I10940" s="297">
        <f t="shared" si="1846"/>
        <v>2139.1645030771429</v>
      </c>
      <c r="J10940" s="422">
        <f t="shared" si="1845"/>
        <v>527.57142857142856</v>
      </c>
      <c r="K10940" s="297">
        <f>J10940/POBLA!$B$19*100000</f>
        <v>103.78563222396339</v>
      </c>
      <c r="L10940" s="200">
        <f t="shared" si="1847"/>
        <v>-0.1659891598915989</v>
      </c>
      <c r="M10940" s="401">
        <f>SUM(C10940,C10916,C10892,C10868,C10844,C10820,C10796)/POBLA!$B$19*100000</f>
        <v>726.49942556774374</v>
      </c>
    </row>
    <row r="10941" spans="1:13" x14ac:dyDescent="0.25">
      <c r="A10941" s="367" t="s">
        <v>37</v>
      </c>
      <c r="B10941" s="2">
        <v>44348</v>
      </c>
      <c r="C10941" s="4">
        <v>230</v>
      </c>
      <c r="D10941" s="39">
        <f t="shared" si="1836"/>
        <v>51772</v>
      </c>
      <c r="E10941" s="1">
        <v>1</v>
      </c>
      <c r="F10941" s="39">
        <f t="shared" si="1843"/>
        <v>792</v>
      </c>
      <c r="G10941" s="168">
        <f>SUM(C10941,C10917,C10893,C10869,C10845,C10821,C10797,C10773,C10749,C10725,C10701,C10677,C10653,C10629)/POBLA!$B$20*100000</f>
        <v>832.92771631236701</v>
      </c>
      <c r="H10941" s="256">
        <f t="shared" si="1848"/>
        <v>0.92275068161163287</v>
      </c>
      <c r="I10941" s="297">
        <f t="shared" si="1846"/>
        <v>768.58461796045742</v>
      </c>
      <c r="J10941" s="422">
        <f t="shared" si="1845"/>
        <v>210.85714285714286</v>
      </c>
      <c r="K10941" s="297">
        <f>J10941/POBLA!$B$20*100000</f>
        <v>57.658817619222106</v>
      </c>
      <c r="L10941" s="200">
        <f t="shared" si="1847"/>
        <v>-5.987261146496814E-2</v>
      </c>
      <c r="M10941" s="401">
        <f>SUM(C10941,C10917,C10893,C10869,C10845,C10821,C10797)/POBLA!$B$20*100000</f>
        <v>403.61172333455477</v>
      </c>
    </row>
    <row r="10942" spans="1:13" x14ac:dyDescent="0.25">
      <c r="A10942" s="367" t="s">
        <v>22</v>
      </c>
      <c r="B10942" s="2">
        <v>44348</v>
      </c>
      <c r="C10942" s="4">
        <v>3328</v>
      </c>
      <c r="D10942" s="39">
        <f t="shared" si="1836"/>
        <v>348399</v>
      </c>
      <c r="E10942" s="1">
        <v>55</v>
      </c>
      <c r="F10942" s="39">
        <f t="shared" si="1843"/>
        <v>5616</v>
      </c>
      <c r="G10942" s="168">
        <f>SUM(C10942,C10918,C10894,C10870,C10846,C10822,C10798,C10774,C10750,C10726,C10702,C10678,C10654,C10630)/POBLA!$B$21*100000</f>
        <v>1144.4348490478219</v>
      </c>
      <c r="H10942" s="256">
        <f t="shared" si="1848"/>
        <v>1.4603976473135352</v>
      </c>
      <c r="I10942" s="297">
        <f t="shared" si="1846"/>
        <v>1671.3299610530598</v>
      </c>
      <c r="J10942" s="422">
        <f t="shared" si="1845"/>
        <v>3058.8571428571427</v>
      </c>
      <c r="K10942" s="297">
        <f>J10942/POBLA!$B$21*100000</f>
        <v>86.495916004758001</v>
      </c>
      <c r="L10942" s="200">
        <f t="shared" si="1847"/>
        <v>0.12339979013641122</v>
      </c>
      <c r="M10942" s="401">
        <f>SUM(C10942,C10918,C10894,C10870,C10846,C10822,C10798)/POBLA!$B$21*100000</f>
        <v>605.47141203330602</v>
      </c>
    </row>
    <row r="10943" spans="1:13" x14ac:dyDescent="0.25">
      <c r="A10943" s="367" t="s">
        <v>38</v>
      </c>
      <c r="B10943" s="2">
        <v>44348</v>
      </c>
      <c r="C10943" s="4">
        <v>383</v>
      </c>
      <c r="D10943" s="39">
        <f t="shared" si="1836"/>
        <v>44300</v>
      </c>
      <c r="E10943" s="1">
        <v>5</v>
      </c>
      <c r="F10943" s="39">
        <f t="shared" si="1843"/>
        <v>528</v>
      </c>
      <c r="G10943" s="168">
        <f>SUM(C10943,C10919,C10895,C10871,C10847,C10823,C10799,C10775,C10751,C10727,C10703,C10679,C10655,C10631)/POBLA!$B$22*100000</f>
        <v>828.05809592635478</v>
      </c>
      <c r="H10943" s="256">
        <f t="shared" si="1848"/>
        <v>1.6559689288634505</v>
      </c>
      <c r="I10943" s="297">
        <f t="shared" si="1846"/>
        <v>1371.238478147874</v>
      </c>
      <c r="J10943" s="422">
        <f t="shared" si="1845"/>
        <v>538.71428571428567</v>
      </c>
      <c r="K10943" s="297">
        <f>J10943/POBLA!$B$22*100000</f>
        <v>55.065637041957494</v>
      </c>
      <c r="L10943" s="200">
        <f t="shared" si="1847"/>
        <v>-0.12909930715935336</v>
      </c>
      <c r="M10943" s="401">
        <f>SUM(C10943,C10919,C10895,C10871,C10847,C10823,C10799)/POBLA!$B$22*100000</f>
        <v>385.45945929370254</v>
      </c>
    </row>
    <row r="10944" spans="1:13" x14ac:dyDescent="0.25">
      <c r="A10944" s="367" t="s">
        <v>39</v>
      </c>
      <c r="B10944" s="2">
        <v>44348</v>
      </c>
      <c r="C10944" s="4">
        <v>49</v>
      </c>
      <c r="D10944" s="39">
        <f t="shared" si="1836"/>
        <v>28528</v>
      </c>
      <c r="E10944" s="1">
        <v>2</v>
      </c>
      <c r="F10944" s="39">
        <f t="shared" si="1843"/>
        <v>422</v>
      </c>
      <c r="G10944" s="168">
        <f>SUM(C10944,C10920,C10896,C10872,C10848,C10824,C10800,C10776,C10752,C10728,C10704,C10680,C10656,C10632)/POBLA!$B$23*100000</f>
        <v>493.69450885030824</v>
      </c>
      <c r="H10944" s="256">
        <f t="shared" si="1848"/>
        <v>0.873</v>
      </c>
      <c r="I10944" s="297">
        <f t="shared" si="1846"/>
        <v>430.99530622631909</v>
      </c>
      <c r="J10944" s="422">
        <f t="shared" si="1845"/>
        <v>50.142857142857146</v>
      </c>
      <c r="K10944" s="297">
        <f>J10944/POBLA!$B$23*100000</f>
        <v>28.356532908927868</v>
      </c>
      <c r="L10944" s="200">
        <f t="shared" si="1847"/>
        <v>-0.32758620689655171</v>
      </c>
      <c r="M10944" s="401">
        <f>SUM(C10944,C10920,C10896,C10872,C10848,C10824,C10800)/POBLA!$B$23*100000</f>
        <v>198.49573036249507</v>
      </c>
    </row>
    <row r="10945" spans="1:13" ht="15.75" thickBot="1" x14ac:dyDescent="0.3">
      <c r="A10945" s="368" t="s">
        <v>40</v>
      </c>
      <c r="B10945" s="34">
        <v>44348</v>
      </c>
      <c r="C10945" s="27">
        <v>998</v>
      </c>
      <c r="D10945" s="67">
        <f t="shared" si="1836"/>
        <v>131102</v>
      </c>
      <c r="E10945" s="232">
        <v>20</v>
      </c>
      <c r="F10945" s="67">
        <f t="shared" si="1843"/>
        <v>1910</v>
      </c>
      <c r="G10945" s="255">
        <f>SUM(C10945,C10921,C10897,C10873,C10849,C10825,C10801,C10777,C10753,C10729,C10705,C10681,C10657,C10633)/POBLA!$B$24*100000</f>
        <v>831.14213150043429</v>
      </c>
      <c r="H10945" s="257">
        <f t="shared" si="1848"/>
        <v>1.6031185977691782</v>
      </c>
      <c r="I10945" s="299">
        <f t="shared" si="1846"/>
        <v>1332.4194083978621</v>
      </c>
      <c r="J10945" s="428">
        <f t="shared" si="1845"/>
        <v>1253.4285714285713</v>
      </c>
      <c r="K10945" s="299">
        <f>J10945/POBLA!$B$24*100000</f>
        <v>73.963599186417255</v>
      </c>
      <c r="L10945" s="260">
        <f t="shared" si="1847"/>
        <v>0.65204292976840517</v>
      </c>
      <c r="M10945" s="406">
        <f>SUM(C10945,C10921,C10897,C10873,C10849,C10825,C10801)/POBLA!$B$24*100000</f>
        <v>517.74519430492091</v>
      </c>
    </row>
    <row r="10946" spans="1:13" x14ac:dyDescent="0.25">
      <c r="A10946" s="363" t="s">
        <v>16</v>
      </c>
      <c r="B10946" s="265">
        <v>44349</v>
      </c>
      <c r="C10946" s="356">
        <v>12274</v>
      </c>
      <c r="D10946" s="174">
        <f t="shared" si="1836"/>
        <v>1635843</v>
      </c>
      <c r="E10946" s="43">
        <v>306</v>
      </c>
      <c r="F10946" s="174">
        <f t="shared" ref="F10946:F10969" si="1849">E10946+F10922</f>
        <v>40768</v>
      </c>
      <c r="G10946" s="175">
        <f>SUM(C10946,C10922,C10898,C10874,C10850,C10826,C10802,C10778,C10754,C10730,C10706,C10682,C10658,C10634)/POBLA!$B$1*100000</f>
        <v>905.40290395020486</v>
      </c>
      <c r="H10946" s="300">
        <f t="shared" si="1848"/>
        <v>1.1817870643212192</v>
      </c>
      <c r="I10946" s="301">
        <f>G10946*H10946</f>
        <v>1069.9934398872194</v>
      </c>
      <c r="J10946" s="421">
        <f>AVERAGE(C10946,C10922,C10898,C10874,C10850,C10826,C10802)</f>
        <v>11938.857142857143</v>
      </c>
      <c r="K10946" s="301">
        <f>J10946/POBLA!$B$1*100000</f>
        <v>68.062032811076207</v>
      </c>
      <c r="L10946" s="399">
        <f t="shared" si="1847"/>
        <v>0.11065040002126358</v>
      </c>
      <c r="M10946" s="400">
        <f>SUM(C10946,C10922,C10898,C10874,C10850,C10826,C10802)/POBLA!$B$1*100000</f>
        <v>476.43422967753355</v>
      </c>
    </row>
    <row r="10947" spans="1:13" x14ac:dyDescent="0.25">
      <c r="A10947" s="367" t="s">
        <v>43</v>
      </c>
      <c r="B10947" s="2">
        <v>44349</v>
      </c>
      <c r="C10947" s="4">
        <v>2227</v>
      </c>
      <c r="D10947" s="39">
        <f t="shared" si="1836"/>
        <v>422907</v>
      </c>
      <c r="E10947" s="1">
        <v>48</v>
      </c>
      <c r="F10947" s="39">
        <f t="shared" si="1849"/>
        <v>9250</v>
      </c>
      <c r="G10947" s="168">
        <f>SUM(C10947,C10923,C10899,C10875,C10851,C10827,C10803,C10779,C10755,C10731,C10707,C10683,C10659,C10635)/POBLA!$B$2*100000</f>
        <v>1164.8934890426272</v>
      </c>
      <c r="H10947" s="256">
        <f t="shared" si="1848"/>
        <v>1.0628615503278056</v>
      </c>
      <c r="I10947" s="297">
        <f t="shared" ref="I10947:I10953" si="1850">G10947*H10947</f>
        <v>1238.1204997306133</v>
      </c>
      <c r="J10947" s="422">
        <f t="shared" ref="J10947:J10969" si="1851">AVERAGE(C10947,C10923,C10899,C10875,C10851,C10827,C10803)</f>
        <v>2423.5714285714284</v>
      </c>
      <c r="K10947" s="297">
        <f>J10947/POBLA!$B$2*100000</f>
        <v>78.798776860907552</v>
      </c>
      <c r="L10947" s="200">
        <f t="shared" si="1847"/>
        <v>-0.10062026188835282</v>
      </c>
      <c r="M10947" s="401">
        <f>SUM(C10947,C10923,C10899,C10875,C10851,C10827,C10803)/POBLA!$B$2*100000</f>
        <v>551.59143802635288</v>
      </c>
    </row>
    <row r="10948" spans="1:13" x14ac:dyDescent="0.25">
      <c r="A10948" s="367" t="s">
        <v>28</v>
      </c>
      <c r="B10948" s="2">
        <v>44349</v>
      </c>
      <c r="C10948" s="4">
        <v>392</v>
      </c>
      <c r="D10948" s="39">
        <f t="shared" si="1836"/>
        <v>24589</v>
      </c>
      <c r="E10948" s="1">
        <v>2</v>
      </c>
      <c r="F10948" s="39">
        <f t="shared" si="1849"/>
        <v>178</v>
      </c>
      <c r="G10948" s="168">
        <f>SUM(C10948,C10924,C10900,C10876,C10852,C10828,C10804,C10780,C10756,C10732,C10708,C10684,C10660,C10636)/POBLA!$B$3*100000</f>
        <v>1330.8845122497221</v>
      </c>
      <c r="H10948" s="256">
        <f t="shared" si="1848"/>
        <v>1.5756625819321743</v>
      </c>
      <c r="I10948" s="297">
        <f t="shared" si="1850"/>
        <v>2097.0249268249395</v>
      </c>
      <c r="J10948" s="422">
        <f t="shared" si="1851"/>
        <v>422.85714285714283</v>
      </c>
      <c r="K10948" s="297">
        <f>J10948/POBLA!$B$3*100000</f>
        <v>101.78586043095308</v>
      </c>
      <c r="L10948" s="200">
        <f t="shared" si="1847"/>
        <v>0.15219929933826393</v>
      </c>
      <c r="M10948" s="401">
        <f>SUM(C10948,C10924,C10900,C10876,C10852,C10828,C10804)/POBLA!$B$3*100000</f>
        <v>712.50102301667152</v>
      </c>
    </row>
    <row r="10949" spans="1:13" x14ac:dyDescent="0.25">
      <c r="A10949" s="367" t="s">
        <v>15</v>
      </c>
      <c r="B10949" s="2">
        <v>44349</v>
      </c>
      <c r="C10949" s="4">
        <v>802</v>
      </c>
      <c r="D10949" s="39">
        <f t="shared" si="1836"/>
        <v>59800</v>
      </c>
      <c r="E10949" s="1">
        <v>12</v>
      </c>
      <c r="F10949" s="39">
        <f t="shared" si="1849"/>
        <v>1254</v>
      </c>
      <c r="G10949" s="168">
        <f>SUM(C10949,C10925,C10901,C10877,C10853,C10829,C10805,C10781,C10757,C10733,C10709,C10685,C10661,C10637)/POBLA!$B$4*100000</f>
        <v>740.78009797923028</v>
      </c>
      <c r="H10949" s="256">
        <f t="shared" si="1848"/>
        <v>1.8273602293671922</v>
      </c>
      <c r="I10949" s="297">
        <f t="shared" si="1850"/>
        <v>1353.6720897539774</v>
      </c>
      <c r="J10949" s="422">
        <f t="shared" si="1851"/>
        <v>673.28571428571433</v>
      </c>
      <c r="K10949" s="297">
        <f>J10949/POBLA!$B$4*100000</f>
        <v>55.895624498104617</v>
      </c>
      <c r="L10949" s="200">
        <f t="shared" si="1847"/>
        <v>0.11947743467933503</v>
      </c>
      <c r="M10949" s="401">
        <f>SUM(C10949,C10925,C10901,C10877,C10853,C10829,C10805)/POBLA!$B$4*100000</f>
        <v>391.26937148673227</v>
      </c>
    </row>
    <row r="10950" spans="1:13" x14ac:dyDescent="0.25">
      <c r="A10950" s="367" t="s">
        <v>29</v>
      </c>
      <c r="B10950" s="2">
        <v>44349</v>
      </c>
      <c r="C10950" s="4">
        <v>529</v>
      </c>
      <c r="D10950" s="39">
        <f t="shared" si="1836"/>
        <v>63781</v>
      </c>
      <c r="E10950" s="1">
        <v>9</v>
      </c>
      <c r="F10950" s="39">
        <f t="shared" si="1849"/>
        <v>1057</v>
      </c>
      <c r="G10950" s="168">
        <f>SUM(C10950,C10926,C10902,C10878,C10854,C10830,C10806,C10782,C10758,C10734,C10710,C10686,C10662,C10638)/POBLA!$B$5*100000</f>
        <v>809.86245424026731</v>
      </c>
      <c r="H10950" s="256">
        <f t="shared" si="1848"/>
        <v>1.608793324775353</v>
      </c>
      <c r="I10950" s="297">
        <f t="shared" si="1850"/>
        <v>1302.9013103679267</v>
      </c>
      <c r="J10950" s="422">
        <f t="shared" si="1851"/>
        <v>409.14285714285717</v>
      </c>
      <c r="K10950" s="297">
        <f>J10950/POBLA!$B$5*100000</f>
        <v>66.09803279884089</v>
      </c>
      <c r="L10950" s="200">
        <f t="shared" si="1847"/>
        <v>0.3327128897161471</v>
      </c>
      <c r="M10950" s="401">
        <f>SUM(C10950,C10926,C10902,C10878,C10854,C10830,C10806)/POBLA!$B$5*100000</f>
        <v>462.68622959188622</v>
      </c>
    </row>
    <row r="10951" spans="1:13" x14ac:dyDescent="0.25">
      <c r="A10951" s="367" t="s">
        <v>30</v>
      </c>
      <c r="B10951" s="2">
        <v>44349</v>
      </c>
      <c r="C10951" s="4">
        <v>610</v>
      </c>
      <c r="D10951" s="39">
        <f t="shared" si="1836"/>
        <v>52231</v>
      </c>
      <c r="F10951" s="39">
        <f t="shared" si="1849"/>
        <v>635</v>
      </c>
      <c r="G10951" s="168">
        <f>SUM(C10951,C10927,C10903,C10879,C10855,C10831,C10807,C10783,C10759,C10735,C10711,C10687,C10663,C10639)/POBLA!$B$6*100000</f>
        <v>919.87783736809661</v>
      </c>
      <c r="H10951" s="256">
        <f t="shared" si="1848"/>
        <v>2.8928170594837264</v>
      </c>
      <c r="I10951" s="297">
        <f t="shared" si="1850"/>
        <v>2661.0383005794265</v>
      </c>
      <c r="J10951" s="422">
        <f t="shared" si="1851"/>
        <v>524.14285714285711</v>
      </c>
      <c r="K10951" s="297">
        <f>J10951/POBLA!$B$6*100000</f>
        <v>46.765024044666006</v>
      </c>
      <c r="L10951" s="200">
        <f t="shared" si="1847"/>
        <v>-0.44752296340912512</v>
      </c>
      <c r="M10951" s="401">
        <f>SUM(C10951,C10927,C10903,C10879,C10855,C10831,C10807)/POBLA!$B$6*100000</f>
        <v>327.3551683126621</v>
      </c>
    </row>
    <row r="10952" spans="1:13" x14ac:dyDescent="0.25">
      <c r="A10952" s="367" t="s">
        <v>20</v>
      </c>
      <c r="B10952" s="2">
        <v>44349</v>
      </c>
      <c r="C10952" s="4">
        <v>4996</v>
      </c>
      <c r="D10952" s="39">
        <f t="shared" si="1836"/>
        <v>322026</v>
      </c>
      <c r="E10952" s="1">
        <v>35</v>
      </c>
      <c r="F10952" s="39">
        <f t="shared" si="1849"/>
        <v>3984</v>
      </c>
      <c r="G10952" s="168">
        <f>SUM(C10952,C10928,C10904,C10880,C10856,C10832,C10808,C10784,C10760,C10736,C10712,C10688,C10664,C10640)/POBLA!$B$7*100000</f>
        <v>1453.3632942865881</v>
      </c>
      <c r="H10952" s="256">
        <f t="shared" si="1848"/>
        <v>1.6565531037827352</v>
      </c>
      <c r="I10952" s="297">
        <f t="shared" si="1850"/>
        <v>2407.5734760743485</v>
      </c>
      <c r="J10952" s="422">
        <f t="shared" si="1851"/>
        <v>4304.2857142857147</v>
      </c>
      <c r="K10952" s="297">
        <f>J10952/POBLA!$B$7*100000</f>
        <v>114.46198498280033</v>
      </c>
      <c r="L10952" s="200">
        <f t="shared" si="1847"/>
        <v>0.22864249887860377</v>
      </c>
      <c r="M10952" s="401">
        <f>SUM(C10952,C10928,C10904,C10880,C10856,C10832,C10808)/POBLA!$B$7*100000</f>
        <v>801.23389487960219</v>
      </c>
    </row>
    <row r="10953" spans="1:13" x14ac:dyDescent="0.25">
      <c r="A10953" s="367" t="s">
        <v>31</v>
      </c>
      <c r="B10953" s="2">
        <v>44349</v>
      </c>
      <c r="C10953" s="4">
        <v>1214</v>
      </c>
      <c r="D10953" s="39">
        <f t="shared" si="1836"/>
        <v>88266</v>
      </c>
      <c r="E10953" s="1">
        <v>8</v>
      </c>
      <c r="F10953" s="39">
        <f t="shared" si="1849"/>
        <v>1366</v>
      </c>
      <c r="G10953" s="168">
        <f>SUM(C10953,C10929,C10905,C10881,C10857,C10833,C10809,C10785,C10761,C10737,C10713,C10689,C10665,C10641)/POBLA!$B$8*100000</f>
        <v>992.23571226030174</v>
      </c>
      <c r="H10953" s="256">
        <f t="shared" si="1848"/>
        <v>1.4881506330483714</v>
      </c>
      <c r="I10953" s="297">
        <f t="shared" si="1850"/>
        <v>1476.5962033333697</v>
      </c>
      <c r="J10953" s="422">
        <f t="shared" si="1851"/>
        <v>1134.8571428571429</v>
      </c>
      <c r="K10953" s="297">
        <f>J10953/POBLA!$B$8*100000</f>
        <v>81.882328785380182</v>
      </c>
      <c r="L10953" s="200">
        <f t="shared" si="1847"/>
        <v>0.36776859504132231</v>
      </c>
      <c r="M10953" s="401">
        <f>SUM(C10953,C10929,C10905,C10881,C10857,C10833,C10809)/POBLA!$B$8*100000</f>
        <v>573.17630149766114</v>
      </c>
    </row>
    <row r="10954" spans="1:13" x14ac:dyDescent="0.25">
      <c r="A10954" s="367" t="s">
        <v>41</v>
      </c>
      <c r="B10954" s="2">
        <v>44349</v>
      </c>
      <c r="C10954" s="4">
        <v>1018</v>
      </c>
      <c r="D10954" s="39">
        <f t="shared" si="1836"/>
        <v>32582</v>
      </c>
      <c r="E10954" s="1">
        <v>9</v>
      </c>
      <c r="F10954" s="39">
        <f t="shared" si="1849"/>
        <v>516</v>
      </c>
      <c r="G10954" s="168">
        <f>SUM(C10954,C10930,C10906,C10882,C10858,C10834,C10810,C10786,C10762,C10738,C10714,C10690,C10666,C10642)/POBLA!$B$9*100000</f>
        <v>2221.1096294900963</v>
      </c>
      <c r="H10954" s="256">
        <f t="shared" si="1848"/>
        <v>0.95645367866799491</v>
      </c>
      <c r="I10954" s="297">
        <f>G10954*H10954</f>
        <v>2124.3884758507097</v>
      </c>
      <c r="J10954" s="422">
        <f t="shared" si="1851"/>
        <v>1005.7142857142857</v>
      </c>
      <c r="K10954" s="297">
        <f>J10954/POBLA!$B$9*100000</f>
        <v>166.18075320010075</v>
      </c>
      <c r="L10954" s="200">
        <f>(SUM(C10954,C10930,C10906,C10882,C10858,C10834,C10810)/SUM(C10786,C10762,C10738,C10714,C10690,C10666,C10642))-1</f>
        <v>9.9656357388316241E-2</v>
      </c>
      <c r="M10954" s="401">
        <f>SUM(C10954,C10930,C10906,C10882,C10858,C10834,C10810)/POBLA!$B$9*100000</f>
        <v>1163.2652724007053</v>
      </c>
    </row>
    <row r="10955" spans="1:13" x14ac:dyDescent="0.25">
      <c r="A10955" s="367" t="s">
        <v>32</v>
      </c>
      <c r="B10955" s="2">
        <v>44349</v>
      </c>
      <c r="C10955" s="4">
        <v>248</v>
      </c>
      <c r="D10955" s="39">
        <f t="shared" si="1836"/>
        <v>28895</v>
      </c>
      <c r="F10955" s="39">
        <f t="shared" si="1849"/>
        <v>1092</v>
      </c>
      <c r="G10955" s="168">
        <f>SUM(C10955,C10931,C10907,C10883,C10859,C10835,C10811,C10787,C10763,C10739,C10715,C10691,C10667,C10643)/POBLA!$B$10*100000</f>
        <v>297.32215478134759</v>
      </c>
      <c r="H10955" s="256">
        <f t="shared" si="1848"/>
        <v>1.7456207159177457</v>
      </c>
      <c r="I10955" s="297">
        <f t="shared" ref="I10955:I10969" si="1852">G10955*H10955</f>
        <v>519.01171268762278</v>
      </c>
      <c r="J10955" s="422">
        <f t="shared" si="1851"/>
        <v>200.14285714285714</v>
      </c>
      <c r="K10955" s="297">
        <f>J10955/POBLA!$B$10*100000</f>
        <v>25.962873276531287</v>
      </c>
      <c r="L10955" s="200">
        <f t="shared" ref="L10955:L10977" si="1853">(SUM(C10955,C10931,C10907,C10883,C10859,C10835,C10811)/SUM(C10787,C10763,C10739,C10715,C10691,C10667,C10643))-1</f>
        <v>0.57239057239057245</v>
      </c>
      <c r="M10955" s="401">
        <f>SUM(C10955,C10931,C10907,C10883,C10859,C10835,C10811)/POBLA!$B$10*100000</f>
        <v>181.740112935719</v>
      </c>
    </row>
    <row r="10956" spans="1:13" x14ac:dyDescent="0.25">
      <c r="A10956" s="367" t="s">
        <v>33</v>
      </c>
      <c r="B10956" s="2">
        <v>44349</v>
      </c>
      <c r="C10956" s="4">
        <v>429</v>
      </c>
      <c r="D10956" s="39">
        <f t="shared" si="1836"/>
        <v>43785</v>
      </c>
      <c r="E10956" s="1">
        <v>10</v>
      </c>
      <c r="F10956" s="39">
        <f t="shared" si="1849"/>
        <v>581</v>
      </c>
      <c r="G10956" s="168">
        <f>SUM(C10956,C10932,C10908,C10884,C10860,C10836,C10812,C10788,C10764,C10740,C10716,C10692,C10668,C10644)/POBLA!$B$11*100000</f>
        <v>2260.4260827837111</v>
      </c>
      <c r="H10956" s="256">
        <f t="shared" si="1848"/>
        <v>1.1510157692854099</v>
      </c>
      <c r="I10956" s="297">
        <f t="shared" si="1852"/>
        <v>2601.7860665880989</v>
      </c>
      <c r="J10956" s="422">
        <f t="shared" si="1851"/>
        <v>473.14285714285717</v>
      </c>
      <c r="K10956" s="297">
        <f>J10956/POBLA!$B$11*100000</f>
        <v>132.00499323235269</v>
      </c>
      <c r="L10956" s="200">
        <f t="shared" si="1853"/>
        <v>-0.30855949895615864</v>
      </c>
      <c r="M10956" s="401">
        <f>SUM(C10956,C10932,C10908,C10884,C10860,C10836,C10812)/POBLA!$B$11*100000</f>
        <v>924.03495262646902</v>
      </c>
    </row>
    <row r="10957" spans="1:13" x14ac:dyDescent="0.25">
      <c r="A10957" s="367" t="s">
        <v>21</v>
      </c>
      <c r="B10957" s="2">
        <v>44349</v>
      </c>
      <c r="C10957" s="4">
        <v>245</v>
      </c>
      <c r="D10957" s="39">
        <f t="shared" si="1836"/>
        <v>17746</v>
      </c>
      <c r="F10957" s="39">
        <f t="shared" si="1849"/>
        <v>534</v>
      </c>
      <c r="G10957" s="168">
        <f>SUM(C10957,C10933,C10909,C10885,C10861,C10837,C10813,C10789,C10765,C10741,C10717,C10693,C10669,C10645)/POBLA!$B$12*100000</f>
        <v>570.47602348989017</v>
      </c>
      <c r="H10957" s="256">
        <f t="shared" si="1848"/>
        <v>1.4208860759493671</v>
      </c>
      <c r="I10957" s="297">
        <f t="shared" si="1852"/>
        <v>810.58143843974904</v>
      </c>
      <c r="J10957" s="422">
        <f t="shared" si="1851"/>
        <v>162</v>
      </c>
      <c r="K10957" s="297">
        <f>J10957/POBLA!$B$12*100000</f>
        <v>41.165753142700318</v>
      </c>
      <c r="L10957" s="200">
        <f t="shared" si="1853"/>
        <v>2.070207020702064E-2</v>
      </c>
      <c r="M10957" s="401">
        <f>SUM(C10957,C10933,C10909,C10885,C10861,C10837,C10813)/POBLA!$B$12*100000</f>
        <v>288.16027199890226</v>
      </c>
    </row>
    <row r="10958" spans="1:13" x14ac:dyDescent="0.25">
      <c r="A10958" s="367" t="s">
        <v>17</v>
      </c>
      <c r="B10958" s="2">
        <v>44349</v>
      </c>
      <c r="C10958" s="4">
        <v>1042</v>
      </c>
      <c r="D10958" s="39">
        <f t="shared" si="1836"/>
        <v>122741</v>
      </c>
      <c r="E10958" s="1">
        <v>38</v>
      </c>
      <c r="F10958" s="39">
        <f t="shared" si="1849"/>
        <v>2656</v>
      </c>
      <c r="G10958" s="168">
        <f>SUM(C10958,C10934,C10910,C10886,C10862,C10838,C10814,C10790,C10766,C10742,C10718,C10694,C10670,C10646)/POBLA!$B$13*100000</f>
        <v>566.03451273100347</v>
      </c>
      <c r="H10958" s="256">
        <f t="shared" si="1848"/>
        <v>0.97549571391462464</v>
      </c>
      <c r="I10958" s="297">
        <f t="shared" si="1852"/>
        <v>552.16424109684692</v>
      </c>
      <c r="J10958" s="422">
        <f t="shared" si="1851"/>
        <v>886.14285714285711</v>
      </c>
      <c r="K10958" s="297">
        <f>J10958/POBLA!$B$13*100000</f>
        <v>44.522229749060564</v>
      </c>
      <c r="L10958" s="200">
        <f t="shared" si="1853"/>
        <v>0.22516294686944494</v>
      </c>
      <c r="M10958" s="401">
        <f>SUM(C10958,C10934,C10910,C10886,C10862,C10838,C10814)/POBLA!$B$13*100000</f>
        <v>311.65560824342401</v>
      </c>
    </row>
    <row r="10959" spans="1:13" x14ac:dyDescent="0.25">
      <c r="A10959" s="367" t="s">
        <v>23</v>
      </c>
      <c r="B10959" s="2">
        <v>44349</v>
      </c>
      <c r="C10959" s="4">
        <v>189</v>
      </c>
      <c r="D10959" s="39">
        <f t="shared" si="1836"/>
        <v>20797</v>
      </c>
      <c r="E10959" s="1">
        <v>4</v>
      </c>
      <c r="F10959" s="39">
        <f t="shared" si="1849"/>
        <v>305</v>
      </c>
      <c r="G10959" s="168">
        <f>SUM(C10959,C10935,C10911,C10887,C10863,C10839,C10815,C10791,C10767,C10743,C10719,C10695,C10671,C10647)/POBLA!$B$14*100000</f>
        <v>194.0071069869515</v>
      </c>
      <c r="H10959" s="256">
        <f t="shared" si="1848"/>
        <v>1.137081784386617</v>
      </c>
      <c r="I10959" s="297">
        <f t="shared" si="1852"/>
        <v>220.60194739640812</v>
      </c>
      <c r="J10959" s="422">
        <f t="shared" si="1851"/>
        <v>184.85714285714286</v>
      </c>
      <c r="K10959" s="297">
        <f>J10959/POBLA!$B$14*100000</f>
        <v>14.656150180460928</v>
      </c>
      <c r="L10959" s="200">
        <f t="shared" si="1853"/>
        <v>0.12228967909800526</v>
      </c>
      <c r="M10959" s="401">
        <f>SUM(C10959,C10935,C10911,C10887,C10863,C10839,C10815)/POBLA!$B$14*100000</f>
        <v>102.5930512632265</v>
      </c>
    </row>
    <row r="10960" spans="1:13" x14ac:dyDescent="0.25">
      <c r="A10960" s="367" t="s">
        <v>19</v>
      </c>
      <c r="B10960" s="2">
        <v>44349</v>
      </c>
      <c r="C10960" s="4">
        <v>874</v>
      </c>
      <c r="D10960" s="39">
        <f t="shared" si="1836"/>
        <v>92127</v>
      </c>
      <c r="E10960" s="1">
        <v>8</v>
      </c>
      <c r="F10960" s="39">
        <f t="shared" si="1849"/>
        <v>1368</v>
      </c>
      <c r="G10960" s="168">
        <f>SUM(C10960,C10936,C10912,C10888,C10864,C10840,C10816,C10792,C10768,C10744,C10720,C10696,C10672,C10648)/POBLA!$B$15*100000</f>
        <v>1730.2731542623601</v>
      </c>
      <c r="H10960" s="256">
        <f t="shared" si="1848"/>
        <v>1.49609375</v>
      </c>
      <c r="I10960" s="297">
        <f t="shared" si="1852"/>
        <v>2588.6508518847027</v>
      </c>
      <c r="J10960" s="422">
        <f t="shared" si="1851"/>
        <v>813.57142857142856</v>
      </c>
      <c r="K10960" s="297">
        <f>J10960/POBLA!$B$15*100000</f>
        <v>122.51530042924456</v>
      </c>
      <c r="L10960" s="200">
        <f t="shared" si="1853"/>
        <v>-1.72562553925798E-2</v>
      </c>
      <c r="M10960" s="401">
        <f>SUM(C10960,C10936,C10912,C10888,C10864,C10840,C10816)/POBLA!$B$15*100000</f>
        <v>857.60710300471192</v>
      </c>
    </row>
    <row r="10961" spans="1:13" x14ac:dyDescent="0.25">
      <c r="A10961" s="367" t="s">
        <v>18</v>
      </c>
      <c r="B10961" s="2">
        <v>44349</v>
      </c>
      <c r="C10961" s="4">
        <v>494</v>
      </c>
      <c r="D10961" s="39">
        <f t="shared" si="1836"/>
        <v>75313</v>
      </c>
      <c r="E10961" s="1">
        <v>8</v>
      </c>
      <c r="F10961" s="39">
        <f t="shared" si="1849"/>
        <v>1648</v>
      </c>
      <c r="G10961" s="168">
        <f>SUM(C10961,C10937,C10913,C10889,C10865,C10841,C10817,C10793,C10769,C10745,C10721,C10697,C10673,C10649)/POBLA!$B$16*100000</f>
        <v>986.47690640842143</v>
      </c>
      <c r="H10961" s="256">
        <f t="shared" si="1848"/>
        <v>1.4223722275795565</v>
      </c>
      <c r="I10961" s="297">
        <f t="shared" si="1852"/>
        <v>1403.137354823936</v>
      </c>
      <c r="J10961" s="422">
        <f t="shared" si="1851"/>
        <v>522.85714285714289</v>
      </c>
      <c r="K10961" s="297">
        <f>J10961/POBLA!$B$16*100000</f>
        <v>69.937152105662435</v>
      </c>
      <c r="L10961" s="200">
        <f t="shared" si="1853"/>
        <v>-1.4804845222072704E-2</v>
      </c>
      <c r="M10961" s="401">
        <f>SUM(C10961,C10937,C10913,C10889,C10865,C10841,C10817)/POBLA!$B$16*100000</f>
        <v>489.56006473963697</v>
      </c>
    </row>
    <row r="10962" spans="1:13" x14ac:dyDescent="0.25">
      <c r="A10962" s="367" t="s">
        <v>34</v>
      </c>
      <c r="B10962" s="2">
        <v>44349</v>
      </c>
      <c r="C10962" s="4">
        <v>720</v>
      </c>
      <c r="D10962" s="39">
        <f t="shared" ref="D10962:D11025" si="1854">C10962+D10938</f>
        <v>46778</v>
      </c>
      <c r="E10962" s="1">
        <v>10</v>
      </c>
      <c r="F10962" s="39">
        <f t="shared" si="1849"/>
        <v>1425</v>
      </c>
      <c r="G10962" s="168">
        <f>SUM(C10962,C10938,C10914,C10890,C10866,C10842,C10818,C10794,C10770,C10746,C10722,C10698,C10674,C10650)/POBLA!$B$17*100000</f>
        <v>497.6842832440675</v>
      </c>
      <c r="H10962" s="256">
        <f t="shared" ref="H10962:H10985" si="1855">SUM(C10962,C10938,C10914,C10890,C10866,C10842,C10818,C10794,C10770,C10746,C10722,C10698,C10674,C10650)/SUM(C10626,C10602,C10578,C10554,C10530,C10506,C10482,C10458,C10434,C10410,C10386,C10362,C10338,C10314)</f>
        <v>1.7451994091580503</v>
      </c>
      <c r="I10962" s="297">
        <f t="shared" si="1852"/>
        <v>868.55831706479432</v>
      </c>
      <c r="J10962" s="422">
        <f t="shared" si="1851"/>
        <v>553.14285714285711</v>
      </c>
      <c r="K10962" s="297">
        <f>J10962/POBLA!$B$17*100000</f>
        <v>38.833475298168771</v>
      </c>
      <c r="L10962" s="200">
        <f t="shared" si="1853"/>
        <v>0.2036058439539945</v>
      </c>
      <c r="M10962" s="401">
        <f>SUM(C10962,C10938,C10914,C10890,C10866,C10842,C10818)/POBLA!$B$17*100000</f>
        <v>271.83432708718146</v>
      </c>
    </row>
    <row r="10963" spans="1:13" x14ac:dyDescent="0.25">
      <c r="A10963" s="367" t="s">
        <v>35</v>
      </c>
      <c r="B10963" s="2">
        <v>44349</v>
      </c>
      <c r="C10963" s="4">
        <v>697</v>
      </c>
      <c r="D10963" s="39">
        <f t="shared" si="1854"/>
        <v>38331</v>
      </c>
      <c r="E10963" s="1">
        <v>11</v>
      </c>
      <c r="F10963" s="39">
        <f t="shared" si="1849"/>
        <v>652</v>
      </c>
      <c r="G10963" s="168">
        <f>SUM(C10963,C10939,C10915,C10891,C10867,C10843,C10819,C10795,C10771,C10747,C10723,C10699,C10675,C10651)/POBLA!$B$18*100000</f>
        <v>915.23865968098505</v>
      </c>
      <c r="H10963" s="256">
        <f t="shared" si="1855"/>
        <v>1.166394779771615</v>
      </c>
      <c r="I10963" s="297">
        <f t="shared" si="1852"/>
        <v>1067.5295948970706</v>
      </c>
      <c r="J10963" s="422">
        <f t="shared" si="1851"/>
        <v>587.14285714285711</v>
      </c>
      <c r="K10963" s="297">
        <f>J10963/POBLA!$B$18*100000</f>
        <v>75.157460365411552</v>
      </c>
      <c r="L10963" s="200">
        <f t="shared" si="1853"/>
        <v>0.35197368421052633</v>
      </c>
      <c r="M10963" s="401">
        <f>SUM(C10963,C10939,C10915,C10891,C10867,C10843,C10819)/POBLA!$B$18*100000</f>
        <v>526.10222255788085</v>
      </c>
    </row>
    <row r="10964" spans="1:13" x14ac:dyDescent="0.25">
      <c r="A10964" s="367" t="s">
        <v>36</v>
      </c>
      <c r="B10964" s="2">
        <v>44349</v>
      </c>
      <c r="C10964" s="4">
        <v>509</v>
      </c>
      <c r="D10964" s="39">
        <f t="shared" si="1854"/>
        <v>54008</v>
      </c>
      <c r="E10964" s="1">
        <v>23</v>
      </c>
      <c r="F10964" s="39">
        <f t="shared" si="1849"/>
        <v>731</v>
      </c>
      <c r="G10964" s="168">
        <f>SUM(C10964,C10940,C10916,C10892,C10868,C10844,C10820,C10796,C10772,C10748,C10724,C10700,C10676,C10652)/POBLA!$B$19*100000</f>
        <v>1594.6396814655106</v>
      </c>
      <c r="H10964" s="256">
        <f t="shared" si="1855"/>
        <v>1.2876886417791897</v>
      </c>
      <c r="I10964" s="297">
        <f t="shared" si="1852"/>
        <v>2053.3994055535231</v>
      </c>
      <c r="J10964" s="422">
        <f t="shared" si="1851"/>
        <v>521.71428571428567</v>
      </c>
      <c r="K10964" s="297">
        <f>J10964/POBLA!$B$19*100000</f>
        <v>102.63339531056438</v>
      </c>
      <c r="L10964" s="200">
        <f t="shared" si="1853"/>
        <v>-0.18006286484059275</v>
      </c>
      <c r="M10964" s="401">
        <f>SUM(C10964,C10940,C10916,C10892,C10868,C10844,C10820)/POBLA!$B$19*100000</f>
        <v>718.43376717395063</v>
      </c>
    </row>
    <row r="10965" spans="1:13" x14ac:dyDescent="0.25">
      <c r="A10965" s="367" t="s">
        <v>37</v>
      </c>
      <c r="B10965" s="2">
        <v>44349</v>
      </c>
      <c r="C10965" s="4">
        <v>234</v>
      </c>
      <c r="D10965" s="39">
        <f t="shared" si="1854"/>
        <v>52006</v>
      </c>
      <c r="F10965" s="39">
        <f t="shared" si="1849"/>
        <v>792</v>
      </c>
      <c r="G10965" s="168">
        <f>SUM(C10965,C10941,C10917,C10893,C10869,C10845,C10821,C10797,C10773,C10749,C10725,C10701,C10677,C10653)/POBLA!$B$20*100000</f>
        <v>825.81802470891296</v>
      </c>
      <c r="H10965" s="256">
        <f t="shared" si="1855"/>
        <v>0.90473337327741166</v>
      </c>
      <c r="I10965" s="297">
        <f t="shared" si="1852"/>
        <v>747.14512720818368</v>
      </c>
      <c r="J10965" s="422">
        <f t="shared" si="1851"/>
        <v>199.28571428571428</v>
      </c>
      <c r="K10965" s="297">
        <f>J10965/POBLA!$B$20*100000</f>
        <v>54.494614213289189</v>
      </c>
      <c r="L10965" s="200">
        <f t="shared" si="1853"/>
        <v>-0.1415384615384615</v>
      </c>
      <c r="M10965" s="401">
        <f>SUM(C10965,C10941,C10917,C10893,C10869,C10845,C10821)/POBLA!$B$20*100000</f>
        <v>381.46229949302432</v>
      </c>
    </row>
    <row r="10966" spans="1:13" x14ac:dyDescent="0.25">
      <c r="A10966" s="367" t="s">
        <v>22</v>
      </c>
      <c r="B10966" s="2">
        <v>44349</v>
      </c>
      <c r="C10966" s="4">
        <v>3665</v>
      </c>
      <c r="D10966" s="39">
        <f t="shared" si="1854"/>
        <v>352064</v>
      </c>
      <c r="E10966" s="1">
        <v>34</v>
      </c>
      <c r="F10966" s="39">
        <f t="shared" si="1849"/>
        <v>5650</v>
      </c>
      <c r="G10966" s="168">
        <f>SUM(C10966,C10942,C10918,C10894,C10870,C10846,C10822,C10798,C10774,C10750,C10726,C10702,C10678,C10654)/POBLA!$B$21*100000</f>
        <v>1160.8073480001517</v>
      </c>
      <c r="H10966" s="256">
        <f t="shared" si="1855"/>
        <v>1.4400827895881569</v>
      </c>
      <c r="I10966" s="297">
        <f t="shared" si="1852"/>
        <v>1671.658683882489</v>
      </c>
      <c r="J10966" s="422">
        <f t="shared" si="1851"/>
        <v>3194.2857142857142</v>
      </c>
      <c r="K10966" s="297">
        <f>J10966/POBLA!$B$21*100000</f>
        <v>90.325456840388057</v>
      </c>
      <c r="L10966" s="200">
        <f t="shared" si="1853"/>
        <v>0.19629768337702647</v>
      </c>
      <c r="M10966" s="401">
        <f>SUM(C10966,C10942,C10918,C10894,C10870,C10846,C10822)/POBLA!$B$21*100000</f>
        <v>632.27819788271643</v>
      </c>
    </row>
    <row r="10967" spans="1:13" x14ac:dyDescent="0.25">
      <c r="A10967" s="367" t="s">
        <v>38</v>
      </c>
      <c r="B10967" s="2">
        <v>44349</v>
      </c>
      <c r="C10967" s="4">
        <v>525</v>
      </c>
      <c r="D10967" s="39">
        <f t="shared" si="1854"/>
        <v>44825</v>
      </c>
      <c r="E10967" s="1">
        <v>6</v>
      </c>
      <c r="F10967" s="39">
        <f t="shared" si="1849"/>
        <v>534</v>
      </c>
      <c r="G10967" s="168">
        <f>SUM(C10967,C10943,C10919,C10895,C10871,C10847,C10823,C10799,C10775,C10751,C10727,C10703,C10679,C10655)/POBLA!$B$22*100000</f>
        <v>816.40538355311639</v>
      </c>
      <c r="H10967" s="256">
        <f t="shared" si="1855"/>
        <v>1.5135493651696039</v>
      </c>
      <c r="I10967" s="297">
        <f t="shared" si="1852"/>
        <v>1235.6698499978663</v>
      </c>
      <c r="J10967" s="422">
        <f t="shared" si="1851"/>
        <v>534.42857142857144</v>
      </c>
      <c r="K10967" s="297">
        <f>J10967/POBLA!$B$22*100000</f>
        <v>54.627565148226736</v>
      </c>
      <c r="L10967" s="200">
        <f t="shared" si="1853"/>
        <v>-0.11893546867640137</v>
      </c>
      <c r="M10967" s="401">
        <f>SUM(C10967,C10943,C10919,C10895,C10871,C10847,C10823)/POBLA!$B$22*100000</f>
        <v>382.39295603758711</v>
      </c>
    </row>
    <row r="10968" spans="1:13" x14ac:dyDescent="0.25">
      <c r="A10968" s="367" t="s">
        <v>39</v>
      </c>
      <c r="B10968" s="2">
        <v>44349</v>
      </c>
      <c r="C10968" s="4">
        <v>75</v>
      </c>
      <c r="D10968" s="39">
        <f t="shared" si="1854"/>
        <v>28603</v>
      </c>
      <c r="F10968" s="39">
        <f t="shared" si="1849"/>
        <v>422</v>
      </c>
      <c r="G10968" s="168">
        <f>SUM(C10968,C10944,C10920,C10896,C10872,C10848,C10824,C10800,C10776,C10752,C10728,C10704,C10680,C10656)/POBLA!$B$23*100000</f>
        <v>475.59803200814343</v>
      </c>
      <c r="H10968" s="256">
        <f t="shared" si="1855"/>
        <v>0.83848454636091729</v>
      </c>
      <c r="I10968" s="297">
        <f t="shared" si="1852"/>
        <v>398.78160011849315</v>
      </c>
      <c r="J10968" s="422">
        <f t="shared" si="1851"/>
        <v>54.857142857142854</v>
      </c>
      <c r="K10968" s="297">
        <f>J10968/POBLA!$B$23*100000</f>
        <v>31.022531729425356</v>
      </c>
      <c r="L10968" s="200">
        <f t="shared" si="1853"/>
        <v>-0.15973741794310725</v>
      </c>
      <c r="M10968" s="401">
        <f>SUM(C10968,C10944,C10920,C10896,C10872,C10848,C10824)/POBLA!$B$23*100000</f>
        <v>217.15772210597751</v>
      </c>
    </row>
    <row r="10969" spans="1:13" ht="15.75" thickBot="1" x14ac:dyDescent="0.3">
      <c r="A10969" s="369" t="s">
        <v>40</v>
      </c>
      <c r="B10969" s="266">
        <v>44349</v>
      </c>
      <c r="C10969" s="357">
        <v>1009</v>
      </c>
      <c r="D10969" s="176">
        <f t="shared" si="1854"/>
        <v>132111</v>
      </c>
      <c r="E10969" s="44">
        <v>4</v>
      </c>
      <c r="F10969" s="176">
        <f t="shared" si="1849"/>
        <v>1914</v>
      </c>
      <c r="G10969" s="177">
        <f>SUM(C10969,C10945,C10921,C10897,C10873,C10849,C10825,C10801,C10777,C10753,C10729,C10705,C10681,C10657)/POBLA!$B$24*100000</f>
        <v>841.8817742361872</v>
      </c>
      <c r="H10969" s="402">
        <f t="shared" si="1855"/>
        <v>1.5679745026926035</v>
      </c>
      <c r="I10969" s="403">
        <f t="shared" si="1852"/>
        <v>1320.0491562839522</v>
      </c>
      <c r="J10969" s="423">
        <f t="shared" si="1851"/>
        <v>1135.8571428571429</v>
      </c>
      <c r="K10969" s="403">
        <f>J10969/POBLA!$B$24*100000</f>
        <v>67.025823698564366</v>
      </c>
      <c r="L10969" s="404">
        <f t="shared" si="1853"/>
        <v>0.25886637112096267</v>
      </c>
      <c r="M10969" s="405">
        <f>SUM(C10969,C10945,C10921,C10897,C10873,C10849,C10825)/POBLA!$B$24*100000</f>
        <v>469.18076588995052</v>
      </c>
    </row>
    <row r="10970" spans="1:13" x14ac:dyDescent="0.25">
      <c r="A10970" s="363" t="s">
        <v>16</v>
      </c>
      <c r="B10970" s="265">
        <v>44350</v>
      </c>
      <c r="C10970" s="43">
        <v>11362</v>
      </c>
      <c r="D10970" s="174">
        <f t="shared" si="1854"/>
        <v>1647205</v>
      </c>
      <c r="E10970" s="43">
        <v>226</v>
      </c>
      <c r="F10970" s="174">
        <f t="shared" ref="F10970:F10993" si="1856">E10970+F10946</f>
        <v>40994</v>
      </c>
      <c r="G10970" s="175">
        <f>SUM(C10970,C10946,C10922,C10898,C10874,C10850,C10826,C10802,C10778,C10754,C10730,C10706,C10682,C10658)/POBLA!$B$1*100000</f>
        <v>886.3220471233883</v>
      </c>
      <c r="H10970" s="300">
        <f t="shared" si="1855"/>
        <v>1.12368637881438</v>
      </c>
      <c r="I10970" s="301">
        <f>G10970*H10970</f>
        <v>995.94801159542851</v>
      </c>
      <c r="J10970" s="421">
        <f>AVERAGE(C10970,C10946,C10922,C10898,C10874,C10850,C10826)</f>
        <v>11340.571428571429</v>
      </c>
      <c r="K10970" s="301">
        <f>J10970/POBLA!$B$1*100000</f>
        <v>64.651275698493208</v>
      </c>
      <c r="L10970" s="399">
        <f t="shared" si="1853"/>
        <v>4.3331975238871223E-2</v>
      </c>
      <c r="M10970" s="400">
        <f>SUM(C10970,C10946,C10922,C10898,C10874,C10850,C10826)/POBLA!$B$1*100000</f>
        <v>452.55892988945249</v>
      </c>
    </row>
    <row r="10971" spans="1:13" x14ac:dyDescent="0.25">
      <c r="A10971" s="367" t="s">
        <v>43</v>
      </c>
      <c r="B10971" s="267">
        <v>44350</v>
      </c>
      <c r="C10971" s="1">
        <v>1933</v>
      </c>
      <c r="D10971" s="39">
        <f t="shared" si="1854"/>
        <v>424840</v>
      </c>
      <c r="E10971" s="1">
        <v>41</v>
      </c>
      <c r="F10971" s="39">
        <f t="shared" si="1856"/>
        <v>9291</v>
      </c>
      <c r="G10971" s="168">
        <f>SUM(C10971,C10947,C10923,C10899,C10875,C10851,C10827,C10803,C10779,C10755,C10731,C10707,C10683,C10659)/POBLA!$B$2*100000</f>
        <v>1128.7384829073308</v>
      </c>
      <c r="H10971" s="256">
        <f t="shared" si="1855"/>
        <v>1.0224421275843789</v>
      </c>
      <c r="I10971" s="297">
        <f t="shared" ref="I10971:I10977" si="1857">G10971*H10971</f>
        <v>1154.0697759501354</v>
      </c>
      <c r="J10971" s="422">
        <f t="shared" ref="J10971:J10993" si="1858">AVERAGE(C10971,C10947,C10923,C10899,C10875,C10851,C10827)</f>
        <v>2257.8571428571427</v>
      </c>
      <c r="K10971" s="297">
        <f>J10971/POBLA!$B$2*100000</f>
        <v>73.41082630631557</v>
      </c>
      <c r="L10971" s="200">
        <f t="shared" si="1853"/>
        <v>-0.16424303315530642</v>
      </c>
      <c r="M10971" s="401">
        <f>SUM(C10971,C10947,C10923,C10899,C10875,C10851,C10827)/POBLA!$B$2*100000</f>
        <v>513.87578414420909</v>
      </c>
    </row>
    <row r="10972" spans="1:13" x14ac:dyDescent="0.25">
      <c r="A10972" s="367" t="s">
        <v>28</v>
      </c>
      <c r="B10972" s="267">
        <v>44350</v>
      </c>
      <c r="C10972" s="1">
        <v>391</v>
      </c>
      <c r="D10972" s="39">
        <f t="shared" si="1854"/>
        <v>24980</v>
      </c>
      <c r="E10972" s="1">
        <v>10</v>
      </c>
      <c r="F10972" s="39">
        <f t="shared" si="1856"/>
        <v>188</v>
      </c>
      <c r="G10972" s="168">
        <f>SUM(C10972,C10948,C10924,C10900,C10876,C10852,C10828,C10804,C10780,C10756,C10732,C10708,C10684,C10660)/POBLA!$B$3*100000</f>
        <v>1373.7308575527516</v>
      </c>
      <c r="H10972" s="256">
        <f t="shared" si="1855"/>
        <v>1.595917225950783</v>
      </c>
      <c r="I10972" s="297">
        <f t="shared" si="1857"/>
        <v>2192.3607393885777</v>
      </c>
      <c r="J10972" s="422">
        <f t="shared" si="1858"/>
        <v>397</v>
      </c>
      <c r="K10972" s="297">
        <f>J10972/POBLA!$B$3*100000</f>
        <v>95.561792614060337</v>
      </c>
      <c r="L10972" s="200">
        <f t="shared" si="1853"/>
        <v>-5.0887978142076462E-2</v>
      </c>
      <c r="M10972" s="401">
        <f>SUM(C10972,C10948,C10924,C10900,C10876,C10852,C10828)/POBLA!$B$3*100000</f>
        <v>668.93254829842238</v>
      </c>
    </row>
    <row r="10973" spans="1:13" x14ac:dyDescent="0.25">
      <c r="A10973" s="367" t="s">
        <v>15</v>
      </c>
      <c r="B10973" s="267">
        <v>44350</v>
      </c>
      <c r="C10973" s="1">
        <v>833</v>
      </c>
      <c r="D10973" s="39">
        <f t="shared" si="1854"/>
        <v>60633</v>
      </c>
      <c r="E10973" s="1">
        <v>16</v>
      </c>
      <c r="F10973" s="39">
        <f t="shared" si="1856"/>
        <v>1270</v>
      </c>
      <c r="G10973" s="168">
        <f>SUM(C10973,C10949,C10925,C10901,C10877,C10853,C10829,C10805,C10781,C10757,C10733,C10709,C10685,C10661)/POBLA!$B$4*100000</f>
        <v>747.08955527458181</v>
      </c>
      <c r="H10973" s="256">
        <f t="shared" si="1855"/>
        <v>1.6829998129792407</v>
      </c>
      <c r="I10973" s="297">
        <f t="shared" si="1857"/>
        <v>1257.3515818058654</v>
      </c>
      <c r="J10973" s="422">
        <f t="shared" si="1858"/>
        <v>669.28571428571433</v>
      </c>
      <c r="K10973" s="297">
        <f>J10973/POBLA!$B$4*100000</f>
        <v>55.563547798349269</v>
      </c>
      <c r="L10973" s="200">
        <f t="shared" si="1853"/>
        <v>8.5999072786277164E-2</v>
      </c>
      <c r="M10973" s="401">
        <f>SUM(C10973,C10949,C10925,C10901,C10877,C10853,C10829)/POBLA!$B$4*100000</f>
        <v>388.94483458844491</v>
      </c>
    </row>
    <row r="10974" spans="1:13" x14ac:dyDescent="0.25">
      <c r="A10974" s="367" t="s">
        <v>29</v>
      </c>
      <c r="B10974" s="267">
        <v>44350</v>
      </c>
      <c r="C10974" s="1">
        <v>491</v>
      </c>
      <c r="D10974" s="39">
        <f t="shared" si="1854"/>
        <v>64272</v>
      </c>
      <c r="E10974" s="1">
        <v>9</v>
      </c>
      <c r="F10974" s="39">
        <f t="shared" si="1856"/>
        <v>1066</v>
      </c>
      <c r="G10974" s="168">
        <f>SUM(C10974,C10950,C10926,C10902,C10878,C10854,C10830,C10806,C10782,C10758,C10734,C10710,C10686,C10662)/POBLA!$B$5*100000</f>
        <v>822.94820305204905</v>
      </c>
      <c r="H10974" s="256">
        <f t="shared" si="1855"/>
        <v>1.5278944211157768</v>
      </c>
      <c r="I10974" s="297">
        <f t="shared" si="1857"/>
        <v>1257.3779683104792</v>
      </c>
      <c r="J10974" s="422">
        <f t="shared" si="1858"/>
        <v>407.28571428571428</v>
      </c>
      <c r="K10974" s="297">
        <f>J10974/POBLA!$B$5*100000</f>
        <v>65.798006811974631</v>
      </c>
      <c r="L10974" s="200">
        <f t="shared" si="1853"/>
        <v>0.27106553722692817</v>
      </c>
      <c r="M10974" s="401">
        <f>SUM(C10974,C10950,C10926,C10902,C10878,C10854,C10830)/POBLA!$B$5*100000</f>
        <v>460.58604768382247</v>
      </c>
    </row>
    <row r="10975" spans="1:13" x14ac:dyDescent="0.25">
      <c r="A10975" s="367" t="s">
        <v>30</v>
      </c>
      <c r="B10975" s="267">
        <v>44350</v>
      </c>
      <c r="C10975" s="1">
        <v>591</v>
      </c>
      <c r="D10975" s="39">
        <f t="shared" si="1854"/>
        <v>52822</v>
      </c>
      <c r="E10975" s="1">
        <v>2</v>
      </c>
      <c r="F10975" s="39">
        <f t="shared" si="1856"/>
        <v>637</v>
      </c>
      <c r="G10975" s="168">
        <f>SUM(C10975,C10951,C10927,C10903,C10879,C10855,C10831,C10807,C10783,C10759,C10735,C10711,C10687,C10663)/POBLA!$B$6*100000</f>
        <v>951.55161353353537</v>
      </c>
      <c r="H10975" s="256">
        <f t="shared" si="1855"/>
        <v>2.9832167832167831</v>
      </c>
      <c r="I10975" s="297">
        <f t="shared" si="1857"/>
        <v>2838.6847435902528</v>
      </c>
      <c r="J10975" s="422">
        <f t="shared" si="1858"/>
        <v>509.85714285714283</v>
      </c>
      <c r="K10975" s="297">
        <f>J10975/POBLA!$B$6*100000</f>
        <v>45.490425406217774</v>
      </c>
      <c r="L10975" s="200">
        <f t="shared" si="1853"/>
        <v>-0.4970405862457723</v>
      </c>
      <c r="M10975" s="401">
        <f>SUM(C10975,C10951,C10927,C10903,C10879,C10855,C10831)/POBLA!$B$6*100000</f>
        <v>318.43297784352444</v>
      </c>
    </row>
    <row r="10976" spans="1:13" x14ac:dyDescent="0.25">
      <c r="A10976" s="367" t="s">
        <v>20</v>
      </c>
      <c r="B10976" s="267">
        <v>44350</v>
      </c>
      <c r="C10976" s="1">
        <v>5145</v>
      </c>
      <c r="D10976" s="39">
        <f t="shared" si="1854"/>
        <v>327171</v>
      </c>
      <c r="E10976" s="1">
        <v>48</v>
      </c>
      <c r="F10976" s="39">
        <f t="shared" si="1856"/>
        <v>4032</v>
      </c>
      <c r="G10976" s="168">
        <f>SUM(C10976,C10952,C10928,C10904,C10880,C10856,C10832,C10808,C10784,C10760,C10736,C10712,C10688,C10664)/POBLA!$B$7*100000</f>
        <v>1496.6825778829661</v>
      </c>
      <c r="H10976" s="256">
        <f t="shared" si="1855"/>
        <v>1.6246752496968997</v>
      </c>
      <c r="I10976" s="297">
        <f t="shared" si="1857"/>
        <v>2431.6231409390075</v>
      </c>
      <c r="J10976" s="422">
        <f t="shared" si="1858"/>
        <v>4334.5714285714284</v>
      </c>
      <c r="K10976" s="297">
        <f>J10976/POBLA!$B$7*100000</f>
        <v>115.26735971948646</v>
      </c>
      <c r="L10976" s="200">
        <f t="shared" si="1853"/>
        <v>0.16969930609097927</v>
      </c>
      <c r="M10976" s="401">
        <f>SUM(C10976,C10952,C10928,C10904,C10880,C10856,C10832)/POBLA!$B$7*100000</f>
        <v>806.87151803640529</v>
      </c>
    </row>
    <row r="10977" spans="1:13" x14ac:dyDescent="0.25">
      <c r="A10977" s="367" t="s">
        <v>31</v>
      </c>
      <c r="B10977" s="267">
        <v>44350</v>
      </c>
      <c r="C10977" s="1">
        <v>1054</v>
      </c>
      <c r="D10977" s="39">
        <f t="shared" si="1854"/>
        <v>89320</v>
      </c>
      <c r="E10977" s="1">
        <v>10</v>
      </c>
      <c r="F10977" s="39">
        <f t="shared" si="1856"/>
        <v>1376</v>
      </c>
      <c r="G10977" s="168">
        <f>SUM(C10977,C10953,C10929,C10905,C10881,C10857,C10833,C10809,C10785,C10761,C10737,C10713,C10689,C10665)/POBLA!$B$8*100000</f>
        <v>985.30911042951436</v>
      </c>
      <c r="H10977" s="256">
        <f t="shared" si="1855"/>
        <v>1.4129332643559234</v>
      </c>
      <c r="I10977" s="297">
        <f t="shared" si="1857"/>
        <v>1392.1760177988047</v>
      </c>
      <c r="J10977" s="422">
        <f t="shared" si="1858"/>
        <v>1092.1428571428571</v>
      </c>
      <c r="K10977" s="297">
        <f>J10977/POBLA!$B$8*100000</f>
        <v>78.800403268407777</v>
      </c>
      <c r="L10977" s="200">
        <f t="shared" si="1853"/>
        <v>0.27183496922309103</v>
      </c>
      <c r="M10977" s="401">
        <f>SUM(C10977,C10953,C10929,C10905,C10881,C10857,C10833)/POBLA!$B$8*100000</f>
        <v>551.60282287885445</v>
      </c>
    </row>
    <row r="10978" spans="1:13" x14ac:dyDescent="0.25">
      <c r="A10978" s="367" t="s">
        <v>41</v>
      </c>
      <c r="B10978" s="267">
        <v>44350</v>
      </c>
      <c r="C10978" s="1">
        <v>898</v>
      </c>
      <c r="D10978" s="39">
        <f t="shared" si="1854"/>
        <v>33480</v>
      </c>
      <c r="E10978" s="1">
        <v>10</v>
      </c>
      <c r="F10978" s="39">
        <f t="shared" si="1856"/>
        <v>526</v>
      </c>
      <c r="G10978" s="168">
        <f>SUM(C10978,C10954,C10930,C10906,C10882,C10858,C10834,C10810,C10786,C10762,C10738,C10714,C10690,C10666)/POBLA!$B$9*100000</f>
        <v>2206.8992866738377</v>
      </c>
      <c r="H10978" s="256">
        <f t="shared" si="1855"/>
        <v>0.9094994892747702</v>
      </c>
      <c r="I10978" s="297">
        <f>G10978*H10978</f>
        <v>2007.1737741107099</v>
      </c>
      <c r="J10978" s="422">
        <f t="shared" si="1858"/>
        <v>976.28571428571433</v>
      </c>
      <c r="K10978" s="297">
        <f>J10978/POBLA!$B$9*100000</f>
        <v>161.31807775134783</v>
      </c>
      <c r="L10978" s="200">
        <f>(SUM(C10978,C10954,C10930,C10906,C10882,C10858,C10834)/SUM(C10810,C10786,C10762,C10738,C10714,C10690,C10666))-1</f>
        <v>4.7838086476540864E-2</v>
      </c>
      <c r="M10978" s="401">
        <f>SUM(C10978,C10954,C10930,C10906,C10882,C10858,C10834)/POBLA!$B$9*100000</f>
        <v>1129.2265442594346</v>
      </c>
    </row>
    <row r="10979" spans="1:13" x14ac:dyDescent="0.25">
      <c r="A10979" s="367" t="s">
        <v>32</v>
      </c>
      <c r="B10979" s="267">
        <v>44350</v>
      </c>
      <c r="C10979" s="1">
        <v>239</v>
      </c>
      <c r="D10979" s="39">
        <f t="shared" si="1854"/>
        <v>29134</v>
      </c>
      <c r="F10979" s="39">
        <f t="shared" si="1856"/>
        <v>1092</v>
      </c>
      <c r="G10979" s="168">
        <f>SUM(C10979,C10955,C10931,C10907,C10883,C10859,C10835,C10811,C10787,C10763,C10739,C10715,C10691,C10667)/POBLA!$B$10*100000</f>
        <v>306.92156117481164</v>
      </c>
      <c r="H10979" s="256">
        <f t="shared" si="1855"/>
        <v>1.7058399423215573</v>
      </c>
      <c r="I10979" s="297">
        <f t="shared" ref="I10979:I10993" si="1859">G10979*H10979</f>
        <v>523.55905821168301</v>
      </c>
      <c r="J10979" s="422">
        <f t="shared" si="1858"/>
        <v>201.71428571428572</v>
      </c>
      <c r="K10979" s="297">
        <f>J10979/POBLA!$B$10*100000</f>
        <v>26.166721674848091</v>
      </c>
      <c r="L10979" s="200">
        <f t="shared" ref="L10979:L11001" si="1860">(SUM(C10979,C10955,C10931,C10907,C10883,C10859,C10835)/SUM(C10811,C10787,C10763,C10739,C10715,C10691,C10667))-1</f>
        <v>0.48008385744234805</v>
      </c>
      <c r="M10979" s="401">
        <f>SUM(C10979,C10955,C10931,C10907,C10883,C10859,C10835)/POBLA!$B$10*100000</f>
        <v>183.16705172393665</v>
      </c>
    </row>
    <row r="10980" spans="1:13" x14ac:dyDescent="0.25">
      <c r="A10980" s="367" t="s">
        <v>33</v>
      </c>
      <c r="B10980" s="267">
        <v>44350</v>
      </c>
      <c r="C10980" s="1">
        <v>436</v>
      </c>
      <c r="D10980" s="39">
        <f t="shared" si="1854"/>
        <v>44221</v>
      </c>
      <c r="E10980" s="1">
        <v>4</v>
      </c>
      <c r="F10980" s="39">
        <f t="shared" si="1856"/>
        <v>585</v>
      </c>
      <c r="G10980" s="168">
        <f>SUM(C10980,C10956,C10932,C10908,C10884,C10860,C10836,C10812,C10788,C10764,C10740,C10716,C10692,C10668)/POBLA!$B$11*100000</f>
        <v>2185.376142488868</v>
      </c>
      <c r="H10980" s="256">
        <f t="shared" si="1855"/>
        <v>1.065424374319913</v>
      </c>
      <c r="I10980" s="297">
        <f t="shared" si="1859"/>
        <v>2328.3530092648671</v>
      </c>
      <c r="J10980" s="422">
        <f t="shared" si="1858"/>
        <v>436.57142857142856</v>
      </c>
      <c r="K10980" s="297">
        <f>J10980/POBLA!$B$11*100000</f>
        <v>121.80170873130128</v>
      </c>
      <c r="L10980" s="200">
        <f t="shared" si="1860"/>
        <v>-0.36026795059660877</v>
      </c>
      <c r="M10980" s="401">
        <f>SUM(C10980,C10956,C10932,C10908,C10884,C10860,C10836)/POBLA!$B$11*100000</f>
        <v>852.61196111910897</v>
      </c>
    </row>
    <row r="10981" spans="1:13" x14ac:dyDescent="0.25">
      <c r="A10981" s="367" t="s">
        <v>21</v>
      </c>
      <c r="B10981" s="267">
        <v>44350</v>
      </c>
      <c r="C10981" s="1">
        <v>187</v>
      </c>
      <c r="D10981" s="39">
        <f t="shared" si="1854"/>
        <v>17933</v>
      </c>
      <c r="F10981" s="39">
        <f t="shared" si="1856"/>
        <v>534</v>
      </c>
      <c r="G10981" s="168">
        <f>SUM(C10981,C10957,C10933,C10909,C10885,C10861,C10837,C10813,C10789,C10765,C10741,C10717,C10693,C10669)/POBLA!$B$12*100000</f>
        <v>590.04246171203795</v>
      </c>
      <c r="H10981" s="256">
        <f t="shared" si="1855"/>
        <v>1.4404466501240696</v>
      </c>
      <c r="I10981" s="297">
        <f t="shared" si="1859"/>
        <v>849.92468740406468</v>
      </c>
      <c r="J10981" s="422">
        <f t="shared" si="1858"/>
        <v>169.42857142857142</v>
      </c>
      <c r="K10981" s="297">
        <f>J10981/POBLA!$B$12*100000</f>
        <v>43.053424362647775</v>
      </c>
      <c r="L10981" s="200">
        <f t="shared" si="1860"/>
        <v>4.401408450704225E-2</v>
      </c>
      <c r="M10981" s="401">
        <f>SUM(C10981,C10957,C10933,C10909,C10885,C10861,C10837)/POBLA!$B$12*100000</f>
        <v>301.37397053853442</v>
      </c>
    </row>
    <row r="10982" spans="1:13" x14ac:dyDescent="0.25">
      <c r="A10982" s="367" t="s">
        <v>17</v>
      </c>
      <c r="B10982" s="267">
        <v>44350</v>
      </c>
      <c r="C10982" s="1">
        <v>819</v>
      </c>
      <c r="D10982" s="39">
        <f t="shared" si="1854"/>
        <v>123560</v>
      </c>
      <c r="E10982" s="1">
        <v>35</v>
      </c>
      <c r="F10982" s="39">
        <f t="shared" si="1856"/>
        <v>2691</v>
      </c>
      <c r="G10982" s="168">
        <f>SUM(C10982,C10958,C10934,C10910,C10886,C10862,C10838,C10814,C10790,C10766,C10742,C10718,C10694,C10670)/POBLA!$B$13*100000</f>
        <v>550.91145323055684</v>
      </c>
      <c r="H10982" s="256">
        <f t="shared" si="1855"/>
        <v>0.92127373550663749</v>
      </c>
      <c r="I10982" s="297">
        <f t="shared" si="1859"/>
        <v>507.54025245110535</v>
      </c>
      <c r="J10982" s="422">
        <f t="shared" si="1858"/>
        <v>845.57142857142856</v>
      </c>
      <c r="K10982" s="297">
        <f>J10982/POBLA!$B$13*100000</f>
        <v>42.483810718150814</v>
      </c>
      <c r="L10982" s="200">
        <f t="shared" si="1860"/>
        <v>0.17300832342449457</v>
      </c>
      <c r="M10982" s="401">
        <f>SUM(C10982,C10958,C10934,C10910,C10886,C10862,C10838)/POBLA!$B$13*100000</f>
        <v>297.38667502705567</v>
      </c>
    </row>
    <row r="10983" spans="1:13" x14ac:dyDescent="0.25">
      <c r="A10983" s="367" t="s">
        <v>23</v>
      </c>
      <c r="B10983" s="267">
        <v>44350</v>
      </c>
      <c r="C10983" s="1">
        <v>185</v>
      </c>
      <c r="D10983" s="39">
        <f t="shared" si="1854"/>
        <v>20982</v>
      </c>
      <c r="E10983" s="1">
        <v>6</v>
      </c>
      <c r="F10983" s="39">
        <f t="shared" si="1856"/>
        <v>311</v>
      </c>
      <c r="G10983" s="168">
        <f>SUM(C10983,C10959,C10935,C10911,C10887,C10863,C10839,C10815,C10791,C10767,C10743,C10719,C10695,C10671)/POBLA!$B$14*100000</f>
        <v>194.79994355003672</v>
      </c>
      <c r="H10983" s="256">
        <f t="shared" si="1855"/>
        <v>1.1322580645161291</v>
      </c>
      <c r="I10983" s="297">
        <f t="shared" si="1859"/>
        <v>220.56380705181579</v>
      </c>
      <c r="J10983" s="422">
        <f t="shared" si="1858"/>
        <v>188.57142857142858</v>
      </c>
      <c r="K10983" s="297">
        <f>J10983/POBLA!$B$14*100000</f>
        <v>14.950632332464007</v>
      </c>
      <c r="L10983" s="200">
        <f t="shared" si="1860"/>
        <v>0.16094986807387857</v>
      </c>
      <c r="M10983" s="401">
        <f>SUM(C10983,C10959,C10935,C10911,C10887,C10863,C10839)/POBLA!$B$14*100000</f>
        <v>104.65442632724806</v>
      </c>
    </row>
    <row r="10984" spans="1:13" x14ac:dyDescent="0.25">
      <c r="A10984" s="367" t="s">
        <v>19</v>
      </c>
      <c r="B10984" s="267">
        <v>44350</v>
      </c>
      <c r="C10984" s="1">
        <v>588</v>
      </c>
      <c r="D10984" s="39">
        <f t="shared" si="1854"/>
        <v>92715</v>
      </c>
      <c r="E10984" s="1">
        <v>20</v>
      </c>
      <c r="F10984" s="39">
        <f t="shared" si="1856"/>
        <v>1388</v>
      </c>
      <c r="G10984" s="168">
        <f>SUM(C10984,C10960,C10936,C10912,C10888,C10864,C10840,C10816,C10792,C10768,C10744,C10720,C10696,C10672)/POBLA!$B$15*100000</f>
        <v>1704.2211737847806</v>
      </c>
      <c r="H10984" s="256">
        <f t="shared" si="1855"/>
        <v>1.4222696996355411</v>
      </c>
      <c r="I10984" s="297">
        <f t="shared" si="1859"/>
        <v>2423.862136951409</v>
      </c>
      <c r="J10984" s="422">
        <f t="shared" si="1858"/>
        <v>768.57142857142856</v>
      </c>
      <c r="K10984" s="297">
        <f>J10984/POBLA!$B$15*100000</f>
        <v>115.73877371542331</v>
      </c>
      <c r="L10984" s="200">
        <f t="shared" si="1860"/>
        <v>-9.3818426814889722E-2</v>
      </c>
      <c r="M10984" s="401">
        <f>SUM(C10984,C10960,C10936,C10912,C10888,C10864,C10840)/POBLA!$B$15*100000</f>
        <v>810.1714160079631</v>
      </c>
    </row>
    <row r="10985" spans="1:13" x14ac:dyDescent="0.25">
      <c r="A10985" s="367" t="s">
        <v>18</v>
      </c>
      <c r="B10985" s="267">
        <v>44350</v>
      </c>
      <c r="C10985" s="1">
        <v>454</v>
      </c>
      <c r="D10985" s="39">
        <f t="shared" si="1854"/>
        <v>75767</v>
      </c>
      <c r="E10985" s="1">
        <v>21</v>
      </c>
      <c r="F10985" s="39">
        <f t="shared" si="1856"/>
        <v>1669</v>
      </c>
      <c r="G10985" s="168">
        <f>SUM(C10985,C10961,C10937,C10913,C10889,C10865,C10841,C10817,C10793,C10769,C10745,C10721,C10697,C10673)/POBLA!$B$16*100000</f>
        <v>964.27281604044902</v>
      </c>
      <c r="H10985" s="256">
        <f t="shared" si="1855"/>
        <v>1.3249402683330269</v>
      </c>
      <c r="I10985" s="297">
        <f t="shared" si="1859"/>
        <v>1277.603883630876</v>
      </c>
      <c r="J10985" s="422">
        <f t="shared" si="1858"/>
        <v>483.71428571428572</v>
      </c>
      <c r="K10985" s="297">
        <f>J10985/POBLA!$B$16*100000</f>
        <v>64.701419953489875</v>
      </c>
      <c r="L10985" s="200">
        <f t="shared" si="1860"/>
        <v>-0.11430813497253467</v>
      </c>
      <c r="M10985" s="401">
        <f>SUM(C10985,C10961,C10937,C10913,C10889,C10865,C10841)/POBLA!$B$16*100000</f>
        <v>452.90993967442921</v>
      </c>
    </row>
    <row r="10986" spans="1:13" x14ac:dyDescent="0.25">
      <c r="A10986" s="367" t="s">
        <v>34</v>
      </c>
      <c r="B10986" s="267">
        <v>44350</v>
      </c>
      <c r="C10986" s="1">
        <v>642</v>
      </c>
      <c r="D10986" s="39">
        <f t="shared" si="1854"/>
        <v>47420</v>
      </c>
      <c r="E10986" s="1">
        <v>10</v>
      </c>
      <c r="F10986" s="39">
        <f t="shared" si="1856"/>
        <v>1435</v>
      </c>
      <c r="G10986" s="168">
        <f>SUM(C10986,C10962,C10938,C10914,C10890,C10866,C10842,C10818,C10794,C10770,C10746,C10722,C10698,C10674)/POBLA!$B$17*100000</f>
        <v>498.10551412281825</v>
      </c>
      <c r="H10986" s="256">
        <f t="shared" ref="H10986:H11009" si="1861">SUM(C10986,C10962,C10938,C10914,C10890,C10866,C10842,C10818,C10794,C10770,C10746,C10722,C10698,C10674)/SUM(C10650,C10626,C10602,C10578,C10554,C10530,C10506,C10482,C10458,C10434,C10410,C10386,C10362,C10338)</f>
        <v>1.5994138863841298</v>
      </c>
      <c r="I10986" s="297">
        <f t="shared" si="1859"/>
        <v>796.67687617254182</v>
      </c>
      <c r="J10986" s="422">
        <f t="shared" si="1858"/>
        <v>557</v>
      </c>
      <c r="K10986" s="297">
        <f>J10986/POBLA!$B$17*100000</f>
        <v>39.104266577365721</v>
      </c>
      <c r="L10986" s="200">
        <f t="shared" si="1860"/>
        <v>0.21996245306633289</v>
      </c>
      <c r="M10986" s="401">
        <f>SUM(C10986,C10962,C10938,C10914,C10890,C10866,C10842)/POBLA!$B$17*100000</f>
        <v>273.72986604156</v>
      </c>
    </row>
    <row r="10987" spans="1:13" x14ac:dyDescent="0.25">
      <c r="A10987" s="367" t="s">
        <v>35</v>
      </c>
      <c r="B10987" s="267">
        <v>44350</v>
      </c>
      <c r="C10987" s="1">
        <v>534</v>
      </c>
      <c r="D10987" s="39">
        <f t="shared" si="1854"/>
        <v>38865</v>
      </c>
      <c r="E10987" s="1">
        <v>3</v>
      </c>
      <c r="F10987" s="39">
        <f t="shared" si="1856"/>
        <v>655</v>
      </c>
      <c r="G10987" s="168">
        <f>SUM(C10987,C10963,C10939,C10915,C10891,C10867,C10843,C10819,C10795,C10771,C10747,C10723,C10699,C10675)/POBLA!$B$18*100000</f>
        <v>897.18989730126214</v>
      </c>
      <c r="H10987" s="256">
        <f t="shared" si="1861"/>
        <v>1.0996234703482899</v>
      </c>
      <c r="I10987" s="297">
        <f t="shared" si="1859"/>
        <v>986.57106843183965</v>
      </c>
      <c r="J10987" s="422">
        <f t="shared" si="1858"/>
        <v>556.28571428571433</v>
      </c>
      <c r="K10987" s="297">
        <f>J10987/POBLA!$B$18*100000</f>
        <v>71.207579236718402</v>
      </c>
      <c r="L10987" s="200">
        <f t="shared" si="1860"/>
        <v>0.25008025682182988</v>
      </c>
      <c r="M10987" s="401">
        <f>SUM(C10987,C10963,C10939,C10915,C10891,C10867,C10843)/POBLA!$B$18*100000</f>
        <v>498.45305465702876</v>
      </c>
    </row>
    <row r="10988" spans="1:13" x14ac:dyDescent="0.25">
      <c r="A10988" s="367" t="s">
        <v>36</v>
      </c>
      <c r="B10988" s="267">
        <v>44350</v>
      </c>
      <c r="C10988" s="1">
        <v>675</v>
      </c>
      <c r="D10988" s="39">
        <f t="shared" si="1854"/>
        <v>54683</v>
      </c>
      <c r="E10988" s="1">
        <v>19</v>
      </c>
      <c r="F10988" s="39">
        <f t="shared" si="1856"/>
        <v>750</v>
      </c>
      <c r="G10988" s="168">
        <f>SUM(C10988,C10964,C10940,C10916,C10892,C10868,C10844,C10820,C10796,C10772,C10748,C10724,C10700,C10676)/POBLA!$B$19*100000</f>
        <v>1581.2624919343414</v>
      </c>
      <c r="H10988" s="256">
        <f t="shared" si="1861"/>
        <v>1.2070881513740801</v>
      </c>
      <c r="I10988" s="297">
        <f t="shared" si="1859"/>
        <v>1908.7232182261953</v>
      </c>
      <c r="J10988" s="422">
        <f t="shared" si="1858"/>
        <v>546.28571428571433</v>
      </c>
      <c r="K10988" s="297">
        <f>J10988/POBLA!$B$19*100000</f>
        <v>107.46716967896994</v>
      </c>
      <c r="L10988" s="200">
        <f t="shared" si="1860"/>
        <v>-9.2548647365923165E-2</v>
      </c>
      <c r="M10988" s="401">
        <f>SUM(C10988,C10964,C10940,C10916,C10892,C10868,C10844)/POBLA!$B$19*100000</f>
        <v>752.27018775278952</v>
      </c>
    </row>
    <row r="10989" spans="1:13" x14ac:dyDescent="0.25">
      <c r="A10989" s="367" t="s">
        <v>37</v>
      </c>
      <c r="B10989" s="267">
        <v>44350</v>
      </c>
      <c r="C10989" s="1">
        <v>179</v>
      </c>
      <c r="D10989" s="39">
        <f t="shared" si="1854"/>
        <v>52185</v>
      </c>
      <c r="F10989" s="39">
        <f t="shared" si="1856"/>
        <v>792</v>
      </c>
      <c r="G10989" s="168">
        <f>SUM(C10989,C10965,C10941,C10917,C10893,C10869,C10845,C10821,C10797,C10773,C10749,C10725,C10701,C10677)/POBLA!$B$20*100000</f>
        <v>773.58913639123</v>
      </c>
      <c r="H10989" s="256">
        <f t="shared" si="1861"/>
        <v>0.83871924103172246</v>
      </c>
      <c r="I10989" s="297">
        <f t="shared" si="1859"/>
        <v>648.8240933444381</v>
      </c>
      <c r="J10989" s="422">
        <f t="shared" si="1858"/>
        <v>197.14285714285714</v>
      </c>
      <c r="K10989" s="297">
        <f>J10989/POBLA!$B$20*100000</f>
        <v>53.908650619597907</v>
      </c>
      <c r="L10989" s="200">
        <f t="shared" si="1860"/>
        <v>-4.7619047619047672E-2</v>
      </c>
      <c r="M10989" s="401">
        <f>SUM(C10989,C10965,C10941,C10917,C10893,C10869,C10845)/POBLA!$B$20*100000</f>
        <v>377.36055433718531</v>
      </c>
    </row>
    <row r="10990" spans="1:13" x14ac:dyDescent="0.25">
      <c r="A10990" s="367" t="s">
        <v>22</v>
      </c>
      <c r="B10990" s="267">
        <v>44350</v>
      </c>
      <c r="C10990" s="1">
        <v>2961</v>
      </c>
      <c r="D10990" s="39">
        <f t="shared" si="1854"/>
        <v>355025</v>
      </c>
      <c r="E10990" s="1">
        <v>39</v>
      </c>
      <c r="F10990" s="39">
        <f t="shared" si="1856"/>
        <v>5689</v>
      </c>
      <c r="G10990" s="168">
        <f>SUM(C10990,C10966,C10942,C10918,C10894,C10870,C10846,C10822,C10798,C10774,C10750,C10726,C10702,C10678)/POBLA!$B$21*100000</f>
        <v>1161.2032288038347</v>
      </c>
      <c r="H10990" s="256">
        <f t="shared" si="1861"/>
        <v>1.3940659266048816</v>
      </c>
      <c r="I10990" s="297">
        <f t="shared" si="1859"/>
        <v>1618.7938551389982</v>
      </c>
      <c r="J10990" s="422">
        <f t="shared" si="1858"/>
        <v>3111.2857142857142</v>
      </c>
      <c r="K10990" s="297">
        <f>J10990/POBLA!$B$21*100000</f>
        <v>87.978449218551489</v>
      </c>
      <c r="L10990" s="200">
        <f t="shared" si="1860"/>
        <v>0.12926475163330919</v>
      </c>
      <c r="M10990" s="401">
        <f>SUM(C10990,C10966,C10942,C10918,C10894,C10870,C10846)/POBLA!$B$21*100000</f>
        <v>615.8491445298605</v>
      </c>
    </row>
    <row r="10991" spans="1:13" x14ac:dyDescent="0.25">
      <c r="A10991" s="367" t="s">
        <v>38</v>
      </c>
      <c r="B10991" s="267">
        <v>44350</v>
      </c>
      <c r="C10991" s="1">
        <v>684</v>
      </c>
      <c r="D10991" s="39">
        <f t="shared" si="1854"/>
        <v>45509</v>
      </c>
      <c r="E10991" s="1">
        <v>14</v>
      </c>
      <c r="F10991" s="39">
        <f t="shared" si="1856"/>
        <v>548</v>
      </c>
      <c r="G10991" s="168">
        <f>SUM(C10991,C10967,C10943,C10919,C10895,C10871,C10847,C10823,C10799,C10775,C10751,C10727,C10703,C10679)/POBLA!$B$22*100000</f>
        <v>805.57040538150886</v>
      </c>
      <c r="H10991" s="256">
        <f t="shared" si="1861"/>
        <v>1.3773156239077247</v>
      </c>
      <c r="I10991" s="297">
        <f t="shared" si="1859"/>
        <v>1109.5247054896315</v>
      </c>
      <c r="J10991" s="422">
        <f t="shared" si="1858"/>
        <v>549</v>
      </c>
      <c r="K10991" s="297">
        <f>J10991/POBLA!$B$22*100000</f>
        <v>56.117009586911351</v>
      </c>
      <c r="L10991" s="200">
        <f t="shared" si="1860"/>
        <v>-4.8291233283803914E-2</v>
      </c>
      <c r="M10991" s="401">
        <f>SUM(C10991,C10967,C10943,C10919,C10895,C10871,C10847)/POBLA!$B$22*100000</f>
        <v>392.81906710837944</v>
      </c>
    </row>
    <row r="10992" spans="1:13" x14ac:dyDescent="0.25">
      <c r="A10992" s="367" t="s">
        <v>39</v>
      </c>
      <c r="B10992" s="267">
        <v>44350</v>
      </c>
      <c r="C10992" s="1">
        <v>108</v>
      </c>
      <c r="D10992" s="39">
        <f t="shared" si="1854"/>
        <v>28711</v>
      </c>
      <c r="E10992" s="1">
        <v>1</v>
      </c>
      <c r="F10992" s="39">
        <f t="shared" si="1856"/>
        <v>423</v>
      </c>
      <c r="G10992" s="168">
        <f>SUM(C10992,C10968,C10944,C10920,C10896,C10872,C10848,C10824,C10800,C10776,C10752,C10728,C10704,C10680)/POBLA!$B$23*100000</f>
        <v>485.77730023186109</v>
      </c>
      <c r="H10992" s="256">
        <f t="shared" si="1861"/>
        <v>0.854726368159204</v>
      </c>
      <c r="I10992" s="297">
        <f t="shared" si="1859"/>
        <v>415.20666756136188</v>
      </c>
      <c r="J10992" s="422">
        <f t="shared" si="1858"/>
        <v>59</v>
      </c>
      <c r="K10992" s="297">
        <f>J10992/POBLA!$B$23*100000</f>
        <v>33.365379177741332</v>
      </c>
      <c r="L10992" s="200">
        <f t="shared" si="1860"/>
        <v>-7.3991031390134521E-2</v>
      </c>
      <c r="M10992" s="401">
        <f>SUM(C10992,C10968,C10944,C10920,C10896,C10872,C10848)/POBLA!$B$23*100000</f>
        <v>233.55765424418934</v>
      </c>
    </row>
    <row r="10993" spans="1:13" ht="15.75" thickBot="1" x14ac:dyDescent="0.3">
      <c r="A10993" s="369" t="s">
        <v>40</v>
      </c>
      <c r="B10993" s="269">
        <v>44350</v>
      </c>
      <c r="C10993" s="44">
        <v>902</v>
      </c>
      <c r="D10993" s="176">
        <f t="shared" si="1854"/>
        <v>133013</v>
      </c>
      <c r="E10993" s="44">
        <v>9</v>
      </c>
      <c r="F10993" s="176">
        <f t="shared" si="1856"/>
        <v>1923</v>
      </c>
      <c r="G10993" s="177">
        <f>SUM(C10993,C10969,C10945,C10921,C10897,C10873,C10849,C10825,C10801,C10777,C10753,C10729,C10705,C10681)/POBLA!$B$24*100000</f>
        <v>838.63627780505294</v>
      </c>
      <c r="H10993" s="402">
        <f t="shared" si="1861"/>
        <v>1.4993142736575589</v>
      </c>
      <c r="I10993" s="403">
        <f t="shared" si="1859"/>
        <v>1257.3793417201616</v>
      </c>
      <c r="J10993" s="423">
        <f t="shared" si="1858"/>
        <v>949.57142857142856</v>
      </c>
      <c r="K10993" s="403">
        <f>J10993/POBLA!$B$24*100000</f>
        <v>56.033285137008846</v>
      </c>
      <c r="L10993" s="404">
        <f t="shared" si="1860"/>
        <v>-0.12134831460674156</v>
      </c>
      <c r="M10993" s="405">
        <f>SUM(C10993,C10969,C10945,C10921,C10897,C10873,C10849)/POBLA!$B$24*100000</f>
        <v>392.2329959590619</v>
      </c>
    </row>
    <row r="10994" spans="1:13" x14ac:dyDescent="0.25">
      <c r="A10994" s="363" t="s">
        <v>16</v>
      </c>
      <c r="B10994" s="267">
        <v>44351</v>
      </c>
      <c r="C10994" s="463">
        <v>10412</v>
      </c>
      <c r="D10994" s="174">
        <f t="shared" si="1854"/>
        <v>1657617</v>
      </c>
      <c r="E10994" s="225">
        <v>253</v>
      </c>
      <c r="F10994" s="174">
        <f t="shared" ref="F10994:F11017" si="1862">E10994+F10970</f>
        <v>41247</v>
      </c>
      <c r="G10994" s="175">
        <f>SUM(C10994,C10970,C10946,C10922,C10898,C10874,C10850,C10826,C10802,C10778,C10754,C10730,C10706,C10682)/POBLA!$B$1*100000</f>
        <v>868.66071026964539</v>
      </c>
      <c r="H10994" s="300">
        <f t="shared" si="1861"/>
        <v>1.0724828435685378</v>
      </c>
      <c r="I10994" s="301">
        <f>G10994*H10994</f>
        <v>931.62370864625507</v>
      </c>
      <c r="J10994" s="421">
        <f>AVERAGE(C10994,C10970,C10946,C10922,C10898,C10874,C10850)</f>
        <v>10680.142857142857</v>
      </c>
      <c r="K10994" s="301">
        <f>J10994/POBLA!$B$1*100000</f>
        <v>60.886249401580301</v>
      </c>
      <c r="L10994" s="399">
        <f t="shared" si="1860"/>
        <v>-3.6734010204607537E-2</v>
      </c>
      <c r="M10994" s="400">
        <f>SUM(C10994,C10970,C10946,C10922,C10898,C10874,C10850)/POBLA!$B$1*100000</f>
        <v>426.20374581106211</v>
      </c>
    </row>
    <row r="10995" spans="1:13" x14ac:dyDescent="0.25">
      <c r="A10995" s="367" t="s">
        <v>43</v>
      </c>
      <c r="B10995" s="267">
        <v>44351</v>
      </c>
      <c r="C10995" s="463">
        <v>1951</v>
      </c>
      <c r="D10995" s="39">
        <f t="shared" si="1854"/>
        <v>426791</v>
      </c>
      <c r="E10995" s="1">
        <v>39</v>
      </c>
      <c r="F10995" s="39">
        <f t="shared" si="1862"/>
        <v>9330</v>
      </c>
      <c r="G10995" s="168">
        <f>SUM(C10995,C10971,C10947,C10923,C10899,C10875,C10851,C10827,C10803,C10779,C10755,C10731,C10707,C10683)/POBLA!$B$2*100000</f>
        <v>1096.8427445811383</v>
      </c>
      <c r="H10995" s="256">
        <f t="shared" si="1861"/>
        <v>0.96920159737983735</v>
      </c>
      <c r="I10995" s="297">
        <f t="shared" ref="I10995:I11001" si="1863">G10995*H10995</f>
        <v>1063.0617401225243</v>
      </c>
      <c r="J10995" s="422">
        <f t="shared" ref="J10995:J11017" si="1864">AVERAGE(C10995,C10971,C10947,C10923,C10899,C10875,C10851)</f>
        <v>2104.2857142857142</v>
      </c>
      <c r="K10995" s="297">
        <f>J10995/POBLA!$B$2*100000</f>
        <v>68.417682473396297</v>
      </c>
      <c r="L10995" s="200">
        <f t="shared" si="1860"/>
        <v>-0.22494080505130232</v>
      </c>
      <c r="M10995" s="401">
        <f>SUM(C10995,C10971,C10947,C10923,C10899,C10875,C10851)/POBLA!$B$2*100000</f>
        <v>478.92377731377405</v>
      </c>
    </row>
    <row r="10996" spans="1:13" x14ac:dyDescent="0.25">
      <c r="A10996" s="367" t="s">
        <v>28</v>
      </c>
      <c r="B10996" s="267">
        <v>44351</v>
      </c>
      <c r="C10996" s="463">
        <v>467</v>
      </c>
      <c r="D10996" s="39">
        <f t="shared" si="1854"/>
        <v>25447</v>
      </c>
      <c r="E10996" s="1">
        <v>4</v>
      </c>
      <c r="F10996" s="39">
        <f t="shared" si="1862"/>
        <v>192</v>
      </c>
      <c r="G10996" s="168">
        <f>SUM(C10996,C10972,C10948,C10924,C10900,C10876,C10852,C10828,C10804,C10780,C10756,C10732,C10708,C10684)/POBLA!$B$3*100000</f>
        <v>1350.3820064606512</v>
      </c>
      <c r="H10996" s="256">
        <f t="shared" si="1861"/>
        <v>1.4188163884673748</v>
      </c>
      <c r="I10996" s="297">
        <f t="shared" si="1863"/>
        <v>1915.9441214578283</v>
      </c>
      <c r="J10996" s="422">
        <f t="shared" si="1864"/>
        <v>403.42857142857144</v>
      </c>
      <c r="K10996" s="297">
        <f>J10996/POBLA!$B$3*100000</f>
        <v>97.109212789530915</v>
      </c>
      <c r="L10996" s="200">
        <f t="shared" si="1860"/>
        <v>1.3639626704953445E-2</v>
      </c>
      <c r="M10996" s="401">
        <f>SUM(C10996,C10972,C10948,C10924,C10900,C10876,C10852)/POBLA!$B$3*100000</f>
        <v>679.76448952671637</v>
      </c>
    </row>
    <row r="10997" spans="1:13" x14ac:dyDescent="0.25">
      <c r="A10997" s="367" t="s">
        <v>15</v>
      </c>
      <c r="B10997" s="267">
        <v>44351</v>
      </c>
      <c r="C10997" s="463">
        <v>664</v>
      </c>
      <c r="D10997" s="39">
        <f t="shared" si="1854"/>
        <v>61297</v>
      </c>
      <c r="E10997" s="1">
        <v>21</v>
      </c>
      <c r="F10997" s="39">
        <f t="shared" si="1862"/>
        <v>1291</v>
      </c>
      <c r="G10997" s="168">
        <f>SUM(C10997,C10973,C10949,C10925,C10901,C10877,C10853,C10829,C10805,C10781,C10757,C10733,C10709,C10685)/POBLA!$B$4*100000</f>
        <v>752.31976329572842</v>
      </c>
      <c r="H10997" s="256">
        <f t="shared" si="1861"/>
        <v>1.6196604110813226</v>
      </c>
      <c r="I10997" s="297">
        <f t="shared" si="1863"/>
        <v>1218.5025370841629</v>
      </c>
      <c r="J10997" s="422">
        <f t="shared" si="1864"/>
        <v>660.28571428571433</v>
      </c>
      <c r="K10997" s="297">
        <f>J10997/POBLA!$B$4*100000</f>
        <v>54.816375223899747</v>
      </c>
      <c r="L10997" s="200">
        <f t="shared" si="1860"/>
        <v>4.0990990990990905E-2</v>
      </c>
      <c r="M10997" s="401">
        <f>SUM(C10997,C10973,C10949,C10925,C10901,C10877,C10853)/POBLA!$B$4*100000</f>
        <v>383.71462656729824</v>
      </c>
    </row>
    <row r="10998" spans="1:13" x14ac:dyDescent="0.25">
      <c r="A10998" s="367" t="s">
        <v>29</v>
      </c>
      <c r="B10998" s="267">
        <v>44351</v>
      </c>
      <c r="C10998" s="463">
        <v>490</v>
      </c>
      <c r="D10998" s="39">
        <f t="shared" si="1854"/>
        <v>64762</v>
      </c>
      <c r="E10998" s="1">
        <v>6</v>
      </c>
      <c r="F10998" s="39">
        <f t="shared" si="1862"/>
        <v>1072</v>
      </c>
      <c r="G10998" s="168">
        <f>SUM(C10998,C10974,C10950,C10926,C10902,C10878,C10854,C10830,C10806,C10782,C10758,C10734,C10710,C10686)/POBLA!$B$5*100000</f>
        <v>841.52673531568962</v>
      </c>
      <c r="H10998" s="256">
        <f t="shared" si="1861"/>
        <v>1.516448326055313</v>
      </c>
      <c r="I10998" s="297">
        <f t="shared" si="1863"/>
        <v>1276.1318091002699</v>
      </c>
      <c r="J10998" s="422">
        <f t="shared" si="1864"/>
        <v>414.42857142857144</v>
      </c>
      <c r="K10998" s="297">
        <f>J10998/POBLA!$B$5*100000</f>
        <v>66.951952915306364</v>
      </c>
      <c r="L10998" s="200">
        <f t="shared" si="1860"/>
        <v>0.25693240901213166</v>
      </c>
      <c r="M10998" s="401">
        <f>SUM(C10998,C10974,C10950,C10926,C10902,C10878,C10854)/POBLA!$B$5*100000</f>
        <v>468.66367040714454</v>
      </c>
    </row>
    <row r="10999" spans="1:13" x14ac:dyDescent="0.25">
      <c r="A10999" s="367" t="s">
        <v>30</v>
      </c>
      <c r="B10999" s="267">
        <v>44351</v>
      </c>
      <c r="C10999" s="463">
        <v>562</v>
      </c>
      <c r="D10999" s="39">
        <f t="shared" si="1854"/>
        <v>53384</v>
      </c>
      <c r="F10999" s="39">
        <f t="shared" si="1862"/>
        <v>637</v>
      </c>
      <c r="G10999" s="168">
        <f>SUM(C10999,C10975,C10951,C10927,C10903,C10879,C10855,C10831,C10807,C10783,C10759,C10735,C10711,C10687)/POBLA!$B$6*100000</f>
        <v>940.66654116118741</v>
      </c>
      <c r="H10999" s="256">
        <f t="shared" si="1861"/>
        <v>2.5558787878787879</v>
      </c>
      <c r="I10999" s="297">
        <f t="shared" si="1863"/>
        <v>2404.2296590211877</v>
      </c>
      <c r="J10999" s="422">
        <f t="shared" si="1864"/>
        <v>520</v>
      </c>
      <c r="K10999" s="297">
        <f>J10999/POBLA!$B$6*100000</f>
        <v>46.395390439516021</v>
      </c>
      <c r="L10999" s="200">
        <f t="shared" si="1860"/>
        <v>-0.47269303201506596</v>
      </c>
      <c r="M10999" s="401">
        <f>SUM(C10999,C10975,C10951,C10927,C10903,C10879,C10855)/POBLA!$B$6*100000</f>
        <v>324.76773307661216</v>
      </c>
    </row>
    <row r="11000" spans="1:13" x14ac:dyDescent="0.25">
      <c r="A11000" s="367" t="s">
        <v>20</v>
      </c>
      <c r="B11000" s="267">
        <v>44351</v>
      </c>
      <c r="C11000" s="463">
        <v>5357</v>
      </c>
      <c r="D11000" s="39">
        <f t="shared" si="1854"/>
        <v>332528</v>
      </c>
      <c r="E11000" s="1">
        <v>53</v>
      </c>
      <c r="F11000" s="39">
        <f t="shared" si="1862"/>
        <v>4085</v>
      </c>
      <c r="G11000" s="168">
        <f>SUM(C11000,C10976,C10952,C10928,C10904,C10880,C10856,C10832,C10808,C10784,C10760,C10736,C10712,C10688)/POBLA!$B$7*100000</f>
        <v>1563.9883524578177</v>
      </c>
      <c r="H11000" s="256">
        <f t="shared" si="1861"/>
        <v>1.6389299150062699</v>
      </c>
      <c r="I11000" s="297">
        <f t="shared" si="1863"/>
        <v>2563.2672975644873</v>
      </c>
      <c r="J11000" s="422">
        <f t="shared" si="1864"/>
        <v>4435</v>
      </c>
      <c r="K11000" s="297">
        <f>J11000/POBLA!$B$7*100000</f>
        <v>117.93801273783723</v>
      </c>
      <c r="L11000" s="200">
        <f t="shared" si="1860"/>
        <v>0.11801354076634984</v>
      </c>
      <c r="M11000" s="401">
        <f>SUM(C11000,C10976,C10952,C10928,C10904,C10880,C10856)/POBLA!$B$7*100000</f>
        <v>825.5660891648605</v>
      </c>
    </row>
    <row r="11001" spans="1:13" x14ac:dyDescent="0.25">
      <c r="A11001" s="367" t="s">
        <v>31</v>
      </c>
      <c r="B11001" s="267">
        <v>44351</v>
      </c>
      <c r="C11001" s="463">
        <v>1038</v>
      </c>
      <c r="D11001" s="39">
        <f t="shared" si="1854"/>
        <v>90358</v>
      </c>
      <c r="E11001" s="1">
        <v>10</v>
      </c>
      <c r="F11001" s="39">
        <f t="shared" si="1862"/>
        <v>1386</v>
      </c>
      <c r="G11001" s="168">
        <f>SUM(C11001,C10977,C10953,C10929,C10905,C10881,C10857,C10833,C10809,C10785,C10761,C10737,C10713,C10689)/POBLA!$B$8*100000</f>
        <v>986.03063145355463</v>
      </c>
      <c r="H11001" s="256">
        <f t="shared" si="1861"/>
        <v>1.3731913183279743</v>
      </c>
      <c r="I11001" s="297">
        <f t="shared" si="1863"/>
        <v>1354.0087027174716</v>
      </c>
      <c r="J11001" s="422">
        <f t="shared" si="1864"/>
        <v>1029.5714285714287</v>
      </c>
      <c r="K11001" s="297">
        <f>J11001/POBLA!$B$8*100000</f>
        <v>74.285743146555248</v>
      </c>
      <c r="L11001" s="200">
        <f t="shared" si="1860"/>
        <v>0.11580740052639737</v>
      </c>
      <c r="M11001" s="401">
        <f>SUM(C11001,C10977,C10953,C10929,C10905,C10881,C10857)/POBLA!$B$8*100000</f>
        <v>520.00020202588667</v>
      </c>
    </row>
    <row r="11002" spans="1:13" x14ac:dyDescent="0.25">
      <c r="A11002" s="367" t="s">
        <v>41</v>
      </c>
      <c r="B11002" s="267">
        <v>44351</v>
      </c>
      <c r="C11002" s="463">
        <v>713</v>
      </c>
      <c r="D11002" s="39">
        <f t="shared" si="1854"/>
        <v>34193</v>
      </c>
      <c r="E11002" s="1">
        <v>15</v>
      </c>
      <c r="F11002" s="39">
        <f t="shared" si="1862"/>
        <v>541</v>
      </c>
      <c r="G11002" s="168">
        <f>SUM(C11002,C10978,C10954,C10930,C10906,C10882,C10858,C10834,C10810,C10786,C10762,C10738,C10714,C10690)/POBLA!$B$9*100000</f>
        <v>2144.9355825331754</v>
      </c>
      <c r="H11002" s="256">
        <f t="shared" si="1861"/>
        <v>0.84035735094193043</v>
      </c>
      <c r="I11002" s="297">
        <f>G11002*H11002</f>
        <v>1802.5123840786657</v>
      </c>
      <c r="J11002" s="422">
        <f t="shared" si="1864"/>
        <v>906.28571428571433</v>
      </c>
      <c r="K11002" s="297">
        <f>J11002/POBLA!$B$9*100000</f>
        <v>149.75151964509078</v>
      </c>
      <c r="L11002" s="200">
        <f>(SUM(C11002,C10978,C10954,C10930,C10906,C10882,C10858)/SUM(C10834,C10810,C10786,C10762,C10738,C10714,C10690))-1</f>
        <v>-4.4146451710110002E-2</v>
      </c>
      <c r="M11002" s="401">
        <f>SUM(C11002,C10978,C10954,C10930,C10906,C10882,C10858)/POBLA!$B$9*100000</f>
        <v>1048.2606375156356</v>
      </c>
    </row>
    <row r="11003" spans="1:13" x14ac:dyDescent="0.25">
      <c r="A11003" s="367" t="s">
        <v>32</v>
      </c>
      <c r="B11003" s="267">
        <v>44351</v>
      </c>
      <c r="C11003" s="463">
        <v>247</v>
      </c>
      <c r="D11003" s="39">
        <f t="shared" si="1854"/>
        <v>29381</v>
      </c>
      <c r="F11003" s="39">
        <f t="shared" si="1862"/>
        <v>1092</v>
      </c>
      <c r="G11003" s="168">
        <f>SUM(C11003,C10979,C10955,C10931,C10907,C10883,C10859,C10835,C10811,C10787,C10763,C10739,C10715,C10691)/POBLA!$B$10*100000</f>
        <v>320.02345368481002</v>
      </c>
      <c r="H11003" s="256">
        <f t="shared" si="1861"/>
        <v>1.7533759772565742</v>
      </c>
      <c r="I11003" s="297">
        <f t="shared" ref="I11003:I11017" si="1865">G11003*H11003</f>
        <v>561.1214358496278</v>
      </c>
      <c r="J11003" s="422">
        <f t="shared" si="1864"/>
        <v>211</v>
      </c>
      <c r="K11003" s="297">
        <f>J11003/POBLA!$B$10*100000</f>
        <v>27.371280392174668</v>
      </c>
      <c r="L11003" s="200">
        <f t="shared" ref="L11003:L11025" si="1866">(SUM(C11003,C10979,C10955,C10931,C10907,C10883,C10859)/SUM(C10835,C10811,C10787,C10763,C10739,C10715,C10691))-1</f>
        <v>0.49191919191919187</v>
      </c>
      <c r="M11003" s="401">
        <f>SUM(C11003,C10979,C10955,C10931,C10907,C10883,C10859)/POBLA!$B$10*100000</f>
        <v>191.59896274522268</v>
      </c>
    </row>
    <row r="11004" spans="1:13" x14ac:dyDescent="0.25">
      <c r="A11004" s="367" t="s">
        <v>33</v>
      </c>
      <c r="B11004" s="267">
        <v>44351</v>
      </c>
      <c r="C11004" s="463">
        <v>458</v>
      </c>
      <c r="D11004" s="39">
        <f t="shared" si="1854"/>
        <v>44679</v>
      </c>
      <c r="E11004" s="1">
        <v>7</v>
      </c>
      <c r="F11004" s="39">
        <f t="shared" si="1862"/>
        <v>592</v>
      </c>
      <c r="G11004" s="168">
        <f>SUM(C11004,C10980,C10956,C10932,C10908,C10884,C10860,C10836,C10812,C10788,C10764,C10740,C10716,C10692)/POBLA!$B$11*100000</f>
        <v>2073.2197261374668</v>
      </c>
      <c r="H11004" s="256">
        <f t="shared" si="1861"/>
        <v>0.94710680601580421</v>
      </c>
      <c r="I11004" s="297">
        <f t="shared" si="1865"/>
        <v>1963.5605129910164</v>
      </c>
      <c r="J11004" s="422">
        <f t="shared" si="1864"/>
        <v>420.57142857142856</v>
      </c>
      <c r="K11004" s="297">
        <f>J11004/POBLA!$B$11*100000</f>
        <v>117.33777176209129</v>
      </c>
      <c r="L11004" s="200">
        <f t="shared" si="1866"/>
        <v>-0.34388232672164032</v>
      </c>
      <c r="M11004" s="401">
        <f>SUM(C11004,C10980,C10956,C10932,C10908,C10884,C10860)/POBLA!$B$11*100000</f>
        <v>821.36440233463895</v>
      </c>
    </row>
    <row r="11005" spans="1:13" x14ac:dyDescent="0.25">
      <c r="A11005" s="367" t="s">
        <v>21</v>
      </c>
      <c r="B11005" s="267">
        <v>44351</v>
      </c>
      <c r="C11005" s="463">
        <v>219</v>
      </c>
      <c r="D11005" s="39">
        <f t="shared" si="1854"/>
        <v>18152</v>
      </c>
      <c r="E11005" s="1">
        <v>12</v>
      </c>
      <c r="F11005" s="39">
        <f t="shared" si="1862"/>
        <v>546</v>
      </c>
      <c r="G11005" s="168">
        <f>SUM(C11005,C10981,C10957,C10933,C10909,C10885,C10861,C10837,C10813,C10789,C10765,C10741,C10717,C10693)/POBLA!$B$12*100000</f>
        <v>608.33835199768248</v>
      </c>
      <c r="H11005" s="256">
        <f t="shared" si="1861"/>
        <v>1.4301075268817205</v>
      </c>
      <c r="I11005" s="297">
        <f t="shared" si="1865"/>
        <v>869.98925608270724</v>
      </c>
      <c r="J11005" s="422">
        <f t="shared" si="1864"/>
        <v>170.71428571428572</v>
      </c>
      <c r="K11005" s="297">
        <f>J11005/POBLA!$B$12*100000</f>
        <v>43.380136689177142</v>
      </c>
      <c r="L11005" s="200">
        <f t="shared" si="1866"/>
        <v>-3.3361134278565574E-3</v>
      </c>
      <c r="M11005" s="401">
        <f>SUM(C11005,C10981,C10957,C10933,C10909,C10885,C10861)/POBLA!$B$12*100000</f>
        <v>303.66095682424003</v>
      </c>
    </row>
    <row r="11006" spans="1:13" x14ac:dyDescent="0.25">
      <c r="A11006" s="367" t="s">
        <v>17</v>
      </c>
      <c r="B11006" s="267">
        <v>44351</v>
      </c>
      <c r="C11006" s="463">
        <v>733</v>
      </c>
      <c r="D11006" s="39">
        <f t="shared" si="1854"/>
        <v>124293</v>
      </c>
      <c r="E11006" s="1">
        <v>23</v>
      </c>
      <c r="F11006" s="39">
        <f t="shared" si="1862"/>
        <v>2714</v>
      </c>
      <c r="G11006" s="168">
        <f>SUM(C11006,C10982,C10958,C10934,C10910,C10886,C10862,C10838,C10814,C10790,C10766,C10742,C10718,C10694)/POBLA!$B$13*100000</f>
        <v>534.28111205232483</v>
      </c>
      <c r="H11006" s="256">
        <f t="shared" si="1861"/>
        <v>0.88300257410944116</v>
      </c>
      <c r="I11006" s="297">
        <f t="shared" si="1865"/>
        <v>471.77159724025762</v>
      </c>
      <c r="J11006" s="422">
        <f t="shared" si="1864"/>
        <v>789.28571428571433</v>
      </c>
      <c r="K11006" s="297">
        <f>J11006/POBLA!$B$13*100000</f>
        <v>39.655863189353482</v>
      </c>
      <c r="L11006" s="200">
        <f t="shared" si="1866"/>
        <v>8.1424936386768509E-2</v>
      </c>
      <c r="M11006" s="401">
        <f>SUM(C11006,C10982,C10958,C10934,C10910,C10886,C10862)/POBLA!$B$13*100000</f>
        <v>277.59104232547435</v>
      </c>
    </row>
    <row r="11007" spans="1:13" x14ac:dyDescent="0.25">
      <c r="A11007" s="367" t="s">
        <v>23</v>
      </c>
      <c r="B11007" s="267">
        <v>44351</v>
      </c>
      <c r="C11007" s="463">
        <v>168</v>
      </c>
      <c r="D11007" s="39">
        <f t="shared" si="1854"/>
        <v>21150</v>
      </c>
      <c r="E11007" s="1">
        <v>6</v>
      </c>
      <c r="F11007" s="39">
        <f t="shared" si="1862"/>
        <v>317</v>
      </c>
      <c r="G11007" s="168">
        <f>SUM(C11007,C10983,C10959,C10935,C10911,C10887,C10863,C10839,C10815,C10791,C10767,C10743,C10719,C10695)/POBLA!$B$14*100000</f>
        <v>193.21427042386628</v>
      </c>
      <c r="H11007" s="256">
        <f t="shared" si="1861"/>
        <v>1.1425222691045476</v>
      </c>
      <c r="I11007" s="297">
        <f t="shared" si="1865"/>
        <v>220.75160666805539</v>
      </c>
      <c r="J11007" s="422">
        <f t="shared" si="1864"/>
        <v>182</v>
      </c>
      <c r="K11007" s="297">
        <f>J11007/POBLA!$B$14*100000</f>
        <v>14.429625448150867</v>
      </c>
      <c r="L11007" s="200">
        <f t="shared" si="1866"/>
        <v>9.5442820292347408E-2</v>
      </c>
      <c r="M11007" s="401">
        <f>SUM(C11007,C10983,C10959,C10935,C10911,C10887,C10863)/POBLA!$B$14*100000</f>
        <v>101.00737813705607</v>
      </c>
    </row>
    <row r="11008" spans="1:13" x14ac:dyDescent="0.25">
      <c r="A11008" s="367" t="s">
        <v>19</v>
      </c>
      <c r="B11008" s="267">
        <v>44351</v>
      </c>
      <c r="C11008" s="463">
        <v>617</v>
      </c>
      <c r="D11008" s="39">
        <f t="shared" si="1854"/>
        <v>93332</v>
      </c>
      <c r="E11008" s="1">
        <v>4</v>
      </c>
      <c r="F11008" s="39">
        <f t="shared" si="1862"/>
        <v>1392</v>
      </c>
      <c r="G11008" s="168">
        <f>SUM(C11008,C10984,C10960,C10936,C10912,C10888,C10864,C10840,C10816,C10792,C10768,C10744,C10720,C10696)/POBLA!$B$15*100000</f>
        <v>1680.1268565800829</v>
      </c>
      <c r="H11008" s="256">
        <f t="shared" si="1861"/>
        <v>1.373000246123554</v>
      </c>
      <c r="I11008" s="297">
        <f t="shared" si="1865"/>
        <v>2306.8145876032468</v>
      </c>
      <c r="J11008" s="422">
        <f t="shared" si="1864"/>
        <v>715.71428571428567</v>
      </c>
      <c r="K11008" s="297">
        <f>J11008/POBLA!$B$15*100000</f>
        <v>107.77904392458564</v>
      </c>
      <c r="L11008" s="200">
        <f t="shared" si="1866"/>
        <v>-0.18496827720839437</v>
      </c>
      <c r="M11008" s="401">
        <f>SUM(C11008,C10984,C10960,C10936,C10912,C10888,C10864)/POBLA!$B$15*100000</f>
        <v>754.45330747209948</v>
      </c>
    </row>
    <row r="11009" spans="1:13" x14ac:dyDescent="0.25">
      <c r="A11009" s="367" t="s">
        <v>18</v>
      </c>
      <c r="B11009" s="267">
        <v>44351</v>
      </c>
      <c r="C11009" s="463">
        <v>468</v>
      </c>
      <c r="D11009" s="39">
        <f t="shared" si="1854"/>
        <v>76235</v>
      </c>
      <c r="E11009" s="1">
        <v>16</v>
      </c>
      <c r="F11009" s="39">
        <f t="shared" si="1862"/>
        <v>1685</v>
      </c>
      <c r="G11009" s="168">
        <f>SUM(C11009,C10985,C10961,C10937,C10913,C10889,C10865,C10841,C10817,C10793,C10769,C10745,C10721,C10697)/POBLA!$B$16*100000</f>
        <v>931.23419964954985</v>
      </c>
      <c r="H11009" s="256">
        <f t="shared" si="1861"/>
        <v>1.1931448157669238</v>
      </c>
      <c r="I11009" s="297">
        <f t="shared" si="1865"/>
        <v>1111.0972575767209</v>
      </c>
      <c r="J11009" s="422">
        <f t="shared" si="1864"/>
        <v>464.85714285714283</v>
      </c>
      <c r="K11009" s="297">
        <f>J11009/POBLA!$B$16*100000</f>
        <v>62.179096434925007</v>
      </c>
      <c r="L11009" s="200">
        <f t="shared" si="1866"/>
        <v>-0.12243797195253503</v>
      </c>
      <c r="M11009" s="401">
        <f>SUM(C11009,C10985,C10961,C10937,C10913,C10889,C10865)/POBLA!$B$16*100000</f>
        <v>435.25367504447502</v>
      </c>
    </row>
    <row r="11010" spans="1:13" x14ac:dyDescent="0.25">
      <c r="A11010" s="367" t="s">
        <v>34</v>
      </c>
      <c r="B11010" s="267">
        <v>44351</v>
      </c>
      <c r="C11010" s="463">
        <v>652</v>
      </c>
      <c r="D11010" s="39">
        <f t="shared" si="1854"/>
        <v>48072</v>
      </c>
      <c r="E11010" s="1">
        <v>6</v>
      </c>
      <c r="F11010" s="39">
        <f t="shared" si="1862"/>
        <v>1441</v>
      </c>
      <c r="G11010" s="168">
        <f>SUM(C11010,C10986,C10962,C10938,C10914,C10890,C10866,C10842,C10818,C10794,C10770,C10746,C10722,C10698)/POBLA!$B$17*100000</f>
        <v>510.32120960659142</v>
      </c>
      <c r="H11010" s="256">
        <f t="shared" ref="H11010:H11033" si="1867">SUM(C11010,C10986,C10962,C10938,C10914,C10890,C10866,C10842,C10818,C10794,C10770,C10746,C10722,C10698)/SUM(C10674,C10650,C10626,C10602,C10578,C10554,C10530,C10506,C10482,C10458,C10434,C10410,C10386,C10362)</f>
        <v>1.5652454780361758</v>
      </c>
      <c r="I11010" s="297">
        <f t="shared" si="1865"/>
        <v>798.77796568266865</v>
      </c>
      <c r="J11010" s="422">
        <f t="shared" si="1864"/>
        <v>559.28571428571433</v>
      </c>
      <c r="K11010" s="297">
        <f>J11010/POBLA!$B$17*100000</f>
        <v>39.264735483556507</v>
      </c>
      <c r="L11010" s="200">
        <f t="shared" si="1866"/>
        <v>0.16726296958855102</v>
      </c>
      <c r="M11010" s="401">
        <f>SUM(C11010,C10986,C10962,C10938,C10914,C10890,C10866)/POBLA!$B$17*100000</f>
        <v>274.85314838489552</v>
      </c>
    </row>
    <row r="11011" spans="1:13" x14ac:dyDescent="0.25">
      <c r="A11011" s="367" t="s">
        <v>35</v>
      </c>
      <c r="B11011" s="267">
        <v>44351</v>
      </c>
      <c r="C11011" s="463">
        <v>410</v>
      </c>
      <c r="D11011" s="39">
        <f t="shared" si="1854"/>
        <v>39275</v>
      </c>
      <c r="E11011" s="1">
        <v>8</v>
      </c>
      <c r="F11011" s="39">
        <f t="shared" si="1862"/>
        <v>663</v>
      </c>
      <c r="G11011" s="168">
        <f>SUM(C11011,C10987,C10963,C10939,C10915,C10891,C10867,C10843,C10819,C10795,C10771,C10747,C10723,C10699)/POBLA!$B$18*100000</f>
        <v>859.94032387928064</v>
      </c>
      <c r="H11011" s="256">
        <f t="shared" si="1867"/>
        <v>1.0186504927975739</v>
      </c>
      <c r="I11011" s="297">
        <f t="shared" si="1865"/>
        <v>875.97863469613458</v>
      </c>
      <c r="J11011" s="422">
        <f t="shared" si="1864"/>
        <v>483.28571428571428</v>
      </c>
      <c r="K11011" s="297">
        <f>J11011/POBLA!$B$18*100000</f>
        <v>61.863184529485949</v>
      </c>
      <c r="L11011" s="200">
        <f t="shared" si="1866"/>
        <v>1.4392803598200832E-2</v>
      </c>
      <c r="M11011" s="401">
        <f>SUM(C11011,C10987,C10963,C10939,C10915,C10891,C10867)/POBLA!$B$18*100000</f>
        <v>433.04229170640173</v>
      </c>
    </row>
    <row r="11012" spans="1:13" x14ac:dyDescent="0.25">
      <c r="A11012" s="367" t="s">
        <v>36</v>
      </c>
      <c r="B11012" s="267">
        <v>44351</v>
      </c>
      <c r="C11012" s="463">
        <v>559</v>
      </c>
      <c r="D11012" s="39">
        <f t="shared" si="1854"/>
        <v>55242</v>
      </c>
      <c r="E11012" s="1">
        <v>8</v>
      </c>
      <c r="F11012" s="39">
        <f t="shared" si="1862"/>
        <v>758</v>
      </c>
      <c r="G11012" s="168">
        <f>SUM(C11012,C10988,C10964,C10940,C10916,C10892,C10868,C10844,C10820,C10796,C10772,C10748,C10724,C10700)/POBLA!$B$19*100000</f>
        <v>1537.5899025825845</v>
      </c>
      <c r="H11012" s="256">
        <f t="shared" si="1867"/>
        <v>1.1183288024037774</v>
      </c>
      <c r="I11012" s="297">
        <f t="shared" si="1865"/>
        <v>1719.5310743433224</v>
      </c>
      <c r="J11012" s="422">
        <f t="shared" si="1864"/>
        <v>535</v>
      </c>
      <c r="K11012" s="297">
        <f>J11012/POBLA!$B$19*100000</f>
        <v>105.24700587022554</v>
      </c>
      <c r="L11012" s="200">
        <f t="shared" si="1866"/>
        <v>-8.0078604765413952E-2</v>
      </c>
      <c r="M11012" s="401">
        <f>SUM(C11012,C10988,C10964,C10940,C10916,C10892,C10868)/POBLA!$B$19*100000</f>
        <v>736.72904109157867</v>
      </c>
    </row>
    <row r="11013" spans="1:13" x14ac:dyDescent="0.25">
      <c r="A11013" s="367" t="s">
        <v>37</v>
      </c>
      <c r="B11013" s="267">
        <v>44351</v>
      </c>
      <c r="C11013" s="463">
        <v>218</v>
      </c>
      <c r="D11013" s="39">
        <f t="shared" si="1854"/>
        <v>52403</v>
      </c>
      <c r="E11013" s="1">
        <v>4</v>
      </c>
      <c r="F11013" s="39">
        <f t="shared" si="1862"/>
        <v>796</v>
      </c>
      <c r="G11013" s="168">
        <f>SUM(C11013,C10989,C10965,C10941,C10917,C10893,C10869,C10845,C10821,C10797,C10773,C10749,C10725,C10701)/POBLA!$B$20*100000</f>
        <v>747.61141707091645</v>
      </c>
      <c r="H11013" s="256">
        <f t="shared" si="1867"/>
        <v>0.7966200466200466</v>
      </c>
      <c r="I11013" s="297">
        <f t="shared" si="1865"/>
        <v>595.56224192071261</v>
      </c>
      <c r="J11013" s="422">
        <f t="shared" si="1864"/>
        <v>196.85714285714286</v>
      </c>
      <c r="K11013" s="297">
        <f>J11013/POBLA!$B$20*100000</f>
        <v>53.830522140439072</v>
      </c>
      <c r="L11013" s="200">
        <f t="shared" si="1866"/>
        <v>1.6224188790560534E-2</v>
      </c>
      <c r="M11013" s="401">
        <f>SUM(C11013,C10989,C10965,C10941,C10917,C10893,C10869)/POBLA!$B$20*100000</f>
        <v>376.81365498307349</v>
      </c>
    </row>
    <row r="11014" spans="1:13" x14ac:dyDescent="0.25">
      <c r="A11014" s="367" t="s">
        <v>22</v>
      </c>
      <c r="B11014" s="267">
        <v>44351</v>
      </c>
      <c r="C11014" s="463">
        <v>2883</v>
      </c>
      <c r="D11014" s="39">
        <f t="shared" si="1854"/>
        <v>357908</v>
      </c>
      <c r="E11014" s="1">
        <v>25</v>
      </c>
      <c r="F11014" s="39">
        <f t="shared" si="1862"/>
        <v>5714</v>
      </c>
      <c r="G11014" s="168">
        <f>SUM(C11014,C10990,C10966,C10942,C10918,C10894,C10870,C10846,C10822,C10798,C10774,C10750,C10726,C10702)/POBLA!$B$21*100000</f>
        <v>1139.9387742059903</v>
      </c>
      <c r="H11014" s="256">
        <f t="shared" si="1867"/>
        <v>1.2943235086367431</v>
      </c>
      <c r="I11014" s="297">
        <f t="shared" si="1865"/>
        <v>1475.4495538613653</v>
      </c>
      <c r="J11014" s="422">
        <f t="shared" si="1864"/>
        <v>3001.2857142857142</v>
      </c>
      <c r="K11014" s="297">
        <f>J11014/POBLA!$B$21*100000</f>
        <v>84.867957189611474</v>
      </c>
      <c r="L11014" s="200">
        <f t="shared" si="1866"/>
        <v>8.8323663489432214E-2</v>
      </c>
      <c r="M11014" s="401">
        <f>SUM(C11014,C10990,C10966,C10942,C10918,C10894,C10870)/POBLA!$B$21*100000</f>
        <v>594.0757003272804</v>
      </c>
    </row>
    <row r="11015" spans="1:13" x14ac:dyDescent="0.25">
      <c r="A11015" s="367" t="s">
        <v>38</v>
      </c>
      <c r="B11015" s="267">
        <v>44351</v>
      </c>
      <c r="C11015" s="463">
        <v>670</v>
      </c>
      <c r="D11015" s="39">
        <f t="shared" si="1854"/>
        <v>46179</v>
      </c>
      <c r="E11015" s="1">
        <v>14</v>
      </c>
      <c r="F11015" s="39">
        <f t="shared" si="1862"/>
        <v>562</v>
      </c>
      <c r="G11015" s="168">
        <f>SUM(C11015,C10991,C10967,C10943,C10919,C10895,C10871,C10847,C10823,C10799,C10775,C10751,C10727,C10703)/POBLA!$B$22*100000</f>
        <v>808.12582476160503</v>
      </c>
      <c r="H11015" s="256">
        <f t="shared" si="1867"/>
        <v>1.3137254901960784</v>
      </c>
      <c r="I11015" s="297">
        <f t="shared" si="1865"/>
        <v>1061.6554952750498</v>
      </c>
      <c r="J11015" s="422">
        <f t="shared" si="1864"/>
        <v>554.28571428571433</v>
      </c>
      <c r="K11015" s="297">
        <f>J11015/POBLA!$B$22*100000</f>
        <v>56.657298255845959</v>
      </c>
      <c r="L11015" s="200">
        <f t="shared" si="1866"/>
        <v>-3.626428216592148E-2</v>
      </c>
      <c r="M11015" s="401">
        <f>SUM(C11015,C10991,C10967,C10943,C10919,C10895,C10871)/POBLA!$B$22*100000</f>
        <v>396.60108779092172</v>
      </c>
    </row>
    <row r="11016" spans="1:13" x14ac:dyDescent="0.25">
      <c r="A11016" s="367" t="s">
        <v>39</v>
      </c>
      <c r="B11016" s="267">
        <v>44351</v>
      </c>
      <c r="C11016" s="463">
        <v>43</v>
      </c>
      <c r="D11016" s="39">
        <f t="shared" si="1854"/>
        <v>28754</v>
      </c>
      <c r="E11016" s="1">
        <v>2</v>
      </c>
      <c r="F11016" s="39">
        <f t="shared" si="1862"/>
        <v>425</v>
      </c>
      <c r="G11016" s="168">
        <f>SUM(C11016,C10992,C10968,C10944,C10920,C10896,C10872,C10848,C10824,C10800,C10776,C10752,C10728,C10704)/POBLA!$B$23*100000</f>
        <v>461.46015947520215</v>
      </c>
      <c r="H11016" s="256">
        <f t="shared" si="1867"/>
        <v>0.80952380952380953</v>
      </c>
      <c r="I11016" s="297">
        <f t="shared" si="1865"/>
        <v>373.56298624183029</v>
      </c>
      <c r="J11016" s="422">
        <f t="shared" si="1864"/>
        <v>53.714285714285715</v>
      </c>
      <c r="K11016" s="297">
        <f>J11016/POBLA!$B$23*100000</f>
        <v>30.376228985062326</v>
      </c>
      <c r="L11016" s="200">
        <f t="shared" si="1866"/>
        <v>-0.1454545454545455</v>
      </c>
      <c r="M11016" s="401">
        <f>SUM(C11016,C10992,C10968,C10944,C10920,C10896,C10872)/POBLA!$B$23*100000</f>
        <v>212.63360289543633</v>
      </c>
    </row>
    <row r="11017" spans="1:13" ht="15.75" thickBot="1" x14ac:dyDescent="0.3">
      <c r="A11017" s="369" t="s">
        <v>40</v>
      </c>
      <c r="B11017" s="267">
        <v>44351</v>
      </c>
      <c r="C11017" s="463">
        <v>951</v>
      </c>
      <c r="D11017" s="176">
        <f t="shared" si="1854"/>
        <v>133964</v>
      </c>
      <c r="E11017" s="1">
        <v>3</v>
      </c>
      <c r="F11017" s="176">
        <f t="shared" si="1862"/>
        <v>1926</v>
      </c>
      <c r="G11017" s="177">
        <f>SUM(C11017,C10993,C10969,C10945,C10921,C10897,C10873,C10849,C10825,C10801,C10777,C10753,C10729,C10705)/POBLA!$B$24*100000</f>
        <v>816.6259110993617</v>
      </c>
      <c r="H11017" s="402">
        <f t="shared" si="1867"/>
        <v>1.3558342314098168</v>
      </c>
      <c r="I11017" s="403">
        <f t="shared" si="1865"/>
        <v>1107.2093645247444</v>
      </c>
      <c r="J11017" s="423">
        <f t="shared" si="1864"/>
        <v>933.71428571428567</v>
      </c>
      <c r="K11017" s="403">
        <f>J11017/POBLA!$B$24*100000</f>
        <v>55.097570581539003</v>
      </c>
      <c r="L11017" s="404">
        <f t="shared" si="1866"/>
        <v>-0.10502533205531972</v>
      </c>
      <c r="M11017" s="405">
        <f>SUM(C11017,C10993,C10969,C10945,C10921,C10897,C10873)/POBLA!$B$24*100000</f>
        <v>385.68299407077302</v>
      </c>
    </row>
    <row r="11018" spans="1:13" x14ac:dyDescent="0.25">
      <c r="A11018" s="363" t="s">
        <v>16</v>
      </c>
      <c r="B11018" s="267">
        <v>44352</v>
      </c>
      <c r="C11018" s="463">
        <v>7819</v>
      </c>
      <c r="D11018" s="174">
        <f t="shared" si="1854"/>
        <v>1665436</v>
      </c>
      <c r="E11018" s="1">
        <v>254</v>
      </c>
      <c r="F11018" s="174">
        <f t="shared" ref="F11018:F11041" si="1868">E11018+F10994</f>
        <v>41501</v>
      </c>
      <c r="G11018" s="175">
        <f>SUM(C11018,C10994,C10970,C10946,C10922,C10898,C10874,C10850,C10826,C10802,C10778,C10754,C10730,C10706)/POBLA!$B$1*100000</f>
        <v>848.69051562837342</v>
      </c>
      <c r="H11018" s="300">
        <f t="shared" si="1867"/>
        <v>1.0199788974608439</v>
      </c>
      <c r="I11018" s="301">
        <f>G11018*H11018</f>
        <v>865.64641641610342</v>
      </c>
      <c r="J11018" s="421">
        <f>AVERAGE(C11018,C10994,C10970,C10946,C10922,C10898,C10874)</f>
        <v>10231.142857142857</v>
      </c>
      <c r="K11018" s="301">
        <f>J11018/POBLA!$B$1*100000</f>
        <v>58.32655274330704</v>
      </c>
      <c r="L11018" s="399">
        <f t="shared" si="1866"/>
        <v>-7.2930150675710625E-2</v>
      </c>
      <c r="M11018" s="400">
        <f>SUM(C11018,C10994,C10970,C10946,C10922,C10898,C10874)/POBLA!$B$1*100000</f>
        <v>408.28586920314928</v>
      </c>
    </row>
    <row r="11019" spans="1:13" x14ac:dyDescent="0.25">
      <c r="A11019" s="367" t="s">
        <v>43</v>
      </c>
      <c r="B11019" s="267">
        <v>44352</v>
      </c>
      <c r="C11019" s="463">
        <v>1704</v>
      </c>
      <c r="D11019" s="39">
        <f t="shared" si="1854"/>
        <v>428495</v>
      </c>
      <c r="E11019" s="1">
        <v>37</v>
      </c>
      <c r="F11019" s="39">
        <f t="shared" si="1868"/>
        <v>9367</v>
      </c>
      <c r="G11019" s="168">
        <f>SUM(C11019,C10995,C10971,C10947,C10923,C10899,C10875,C10851,C10827,C10803,C10779,C10755,C10731,C10707)/POBLA!$B$2*100000</f>
        <v>1054.2825799848226</v>
      </c>
      <c r="H11019" s="256">
        <f t="shared" si="1867"/>
        <v>0.90661522115976068</v>
      </c>
      <c r="I11019" s="297">
        <f t="shared" ref="I11019:I11025" si="1869">G11019*H11019</f>
        <v>955.82863441782308</v>
      </c>
      <c r="J11019" s="422">
        <f t="shared" ref="J11019:J11041" si="1870">AVERAGE(C11019,C10995,C10971,C10947,C10923,C10899,C10875)</f>
        <v>2024.1428571428571</v>
      </c>
      <c r="K11019" s="297">
        <f>J11019/POBLA!$B$2*100000</f>
        <v>65.811958110356557</v>
      </c>
      <c r="L11019" s="200">
        <f t="shared" si="1866"/>
        <v>-0.22391411513392123</v>
      </c>
      <c r="M11019" s="401">
        <f>SUM(C11019,C10995,C10971,C10947,C10923,C10899,C10875)/POBLA!$B$2*100000</f>
        <v>460.6837067724959</v>
      </c>
    </row>
    <row r="11020" spans="1:13" x14ac:dyDescent="0.25">
      <c r="A11020" s="367" t="s">
        <v>28</v>
      </c>
      <c r="B11020" s="267">
        <v>44352</v>
      </c>
      <c r="C11020" s="463">
        <v>503</v>
      </c>
      <c r="D11020" s="39">
        <f t="shared" si="1854"/>
        <v>25950</v>
      </c>
      <c r="F11020" s="39">
        <f t="shared" si="1868"/>
        <v>192</v>
      </c>
      <c r="G11020" s="168">
        <f>SUM(C11020,C10996,C10972,C10948,C10924,C10900,C10876,C10852,C10828,C10804,C10780,C10756,C10732,C10708)/POBLA!$B$3*100000</f>
        <v>1408.8744890934388</v>
      </c>
      <c r="H11020" s="256">
        <f t="shared" si="1867"/>
        <v>1.4059572423732885</v>
      </c>
      <c r="I11020" s="297">
        <f t="shared" si="1869"/>
        <v>1980.8172915358869</v>
      </c>
      <c r="J11020" s="422">
        <f t="shared" si="1870"/>
        <v>432.71428571428572</v>
      </c>
      <c r="K11020" s="297">
        <f>J11020/POBLA!$B$3*100000</f>
        <v>104.15857136667462</v>
      </c>
      <c r="L11020" s="200">
        <f t="shared" si="1866"/>
        <v>7.2592067988668463E-2</v>
      </c>
      <c r="M11020" s="401">
        <f>SUM(C11020,C10996,C10972,C10948,C10924,C10900,C10876)/POBLA!$B$3*100000</f>
        <v>729.10999956672242</v>
      </c>
    </row>
    <row r="11021" spans="1:13" x14ac:dyDescent="0.25">
      <c r="A11021" s="367" t="s">
        <v>15</v>
      </c>
      <c r="B11021" s="267">
        <v>44352</v>
      </c>
      <c r="C11021" s="463">
        <v>815</v>
      </c>
      <c r="D11021" s="39">
        <f t="shared" si="1854"/>
        <v>62112</v>
      </c>
      <c r="E11021" s="1">
        <v>14</v>
      </c>
      <c r="F11021" s="39">
        <f t="shared" si="1868"/>
        <v>1305</v>
      </c>
      <c r="G11021" s="168">
        <f>SUM(C11021,C10997,C10973,C10949,C10925,C10901,C10877,C10853,C10829,C10805,C10781,C10757,C10733,C10709)/POBLA!$B$4*100000</f>
        <v>763.11225603777712</v>
      </c>
      <c r="H11021" s="256">
        <f t="shared" si="1867"/>
        <v>1.5210987919907331</v>
      </c>
      <c r="I11021" s="297">
        <f t="shared" si="1869"/>
        <v>1160.7691308123858</v>
      </c>
      <c r="J11021" s="422">
        <f t="shared" si="1870"/>
        <v>676.71428571428567</v>
      </c>
      <c r="K11021" s="297">
        <f>J11021/POBLA!$B$4*100000</f>
        <v>56.180261669323471</v>
      </c>
      <c r="L11021" s="200">
        <f t="shared" si="1866"/>
        <v>6.3299663299663189E-2</v>
      </c>
      <c r="M11021" s="401">
        <f>SUM(C11021,C10997,C10973,C10949,C10925,C10901,C10877)/POBLA!$B$4*100000</f>
        <v>393.26183168526438</v>
      </c>
    </row>
    <row r="11022" spans="1:13" x14ac:dyDescent="0.25">
      <c r="A11022" s="367" t="s">
        <v>29</v>
      </c>
      <c r="B11022" s="267">
        <v>44352</v>
      </c>
      <c r="C11022" s="463">
        <v>283</v>
      </c>
      <c r="D11022" s="39">
        <f t="shared" si="1854"/>
        <v>65045</v>
      </c>
      <c r="E11022" s="1">
        <v>6</v>
      </c>
      <c r="F11022" s="39">
        <f t="shared" si="1868"/>
        <v>1078</v>
      </c>
      <c r="G11022" s="168">
        <f>SUM(C11022,C10998,C10974,C10950,C10926,C10902,C10878,C10854,C10830,C10806,C10782,C10758,C10734,C10710)/POBLA!$B$5*100000</f>
        <v>848.7965957666795</v>
      </c>
      <c r="H11022" s="256">
        <f t="shared" si="1867"/>
        <v>1.4816694867456288</v>
      </c>
      <c r="I11022" s="297">
        <f t="shared" si="1869"/>
        <v>1257.636016401053</v>
      </c>
      <c r="J11022" s="422">
        <f t="shared" si="1870"/>
        <v>410.14285714285717</v>
      </c>
      <c r="K11022" s="297">
        <f>J11022/POBLA!$B$5*100000</f>
        <v>66.259585253307336</v>
      </c>
      <c r="L11022" s="200">
        <f t="shared" si="1866"/>
        <v>0.20478388585816187</v>
      </c>
      <c r="M11022" s="401">
        <f>SUM(C11022,C10998,C10974,C10950,C10926,C10902,C10878)/POBLA!$B$5*100000</f>
        <v>463.81709677315126</v>
      </c>
    </row>
    <row r="11023" spans="1:13" x14ac:dyDescent="0.25">
      <c r="A11023" s="367" t="s">
        <v>30</v>
      </c>
      <c r="B11023" s="267">
        <v>44352</v>
      </c>
      <c r="C11023" s="463">
        <v>531</v>
      </c>
      <c r="D11023" s="39">
        <f t="shared" si="1854"/>
        <v>53915</v>
      </c>
      <c r="F11023" s="39">
        <f t="shared" si="1868"/>
        <v>637</v>
      </c>
      <c r="G11023" s="168">
        <f>SUM(C11023,C10999,C10975,C10951,C10927,C10903,C10879,C10855,C10831,C10807,C10783,C10759,C10735,C10711)/POBLA!$B$6*100000</f>
        <v>902.56878785796948</v>
      </c>
      <c r="H11023" s="256">
        <f t="shared" si="1867"/>
        <v>2.1000622794270294</v>
      </c>
      <c r="I11023" s="297">
        <f t="shared" si="1869"/>
        <v>1895.4506659686983</v>
      </c>
      <c r="J11023" s="422">
        <f t="shared" si="1870"/>
        <v>488.85714285714283</v>
      </c>
      <c r="K11023" s="297">
        <f>J11023/POBLA!$B$6*100000</f>
        <v>43.616765407698857</v>
      </c>
      <c r="L11023" s="200">
        <f t="shared" si="1866"/>
        <v>-0.48879593665969523</v>
      </c>
      <c r="M11023" s="401">
        <f>SUM(C11023,C10999,C10975,C10951,C10927,C10903,C10879)/POBLA!$B$6*100000</f>
        <v>305.31735785389202</v>
      </c>
    </row>
    <row r="11024" spans="1:13" x14ac:dyDescent="0.25">
      <c r="A11024" s="367" t="s">
        <v>20</v>
      </c>
      <c r="B11024" s="267">
        <v>44352</v>
      </c>
      <c r="C11024" s="463">
        <v>3272</v>
      </c>
      <c r="D11024" s="39">
        <f t="shared" si="1854"/>
        <v>335800</v>
      </c>
      <c r="E11024" s="1">
        <v>21</v>
      </c>
      <c r="F11024" s="39">
        <f t="shared" si="1868"/>
        <v>4106</v>
      </c>
      <c r="G11024" s="168">
        <f>SUM(C11024,C11000,C10976,C10952,C10928,C10904,C10880,C10856,C10832,C10808,C10784,C10760,C10736,C10712)/POBLA!$B$7*100000</f>
        <v>1539.2572697416533</v>
      </c>
      <c r="H11024" s="256">
        <f t="shared" si="1867"/>
        <v>1.5040796175033779</v>
      </c>
      <c r="I11024" s="297">
        <f t="shared" si="1869"/>
        <v>2315.1654855123197</v>
      </c>
      <c r="J11024" s="422">
        <f t="shared" si="1870"/>
        <v>4417.7142857142853</v>
      </c>
      <c r="K11024" s="297">
        <f>J11024/POBLA!$B$7*100000</f>
        <v>117.47834130793615</v>
      </c>
      <c r="L11024" s="200">
        <f t="shared" si="1866"/>
        <v>0.14707518824882237</v>
      </c>
      <c r="M11024" s="401">
        <f>SUM(C11024,C11000,C10976,C10952,C10928,C10904,C10880)/POBLA!$B$7*100000</f>
        <v>822.34838915555326</v>
      </c>
    </row>
    <row r="11025" spans="1:13" x14ac:dyDescent="0.25">
      <c r="A11025" s="367" t="s">
        <v>31</v>
      </c>
      <c r="B11025" s="267">
        <v>44352</v>
      </c>
      <c r="C11025" s="463">
        <v>838</v>
      </c>
      <c r="D11025" s="39">
        <f t="shared" si="1854"/>
        <v>91196</v>
      </c>
      <c r="E11025" s="1">
        <v>10</v>
      </c>
      <c r="F11025" s="39">
        <f t="shared" si="1868"/>
        <v>1396</v>
      </c>
      <c r="G11025" s="168">
        <f>SUM(C11025,C11001,C10977,C10953,C10929,C10905,C10881,C10857,C10833,C10809,C10785,C10761,C10737,C10713)/POBLA!$B$8*100000</f>
        <v>983.5053078694134</v>
      </c>
      <c r="H11025" s="256">
        <f t="shared" si="1867"/>
        <v>1.3087854056649064</v>
      </c>
      <c r="I11025" s="297">
        <f t="shared" si="1869"/>
        <v>1287.1973933334589</v>
      </c>
      <c r="J11025" s="422">
        <f t="shared" si="1870"/>
        <v>985.71428571428567</v>
      </c>
      <c r="K11025" s="297">
        <f>J11025/POBLA!$B$8*100000</f>
        <v>71.121358083978251</v>
      </c>
      <c r="L11025" s="200">
        <f t="shared" si="1866"/>
        <v>2.510771059277972E-2</v>
      </c>
      <c r="M11025" s="401">
        <f>SUM(C11025,C11001,C10977,C10953,C10929,C10905,C10881)/POBLA!$B$8*100000</f>
        <v>497.84950658784777</v>
      </c>
    </row>
    <row r="11026" spans="1:13" x14ac:dyDescent="0.25">
      <c r="A11026" s="367" t="s">
        <v>41</v>
      </c>
      <c r="B11026" s="267">
        <v>44352</v>
      </c>
      <c r="C11026" s="463">
        <v>601</v>
      </c>
      <c r="D11026" s="39">
        <f t="shared" ref="D11026:D11090" si="1871">C11026+D11002</f>
        <v>34794</v>
      </c>
      <c r="E11026" s="1">
        <v>5</v>
      </c>
      <c r="F11026" s="39">
        <f t="shared" si="1868"/>
        <v>546</v>
      </c>
      <c r="G11026" s="168">
        <f>SUM(C11026,C11002,C10978,C10954,C10930,C10906,C10882,C10858,C10834,C10810,C10786,C10762,C10738,C10714)/POBLA!$B$9*100000</f>
        <v>2065.1263316000022</v>
      </c>
      <c r="H11026" s="256">
        <f t="shared" si="1867"/>
        <v>0.76211964144155131</v>
      </c>
      <c r="I11026" s="297">
        <f>G11026*H11026</f>
        <v>1573.8733393704999</v>
      </c>
      <c r="J11026" s="422">
        <f t="shared" si="1870"/>
        <v>846.28571428571433</v>
      </c>
      <c r="K11026" s="297">
        <f>J11026/POBLA!$B$9*100000</f>
        <v>139.83732698258478</v>
      </c>
      <c r="L11026" s="200">
        <f>(SUM(C11026,C11002,C10978,C10954,C10930,C10906,C10882)/SUM(C10858,C10834,C10810,C10786,C10762,C10738,C10714))-1</f>
        <v>-9.8874353513842439E-2</v>
      </c>
      <c r="M11026" s="401">
        <f>SUM(C11026,C11002,C10978,C10954,C10930,C10906,C10882)/POBLA!$B$9*100000</f>
        <v>978.86128887809343</v>
      </c>
    </row>
    <row r="11027" spans="1:13" x14ac:dyDescent="0.25">
      <c r="A11027" s="367" t="s">
        <v>32</v>
      </c>
      <c r="B11027" s="267">
        <v>44352</v>
      </c>
      <c r="C11027" s="463">
        <v>211</v>
      </c>
      <c r="D11027" s="39">
        <f t="shared" si="1871"/>
        <v>29592</v>
      </c>
      <c r="F11027" s="39">
        <f t="shared" si="1868"/>
        <v>1092</v>
      </c>
      <c r="G11027" s="168">
        <f>SUM(C11027,C11003,C10979,C10955,C10931,C10907,C10883,C10859,C10835,C10811,C10787,C10763,C10739,C10715)/POBLA!$B$10*100000</f>
        <v>337.79532768352055</v>
      </c>
      <c r="H11027" s="256">
        <f t="shared" si="1867"/>
        <v>1.8653295128939829</v>
      </c>
      <c r="I11027" s="297">
        <f t="shared" ref="I11027:I11041" si="1872">G11027*H11027</f>
        <v>630.09959404576466</v>
      </c>
      <c r="J11027" s="422">
        <f t="shared" si="1870"/>
        <v>217.57142857142858</v>
      </c>
      <c r="K11027" s="297">
        <f>J11027/POBLA!$B$10*100000</f>
        <v>28.223737330590399</v>
      </c>
      <c r="L11027" s="200">
        <f t="shared" ref="L11027:L11049" si="1873">(SUM(C11027,C11003,C10979,C10955,C10931,C10907,C10883)/SUM(C10859,C10835,C10811,C10787,C10763,C10739,C10715))-1</f>
        <v>0.40888066604995377</v>
      </c>
      <c r="M11027" s="401">
        <f>SUM(C11027,C11003,C10979,C10955,C10931,C10907,C10883)/POBLA!$B$10*100000</f>
        <v>197.56616131413278</v>
      </c>
    </row>
    <row r="11028" spans="1:13" x14ac:dyDescent="0.25">
      <c r="A11028" s="367" t="s">
        <v>33</v>
      </c>
      <c r="B11028" s="267">
        <v>44352</v>
      </c>
      <c r="C11028" s="463">
        <v>329</v>
      </c>
      <c r="D11028" s="39">
        <f t="shared" si="1871"/>
        <v>45008</v>
      </c>
      <c r="F11028" s="39">
        <f t="shared" si="1868"/>
        <v>592</v>
      </c>
      <c r="G11028" s="168">
        <f>SUM(C11028,C11004,C10980,C10956,C10932,C10908,C10884,C10860,C10836,C10812,C10788,C10764,C10740,C10716)/POBLA!$B$11*100000</f>
        <v>1961.0633097860659</v>
      </c>
      <c r="H11028" s="256">
        <f t="shared" si="1867"/>
        <v>0.85688162867243689</v>
      </c>
      <c r="I11028" s="297">
        <f t="shared" si="1872"/>
        <v>1680.3991228192438</v>
      </c>
      <c r="J11028" s="422">
        <f t="shared" si="1870"/>
        <v>424</v>
      </c>
      <c r="K11028" s="297">
        <f>J11028/POBLA!$B$11*100000</f>
        <v>118.29432968406485</v>
      </c>
      <c r="L11028" s="200">
        <f t="shared" si="1873"/>
        <v>-0.26914553065747349</v>
      </c>
      <c r="M11028" s="401">
        <f>SUM(C11028,C11004,C10980,C10956,C10932,C10908,C10884)/POBLA!$B$11*100000</f>
        <v>828.060307788454</v>
      </c>
    </row>
    <row r="11029" spans="1:13" x14ac:dyDescent="0.25">
      <c r="A11029" s="367" t="s">
        <v>21</v>
      </c>
      <c r="B11029" s="267">
        <v>44352</v>
      </c>
      <c r="C11029" s="463">
        <v>96</v>
      </c>
      <c r="D11029" s="39">
        <f t="shared" si="1871"/>
        <v>18248</v>
      </c>
      <c r="E11029" s="1">
        <v>11</v>
      </c>
      <c r="F11029" s="39">
        <f t="shared" si="1868"/>
        <v>557</v>
      </c>
      <c r="G11029" s="168">
        <f>SUM(C11029,C11005,C10981,C10957,C10933,C10909,C10885,C10861,C10837,C10813,C10789,C10765,C10741,C10717)/POBLA!$B$12*100000</f>
        <v>600.46095479136329</v>
      </c>
      <c r="H11029" s="256">
        <f t="shared" si="1867"/>
        <v>1.3842999414176917</v>
      </c>
      <c r="I11029" s="297">
        <f t="shared" si="1872"/>
        <v>831.21806454129546</v>
      </c>
      <c r="J11029" s="422">
        <f t="shared" si="1870"/>
        <v>152.57142857142858</v>
      </c>
      <c r="K11029" s="297">
        <f>J11029/POBLA!$B$12*100000</f>
        <v>38.769862748151631</v>
      </c>
      <c r="L11029" s="200">
        <f t="shared" si="1873"/>
        <v>-0.17528957528957534</v>
      </c>
      <c r="M11029" s="401">
        <f>SUM(C11029,C11005,C10981,C10957,C10933,C10909,C10885)/POBLA!$B$12*100000</f>
        <v>271.38903923706141</v>
      </c>
    </row>
    <row r="11030" spans="1:13" x14ac:dyDescent="0.25">
      <c r="A11030" s="367" t="s">
        <v>17</v>
      </c>
      <c r="B11030" s="267">
        <v>44352</v>
      </c>
      <c r="C11030" s="463">
        <v>571</v>
      </c>
      <c r="D11030" s="39">
        <f t="shared" si="1871"/>
        <v>124864</v>
      </c>
      <c r="E11030" s="1">
        <v>19</v>
      </c>
      <c r="F11030" s="39">
        <f t="shared" si="1868"/>
        <v>2733</v>
      </c>
      <c r="G11030" s="168">
        <f>SUM(C11030,C11006,C10982,C10958,C10934,C10910,C10886,C10862,C10838,C10814,C10790,C10766,C10742,C10718)/POBLA!$B$13*100000</f>
        <v>522.87601402374878</v>
      </c>
      <c r="H11030" s="256">
        <f t="shared" si="1867"/>
        <v>0.85859252536919395</v>
      </c>
      <c r="I11030" s="297">
        <f t="shared" si="1872"/>
        <v>448.93743733562854</v>
      </c>
      <c r="J11030" s="422">
        <f t="shared" si="1870"/>
        <v>776.57142857142856</v>
      </c>
      <c r="K11030" s="297">
        <f>J11030/POBLA!$B$13*100000</f>
        <v>39.01706285924444</v>
      </c>
      <c r="L11030" s="200">
        <f t="shared" si="1873"/>
        <v>9.3542546771273383E-2</v>
      </c>
      <c r="M11030" s="401">
        <f>SUM(C11030,C11006,C10982,C10958,C10934,C10910,C10886)/POBLA!$B$13*100000</f>
        <v>273.11944001471107</v>
      </c>
    </row>
    <row r="11031" spans="1:13" x14ac:dyDescent="0.25">
      <c r="A11031" s="367" t="s">
        <v>23</v>
      </c>
      <c r="B11031" s="267">
        <v>44352</v>
      </c>
      <c r="C11031" s="463">
        <v>182</v>
      </c>
      <c r="D11031" s="39">
        <f t="shared" si="1871"/>
        <v>21332</v>
      </c>
      <c r="E11031" s="1">
        <v>5</v>
      </c>
      <c r="F11031" s="39">
        <f t="shared" si="1868"/>
        <v>322</v>
      </c>
      <c r="G11031" s="168">
        <f>SUM(C11031,C11007,C10983,C10959,C10935,C10911,C10887,C10863,C10839,C10815,C10791,C10767,C10743,C10719)/POBLA!$B$14*100000</f>
        <v>194.48280892480264</v>
      </c>
      <c r="H11031" s="256">
        <f t="shared" si="1867"/>
        <v>1.1367006487488416</v>
      </c>
      <c r="I11031" s="297">
        <f t="shared" si="1872"/>
        <v>221.06873507532015</v>
      </c>
      <c r="J11031" s="422">
        <f t="shared" si="1870"/>
        <v>179.57142857142858</v>
      </c>
      <c r="K11031" s="297">
        <f>J11031/POBLA!$B$14*100000</f>
        <v>14.237079425687316</v>
      </c>
      <c r="L11031" s="200">
        <f t="shared" si="1873"/>
        <v>5.1003344481605373E-2</v>
      </c>
      <c r="M11031" s="401">
        <f>SUM(C11031,C11007,C10983,C10959,C10935,C10911,C10887)/POBLA!$B$14*100000</f>
        <v>99.659555979811202</v>
      </c>
    </row>
    <row r="11032" spans="1:13" x14ac:dyDescent="0.25">
      <c r="A11032" s="367" t="s">
        <v>19</v>
      </c>
      <c r="B11032" s="267">
        <v>44352</v>
      </c>
      <c r="C11032" s="463">
        <v>419</v>
      </c>
      <c r="D11032" s="39">
        <f t="shared" si="1871"/>
        <v>93751</v>
      </c>
      <c r="E11032" s="1">
        <v>26</v>
      </c>
      <c r="F11032" s="39">
        <f t="shared" si="1868"/>
        <v>1418</v>
      </c>
      <c r="G11032" s="168">
        <f>SUM(C11032,C11008,C10984,C10960,C10936,C10912,C10888,C10864,C10840,C10816,C10792,C10768,C10744,C10720)/POBLA!$B$15*100000</f>
        <v>1642.630075430272</v>
      </c>
      <c r="H11032" s="256">
        <f t="shared" si="1867"/>
        <v>1.3007393274505128</v>
      </c>
      <c r="I11032" s="297">
        <f t="shared" si="1872"/>
        <v>2136.6335395651572</v>
      </c>
      <c r="J11032" s="422">
        <f t="shared" si="1870"/>
        <v>685.85714285714289</v>
      </c>
      <c r="K11032" s="297">
        <f>J11032/POBLA!$B$15*100000</f>
        <v>103.28287223192331</v>
      </c>
      <c r="L11032" s="200">
        <f t="shared" si="1873"/>
        <v>-0.21385295562469298</v>
      </c>
      <c r="M11032" s="401">
        <f>SUM(C11032,C11008,C10984,C10960,C10936,C10912,C10888)/POBLA!$B$15*100000</f>
        <v>722.98010562346303</v>
      </c>
    </row>
    <row r="11033" spans="1:13" x14ac:dyDescent="0.25">
      <c r="A11033" s="367" t="s">
        <v>18</v>
      </c>
      <c r="B11033" s="267">
        <v>44352</v>
      </c>
      <c r="C11033" s="463">
        <v>317</v>
      </c>
      <c r="D11033" s="39">
        <f t="shared" si="1871"/>
        <v>76552</v>
      </c>
      <c r="E11033" s="1">
        <v>7</v>
      </c>
      <c r="F11033" s="39">
        <f t="shared" si="1868"/>
        <v>1692</v>
      </c>
      <c r="G11033" s="168">
        <f>SUM(C11033,C11009,C10985,C10961,C10937,C10913,C10889,C10865,C10841,C10817,C10793,C10769,C10745,C10721)/POBLA!$B$16*100000</f>
        <v>900.46949612766002</v>
      </c>
      <c r="H11033" s="256">
        <f t="shared" si="1867"/>
        <v>1.1018003273322423</v>
      </c>
      <c r="I11033" s="297">
        <f t="shared" si="1872"/>
        <v>992.13758558615507</v>
      </c>
      <c r="J11033" s="422">
        <f t="shared" si="1870"/>
        <v>444</v>
      </c>
      <c r="K11033" s="297">
        <f>J11033/POBLA!$B$16*100000</f>
        <v>59.389253755300224</v>
      </c>
      <c r="L11033" s="200">
        <f t="shared" si="1873"/>
        <v>-0.14238410596026485</v>
      </c>
      <c r="M11033" s="401">
        <f>SUM(C11033,C11009,C10985,C10961,C10937,C10913,C10889)/POBLA!$B$16*100000</f>
        <v>415.72477628710158</v>
      </c>
    </row>
    <row r="11034" spans="1:13" x14ac:dyDescent="0.25">
      <c r="A11034" s="367" t="s">
        <v>34</v>
      </c>
      <c r="B11034" s="267">
        <v>44352</v>
      </c>
      <c r="C11034" s="463">
        <v>638</v>
      </c>
      <c r="D11034" s="39">
        <f t="shared" si="1871"/>
        <v>48710</v>
      </c>
      <c r="F11034" s="39">
        <f t="shared" si="1868"/>
        <v>1441</v>
      </c>
      <c r="G11034" s="168">
        <f>SUM(C11034,C11010,C10986,C10962,C10938,C10914,C10890,C10866,C10842,C10818,C10794,C10770,C10746,C10722)/POBLA!$B$17*100000</f>
        <v>512.77838973263772</v>
      </c>
      <c r="H11034" s="256">
        <f t="shared" ref="H11034:H11057" si="1874">SUM(C11034,C11010,C10986,C10962,C10938,C10914,C10890,C10866,C10842,C10818,C10794,C10770,C10746,C10722)/SUM(C10698,C10674,C10650,C10626,C10602,C10578,C10554,C10530,C10506,C10482,C10458,C10434,C10410,C10386)</f>
        <v>1.4420533070088846</v>
      </c>
      <c r="I11034" s="297">
        <f t="shared" si="1872"/>
        <v>739.45377267664094</v>
      </c>
      <c r="J11034" s="422">
        <f t="shared" si="1870"/>
        <v>577.85714285714289</v>
      </c>
      <c r="K11034" s="297">
        <f>J11034/POBLA!$B$17*100000</f>
        <v>40.568545346356593</v>
      </c>
      <c r="L11034" s="200">
        <f t="shared" si="1873"/>
        <v>0.24117827554464566</v>
      </c>
      <c r="M11034" s="401">
        <f>SUM(C11034,C11010,C10986,C10962,C10938,C10914,C10890)/POBLA!$B$17*100000</f>
        <v>283.9798174244961</v>
      </c>
    </row>
    <row r="11035" spans="1:13" x14ac:dyDescent="0.25">
      <c r="A11035" s="367" t="s">
        <v>35</v>
      </c>
      <c r="B11035" s="267">
        <v>44352</v>
      </c>
      <c r="C11035" s="463">
        <v>215</v>
      </c>
      <c r="D11035" s="39">
        <f t="shared" si="1871"/>
        <v>39490</v>
      </c>
      <c r="E11035" s="1">
        <v>1</v>
      </c>
      <c r="F11035" s="39">
        <f t="shared" si="1868"/>
        <v>664</v>
      </c>
      <c r="G11035" s="168">
        <f>SUM(C11035,C11011,C10987,C10963,C10939,C10915,C10891,C10867,C10843,C10819,C10795,C10771,C10747,C10723)/POBLA!$B$18*100000</f>
        <v>841.37953987176422</v>
      </c>
      <c r="H11035" s="256">
        <f t="shared" si="1874"/>
        <v>0.98221757322175729</v>
      </c>
      <c r="I11035" s="297">
        <f t="shared" si="1872"/>
        <v>826.41776981128305</v>
      </c>
      <c r="J11035" s="422">
        <f t="shared" si="1870"/>
        <v>448</v>
      </c>
      <c r="K11035" s="297">
        <f>J11035/POBLA!$B$18*100000</f>
        <v>57.346422312878495</v>
      </c>
      <c r="L11035" s="200">
        <f t="shared" si="1873"/>
        <v>-8.7576374745417462E-2</v>
      </c>
      <c r="M11035" s="401">
        <f>SUM(C11035,C11011,C10987,C10963,C10939,C10915,C10891)/POBLA!$B$18*100000</f>
        <v>401.42495619014949</v>
      </c>
    </row>
    <row r="11036" spans="1:13" x14ac:dyDescent="0.25">
      <c r="A11036" s="367" t="s">
        <v>36</v>
      </c>
      <c r="B11036" s="267">
        <v>44352</v>
      </c>
      <c r="C11036" s="463">
        <v>442</v>
      </c>
      <c r="D11036" s="39">
        <f t="shared" si="1871"/>
        <v>55684</v>
      </c>
      <c r="E11036" s="1">
        <v>2</v>
      </c>
      <c r="F11036" s="39">
        <f t="shared" si="1868"/>
        <v>760</v>
      </c>
      <c r="G11036" s="168">
        <f>SUM(C11036,C11012,C10988,C10964,C10940,C10916,C10892,C10868,C10844,C10820,C10796,C10772,C10748,C10724)/POBLA!$B$19*100000</f>
        <v>1508.0813962638297</v>
      </c>
      <c r="H11036" s="256">
        <f t="shared" si="1874"/>
        <v>1.0858356940509915</v>
      </c>
      <c r="I11036" s="297">
        <f t="shared" si="1872"/>
        <v>1637.5286095975237</v>
      </c>
      <c r="J11036" s="422">
        <f t="shared" si="1870"/>
        <v>515.14285714285711</v>
      </c>
      <c r="K11036" s="297">
        <f>J11036/POBLA!$B$19*100000</f>
        <v>101.34064170040941</v>
      </c>
      <c r="L11036" s="200">
        <f t="shared" si="1873"/>
        <v>-0.11182266009852215</v>
      </c>
      <c r="M11036" s="401">
        <f>SUM(C11036,C11012,C10988,C10964,C10940,C10916,C10892)/POBLA!$B$19*100000</f>
        <v>709.38449190286588</v>
      </c>
    </row>
    <row r="11037" spans="1:13" x14ac:dyDescent="0.25">
      <c r="A11037" s="367" t="s">
        <v>37</v>
      </c>
      <c r="B11037" s="267">
        <v>44352</v>
      </c>
      <c r="C11037" s="463">
        <v>224</v>
      </c>
      <c r="D11037" s="39">
        <f t="shared" si="1871"/>
        <v>52627</v>
      </c>
      <c r="E11037" s="1">
        <v>2</v>
      </c>
      <c r="F11037" s="39">
        <f t="shared" si="1868"/>
        <v>798</v>
      </c>
      <c r="G11037" s="168">
        <f>SUM(C11037,C11013,C10989,C10965,C10941,C10917,C10893,C10869,C10845,C10821,C10797,C10773,C10749,C10725)/POBLA!$B$20*100000</f>
        <v>756.08835705965032</v>
      </c>
      <c r="H11037" s="256">
        <f t="shared" si="1874"/>
        <v>0.80753504672897192</v>
      </c>
      <c r="I11037" s="297">
        <f t="shared" si="1872"/>
        <v>610.56784674939638</v>
      </c>
      <c r="J11037" s="422">
        <f t="shared" si="1870"/>
        <v>202</v>
      </c>
      <c r="K11037" s="297">
        <f>J11037/POBLA!$B$20*100000</f>
        <v>55.236834765298141</v>
      </c>
      <c r="L11037" s="200">
        <f t="shared" si="1873"/>
        <v>4.663212435233155E-2</v>
      </c>
      <c r="M11037" s="401">
        <f>SUM(C11037,C11013,C10989,C10965,C10941,C10917,C10893)/POBLA!$B$20*100000</f>
        <v>386.65784335708702</v>
      </c>
    </row>
    <row r="11038" spans="1:13" x14ac:dyDescent="0.25">
      <c r="A11038" s="367" t="s">
        <v>22</v>
      </c>
      <c r="B11038" s="267">
        <v>44352</v>
      </c>
      <c r="C11038" s="463">
        <v>2375</v>
      </c>
      <c r="D11038" s="39">
        <f t="shared" si="1871"/>
        <v>360283</v>
      </c>
      <c r="E11038" s="1">
        <v>11</v>
      </c>
      <c r="F11038" s="39">
        <f t="shared" si="1868"/>
        <v>5725</v>
      </c>
      <c r="G11038" s="168">
        <f>SUM(C11038,C11014,C10990,C10966,C10942,C10918,C10894,C10870,C10846,C10822,C10798,C10774,C10750,C10726)/POBLA!$B$21*100000</f>
        <v>1119.3529724144601</v>
      </c>
      <c r="H11038" s="256">
        <f t="shared" si="1874"/>
        <v>1.220215159828612</v>
      </c>
      <c r="I11038" s="297">
        <f t="shared" si="1872"/>
        <v>1365.8514661393422</v>
      </c>
      <c r="J11038" s="422">
        <f t="shared" si="1870"/>
        <v>2883.8571428571427</v>
      </c>
      <c r="K11038" s="297">
        <f>J11038/POBLA!$B$21*100000</f>
        <v>81.54740595871705</v>
      </c>
      <c r="L11038" s="200">
        <f t="shared" si="1873"/>
        <v>4.0674296319208159E-2</v>
      </c>
      <c r="M11038" s="401">
        <f>SUM(C11038,C11014,C10990,C10966,C10942,C10918,C10894)/POBLA!$B$21*100000</f>
        <v>570.83184171101948</v>
      </c>
    </row>
    <row r="11039" spans="1:13" x14ac:dyDescent="0.25">
      <c r="A11039" s="367" t="s">
        <v>38</v>
      </c>
      <c r="B11039" s="267">
        <v>44352</v>
      </c>
      <c r="C11039" s="463">
        <v>616</v>
      </c>
      <c r="D11039" s="39">
        <f t="shared" si="1871"/>
        <v>46795</v>
      </c>
      <c r="E11039" s="1">
        <v>10</v>
      </c>
      <c r="F11039" s="39">
        <f t="shared" si="1868"/>
        <v>572</v>
      </c>
      <c r="G11039" s="168">
        <f>SUM(C11039,C11015,C10991,C10967,C10943,C10919,C10895,C10871,C10847,C10823,C10799,C10775,C10751,C10727)/POBLA!$B$22*100000</f>
        <v>790.34010587613579</v>
      </c>
      <c r="H11039" s="256">
        <f t="shared" si="1874"/>
        <v>1.1813598166539343</v>
      </c>
      <c r="I11039" s="297">
        <f t="shared" si="1872"/>
        <v>933.67604257208279</v>
      </c>
      <c r="J11039" s="422">
        <f t="shared" si="1870"/>
        <v>547.71428571428567</v>
      </c>
      <c r="K11039" s="297">
        <f>J11039/POBLA!$B$22*100000</f>
        <v>55.985588018792107</v>
      </c>
      <c r="L11039" s="200">
        <f t="shared" si="1873"/>
        <v>-1.641867624422777E-2</v>
      </c>
      <c r="M11039" s="401">
        <f>SUM(C11039,C11015,C10991,C10967,C10943,C10919,C10895)/POBLA!$B$22*100000</f>
        <v>391.89911613154482</v>
      </c>
    </row>
    <row r="11040" spans="1:13" x14ac:dyDescent="0.25">
      <c r="A11040" s="367" t="s">
        <v>39</v>
      </c>
      <c r="B11040" s="267">
        <v>44352</v>
      </c>
      <c r="C11040" s="463">
        <v>24</v>
      </c>
      <c r="D11040" s="39">
        <f t="shared" si="1871"/>
        <v>28778</v>
      </c>
      <c r="E11040" s="1">
        <v>1</v>
      </c>
      <c r="F11040" s="39">
        <f t="shared" si="1868"/>
        <v>426</v>
      </c>
      <c r="G11040" s="168">
        <f>SUM(C11040,C11016,C10992,C10968,C10944,C10920,C10896,C10872,C10848,C10824,C10800,C10776,C10752,C10728)/POBLA!$B$23*100000</f>
        <v>445.06022733699035</v>
      </c>
      <c r="H11040" s="256">
        <f t="shared" si="1874"/>
        <v>0.77536945812807878</v>
      </c>
      <c r="I11040" s="297">
        <f t="shared" si="1872"/>
        <v>345.08610730464176</v>
      </c>
      <c r="J11040" s="422">
        <f t="shared" si="1870"/>
        <v>51.428571428571431</v>
      </c>
      <c r="K11040" s="297">
        <f>J11040/POBLA!$B$23*100000</f>
        <v>29.083623496336273</v>
      </c>
      <c r="L11040" s="200">
        <f t="shared" si="1873"/>
        <v>-0.15690866510538637</v>
      </c>
      <c r="M11040" s="401">
        <f>SUM(C11040,C11016,C10992,C10968,C10944,C10920,C10896)/POBLA!$B$23*100000</f>
        <v>203.58536447435392</v>
      </c>
    </row>
    <row r="11041" spans="1:14" ht="15.75" thickBot="1" x14ac:dyDescent="0.3">
      <c r="A11041" s="368" t="s">
        <v>40</v>
      </c>
      <c r="B11041" s="268">
        <v>44352</v>
      </c>
      <c r="C11041" s="463">
        <v>602</v>
      </c>
      <c r="D11041" s="67">
        <f t="shared" si="1871"/>
        <v>134566</v>
      </c>
      <c r="E11041" s="232">
        <v>14</v>
      </c>
      <c r="F11041" s="67">
        <f t="shared" si="1868"/>
        <v>1940</v>
      </c>
      <c r="G11041" s="255">
        <f>SUM(C11041,C11017,C10993,C10969,C10945,C10921,C10897,C10873,C10849,C10825,C10801,C10777,C10753,C10729)/POBLA!$B$24*100000</f>
        <v>809.01374674270176</v>
      </c>
      <c r="H11041" s="257">
        <f t="shared" si="1874"/>
        <v>1.2915685350918511</v>
      </c>
      <c r="I11041" s="299">
        <f t="shared" si="1872"/>
        <v>1044.8966997496411</v>
      </c>
      <c r="J11041" s="428">
        <f t="shared" si="1870"/>
        <v>917.71428571428567</v>
      </c>
      <c r="K11041" s="299">
        <f>J11041/POBLA!$B$24*100000</f>
        <v>54.153426165209083</v>
      </c>
      <c r="L11041" s="260">
        <f t="shared" si="1873"/>
        <v>-0.11830908591819933</v>
      </c>
      <c r="M11041" s="406">
        <f>SUM(C11041,C11017,C10993,C10969,C10945,C10921,C10897)/POBLA!$B$24*100000</f>
        <v>379.07398315646361</v>
      </c>
    </row>
    <row r="11042" spans="1:14" x14ac:dyDescent="0.25">
      <c r="A11042" s="363" t="s">
        <v>16</v>
      </c>
      <c r="B11042" s="265">
        <v>44353</v>
      </c>
      <c r="C11042" s="415">
        <v>4479</v>
      </c>
      <c r="D11042" s="174">
        <f t="shared" si="1871"/>
        <v>1669915</v>
      </c>
      <c r="E11042" s="43">
        <v>225</v>
      </c>
      <c r="F11042" s="174">
        <f t="shared" ref="F11042:F11065" si="1875">E11042+F11018</f>
        <v>41726</v>
      </c>
      <c r="G11042" s="175">
        <f>SUM(C11042,C11018,C10994,C10970,C10946,C10922,C10898,C10874,C10850,C10826,C10802,C10778,C10754,C10730)/POBLA!$B$1*100000</f>
        <v>834.97419010542126</v>
      </c>
      <c r="H11042" s="300">
        <f t="shared" si="1874"/>
        <v>0.98563247397357989</v>
      </c>
      <c r="I11042" s="301">
        <f>G11042*H11042</f>
        <v>822.97767669769257</v>
      </c>
      <c r="J11042" s="421">
        <f>AVERAGE(C11042,C11018,C10994,C10970,C10946,C10922,C10898)</f>
        <v>9950.1428571428569</v>
      </c>
      <c r="K11042" s="301">
        <f>J11042/POBLA!$B$1*100000</f>
        <v>56.724604500601508</v>
      </c>
      <c r="L11042" s="399">
        <f t="shared" si="1873"/>
        <v>-9.3239425618059424E-2</v>
      </c>
      <c r="M11042" s="400">
        <f>SUM(C11042,C11018,C10994,C10970,C10946,C10922,C10898)/POBLA!$B$1*100000</f>
        <v>397.07223150421055</v>
      </c>
      <c r="N11042"/>
    </row>
    <row r="11043" spans="1:14" x14ac:dyDescent="0.25">
      <c r="A11043" s="367" t="s">
        <v>43</v>
      </c>
      <c r="B11043" s="2">
        <v>44353</v>
      </c>
      <c r="C11043" s="4">
        <v>1204</v>
      </c>
      <c r="D11043" s="39">
        <f t="shared" si="1871"/>
        <v>429699</v>
      </c>
      <c r="E11043" s="1">
        <v>9</v>
      </c>
      <c r="F11043" s="39">
        <f t="shared" si="1875"/>
        <v>9376</v>
      </c>
      <c r="G11043" s="168">
        <f>SUM(C11043,C11019,C10995,C10971,C10947,C10923,C10899,C10875,C10851,C10827,C10803,C10779,C10755,C10731)/POBLA!$B$2*100000</f>
        <v>1035.2296720753948</v>
      </c>
      <c r="H11043" s="256">
        <f t="shared" si="1874"/>
        <v>0.88456730101402969</v>
      </c>
      <c r="I11043" s="297">
        <f t="shared" ref="I11043:I11049" si="1876">G11043*H11043</f>
        <v>915.73031695737097</v>
      </c>
      <c r="J11043" s="422">
        <f t="shared" ref="J11043:J11065" si="1877">AVERAGE(C11043,C11019,C10995,C10971,C10947,C10923,C10899)</f>
        <v>1936.2857142857142</v>
      </c>
      <c r="K11043" s="297">
        <f>J11043/POBLA!$B$2*100000</f>
        <v>62.955415359430646</v>
      </c>
      <c r="L11043" s="200">
        <f t="shared" si="1873"/>
        <v>-0.25877720660614678</v>
      </c>
      <c r="M11043" s="401">
        <f>SUM(C11043,C11019,C10995,C10971,C10947,C10923,C10899)/POBLA!$B$2*100000</f>
        <v>440.68790751601455</v>
      </c>
      <c r="N11043"/>
    </row>
    <row r="11044" spans="1:14" x14ac:dyDescent="0.25">
      <c r="A11044" s="367" t="s">
        <v>28</v>
      </c>
      <c r="B11044" s="2">
        <v>44353</v>
      </c>
      <c r="C11044" s="4">
        <v>323</v>
      </c>
      <c r="D11044" s="39">
        <f t="shared" si="1871"/>
        <v>26273</v>
      </c>
      <c r="E11044" s="1">
        <v>7</v>
      </c>
      <c r="F11044" s="39">
        <f t="shared" si="1875"/>
        <v>199</v>
      </c>
      <c r="G11044" s="168">
        <f>SUM(C11044,C11020,C10996,C10972,C10948,C10924,C10900,C10876,C10852,C10828,C10804,C10780,C10756,C10732)/POBLA!$B$3*100000</f>
        <v>1435.1118578464175</v>
      </c>
      <c r="H11044" s="256">
        <f t="shared" si="1874"/>
        <v>1.4397488529340738</v>
      </c>
      <c r="I11044" s="297">
        <f t="shared" si="1876"/>
        <v>2066.2006511664672</v>
      </c>
      <c r="J11044" s="422">
        <f t="shared" si="1877"/>
        <v>407.85714285714283</v>
      </c>
      <c r="K11044" s="297">
        <f>J11044/POBLA!$B$3*100000</f>
        <v>98.175213354855074</v>
      </c>
      <c r="L11044" s="200">
        <f t="shared" si="1873"/>
        <v>-8.110717734148698E-2</v>
      </c>
      <c r="M11044" s="401">
        <f>SUM(C11044,C11020,C10996,C10972,C10948,C10924,C10900)/POBLA!$B$3*100000</f>
        <v>687.22649348398556</v>
      </c>
      <c r="N11044"/>
    </row>
    <row r="11045" spans="1:14" x14ac:dyDescent="0.25">
      <c r="A11045" s="367" t="s">
        <v>15</v>
      </c>
      <c r="B11045" s="2">
        <v>44353</v>
      </c>
      <c r="C11045" s="4">
        <v>714</v>
      </c>
      <c r="D11045" s="39">
        <f t="shared" si="1871"/>
        <v>62826</v>
      </c>
      <c r="E11045" s="1">
        <v>4</v>
      </c>
      <c r="F11045" s="39">
        <f t="shared" si="1875"/>
        <v>1309</v>
      </c>
      <c r="G11045" s="168">
        <f>SUM(C11045,C11021,C10997,C10973,C10949,C10925,C10901,C10877,C10853,C10829,C10805,C10781,C10757,C10733)/POBLA!$B$4*100000</f>
        <v>783.11987719803642</v>
      </c>
      <c r="H11045" s="256">
        <f t="shared" si="1874"/>
        <v>1.4706891175553476</v>
      </c>
      <c r="I11045" s="297">
        <f t="shared" si="1876"/>
        <v>1151.7258811364325</v>
      </c>
      <c r="J11045" s="422">
        <f t="shared" si="1877"/>
        <v>728.42857142857144</v>
      </c>
      <c r="K11045" s="297">
        <f>J11045/POBLA!$B$4*100000</f>
        <v>60.473539001874691</v>
      </c>
      <c r="L11045" s="200">
        <f t="shared" si="1873"/>
        <v>0.17651130595293041</v>
      </c>
      <c r="M11045" s="401">
        <f>SUM(C11045,C11021,C10997,C10973,C10949,C10925,C10901)/POBLA!$B$4*100000</f>
        <v>423.31477301312287</v>
      </c>
    </row>
    <row r="11046" spans="1:14" x14ac:dyDescent="0.25">
      <c r="A11046" s="367" t="s">
        <v>29</v>
      </c>
      <c r="B11046" s="2">
        <v>44353</v>
      </c>
      <c r="C11046" s="4">
        <v>222</v>
      </c>
      <c r="D11046" s="39">
        <f t="shared" si="1871"/>
        <v>65267</v>
      </c>
      <c r="F11046" s="39">
        <f t="shared" si="1875"/>
        <v>1078</v>
      </c>
      <c r="G11046" s="168">
        <f>SUM(C11046,C11022,C10998,C10974,C10950,C10926,C10902,C10878,C10854,C10830,C10806,C10782,C10758,C10734)/POBLA!$B$5*100000</f>
        <v>843.1422598603541</v>
      </c>
      <c r="H11046" s="256">
        <f t="shared" si="1874"/>
        <v>1.4086369770580296</v>
      </c>
      <c r="I11046" s="297">
        <f t="shared" si="1876"/>
        <v>1187.6813641595647</v>
      </c>
      <c r="J11046" s="422">
        <f t="shared" si="1877"/>
        <v>423.57142857142856</v>
      </c>
      <c r="K11046" s="297">
        <f>J11046/POBLA!$B$5*100000</f>
        <v>68.42900392757096</v>
      </c>
      <c r="L11046" s="200">
        <f t="shared" si="1873"/>
        <v>0.31543921916592721</v>
      </c>
      <c r="M11046" s="401">
        <f>SUM(C11046,C11022,C10998,C10974,C10950,C10926,C10902)/POBLA!$B$5*100000</f>
        <v>479.00302749299664</v>
      </c>
    </row>
    <row r="11047" spans="1:14" x14ac:dyDescent="0.25">
      <c r="A11047" s="367" t="s">
        <v>30</v>
      </c>
      <c r="B11047" s="2">
        <v>44353</v>
      </c>
      <c r="C11047" s="4">
        <v>722</v>
      </c>
      <c r="D11047" s="39">
        <f t="shared" si="1871"/>
        <v>54637</v>
      </c>
      <c r="F11047" s="39">
        <f t="shared" si="1875"/>
        <v>637</v>
      </c>
      <c r="G11047" s="168">
        <f>SUM(C11047,C11023,C10999,C10975,C10951,C10927,C10903,C10879,C10855,C10831,C10807,C10783,C10759,C10735)/POBLA!$B$6*100000</f>
        <v>637.66895282927123</v>
      </c>
      <c r="H11047" s="256">
        <f t="shared" si="1874"/>
        <v>0.86745964316057778</v>
      </c>
      <c r="I11047" s="297">
        <f t="shared" si="1876"/>
        <v>553.1520822758589</v>
      </c>
      <c r="J11047" s="422">
        <f t="shared" si="1877"/>
        <v>503.42857142857144</v>
      </c>
      <c r="K11047" s="297">
        <f>J11047/POBLA!$B$6*100000</f>
        <v>44.916856018916064</v>
      </c>
      <c r="L11047" s="200">
        <f t="shared" si="1873"/>
        <v>-2.7325420921887944E-2</v>
      </c>
      <c r="M11047" s="401">
        <f>SUM(C11047,C11023,C10999,C10975,C10951,C10927,C10903)/POBLA!$B$6*100000</f>
        <v>314.41799213241245</v>
      </c>
    </row>
    <row r="11048" spans="1:14" x14ac:dyDescent="0.25">
      <c r="A11048" s="367" t="s">
        <v>20</v>
      </c>
      <c r="B11048" s="2">
        <v>44353</v>
      </c>
      <c r="C11048" s="4">
        <v>2661</v>
      </c>
      <c r="D11048" s="39">
        <f t="shared" si="1871"/>
        <v>338461</v>
      </c>
      <c r="E11048" s="1">
        <v>16</v>
      </c>
      <c r="F11048" s="39">
        <f t="shared" si="1875"/>
        <v>4122</v>
      </c>
      <c r="G11048" s="168">
        <f>SUM(C11048,C11024,C11000,C10976,C10952,C10928,C10904,C10880,C10856,C10832,C10808,C10784,C10760,C10736)/POBLA!$B$7*100000</f>
        <v>1524.2590647395923</v>
      </c>
      <c r="H11048" s="256">
        <f t="shared" si="1874"/>
        <v>1.4136782913234351</v>
      </c>
      <c r="I11048" s="297">
        <f t="shared" si="1876"/>
        <v>2154.811950175324</v>
      </c>
      <c r="J11048" s="422">
        <f t="shared" si="1877"/>
        <v>4306.2857142857147</v>
      </c>
      <c r="K11048" s="297">
        <f>J11048/POBLA!$B$7*100000</f>
        <v>114.5151701069211</v>
      </c>
      <c r="L11048" s="200">
        <f t="shared" si="1873"/>
        <v>0.10925482980680767</v>
      </c>
      <c r="M11048" s="401">
        <f>SUM(C11048,C11024,C11000,C10976,C10952,C10928,C10904)/POBLA!$B$7*100000</f>
        <v>801.6061907484476</v>
      </c>
    </row>
    <row r="11049" spans="1:14" x14ac:dyDescent="0.25">
      <c r="A11049" s="367" t="s">
        <v>31</v>
      </c>
      <c r="B11049" s="2">
        <v>44353</v>
      </c>
      <c r="C11049" s="4">
        <v>513</v>
      </c>
      <c r="D11049" s="39">
        <f t="shared" si="1871"/>
        <v>91709</v>
      </c>
      <c r="E11049" s="1">
        <v>11</v>
      </c>
      <c r="F11049" s="39">
        <f t="shared" si="1875"/>
        <v>1407</v>
      </c>
      <c r="G11049" s="168">
        <f>SUM(C11049,C11025,C11001,C10977,C10953,C10929,C10905,C10881,C10857,C10833,C10809,C10785,C10761,C10737)/POBLA!$B$8*100000</f>
        <v>964.52930493715178</v>
      </c>
      <c r="H11049" s="256">
        <f t="shared" si="1874"/>
        <v>1.2255225522552256</v>
      </c>
      <c r="I11049" s="297">
        <f t="shared" si="1876"/>
        <v>1182.052415511537</v>
      </c>
      <c r="J11049" s="422">
        <f t="shared" si="1877"/>
        <v>953.71428571428567</v>
      </c>
      <c r="K11049" s="297">
        <f>J11049/POBLA!$B$8*100000</f>
        <v>68.812490807049087</v>
      </c>
      <c r="L11049" s="200">
        <f t="shared" si="1873"/>
        <v>-2.3909145248057762E-3</v>
      </c>
      <c r="M11049" s="401">
        <f>SUM(C11049,C11025,C11001,C10977,C10953,C10929,C10905)/POBLA!$B$8*100000</f>
        <v>481.68743564934368</v>
      </c>
    </row>
    <row r="11050" spans="1:14" x14ac:dyDescent="0.25">
      <c r="A11050" s="367" t="s">
        <v>41</v>
      </c>
      <c r="B11050" s="2">
        <v>44353</v>
      </c>
      <c r="C11050" s="4">
        <v>468</v>
      </c>
      <c r="D11050" s="39">
        <f t="shared" si="1871"/>
        <v>35262</v>
      </c>
      <c r="E11050" s="1">
        <v>13</v>
      </c>
      <c r="F11050" s="39">
        <f t="shared" si="1875"/>
        <v>559</v>
      </c>
      <c r="G11050" s="168">
        <f>SUM(C11050,C11026,C11002,C10978,C10954,C10930,C10906,C10882,C10858,C10834,C10810,C10786,C10762,C10738)/POBLA!$B$9*100000</f>
        <v>1998.3707676724614</v>
      </c>
      <c r="H11050" s="256">
        <f t="shared" si="1874"/>
        <v>0.70045175489401135</v>
      </c>
      <c r="I11050" s="297">
        <f>G11050*H11050</f>
        <v>1399.7623111450682</v>
      </c>
      <c r="J11050" s="422">
        <f t="shared" si="1877"/>
        <v>802.14285714285711</v>
      </c>
      <c r="K11050" s="297">
        <f>J11050/POBLA!$B$9*100000</f>
        <v>132.54331380945536</v>
      </c>
      <c r="L11050" s="200">
        <f>(SUM(C11050,C11026,C11002,C10978,C10954,C10930,C10906)/SUM(C10882,C10858,C10834,C10810,C10786,C10762,C10738))-1</f>
        <v>-0.13335391264083962</v>
      </c>
      <c r="M11050" s="401">
        <f>SUM(C11050,C11026,C11002,C10978,C10954,C10930,C10906)/POBLA!$B$9*100000</f>
        <v>927.80319666618743</v>
      </c>
    </row>
    <row r="11051" spans="1:14" x14ac:dyDescent="0.25">
      <c r="A11051" s="367" t="s">
        <v>32</v>
      </c>
      <c r="B11051" s="2">
        <v>44353</v>
      </c>
      <c r="C11051" s="4">
        <v>140</v>
      </c>
      <c r="D11051" s="39">
        <f t="shared" si="1871"/>
        <v>29732</v>
      </c>
      <c r="F11051" s="39">
        <f t="shared" si="1875"/>
        <v>1092</v>
      </c>
      <c r="G11051" s="168">
        <f>SUM(C11051,C11027,C11003,C10979,C10955,C10931,C10907,C10883,C10859,C10835,C10811,C10787,C10763,C10739)/POBLA!$B$10*100000</f>
        <v>337.53588426748098</v>
      </c>
      <c r="H11051" s="256">
        <f t="shared" si="1874"/>
        <v>1.767663043478261</v>
      </c>
      <c r="I11051" s="297">
        <f t="shared" ref="I11051:I11065" si="1878">G11051*H11051</f>
        <v>596.64970846738152</v>
      </c>
      <c r="J11051" s="422">
        <f t="shared" si="1877"/>
        <v>217.14285714285714</v>
      </c>
      <c r="K11051" s="297">
        <f>J11051/POBLA!$B$10*100000</f>
        <v>28.168142312867634</v>
      </c>
      <c r="L11051" s="200">
        <f t="shared" ref="L11051:L11073" si="1879">(SUM(C11051,C11027,C11003,C10979,C10955,C10931,C10907)/SUM(C10883,C10859,C10835,C10811,C10787,C10763,C10739))-1</f>
        <v>0.40480591497227358</v>
      </c>
      <c r="M11051" s="401">
        <f>SUM(C11051,C11027,C11003,C10979,C10955,C10931,C10907)/POBLA!$B$10*100000</f>
        <v>197.17699619007342</v>
      </c>
    </row>
    <row r="11052" spans="1:14" x14ac:dyDescent="0.25">
      <c r="A11052" s="367" t="s">
        <v>33</v>
      </c>
      <c r="B11052" s="2">
        <v>44353</v>
      </c>
      <c r="C11052" s="4">
        <v>165</v>
      </c>
      <c r="D11052" s="39">
        <f t="shared" si="1871"/>
        <v>45173</v>
      </c>
      <c r="E11052" s="1">
        <v>3</v>
      </c>
      <c r="F11052" s="39">
        <f t="shared" si="1875"/>
        <v>595</v>
      </c>
      <c r="G11052" s="168">
        <f>SUM(C11052,C11028,C11004,C10980,C10956,C10932,C10908,C10884,C10860,C10836,C10812,C10788,C10764,C10740)/POBLA!$B$11*100000</f>
        <v>1866.7626413115045</v>
      </c>
      <c r="H11052" s="256">
        <f t="shared" si="1874"/>
        <v>0.79333649513872417</v>
      </c>
      <c r="I11052" s="297">
        <f t="shared" si="1878"/>
        <v>1480.9709311139763</v>
      </c>
      <c r="J11052" s="422">
        <f t="shared" si="1877"/>
        <v>405</v>
      </c>
      <c r="K11052" s="297">
        <f>J11052/POBLA!$B$11*100000</f>
        <v>112.993404533128</v>
      </c>
      <c r="L11052" s="200">
        <f t="shared" si="1879"/>
        <v>-0.2647821576763485</v>
      </c>
      <c r="M11052" s="401">
        <f>SUM(C11052,C11028,C11004,C10980,C10956,C10932,C10908)/POBLA!$B$11*100000</f>
        <v>790.953831731896</v>
      </c>
    </row>
    <row r="11053" spans="1:14" x14ac:dyDescent="0.25">
      <c r="A11053" s="367" t="s">
        <v>21</v>
      </c>
      <c r="B11053" s="2">
        <v>44353</v>
      </c>
      <c r="C11053" s="4">
        <v>231</v>
      </c>
      <c r="D11053" s="39">
        <f t="shared" si="1871"/>
        <v>18479</v>
      </c>
      <c r="F11053" s="39">
        <f t="shared" si="1875"/>
        <v>557</v>
      </c>
      <c r="G11053" s="168">
        <f>SUM(C11053,C11029,C11005,C10981,C10957,C10933,C10909,C10885,C10861,C10837,C10813,C10789,C10765,C10741)/POBLA!$B$12*100000</f>
        <v>604.27259860087258</v>
      </c>
      <c r="H11053" s="256">
        <f t="shared" si="1874"/>
        <v>1.3101928374655647</v>
      </c>
      <c r="I11053" s="297">
        <f t="shared" si="1878"/>
        <v>791.71363056356745</v>
      </c>
      <c r="J11053" s="422">
        <f t="shared" si="1877"/>
        <v>170</v>
      </c>
      <c r="K11053" s="297">
        <f>J11053/POBLA!$B$12*100000</f>
        <v>43.198629841105273</v>
      </c>
      <c r="L11053" s="200">
        <f t="shared" si="1879"/>
        <v>1.6835016835017313E-3</v>
      </c>
      <c r="M11053" s="401">
        <f>SUM(C11053,C11029,C11005,C10981,C10957,C10933,C10909)/POBLA!$B$12*100000</f>
        <v>302.39040888773695</v>
      </c>
    </row>
    <row r="11054" spans="1:14" x14ac:dyDescent="0.25">
      <c r="A11054" s="367" t="s">
        <v>17</v>
      </c>
      <c r="B11054" s="2">
        <v>44353</v>
      </c>
      <c r="C11054" s="4">
        <v>279</v>
      </c>
      <c r="D11054" s="39">
        <f t="shared" si="1871"/>
        <v>125143</v>
      </c>
      <c r="E11054" s="1">
        <v>9</v>
      </c>
      <c r="F11054" s="39">
        <f t="shared" si="1875"/>
        <v>2742</v>
      </c>
      <c r="G11054" s="168">
        <f>SUM(C11054,C11030,C11006,C10982,C10958,C10934,C10910,C10886,C10862,C10838,C10814,C10790,C10766,C10742)/POBLA!$B$13*100000</f>
        <v>515.99276102852889</v>
      </c>
      <c r="H11054" s="256">
        <f t="shared" si="1874"/>
        <v>0.83857271168449421</v>
      </c>
      <c r="I11054" s="297">
        <f t="shared" si="1878"/>
        <v>432.69744882526265</v>
      </c>
      <c r="J11054" s="422">
        <f t="shared" si="1877"/>
        <v>752.14285714285711</v>
      </c>
      <c r="K11054" s="297">
        <f>J11054/POBLA!$B$13*100000</f>
        <v>37.789704921619197</v>
      </c>
      <c r="L11054" s="200">
        <f t="shared" si="1879"/>
        <v>5.1948051948051965E-2</v>
      </c>
      <c r="M11054" s="401">
        <f>SUM(C11054,C11030,C11006,C10982,C10958,C10934,C10910)/POBLA!$B$13*100000</f>
        <v>264.52793445133437</v>
      </c>
    </row>
    <row r="11055" spans="1:14" x14ac:dyDescent="0.25">
      <c r="A11055" s="367" t="s">
        <v>23</v>
      </c>
      <c r="B11055" s="2">
        <v>44353</v>
      </c>
      <c r="C11055" s="4">
        <v>149</v>
      </c>
      <c r="D11055" s="39">
        <f t="shared" si="1871"/>
        <v>21481</v>
      </c>
      <c r="E11055" s="1">
        <v>5</v>
      </c>
      <c r="F11055" s="39">
        <f t="shared" si="1875"/>
        <v>327</v>
      </c>
      <c r="G11055" s="168">
        <f>SUM(C11055,C11031,C11007,C10983,C10959,C10935,C10911,C10887,C10863,C10839,C10815,C10791,C10767,C10743)/POBLA!$B$14*100000</f>
        <v>195.27564548788783</v>
      </c>
      <c r="H11055" s="256">
        <f t="shared" si="1874"/>
        <v>1.1628895184135977</v>
      </c>
      <c r="I11055" s="297">
        <f t="shared" si="1878"/>
        <v>227.08400133931431</v>
      </c>
      <c r="J11055" s="422">
        <f t="shared" si="1877"/>
        <v>173.85714285714286</v>
      </c>
      <c r="K11055" s="297">
        <f>J11055/POBLA!$B$14*100000</f>
        <v>13.784029961067194</v>
      </c>
      <c r="L11055" s="200">
        <f t="shared" si="1879"/>
        <v>-2.3274478330658099E-2</v>
      </c>
      <c r="M11055" s="401">
        <f>SUM(C11055,C11031,C11007,C10983,C10959,C10935,C10911)/POBLA!$B$14*100000</f>
        <v>96.488209727470363</v>
      </c>
    </row>
    <row r="11056" spans="1:14" x14ac:dyDescent="0.25">
      <c r="A11056" s="367" t="s">
        <v>19</v>
      </c>
      <c r="B11056" s="2">
        <v>44353</v>
      </c>
      <c r="C11056" s="4">
        <v>340</v>
      </c>
      <c r="D11056" s="39">
        <f t="shared" si="1871"/>
        <v>94091</v>
      </c>
      <c r="E11056" s="1">
        <v>1</v>
      </c>
      <c r="F11056" s="39">
        <f t="shared" si="1875"/>
        <v>1419</v>
      </c>
      <c r="G11056" s="168">
        <f>SUM(C11056,C11032,C11008,C10984,C10960,C10936,C10912,C10888,C10864,C10840,C10816,C10792,C10768,C10744)/POBLA!$B$15*100000</f>
        <v>1574.2624503619418</v>
      </c>
      <c r="H11056" s="256">
        <f t="shared" si="1874"/>
        <v>1.1799097065462754</v>
      </c>
      <c r="I11056" s="297">
        <f t="shared" si="1878"/>
        <v>1857.487545833379</v>
      </c>
      <c r="J11056" s="422">
        <f t="shared" si="1877"/>
        <v>648.71428571428567</v>
      </c>
      <c r="K11056" s="297">
        <f>J11056/POBLA!$B$15*100000</f>
        <v>97.689548595118438</v>
      </c>
      <c r="L11056" s="200">
        <f t="shared" si="1879"/>
        <v>-0.23203111787586672</v>
      </c>
      <c r="M11056" s="401">
        <f>SUM(C11056,C11032,C11008,C10984,C10960,C10936,C10912)/POBLA!$B$15*100000</f>
        <v>683.82684016582914</v>
      </c>
    </row>
    <row r="11057" spans="1:13" x14ac:dyDescent="0.25">
      <c r="A11057" s="367" t="s">
        <v>18</v>
      </c>
      <c r="B11057" s="2">
        <v>44353</v>
      </c>
      <c r="C11057" s="4">
        <v>184</v>
      </c>
      <c r="D11057" s="39">
        <f t="shared" si="1871"/>
        <v>76736</v>
      </c>
      <c r="E11057" s="1">
        <v>3</v>
      </c>
      <c r="F11057" s="39">
        <f t="shared" si="1875"/>
        <v>1695</v>
      </c>
      <c r="G11057" s="168">
        <f>SUM(C11057,C11033,C11009,C10985,C10961,C10937,C10913,C10889,C10865,C10841,C10817,C10793,C10769,C10745)/POBLA!$B$16*100000</f>
        <v>888.43113387996414</v>
      </c>
      <c r="H11057" s="256">
        <f t="shared" si="1874"/>
        <v>1.0659605199807414</v>
      </c>
      <c r="I11057" s="297">
        <f t="shared" si="1878"/>
        <v>947.03251343776617</v>
      </c>
      <c r="J11057" s="422">
        <f t="shared" si="1877"/>
        <v>446</v>
      </c>
      <c r="K11057" s="297">
        <f>J11057/POBLA!$B$16*100000</f>
        <v>59.656772916360133</v>
      </c>
      <c r="L11057" s="200">
        <f t="shared" si="1879"/>
        <v>-0.11306818181818179</v>
      </c>
      <c r="M11057" s="401">
        <f>SUM(C11057,C11033,C11009,C10985,C10961,C10937,C10913)/POBLA!$B$16*100000</f>
        <v>417.59741041452094</v>
      </c>
    </row>
    <row r="11058" spans="1:13" x14ac:dyDescent="0.25">
      <c r="A11058" s="367" t="s">
        <v>34</v>
      </c>
      <c r="B11058" s="2">
        <v>44353</v>
      </c>
      <c r="C11058" s="4">
        <v>419</v>
      </c>
      <c r="D11058" s="39">
        <f t="shared" si="1871"/>
        <v>49129</v>
      </c>
      <c r="E11058" s="1">
        <v>1</v>
      </c>
      <c r="F11058" s="39">
        <f t="shared" si="1875"/>
        <v>1442</v>
      </c>
      <c r="G11058" s="168">
        <f>SUM(C11058,C11034,C11010,C10986,C10962,C10938,C10914,C10890,C10866,C10842,C10818,C10794,C10770,C10746)/POBLA!$B$17*100000</f>
        <v>518.04377571702275</v>
      </c>
      <c r="H11058" s="256">
        <f t="shared" ref="H11058:H11081" si="1880">SUM(C11058,C11034,C11010,C10986,C10962,C10938,C10914,C10890,C10866,C10842,C10818,C10794,C10770,C10746)/SUM(C10722,C10698,C10674,C10650,C10626,C10602,C10578,C10554,C10530,C10506,C10482,C10458,C10434,C10410)</f>
        <v>1.3933157099697886</v>
      </c>
      <c r="I11058" s="297">
        <f t="shared" si="1878"/>
        <v>721.79853115859351</v>
      </c>
      <c r="J11058" s="422">
        <f t="shared" si="1877"/>
        <v>596.71428571428567</v>
      </c>
      <c r="K11058" s="297">
        <f>J11058/POBLA!$B$17*100000</f>
        <v>41.89241382243052</v>
      </c>
      <c r="L11058" s="200">
        <f t="shared" si="1879"/>
        <v>0.30449718925671454</v>
      </c>
      <c r="M11058" s="401">
        <f>SUM(C11058,C11034,C11010,C10986,C10962,C10938,C10914)/POBLA!$B$17*100000</f>
        <v>293.24689675701364</v>
      </c>
    </row>
    <row r="11059" spans="1:13" x14ac:dyDescent="0.25">
      <c r="A11059" s="367" t="s">
        <v>35</v>
      </c>
      <c r="B11059" s="2">
        <v>44353</v>
      </c>
      <c r="C11059" s="4">
        <v>135</v>
      </c>
      <c r="D11059" s="39">
        <f t="shared" si="1871"/>
        <v>39625</v>
      </c>
      <c r="E11059" s="1">
        <v>3</v>
      </c>
      <c r="F11059" s="39">
        <f t="shared" si="1875"/>
        <v>667</v>
      </c>
      <c r="G11059" s="168">
        <f>SUM(C11059,C11035,C11011,C10987,C10963,C10939,C10915,C10891,C10867,C10843,C10819,C10795,C10771,C10747)/POBLA!$B$18*100000</f>
        <v>831.90713975758342</v>
      </c>
      <c r="H11059" s="256">
        <f t="shared" si="1880"/>
        <v>0.94462209302325584</v>
      </c>
      <c r="I11059" s="297">
        <f t="shared" si="1878"/>
        <v>785.83786355879863</v>
      </c>
      <c r="J11059" s="422">
        <f t="shared" si="1877"/>
        <v>430.85714285714283</v>
      </c>
      <c r="K11059" s="297">
        <f>J11059/POBLA!$B$18*100000</f>
        <v>55.152043908048967</v>
      </c>
      <c r="L11059" s="200">
        <f t="shared" si="1879"/>
        <v>-0.13407981625035892</v>
      </c>
      <c r="M11059" s="401">
        <f>SUM(C11059,C11035,C11011,C10987,C10963,C10939,C10915)/POBLA!$B$18*100000</f>
        <v>386.06430735634274</v>
      </c>
    </row>
    <row r="11060" spans="1:13" x14ac:dyDescent="0.25">
      <c r="A11060" s="367" t="s">
        <v>36</v>
      </c>
      <c r="B11060" s="2">
        <v>44353</v>
      </c>
      <c r="C11060" s="4">
        <v>435</v>
      </c>
      <c r="D11060" s="39">
        <f t="shared" si="1871"/>
        <v>56119</v>
      </c>
      <c r="F11060" s="39">
        <f t="shared" si="1875"/>
        <v>760</v>
      </c>
      <c r="G11060" s="168">
        <f>SUM(C11060,C11036,C11012,C10988,C10964,C10940,C10916,C10892,C10868,C10844,C10820,C10796,C10772,C10748)/POBLA!$B$19*100000</f>
        <v>1459.4907225256134</v>
      </c>
      <c r="H11060" s="256">
        <f t="shared" si="1880"/>
        <v>1.0231692180388912</v>
      </c>
      <c r="I11060" s="297">
        <f t="shared" si="1878"/>
        <v>1493.3059813015482</v>
      </c>
      <c r="J11060" s="422">
        <f t="shared" si="1877"/>
        <v>512.57142857142856</v>
      </c>
      <c r="K11060" s="297">
        <f>J11060/POBLA!$B$19*100000</f>
        <v>100.83478159208789</v>
      </c>
      <c r="L11060" s="200">
        <f t="shared" si="1879"/>
        <v>-6.3429913860610809E-2</v>
      </c>
      <c r="M11060" s="401">
        <f>SUM(C11060,C11036,C11012,C10988,C10964,C10940,C10916)/POBLA!$B$19*100000</f>
        <v>705.84347114461525</v>
      </c>
    </row>
    <row r="11061" spans="1:13" x14ac:dyDescent="0.25">
      <c r="A11061" s="367" t="s">
        <v>37</v>
      </c>
      <c r="B11061" s="2">
        <v>44353</v>
      </c>
      <c r="C11061" s="4">
        <v>81</v>
      </c>
      <c r="D11061" s="39">
        <f t="shared" si="1871"/>
        <v>52708</v>
      </c>
      <c r="E11061" s="1">
        <v>2</v>
      </c>
      <c r="F11061" s="39">
        <f t="shared" si="1875"/>
        <v>800</v>
      </c>
      <c r="G11061" s="168">
        <f>SUM(C11061,C11037,C11013,C10989,C10965,C10941,C10917,C10893,C10869,C10845,C10821,C10797,C10773,C10749)/POBLA!$B$20*100000</f>
        <v>742.41587320685369</v>
      </c>
      <c r="H11061" s="256">
        <f t="shared" si="1880"/>
        <v>0.79085348092047769</v>
      </c>
      <c r="I11061" s="297">
        <f t="shared" si="1878"/>
        <v>587.14217761625628</v>
      </c>
      <c r="J11061" s="422">
        <f t="shared" si="1877"/>
        <v>197.71428571428572</v>
      </c>
      <c r="K11061" s="297">
        <f>J11061/POBLA!$B$20*100000</f>
        <v>54.064907577915577</v>
      </c>
      <c r="L11061" s="200">
        <f t="shared" si="1879"/>
        <v>3.981968444778361E-2</v>
      </c>
      <c r="M11061" s="401">
        <f>SUM(C11061,C11037,C11013,C10989,C10965,C10941,C10917)/POBLA!$B$20*100000</f>
        <v>378.45435304540905</v>
      </c>
    </row>
    <row r="11062" spans="1:13" x14ac:dyDescent="0.25">
      <c r="A11062" s="367" t="s">
        <v>22</v>
      </c>
      <c r="B11062" s="2">
        <v>44353</v>
      </c>
      <c r="C11062" s="4">
        <v>1504</v>
      </c>
      <c r="D11062" s="39">
        <f t="shared" si="1871"/>
        <v>361787</v>
      </c>
      <c r="E11062" s="1">
        <v>13</v>
      </c>
      <c r="F11062" s="39">
        <f t="shared" si="1875"/>
        <v>5738</v>
      </c>
      <c r="G11062" s="168">
        <f>SUM(C11062,C11038,C11014,C10990,C10966,C10942,C10918,C10894,C10870,C10846,C10822,C10798,C10774,C10750)/POBLA!$B$21*100000</f>
        <v>1108.5228047136961</v>
      </c>
      <c r="H11062" s="256">
        <f t="shared" si="1880"/>
        <v>1.1708030941074574</v>
      </c>
      <c r="I11062" s="297">
        <f t="shared" si="1878"/>
        <v>1297.8619296474722</v>
      </c>
      <c r="J11062" s="422">
        <f t="shared" si="1877"/>
        <v>2735.8571428571427</v>
      </c>
      <c r="K11062" s="297">
        <f>J11062/POBLA!$B$21*100000</f>
        <v>77.362380319779575</v>
      </c>
      <c r="L11062" s="200">
        <f t="shared" si="1879"/>
        <v>-4.4885541868236012E-2</v>
      </c>
      <c r="M11062" s="401">
        <f>SUM(C11062,C11038,C11014,C10990,C10966,C10942,C10918)/POBLA!$B$21*100000</f>
        <v>541.5366622384571</v>
      </c>
    </row>
    <row r="11063" spans="1:13" x14ac:dyDescent="0.25">
      <c r="A11063" s="367" t="s">
        <v>38</v>
      </c>
      <c r="B11063" s="2">
        <v>44353</v>
      </c>
      <c r="C11063" s="4">
        <v>472</v>
      </c>
      <c r="D11063" s="39">
        <f t="shared" si="1871"/>
        <v>47267</v>
      </c>
      <c r="E11063" s="1">
        <v>12</v>
      </c>
      <c r="F11063" s="39">
        <f t="shared" si="1875"/>
        <v>584</v>
      </c>
      <c r="G11063" s="168">
        <f>SUM(C11063,C11039,C11015,C10991,C10967,C10943,C10919,C10895,C10871,C10847,C10823,C10799,C10775,C10751)/POBLA!$B$22*100000</f>
        <v>797.49528014040493</v>
      </c>
      <c r="H11063" s="256">
        <f t="shared" si="1880"/>
        <v>1.171295601261072</v>
      </c>
      <c r="I11063" s="297">
        <f t="shared" si="1878"/>
        <v>934.1027136549227</v>
      </c>
      <c r="J11063" s="422">
        <f t="shared" si="1877"/>
        <v>556.42857142857144</v>
      </c>
      <c r="K11063" s="297">
        <f>J11063/POBLA!$B$22*100000</f>
        <v>56.876334202711348</v>
      </c>
      <c r="L11063" s="200">
        <f t="shared" si="1879"/>
        <v>-3.0714102892244188E-3</v>
      </c>
      <c r="M11063" s="401">
        <f>SUM(C11063,C11039,C11015,C10991,C10967,C10943,C10919)/POBLA!$B$22*100000</f>
        <v>398.13433941897938</v>
      </c>
    </row>
    <row r="11064" spans="1:13" x14ac:dyDescent="0.25">
      <c r="A11064" s="367" t="s">
        <v>39</v>
      </c>
      <c r="B11064" s="2">
        <v>44353</v>
      </c>
      <c r="C11064" s="4">
        <v>40</v>
      </c>
      <c r="D11064" s="39">
        <f t="shared" si="1871"/>
        <v>28818</v>
      </c>
      <c r="F11064" s="39">
        <f t="shared" si="1875"/>
        <v>426</v>
      </c>
      <c r="G11064" s="168">
        <f>SUM(C11064,C11040,C11016,C10992,C10968,C10944,C10920,C10896,C10872,C10848,C10824,C10800,C10776,C10752)/POBLA!$B$23*100000</f>
        <v>433.7499293106373</v>
      </c>
      <c r="H11064" s="256">
        <f t="shared" si="1880"/>
        <v>0.7424975798644724</v>
      </c>
      <c r="I11064" s="297">
        <f t="shared" si="1878"/>
        <v>322.05827277953415</v>
      </c>
      <c r="J11064" s="422">
        <f t="shared" si="1877"/>
        <v>52.571428571428569</v>
      </c>
      <c r="K11064" s="297">
        <f>J11064/POBLA!$B$23*100000</f>
        <v>29.729926240699299</v>
      </c>
      <c r="L11064" s="200">
        <f t="shared" si="1879"/>
        <v>-7.7694235588972482E-2</v>
      </c>
      <c r="M11064" s="401">
        <f>SUM(C11064,C11040,C11016,C10992,C10968,C10944,C10920)/POBLA!$B$23*100000</f>
        <v>208.10948368489511</v>
      </c>
    </row>
    <row r="11065" spans="1:13" ht="15.75" thickBot="1" x14ac:dyDescent="0.3">
      <c r="A11065" s="368" t="s">
        <v>40</v>
      </c>
      <c r="B11065" s="34">
        <v>44353</v>
      </c>
      <c r="C11065" s="27">
        <v>535</v>
      </c>
      <c r="D11065" s="67">
        <f t="shared" si="1871"/>
        <v>135101</v>
      </c>
      <c r="E11065" s="232">
        <v>10</v>
      </c>
      <c r="F11065" s="67">
        <f t="shared" si="1875"/>
        <v>1950</v>
      </c>
      <c r="G11065" s="255">
        <f>SUM(C11065,C11041,C11017,C10993,C10969,C10945,C10921,C10897,C10873,C10849,C10825,C10801,C10777,C10753)/POBLA!$B$24*100000</f>
        <v>815.85879376109369</v>
      </c>
      <c r="H11065" s="257">
        <f t="shared" si="1880"/>
        <v>1.2900998413735187</v>
      </c>
      <c r="I11065" s="299">
        <f t="shared" si="1878"/>
        <v>1052.5393004143773</v>
      </c>
      <c r="J11065" s="428">
        <f t="shared" si="1877"/>
        <v>925.42857142857144</v>
      </c>
      <c r="K11065" s="299">
        <f>J11065/POBLA!$B$24*100000</f>
        <v>54.60863865165387</v>
      </c>
      <c r="L11065" s="260">
        <f t="shared" si="1879"/>
        <v>-0.1183995645073489</v>
      </c>
      <c r="M11065" s="406">
        <f>SUM(C11065,C11041,C11017,C10993,C10969,C10945,C10921)/POBLA!$B$24*100000</f>
        <v>382.26047056157711</v>
      </c>
    </row>
    <row r="11066" spans="1:13" x14ac:dyDescent="0.25">
      <c r="A11066" s="363" t="s">
        <v>16</v>
      </c>
      <c r="B11066" s="265">
        <v>44354</v>
      </c>
      <c r="C11066" s="43">
        <v>7621</v>
      </c>
      <c r="D11066" s="174">
        <f t="shared" si="1871"/>
        <v>1677536</v>
      </c>
      <c r="E11066" s="43">
        <v>322</v>
      </c>
      <c r="F11066" s="174">
        <f t="shared" ref="F11066:F11089" si="1881">E11066+F11042</f>
        <v>42048</v>
      </c>
      <c r="G11066" s="175">
        <f>SUM(C11066,C11042,C11018,C10994,C10970,C10946,C10922,C10898,C10874,C10850,C10826,C10802,C10778,C10754)/POBLA!$B$1*100000</f>
        <v>835.38465371209327</v>
      </c>
      <c r="H11066" s="300">
        <f t="shared" si="1880"/>
        <v>0.98389230201094435</v>
      </c>
      <c r="I11066" s="301">
        <f>G11066*H11066</f>
        <v>821.92853000540708</v>
      </c>
      <c r="J11066" s="421">
        <f>AVERAGE(C11066,C11042,C11018,C10994,C10970,C10946,C10922)</f>
        <v>9607.1428571428569</v>
      </c>
      <c r="K11066" s="301">
        <f>J11066/POBLA!$B$1*100000</f>
        <v>54.769201485484082</v>
      </c>
      <c r="L11066" s="399">
        <f t="shared" si="1879"/>
        <v>-0.15180485836087076</v>
      </c>
      <c r="M11066" s="400">
        <f>SUM(C11066,C11042,C11018,C10994,C10970,C10946,C10922)/POBLA!$B$1*100000</f>
        <v>383.38441039838858</v>
      </c>
    </row>
    <row r="11067" spans="1:13" x14ac:dyDescent="0.25">
      <c r="A11067" s="367" t="s">
        <v>43</v>
      </c>
      <c r="B11067" s="2">
        <v>44354</v>
      </c>
      <c r="C11067" s="1">
        <v>1595</v>
      </c>
      <c r="D11067" s="39">
        <f t="shared" si="1871"/>
        <v>431294</v>
      </c>
      <c r="E11067" s="1">
        <v>72</v>
      </c>
      <c r="F11067" s="39">
        <f t="shared" si="1881"/>
        <v>9448</v>
      </c>
      <c r="G11067" s="168">
        <f>SUM(C11067,C11043,C11019,C10995,C10971,C10947,C10923,C10899,C10875,C10851,C10827,C10803,C10779,C10755)/POBLA!$B$2*100000</f>
        <v>1017.6723849233625</v>
      </c>
      <c r="H11067" s="256">
        <f t="shared" si="1880"/>
        <v>0.8633291959729692</v>
      </c>
      <c r="I11067" s="297">
        <f t="shared" ref="I11067:I11073" si="1882">G11067*H11067</f>
        <v>878.58628183978055</v>
      </c>
      <c r="J11067" s="422">
        <f t="shared" ref="J11067:J11089" si="1883">AVERAGE(C11067,C11043,C11019,C10995,C10971,C10947,C10923)</f>
        <v>1863.4285714285713</v>
      </c>
      <c r="K11067" s="297">
        <f>J11067/POBLA!$B$2*100000</f>
        <v>60.586575029394517</v>
      </c>
      <c r="L11067" s="200">
        <f>(SUM(C11067,C11043,C11019,C10995,C10971,C10947,C10923)/SUM(C10899,C10875,C10851,C10827,C10803,C10779,C10755))-1</f>
        <v>-0.28549517966695881</v>
      </c>
      <c r="M11067" s="401">
        <f>SUM(C11067,C11043,C11019,C10995,C10971,C10947,C10923)/POBLA!$B$2*100000</f>
        <v>424.10602520576168</v>
      </c>
    </row>
    <row r="11068" spans="1:13" x14ac:dyDescent="0.25">
      <c r="A11068" s="367" t="s">
        <v>28</v>
      </c>
      <c r="B11068" s="2">
        <v>44354</v>
      </c>
      <c r="C11068" s="1">
        <v>437</v>
      </c>
      <c r="D11068" s="39">
        <f t="shared" si="1871"/>
        <v>26710</v>
      </c>
      <c r="F11068" s="39">
        <f t="shared" si="1881"/>
        <v>199</v>
      </c>
      <c r="G11068" s="168">
        <f>SUM(C11068,C11044,C11020,C10996,C10972,C10948,C10924,C10900,C10876,C10852,C10828,C10804,C10780,C10756)/POBLA!$B$3*100000</f>
        <v>1421.8728185673915</v>
      </c>
      <c r="H11068" s="256">
        <f t="shared" si="1880"/>
        <v>1.3262236192186798</v>
      </c>
      <c r="I11068" s="297">
        <f t="shared" si="1882"/>
        <v>1885.7213155091113</v>
      </c>
      <c r="J11068" s="422">
        <f t="shared" si="1883"/>
        <v>424</v>
      </c>
      <c r="K11068" s="297">
        <f>J11068/POBLA!$B$3*100000</f>
        <v>102.06095735103675</v>
      </c>
      <c r="L11068" s="200">
        <f t="shared" si="1879"/>
        <v>9.867301803334394E-3</v>
      </c>
      <c r="M11068" s="401">
        <f>SUM(C11068,C11044,C11020,C10996,C10972,C10948,C10924)/POBLA!$B$3*100000</f>
        <v>714.4267014572572</v>
      </c>
    </row>
    <row r="11069" spans="1:13" x14ac:dyDescent="0.25">
      <c r="A11069" s="367" t="s">
        <v>15</v>
      </c>
      <c r="B11069" s="2">
        <v>44354</v>
      </c>
      <c r="C11069" s="1">
        <v>506</v>
      </c>
      <c r="D11069" s="39">
        <f t="shared" si="1871"/>
        <v>63332</v>
      </c>
      <c r="E11069" s="1">
        <v>16</v>
      </c>
      <c r="F11069" s="39">
        <f t="shared" si="1881"/>
        <v>1325</v>
      </c>
      <c r="G11069" s="168">
        <f>SUM(C11069,C11045,C11021,C10997,C10973,C10949,C10925,C10901,C10877,C10853,C10829,C10805,C10781,C10757)/POBLA!$B$4*100000</f>
        <v>786.02554832089572</v>
      </c>
      <c r="H11069" s="256">
        <f t="shared" si="1880"/>
        <v>1.4114490161001789</v>
      </c>
      <c r="I11069" s="297">
        <f t="shared" si="1882"/>
        <v>1109.434986807132</v>
      </c>
      <c r="J11069" s="422">
        <f t="shared" si="1883"/>
        <v>732.14285714285711</v>
      </c>
      <c r="K11069" s="297">
        <f>J11069/POBLA!$B$4*100000</f>
        <v>60.781895937361796</v>
      </c>
      <c r="L11069" s="200">
        <f t="shared" si="1879"/>
        <v>0.18005986645176142</v>
      </c>
      <c r="M11069" s="401">
        <f>SUM(C11069,C11045,C11021,C10997,C10973,C10949,C10925)/POBLA!$B$4*100000</f>
        <v>425.47327156153256</v>
      </c>
    </row>
    <row r="11070" spans="1:13" x14ac:dyDescent="0.25">
      <c r="A11070" s="367" t="s">
        <v>29</v>
      </c>
      <c r="B11070" s="2">
        <v>44354</v>
      </c>
      <c r="C11070" s="1">
        <v>245</v>
      </c>
      <c r="D11070" s="39">
        <f t="shared" si="1871"/>
        <v>65512</v>
      </c>
      <c r="E11070" s="1">
        <v>5</v>
      </c>
      <c r="F11070" s="39">
        <f t="shared" si="1881"/>
        <v>1083</v>
      </c>
      <c r="G11070" s="168">
        <f>SUM(C11070,C11046,C11022,C10998,C10974,C10950,C10926,C10902,C10878,C10854,C10830,C10806,C10782,C10758)/POBLA!$B$5*100000</f>
        <v>847.98883349434732</v>
      </c>
      <c r="H11070" s="256">
        <f t="shared" si="1880"/>
        <v>1.4232646420824295</v>
      </c>
      <c r="I11070" s="297">
        <f t="shared" si="1882"/>
        <v>1206.9125235932293</v>
      </c>
      <c r="J11070" s="422">
        <f t="shared" si="1883"/>
        <v>395.14285714285717</v>
      </c>
      <c r="K11070" s="297">
        <f>J11070/POBLA!$B$5*100000</f>
        <v>63.836298436310713</v>
      </c>
      <c r="L11070" s="200">
        <f t="shared" si="1879"/>
        <v>0.11397503020539679</v>
      </c>
      <c r="M11070" s="401">
        <f>SUM(C11070,C11046,C11022,C10998,C10974,C10950,C10926)/POBLA!$B$5*100000</f>
        <v>446.85408905417495</v>
      </c>
    </row>
    <row r="11071" spans="1:13" x14ac:dyDescent="0.25">
      <c r="A11071" s="367" t="s">
        <v>30</v>
      </c>
      <c r="B11071" s="2">
        <v>44354</v>
      </c>
      <c r="C11071" s="1">
        <v>310</v>
      </c>
      <c r="D11071" s="39">
        <f t="shared" si="1871"/>
        <v>54947</v>
      </c>
      <c r="E11071" s="1">
        <v>13</v>
      </c>
      <c r="F11071" s="39">
        <f t="shared" si="1881"/>
        <v>650</v>
      </c>
      <c r="G11071" s="168">
        <f>SUM(C11071,C11047,C11023,C10999,C10975,C10951,C10927,C10903,C10879,C10855,C10831,C10807,C10783,C10759)/POBLA!$B$6*100000</f>
        <v>636.1521804495178</v>
      </c>
      <c r="H11071" s="256">
        <f t="shared" si="1880"/>
        <v>0.84548796395114434</v>
      </c>
      <c r="I11071" s="297">
        <f t="shared" si="1882"/>
        <v>537.85901181134375</v>
      </c>
      <c r="J11071" s="422">
        <f t="shared" si="1883"/>
        <v>499</v>
      </c>
      <c r="K11071" s="297">
        <f>J11071/POBLA!$B$6*100000</f>
        <v>44.521730440997104</v>
      </c>
      <c r="L11071" s="200">
        <f t="shared" si="1879"/>
        <v>-3.9593071212537856E-2</v>
      </c>
      <c r="M11071" s="401">
        <f>SUM(C11071,C11047,C11023,C10999,C10975,C10951,C10927)/POBLA!$B$6*100000</f>
        <v>311.6521130869798</v>
      </c>
    </row>
    <row r="11072" spans="1:13" x14ac:dyDescent="0.25">
      <c r="A11072" s="367" t="s">
        <v>20</v>
      </c>
      <c r="B11072" s="2">
        <v>44354</v>
      </c>
      <c r="C11072" s="1">
        <v>2957</v>
      </c>
      <c r="D11072" s="39">
        <f t="shared" si="1871"/>
        <v>341418</v>
      </c>
      <c r="E11072" s="1">
        <v>54</v>
      </c>
      <c r="F11072" s="39">
        <f t="shared" si="1881"/>
        <v>4176</v>
      </c>
      <c r="G11072" s="168">
        <f>SUM(C11072,C11048,C11024,C11000,C10976,C10952,C10928,C10904,C10880,C10856,C10832,C10808,C10784,C10760)/POBLA!$B$7*100000</f>
        <v>1528.247949048651</v>
      </c>
      <c r="H11072" s="256">
        <f t="shared" si="1880"/>
        <v>1.3694507327534851</v>
      </c>
      <c r="I11072" s="297">
        <f t="shared" si="1882"/>
        <v>2092.8602736536859</v>
      </c>
      <c r="J11072" s="422">
        <f t="shared" si="1883"/>
        <v>4217.1428571428569</v>
      </c>
      <c r="K11072" s="297">
        <f>J11072/POBLA!$B$7*100000</f>
        <v>112.14463314610903</v>
      </c>
      <c r="L11072" s="200">
        <f t="shared" si="1879"/>
        <v>5.6209524491037222E-2</v>
      </c>
      <c r="M11072" s="401">
        <f>SUM(C11072,C11048,C11024,C11000,C10976,C10952,C10928)/POBLA!$B$7*100000</f>
        <v>785.01243202276328</v>
      </c>
    </row>
    <row r="11073" spans="1:13" x14ac:dyDescent="0.25">
      <c r="A11073" s="367" t="s">
        <v>31</v>
      </c>
      <c r="B11073" s="2">
        <v>44354</v>
      </c>
      <c r="C11073" s="1">
        <v>670</v>
      </c>
      <c r="D11073" s="39">
        <f t="shared" si="1871"/>
        <v>92379</v>
      </c>
      <c r="E11073" s="1">
        <v>16</v>
      </c>
      <c r="F11073" s="39">
        <f t="shared" si="1881"/>
        <v>1423</v>
      </c>
      <c r="G11073" s="168">
        <f>SUM(C11073,C11049,C11025,C11001,C10977,C10953,C10929,C10905,C10881,C10857,C10833,C10809,C10785,C10761)/POBLA!$B$8*100000</f>
        <v>979.46479013478734</v>
      </c>
      <c r="H11073" s="256">
        <f t="shared" si="1880"/>
        <v>1.2392733248128538</v>
      </c>
      <c r="I11073" s="297">
        <f t="shared" si="1882"/>
        <v>1213.824587007462</v>
      </c>
      <c r="J11073" s="422">
        <f t="shared" si="1883"/>
        <v>942.57142857142856</v>
      </c>
      <c r="K11073" s="297">
        <f>J11073/POBLA!$B$8*100000</f>
        <v>68.008510237404124</v>
      </c>
      <c r="L11073" s="200">
        <f t="shared" si="1879"/>
        <v>-5.432134155080981E-2</v>
      </c>
      <c r="M11073" s="401">
        <f>SUM(C11073,C11049,C11025,C11001,C10977,C10953,C10929)/POBLA!$B$8*100000</f>
        <v>476.05957166182884</v>
      </c>
    </row>
    <row r="11074" spans="1:13" x14ac:dyDescent="0.25">
      <c r="A11074" s="367" t="s">
        <v>41</v>
      </c>
      <c r="B11074" s="2">
        <v>44354</v>
      </c>
      <c r="C11074" s="1">
        <v>474</v>
      </c>
      <c r="D11074" s="39">
        <f t="shared" si="1871"/>
        <v>35736</v>
      </c>
      <c r="E11074" s="1">
        <v>9</v>
      </c>
      <c r="F11074" s="39">
        <f t="shared" si="1881"/>
        <v>568</v>
      </c>
      <c r="G11074" s="168">
        <f>SUM(C11074,C11050,C11026,C11002,C10978,C10954,C10930,C10906,C10882,C10858,C10834,C10810,C10786,C10762)/POBLA!$B$9*100000</f>
        <v>1951.4435890699331</v>
      </c>
      <c r="H11074" s="256">
        <f t="shared" si="1880"/>
        <v>0.66066234056835982</v>
      </c>
      <c r="I11074" s="297">
        <f>G11074*H11074</f>
        <v>1289.2452890420625</v>
      </c>
      <c r="J11074" s="422">
        <f t="shared" si="1883"/>
        <v>747</v>
      </c>
      <c r="K11074" s="297">
        <f>J11074/POBLA!$B$9*100000</f>
        <v>123.43169864819984</v>
      </c>
      <c r="L11074" s="200">
        <f>(SUM(C11074,C11050,C11026,C11002,C10978,C10954,C10930)/SUM(C10906,C10882,C10858,C10834,C10810,C10786,C10762))-1</f>
        <v>-0.20543990275034185</v>
      </c>
      <c r="M11074" s="401">
        <f>SUM(C11074,C11050,C11026,C11002,C10978,C10954,C10930)/POBLA!$B$9*100000</f>
        <v>864.02189053739869</v>
      </c>
    </row>
    <row r="11075" spans="1:13" x14ac:dyDescent="0.25">
      <c r="A11075" s="367" t="s">
        <v>32</v>
      </c>
      <c r="B11075" s="2">
        <v>44354</v>
      </c>
      <c r="C11075" s="1">
        <v>289</v>
      </c>
      <c r="D11075" s="39">
        <f t="shared" si="1871"/>
        <v>30021</v>
      </c>
      <c r="F11075" s="39">
        <f t="shared" si="1881"/>
        <v>1092</v>
      </c>
      <c r="G11075" s="168">
        <f>SUM(C11075,C11051,C11027,C11003,C10979,C10955,C10931,C10907,C10883,C10859,C10835,C10811,C10787,C10763)/POBLA!$B$10*100000</f>
        <v>360.23718317094335</v>
      </c>
      <c r="H11075" s="256">
        <f t="shared" si="1880"/>
        <v>1.805591677503251</v>
      </c>
      <c r="I11075" s="297">
        <f t="shared" ref="I11075:I11089" si="1884">G11075*H11075</f>
        <v>650.44125986066956</v>
      </c>
      <c r="J11075" s="422">
        <f t="shared" si="1883"/>
        <v>236</v>
      </c>
      <c r="K11075" s="297">
        <f>J11075/POBLA!$B$10*100000</f>
        <v>30.614323092669295</v>
      </c>
      <c r="L11075" s="200">
        <f t="shared" ref="L11075:L11090" si="1885">(SUM(C11075,C11051,C11027,C11003,C10979,C10955,C10931)/SUM(C10907,C10883,C10859,C10835,C10811,C10787,C10763))-1</f>
        <v>0.46844444444444444</v>
      </c>
      <c r="M11075" s="401">
        <f>SUM(C11075,C11051,C11027,C11003,C10979,C10955,C10931)/POBLA!$B$10*100000</f>
        <v>214.30026164868508</v>
      </c>
    </row>
    <row r="11076" spans="1:13" x14ac:dyDescent="0.25">
      <c r="A11076" s="367" t="s">
        <v>33</v>
      </c>
      <c r="B11076" s="2">
        <v>44354</v>
      </c>
      <c r="C11076" s="1">
        <v>418</v>
      </c>
      <c r="D11076" s="39">
        <f t="shared" si="1871"/>
        <v>45591</v>
      </c>
      <c r="E11076" s="1">
        <v>6</v>
      </c>
      <c r="F11076" s="39">
        <f t="shared" si="1881"/>
        <v>601</v>
      </c>
      <c r="G11076" s="168">
        <f>SUM(C11076,C11052,C11028,C11004,C10980,C10956,C10932,C10908,C10884,C10860,C10836,C10812,C10788,C10764)/POBLA!$B$11*100000</f>
        <v>1800.0825828339305</v>
      </c>
      <c r="H11076" s="256">
        <f t="shared" si="1880"/>
        <v>0.74693216022227371</v>
      </c>
      <c r="I11076" s="297">
        <f t="shared" si="1884"/>
        <v>1344.5395721746377</v>
      </c>
      <c r="J11076" s="422">
        <f t="shared" si="1883"/>
        <v>394.71428571428572</v>
      </c>
      <c r="K11076" s="297">
        <f>J11076/POBLA!$B$11*100000</f>
        <v>110.12373076720729</v>
      </c>
      <c r="L11076" s="200">
        <f t="shared" si="1885"/>
        <v>-0.25101653564651671</v>
      </c>
      <c r="M11076" s="401">
        <f>SUM(C11076,C11052,C11028,C11004,C10980,C10956,C10932)/POBLA!$B$11*100000</f>
        <v>770.86611537045098</v>
      </c>
    </row>
    <row r="11077" spans="1:13" x14ac:dyDescent="0.25">
      <c r="A11077" s="367" t="s">
        <v>21</v>
      </c>
      <c r="B11077" s="2">
        <v>44354</v>
      </c>
      <c r="C11077" s="1">
        <v>141</v>
      </c>
      <c r="D11077" s="39">
        <f t="shared" si="1871"/>
        <v>18620</v>
      </c>
      <c r="E11077" s="1">
        <v>23</v>
      </c>
      <c r="F11077" s="39">
        <f t="shared" si="1881"/>
        <v>580</v>
      </c>
      <c r="G11077" s="168">
        <f>SUM(C11077,C11053,C11029,C11005,C10981,C10957,C10933,C10909,C10885,C10861,C10837,C10813,C10789,C10765)/POBLA!$B$12*100000</f>
        <v>591.05890006124037</v>
      </c>
      <c r="H11077" s="256">
        <f t="shared" si="1880"/>
        <v>1.2152560083594566</v>
      </c>
      <c r="I11077" s="297">
        <f t="shared" si="1884"/>
        <v>718.28787959375393</v>
      </c>
      <c r="J11077" s="422">
        <f t="shared" si="1883"/>
        <v>174.14285714285714</v>
      </c>
      <c r="K11077" s="297">
        <f>J11077/POBLA!$B$12*100000</f>
        <v>44.251369559922125</v>
      </c>
      <c r="L11077" s="200">
        <f t="shared" si="1885"/>
        <v>0.10117434507678413</v>
      </c>
      <c r="M11077" s="401">
        <f>SUM(C11077,C11053,C11029,C11005,C10981,C10957,C10933)/POBLA!$B$12*100000</f>
        <v>309.75958691945488</v>
      </c>
    </row>
    <row r="11078" spans="1:13" ht="12.75" customHeight="1" x14ac:dyDescent="0.25">
      <c r="A11078" s="367" t="s">
        <v>17</v>
      </c>
      <c r="B11078" s="2">
        <v>44354</v>
      </c>
      <c r="C11078" s="1">
        <v>658</v>
      </c>
      <c r="D11078" s="39">
        <f t="shared" si="1871"/>
        <v>125801</v>
      </c>
      <c r="E11078" s="1">
        <v>27</v>
      </c>
      <c r="F11078" s="39">
        <f t="shared" si="1881"/>
        <v>2769</v>
      </c>
      <c r="G11078" s="168">
        <f>SUM(C11078,C11054,C11030,C11006,C10982,C10958,C10934,C10910,C10886,C10862,C10838,C10814,C10790,C10766)/POBLA!$B$13*100000</f>
        <v>532.47237403898237</v>
      </c>
      <c r="H11078" s="256">
        <f t="shared" si="1880"/>
        <v>0.90287953654796382</v>
      </c>
      <c r="I11078" s="297">
        <f t="shared" si="1884"/>
        <v>480.75841029691043</v>
      </c>
      <c r="J11078" s="422">
        <f t="shared" si="1883"/>
        <v>733.57142857142856</v>
      </c>
      <c r="K11078" s="297">
        <f>J11078/POBLA!$B$13*100000</f>
        <v>36.856625787752058</v>
      </c>
      <c r="L11078" s="200">
        <f t="shared" si="1885"/>
        <v>-6.004027091341757E-2</v>
      </c>
      <c r="M11078" s="401">
        <f>SUM(C11078,C11054,C11030,C11006,C10982,C10958,C10934)/POBLA!$B$13*100000</f>
        <v>257.99638051426444</v>
      </c>
    </row>
    <row r="11079" spans="1:13" x14ac:dyDescent="0.25">
      <c r="A11079" s="367" t="s">
        <v>23</v>
      </c>
      <c r="B11079" s="2">
        <v>44354</v>
      </c>
      <c r="C11079" s="1">
        <v>194</v>
      </c>
      <c r="D11079" s="39">
        <f t="shared" si="1871"/>
        <v>21675</v>
      </c>
      <c r="E11079" s="1">
        <v>4</v>
      </c>
      <c r="F11079" s="39">
        <f t="shared" si="1881"/>
        <v>331</v>
      </c>
      <c r="G11079" s="168">
        <f>SUM(C11079,C11055,C11031,C11007,C10983,C10959,C10935,C10911,C10887,C10863,C10839,C10815,C10791,C10767)/POBLA!$B$14*100000</f>
        <v>202.41117455565472</v>
      </c>
      <c r="H11079" s="256">
        <f t="shared" si="1880"/>
        <v>1.2393203883495145</v>
      </c>
      <c r="I11079" s="297">
        <f t="shared" si="1884"/>
        <v>250.85229545659539</v>
      </c>
      <c r="J11079" s="422">
        <f t="shared" si="1883"/>
        <v>174.28571428571428</v>
      </c>
      <c r="K11079" s="297">
        <f>J11079/POBLA!$B$14*100000</f>
        <v>13.818008670913702</v>
      </c>
      <c r="L11079" s="200">
        <f t="shared" si="1885"/>
        <v>-8.4771192798199557E-2</v>
      </c>
      <c r="M11079" s="401">
        <f>SUM(C11079,C11055,C11031,C11007,C10983,C10959,C10935)/POBLA!$B$14*100000</f>
        <v>96.726060696395919</v>
      </c>
    </row>
    <row r="11080" spans="1:13" x14ac:dyDescent="0.25">
      <c r="A11080" s="367" t="s">
        <v>19</v>
      </c>
      <c r="B11080" s="2">
        <v>44354</v>
      </c>
      <c r="C11080" s="1">
        <v>532</v>
      </c>
      <c r="D11080" s="39">
        <f t="shared" si="1871"/>
        <v>94623</v>
      </c>
      <c r="E11080" s="1">
        <v>17</v>
      </c>
      <c r="F11080" s="39">
        <f t="shared" si="1881"/>
        <v>1436</v>
      </c>
      <c r="G11080" s="168">
        <f>SUM(C11080,C11056,C11032,C11008,C10984,C10960,C10936,C10912,C10888,C10864,C10840,C10816,C10792,C10768)/POBLA!$B$15*100000</f>
        <v>1524.718510609782</v>
      </c>
      <c r="H11080" s="256">
        <f t="shared" si="1880"/>
        <v>1.0916442048517521</v>
      </c>
      <c r="I11080" s="297">
        <f t="shared" si="1884"/>
        <v>1664.4501261373632</v>
      </c>
      <c r="J11080" s="422">
        <f t="shared" si="1883"/>
        <v>602.14285714285711</v>
      </c>
      <c r="K11080" s="297">
        <f>J11080/POBLA!$B$15*100000</f>
        <v>90.676381265893909</v>
      </c>
      <c r="L11080" s="200">
        <f t="shared" si="1885"/>
        <v>-0.28680203045685282</v>
      </c>
      <c r="M11080" s="401">
        <f>SUM(C11080,C11056,C11032,C11008,C10984,C10960,C10936)/POBLA!$B$15*100000</f>
        <v>634.73466886125743</v>
      </c>
    </row>
    <row r="11081" spans="1:13" x14ac:dyDescent="0.25">
      <c r="A11081" s="367" t="s">
        <v>18</v>
      </c>
      <c r="B11081" s="2">
        <v>44354</v>
      </c>
      <c r="C11081" s="1">
        <v>389</v>
      </c>
      <c r="D11081" s="39">
        <f t="shared" si="1871"/>
        <v>77125</v>
      </c>
      <c r="E11081" s="1">
        <v>9</v>
      </c>
      <c r="F11081" s="39">
        <f t="shared" si="1881"/>
        <v>1704</v>
      </c>
      <c r="G11081" s="168">
        <f>SUM(C11081,C11057,C11033,C11009,C10985,C10961,C10937,C10913,C10889,C10865,C10841,C10817,C10793,C10769)/POBLA!$B$16*100000</f>
        <v>883.61578898088578</v>
      </c>
      <c r="H11081" s="256">
        <f t="shared" si="1880"/>
        <v>1.0434370557573842</v>
      </c>
      <c r="I11081" s="297">
        <f t="shared" si="1884"/>
        <v>921.9974572749536</v>
      </c>
      <c r="J11081" s="422">
        <f t="shared" si="1883"/>
        <v>416.14285714285717</v>
      </c>
      <c r="K11081" s="297">
        <f>J11081/POBLA!$B$16*100000</f>
        <v>55.663094011965747</v>
      </c>
      <c r="L11081" s="200">
        <f t="shared" si="1885"/>
        <v>-0.21121039805036557</v>
      </c>
      <c r="M11081" s="401">
        <f>SUM(C11081,C11057,C11033,C11009,C10985,C10961,C10937)/POBLA!$B$16*100000</f>
        <v>389.64165808376026</v>
      </c>
    </row>
    <row r="11082" spans="1:13" x14ac:dyDescent="0.25">
      <c r="A11082" s="367" t="s">
        <v>34</v>
      </c>
      <c r="B11082" s="2">
        <v>44354</v>
      </c>
      <c r="C11082" s="1">
        <v>348</v>
      </c>
      <c r="D11082" s="39">
        <f t="shared" si="1871"/>
        <v>49477</v>
      </c>
      <c r="E11082" s="1">
        <v>8</v>
      </c>
      <c r="F11082" s="39">
        <f t="shared" si="1881"/>
        <v>1450</v>
      </c>
      <c r="G11082" s="168">
        <f>SUM(C11082,C11058,C11034,C11010,C10986,C10962,C10938,C10914,C10890,C10866,C10842,C10818,C10794,C10770)/POBLA!$B$17*100000</f>
        <v>517.55233969181347</v>
      </c>
      <c r="H11082" s="256">
        <f t="shared" ref="H11082:H11105" si="1886">SUM(C11082,C11058,C11034,C11010,C10986,C10962,C10938,C10914,C10890,C10866,C10842,C10818,C10794,C10770)/SUM(C10746,C10722,C10698,C10674,C10650,C10626,C10602,C10578,C10554,C10530,C10506,C10482,C10458,C10434)</f>
        <v>1.3733233979135619</v>
      </c>
      <c r="I11082" s="297">
        <f t="shared" si="1884"/>
        <v>710.76673774367532</v>
      </c>
      <c r="J11082" s="422">
        <f t="shared" si="1883"/>
        <v>585.42857142857144</v>
      </c>
      <c r="K11082" s="297">
        <f>J11082/POBLA!$B$17*100000</f>
        <v>41.100098598113554</v>
      </c>
      <c r="L11082" s="200">
        <f t="shared" si="1885"/>
        <v>0.25167990226023207</v>
      </c>
      <c r="M11082" s="401">
        <f>SUM(C11082,C11058,C11034,C11010,C10986,C10962,C10938)/POBLA!$B$17*100000</f>
        <v>287.70069018679487</v>
      </c>
    </row>
    <row r="11083" spans="1:13" x14ac:dyDescent="0.25">
      <c r="A11083" s="367" t="s">
        <v>35</v>
      </c>
      <c r="B11083" s="2">
        <v>44354</v>
      </c>
      <c r="C11083" s="1">
        <v>471</v>
      </c>
      <c r="D11083" s="39">
        <f t="shared" si="1871"/>
        <v>40096</v>
      </c>
      <c r="E11083" s="1">
        <v>19</v>
      </c>
      <c r="F11083" s="39">
        <f t="shared" si="1881"/>
        <v>686</v>
      </c>
      <c r="G11083" s="168">
        <f>SUM(C11083,C11059,C11035,C11011,C10987,C10963,C10939,C10915,C10891,C10867,C10843,C10819,C10795,C10771)/POBLA!$B$18*100000</f>
        <v>858.53226440284845</v>
      </c>
      <c r="H11083" s="256">
        <f t="shared" si="1886"/>
        <v>0.97983929875821763</v>
      </c>
      <c r="I11083" s="297">
        <f t="shared" si="1884"/>
        <v>841.22365191379174</v>
      </c>
      <c r="J11083" s="422">
        <f t="shared" si="1883"/>
        <v>439.71428571428572</v>
      </c>
      <c r="K11083" s="297">
        <f>J11083/POBLA!$B$18*100000</f>
        <v>56.28580608387756</v>
      </c>
      <c r="L11083" s="200">
        <f t="shared" si="1885"/>
        <v>-0.15183246073298429</v>
      </c>
      <c r="M11083" s="401">
        <f>SUM(C11083,C11059,C11035,C11011,C10987,C10963,C10939)/POBLA!$B$18*100000</f>
        <v>394.00064258714286</v>
      </c>
    </row>
    <row r="11084" spans="1:13" x14ac:dyDescent="0.25">
      <c r="A11084" s="367" t="s">
        <v>36</v>
      </c>
      <c r="B11084" s="2">
        <v>44354</v>
      </c>
      <c r="C11084" s="1">
        <v>572</v>
      </c>
      <c r="D11084" s="39">
        <f t="shared" si="1871"/>
        <v>56691</v>
      </c>
      <c r="E11084" s="1">
        <v>16</v>
      </c>
      <c r="F11084" s="39">
        <f t="shared" si="1881"/>
        <v>776</v>
      </c>
      <c r="G11084" s="168">
        <f>SUM(C11084,C11060,C11036,C11012,C10988,C10964,C10940,C10916,C10892,C10868,C10844,C10820,C10796,C10772)/POBLA!$B$19*100000</f>
        <v>1449.6545537526952</v>
      </c>
      <c r="H11084" s="256">
        <f t="shared" si="1886"/>
        <v>0.98912751677852351</v>
      </c>
      <c r="I11084" s="297">
        <f t="shared" si="1884"/>
        <v>1433.8932089400821</v>
      </c>
      <c r="J11084" s="422">
        <f t="shared" si="1883"/>
        <v>518.28571428571433</v>
      </c>
      <c r="K11084" s="297">
        <f>J11084/POBLA!$B$19*100000</f>
        <v>101.95891516613571</v>
      </c>
      <c r="L11084" s="200">
        <f t="shared" si="1885"/>
        <v>-3.0205827318898648E-2</v>
      </c>
      <c r="M11084" s="401">
        <f>SUM(C11084,C11060,C11036,C11012,C10988,C10964,C10940)/POBLA!$B$19*100000</f>
        <v>713.71240616294995</v>
      </c>
    </row>
    <row r="11085" spans="1:13" x14ac:dyDescent="0.25">
      <c r="A11085" s="367" t="s">
        <v>37</v>
      </c>
      <c r="B11085" s="2">
        <v>44354</v>
      </c>
      <c r="C11085" s="1">
        <v>119</v>
      </c>
      <c r="D11085" s="39">
        <f t="shared" si="1871"/>
        <v>52827</v>
      </c>
      <c r="E11085" s="1">
        <v>3</v>
      </c>
      <c r="F11085" s="39">
        <f t="shared" si="1881"/>
        <v>803</v>
      </c>
      <c r="G11085" s="168">
        <f>SUM(C11085,C11061,C11037,C11013,C10989,C10965,C10941,C10917,C10893,C10869,C10845,C10821,C10797,C10773)/POBLA!$B$20*100000</f>
        <v>732.0247854787284</v>
      </c>
      <c r="H11085" s="256">
        <f t="shared" si="1886"/>
        <v>0.80005977286312013</v>
      </c>
      <c r="I11085" s="297">
        <f t="shared" si="1884"/>
        <v>585.66358360028573</v>
      </c>
      <c r="J11085" s="422">
        <f t="shared" si="1883"/>
        <v>183.57142857142858</v>
      </c>
      <c r="K11085" s="297">
        <f>J11085/POBLA!$B$20*100000</f>
        <v>50.197547859553126</v>
      </c>
      <c r="L11085" s="200">
        <f t="shared" si="1885"/>
        <v>-7.6867816091954033E-2</v>
      </c>
      <c r="M11085" s="401">
        <f>SUM(C11085,C11061,C11037,C11013,C10989,C10965,C10941)/POBLA!$B$20*100000</f>
        <v>351.38283501687181</v>
      </c>
    </row>
    <row r="11086" spans="1:13" x14ac:dyDescent="0.25">
      <c r="A11086" s="367" t="s">
        <v>22</v>
      </c>
      <c r="B11086" s="2">
        <v>44354</v>
      </c>
      <c r="C11086" s="1">
        <v>1763</v>
      </c>
      <c r="D11086" s="39">
        <f t="shared" si="1871"/>
        <v>363550</v>
      </c>
      <c r="E11086" s="1">
        <v>49</v>
      </c>
      <c r="F11086" s="39">
        <f t="shared" si="1881"/>
        <v>5787</v>
      </c>
      <c r="G11086" s="168">
        <f>SUM(C11086,C11062,C11038,C11014,C10990,C10966,C10942,C10918,C10894,C10870,C10846,C10822,C10798,C10774)/POBLA!$B$21*100000</f>
        <v>1098.8237250234561</v>
      </c>
      <c r="H11086" s="256">
        <f t="shared" si="1886"/>
        <v>1.13185948968892</v>
      </c>
      <c r="I11086" s="297">
        <f t="shared" si="1884"/>
        <v>1243.7140606631272</v>
      </c>
      <c r="J11086" s="422">
        <f t="shared" si="1883"/>
        <v>2639.8571428571427</v>
      </c>
      <c r="K11086" s="297">
        <f>J11086/POBLA!$B$21*100000</f>
        <v>74.647769094522843</v>
      </c>
      <c r="L11086" s="200">
        <f t="shared" si="1885"/>
        <v>-9.3277723258096135E-2</v>
      </c>
      <c r="M11086" s="401">
        <f>SUM(C11086,C11062,C11038,C11014,C10990,C10966,C10942)/POBLA!$B$21*100000</f>
        <v>522.53438366165994</v>
      </c>
    </row>
    <row r="11087" spans="1:13" x14ac:dyDescent="0.25">
      <c r="A11087" s="367" t="s">
        <v>38</v>
      </c>
      <c r="B11087" s="2">
        <v>44354</v>
      </c>
      <c r="C11087" s="1">
        <v>460</v>
      </c>
      <c r="D11087" s="39">
        <f t="shared" si="1871"/>
        <v>47727</v>
      </c>
      <c r="E11087" s="1">
        <v>12</v>
      </c>
      <c r="F11087" s="39">
        <f t="shared" si="1881"/>
        <v>596</v>
      </c>
      <c r="G11087" s="168">
        <f>SUM(C11087,C11063,C11039,C11015,C10991,C10967,C10943,C10919,C10895,C10871,C10847,C10823,C10799,C10775)/POBLA!$B$22*100000</f>
        <v>778.58517672769347</v>
      </c>
      <c r="H11087" s="256">
        <f t="shared" si="1886"/>
        <v>1.0753917831427362</v>
      </c>
      <c r="I11087" s="297">
        <f t="shared" si="1884"/>
        <v>837.28410152969673</v>
      </c>
      <c r="J11087" s="422">
        <f t="shared" si="1883"/>
        <v>544.28571428571433</v>
      </c>
      <c r="K11087" s="297">
        <f>J11087/POBLA!$B$22*100000</f>
        <v>55.635130503807503</v>
      </c>
      <c r="L11087" s="200">
        <f t="shared" si="1885"/>
        <v>7.8802206461769941E-4</v>
      </c>
      <c r="M11087" s="401">
        <f>SUM(C11087,C11063,C11039,C11015,C10991,C10967,C10943)/POBLA!$B$22*100000</f>
        <v>389.44591352665253</v>
      </c>
    </row>
    <row r="11088" spans="1:13" x14ac:dyDescent="0.25">
      <c r="A11088" s="367" t="s">
        <v>39</v>
      </c>
      <c r="B11088" s="2">
        <v>44354</v>
      </c>
      <c r="C11088" s="1">
        <v>25</v>
      </c>
      <c r="D11088" s="39">
        <f t="shared" si="1871"/>
        <v>28843</v>
      </c>
      <c r="E11088" s="1">
        <v>1</v>
      </c>
      <c r="F11088" s="39">
        <f t="shared" si="1881"/>
        <v>427</v>
      </c>
      <c r="G11088" s="168">
        <f>SUM(C11088,C11064,C11040,C11016,C10992,C10968,C10944,C10920,C10896,C10872,C10848,C10824,C10800,C10776)/POBLA!$B$23*100000</f>
        <v>439.97059322513144</v>
      </c>
      <c r="H11088" s="256">
        <f t="shared" si="1886"/>
        <v>0.77106045589692762</v>
      </c>
      <c r="I11088" s="297">
        <f t="shared" si="1884"/>
        <v>339.24392619341154</v>
      </c>
      <c r="J11088" s="422">
        <f t="shared" si="1883"/>
        <v>52</v>
      </c>
      <c r="K11088" s="297">
        <f>J11088/POBLA!$B$23*100000</f>
        <v>29.406774868517783</v>
      </c>
      <c r="L11088" s="200">
        <f t="shared" si="1885"/>
        <v>-0.12077294685990336</v>
      </c>
      <c r="M11088" s="401">
        <f>SUM(C11088,C11064,C11040,C11016,C10992,C10968,C10944)/POBLA!$B$23*100000</f>
        <v>205.84742407962452</v>
      </c>
    </row>
    <row r="11089" spans="1:13" ht="15.75" thickBot="1" x14ac:dyDescent="0.3">
      <c r="A11089" s="368" t="s">
        <v>40</v>
      </c>
      <c r="B11089" s="34">
        <v>44354</v>
      </c>
      <c r="C11089" s="232">
        <v>1001</v>
      </c>
      <c r="D11089" s="67">
        <f t="shared" si="1871"/>
        <v>136102</v>
      </c>
      <c r="E11089" s="232">
        <v>32</v>
      </c>
      <c r="F11089" s="67">
        <f t="shared" si="1881"/>
        <v>1982</v>
      </c>
      <c r="G11089" s="255">
        <f>SUM(C11089,C11065,C11041,C11017,C10993,C10969,C10945,C10921,C10897,C10873,C10849,C10825,C10801,C10777)/POBLA!$B$24*100000</f>
        <v>840.22952150760977</v>
      </c>
      <c r="H11089" s="257">
        <f t="shared" si="1886"/>
        <v>1.316110546261207</v>
      </c>
      <c r="I11089" s="299">
        <f t="shared" si="1884"/>
        <v>1105.834934536173</v>
      </c>
      <c r="J11089" s="428">
        <f t="shared" si="1883"/>
        <v>856.85714285714289</v>
      </c>
      <c r="K11089" s="299">
        <f>J11089/POBLA!$B$24*100000</f>
        <v>50.562305438811357</v>
      </c>
      <c r="L11089" s="260">
        <f t="shared" si="1885"/>
        <v>-0.27217570683169523</v>
      </c>
      <c r="M11089" s="406">
        <f>SUM(C11089,C11065,C11041,C11017,C10993,C10969,C10945)/POBLA!$B$24*100000</f>
        <v>353.93613807167947</v>
      </c>
    </row>
    <row r="11090" spans="1:13" x14ac:dyDescent="0.25">
      <c r="A11090" s="363" t="s">
        <v>16</v>
      </c>
      <c r="B11090" s="265">
        <v>44355</v>
      </c>
      <c r="C11090" s="43">
        <v>10819</v>
      </c>
      <c r="D11090" s="174">
        <f t="shared" si="1871"/>
        <v>1688355</v>
      </c>
      <c r="E11090" s="43">
        <v>337</v>
      </c>
      <c r="F11090" s="174">
        <f t="shared" ref="F11090:F11113" si="1887">E11090+F11066</f>
        <v>42385</v>
      </c>
      <c r="G11090" s="175">
        <f>SUM(C11090,C11066,C11042,C11018,C10994,C10970,C10946,C10922,C10898,C10874,C10850,C10826,C10802,C10778)/POBLA!$B$1*100000</f>
        <v>847.96650343327144</v>
      </c>
      <c r="H11090" s="300">
        <f t="shared" si="1886"/>
        <v>1.0164553934465439</v>
      </c>
      <c r="I11090" s="301">
        <f>G11090*H11090</f>
        <v>861.92012587675606</v>
      </c>
      <c r="J11090" s="421">
        <f>AVERAGE(C11090,C11066,C11042,C11018,C10994,C10970,C10946)</f>
        <v>9255.1428571428569</v>
      </c>
      <c r="K11090" s="301">
        <f>J11090/POBLA!$B$1*100000</f>
        <v>52.762490519532669</v>
      </c>
      <c r="L11090" s="399">
        <f t="shared" si="1885"/>
        <v>-0.22834308038638829</v>
      </c>
      <c r="M11090" s="400">
        <f>SUM(C11090,C11066,C11042,C11018,C10994,C10970,C10946)/POBLA!$B$1*100000</f>
        <v>369.33743363672863</v>
      </c>
    </row>
    <row r="11091" spans="1:13" x14ac:dyDescent="0.25">
      <c r="A11091" s="367" t="s">
        <v>43</v>
      </c>
      <c r="B11091" s="2">
        <v>44355</v>
      </c>
      <c r="C11091" s="1">
        <v>2131</v>
      </c>
      <c r="D11091" s="39">
        <f t="shared" ref="D11091:D11154" si="1888">C11091+D11067</f>
        <v>433425</v>
      </c>
      <c r="E11091" s="1">
        <v>55</v>
      </c>
      <c r="F11091" s="39">
        <f t="shared" si="1887"/>
        <v>9503</v>
      </c>
      <c r="G11091" s="168">
        <f>SUM(C11091,C11067,C11043,C11019,C10995,C10971,C10947,C10923,C10899,C10875,C10851,C10827,C10803,C10779)/POBLA!$B$2*100000</f>
        <v>1012.5027392619306</v>
      </c>
      <c r="H11091" s="256">
        <f t="shared" si="1886"/>
        <v>0.86678542600272779</v>
      </c>
      <c r="I11091" s="297">
        <f t="shared" ref="I11091:I11097" si="1889">G11091*H11091</f>
        <v>877.6226181800813</v>
      </c>
      <c r="J11091" s="422">
        <f t="shared" ref="J11091:J11113" si="1890">AVERAGE(C11091,C11067,C11043,C11019,C10995,C10971,C10947)</f>
        <v>1820.7142857142858</v>
      </c>
      <c r="K11091" s="297">
        <f>J11091/POBLA!$B$2*100000</f>
        <v>59.197784326098834</v>
      </c>
      <c r="L11091" s="200">
        <f t="shared" ref="L11091:L11098" si="1891">(SUM(C11091,C11067,C11043,C11019,C10995,C10971,C10947)/SUM(C10923,C10899,C10875,C10851,C10827,C10803,C10779))-1</f>
        <v>-0.30718634485757779</v>
      </c>
      <c r="M11091" s="401">
        <f>SUM(C11091,C11067,C11043,C11019,C10995,C10971,C10947)/POBLA!$B$2*100000</f>
        <v>414.38449028269179</v>
      </c>
    </row>
    <row r="11092" spans="1:13" x14ac:dyDescent="0.25">
      <c r="A11092" s="367" t="s">
        <v>28</v>
      </c>
      <c r="B11092" s="2">
        <v>44355</v>
      </c>
      <c r="C11092" s="1">
        <v>506</v>
      </c>
      <c r="D11092" s="39">
        <f t="shared" si="1888"/>
        <v>27216</v>
      </c>
      <c r="E11092" s="1">
        <v>2</v>
      </c>
      <c r="F11092" s="39">
        <f t="shared" si="1887"/>
        <v>201</v>
      </c>
      <c r="G11092" s="168">
        <f>SUM(C11092,C11068,C11044,C11020,C10996,C10972,C10948,C10924,C10900,C10876,C10852,C10828,C10804,C10780)/POBLA!$B$3*100000</f>
        <v>1422.1135283724648</v>
      </c>
      <c r="H11092" s="256">
        <f t="shared" si="1886"/>
        <v>1.2298084929225646</v>
      </c>
      <c r="I11092" s="297">
        <f t="shared" si="1889"/>
        <v>1748.9272950925317</v>
      </c>
      <c r="J11092" s="422">
        <f t="shared" si="1890"/>
        <v>431.28571428571428</v>
      </c>
      <c r="K11092" s="297">
        <f>J11092/POBLA!$B$3*100000</f>
        <v>103.81470021657005</v>
      </c>
      <c r="L11092" s="200">
        <f t="shared" si="1891"/>
        <v>4.4998269297334748E-2</v>
      </c>
      <c r="M11092" s="401">
        <f>SUM(C11092,C11068,C11044,C11020,C10996,C10972,C10948)/POBLA!$B$3*100000</f>
        <v>726.70290151599033</v>
      </c>
    </row>
    <row r="11093" spans="1:13" x14ac:dyDescent="0.25">
      <c r="A11093" s="367" t="s">
        <v>15</v>
      </c>
      <c r="B11093" s="2">
        <v>44355</v>
      </c>
      <c r="C11093" s="1">
        <v>762</v>
      </c>
      <c r="D11093" s="39">
        <f t="shared" si="1888"/>
        <v>64094</v>
      </c>
      <c r="E11093" s="1">
        <v>22</v>
      </c>
      <c r="F11093" s="39">
        <f t="shared" si="1887"/>
        <v>1347</v>
      </c>
      <c r="G11093" s="168">
        <f>SUM(C11093,C11069,C11045,C11021,C10997,C10973,C10949,C10925,C10901,C10877,C10853,C10829,C10805,C10781)/POBLA!$B$4*100000</f>
        <v>796.81804106294442</v>
      </c>
      <c r="H11093" s="256">
        <f t="shared" si="1886"/>
        <v>1.3606464417351858</v>
      </c>
      <c r="I11093" s="297">
        <f t="shared" si="1889"/>
        <v>1084.1876322826965</v>
      </c>
      <c r="J11093" s="422">
        <f t="shared" si="1890"/>
        <v>728</v>
      </c>
      <c r="K11093" s="297">
        <f>J11093/POBLA!$B$4*100000</f>
        <v>60.43795935547233</v>
      </c>
      <c r="L11093" s="200">
        <f t="shared" si="1891"/>
        <v>0.13194135939582408</v>
      </c>
      <c r="M11093" s="401">
        <f>SUM(C11093,C11069,C11045,C11021,C10997,C10973,C10949)/POBLA!$B$4*100000</f>
        <v>423.06571548830635</v>
      </c>
    </row>
    <row r="11094" spans="1:13" x14ac:dyDescent="0.25">
      <c r="A11094" s="367" t="s">
        <v>29</v>
      </c>
      <c r="B11094" s="2">
        <v>44355</v>
      </c>
      <c r="C11094" s="1">
        <v>326</v>
      </c>
      <c r="D11094" s="39">
        <f t="shared" si="1888"/>
        <v>65838</v>
      </c>
      <c r="E11094" s="1">
        <v>2</v>
      </c>
      <c r="F11094" s="39">
        <f t="shared" si="1887"/>
        <v>1085</v>
      </c>
      <c r="G11094" s="168">
        <f>SUM(C11094,C11070,C11046,C11022,C10998,C10974,C10950,C10926,C10902,C10878,C10854,C10830,C10806,C10782)/POBLA!$B$5*100000</f>
        <v>863.17476421419269</v>
      </c>
      <c r="H11094" s="256">
        <f t="shared" si="1886"/>
        <v>1.4654415798134943</v>
      </c>
      <c r="I11094" s="297">
        <f t="shared" si="1889"/>
        <v>1264.9321901251869</v>
      </c>
      <c r="J11094" s="422">
        <f t="shared" si="1890"/>
        <v>369.42857142857144</v>
      </c>
      <c r="K11094" s="297">
        <f>J11094/POBLA!$B$5*100000</f>
        <v>59.682092464316526</v>
      </c>
      <c r="L11094" s="200">
        <f t="shared" si="1891"/>
        <v>-6.2023939064200229E-2</v>
      </c>
      <c r="M11094" s="401">
        <f>SUM(C11094,C11070,C11046,C11022,C10998,C10974,C10950)/POBLA!$B$5*100000</f>
        <v>417.77464725021565</v>
      </c>
    </row>
    <row r="11095" spans="1:13" x14ac:dyDescent="0.25">
      <c r="A11095" s="367" t="s">
        <v>30</v>
      </c>
      <c r="B11095" s="2">
        <v>44355</v>
      </c>
      <c r="C11095" s="1">
        <v>115</v>
      </c>
      <c r="D11095" s="39">
        <f t="shared" si="1888"/>
        <v>55062</v>
      </c>
      <c r="E11095" s="1">
        <v>11</v>
      </c>
      <c r="F11095" s="39">
        <f t="shared" si="1887"/>
        <v>661</v>
      </c>
      <c r="G11095" s="168">
        <f>SUM(C11095,C11071,C11047,C11023,C10999,C10975,C10951,C10927,C10903,C10879,C10855,C10831,C10807,C10783)/POBLA!$B$6*100000</f>
        <v>644.27137377643305</v>
      </c>
      <c r="H11095" s="256">
        <f t="shared" si="1886"/>
        <v>0.85770281506117119</v>
      </c>
      <c r="I11095" s="297">
        <f t="shared" si="1889"/>
        <v>552.59337095137471</v>
      </c>
      <c r="J11095" s="422">
        <f t="shared" si="1890"/>
        <v>491.57142857142856</v>
      </c>
      <c r="K11095" s="297">
        <f>J11095/POBLA!$B$6*100000</f>
        <v>43.858939149004023</v>
      </c>
      <c r="L11095" s="200">
        <f t="shared" si="1891"/>
        <v>-8.9682539682539697E-2</v>
      </c>
      <c r="M11095" s="401">
        <f>SUM(C11095,C11071,C11047,C11023,C10999,C10975,C10951)/POBLA!$B$6*100000</f>
        <v>307.01257404302817</v>
      </c>
    </row>
    <row r="11096" spans="1:13" x14ac:dyDescent="0.25">
      <c r="A11096" s="367" t="s">
        <v>20</v>
      </c>
      <c r="B11096" s="2">
        <v>44355</v>
      </c>
      <c r="C11096" s="1">
        <v>5528</v>
      </c>
      <c r="D11096" s="39">
        <f t="shared" si="1888"/>
        <v>346946</v>
      </c>
      <c r="E11096" s="1">
        <v>44</v>
      </c>
      <c r="F11096" s="39">
        <f t="shared" si="1887"/>
        <v>4220</v>
      </c>
      <c r="G11096" s="168">
        <f>SUM(C11096,C11072,C11048,C11024,C11000,C10976,C10952,C10928,C10904,C10880,C10856,C10832,C10808,C10784)/POBLA!$B$7*100000</f>
        <v>1584.1986996237154</v>
      </c>
      <c r="H11096" s="256">
        <f t="shared" si="1886"/>
        <v>1.39049553019163</v>
      </c>
      <c r="I11096" s="297">
        <f t="shared" si="1889"/>
        <v>2202.8212107621689</v>
      </c>
      <c r="J11096" s="422">
        <f t="shared" si="1890"/>
        <v>4273.7142857142853</v>
      </c>
      <c r="K11096" s="297">
        <f>J11096/POBLA!$B$7*100000</f>
        <v>113.64901237123975</v>
      </c>
      <c r="L11096" s="200">
        <f t="shared" si="1891"/>
        <v>8.7331827224601533E-3</v>
      </c>
      <c r="M11096" s="401">
        <f>SUM(C11096,C11072,C11048,C11024,C11000,C10976,C10952)/POBLA!$B$7*100000</f>
        <v>795.54308659867831</v>
      </c>
    </row>
    <row r="11097" spans="1:13" x14ac:dyDescent="0.25">
      <c r="A11097" s="367" t="s">
        <v>31</v>
      </c>
      <c r="B11097" s="2">
        <v>44355</v>
      </c>
      <c r="C11097" s="1">
        <v>1148</v>
      </c>
      <c r="D11097" s="39">
        <f t="shared" si="1888"/>
        <v>93527</v>
      </c>
      <c r="E11097" s="1">
        <v>18</v>
      </c>
      <c r="F11097" s="39">
        <f t="shared" si="1887"/>
        <v>1441</v>
      </c>
      <c r="G11097" s="168">
        <f>SUM(C11097,C11073,C11049,C11025,C11001,C10977,C10953,C10929,C10905,C10881,C10857,C10833,C10809,C10785)/POBLA!$B$8*100000</f>
        <v>1012.5826051382397</v>
      </c>
      <c r="H11097" s="256">
        <f t="shared" si="1886"/>
        <v>1.2839890210430009</v>
      </c>
      <c r="I11097" s="297">
        <f t="shared" si="1889"/>
        <v>1300.1449478966199</v>
      </c>
      <c r="J11097" s="422">
        <f t="shared" si="1890"/>
        <v>925</v>
      </c>
      <c r="K11097" s="297">
        <f>J11097/POBLA!$B$8*100000</f>
        <v>66.740694723733199</v>
      </c>
      <c r="L11097" s="200">
        <f t="shared" si="1891"/>
        <v>-0.14340521232967318</v>
      </c>
      <c r="M11097" s="401">
        <f>SUM(C11097,C11073,C11049,C11025,C11001,C10977,C10953)/POBLA!$B$8*100000</f>
        <v>467.18486306613244</v>
      </c>
    </row>
    <row r="11098" spans="1:13" x14ac:dyDescent="0.25">
      <c r="A11098" s="367" t="s">
        <v>41</v>
      </c>
      <c r="B11098" s="2">
        <v>44355</v>
      </c>
      <c r="C11098" s="1">
        <v>586</v>
      </c>
      <c r="D11098" s="39">
        <f t="shared" si="1888"/>
        <v>36322</v>
      </c>
      <c r="E11098" s="1">
        <v>8</v>
      </c>
      <c r="F11098" s="39">
        <f t="shared" si="1887"/>
        <v>576</v>
      </c>
      <c r="G11098" s="168">
        <f>SUM(C11098,C11074,C11050,C11026,C11002,C10978,C10954,C10930,C10906,C10882,C10858,C10834,C10810,C10786)/POBLA!$B$9*100000</f>
        <v>1920.8748283605394</v>
      </c>
      <c r="H11098" s="256">
        <f t="shared" si="1886"/>
        <v>0.63614972091496114</v>
      </c>
      <c r="I11098" s="297">
        <f>G11098*H11098</f>
        <v>1221.963985974131</v>
      </c>
      <c r="J11098" s="422">
        <f t="shared" si="1890"/>
        <v>679.71428571428567</v>
      </c>
      <c r="K11098" s="297">
        <f>J11098/POBLA!$B$9*100000</f>
        <v>112.31363973381809</v>
      </c>
      <c r="L11098" s="200">
        <f t="shared" si="1891"/>
        <v>-0.3071210135430319</v>
      </c>
      <c r="M11098" s="401">
        <f>SUM(C11098,C11074,C11050,C11026,C11002,C10978,C10954)/POBLA!$B$9*100000</f>
        <v>786.19547813672671</v>
      </c>
    </row>
    <row r="11099" spans="1:13" x14ac:dyDescent="0.25">
      <c r="A11099" s="367" t="s">
        <v>32</v>
      </c>
      <c r="B11099" s="2">
        <v>44355</v>
      </c>
      <c r="C11099" s="1">
        <v>262</v>
      </c>
      <c r="D11099" s="39">
        <f t="shared" si="1888"/>
        <v>30283</v>
      </c>
      <c r="F11099" s="39">
        <f t="shared" si="1887"/>
        <v>1092</v>
      </c>
      <c r="G11099" s="168">
        <f>SUM(C11099,C11075,C11051,C11027,C11003,C10979,C10955,C10931,C10907,C10883,C10859,C10835,C10811,C10787)/POBLA!$B$10*100000</f>
        <v>378.1387788776737</v>
      </c>
      <c r="H11099" s="256">
        <f t="shared" si="1886"/>
        <v>1.8650031989763276</v>
      </c>
      <c r="I11099" s="297">
        <f t="shared" ref="I11099:I11113" si="1892">G11099*H11099</f>
        <v>705.23003226386368</v>
      </c>
      <c r="J11099" s="422">
        <f t="shared" si="1890"/>
        <v>233.71428571428572</v>
      </c>
      <c r="K11099" s="297">
        <f>J11099/POBLA!$B$10*100000</f>
        <v>30.317816331481218</v>
      </c>
      <c r="L11099" s="200">
        <f t="shared" ref="L11099:L11114" si="1893">(SUM(C11099,C11075,C11051,C11027,C11003,C10979,C10955)/SUM(C10931,C10907,C10883,C10859,C10835,C10811,C10787))-1</f>
        <v>0.27912431587177489</v>
      </c>
      <c r="M11099" s="401">
        <f>SUM(C11099,C11075,C11051,C11027,C11003,C10979,C10955)/POBLA!$B$10*100000</f>
        <v>212.22471432036852</v>
      </c>
    </row>
    <row r="11100" spans="1:13" x14ac:dyDescent="0.25">
      <c r="A11100" s="367" t="s">
        <v>33</v>
      </c>
      <c r="B11100" s="2">
        <v>44355</v>
      </c>
      <c r="C11100" s="1">
        <v>313</v>
      </c>
      <c r="D11100" s="39">
        <f t="shared" si="1888"/>
        <v>45904</v>
      </c>
      <c r="E11100" s="1">
        <v>16</v>
      </c>
      <c r="F11100" s="39">
        <f t="shared" si="1887"/>
        <v>617</v>
      </c>
      <c r="G11100" s="168">
        <f>SUM(C11100,C11076,C11052,C11028,C11004,C10980,C10956,C10932,C10908,C10884,C10860,C10836,C10812,C10788)/POBLA!$B$11*100000</f>
        <v>1758.7911658687381</v>
      </c>
      <c r="H11100" s="256">
        <f t="shared" si="1886"/>
        <v>0.72426470588235292</v>
      </c>
      <c r="I11100" s="297">
        <f t="shared" si="1892"/>
        <v>1273.8303664564021</v>
      </c>
      <c r="J11100" s="422">
        <f t="shared" si="1890"/>
        <v>364</v>
      </c>
      <c r="K11100" s="297">
        <f>J11100/POBLA!$B$11*100000</f>
        <v>101.55456604952738</v>
      </c>
      <c r="L11100" s="200">
        <f t="shared" si="1893"/>
        <v>-0.32161874334398299</v>
      </c>
      <c r="M11100" s="401">
        <f>SUM(C11100,C11076,C11052,C11028,C11004,C10980,C10956)/POBLA!$B$11*100000</f>
        <v>710.88196234669169</v>
      </c>
    </row>
    <row r="11101" spans="1:13" x14ac:dyDescent="0.25">
      <c r="A11101" s="367" t="s">
        <v>21</v>
      </c>
      <c r="B11101" s="2">
        <v>44355</v>
      </c>
      <c r="C11101" s="1">
        <v>190</v>
      </c>
      <c r="D11101" s="39">
        <f t="shared" si="1888"/>
        <v>18810</v>
      </c>
      <c r="F11101" s="39">
        <f t="shared" si="1887"/>
        <v>580</v>
      </c>
      <c r="G11101" s="168">
        <f>SUM(C11101,C11077,C11053,C11029,C11005,C10981,C10957,C10933,C10909,C10885,C10861,C10837,C10813,C10789)/POBLA!$B$12*100000</f>
        <v>590.55068088663916</v>
      </c>
      <c r="H11101" s="256">
        <f t="shared" si="1886"/>
        <v>1.1098376313276026</v>
      </c>
      <c r="I11101" s="297">
        <f t="shared" si="1892"/>
        <v>655.41536885413052</v>
      </c>
      <c r="J11101" s="422">
        <f t="shared" si="1890"/>
        <v>187</v>
      </c>
      <c r="K11101" s="297">
        <f>J11101/POBLA!$B$12*100000</f>
        <v>47.518492825215802</v>
      </c>
      <c r="L11101" s="200">
        <f t="shared" si="1893"/>
        <v>0.28965517241379302</v>
      </c>
      <c r="M11101" s="401">
        <f>SUM(C11101,C11077,C11053,C11029,C11005,C10981,C10957)/POBLA!$B$12*100000</f>
        <v>332.62944977651063</v>
      </c>
    </row>
    <row r="11102" spans="1:13" x14ac:dyDescent="0.25">
      <c r="A11102" s="367" t="s">
        <v>17</v>
      </c>
      <c r="B11102" s="2">
        <v>44355</v>
      </c>
      <c r="C11102" s="1">
        <v>900</v>
      </c>
      <c r="D11102" s="39">
        <f t="shared" si="1888"/>
        <v>126701</v>
      </c>
      <c r="E11102" s="1">
        <v>29</v>
      </c>
      <c r="F11102" s="39">
        <f t="shared" si="1887"/>
        <v>2798</v>
      </c>
      <c r="G11102" s="168">
        <f>SUM(C11102,C11078,C11054,C11030,C11006,C10982,C10958,C10934,C10910,C10886,C10862,C10838,C10814,C10790)/POBLA!$B$13*100000</f>
        <v>556.1869391028057</v>
      </c>
      <c r="H11102" s="256">
        <f t="shared" si="1886"/>
        <v>0.99460916442048519</v>
      </c>
      <c r="I11102" s="297">
        <f t="shared" si="1892"/>
        <v>553.18862676262881</v>
      </c>
      <c r="J11102" s="422">
        <f t="shared" si="1890"/>
        <v>714.57142857142856</v>
      </c>
      <c r="K11102" s="297">
        <f>J11102/POBLA!$B$13*100000</f>
        <v>35.902014058487985</v>
      </c>
      <c r="L11102" s="200">
        <f t="shared" si="1893"/>
        <v>-0.17567567567567566</v>
      </c>
      <c r="M11102" s="401">
        <f>SUM(C11102,C11078,C11054,C11030,C11006,C10982,C10958)/POBLA!$B$13*100000</f>
        <v>251.31409840941586</v>
      </c>
    </row>
    <row r="11103" spans="1:13" x14ac:dyDescent="0.25">
      <c r="A11103" s="367" t="s">
        <v>23</v>
      </c>
      <c r="B11103" s="2">
        <v>44355</v>
      </c>
      <c r="C11103" s="1">
        <v>200</v>
      </c>
      <c r="D11103" s="39">
        <f t="shared" si="1888"/>
        <v>21875</v>
      </c>
      <c r="E11103" s="1">
        <v>6</v>
      </c>
      <c r="F11103" s="39">
        <f t="shared" si="1887"/>
        <v>337</v>
      </c>
      <c r="G11103" s="168">
        <f>SUM(C11103,C11079,C11055,C11031,C11007,C10983,C10959,C10935,C10911,C10887,C10863,C10839,C10815,C10791)/POBLA!$B$14*100000</f>
        <v>200.98406874210136</v>
      </c>
      <c r="H11103" s="256">
        <f t="shared" si="1886"/>
        <v>1.1834733893557423</v>
      </c>
      <c r="I11103" s="297">
        <f t="shared" si="1892"/>
        <v>237.8592970407222</v>
      </c>
      <c r="J11103" s="422">
        <f t="shared" si="1890"/>
        <v>181</v>
      </c>
      <c r="K11103" s="297">
        <f>J11103/POBLA!$B$14*100000</f>
        <v>14.350341791842347</v>
      </c>
      <c r="L11103" s="200">
        <f t="shared" si="1893"/>
        <v>-7.8864353312302349E-4</v>
      </c>
      <c r="M11103" s="401">
        <f>SUM(C11103,C11079,C11055,C11031,C11007,C10983,C10959)/POBLA!$B$14*100000</f>
        <v>100.45239254289642</v>
      </c>
    </row>
    <row r="11104" spans="1:13" x14ac:dyDescent="0.25">
      <c r="A11104" s="367" t="s">
        <v>19</v>
      </c>
      <c r="B11104" s="2">
        <v>44355</v>
      </c>
      <c r="C11104" s="1">
        <v>574</v>
      </c>
      <c r="D11104" s="39">
        <f t="shared" si="1888"/>
        <v>95197</v>
      </c>
      <c r="E11104" s="1">
        <v>33</v>
      </c>
      <c r="F11104" s="39">
        <f t="shared" si="1887"/>
        <v>1469</v>
      </c>
      <c r="G11104" s="168">
        <f>SUM(C11104,C11080,C11056,C11032,C11008,C10984,C10960,C10936,C10912,C10888,C10864,C10840,C10816,C10792)/POBLA!$B$15*100000</f>
        <v>1469.6027600040359</v>
      </c>
      <c r="H11104" s="256">
        <f t="shared" si="1886"/>
        <v>1.0210295040803516</v>
      </c>
      <c r="I11104" s="297">
        <f t="shared" si="1892"/>
        <v>1500.5077772420368</v>
      </c>
      <c r="J11104" s="422">
        <f t="shared" si="1890"/>
        <v>563.42857142857144</v>
      </c>
      <c r="K11104" s="297">
        <f>J11104/POBLA!$B$15*100000</f>
        <v>84.846417013685794</v>
      </c>
      <c r="L11104" s="200">
        <f t="shared" si="1893"/>
        <v>-0.32175408426483232</v>
      </c>
      <c r="M11104" s="401">
        <f>SUM(C11104,C11080,C11056,C11032,C11008,C10984,C10960)/POBLA!$B$15*100000</f>
        <v>593.92491909580053</v>
      </c>
    </row>
    <row r="11105" spans="1:13" x14ac:dyDescent="0.25">
      <c r="A11105" s="367" t="s">
        <v>18</v>
      </c>
      <c r="B11105" s="2">
        <v>44355</v>
      </c>
      <c r="C11105" s="1">
        <v>471</v>
      </c>
      <c r="D11105" s="39">
        <f t="shared" si="1888"/>
        <v>77596</v>
      </c>
      <c r="E11105" s="1">
        <v>14</v>
      </c>
      <c r="F11105" s="39">
        <f t="shared" si="1887"/>
        <v>1718</v>
      </c>
      <c r="G11105" s="168">
        <f>SUM(C11105,C11081,C11057,C11033,C11009,C10985,C10961,C10937,C10913,C10889,C10865,C10841,C10817,C10793)/POBLA!$B$16*100000</f>
        <v>881.74315485346642</v>
      </c>
      <c r="H11105" s="256">
        <f t="shared" si="1886"/>
        <v>1.0379467800346402</v>
      </c>
      <c r="I11105" s="297">
        <f t="shared" si="1892"/>
        <v>915.20246839774063</v>
      </c>
      <c r="J11105" s="422">
        <f t="shared" si="1890"/>
        <v>396.71428571428572</v>
      </c>
      <c r="K11105" s="297">
        <f>J11105/POBLA!$B$16*100000</f>
        <v>53.064336447383766</v>
      </c>
      <c r="L11105" s="200">
        <f t="shared" si="1893"/>
        <v>-0.27208387942332901</v>
      </c>
      <c r="M11105" s="401">
        <f>SUM(C11105,C11081,C11057,C11033,C11009,C10985,C10961)/POBLA!$B$16*100000</f>
        <v>371.45035513168631</v>
      </c>
    </row>
    <row r="11106" spans="1:13" x14ac:dyDescent="0.25">
      <c r="A11106" s="367" t="s">
        <v>34</v>
      </c>
      <c r="B11106" s="2">
        <v>44355</v>
      </c>
      <c r="C11106" s="1">
        <v>563</v>
      </c>
      <c r="D11106" s="39">
        <f t="shared" si="1888"/>
        <v>50040</v>
      </c>
      <c r="E11106" s="1">
        <v>20</v>
      </c>
      <c r="F11106" s="39">
        <f t="shared" si="1887"/>
        <v>1470</v>
      </c>
      <c r="G11106" s="168">
        <f>SUM(C11106,C11082,C11058,C11034,C11010,C10986,C10962,C10938,C10914,C10890,C10866,C10842,C10818,C10794)/POBLA!$B$17*100000</f>
        <v>526.88962417078949</v>
      </c>
      <c r="H11106" s="256">
        <f t="shared" ref="H11106:H11129" si="1894">SUM(C11106,C11082,C11058,C11034,C11010,C10986,C10962,C10938,C10914,C10890,C10866,C10842,C10818,C10794)/SUM(C10770,C10746,C10722,C10698,C10674,C10650,C10626,C10602,C10578,C10554,C10530,C10506,C10482,C10458)</f>
        <v>1.3705259313367422</v>
      </c>
      <c r="I11106" s="297">
        <f t="shared" si="1892"/>
        <v>722.11589287833726</v>
      </c>
      <c r="J11106" s="422">
        <f t="shared" si="1890"/>
        <v>568.85714285714289</v>
      </c>
      <c r="K11106" s="297">
        <f>J11106/POBLA!$B$17*100000</f>
        <v>39.936699028230393</v>
      </c>
      <c r="L11106" s="200">
        <f t="shared" si="1893"/>
        <v>0.13028668748225947</v>
      </c>
      <c r="M11106" s="401">
        <f>SUM(C11106,C11082,C11058,C11034,C11010,C10986,C10962)/POBLA!$B$17*100000</f>
        <v>279.55689319761274</v>
      </c>
    </row>
    <row r="11107" spans="1:13" x14ac:dyDescent="0.25">
      <c r="A11107" s="367" t="s">
        <v>35</v>
      </c>
      <c r="B11107" s="2">
        <v>44355</v>
      </c>
      <c r="C11107" s="1">
        <v>735</v>
      </c>
      <c r="D11107" s="39">
        <f t="shared" si="1888"/>
        <v>40831</v>
      </c>
      <c r="E11107" s="1">
        <v>4</v>
      </c>
      <c r="F11107" s="39">
        <f t="shared" si="1887"/>
        <v>690</v>
      </c>
      <c r="G11107" s="168">
        <f>SUM(C11107,C11083,C11059,C11035,C11011,C10987,C10963,C10939,C10915,C10891,C10867,C10843,C10819,C10795)/POBLA!$B$18*100000</f>
        <v>924.19903816737224</v>
      </c>
      <c r="H11107" s="256">
        <f t="shared" si="1894"/>
        <v>1.093111279333838</v>
      </c>
      <c r="I11107" s="297">
        <f t="shared" si="1892"/>
        <v>1010.2523929702388</v>
      </c>
      <c r="J11107" s="422">
        <f t="shared" si="1890"/>
        <v>456.71428571428572</v>
      </c>
      <c r="K11107" s="297">
        <f>J11107/POBLA!$B$18*100000</f>
        <v>58.461898002000176</v>
      </c>
      <c r="L11107" s="200">
        <f t="shared" si="1893"/>
        <v>-0.20531941337310466</v>
      </c>
      <c r="M11107" s="401">
        <f>SUM(C11107,C11083,C11059,C11035,C11011,C10987,C10963)/POBLA!$B$18*100000</f>
        <v>409.23328601400118</v>
      </c>
    </row>
    <row r="11108" spans="1:13" x14ac:dyDescent="0.25">
      <c r="A11108" s="367" t="s">
        <v>36</v>
      </c>
      <c r="B11108" s="2">
        <v>44355</v>
      </c>
      <c r="C11108" s="1">
        <v>436</v>
      </c>
      <c r="D11108" s="39">
        <f t="shared" si="1888"/>
        <v>57127</v>
      </c>
      <c r="E11108" s="1">
        <v>6</v>
      </c>
      <c r="F11108" s="39">
        <f t="shared" si="1887"/>
        <v>782</v>
      </c>
      <c r="G11108" s="168">
        <f>SUM(C11108,C11084,C11060,C11036,C11012,C10988,C10964,C10940,C10916,C10892,C10868,C10844,C10820,C10796)/POBLA!$B$19*100000</f>
        <v>1440.2118317306936</v>
      </c>
      <c r="H11108" s="256">
        <f t="shared" si="1894"/>
        <v>0.98812255365096502</v>
      </c>
      <c r="I11108" s="297">
        <f t="shared" si="1892"/>
        <v>1423.1057929680669</v>
      </c>
      <c r="J11108" s="422">
        <f t="shared" si="1890"/>
        <v>518.28571428571433</v>
      </c>
      <c r="K11108" s="297">
        <f>J11108/POBLA!$B$19*100000</f>
        <v>101.95891516613571</v>
      </c>
      <c r="L11108" s="200">
        <f t="shared" si="1893"/>
        <v>-1.7600866504197121E-2</v>
      </c>
      <c r="M11108" s="401">
        <f>SUM(C11108,C11084,C11060,C11036,C11012,C10988,C10964)/POBLA!$B$19*100000</f>
        <v>713.71240616294995</v>
      </c>
    </row>
    <row r="11109" spans="1:13" x14ac:dyDescent="0.25">
      <c r="A11109" s="367" t="s">
        <v>37</v>
      </c>
      <c r="B11109" s="2">
        <v>44355</v>
      </c>
      <c r="C11109" s="1">
        <v>132</v>
      </c>
      <c r="D11109" s="39">
        <f t="shared" si="1888"/>
        <v>52959</v>
      </c>
      <c r="E11109" s="1">
        <v>4</v>
      </c>
      <c r="F11109" s="39">
        <f t="shared" si="1887"/>
        <v>807</v>
      </c>
      <c r="G11109" s="168">
        <f>SUM(C11109,C11085,C11061,C11037,C11013,C10989,C10965,C10941,C10917,C10893,C10869,C10845,C10821,C10797)/POBLA!$B$20*100000</f>
        <v>728.19648999994524</v>
      </c>
      <c r="H11109" s="256">
        <f t="shared" si="1894"/>
        <v>0.81288156288156288</v>
      </c>
      <c r="I11109" s="297">
        <f t="shared" si="1892"/>
        <v>591.93750087602382</v>
      </c>
      <c r="J11109" s="422">
        <f t="shared" si="1890"/>
        <v>169.57142857142858</v>
      </c>
      <c r="K11109" s="297">
        <f>J11109/POBLA!$B$20*100000</f>
        <v>46.369252380770085</v>
      </c>
      <c r="L11109" s="200">
        <f t="shared" si="1893"/>
        <v>-0.19579945799457998</v>
      </c>
      <c r="M11109" s="401">
        <f>SUM(C11109,C11085,C11061,C11037,C11013,C10989,C10965)/POBLA!$B$20*100000</f>
        <v>324.58476666539059</v>
      </c>
    </row>
    <row r="11110" spans="1:13" x14ac:dyDescent="0.25">
      <c r="A11110" s="367" t="s">
        <v>22</v>
      </c>
      <c r="B11110" s="2">
        <v>44355</v>
      </c>
      <c r="C11110" s="1">
        <v>2837</v>
      </c>
      <c r="D11110" s="39">
        <f t="shared" si="1888"/>
        <v>366387</v>
      </c>
      <c r="E11110" s="1">
        <v>55</v>
      </c>
      <c r="F11110" s="39">
        <f t="shared" si="1887"/>
        <v>5842</v>
      </c>
      <c r="G11110" s="168">
        <f>SUM(C11110,C11086,C11062,C11038,C11014,C10990,C10966,C10942,C10918,C10894,C10870,C10846,C10822,C10798)/POBLA!$B$21*100000</f>
        <v>1114.1216903657883</v>
      </c>
      <c r="H11110" s="256">
        <f t="shared" si="1894"/>
        <v>1.1441514693924961</v>
      </c>
      <c r="I11110" s="297">
        <f t="shared" si="1892"/>
        <v>1274.7239691140683</v>
      </c>
      <c r="J11110" s="422">
        <f t="shared" si="1890"/>
        <v>2569.7142857142858</v>
      </c>
      <c r="K11110" s="297">
        <f>J11110/POBLA!$B$21*100000</f>
        <v>72.664325476068896</v>
      </c>
      <c r="L11110" s="200">
        <f t="shared" si="1893"/>
        <v>-0.15991033065570703</v>
      </c>
      <c r="M11110" s="401">
        <f>SUM(C11110,C11086,C11062,C11038,C11014,C10990,C10966)/POBLA!$B$21*100000</f>
        <v>508.65027833248223</v>
      </c>
    </row>
    <row r="11111" spans="1:13" x14ac:dyDescent="0.25">
      <c r="A11111" s="367" t="s">
        <v>38</v>
      </c>
      <c r="B11111" s="2">
        <v>44355</v>
      </c>
      <c r="C11111" s="1">
        <v>421</v>
      </c>
      <c r="D11111" s="39">
        <f t="shared" si="1888"/>
        <v>48148</v>
      </c>
      <c r="E11111" s="1">
        <v>8</v>
      </c>
      <c r="F11111" s="39">
        <f t="shared" si="1887"/>
        <v>604</v>
      </c>
      <c r="G11111" s="168">
        <f>SUM(C11111,C11087,C11063,C11039,C11015,C10991,C10967,C10943,C10919,C10895,C10871,C10847,C10823,C10799)/POBLA!$B$22*100000</f>
        <v>778.78961027810124</v>
      </c>
      <c r="H11111" s="256">
        <f t="shared" si="1894"/>
        <v>1.0474291998900191</v>
      </c>
      <c r="I11111" s="297">
        <f t="shared" si="1892"/>
        <v>815.7269783762514</v>
      </c>
      <c r="J11111" s="422">
        <f t="shared" si="1890"/>
        <v>549.71428571428567</v>
      </c>
      <c r="K11111" s="297">
        <f>J11111/POBLA!$B$22*100000</f>
        <v>56.190021569199807</v>
      </c>
      <c r="L11111" s="200">
        <f t="shared" si="1893"/>
        <v>2.0418987006099121E-2</v>
      </c>
      <c r="M11111" s="401">
        <f>SUM(C11111,C11087,C11063,C11039,C11015,C10991,C10967)/POBLA!$B$22*100000</f>
        <v>393.33015098439864</v>
      </c>
    </row>
    <row r="11112" spans="1:13" x14ac:dyDescent="0.25">
      <c r="A11112" s="367" t="s">
        <v>39</v>
      </c>
      <c r="B11112" s="2">
        <v>44355</v>
      </c>
      <c r="C11112" s="1">
        <v>37</v>
      </c>
      <c r="D11112" s="39">
        <f t="shared" si="1888"/>
        <v>28880</v>
      </c>
      <c r="E11112" s="1">
        <v>1</v>
      </c>
      <c r="F11112" s="39">
        <f t="shared" si="1887"/>
        <v>428</v>
      </c>
      <c r="G11112" s="168">
        <f>SUM(C11112,C11088,C11064,C11040,C11016,C10992,C10968,C10944,C10920,C10896,C10872,C10848,C10824,C10800)/POBLA!$B$23*100000</f>
        <v>397.55697562630775</v>
      </c>
      <c r="H11112" s="256">
        <f t="shared" si="1894"/>
        <v>0.68186226964112517</v>
      </c>
      <c r="I11112" s="297">
        <f t="shared" si="1892"/>
        <v>271.07910171221567</v>
      </c>
      <c r="J11112" s="422">
        <f t="shared" si="1890"/>
        <v>50.285714285714285</v>
      </c>
      <c r="K11112" s="297">
        <f>J11112/POBLA!$B$23*100000</f>
        <v>28.437320751973246</v>
      </c>
      <c r="L11112" s="200">
        <f t="shared" si="1893"/>
        <v>2.8490028490029129E-3</v>
      </c>
      <c r="M11112" s="401">
        <f>SUM(C11112,C11088,C11064,C11040,C11016,C10992,C10968)/POBLA!$B$23*100000</f>
        <v>199.06124526381271</v>
      </c>
    </row>
    <row r="11113" spans="1:13" ht="15.75" thickBot="1" x14ac:dyDescent="0.3">
      <c r="A11113" s="368" t="s">
        <v>40</v>
      </c>
      <c r="B11113" s="34">
        <v>44355</v>
      </c>
      <c r="C11113" s="232">
        <v>1145</v>
      </c>
      <c r="D11113" s="67">
        <f t="shared" si="1888"/>
        <v>137247</v>
      </c>
      <c r="E11113" s="232">
        <v>27</v>
      </c>
      <c r="F11113" s="67">
        <f t="shared" si="1887"/>
        <v>2009</v>
      </c>
      <c r="G11113" s="255">
        <f>SUM(C11113,C11089,C11065,C11041,C11017,C10993,C10969,C10945,C10921,C10897,C10873,C10849,C10825,C10801)/POBLA!$B$24*100000</f>
        <v>880.35565920163151</v>
      </c>
      <c r="H11113" s="257">
        <f t="shared" si="1894"/>
        <v>1.4403359721954045</v>
      </c>
      <c r="I11113" s="299">
        <f t="shared" si="1892"/>
        <v>1268.0079242739082</v>
      </c>
      <c r="J11113" s="428">
        <f t="shared" si="1890"/>
        <v>877.85714285714289</v>
      </c>
      <c r="K11113" s="299">
        <f>J11113/POBLA!$B$24*100000</f>
        <v>51.801494985244382</v>
      </c>
      <c r="L11113" s="260">
        <f t="shared" si="1893"/>
        <v>-0.29963528607248691</v>
      </c>
      <c r="M11113" s="406">
        <f>SUM(C11113,C11089,C11065,C11041,C11017,C10993,C10969)/POBLA!$B$24*100000</f>
        <v>362.6104648967106</v>
      </c>
    </row>
    <row r="11114" spans="1:13" x14ac:dyDescent="0.25">
      <c r="A11114" s="363" t="s">
        <v>16</v>
      </c>
      <c r="B11114" s="265">
        <v>44356</v>
      </c>
      <c r="C11114" s="356">
        <v>10428</v>
      </c>
      <c r="D11114" s="174">
        <f t="shared" si="1888"/>
        <v>1698783</v>
      </c>
      <c r="E11114" s="43">
        <v>287</v>
      </c>
      <c r="F11114" s="174">
        <f t="shared" ref="F11114:F11137" si="1895">E11114+F11090</f>
        <v>42672</v>
      </c>
      <c r="G11114" s="175">
        <f>SUM(C11114,C11090,C11066,C11042,C11018,C10994,C10970,C10946,C10922,C10898,C10874,C10850,C10826,C10802)/POBLA!$B$1*100000</f>
        <v>835.24783250986923</v>
      </c>
      <c r="H11114" s="300">
        <f t="shared" si="1894"/>
        <v>0.98565037505466047</v>
      </c>
      <c r="I11114" s="301">
        <f>G11114*H11114</f>
        <v>823.26233937694485</v>
      </c>
      <c r="J11114" s="421">
        <f>AVERAGE(C11114,C11090,C11066,C11042,C11018,C10994,C10970)</f>
        <v>8991.4285714285706</v>
      </c>
      <c r="K11114" s="301">
        <f>J11114/POBLA!$B$1*100000</f>
        <v>51.259086118905103</v>
      </c>
      <c r="L11114" s="399">
        <f t="shared" si="1893"/>
        <v>-0.24687694443114916</v>
      </c>
      <c r="M11114" s="400">
        <f>SUM(C11114,C11090,C11066,C11042,C11018,C10994,C10970)/POBLA!$B$1*100000</f>
        <v>358.81360283233573</v>
      </c>
    </row>
    <row r="11115" spans="1:13" x14ac:dyDescent="0.25">
      <c r="A11115" s="367" t="s">
        <v>43</v>
      </c>
      <c r="B11115" s="2">
        <v>44356</v>
      </c>
      <c r="C11115" s="4">
        <v>1688</v>
      </c>
      <c r="D11115" s="39">
        <f t="shared" si="1888"/>
        <v>435113</v>
      </c>
      <c r="E11115" s="1">
        <v>54</v>
      </c>
      <c r="F11115" s="39">
        <f t="shared" si="1895"/>
        <v>9557</v>
      </c>
      <c r="G11115" s="168">
        <f>SUM(C11115,C11091,C11067,C11043,C11019,C10995,C10971,C10947,C10923,C10899,C10875,C10851,C10827,C10803)/POBLA!$B$2*100000</f>
        <v>948.45115465173831</v>
      </c>
      <c r="H11115" s="256">
        <f t="shared" si="1894"/>
        <v>0.78070386725545293</v>
      </c>
      <c r="I11115" s="297">
        <f t="shared" ref="I11115:I11121" si="1896">G11115*H11115</f>
        <v>740.45948433951173</v>
      </c>
      <c r="J11115" s="422">
        <f t="shared" ref="J11115:J11137" si="1897">AVERAGE(C11115,C11091,C11067,C11043,C11019,C10995,C10971)</f>
        <v>1743.7142857142858</v>
      </c>
      <c r="K11115" s="297">
        <f>J11115/POBLA!$B$2*100000</f>
        <v>56.694245232197908</v>
      </c>
      <c r="L11115" s="200">
        <f t="shared" ref="L11115:L11122" si="1898">(SUM(C11115,C11091,C11067,C11043,C11019,C10995,C10971)/SUM(C10947,C10923,C10899,C10875,C10851,C10827,C10803))-1</f>
        <v>-0.28051871500147363</v>
      </c>
      <c r="M11115" s="401">
        <f>SUM(C11115,C11091,C11067,C11043,C11019,C10995,C10971)/POBLA!$B$2*100000</f>
        <v>396.85971662538537</v>
      </c>
    </row>
    <row r="11116" spans="1:13" x14ac:dyDescent="0.25">
      <c r="A11116" s="367" t="s">
        <v>28</v>
      </c>
      <c r="B11116" s="2">
        <v>44356</v>
      </c>
      <c r="C11116" s="4">
        <v>332</v>
      </c>
      <c r="D11116" s="39">
        <f t="shared" si="1888"/>
        <v>27548</v>
      </c>
      <c r="E11116" s="1">
        <v>1</v>
      </c>
      <c r="F11116" s="39">
        <f t="shared" si="1895"/>
        <v>202</v>
      </c>
      <c r="G11116" s="168">
        <f>SUM(C11116,C11092,C11068,C11044,C11020,C10996,C10972,C10948,C10924,C10900,C10876,C10852,C10828,C10804)/POBLA!$B$3*100000</f>
        <v>1424.76133622827</v>
      </c>
      <c r="H11116" s="256">
        <f t="shared" si="1894"/>
        <v>1.22217633698121</v>
      </c>
      <c r="I11116" s="297">
        <f t="shared" si="1896"/>
        <v>1741.3095909839212</v>
      </c>
      <c r="J11116" s="422">
        <f t="shared" si="1897"/>
        <v>422.71428571428572</v>
      </c>
      <c r="K11116" s="297">
        <f>J11116/POBLA!$B$3*100000</f>
        <v>101.75147331594262</v>
      </c>
      <c r="L11116" s="200">
        <f t="shared" si="1898"/>
        <v>-3.3783783783780663E-4</v>
      </c>
      <c r="M11116" s="401">
        <f>SUM(C11116,C11092,C11068,C11044,C11020,C10996,C10972)/POBLA!$B$3*100000</f>
        <v>712.26031321159837</v>
      </c>
    </row>
    <row r="11117" spans="1:13" x14ac:dyDescent="0.25">
      <c r="A11117" s="367" t="s">
        <v>15</v>
      </c>
      <c r="B11117" s="2">
        <v>44356</v>
      </c>
      <c r="C11117" s="4">
        <v>881</v>
      </c>
      <c r="D11117" s="39">
        <f t="shared" si="1888"/>
        <v>64975</v>
      </c>
      <c r="E11117" s="1">
        <v>10</v>
      </c>
      <c r="F11117" s="39">
        <f t="shared" si="1895"/>
        <v>1357</v>
      </c>
      <c r="G11117" s="168">
        <f>SUM(C11117,C11093,C11069,C11045,C11021,C10997,C10973,C10949,C10925,C10901,C10877,C10853,C10829,C10805)/POBLA!$B$4*100000</f>
        <v>820.89360179520668</v>
      </c>
      <c r="H11117" s="256">
        <f t="shared" si="1894"/>
        <v>1.346588587770666</v>
      </c>
      <c r="I11117" s="297">
        <f t="shared" si="1896"/>
        <v>1105.4059559513828</v>
      </c>
      <c r="J11117" s="422">
        <f t="shared" si="1897"/>
        <v>739.28571428571433</v>
      </c>
      <c r="K11117" s="297">
        <f>J11117/POBLA!$B$4*100000</f>
        <v>61.374890044067762</v>
      </c>
      <c r="L11117" s="200">
        <f t="shared" si="1898"/>
        <v>9.802673456397204E-2</v>
      </c>
      <c r="M11117" s="401">
        <f>SUM(C11117,C11093,C11069,C11045,C11021,C10997,C10973)/POBLA!$B$4*100000</f>
        <v>429.62423030847435</v>
      </c>
    </row>
    <row r="11118" spans="1:13" x14ac:dyDescent="0.25">
      <c r="A11118" s="367" t="s">
        <v>29</v>
      </c>
      <c r="B11118" s="2">
        <v>44356</v>
      </c>
      <c r="C11118" s="4">
        <v>338</v>
      </c>
      <c r="D11118" s="39">
        <f t="shared" si="1888"/>
        <v>66176</v>
      </c>
      <c r="E11118" s="1">
        <v>4</v>
      </c>
      <c r="F11118" s="39">
        <f t="shared" si="1895"/>
        <v>1089</v>
      </c>
      <c r="G11118" s="168">
        <f>SUM(C11118,C11094,C11070,C11046,C11022,C10998,C10974,C10950,C10926,C10902,C10878,C10854,C10830,C10806)/POBLA!$B$5*100000</f>
        <v>849.60435803901157</v>
      </c>
      <c r="H11118" s="256">
        <f t="shared" si="1894"/>
        <v>1.3752615062761506</v>
      </c>
      <c r="I11118" s="297">
        <f t="shared" si="1896"/>
        <v>1168.4281691755129</v>
      </c>
      <c r="J11118" s="422">
        <f t="shared" si="1897"/>
        <v>342.14285714285717</v>
      </c>
      <c r="K11118" s="297">
        <f>J11118/POBLA!$B$5*100000</f>
        <v>55.274018349589362</v>
      </c>
      <c r="L11118" s="200">
        <f t="shared" si="1898"/>
        <v>-0.16375698324022347</v>
      </c>
      <c r="M11118" s="401">
        <f>SUM(C11118,C11094,C11070,C11046,C11022,C10998,C10974)/POBLA!$B$5*100000</f>
        <v>386.91812844712547</v>
      </c>
    </row>
    <row r="11119" spans="1:13" x14ac:dyDescent="0.25">
      <c r="A11119" s="367" t="s">
        <v>30</v>
      </c>
      <c r="B11119" s="2">
        <v>44356</v>
      </c>
      <c r="C11119" s="4">
        <v>884</v>
      </c>
      <c r="D11119" s="39">
        <f t="shared" si="1888"/>
        <v>55946</v>
      </c>
      <c r="E11119" s="1">
        <v>1</v>
      </c>
      <c r="F11119" s="39">
        <f t="shared" si="1895"/>
        <v>662</v>
      </c>
      <c r="G11119" s="168">
        <f>SUM(C11119,C11095,C11071,C11047,C11023,C10999,C10975,C10951,C10927,C10903,C10879,C10855,C10831,C10807)/POBLA!$B$6*100000</f>
        <v>658.81454424112758</v>
      </c>
      <c r="H11119" s="256">
        <f t="shared" si="1894"/>
        <v>0.81330543011344858</v>
      </c>
      <c r="I11119" s="297">
        <f t="shared" si="1896"/>
        <v>535.81744626902582</v>
      </c>
      <c r="J11119" s="422">
        <f t="shared" si="1897"/>
        <v>530.71428571428567</v>
      </c>
      <c r="K11119" s="297">
        <f>J11119/POBLA!$B$6*100000</f>
        <v>47.351339418352204</v>
      </c>
      <c r="L11119" s="200">
        <f t="shared" si="1898"/>
        <v>1.2537476151539995E-2</v>
      </c>
      <c r="M11119" s="401">
        <f>SUM(C11119,C11095,C11071,C11047,C11023,C10999,C10975)/POBLA!$B$6*100000</f>
        <v>331.45937592846542</v>
      </c>
    </row>
    <row r="11120" spans="1:13" x14ac:dyDescent="0.25">
      <c r="A11120" s="367" t="s">
        <v>20</v>
      </c>
      <c r="B11120" s="2">
        <v>44356</v>
      </c>
      <c r="C11120" s="4">
        <v>4351</v>
      </c>
      <c r="D11120" s="39">
        <f t="shared" si="1888"/>
        <v>351297</v>
      </c>
      <c r="E11120" s="1">
        <v>39</v>
      </c>
      <c r="F11120" s="39">
        <f t="shared" si="1895"/>
        <v>4259</v>
      </c>
      <c r="G11120" s="168">
        <f>SUM(C11120,C11096,C11072,C11048,C11024,C11000,C10976,C10952,C10928,C10904,C10880,C10856,C10832,C10808)/POBLA!$B$7*100000</f>
        <v>1579.6247789493279</v>
      </c>
      <c r="H11120" s="256">
        <f t="shared" si="1894"/>
        <v>1.3260335744262881</v>
      </c>
      <c r="I11120" s="297">
        <f t="shared" si="1896"/>
        <v>2094.6354918825127</v>
      </c>
      <c r="J11120" s="422">
        <f t="shared" si="1897"/>
        <v>4181.5714285714284</v>
      </c>
      <c r="K11120" s="297">
        <f>J11120/POBLA!$B$7*100000</f>
        <v>111.19869772424653</v>
      </c>
      <c r="L11120" s="200">
        <f t="shared" si="1898"/>
        <v>-2.850979090607364E-2</v>
      </c>
      <c r="M11120" s="401">
        <f>SUM(C11120,C11096,C11072,C11048,C11024,C11000,C10976)/POBLA!$B$7*100000</f>
        <v>778.39088406972564</v>
      </c>
    </row>
    <row r="11121" spans="1:13" x14ac:dyDescent="0.25">
      <c r="A11121" s="367" t="s">
        <v>31</v>
      </c>
      <c r="B11121" s="2">
        <v>44356</v>
      </c>
      <c r="C11121" s="4">
        <v>1015</v>
      </c>
      <c r="D11121" s="39">
        <f t="shared" si="1888"/>
        <v>94542</v>
      </c>
      <c r="E11121" s="1">
        <v>11</v>
      </c>
      <c r="F11121" s="39">
        <f t="shared" si="1895"/>
        <v>1452</v>
      </c>
      <c r="G11121" s="168">
        <f>SUM(C11121,C11097,C11073,C11049,C11025,C11001,C10977,C10953,C10929,C10905,C10881,C10857,C10833,C10809)/POBLA!$B$8*100000</f>
        <v>1026.0028961853905</v>
      </c>
      <c r="H11121" s="256">
        <f t="shared" si="1894"/>
        <v>1.2853656331917203</v>
      </c>
      <c r="I11121" s="297">
        <f t="shared" si="1896"/>
        <v>1318.7888623118731</v>
      </c>
      <c r="J11121" s="422">
        <f t="shared" si="1897"/>
        <v>896.57142857142856</v>
      </c>
      <c r="K11121" s="297">
        <f>J11121/POBLA!$B$8*100000</f>
        <v>64.689513526818473</v>
      </c>
      <c r="L11121" s="200">
        <f t="shared" si="1898"/>
        <v>-0.20996978851963743</v>
      </c>
      <c r="M11121" s="401">
        <f>SUM(C11121,C11097,C11073,C11049,C11025,C11001,C10977)/POBLA!$B$8*100000</f>
        <v>452.82659468772925</v>
      </c>
    </row>
    <row r="11122" spans="1:13" x14ac:dyDescent="0.25">
      <c r="A11122" s="367" t="s">
        <v>41</v>
      </c>
      <c r="B11122" s="2">
        <v>44356</v>
      </c>
      <c r="C11122" s="4">
        <v>581</v>
      </c>
      <c r="D11122" s="39">
        <f t="shared" si="1888"/>
        <v>36903</v>
      </c>
      <c r="E11122" s="1">
        <v>18</v>
      </c>
      <c r="F11122" s="39">
        <f t="shared" si="1895"/>
        <v>594</v>
      </c>
      <c r="G11122" s="168">
        <f>SUM(C11122,C11098,C11074,C11050,C11026,C11002,C10978,C10954,C10930,C10906,C10882,C10858,C10834,C10810)/POBLA!$B$9*100000</f>
        <v>1877.2523806455131</v>
      </c>
      <c r="H11122" s="256">
        <f t="shared" si="1894"/>
        <v>0.60440495823801665</v>
      </c>
      <c r="I11122" s="297">
        <f>G11122*H11122</f>
        <v>1134.6206467262687</v>
      </c>
      <c r="J11122" s="422">
        <f t="shared" si="1897"/>
        <v>617.28571428571433</v>
      </c>
      <c r="K11122" s="297">
        <f>J11122/POBLA!$B$9*100000</f>
        <v>101.99815832068685</v>
      </c>
      <c r="L11122" s="200">
        <f t="shared" si="1898"/>
        <v>-0.38622159090909092</v>
      </c>
      <c r="M11122" s="401">
        <f>SUM(C11122,C11098,C11074,C11050,C11026,C11002,C10978)/POBLA!$B$9*100000</f>
        <v>713.98710824480781</v>
      </c>
    </row>
    <row r="11123" spans="1:13" x14ac:dyDescent="0.25">
      <c r="A11123" s="367" t="s">
        <v>32</v>
      </c>
      <c r="B11123" s="2">
        <v>44356</v>
      </c>
      <c r="C11123" s="4">
        <v>323</v>
      </c>
      <c r="D11123" s="39">
        <f t="shared" si="1888"/>
        <v>30606</v>
      </c>
      <c r="E11123" s="1">
        <v>8</v>
      </c>
      <c r="F11123" s="39">
        <f t="shared" si="1895"/>
        <v>1100</v>
      </c>
      <c r="G11123" s="168">
        <f>SUM(C11123,C11099,C11075,C11051,C11027,C11003,C10979,C10955,C10931,C10907,C10883,C10859,C10835,C10811)/POBLA!$B$10*100000</f>
        <v>403.69395535757138</v>
      </c>
      <c r="H11123" s="256">
        <f t="shared" si="1894"/>
        <v>1.9450000000000001</v>
      </c>
      <c r="I11123" s="297">
        <f t="shared" ref="I11123:I11137" si="1899">G11123*H11123</f>
        <v>785.18474317047639</v>
      </c>
      <c r="J11123" s="422">
        <f t="shared" si="1897"/>
        <v>244.42857142857142</v>
      </c>
      <c r="K11123" s="297">
        <f>J11123/POBLA!$B$10*100000</f>
        <v>31.707691774550341</v>
      </c>
      <c r="L11123" s="200">
        <f t="shared" ref="L11123:L11146" si="1900">(SUM(C11123,C11099,C11075,C11051,C11027,C11003,C10979)/SUM(C10955,C10931,C10907,C10883,C10859,C10835,C10811))-1</f>
        <v>0.22127052105638834</v>
      </c>
      <c r="M11123" s="401">
        <f>SUM(C11123,C11099,C11075,C11051,C11027,C11003,C10979)/POBLA!$B$10*100000</f>
        <v>221.95384242185241</v>
      </c>
    </row>
    <row r="11124" spans="1:13" x14ac:dyDescent="0.25">
      <c r="A11124" s="367" t="s">
        <v>33</v>
      </c>
      <c r="B11124" s="2">
        <v>44356</v>
      </c>
      <c r="C11124" s="4">
        <v>400</v>
      </c>
      <c r="D11124" s="39">
        <f t="shared" si="1888"/>
        <v>46304</v>
      </c>
      <c r="E11124" s="1">
        <v>12</v>
      </c>
      <c r="F11124" s="39">
        <f t="shared" si="1895"/>
        <v>629</v>
      </c>
      <c r="G11124" s="168">
        <f>SUM(C11124,C11100,C11076,C11052,C11028,C11004,C10980,C10956,C10932,C10908,C10884,C10860,C10836,C10812)/POBLA!$B$11*100000</f>
        <v>1626.8260292164673</v>
      </c>
      <c r="H11124" s="256">
        <f t="shared" si="1894"/>
        <v>0.65304065404860567</v>
      </c>
      <c r="I11124" s="297">
        <f t="shared" si="1899"/>
        <v>1062.3835341428178</v>
      </c>
      <c r="J11124" s="422">
        <f t="shared" si="1897"/>
        <v>359.85714285714283</v>
      </c>
      <c r="K11124" s="297">
        <f>J11124/POBLA!$B$11*100000</f>
        <v>100.39872522714265</v>
      </c>
      <c r="L11124" s="200">
        <f t="shared" si="1900"/>
        <v>-0.23943236714975846</v>
      </c>
      <c r="M11124" s="401">
        <f>SUM(C11124,C11100,C11076,C11052,C11028,C11004,C10980)/POBLA!$B$11*100000</f>
        <v>702.79107658999862</v>
      </c>
    </row>
    <row r="11125" spans="1:13" x14ac:dyDescent="0.25">
      <c r="A11125" s="367" t="s">
        <v>21</v>
      </c>
      <c r="B11125" s="2">
        <v>44356</v>
      </c>
      <c r="C11125" s="4">
        <v>188</v>
      </c>
      <c r="D11125" s="39">
        <f t="shared" si="1888"/>
        <v>18998</v>
      </c>
      <c r="F11125" s="39">
        <f t="shared" si="1895"/>
        <v>580</v>
      </c>
      <c r="G11125" s="168">
        <f>SUM(C11125,C11101,C11077,C11053,C11029,C11005,C10981,C10957,C10933,C10909,C10885,C10861,C10837,C10813)/POBLA!$B$12*100000</f>
        <v>606.30547529927753</v>
      </c>
      <c r="H11125" s="256">
        <f t="shared" si="1894"/>
        <v>1.0885036496350364</v>
      </c>
      <c r="I11125" s="297">
        <f t="shared" si="1899"/>
        <v>659.96572265696898</v>
      </c>
      <c r="J11125" s="422">
        <f t="shared" si="1897"/>
        <v>178.85714285714286</v>
      </c>
      <c r="K11125" s="297">
        <f>J11125/POBLA!$B$12*100000</f>
        <v>45.449314757196476</v>
      </c>
      <c r="L11125" s="200">
        <f t="shared" si="1900"/>
        <v>0.10405643738977077</v>
      </c>
      <c r="M11125" s="401">
        <f>SUM(C11125,C11101,C11077,C11053,C11029,C11005,C10981)/POBLA!$B$12*100000</f>
        <v>318.14520330037533</v>
      </c>
    </row>
    <row r="11126" spans="1:13" x14ac:dyDescent="0.25">
      <c r="A11126" s="367" t="s">
        <v>17</v>
      </c>
      <c r="B11126" s="2">
        <v>44356</v>
      </c>
      <c r="C11126" s="4">
        <v>772</v>
      </c>
      <c r="D11126" s="39">
        <f t="shared" si="1888"/>
        <v>127473</v>
      </c>
      <c r="E11126" s="1">
        <v>23</v>
      </c>
      <c r="F11126" s="39">
        <f t="shared" si="1895"/>
        <v>2821</v>
      </c>
      <c r="G11126" s="168">
        <f>SUM(C11126,C11102,C11078,C11054,C11030,C11006,C10982,C10958,C10934,C10910,C10886,C10862,C10838,C10814)/POBLA!$B$13*100000</f>
        <v>549.40417155277146</v>
      </c>
      <c r="H11126" s="256">
        <f t="shared" si="1894"/>
        <v>0.97529432750624334</v>
      </c>
      <c r="I11126" s="297">
        <f t="shared" si="1899"/>
        <v>535.83077202368497</v>
      </c>
      <c r="J11126" s="422">
        <f t="shared" si="1897"/>
        <v>676</v>
      </c>
      <c r="K11126" s="297">
        <f>J11126/POBLA!$B$13*100000</f>
        <v>33.964080472763925</v>
      </c>
      <c r="L11126" s="200">
        <f t="shared" si="1900"/>
        <v>-0.23714331774947606</v>
      </c>
      <c r="M11126" s="401">
        <f>SUM(C11126,C11102,C11078,C11054,C11030,C11006,C10982)/POBLA!$B$13*100000</f>
        <v>237.74856330934747</v>
      </c>
    </row>
    <row r="11127" spans="1:13" x14ac:dyDescent="0.25">
      <c r="A11127" s="367" t="s">
        <v>23</v>
      </c>
      <c r="B11127" s="2">
        <v>44356</v>
      </c>
      <c r="C11127" s="4">
        <v>176</v>
      </c>
      <c r="D11127" s="39">
        <f t="shared" si="1888"/>
        <v>22051</v>
      </c>
      <c r="E11127" s="1">
        <v>5</v>
      </c>
      <c r="F11127" s="39">
        <f t="shared" si="1895"/>
        <v>342</v>
      </c>
      <c r="G11127" s="168">
        <f>SUM(C11127,C11103,C11079,C11055,C11031,C11007,C10983,C10959,C10935,C10911,C10887,C10863,C10839,C10815)/POBLA!$B$14*100000</f>
        <v>202.01475627411213</v>
      </c>
      <c r="H11127" s="256">
        <f t="shared" si="1894"/>
        <v>1.1763619575253925</v>
      </c>
      <c r="I11127" s="297">
        <f t="shared" si="1899"/>
        <v>237.64247413962963</v>
      </c>
      <c r="J11127" s="422">
        <f t="shared" si="1897"/>
        <v>179.14285714285714</v>
      </c>
      <c r="K11127" s="297">
        <f>J11127/POBLA!$B$14*100000</f>
        <v>14.203100715840808</v>
      </c>
      <c r="L11127" s="200">
        <f t="shared" si="1900"/>
        <v>-3.0911901081916549E-2</v>
      </c>
      <c r="M11127" s="401">
        <f>SUM(C11127,C11103,C11079,C11055,C11031,C11007,C10983)/POBLA!$B$14*100000</f>
        <v>99.421705010885645</v>
      </c>
    </row>
    <row r="11128" spans="1:13" x14ac:dyDescent="0.25">
      <c r="A11128" s="367" t="s">
        <v>19</v>
      </c>
      <c r="B11128" s="2">
        <v>44356</v>
      </c>
      <c r="C11128" s="4">
        <v>502</v>
      </c>
      <c r="D11128" s="39">
        <f t="shared" si="1888"/>
        <v>95699</v>
      </c>
      <c r="E11128" s="1">
        <v>5</v>
      </c>
      <c r="F11128" s="39">
        <f t="shared" si="1895"/>
        <v>1474</v>
      </c>
      <c r="G11128" s="168">
        <f>SUM(C11128,C11104,C11080,C11056,C11032,C11008,C10984,C10960,C10936,C10912,C10888,C10864,C10840,C10816)/POBLA!$B$15*100000</f>
        <v>1395.5127345995902</v>
      </c>
      <c r="H11128" s="256">
        <f t="shared" si="1894"/>
        <v>0.92319187089061561</v>
      </c>
      <c r="I11128" s="297">
        <f t="shared" si="1899"/>
        <v>1288.3260123066748</v>
      </c>
      <c r="J11128" s="422">
        <f t="shared" si="1897"/>
        <v>510.28571428571428</v>
      </c>
      <c r="K11128" s="297">
        <f>J11128/POBLA!$B$15*100000</f>
        <v>76.843661656411172</v>
      </c>
      <c r="L11128" s="200">
        <f t="shared" si="1900"/>
        <v>-0.37278314310798943</v>
      </c>
      <c r="M11128" s="401">
        <f>SUM(C11128,C11104,C11080,C11056,C11032,C11008,C10984)/POBLA!$B$15*100000</f>
        <v>537.90563159487806</v>
      </c>
    </row>
    <row r="11129" spans="1:13" x14ac:dyDescent="0.25">
      <c r="A11129" s="367" t="s">
        <v>18</v>
      </c>
      <c r="B11129" s="2">
        <v>44356</v>
      </c>
      <c r="C11129" s="4">
        <v>423</v>
      </c>
      <c r="D11129" s="39">
        <f t="shared" si="1888"/>
        <v>78019</v>
      </c>
      <c r="E11129" s="1">
        <v>12</v>
      </c>
      <c r="F11129" s="39">
        <f t="shared" si="1895"/>
        <v>1730</v>
      </c>
      <c r="G11129" s="168">
        <f>SUM(C11129,C11105,C11081,C11057,C11033,C11009,C10985,C10961,C10937,C10913,C10889,C10865,C10841,C10817)/POBLA!$B$16*100000</f>
        <v>851.51348965369652</v>
      </c>
      <c r="H11129" s="256">
        <f t="shared" si="1894"/>
        <v>0.95916829893023958</v>
      </c>
      <c r="I11129" s="297">
        <f t="shared" si="1899"/>
        <v>816.74474538728828</v>
      </c>
      <c r="J11129" s="422">
        <f t="shared" si="1897"/>
        <v>386.57142857142856</v>
      </c>
      <c r="K11129" s="297">
        <f>J11129/POBLA!$B$16*100000</f>
        <v>51.707632130579924</v>
      </c>
      <c r="L11129" s="200">
        <f t="shared" si="1900"/>
        <v>-0.26065573770491801</v>
      </c>
      <c r="M11129" s="401">
        <f>SUM(C11129,C11105,C11081,C11057,C11033,C11009,C10985)/POBLA!$B$16*100000</f>
        <v>361.95342491405944</v>
      </c>
    </row>
    <row r="11130" spans="1:13" x14ac:dyDescent="0.25">
      <c r="A11130" s="367" t="s">
        <v>34</v>
      </c>
      <c r="B11130" s="2">
        <v>44356</v>
      </c>
      <c r="C11130" s="4">
        <v>654</v>
      </c>
      <c r="D11130" s="39">
        <f t="shared" si="1888"/>
        <v>50694</v>
      </c>
      <c r="E11130" s="1">
        <v>25</v>
      </c>
      <c r="F11130" s="39">
        <f t="shared" si="1895"/>
        <v>1495</v>
      </c>
      <c r="G11130" s="168">
        <f>SUM(C11130,C11106,C11082,C11058,C11034,C11010,C10986,C10962,C10938,C10914,C10890,C10866,C10842,C10818)/POBLA!$B$17*100000</f>
        <v>546.75768061853546</v>
      </c>
      <c r="H11130" s="256">
        <f t="shared" ref="H11130:H11153" si="1901">SUM(C11130,C11106,C11082,C11058,C11034,C11010,C10986,C10962,C10938,C10914,C10890,C10866,C10842,C10818)/SUM(C10794,C10770,C10746,C10722,C10698,C10674,C10650,C10626,C10602,C10578,C10554,C10530,C10506,C10482)</f>
        <v>1.4167727851555394</v>
      </c>
      <c r="I11130" s="297">
        <f t="shared" si="1899"/>
        <v>774.6314019751054</v>
      </c>
      <c r="J11130" s="422">
        <f t="shared" si="1897"/>
        <v>559.42857142857144</v>
      </c>
      <c r="K11130" s="297">
        <f>J11130/POBLA!$B$17*100000</f>
        <v>39.274764790193423</v>
      </c>
      <c r="L11130" s="200">
        <f t="shared" si="1900"/>
        <v>1.1363636363636465E-2</v>
      </c>
      <c r="M11130" s="401">
        <f>SUM(C11130,C11106,C11082,C11058,C11034,C11010,C10986)/POBLA!$B$17*100000</f>
        <v>274.923353531354</v>
      </c>
    </row>
    <row r="11131" spans="1:13" x14ac:dyDescent="0.25">
      <c r="A11131" s="367" t="s">
        <v>35</v>
      </c>
      <c r="B11131" s="2">
        <v>44356</v>
      </c>
      <c r="C11131" s="4">
        <v>710</v>
      </c>
      <c r="D11131" s="39">
        <f t="shared" si="1888"/>
        <v>41541</v>
      </c>
      <c r="F11131" s="39">
        <f t="shared" si="1895"/>
        <v>690</v>
      </c>
      <c r="G11131" s="168">
        <f>SUM(C11131,C11107,C11083,C11059,C11035,C11011,C10987,C10963,C10939,C10915,C10891,C10867,C10843,C10819)/POBLA!$B$18*100000</f>
        <v>936.99957886221114</v>
      </c>
      <c r="H11131" s="256">
        <f t="shared" si="1901"/>
        <v>1.0858923008455719</v>
      </c>
      <c r="I11131" s="297">
        <f t="shared" si="1899"/>
        <v>1017.4806285820183</v>
      </c>
      <c r="J11131" s="422">
        <f t="shared" si="1897"/>
        <v>458.57142857142856</v>
      </c>
      <c r="K11131" s="297">
        <f>J11131/POBLA!$B$18*100000</f>
        <v>58.699622329190035</v>
      </c>
      <c r="L11131" s="200">
        <f t="shared" si="1900"/>
        <v>-0.21897810218978098</v>
      </c>
      <c r="M11131" s="401">
        <f>SUM(C11131,C11107,C11083,C11059,C11035,C11011,C10987)/POBLA!$B$18*100000</f>
        <v>410.89735630433029</v>
      </c>
    </row>
    <row r="11132" spans="1:13" x14ac:dyDescent="0.25">
      <c r="A11132" s="367" t="s">
        <v>36</v>
      </c>
      <c r="B11132" s="2">
        <v>44356</v>
      </c>
      <c r="C11132" s="4">
        <v>534</v>
      </c>
      <c r="D11132" s="39">
        <f t="shared" si="1888"/>
        <v>57661</v>
      </c>
      <c r="E11132" s="1">
        <v>3</v>
      </c>
      <c r="F11132" s="39">
        <f t="shared" si="1895"/>
        <v>785</v>
      </c>
      <c r="G11132" s="168">
        <f>SUM(C11132,C11108,C11084,C11060,C11036,C11012,C10988,C10964,C10940,C10916,C10892,C10868,C10844,C10820)/POBLA!$B$19*100000</f>
        <v>1437.0642577233598</v>
      </c>
      <c r="H11132" s="256">
        <f t="shared" si="1901"/>
        <v>0.97089314194577347</v>
      </c>
      <c r="I11132" s="297">
        <f t="shared" si="1899"/>
        <v>1395.2358323590036</v>
      </c>
      <c r="J11132" s="422">
        <f t="shared" si="1897"/>
        <v>521.85714285714289</v>
      </c>
      <c r="K11132" s="297">
        <f>J11132/POBLA!$B$19*100000</f>
        <v>102.66149864991559</v>
      </c>
      <c r="L11132" s="200">
        <f t="shared" si="1900"/>
        <v>2.7382256297925345E-4</v>
      </c>
      <c r="M11132" s="401">
        <f>SUM(C11132,C11108,C11084,C11060,C11036,C11012,C10988)/POBLA!$B$19*100000</f>
        <v>718.63049054940905</v>
      </c>
    </row>
    <row r="11133" spans="1:13" x14ac:dyDescent="0.25">
      <c r="A11133" s="367" t="s">
        <v>37</v>
      </c>
      <c r="B11133" s="2">
        <v>44356</v>
      </c>
      <c r="C11133" s="4">
        <v>185</v>
      </c>
      <c r="D11133" s="39">
        <f t="shared" si="1888"/>
        <v>53144</v>
      </c>
      <c r="E11133" s="1">
        <v>1</v>
      </c>
      <c r="F11133" s="39">
        <f t="shared" si="1895"/>
        <v>808</v>
      </c>
      <c r="G11133" s="168">
        <f>SUM(C11133,C11109,C11085,C11061,C11037,C11013,C10989,C10965,C10941,C10917,C10893,C10869,C10845,C10821)/POBLA!$B$20*100000</f>
        <v>692.64803198267418</v>
      </c>
      <c r="H11133" s="256">
        <f t="shared" si="1901"/>
        <v>0.75364474858673014</v>
      </c>
      <c r="I11133" s="297">
        <f t="shared" si="1899"/>
        <v>522.01055192267586</v>
      </c>
      <c r="J11133" s="422">
        <f t="shared" si="1897"/>
        <v>162.57142857142858</v>
      </c>
      <c r="K11133" s="297">
        <f>J11133/POBLA!$B$20*100000</f>
        <v>44.455104641378561</v>
      </c>
      <c r="L11133" s="200">
        <f t="shared" si="1900"/>
        <v>-0.18422939068100364</v>
      </c>
      <c r="M11133" s="401">
        <f>SUM(C11133,C11109,C11085,C11061,C11037,C11013,C10989)/POBLA!$B$20*100000</f>
        <v>311.18573248964992</v>
      </c>
    </row>
    <row r="11134" spans="1:13" x14ac:dyDescent="0.25">
      <c r="A11134" s="367" t="s">
        <v>22</v>
      </c>
      <c r="B11134" s="2">
        <v>44356</v>
      </c>
      <c r="C11134" s="4">
        <v>2733</v>
      </c>
      <c r="D11134" s="39">
        <f t="shared" si="1888"/>
        <v>369120</v>
      </c>
      <c r="E11134" s="1">
        <v>64</v>
      </c>
      <c r="F11134" s="39">
        <f t="shared" si="1895"/>
        <v>5906</v>
      </c>
      <c r="G11134" s="168">
        <f>SUM(C11134,C11110,C11086,C11062,C11038,C11014,C10990,C10966,C10942,C10918,C10894,C10870,C10846,C10822)/POBLA!$B$21*100000</f>
        <v>1114.5741255699977</v>
      </c>
      <c r="H11134" s="256">
        <f t="shared" si="1901"/>
        <v>1.1299162940029812</v>
      </c>
      <c r="I11134" s="297">
        <f t="shared" si="1899"/>
        <v>1259.3754653556653</v>
      </c>
      <c r="J11134" s="422">
        <f t="shared" si="1897"/>
        <v>2436.5714285714284</v>
      </c>
      <c r="K11134" s="297">
        <f>J11134/POBLA!$B$21*100000</f>
        <v>68.899418241040181</v>
      </c>
      <c r="L11134" s="200">
        <f t="shared" si="1900"/>
        <v>-0.23720930232558135</v>
      </c>
      <c r="M11134" s="401">
        <f>SUM(C11134,C11110,C11086,C11062,C11038,C11014,C10990)/POBLA!$B$21*100000</f>
        <v>482.29592768728128</v>
      </c>
    </row>
    <row r="11135" spans="1:13" x14ac:dyDescent="0.25">
      <c r="A11135" s="367" t="s">
        <v>38</v>
      </c>
      <c r="B11135" s="2">
        <v>44356</v>
      </c>
      <c r="C11135" s="4">
        <v>659</v>
      </c>
      <c r="D11135" s="39">
        <f t="shared" si="1888"/>
        <v>48807</v>
      </c>
      <c r="E11135" s="1">
        <v>9</v>
      </c>
      <c r="F11135" s="39">
        <f t="shared" si="1895"/>
        <v>613</v>
      </c>
      <c r="G11135" s="168">
        <f>SUM(C11135,C11111,C11087,C11063,C11039,C11015,C10991,C10967,C10943,C10919,C10895,C10871,C10847,C10823)/POBLA!$B$22*100000</f>
        <v>789.42015489930111</v>
      </c>
      <c r="H11135" s="256">
        <f t="shared" si="1901"/>
        <v>1.0315213035928943</v>
      </c>
      <c r="I11135" s="297">
        <f t="shared" si="1899"/>
        <v>814.30370726423166</v>
      </c>
      <c r="J11135" s="422">
        <f t="shared" si="1897"/>
        <v>568.85714285714289</v>
      </c>
      <c r="K11135" s="297">
        <f>J11135/POBLA!$B$22*100000</f>
        <v>58.146742694530573</v>
      </c>
      <c r="L11135" s="200">
        <f t="shared" si="1900"/>
        <v>6.4421277733226479E-2</v>
      </c>
      <c r="M11135" s="401">
        <f>SUM(C11135,C11111,C11087,C11063,C11039,C11015,C10991)/POBLA!$B$22*100000</f>
        <v>407.027198861714</v>
      </c>
    </row>
    <row r="11136" spans="1:13" x14ac:dyDescent="0.25">
      <c r="A11136" s="367" t="s">
        <v>39</v>
      </c>
      <c r="B11136" s="2">
        <v>44356</v>
      </c>
      <c r="C11136" s="4">
        <v>43</v>
      </c>
      <c r="D11136" s="39">
        <f t="shared" si="1888"/>
        <v>28923</v>
      </c>
      <c r="F11136" s="39">
        <f t="shared" si="1895"/>
        <v>428</v>
      </c>
      <c r="G11136" s="168">
        <f>SUM(C11136,C11112,C11088,C11064,C11040,C11016,C10992,C10968,C10944,C10920,C10896,C10872,C10848,C10824)/POBLA!$B$23*100000</f>
        <v>398.12249052762542</v>
      </c>
      <c r="H11136" s="256">
        <f t="shared" si="1901"/>
        <v>0.7191011235955056</v>
      </c>
      <c r="I11136" s="297">
        <f t="shared" si="1899"/>
        <v>286.29033026705645</v>
      </c>
      <c r="J11136" s="422">
        <f t="shared" si="1897"/>
        <v>45.714285714285715</v>
      </c>
      <c r="K11136" s="297">
        <f>J11136/POBLA!$B$23*100000</f>
        <v>25.852109774521129</v>
      </c>
      <c r="L11136" s="200">
        <f t="shared" si="1900"/>
        <v>-0.16666666666666663</v>
      </c>
      <c r="M11136" s="401">
        <f>SUM(C11136,C11112,C11088,C11064,C11040,C11016,C10992)/POBLA!$B$23*100000</f>
        <v>180.96476842164793</v>
      </c>
    </row>
    <row r="11137" spans="1:19" ht="15.75" thickBot="1" x14ac:dyDescent="0.3">
      <c r="A11137" s="368" t="s">
        <v>40</v>
      </c>
      <c r="B11137" s="34">
        <v>44356</v>
      </c>
      <c r="C11137" s="27">
        <v>957</v>
      </c>
      <c r="D11137" s="67">
        <f t="shared" si="1888"/>
        <v>138204</v>
      </c>
      <c r="E11137" s="232">
        <v>15</v>
      </c>
      <c r="F11137" s="67">
        <f t="shared" si="1895"/>
        <v>2024</v>
      </c>
      <c r="G11137" s="255">
        <f>SUM(C11137,C11113,C11089,C11065,C11041,C11017,C10993,C10969,C10945,C10921,C10897,C10873,C10849,C10825)/POBLA!$B$24*100000</f>
        <v>828.72276143358886</v>
      </c>
      <c r="H11137" s="257">
        <f t="shared" si="1901"/>
        <v>1.2147738084940749</v>
      </c>
      <c r="I11137" s="299">
        <f t="shared" si="1899"/>
        <v>1006.7107050924074</v>
      </c>
      <c r="J11137" s="428">
        <f t="shared" si="1897"/>
        <v>870.42857142857144</v>
      </c>
      <c r="K11137" s="299">
        <f>J11137/POBLA!$B$24*100000</f>
        <v>51.363142220519762</v>
      </c>
      <c r="L11137" s="260">
        <f t="shared" si="1900"/>
        <v>-0.23368129794994341</v>
      </c>
      <c r="M11137" s="406">
        <f>SUM(C11137,C11113,C11089,C11065,C11041,C11017,C10993)/POBLA!$B$24*100000</f>
        <v>359.54199554363834</v>
      </c>
    </row>
    <row r="11138" spans="1:19" x14ac:dyDescent="0.25">
      <c r="A11138" s="363" t="s">
        <v>16</v>
      </c>
      <c r="B11138" s="265">
        <v>44357</v>
      </c>
      <c r="C11138" s="483">
        <v>9490</v>
      </c>
      <c r="D11138" s="174">
        <f t="shared" si="1888"/>
        <v>1708273</v>
      </c>
      <c r="E11138" s="43">
        <v>361</v>
      </c>
      <c r="F11138" s="174">
        <f t="shared" ref="F11138:F11161" si="1902">E11138+F11114</f>
        <v>43033</v>
      </c>
      <c r="G11138" s="175">
        <f>SUM(C11138,C11114,C11090,C11066,C11042,C11018,C10994,C10970,C10946,C10922,C10898,C10874,C10850,C10826)/POBLA!$B$1*100000</f>
        <v>800.70047894831919</v>
      </c>
      <c r="H11138" s="300">
        <f t="shared" si="1901"/>
        <v>0.9148656218652701</v>
      </c>
      <c r="I11138" s="301">
        <f>G11138*H11138</f>
        <v>732.53334160087365</v>
      </c>
      <c r="J11138" s="421">
        <f>AVERAGE(C11138,C11114,C11090,C11066,C11042,C11018,C10994)</f>
        <v>8724</v>
      </c>
      <c r="K11138" s="301">
        <f>J11138/POBLA!$B$1*100000</f>
        <v>49.734507008409551</v>
      </c>
      <c r="L11138" s="399">
        <f t="shared" si="1900"/>
        <v>-0.23072659477980451</v>
      </c>
      <c r="M11138" s="400">
        <f>SUM(C11138,C11114,C11090,C11066,C11042,C11018,C10994)/POBLA!$B$1*100000</f>
        <v>348.14154905886681</v>
      </c>
    </row>
    <row r="11139" spans="1:19" x14ac:dyDescent="0.25">
      <c r="A11139" s="367" t="s">
        <v>43</v>
      </c>
      <c r="B11139" s="2">
        <v>44357</v>
      </c>
      <c r="C11139" s="483">
        <v>1743</v>
      </c>
      <c r="D11139" s="39">
        <f t="shared" si="1888"/>
        <v>436856</v>
      </c>
      <c r="E11139" s="1">
        <v>54</v>
      </c>
      <c r="F11139" s="39">
        <f t="shared" si="1902"/>
        <v>9611</v>
      </c>
      <c r="G11139" s="168">
        <f>SUM(C11139,C11115,C11091,C11067,C11043,C11019,C10995,C10971,C10947,C10923,C10899,C10875,C10851,C10827)/POBLA!$B$2*100000</f>
        <v>904.55793677165707</v>
      </c>
      <c r="H11139" s="256">
        <f t="shared" si="1901"/>
        <v>0.73516898765954075</v>
      </c>
      <c r="I11139" s="297">
        <f t="shared" ref="I11139:I11145" si="1903">G11139*H11139</f>
        <v>665.00294265582204</v>
      </c>
      <c r="J11139" s="422">
        <f t="shared" ref="J11139:J11161" si="1904">AVERAGE(C11139,C11115,C11091,C11067,C11043,C11019,C10995)</f>
        <v>1716.5714285714287</v>
      </c>
      <c r="K11139" s="297">
        <f>J11139/POBLA!$B$2*100000</f>
        <v>55.811736089635438</v>
      </c>
      <c r="L11139" s="200">
        <f t="shared" si="1900"/>
        <v>-0.23973426130971209</v>
      </c>
      <c r="M11139" s="401">
        <f>SUM(C11139,C11115,C11091,C11067,C11043,C11019,C10995)/POBLA!$B$2*100000</f>
        <v>390.68215262744803</v>
      </c>
      <c r="S11139" s="483"/>
    </row>
    <row r="11140" spans="1:19" x14ac:dyDescent="0.25">
      <c r="A11140" s="367" t="s">
        <v>28</v>
      </c>
      <c r="B11140" s="2">
        <v>44357</v>
      </c>
      <c r="C11140" s="483">
        <v>476</v>
      </c>
      <c r="D11140" s="39">
        <f t="shared" si="1888"/>
        <v>28024</v>
      </c>
      <c r="E11140" s="1">
        <v>24</v>
      </c>
      <c r="F11140" s="39">
        <f t="shared" si="1902"/>
        <v>226</v>
      </c>
      <c r="G11140" s="168">
        <f>SUM(C11140,C11116,C11092,C11068,C11044,C11020,C10996,C10972,C10948,C10924,C10900,C10876,C10852,C10828)/POBLA!$B$3*100000</f>
        <v>1401.6531949412429</v>
      </c>
      <c r="H11140" s="256">
        <f t="shared" si="1901"/>
        <v>1.1276142525174284</v>
      </c>
      <c r="I11140" s="297">
        <f t="shared" si="1903"/>
        <v>1580.5241197023349</v>
      </c>
      <c r="J11140" s="422">
        <f t="shared" si="1904"/>
        <v>434.85714285714283</v>
      </c>
      <c r="K11140" s="297">
        <f>J11140/POBLA!$B$3*100000</f>
        <v>104.67437809183147</v>
      </c>
      <c r="L11140" s="200">
        <f t="shared" si="1900"/>
        <v>9.5358042461316961E-2</v>
      </c>
      <c r="M11140" s="401">
        <f>SUM(C11140,C11116,C11092,C11068,C11044,C11020,C10996)/POBLA!$B$3*100000</f>
        <v>732.72064664282038</v>
      </c>
      <c r="S11140" s="483"/>
    </row>
    <row r="11141" spans="1:19" x14ac:dyDescent="0.25">
      <c r="A11141" s="367" t="s">
        <v>15</v>
      </c>
      <c r="B11141" s="2">
        <v>44357</v>
      </c>
      <c r="C11141" s="483">
        <v>814</v>
      </c>
      <c r="D11141" s="39">
        <f t="shared" si="1888"/>
        <v>65789</v>
      </c>
      <c r="E11141" s="1">
        <v>12</v>
      </c>
      <c r="F11141" s="39">
        <f t="shared" si="1902"/>
        <v>1369</v>
      </c>
      <c r="G11141" s="168">
        <f>SUM(C11141,C11117,C11093,C11069,C11045,C11021,C10997,C10973,C10949,C10925,C10901,C10877,C10853,C10829)/POBLA!$B$4*100000</f>
        <v>816.9917005730814</v>
      </c>
      <c r="H11141" s="256">
        <f t="shared" si="1901"/>
        <v>1.2757324345346124</v>
      </c>
      <c r="I11141" s="297">
        <f t="shared" si="1903"/>
        <v>1042.2628111666702</v>
      </c>
      <c r="J11141" s="422">
        <f t="shared" si="1904"/>
        <v>736.57142857142856</v>
      </c>
      <c r="K11141" s="297">
        <f>J11141/POBLA!$B$4*100000</f>
        <v>61.14955228351949</v>
      </c>
      <c r="L11141" s="200">
        <f t="shared" si="1900"/>
        <v>0.10053361792956239</v>
      </c>
      <c r="M11141" s="401">
        <f>SUM(C11141,C11117,C11093,C11069,C11045,C11021,C10997)/POBLA!$B$4*100000</f>
        <v>428.0468659846365</v>
      </c>
      <c r="S11141" s="483"/>
    </row>
    <row r="11142" spans="1:19" x14ac:dyDescent="0.25">
      <c r="A11142" s="367" t="s">
        <v>29</v>
      </c>
      <c r="B11142" s="2">
        <v>44357</v>
      </c>
      <c r="C11142" s="483">
        <v>251</v>
      </c>
      <c r="D11142" s="39">
        <f t="shared" si="1888"/>
        <v>66427</v>
      </c>
      <c r="E11142" s="1">
        <v>2</v>
      </c>
      <c r="F11142" s="39">
        <f t="shared" si="1902"/>
        <v>1091</v>
      </c>
      <c r="G11142" s="168">
        <f>SUM(C11142,C11118,C11094,C11070,C11046,C11022,C10998,C10974,C10950,C10926,C10902,C10878,C10854,C10830)/POBLA!$B$5*100000</f>
        <v>808.73158705900209</v>
      </c>
      <c r="H11142" s="256">
        <f t="shared" si="1901"/>
        <v>1.2191914271797371</v>
      </c>
      <c r="I11142" s="297">
        <f t="shared" si="1903"/>
        <v>985.99861783179858</v>
      </c>
      <c r="J11142" s="422">
        <f t="shared" si="1904"/>
        <v>307.85714285714283</v>
      </c>
      <c r="K11142" s="297">
        <f>J11142/POBLA!$B$5*100000</f>
        <v>49.735077053597102</v>
      </c>
      <c r="L11142" s="200">
        <f t="shared" si="1900"/>
        <v>-0.24412486846720449</v>
      </c>
      <c r="M11142" s="401">
        <f>SUM(C11142,C11118,C11094,C11070,C11046,C11022,C10998)/POBLA!$B$5*100000</f>
        <v>348.14553937517974</v>
      </c>
      <c r="S11142" s="483"/>
    </row>
    <row r="11143" spans="1:19" x14ac:dyDescent="0.25">
      <c r="A11143" s="367" t="s">
        <v>30</v>
      </c>
      <c r="B11143" s="2">
        <v>44357</v>
      </c>
      <c r="C11143" s="483">
        <v>554</v>
      </c>
      <c r="D11143" s="39">
        <f t="shared" si="1888"/>
        <v>56500</v>
      </c>
      <c r="F11143" s="39">
        <f t="shared" si="1902"/>
        <v>662</v>
      </c>
      <c r="G11143" s="168">
        <f>SUM(C11143,C11119,C11095,C11071,C11047,C11023,C10999,C10975,C10951,C10927,C10903,C10879,C10855,C10831)/POBLA!$B$6*100000</f>
        <v>646.59114329840895</v>
      </c>
      <c r="H11143" s="256">
        <f t="shared" si="1901"/>
        <v>0.7774082814846599</v>
      </c>
      <c r="I11143" s="297">
        <f t="shared" si="1903"/>
        <v>502.6653095348176</v>
      </c>
      <c r="J11143" s="422">
        <f t="shared" si="1904"/>
        <v>525.42857142857144</v>
      </c>
      <c r="K11143" s="297">
        <f>J11143/POBLA!$B$6*100000</f>
        <v>46.87973792212636</v>
      </c>
      <c r="L11143" s="200">
        <f t="shared" si="1900"/>
        <v>3.0540767722051054E-2</v>
      </c>
      <c r="M11143" s="401">
        <f>SUM(C11143,C11119,C11095,C11071,C11047,C11023,C10999)/POBLA!$B$6*100000</f>
        <v>328.15816545488445</v>
      </c>
      <c r="S11143" s="483"/>
    </row>
    <row r="11144" spans="1:19" x14ac:dyDescent="0.25">
      <c r="A11144" s="367" t="s">
        <v>20</v>
      </c>
      <c r="B11144" s="2">
        <v>44357</v>
      </c>
      <c r="C11144" s="483">
        <v>4627</v>
      </c>
      <c r="D11144" s="39">
        <f t="shared" si="1888"/>
        <v>355924</v>
      </c>
      <c r="E11144" s="1">
        <v>40</v>
      </c>
      <c r="F11144" s="39">
        <f t="shared" si="1902"/>
        <v>4299</v>
      </c>
      <c r="G11144" s="168">
        <f>SUM(C11144,C11120,C11096,C11072,C11048,C11024,C11000,C10976,C10952,C10928,C10904,C10880,C10856,C10832)/POBLA!$B$7*100000</f>
        <v>1571.4874549588478</v>
      </c>
      <c r="H11144" s="256">
        <f t="shared" si="1901"/>
        <v>1.2557373565660859</v>
      </c>
      <c r="I11144" s="297">
        <f t="shared" si="1903"/>
        <v>1973.3755025667895</v>
      </c>
      <c r="J11144" s="422">
        <f t="shared" si="1904"/>
        <v>4107.5714285714284</v>
      </c>
      <c r="K11144" s="297">
        <f>J11144/POBLA!$B$7*100000</f>
        <v>109.23084813177753</v>
      </c>
      <c r="L11144" s="200">
        <f t="shared" si="1900"/>
        <v>-5.2369652626721996E-2</v>
      </c>
      <c r="M11144" s="401">
        <f>SUM(C11144,C11120,C11096,C11072,C11048,C11024,C11000)/POBLA!$B$7*100000</f>
        <v>764.61593692244276</v>
      </c>
      <c r="S11144" s="483"/>
    </row>
    <row r="11145" spans="1:19" x14ac:dyDescent="0.25">
      <c r="A11145" s="367" t="s">
        <v>31</v>
      </c>
      <c r="B11145" s="2">
        <v>44357</v>
      </c>
      <c r="C11145" s="483">
        <v>953</v>
      </c>
      <c r="D11145" s="39">
        <f t="shared" si="1888"/>
        <v>95495</v>
      </c>
      <c r="E11145" s="1">
        <v>23</v>
      </c>
      <c r="F11145" s="39">
        <f t="shared" si="1902"/>
        <v>1475</v>
      </c>
      <c r="G11145" s="168">
        <f>SUM(C11145,C11121,C11097,C11073,C11049,C11025,C11001,C10977,C10953,C10929,C10905,C10881,C10857,C10833)/POBLA!$B$8*100000</f>
        <v>997.14205522377608</v>
      </c>
      <c r="H11145" s="256">
        <f t="shared" si="1901"/>
        <v>1.190353143841516</v>
      </c>
      <c r="I11145" s="297">
        <f t="shared" si="1903"/>
        <v>1186.9511802922125</v>
      </c>
      <c r="J11145" s="422">
        <f t="shared" si="1904"/>
        <v>882.14285714285711</v>
      </c>
      <c r="K11145" s="297">
        <f>J11145/POBLA!$B$8*100000</f>
        <v>63.648461763560235</v>
      </c>
      <c r="L11145" s="200">
        <f t="shared" si="1900"/>
        <v>-0.19228253760627856</v>
      </c>
      <c r="M11145" s="401">
        <f>SUM(C11145,C11121,C11097,C11073,C11049,C11025,C11001)/POBLA!$B$8*100000</f>
        <v>445.53923234492169</v>
      </c>
      <c r="S11145" s="483"/>
    </row>
    <row r="11146" spans="1:19" x14ac:dyDescent="0.25">
      <c r="A11146" s="367" t="s">
        <v>41</v>
      </c>
      <c r="B11146" s="2">
        <v>44357</v>
      </c>
      <c r="C11146" s="483">
        <v>319</v>
      </c>
      <c r="D11146" s="39">
        <f t="shared" si="1888"/>
        <v>37222</v>
      </c>
      <c r="E11146" s="1">
        <v>19</v>
      </c>
      <c r="F11146" s="39">
        <f t="shared" si="1902"/>
        <v>613</v>
      </c>
      <c r="G11146" s="168">
        <f>SUM(C11146,C11122,C11098,C11074,C11050,C11026,C11002,C10978,C10954,C10930,C10906,C10882,C10858,C10834)/POBLA!$B$9*100000</f>
        <v>1747.5416933110594</v>
      </c>
      <c r="H11146" s="256">
        <f t="shared" si="1901"/>
        <v>0.53530394290631167</v>
      </c>
      <c r="I11146" s="297">
        <f>G11146*H11146</f>
        <v>935.46595882258259</v>
      </c>
      <c r="J11146" s="422">
        <f t="shared" si="1904"/>
        <v>534.57142857142856</v>
      </c>
      <c r="K11146" s="297">
        <f>J11146/POBLA!$B$9*100000</f>
        <v>88.330735578803555</v>
      </c>
      <c r="L11146" s="200">
        <f t="shared" si="1900"/>
        <v>-0.45244366403277725</v>
      </c>
      <c r="M11146" s="401">
        <f>SUM(C11146,C11122,C11098,C11074,C11050,C11026,C11002)/POBLA!$B$9*100000</f>
        <v>618.31514905162487</v>
      </c>
      <c r="S11146" s="483"/>
    </row>
    <row r="11147" spans="1:19" x14ac:dyDescent="0.25">
      <c r="A11147" s="367" t="s">
        <v>32</v>
      </c>
      <c r="B11147" s="2">
        <v>44357</v>
      </c>
      <c r="C11147" s="483">
        <v>280</v>
      </c>
      <c r="D11147" s="39">
        <f t="shared" si="1888"/>
        <v>30886</v>
      </c>
      <c r="F11147" s="39">
        <f t="shared" si="1902"/>
        <v>1100</v>
      </c>
      <c r="G11147" s="168">
        <f>SUM(C11147,C11123,C11099,C11075,C11051,C11027,C11003,C10979,C10955,C10931,C10907,C10883,C10859,C10835)/POBLA!$B$10*100000</f>
        <v>410.4394841746003</v>
      </c>
      <c r="H11147" s="256">
        <f t="shared" si="1901"/>
        <v>1.8257357184073861</v>
      </c>
      <c r="I11147" s="297">
        <f t="shared" ref="I11147:I11161" si="1905">G11147*H11147</f>
        <v>749.35402650227081</v>
      </c>
      <c r="J11147" s="422">
        <f t="shared" si="1904"/>
        <v>250.28571428571428</v>
      </c>
      <c r="K11147" s="297">
        <f>J11147/POBLA!$B$10*100000</f>
        <v>32.467490350094799</v>
      </c>
      <c r="L11147" s="200">
        <f t="shared" ref="L11147:L11170" si="1906">(SUM(C11147,C11123,C11099,C11075,C11051,C11027,C11003)/SUM(C10979,C10955,C10931,C10907,C10883,C10859,C10835))-1</f>
        <v>0.2407932011331444</v>
      </c>
      <c r="M11147" s="401">
        <f>SUM(C11147,C11123,C11099,C11075,C11051,C11027,C11003)/POBLA!$B$10*100000</f>
        <v>227.27243245066359</v>
      </c>
      <c r="S11147" s="483"/>
    </row>
    <row r="11148" spans="1:19" x14ac:dyDescent="0.25">
      <c r="A11148" s="367" t="s">
        <v>33</v>
      </c>
      <c r="B11148" s="2">
        <v>44357</v>
      </c>
      <c r="C11148" s="483">
        <v>373</v>
      </c>
      <c r="D11148" s="39">
        <f t="shared" si="1888"/>
        <v>46677</v>
      </c>
      <c r="E11148" s="1">
        <v>3</v>
      </c>
      <c r="F11148" s="39">
        <f t="shared" si="1902"/>
        <v>632</v>
      </c>
      <c r="G11148" s="168">
        <f>SUM(C11148,C11124,C11100,C11076,C11052,C11028,C11004,C10980,C10956,C10932,C10908,C10884,C10860,C10836)/POBLA!$B$11*100000</f>
        <v>1537.8262858928433</v>
      </c>
      <c r="H11148" s="256">
        <f t="shared" si="1901"/>
        <v>0.61394519937625303</v>
      </c>
      <c r="I11148" s="297">
        <f t="shared" si="1905"/>
        <v>944.14106569852436</v>
      </c>
      <c r="J11148" s="422">
        <f t="shared" si="1904"/>
        <v>350.85714285714283</v>
      </c>
      <c r="K11148" s="297">
        <f>J11148/POBLA!$B$11*100000</f>
        <v>97.887760681962007</v>
      </c>
      <c r="L11148" s="200">
        <f t="shared" si="1906"/>
        <v>-0.19633507853403143</v>
      </c>
      <c r="M11148" s="401">
        <f>SUM(C11148,C11124,C11100,C11076,C11052,C11028,C11004)/POBLA!$B$11*100000</f>
        <v>685.21432477373412</v>
      </c>
      <c r="S11148" s="483"/>
    </row>
    <row r="11149" spans="1:19" x14ac:dyDescent="0.25">
      <c r="A11149" s="367" t="s">
        <v>21</v>
      </c>
      <c r="B11149" s="2">
        <v>44357</v>
      </c>
      <c r="C11149" s="483">
        <v>160</v>
      </c>
      <c r="D11149" s="39">
        <f t="shared" si="1888"/>
        <v>19158</v>
      </c>
      <c r="F11149" s="39">
        <f t="shared" si="1902"/>
        <v>580</v>
      </c>
      <c r="G11149" s="168">
        <f>SUM(C11149,C11125,C11101,C11077,C11053,C11029,C11005,C10981,C10957,C10933,C10909,C10885,C10861,C10837)/POBLA!$B$12*100000</f>
        <v>612.65821498179309</v>
      </c>
      <c r="H11149" s="256">
        <f t="shared" si="1901"/>
        <v>1.0478053020425901</v>
      </c>
      <c r="I11149" s="297">
        <f t="shared" si="1905"/>
        <v>641.94652599787184</v>
      </c>
      <c r="J11149" s="422">
        <f t="shared" si="1904"/>
        <v>175</v>
      </c>
      <c r="K11149" s="297">
        <f>J11149/POBLA!$B$12*100000</f>
        <v>44.469177777608373</v>
      </c>
      <c r="L11149" s="200">
        <f t="shared" si="1906"/>
        <v>3.2883642495784127E-2</v>
      </c>
      <c r="M11149" s="401">
        <f>SUM(C11149,C11125,C11101,C11077,C11053,C11029,C11005)/POBLA!$B$12*100000</f>
        <v>311.28424444325861</v>
      </c>
      <c r="S11149" s="483"/>
    </row>
    <row r="11150" spans="1:19" x14ac:dyDescent="0.25">
      <c r="A11150" s="367" t="s">
        <v>17</v>
      </c>
      <c r="B11150" s="2">
        <v>44357</v>
      </c>
      <c r="C11150" s="483">
        <v>735</v>
      </c>
      <c r="D11150" s="39">
        <f t="shared" si="1888"/>
        <v>128208</v>
      </c>
      <c r="E11150" s="1">
        <v>26</v>
      </c>
      <c r="F11150" s="39">
        <f t="shared" si="1902"/>
        <v>2847</v>
      </c>
      <c r="G11150" s="168">
        <f>SUM(C11150,C11126,C11102,C11078,C11054,C11030,C11006,C10982,C10958,C10934,C10910,C10886,C10862,C10838)/POBLA!$B$13*100000</f>
        <v>530.9148496386041</v>
      </c>
      <c r="H11150" s="256">
        <f t="shared" si="1901"/>
        <v>0.93348056537102475</v>
      </c>
      <c r="I11150" s="297">
        <f t="shared" si="1905"/>
        <v>495.59869400451674</v>
      </c>
      <c r="J11150" s="422">
        <f t="shared" si="1904"/>
        <v>664</v>
      </c>
      <c r="K11150" s="297">
        <f>J11150/POBLA!$B$13*100000</f>
        <v>33.361167801649771</v>
      </c>
      <c r="L11150" s="200">
        <f t="shared" si="1906"/>
        <v>-0.21473221828011491</v>
      </c>
      <c r="M11150" s="401">
        <f>SUM(C11150,C11126,C11102,C11078,C11054,C11030,C11006)/POBLA!$B$13*100000</f>
        <v>233.52817461154839</v>
      </c>
      <c r="S11150" s="483"/>
    </row>
    <row r="11151" spans="1:19" x14ac:dyDescent="0.25">
      <c r="A11151" s="367" t="s">
        <v>23</v>
      </c>
      <c r="B11151" s="2">
        <v>44357</v>
      </c>
      <c r="C11151" s="483">
        <v>163</v>
      </c>
      <c r="D11151" s="39">
        <f t="shared" si="1888"/>
        <v>22214</v>
      </c>
      <c r="F11151" s="39">
        <f t="shared" si="1902"/>
        <v>342</v>
      </c>
      <c r="G11151" s="168">
        <f>SUM(C11151,C11127,C11103,C11079,C11055,C11031,C11007,C10983,C10959,C10935,C10911,C10887,C10863,C10839)/POBLA!$B$14*100000</f>
        <v>202.33189089934621</v>
      </c>
      <c r="H11151" s="256">
        <f t="shared" si="1901"/>
        <v>1.1809347524294309</v>
      </c>
      <c r="I11151" s="297">
        <f t="shared" si="1905"/>
        <v>238.94076148779803</v>
      </c>
      <c r="J11151" s="422">
        <f t="shared" si="1904"/>
        <v>176</v>
      </c>
      <c r="K11151" s="297">
        <f>J11151/POBLA!$B$14*100000</f>
        <v>13.95392351029974</v>
      </c>
      <c r="L11151" s="200">
        <f t="shared" si="1906"/>
        <v>-6.6666666666666652E-2</v>
      </c>
      <c r="M11151" s="401">
        <f>SUM(C11151,C11127,C11103,C11079,C11055,C11031,C11007)/POBLA!$B$14*100000</f>
        <v>97.677464572098174</v>
      </c>
      <c r="S11151" s="483"/>
    </row>
    <row r="11152" spans="1:19" x14ac:dyDescent="0.25">
      <c r="A11152" s="367" t="s">
        <v>19</v>
      </c>
      <c r="B11152" s="2">
        <v>44357</v>
      </c>
      <c r="C11152" s="483">
        <v>398</v>
      </c>
      <c r="D11152" s="39">
        <f t="shared" si="1888"/>
        <v>96097</v>
      </c>
      <c r="E11152" s="1">
        <v>3</v>
      </c>
      <c r="F11152" s="39">
        <f t="shared" si="1902"/>
        <v>1477</v>
      </c>
      <c r="G11152" s="168">
        <f>SUM(C11152,C11128,C11104,C11080,C11056,C11032,C11008,C10984,C10960,C10936,C10912,C10888,C10864,C10840)/POBLA!$B$15*100000</f>
        <v>1319.4650459222628</v>
      </c>
      <c r="H11152" s="256">
        <f t="shared" si="1901"/>
        <v>0.8513408472600078</v>
      </c>
      <c r="I11152" s="297">
        <f t="shared" si="1905"/>
        <v>1123.3144901254243</v>
      </c>
      <c r="J11152" s="422">
        <f t="shared" si="1904"/>
        <v>483.14285714285717</v>
      </c>
      <c r="K11152" s="297">
        <f>J11152/POBLA!$B$15*100000</f>
        <v>72.756232844899941</v>
      </c>
      <c r="L11152" s="200">
        <f t="shared" si="1906"/>
        <v>-0.37137546468401483</v>
      </c>
      <c r="M11152" s="401">
        <f>SUM(C11152,C11128,C11104,C11080,C11056,C11032,C11008)/POBLA!$B$15*100000</f>
        <v>509.29362991429952</v>
      </c>
      <c r="S11152" s="483"/>
    </row>
    <row r="11153" spans="1:19" x14ac:dyDescent="0.25">
      <c r="A11153" s="367" t="s">
        <v>18</v>
      </c>
      <c r="B11153" s="2">
        <v>44357</v>
      </c>
      <c r="C11153" s="483">
        <v>461</v>
      </c>
      <c r="D11153" s="39">
        <f t="shared" si="1888"/>
        <v>78480</v>
      </c>
      <c r="E11153" s="1">
        <v>20</v>
      </c>
      <c r="F11153" s="39">
        <f t="shared" si="1902"/>
        <v>1750</v>
      </c>
      <c r="G11153" s="168">
        <f>SUM(C11153,C11129,C11105,C11081,C11057,C11033,C11009,C10985,C10961,C10937,C10913,C10889,C10865,C10841)/POBLA!$B$16*100000</f>
        <v>815.79968165219827</v>
      </c>
      <c r="H11153" s="256">
        <f t="shared" si="1901"/>
        <v>0.89559471365638765</v>
      </c>
      <c r="I11153" s="297">
        <f t="shared" si="1905"/>
        <v>730.62588229027267</v>
      </c>
      <c r="J11153" s="422">
        <f t="shared" si="1904"/>
        <v>387.57142857142856</v>
      </c>
      <c r="K11153" s="297">
        <f>J11153/POBLA!$B$16*100000</f>
        <v>51.841391711109878</v>
      </c>
      <c r="L11153" s="200">
        <f t="shared" si="1906"/>
        <v>-0.19875959834613111</v>
      </c>
      <c r="M11153" s="401">
        <f>SUM(C11153,C11129,C11105,C11081,C11057,C11033,C11009)/POBLA!$B$16*100000</f>
        <v>362.88974197776918</v>
      </c>
      <c r="S11153" s="483"/>
    </row>
    <row r="11154" spans="1:19" x14ac:dyDescent="0.25">
      <c r="A11154" s="367" t="s">
        <v>34</v>
      </c>
      <c r="B11154" s="2">
        <v>44357</v>
      </c>
      <c r="C11154" s="483">
        <v>587</v>
      </c>
      <c r="D11154" s="39">
        <f t="shared" si="1888"/>
        <v>51281</v>
      </c>
      <c r="E11154" s="1">
        <v>13</v>
      </c>
      <c r="F11154" s="39">
        <f t="shared" si="1902"/>
        <v>1508</v>
      </c>
      <c r="G11154" s="168">
        <f>SUM(C11154,C11130,C11106,C11082,C11058,C11034,C11010,C10986,C10962,C10938,C10914,C10890,C10866,C10842)/POBLA!$B$17*100000</f>
        <v>544.79193651769845</v>
      </c>
      <c r="H11154" s="256">
        <f t="shared" ref="H11154:H11177" si="1907">SUM(C11154,C11130,C11106,C11082,C11058,C11034,C11010,C10986,C10962,C10938,C10914,C10890,C10866,C10842)/SUM(C10818,C10794,C10770,C10746,C10722,C10698,C10674,C10650,C10626,C10602,C10578,C10554,C10530,C10506)</f>
        <v>1.3262690138437874</v>
      </c>
      <c r="I11154" s="297">
        <f t="shared" si="1905"/>
        <v>722.54066439537507</v>
      </c>
      <c r="J11154" s="422">
        <f t="shared" si="1904"/>
        <v>551.57142857142856</v>
      </c>
      <c r="K11154" s="297">
        <f>J11154/POBLA!$B$17*100000</f>
        <v>38.723152925162616</v>
      </c>
      <c r="L11154" s="200">
        <f t="shared" si="1906"/>
        <v>-9.7460887407027075E-3</v>
      </c>
      <c r="M11154" s="401">
        <f>SUM(C11154,C11130,C11106,C11082,C11058,C11034,C11010)/POBLA!$B$17*100000</f>
        <v>271.06207047613833</v>
      </c>
      <c r="S11154" s="483"/>
    </row>
    <row r="11155" spans="1:19" x14ac:dyDescent="0.25">
      <c r="A11155" s="367" t="s">
        <v>35</v>
      </c>
      <c r="B11155" s="2">
        <v>44357</v>
      </c>
      <c r="C11155" s="483">
        <v>647</v>
      </c>
      <c r="D11155" s="39">
        <f t="shared" ref="D11155:D11218" si="1908">C11155+D11131</f>
        <v>42188</v>
      </c>
      <c r="E11155" s="1">
        <v>5</v>
      </c>
      <c r="F11155" s="39">
        <f t="shared" si="1902"/>
        <v>695</v>
      </c>
      <c r="G11155" s="168">
        <f>SUM(C11155,C11131,C11107,C11083,C11059,C11035,C11011,C10987,C10963,C10939,C10915,C10891,C10867,C10843)/POBLA!$B$18*100000</f>
        <v>923.81502194652694</v>
      </c>
      <c r="H11155" s="256">
        <f t="shared" si="1907"/>
        <v>1.0424671385237614</v>
      </c>
      <c r="I11155" s="297">
        <f t="shared" si="1905"/>
        <v>963.0468024538618</v>
      </c>
      <c r="J11155" s="422">
        <f t="shared" si="1904"/>
        <v>474.71428571428572</v>
      </c>
      <c r="K11155" s="297">
        <f>J11155/POBLA!$B$18*100000</f>
        <v>60.765995327071188</v>
      </c>
      <c r="L11155" s="200">
        <f t="shared" si="1906"/>
        <v>-0.14663585002568058</v>
      </c>
      <c r="M11155" s="401">
        <f>SUM(C11155,C11131,C11107,C11083,C11059,C11035,C11011)/POBLA!$B$18*100000</f>
        <v>425.3619672894983</v>
      </c>
      <c r="S11155" s="483"/>
    </row>
    <row r="11156" spans="1:19" x14ac:dyDescent="0.25">
      <c r="A11156" s="367" t="s">
        <v>36</v>
      </c>
      <c r="B11156" s="2">
        <v>44357</v>
      </c>
      <c r="C11156" s="483">
        <v>522</v>
      </c>
      <c r="D11156" s="39">
        <f t="shared" si="1908"/>
        <v>58183</v>
      </c>
      <c r="E11156" s="1">
        <v>5</v>
      </c>
      <c r="F11156" s="39">
        <f t="shared" si="1902"/>
        <v>790</v>
      </c>
      <c r="G11156" s="168">
        <f>SUM(C11156,C11132,C11108,C11084,C11060,C11036,C11012,C10988,C10964,C10940,C10916,C10892,C10868,C10844)/POBLA!$B$19*100000</f>
        <v>1440.8020018570687</v>
      </c>
      <c r="H11156" s="256">
        <f t="shared" si="1907"/>
        <v>0.9844086021505376</v>
      </c>
      <c r="I11156" s="297">
        <f t="shared" si="1905"/>
        <v>1418.3378846238134</v>
      </c>
      <c r="J11156" s="422">
        <f t="shared" si="1904"/>
        <v>500</v>
      </c>
      <c r="K11156" s="297">
        <f>J11156/POBLA!$B$19*100000</f>
        <v>98.361687729182734</v>
      </c>
      <c r="L11156" s="200">
        <f t="shared" si="1906"/>
        <v>-8.4728033472803332E-2</v>
      </c>
      <c r="M11156" s="401">
        <f>SUM(C11156,C11132,C11108,C11084,C11060,C11036,C11012)/POBLA!$B$19*100000</f>
        <v>688.53181410427919</v>
      </c>
      <c r="S11156" s="483"/>
    </row>
    <row r="11157" spans="1:19" x14ac:dyDescent="0.25">
      <c r="A11157" s="367" t="s">
        <v>37</v>
      </c>
      <c r="B11157" s="2">
        <v>44357</v>
      </c>
      <c r="C11157" s="483">
        <v>178</v>
      </c>
      <c r="D11157" s="39">
        <f t="shared" si="1908"/>
        <v>53322</v>
      </c>
      <c r="E11157" s="1">
        <v>1</v>
      </c>
      <c r="F11157" s="39">
        <f t="shared" si="1902"/>
        <v>809</v>
      </c>
      <c r="G11157" s="168">
        <f>SUM(C11157,C11133,C11109,C11085,C11061,C11037,C11013,C10989,C10965,C10941,C10917,C10893,C10869,C10845)/POBLA!$B$20*100000</f>
        <v>688.27283714977932</v>
      </c>
      <c r="H11157" s="256">
        <f t="shared" si="1907"/>
        <v>0.75224148236700539</v>
      </c>
      <c r="I11157" s="297">
        <f t="shared" si="1905"/>
        <v>517.74737929049445</v>
      </c>
      <c r="J11157" s="422">
        <f t="shared" si="1904"/>
        <v>162.42857142857142</v>
      </c>
      <c r="K11157" s="297">
        <f>J11157/POBLA!$B$20*100000</f>
        <v>44.416040401799137</v>
      </c>
      <c r="L11157" s="200">
        <f t="shared" si="1906"/>
        <v>-0.17608695652173911</v>
      </c>
      <c r="M11157" s="401">
        <f>SUM(C11157,C11133,C11109,C11085,C11061,C11037,C11013)/POBLA!$B$20*100000</f>
        <v>310.91228281259401</v>
      </c>
      <c r="S11157" s="483"/>
    </row>
    <row r="11158" spans="1:19" x14ac:dyDescent="0.25">
      <c r="A11158" s="367" t="s">
        <v>22</v>
      </c>
      <c r="B11158" s="2">
        <v>44357</v>
      </c>
      <c r="C11158" s="483">
        <v>2295</v>
      </c>
      <c r="D11158" s="39">
        <f t="shared" si="1908"/>
        <v>371415</v>
      </c>
      <c r="E11158" s="1">
        <v>26</v>
      </c>
      <c r="F11158" s="39">
        <f t="shared" si="1902"/>
        <v>5932</v>
      </c>
      <c r="G11158" s="168">
        <f>SUM(C11158,C11134,C11110,C11086,C11062,C11038,C11014,C10990,C10966,C10942,C10918,C10894,C10870,C10846)/POBLA!$B$21*100000</f>
        <v>1079.3124568419232</v>
      </c>
      <c r="H11158" s="256">
        <f t="shared" si="1907"/>
        <v>1.0530831838874328</v>
      </c>
      <c r="I11158" s="297">
        <f t="shared" si="1905"/>
        <v>1136.6057984604599</v>
      </c>
      <c r="J11158" s="422">
        <f t="shared" si="1904"/>
        <v>2341.4285714285716</v>
      </c>
      <c r="K11158" s="297">
        <f>J11158/POBLA!$B$21*100000</f>
        <v>66.209044616008953</v>
      </c>
      <c r="L11158" s="200">
        <f t="shared" si="1906"/>
        <v>-0.24744019468295142</v>
      </c>
      <c r="M11158" s="401">
        <f>SUM(C11158,C11134,C11110,C11086,C11062,C11038,C11014)/POBLA!$B$21*100000</f>
        <v>463.46331231206267</v>
      </c>
      <c r="S11158" s="483"/>
    </row>
    <row r="11159" spans="1:19" x14ac:dyDescent="0.25">
      <c r="A11159" s="367" t="s">
        <v>38</v>
      </c>
      <c r="B11159" s="2">
        <v>44357</v>
      </c>
      <c r="C11159" s="483">
        <v>595</v>
      </c>
      <c r="D11159" s="39">
        <f t="shared" si="1908"/>
        <v>49402</v>
      </c>
      <c r="E11159" s="1">
        <v>9</v>
      </c>
      <c r="F11159" s="39">
        <f t="shared" si="1902"/>
        <v>622</v>
      </c>
      <c r="G11159" s="168">
        <f>SUM(C11159,C11135,C11111,C11087,C11063,C11039,C11015,C10991,C10967,C10943,C10919,C10895,C10871,C10847)/POBLA!$B$22*100000</f>
        <v>790.74897297695111</v>
      </c>
      <c r="H11159" s="256">
        <f t="shared" si="1907"/>
        <v>1.0091312288025045</v>
      </c>
      <c r="I11159" s="297">
        <f t="shared" si="1905"/>
        <v>797.96948277454908</v>
      </c>
      <c r="J11159" s="422">
        <f t="shared" si="1904"/>
        <v>556.14285714285711</v>
      </c>
      <c r="K11159" s="297">
        <f>J11159/POBLA!$B$22*100000</f>
        <v>56.847129409795961</v>
      </c>
      <c r="L11159" s="200">
        <f t="shared" si="1906"/>
        <v>1.3010668748373755E-2</v>
      </c>
      <c r="M11159" s="401">
        <f>SUM(C11159,C11135,C11111,C11087,C11063,C11039,C11015)/POBLA!$B$22*100000</f>
        <v>397.92990586857172</v>
      </c>
      <c r="S11159" s="483"/>
    </row>
    <row r="11160" spans="1:19" x14ac:dyDescent="0.25">
      <c r="A11160" s="367" t="s">
        <v>39</v>
      </c>
      <c r="B11160" s="2">
        <v>44357</v>
      </c>
      <c r="C11160" s="483">
        <v>42</v>
      </c>
      <c r="D11160" s="39">
        <f t="shared" si="1908"/>
        <v>28965</v>
      </c>
      <c r="E11160" s="1">
        <v>3</v>
      </c>
      <c r="F11160" s="39">
        <f t="shared" si="1902"/>
        <v>431</v>
      </c>
      <c r="G11160" s="168">
        <f>SUM(C11160,C11136,C11112,C11088,C11064,C11040,C11016,C10992,C10968,C10944,C10920,C10896,C10872,C10848)/POBLA!$B$23*100000</f>
        <v>377.19843917887238</v>
      </c>
      <c r="H11160" s="256">
        <f t="shared" si="1907"/>
        <v>0.70882040382571732</v>
      </c>
      <c r="I11160" s="297">
        <f t="shared" si="1905"/>
        <v>267.36594998119858</v>
      </c>
      <c r="J11160" s="422">
        <f t="shared" si="1904"/>
        <v>36.285714285714285</v>
      </c>
      <c r="K11160" s="297">
        <f>J11160/POBLA!$B$23*100000</f>
        <v>20.520112133526148</v>
      </c>
      <c r="L11160" s="200">
        <f t="shared" si="1906"/>
        <v>-0.38498789346246975</v>
      </c>
      <c r="M11160" s="401">
        <f>SUM(C11160,C11136,C11112,C11088,C11064,C11040,C11016)/POBLA!$B$23*100000</f>
        <v>143.64078493468304</v>
      </c>
      <c r="S11160" s="483"/>
    </row>
    <row r="11161" spans="1:19" ht="15.75" thickBot="1" x14ac:dyDescent="0.3">
      <c r="A11161" s="368" t="s">
        <v>40</v>
      </c>
      <c r="B11161" s="34">
        <v>44357</v>
      </c>
      <c r="C11161" s="483">
        <v>965</v>
      </c>
      <c r="D11161" s="67">
        <f t="shared" si="1908"/>
        <v>139169</v>
      </c>
      <c r="E11161" s="232">
        <v>20</v>
      </c>
      <c r="F11161" s="67">
        <f t="shared" si="1902"/>
        <v>2044</v>
      </c>
      <c r="G11161" s="255">
        <f>SUM(C11161,C11137,C11113,C11089,C11065,C11041,C11017,C10993,C10969,C10945,C10921,C10897,C10873,C10849)/POBLA!$B$24*100000</f>
        <v>755.49256014199932</v>
      </c>
      <c r="H11161" s="257">
        <f t="shared" si="1907"/>
        <v>0.98431613746444224</v>
      </c>
      <c r="I11161" s="299">
        <f t="shared" si="1905"/>
        <v>743.64351868209565</v>
      </c>
      <c r="J11161" s="428">
        <f t="shared" si="1904"/>
        <v>879.42857142857144</v>
      </c>
      <c r="K11161" s="299">
        <f>J11161/POBLA!$B$24*100000</f>
        <v>51.89422345470534</v>
      </c>
      <c r="L11161" s="260">
        <f t="shared" si="1906"/>
        <v>-7.3867910335489673E-2</v>
      </c>
      <c r="M11161" s="406">
        <f>SUM(C11161,C11137,C11113,C11089,C11065,C11041,C11017)/POBLA!$B$24*100000</f>
        <v>363.25956418293742</v>
      </c>
      <c r="S11161" s="483"/>
    </row>
    <row r="11162" spans="1:19" x14ac:dyDescent="0.25">
      <c r="A11162" s="363" t="s">
        <v>16</v>
      </c>
      <c r="B11162" s="265">
        <v>44358</v>
      </c>
      <c r="C11162" s="356">
        <v>9556</v>
      </c>
      <c r="D11162" s="174">
        <f t="shared" si="1908"/>
        <v>1717829</v>
      </c>
      <c r="E11162" s="43">
        <v>364</v>
      </c>
      <c r="F11162" s="174">
        <f t="shared" ref="F11162:F11185" si="1909">E11162+F11138</f>
        <v>43397</v>
      </c>
      <c r="G11162" s="175">
        <f>SUM(C11162,C11138,C11114,C11090,C11066,C11042,C11018,C10994,C10970,C10946,C10922,C10898,C10874,C10850)/POBLA!$B$1*100000</f>
        <v>769.4653386572744</v>
      </c>
      <c r="H11162" s="300">
        <f t="shared" si="1907"/>
        <v>0.85826290990251997</v>
      </c>
      <c r="I11162" s="301">
        <f>G11162*H11162</f>
        <v>660.40356062512035</v>
      </c>
      <c r="J11162" s="421">
        <f>AVERAGE(C11162,C11138,C11114,C11090,C11066,C11042,C11018)</f>
        <v>8601.7142857142862</v>
      </c>
      <c r="K11162" s="301">
        <f>J11162/POBLA!$B$1*100000</f>
        <v>49.037370406601752</v>
      </c>
      <c r="L11162" s="399">
        <f t="shared" si="1906"/>
        <v>-0.19460681371303223</v>
      </c>
      <c r="M11162" s="400">
        <f>SUM(C11162,C11138,C11114,C11090,C11066,C11042,C11018)/POBLA!$B$1*100000</f>
        <v>343.26159284621224</v>
      </c>
    </row>
    <row r="11163" spans="1:19" x14ac:dyDescent="0.25">
      <c r="A11163" s="367" t="s">
        <v>43</v>
      </c>
      <c r="B11163" s="2">
        <v>44358</v>
      </c>
      <c r="C11163" s="4">
        <v>1994</v>
      </c>
      <c r="D11163" s="39">
        <f t="shared" si="1908"/>
        <v>438850</v>
      </c>
      <c r="E11163" s="1">
        <v>40</v>
      </c>
      <c r="F11163" s="39">
        <f t="shared" si="1909"/>
        <v>9651</v>
      </c>
      <c r="G11163" s="168">
        <f>SUM(C11163,C11139,C11115,C11091,C11067,C11043,C11019,C10995,C10971,C10947,C10923,C10899,C10875,C10851)/POBLA!$B$2*100000</f>
        <v>871.00401021443963</v>
      </c>
      <c r="H11163" s="256">
        <f t="shared" si="1907"/>
        <v>0.70321564509778189</v>
      </c>
      <c r="I11163" s="297">
        <f t="shared" ref="I11163:I11169" si="1910">G11163*H11163</f>
        <v>612.50364692570213</v>
      </c>
      <c r="J11163" s="422">
        <f t="shared" ref="J11163:J11185" si="1911">AVERAGE(C11163,C11139,C11115,C11091,C11067,C11043,C11019)</f>
        <v>1722.7142857142858</v>
      </c>
      <c r="K11163" s="297">
        <f>J11163/POBLA!$B$2*100000</f>
        <v>56.011461842952201</v>
      </c>
      <c r="L11163" s="200">
        <f t="shared" si="1906"/>
        <v>-0.18133061778682957</v>
      </c>
      <c r="M11163" s="401">
        <f>SUM(C11163,C11139,C11115,C11091,C11067,C11043,C11019)/POBLA!$B$2*100000</f>
        <v>392.08023290066546</v>
      </c>
    </row>
    <row r="11164" spans="1:19" x14ac:dyDescent="0.25">
      <c r="A11164" s="367" t="s">
        <v>28</v>
      </c>
      <c r="B11164" s="2">
        <v>44358</v>
      </c>
      <c r="C11164" s="4">
        <v>424</v>
      </c>
      <c r="D11164" s="39">
        <f t="shared" si="1908"/>
        <v>28448</v>
      </c>
      <c r="E11164" s="1">
        <v>1</v>
      </c>
      <c r="F11164" s="39">
        <f t="shared" si="1909"/>
        <v>227</v>
      </c>
      <c r="G11164" s="168">
        <f>SUM(C11164,C11140,C11116,C11092,C11068,C11044,C11020,C10996,C10972,C10948,C10924,C10900,C10876,C10852)/POBLA!$B$3*100000</f>
        <v>1402.1346145513892</v>
      </c>
      <c r="H11164" s="256">
        <f t="shared" si="1907"/>
        <v>1.0805045446113895</v>
      </c>
      <c r="I11164" s="297">
        <f t="shared" si="1910"/>
        <v>1515.0128231797148</v>
      </c>
      <c r="J11164" s="422">
        <f t="shared" si="1911"/>
        <v>428.71428571428572</v>
      </c>
      <c r="K11164" s="297">
        <f>J11164/POBLA!$B$3*100000</f>
        <v>103.19573214638183</v>
      </c>
      <c r="L11164" s="200">
        <f t="shared" si="1906"/>
        <v>6.2677053824362616E-2</v>
      </c>
      <c r="M11164" s="401">
        <f>SUM(C11164,C11140,C11116,C11092,C11068,C11044,C11020)/POBLA!$B$3*100000</f>
        <v>722.3701250246728</v>
      </c>
    </row>
    <row r="11165" spans="1:19" x14ac:dyDescent="0.25">
      <c r="A11165" s="367" t="s">
        <v>15</v>
      </c>
      <c r="B11165" s="2">
        <v>44358</v>
      </c>
      <c r="C11165" s="4">
        <v>741</v>
      </c>
      <c r="D11165" s="39">
        <f t="shared" si="1908"/>
        <v>66530</v>
      </c>
      <c r="E11165" s="1">
        <v>9</v>
      </c>
      <c r="F11165" s="39">
        <f t="shared" si="1909"/>
        <v>1378</v>
      </c>
      <c r="G11165" s="168">
        <f>SUM(C11165,C11141,C11117,C11093,C11069,C11045,C11021,C10997,C10973,C10949,C10925,C10901,C10877,C10853)/POBLA!$B$4*100000</f>
        <v>818.15396902222506</v>
      </c>
      <c r="H11165" s="256">
        <f t="shared" si="1907"/>
        <v>1.2389992456625598</v>
      </c>
      <c r="I11165" s="297">
        <f t="shared" si="1910"/>
        <v>1013.6921504543661</v>
      </c>
      <c r="J11165" s="422">
        <f t="shared" si="1911"/>
        <v>747.57142857142856</v>
      </c>
      <c r="K11165" s="297">
        <f>J11165/POBLA!$B$4*100000</f>
        <v>62.062763207846686</v>
      </c>
      <c r="L11165" s="200">
        <f t="shared" si="1906"/>
        <v>0.1321938554738209</v>
      </c>
      <c r="M11165" s="401">
        <f>SUM(C11165,C11141,C11117,C11093,C11069,C11045,C11021)/POBLA!$B$4*100000</f>
        <v>434.43934245492682</v>
      </c>
    </row>
    <row r="11166" spans="1:19" x14ac:dyDescent="0.25">
      <c r="A11166" s="367" t="s">
        <v>29</v>
      </c>
      <c r="B11166" s="2">
        <v>44358</v>
      </c>
      <c r="C11166" s="4">
        <v>270</v>
      </c>
      <c r="D11166" s="39">
        <f t="shared" si="1908"/>
        <v>66697</v>
      </c>
      <c r="E11166" s="1">
        <v>17</v>
      </c>
      <c r="F11166" s="39">
        <f t="shared" si="1909"/>
        <v>1108</v>
      </c>
      <c r="G11166" s="168">
        <f>SUM(C11166,C11142,C11118,C11094,C11070,C11046,C11022,C10998,C10974,C10950,C10926,C10902,C10878,C10854)/POBLA!$B$5*100000</f>
        <v>781.26766979970728</v>
      </c>
      <c r="H11166" s="256">
        <f t="shared" si="1907"/>
        <v>1.1243896768193444</v>
      </c>
      <c r="I11166" s="297">
        <f t="shared" si="1910"/>
        <v>878.44930275549518</v>
      </c>
      <c r="J11166" s="422">
        <f t="shared" si="1911"/>
        <v>276.42857142857144</v>
      </c>
      <c r="K11166" s="297">
        <f>J11166/POBLA!$B$5*100000</f>
        <v>44.657714198937541</v>
      </c>
      <c r="L11166" s="200">
        <f t="shared" si="1906"/>
        <v>-0.33298862461220269</v>
      </c>
      <c r="M11166" s="401">
        <f>SUM(C11166,C11142,C11118,C11094,C11070,C11046,C11022)/POBLA!$B$5*100000</f>
        <v>312.6039993925628</v>
      </c>
    </row>
    <row r="11167" spans="1:19" x14ac:dyDescent="0.25">
      <c r="A11167" s="367" t="s">
        <v>30</v>
      </c>
      <c r="B11167" s="2">
        <v>44358</v>
      </c>
      <c r="C11167" s="4">
        <v>443</v>
      </c>
      <c r="D11167" s="39">
        <f t="shared" si="1908"/>
        <v>56943</v>
      </c>
      <c r="E11167" s="1">
        <v>4</v>
      </c>
      <c r="F11167" s="39">
        <f t="shared" si="1909"/>
        <v>666</v>
      </c>
      <c r="G11167" s="168">
        <f>SUM(C11167,C11143,C11119,C11095,C11071,C11047,C11023,C10999,C10975,C10951,C10927,C10903,C10879,C10855)/POBLA!$B$6*100000</f>
        <v>642.30849187322281</v>
      </c>
      <c r="H11167" s="256">
        <f t="shared" si="1907"/>
        <v>0.75890786422095724</v>
      </c>
      <c r="I11167" s="297">
        <f t="shared" si="1910"/>
        <v>487.45296573849157</v>
      </c>
      <c r="J11167" s="422">
        <f t="shared" si="1911"/>
        <v>508.42857142857144</v>
      </c>
      <c r="K11167" s="297">
        <f>J11167/POBLA!$B$6*100000</f>
        <v>45.362965542372947</v>
      </c>
      <c r="L11167" s="200">
        <f t="shared" si="1906"/>
        <v>-2.2252747252747285E-2</v>
      </c>
      <c r="M11167" s="401">
        <f>SUM(C11167,C11143,C11119,C11095,C11071,C11047,C11023)/POBLA!$B$6*100000</f>
        <v>317.54075879661065</v>
      </c>
    </row>
    <row r="11168" spans="1:19" x14ac:dyDescent="0.25">
      <c r="A11168" s="367" t="s">
        <v>20</v>
      </c>
      <c r="B11168" s="2">
        <v>44358</v>
      </c>
      <c r="C11168" s="4">
        <v>4360</v>
      </c>
      <c r="D11168" s="39">
        <f t="shared" si="1908"/>
        <v>360284</v>
      </c>
      <c r="E11168" s="1">
        <v>42</v>
      </c>
      <c r="F11168" s="39">
        <f t="shared" si="1909"/>
        <v>4341</v>
      </c>
      <c r="G11168" s="168">
        <f>SUM(C11168,C11144,C11120,C11096,C11072,C11048,C11024,C11000,C10976,C10952,C10928,C10904,C10880,C10856)/POBLA!$B$7*100000</f>
        <v>1563.6692417130928</v>
      </c>
      <c r="H11168" s="256">
        <f t="shared" si="1907"/>
        <v>1.2042229003256262</v>
      </c>
      <c r="I11168" s="297">
        <f t="shared" si="1910"/>
        <v>1883.0063094057132</v>
      </c>
      <c r="J11168" s="422">
        <f t="shared" si="1911"/>
        <v>3965.1428571428573</v>
      </c>
      <c r="K11168" s="297">
        <f>J11168/POBLA!$B$7*100000</f>
        <v>105.44330750689033</v>
      </c>
      <c r="L11168" s="200">
        <f t="shared" si="1906"/>
        <v>-0.10594298598808183</v>
      </c>
      <c r="M11168" s="401">
        <f>SUM(C11168,C11144,C11120,C11096,C11072,C11048,C11024)/POBLA!$B$7*100000</f>
        <v>738.10315254823217</v>
      </c>
    </row>
    <row r="11169" spans="1:13" x14ac:dyDescent="0.25">
      <c r="A11169" s="367" t="s">
        <v>31</v>
      </c>
      <c r="B11169" s="2">
        <v>44358</v>
      </c>
      <c r="C11169" s="4">
        <v>1044</v>
      </c>
      <c r="D11169" s="39">
        <f t="shared" si="1908"/>
        <v>96539</v>
      </c>
      <c r="E11169" s="1">
        <v>29</v>
      </c>
      <c r="F11169" s="39">
        <f t="shared" si="1909"/>
        <v>1504</v>
      </c>
      <c r="G11169" s="168">
        <f>SUM(C11169,C11145,C11121,C11097,C11073,C11049,C11025,C11001,C10977,C10953,C10929,C10905,C10881,C10857)/POBLA!$B$8*100000</f>
        <v>965.97234698523255</v>
      </c>
      <c r="H11169" s="256">
        <f t="shared" si="1907"/>
        <v>1.1008963078694187</v>
      </c>
      <c r="I11169" s="297">
        <f t="shared" si="1910"/>
        <v>1063.4353902999994</v>
      </c>
      <c r="J11169" s="422">
        <f t="shared" si="1911"/>
        <v>883</v>
      </c>
      <c r="K11169" s="297">
        <f>J11169/POBLA!$B$8*100000</f>
        <v>63.710306422763693</v>
      </c>
      <c r="L11169" s="200">
        <f t="shared" si="1906"/>
        <v>-0.14236159289579575</v>
      </c>
      <c r="M11169" s="401">
        <f>SUM(C11169,C11145,C11121,C11097,C11073,C11049,C11025)/POBLA!$B$8*100000</f>
        <v>445.97214495934588</v>
      </c>
    </row>
    <row r="11170" spans="1:13" x14ac:dyDescent="0.25">
      <c r="A11170" s="367" t="s">
        <v>41</v>
      </c>
      <c r="B11170" s="2">
        <v>44358</v>
      </c>
      <c r="C11170" s="4">
        <v>10</v>
      </c>
      <c r="D11170" s="39">
        <f t="shared" si="1908"/>
        <v>37232</v>
      </c>
      <c r="E11170" s="1">
        <v>11</v>
      </c>
      <c r="F11170" s="39">
        <f t="shared" si="1909"/>
        <v>624</v>
      </c>
      <c r="G11170" s="168">
        <f>SUM(C11170,C11146,C11122,C11098,C11074,C11050,C11026,C11002,C10978,C10954,C10930,C10906,C10882,C10858)/POBLA!$B$9*100000</f>
        <v>1550.4144958715649</v>
      </c>
      <c r="H11170" s="256">
        <f t="shared" si="1907"/>
        <v>0.44871120462914255</v>
      </c>
      <c r="I11170" s="297">
        <f>G11170*H11170</f>
        <v>695.68835611701468</v>
      </c>
      <c r="J11170" s="422">
        <f t="shared" si="1911"/>
        <v>434.14285714285717</v>
      </c>
      <c r="K11170" s="297">
        <f>J11170/POBLA!$B$9*100000</f>
        <v>71.736265479418492</v>
      </c>
      <c r="L11170" s="200">
        <f t="shared" si="1906"/>
        <v>-0.52096469104665832</v>
      </c>
      <c r="M11170" s="401">
        <f>SUM(C11170,C11146,C11122,C11098,C11074,C11050,C11026)/POBLA!$B$9*100000</f>
        <v>502.15385835592946</v>
      </c>
    </row>
    <row r="11171" spans="1:13" x14ac:dyDescent="0.25">
      <c r="A11171" s="367" t="s">
        <v>32</v>
      </c>
      <c r="B11171" s="2">
        <v>44358</v>
      </c>
      <c r="C11171" s="4">
        <v>264</v>
      </c>
      <c r="D11171" s="39">
        <f t="shared" si="1908"/>
        <v>31150</v>
      </c>
      <c r="F11171" s="39">
        <f t="shared" si="1909"/>
        <v>1100</v>
      </c>
      <c r="G11171" s="168">
        <f>SUM(C11171,C11147,C11123,C11099,C11075,C11051,C11027,C11003,C10979,C10955,C10931,C10907,C10883,C10859)/POBLA!$B$10*100000</f>
        <v>421.07666423222264</v>
      </c>
      <c r="H11171" s="256">
        <f t="shared" si="1907"/>
        <v>1.7854785478547854</v>
      </c>
      <c r="I11171" s="297">
        <f t="shared" ref="I11171:I11185" si="1912">G11171*H11171</f>
        <v>751.82335098888598</v>
      </c>
      <c r="J11171" s="422">
        <f t="shared" si="1911"/>
        <v>252.71428571428572</v>
      </c>
      <c r="K11171" s="297">
        <f>J11171/POBLA!$B$10*100000</f>
        <v>32.782528783857138</v>
      </c>
      <c r="L11171" s="200">
        <f t="shared" ref="L11171:L11194" si="1913">(SUM(C11171,C11147,C11123,C11099,C11075,C11051,C11027)/SUM(C11003,C10979,C10955,C10931,C10907,C10883,C10859))-1</f>
        <v>0.19769803656059581</v>
      </c>
      <c r="M11171" s="401">
        <f>SUM(C11171,C11147,C11123,C11099,C11075,C11051,C11027)/POBLA!$B$10*100000</f>
        <v>229.47770148699993</v>
      </c>
    </row>
    <row r="11172" spans="1:13" x14ac:dyDescent="0.25">
      <c r="A11172" s="367" t="s">
        <v>33</v>
      </c>
      <c r="B11172" s="2">
        <v>44358</v>
      </c>
      <c r="C11172" s="4">
        <v>380</v>
      </c>
      <c r="D11172" s="39">
        <f t="shared" si="1908"/>
        <v>47057</v>
      </c>
      <c r="E11172" s="1">
        <v>12</v>
      </c>
      <c r="F11172" s="39">
        <f t="shared" si="1909"/>
        <v>644</v>
      </c>
      <c r="G11172" s="168">
        <f>SUM(C11172,C11148,C11124,C11100,C11076,C11052,C11028,C11004,C10980,C10956,C10932,C10908,C10884,C10860)/POBLA!$B$11*100000</f>
        <v>1484.8170343834745</v>
      </c>
      <c r="H11172" s="256">
        <f t="shared" si="1907"/>
        <v>0.59811193526635198</v>
      </c>
      <c r="I11172" s="297">
        <f t="shared" si="1912"/>
        <v>888.08678995154537</v>
      </c>
      <c r="J11172" s="422">
        <f t="shared" si="1911"/>
        <v>339.71428571428572</v>
      </c>
      <c r="K11172" s="297">
        <f>J11172/POBLA!$B$11*100000</f>
        <v>94.77894743554792</v>
      </c>
      <c r="L11172" s="200">
        <f t="shared" si="1913"/>
        <v>-0.19225543478260865</v>
      </c>
      <c r="M11172" s="401">
        <f>SUM(C11172,C11148,C11124,C11100,C11076,C11052,C11028)/POBLA!$B$11*100000</f>
        <v>663.45263204883543</v>
      </c>
    </row>
    <row r="11173" spans="1:13" x14ac:dyDescent="0.25">
      <c r="A11173" s="367" t="s">
        <v>21</v>
      </c>
      <c r="B11173" s="2">
        <v>44358</v>
      </c>
      <c r="C11173" s="4">
        <v>135</v>
      </c>
      <c r="D11173" s="39">
        <f t="shared" si="1908"/>
        <v>19293</v>
      </c>
      <c r="F11173" s="39">
        <f t="shared" si="1909"/>
        <v>580</v>
      </c>
      <c r="G11173" s="168">
        <f>SUM(C11173,C11149,C11125,C11101,C11077,C11053,C11029,C11005,C10981,C10957,C10933,C10909,C10885,C10861)/POBLA!$B$12*100000</f>
        <v>593.59999593424652</v>
      </c>
      <c r="H11173" s="256">
        <f t="shared" si="1907"/>
        <v>0.96052631578947367</v>
      </c>
      <c r="I11173" s="297">
        <f t="shared" si="1912"/>
        <v>570.16841714736836</v>
      </c>
      <c r="J11173" s="422">
        <f t="shared" si="1911"/>
        <v>163</v>
      </c>
      <c r="K11173" s="297">
        <f>J11173/POBLA!$B$12*100000</f>
        <v>41.419862730000943</v>
      </c>
      <c r="L11173" s="200">
        <f t="shared" si="1913"/>
        <v>-4.5188284518828503E-2</v>
      </c>
      <c r="M11173" s="401">
        <f>SUM(C11173,C11149,C11125,C11101,C11077,C11053,C11029)/POBLA!$B$12*100000</f>
        <v>289.9390391100066</v>
      </c>
    </row>
    <row r="11174" spans="1:13" x14ac:dyDescent="0.25">
      <c r="A11174" s="367" t="s">
        <v>17</v>
      </c>
      <c r="B11174" s="2">
        <v>44358</v>
      </c>
      <c r="C11174" s="4">
        <v>735</v>
      </c>
      <c r="D11174" s="39">
        <f t="shared" si="1908"/>
        <v>128943</v>
      </c>
      <c r="E11174" s="1">
        <v>28</v>
      </c>
      <c r="F11174" s="39">
        <f t="shared" si="1909"/>
        <v>2875</v>
      </c>
      <c r="G11174" s="168">
        <f>SUM(C11174,C11150,C11126,C11102,C11078,C11054,C11030,C11006,C10982,C10958,C10934,C10910,C10886,C10862)/POBLA!$B$13*100000</f>
        <v>511.21970238220848</v>
      </c>
      <c r="H11174" s="256">
        <f t="shared" si="1907"/>
        <v>0.89356283481162735</v>
      </c>
      <c r="I11174" s="297">
        <f t="shared" si="1912"/>
        <v>456.80692647220263</v>
      </c>
      <c r="J11174" s="422">
        <f t="shared" si="1911"/>
        <v>664.28571428571433</v>
      </c>
      <c r="K11174" s="297">
        <f>J11174/POBLA!$B$13*100000</f>
        <v>33.375522865247731</v>
      </c>
      <c r="L11174" s="200">
        <f t="shared" si="1913"/>
        <v>-0.15837104072398189</v>
      </c>
      <c r="M11174" s="401">
        <f>SUM(C11174,C11150,C11126,C11102,C11078,C11054,C11030)/POBLA!$B$13*100000</f>
        <v>233.62866005673411</v>
      </c>
    </row>
    <row r="11175" spans="1:13" x14ac:dyDescent="0.25">
      <c r="A11175" s="367" t="s">
        <v>23</v>
      </c>
      <c r="B11175" s="2">
        <v>44358</v>
      </c>
      <c r="C11175" s="4">
        <v>189</v>
      </c>
      <c r="D11175" s="39">
        <f t="shared" si="1908"/>
        <v>22403</v>
      </c>
      <c r="E11175" s="1">
        <v>2</v>
      </c>
      <c r="F11175" s="39">
        <f t="shared" si="1909"/>
        <v>344</v>
      </c>
      <c r="G11175" s="168">
        <f>SUM(C11175,C11151,C11127,C11103,C11079,C11055,C11031,C11007,C10983,C10959,C10935,C10911,C10887,C10863)/POBLA!$B$14*100000</f>
        <v>200.34979949163321</v>
      </c>
      <c r="H11175" s="256">
        <f t="shared" si="1907"/>
        <v>1.1271186440677967</v>
      </c>
      <c r="I11175" s="297">
        <f t="shared" si="1912"/>
        <v>225.81799434226457</v>
      </c>
      <c r="J11175" s="422">
        <f t="shared" si="1911"/>
        <v>179</v>
      </c>
      <c r="K11175" s="297">
        <f>J11175/POBLA!$B$14*100000</f>
        <v>14.191774479225305</v>
      </c>
      <c r="L11175" s="200">
        <f t="shared" si="1913"/>
        <v>-1.6483516483516536E-2</v>
      </c>
      <c r="M11175" s="401">
        <f>SUM(C11175,C11151,C11127,C11103,C11079,C11055,C11031)/POBLA!$B$14*100000</f>
        <v>99.342421354577127</v>
      </c>
    </row>
    <row r="11176" spans="1:13" x14ac:dyDescent="0.25">
      <c r="A11176" s="367" t="s">
        <v>19</v>
      </c>
      <c r="B11176" s="2">
        <v>44358</v>
      </c>
      <c r="C11176" s="4">
        <v>390</v>
      </c>
      <c r="D11176" s="39">
        <f t="shared" si="1908"/>
        <v>96487</v>
      </c>
      <c r="E11176" s="1">
        <v>24</v>
      </c>
      <c r="F11176" s="39">
        <f t="shared" si="1909"/>
        <v>1501</v>
      </c>
      <c r="G11176" s="168">
        <f>SUM(C11176,C11152,C11128,C11104,C11080,C11056,C11032,C11008,C10984,C10960,C10936,C10912,C10888,C10864)/POBLA!$B$15*100000</f>
        <v>1229.5631248522341</v>
      </c>
      <c r="H11176" s="256">
        <f t="shared" si="1907"/>
        <v>0.75448161153206428</v>
      </c>
      <c r="I11176" s="297">
        <f t="shared" si="1912"/>
        <v>927.68276791891435</v>
      </c>
      <c r="J11176" s="422">
        <f t="shared" si="1911"/>
        <v>450.71428571428572</v>
      </c>
      <c r="K11176" s="297">
        <f>J11176/POBLA!$B$15*100000</f>
        <v>67.872831054304939</v>
      </c>
      <c r="L11176" s="200">
        <f t="shared" si="1913"/>
        <v>-0.37025948103792417</v>
      </c>
      <c r="M11176" s="401">
        <f>SUM(C11176,C11152,C11128,C11104,C11080,C11056,C11032)/POBLA!$B$15*100000</f>
        <v>475.10981738013453</v>
      </c>
    </row>
    <row r="11177" spans="1:13" x14ac:dyDescent="0.25">
      <c r="A11177" s="367" t="s">
        <v>18</v>
      </c>
      <c r="B11177" s="2">
        <v>44358</v>
      </c>
      <c r="C11177" s="4">
        <v>429</v>
      </c>
      <c r="D11177" s="39">
        <f t="shared" si="1908"/>
        <v>78909</v>
      </c>
      <c r="E11177" s="1">
        <v>10</v>
      </c>
      <c r="F11177" s="39">
        <f t="shared" si="1909"/>
        <v>1760</v>
      </c>
      <c r="G11177" s="168">
        <f>SUM(C11177,C11153,C11129,C11105,C11081,C11057,C11033,C11009,C10985,C10961,C10937,C10913,C10889,C10865)/POBLA!$B$16*100000</f>
        <v>792.92679338157598</v>
      </c>
      <c r="H11177" s="256">
        <f t="shared" si="1907"/>
        <v>0.84480547242411286</v>
      </c>
      <c r="I11177" s="297">
        <f t="shared" si="1912"/>
        <v>669.86889428045924</v>
      </c>
      <c r="J11177" s="422">
        <f t="shared" si="1911"/>
        <v>382</v>
      </c>
      <c r="K11177" s="297">
        <f>J11177/POBLA!$B$16*100000</f>
        <v>51.096159762442987</v>
      </c>
      <c r="L11177" s="200">
        <f t="shared" si="1913"/>
        <v>-0.1782421634910879</v>
      </c>
      <c r="M11177" s="401">
        <f>SUM(C11177,C11153,C11129,C11105,C11081,C11057,C11033)/POBLA!$B$16*100000</f>
        <v>357.6731183371009</v>
      </c>
    </row>
    <row r="11178" spans="1:13" x14ac:dyDescent="0.25">
      <c r="A11178" s="367" t="s">
        <v>34</v>
      </c>
      <c r="B11178" s="2">
        <v>44358</v>
      </c>
      <c r="C11178" s="4">
        <v>634</v>
      </c>
      <c r="D11178" s="39">
        <f t="shared" si="1908"/>
        <v>51915</v>
      </c>
      <c r="E11178" s="1">
        <v>6</v>
      </c>
      <c r="F11178" s="39">
        <f t="shared" si="1909"/>
        <v>1514</v>
      </c>
      <c r="G11178" s="168">
        <f>SUM(C11178,C11154,C11130,C11106,C11082,C11058,C11034,C11010,C10986,C10962,C10938,C10914,C10890,C10866)/POBLA!$B$17*100000</f>
        <v>544.65152622478149</v>
      </c>
      <c r="H11178" s="256">
        <f t="shared" ref="H11178:H11201" si="1914">SUM(C11178,C11154,C11130,C11106,C11082,C11058,C11034,C11010,C10986,C10962,C10938,C10914,C10890,C10866)/SUM(C10842,C10818,C10794,C10770,C10746,C10722,C10698,C10674,C10650,C10626,C10602,C10578,C10554,C10530)</f>
        <v>1.2707616707616707</v>
      </c>
      <c r="I11178" s="297">
        <f t="shared" si="1912"/>
        <v>692.12228344829725</v>
      </c>
      <c r="J11178" s="422">
        <f t="shared" si="1911"/>
        <v>549</v>
      </c>
      <c r="K11178" s="297">
        <f>J11178/POBLA!$B$17*100000</f>
        <v>38.54262540569799</v>
      </c>
      <c r="L11178" s="200">
        <f t="shared" si="1913"/>
        <v>-1.8390804597701149E-2</v>
      </c>
      <c r="M11178" s="401">
        <f>SUM(C11178,C11154,C11130,C11106,C11082,C11058,C11034)/POBLA!$B$17*100000</f>
        <v>269.79837783988592</v>
      </c>
    </row>
    <row r="11179" spans="1:13" x14ac:dyDescent="0.25">
      <c r="A11179" s="367" t="s">
        <v>35</v>
      </c>
      <c r="B11179" s="2">
        <v>44358</v>
      </c>
      <c r="C11179" s="4">
        <v>548</v>
      </c>
      <c r="D11179" s="39">
        <f t="shared" si="1908"/>
        <v>42736</v>
      </c>
      <c r="E11179" s="1">
        <v>10</v>
      </c>
      <c r="F11179" s="39">
        <f t="shared" si="1909"/>
        <v>705</v>
      </c>
      <c r="G11179" s="168">
        <f>SUM(C11179,C11155,C11131,C11107,C11083,C11059,C11035,C11011,C10987,C10963,C10939,C10915,C10891,C10867)/POBLA!$B$18*100000</f>
        <v>876.06900515477776</v>
      </c>
      <c r="H11179" s="256">
        <f t="shared" si="1914"/>
        <v>0.94792243767313022</v>
      </c>
      <c r="I11179" s="297">
        <f t="shared" si="1912"/>
        <v>830.445466936191</v>
      </c>
      <c r="J11179" s="422">
        <f t="shared" si="1911"/>
        <v>494.42857142857144</v>
      </c>
      <c r="K11179" s="297">
        <f>J11179/POBLA!$B$18*100000</f>
        <v>63.289530492625154</v>
      </c>
      <c r="L11179" s="200">
        <f t="shared" si="1913"/>
        <v>2.3056458764410204E-2</v>
      </c>
      <c r="M11179" s="401">
        <f>SUM(C11179,C11155,C11131,C11107,C11083,C11059,C11035)/POBLA!$B$18*100000</f>
        <v>443.02671344837609</v>
      </c>
    </row>
    <row r="11180" spans="1:13" x14ac:dyDescent="0.25">
      <c r="A11180" s="367" t="s">
        <v>36</v>
      </c>
      <c r="B11180" s="2">
        <v>44358</v>
      </c>
      <c r="C11180" s="4">
        <v>458</v>
      </c>
      <c r="D11180" s="39">
        <f t="shared" si="1908"/>
        <v>58641</v>
      </c>
      <c r="E11180" s="1">
        <v>13</v>
      </c>
      <c r="F11180" s="39">
        <f t="shared" si="1909"/>
        <v>803</v>
      </c>
      <c r="G11180" s="168">
        <f>SUM(C11180,C11156,C11132,C11108,C11084,C11060,C11036,C11012,C10988,C10964,C10940,C10916,C10892,C10868)/POBLA!$B$19*100000</f>
        <v>1405.3917942745629</v>
      </c>
      <c r="H11180" s="256">
        <f t="shared" si="1914"/>
        <v>0.9606023934382143</v>
      </c>
      <c r="I11180" s="297">
        <f t="shared" si="1912"/>
        <v>1350.0227212985717</v>
      </c>
      <c r="J11180" s="422">
        <f t="shared" si="1911"/>
        <v>485.57142857142856</v>
      </c>
      <c r="K11180" s="297">
        <f>J11180/POBLA!$B$19*100000</f>
        <v>95.523250454712027</v>
      </c>
      <c r="L11180" s="200">
        <f t="shared" si="1913"/>
        <v>-9.2389853137516686E-2</v>
      </c>
      <c r="M11180" s="401">
        <f>SUM(C11180,C11156,C11132,C11108,C11084,C11060,C11036)/POBLA!$B$19*100000</f>
        <v>668.66275318298415</v>
      </c>
    </row>
    <row r="11181" spans="1:13" x14ac:dyDescent="0.25">
      <c r="A11181" s="367" t="s">
        <v>37</v>
      </c>
      <c r="B11181" s="2">
        <v>44358</v>
      </c>
      <c r="C11181" s="4">
        <v>143</v>
      </c>
      <c r="D11181" s="39">
        <f t="shared" si="1908"/>
        <v>53465</v>
      </c>
      <c r="E11181" s="1">
        <v>4</v>
      </c>
      <c r="F11181" s="39">
        <f t="shared" si="1909"/>
        <v>813</v>
      </c>
      <c r="G11181" s="168">
        <f>SUM(C11181,C11157,C11133,C11109,C11085,C11061,C11037,C11013,C10989,C10965,C10941,C10917,C10893,C10869)/POBLA!$B$20*100000</f>
        <v>667.21721201647256</v>
      </c>
      <c r="H11181" s="256">
        <f t="shared" si="1914"/>
        <v>0.74051593323216991</v>
      </c>
      <c r="I11181" s="297">
        <f t="shared" si="1912"/>
        <v>494.08497642494473</v>
      </c>
      <c r="J11181" s="422">
        <f t="shared" si="1911"/>
        <v>151.71428571428572</v>
      </c>
      <c r="K11181" s="297">
        <f>J11181/POBLA!$B$20*100000</f>
        <v>41.486222433342739</v>
      </c>
      <c r="L11181" s="200">
        <f t="shared" si="1913"/>
        <v>-0.22931785195936139</v>
      </c>
      <c r="M11181" s="401">
        <f>SUM(C11181,C11157,C11133,C11109,C11085,C11061,C11037)/POBLA!$B$20*100000</f>
        <v>290.40355703339912</v>
      </c>
    </row>
    <row r="11182" spans="1:13" x14ac:dyDescent="0.25">
      <c r="A11182" s="367" t="s">
        <v>22</v>
      </c>
      <c r="B11182" s="2">
        <v>44358</v>
      </c>
      <c r="C11182" s="4">
        <v>2416</v>
      </c>
      <c r="D11182" s="39">
        <f t="shared" si="1908"/>
        <v>373831</v>
      </c>
      <c r="E11182" s="1">
        <v>41</v>
      </c>
      <c r="F11182" s="39">
        <f t="shared" si="1909"/>
        <v>5973</v>
      </c>
      <c r="G11182" s="168">
        <f>SUM(C11182,C11158,C11134,C11110,C11086,C11062,C11038,C11014,C10990,C10966,C10942,C10918,C10894,C10870)/POBLA!$B$21*100000</f>
        <v>1044.3335601164795</v>
      </c>
      <c r="H11182" s="256">
        <f t="shared" si="1914"/>
        <v>0.97949874022012995</v>
      </c>
      <c r="I11182" s="297">
        <f t="shared" si="1912"/>
        <v>1022.923406503695</v>
      </c>
      <c r="J11182" s="422">
        <f t="shared" si="1911"/>
        <v>2274.7142857142858</v>
      </c>
      <c r="K11182" s="297">
        <f>J11182/POBLA!$B$21*100000</f>
        <v>64.322551398457023</v>
      </c>
      <c r="L11182" s="200">
        <f t="shared" si="1913"/>
        <v>-0.24208672473701742</v>
      </c>
      <c r="M11182" s="401">
        <f>SUM(C11182,C11158,C11134,C11110,C11086,C11062,C11038)/POBLA!$B$21*100000</f>
        <v>450.25785978919913</v>
      </c>
    </row>
    <row r="11183" spans="1:13" x14ac:dyDescent="0.25">
      <c r="A11183" s="367" t="s">
        <v>38</v>
      </c>
      <c r="B11183" s="2">
        <v>44358</v>
      </c>
      <c r="C11183" s="4">
        <v>472</v>
      </c>
      <c r="D11183" s="39">
        <f t="shared" si="1908"/>
        <v>49874</v>
      </c>
      <c r="E11183" s="1">
        <v>7</v>
      </c>
      <c r="F11183" s="39">
        <f t="shared" si="1909"/>
        <v>629</v>
      </c>
      <c r="G11183" s="168">
        <f>SUM(C11183,C11159,C11135,C11111,C11087,C11063,C11039,C11015,C10991,C10967,C10943,C10919,C10895,C10871)/POBLA!$B$22*100000</f>
        <v>774.29207216913198</v>
      </c>
      <c r="H11183" s="256">
        <f t="shared" si="1914"/>
        <v>0.96558317399617588</v>
      </c>
      <c r="I11183" s="297">
        <f t="shared" si="1912"/>
        <v>747.64339664514659</v>
      </c>
      <c r="J11183" s="422">
        <f t="shared" si="1911"/>
        <v>527.85714285714289</v>
      </c>
      <c r="K11183" s="297">
        <f>J11183/POBLA!$B$22*100000</f>
        <v>53.955854911172892</v>
      </c>
      <c r="L11183" s="200">
        <f t="shared" si="1913"/>
        <v>-4.7680412371134073E-2</v>
      </c>
      <c r="M11183" s="401">
        <f>SUM(C11183,C11159,C11135,C11111,C11087,C11063,C11039)/POBLA!$B$22*100000</f>
        <v>377.69098437821026</v>
      </c>
    </row>
    <row r="11184" spans="1:13" x14ac:dyDescent="0.25">
      <c r="A11184" s="367" t="s">
        <v>39</v>
      </c>
      <c r="B11184" s="2">
        <v>44358</v>
      </c>
      <c r="C11184" s="4">
        <v>29</v>
      </c>
      <c r="D11184" s="39">
        <f t="shared" si="1908"/>
        <v>28994</v>
      </c>
      <c r="F11184" s="39">
        <f t="shared" si="1909"/>
        <v>431</v>
      </c>
      <c r="G11184" s="168">
        <f>SUM(C11184,C11160,C11136,C11112,C11088,C11064,C11040,C11016,C10992,C10968,C10944,C10920,C10896,C10872)/POBLA!$B$23*100000</f>
        <v>348.35717921167225</v>
      </c>
      <c r="H11184" s="256">
        <f t="shared" si="1914"/>
        <v>0.6484210526315789</v>
      </c>
      <c r="I11184" s="297">
        <f t="shared" si="1912"/>
        <v>225.88212883620008</v>
      </c>
      <c r="J11184" s="422">
        <f t="shared" si="1911"/>
        <v>34.285714285714285</v>
      </c>
      <c r="K11184" s="297">
        <f>J11184/POBLA!$B$23*100000</f>
        <v>19.389082330890847</v>
      </c>
      <c r="L11184" s="200">
        <f t="shared" si="1913"/>
        <v>-0.36170212765957444</v>
      </c>
      <c r="M11184" s="401">
        <f>SUM(C11184,C11160,C11136,C11112,C11088,C11064,C11040)/POBLA!$B$23*100000</f>
        <v>135.72357631623592</v>
      </c>
    </row>
    <row r="11185" spans="1:13" ht="15.75" thickBot="1" x14ac:dyDescent="0.3">
      <c r="A11185" s="369" t="s">
        <v>40</v>
      </c>
      <c r="B11185" s="266">
        <v>44358</v>
      </c>
      <c r="C11185" s="357">
        <v>870</v>
      </c>
      <c r="D11185" s="176">
        <f t="shared" si="1908"/>
        <v>140039</v>
      </c>
      <c r="E11185" s="44">
        <v>15</v>
      </c>
      <c r="F11185" s="176">
        <f t="shared" si="1909"/>
        <v>2059</v>
      </c>
      <c r="G11185" s="177">
        <f>SUM(C11185,C11161,C11137,C11113,C11089,C11065,C11041,C11017,C10993,C10969,C10945,C10921,C10897,C10873)/POBLA!$B$24*100000</f>
        <v>744.16282714604029</v>
      </c>
      <c r="H11185" s="402">
        <f t="shared" si="1914"/>
        <v>0.94168160095579445</v>
      </c>
      <c r="I11185" s="403">
        <f t="shared" si="1912"/>
        <v>700.76444243867331</v>
      </c>
      <c r="J11185" s="423">
        <f t="shared" si="1911"/>
        <v>867.85714285714289</v>
      </c>
      <c r="K11185" s="403">
        <f>J11185/POBLA!$B$24*100000</f>
        <v>51.211404725038172</v>
      </c>
      <c r="L11185" s="404">
        <f t="shared" si="1913"/>
        <v>-7.0532435740514043E-2</v>
      </c>
      <c r="M11185" s="405">
        <f>SUM(C11185,C11161,C11137,C11113,C11089,C11065,C11041)/POBLA!$B$24*100000</f>
        <v>358.47983307526721</v>
      </c>
    </row>
    <row r="11186" spans="1:13" x14ac:dyDescent="0.25">
      <c r="A11186" s="374" t="s">
        <v>16</v>
      </c>
      <c r="B11186" s="267">
        <v>44359</v>
      </c>
      <c r="C11186" s="225">
        <v>6351</v>
      </c>
      <c r="D11186" s="262">
        <f t="shared" si="1908"/>
        <v>1724180</v>
      </c>
      <c r="E11186" s="225">
        <v>282</v>
      </c>
      <c r="F11186" s="262">
        <f t="shared" ref="F11186:F11209" si="1915">E11186+F11162</f>
        <v>43679</v>
      </c>
      <c r="G11186" s="445">
        <f>SUM(C11186,C11162,C11138,C11114,C11090,C11066,C11042,C11018,C10994,C10970,C10946,C10922,C10898,C10874)/POBLA!$B$1*100000</f>
        <v>743.17856517999599</v>
      </c>
      <c r="H11186" s="446">
        <f t="shared" si="1914"/>
        <v>0.81560359120342851</v>
      </c>
      <c r="I11186" s="447">
        <f>G11186*H11186</f>
        <v>606.13910666621598</v>
      </c>
      <c r="J11186" s="448">
        <f>AVERAGE(C11186,C11162,C11138,C11114,C11090,C11066,C11042)</f>
        <v>8392</v>
      </c>
      <c r="K11186" s="447">
        <f>J11186/POBLA!$B$1*100000</f>
        <v>47.841813710978094</v>
      </c>
      <c r="L11186" s="449">
        <f t="shared" si="1913"/>
        <v>-0.17975927839369987</v>
      </c>
      <c r="M11186" s="450">
        <f>SUM(C11186,C11162,C11138,C11114,C11090,C11066,C11042)/POBLA!$B$1*100000</f>
        <v>334.89269597684665</v>
      </c>
    </row>
    <row r="11187" spans="1:13" x14ac:dyDescent="0.25">
      <c r="A11187" s="367" t="s">
        <v>43</v>
      </c>
      <c r="B11187" s="2">
        <v>44359</v>
      </c>
      <c r="C11187" s="1">
        <v>1084</v>
      </c>
      <c r="D11187" s="39">
        <f t="shared" si="1908"/>
        <v>439934</v>
      </c>
      <c r="E11187" s="1">
        <v>20</v>
      </c>
      <c r="F11187" s="39">
        <f t="shared" si="1915"/>
        <v>9671</v>
      </c>
      <c r="G11187" s="168">
        <f>SUM(C11187,C11163,C11139,C11115,C11091,C11067,C11043,C11019,C10995,C10971,C10947,C10923,C10899,C10875)/POBLA!$B$2*100000</f>
        <v>832.60557294305011</v>
      </c>
      <c r="H11187" s="256">
        <f t="shared" si="1914"/>
        <v>0.67269097404644318</v>
      </c>
      <c r="I11187" s="297">
        <f t="shared" ref="I11187:I11193" si="1916">G11187*H11187</f>
        <v>560.08625385955725</v>
      </c>
      <c r="J11187" s="422">
        <f t="shared" ref="J11187:J11209" si="1917">AVERAGE(C11187,C11163,C11139,C11115,C11091,C11067,C11043)</f>
        <v>1634.1428571428571</v>
      </c>
      <c r="K11187" s="297">
        <f>J11187/POBLA!$B$2*100000</f>
        <v>53.131695167222006</v>
      </c>
      <c r="L11187" s="200">
        <f t="shared" si="1913"/>
        <v>-0.1926741477874232</v>
      </c>
      <c r="M11187" s="401">
        <f>SUM(C11187,C11163,C11139,C11115,C11091,C11067,C11043)/POBLA!$B$2*100000</f>
        <v>371.9218661705541</v>
      </c>
    </row>
    <row r="11188" spans="1:13" x14ac:dyDescent="0.25">
      <c r="A11188" s="367" t="s">
        <v>28</v>
      </c>
      <c r="B11188" s="2">
        <v>44359</v>
      </c>
      <c r="C11188" s="1">
        <v>329</v>
      </c>
      <c r="D11188" s="39">
        <f t="shared" si="1908"/>
        <v>28777</v>
      </c>
      <c r="F11188" s="39">
        <f t="shared" si="1915"/>
        <v>227</v>
      </c>
      <c r="G11188" s="168">
        <f>SUM(C11188,C11164,C11140,C11116,C11092,C11068,C11044,C11020,C10996,C10972,C10948,C10924,C10900,C10876)/POBLA!$B$3*100000</f>
        <v>1409.5966185086584</v>
      </c>
      <c r="H11188" s="256">
        <f t="shared" si="1914"/>
        <v>1.1019947308995108</v>
      </c>
      <c r="I11188" s="297">
        <f t="shared" si="1916"/>
        <v>1553.3680462903094</v>
      </c>
      <c r="J11188" s="422">
        <f t="shared" si="1917"/>
        <v>403.85714285714283</v>
      </c>
      <c r="K11188" s="297">
        <f>J11188/POBLA!$B$3*100000</f>
        <v>97.212374134562282</v>
      </c>
      <c r="L11188" s="200">
        <f t="shared" si="1913"/>
        <v>-6.6688676130736257E-2</v>
      </c>
      <c r="M11188" s="401">
        <f>SUM(C11188,C11164,C11140,C11116,C11092,C11068,C11044)/POBLA!$B$3*100000</f>
        <v>680.48661894193606</v>
      </c>
    </row>
    <row r="11189" spans="1:13" x14ac:dyDescent="0.25">
      <c r="A11189" s="367" t="s">
        <v>15</v>
      </c>
      <c r="B11189" s="2">
        <v>44359</v>
      </c>
      <c r="C11189" s="1">
        <v>660</v>
      </c>
      <c r="D11189" s="39">
        <f t="shared" si="1908"/>
        <v>67190</v>
      </c>
      <c r="E11189" s="1">
        <v>13</v>
      </c>
      <c r="F11189" s="39">
        <f t="shared" si="1915"/>
        <v>1391</v>
      </c>
      <c r="G11189" s="168">
        <f>SUM(C11189,C11165,C11141,C11117,C11093,C11069,C11045,C11021,C10997,C10973,C10949,C10925,C10901,C10877)/POBLA!$B$4*100000</f>
        <v>814.83320202467166</v>
      </c>
      <c r="H11189" s="256">
        <f t="shared" si="1914"/>
        <v>1.180822906641001</v>
      </c>
      <c r="I11189" s="297">
        <f t="shared" si="1916"/>
        <v>962.17371004236679</v>
      </c>
      <c r="J11189" s="422">
        <f t="shared" si="1917"/>
        <v>725.42857142857144</v>
      </c>
      <c r="K11189" s="297">
        <f>J11189/POBLA!$B$4*100000</f>
        <v>60.224481477058191</v>
      </c>
      <c r="L11189" s="200">
        <f t="shared" si="1913"/>
        <v>7.1986489339244342E-2</v>
      </c>
      <c r="M11189" s="401">
        <f>SUM(C11189,C11165,C11141,C11117,C11093,C11069,C11045)/POBLA!$B$4*100000</f>
        <v>421.57137033940734</v>
      </c>
    </row>
    <row r="11190" spans="1:13" x14ac:dyDescent="0.25">
      <c r="A11190" s="367" t="s">
        <v>29</v>
      </c>
      <c r="B11190" s="2">
        <v>44359</v>
      </c>
      <c r="C11190" s="1">
        <v>219</v>
      </c>
      <c r="D11190" s="39">
        <f t="shared" si="1908"/>
        <v>66916</v>
      </c>
      <c r="F11190" s="39">
        <f t="shared" si="1915"/>
        <v>1108</v>
      </c>
      <c r="G11190" s="168">
        <f>SUM(C11190,C11166,C11142,C11118,C11094,C11070,C11046,C11022,C10998,C10974,C10950,C10926,C10902,C10878)/POBLA!$B$5*100000</f>
        <v>766.0817390798619</v>
      </c>
      <c r="H11190" s="256">
        <f t="shared" si="1914"/>
        <v>1.0656179775280898</v>
      </c>
      <c r="I11190" s="297">
        <f t="shared" si="1916"/>
        <v>816.35047341948427</v>
      </c>
      <c r="J11190" s="422">
        <f t="shared" si="1917"/>
        <v>267.28571428571428</v>
      </c>
      <c r="K11190" s="297">
        <f>J11190/POBLA!$B$5*100000</f>
        <v>43.180663186672938</v>
      </c>
      <c r="L11190" s="200">
        <f t="shared" si="1913"/>
        <v>-0.34831069313827934</v>
      </c>
      <c r="M11190" s="401">
        <f>SUM(C11190,C11166,C11142,C11118,C11094,C11070,C11046)/POBLA!$B$5*100000</f>
        <v>302.26464230671058</v>
      </c>
    </row>
    <row r="11191" spans="1:13" x14ac:dyDescent="0.25">
      <c r="A11191" s="367" t="s">
        <v>30</v>
      </c>
      <c r="B11191" s="2">
        <v>44359</v>
      </c>
      <c r="C11191" s="1">
        <v>167</v>
      </c>
      <c r="D11191" s="39">
        <f t="shared" si="1908"/>
        <v>57110</v>
      </c>
      <c r="E11191" s="1">
        <v>2</v>
      </c>
      <c r="F11191" s="39">
        <f t="shared" si="1915"/>
        <v>668</v>
      </c>
      <c r="G11191" s="168">
        <f>SUM(C11191,C11167,C11143,C11119,C11095,C11071,C11047,C11023,C10999,C10975,C10951,C10927,C10903,C10879)/POBLA!$B$6*100000</f>
        <v>590.38134334284143</v>
      </c>
      <c r="H11191" s="256">
        <f t="shared" si="1914"/>
        <v>0.64974469756480757</v>
      </c>
      <c r="I11191" s="297">
        <f t="shared" si="1916"/>
        <v>383.59714737819934</v>
      </c>
      <c r="J11191" s="422">
        <f t="shared" si="1917"/>
        <v>456.42857142857144</v>
      </c>
      <c r="K11191" s="297">
        <f>J11191/POBLA!$B$6*100000</f>
        <v>40.723426498421347</v>
      </c>
      <c r="L11191" s="200">
        <f t="shared" si="1913"/>
        <v>-6.6335476329631771E-2</v>
      </c>
      <c r="M11191" s="401">
        <f>SUM(C11191,C11167,C11143,C11119,C11095,C11071,C11047)/POBLA!$B$6*100000</f>
        <v>285.06398548894941</v>
      </c>
    </row>
    <row r="11192" spans="1:13" x14ac:dyDescent="0.25">
      <c r="A11192" s="367" t="s">
        <v>20</v>
      </c>
      <c r="B11192" s="2">
        <v>44359</v>
      </c>
      <c r="C11192" s="1">
        <v>2701</v>
      </c>
      <c r="D11192" s="39">
        <f t="shared" si="1908"/>
        <v>362985</v>
      </c>
      <c r="E11192" s="1">
        <v>33</v>
      </c>
      <c r="F11192" s="39">
        <f t="shared" si="1915"/>
        <v>4374</v>
      </c>
      <c r="G11192" s="168">
        <f>SUM(C11192,C11168,C11144,C11120,C11096,C11072,C11048,C11024,C11000,C10976,C10952,C10928,C10904,C10880)/POBLA!$B$7*100000</f>
        <v>1545.2671887673018</v>
      </c>
      <c r="H11192" s="256">
        <f t="shared" si="1914"/>
        <v>1.1599297363115555</v>
      </c>
      <c r="I11192" s="297">
        <f t="shared" si="1916"/>
        <v>1792.4013627977552</v>
      </c>
      <c r="J11192" s="422">
        <f t="shared" si="1917"/>
        <v>3883.5714285714284</v>
      </c>
      <c r="K11192" s="297">
        <f>J11192/POBLA!$B$7*100000</f>
        <v>103.27411423024979</v>
      </c>
      <c r="L11192" s="200">
        <f t="shared" si="1913"/>
        <v>-0.12090932608976845</v>
      </c>
      <c r="M11192" s="401">
        <f>SUM(C11192,C11168,C11144,C11120,C11096,C11072,C11048)/POBLA!$B$7*100000</f>
        <v>722.91879961174857</v>
      </c>
    </row>
    <row r="11193" spans="1:13" x14ac:dyDescent="0.25">
      <c r="A11193" s="367" t="s">
        <v>31</v>
      </c>
      <c r="B11193" s="2">
        <v>44359</v>
      </c>
      <c r="C11193" s="1">
        <v>702</v>
      </c>
      <c r="D11193" s="39">
        <f t="shared" si="1908"/>
        <v>97241</v>
      </c>
      <c r="E11193" s="1">
        <v>8</v>
      </c>
      <c r="F11193" s="39">
        <f t="shared" si="1915"/>
        <v>1512</v>
      </c>
      <c r="G11193" s="168">
        <f>SUM(C11193,C11169,C11145,C11121,C11097,C11073,C11049,C11025,C11001,C10977,C10953,C10929,C10905,C10881)/POBLA!$B$8*100000</f>
        <v>934.00896562024479</v>
      </c>
      <c r="H11193" s="256">
        <f t="shared" si="1914"/>
        <v>1.0261593341260404</v>
      </c>
      <c r="I11193" s="297">
        <f t="shared" si="1916"/>
        <v>958.44201822862215</v>
      </c>
      <c r="J11193" s="422">
        <f t="shared" si="1917"/>
        <v>863.57142857142856</v>
      </c>
      <c r="K11193" s="297">
        <f>J11193/POBLA!$B$8*100000</f>
        <v>62.308494147485284</v>
      </c>
      <c r="L11193" s="200">
        <f t="shared" si="1913"/>
        <v>-0.12391304347826082</v>
      </c>
      <c r="M11193" s="401">
        <f>SUM(C11193,C11169,C11145,C11121,C11097,C11073,C11049)/POBLA!$B$8*100000</f>
        <v>436.15945903239702</v>
      </c>
    </row>
    <row r="11194" spans="1:13" x14ac:dyDescent="0.25">
      <c r="A11194" s="367" t="s">
        <v>41</v>
      </c>
      <c r="B11194" s="2">
        <v>44359</v>
      </c>
      <c r="C11194" s="1">
        <v>10</v>
      </c>
      <c r="D11194" s="39">
        <f t="shared" si="1908"/>
        <v>37242</v>
      </c>
      <c r="E11194" s="1">
        <v>12</v>
      </c>
      <c r="F11194" s="39">
        <f t="shared" si="1915"/>
        <v>636</v>
      </c>
      <c r="G11194" s="168">
        <f>SUM(C11194,C11170,C11146,C11122,C11098,C11074,C11050,C11026,C11002,C10978,C10954,C10930,C10906,C10882)/POBLA!$B$9*100000</f>
        <v>1383.3603495083387</v>
      </c>
      <c r="H11194" s="256">
        <f t="shared" si="1914"/>
        <v>0.38184720638540481</v>
      </c>
      <c r="I11194" s="297">
        <f>G11194*H11194</f>
        <v>528.23228488409632</v>
      </c>
      <c r="J11194" s="422">
        <f t="shared" si="1917"/>
        <v>349.71428571428572</v>
      </c>
      <c r="K11194" s="297">
        <f>J11194/POBLA!$B$9*100000</f>
        <v>57.785580090035033</v>
      </c>
      <c r="L11194" s="200">
        <f t="shared" si="1913"/>
        <v>-0.58676569885212693</v>
      </c>
      <c r="M11194" s="401">
        <f>SUM(C11194,C11170,C11146,C11122,C11098,C11074,C11050)/POBLA!$B$9*100000</f>
        <v>404.4990606302452</v>
      </c>
    </row>
    <row r="11195" spans="1:13" x14ac:dyDescent="0.25">
      <c r="A11195" s="367" t="s">
        <v>32</v>
      </c>
      <c r="B11195" s="2">
        <v>44359</v>
      </c>
      <c r="C11195" s="1">
        <v>224</v>
      </c>
      <c r="D11195" s="39">
        <f t="shared" si="1908"/>
        <v>31374</v>
      </c>
      <c r="E11195" s="1">
        <v>5</v>
      </c>
      <c r="F11195" s="39">
        <f t="shared" si="1915"/>
        <v>1105</v>
      </c>
      <c r="G11195" s="168">
        <f>SUM(C11195,C11171,C11147,C11123,C11099,C11075,C11051,C11027,C11003,C10979,C10955,C10931,C10907,C10883)/POBLA!$B$10*100000</f>
        <v>428.73024500538992</v>
      </c>
      <c r="H11195" s="256">
        <f t="shared" si="1914"/>
        <v>1.7477525118984665</v>
      </c>
      <c r="I11195" s="297">
        <f t="shared" ref="I11195:I11209" si="1918">G11195*H11195</f>
        <v>749.31436263501519</v>
      </c>
      <c r="J11195" s="422">
        <f t="shared" si="1917"/>
        <v>254.57142857142858</v>
      </c>
      <c r="K11195" s="297">
        <f>J11195/POBLA!$B$10*100000</f>
        <v>33.023440527322457</v>
      </c>
      <c r="L11195" s="200">
        <f t="shared" ref="L11195:L11218" si="1919">(SUM(C11195,C11171,C11147,C11123,C11099,C11075,C11051)/SUM(C11027,C11003,C10979,C10955,C10931,C10907,C10883))-1</f>
        <v>0.17005909389363105</v>
      </c>
      <c r="M11195" s="401">
        <f>SUM(C11195,C11171,C11147,C11123,C11099,C11075,C11051)/POBLA!$B$10*100000</f>
        <v>231.16408369125716</v>
      </c>
    </row>
    <row r="11196" spans="1:13" x14ac:dyDescent="0.25">
      <c r="A11196" s="367" t="s">
        <v>33</v>
      </c>
      <c r="B11196" s="2">
        <v>44359</v>
      </c>
      <c r="C11196" s="1">
        <v>153</v>
      </c>
      <c r="D11196" s="39">
        <f t="shared" si="1908"/>
        <v>47210</v>
      </c>
      <c r="F11196" s="39">
        <f t="shared" si="1915"/>
        <v>644</v>
      </c>
      <c r="G11196" s="168">
        <f>SUM(C11196,C11172,C11148,C11124,C11100,C11076,C11052,C11028,C11004,C10980,C10956,C10932,C10908,C10884)/POBLA!$B$11*100000</f>
        <v>1442.4096331759795</v>
      </c>
      <c r="H11196" s="256">
        <f t="shared" si="1914"/>
        <v>0.59637789825816123</v>
      </c>
      <c r="I11196" s="297">
        <f t="shared" si="1918"/>
        <v>860.22122546081596</v>
      </c>
      <c r="J11196" s="422">
        <f t="shared" si="1917"/>
        <v>314.57142857142856</v>
      </c>
      <c r="K11196" s="297">
        <f>J11196/POBLA!$B$11*100000</f>
        <v>87.764189341075067</v>
      </c>
      <c r="L11196" s="200">
        <f t="shared" si="1919"/>
        <v>-0.25808625336927227</v>
      </c>
      <c r="M11196" s="401">
        <f>SUM(C11196,C11172,C11148,C11124,C11100,C11076,C11052)/POBLA!$B$11*100000</f>
        <v>614.34932538752548</v>
      </c>
    </row>
    <row r="11197" spans="1:13" x14ac:dyDescent="0.25">
      <c r="A11197" s="367" t="s">
        <v>21</v>
      </c>
      <c r="B11197" s="2">
        <v>44359</v>
      </c>
      <c r="C11197" s="1">
        <v>128</v>
      </c>
      <c r="D11197" s="39">
        <f t="shared" si="1908"/>
        <v>19421</v>
      </c>
      <c r="F11197" s="39">
        <f t="shared" si="1915"/>
        <v>580</v>
      </c>
      <c r="G11197" s="168">
        <f>SUM(C11197,C11173,C11149,C11125,C11101,C11077,C11053,C11029,C11005,C10981,C10957,C10933,C10909,C10885)/POBLA!$B$12*100000</f>
        <v>569.45958514068775</v>
      </c>
      <c r="H11197" s="256">
        <f t="shared" si="1914"/>
        <v>0.88893296310987702</v>
      </c>
      <c r="I11197" s="297">
        <f t="shared" si="1918"/>
        <v>506.21139639043287</v>
      </c>
      <c r="J11197" s="422">
        <f t="shared" si="1917"/>
        <v>167.57142857142858</v>
      </c>
      <c r="K11197" s="297">
        <f>J11197/POBLA!$B$12*100000</f>
        <v>42.581506557660916</v>
      </c>
      <c r="L11197" s="200">
        <f t="shared" si="1919"/>
        <v>9.8314606741572996E-2</v>
      </c>
      <c r="M11197" s="401">
        <f>SUM(C11197,C11173,C11149,C11125,C11101,C11077,C11053)/POBLA!$B$12*100000</f>
        <v>298.0705459036264</v>
      </c>
    </row>
    <row r="11198" spans="1:13" x14ac:dyDescent="0.25">
      <c r="A11198" s="367" t="s">
        <v>17</v>
      </c>
      <c r="B11198" s="2">
        <v>44359</v>
      </c>
      <c r="C11198" s="1">
        <v>521</v>
      </c>
      <c r="D11198" s="39">
        <f t="shared" si="1908"/>
        <v>129464</v>
      </c>
      <c r="E11198" s="1">
        <v>17</v>
      </c>
      <c r="F11198" s="39">
        <f t="shared" si="1915"/>
        <v>2892</v>
      </c>
      <c r="G11198" s="168">
        <f>SUM(C11198,C11174,C11150,C11126,C11102,C11078,C11054,C11030,C11006,C10982,C10958,C10934,C10910,C10886)/POBLA!$B$13*100000</f>
        <v>504.23596394180288</v>
      </c>
      <c r="H11198" s="256">
        <f t="shared" si="1914"/>
        <v>0.87643000611300326</v>
      </c>
      <c r="I11198" s="297">
        <f t="shared" si="1918"/>
        <v>441.92752895991038</v>
      </c>
      <c r="J11198" s="422">
        <f t="shared" si="1917"/>
        <v>657.14285714285711</v>
      </c>
      <c r="K11198" s="297">
        <f>J11198/POBLA!$B$13*100000</f>
        <v>33.016646275298825</v>
      </c>
      <c r="L11198" s="200">
        <f t="shared" si="1919"/>
        <v>-0.15378955114054449</v>
      </c>
      <c r="M11198" s="401">
        <f>SUM(C11198,C11174,C11150,C11126,C11102,C11078,C11054)/POBLA!$B$13*100000</f>
        <v>231.11652392709178</v>
      </c>
    </row>
    <row r="11199" spans="1:13" x14ac:dyDescent="0.25">
      <c r="A11199" s="367" t="s">
        <v>23</v>
      </c>
      <c r="B11199" s="2">
        <v>44359</v>
      </c>
      <c r="C11199" s="1">
        <v>163</v>
      </c>
      <c r="D11199" s="39">
        <f t="shared" si="1908"/>
        <v>22566</v>
      </c>
      <c r="E11199" s="1">
        <v>4</v>
      </c>
      <c r="F11199" s="39">
        <f t="shared" si="1915"/>
        <v>348</v>
      </c>
      <c r="G11199" s="168">
        <f>SUM(C11199,C11175,C11151,C11127,C11103,C11079,C11055,C11031,C11007,C10983,C10959,C10935,C10911,C10887)/POBLA!$B$14*100000</f>
        <v>197.49558786452641</v>
      </c>
      <c r="H11199" s="256">
        <f t="shared" si="1914"/>
        <v>1.0939833113746158</v>
      </c>
      <c r="I11199" s="297">
        <f t="shared" si="1918"/>
        <v>216.05687719391099</v>
      </c>
      <c r="J11199" s="422">
        <f t="shared" si="1917"/>
        <v>176.28571428571428</v>
      </c>
      <c r="K11199" s="297">
        <f>J11199/POBLA!$B$14*100000</f>
        <v>13.976575983530743</v>
      </c>
      <c r="L11199" s="200">
        <f t="shared" si="1919"/>
        <v>-1.8297533810660349E-2</v>
      </c>
      <c r="M11199" s="401">
        <f>SUM(C11199,C11175,C11151,C11127,C11103,C11079,C11055)/POBLA!$B$14*100000</f>
        <v>97.836031884715226</v>
      </c>
    </row>
    <row r="11200" spans="1:13" x14ac:dyDescent="0.25">
      <c r="A11200" s="367" t="s">
        <v>19</v>
      </c>
      <c r="B11200" s="2">
        <v>44359</v>
      </c>
      <c r="C11200" s="1">
        <v>196</v>
      </c>
      <c r="D11200" s="39">
        <f t="shared" si="1908"/>
        <v>96683</v>
      </c>
      <c r="E11200" s="1">
        <v>5</v>
      </c>
      <c r="F11200" s="39">
        <f t="shared" si="1915"/>
        <v>1506</v>
      </c>
      <c r="G11200" s="168">
        <f>SUM(C11200,C11176,C11152,C11128,C11104,C11080,C11056,C11032,C11008,C10984,C10960,C10936,C10912,C10888)/POBLA!$B$15*100000</f>
        <v>1164.5084683995501</v>
      </c>
      <c r="H11200" s="256">
        <f t="shared" si="1914"/>
        <v>0.70466557317295431</v>
      </c>
      <c r="I11200" s="297">
        <f t="shared" si="1918"/>
        <v>820.58902734952812</v>
      </c>
      <c r="J11200" s="422">
        <f t="shared" si="1917"/>
        <v>418.85714285714283</v>
      </c>
      <c r="K11200" s="297">
        <f>J11200/POBLA!$B$15*100000</f>
        <v>63.075480396583856</v>
      </c>
      <c r="L11200" s="200">
        <f t="shared" si="1919"/>
        <v>-0.3892938971047698</v>
      </c>
      <c r="M11200" s="401">
        <f>SUM(C11200,C11176,C11152,C11128,C11104,C11080,C11056)/POBLA!$B$15*100000</f>
        <v>441.52836277608702</v>
      </c>
    </row>
    <row r="11201" spans="1:13" x14ac:dyDescent="0.25">
      <c r="A11201" s="367" t="s">
        <v>18</v>
      </c>
      <c r="B11201" s="2">
        <v>44359</v>
      </c>
      <c r="C11201" s="1">
        <v>271</v>
      </c>
      <c r="D11201" s="39">
        <f t="shared" si="1908"/>
        <v>79180</v>
      </c>
      <c r="E11201" s="1">
        <v>11</v>
      </c>
      <c r="F11201" s="39">
        <f t="shared" si="1915"/>
        <v>1771</v>
      </c>
      <c r="G11201" s="168">
        <f>SUM(C11201,C11177,C11153,C11129,C11105,C11081,C11057,C11033,C11009,C10985,C10961,C10937,C10913,C10889)/POBLA!$B$16*100000</f>
        <v>767.24495391982441</v>
      </c>
      <c r="H11201" s="256">
        <f t="shared" si="1914"/>
        <v>0.8013411567476949</v>
      </c>
      <c r="I11201" s="297">
        <f t="shared" si="1918"/>
        <v>614.82495888294397</v>
      </c>
      <c r="J11201" s="422">
        <f t="shared" si="1917"/>
        <v>375.42857142857144</v>
      </c>
      <c r="K11201" s="297">
        <f>J11201/POBLA!$B$16*100000</f>
        <v>50.217168233246142</v>
      </c>
      <c r="L11201" s="200">
        <f t="shared" si="1919"/>
        <v>-0.15444015444015446</v>
      </c>
      <c r="M11201" s="401">
        <f>SUM(C11201,C11177,C11153,C11129,C11105,C11081,C11057)/POBLA!$B$16*100000</f>
        <v>351.52017763272295</v>
      </c>
    </row>
    <row r="11202" spans="1:13" x14ac:dyDescent="0.25">
      <c r="A11202" s="367" t="s">
        <v>34</v>
      </c>
      <c r="B11202" s="2">
        <v>44359</v>
      </c>
      <c r="C11202" s="1">
        <v>466</v>
      </c>
      <c r="D11202" s="39">
        <f t="shared" si="1908"/>
        <v>52381</v>
      </c>
      <c r="E11202" s="1">
        <v>5</v>
      </c>
      <c r="F11202" s="39">
        <f t="shared" si="1915"/>
        <v>1519</v>
      </c>
      <c r="G11202" s="168">
        <f>SUM(C11202,C11178,C11154,C11130,C11106,C11082,C11058,C11034,C11010,C10986,C10962,C10938,C10914,C10890)/POBLA!$B$17*100000</f>
        <v>541.7029100735258</v>
      </c>
      <c r="H11202" s="256">
        <f t="shared" ref="H11202:H11209" si="1920">SUM(C11202,C11178,C11154,C11130,C11106,C11082,C11058,C11034,C11010,C10986,C10962,C10938,C10914,C10890)/SUM(C10866,C10842,C10818,C10794,C10770,C10746,C10722,C10698,C10674,C10650,C10626,C10602,C10578,C10554)</f>
        <v>1.2245675289636566</v>
      </c>
      <c r="I11202" s="297">
        <f t="shared" si="1918"/>
        <v>663.35179402115944</v>
      </c>
      <c r="J11202" s="422">
        <f t="shared" si="1917"/>
        <v>524.42857142857144</v>
      </c>
      <c r="K11202" s="297">
        <f>J11202/POBLA!$B$17*100000</f>
        <v>36.817584664147105</v>
      </c>
      <c r="L11202" s="200">
        <f t="shared" si="1919"/>
        <v>-9.2459826946847956E-2</v>
      </c>
      <c r="M11202" s="401">
        <f>SUM(C11202,C11178,C11154,C11130,C11106,C11082,C11058)/POBLA!$B$17*100000</f>
        <v>257.72309264902975</v>
      </c>
    </row>
    <row r="11203" spans="1:13" x14ac:dyDescent="0.25">
      <c r="A11203" s="367" t="s">
        <v>35</v>
      </c>
      <c r="B11203" s="2">
        <v>44359</v>
      </c>
      <c r="C11203" s="1">
        <v>128</v>
      </c>
      <c r="D11203" s="39">
        <f t="shared" si="1908"/>
        <v>42864</v>
      </c>
      <c r="F11203" s="39">
        <f t="shared" si="1915"/>
        <v>705</v>
      </c>
      <c r="G11203" s="168">
        <f>SUM(C11203,C11179,C11155,C11131,C11107,C11083,C11059,C11035,C11011,C10987,C10963,C10939,C10915,C10891)/POBLA!$B$18*100000</f>
        <v>833.31519923401572</v>
      </c>
      <c r="H11203" s="256">
        <f t="shared" si="1920"/>
        <v>0.87996755879967559</v>
      </c>
      <c r="I11203" s="297">
        <f t="shared" si="1918"/>
        <v>733.29034158062211</v>
      </c>
      <c r="J11203" s="422">
        <f t="shared" si="1917"/>
        <v>482</v>
      </c>
      <c r="K11203" s="297">
        <f>J11203/POBLA!$B$18*100000</f>
        <v>61.698606149123741</v>
      </c>
      <c r="L11203" s="200">
        <f t="shared" si="1919"/>
        <v>7.5892857142857206E-2</v>
      </c>
      <c r="M11203" s="401">
        <f>SUM(C11203,C11179,C11155,C11131,C11107,C11083,C11059)/POBLA!$B$18*100000</f>
        <v>431.89024304386618</v>
      </c>
    </row>
    <row r="11204" spans="1:13" x14ac:dyDescent="0.25">
      <c r="A11204" s="367" t="s">
        <v>36</v>
      </c>
      <c r="B11204" s="2">
        <v>44359</v>
      </c>
      <c r="C11204" s="1">
        <v>457</v>
      </c>
      <c r="D11204" s="39">
        <f t="shared" si="1908"/>
        <v>59098</v>
      </c>
      <c r="E11204" s="1">
        <v>1</v>
      </c>
      <c r="F11204" s="39">
        <f t="shared" si="1915"/>
        <v>804</v>
      </c>
      <c r="G11204" s="168">
        <f>SUM(C11204,C11180,C11156,C11132,C11108,C11084,C11060,C11036,C11012,C10988,C10964,C10940,C10916,C10892)/POBLA!$B$19*100000</f>
        <v>1380.9980957177256</v>
      </c>
      <c r="H11204" s="256">
        <f t="shared" si="1920"/>
        <v>0.92894005557761017</v>
      </c>
      <c r="I11204" s="297">
        <f t="shared" si="1918"/>
        <v>1282.8644477885978</v>
      </c>
      <c r="J11204" s="422">
        <f t="shared" si="1917"/>
        <v>487.71428571428572</v>
      </c>
      <c r="K11204" s="297">
        <f>J11204/POBLA!$B$19*100000</f>
        <v>95.944800544979955</v>
      </c>
      <c r="L11204" s="200">
        <f t="shared" si="1919"/>
        <v>-5.3244592346089803E-2</v>
      </c>
      <c r="M11204" s="401">
        <f>SUM(C11204,C11180,C11156,C11132,C11108,C11084,C11060)/POBLA!$B$19*100000</f>
        <v>671.61360381485974</v>
      </c>
    </row>
    <row r="11205" spans="1:13" x14ac:dyDescent="0.25">
      <c r="A11205" s="367" t="s">
        <v>37</v>
      </c>
      <c r="B11205" s="2">
        <v>44359</v>
      </c>
      <c r="C11205" s="1">
        <v>80</v>
      </c>
      <c r="D11205" s="39">
        <f t="shared" si="1908"/>
        <v>53545</v>
      </c>
      <c r="E11205" s="1">
        <v>2</v>
      </c>
      <c r="F11205" s="39">
        <f t="shared" si="1915"/>
        <v>815</v>
      </c>
      <c r="G11205" s="168">
        <f>SUM(C11205,C11181,C11157,C11133,C11109,C11085,C11061,C11037,C11013,C10989,C10965,C10941,C10917,C10893)/POBLA!$B$20*100000</f>
        <v>637.68464689443203</v>
      </c>
      <c r="H11205" s="256">
        <f t="shared" si="1920"/>
        <v>0.70903010033444813</v>
      </c>
      <c r="I11205" s="297">
        <f t="shared" si="1918"/>
        <v>452.1376091692963</v>
      </c>
      <c r="J11205" s="422">
        <f t="shared" si="1917"/>
        <v>131.14285714285714</v>
      </c>
      <c r="K11205" s="297">
        <f>J11205/POBLA!$B$20*100000</f>
        <v>35.860971933906427</v>
      </c>
      <c r="L11205" s="200">
        <f t="shared" si="1919"/>
        <v>-0.35077793493635079</v>
      </c>
      <c r="M11205" s="401">
        <f>SUM(C11205,C11181,C11157,C11133,C11109,C11085,C11061)/POBLA!$B$20*100000</f>
        <v>251.02680353734502</v>
      </c>
    </row>
    <row r="11206" spans="1:13" x14ac:dyDescent="0.25">
      <c r="A11206" s="367" t="s">
        <v>22</v>
      </c>
      <c r="B11206" s="2">
        <v>44359</v>
      </c>
      <c r="C11206" s="1">
        <v>1908</v>
      </c>
      <c r="D11206" s="39">
        <f t="shared" si="1908"/>
        <v>375739</v>
      </c>
      <c r="E11206" s="1">
        <v>6</v>
      </c>
      <c r="F11206" s="39">
        <f t="shared" si="1915"/>
        <v>5979</v>
      </c>
      <c r="G11206" s="168">
        <f>SUM(C11206,C11182,C11158,C11134,C11110,C11086,C11062,C11038,C11014,C10990,C10966,C10942,C10918,C10894)/POBLA!$B$21*100000</f>
        <v>1007.8842489773551</v>
      </c>
      <c r="H11206" s="256">
        <f t="shared" si="1920"/>
        <v>0.92692377707851148</v>
      </c>
      <c r="I11206" s="297">
        <f t="shared" si="1918"/>
        <v>934.23187492002887</v>
      </c>
      <c r="J11206" s="422">
        <f t="shared" si="1917"/>
        <v>2208</v>
      </c>
      <c r="K11206" s="297">
        <f>J11206/POBLA!$B$21*100000</f>
        <v>62.436058180905086</v>
      </c>
      <c r="L11206" s="200">
        <f t="shared" si="1919"/>
        <v>-0.2343587457274483</v>
      </c>
      <c r="M11206" s="401">
        <f>SUM(C11206,C11182,C11158,C11134,C11110,C11086,C11062)/POBLA!$B$21*100000</f>
        <v>437.05240726633559</v>
      </c>
    </row>
    <row r="11207" spans="1:13" x14ac:dyDescent="0.25">
      <c r="A11207" s="367" t="s">
        <v>38</v>
      </c>
      <c r="B11207" s="2">
        <v>44359</v>
      </c>
      <c r="C11207" s="1">
        <v>573</v>
      </c>
      <c r="D11207" s="39">
        <f t="shared" si="1908"/>
        <v>50447</v>
      </c>
      <c r="E11207" s="1">
        <v>10</v>
      </c>
      <c r="F11207" s="39">
        <f t="shared" si="1915"/>
        <v>639</v>
      </c>
      <c r="G11207" s="168">
        <f>SUM(C11207,C11183,C11159,C11135,C11111,C11087,C11063,C11039,C11015,C10991,C10967,C10943,C10919,C10895)/POBLA!$B$22*100000</f>
        <v>765.19477917598965</v>
      </c>
      <c r="H11207" s="256">
        <f t="shared" si="1920"/>
        <v>0.93155798904927822</v>
      </c>
      <c r="I11207" s="297">
        <f t="shared" si="1918"/>
        <v>712.82330972019145</v>
      </c>
      <c r="J11207" s="422">
        <f t="shared" si="1917"/>
        <v>521.71428571428567</v>
      </c>
      <c r="K11207" s="297">
        <f>J11207/POBLA!$B$22*100000</f>
        <v>53.327951863492125</v>
      </c>
      <c r="L11207" s="200">
        <f t="shared" si="1919"/>
        <v>-4.7470005216484035E-2</v>
      </c>
      <c r="M11207" s="401">
        <f>SUM(C11207,C11183,C11159,C11135,C11111,C11087,C11063)/POBLA!$B$22*100000</f>
        <v>373.29566304444489</v>
      </c>
    </row>
    <row r="11208" spans="1:13" x14ac:dyDescent="0.25">
      <c r="A11208" s="367" t="s">
        <v>39</v>
      </c>
      <c r="B11208" s="2">
        <v>44359</v>
      </c>
      <c r="C11208" s="1">
        <v>33</v>
      </c>
      <c r="D11208" s="39">
        <f t="shared" si="1908"/>
        <v>29027</v>
      </c>
      <c r="E11208" s="1">
        <v>1</v>
      </c>
      <c r="F11208" s="39">
        <f t="shared" si="1915"/>
        <v>432</v>
      </c>
      <c r="G11208" s="168">
        <f>SUM(C11208,C11184,C11160,C11136,C11112,C11088,C11064,C11040,C11016,C10992,C10968,C10944,C10920,C10896)/POBLA!$B$23*100000</f>
        <v>344.39857490244867</v>
      </c>
      <c r="H11208" s="256">
        <f t="shared" si="1920"/>
        <v>0.63702928870292885</v>
      </c>
      <c r="I11208" s="297">
        <f t="shared" si="1918"/>
        <v>219.39197920040925</v>
      </c>
      <c r="J11208" s="422">
        <f t="shared" si="1917"/>
        <v>35.571428571428569</v>
      </c>
      <c r="K11208" s="297">
        <f>J11208/POBLA!$B$23*100000</f>
        <v>20.116172918299252</v>
      </c>
      <c r="L11208" s="200">
        <f t="shared" si="1919"/>
        <v>-0.30833333333333335</v>
      </c>
      <c r="M11208" s="401">
        <f>SUM(C11208,C11184,C11160,C11136,C11112,C11088,C11064)/POBLA!$B$23*100000</f>
        <v>140.81321042809478</v>
      </c>
    </row>
    <row r="11209" spans="1:13" ht="15.75" thickBot="1" x14ac:dyDescent="0.3">
      <c r="A11209" s="368" t="s">
        <v>40</v>
      </c>
      <c r="B11209" s="34">
        <v>44359</v>
      </c>
      <c r="C11209" s="232">
        <v>533</v>
      </c>
      <c r="D11209" s="67">
        <f t="shared" si="1908"/>
        <v>140572</v>
      </c>
      <c r="E11209" s="232">
        <v>10</v>
      </c>
      <c r="F11209" s="67">
        <f t="shared" si="1915"/>
        <v>2069</v>
      </c>
      <c r="G11209" s="255">
        <f>SUM(C11209,C11185,C11161,C11137,C11113,C11089,C11065,C11041,C11017,C10993,C10969,C10945,C10921,C10897)/POBLA!$B$24*100000</f>
        <v>733.48219343630797</v>
      </c>
      <c r="H11209" s="257">
        <f t="shared" si="1920"/>
        <v>0.91417224387732587</v>
      </c>
      <c r="I11209" s="299">
        <f t="shared" si="1918"/>
        <v>670.52906261773239</v>
      </c>
      <c r="J11209" s="428">
        <f t="shared" si="1917"/>
        <v>858</v>
      </c>
      <c r="K11209" s="299">
        <f>J11209/POBLA!$B$24*100000</f>
        <v>50.629744325692059</v>
      </c>
      <c r="L11209" s="260">
        <f t="shared" si="1919"/>
        <v>-6.506849315068497E-2</v>
      </c>
      <c r="M11209" s="406">
        <f>SUM(C11209,C11185,C11161,C11137,C11113,C11089,C11065)/POBLA!$B$24*100000</f>
        <v>354.40821027984441</v>
      </c>
    </row>
    <row r="11210" spans="1:13" x14ac:dyDescent="0.25">
      <c r="A11210" s="363" t="s">
        <v>16</v>
      </c>
      <c r="B11210" s="265">
        <v>44360</v>
      </c>
      <c r="C11210" s="43">
        <v>3795</v>
      </c>
      <c r="D11210" s="174">
        <f t="shared" si="1908"/>
        <v>1727975</v>
      </c>
      <c r="E11210" s="43">
        <v>131</v>
      </c>
      <c r="F11210" s="174">
        <f t="shared" ref="F11210:F11233" si="1921">E11210+F11186</f>
        <v>43810</v>
      </c>
      <c r="G11210" s="175">
        <f>SUM(C11210,C11186,C11138,C11162,C11114,C11090,C11066,C11042,C11018,C10994,C10970,C10946,C10922,C10898)/POBLA!$B$1*100000</f>
        <v>728.06552321767435</v>
      </c>
      <c r="H11210" s="300">
        <f>SUM(C11210,C11186,C11162,C11138,C11114,C11090,C11066,C11042,C11018,C10994,C10970,C10946,C10922,C10898,)/SUM(C10874,C10850,C10826,C10802,C10778,C10754,C10730,C10706,C10682,C10658,C10634,C10610,C10586,C10562)</f>
        <v>0.79389678365844862</v>
      </c>
      <c r="I11210" s="301">
        <f>G11210*H11210</f>
        <v>578.00887717511716</v>
      </c>
      <c r="J11210" s="421">
        <f>AVERAGE(C11210,C11186,C11162,C11138,C11114,C11090,C11066)</f>
        <v>8294.2857142857138</v>
      </c>
      <c r="K11210" s="301">
        <f>J11210/POBLA!$B$1*100000</f>
        <v>47.284755959066253</v>
      </c>
      <c r="L11210" s="399">
        <f t="shared" si="1919"/>
        <v>-0.16641541399262039</v>
      </c>
      <c r="M11210" s="400">
        <f>SUM(C11210,C11186,C11162,C11138,C11114,C11090,C11066)/POBLA!$B$1*100000</f>
        <v>330.9932917134638</v>
      </c>
    </row>
    <row r="11211" spans="1:13" x14ac:dyDescent="0.25">
      <c r="A11211" s="367" t="s">
        <v>43</v>
      </c>
      <c r="B11211" s="2">
        <v>44360</v>
      </c>
      <c r="C11211" s="1">
        <v>1218</v>
      </c>
      <c r="D11211" s="39">
        <f t="shared" si="1908"/>
        <v>441152</v>
      </c>
      <c r="E11211" s="1">
        <v>29</v>
      </c>
      <c r="F11211" s="39">
        <f t="shared" si="1921"/>
        <v>9700</v>
      </c>
      <c r="G11211" s="168">
        <f>SUM(C11211,C11187,C11163,C11139,C11115,C11091,C11067,C11043,C11019,C10995,C10971,C10947,C10923,C10899)/POBLA!$B$2*100000</f>
        <v>813.06496261273242</v>
      </c>
      <c r="H11211" s="256">
        <f t="shared" ref="H11211:H11233" si="1922">SUM(C11211,C11187,C11163,C11139,C11115,C11091,C11067,C11043,C11019,C10995,C10971,C10947,C10923,C10899,)/SUM(C10875,C10851,C10827,C10803,C10779,C10755,C10731,C10707,C10683,C10659,C10635,C10611,C10587,C10563)</f>
        <v>0.65745609422652229</v>
      </c>
      <c r="I11211" s="297">
        <f t="shared" ref="I11211:I11217" si="1923">G11211*H11211</f>
        <v>534.55451467180046</v>
      </c>
      <c r="J11211" s="422">
        <f t="shared" ref="J11211:J11233" si="1924">AVERAGE(C11211,C11187,C11163,C11139,C11115,C11091,C11067)</f>
        <v>1636.1428571428571</v>
      </c>
      <c r="K11211" s="297">
        <f>J11211/POBLA!$B$2*100000</f>
        <v>53.196722156673985</v>
      </c>
      <c r="L11211" s="200">
        <f t="shared" si="1919"/>
        <v>-0.15500959126457137</v>
      </c>
      <c r="M11211" s="401">
        <f>SUM(C11211,C11187,C11163,C11139,C11115,C11091,C11067)/POBLA!$B$2*100000</f>
        <v>372.37705509671787</v>
      </c>
    </row>
    <row r="11212" spans="1:13" x14ac:dyDescent="0.25">
      <c r="A11212" s="367" t="s">
        <v>28</v>
      </c>
      <c r="B11212" s="2">
        <v>44360</v>
      </c>
      <c r="C11212" s="1">
        <v>333</v>
      </c>
      <c r="D11212" s="39">
        <f t="shared" si="1908"/>
        <v>29110</v>
      </c>
      <c r="F11212" s="39">
        <f t="shared" si="1921"/>
        <v>227</v>
      </c>
      <c r="G11212" s="168">
        <f>SUM(C11212,C11188,C11164,C11140,C11116,C11092,C11068,C11044,C11020,C10996,C10972,C10948,C10924,C10900)/POBLA!$B$3*100000</f>
        <v>1370.1202104766535</v>
      </c>
      <c r="H11212" s="256">
        <f t="shared" si="1922"/>
        <v>1.0562256448320653</v>
      </c>
      <c r="I11212" s="297">
        <f t="shared" si="1923"/>
        <v>1447.1561028081483</v>
      </c>
      <c r="J11212" s="422">
        <f t="shared" si="1924"/>
        <v>405.28571428571428</v>
      </c>
      <c r="K11212" s="297">
        <f>J11212/POBLA!$B$3*100000</f>
        <v>97.556245284666844</v>
      </c>
      <c r="L11212" s="200">
        <f t="shared" si="1919"/>
        <v>-6.3047285464098435E-3</v>
      </c>
      <c r="M11212" s="401">
        <f>SUM(C11212,C11188,C11164,C11140,C11116,C11092,C11068)/POBLA!$B$3*100000</f>
        <v>682.89371699266792</v>
      </c>
    </row>
    <row r="11213" spans="1:13" x14ac:dyDescent="0.25">
      <c r="A11213" s="367" t="s">
        <v>15</v>
      </c>
      <c r="B11213" s="2">
        <v>44360</v>
      </c>
      <c r="C11213" s="1">
        <v>395</v>
      </c>
      <c r="D11213" s="39">
        <f t="shared" si="1908"/>
        <v>67585</v>
      </c>
      <c r="E11213" s="1">
        <v>10</v>
      </c>
      <c r="F11213" s="39">
        <f t="shared" si="1921"/>
        <v>1401</v>
      </c>
      <c r="G11213" s="168">
        <f>SUM(C11213,C11189,C11165,C11141,C11117,C11093,C11069,C11045,C11021,C10997,C10973,C10949,C10925,C10901)/POBLA!$B$4*100000</f>
        <v>818.40302654704146</v>
      </c>
      <c r="H11213" s="256">
        <f t="shared" si="1922"/>
        <v>1.1693950177935943</v>
      </c>
      <c r="I11213" s="297">
        <f t="shared" si="1923"/>
        <v>957.03642179130907</v>
      </c>
      <c r="J11213" s="422">
        <f t="shared" si="1924"/>
        <v>679.85714285714289</v>
      </c>
      <c r="K11213" s="297">
        <f>J11213/POBLA!$B$4*100000</f>
        <v>56.441179076274111</v>
      </c>
      <c r="L11213" s="200">
        <f t="shared" si="1919"/>
        <v>-6.6679741125710956E-2</v>
      </c>
      <c r="M11213" s="401">
        <f>SUM(C11213,C11189,C11165,C11141,C11117,C11093,C11069)/POBLA!$B$4*100000</f>
        <v>395.0882535339187</v>
      </c>
    </row>
    <row r="11214" spans="1:13" x14ac:dyDescent="0.25">
      <c r="A11214" s="367" t="s">
        <v>29</v>
      </c>
      <c r="B11214" s="2">
        <v>44360</v>
      </c>
      <c r="C11214" s="1">
        <v>45</v>
      </c>
      <c r="D11214" s="39">
        <f t="shared" si="1908"/>
        <v>66961</v>
      </c>
      <c r="E11214" s="1">
        <v>1</v>
      </c>
      <c r="F11214" s="39">
        <f t="shared" si="1921"/>
        <v>1109</v>
      </c>
      <c r="G11214" s="168">
        <f>SUM(C11214,C11190,C11166,C11142,C11118,C11094,C11070,C11046,C11022,C10998,C10974,C10950,C10926,C10902)/POBLA!$B$5*100000</f>
        <v>752.67288535914724</v>
      </c>
      <c r="H11214" s="256">
        <f t="shared" si="1922"/>
        <v>1.0509812767877285</v>
      </c>
      <c r="I11214" s="297">
        <f t="shared" si="1923"/>
        <v>791.04511005826009</v>
      </c>
      <c r="J11214" s="422">
        <f t="shared" si="1924"/>
        <v>242</v>
      </c>
      <c r="K11214" s="297">
        <f>J11214/POBLA!$B$5*100000</f>
        <v>39.095693980878657</v>
      </c>
      <c r="L11214" s="200">
        <f t="shared" si="1919"/>
        <v>-0.4286677908937605</v>
      </c>
      <c r="M11214" s="401">
        <f>SUM(C11214,C11190,C11166,C11142,C11118,C11094,C11070)/POBLA!$B$5*100000</f>
        <v>273.66985786615055</v>
      </c>
    </row>
    <row r="11215" spans="1:13" x14ac:dyDescent="0.25">
      <c r="A11215" s="367" t="s">
        <v>30</v>
      </c>
      <c r="B11215" s="2">
        <v>44360</v>
      </c>
      <c r="C11215" s="1">
        <v>443</v>
      </c>
      <c r="D11215" s="39">
        <f t="shared" si="1908"/>
        <v>57553</v>
      </c>
      <c r="F11215" s="39">
        <f t="shared" si="1921"/>
        <v>668</v>
      </c>
      <c r="G11215" s="168">
        <f>SUM(C11215,C11191,C11167,C11143,C11119,C11095,C11071,C11047,C11023,C10999,C10975,C10951,C10927,C10903)/POBLA!$B$6*100000</f>
        <v>574.58906621246774</v>
      </c>
      <c r="H11215" s="256">
        <f t="shared" si="1922"/>
        <v>0.60967528164347251</v>
      </c>
      <c r="I11215" s="297">
        <f t="shared" si="1923"/>
        <v>350.31275077234613</v>
      </c>
      <c r="J11215" s="422">
        <f t="shared" si="1924"/>
        <v>416.57142857142856</v>
      </c>
      <c r="K11215" s="297">
        <f>J11215/POBLA!$B$6*100000</f>
        <v>37.167296297150749</v>
      </c>
      <c r="L11215" s="200">
        <f t="shared" si="1919"/>
        <v>-0.17253121452894438</v>
      </c>
      <c r="M11215" s="401">
        <f>SUM(C11215,C11191,C11167,C11143,C11119,C11095,C11071)/POBLA!$B$6*100000</f>
        <v>260.17107408005523</v>
      </c>
    </row>
    <row r="11216" spans="1:13" x14ac:dyDescent="0.25">
      <c r="A11216" s="367" t="s">
        <v>20</v>
      </c>
      <c r="B11216" s="2">
        <v>44360</v>
      </c>
      <c r="C11216" s="1">
        <v>1555</v>
      </c>
      <c r="D11216" s="39">
        <f t="shared" si="1908"/>
        <v>364540</v>
      </c>
      <c r="E11216" s="1">
        <v>30</v>
      </c>
      <c r="F11216" s="39">
        <f t="shared" si="1921"/>
        <v>4404</v>
      </c>
      <c r="G11216" s="168">
        <f>SUM(C11216,C11192,C11168,C11144,C11120,C11096,C11072,C11048,C11024,C11000,C10976,C10952,C10928,C10904)/POBLA!$B$7*100000</f>
        <v>1495.1136167214031</v>
      </c>
      <c r="H11216" s="256">
        <f t="shared" si="1922"/>
        <v>1.0880537224469258</v>
      </c>
      <c r="I11216" s="297">
        <f t="shared" si="1923"/>
        <v>1626.7639361548088</v>
      </c>
      <c r="J11216" s="422">
        <f t="shared" si="1924"/>
        <v>3725.5714285714284</v>
      </c>
      <c r="K11216" s="297">
        <f>J11216/POBLA!$B$7*100000</f>
        <v>99.072489424707911</v>
      </c>
      <c r="L11216" s="200">
        <f t="shared" si="1919"/>
        <v>-0.13485270700636942</v>
      </c>
      <c r="M11216" s="401">
        <f>SUM(C11216,C11192,C11168,C11144,C11120,C11096,C11072)/POBLA!$B$7*100000</f>
        <v>693.50742597295528</v>
      </c>
    </row>
    <row r="11217" spans="1:13" x14ac:dyDescent="0.25">
      <c r="A11217" s="367" t="s">
        <v>31</v>
      </c>
      <c r="B11217" s="2">
        <v>44360</v>
      </c>
      <c r="C11217" s="1">
        <v>406</v>
      </c>
      <c r="D11217" s="39">
        <f t="shared" si="1908"/>
        <v>97647</v>
      </c>
      <c r="E11217" s="1">
        <v>3</v>
      </c>
      <c r="F11217" s="39">
        <f t="shared" si="1921"/>
        <v>1515</v>
      </c>
      <c r="G11217" s="168">
        <f>SUM(C11217,C11193,C11169,C11145,C11121,C11097,C11073,C11049,C11025,C11001,C10977,C10953,C10929,C10905)/POBLA!$B$8*100000</f>
        <v>910.12661972450883</v>
      </c>
      <c r="H11217" s="256">
        <f t="shared" si="1922"/>
        <v>0.97397884333256124</v>
      </c>
      <c r="I11217" s="297">
        <f t="shared" si="1923"/>
        <v>886.44407236545089</v>
      </c>
      <c r="J11217" s="422">
        <f t="shared" si="1924"/>
        <v>848.28571428571433</v>
      </c>
      <c r="K11217" s="297">
        <f>J11217/POBLA!$B$8*100000</f>
        <v>61.205597725023608</v>
      </c>
      <c r="L11217" s="200">
        <f t="shared" si="1919"/>
        <v>-0.11054523666866389</v>
      </c>
      <c r="M11217" s="401">
        <f>SUM(C11217,C11193,C11169,C11145,C11121,C11097,C11073)/POBLA!$B$8*100000</f>
        <v>428.43918407516514</v>
      </c>
    </row>
    <row r="11218" spans="1:13" x14ac:dyDescent="0.25">
      <c r="A11218" s="367" t="s">
        <v>41</v>
      </c>
      <c r="B11218" s="2">
        <v>44360</v>
      </c>
      <c r="C11218" s="1">
        <v>655</v>
      </c>
      <c r="D11218" s="39">
        <f t="shared" si="1908"/>
        <v>37897</v>
      </c>
      <c r="E11218" s="1">
        <v>2</v>
      </c>
      <c r="F11218" s="39">
        <f t="shared" si="1921"/>
        <v>638</v>
      </c>
      <c r="G11218" s="168">
        <f>SUM(C11218,C11194,C11170,C11146,C11122,C11098,C11074,C11050,C11026,C11002,C10978,C10954,C10930,C10906)/POBLA!$B$9*100000</f>
        <v>1363.2014910945766</v>
      </c>
      <c r="H11218" s="256">
        <f t="shared" si="1922"/>
        <v>0.38406033238676041</v>
      </c>
      <c r="I11218" s="297">
        <f>G11218*H11218</f>
        <v>523.55161777991043</v>
      </c>
      <c r="J11218" s="422">
        <f t="shared" si="1924"/>
        <v>376.42857142857144</v>
      </c>
      <c r="K11218" s="297">
        <f>J11218/POBLA!$B$9*100000</f>
        <v>62.199756346912714</v>
      </c>
      <c r="L11218" s="200">
        <f t="shared" si="1919"/>
        <v>-0.53072128227960813</v>
      </c>
      <c r="M11218" s="401">
        <f>SUM(C11218,C11194,C11170,C11146,C11122,C11098,C11074)/POBLA!$B$9*100000</f>
        <v>435.39829442838902</v>
      </c>
    </row>
    <row r="11219" spans="1:13" x14ac:dyDescent="0.25">
      <c r="A11219" s="367" t="s">
        <v>32</v>
      </c>
      <c r="B11219" s="2">
        <v>44360</v>
      </c>
      <c r="C11219" s="1">
        <v>163</v>
      </c>
      <c r="D11219" s="39">
        <f t="shared" ref="D11219:D11282" si="1925">C11219+D11195</f>
        <v>31537</v>
      </c>
      <c r="E11219" s="1">
        <v>5</v>
      </c>
      <c r="F11219" s="39">
        <f t="shared" si="1921"/>
        <v>1110</v>
      </c>
      <c r="G11219" s="168">
        <f>SUM(C11219,C11195,C11171,C11147,C11123,C11099,C11075,C11051,C11027,C11003,C10979,C10955,C10931,C10907)/POBLA!$B$10*100000</f>
        <v>431.3246791657856</v>
      </c>
      <c r="H11219" s="256">
        <f t="shared" si="1922"/>
        <v>1.6878172588832487</v>
      </c>
      <c r="I11219" s="297">
        <f t="shared" ref="I11219:I11233" si="1926">G11219*H11219</f>
        <v>727.997237678293</v>
      </c>
      <c r="J11219" s="422">
        <f t="shared" si="1924"/>
        <v>257.85714285714283</v>
      </c>
      <c r="K11219" s="297">
        <f>J11219/POBLA!$B$10*100000</f>
        <v>33.449668996530313</v>
      </c>
      <c r="L11219" s="200">
        <f t="shared" ref="L11219:L11242" si="1927">(SUM(C11219,C11195,C11171,C11147,C11123,C11099,C11075)/SUM(C11051,C11027,C11003,C10979,C10955,C10931,C10907))-1</f>
        <v>0.1875</v>
      </c>
      <c r="M11219" s="401">
        <f>SUM(C11219,C11195,C11171,C11147,C11123,C11099,C11075)/POBLA!$B$10*100000</f>
        <v>234.14768297571217</v>
      </c>
    </row>
    <row r="11220" spans="1:13" x14ac:dyDescent="0.25">
      <c r="A11220" s="367" t="s">
        <v>33</v>
      </c>
      <c r="B11220" s="2">
        <v>44360</v>
      </c>
      <c r="C11220" s="1">
        <v>139</v>
      </c>
      <c r="D11220" s="39">
        <f t="shared" si="1925"/>
        <v>47349</v>
      </c>
      <c r="F11220" s="39">
        <f t="shared" si="1921"/>
        <v>644</v>
      </c>
      <c r="G11220" s="168">
        <f>SUM(C11220,C11196,C11172,C11148,C11124,C11100,C11076,C11052,C11028,C11004,C10980,C10956,C10932,C10908)/POBLA!$B$11*100000</f>
        <v>1398.0492595444553</v>
      </c>
      <c r="H11220" s="256">
        <f t="shared" si="1922"/>
        <v>0.57294763320375031</v>
      </c>
      <c r="I11220" s="297">
        <f t="shared" si="1926"/>
        <v>801.00901435825131</v>
      </c>
      <c r="J11220" s="422">
        <f t="shared" si="1924"/>
        <v>310.85714285714283</v>
      </c>
      <c r="K11220" s="297">
        <f>J11220/POBLA!$B$11*100000</f>
        <v>86.727918258937038</v>
      </c>
      <c r="L11220" s="200">
        <f t="shared" si="1927"/>
        <v>-0.23245149911816576</v>
      </c>
      <c r="M11220" s="401">
        <f>SUM(C11220,C11196,C11172,C11148,C11124,C11100,C11076)/POBLA!$B$11*100000</f>
        <v>607.09542781255925</v>
      </c>
    </row>
    <row r="11221" spans="1:13" x14ac:dyDescent="0.25">
      <c r="A11221" s="367" t="s">
        <v>21</v>
      </c>
      <c r="B11221" s="2">
        <v>44360</v>
      </c>
      <c r="C11221" s="1">
        <v>99</v>
      </c>
      <c r="D11221" s="39">
        <f t="shared" si="1925"/>
        <v>19520</v>
      </c>
      <c r="F11221" s="39">
        <f t="shared" si="1921"/>
        <v>580</v>
      </c>
      <c r="G11221" s="168">
        <f>SUM(C11221,C11197,C11173,C11149,C11125,C11101,C11077,C11053,C11029,C11005,C10981,C10957,C10933,C10909)/POBLA!$B$12*100000</f>
        <v>566.91848926768159</v>
      </c>
      <c r="H11221" s="256">
        <f t="shared" si="1922"/>
        <v>0.9162217659137577</v>
      </c>
      <c r="I11221" s="297">
        <f t="shared" si="1926"/>
        <v>519.42305936599496</v>
      </c>
      <c r="J11221" s="422">
        <f t="shared" si="1924"/>
        <v>148.71428571428572</v>
      </c>
      <c r="K11221" s="297">
        <f>J11221/POBLA!$B$12*100000</f>
        <v>37.789725768563521</v>
      </c>
      <c r="L11221" s="200">
        <f t="shared" si="1927"/>
        <v>-0.12521008403361344</v>
      </c>
      <c r="M11221" s="401">
        <f>SUM(C11221,C11197,C11173,C11149,C11125,C11101,C11077)/POBLA!$B$12*100000</f>
        <v>264.52808037994464</v>
      </c>
    </row>
    <row r="11222" spans="1:13" x14ac:dyDescent="0.25">
      <c r="A11222" s="367" t="s">
        <v>17</v>
      </c>
      <c r="B11222" s="2">
        <v>44360</v>
      </c>
      <c r="C11222" s="1">
        <v>337</v>
      </c>
      <c r="D11222" s="39">
        <f t="shared" si="1925"/>
        <v>129801</v>
      </c>
      <c r="E11222" s="1">
        <v>13</v>
      </c>
      <c r="F11222" s="39">
        <f t="shared" si="1921"/>
        <v>2905</v>
      </c>
      <c r="G11222" s="168">
        <f>SUM(C11222,C11198,C11174,C11150,C11126,C11102,C11078,C11054,C11030,C11006,C10982,C10958,C10934,C10910)/POBLA!$B$13*100000</f>
        <v>498.55853628881124</v>
      </c>
      <c r="H11222" s="256">
        <f t="shared" si="1922"/>
        <v>0.85980417641452211</v>
      </c>
      <c r="I11222" s="297">
        <f t="shared" si="1926"/>
        <v>428.66271168823096</v>
      </c>
      <c r="J11222" s="422">
        <f t="shared" si="1924"/>
        <v>665.42857142857144</v>
      </c>
      <c r="K11222" s="297">
        <f>J11222/POBLA!$B$13*100000</f>
        <v>33.432943119639553</v>
      </c>
      <c r="L11222" s="200">
        <f t="shared" si="1927"/>
        <v>-0.11528964862298197</v>
      </c>
      <c r="M11222" s="401">
        <f>SUM(C11222,C11198,C11174,C11150,C11126,C11102,C11078)/POBLA!$B$13*100000</f>
        <v>234.03060183747687</v>
      </c>
    </row>
    <row r="11223" spans="1:13" x14ac:dyDescent="0.25">
      <c r="A11223" s="367" t="s">
        <v>23</v>
      </c>
      <c r="B11223" s="2">
        <v>44360</v>
      </c>
      <c r="C11223" s="1">
        <v>165</v>
      </c>
      <c r="D11223" s="39">
        <f t="shared" si="1925"/>
        <v>22731</v>
      </c>
      <c r="F11223" s="39">
        <f t="shared" si="1921"/>
        <v>348</v>
      </c>
      <c r="G11223" s="168">
        <f>SUM(C11223,C11199,C11175,C11151,C11127,C11103,C11079,C11055,C11031,C11007,C10983,C10959,C10935,C10911)/POBLA!$B$14*100000</f>
        <v>195.59278011312193</v>
      </c>
      <c r="H11223" s="256">
        <f t="shared" si="1922"/>
        <v>1.0515771526001705</v>
      </c>
      <c r="I11223" s="297">
        <f t="shared" si="1926"/>
        <v>205.68089878050802</v>
      </c>
      <c r="J11223" s="422">
        <f t="shared" si="1924"/>
        <v>178.57142857142858</v>
      </c>
      <c r="K11223" s="297">
        <f>J11223/POBLA!$B$14*100000</f>
        <v>14.157795769378795</v>
      </c>
      <c r="L11223" s="200">
        <f t="shared" si="1927"/>
        <v>2.7115858668857795E-2</v>
      </c>
      <c r="M11223" s="401">
        <f>SUM(C11223,C11199,C11175,C11151,C11127,C11103,C11079)/POBLA!$B$14*100000</f>
        <v>99.10457038565157</v>
      </c>
    </row>
    <row r="11224" spans="1:13" x14ac:dyDescent="0.25">
      <c r="A11224" s="367" t="s">
        <v>19</v>
      </c>
      <c r="B11224" s="2">
        <v>44360</v>
      </c>
      <c r="C11224" s="1">
        <v>250</v>
      </c>
      <c r="D11224" s="39">
        <f t="shared" si="1925"/>
        <v>96933</v>
      </c>
      <c r="F11224" s="39">
        <f t="shared" si="1921"/>
        <v>1506</v>
      </c>
      <c r="G11224" s="168">
        <f>SUM(C11224,C11200,C11176,C11152,C11128,C11104,C11080,C11056,C11032,C11008,C10984,C10960,C10936,C10912)/POBLA!$B$15*100000</f>
        <v>1111.8021495142737</v>
      </c>
      <c r="H11224" s="256">
        <f t="shared" si="1922"/>
        <v>0.66167772002150926</v>
      </c>
      <c r="I11224" s="297">
        <f t="shared" si="1926"/>
        <v>735.65471140561772</v>
      </c>
      <c r="J11224" s="422">
        <f t="shared" si="1924"/>
        <v>406</v>
      </c>
      <c r="K11224" s="297">
        <f>J11224/POBLA!$B$15*100000</f>
        <v>61.139329906920636</v>
      </c>
      <c r="L11224" s="200">
        <f t="shared" si="1927"/>
        <v>-0.3741466637304558</v>
      </c>
      <c r="M11224" s="401">
        <f>SUM(C11224,C11200,C11176,C11152,C11128,C11104,C11080)/POBLA!$B$15*100000</f>
        <v>427.97530934844451</v>
      </c>
    </row>
    <row r="11225" spans="1:13" x14ac:dyDescent="0.25">
      <c r="A11225" s="367" t="s">
        <v>18</v>
      </c>
      <c r="B11225" s="2">
        <v>44360</v>
      </c>
      <c r="C11225" s="1">
        <v>195</v>
      </c>
      <c r="D11225" s="39">
        <f t="shared" si="1925"/>
        <v>79375</v>
      </c>
      <c r="E11225" s="1">
        <v>5</v>
      </c>
      <c r="F11225" s="39">
        <f t="shared" si="1921"/>
        <v>1776</v>
      </c>
      <c r="G11225" s="168">
        <f>SUM(C11225,C11201,C11177,C11153,C11129,C11105,C11081,C11057,C11033,C11009,C10985,C10961,C10937,C10913)/POBLA!$B$16*100000</f>
        <v>770.58894343307338</v>
      </c>
      <c r="H11225" s="256">
        <f t="shared" si="1922"/>
        <v>0.80292682926829273</v>
      </c>
      <c r="I11225" s="297">
        <f t="shared" si="1926"/>
        <v>618.72653701992135</v>
      </c>
      <c r="J11225" s="422">
        <f t="shared" si="1924"/>
        <v>377</v>
      </c>
      <c r="K11225" s="297">
        <f>J11225/POBLA!$B$16*100000</f>
        <v>50.427361859793209</v>
      </c>
      <c r="L11225" s="200">
        <f t="shared" si="1927"/>
        <v>-0.1547085201793722</v>
      </c>
      <c r="M11225" s="401">
        <f>SUM(C11225,C11201,C11177,C11153,C11129,C11105,C11081)/POBLA!$B$16*100000</f>
        <v>352.99153301855245</v>
      </c>
    </row>
    <row r="11226" spans="1:13" x14ac:dyDescent="0.25">
      <c r="A11226" s="367" t="s">
        <v>34</v>
      </c>
      <c r="B11226" s="2">
        <v>44360</v>
      </c>
      <c r="C11226" s="1">
        <v>299</v>
      </c>
      <c r="D11226" s="39">
        <f t="shared" si="1925"/>
        <v>52680</v>
      </c>
      <c r="F11226" s="39">
        <f t="shared" si="1921"/>
        <v>1519</v>
      </c>
      <c r="G11226" s="168">
        <f>SUM(C11226,C11202,C11178,C11154,C11130,C11106,C11082,C11058,C11034,C11010,C10986,C10962,C10938,C10914)/POBLA!$B$17*100000</f>
        <v>542.54537183102741</v>
      </c>
      <c r="H11226" s="256">
        <f t="shared" si="1922"/>
        <v>1.1900215583615645</v>
      </c>
      <c r="I11226" s="297">
        <f t="shared" si="1926"/>
        <v>645.64068886821372</v>
      </c>
      <c r="J11226" s="422">
        <f t="shared" si="1924"/>
        <v>507.28571428571428</v>
      </c>
      <c r="K11226" s="297">
        <f>J11226/POBLA!$B$17*100000</f>
        <v>35.614067867716258</v>
      </c>
      <c r="L11226" s="200">
        <f t="shared" si="1927"/>
        <v>-0.14986832655015558</v>
      </c>
      <c r="M11226" s="401">
        <f>SUM(C11226,C11202,C11178,C11154,C11130,C11106,C11082)/POBLA!$B$17*100000</f>
        <v>249.29847507401377</v>
      </c>
    </row>
    <row r="11227" spans="1:13" x14ac:dyDescent="0.25">
      <c r="A11227" s="367" t="s">
        <v>35</v>
      </c>
      <c r="B11227" s="2">
        <v>44360</v>
      </c>
      <c r="C11227" s="1">
        <v>60</v>
      </c>
      <c r="D11227" s="39">
        <f t="shared" si="1925"/>
        <v>42924</v>
      </c>
      <c r="E11227" s="1">
        <v>7</v>
      </c>
      <c r="F11227" s="39">
        <f t="shared" si="1921"/>
        <v>712</v>
      </c>
      <c r="G11227" s="168">
        <f>SUM(C11227,C11203,C11179,C11155,C11131,C11107,C11083,C11059,C11035,C11011,C10987,C10963,C10939,C10915)/POBLA!$B$18*100000</f>
        <v>808.35414487907974</v>
      </c>
      <c r="H11227" s="256">
        <f t="shared" si="1922"/>
        <v>0.85522751895991334</v>
      </c>
      <c r="I11227" s="297">
        <f t="shared" si="1926"/>
        <v>691.3267097658977</v>
      </c>
      <c r="J11227" s="422">
        <f t="shared" si="1924"/>
        <v>471.28571428571428</v>
      </c>
      <c r="K11227" s="297">
        <f>J11227/POBLA!$B$18*100000</f>
        <v>60.327119646105281</v>
      </c>
      <c r="L11227" s="200">
        <f t="shared" si="1927"/>
        <v>9.3832891246684369E-2</v>
      </c>
      <c r="M11227" s="401">
        <f>SUM(C11227,C11203,C11179,C11155,C11131,C11107,C11083)/POBLA!$B$18*100000</f>
        <v>422.28983752273695</v>
      </c>
    </row>
    <row r="11228" spans="1:13" x14ac:dyDescent="0.25">
      <c r="A11228" s="367" t="s">
        <v>36</v>
      </c>
      <c r="B11228" s="2">
        <v>44360</v>
      </c>
      <c r="C11228" s="1">
        <v>391</v>
      </c>
      <c r="D11228" s="39">
        <f t="shared" si="1925"/>
        <v>59489</v>
      </c>
      <c r="E11228" s="1">
        <v>1</v>
      </c>
      <c r="F11228" s="39">
        <f t="shared" si="1921"/>
        <v>805</v>
      </c>
      <c r="G11228" s="168">
        <f>SUM(C11228,C11204,C11180,C11156,C11132,C11108,C11084,C11060,C11036,C11012,C10988,C10964,C10940,C10916)/POBLA!$B$19*100000</f>
        <v>1368.8012464393069</v>
      </c>
      <c r="H11228" s="256">
        <f t="shared" si="1922"/>
        <v>0.89595673448364666</v>
      </c>
      <c r="I11228" s="297">
        <f t="shared" si="1926"/>
        <v>1226.3866949169067</v>
      </c>
      <c r="J11228" s="422">
        <f t="shared" si="1924"/>
        <v>481.42857142857144</v>
      </c>
      <c r="K11228" s="297">
        <f>J11228/POBLA!$B$19*100000</f>
        <v>94.708253613527376</v>
      </c>
      <c r="L11228" s="200">
        <f t="shared" si="1927"/>
        <v>-6.0758082497212929E-2</v>
      </c>
      <c r="M11228" s="401">
        <f>SUM(C11228,C11204,C11180,C11156,C11132,C11108,C11084)/POBLA!$B$19*100000</f>
        <v>662.9577752946916</v>
      </c>
    </row>
    <row r="11229" spans="1:13" x14ac:dyDescent="0.25">
      <c r="A11229" s="367" t="s">
        <v>37</v>
      </c>
      <c r="B11229" s="2">
        <v>44360</v>
      </c>
      <c r="C11229" s="1">
        <v>71</v>
      </c>
      <c r="D11229" s="39">
        <f t="shared" si="1925"/>
        <v>53616</v>
      </c>
      <c r="E11229" s="1">
        <v>3</v>
      </c>
      <c r="F11229" s="39">
        <f t="shared" si="1921"/>
        <v>818</v>
      </c>
      <c r="G11229" s="168">
        <f>SUM(C11229,C11205,C11182,C11157,C11133,C11109,C11085,C11061,C11037,C11013,C10989,C10965,C10941,C10917)/POBLA!$B$20*100000</f>
        <v>1248.2977757603267</v>
      </c>
      <c r="H11229" s="256">
        <f t="shared" si="1922"/>
        <v>0.72007540056550423</v>
      </c>
      <c r="I11229" s="297">
        <f t="shared" si="1926"/>
        <v>898.86852090564514</v>
      </c>
      <c r="J11229" s="422">
        <f t="shared" si="1924"/>
        <v>129.71428571428572</v>
      </c>
      <c r="K11229" s="297">
        <f>J11229/POBLA!$B$20*100000</f>
        <v>35.470329538112246</v>
      </c>
      <c r="L11229" s="200">
        <f t="shared" si="1927"/>
        <v>-0.34393063583815031</v>
      </c>
      <c r="M11229" s="401">
        <f>SUM(C11229,C11205,C11181,C11157,C11133,C11109,C11085)/POBLA!$B$20*100000</f>
        <v>248.29230676678571</v>
      </c>
    </row>
    <row r="11230" spans="1:13" x14ac:dyDescent="0.25">
      <c r="A11230" s="367" t="s">
        <v>22</v>
      </c>
      <c r="B11230" s="2">
        <v>44360</v>
      </c>
      <c r="C11230" s="1">
        <v>1258</v>
      </c>
      <c r="D11230" s="39">
        <f t="shared" si="1925"/>
        <v>376997</v>
      </c>
      <c r="E11230" s="1">
        <v>2</v>
      </c>
      <c r="F11230" s="39">
        <f t="shared" si="1921"/>
        <v>5981</v>
      </c>
      <c r="G11230" s="168">
        <f>SUM(C11230,C11206,C11182,C11158,C11134,C11110,C11086,C11062,C11038,C11014,C10990,C10966,C10942,C10918)/POBLA!$B$21*100000</f>
        <v>971.63287824007239</v>
      </c>
      <c r="H11230" s="256">
        <f t="shared" si="1922"/>
        <v>0.86706704685962299</v>
      </c>
      <c r="I11230" s="297">
        <f t="shared" si="1926"/>
        <v>842.47085036733517</v>
      </c>
      <c r="J11230" s="422">
        <f t="shared" si="1924"/>
        <v>2172.8571428571427</v>
      </c>
      <c r="K11230" s="297">
        <f>J11230/POBLA!$B$21*100000</f>
        <v>61.442316571659312</v>
      </c>
      <c r="L11230" s="200">
        <f t="shared" si="1927"/>
        <v>-0.20578559866325519</v>
      </c>
      <c r="M11230" s="401">
        <f>SUM(C11230,C11206,C11182,C11158,C11134,C11110,C11086)/POBLA!$B$21*100000</f>
        <v>430.09621600161518</v>
      </c>
    </row>
    <row r="11231" spans="1:13" x14ac:dyDescent="0.25">
      <c r="A11231" s="367" t="s">
        <v>38</v>
      </c>
      <c r="B11231" s="2">
        <v>44360</v>
      </c>
      <c r="C11231" s="1">
        <v>475</v>
      </c>
      <c r="D11231" s="39">
        <f t="shared" si="1925"/>
        <v>50922</v>
      </c>
      <c r="E11231" s="1">
        <v>14</v>
      </c>
      <c r="F11231" s="39">
        <f t="shared" si="1921"/>
        <v>653</v>
      </c>
      <c r="G11231" s="168">
        <f>SUM(C11231,C11207,C11183,C11159,C11135,C11111,C11087,C11063,C11039,C11015,C10991,C10967,C10943,C10919)/POBLA!$B$22*100000</f>
        <v>771.73665278903582</v>
      </c>
      <c r="H11231" s="256">
        <f t="shared" si="1922"/>
        <v>0.93835446184439475</v>
      </c>
      <c r="I11231" s="297">
        <f t="shared" si="1926"/>
        <v>724.16253151345018</v>
      </c>
      <c r="J11231" s="422">
        <f t="shared" si="1924"/>
        <v>522.14285714285711</v>
      </c>
      <c r="K11231" s="297">
        <f>J11231/POBLA!$B$22*100000</f>
        <v>53.371759052865201</v>
      </c>
      <c r="L11231" s="200">
        <f t="shared" si="1927"/>
        <v>-6.1617458279845994E-2</v>
      </c>
      <c r="M11231" s="401">
        <f>SUM(C11231,C11207,C11183,C11159,C11135,C11111,C11087)/POBLA!$B$22*100000</f>
        <v>373.60231337005644</v>
      </c>
    </row>
    <row r="11232" spans="1:13" x14ac:dyDescent="0.25">
      <c r="A11232" s="367" t="s">
        <v>39</v>
      </c>
      <c r="B11232" s="2">
        <v>44360</v>
      </c>
      <c r="C11232" s="1">
        <v>23</v>
      </c>
      <c r="D11232" s="39">
        <f t="shared" si="1925"/>
        <v>29050</v>
      </c>
      <c r="F11232" s="39">
        <f t="shared" si="1921"/>
        <v>432</v>
      </c>
      <c r="G11232" s="168">
        <f>SUM(C11232,C11208,C11184,C11160,C11136,C11112,C11088,C11064,C11040,C11016,C10992,C10968,C10944,C10920)/POBLA!$B$23*100000</f>
        <v>339.30894079058987</v>
      </c>
      <c r="H11232" s="256">
        <f t="shared" si="1922"/>
        <v>0.65288356909684442</v>
      </c>
      <c r="I11232" s="297">
        <f t="shared" si="1926"/>
        <v>221.52923228983016</v>
      </c>
      <c r="J11232" s="422">
        <f t="shared" si="1924"/>
        <v>33.142857142857146</v>
      </c>
      <c r="K11232" s="297">
        <f>J11232/POBLA!$B$23*100000</f>
        <v>18.742779586527821</v>
      </c>
      <c r="L11232" s="200">
        <f t="shared" si="1927"/>
        <v>-0.36956521739130432</v>
      </c>
      <c r="M11232" s="401">
        <f>SUM(C11232,C11208,C11184,C11160,C11136,C11112,C11088)/POBLA!$B$23*100000</f>
        <v>131.19945710569473</v>
      </c>
    </row>
    <row r="11233" spans="1:13" ht="15.75" thickBot="1" x14ac:dyDescent="0.3">
      <c r="A11233" s="368" t="s">
        <v>40</v>
      </c>
      <c r="B11233" s="34">
        <v>44360</v>
      </c>
      <c r="C11233" s="232">
        <v>273</v>
      </c>
      <c r="D11233" s="67">
        <f t="shared" si="1925"/>
        <v>140845</v>
      </c>
      <c r="E11233" s="232">
        <v>12</v>
      </c>
      <c r="F11233" s="67">
        <f t="shared" si="1921"/>
        <v>2081</v>
      </c>
      <c r="G11233" s="177">
        <f>SUM(C11233,C11209,C11185,C11161,C11137,C11113,C11089,C11065,C11041,C11017,C10993,C10969,C10945,C10921)/POBLA!$B$24*100000</f>
        <v>721.20831602401904</v>
      </c>
      <c r="H11233" s="402">
        <f t="shared" si="1922"/>
        <v>0.89146608315098463</v>
      </c>
      <c r="I11233" s="299">
        <f t="shared" si="1926"/>
        <v>642.93275262184977</v>
      </c>
      <c r="J11233" s="428">
        <f t="shared" si="1924"/>
        <v>820.57142857142856</v>
      </c>
      <c r="K11233" s="299">
        <f>J11233/POBLA!$B$24*100000</f>
        <v>48.421120780348843</v>
      </c>
      <c r="L11233" s="260">
        <f t="shared" si="1927"/>
        <v>-0.11330657610373573</v>
      </c>
      <c r="M11233" s="406">
        <f>SUM(C11233,C11209,C11185,C11161,C11137,C11113,C11089)/POBLA!$B$24*100000</f>
        <v>338.94784546244193</v>
      </c>
    </row>
    <row r="11234" spans="1:13" x14ac:dyDescent="0.25">
      <c r="A11234" s="363" t="s">
        <v>16</v>
      </c>
      <c r="B11234" s="265">
        <v>44361</v>
      </c>
      <c r="C11234" s="356">
        <v>7371</v>
      </c>
      <c r="D11234" s="174">
        <f t="shared" si="1925"/>
        <v>1735346</v>
      </c>
      <c r="E11234" s="43">
        <v>204</v>
      </c>
      <c r="F11234" s="174">
        <f t="shared" ref="F11234:F11257" si="1928">E11234+F11210</f>
        <v>44014</v>
      </c>
      <c r="G11234" s="175">
        <f>SUM(C11234,C11210,C11162,C11186,C11138,C11114,C11090,C11066,C11042,C11018,C10994,C10970,C10946,C10922)/POBLA!$B$1*100000</f>
        <v>712.95248125535284</v>
      </c>
      <c r="H11234" s="300">
        <f>SUM(C11234,C11210,C11186,C11162,C11138,C11114,C11090,C11066,C11042,C11018,C10994,C10970,C10946,C10922,)/SUM(C10898,C10874,C10850,C10826,C10802,C10778,C10754,C10730,C10706,C10682,C10658,C10634,C10610,C10586)</f>
        <v>0.77240919281818798</v>
      </c>
      <c r="I11234" s="301">
        <f>G11234*H11234</f>
        <v>550.69105056417141</v>
      </c>
      <c r="J11234" s="421">
        <f>AVERAGE(C11234,C11210,C11186,C11162,C11138,C11114,C11090)</f>
        <v>8258.5714285714294</v>
      </c>
      <c r="K11234" s="301">
        <f>J11234/POBLA!$B$1*100000</f>
        <v>47.081152979566319</v>
      </c>
      <c r="L11234" s="399">
        <f t="shared" si="1927"/>
        <v>-0.14037174721189594</v>
      </c>
      <c r="M11234" s="400">
        <f>SUM(C11234,C11210,C11186,C11162,C11138,C11114,C11090)/POBLA!$B$1*100000</f>
        <v>329.5680708569642</v>
      </c>
    </row>
    <row r="11235" spans="1:13" x14ac:dyDescent="0.25">
      <c r="A11235" s="367" t="s">
        <v>43</v>
      </c>
      <c r="B11235" s="2">
        <v>44361</v>
      </c>
      <c r="C11235" s="4">
        <v>1631</v>
      </c>
      <c r="D11235" s="39">
        <f t="shared" si="1925"/>
        <v>442783</v>
      </c>
      <c r="E11235" s="1">
        <v>84</v>
      </c>
      <c r="F11235" s="39">
        <f t="shared" si="1928"/>
        <v>9784</v>
      </c>
      <c r="G11235" s="168">
        <f>SUM(C11235,C11211,C11187,C11163,C11139,C11115,C11091,C11067,C11043,C11019,C10995,C10971,C10947,C10923)/POBLA!$B$2*100000</f>
        <v>797.65356611261507</v>
      </c>
      <c r="H11235" s="256">
        <f t="shared" ref="H11235:H11257" si="1929">SUM(C11235,C11211,C11187,C11163,C11139,C11115,C11091,C11067,C11043,C11019,C10995,C10971,C10947,C10923,)/SUM(C10899,C10875,C10851,C10827,C10803,C10779,C10755,C10731,C10707,C10683,C10659,C10635,C10611,C10587)</f>
        <v>0.65081175721561968</v>
      </c>
      <c r="I11235" s="297">
        <f t="shared" ref="I11235:I11241" si="1930">G11235*H11235</f>
        <v>519.12231901105645</v>
      </c>
      <c r="J11235" s="422">
        <f>AVERAGE(C11235,C11211,C11187,C11163,C11139,C11115,C11091)</f>
        <v>1641.2857142857142</v>
      </c>
      <c r="K11235" s="297">
        <f>J11235/POBLA!$B$2*100000</f>
        <v>53.363934415264772</v>
      </c>
      <c r="L11235" s="200">
        <f>(SUM(C11235,C11211,C11187,C11163,C11139,C11115,C11091)/SUM(C11067,C11043,C11019,C10995,C10971,C10947,C10923))-1</f>
        <v>-0.11921189819073907</v>
      </c>
      <c r="M11235" s="401">
        <f>SUM(C11235,C11211,C11187,C11163,C11139,C11115,C11091)/POBLA!$B$2*100000</f>
        <v>373.54754090685338</v>
      </c>
    </row>
    <row r="11236" spans="1:13" x14ac:dyDescent="0.25">
      <c r="A11236" s="367" t="s">
        <v>28</v>
      </c>
      <c r="B11236" s="2">
        <v>44361</v>
      </c>
      <c r="C11236" s="4">
        <v>308</v>
      </c>
      <c r="D11236" s="39">
        <f t="shared" si="1925"/>
        <v>29418</v>
      </c>
      <c r="E11236" s="1">
        <v>1</v>
      </c>
      <c r="F11236" s="39">
        <f t="shared" si="1928"/>
        <v>228</v>
      </c>
      <c r="G11236" s="168">
        <f>SUM(C11236,C11212,C11188,C11164,C11140,C11116,C11092,C11068,C11044,C11020,C10996,C10972,C10948,C10924)/POBLA!$B$3*100000</f>
        <v>1366.2688535954824</v>
      </c>
      <c r="H11236" s="256">
        <f t="shared" si="1929"/>
        <v>1.0227027027027027</v>
      </c>
      <c r="I11236" s="297">
        <f t="shared" si="1930"/>
        <v>1397.2868491906231</v>
      </c>
      <c r="J11236" s="422">
        <f t="shared" ref="J11236:J11257" si="1931">AVERAGE(C11236,C11212,C11188,C11164,C11140,C11116,C11092)</f>
        <v>386.85714285714283</v>
      </c>
      <c r="K11236" s="297">
        <f>J11236/POBLA!$B$3*100000</f>
        <v>93.120307448317874</v>
      </c>
      <c r="L11236" s="200">
        <f t="shared" si="1927"/>
        <v>-8.7601078167115931E-2</v>
      </c>
      <c r="M11236" s="401">
        <f>SUM(C11236,C11212,C11188,C11164,C11140,C11116,C11092)/POBLA!$B$3*100000</f>
        <v>651.84215213822529</v>
      </c>
    </row>
    <row r="11237" spans="1:13" x14ac:dyDescent="0.25">
      <c r="A11237" s="367" t="s">
        <v>15</v>
      </c>
      <c r="B11237" s="2">
        <v>44361</v>
      </c>
      <c r="C11237" s="4">
        <v>467</v>
      </c>
      <c r="D11237" s="39">
        <f t="shared" si="1925"/>
        <v>68052</v>
      </c>
      <c r="E11237" s="1">
        <v>15</v>
      </c>
      <c r="F11237" s="39">
        <f t="shared" si="1928"/>
        <v>1416</v>
      </c>
      <c r="G11237" s="168">
        <f>SUM(C11237,C11213,C11189,C11165,C11141,C11117,C11093,C11069,C11045,C11021,C10997,C10973,C10949,C10925)/POBLA!$B$4*100000</f>
        <v>817.32377727283676</v>
      </c>
      <c r="H11237" s="256">
        <f t="shared" si="1929"/>
        <v>1.1626121870571564</v>
      </c>
      <c r="I11237" s="297">
        <f t="shared" si="1930"/>
        <v>950.23058422898896</v>
      </c>
      <c r="J11237" s="422">
        <f t="shared" si="1931"/>
        <v>674.28571428571433</v>
      </c>
      <c r="K11237" s="297">
        <f>J11237/POBLA!$B$4*100000</f>
        <v>55.97864367304345</v>
      </c>
      <c r="L11237" s="200">
        <f t="shared" si="1927"/>
        <v>-7.9024390243902398E-2</v>
      </c>
      <c r="M11237" s="401">
        <f>SUM(C11237,C11213,C11189,C11165,C11141,C11117,C11093)/POBLA!$B$4*100000</f>
        <v>391.85050571130421</v>
      </c>
    </row>
    <row r="11238" spans="1:13" x14ac:dyDescent="0.25">
      <c r="A11238" s="367" t="s">
        <v>29</v>
      </c>
      <c r="B11238" s="2">
        <v>44361</v>
      </c>
      <c r="C11238" s="4">
        <v>141</v>
      </c>
      <c r="D11238" s="39">
        <f t="shared" si="1925"/>
        <v>67102</v>
      </c>
      <c r="E11238" s="1">
        <v>4</v>
      </c>
      <c r="F11238" s="39">
        <f t="shared" si="1928"/>
        <v>1113</v>
      </c>
      <c r="G11238" s="168">
        <f>SUM(C11238,C11214,C11190,C11166,C11142,C11118,C11094,C11070,C11046,C11022,C10998,C10974,C10950,C10926)/POBLA!$B$5*100000</f>
        <v>703.7224916558157</v>
      </c>
      <c r="H11238" s="256">
        <f t="shared" si="1929"/>
        <v>0.94449262792714661</v>
      </c>
      <c r="I11238" s="297">
        <f t="shared" si="1930"/>
        <v>664.66070547544086</v>
      </c>
      <c r="J11238" s="422">
        <f t="shared" si="1931"/>
        <v>227.14285714285714</v>
      </c>
      <c r="K11238" s="297">
        <f>J11238/POBLA!$B$5*100000</f>
        <v>36.695486085948673</v>
      </c>
      <c r="L11238" s="200">
        <f t="shared" si="1927"/>
        <v>-0.42516268980477223</v>
      </c>
      <c r="M11238" s="401">
        <f>SUM(C11238,C11214,C11190,C11166,C11142,C11118,C11094)/POBLA!$B$5*100000</f>
        <v>256.8684026016407</v>
      </c>
    </row>
    <row r="11239" spans="1:13" x14ac:dyDescent="0.25">
      <c r="A11239" s="367" t="s">
        <v>30</v>
      </c>
      <c r="B11239" s="2">
        <v>44361</v>
      </c>
      <c r="C11239" s="4">
        <v>123</v>
      </c>
      <c r="D11239" s="39">
        <f t="shared" si="1925"/>
        <v>57676</v>
      </c>
      <c r="E11239" s="1">
        <v>9</v>
      </c>
      <c r="F11239" s="39">
        <f t="shared" si="1928"/>
        <v>677</v>
      </c>
      <c r="G11239" s="168">
        <f>SUM(C11239,C11215,C11191,C11167,C11143,C11119,C11095,C11071,C11047,C11023,C10999,C10975,C10951,C10927)/POBLA!$B$6*100000</f>
        <v>555.13869098974749</v>
      </c>
      <c r="H11239" s="256">
        <f t="shared" si="1929"/>
        <v>0.58642789820923658</v>
      </c>
      <c r="I11239" s="297">
        <f t="shared" si="1930"/>
        <v>325.5488157717445</v>
      </c>
      <c r="J11239" s="422">
        <f t="shared" si="1931"/>
        <v>389.85714285714283</v>
      </c>
      <c r="K11239" s="297">
        <f>J11239/POBLA!$B$6*100000</f>
        <v>34.783796843252532</v>
      </c>
      <c r="L11239" s="200">
        <f t="shared" si="1927"/>
        <v>-0.21872316060692809</v>
      </c>
      <c r="M11239" s="401">
        <f>SUM(C11239,C11215,C11191,C11167,C11143,C11119,C11095)/POBLA!$B$6*100000</f>
        <v>243.48657790276775</v>
      </c>
    </row>
    <row r="11240" spans="1:13" x14ac:dyDescent="0.25">
      <c r="A11240" s="367" t="s">
        <v>20</v>
      </c>
      <c r="B11240" s="2">
        <v>44361</v>
      </c>
      <c r="C11240" s="4">
        <v>2655</v>
      </c>
      <c r="D11240" s="39">
        <f t="shared" si="1925"/>
        <v>367195</v>
      </c>
      <c r="E11240" s="1">
        <v>88</v>
      </c>
      <c r="F11240" s="39">
        <f t="shared" si="1928"/>
        <v>4492</v>
      </c>
      <c r="G11240" s="168">
        <f>SUM(C11240,C11216,C11192,C11168,C11144,C11120,C11096,C11072,C11048,C11024,C11000,C10976,C10952,C10928)/POBLA!$B$7*100000</f>
        <v>1470.4889042534803</v>
      </c>
      <c r="H11240" s="256">
        <f t="shared" si="1929"/>
        <v>1.0530956597916548</v>
      </c>
      <c r="I11240" s="297">
        <f t="shared" si="1930"/>
        <v>1548.5654828411264</v>
      </c>
      <c r="J11240" s="422">
        <f t="shared" si="1931"/>
        <v>3682.4285714285716</v>
      </c>
      <c r="K11240" s="297">
        <f>J11240/POBLA!$B$7*100000</f>
        <v>97.925210318673876</v>
      </c>
      <c r="L11240" s="200">
        <f t="shared" si="1927"/>
        <v>-0.1267953929539295</v>
      </c>
      <c r="M11240" s="401">
        <f>SUM(C11240,C11216,C11192,C11168,C11144,C11120,C11096)/POBLA!$B$7*100000</f>
        <v>685.47647223071704</v>
      </c>
    </row>
    <row r="11241" spans="1:13" x14ac:dyDescent="0.25">
      <c r="A11241" s="367" t="s">
        <v>31</v>
      </c>
      <c r="B11241" s="2">
        <v>44361</v>
      </c>
      <c r="C11241" s="4">
        <v>697</v>
      </c>
      <c r="D11241" s="39">
        <f t="shared" si="1925"/>
        <v>98344</v>
      </c>
      <c r="E11241" s="1">
        <v>20</v>
      </c>
      <c r="F11241" s="39">
        <f t="shared" si="1928"/>
        <v>1535</v>
      </c>
      <c r="G11241" s="168">
        <f>SUM(C11241,C11217,C11193,C11169,C11145,C11121,C11097,C11073,C11049,C11025,C11001,C10977,C10953,C10929)/POBLA!$B$8*100000</f>
        <v>906.44686250190307</v>
      </c>
      <c r="H11241" s="256">
        <f t="shared" si="1929"/>
        <v>0.9492972646214296</v>
      </c>
      <c r="I11241" s="297">
        <f t="shared" si="1930"/>
        <v>860.48752709773373</v>
      </c>
      <c r="J11241" s="422">
        <f t="shared" si="1931"/>
        <v>852.14285714285711</v>
      </c>
      <c r="K11241" s="297">
        <f>J11241/POBLA!$B$8*100000</f>
        <v>61.483898691439158</v>
      </c>
      <c r="L11241" s="200">
        <f t="shared" si="1927"/>
        <v>-9.5938163079721139E-2</v>
      </c>
      <c r="M11241" s="401">
        <f>SUM(C11241,C11217,C11193,C11169,C11145,C11121,C11097)/POBLA!$B$8*100000</f>
        <v>430.38729084007412</v>
      </c>
    </row>
    <row r="11242" spans="1:13" x14ac:dyDescent="0.25">
      <c r="A11242" s="367" t="s">
        <v>41</v>
      </c>
      <c r="B11242" s="2">
        <v>44361</v>
      </c>
      <c r="C11242" s="4">
        <v>730</v>
      </c>
      <c r="D11242" s="39">
        <f t="shared" si="1925"/>
        <v>38627</v>
      </c>
      <c r="E11242" s="1">
        <v>16</v>
      </c>
      <c r="F11242" s="39">
        <f t="shared" si="1928"/>
        <v>654</v>
      </c>
      <c r="G11242" s="168">
        <f>SUM(C11242,C11218,C11194,C11170,C11146,C11122,C11098,C11074,C11050,C11026,C11002,C10978,C10954,C10930)/POBLA!$B$9*100000</f>
        <v>1341.7207403258135</v>
      </c>
      <c r="H11242" s="256">
        <f t="shared" si="1929"/>
        <v>0.48590748608700857</v>
      </c>
      <c r="I11242" s="297">
        <f>G11242*H11242</f>
        <v>651.95215196251604</v>
      </c>
      <c r="J11242" s="422">
        <f t="shared" si="1931"/>
        <v>413</v>
      </c>
      <c r="K11242" s="297">
        <f>J11242/POBLA!$B$9*100000</f>
        <v>68.242692826916382</v>
      </c>
      <c r="L11242" s="200">
        <f t="shared" si="1927"/>
        <v>-0.44712182061579653</v>
      </c>
      <c r="M11242" s="401">
        <f>SUM(C11242,C11218,C11194,C11170,C11146,C11122,C11098)/POBLA!$B$9*100000</f>
        <v>477.69884978841463</v>
      </c>
    </row>
    <row r="11243" spans="1:13" x14ac:dyDescent="0.25">
      <c r="A11243" s="367" t="s">
        <v>32</v>
      </c>
      <c r="B11243" s="2">
        <v>44361</v>
      </c>
      <c r="C11243" s="4">
        <v>274</v>
      </c>
      <c r="D11243" s="39">
        <f t="shared" si="1925"/>
        <v>31811</v>
      </c>
      <c r="F11243" s="39">
        <f t="shared" si="1928"/>
        <v>1110</v>
      </c>
      <c r="G11243" s="168">
        <f>SUM(C11243,C11219,C11195,C11171,C11147,C11123,C11099,C11075,C11051,C11027,C11003,C10979,C10955,C10931)/POBLA!$B$10*100000</f>
        <v>446.50211900410051</v>
      </c>
      <c r="H11243" s="256">
        <f t="shared" si="1929"/>
        <v>1.6790243902439024</v>
      </c>
      <c r="I11243" s="297">
        <f t="shared" ref="I11243:I11257" si="1932">G11243*H11243</f>
        <v>749.68794810347015</v>
      </c>
      <c r="J11243" s="422">
        <f t="shared" si="1931"/>
        <v>255.71428571428572</v>
      </c>
      <c r="K11243" s="297">
        <f>J11243/POBLA!$B$10*100000</f>
        <v>33.171693907916492</v>
      </c>
      <c r="L11243" s="200">
        <f t="shared" ref="L11243:L11258" si="1933">(SUM(C11243,C11219,C11195,C11171,C11147,C11123,C11099)/SUM(C11075,C11051,C11027,C11003,C10979,C10955,C10931))-1</f>
        <v>8.3535108958837867E-2</v>
      </c>
      <c r="M11243" s="401">
        <f>SUM(C11243,C11219,C11195,C11171,C11147,C11123,C11099)/POBLA!$B$10*100000</f>
        <v>232.20185735541543</v>
      </c>
    </row>
    <row r="11244" spans="1:13" x14ac:dyDescent="0.25">
      <c r="A11244" s="367" t="s">
        <v>33</v>
      </c>
      <c r="B11244" s="2">
        <v>44361</v>
      </c>
      <c r="C11244" s="4">
        <v>314</v>
      </c>
      <c r="D11244" s="39">
        <f t="shared" si="1925"/>
        <v>47663</v>
      </c>
      <c r="E11244" s="1">
        <v>14</v>
      </c>
      <c r="F11244" s="39">
        <f t="shared" si="1928"/>
        <v>658</v>
      </c>
      <c r="G11244" s="168">
        <f>SUM(C11244,C11220,C11196,C11172,C11148,C11124,C11100,C11076,C11052,C11028,C11004,C10980,C10956,C10932)/POBLA!$B$11*100000</f>
        <v>1348.9459528831453</v>
      </c>
      <c r="H11244" s="256">
        <f t="shared" si="1929"/>
        <v>0.55402773003323025</v>
      </c>
      <c r="I11244" s="297">
        <f t="shared" si="1932"/>
        <v>747.3534642133618</v>
      </c>
      <c r="J11244" s="422">
        <f t="shared" si="1931"/>
        <v>296</v>
      </c>
      <c r="K11244" s="297">
        <f>J11244/POBLA!$B$11*100000</f>
        <v>82.582833930384908</v>
      </c>
      <c r="L11244" s="200">
        <f t="shared" si="1933"/>
        <v>-0.25009048136083967</v>
      </c>
      <c r="M11244" s="401">
        <f>SUM(C11244,C11220,C11196,C11172,C11148,C11124,C11100)/POBLA!$B$11*100000</f>
        <v>578.07983751269433</v>
      </c>
    </row>
    <row r="11245" spans="1:13" x14ac:dyDescent="0.25">
      <c r="A11245" s="367" t="s">
        <v>21</v>
      </c>
      <c r="B11245" s="2">
        <v>44361</v>
      </c>
      <c r="C11245" s="4">
        <v>146</v>
      </c>
      <c r="D11245" s="39">
        <f t="shared" si="1925"/>
        <v>19666</v>
      </c>
      <c r="F11245" s="39">
        <f t="shared" si="1928"/>
        <v>580</v>
      </c>
      <c r="G11245" s="168">
        <f>SUM(C11245,C11221,C11197,C11173,C11149,C11125,C11101,C11077,C11053,C11029,C11005,C10981,C10957,C10933)/POBLA!$B$12*100000</f>
        <v>575.55821523590259</v>
      </c>
      <c r="H11245" s="256">
        <f t="shared" si="1929"/>
        <v>0.94968553459119498</v>
      </c>
      <c r="I11245" s="297">
        <f t="shared" si="1932"/>
        <v>546.59931132466227</v>
      </c>
      <c r="J11245" s="422">
        <f t="shared" si="1931"/>
        <v>149.42857142857142</v>
      </c>
      <c r="K11245" s="297">
        <f>J11245/POBLA!$B$12*100000</f>
        <v>37.97123261663539</v>
      </c>
      <c r="L11245" s="200">
        <f t="shared" si="1933"/>
        <v>-0.14191960623461852</v>
      </c>
      <c r="M11245" s="401">
        <f>SUM(C11245,C11221,C11197,C11173,C11149,C11125,C11101)/POBLA!$B$12*100000</f>
        <v>265.79862831644772</v>
      </c>
    </row>
    <row r="11246" spans="1:13" x14ac:dyDescent="0.25">
      <c r="A11246" s="367" t="s">
        <v>17</v>
      </c>
      <c r="B11246" s="2">
        <v>44361</v>
      </c>
      <c r="C11246" s="4">
        <v>616</v>
      </c>
      <c r="D11246" s="39">
        <f t="shared" si="1925"/>
        <v>130417</v>
      </c>
      <c r="E11246" s="1">
        <v>28</v>
      </c>
      <c r="F11246" s="39">
        <f t="shared" si="1928"/>
        <v>2933</v>
      </c>
      <c r="G11246" s="168">
        <f>SUM(C11246,C11222,C11198,C11174,C11150,C11126,C11102,C11078,C11054,C11030,C11006,C10982,C10958,C10934)/POBLA!$B$13*100000</f>
        <v>489.91678800284177</v>
      </c>
      <c r="H11246" s="256">
        <f t="shared" si="1929"/>
        <v>0.85303123086344157</v>
      </c>
      <c r="I11246" s="297">
        <f t="shared" si="1932"/>
        <v>417.91432069072789</v>
      </c>
      <c r="J11246" s="422">
        <f t="shared" si="1931"/>
        <v>659.42857142857144</v>
      </c>
      <c r="K11246" s="297">
        <f>J11246/POBLA!$B$13*100000</f>
        <v>33.131486784082476</v>
      </c>
      <c r="L11246" s="200">
        <f t="shared" si="1933"/>
        <v>-0.10107108081791627</v>
      </c>
      <c r="M11246" s="401">
        <f>SUM(C11246,C11222,C11198,C11174,C11150,C11126,C11102)/POBLA!$B$13*100000</f>
        <v>231.9204074885773</v>
      </c>
    </row>
    <row r="11247" spans="1:13" x14ac:dyDescent="0.25">
      <c r="A11247" s="367" t="s">
        <v>23</v>
      </c>
      <c r="B11247" s="2">
        <v>44361</v>
      </c>
      <c r="C11247" s="4">
        <v>180</v>
      </c>
      <c r="D11247" s="39">
        <f t="shared" si="1925"/>
        <v>22911</v>
      </c>
      <c r="F11247" s="39">
        <f t="shared" si="1928"/>
        <v>348</v>
      </c>
      <c r="G11247" s="168">
        <f>SUM(C11247,C11223,C11199,C11175,C11151,C11127,C11103,C11079,C11055,C11031,C11007,C10983,C10959,C10935)/POBLA!$B$14*100000</f>
        <v>194.7206598937282</v>
      </c>
      <c r="H11247" s="256">
        <f t="shared" si="1929"/>
        <v>1.0297693920335429</v>
      </c>
      <c r="I11247" s="297">
        <f t="shared" si="1932"/>
        <v>200.51737555513478</v>
      </c>
      <c r="J11247" s="422">
        <f t="shared" si="1931"/>
        <v>176.57142857142858</v>
      </c>
      <c r="K11247" s="297">
        <f>J11247/POBLA!$B$14*100000</f>
        <v>13.999228456761754</v>
      </c>
      <c r="L11247" s="200">
        <f t="shared" si="1933"/>
        <v>1.3114754098360715E-2</v>
      </c>
      <c r="M11247" s="401">
        <f>SUM(C11247,C11223,C11199,C11175,C11151,C11127,C11103)/POBLA!$B$14*100000</f>
        <v>97.994599197332263</v>
      </c>
    </row>
    <row r="11248" spans="1:13" x14ac:dyDescent="0.25">
      <c r="A11248" s="367" t="s">
        <v>19</v>
      </c>
      <c r="B11248" s="2">
        <v>44361</v>
      </c>
      <c r="C11248" s="4">
        <v>406</v>
      </c>
      <c r="D11248" s="39">
        <f t="shared" si="1925"/>
        <v>97339</v>
      </c>
      <c r="E11248" s="1">
        <v>12</v>
      </c>
      <c r="F11248" s="39">
        <f t="shared" si="1928"/>
        <v>1518</v>
      </c>
      <c r="G11248" s="168">
        <f>SUM(C11248,C11224,C11200,C11176,C11152,C11128,C11104,C11080,C11056,C11032,C11008,C10984,C10960,C10936)/POBLA!$B$15*100000</f>
        <v>1043.7357034110023</v>
      </c>
      <c r="H11248" s="256">
        <f t="shared" si="1929"/>
        <v>0.6124955814775539</v>
      </c>
      <c r="I11248" s="297">
        <f t="shared" si="1932"/>
        <v>639.28350656960561</v>
      </c>
      <c r="J11248" s="422">
        <f t="shared" si="1931"/>
        <v>388</v>
      </c>
      <c r="K11248" s="297">
        <f>J11248/POBLA!$B$15*100000</f>
        <v>58.428719221392136</v>
      </c>
      <c r="L11248" s="200">
        <f t="shared" si="1933"/>
        <v>-0.35563463819691576</v>
      </c>
      <c r="M11248" s="401">
        <f>SUM(C11248,C11224,C11200,C11176,C11152,C11128,C11104)/POBLA!$B$15*100000</f>
        <v>409.00103454974499</v>
      </c>
    </row>
    <row r="11249" spans="1:19" x14ac:dyDescent="0.25">
      <c r="A11249" s="367" t="s">
        <v>18</v>
      </c>
      <c r="B11249" s="2">
        <v>44361</v>
      </c>
      <c r="C11249" s="4">
        <v>395</v>
      </c>
      <c r="D11249" s="39">
        <f t="shared" si="1925"/>
        <v>79770</v>
      </c>
      <c r="E11249" s="1">
        <v>14</v>
      </c>
      <c r="F11249" s="39">
        <f t="shared" si="1928"/>
        <v>1790</v>
      </c>
      <c r="G11249" s="168">
        <f>SUM(C11249,C11225,C11201,C11177,C11153,C11129,C11105,C11081,C11057,C11033,C11009,C10985,C10961,C10937)/POBLA!$B$16*100000</f>
        <v>743.43574858549243</v>
      </c>
      <c r="H11249" s="256">
        <f t="shared" si="1929"/>
        <v>0.75444550020361067</v>
      </c>
      <c r="I11249" s="297">
        <f t="shared" si="1932"/>
        <v>560.88175521082758</v>
      </c>
      <c r="J11249" s="422">
        <f t="shared" si="1931"/>
        <v>377.85714285714283</v>
      </c>
      <c r="K11249" s="297">
        <f>J11249/POBLA!$B$16*100000</f>
        <v>50.542012928818878</v>
      </c>
      <c r="L11249" s="200">
        <f t="shared" si="1933"/>
        <v>-9.2001373154823152E-2</v>
      </c>
      <c r="M11249" s="401">
        <f>SUM(C11249,C11225,C11201,C11177,C11153,C11129,C11105)/POBLA!$B$16*100000</f>
        <v>353.79409050173217</v>
      </c>
    </row>
    <row r="11250" spans="1:19" x14ac:dyDescent="0.25">
      <c r="A11250" s="367" t="s">
        <v>34</v>
      </c>
      <c r="B11250" s="2">
        <v>44361</v>
      </c>
      <c r="C11250" s="4">
        <v>426</v>
      </c>
      <c r="D11250" s="39">
        <f t="shared" si="1925"/>
        <v>53106</v>
      </c>
      <c r="E11250" s="1">
        <v>19</v>
      </c>
      <c r="F11250" s="39">
        <f t="shared" si="1928"/>
        <v>1538</v>
      </c>
      <c r="G11250" s="168">
        <f>SUM(C11250,C11226,C11202,C11178,C11154,C11130,C11106,C11082,C11058,C11034,C11010,C10986,C10962,C10938)/POBLA!$B$17*100000</f>
        <v>542.47516668456899</v>
      </c>
      <c r="H11250" s="256">
        <f t="shared" si="1929"/>
        <v>1.1579499475498276</v>
      </c>
      <c r="I11250" s="297">
        <f t="shared" si="1932"/>
        <v>628.15909080948063</v>
      </c>
      <c r="J11250" s="422">
        <f t="shared" si="1931"/>
        <v>518.42857142857144</v>
      </c>
      <c r="K11250" s="297">
        <f>J11250/POBLA!$B$17*100000</f>
        <v>36.396353785396308</v>
      </c>
      <c r="L11250" s="200">
        <f t="shared" si="1933"/>
        <v>-0.11444607125427042</v>
      </c>
      <c r="M11250" s="401">
        <f>SUM(C11250,C11226,C11202,C11178,C11154,C11130,C11106)/POBLA!$B$17*100000</f>
        <v>254.77447649777415</v>
      </c>
    </row>
    <row r="11251" spans="1:19" x14ac:dyDescent="0.25">
      <c r="A11251" s="367" t="s">
        <v>35</v>
      </c>
      <c r="B11251" s="2">
        <v>44361</v>
      </c>
      <c r="C11251" s="4">
        <v>647</v>
      </c>
      <c r="D11251" s="39">
        <f t="shared" si="1925"/>
        <v>43571</v>
      </c>
      <c r="E11251" s="1">
        <v>12</v>
      </c>
      <c r="F11251" s="39">
        <f t="shared" si="1928"/>
        <v>724</v>
      </c>
      <c r="G11251" s="168">
        <f>SUM(C11251,C11227,C11203,C11179,C11155,C11131,C11107,C11083,C11059,C11035,C11011,C10987,C10963,C10939)/POBLA!$B$18*100000</f>
        <v>838.81943173279637</v>
      </c>
      <c r="H11251" s="256">
        <f t="shared" si="1929"/>
        <v>0.90623703498824504</v>
      </c>
      <c r="I11251" s="297">
        <f t="shared" si="1932"/>
        <v>760.16923470405402</v>
      </c>
      <c r="J11251" s="422">
        <f t="shared" si="1931"/>
        <v>496.42857142857144</v>
      </c>
      <c r="K11251" s="297">
        <f>J11251/POBLA!$B$18*100000</f>
        <v>63.545541306521933</v>
      </c>
      <c r="L11251" s="200">
        <f t="shared" si="1933"/>
        <v>0.12897985705003245</v>
      </c>
      <c r="M11251" s="401">
        <f>SUM(C11251,C11227,C11203,C11179,C11155,C11131,C11107)/POBLA!$B$18*100000</f>
        <v>444.81878914565357</v>
      </c>
    </row>
    <row r="11252" spans="1:19" x14ac:dyDescent="0.25">
      <c r="A11252" s="367" t="s">
        <v>36</v>
      </c>
      <c r="B11252" s="2">
        <v>44361</v>
      </c>
      <c r="C11252" s="4">
        <v>347</v>
      </c>
      <c r="D11252" s="39">
        <f t="shared" si="1925"/>
        <v>59836</v>
      </c>
      <c r="E11252" s="1">
        <v>10</v>
      </c>
      <c r="F11252" s="39">
        <f t="shared" si="1928"/>
        <v>815</v>
      </c>
      <c r="G11252" s="168">
        <f>SUM(C11252,C11228,C11204,C11180,C11156,C11132,C11108,C11084,C11060,C11036,C11012,C10988,C10964,C10940)/POBLA!$B$19*100000</f>
        <v>1332.4074219795093</v>
      </c>
      <c r="H11252" s="256">
        <f t="shared" si="1929"/>
        <v>0.84885323975435523</v>
      </c>
      <c r="I11252" s="297">
        <f t="shared" si="1932"/>
        <v>1131.0183568200548</v>
      </c>
      <c r="J11252" s="422">
        <f t="shared" si="1931"/>
        <v>449.28571428571428</v>
      </c>
      <c r="K11252" s="297">
        <f>J11252/POBLA!$B$19*100000</f>
        <v>88.385002259508482</v>
      </c>
      <c r="L11252" s="200">
        <f t="shared" si="1933"/>
        <v>-0.13313120176405735</v>
      </c>
      <c r="M11252" s="401">
        <f>SUM(C11252,C11228,C11204,C11180,C11156,C11132,C11108)/POBLA!$B$19*100000</f>
        <v>618.69501581655936</v>
      </c>
    </row>
    <row r="11253" spans="1:19" x14ac:dyDescent="0.25">
      <c r="A11253" s="367" t="s">
        <v>37</v>
      </c>
      <c r="B11253" s="2">
        <v>44361</v>
      </c>
      <c r="C11253" s="4">
        <v>130</v>
      </c>
      <c r="D11253" s="39">
        <f t="shared" si="1925"/>
        <v>53746</v>
      </c>
      <c r="E11253" s="1">
        <v>12</v>
      </c>
      <c r="F11253" s="39">
        <f t="shared" si="1928"/>
        <v>830</v>
      </c>
      <c r="G11253" s="168">
        <f>SUM(C11253,C11229,C11206,C11181,C11157,C11133,C11109,C11085,C11061,C11037,C11013,C10989,C10965,C10941)/POBLA!$B$20*100000</f>
        <v>1102.5490978895152</v>
      </c>
      <c r="H11253" s="256">
        <f t="shared" si="1929"/>
        <v>0.69199372056514918</v>
      </c>
      <c r="I11253" s="297">
        <f t="shared" si="1932"/>
        <v>762.95705235431456</v>
      </c>
      <c r="J11253" s="422">
        <f t="shared" si="1931"/>
        <v>131.28571428571428</v>
      </c>
      <c r="K11253" s="297">
        <f>J11253/POBLA!$B$20*100000</f>
        <v>35.900036173485852</v>
      </c>
      <c r="L11253" s="200">
        <f t="shared" si="1933"/>
        <v>-0.2848249027237354</v>
      </c>
      <c r="M11253" s="401">
        <f>SUM(C11253,C11229,C11205,C11181,C11157,C11133,C11109)/POBLA!$B$20*100000</f>
        <v>251.30025321440098</v>
      </c>
    </row>
    <row r="11254" spans="1:19" x14ac:dyDescent="0.25">
      <c r="A11254" s="367" t="s">
        <v>22</v>
      </c>
      <c r="B11254" s="2">
        <v>44361</v>
      </c>
      <c r="C11254" s="4">
        <v>1693</v>
      </c>
      <c r="D11254" s="39">
        <f t="shared" si="1925"/>
        <v>378690</v>
      </c>
      <c r="E11254" s="1">
        <v>85</v>
      </c>
      <c r="F11254" s="39">
        <f t="shared" si="1928"/>
        <v>6066</v>
      </c>
      <c r="G11254" s="168">
        <f>SUM(C11254,C11230,C11206,C11182,C11158,C11134,C11110,C11086,C11062,C11038,C11014,C10990,C10966,C10942)/POBLA!$B$21*100000</f>
        <v>950.65119564485872</v>
      </c>
      <c r="H11254" s="256">
        <f t="shared" si="1929"/>
        <v>0.83120704148741531</v>
      </c>
      <c r="I11254" s="297">
        <f t="shared" si="1932"/>
        <v>790.18796781843707</v>
      </c>
      <c r="J11254" s="422">
        <f t="shared" si="1931"/>
        <v>2162.8571428571427</v>
      </c>
      <c r="K11254" s="297">
        <f>J11254/POBLA!$B$21*100000</f>
        <v>61.159544569028398</v>
      </c>
      <c r="L11254" s="200">
        <f t="shared" si="1933"/>
        <v>-0.18069159586557715</v>
      </c>
      <c r="M11254" s="401">
        <f>SUM(C11254,C11230,C11206,C11182,C11158,C11134,C11110)/POBLA!$B$21*100000</f>
        <v>428.11681198319883</v>
      </c>
    </row>
    <row r="11255" spans="1:19" x14ac:dyDescent="0.25">
      <c r="A11255" s="367" t="s">
        <v>38</v>
      </c>
      <c r="B11255" s="2">
        <v>44361</v>
      </c>
      <c r="C11255" s="4">
        <v>317</v>
      </c>
      <c r="D11255" s="39">
        <f t="shared" si="1925"/>
        <v>51239</v>
      </c>
      <c r="E11255" s="1">
        <v>16</v>
      </c>
      <c r="F11255" s="39">
        <f t="shared" si="1928"/>
        <v>669</v>
      </c>
      <c r="G11255" s="168">
        <f>SUM(C11255,C11231,C11207,C11183,C11159,C11135,C11111,C11087,C11063,C11039,C11015,C10991,C10967,C10943)/POBLA!$B$22*100000</f>
        <v>748.43122804255893</v>
      </c>
      <c r="H11255" s="256">
        <f t="shared" si="1929"/>
        <v>0.89708404802744424</v>
      </c>
      <c r="I11255" s="297">
        <f t="shared" si="1932"/>
        <v>671.40571572256999</v>
      </c>
      <c r="J11255" s="422">
        <f t="shared" si="1931"/>
        <v>501.71428571428572</v>
      </c>
      <c r="K11255" s="297">
        <f>J11255/POBLA!$B$22*100000</f>
        <v>51.283616359415213</v>
      </c>
      <c r="L11255" s="200">
        <f t="shared" si="1933"/>
        <v>-7.8215223097112818E-2</v>
      </c>
      <c r="M11255" s="401">
        <f>SUM(C11255,C11231,C11207,C11183,C11159,C11135,C11111)/POBLA!$B$22*100000</f>
        <v>358.98531451590645</v>
      </c>
    </row>
    <row r="11256" spans="1:19" x14ac:dyDescent="0.25">
      <c r="A11256" s="367" t="s">
        <v>39</v>
      </c>
      <c r="B11256" s="2">
        <v>44361</v>
      </c>
      <c r="C11256" s="4">
        <v>22</v>
      </c>
      <c r="D11256" s="39">
        <f t="shared" si="1925"/>
        <v>29072</v>
      </c>
      <c r="E11256" s="1">
        <v>1</v>
      </c>
      <c r="F11256" s="39">
        <f t="shared" si="1928"/>
        <v>433</v>
      </c>
      <c r="G11256" s="168">
        <f>SUM(C11256,C11232,C11208,C11184,C11160,C11136,C11112,C11088,C11064,C11040,C11016,C10992,C10968,C10944)/POBLA!$B$23*100000</f>
        <v>335.35033648136624</v>
      </c>
      <c r="H11256" s="256">
        <f t="shared" si="1929"/>
        <v>0.65742793791574283</v>
      </c>
      <c r="I11256" s="297">
        <f t="shared" si="1932"/>
        <v>220.46868019229512</v>
      </c>
      <c r="J11256" s="422">
        <f t="shared" si="1931"/>
        <v>32.714285714285715</v>
      </c>
      <c r="K11256" s="297">
        <f>J11256/POBLA!$B$23*100000</f>
        <v>18.500416057391686</v>
      </c>
      <c r="L11256" s="200">
        <f t="shared" si="1933"/>
        <v>-0.37087912087912089</v>
      </c>
      <c r="M11256" s="401">
        <f>SUM(C11256,C11232,C11208,C11184,C11160,C11136,C11112)/POBLA!$B$23*100000</f>
        <v>129.50291240174178</v>
      </c>
    </row>
    <row r="11257" spans="1:19" ht="15.75" thickBot="1" x14ac:dyDescent="0.3">
      <c r="A11257" s="368" t="s">
        <v>40</v>
      </c>
      <c r="B11257" s="34">
        <v>44361</v>
      </c>
      <c r="C11257" s="27">
        <v>1256</v>
      </c>
      <c r="D11257" s="67">
        <f t="shared" si="1925"/>
        <v>142101</v>
      </c>
      <c r="E11257" s="232">
        <v>21</v>
      </c>
      <c r="F11257" s="67">
        <f t="shared" si="1928"/>
        <v>2102</v>
      </c>
      <c r="G11257" s="177">
        <f>SUM(C11257,C11233,C11209,C11185,C11161,C11137,C11113,C11089,C11065,C11041,C11017,C10993,C10969,C10945)/POBLA!$B$24*100000</f>
        <v>707.93128516937952</v>
      </c>
      <c r="H11257" s="402">
        <f t="shared" si="1929"/>
        <v>0.84006722218332053</v>
      </c>
      <c r="I11257" s="299">
        <f t="shared" si="1932"/>
        <v>594.70986822890882</v>
      </c>
      <c r="J11257" s="428">
        <f t="shared" si="1931"/>
        <v>857</v>
      </c>
      <c r="K11257" s="299">
        <f>J11257/POBLA!$B$24*100000</f>
        <v>50.570735299671441</v>
      </c>
      <c r="L11257" s="260">
        <f t="shared" si="1933"/>
        <v>1.6672224074687492E-4</v>
      </c>
      <c r="M11257" s="406">
        <f>SUM(C11257,C11233,C11209,C11185,C11161,C11137,C11113)/POBLA!$B$24*100000</f>
        <v>353.99514709770006</v>
      </c>
      <c r="S11257" s="483"/>
    </row>
    <row r="11258" spans="1:19" x14ac:dyDescent="0.25">
      <c r="A11258" s="363" t="s">
        <v>16</v>
      </c>
      <c r="B11258" s="265">
        <v>44362</v>
      </c>
      <c r="C11258" s="43">
        <v>9800</v>
      </c>
      <c r="D11258" s="174">
        <f t="shared" si="1925"/>
        <v>1745146</v>
      </c>
      <c r="E11258" s="43">
        <v>220</v>
      </c>
      <c r="F11258" s="174">
        <f>E11258+F11234</f>
        <v>44234</v>
      </c>
      <c r="G11258" s="175">
        <f>SUM(C11258,C11234,C11186,C11210,C11162,C11138,C11114,C11090,C11066,C11042,C11018,C10994,C10970,C10946)/POBLA!$B$1*100000</f>
        <v>693.09630428260061</v>
      </c>
      <c r="H11258" s="300">
        <f>SUM(C11258,C11234,C11210,C11186,C11162,C11138,C11114,C11090,C11066,C11042,C11018,C10994,C10970,C10946,)/SUM(C10922,C10898,C10874,C10850,C10826,C10802,C10778,C10754,C10730,C10706,C10682,C10658,C10634,C10610)</f>
        <v>0.7570221483321814</v>
      </c>
      <c r="I11258" s="301">
        <f>G11258*H11258</f>
        <v>524.6892532691096</v>
      </c>
      <c r="J11258" s="421">
        <f>AVERAGE(C11258,C11234,C11210,C11186,C11162,C11138,C11114)</f>
        <v>8113</v>
      </c>
      <c r="K11258" s="301">
        <f>J11258/POBLA!$B$1*100000</f>
        <v>46.251267235124558</v>
      </c>
      <c r="L11258" s="399">
        <f t="shared" si="1933"/>
        <v>-0.12340629148272775</v>
      </c>
      <c r="M11258" s="400">
        <f>SUM(C11258,C11234,C11210,C11186,C11162,C11138,C11114)/POBLA!$B$1*100000</f>
        <v>323.75887064587187</v>
      </c>
      <c r="S11258" s="483"/>
    </row>
    <row r="11259" spans="1:19" x14ac:dyDescent="0.25">
      <c r="A11259" s="367" t="s">
        <v>43</v>
      </c>
      <c r="B11259" s="2">
        <v>44362</v>
      </c>
      <c r="C11259" s="1">
        <v>1841</v>
      </c>
      <c r="D11259" s="39">
        <f t="shared" si="1925"/>
        <v>444624</v>
      </c>
      <c r="E11259" s="1">
        <v>40</v>
      </c>
      <c r="F11259" s="39">
        <f t="shared" ref="F11259:F11281" si="1934">E11259+F11235</f>
        <v>9824</v>
      </c>
      <c r="G11259" s="168">
        <f>SUM(C11259,C11235,C11211,C11187,C11163,C11139,C11115,C11091,C11067,C11043,C11019,C10995,C10971,C10947)/POBLA!$B$2*100000</f>
        <v>778.50311771900931</v>
      </c>
      <c r="H11259" s="256">
        <f t="shared" ref="H11259:H11281" si="1935">SUM(C11259,C11235,C11211,C11187,C11163,C11139,C11115,C11091,C11067,C11043,C11019,C10995,C10971,C10947,)/SUM(C10923,C10899,C10875,C10851,C10827,C10803,C10779,C10755,C10731,C10707,C10683,C10659,C10635,C10611)</f>
        <v>0.65311911840920867</v>
      </c>
      <c r="I11259" s="297">
        <f t="shared" ref="I11259:I11265" si="1936">G11259*H11259</f>
        <v>508.45526992345975</v>
      </c>
      <c r="J11259" s="422">
        <f>AVERAGE(C11259,C11235,C11211,C11187,C11163,C11139,C11115)</f>
        <v>1599.8571428571429</v>
      </c>
      <c r="K11259" s="297">
        <f>J11259/POBLA!$B$2*100000</f>
        <v>52.016946776616784</v>
      </c>
      <c r="L11259" s="200">
        <f>(SUM(C11259,C11235,C11211,C11187,C11163,C11139,C11115)/SUM(C11091,C11067,C11043,C11019,C10995,C10971,C10947))-1</f>
        <v>-0.12130247155747353</v>
      </c>
      <c r="M11259" s="401">
        <f>SUM(C11259,C11235,C11211,C11187,C11163,C11139,C11115)/POBLA!$B$2*100000</f>
        <v>364.11862743631741</v>
      </c>
      <c r="S11259" s="483"/>
    </row>
    <row r="11260" spans="1:19" x14ac:dyDescent="0.25">
      <c r="A11260" s="367" t="s">
        <v>28</v>
      </c>
      <c r="B11260" s="2">
        <v>44362</v>
      </c>
      <c r="C11260" s="1">
        <v>218</v>
      </c>
      <c r="D11260" s="39">
        <f t="shared" si="1925"/>
        <v>29636</v>
      </c>
      <c r="E11260" s="1">
        <v>2</v>
      </c>
      <c r="F11260" s="39">
        <f t="shared" si="1934"/>
        <v>230</v>
      </c>
      <c r="G11260" s="168">
        <f>SUM(C11260,C11236,C11212,C11188,C11164,C11140,C11116,C11092,C11068,C11044,C11020,C10996,C10972,C10948)/POBLA!$B$3*100000</f>
        <v>1309.2206297931339</v>
      </c>
      <c r="H11260" s="256">
        <f t="shared" si="1935"/>
        <v>0.97735849056603774</v>
      </c>
      <c r="I11260" s="297">
        <f t="shared" si="1936"/>
        <v>1279.5778985525346</v>
      </c>
      <c r="J11260" s="422">
        <f t="shared" ref="J11260:J11281" si="1937">AVERAGE(C11260,C11236,C11212,C11188,C11164,C11140,C11116)</f>
        <v>345.71428571428572</v>
      </c>
      <c r="K11260" s="297">
        <f>J11260/POBLA!$B$3*100000</f>
        <v>83.216818325306235</v>
      </c>
      <c r="L11260" s="200">
        <f t="shared" ref="L11260:L11282" si="1938">(SUM(C11260,C11236,C11212,C11188,C11164,C11140,C11116)/SUM(C11092,C11068,C11044,C11020,C10996,C10972,C10948))-1</f>
        <v>-0.19841006955945673</v>
      </c>
      <c r="M11260" s="401">
        <f>SUM(C11260,C11236,C11212,C11188,C11164,C11140,C11116)/POBLA!$B$3*100000</f>
        <v>582.51772827714365</v>
      </c>
      <c r="S11260" s="483"/>
    </row>
    <row r="11261" spans="1:19" x14ac:dyDescent="0.25">
      <c r="A11261" s="367" t="s">
        <v>15</v>
      </c>
      <c r="B11261" s="2">
        <v>44362</v>
      </c>
      <c r="C11261" s="1">
        <v>700</v>
      </c>
      <c r="D11261" s="39">
        <f t="shared" si="1925"/>
        <v>68752</v>
      </c>
      <c r="E11261" s="1">
        <v>24</v>
      </c>
      <c r="F11261" s="39">
        <f t="shared" si="1934"/>
        <v>1440</v>
      </c>
      <c r="G11261" s="168">
        <f>SUM(C11261,C11237,C11213,C11189,C11165,C11141,C11117,C11093,C11069,C11045,C11021,C10997,C10973,C10949)/POBLA!$B$4*100000</f>
        <v>809.76903235340274</v>
      </c>
      <c r="H11261" s="256">
        <f t="shared" si="1935"/>
        <v>1.1167849782459354</v>
      </c>
      <c r="I11261" s="297">
        <f t="shared" si="1936"/>
        <v>904.33789118102698</v>
      </c>
      <c r="J11261" s="422">
        <f t="shared" si="1937"/>
        <v>665.42857142857144</v>
      </c>
      <c r="K11261" s="297">
        <f>J11261/POBLA!$B$4*100000</f>
        <v>55.243330980728047</v>
      </c>
      <c r="L11261" s="200">
        <f t="shared" si="1938"/>
        <v>-8.5949764521193073E-2</v>
      </c>
      <c r="M11261" s="401">
        <f>SUM(C11261,C11237,C11213,C11189,C11165,C11141,C11117)/POBLA!$B$4*100000</f>
        <v>386.70331686509633</v>
      </c>
      <c r="S11261" s="483"/>
    </row>
    <row r="11262" spans="1:19" x14ac:dyDescent="0.25">
      <c r="A11262" s="367" t="s">
        <v>29</v>
      </c>
      <c r="B11262" s="2">
        <v>44362</v>
      </c>
      <c r="C11262" s="1">
        <v>281</v>
      </c>
      <c r="D11262" s="39">
        <f t="shared" si="1925"/>
        <v>67383</v>
      </c>
      <c r="E11262" s="1">
        <v>10</v>
      </c>
      <c r="F11262" s="39">
        <f t="shared" si="1934"/>
        <v>1123</v>
      </c>
      <c r="G11262" s="168">
        <f>SUM(C11262,C11238,C11214,C11190,C11166,C11142,C11118,C11094,C11070,C11046,C11022,C10998,C10974,C10950)/POBLA!$B$5*100000</f>
        <v>667.37318940086652</v>
      </c>
      <c r="H11262" s="256">
        <f t="shared" si="1935"/>
        <v>0.8609837432263443</v>
      </c>
      <c r="I11262" s="297">
        <f t="shared" si="1936"/>
        <v>574.59746673926213</v>
      </c>
      <c r="J11262" s="422">
        <f t="shared" si="1937"/>
        <v>220.71428571428572</v>
      </c>
      <c r="K11262" s="297">
        <f>J11262/POBLA!$B$5*100000</f>
        <v>35.65693459295013</v>
      </c>
      <c r="L11262" s="200">
        <f t="shared" si="1938"/>
        <v>-0.40255220417633408</v>
      </c>
      <c r="M11262" s="401">
        <f>SUM(C11262,C11238,C11214,C11190,C11166,C11142,C11118)/POBLA!$B$5*100000</f>
        <v>249.5985421506509</v>
      </c>
      <c r="S11262" s="483"/>
    </row>
    <row r="11263" spans="1:19" x14ac:dyDescent="0.25">
      <c r="A11263" s="367" t="s">
        <v>30</v>
      </c>
      <c r="B11263" s="2">
        <v>44362</v>
      </c>
      <c r="C11263" s="1">
        <v>127</v>
      </c>
      <c r="D11263" s="39">
        <f t="shared" si="1925"/>
        <v>57803</v>
      </c>
      <c r="E11263" s="1">
        <v>10</v>
      </c>
      <c r="F11263" s="39">
        <f t="shared" si="1934"/>
        <v>687</v>
      </c>
      <c r="G11263" s="168">
        <f>SUM(C11263,C11239,C11215,C11191,C11167,C11143,C11119,C11095,C11071,C11047,C11023,C10999,C10975,C10951)/POBLA!$B$6*100000</f>
        <v>551.56981480209242</v>
      </c>
      <c r="H11263" s="256">
        <f t="shared" si="1935"/>
        <v>0.57549804505678648</v>
      </c>
      <c r="I11263" s="297">
        <f t="shared" si="1936"/>
        <v>317.42735013093795</v>
      </c>
      <c r="J11263" s="422">
        <f t="shared" si="1937"/>
        <v>391.57142857142856</v>
      </c>
      <c r="K11263" s="297">
        <f>J11263/POBLA!$B$6*100000</f>
        <v>34.936748679866326</v>
      </c>
      <c r="L11263" s="200">
        <f t="shared" si="1938"/>
        <v>-0.2034292356873002</v>
      </c>
      <c r="M11263" s="401">
        <f>SUM(C11263,C11239,C11215,C11191,C11167,C11143,C11119)/POBLA!$B$6*100000</f>
        <v>244.55724075906426</v>
      </c>
      <c r="S11263" s="483"/>
    </row>
    <row r="11264" spans="1:19" x14ac:dyDescent="0.25">
      <c r="A11264" s="367" t="s">
        <v>20</v>
      </c>
      <c r="B11264" s="2">
        <v>44362</v>
      </c>
      <c r="C11264" s="1">
        <v>4311</v>
      </c>
      <c r="D11264" s="39">
        <f t="shared" si="1925"/>
        <v>371506</v>
      </c>
      <c r="E11264" s="1">
        <v>59</v>
      </c>
      <c r="F11264" s="39">
        <f t="shared" si="1934"/>
        <v>4551</v>
      </c>
      <c r="G11264" s="168">
        <f>SUM(C11264,C11240,C11216,C11192,C11168,C11144,C11120,C11096,C11072,C11048,C11024,C11000,C10976,C10952)/POBLA!$B$7*100000</f>
        <v>1448.6564108018986</v>
      </c>
      <c r="H11264" s="256">
        <f t="shared" si="1935"/>
        <v>1.0169694028039651</v>
      </c>
      <c r="I11264" s="297">
        <f t="shared" si="1936"/>
        <v>1473.2392449613424</v>
      </c>
      <c r="J11264" s="422">
        <f t="shared" si="1937"/>
        <v>3508.5714285714284</v>
      </c>
      <c r="K11264" s="297">
        <f>J11264/POBLA!$B$7*100000</f>
        <v>93.301903457602904</v>
      </c>
      <c r="L11264" s="200">
        <f t="shared" si="1938"/>
        <v>-0.17903463029816824</v>
      </c>
      <c r="M11264" s="401">
        <f>SUM(C11264,C11240,C11216,C11192,C11168,C11144,C11120)/POBLA!$B$7*100000</f>
        <v>653.11332420322037</v>
      </c>
      <c r="S11264" s="483"/>
    </row>
    <row r="11265" spans="1:19" x14ac:dyDescent="0.25">
      <c r="A11265" s="367" t="s">
        <v>31</v>
      </c>
      <c r="B11265" s="2">
        <v>44362</v>
      </c>
      <c r="C11265" s="1">
        <v>1038</v>
      </c>
      <c r="D11265" s="39">
        <f t="shared" si="1925"/>
        <v>99382</v>
      </c>
      <c r="E11265" s="1">
        <v>17</v>
      </c>
      <c r="F11265" s="39">
        <f t="shared" si="1934"/>
        <v>1552</v>
      </c>
      <c r="G11265" s="168">
        <f>SUM(C11265,C11241,C11217,C11193,C11169,C11145,C11121,C11097,C11073,C11049,C11025,C11001,C10977,C10953)/POBLA!$B$8*100000</f>
        <v>889.6354226417626</v>
      </c>
      <c r="H11265" s="256">
        <f t="shared" si="1935"/>
        <v>0.90768551236749118</v>
      </c>
      <c r="I11265" s="297">
        <f t="shared" si="1936"/>
        <v>807.50918442085788</v>
      </c>
      <c r="J11265" s="422">
        <f t="shared" si="1937"/>
        <v>836.42857142857144</v>
      </c>
      <c r="K11265" s="297">
        <f>J11265/POBLA!$B$8*100000</f>
        <v>60.350079939375746</v>
      </c>
      <c r="L11265" s="200">
        <f t="shared" si="1938"/>
        <v>-9.5752895752895806E-2</v>
      </c>
      <c r="M11265" s="401">
        <f>SUM(C11265,C11241,C11217,C11193,C11169,C11145,C11121)/POBLA!$B$8*100000</f>
        <v>422.45055957563017</v>
      </c>
      <c r="S11265" s="483"/>
    </row>
    <row r="11266" spans="1:19" x14ac:dyDescent="0.25">
      <c r="A11266" s="367" t="s">
        <v>41</v>
      </c>
      <c r="B11266" s="2">
        <v>44362</v>
      </c>
      <c r="C11266" s="1">
        <v>478</v>
      </c>
      <c r="D11266" s="39">
        <f t="shared" si="1925"/>
        <v>39105</v>
      </c>
      <c r="E11266" s="1">
        <v>8</v>
      </c>
      <c r="F11266" s="39">
        <f t="shared" si="1934"/>
        <v>662</v>
      </c>
      <c r="G11266" s="168">
        <f>SUM(C11266,C11242,C11218,C11194,C11170,C11146,C11122,C11098,C11074,C11050,C11026,C11002,C10978,C10954)/POBLA!$B$9*100000</f>
        <v>1246.0487811326304</v>
      </c>
      <c r="H11266" s="256">
        <f t="shared" si="1935"/>
        <v>0.43239678899082568</v>
      </c>
      <c r="I11266" s="297">
        <f>G11266*H11266</f>
        <v>538.78749188768154</v>
      </c>
      <c r="J11266" s="422">
        <f t="shared" si="1937"/>
        <v>397.57142857142856</v>
      </c>
      <c r="K11266" s="297">
        <f>J11266/POBLA!$B$9*100000</f>
        <v>65.693328999414817</v>
      </c>
      <c r="L11266" s="200">
        <f t="shared" si="1938"/>
        <v>-0.41509037410676752</v>
      </c>
      <c r="M11266" s="401">
        <f>SUM(C11266,C11242,C11218,C11194,C11170,C11146,C11122)/POBLA!$B$9*100000</f>
        <v>459.85330299590379</v>
      </c>
      <c r="S11266" s="483"/>
    </row>
    <row r="11267" spans="1:19" x14ac:dyDescent="0.25">
      <c r="A11267" s="367" t="s">
        <v>32</v>
      </c>
      <c r="B11267" s="2">
        <v>44362</v>
      </c>
      <c r="C11267" s="1">
        <v>295</v>
      </c>
      <c r="D11267" s="39">
        <f t="shared" si="1925"/>
        <v>32106</v>
      </c>
      <c r="E11267" s="1">
        <v>4</v>
      </c>
      <c r="F11267" s="39">
        <f t="shared" si="1934"/>
        <v>1114</v>
      </c>
      <c r="G11267" s="168">
        <f>SUM(C11267,C11243,C11219,C11195,C11171,C11147,C11123,C11099,C11075,C11051,C11027,C11003,C10979,C10955)/POBLA!$B$10*100000</f>
        <v>448.70738804043685</v>
      </c>
      <c r="H11267" s="256">
        <f t="shared" si="1935"/>
        <v>1.5845167201099404</v>
      </c>
      <c r="I11267" s="297">
        <f t="shared" ref="I11267:I11281" si="1939">G11267*H11267</f>
        <v>710.98435878693124</v>
      </c>
      <c r="J11267" s="422">
        <f t="shared" si="1937"/>
        <v>260.42857142857144</v>
      </c>
      <c r="K11267" s="297">
        <f>J11267/POBLA!$B$10*100000</f>
        <v>33.783239102866908</v>
      </c>
      <c r="L11267" s="200">
        <f t="shared" si="1938"/>
        <v>0.11430317848410754</v>
      </c>
      <c r="M11267" s="401">
        <f>SUM(C11267,C11243,C11219,C11195,C11171,C11147,C11123)/POBLA!$B$10*100000</f>
        <v>236.48267372006833</v>
      </c>
      <c r="S11267" s="483"/>
    </row>
    <row r="11268" spans="1:19" x14ac:dyDescent="0.25">
      <c r="A11268" s="367" t="s">
        <v>33</v>
      </c>
      <c r="B11268" s="2">
        <v>44362</v>
      </c>
      <c r="C11268" s="1">
        <v>321</v>
      </c>
      <c r="D11268" s="39">
        <f t="shared" si="1925"/>
        <v>47984</v>
      </c>
      <c r="E11268" s="1">
        <v>7</v>
      </c>
      <c r="F11268" s="39">
        <f t="shared" si="1934"/>
        <v>665</v>
      </c>
      <c r="G11268" s="168">
        <f>SUM(C11268,C11244,C11220,C11196,C11172,C11148,C11124,C11100,C11076,C11052,C11028,C11004,C10980,C10956)/POBLA!$B$11*100000</f>
        <v>1291.193768343991</v>
      </c>
      <c r="H11268" s="256">
        <f t="shared" si="1935"/>
        <v>0.54730368968779564</v>
      </c>
      <c r="I11268" s="297">
        <f t="shared" si="1939"/>
        <v>706.67511351655514</v>
      </c>
      <c r="J11268" s="422">
        <f t="shared" si="1937"/>
        <v>297.14285714285717</v>
      </c>
      <c r="K11268" s="297">
        <f>J11268/POBLA!$B$11*100000</f>
        <v>82.90168657104276</v>
      </c>
      <c r="L11268" s="200">
        <f t="shared" si="1938"/>
        <v>-0.18367346938775508</v>
      </c>
      <c r="M11268" s="401">
        <f>SUM(C11268,C11244,C11220,C11196,C11172,C11148,C11124)/POBLA!$B$11*100000</f>
        <v>580.3118059972993</v>
      </c>
      <c r="S11268" s="483"/>
    </row>
    <row r="11269" spans="1:19" x14ac:dyDescent="0.25">
      <c r="A11269" s="367" t="s">
        <v>21</v>
      </c>
      <c r="B11269" s="2">
        <v>44362</v>
      </c>
      <c r="C11269" s="1">
        <v>188</v>
      </c>
      <c r="D11269" s="39">
        <f t="shared" si="1925"/>
        <v>19854</v>
      </c>
      <c r="F11269" s="39">
        <f t="shared" si="1934"/>
        <v>580</v>
      </c>
      <c r="G11269" s="168">
        <f>SUM(C11269,C11245,C11221,C11197,C11173,C11149,C11125,C11101,C11077,C11053,C11029,C11005,C10981,C10957)/POBLA!$B$12*100000</f>
        <v>597.91985891835714</v>
      </c>
      <c r="H11269" s="256">
        <f t="shared" si="1935"/>
        <v>1.1156946420104314</v>
      </c>
      <c r="I11269" s="297">
        <f t="shared" si="1939"/>
        <v>667.09598294684417</v>
      </c>
      <c r="J11269" s="422">
        <f t="shared" si="1937"/>
        <v>149.14285714285714</v>
      </c>
      <c r="K11269" s="297">
        <f>J11269/POBLA!$B$12*100000</f>
        <v>37.898629877406648</v>
      </c>
      <c r="L11269" s="200">
        <f t="shared" si="1938"/>
        <v>-0.20244461420932014</v>
      </c>
      <c r="M11269" s="401">
        <f>SUM(C11269,C11245,C11221,C11197,C11173,C11149,C11125)/POBLA!$B$12*100000</f>
        <v>265.29040914184651</v>
      </c>
      <c r="S11269" s="483"/>
    </row>
    <row r="11270" spans="1:19" x14ac:dyDescent="0.25">
      <c r="A11270" s="367" t="s">
        <v>17</v>
      </c>
      <c r="B11270" s="2">
        <v>44362</v>
      </c>
      <c r="C11270" s="1">
        <v>828</v>
      </c>
      <c r="D11270" s="39">
        <f t="shared" si="1925"/>
        <v>131245</v>
      </c>
      <c r="E11270" s="1">
        <v>26</v>
      </c>
      <c r="F11270" s="39">
        <f t="shared" si="1934"/>
        <v>2959</v>
      </c>
      <c r="G11270" s="168">
        <f>SUM(C11270,C11246,C11222,C11198,C11174,C11150,C11126,C11102,C11078,C11054,C11030,C11006,C10982,C10958)/POBLA!$B$13*100000</f>
        <v>479.61702987130826</v>
      </c>
      <c r="H11270" s="256">
        <f t="shared" si="1935"/>
        <v>0.83965168440496085</v>
      </c>
      <c r="I11270" s="297">
        <f t="shared" si="1939"/>
        <v>402.71124700074841</v>
      </c>
      <c r="J11270" s="422">
        <f t="shared" si="1937"/>
        <v>649.14285714285711</v>
      </c>
      <c r="K11270" s="297">
        <f>J11270/POBLA!$B$13*100000</f>
        <v>32.614704494556058</v>
      </c>
      <c r="L11270" s="200">
        <f t="shared" si="1938"/>
        <v>-9.1563374650139973E-2</v>
      </c>
      <c r="M11270" s="401">
        <f>SUM(C11270,C11246,C11222,C11198,C11174,C11150,C11126)/POBLA!$B$13*100000</f>
        <v>228.3029314618924</v>
      </c>
    </row>
    <row r="11271" spans="1:19" x14ac:dyDescent="0.25">
      <c r="A11271" s="367" t="s">
        <v>23</v>
      </c>
      <c r="B11271" s="2">
        <v>44362</v>
      </c>
      <c r="C11271" s="1">
        <v>123</v>
      </c>
      <c r="D11271" s="39">
        <f t="shared" si="1925"/>
        <v>23034</v>
      </c>
      <c r="E11271" s="1">
        <v>10</v>
      </c>
      <c r="F11271" s="39">
        <f t="shared" si="1934"/>
        <v>358</v>
      </c>
      <c r="G11271" s="168">
        <f>SUM(C11271,C11247,C11223,C11199,C11175,C11151,C11127,C11103,C11079,C11055,C11031,C11007,C10983,C10959)/POBLA!$B$14*100000</f>
        <v>192.34215020447255</v>
      </c>
      <c r="H11271" s="256">
        <f t="shared" si="1935"/>
        <v>1.0070568700705687</v>
      </c>
      <c r="I11271" s="297">
        <f t="shared" si="1939"/>
        <v>193.69948376755931</v>
      </c>
      <c r="J11271" s="422">
        <f t="shared" si="1937"/>
        <v>165.57142857142858</v>
      </c>
      <c r="K11271" s="297">
        <f>J11271/POBLA!$B$14*100000</f>
        <v>13.12710823736802</v>
      </c>
      <c r="L11271" s="200">
        <f t="shared" si="1938"/>
        <v>-8.5240726124704014E-2</v>
      </c>
      <c r="M11271" s="401">
        <f>SUM(C11271,C11247,C11223,C11199,C11175,C11151,C11127)/POBLA!$B$14*100000</f>
        <v>91.889757661576127</v>
      </c>
      <c r="S11271" s="483"/>
    </row>
    <row r="11272" spans="1:19" x14ac:dyDescent="0.25">
      <c r="A11272" s="367" t="s">
        <v>19</v>
      </c>
      <c r="B11272" s="2">
        <v>44362</v>
      </c>
      <c r="C11272" s="1">
        <v>371</v>
      </c>
      <c r="D11272" s="39">
        <f t="shared" si="1925"/>
        <v>97710</v>
      </c>
      <c r="E11272" s="1">
        <v>8</v>
      </c>
      <c r="F11272" s="39">
        <f t="shared" si="1934"/>
        <v>1526</v>
      </c>
      <c r="G11272" s="168">
        <f>SUM(C11272,C11248,C11224,C11200,C11176,C11152,C11128,C11104,C11080,C11056,C11032,C11008,C10984,C10960)/POBLA!$B$15*100000</f>
        <v>972.35628869208506</v>
      </c>
      <c r="H11272" s="256">
        <f t="shared" si="1935"/>
        <v>0.56869825612119074</v>
      </c>
      <c r="I11272" s="297">
        <f t="shared" si="1939"/>
        <v>552.97732570766186</v>
      </c>
      <c r="J11272" s="422">
        <f t="shared" si="1937"/>
        <v>359</v>
      </c>
      <c r="K11272" s="297">
        <f>J11272/POBLA!$B$15*100000</f>
        <v>54.061624228040664</v>
      </c>
      <c r="L11272" s="200">
        <f t="shared" si="1938"/>
        <v>-0.3628296146044625</v>
      </c>
      <c r="M11272" s="401">
        <f>SUM(C11272,C11248,C11224,C11200,C11176,C11152,C11128)/POBLA!$B$15*100000</f>
        <v>378.43136959628464</v>
      </c>
      <c r="S11272" s="483"/>
    </row>
    <row r="11273" spans="1:19" x14ac:dyDescent="0.25">
      <c r="A11273" s="367" t="s">
        <v>18</v>
      </c>
      <c r="B11273" s="2">
        <v>44362</v>
      </c>
      <c r="C11273" s="1">
        <v>447</v>
      </c>
      <c r="D11273" s="39">
        <f t="shared" si="1925"/>
        <v>80217</v>
      </c>
      <c r="E11273" s="1">
        <v>15</v>
      </c>
      <c r="F11273" s="39">
        <f t="shared" si="1934"/>
        <v>1805</v>
      </c>
      <c r="G11273" s="168">
        <f>SUM(C11273,C11249,C11225,C11201,C11177,C11153,C11129,C11105,C11081,C11057,C11033,C11009,C10985,C10961)/POBLA!$B$16*100000</f>
        <v>722.03421570069952</v>
      </c>
      <c r="H11273" s="256">
        <f t="shared" si="1935"/>
        <v>0.72778751516785767</v>
      </c>
      <c r="I11273" s="297">
        <f t="shared" si="1939"/>
        <v>525.48748771098508</v>
      </c>
      <c r="J11273" s="422">
        <f t="shared" si="1937"/>
        <v>374.42857142857144</v>
      </c>
      <c r="K11273" s="297">
        <f>J11273/POBLA!$B$16*100000</f>
        <v>50.083408652716187</v>
      </c>
      <c r="L11273" s="200">
        <f t="shared" si="1938"/>
        <v>-5.6175729204177127E-2</v>
      </c>
      <c r="M11273" s="401">
        <f>SUM(C11273,C11249,C11225,C11201,C11177,C11153,C11129)/POBLA!$B$16*100000</f>
        <v>350.58386056901327</v>
      </c>
      <c r="S11273" s="483"/>
    </row>
    <row r="11274" spans="1:19" x14ac:dyDescent="0.25">
      <c r="A11274" s="367" t="s">
        <v>34</v>
      </c>
      <c r="B11274" s="2">
        <v>44362</v>
      </c>
      <c r="C11274" s="1">
        <v>675</v>
      </c>
      <c r="D11274" s="39">
        <f t="shared" si="1925"/>
        <v>53781</v>
      </c>
      <c r="E11274" s="1">
        <v>12</v>
      </c>
      <c r="F11274" s="39">
        <f t="shared" si="1934"/>
        <v>1550</v>
      </c>
      <c r="G11274" s="168">
        <f>SUM(C11274,C11250,C11226,C11202,C11178,C11154,C11130,C11106,C11082,C11058,C11034,C11010,C10986,C10962)/POBLA!$B$17*100000</f>
        <v>542.19434609873508</v>
      </c>
      <c r="H11274" s="256">
        <f t="shared" si="1935"/>
        <v>1.1300848697688031</v>
      </c>
      <c r="I11274" s="297">
        <f t="shared" si="1939"/>
        <v>612.72562700037042</v>
      </c>
      <c r="J11274" s="422">
        <f t="shared" si="1937"/>
        <v>534.42857142857144</v>
      </c>
      <c r="K11274" s="297">
        <f>J11274/POBLA!$B$17*100000</f>
        <v>37.519636128731769</v>
      </c>
      <c r="L11274" s="200">
        <f t="shared" si="1938"/>
        <v>-6.0522350577599249E-2</v>
      </c>
      <c r="M11274" s="401">
        <f>SUM(C11274,C11250,C11226,C11202,C11178,C11154,C11130)/POBLA!$B$17*100000</f>
        <v>262.63745290112234</v>
      </c>
      <c r="S11274" s="483"/>
    </row>
    <row r="11275" spans="1:19" x14ac:dyDescent="0.25">
      <c r="A11275" s="367" t="s">
        <v>35</v>
      </c>
      <c r="B11275" s="2">
        <v>44362</v>
      </c>
      <c r="C11275" s="1">
        <v>839</v>
      </c>
      <c r="D11275" s="39">
        <f t="shared" si="1925"/>
        <v>44410</v>
      </c>
      <c r="E11275" s="1">
        <v>7</v>
      </c>
      <c r="F11275" s="39">
        <f t="shared" si="1934"/>
        <v>731</v>
      </c>
      <c r="G11275" s="168">
        <f>SUM(C11275,C11251,C11227,C11203,C11179,C11155,C11131,C11107,C11083,C11059,C11035,C11011,C10987,C10963)/POBLA!$B$18*100000</f>
        <v>867.36463748228721</v>
      </c>
      <c r="H11275" s="256">
        <f t="shared" si="1935"/>
        <v>0.952755905511811</v>
      </c>
      <c r="I11275" s="297">
        <f t="shared" si="1939"/>
        <v>826.38678059336019</v>
      </c>
      <c r="J11275" s="422">
        <f t="shared" si="1937"/>
        <v>511.28571428571428</v>
      </c>
      <c r="K11275" s="297">
        <f>J11275/POBLA!$B$18*100000</f>
        <v>65.447335924040857</v>
      </c>
      <c r="L11275" s="200">
        <f t="shared" si="1938"/>
        <v>0.11948701908038784</v>
      </c>
      <c r="M11275" s="401">
        <f>SUM(C11275,C11251,C11227,C11203,C11179,C11155,C11131)/POBLA!$B$18*100000</f>
        <v>458.13135146828608</v>
      </c>
      <c r="S11275" s="483"/>
    </row>
    <row r="11276" spans="1:19" x14ac:dyDescent="0.25">
      <c r="A11276" s="367" t="s">
        <v>36</v>
      </c>
      <c r="B11276" s="2">
        <v>44362</v>
      </c>
      <c r="C11276" s="1">
        <v>463</v>
      </c>
      <c r="D11276" s="39">
        <f t="shared" si="1925"/>
        <v>60299</v>
      </c>
      <c r="E11276" s="1">
        <v>9</v>
      </c>
      <c r="F11276" s="39">
        <f t="shared" si="1934"/>
        <v>824</v>
      </c>
      <c r="G11276" s="168">
        <f>SUM(C11276,C11252,C11228,C11204,C11180,C11156,C11132,C11108,C11084,C11060,C11036,C11012,C10988,C10964)/POBLA!$B$19*100000</f>
        <v>1337.7189531168851</v>
      </c>
      <c r="H11276" s="256">
        <f t="shared" si="1935"/>
        <v>0.8373353035340475</v>
      </c>
      <c r="I11276" s="297">
        <f t="shared" si="1939"/>
        <v>1120.1193056513753</v>
      </c>
      <c r="J11276" s="422">
        <f t="shared" si="1937"/>
        <v>453.14285714285717</v>
      </c>
      <c r="K11276" s="297">
        <f>J11276/POBLA!$B$19*100000</f>
        <v>89.143792421990753</v>
      </c>
      <c r="L11276" s="200">
        <f t="shared" si="1938"/>
        <v>-0.1256890848952591</v>
      </c>
      <c r="M11276" s="401">
        <f>SUM(C11276,C11252,C11228,C11204,C11180,C11156,C11132)/POBLA!$B$19*100000</f>
        <v>624.00654695393519</v>
      </c>
      <c r="S11276" s="483"/>
    </row>
    <row r="11277" spans="1:19" x14ac:dyDescent="0.25">
      <c r="A11277" s="367" t="s">
        <v>37</v>
      </c>
      <c r="B11277" s="2">
        <v>44362</v>
      </c>
      <c r="C11277" s="1">
        <v>133</v>
      </c>
      <c r="D11277" s="39">
        <f t="shared" si="1925"/>
        <v>53879</v>
      </c>
      <c r="E11277" s="1">
        <v>3</v>
      </c>
      <c r="F11277" s="39">
        <f t="shared" si="1934"/>
        <v>833</v>
      </c>
      <c r="G11277" s="168">
        <f>SUM(C11277,C11253,C11230,C11205,C11181,C11157,C11133,C11109,C11085,C11061,C11037,C11013,C10989,C10965)/POBLA!$B$20*100000</f>
        <v>900.74323622223801</v>
      </c>
      <c r="H11277" s="256">
        <f t="shared" si="1935"/>
        <v>0.69172685489166119</v>
      </c>
      <c r="I11277" s="297">
        <f t="shared" si="1939"/>
        <v>623.06828585694529</v>
      </c>
      <c r="J11277" s="422">
        <f t="shared" si="1937"/>
        <v>131.42857142857142</v>
      </c>
      <c r="K11277" s="297">
        <f>J11277/POBLA!$B$20*100000</f>
        <v>35.939100413065269</v>
      </c>
      <c r="L11277" s="200">
        <f t="shared" si="1938"/>
        <v>-0.22493681550126365</v>
      </c>
      <c r="M11277" s="401">
        <f>SUM(C11277,C11253,C11229,C11205,C11181,C11157,C11133)/POBLA!$B$20*100000</f>
        <v>251.57370289145686</v>
      </c>
      <c r="S11277" s="483"/>
    </row>
    <row r="11278" spans="1:19" x14ac:dyDescent="0.25">
      <c r="A11278" s="367" t="s">
        <v>22</v>
      </c>
      <c r="B11278" s="2">
        <v>44362</v>
      </c>
      <c r="C11278" s="1">
        <v>2344</v>
      </c>
      <c r="D11278" s="39">
        <f t="shared" si="1925"/>
        <v>381034</v>
      </c>
      <c r="E11278" s="1">
        <v>79</v>
      </c>
      <c r="F11278" s="39">
        <f t="shared" si="1934"/>
        <v>6145</v>
      </c>
      <c r="G11278" s="168">
        <f>SUM(C11278,C11254,C11230,C11206,C11182,C11158,C11134,C11110,C11086,C11062,C11038,C11014,C10990,C10966)/POBLA!$B$21*100000</f>
        <v>922.82643058597716</v>
      </c>
      <c r="H11278" s="256">
        <f t="shared" si="1935"/>
        <v>0.80635995255979442</v>
      </c>
      <c r="I11278" s="297">
        <f t="shared" si="1939"/>
        <v>744.130276788233</v>
      </c>
      <c r="J11278" s="422">
        <f t="shared" si="1937"/>
        <v>2092.4285714285716</v>
      </c>
      <c r="K11278" s="297">
        <f>J11278/POBLA!$B$21*100000</f>
        <v>59.168021750499278</v>
      </c>
      <c r="L11278" s="200">
        <f t="shared" si="1938"/>
        <v>-0.18573493440071154</v>
      </c>
      <c r="M11278" s="401">
        <f>SUM(C11278,C11254,C11230,C11206,C11182,C11158,C11134)/POBLA!$B$21*100000</f>
        <v>414.17615225349493</v>
      </c>
      <c r="S11278" s="483"/>
    </row>
    <row r="11279" spans="1:19" x14ac:dyDescent="0.25">
      <c r="A11279" s="367" t="s">
        <v>38</v>
      </c>
      <c r="B11279" s="2">
        <v>44362</v>
      </c>
      <c r="C11279" s="1">
        <v>409</v>
      </c>
      <c r="D11279" s="39">
        <f t="shared" si="1925"/>
        <v>51648</v>
      </c>
      <c r="E11279" s="1">
        <v>7</v>
      </c>
      <c r="F11279" s="39">
        <f t="shared" si="1934"/>
        <v>676</v>
      </c>
      <c r="G11279" s="168">
        <f>SUM(C11279,C11255,C11231,C11207,C11183,C11159,C11135,C11111,C11087,C11063,C11039,C11015,C10991,C10967)/POBLA!$B$22*100000</f>
        <v>751.08886419785892</v>
      </c>
      <c r="H11279" s="256">
        <f t="shared" si="1935"/>
        <v>0.9070485125293174</v>
      </c>
      <c r="I11279" s="297">
        <f t="shared" si="1939"/>
        <v>681.27403704800247</v>
      </c>
      <c r="J11279" s="422">
        <f t="shared" si="1937"/>
        <v>500</v>
      </c>
      <c r="K11279" s="297">
        <f>J11279/POBLA!$B$22*100000</f>
        <v>51.1083876019229</v>
      </c>
      <c r="L11279" s="200">
        <f t="shared" si="1938"/>
        <v>-9.0436590436590469E-2</v>
      </c>
      <c r="M11279" s="401">
        <f>SUM(C11279,C11255,C11231,C11207,C11183,C11159,C11135)/POBLA!$B$22*100000</f>
        <v>357.75871321346034</v>
      </c>
      <c r="S11279" s="483"/>
    </row>
    <row r="11280" spans="1:19" x14ac:dyDescent="0.25">
      <c r="A11280" s="367" t="s">
        <v>39</v>
      </c>
      <c r="B11280" s="2">
        <v>44362</v>
      </c>
      <c r="C11280" s="1">
        <v>19</v>
      </c>
      <c r="D11280" s="39">
        <f t="shared" si="1925"/>
        <v>29091</v>
      </c>
      <c r="F11280" s="39">
        <f t="shared" si="1934"/>
        <v>433</v>
      </c>
      <c r="G11280" s="168">
        <f>SUM(C11280,C11256,C11232,C11208,C11184,C11160,C11136,C11112,C11088,C11064,C11040,C11016,C10992,C10968)/POBLA!$B$23*100000</f>
        <v>318.38488944183678</v>
      </c>
      <c r="H11280" s="256">
        <f t="shared" si="1935"/>
        <v>0.64490263459335628</v>
      </c>
      <c r="I11280" s="297">
        <f t="shared" si="1939"/>
        <v>205.32725401575499</v>
      </c>
      <c r="J11280" s="422">
        <f t="shared" si="1937"/>
        <v>30.142857142857142</v>
      </c>
      <c r="K11280" s="297">
        <f>J11280/POBLA!$B$23*100000</f>
        <v>17.046234882574868</v>
      </c>
      <c r="L11280" s="200">
        <f t="shared" si="1938"/>
        <v>-0.40056818181818177</v>
      </c>
      <c r="M11280" s="401">
        <f>SUM(C11280,C11256,C11232,C11208,C11184,C11160,C11136)/POBLA!$B$23*100000</f>
        <v>119.3236441780241</v>
      </c>
      <c r="S11280" s="483"/>
    </row>
    <row r="11281" spans="1:19" ht="15.75" thickBot="1" x14ac:dyDescent="0.3">
      <c r="A11281" s="368" t="s">
        <v>40</v>
      </c>
      <c r="B11281" s="34">
        <v>44362</v>
      </c>
      <c r="C11281" s="232">
        <v>1011</v>
      </c>
      <c r="D11281" s="67">
        <f t="shared" si="1925"/>
        <v>143112</v>
      </c>
      <c r="E11281" s="232">
        <v>12</v>
      </c>
      <c r="F11281" s="67">
        <f t="shared" si="1934"/>
        <v>2114</v>
      </c>
      <c r="G11281" s="177">
        <f>SUM(C11281,C11257,C11233,C11209,C11185,C11161,C11137,C11113,C11089,C11065,C11041,C11017,C10993,C10969)/POBLA!$B$24*100000</f>
        <v>708.69840250764753</v>
      </c>
      <c r="H11281" s="402">
        <f t="shared" si="1935"/>
        <v>0.85268015619453319</v>
      </c>
      <c r="I11281" s="299">
        <f t="shared" si="1939"/>
        <v>604.29306454503705</v>
      </c>
      <c r="J11281" s="428">
        <f t="shared" si="1937"/>
        <v>837.85714285714289</v>
      </c>
      <c r="K11281" s="299">
        <f>J11281/POBLA!$B$24*100000</f>
        <v>49.441133944419569</v>
      </c>
      <c r="L11281" s="260">
        <f t="shared" si="1938"/>
        <v>-4.5565500406834825E-2</v>
      </c>
      <c r="M11281" s="406">
        <f>SUM(C11281,C11257,C11233,C11209,C11185,C11161,C11137)/POBLA!$B$24*100000</f>
        <v>346.08793761093699</v>
      </c>
      <c r="S11281" s="483"/>
    </row>
    <row r="11282" spans="1:19" x14ac:dyDescent="0.25">
      <c r="A11282" s="363" t="s">
        <v>16</v>
      </c>
      <c r="B11282" s="265">
        <v>44363</v>
      </c>
      <c r="C11282" s="43">
        <v>9016</v>
      </c>
      <c r="D11282" s="174">
        <f t="shared" si="1925"/>
        <v>1754162</v>
      </c>
      <c r="E11282" s="43">
        <v>248</v>
      </c>
      <c r="F11282" s="174">
        <f>E11282+F11258</f>
        <v>44482</v>
      </c>
      <c r="G11282" s="175">
        <f>SUM(C11282,C11258,C11210,C11234,C11186,C11162,C11138,C11114,C11090,C11066,C11042,C11018,C10994,C10970)/POBLA!$B$1*100000</f>
        <v>674.52282608069788</v>
      </c>
      <c r="H11282" s="300">
        <f>SUM(C11282,C11258,C11234,C11210,C11186,C11162,C11138,C11114,C11090,C11066,C11042,C11018,C10994,C10970,)/SUM(C10946,C10922,C10898,C10874,C10850,C10826,C10802,C10778,C10754,C10730,C10706,C10682,C10658,C10634)</f>
        <v>0.74499741842864164</v>
      </c>
      <c r="I11282" s="301">
        <f>G11282*H11282</f>
        <v>502.51776410131157</v>
      </c>
      <c r="J11282" s="421">
        <f>AVERAGE(C11282,C11258,C11234,C11210,C11186,C11162,C11138)</f>
        <v>7911.2857142857147</v>
      </c>
      <c r="K11282" s="301">
        <f>J11282/POBLA!$B$1*100000</f>
        <v>45.101317606908893</v>
      </c>
      <c r="L11282" s="399">
        <f t="shared" si="1938"/>
        <v>-0.12013028280902449</v>
      </c>
      <c r="M11282" s="400">
        <f>SUM(C11282,C11258,C11234,C11210,C11186,C11162,C11138)/POBLA!$B$1*100000</f>
        <v>315.70922324836226</v>
      </c>
    </row>
    <row r="11283" spans="1:19" x14ac:dyDescent="0.25">
      <c r="A11283" s="367" t="s">
        <v>43</v>
      </c>
      <c r="B11283" s="2">
        <v>44363</v>
      </c>
      <c r="C11283" s="1">
        <v>1603</v>
      </c>
      <c r="D11283" s="39">
        <f t="shared" ref="D11283:D11329" si="1940">C11283+D11259</f>
        <v>446227</v>
      </c>
      <c r="E11283" s="1">
        <v>46</v>
      </c>
      <c r="F11283" s="39">
        <f t="shared" ref="F11283:F11305" si="1941">E11283+F11259</f>
        <v>9870</v>
      </c>
      <c r="G11283" s="168">
        <f>SUM(C11283,C11259,C11235,C11211,C11187,C11163,C11139,C11115,C11091,C11067,C11043,C11019,C10995,C10971)/POBLA!$B$2*100000</f>
        <v>758.21469700999398</v>
      </c>
      <c r="H11283" s="256">
        <f t="shared" ref="H11283:H11305" si="1942">SUM(C11283,C11259,C11235,C11211,C11187,C11163,C11139,C11115,C11091,C11067,C11043,C11019,C10995,C10971,)/SUM(C10947,C10923,C10899,C10875,C10851,C10827,C10803,C10779,C10755,C10731,C10707,C10683,C10659,C10635)</f>
        <v>0.65088757396449703</v>
      </c>
      <c r="I11283" s="297">
        <f t="shared" ref="I11283:I11289" si="1943">G11283*H11283</f>
        <v>493.51252468106117</v>
      </c>
      <c r="J11283" s="422">
        <f>AVERAGE(C11283,C11259,C11235,C11211,C11187,C11163,C11139)</f>
        <v>1587.7142857142858</v>
      </c>
      <c r="K11283" s="297">
        <f>J11283/POBLA!$B$2*100000</f>
        <v>51.62214005494409</v>
      </c>
      <c r="L11283" s="200">
        <f>(SUM(C11283,C11259,C11235,C11211,C11187,C11163,C11139)/SUM(C11115,C11091,C11067,C11043,C11019,C10995,C10971))-1</f>
        <v>-8.9464197935441581E-2</v>
      </c>
      <c r="M11283" s="401">
        <f>SUM(C11283,C11259,C11235,C11211,C11187,C11163,C11139)/POBLA!$B$2*100000</f>
        <v>361.35498038460861</v>
      </c>
    </row>
    <row r="11284" spans="1:19" x14ac:dyDescent="0.25">
      <c r="A11284" s="367" t="s">
        <v>28</v>
      </c>
      <c r="B11284" s="2">
        <v>44363</v>
      </c>
      <c r="C11284" s="1">
        <v>422</v>
      </c>
      <c r="D11284" s="39">
        <f t="shared" si="1940"/>
        <v>30058</v>
      </c>
      <c r="E11284" s="1">
        <v>26</v>
      </c>
      <c r="F11284" s="39">
        <f t="shared" si="1941"/>
        <v>256</v>
      </c>
      <c r="G11284" s="168">
        <f>SUM(C11284,C11260,C11236,C11212,C11188,C11164,C11140,C11116,C11092,C11068,C11044,C11020,C10996,C10972)/POBLA!$B$3*100000</f>
        <v>1316.44192394533</v>
      </c>
      <c r="H11284" s="256">
        <f t="shared" si="1942"/>
        <v>0.98914812805208896</v>
      </c>
      <c r="I11284" s="297">
        <f t="shared" si="1943"/>
        <v>1302.1560647598137</v>
      </c>
      <c r="J11284" s="422">
        <f t="shared" ref="J11284:J11305" si="1944">AVERAGE(C11284,C11260,C11236,C11212,C11188,C11164,C11140)</f>
        <v>358.57142857142856</v>
      </c>
      <c r="K11284" s="297">
        <f>J11284/POBLA!$B$3*100000</f>
        <v>86.311658676247376</v>
      </c>
      <c r="L11284" s="200">
        <f t="shared" ref="L11284:L11306" si="1945">(SUM(C11284,C11260,C11236,C11212,C11188,C11164,C11140)/SUM(C11116,C11092,C11068,C11044,C11020,C10996,C10972))-1</f>
        <v>-0.15174045285569449</v>
      </c>
      <c r="M11284" s="401">
        <f>SUM(C11284,C11260,C11236,C11212,C11188,C11164,C11140)/POBLA!$B$3*100000</f>
        <v>604.18161073373165</v>
      </c>
    </row>
    <row r="11285" spans="1:19" x14ac:dyDescent="0.25">
      <c r="A11285" s="367" t="s">
        <v>15</v>
      </c>
      <c r="B11285" s="2">
        <v>44363</v>
      </c>
      <c r="C11285" s="1">
        <v>682</v>
      </c>
      <c r="D11285" s="39">
        <f t="shared" si="1940"/>
        <v>69434</v>
      </c>
      <c r="E11285" s="1">
        <v>14</v>
      </c>
      <c r="F11285" s="39">
        <f t="shared" si="1941"/>
        <v>1454</v>
      </c>
      <c r="G11285" s="168">
        <f>SUM(C11285,C11261,C11237,C11213,C11189,C11165,C11141,C11117,C11093,C11069,C11045,C11021,C10997,C10973)/POBLA!$B$4*100000</f>
        <v>799.80673136074245</v>
      </c>
      <c r="H11285" s="256">
        <f t="shared" si="1942"/>
        <v>1.0796817213941499</v>
      </c>
      <c r="I11285" s="297">
        <f t="shared" si="1943"/>
        <v>863.5367084981948</v>
      </c>
      <c r="J11285" s="422">
        <f t="shared" si="1944"/>
        <v>637</v>
      </c>
      <c r="K11285" s="297">
        <f>J11285/POBLA!$B$4*100000</f>
        <v>52.883214436038294</v>
      </c>
      <c r="L11285" s="200">
        <f t="shared" si="1945"/>
        <v>-0.1383574879227053</v>
      </c>
      <c r="M11285" s="401">
        <f>SUM(C11285,C11261,C11237,C11213,C11189,C11165,C11141)/POBLA!$B$4*100000</f>
        <v>370.18250105226804</v>
      </c>
    </row>
    <row r="11286" spans="1:19" x14ac:dyDescent="0.25">
      <c r="A11286" s="367" t="s">
        <v>29</v>
      </c>
      <c r="B11286" s="2">
        <v>44363</v>
      </c>
      <c r="C11286" s="1">
        <v>338</v>
      </c>
      <c r="D11286" s="39">
        <f t="shared" si="1940"/>
        <v>67721</v>
      </c>
      <c r="E11286" s="1">
        <v>13</v>
      </c>
      <c r="F11286" s="39">
        <f t="shared" si="1941"/>
        <v>1136</v>
      </c>
      <c r="G11286" s="168">
        <f>SUM(C11286,C11262,C11238,C11214,C11190,C11166,C11142,C11118,C11094,C11070,C11046,C11022,C10998,C10974)/POBLA!$B$5*100000</f>
        <v>636.5166705977764</v>
      </c>
      <c r="H11286" s="256">
        <f t="shared" si="1942"/>
        <v>0.78595651306602832</v>
      </c>
      <c r="I11286" s="297">
        <f t="shared" si="1943"/>
        <v>500.2744229314261</v>
      </c>
      <c r="J11286" s="422">
        <f t="shared" si="1944"/>
        <v>220.71428571428572</v>
      </c>
      <c r="K11286" s="297">
        <f>J11286/POBLA!$B$5*100000</f>
        <v>35.65693459295013</v>
      </c>
      <c r="L11286" s="200">
        <f t="shared" si="1945"/>
        <v>-0.35490605427974953</v>
      </c>
      <c r="M11286" s="401">
        <f>SUM(C11286,C11262,C11238,C11214,C11190,C11166,C11142)/POBLA!$B$5*100000</f>
        <v>249.5985421506509</v>
      </c>
    </row>
    <row r="11287" spans="1:19" x14ac:dyDescent="0.25">
      <c r="A11287" s="367" t="s">
        <v>30</v>
      </c>
      <c r="B11287" s="2">
        <v>44363</v>
      </c>
      <c r="C11287" s="1">
        <v>809</v>
      </c>
      <c r="D11287" s="39">
        <f t="shared" si="1940"/>
        <v>58612</v>
      </c>
      <c r="E11287" s="1">
        <v>3</v>
      </c>
      <c r="F11287" s="39">
        <f t="shared" si="1941"/>
        <v>690</v>
      </c>
      <c r="G11287" s="168">
        <f>SUM(C11287,C11263,C11239,C11215,C11191,C11167,C11143,C11119,C11095,C11071,C11047,C11023,C10999,C10975)/POBLA!$B$6*100000</f>
        <v>569.32497383567647</v>
      </c>
      <c r="H11287" s="256">
        <f t="shared" si="1942"/>
        <v>0.618913676042677</v>
      </c>
      <c r="I11287" s="297">
        <f t="shared" si="1943"/>
        <v>352.36301241953942</v>
      </c>
      <c r="J11287" s="422">
        <f t="shared" si="1944"/>
        <v>380.85714285714283</v>
      </c>
      <c r="K11287" s="297">
        <f>J11287/POBLA!$B$6*100000</f>
        <v>33.980799701030143</v>
      </c>
      <c r="L11287" s="200">
        <f t="shared" si="1945"/>
        <v>-0.28236877523553161</v>
      </c>
      <c r="M11287" s="401">
        <f>SUM(C11287,C11263,C11239,C11215,C11191,C11167,C11143)/POBLA!$B$6*100000</f>
        <v>237.86559790721103</v>
      </c>
    </row>
    <row r="11288" spans="1:19" x14ac:dyDescent="0.25">
      <c r="A11288" s="367" t="s">
        <v>20</v>
      </c>
      <c r="B11288" s="2">
        <v>44363</v>
      </c>
      <c r="C11288" s="1">
        <v>3589</v>
      </c>
      <c r="D11288" s="39">
        <f t="shared" si="1940"/>
        <v>375095</v>
      </c>
      <c r="E11288" s="1">
        <v>52</v>
      </c>
      <c r="F11288" s="39">
        <f t="shared" si="1941"/>
        <v>4603</v>
      </c>
      <c r="G11288" s="168">
        <f>SUM(C11288,C11264,C11240,C11216,C11192,C11168,C11144,C11120,C11096,C11072,C11048,C11024,C11000,C10976)/POBLA!$B$7*100000</f>
        <v>1411.2406759829275</v>
      </c>
      <c r="H11288" s="256">
        <f t="shared" si="1942"/>
        <v>0.97101714453003496</v>
      </c>
      <c r="I11288" s="297">
        <f t="shared" si="1943"/>
        <v>1370.3388914375787</v>
      </c>
      <c r="J11288" s="422">
        <f t="shared" si="1944"/>
        <v>3399.7142857142858</v>
      </c>
      <c r="K11288" s="297">
        <f>J11288/POBLA!$B$7*100000</f>
        <v>90.407113130457404</v>
      </c>
      <c r="L11288" s="200">
        <f t="shared" si="1945"/>
        <v>-0.18697687130607088</v>
      </c>
      <c r="M11288" s="401">
        <f>SUM(C11288,C11264,C11240,C11216,C11192,C11168,C11144)/POBLA!$B$7*100000</f>
        <v>632.8497919132019</v>
      </c>
    </row>
    <row r="11289" spans="1:19" x14ac:dyDescent="0.25">
      <c r="A11289" s="367" t="s">
        <v>31</v>
      </c>
      <c r="B11289" s="2">
        <v>44363</v>
      </c>
      <c r="C11289" s="1">
        <v>1003</v>
      </c>
      <c r="D11289" s="39">
        <f t="shared" si="1940"/>
        <v>100385</v>
      </c>
      <c r="E11289" s="1">
        <v>26</v>
      </c>
      <c r="F11289" s="39">
        <f t="shared" si="1941"/>
        <v>1578</v>
      </c>
      <c r="G11289" s="168">
        <f>SUM(C11289,C11265,C11241,C11217,C11193,C11169,C11145,C11121,C11097,C11073,C11049,C11025,C11001,C10977)/POBLA!$B$8*100000</f>
        <v>874.41132903451103</v>
      </c>
      <c r="H11289" s="256">
        <f t="shared" si="1942"/>
        <v>0.88125363583478766</v>
      </c>
      <c r="I11289" s="297">
        <f t="shared" si="1943"/>
        <v>770.57816292679172</v>
      </c>
      <c r="J11289" s="422">
        <f t="shared" si="1944"/>
        <v>834.71428571428567</v>
      </c>
      <c r="K11289" s="297">
        <f>J11289/POBLA!$B$8*100000</f>
        <v>60.226390620968829</v>
      </c>
      <c r="L11289" s="200">
        <f t="shared" si="1945"/>
        <v>-6.8992989165073348E-2</v>
      </c>
      <c r="M11289" s="401">
        <f>SUM(C11289,C11265,C11241,C11217,C11193,C11169,C11145)/POBLA!$B$8*100000</f>
        <v>421.58473434678177</v>
      </c>
    </row>
    <row r="11290" spans="1:19" x14ac:dyDescent="0.25">
      <c r="A11290" s="367" t="s">
        <v>41</v>
      </c>
      <c r="B11290" s="2">
        <v>44363</v>
      </c>
      <c r="C11290" s="1">
        <v>435</v>
      </c>
      <c r="D11290" s="39">
        <f t="shared" si="1940"/>
        <v>39540</v>
      </c>
      <c r="E11290" s="1">
        <v>16</v>
      </c>
      <c r="F11290" s="39">
        <f t="shared" si="1941"/>
        <v>678</v>
      </c>
      <c r="G11290" s="168">
        <f>SUM(C11290,C11266,C11242,C11218,C11194,C11170,C11146,C11122,C11098,C11074,C11050,C11026,C11002,C10978)/POBLA!$B$9*100000</f>
        <v>1149.715875761947</v>
      </c>
      <c r="H11290" s="256">
        <f t="shared" si="1942"/>
        <v>0.51763130486534736</v>
      </c>
      <c r="I11290" s="297">
        <f>G11290*H11290</f>
        <v>595.12892899506221</v>
      </c>
      <c r="J11290" s="422">
        <f t="shared" si="1944"/>
        <v>376.71428571428572</v>
      </c>
      <c r="K11290" s="297">
        <f>J11290/POBLA!$B$9*100000</f>
        <v>62.246966788162737</v>
      </c>
      <c r="L11290" s="200">
        <f t="shared" si="1945"/>
        <v>-0.38972460078685489</v>
      </c>
      <c r="M11290" s="401">
        <f>SUM(C11290,C11266,C11242,C11218,C11194,C11170,C11146)/POBLA!$B$9*100000</f>
        <v>435.72876751713915</v>
      </c>
    </row>
    <row r="11291" spans="1:19" x14ac:dyDescent="0.25">
      <c r="A11291" s="367" t="s">
        <v>32</v>
      </c>
      <c r="B11291" s="2">
        <v>44363</v>
      </c>
      <c r="C11291" s="1">
        <v>291</v>
      </c>
      <c r="D11291" s="39">
        <f t="shared" si="1940"/>
        <v>32397</v>
      </c>
      <c r="E11291" s="1">
        <v>4</v>
      </c>
      <c r="F11291" s="39">
        <f t="shared" si="1941"/>
        <v>1118</v>
      </c>
      <c r="G11291" s="168">
        <f>SUM(C11291,C11267,C11243,C11219,C11195,C11171,C11147,C11123,C11099,C11075,C11051,C11027,C11003,C10979)/POBLA!$B$10*100000</f>
        <v>454.2854214852876</v>
      </c>
      <c r="H11291" s="256">
        <f t="shared" si="1942"/>
        <v>1.5279232111692844</v>
      </c>
      <c r="I11291" s="297">
        <f t="shared" ref="I11291:I11305" si="1946">G11291*H11291</f>
        <v>694.11323998319244</v>
      </c>
      <c r="J11291" s="422">
        <f t="shared" si="1944"/>
        <v>255.85714285714286</v>
      </c>
      <c r="K11291" s="297">
        <f>J11291/POBLA!$B$10*100000</f>
        <v>33.190225580490747</v>
      </c>
      <c r="L11291" s="200">
        <f t="shared" si="1945"/>
        <v>4.6756282875511479E-2</v>
      </c>
      <c r="M11291" s="401">
        <f>SUM(C11291,C11267,C11243,C11219,C11195,C11171,C11147)/POBLA!$B$10*100000</f>
        <v>232.33157906343521</v>
      </c>
    </row>
    <row r="11292" spans="1:19" x14ac:dyDescent="0.25">
      <c r="A11292" s="367" t="s">
        <v>33</v>
      </c>
      <c r="B11292" s="2">
        <v>44363</v>
      </c>
      <c r="C11292" s="1">
        <v>282</v>
      </c>
      <c r="D11292" s="39">
        <f t="shared" si="1940"/>
        <v>48266</v>
      </c>
      <c r="E11292" s="1">
        <v>2</v>
      </c>
      <c r="F11292" s="39">
        <f t="shared" si="1941"/>
        <v>667</v>
      </c>
      <c r="G11292" s="168">
        <f>SUM(C11292,C11268,C11244,C11220,C11196,C11172,C11148,C11124,C11100,C11076,C11052,C11028,C11004,C10980)/POBLA!$B$11*100000</f>
        <v>1250.1813474393741</v>
      </c>
      <c r="H11292" s="256">
        <f t="shared" si="1942"/>
        <v>0.55307331523080716</v>
      </c>
      <c r="I11292" s="297">
        <f t="shared" si="1946"/>
        <v>691.44194246801226</v>
      </c>
      <c r="J11292" s="422">
        <f t="shared" si="1944"/>
        <v>280.28571428571428</v>
      </c>
      <c r="K11292" s="297">
        <f>J11292/POBLA!$B$11*100000</f>
        <v>78.198610121339371</v>
      </c>
      <c r="L11292" s="200">
        <f t="shared" si="1945"/>
        <v>-0.22111949186184998</v>
      </c>
      <c r="M11292" s="401">
        <f>SUM(C11292,C11268,C11244,C11220,C11196,C11172,C11148)/POBLA!$B$11*100000</f>
        <v>547.39027084937561</v>
      </c>
    </row>
    <row r="11293" spans="1:19" x14ac:dyDescent="0.25">
      <c r="A11293" s="367" t="s">
        <v>21</v>
      </c>
      <c r="B11293" s="2">
        <v>44363</v>
      </c>
      <c r="C11293" s="1">
        <v>145</v>
      </c>
      <c r="D11293" s="39">
        <f t="shared" si="1940"/>
        <v>19999</v>
      </c>
      <c r="F11293" s="39">
        <f t="shared" si="1941"/>
        <v>580</v>
      </c>
      <c r="G11293" s="168">
        <f>SUM(C11293,C11269,C11245,C11221,C11197,C11173,C11149,C11125,C11101,C11077,C11053,C11029,C11005,C10981)/POBLA!$B$12*100000</f>
        <v>572.50890018829523</v>
      </c>
      <c r="H11293" s="256">
        <f t="shared" si="1942"/>
        <v>1.0035634743875279</v>
      </c>
      <c r="I11293" s="297">
        <f t="shared" si="1946"/>
        <v>574.54902099074798</v>
      </c>
      <c r="J11293" s="422">
        <f t="shared" si="1944"/>
        <v>143</v>
      </c>
      <c r="K11293" s="297">
        <f>J11293/POBLA!$B$12*100000</f>
        <v>36.337670983988552</v>
      </c>
      <c r="L11293" s="200">
        <f t="shared" si="1945"/>
        <v>-0.20047923322683703</v>
      </c>
      <c r="M11293" s="401">
        <f>SUM(C11293,C11269,C11245,C11221,C11197,C11173,C11149)/POBLA!$B$12*100000</f>
        <v>254.36369688791987</v>
      </c>
    </row>
    <row r="11294" spans="1:19" x14ac:dyDescent="0.25">
      <c r="A11294" s="367" t="s">
        <v>17</v>
      </c>
      <c r="B11294" s="2">
        <v>44363</v>
      </c>
      <c r="C11294" s="1">
        <v>771</v>
      </c>
      <c r="D11294" s="39">
        <f t="shared" si="1940"/>
        <v>132016</v>
      </c>
      <c r="E11294" s="1">
        <v>26</v>
      </c>
      <c r="F11294" s="39">
        <f t="shared" si="1941"/>
        <v>2985</v>
      </c>
      <c r="G11294" s="168">
        <f>SUM(C11294,C11270,C11246,C11222,C11198,C11174,C11150,C11126,C11102,C11078,C11054,C11030,C11006,C10982)/POBLA!$B$13*100000</f>
        <v>466.00125204864696</v>
      </c>
      <c r="H11294" s="256">
        <f t="shared" si="1942"/>
        <v>0.82327356648322381</v>
      </c>
      <c r="I11294" s="297">
        <f t="shared" si="1946"/>
        <v>383.64651275973728</v>
      </c>
      <c r="J11294" s="422">
        <f t="shared" si="1944"/>
        <v>649</v>
      </c>
      <c r="K11294" s="297">
        <f>J11294/POBLA!$B$13*100000</f>
        <v>32.607526962757078</v>
      </c>
      <c r="L11294" s="200">
        <f t="shared" si="1945"/>
        <v>-3.9940828402366901E-2</v>
      </c>
      <c r="M11294" s="401">
        <f>SUM(C11294,C11270,C11246,C11222,C11198,C11174,C11150)/POBLA!$B$13*100000</f>
        <v>228.25268873929954</v>
      </c>
    </row>
    <row r="11295" spans="1:19" x14ac:dyDescent="0.25">
      <c r="A11295" s="367" t="s">
        <v>23</v>
      </c>
      <c r="B11295" s="2">
        <v>44363</v>
      </c>
      <c r="C11295" s="1">
        <v>201</v>
      </c>
      <c r="D11295" s="39">
        <f t="shared" si="1940"/>
        <v>23235</v>
      </c>
      <c r="E11295" s="1">
        <v>4</v>
      </c>
      <c r="F11295" s="39">
        <f t="shared" si="1941"/>
        <v>362</v>
      </c>
      <c r="G11295" s="168">
        <f>SUM(C11295,C11271,C11247,C11223,C11199,C11175,C11151,C11127,C11103,C11079,C11055,C11031,C11007,C10983)/POBLA!$B$14*100000</f>
        <v>193.2935540801748</v>
      </c>
      <c r="H11295" s="256">
        <f t="shared" si="1942"/>
        <v>0.99632202697180217</v>
      </c>
      <c r="I11295" s="297">
        <f t="shared" si="1946"/>
        <v>192.58262560174342</v>
      </c>
      <c r="J11295" s="422">
        <f t="shared" si="1944"/>
        <v>169.14285714285714</v>
      </c>
      <c r="K11295" s="297">
        <f>J11295/POBLA!$B$14*100000</f>
        <v>13.410264152755595</v>
      </c>
      <c r="L11295" s="200">
        <f t="shared" si="1945"/>
        <v>-5.5821371610845327E-2</v>
      </c>
      <c r="M11295" s="401">
        <f>SUM(C11295,C11271,C11247,C11223,C11199,C11175,C11151)/POBLA!$B$14*100000</f>
        <v>93.871849069289155</v>
      </c>
    </row>
    <row r="11296" spans="1:19" x14ac:dyDescent="0.25">
      <c r="A11296" s="367" t="s">
        <v>19</v>
      </c>
      <c r="B11296" s="2">
        <v>44363</v>
      </c>
      <c r="C11296" s="1">
        <v>329</v>
      </c>
      <c r="D11296" s="39">
        <f t="shared" si="1940"/>
        <v>98039</v>
      </c>
      <c r="E11296" s="1">
        <v>29</v>
      </c>
      <c r="F11296" s="39">
        <f t="shared" si="1941"/>
        <v>1555</v>
      </c>
      <c r="G11296" s="168">
        <f>SUM(C11296,C11272,C11248,C11224,C11200,C11176,C11152,C11128,C11104,C11080,C11056,C11032,C11008,C10984)/POBLA!$B$15*100000</f>
        <v>890.28502071358332</v>
      </c>
      <c r="H11296" s="256">
        <f t="shared" si="1942"/>
        <v>0.5145343777197563</v>
      </c>
      <c r="I11296" s="297">
        <f t="shared" si="1946"/>
        <v>458.08224912608392</v>
      </c>
      <c r="J11296" s="422">
        <f t="shared" si="1944"/>
        <v>334.28571428571428</v>
      </c>
      <c r="K11296" s="297">
        <f>J11296/POBLA!$B$15*100000</f>
        <v>50.339912731243594</v>
      </c>
      <c r="L11296" s="200">
        <f t="shared" si="1945"/>
        <v>-0.34490481522956329</v>
      </c>
      <c r="M11296" s="401">
        <f>SUM(C11296,C11272,C11248,C11224,C11200,C11176,C11152)/POBLA!$B$15*100000</f>
        <v>352.37938911870515</v>
      </c>
    </row>
    <row r="11297" spans="1:13" x14ac:dyDescent="0.25">
      <c r="A11297" s="367" t="s">
        <v>18</v>
      </c>
      <c r="B11297" s="2">
        <v>44363</v>
      </c>
      <c r="C11297" s="1">
        <v>381</v>
      </c>
      <c r="D11297" s="39">
        <f t="shared" si="1940"/>
        <v>80598</v>
      </c>
      <c r="E11297" s="1">
        <v>12</v>
      </c>
      <c r="F11297" s="39">
        <f t="shared" si="1941"/>
        <v>1817</v>
      </c>
      <c r="G11297" s="168">
        <f>SUM(C11297,C11273,C11249,C11225,C11201,C11177,C11153,C11129,C11105,C11081,C11057,C11033,C11009,C10985)/POBLA!$B$16*100000</f>
        <v>706.91938310081457</v>
      </c>
      <c r="H11297" s="256">
        <f t="shared" si="1942"/>
        <v>0.71661016949152545</v>
      </c>
      <c r="I11297" s="297">
        <f t="shared" si="1946"/>
        <v>506.58561894071931</v>
      </c>
      <c r="J11297" s="422">
        <f t="shared" si="1944"/>
        <v>368.42857142857144</v>
      </c>
      <c r="K11297" s="297">
        <f>J11297/POBLA!$B$16*100000</f>
        <v>49.280851169536454</v>
      </c>
      <c r="L11297" s="200">
        <f t="shared" si="1945"/>
        <v>-4.6932742054693222E-2</v>
      </c>
      <c r="M11297" s="401">
        <f>SUM(C11297,C11273,C11249,C11225,C11201,C11177,C11153)/POBLA!$B$16*100000</f>
        <v>344.96595818675513</v>
      </c>
    </row>
    <row r="11298" spans="1:13" x14ac:dyDescent="0.25">
      <c r="A11298" s="367" t="s">
        <v>34</v>
      </c>
      <c r="B11298" s="2">
        <v>44363</v>
      </c>
      <c r="C11298" s="1">
        <v>654</v>
      </c>
      <c r="D11298" s="39">
        <f t="shared" si="1940"/>
        <v>54435</v>
      </c>
      <c r="E11298" s="1">
        <v>6</v>
      </c>
      <c r="F11298" s="39">
        <f t="shared" si="1941"/>
        <v>1556</v>
      </c>
      <c r="G11298" s="168">
        <f>SUM(C11298,C11274,C11250,C11226,C11202,C11178,C11154,C11130,C11106,C11082,C11058,C11034,C11010,C10986)/POBLA!$B$17*100000</f>
        <v>537.56080643247628</v>
      </c>
      <c r="H11298" s="256">
        <f t="shared" si="1942"/>
        <v>1.0801241359853293</v>
      </c>
      <c r="I11298" s="297">
        <f t="shared" si="1946"/>
        <v>580.63240158745532</v>
      </c>
      <c r="J11298" s="422">
        <f t="shared" si="1944"/>
        <v>534.42857142857144</v>
      </c>
      <c r="K11298" s="297">
        <f>J11298/POBLA!$B$17*100000</f>
        <v>37.519636128731769</v>
      </c>
      <c r="L11298" s="200">
        <f t="shared" si="1945"/>
        <v>-4.4688457609805887E-2</v>
      </c>
      <c r="M11298" s="401">
        <f>SUM(C11298,C11274,C11250,C11226,C11202,C11178,C11154)/POBLA!$B$17*100000</f>
        <v>262.63745290112234</v>
      </c>
    </row>
    <row r="11299" spans="1:13" x14ac:dyDescent="0.25">
      <c r="A11299" s="367" t="s">
        <v>35</v>
      </c>
      <c r="B11299" s="2">
        <v>44363</v>
      </c>
      <c r="C11299" s="1">
        <v>548</v>
      </c>
      <c r="D11299" s="39">
        <f t="shared" si="1940"/>
        <v>44958</v>
      </c>
      <c r="E11299" s="1">
        <v>8</v>
      </c>
      <c r="F11299" s="39">
        <f t="shared" si="1941"/>
        <v>739</v>
      </c>
      <c r="G11299" s="168">
        <f>SUM(C11299,C11275,C11251,C11227,C11203,C11179,C11155,C11131,C11107,C11083,C11059,C11035,C11011,C10987)/POBLA!$B$18*100000</f>
        <v>848.29183184697717</v>
      </c>
      <c r="H11299" s="256">
        <f t="shared" si="1942"/>
        <v>0.9268531468531469</v>
      </c>
      <c r="I11299" s="297">
        <f t="shared" si="1946"/>
        <v>786.24195379719129</v>
      </c>
      <c r="J11299" s="422">
        <f t="shared" si="1944"/>
        <v>488.14285714285717</v>
      </c>
      <c r="K11299" s="297">
        <f>J11299/POBLA!$B$18*100000</f>
        <v>62.484925077520998</v>
      </c>
      <c r="L11299" s="200">
        <f t="shared" si="1945"/>
        <v>6.4485981308411322E-2</v>
      </c>
      <c r="M11299" s="401">
        <f>SUM(C11299,C11275,C11251,C11227,C11203,C11179,C11155)/POBLA!$B$18*100000</f>
        <v>437.39447554264689</v>
      </c>
    </row>
    <row r="11300" spans="1:13" x14ac:dyDescent="0.25">
      <c r="A11300" s="367" t="s">
        <v>36</v>
      </c>
      <c r="B11300" s="2">
        <v>44363</v>
      </c>
      <c r="C11300" s="1">
        <v>303</v>
      </c>
      <c r="D11300" s="39">
        <f t="shared" si="1940"/>
        <v>60602</v>
      </c>
      <c r="E11300" s="1">
        <v>23</v>
      </c>
      <c r="F11300" s="39">
        <f t="shared" si="1941"/>
        <v>847</v>
      </c>
      <c r="G11300" s="168">
        <f>SUM(C11300,C11276,C11252,C11228,C11204,C11180,C11156,C11132,C11108,C11084,C11060,C11036,C11012,C10988)/POBLA!$B$19*100000</f>
        <v>1297.1939377724618</v>
      </c>
      <c r="H11300" s="256">
        <f t="shared" si="1942"/>
        <v>0.81347150259067358</v>
      </c>
      <c r="I11300" s="297">
        <f t="shared" si="1946"/>
        <v>1055.2303017112772</v>
      </c>
      <c r="J11300" s="422">
        <f t="shared" si="1944"/>
        <v>420.14285714285717</v>
      </c>
      <c r="K11300" s="297">
        <f>J11300/POBLA!$B$19*100000</f>
        <v>82.651921031864703</v>
      </c>
      <c r="L11300" s="200">
        <f t="shared" si="1945"/>
        <v>-0.19490829455242265</v>
      </c>
      <c r="M11300" s="401">
        <f>SUM(C11300,C11276,C11252,C11228,C11204,C11180,C11156)/POBLA!$B$19*100000</f>
        <v>578.56344722305289</v>
      </c>
    </row>
    <row r="11301" spans="1:13" x14ac:dyDescent="0.25">
      <c r="A11301" s="367" t="s">
        <v>37</v>
      </c>
      <c r="B11301" s="2">
        <v>44363</v>
      </c>
      <c r="C11301" s="1">
        <v>151</v>
      </c>
      <c r="D11301" s="39">
        <f t="shared" si="1940"/>
        <v>54030</v>
      </c>
      <c r="E11301" s="1">
        <v>3</v>
      </c>
      <c r="F11301" s="39">
        <f t="shared" si="1941"/>
        <v>836</v>
      </c>
      <c r="G11301" s="168">
        <f>SUM(C11301,C11277,C11254,C11229,C11205,C11181,C11157,C11133,C11109,C11085,C11061,C11037,C11013,C10989)/POBLA!$B$20*100000</f>
        <v>980.86399159962593</v>
      </c>
      <c r="H11301" s="256">
        <f t="shared" si="1942"/>
        <v>0.67019867549668877</v>
      </c>
      <c r="I11301" s="297">
        <f t="shared" si="1946"/>
        <v>657.3737480124646</v>
      </c>
      <c r="J11301" s="422">
        <f t="shared" si="1944"/>
        <v>126.57142857142857</v>
      </c>
      <c r="K11301" s="297">
        <f>J11301/POBLA!$B$20*100000</f>
        <v>34.610916267365027</v>
      </c>
      <c r="L11301" s="200">
        <f t="shared" si="1945"/>
        <v>-0.2214411247803163</v>
      </c>
      <c r="M11301" s="401">
        <f>SUM(C11301,C11277,C11253,C11229,C11205,C11181,C11157)/POBLA!$B$20*100000</f>
        <v>242.27641387155521</v>
      </c>
    </row>
    <row r="11302" spans="1:13" x14ac:dyDescent="0.25">
      <c r="A11302" s="367" t="s">
        <v>22</v>
      </c>
      <c r="B11302" s="2">
        <v>44363</v>
      </c>
      <c r="C11302" s="1">
        <v>2241</v>
      </c>
      <c r="D11302" s="39">
        <f t="shared" si="1940"/>
        <v>383275</v>
      </c>
      <c r="E11302" s="1">
        <v>59</v>
      </c>
      <c r="F11302" s="39">
        <f t="shared" si="1941"/>
        <v>6204</v>
      </c>
      <c r="G11302" s="168">
        <f>SUM(C11302,C11278,C11254,C11230,C11206,C11182,C11158,C11134,C11110,C11086,C11062,C11038,C11014,C10990)/POBLA!$B$21*100000</f>
        <v>882.55969741133538</v>
      </c>
      <c r="H11302" s="256">
        <f t="shared" si="1942"/>
        <v>0.76029816569632891</v>
      </c>
      <c r="I11302" s="297">
        <f t="shared" si="1946"/>
        <v>671.00851905934542</v>
      </c>
      <c r="J11302" s="422">
        <f t="shared" si="1944"/>
        <v>2022.1428571428571</v>
      </c>
      <c r="K11302" s="297">
        <f>J11302/POBLA!$B$21*100000</f>
        <v>57.180538532007724</v>
      </c>
      <c r="L11302" s="200">
        <f t="shared" si="1945"/>
        <v>-0.17008677298311448</v>
      </c>
      <c r="M11302" s="401">
        <f>SUM(C11302,C11278,C11254,C11230,C11206,C11182,C11158)/POBLA!$B$21*100000</f>
        <v>400.2637697240541</v>
      </c>
    </row>
    <row r="11303" spans="1:13" x14ac:dyDescent="0.25">
      <c r="A11303" s="367" t="s">
        <v>38</v>
      </c>
      <c r="B11303" s="2">
        <v>44363</v>
      </c>
      <c r="C11303" s="1">
        <v>715</v>
      </c>
      <c r="D11303" s="39">
        <f t="shared" si="1940"/>
        <v>52363</v>
      </c>
      <c r="E11303" s="1">
        <v>15</v>
      </c>
      <c r="F11303" s="39">
        <f t="shared" si="1941"/>
        <v>691</v>
      </c>
      <c r="G11303" s="168">
        <f>SUM(C11303,C11279,C11255,C11231,C11207,C11183,C11159,C11135,C11111,C11087,C11063,C11039,C11015,C10991)/POBLA!$B$22*100000</f>
        <v>770.51005148658965</v>
      </c>
      <c r="H11303" s="256">
        <f t="shared" si="1942"/>
        <v>0.94378364842869666</v>
      </c>
      <c r="I11303" s="297">
        <f t="shared" si="1946"/>
        <v>727.19478754299644</v>
      </c>
      <c r="J11303" s="422">
        <f t="shared" si="1944"/>
        <v>508</v>
      </c>
      <c r="K11303" s="297">
        <f>J11303/POBLA!$B$22*100000</f>
        <v>51.92612180355367</v>
      </c>
      <c r="L11303" s="200">
        <f t="shared" si="1945"/>
        <v>-0.10698141637368153</v>
      </c>
      <c r="M11303" s="401">
        <f>SUM(C11303,C11279,C11255,C11231,C11207,C11183,C11159)/POBLA!$B$22*100000</f>
        <v>363.4828526248757</v>
      </c>
    </row>
    <row r="11304" spans="1:13" x14ac:dyDescent="0.25">
      <c r="A11304" s="367" t="s">
        <v>39</v>
      </c>
      <c r="B11304" s="2">
        <v>44363</v>
      </c>
      <c r="C11304" s="1">
        <v>87</v>
      </c>
      <c r="D11304" s="39">
        <f t="shared" si="1940"/>
        <v>29178</v>
      </c>
      <c r="F11304" s="39">
        <f t="shared" si="1941"/>
        <v>433</v>
      </c>
      <c r="G11304" s="168">
        <f>SUM(C11304,C11280,C11256,C11232,C11208,C11184,C11160,C11136,C11112,C11088,C11064,C11040,C11016,C10992)/POBLA!$B$23*100000</f>
        <v>325.17106825764859</v>
      </c>
      <c r="H11304" s="256">
        <f t="shared" si="1942"/>
        <v>0.68370986920332932</v>
      </c>
      <c r="I11304" s="297">
        <f t="shared" si="1946"/>
        <v>222.32266854714379</v>
      </c>
      <c r="J11304" s="422">
        <f t="shared" si="1944"/>
        <v>36.428571428571431</v>
      </c>
      <c r="K11304" s="297">
        <f>J11304/POBLA!$B$23*100000</f>
        <v>20.600899976571526</v>
      </c>
      <c r="L11304" s="200">
        <f t="shared" si="1945"/>
        <v>-0.203125</v>
      </c>
      <c r="M11304" s="401">
        <f>SUM(C11304,C11280,C11256,C11232,C11208,C11184,C11160)/POBLA!$B$23*100000</f>
        <v>144.20629983600068</v>
      </c>
    </row>
    <row r="11305" spans="1:13" ht="15.75" thickBot="1" x14ac:dyDescent="0.3">
      <c r="A11305" s="368" t="s">
        <v>40</v>
      </c>
      <c r="B11305" s="34">
        <v>44363</v>
      </c>
      <c r="C11305" s="232">
        <v>882</v>
      </c>
      <c r="D11305" s="67">
        <f t="shared" si="1940"/>
        <v>143994</v>
      </c>
      <c r="E11305" s="232">
        <v>13</v>
      </c>
      <c r="F11305" s="67">
        <f t="shared" si="1941"/>
        <v>2127</v>
      </c>
      <c r="G11305" s="177">
        <f>SUM(C11305,C11281,C11257,C11233,C11209,C11185,C11161,C11137,C11113,C11089,C11065,C11041,C11017,C10993)/POBLA!$B$24*100000</f>
        <v>701.20425620302888</v>
      </c>
      <c r="H11305" s="402">
        <f t="shared" si="1942"/>
        <v>0.8329011004415785</v>
      </c>
      <c r="I11305" s="299">
        <f t="shared" si="1946"/>
        <v>584.03379662582131</v>
      </c>
      <c r="J11305" s="428">
        <f t="shared" si="1944"/>
        <v>827.14285714285711</v>
      </c>
      <c r="K11305" s="299">
        <f>J11305/POBLA!$B$24*100000</f>
        <v>48.808894379912921</v>
      </c>
      <c r="L11305" s="260">
        <f t="shared" si="1945"/>
        <v>-4.9729197439684847E-2</v>
      </c>
      <c r="M11305" s="406">
        <f>SUM(C11305,C11281,C11257,C11233,C11209,C11185,C11161)/POBLA!$B$24*100000</f>
        <v>341.66226065939048</v>
      </c>
    </row>
    <row r="11306" spans="1:13" x14ac:dyDescent="0.25">
      <c r="A11306" s="363" t="s">
        <v>16</v>
      </c>
      <c r="B11306" s="265">
        <v>44364</v>
      </c>
      <c r="C11306" s="487">
        <v>8185</v>
      </c>
      <c r="D11306" s="174">
        <f>C11306+D11282</f>
        <v>1762347</v>
      </c>
      <c r="E11306" s="43">
        <v>214</v>
      </c>
      <c r="F11306" s="174">
        <f t="shared" ref="F11306:F11329" si="1947">E11306+F11282</f>
        <v>44696</v>
      </c>
      <c r="G11306" s="175">
        <f>SUM(C11306,C11282,C11234,C11258,C11210,C11186,C11162,C11138,C11114,C11090,C11066,C11042,C11018,C10994)/POBLA!$B$1*100000</f>
        <v>656.41111943630119</v>
      </c>
      <c r="H11306" s="300">
        <f>SUM(C11306,C11282,C11258,C11234,C11210,C11186,C11162,C11138,C11114,C11090,C11066,C11042,C11018,C10994,)/SUM(C10970,C10946,C10922,C10898,C10874,C10850,C10826,C10802,C10778,C10754,C10730,C10706,C10682,C10658)</f>
        <v>0.74060114104881292</v>
      </c>
      <c r="I11306" s="301">
        <f>G11306*H11306</f>
        <v>486.13882405165327</v>
      </c>
      <c r="J11306" s="421">
        <f>AVERAGE(C11306,C11282,C11258,C11234,C11210,C11186,C11162)</f>
        <v>7724.8571428571431</v>
      </c>
      <c r="K11306" s="301">
        <f>J11306/POBLA!$B$1*100000</f>
        <v>44.038510053919197</v>
      </c>
      <c r="L11306" s="399">
        <f t="shared" si="1945"/>
        <v>-0.1145280670727713</v>
      </c>
      <c r="M11306" s="400">
        <f>SUM(C11306,C11282,C11258,C11234,C11210,C11186,C11162)/POBLA!$B$1*100000</f>
        <v>308.26957037743438</v>
      </c>
    </row>
    <row r="11307" spans="1:13" x14ac:dyDescent="0.25">
      <c r="A11307" s="367" t="s">
        <v>43</v>
      </c>
      <c r="B11307" s="2">
        <v>44364</v>
      </c>
      <c r="C11307" s="487">
        <v>1590</v>
      </c>
      <c r="D11307" s="39">
        <f t="shared" si="1940"/>
        <v>447817</v>
      </c>
      <c r="E11307" s="1">
        <v>23</v>
      </c>
      <c r="F11307" s="39">
        <f t="shared" si="1947"/>
        <v>9893</v>
      </c>
      <c r="G11307" s="168">
        <f>SUM(C11307,C11283,C11259,C11235,C11211,C11187,C11163,C11139,C11115,C11091,C11067,C11043,C11019,C10995)/POBLA!$B$2*100000</f>
        <v>747.06256831898077</v>
      </c>
      <c r="H11307" s="256">
        <f t="shared" ref="H11307:H11329" si="1948">SUM(C11307,C11283,C11259,C11235,C11211,C11187,C11163,C11139,C11115,C11091,C11067,C11043,C11019,C10995,)/SUM(C10971,C10947,C10923,C10899,C10875,C10851,C10827,C10803,C10779,C10755,C10731,C10707,C10683,C10659)</f>
        <v>0.66185620463187</v>
      </c>
      <c r="I11307" s="297">
        <f t="shared" ref="I11307:I11313" si="1949">G11307*H11307</f>
        <v>494.44799609013768</v>
      </c>
      <c r="J11307" s="422">
        <f>AVERAGE(C11307,C11283,C11259,C11235,C11211,C11187,C11163)</f>
        <v>1565.8571428571429</v>
      </c>
      <c r="K11307" s="297">
        <f>J11307/POBLA!$B$2*100000</f>
        <v>50.911487955933254</v>
      </c>
      <c r="L11307" s="200">
        <f>(SUM(C11307,C11283,C11259,C11235,C11211,C11187,C11163)/SUM(C11139,C11115,C11091,C11067,C11043,C11019,C10995))-1</f>
        <v>-8.7799600532623145E-2</v>
      </c>
      <c r="M11307" s="401">
        <f>SUM(C11307,C11283,C11259,C11235,C11211,C11187,C11163)/POBLA!$B$2*100000</f>
        <v>356.38041569153279</v>
      </c>
    </row>
    <row r="11308" spans="1:13" x14ac:dyDescent="0.25">
      <c r="A11308" s="367" t="s">
        <v>28</v>
      </c>
      <c r="B11308" s="2">
        <v>44364</v>
      </c>
      <c r="C11308" s="487">
        <v>301</v>
      </c>
      <c r="D11308" s="39">
        <f t="shared" si="1940"/>
        <v>30359</v>
      </c>
      <c r="F11308" s="39">
        <f t="shared" si="1947"/>
        <v>256</v>
      </c>
      <c r="G11308" s="168">
        <f>SUM(C11308,C11284,C11260,C11236,C11212,C11188,C11164,C11140,C11116,C11092,C11068,C11044,C11020,C10996)/POBLA!$B$3*100000</f>
        <v>1294.778041488742</v>
      </c>
      <c r="H11308" s="256">
        <f t="shared" si="1948"/>
        <v>0.94252672157000172</v>
      </c>
      <c r="I11308" s="297">
        <f t="shared" si="1949"/>
        <v>1220.3629026052117</v>
      </c>
      <c r="J11308" s="422">
        <f t="shared" ref="J11308:J11329" si="1950">AVERAGE(C11308,C11284,C11260,C11236,C11212,C11188,C11164)</f>
        <v>333.57142857142856</v>
      </c>
      <c r="K11308" s="297">
        <f>J11308/POBLA!$B$3*100000</f>
        <v>80.293913549417368</v>
      </c>
      <c r="L11308" s="200">
        <f t="shared" ref="L11308:L11330" si="1951">(SUM(C11308,C11284,C11260,C11236,C11212,C11188,C11164)/SUM(C11140,C11116,C11092,C11068,C11044,C11020,C10996))-1</f>
        <v>-0.23291721419185285</v>
      </c>
      <c r="M11308" s="401">
        <f>SUM(C11308,C11284,C11260,C11236,C11212,C11188,C11164)/POBLA!$B$3*100000</f>
        <v>562.05739484592164</v>
      </c>
    </row>
    <row r="11309" spans="1:13" x14ac:dyDescent="0.25">
      <c r="A11309" s="367" t="s">
        <v>15</v>
      </c>
      <c r="B11309" s="2">
        <v>44364</v>
      </c>
      <c r="C11309" s="487">
        <v>607</v>
      </c>
      <c r="D11309" s="39">
        <f t="shared" si="1940"/>
        <v>70041</v>
      </c>
      <c r="E11309" s="1">
        <v>20</v>
      </c>
      <c r="F11309" s="39">
        <f t="shared" si="1947"/>
        <v>1474</v>
      </c>
      <c r="G11309" s="168">
        <f>SUM(C11309,C11285,C11261,C11237,C11213,C11189,C11165,C11141,C11117,C11093,C11069,C11045,C11021,C10997)/POBLA!$B$4*100000</f>
        <v>781.04439782456552</v>
      </c>
      <c r="H11309" s="256">
        <f t="shared" si="1948"/>
        <v>1.0454494943882653</v>
      </c>
      <c r="I11309" s="297">
        <f t="shared" si="1949"/>
        <v>816.54247080047912</v>
      </c>
      <c r="J11309" s="422">
        <f t="shared" si="1950"/>
        <v>607.42857142857144</v>
      </c>
      <c r="K11309" s="297">
        <f>J11309/POBLA!$B$4*100000</f>
        <v>50.428218834275576</v>
      </c>
      <c r="L11309" s="200">
        <f t="shared" si="1951"/>
        <v>-0.1753297129557797</v>
      </c>
      <c r="M11309" s="401">
        <f>SUM(C11309,C11285,C11261,C11237,C11213,C11189,C11165)/POBLA!$B$4*100000</f>
        <v>352.99753183992908</v>
      </c>
    </row>
    <row r="11310" spans="1:13" x14ac:dyDescent="0.25">
      <c r="A11310" s="367" t="s">
        <v>29</v>
      </c>
      <c r="B11310" s="2">
        <v>44364</v>
      </c>
      <c r="C11310" s="487">
        <v>251</v>
      </c>
      <c r="D11310" s="39">
        <f t="shared" si="1940"/>
        <v>67972</v>
      </c>
      <c r="E11310" s="1">
        <v>4</v>
      </c>
      <c r="F11310" s="39">
        <f t="shared" si="1947"/>
        <v>1140</v>
      </c>
      <c r="G11310" s="168">
        <f>SUM(C11310,C11286,C11262,C11238,C11214,C11190,C11166,C11142,C11118,C11094,C11070,C11046,C11022,C10998)/POBLA!$B$5*100000</f>
        <v>597.74408152583055</v>
      </c>
      <c r="H11310" s="256">
        <f t="shared" si="1948"/>
        <v>0.72634471927758149</v>
      </c>
      <c r="I11310" s="297">
        <f t="shared" si="1949"/>
        <v>434.16825709571515</v>
      </c>
      <c r="J11310" s="422">
        <f t="shared" si="1950"/>
        <v>220.71428571428572</v>
      </c>
      <c r="K11310" s="297">
        <f>J11310/POBLA!$B$5*100000</f>
        <v>35.65693459295013</v>
      </c>
      <c r="L11310" s="200">
        <f t="shared" si="1951"/>
        <v>-0.28306264501160094</v>
      </c>
      <c r="M11310" s="401">
        <f>SUM(C11310,C11286,C11262,C11238,C11214,C11190,C11166)/POBLA!$B$5*100000</f>
        <v>249.5985421506509</v>
      </c>
    </row>
    <row r="11311" spans="1:13" x14ac:dyDescent="0.25">
      <c r="A11311" s="367" t="s">
        <v>30</v>
      </c>
      <c r="B11311" s="2">
        <v>44364</v>
      </c>
      <c r="C11311" s="487">
        <v>443</v>
      </c>
      <c r="D11311" s="39">
        <f t="shared" si="1940"/>
        <v>59055</v>
      </c>
      <c r="E11311" s="1">
        <v>3</v>
      </c>
      <c r="F11311" s="39">
        <f t="shared" si="1947"/>
        <v>693</v>
      </c>
      <c r="G11311" s="168">
        <f>SUM(C11311,C11287,C11263,C11239,C11215,C11191,C11167,C11143,C11119,C11095,C11071,C11047,C11023,C10999)/POBLA!$B$6*100000</f>
        <v>556.12013194135272</v>
      </c>
      <c r="H11311" s="256">
        <f t="shared" si="1948"/>
        <v>0.58443506797937173</v>
      </c>
      <c r="I11311" s="297">
        <f t="shared" si="1949"/>
        <v>325.01610711584163</v>
      </c>
      <c r="J11311" s="422">
        <f t="shared" si="1950"/>
        <v>365</v>
      </c>
      <c r="K11311" s="297">
        <f>J11311/POBLA!$B$6*100000</f>
        <v>32.56599521235259</v>
      </c>
      <c r="L11311" s="200">
        <f t="shared" si="1951"/>
        <v>-0.30532898314301249</v>
      </c>
      <c r="M11311" s="401">
        <f>SUM(C11311,C11287,C11263,C11239,C11215,C11191,C11167)/POBLA!$B$6*100000</f>
        <v>227.96196648646816</v>
      </c>
    </row>
    <row r="11312" spans="1:13" x14ac:dyDescent="0.25">
      <c r="A11312" s="367" t="s">
        <v>20</v>
      </c>
      <c r="B11312" s="2">
        <v>44364</v>
      </c>
      <c r="C11312" s="487">
        <v>3085</v>
      </c>
      <c r="D11312" s="39">
        <f t="shared" si="1940"/>
        <v>378180</v>
      </c>
      <c r="E11312" s="1">
        <v>39</v>
      </c>
      <c r="F11312" s="39">
        <f t="shared" si="1947"/>
        <v>4642</v>
      </c>
      <c r="G11312" s="168">
        <f>SUM(C11312,C11288,C11264,C11240,C11216,C11192,C11168,C11144,C11120,C11096,C11072,C11048,C11024,C11000)/POBLA!$B$7*100000</f>
        <v>1356.4599981385206</v>
      </c>
      <c r="H11312" s="256">
        <f t="shared" si="1948"/>
        <v>0.90631107636544539</v>
      </c>
      <c r="I11312" s="297">
        <f t="shared" si="1949"/>
        <v>1229.3747209595927</v>
      </c>
      <c r="J11312" s="422">
        <f t="shared" si="1950"/>
        <v>3179.4285714285716</v>
      </c>
      <c r="K11312" s="297">
        <f>J11312/POBLA!$B$7*100000</f>
        <v>84.549151602296831</v>
      </c>
      <c r="L11312" s="200">
        <f t="shared" si="1951"/>
        <v>-0.22595903036204923</v>
      </c>
      <c r="M11312" s="401">
        <f>SUM(C11312,C11288,C11264,C11240,C11216,C11192,C11168)/POBLA!$B$7*100000</f>
        <v>591.84406121607788</v>
      </c>
    </row>
    <row r="11313" spans="1:13" x14ac:dyDescent="0.25">
      <c r="A11313" s="367" t="s">
        <v>31</v>
      </c>
      <c r="B11313" s="2">
        <v>44364</v>
      </c>
      <c r="C11313" s="487">
        <v>998</v>
      </c>
      <c r="D11313" s="39">
        <f t="shared" si="1940"/>
        <v>101383</v>
      </c>
      <c r="E11313" s="1">
        <v>30</v>
      </c>
      <c r="F11313" s="39">
        <f t="shared" si="1947"/>
        <v>1608</v>
      </c>
      <c r="G11313" s="168">
        <f>SUM(C11313,C11289,C11265,C11241,C11217,C11193,C11169,C11145,C11121,C11097,C11073,C11049,C11025,C11001)/POBLA!$B$8*100000</f>
        <v>870.37081129988508</v>
      </c>
      <c r="H11313" s="256">
        <f t="shared" si="1948"/>
        <v>0.88334797891036909</v>
      </c>
      <c r="I11313" s="297">
        <f t="shared" si="1949"/>
        <v>768.84029706433171</v>
      </c>
      <c r="J11313" s="422">
        <f t="shared" si="1950"/>
        <v>841.14285714285711</v>
      </c>
      <c r="K11313" s="297">
        <f>J11313/POBLA!$B$8*100000</f>
        <v>60.690225564994769</v>
      </c>
      <c r="L11313" s="200">
        <f t="shared" si="1951"/>
        <v>-4.6477732793522297E-2</v>
      </c>
      <c r="M11313" s="401">
        <f>SUM(C11313,C11289,C11265,C11241,C11217,C11193,C11169)/POBLA!$B$8*100000</f>
        <v>424.83157895496339</v>
      </c>
    </row>
    <row r="11314" spans="1:13" x14ac:dyDescent="0.25">
      <c r="A11314" s="367" t="s">
        <v>41</v>
      </c>
      <c r="B11314" s="2">
        <v>44364</v>
      </c>
      <c r="C11314" s="487">
        <v>570</v>
      </c>
      <c r="D11314" s="39">
        <f t="shared" si="1940"/>
        <v>40110</v>
      </c>
      <c r="E11314" s="1">
        <v>3</v>
      </c>
      <c r="F11314" s="39">
        <f t="shared" si="1947"/>
        <v>681</v>
      </c>
      <c r="G11314" s="168">
        <f>SUM(C11314,C11290,C11266,C11242,C11218,C11194,C11170,C11146,C11122,C11098,C11074,C11050,C11026,C11002)/POBLA!$B$9*100000</f>
        <v>1095.5182892069142</v>
      </c>
      <c r="H11314" s="256">
        <f t="shared" si="1948"/>
        <v>0.49640610961365678</v>
      </c>
      <c r="I11314" s="297">
        <f>G11314*H11314</f>
        <v>543.82197195581318</v>
      </c>
      <c r="J11314" s="422">
        <f t="shared" si="1950"/>
        <v>412.57142857142856</v>
      </c>
      <c r="K11314" s="297">
        <f>J11314/POBLA!$B$9*100000</f>
        <v>68.171877165041323</v>
      </c>
      <c r="L11314" s="200">
        <f t="shared" si="1951"/>
        <v>-0.22822020309994651</v>
      </c>
      <c r="M11314" s="401">
        <f>SUM(C11314,C11290,C11266,C11242,C11218,C11194,C11170)/POBLA!$B$9*100000</f>
        <v>477.2031401552893</v>
      </c>
    </row>
    <row r="11315" spans="1:13" x14ac:dyDescent="0.25">
      <c r="A11315" s="367" t="s">
        <v>32</v>
      </c>
      <c r="B11315" s="2">
        <v>44364</v>
      </c>
      <c r="C11315" s="487">
        <v>239</v>
      </c>
      <c r="D11315" s="39">
        <f t="shared" si="1940"/>
        <v>32636</v>
      </c>
      <c r="E11315" s="1">
        <v>4</v>
      </c>
      <c r="F11315" s="39">
        <f t="shared" si="1947"/>
        <v>1122</v>
      </c>
      <c r="G11315" s="168">
        <f>SUM(C11315,C11291,C11267,C11243,C11219,C11195,C11171,C11147,C11123,C11099,C11075,C11051,C11027,C11003)/POBLA!$B$10*100000</f>
        <v>454.2854214852876</v>
      </c>
      <c r="H11315" s="256">
        <f t="shared" si="1948"/>
        <v>1.4801352493660187</v>
      </c>
      <c r="I11315" s="297">
        <f t="shared" ref="I11315:I11329" si="1952">G11315*H11315</f>
        <v>672.40386561347304</v>
      </c>
      <c r="J11315" s="422">
        <f t="shared" si="1950"/>
        <v>250</v>
      </c>
      <c r="K11315" s="297">
        <f>J11315/POBLA!$B$10*100000</f>
        <v>32.430427004946289</v>
      </c>
      <c r="L11315" s="200">
        <f t="shared" si="1951"/>
        <v>-1.1415525114155667E-3</v>
      </c>
      <c r="M11315" s="401">
        <f>SUM(C11315,C11291,C11267,C11243,C11219,C11195,C11171)/POBLA!$B$10*100000</f>
        <v>227.01298903462404</v>
      </c>
    </row>
    <row r="11316" spans="1:13" x14ac:dyDescent="0.25">
      <c r="A11316" s="367" t="s">
        <v>33</v>
      </c>
      <c r="B11316" s="2">
        <v>44364</v>
      </c>
      <c r="C11316" s="487">
        <v>343</v>
      </c>
      <c r="D11316" s="39">
        <f t="shared" si="1940"/>
        <v>48609</v>
      </c>
      <c r="E11316" s="1">
        <v>4</v>
      </c>
      <c r="F11316" s="39">
        <f t="shared" si="1947"/>
        <v>671</v>
      </c>
      <c r="G11316" s="168">
        <f>SUM(C11316,C11292,C11268,C11244,C11220,C11196,C11172,C11148,C11124,C11100,C11076,C11052,C11028,C11004)/POBLA!$B$11*100000</f>
        <v>1224.234713805841</v>
      </c>
      <c r="H11316" s="256">
        <f t="shared" si="1948"/>
        <v>0.56019405081067275</v>
      </c>
      <c r="I11316" s="297">
        <f t="shared" si="1952"/>
        <v>685.80900346993872</v>
      </c>
      <c r="J11316" s="422">
        <f t="shared" si="1950"/>
        <v>276</v>
      </c>
      <c r="K11316" s="297">
        <f>J11316/POBLA!$B$11*100000</f>
        <v>77.002912718872409</v>
      </c>
      <c r="L11316" s="200">
        <f t="shared" si="1951"/>
        <v>-0.21335504885993484</v>
      </c>
      <c r="M11316" s="401">
        <f>SUM(C11316,C11292,C11268,C11244,C11220,C11196,C11172)/POBLA!$B$11*100000</f>
        <v>539.02038903210678</v>
      </c>
    </row>
    <row r="11317" spans="1:13" x14ac:dyDescent="0.25">
      <c r="A11317" s="367" t="s">
        <v>21</v>
      </c>
      <c r="B11317" s="2">
        <v>44364</v>
      </c>
      <c r="C11317" s="487">
        <v>108</v>
      </c>
      <c r="D11317" s="39">
        <f t="shared" si="1940"/>
        <v>20107</v>
      </c>
      <c r="F11317" s="39">
        <f t="shared" si="1947"/>
        <v>580</v>
      </c>
      <c r="G11317" s="168">
        <f>SUM(C11317,C11293,C11269,C11245,C11221,C11197,C11173,C11149,C11125,C11101,C11077,C11053,C11029,C11005)/POBLA!$B$12*100000</f>
        <v>552.43424279154624</v>
      </c>
      <c r="H11317" s="256">
        <f t="shared" si="1948"/>
        <v>0.93626184323858741</v>
      </c>
      <c r="I11317" s="297">
        <f t="shared" si="1952"/>
        <v>517.22310242412641</v>
      </c>
      <c r="J11317" s="422">
        <f t="shared" si="1950"/>
        <v>135.57142857142858</v>
      </c>
      <c r="K11317" s="297">
        <f>J11317/POBLA!$B$12*100000</f>
        <v>34.449999764041102</v>
      </c>
      <c r="L11317" s="200">
        <f t="shared" si="1951"/>
        <v>-0.22530612244897963</v>
      </c>
      <c r="M11317" s="401">
        <f>SUM(C11317,C11293,C11269,C11245,C11221,C11197,C11173)/POBLA!$B$12*100000</f>
        <v>241.14999834828768</v>
      </c>
    </row>
    <row r="11318" spans="1:13" x14ac:dyDescent="0.25">
      <c r="A11318" s="367" t="s">
        <v>17</v>
      </c>
      <c r="B11318" s="2">
        <v>44364</v>
      </c>
      <c r="C11318" s="487">
        <v>706</v>
      </c>
      <c r="D11318" s="39">
        <f t="shared" si="1940"/>
        <v>132722</v>
      </c>
      <c r="E11318" s="1">
        <v>24</v>
      </c>
      <c r="F11318" s="39">
        <f t="shared" si="1947"/>
        <v>3009</v>
      </c>
      <c r="G11318" s="168">
        <f>SUM(C11318,C11294,C11270,C11246,C11222,C11198,C11174,C11150,C11126,C11102,C11078,C11054,C11030,C11006)/POBLA!$B$13*100000</f>
        <v>460.32382439565538</v>
      </c>
      <c r="H11318" s="256">
        <f t="shared" si="1948"/>
        <v>0.83556771545827635</v>
      </c>
      <c r="I11318" s="297">
        <f t="shared" si="1952"/>
        <v>384.63172632129454</v>
      </c>
      <c r="J11318" s="422">
        <f t="shared" si="1950"/>
        <v>644.85714285714289</v>
      </c>
      <c r="K11318" s="297">
        <f>J11318/POBLA!$B$13*100000</f>
        <v>32.399378540586717</v>
      </c>
      <c r="L11318" s="200">
        <f t="shared" si="1951"/>
        <v>-2.8829604130808928E-2</v>
      </c>
      <c r="M11318" s="401">
        <f>SUM(C11318,C11294,C11270,C11246,C11222,C11198,C11174)/POBLA!$B$13*100000</f>
        <v>226.79564978410701</v>
      </c>
    </row>
    <row r="11319" spans="1:13" x14ac:dyDescent="0.25">
      <c r="A11319" s="367" t="s">
        <v>23</v>
      </c>
      <c r="B11319" s="2">
        <v>44364</v>
      </c>
      <c r="C11319" s="487">
        <v>149</v>
      </c>
      <c r="D11319" s="39">
        <f t="shared" si="1940"/>
        <v>23384</v>
      </c>
      <c r="E11319" s="1">
        <v>5</v>
      </c>
      <c r="F11319" s="39">
        <f t="shared" si="1947"/>
        <v>367</v>
      </c>
      <c r="G11319" s="168">
        <f>SUM(C11319,C11295,C11271,C11247,C11223,C11199,C11175,C11151,C11127,C11103,C11079,C11055,C11031,C11007)/POBLA!$B$14*100000</f>
        <v>190.43934245306804</v>
      </c>
      <c r="H11319" s="256">
        <f t="shared" si="1948"/>
        <v>0.97761497761497762</v>
      </c>
      <c r="I11319" s="297">
        <f t="shared" si="1952"/>
        <v>186.17635350926716</v>
      </c>
      <c r="J11319" s="422">
        <f t="shared" si="1950"/>
        <v>167.14285714285714</v>
      </c>
      <c r="K11319" s="297">
        <f>J11319/POBLA!$B$14*100000</f>
        <v>13.25169684013855</v>
      </c>
      <c r="L11319" s="200">
        <f t="shared" si="1951"/>
        <v>-5.0324675324675328E-2</v>
      </c>
      <c r="M11319" s="401">
        <f>SUM(C11319,C11295,C11271,C11247,C11223,C11199,C11175)/POBLA!$B$14*100000</f>
        <v>92.761877880969863</v>
      </c>
    </row>
    <row r="11320" spans="1:13" x14ac:dyDescent="0.25">
      <c r="A11320" s="367" t="s">
        <v>19</v>
      </c>
      <c r="B11320" s="2">
        <v>44364</v>
      </c>
      <c r="C11320" s="487">
        <v>256</v>
      </c>
      <c r="D11320" s="39">
        <f t="shared" si="1940"/>
        <v>98295</v>
      </c>
      <c r="E11320" s="1">
        <v>25</v>
      </c>
      <c r="F11320" s="39">
        <f t="shared" si="1947"/>
        <v>1580</v>
      </c>
      <c r="G11320" s="168">
        <f>SUM(C11320,C11296,C11272,C11248,C11224,C11200,C11176,C11152,C11128,C11104,C11080,C11056,C11032,C11008)/POBLA!$B$15*100000</f>
        <v>840.2893125138354</v>
      </c>
      <c r="H11320" s="256">
        <f t="shared" si="1948"/>
        <v>0.49306353273835823</v>
      </c>
      <c r="I11320" s="297">
        <f t="shared" si="1952"/>
        <v>414.31601695035801</v>
      </c>
      <c r="J11320" s="422">
        <f t="shared" si="1950"/>
        <v>314</v>
      </c>
      <c r="K11320" s="297">
        <f>J11320/POBLA!$B$15*100000</f>
        <v>47.285097514219416</v>
      </c>
      <c r="L11320" s="200">
        <f t="shared" si="1951"/>
        <v>-0.35008870490833821</v>
      </c>
      <c r="M11320" s="401">
        <f>SUM(C11320,C11296,C11272,C11248,C11224,C11200,C11176)/POBLA!$B$15*100000</f>
        <v>330.99568259953588</v>
      </c>
    </row>
    <row r="11321" spans="1:13" x14ac:dyDescent="0.25">
      <c r="A11321" s="367" t="s">
        <v>18</v>
      </c>
      <c r="B11321" s="2">
        <v>44364</v>
      </c>
      <c r="C11321" s="487">
        <v>338</v>
      </c>
      <c r="D11321" s="39">
        <f t="shared" si="1940"/>
        <v>80936</v>
      </c>
      <c r="E11321" s="1">
        <v>13</v>
      </c>
      <c r="F11321" s="39">
        <f t="shared" si="1947"/>
        <v>1830</v>
      </c>
      <c r="G11321" s="168">
        <f>SUM(C11321,C11297,C11273,C11249,C11225,C11201,C11177,C11153,C11129,C11105,C11081,C11057,C11033,C11009)/POBLA!$B$16*100000</f>
        <v>691.40327175933976</v>
      </c>
      <c r="H11321" s="256">
        <f t="shared" si="1948"/>
        <v>0.71702039117769456</v>
      </c>
      <c r="I11321" s="297">
        <f t="shared" si="1952"/>
        <v>495.75024437841967</v>
      </c>
      <c r="J11321" s="422">
        <f t="shared" si="1950"/>
        <v>350.85714285714283</v>
      </c>
      <c r="K11321" s="297">
        <f>J11321/POBLA!$B$16*100000</f>
        <v>46.930504254510083</v>
      </c>
      <c r="L11321" s="200">
        <f t="shared" si="1951"/>
        <v>-9.4729082196830072E-2</v>
      </c>
      <c r="M11321" s="401">
        <f>SUM(C11321,C11297,C11273,C11249,C11225,C11201,C11177)/POBLA!$B$16*100000</f>
        <v>328.51352978157058</v>
      </c>
    </row>
    <row r="11322" spans="1:13" x14ac:dyDescent="0.25">
      <c r="A11322" s="367" t="s">
        <v>34</v>
      </c>
      <c r="B11322" s="2">
        <v>44364</v>
      </c>
      <c r="C11322" s="487">
        <v>537</v>
      </c>
      <c r="D11322" s="39">
        <f t="shared" si="1940"/>
        <v>54972</v>
      </c>
      <c r="E11322" s="1">
        <v>20</v>
      </c>
      <c r="F11322" s="39">
        <f t="shared" si="1947"/>
        <v>1576</v>
      </c>
      <c r="G11322" s="168">
        <f>SUM(C11322,C11298,C11274,C11250,C11226,C11202,C11178,C11154,C11130,C11106,C11082,C11058,C11034,C11010)/POBLA!$B$17*100000</f>
        <v>530.18926605433728</v>
      </c>
      <c r="H11322" s="256">
        <f t="shared" si="1948"/>
        <v>1.0644115574348132</v>
      </c>
      <c r="I11322" s="297">
        <f t="shared" si="1952"/>
        <v>564.33958241611765</v>
      </c>
      <c r="J11322" s="422">
        <f t="shared" si="1950"/>
        <v>527.28571428571433</v>
      </c>
      <c r="K11322" s="297">
        <f>J11322/POBLA!$B$17*100000</f>
        <v>37.018170796885585</v>
      </c>
      <c r="L11322" s="200">
        <f t="shared" si="1951"/>
        <v>-4.4030044030044069E-2</v>
      </c>
      <c r="M11322" s="401">
        <f>SUM(C11322,C11298,C11274,C11250,C11226,C11202,C11178)/POBLA!$B$17*100000</f>
        <v>259.12719557819906</v>
      </c>
    </row>
    <row r="11323" spans="1:13" x14ac:dyDescent="0.25">
      <c r="A11323" s="367" t="s">
        <v>35</v>
      </c>
      <c r="B11323" s="2">
        <v>44364</v>
      </c>
      <c r="C11323" s="487">
        <v>633</v>
      </c>
      <c r="D11323" s="39">
        <f t="shared" si="1940"/>
        <v>45591</v>
      </c>
      <c r="E11323" s="1">
        <v>9</v>
      </c>
      <c r="F11323" s="39">
        <f t="shared" si="1947"/>
        <v>748</v>
      </c>
      <c r="G11323" s="168">
        <f>SUM(C11323,C11299,C11275,C11251,C11227,C11203,C11179,C11155,C11131,C11107,C11083,C11059,C11035,C11011)/POBLA!$B$18*100000</f>
        <v>860.96436713486787</v>
      </c>
      <c r="H11323" s="256">
        <f t="shared" si="1948"/>
        <v>0.95962334141817662</v>
      </c>
      <c r="I11323" s="297">
        <f t="shared" si="1952"/>
        <v>826.20150283194766</v>
      </c>
      <c r="J11323" s="422">
        <f t="shared" si="1950"/>
        <v>486.14285714285717</v>
      </c>
      <c r="K11323" s="297">
        <f>J11323/POBLA!$B$18*100000</f>
        <v>62.228914263624219</v>
      </c>
      <c r="L11323" s="200">
        <f t="shared" si="1951"/>
        <v>2.4074631357207332E-2</v>
      </c>
      <c r="M11323" s="401">
        <f>SUM(C11323,C11299,C11275,C11251,C11227,C11203,C11179)/POBLA!$B$18*100000</f>
        <v>435.60239984536946</v>
      </c>
    </row>
    <row r="11324" spans="1:13" x14ac:dyDescent="0.25">
      <c r="A11324" s="367" t="s">
        <v>36</v>
      </c>
      <c r="B11324" s="2">
        <v>44364</v>
      </c>
      <c r="C11324" s="487">
        <v>396</v>
      </c>
      <c r="D11324" s="39">
        <f t="shared" si="1940"/>
        <v>60998</v>
      </c>
      <c r="E11324" s="1">
        <v>17</v>
      </c>
      <c r="F11324" s="39">
        <f t="shared" si="1947"/>
        <v>864</v>
      </c>
      <c r="G11324" s="168">
        <f>SUM(C11324,C11300,C11276,C11252,C11228,C11204,C11180,C11156,C11132,C11108,C11084,C11060,C11036,C11012)/POBLA!$B$19*100000</f>
        <v>1242.3081160195779</v>
      </c>
      <c r="H11324" s="256">
        <f t="shared" si="1948"/>
        <v>0.78564319482458322</v>
      </c>
      <c r="I11324" s="297">
        <f t="shared" si="1952"/>
        <v>976.01091722613023</v>
      </c>
      <c r="J11324" s="422">
        <f t="shared" si="1950"/>
        <v>402.14285714285717</v>
      </c>
      <c r="K11324" s="297">
        <f>J11324/POBLA!$B$19*100000</f>
        <v>79.110900273614121</v>
      </c>
      <c r="L11324" s="200">
        <f t="shared" si="1951"/>
        <v>-0.19571428571428573</v>
      </c>
      <c r="M11324" s="401">
        <f>SUM(C11324,C11300,C11276,C11252,C11228,C11204,C11180)/POBLA!$B$19*100000</f>
        <v>553.77630191529875</v>
      </c>
    </row>
    <row r="11325" spans="1:13" x14ac:dyDescent="0.25">
      <c r="A11325" s="367" t="s">
        <v>37</v>
      </c>
      <c r="B11325" s="2">
        <v>44364</v>
      </c>
      <c r="C11325" s="487">
        <v>172</v>
      </c>
      <c r="D11325" s="39">
        <f t="shared" si="1940"/>
        <v>54202</v>
      </c>
      <c r="E11325" s="1">
        <v>1</v>
      </c>
      <c r="F11325" s="39">
        <f t="shared" si="1947"/>
        <v>837</v>
      </c>
      <c r="G11325" s="168">
        <f>SUM(C11325,C11301,C11278,C11253,C11229,C11205,C11181,C11157,C11133,C11109,C11085,C11061,C11037,C11013)/POBLA!$B$20*100000</f>
        <v>1156.1452345924779</v>
      </c>
      <c r="H11325" s="256">
        <f t="shared" si="1948"/>
        <v>0.71297278190173208</v>
      </c>
      <c r="I11325" s="297">
        <f t="shared" si="1952"/>
        <v>824.30008418982959</v>
      </c>
      <c r="J11325" s="422">
        <f t="shared" si="1950"/>
        <v>125.71428571428571</v>
      </c>
      <c r="K11325" s="297">
        <f>J11325/POBLA!$B$20*100000</f>
        <v>34.376530829888516</v>
      </c>
      <c r="L11325" s="200">
        <f t="shared" si="1951"/>
        <v>-0.22603342128408088</v>
      </c>
      <c r="M11325" s="401">
        <f>SUM(C11325,C11301,C11277,C11253,C11229,C11205,C11181)/POBLA!$B$20*100000</f>
        <v>240.63571580921965</v>
      </c>
    </row>
    <row r="11326" spans="1:13" x14ac:dyDescent="0.25">
      <c r="A11326" s="367" t="s">
        <v>22</v>
      </c>
      <c r="B11326" s="2">
        <v>44364</v>
      </c>
      <c r="C11326" s="487">
        <v>2284</v>
      </c>
      <c r="D11326" s="39">
        <f t="shared" si="1940"/>
        <v>385559</v>
      </c>
      <c r="E11326" s="1">
        <v>33</v>
      </c>
      <c r="F11326" s="39">
        <f t="shared" si="1947"/>
        <v>6237</v>
      </c>
      <c r="G11326" s="168">
        <f>SUM(C11326,C11302,C11278,C11254,C11230,C11206,C11182,C11158,C11134,C11110,C11086,C11062,C11038,C11014)/POBLA!$B$21*100000</f>
        <v>863.41603283322274</v>
      </c>
      <c r="H11326" s="256">
        <f t="shared" si="1948"/>
        <v>0.7435529039327895</v>
      </c>
      <c r="I11326" s="297">
        <f t="shared" si="1952"/>
        <v>641.99549851527149</v>
      </c>
      <c r="J11326" s="422">
        <f t="shared" si="1950"/>
        <v>2020.5714285714287</v>
      </c>
      <c r="K11326" s="297">
        <f>J11326/POBLA!$B$21*100000</f>
        <v>57.136102931594309</v>
      </c>
      <c r="L11326" s="200">
        <f t="shared" si="1951"/>
        <v>-0.13703477730323366</v>
      </c>
      <c r="M11326" s="401">
        <f>SUM(C11326,C11302,C11278,C11254,C11230,C11206,C11182)/POBLA!$B$21*100000</f>
        <v>399.95272052116013</v>
      </c>
    </row>
    <row r="11327" spans="1:13" x14ac:dyDescent="0.25">
      <c r="A11327" s="367" t="s">
        <v>38</v>
      </c>
      <c r="B11327" s="2">
        <v>44364</v>
      </c>
      <c r="C11327" s="487">
        <v>771</v>
      </c>
      <c r="D11327" s="39">
        <f t="shared" si="1940"/>
        <v>53134</v>
      </c>
      <c r="E11327" s="1">
        <v>16</v>
      </c>
      <c r="F11327" s="39">
        <f t="shared" si="1947"/>
        <v>707</v>
      </c>
      <c r="G11327" s="168">
        <f>SUM(C11327,C11303,C11279,C11255,C11231,C11207,C11183,C11159,C11135,C11111,C11087,C11063,C11039,C11015)/POBLA!$B$22*100000</f>
        <v>779.40291092932432</v>
      </c>
      <c r="H11327" s="256">
        <f t="shared" si="1948"/>
        <v>0.9675168125872351</v>
      </c>
      <c r="I11327" s="297">
        <f t="shared" si="1952"/>
        <v>754.08542010355256</v>
      </c>
      <c r="J11327" s="422">
        <f t="shared" si="1950"/>
        <v>533.14285714285711</v>
      </c>
      <c r="K11327" s="297">
        <f>J11327/POBLA!$B$22*100000</f>
        <v>54.4961435801075</v>
      </c>
      <c r="L11327" s="200">
        <f t="shared" si="1951"/>
        <v>-4.1356280503467735E-2</v>
      </c>
      <c r="M11327" s="401">
        <f>SUM(C11327,C11303,C11279,C11255,C11231,C11207,C11183)/POBLA!$B$22*100000</f>
        <v>381.47300506075254</v>
      </c>
    </row>
    <row r="11328" spans="1:13" x14ac:dyDescent="0.25">
      <c r="A11328" s="367" t="s">
        <v>39</v>
      </c>
      <c r="B11328" s="2">
        <v>44364</v>
      </c>
      <c r="C11328" s="487">
        <v>44</v>
      </c>
      <c r="D11328" s="39">
        <f t="shared" si="1940"/>
        <v>29222</v>
      </c>
      <c r="E11328" s="1">
        <v>1</v>
      </c>
      <c r="F11328" s="39">
        <f t="shared" si="1947"/>
        <v>434</v>
      </c>
      <c r="G11328" s="168">
        <f>SUM(C11328,C11304,C11280,C11256,C11232,C11208,C11184,C11160,C11136,C11112,C11088,C11064,C11040,C11016)/POBLA!$B$23*100000</f>
        <v>288.97811457331898</v>
      </c>
      <c r="H11328" s="256">
        <f t="shared" si="1948"/>
        <v>0.5948777648428405</v>
      </c>
      <c r="I11328" s="297">
        <f t="shared" si="1952"/>
        <v>171.90665488587427</v>
      </c>
      <c r="J11328" s="422">
        <f t="shared" si="1950"/>
        <v>36.714285714285715</v>
      </c>
      <c r="K11328" s="297">
        <f>J11328/POBLA!$B$23*100000</f>
        <v>20.762475662662283</v>
      </c>
      <c r="L11328" s="200">
        <f t="shared" si="1951"/>
        <v>1.1811023622047223E-2</v>
      </c>
      <c r="M11328" s="401">
        <f>SUM(C11328,C11304,C11280,C11256,C11232,C11208,C11184)/POBLA!$B$23*100000</f>
        <v>145.33732963863596</v>
      </c>
    </row>
    <row r="11329" spans="1:13" ht="15.75" thickBot="1" x14ac:dyDescent="0.3">
      <c r="A11329" s="368" t="s">
        <v>40</v>
      </c>
      <c r="B11329" s="34">
        <v>44364</v>
      </c>
      <c r="C11329" s="487">
        <v>774</v>
      </c>
      <c r="D11329" s="67">
        <f t="shared" si="1940"/>
        <v>144768</v>
      </c>
      <c r="E11329" s="232">
        <v>21</v>
      </c>
      <c r="F11329" s="67">
        <f t="shared" si="1947"/>
        <v>2148</v>
      </c>
      <c r="G11329" s="177">
        <f>SUM(C11329,C11305,C11281,C11257,C11233,C11209,C11185,C11161,C11137,C11113,C11089,C11065,C11041,C11017)/POBLA!$B$24*100000</f>
        <v>693.65110087238941</v>
      </c>
      <c r="H11329" s="402">
        <f t="shared" si="1948"/>
        <v>0.82711792851111732</v>
      </c>
      <c r="I11329" s="299">
        <f t="shared" si="1952"/>
        <v>573.73126166302677</v>
      </c>
      <c r="J11329" s="428">
        <f t="shared" si="1950"/>
        <v>799.85714285714289</v>
      </c>
      <c r="K11329" s="299">
        <f>J11329/POBLA!$B$24*100000</f>
        <v>47.198790955636007</v>
      </c>
      <c r="L11329" s="260">
        <f t="shared" si="1951"/>
        <v>-9.0480831708901865E-2</v>
      </c>
      <c r="M11329" s="406">
        <f>SUM(C11329,C11305,C11281,C11257,C11233,C11209,C11185)/POBLA!$B$24*100000</f>
        <v>330.39153668945204</v>
      </c>
    </row>
    <row r="11330" spans="1:13" s="487" customFormat="1" x14ac:dyDescent="0.25">
      <c r="A11330" s="363" t="s">
        <v>16</v>
      </c>
      <c r="B11330" s="265">
        <v>44365</v>
      </c>
      <c r="C11330" s="43">
        <v>6828</v>
      </c>
      <c r="D11330" s="174">
        <f>C11330+D11306</f>
        <v>1769175</v>
      </c>
      <c r="E11330" s="43">
        <v>141</v>
      </c>
      <c r="F11330" s="174">
        <f>E11330+F11306</f>
        <v>44837</v>
      </c>
      <c r="G11330" s="175">
        <f>SUM(C11330,C11306,C11258,C11282,C11234,C11210,C11186,C11162,C11138,C11114,C11090,C11066,C11042,C11018)/POBLA!$B$1*100000</f>
        <v>635.97915323752318</v>
      </c>
      <c r="H11330" s="300">
        <f>SUM(C11330,C11306,C11282,C11258,C11234,C11210,C11186,C11162,C11138,C11114,C11090,C11066,C11042,C11018,)/SUM(C10994,C10970,C10946,C10922,C10898,C10874,C10850,C10826,C10802,C10778,C10754,C10730,C10706,C10682)</f>
        <v>0.73213758343013524</v>
      </c>
      <c r="I11330" s="301">
        <f>G11330*H11330</f>
        <v>465.62424036326388</v>
      </c>
      <c r="J11330" s="421">
        <f>AVERAGE(C11330,C11306,C11282,C11258,C11234,C11210,C11186)</f>
        <v>7335.1428571428569</v>
      </c>
      <c r="K11330" s="301">
        <f>J11330/POBLA!$B$1*100000</f>
        <v>41.816794341615847</v>
      </c>
      <c r="L11330" s="399">
        <f t="shared" si="1951"/>
        <v>-0.14724639606722911</v>
      </c>
      <c r="M11330" s="400">
        <f>SUM(C11330,C11306,C11282,C11258,C11234,C11210,C11186)/POBLA!$B$1*100000</f>
        <v>292.71756039131094</v>
      </c>
    </row>
    <row r="11331" spans="1:13" s="487" customFormat="1" x14ac:dyDescent="0.25">
      <c r="A11331" s="367" t="s">
        <v>43</v>
      </c>
      <c r="B11331" s="2">
        <v>44365</v>
      </c>
      <c r="C11331" s="1">
        <v>1133</v>
      </c>
      <c r="D11331" s="39">
        <f t="shared" ref="D11331:D11393" si="1953">C11331+D11307</f>
        <v>448950</v>
      </c>
      <c r="E11331" s="1">
        <v>38</v>
      </c>
      <c r="F11331" s="39">
        <f t="shared" ref="F11331:F11353" si="1954">E11331+F11307</f>
        <v>9931</v>
      </c>
      <c r="G11331" s="168">
        <f>SUM(C11331,C11307,C11283,C11259,C11235,C11211,C11187,C11163,C11139,C11115,C11091,C11067,C11043,C11019)/POBLA!$B$2*100000</f>
        <v>720.4665296331242</v>
      </c>
      <c r="H11331" s="256">
        <f t="shared" ref="H11331:H11353" si="1955">SUM(C11331,C11307,C11283,C11259,C11235,C11211,C11187,C11163,C11139,C11115,C11091,C11067,C11043,C11019,)/SUM(C10995,C10971,C10947,C10923,C10899,C10875,C10851,C10827,C10803,C10779,C10755,C10731,C10707,C10683)</f>
        <v>0.65685489847339562</v>
      </c>
      <c r="I11331" s="297">
        <f t="shared" ref="I11331:I11337" si="1956">G11331*H11331</f>
        <v>473.24196917564547</v>
      </c>
      <c r="J11331" s="422">
        <f>AVERAGE(C11331,C11307,C11283,C11259,C11235,C11211,C11187)</f>
        <v>1442.8571428571429</v>
      </c>
      <c r="K11331" s="297">
        <f>J11331/POBLA!$B$2*100000</f>
        <v>46.91232810463697</v>
      </c>
      <c r="L11331" s="200">
        <f>(SUM(C11331,C11307,C11283,C11259,C11235,C11211,C11187)/SUM(C11163,C11139,C11115,C11091,C11067,C11043,C11019))-1</f>
        <v>-0.16245128120076291</v>
      </c>
      <c r="M11331" s="401">
        <f>SUM(C11331,C11307,C11283,C11259,C11235,C11211,C11187)/POBLA!$B$2*100000</f>
        <v>328.38629673245879</v>
      </c>
    </row>
    <row r="11332" spans="1:13" s="487" customFormat="1" x14ac:dyDescent="0.25">
      <c r="A11332" s="367" t="s">
        <v>28</v>
      </c>
      <c r="B11332" s="2">
        <v>44365</v>
      </c>
      <c r="C11332" s="1">
        <v>227</v>
      </c>
      <c r="D11332" s="39">
        <f t="shared" si="1953"/>
        <v>30586</v>
      </c>
      <c r="E11332" s="1">
        <v>17</v>
      </c>
      <c r="F11332" s="39">
        <f t="shared" si="1954"/>
        <v>273</v>
      </c>
      <c r="G11332" s="168">
        <f>SUM(C11332,C11308,C11284,C11260,C11236,C11212,C11188,C11164,C11140,C11116,C11092,C11068,C11044,C11020)/POBLA!$B$3*100000</f>
        <v>1237.0076882711742</v>
      </c>
      <c r="H11332" s="256">
        <f t="shared" si="1955"/>
        <v>0.91604278074866308</v>
      </c>
      <c r="I11332" s="297">
        <f t="shared" si="1956"/>
        <v>1133.1519625714018</v>
      </c>
      <c r="J11332" s="422">
        <f t="shared" ref="J11332:J11353" si="1957">AVERAGE(C11332,C11308,C11284,C11260,C11236,C11212,C11188)</f>
        <v>305.42857142857144</v>
      </c>
      <c r="K11332" s="297">
        <f>J11332/POBLA!$B$3*100000</f>
        <v>73.519651892357331</v>
      </c>
      <c r="L11332" s="200">
        <f t="shared" ref="L11332:L11354" si="1958">(SUM(C11332,C11308,C11284,C11260,C11236,C11212,C11188)/SUM(C11164,C11140,C11116,C11092,C11068,C11044,C11020))-1</f>
        <v>-0.28757080973008997</v>
      </c>
      <c r="M11332" s="401">
        <f>SUM(C11332,C11308,C11284,C11260,C11236,C11212,C11188)/POBLA!$B$3*100000</f>
        <v>514.63756324650126</v>
      </c>
    </row>
    <row r="11333" spans="1:13" s="487" customFormat="1" x14ac:dyDescent="0.25">
      <c r="A11333" s="367" t="s">
        <v>15</v>
      </c>
      <c r="B11333" s="2">
        <v>44365</v>
      </c>
      <c r="C11333" s="1">
        <v>582</v>
      </c>
      <c r="D11333" s="39">
        <f t="shared" si="1953"/>
        <v>70623</v>
      </c>
      <c r="E11333" s="1">
        <v>23</v>
      </c>
      <c r="F11333" s="39">
        <f t="shared" si="1954"/>
        <v>1497</v>
      </c>
      <c r="G11333" s="168">
        <f>SUM(C11333,C11309,C11285,C11261,C11237,C11213,C11189,C11165,C11141,C11117,C11093,C11069,C11045,C11021)/POBLA!$B$4*100000</f>
        <v>774.23682547958094</v>
      </c>
      <c r="H11333" s="256">
        <f t="shared" si="1955"/>
        <v>1.029132641800927</v>
      </c>
      <c r="I11333" s="297">
        <f t="shared" si="1956"/>
        <v>796.79238958536439</v>
      </c>
      <c r="J11333" s="422">
        <f t="shared" si="1957"/>
        <v>584.71428571428567</v>
      </c>
      <c r="K11333" s="297">
        <f>J11333/POBLA!$B$4*100000</f>
        <v>48.542497574950595</v>
      </c>
      <c r="L11333" s="200">
        <f t="shared" si="1958"/>
        <v>-0.21784827059048351</v>
      </c>
      <c r="M11333" s="401">
        <f>SUM(C11333,C11309,C11285,C11261,C11237,C11213,C11189)/POBLA!$B$4*100000</f>
        <v>339.79748302465418</v>
      </c>
    </row>
    <row r="11334" spans="1:13" s="487" customFormat="1" x14ac:dyDescent="0.25">
      <c r="A11334" s="367" t="s">
        <v>29</v>
      </c>
      <c r="B11334" s="2">
        <v>44365</v>
      </c>
      <c r="C11334" s="1">
        <v>187</v>
      </c>
      <c r="D11334" s="39">
        <f t="shared" si="1953"/>
        <v>68159</v>
      </c>
      <c r="E11334" s="1">
        <v>17</v>
      </c>
      <c r="F11334" s="39">
        <f t="shared" si="1954"/>
        <v>1157</v>
      </c>
      <c r="G11334" s="168">
        <f>SUM(C11334,C11310,C11286,C11262,C11238,C11214,C11190,C11166,C11142,C11118,C11094,C11070,C11046,C11022)/POBLA!$B$5*100000</f>
        <v>548.79368782249912</v>
      </c>
      <c r="H11334" s="256">
        <f t="shared" si="1955"/>
        <v>0.65214052601267036</v>
      </c>
      <c r="I11334" s="297">
        <f t="shared" si="1956"/>
        <v>357.89060424899776</v>
      </c>
      <c r="J11334" s="422">
        <f t="shared" si="1957"/>
        <v>208.85714285714286</v>
      </c>
      <c r="K11334" s="297">
        <f>J11334/POBLA!$B$5*100000</f>
        <v>33.741384061419474</v>
      </c>
      <c r="L11334" s="200">
        <f t="shared" si="1958"/>
        <v>-0.24444444444444446</v>
      </c>
      <c r="M11334" s="401">
        <f>SUM(C11334,C11310,C11286,C11262,C11238,C11214,C11190)/POBLA!$B$5*100000</f>
        <v>236.1896884299363</v>
      </c>
    </row>
    <row r="11335" spans="1:13" s="487" customFormat="1" x14ac:dyDescent="0.25">
      <c r="A11335" s="367" t="s">
        <v>30</v>
      </c>
      <c r="B11335" s="2">
        <v>44365</v>
      </c>
      <c r="C11335" s="1">
        <v>772</v>
      </c>
      <c r="D11335" s="39">
        <f t="shared" si="1953"/>
        <v>59827</v>
      </c>
      <c r="E11335" s="1">
        <v>7</v>
      </c>
      <c r="F11335" s="39">
        <f t="shared" si="1954"/>
        <v>700</v>
      </c>
      <c r="G11335" s="168">
        <f>SUM(C11335,C11311,C11287,C11263,C11239,C11215,C11191,C11167,C11143,C11119,C11095,C11071,C11047,C11023)/POBLA!$B$6*100000</f>
        <v>574.85673192654178</v>
      </c>
      <c r="H11335" s="256">
        <f t="shared" si="1955"/>
        <v>0.61111638053684914</v>
      </c>
      <c r="I11335" s="297">
        <f t="shared" si="1956"/>
        <v>351.30436534218995</v>
      </c>
      <c r="J11335" s="422">
        <f t="shared" si="1957"/>
        <v>412</v>
      </c>
      <c r="K11335" s="297">
        <f>J11335/POBLA!$B$6*100000</f>
        <v>36.759424732847314</v>
      </c>
      <c r="L11335" s="200">
        <f t="shared" si="1958"/>
        <v>-0.18966001685866818</v>
      </c>
      <c r="M11335" s="401">
        <f>SUM(C11335,C11311,C11287,C11263,C11239,C11215,C11191)/POBLA!$B$6*100000</f>
        <v>257.31597312993119</v>
      </c>
    </row>
    <row r="11336" spans="1:13" s="487" customFormat="1" x14ac:dyDescent="0.25">
      <c r="A11336" s="367" t="s">
        <v>20</v>
      </c>
      <c r="B11336" s="2">
        <v>44365</v>
      </c>
      <c r="C11336" s="1">
        <v>2995</v>
      </c>
      <c r="D11336" s="39">
        <f t="shared" si="1953"/>
        <v>381175</v>
      </c>
      <c r="E11336" s="1">
        <v>38</v>
      </c>
      <c r="F11336" s="39">
        <f t="shared" si="1954"/>
        <v>4680</v>
      </c>
      <c r="G11336" s="168">
        <f>SUM(C11336,C11312,C11288,C11264,C11240,C11216,C11192,C11168,C11144,C11120,C11096,C11072,C11048,C11024)/POBLA!$B$7*100000</f>
        <v>1293.6483665518756</v>
      </c>
      <c r="H11336" s="256">
        <f t="shared" si="1955"/>
        <v>0.82714705932361898</v>
      </c>
      <c r="I11336" s="297">
        <f t="shared" si="1956"/>
        <v>1070.037442192187</v>
      </c>
      <c r="J11336" s="422">
        <f t="shared" si="1957"/>
        <v>2984.4285714285716</v>
      </c>
      <c r="K11336" s="297">
        <f>J11336/POBLA!$B$7*100000</f>
        <v>79.363602000520459</v>
      </c>
      <c r="L11336" s="200">
        <f t="shared" si="1958"/>
        <v>-0.2473339097852717</v>
      </c>
      <c r="M11336" s="401">
        <f>SUM(C11336,C11312,C11288,C11264,C11240,C11216,C11192)/POBLA!$B$7*100000</f>
        <v>555.5452140036432</v>
      </c>
    </row>
    <row r="11337" spans="1:13" s="487" customFormat="1" x14ac:dyDescent="0.25">
      <c r="A11337" s="367" t="s">
        <v>31</v>
      </c>
      <c r="B11337" s="2">
        <v>44365</v>
      </c>
      <c r="C11337" s="1">
        <v>837</v>
      </c>
      <c r="D11337" s="39">
        <f t="shared" si="1953"/>
        <v>102220</v>
      </c>
      <c r="E11337" s="1">
        <v>30</v>
      </c>
      <c r="F11337" s="39">
        <f t="shared" si="1954"/>
        <v>1638</v>
      </c>
      <c r="G11337" s="168">
        <f>SUM(C11337,C11313,C11289,C11265,C11241,C11217,C11193,C11169,C11145,C11121,C11097,C11073,C11049,C11025)/POBLA!$B$8*100000</f>
        <v>855.86823871667377</v>
      </c>
      <c r="H11337" s="256">
        <f t="shared" si="1955"/>
        <v>0.86799356066149569</v>
      </c>
      <c r="I11337" s="297">
        <f t="shared" si="1956"/>
        <v>742.88811998076869</v>
      </c>
      <c r="J11337" s="422">
        <f t="shared" si="1957"/>
        <v>811.57142857142856</v>
      </c>
      <c r="K11337" s="297">
        <f>J11337/POBLA!$B$8*100000</f>
        <v>58.556584822475422</v>
      </c>
      <c r="L11337" s="200">
        <f t="shared" si="1958"/>
        <v>-8.0893059375505616E-2</v>
      </c>
      <c r="M11337" s="401">
        <f>SUM(C11337,C11313,C11289,C11265,C11241,C11217,C11193)/POBLA!$B$8*100000</f>
        <v>409.896093757328</v>
      </c>
    </row>
    <row r="11338" spans="1:13" s="487" customFormat="1" x14ac:dyDescent="0.25">
      <c r="A11338" s="367" t="s">
        <v>41</v>
      </c>
      <c r="B11338" s="2">
        <v>44365</v>
      </c>
      <c r="C11338" s="1">
        <v>471</v>
      </c>
      <c r="D11338" s="39">
        <f t="shared" si="1953"/>
        <v>40581</v>
      </c>
      <c r="E11338" s="1">
        <v>8</v>
      </c>
      <c r="F11338" s="39">
        <f t="shared" si="1954"/>
        <v>689</v>
      </c>
      <c r="G11338" s="168">
        <f>SUM(C11338,C11314,C11290,C11266,C11242,C11218,C11194,C11170,C11146,C11122,C11098,C11074,C11050,C11026)/POBLA!$B$9*100000</f>
        <v>1055.5310454681398</v>
      </c>
      <c r="H11338" s="256">
        <f t="shared" si="1955"/>
        <v>0.49210384407980895</v>
      </c>
      <c r="I11338" s="297">
        <f>G11338*H11338</f>
        <v>519.43088502045123</v>
      </c>
      <c r="J11338" s="422">
        <f t="shared" si="1957"/>
        <v>478.42857142857144</v>
      </c>
      <c r="K11338" s="297">
        <f>J11338/POBLA!$B$9*100000</f>
        <v>79.053883873172921</v>
      </c>
      <c r="L11338" s="200">
        <f t="shared" si="1958"/>
        <v>0.1020072392234288</v>
      </c>
      <c r="M11338" s="401">
        <f>SUM(C11338,C11314,C11290,C11266,C11242,C11218,C11194)/POBLA!$B$9*100000</f>
        <v>553.37718711221044</v>
      </c>
    </row>
    <row r="11339" spans="1:13" s="487" customFormat="1" x14ac:dyDescent="0.25">
      <c r="A11339" s="367" t="s">
        <v>32</v>
      </c>
      <c r="B11339" s="2">
        <v>44365</v>
      </c>
      <c r="C11339" s="1">
        <v>219</v>
      </c>
      <c r="D11339" s="39">
        <f t="shared" si="1953"/>
        <v>32855</v>
      </c>
      <c r="E11339" s="1">
        <v>5</v>
      </c>
      <c r="F11339" s="39">
        <f t="shared" si="1954"/>
        <v>1127</v>
      </c>
      <c r="G11339" s="168">
        <f>SUM(C11339,C11315,C11291,C11267,C11243,C11219,C11195,C11171,C11147,C11123,C11099,C11075,C11051,C11027)/POBLA!$B$10*100000</f>
        <v>450.65321366073363</v>
      </c>
      <c r="H11339" s="256">
        <f t="shared" si="1955"/>
        <v>1.4081880826915281</v>
      </c>
      <c r="I11339" s="297">
        <f t="shared" ref="I11339:I11353" si="1959">G11339*H11339</f>
        <v>634.60448490368401</v>
      </c>
      <c r="J11339" s="422">
        <f t="shared" si="1957"/>
        <v>243.57142857142858</v>
      </c>
      <c r="K11339" s="297">
        <f>J11339/POBLA!$B$10*100000</f>
        <v>31.596501739104816</v>
      </c>
      <c r="L11339" s="200">
        <f t="shared" si="1958"/>
        <v>-3.6178631995477661E-2</v>
      </c>
      <c r="M11339" s="401">
        <f>SUM(C11339,C11315,C11291,C11267,C11243,C11219,C11195)/POBLA!$B$10*100000</f>
        <v>221.17551217373369</v>
      </c>
    </row>
    <row r="11340" spans="1:13" s="487" customFormat="1" x14ac:dyDescent="0.25">
      <c r="A11340" s="367" t="s">
        <v>33</v>
      </c>
      <c r="B11340" s="2">
        <v>44365</v>
      </c>
      <c r="C11340" s="1">
        <v>311</v>
      </c>
      <c r="D11340" s="39">
        <f t="shared" si="1953"/>
        <v>48920</v>
      </c>
      <c r="E11340" s="1">
        <v>11</v>
      </c>
      <c r="F11340" s="39">
        <f t="shared" si="1954"/>
        <v>682</v>
      </c>
      <c r="G11340" s="168">
        <f>SUM(C11340,C11316,C11292,C11268,C11244,C11220,C11196,C11172,C11148,C11124,C11100,C11076,C11052,C11028)/POBLA!$B$11*100000</f>
        <v>1183.2222929012241</v>
      </c>
      <c r="H11340" s="256">
        <f t="shared" si="1955"/>
        <v>0.57071726550935276</v>
      </c>
      <c r="I11340" s="297">
        <f t="shared" si="1959"/>
        <v>675.28539149429309</v>
      </c>
      <c r="J11340" s="422">
        <f t="shared" si="1957"/>
        <v>266.14285714285717</v>
      </c>
      <c r="K11340" s="297">
        <f>J11340/POBLA!$B$11*100000</f>
        <v>74.252808693198403</v>
      </c>
      <c r="L11340" s="200">
        <f t="shared" si="1958"/>
        <v>-0.21656854499579481</v>
      </c>
      <c r="M11340" s="401">
        <f>SUM(C11340,C11316,C11292,C11268,C11244,C11220,C11196)/POBLA!$B$11*100000</f>
        <v>519.76966085238871</v>
      </c>
    </row>
    <row r="11341" spans="1:13" s="487" customFormat="1" x14ac:dyDescent="0.25">
      <c r="A11341" s="367" t="s">
        <v>21</v>
      </c>
      <c r="B11341" s="2">
        <v>44365</v>
      </c>
      <c r="C11341" s="1">
        <v>148</v>
      </c>
      <c r="D11341" s="39">
        <f t="shared" si="1953"/>
        <v>20255</v>
      </c>
      <c r="E11341" s="1"/>
      <c r="F11341" s="39">
        <f t="shared" si="1954"/>
        <v>580</v>
      </c>
      <c r="G11341" s="168">
        <f>SUM(C11341,C11317,C11293,C11269,C11245,C11221,C11197,C11173,C11149,C11125,C11101,C11077,C11053,C11029)/POBLA!$B$12*100000</f>
        <v>534.39246209320231</v>
      </c>
      <c r="H11341" s="256">
        <f t="shared" si="1955"/>
        <v>0.87844611528822059</v>
      </c>
      <c r="I11341" s="297">
        <f t="shared" si="1959"/>
        <v>469.43498236508123</v>
      </c>
      <c r="J11341" s="422">
        <f t="shared" si="1957"/>
        <v>137.42857142857142</v>
      </c>
      <c r="K11341" s="297">
        <f>J11341/POBLA!$B$12*100000</f>
        <v>34.921917569027961</v>
      </c>
      <c r="L11341" s="200">
        <f t="shared" si="1958"/>
        <v>-0.15687992988606481</v>
      </c>
      <c r="M11341" s="401">
        <f>SUM(C11341,C11317,C11293,C11269,C11245,C11221,C11197)/POBLA!$B$12*100000</f>
        <v>244.45342298319574</v>
      </c>
    </row>
    <row r="11342" spans="1:13" s="487" customFormat="1" x14ac:dyDescent="0.25">
      <c r="A11342" s="367" t="s">
        <v>17</v>
      </c>
      <c r="B11342" s="2">
        <v>44365</v>
      </c>
      <c r="C11342" s="1">
        <v>650</v>
      </c>
      <c r="D11342" s="39">
        <f t="shared" si="1953"/>
        <v>133372</v>
      </c>
      <c r="E11342" s="1">
        <v>16</v>
      </c>
      <c r="F11342" s="39">
        <f t="shared" si="1954"/>
        <v>3025</v>
      </c>
      <c r="G11342" s="168">
        <f>SUM(C11342,C11318,C11294,C11270,C11246,C11222,C11198,C11174,C11150,C11126,C11102,C11078,C11054,C11030)/POBLA!$B$13*100000</f>
        <v>456.15367842044918</v>
      </c>
      <c r="H11342" s="256">
        <f t="shared" si="1955"/>
        <v>0.85377092345307504</v>
      </c>
      <c r="I11342" s="297">
        <f t="shared" si="1959"/>
        <v>389.45074726154394</v>
      </c>
      <c r="J11342" s="422">
        <f t="shared" si="1957"/>
        <v>632.71428571428567</v>
      </c>
      <c r="K11342" s="297">
        <f>J11342/POBLA!$B$13*100000</f>
        <v>31.789288337673586</v>
      </c>
      <c r="L11342" s="200">
        <f t="shared" si="1958"/>
        <v>-4.752688172043007E-2</v>
      </c>
      <c r="M11342" s="401">
        <f>SUM(C11342,C11318,C11294,C11270,C11246,C11222,C11198)/POBLA!$B$13*100000</f>
        <v>222.52501836371513</v>
      </c>
    </row>
    <row r="11343" spans="1:13" s="487" customFormat="1" x14ac:dyDescent="0.25">
      <c r="A11343" s="367" t="s">
        <v>23</v>
      </c>
      <c r="B11343" s="2">
        <v>44365</v>
      </c>
      <c r="C11343" s="1">
        <v>170</v>
      </c>
      <c r="D11343" s="39">
        <f t="shared" si="1953"/>
        <v>23554</v>
      </c>
      <c r="E11343" s="1">
        <v>6</v>
      </c>
      <c r="F11343" s="39">
        <f t="shared" si="1954"/>
        <v>373</v>
      </c>
      <c r="G11343" s="168">
        <f>SUM(C11343,C11319,C11295,C11271,C11247,C11223,C11199,C11175,C11151,C11127,C11103,C11079,C11055,C11031)/POBLA!$B$14*100000</f>
        <v>190.59790976568507</v>
      </c>
      <c r="H11343" s="256">
        <f t="shared" si="1955"/>
        <v>0.98645876077144035</v>
      </c>
      <c r="I11343" s="297">
        <f t="shared" si="1959"/>
        <v>188.0169778730845</v>
      </c>
      <c r="J11343" s="422">
        <f t="shared" si="1957"/>
        <v>164.42857142857142</v>
      </c>
      <c r="K11343" s="297">
        <f>J11343/POBLA!$B$14*100000</f>
        <v>13.036498344443993</v>
      </c>
      <c r="L11343" s="200">
        <f t="shared" si="1958"/>
        <v>-8.1404628890662356E-2</v>
      </c>
      <c r="M11343" s="401">
        <f>SUM(C11343,C11319,C11295,C11271,C11247,C11223,C11199)/POBLA!$B$14*100000</f>
        <v>91.255488411107962</v>
      </c>
    </row>
    <row r="11344" spans="1:13" s="487" customFormat="1" x14ac:dyDescent="0.25">
      <c r="A11344" s="367" t="s">
        <v>19</v>
      </c>
      <c r="B11344" s="2">
        <v>44365</v>
      </c>
      <c r="C11344" s="1">
        <v>300</v>
      </c>
      <c r="D11344" s="39">
        <f t="shared" si="1953"/>
        <v>98595</v>
      </c>
      <c r="E11344" s="1">
        <v>15</v>
      </c>
      <c r="F11344" s="39">
        <f t="shared" si="1954"/>
        <v>1595</v>
      </c>
      <c r="G11344" s="168">
        <f>SUM(C11344,C11320,C11296,C11272,C11248,C11224,C11200,C11176,C11152,C11128,C11104,C11080,C11056,C11032)/POBLA!$B$15*100000</f>
        <v>792.55244655202785</v>
      </c>
      <c r="H11344" s="256">
        <f t="shared" si="1955"/>
        <v>0.47172178901138301</v>
      </c>
      <c r="I11344" s="297">
        <f t="shared" si="1959"/>
        <v>373.86425797287109</v>
      </c>
      <c r="J11344" s="422">
        <f t="shared" si="1957"/>
        <v>301.14285714285717</v>
      </c>
      <c r="K11344" s="297">
        <f>J11344/POBLA!$B$15*100000</f>
        <v>45.348947024556203</v>
      </c>
      <c r="L11344" s="200">
        <f t="shared" si="1958"/>
        <v>-0.33185419968304275</v>
      </c>
      <c r="M11344" s="401">
        <f>SUM(C11344,C11320,C11296,C11272,C11248,C11224,C11200)/POBLA!$B$15*100000</f>
        <v>317.44262917189337</v>
      </c>
    </row>
    <row r="11345" spans="1:13" s="487" customFormat="1" x14ac:dyDescent="0.25">
      <c r="A11345" s="367" t="s">
        <v>18</v>
      </c>
      <c r="B11345" s="2">
        <v>44365</v>
      </c>
      <c r="C11345" s="1">
        <v>331</v>
      </c>
      <c r="D11345" s="39">
        <f t="shared" si="1953"/>
        <v>81267</v>
      </c>
      <c r="E11345" s="1">
        <v>9</v>
      </c>
      <c r="F11345" s="39">
        <f t="shared" si="1954"/>
        <v>1839</v>
      </c>
      <c r="G11345" s="168">
        <f>SUM(C11345,C11321,C11297,C11273,C11249,C11225,C11201,C11177,C11153,C11129,C11105,C11081,C11057,C11033)/POBLA!$B$16*100000</f>
        <v>673.07820922673591</v>
      </c>
      <c r="H11345" s="256">
        <f t="shared" si="1955"/>
        <v>0.72278081011203676</v>
      </c>
      <c r="I11345" s="297">
        <f t="shared" si="1959"/>
        <v>486.48801333365918</v>
      </c>
      <c r="J11345" s="422">
        <f t="shared" si="1957"/>
        <v>336.85714285714283</v>
      </c>
      <c r="K11345" s="297">
        <f>J11345/POBLA!$B$16*100000</f>
        <v>45.057870127090702</v>
      </c>
      <c r="L11345" s="200">
        <f t="shared" si="1958"/>
        <v>-0.11817501869857894</v>
      </c>
      <c r="M11345" s="401">
        <f>SUM(C11345,C11321,C11297,C11273,C11249,C11225,C11201)/POBLA!$B$16*100000</f>
        <v>315.40509088963495</v>
      </c>
    </row>
    <row r="11346" spans="1:13" s="487" customFormat="1" x14ac:dyDescent="0.25">
      <c r="A11346" s="367" t="s">
        <v>34</v>
      </c>
      <c r="B11346" s="2">
        <v>44365</v>
      </c>
      <c r="C11346" s="1">
        <v>471</v>
      </c>
      <c r="D11346" s="39">
        <f>C11346+D11322</f>
        <v>55443</v>
      </c>
      <c r="E11346" s="1">
        <v>23</v>
      </c>
      <c r="F11346" s="39">
        <f t="shared" si="1954"/>
        <v>1599</v>
      </c>
      <c r="G11346" s="168">
        <f>SUM(C11346,C11322,C11298,C11274,C11250,C11226,C11202,C11178,C11154,C11130,C11106,C11082,C11058,C11034)/POBLA!$B$17*100000</f>
        <v>517.48213454535494</v>
      </c>
      <c r="H11346" s="256">
        <f t="shared" si="1955"/>
        <v>1.0140321914981427</v>
      </c>
      <c r="I11346" s="297">
        <f t="shared" si="1959"/>
        <v>524.74354295416299</v>
      </c>
      <c r="J11346" s="422">
        <f t="shared" si="1957"/>
        <v>504</v>
      </c>
      <c r="K11346" s="297">
        <f>J11346/POBLA!$B$17*100000</f>
        <v>35.383393815067009</v>
      </c>
      <c r="L11346" s="200">
        <f t="shared" si="1958"/>
        <v>-8.1967213114754078E-2</v>
      </c>
      <c r="M11346" s="401">
        <f>SUM(C11346,C11322,C11298,C11274,C11250,C11226,C11202)/POBLA!$B$17*100000</f>
        <v>247.68375670546905</v>
      </c>
    </row>
    <row r="11347" spans="1:13" s="487" customFormat="1" x14ac:dyDescent="0.25">
      <c r="A11347" s="367" t="s">
        <v>35</v>
      </c>
      <c r="B11347" s="2">
        <v>44365</v>
      </c>
      <c r="C11347" s="1">
        <v>401</v>
      </c>
      <c r="D11347" s="39">
        <f t="shared" si="1953"/>
        <v>45992</v>
      </c>
      <c r="E11347" s="1">
        <v>4</v>
      </c>
      <c r="F11347" s="39">
        <f t="shared" si="1954"/>
        <v>752</v>
      </c>
      <c r="G11347" s="168">
        <f>SUM(C11347,C11323,C11299,C11275,C11251,C11227,C11203,C11179,C11155,C11131,C11107,C11083,C11059,C11035)/POBLA!$B$18*100000</f>
        <v>859.81231847233221</v>
      </c>
      <c r="H11347" s="256">
        <f t="shared" si="1955"/>
        <v>0.9998511461744567</v>
      </c>
      <c r="I11347" s="297">
        <f t="shared" si="1959"/>
        <v>859.68433211947831</v>
      </c>
      <c r="J11347" s="422">
        <f t="shared" si="1957"/>
        <v>465.14285714285717</v>
      </c>
      <c r="K11347" s="297">
        <f>J11347/POBLA!$B$18*100000</f>
        <v>59.540800717708031</v>
      </c>
      <c r="L11347" s="200">
        <f t="shared" si="1958"/>
        <v>-5.9231436001155768E-2</v>
      </c>
      <c r="M11347" s="401">
        <f>SUM(C11347,C11323,C11299,C11275,C11251,C11227,C11203)/POBLA!$B$18*100000</f>
        <v>416.78560502395618</v>
      </c>
    </row>
    <row r="11348" spans="1:13" s="487" customFormat="1" x14ac:dyDescent="0.25">
      <c r="A11348" s="367" t="s">
        <v>36</v>
      </c>
      <c r="B11348" s="2">
        <v>44365</v>
      </c>
      <c r="C11348" s="1">
        <v>304</v>
      </c>
      <c r="D11348" s="39">
        <f t="shared" si="1953"/>
        <v>61302</v>
      </c>
      <c r="E11348" s="1">
        <v>4</v>
      </c>
      <c r="F11348" s="39">
        <f t="shared" si="1954"/>
        <v>868</v>
      </c>
      <c r="G11348" s="168">
        <f>SUM(C11348,C11324,C11300,C11276,C11252,C11228,C11204,C11180,C11156,C11132,C11108,C11084,C11060,C11036)/POBLA!$B$19*100000</f>
        <v>1192.1436552776947</v>
      </c>
      <c r="H11348" s="256">
        <f t="shared" si="1955"/>
        <v>0.77533265097236437</v>
      </c>
      <c r="I11348" s="297">
        <f t="shared" si="1959"/>
        <v>924.30790058633954</v>
      </c>
      <c r="J11348" s="422">
        <f t="shared" si="1957"/>
        <v>380.14285714285717</v>
      </c>
      <c r="K11348" s="297">
        <f>J11348/POBLA!$B$19*100000</f>
        <v>74.782986013530078</v>
      </c>
      <c r="L11348" s="200">
        <f t="shared" si="1958"/>
        <v>-0.21712268314210059</v>
      </c>
      <c r="M11348" s="401">
        <f>SUM(C11348,C11324,C11300,C11276,C11252,C11228,C11204)/POBLA!$B$19*100000</f>
        <v>523.48090209471047</v>
      </c>
    </row>
    <row r="11349" spans="1:13" s="487" customFormat="1" x14ac:dyDescent="0.25">
      <c r="A11349" s="367" t="s">
        <v>37</v>
      </c>
      <c r="B11349" s="2">
        <v>44365</v>
      </c>
      <c r="C11349" s="1">
        <v>74</v>
      </c>
      <c r="D11349" s="39">
        <f t="shared" si="1953"/>
        <v>54276</v>
      </c>
      <c r="E11349" s="1">
        <v>2</v>
      </c>
      <c r="F11349" s="39">
        <f t="shared" si="1954"/>
        <v>839</v>
      </c>
      <c r="G11349" s="168">
        <f>SUM(C11349,C11325,C11302,C11277,C11253,C11229,C11205,C11181,C11157,C11133,C11109,C11085,C11061,C11037)/POBLA!$B$20*100000</f>
        <v>1083.6810701726561</v>
      </c>
      <c r="H11349" s="256">
        <f t="shared" si="1955"/>
        <v>0.68507681053401615</v>
      </c>
      <c r="I11349" s="297">
        <f t="shared" si="1959"/>
        <v>742.40477118997251</v>
      </c>
      <c r="J11349" s="422">
        <f t="shared" si="1957"/>
        <v>115.85714285714286</v>
      </c>
      <c r="K11349" s="297">
        <f>J11349/POBLA!$B$20*100000</f>
        <v>31.681098298908623</v>
      </c>
      <c r="L11349" s="200">
        <f t="shared" si="1958"/>
        <v>-0.23634651600753298</v>
      </c>
      <c r="M11349" s="401">
        <f>SUM(C11349,C11325,C11301,C11277,C11253,C11229,C11205)/POBLA!$B$20*100000</f>
        <v>221.76768809236037</v>
      </c>
    </row>
    <row r="11350" spans="1:13" s="487" customFormat="1" x14ac:dyDescent="0.25">
      <c r="A11350" s="367" t="s">
        <v>22</v>
      </c>
      <c r="B11350" s="2">
        <v>44365</v>
      </c>
      <c r="C11350" s="1">
        <v>1749</v>
      </c>
      <c r="D11350" s="39">
        <f t="shared" si="1953"/>
        <v>387308</v>
      </c>
      <c r="E11350" s="1">
        <v>37</v>
      </c>
      <c r="F11350" s="39">
        <f t="shared" si="1954"/>
        <v>6274</v>
      </c>
      <c r="G11350" s="168">
        <f>SUM(C11350,C11326,C11302,C11278,C11254,C11230,C11206,C11182,C11158,C11134,C11110,C11086,C11062,C11038)/POBLA!$B$21*100000</f>
        <v>831.34968773487753</v>
      </c>
      <c r="H11350" s="256">
        <f t="shared" si="1955"/>
        <v>0.72929328008334782</v>
      </c>
      <c r="I11350" s="297">
        <f t="shared" si="1959"/>
        <v>606.29774066443576</v>
      </c>
      <c r="J11350" s="422">
        <f t="shared" si="1957"/>
        <v>1925.2857142857142</v>
      </c>
      <c r="K11350" s="297">
        <f>J11350/POBLA!$B$21*100000</f>
        <v>54.44168970652548</v>
      </c>
      <c r="L11350" s="200">
        <f t="shared" si="1958"/>
        <v>-0.15361426866796457</v>
      </c>
      <c r="M11350" s="401">
        <f>SUM(C11350,C11326,C11302,C11278,C11254,C11230,C11206)/POBLA!$B$21*100000</f>
        <v>381.09182794567835</v>
      </c>
    </row>
    <row r="11351" spans="1:13" s="487" customFormat="1" x14ac:dyDescent="0.25">
      <c r="A11351" s="367" t="s">
        <v>38</v>
      </c>
      <c r="B11351" s="2">
        <v>44365</v>
      </c>
      <c r="C11351" s="1">
        <v>640</v>
      </c>
      <c r="D11351" s="39">
        <f t="shared" si="1953"/>
        <v>53774</v>
      </c>
      <c r="E11351" s="1">
        <v>8</v>
      </c>
      <c r="F11351" s="39">
        <f t="shared" si="1954"/>
        <v>715</v>
      </c>
      <c r="G11351" s="168">
        <f>SUM(C11351,C11327,C11303,C11279,C11255,C11231,C11207,C11183,C11159,C11135,C11111,C11087,C11063,C11039)/POBLA!$B$22*100000</f>
        <v>776.3364076732089</v>
      </c>
      <c r="H11351" s="256">
        <f t="shared" si="1955"/>
        <v>0.96066278775613456</v>
      </c>
      <c r="I11351" s="297">
        <f t="shared" si="1959"/>
        <v>745.79749763192785</v>
      </c>
      <c r="J11351" s="422">
        <f t="shared" si="1957"/>
        <v>557.14285714285711</v>
      </c>
      <c r="K11351" s="297">
        <f>J11351/POBLA!$B$22*100000</f>
        <v>56.949346184999804</v>
      </c>
      <c r="L11351" s="200">
        <f t="shared" si="1958"/>
        <v>5.5480378890392368E-2</v>
      </c>
      <c r="M11351" s="401">
        <f>SUM(C11351,C11327,C11303,C11279,C11255,C11231,C11207)/POBLA!$B$22*100000</f>
        <v>398.64542329499858</v>
      </c>
    </row>
    <row r="11352" spans="1:13" s="487" customFormat="1" x14ac:dyDescent="0.25">
      <c r="A11352" s="367" t="s">
        <v>39</v>
      </c>
      <c r="B11352" s="2">
        <v>44365</v>
      </c>
      <c r="C11352" s="1">
        <v>47</v>
      </c>
      <c r="D11352" s="39">
        <f t="shared" si="1953"/>
        <v>29269</v>
      </c>
      <c r="E11352" s="1"/>
      <c r="F11352" s="39">
        <f t="shared" si="1954"/>
        <v>434</v>
      </c>
      <c r="G11352" s="168">
        <f>SUM(C11352,C11328,C11304,C11280,C11256,C11232,C11208,C11184,C11160,C11136,C11112,C11088,C11064,C11040)/POBLA!$B$23*100000</f>
        <v>291.2401741785896</v>
      </c>
      <c r="H11352" s="256">
        <f t="shared" si="1955"/>
        <v>0.63112745098039214</v>
      </c>
      <c r="I11352" s="297">
        <f t="shared" si="1959"/>
        <v>183.80966875241867</v>
      </c>
      <c r="J11352" s="422">
        <f t="shared" si="1957"/>
        <v>39.285714285714285</v>
      </c>
      <c r="K11352" s="297">
        <f>J11352/POBLA!$B$23*100000</f>
        <v>22.216656837479096</v>
      </c>
      <c r="L11352" s="200">
        <f t="shared" si="1958"/>
        <v>0.14583333333333326</v>
      </c>
      <c r="M11352" s="401">
        <f>SUM(C11352,C11328,C11304,C11280,C11256,C11232,C11208)/POBLA!$B$23*100000</f>
        <v>155.51659786235368</v>
      </c>
    </row>
    <row r="11353" spans="1:13" s="487" customFormat="1" ht="15.75" thickBot="1" x14ac:dyDescent="0.3">
      <c r="A11353" s="369" t="s">
        <v>40</v>
      </c>
      <c r="B11353" s="266">
        <v>44365</v>
      </c>
      <c r="C11353" s="44">
        <v>517</v>
      </c>
      <c r="D11353" s="176">
        <f t="shared" si="1953"/>
        <v>145285</v>
      </c>
      <c r="E11353" s="44">
        <v>5</v>
      </c>
      <c r="F11353" s="176">
        <f t="shared" si="1954"/>
        <v>2153</v>
      </c>
      <c r="G11353" s="177">
        <f>SUM(C11353,C11329,C11305,C11281,C11257,C11233,C11209,C11185,C11161,C11137,C11113,C11089,C11065,C11041)/POBLA!$B$24*100000</f>
        <v>668.04118357944026</v>
      </c>
      <c r="H11353" s="402">
        <f t="shared" si="1955"/>
        <v>0.81805043717031578</v>
      </c>
      <c r="I11353" s="403">
        <f t="shared" si="1959"/>
        <v>546.49138227493631</v>
      </c>
      <c r="J11353" s="428">
        <f t="shared" si="1957"/>
        <v>749.42857142857144</v>
      </c>
      <c r="K11353" s="299">
        <f>J11353/POBLA!$B$24*100000</f>
        <v>44.223050072024733</v>
      </c>
      <c r="L11353" s="260">
        <f t="shared" si="1958"/>
        <v>-0.13646090534979427</v>
      </c>
      <c r="M11353" s="406">
        <f>SUM(C11353,C11329,C11305,C11281,C11257,C11233,C11209)/POBLA!$B$24*100000</f>
        <v>309.56135050417311</v>
      </c>
    </row>
    <row r="11354" spans="1:13" x14ac:dyDescent="0.25">
      <c r="A11354" s="374" t="s">
        <v>16</v>
      </c>
      <c r="B11354" s="267">
        <v>44366</v>
      </c>
      <c r="C11354" s="225">
        <v>5079</v>
      </c>
      <c r="D11354" s="262">
        <f>C11354+D11330</f>
        <v>1774254</v>
      </c>
      <c r="E11354" s="225">
        <v>294</v>
      </c>
      <c r="F11354" s="262">
        <f>E11354+F11330</f>
        <v>45131</v>
      </c>
      <c r="G11354" s="175">
        <f>SUM(C11354,C11330,C11282,C11306,C11258,C11234,C11210,C11186,C11162,C11138,C11114,C11090,C11066,C11042)/POBLA!$B$1*100000</f>
        <v>620.35873265028772</v>
      </c>
      <c r="H11354" s="300">
        <f>SUM(C11354,C11330,C11306,C11282,C11258,C11234,C11210,C11186,C11162,C11138,C11114,C11090,C11066,C11042,)/SUM(C11018,C10994,C10970,C10946,C10922,C10898,C10874,C10850,C10826,C10802,C10778,C10754,C10730,C10706)</f>
        <v>0.73095989789749449</v>
      </c>
      <c r="I11354" s="447">
        <f>G11354*H11354</f>
        <v>453.4573558778734</v>
      </c>
      <c r="J11354" s="421">
        <f>AVERAGE(C11354,C11330,C11306,C11282,C11258,C11234,C11210)</f>
        <v>7153.4285714285716</v>
      </c>
      <c r="K11354" s="301">
        <f>J11354/POBLA!$B$1*100000</f>
        <v>40.780862381920151</v>
      </c>
      <c r="L11354" s="399">
        <f t="shared" si="1958"/>
        <v>-0.1475895410595125</v>
      </c>
      <c r="M11354" s="400">
        <f>SUM(C11354,C11330,C11306,C11282,C11258,C11234,C11210)/POBLA!$B$1*100000</f>
        <v>285.46603667344101</v>
      </c>
    </row>
    <row r="11355" spans="1:13" x14ac:dyDescent="0.25">
      <c r="A11355" s="367" t="s">
        <v>43</v>
      </c>
      <c r="B11355" s="2">
        <v>44366</v>
      </c>
      <c r="C11355" s="1">
        <v>1218</v>
      </c>
      <c r="D11355" s="39">
        <f t="shared" si="1953"/>
        <v>450168</v>
      </c>
      <c r="E11355" s="1">
        <v>33</v>
      </c>
      <c r="F11355" s="262">
        <f t="shared" ref="F11355:F11418" si="1960">E11355+F11331</f>
        <v>9964</v>
      </c>
      <c r="G11355" s="168">
        <f>SUM(C11355,C11331,C11307,C11283,C11259,C11235,C11211,C11187,C11163,C11139,C11115,C11091,C11067,C11043)/POBLA!$B$2*100000</f>
        <v>704.66497119629503</v>
      </c>
      <c r="H11355" s="256">
        <f t="shared" ref="H11355:H11377" si="1961">SUM(C11355,C11331,C11307,C11283,C11259,C11235,C11211,C11187,C11163,C11139,C11115,C11091,C11067,C11043,)/SUM(C11019,C10995,C10971,C10947,C10923,C10899,C10875,C10851,C10827,C10803,C10779,C10755,C10731,C10707)</f>
        <v>0.66838339604021468</v>
      </c>
      <c r="I11355" s="297">
        <f t="shared" ref="I11355:I11361" si="1962">G11355*H11355</f>
        <v>470.98636651875972</v>
      </c>
      <c r="J11355" s="422">
        <f>AVERAGE(C11355,C11331,C11307,C11283,C11259,C11235,C11211)</f>
        <v>1462</v>
      </c>
      <c r="K11355" s="297">
        <f>J11355/POBLA!$B$2*100000</f>
        <v>47.534729289391557</v>
      </c>
      <c r="L11355" s="200">
        <f>(SUM(C11355,C11331,C11307,C11283,C11259,C11235,C11211)/SUM(C11187,C11163,C11139,C11115,C11091,C11067,C11043))-1</f>
        <v>-0.10534137599440507</v>
      </c>
      <c r="M11355" s="401">
        <f>SUM(C11355,C11331,C11307,C11283,C11259,C11235,C11211)/POBLA!$B$2*100000</f>
        <v>332.74310502574093</v>
      </c>
    </row>
    <row r="11356" spans="1:13" x14ac:dyDescent="0.25">
      <c r="A11356" s="367" t="s">
        <v>28</v>
      </c>
      <c r="B11356" s="2">
        <v>44366</v>
      </c>
      <c r="C11356" s="1">
        <v>208</v>
      </c>
      <c r="D11356" s="39">
        <f t="shared" si="1953"/>
        <v>30794</v>
      </c>
      <c r="F11356" s="262">
        <f t="shared" si="1960"/>
        <v>273</v>
      </c>
      <c r="G11356" s="168">
        <f>SUM(C11356,C11332,C11308,C11284,C11260,C11236,C11212,C11188,C11164,C11140,C11116,C11092,C11068,C11044)/POBLA!$B$3*100000</f>
        <v>1165.9982957745801</v>
      </c>
      <c r="H11356" s="256">
        <f t="shared" si="1961"/>
        <v>0.82760977276610281</v>
      </c>
      <c r="I11356" s="297">
        <f t="shared" si="1962"/>
        <v>964.99158461166337</v>
      </c>
      <c r="J11356" s="422">
        <f t="shared" ref="J11356:J11377" si="1963">AVERAGE(C11356,C11332,C11308,C11284,C11260,C11236,C11212)</f>
        <v>288.14285714285717</v>
      </c>
      <c r="K11356" s="297">
        <f>J11356/POBLA!$B$3*100000</f>
        <v>69.358810976092016</v>
      </c>
      <c r="L11356" s="200">
        <f t="shared" ref="L11356:L11378" si="1964">(SUM(C11356,C11332,C11308,C11284,C11260,C11236,C11212)/SUM(C11188,C11164,C11140,C11116,C11092,C11068,C11044))-1</f>
        <v>-0.28652281570569504</v>
      </c>
      <c r="M11356" s="401">
        <f>SUM(C11356,C11332,C11308,C11284,C11260,C11236,C11212)/POBLA!$B$3*100000</f>
        <v>485.51167683264413</v>
      </c>
    </row>
    <row r="11357" spans="1:13" x14ac:dyDescent="0.25">
      <c r="A11357" s="367" t="s">
        <v>15</v>
      </c>
      <c r="B11357" s="2">
        <v>44366</v>
      </c>
      <c r="C11357" s="1">
        <v>615</v>
      </c>
      <c r="D11357" s="39">
        <f t="shared" si="1953"/>
        <v>71238</v>
      </c>
      <c r="E11357" s="1">
        <v>7</v>
      </c>
      <c r="F11357" s="262">
        <f t="shared" si="1960"/>
        <v>1504</v>
      </c>
      <c r="G11357" s="168">
        <f>SUM(C11357,C11333,C11309,C11285,C11261,C11237,C11213,C11189,C11165,C11141,C11117,C11093,C11069,C11045)/POBLA!$B$4*100000</f>
        <v>757.63299049181387</v>
      </c>
      <c r="H11357" s="256">
        <f t="shared" si="1961"/>
        <v>0.99281984334203655</v>
      </c>
      <c r="I11357" s="297">
        <f t="shared" si="1962"/>
        <v>752.19306693084127</v>
      </c>
      <c r="J11357" s="422">
        <f t="shared" si="1963"/>
        <v>578.28571428571433</v>
      </c>
      <c r="K11357" s="297">
        <f>J11357/POBLA!$B$4*100000</f>
        <v>48.008802878915233</v>
      </c>
      <c r="L11357" s="200">
        <f t="shared" si="1964"/>
        <v>-0.20283576211106735</v>
      </c>
      <c r="M11357" s="401">
        <f>SUM(C11357,C11333,C11309,C11285,C11261,C11237,C11213)/POBLA!$B$4*100000</f>
        <v>336.06162015240659</v>
      </c>
    </row>
    <row r="11358" spans="1:13" x14ac:dyDescent="0.25">
      <c r="A11358" s="367" t="s">
        <v>29</v>
      </c>
      <c r="B11358" s="2">
        <v>44366</v>
      </c>
      <c r="C11358" s="1">
        <v>190</v>
      </c>
      <c r="D11358" s="39">
        <f t="shared" si="1953"/>
        <v>68349</v>
      </c>
      <c r="E11358" s="1">
        <v>2</v>
      </c>
      <c r="F11358" s="262">
        <f t="shared" si="1960"/>
        <v>1159</v>
      </c>
      <c r="G11358" s="168">
        <f>SUM(C11358,C11334,C11310,C11286,C11262,C11238,C11214,C11190,C11166,C11142,C11118,C11094,C11070,C11046)/POBLA!$B$5*100000</f>
        <v>533.7693095571201</v>
      </c>
      <c r="H11358" s="256">
        <f t="shared" si="1961"/>
        <v>0.62885420631899502</v>
      </c>
      <c r="I11358" s="297">
        <f t="shared" si="1962"/>
        <v>335.66307551898075</v>
      </c>
      <c r="J11358" s="422">
        <f t="shared" si="1963"/>
        <v>204.71428571428572</v>
      </c>
      <c r="K11358" s="297">
        <f>J11358/POBLA!$B$5*100000</f>
        <v>33.072095321487076</v>
      </c>
      <c r="L11358" s="200">
        <f t="shared" si="1964"/>
        <v>-0.23409941207910212</v>
      </c>
      <c r="M11358" s="401">
        <f>SUM(C11358,C11334,C11310,C11286,C11262,C11238,C11214)/POBLA!$B$5*100000</f>
        <v>231.50466725040951</v>
      </c>
    </row>
    <row r="11359" spans="1:13" x14ac:dyDescent="0.25">
      <c r="A11359" s="367" t="s">
        <v>30</v>
      </c>
      <c r="B11359" s="2">
        <v>44366</v>
      </c>
      <c r="C11359" s="1">
        <v>577</v>
      </c>
      <c r="D11359" s="39">
        <f t="shared" si="1953"/>
        <v>60404</v>
      </c>
      <c r="F11359" s="262">
        <f t="shared" si="1960"/>
        <v>700</v>
      </c>
      <c r="G11359" s="168">
        <f>SUM(C11359,C11335,C11311,C11287,C11263,C11239,C11215,C11191,C11167,C11143,C11119,C11095,C11071,C11047)/POBLA!$B$6*100000</f>
        <v>578.96093954234516</v>
      </c>
      <c r="H11359" s="256">
        <f t="shared" si="1961"/>
        <v>0.64145907473309605</v>
      </c>
      <c r="I11359" s="297">
        <f t="shared" si="1962"/>
        <v>371.37974858543669</v>
      </c>
      <c r="J11359" s="422">
        <f t="shared" si="1963"/>
        <v>470.57142857142856</v>
      </c>
      <c r="K11359" s="297">
        <f>J11359/POBLA!$B$6*100000</f>
        <v>41.985279150485106</v>
      </c>
      <c r="L11359" s="200">
        <f t="shared" si="1964"/>
        <v>3.0985915492957705E-2</v>
      </c>
      <c r="M11359" s="401">
        <f>SUM(C11359,C11335,C11311,C11287,C11263,C11239,C11215)/POBLA!$B$6*100000</f>
        <v>293.89695405339575</v>
      </c>
    </row>
    <row r="11360" spans="1:13" x14ac:dyDescent="0.25">
      <c r="A11360" s="367" t="s">
        <v>20</v>
      </c>
      <c r="B11360" s="2">
        <v>44366</v>
      </c>
      <c r="C11360" s="1">
        <v>1685</v>
      </c>
      <c r="D11360" s="39">
        <f t="shared" si="1953"/>
        <v>382860</v>
      </c>
      <c r="E11360" s="1">
        <v>34</v>
      </c>
      <c r="F11360" s="262">
        <f t="shared" si="1960"/>
        <v>4714</v>
      </c>
      <c r="G11360" s="168">
        <f>SUM(C11360,C11336,C11312,C11288,C11264,C11240,C11216,C11192,C11168,C11144,C11120,C11096,C11072,C11048)/POBLA!$B$7*100000</f>
        <v>1251.4459705620338</v>
      </c>
      <c r="H11360" s="256">
        <f t="shared" si="1961"/>
        <v>0.81301936665342156</v>
      </c>
      <c r="I11360" s="297">
        <f t="shared" si="1962"/>
        <v>1017.4498103873212</v>
      </c>
      <c r="J11360" s="422">
        <f t="shared" si="1963"/>
        <v>2839.2857142857142</v>
      </c>
      <c r="K11360" s="297">
        <f>J11360/POBLA!$B$7*100000</f>
        <v>75.503881564326463</v>
      </c>
      <c r="L11360" s="200">
        <f t="shared" si="1964"/>
        <v>-0.26889828949788486</v>
      </c>
      <c r="M11360" s="401">
        <f>SUM(C11360,C11336,C11312,C11288,C11264,C11240,C11216)/POBLA!$B$7*100000</f>
        <v>528.52717095028515</v>
      </c>
    </row>
    <row r="11361" spans="1:13" x14ac:dyDescent="0.25">
      <c r="A11361" s="367" t="s">
        <v>31</v>
      </c>
      <c r="B11361" s="2">
        <v>44366</v>
      </c>
      <c r="C11361" s="1">
        <v>544</v>
      </c>
      <c r="D11361" s="39">
        <f t="shared" si="1953"/>
        <v>102764</v>
      </c>
      <c r="E11361" s="1">
        <v>16</v>
      </c>
      <c r="F11361" s="262">
        <f t="shared" si="1960"/>
        <v>1654</v>
      </c>
      <c r="G11361" s="168">
        <f>SUM(C11361,C11337,C11313,C11289,C11265,C11241,C11217,C11193,C11169,C11145,C11121,C11097,C11073,C11049)/POBLA!$B$8*100000</f>
        <v>834.65552060988728</v>
      </c>
      <c r="H11361" s="256">
        <f t="shared" si="1961"/>
        <v>0.84865380382950628</v>
      </c>
      <c r="I11361" s="297">
        <f t="shared" si="1962"/>
        <v>708.33358245287775</v>
      </c>
      <c r="J11361" s="422">
        <f t="shared" si="1963"/>
        <v>789</v>
      </c>
      <c r="K11361" s="297">
        <f>J11361/POBLA!$B$8*100000</f>
        <v>56.928008796784319</v>
      </c>
      <c r="L11361" s="200">
        <f t="shared" si="1964"/>
        <v>-8.6352357320099271E-2</v>
      </c>
      <c r="M11361" s="401">
        <f>SUM(C11361,C11337,C11313,C11289,C11265,C11241,C11217)/POBLA!$B$8*100000</f>
        <v>398.49606157749025</v>
      </c>
    </row>
    <row r="11362" spans="1:13" x14ac:dyDescent="0.25">
      <c r="A11362" s="367" t="s">
        <v>41</v>
      </c>
      <c r="B11362" s="2">
        <v>44366</v>
      </c>
      <c r="C11362" s="1">
        <v>541</v>
      </c>
      <c r="D11362" s="39">
        <f t="shared" si="1953"/>
        <v>41122</v>
      </c>
      <c r="E11362" s="1">
        <v>28</v>
      </c>
      <c r="F11362" s="262">
        <f t="shared" si="1960"/>
        <v>717</v>
      </c>
      <c r="G11362" s="168">
        <f>SUM(C11362,C11338,C11314,C11290,C11266,C11242,C11218,C11194,C11170,C11146,C11122,C11098,C11074,C11050)/POBLA!$B$9*100000</f>
        <v>1045.6168528056339</v>
      </c>
      <c r="H11362" s="256">
        <f t="shared" si="1961"/>
        <v>0.50632101136181784</v>
      </c>
      <c r="I11362" s="297">
        <f>G11362*H11362</f>
        <v>529.41778240950964</v>
      </c>
      <c r="J11362" s="422">
        <f t="shared" si="1963"/>
        <v>554.28571428571433</v>
      </c>
      <c r="K11362" s="297">
        <f>J11362/POBLA!$B$9*100000</f>
        <v>91.588256025055529</v>
      </c>
      <c r="L11362" s="200">
        <f t="shared" si="1964"/>
        <v>0.58496732026143783</v>
      </c>
      <c r="M11362" s="401">
        <f>SUM(C11362,C11338,C11314,C11290,C11266,C11242,C11218)/POBLA!$B$9*100000</f>
        <v>641.11779217538867</v>
      </c>
    </row>
    <row r="11363" spans="1:13" x14ac:dyDescent="0.25">
      <c r="A11363" s="367" t="s">
        <v>32</v>
      </c>
      <c r="B11363" s="2">
        <v>44366</v>
      </c>
      <c r="C11363" s="1">
        <v>202</v>
      </c>
      <c r="D11363" s="39">
        <f t="shared" si="1953"/>
        <v>33057</v>
      </c>
      <c r="E11363" s="1">
        <v>5</v>
      </c>
      <c r="F11363" s="262">
        <f t="shared" si="1960"/>
        <v>1132</v>
      </c>
      <c r="G11363" s="168">
        <f>SUM(C11363,C11339,C11315,C11291,C11267,C11243,C11219,C11195,C11171,C11147,C11123,C11099,C11075,C11051)/POBLA!$B$10*100000</f>
        <v>449.48571828855552</v>
      </c>
      <c r="H11363" s="256">
        <f t="shared" si="1961"/>
        <v>1.3306451612903225</v>
      </c>
      <c r="I11363" s="297">
        <f t="shared" ref="I11363:I11377" si="1965">G11363*H11363</f>
        <v>598.10599610977147</v>
      </c>
      <c r="J11363" s="422">
        <f t="shared" si="1963"/>
        <v>240.42857142857142</v>
      </c>
      <c r="K11363" s="297">
        <f>J11363/POBLA!$B$10*100000</f>
        <v>31.188804942471201</v>
      </c>
      <c r="L11363" s="200">
        <f t="shared" si="1964"/>
        <v>-5.555555555555558E-2</v>
      </c>
      <c r="M11363" s="401">
        <f>SUM(C11363,C11339,C11315,C11291,C11267,C11243,C11219)/POBLA!$B$10*100000</f>
        <v>218.32163459729841</v>
      </c>
    </row>
    <row r="11364" spans="1:13" x14ac:dyDescent="0.25">
      <c r="A11364" s="367" t="s">
        <v>33</v>
      </c>
      <c r="B11364" s="2">
        <v>44366</v>
      </c>
      <c r="C11364" s="1">
        <v>166</v>
      </c>
      <c r="D11364" s="39">
        <f t="shared" si="1953"/>
        <v>49086</v>
      </c>
      <c r="F11364" s="262">
        <f t="shared" si="1960"/>
        <v>682</v>
      </c>
      <c r="G11364" s="168">
        <f>SUM(C11364,C11340,C11316,C11292,C11268,C11244,C11220,C11196,C11172,C11148,C11124,C11100,C11076,C11052)/POBLA!$B$11*100000</f>
        <v>1137.7459350273975</v>
      </c>
      <c r="H11364" s="256">
        <f t="shared" si="1961"/>
        <v>0.58016787594252384</v>
      </c>
      <c r="I11364" s="297">
        <f t="shared" si="1965"/>
        <v>660.08364248708597</v>
      </c>
      <c r="J11364" s="422">
        <f t="shared" si="1963"/>
        <v>268</v>
      </c>
      <c r="K11364" s="297">
        <f>J11364/POBLA!$B$11*100000</f>
        <v>74.770944234267418</v>
      </c>
      <c r="L11364" s="200">
        <f t="shared" si="1964"/>
        <v>-0.14804722979109897</v>
      </c>
      <c r="M11364" s="401">
        <f>SUM(C11364,C11340,C11316,C11292,C11268,C11244,C11220)/POBLA!$B$11*100000</f>
        <v>523.39660963987183</v>
      </c>
    </row>
    <row r="11365" spans="1:13" x14ac:dyDescent="0.25">
      <c r="A11365" s="367" t="s">
        <v>21</v>
      </c>
      <c r="B11365" s="2">
        <v>44366</v>
      </c>
      <c r="C11365" s="1">
        <v>74</v>
      </c>
      <c r="D11365" s="39">
        <f t="shared" si="1953"/>
        <v>20329</v>
      </c>
      <c r="F11365" s="262">
        <f t="shared" si="1960"/>
        <v>580</v>
      </c>
      <c r="G11365" s="168">
        <f>SUM(C11365,C11341,C11317,C11293,C11269,C11245,C11221,C11197,C11173,C11149,C11125,C11101,C11077,C11053)/POBLA!$B$12*100000</f>
        <v>528.80205117258868</v>
      </c>
      <c r="H11365" s="256">
        <f t="shared" si="1961"/>
        <v>0.88066017774016081</v>
      </c>
      <c r="I11365" s="297">
        <f t="shared" si="1965"/>
        <v>465.69490837501354</v>
      </c>
      <c r="J11365" s="422">
        <f t="shared" si="1963"/>
        <v>129.71428571428572</v>
      </c>
      <c r="K11365" s="297">
        <f>J11365/POBLA!$B$12*100000</f>
        <v>32.961643609851755</v>
      </c>
      <c r="L11365" s="200">
        <f t="shared" si="1964"/>
        <v>-0.22591645353793688</v>
      </c>
      <c r="M11365" s="401">
        <f>SUM(C11365,C11341,C11317,C11293,C11269,C11245,C11221)/POBLA!$B$12*100000</f>
        <v>230.73150526896231</v>
      </c>
    </row>
    <row r="11366" spans="1:13" x14ac:dyDescent="0.25">
      <c r="A11366" s="367" t="s">
        <v>17</v>
      </c>
      <c r="B11366" s="2">
        <v>44366</v>
      </c>
      <c r="C11366" s="1">
        <v>450</v>
      </c>
      <c r="D11366" s="39">
        <f t="shared" si="1953"/>
        <v>133822</v>
      </c>
      <c r="E11366" s="1">
        <v>14</v>
      </c>
      <c r="F11366" s="262">
        <f t="shared" si="1960"/>
        <v>3039</v>
      </c>
      <c r="G11366" s="168">
        <f>SUM(C11366,C11342,C11318,C11294,C11270,C11246,C11222,C11198,C11174,C11150,C11126,C11102,C11078,C11054)/POBLA!$B$13*100000</f>
        <v>450.07430898671481</v>
      </c>
      <c r="H11366" s="256">
        <f t="shared" si="1961"/>
        <v>0.86076679158258862</v>
      </c>
      <c r="I11366" s="297">
        <f t="shared" si="1965"/>
        <v>387.40901892024516</v>
      </c>
      <c r="J11366" s="422">
        <f t="shared" si="1963"/>
        <v>622.57142857142856</v>
      </c>
      <c r="K11366" s="297">
        <f>J11366/POBLA!$B$13*100000</f>
        <v>31.279683579946148</v>
      </c>
      <c r="L11366" s="200">
        <f t="shared" si="1964"/>
        <v>-5.2608695652173965E-2</v>
      </c>
      <c r="M11366" s="401">
        <f>SUM(C11366,C11342,C11318,C11294,C11270,C11246,C11222)/POBLA!$B$13*100000</f>
        <v>218.95778505962303</v>
      </c>
    </row>
    <row r="11367" spans="1:13" x14ac:dyDescent="0.25">
      <c r="A11367" s="367" t="s">
        <v>23</v>
      </c>
      <c r="B11367" s="2">
        <v>44366</v>
      </c>
      <c r="C11367" s="1">
        <v>159</v>
      </c>
      <c r="D11367" s="39">
        <f t="shared" si="1953"/>
        <v>23713</v>
      </c>
      <c r="E11367" s="1">
        <v>7</v>
      </c>
      <c r="F11367" s="262">
        <f t="shared" si="1960"/>
        <v>380</v>
      </c>
      <c r="G11367" s="168">
        <f>SUM(C11367,C11343,C11319,C11295,C11271,C11247,C11223,C11199,C11175,C11151,C11127,C11103,C11079,C11055)/POBLA!$B$14*100000</f>
        <v>188.77438567058911</v>
      </c>
      <c r="H11367" s="256">
        <f t="shared" si="1961"/>
        <v>0.97064818589482271</v>
      </c>
      <c r="I11367" s="297">
        <f t="shared" si="1965"/>
        <v>183.23351499456695</v>
      </c>
      <c r="J11367" s="422">
        <f t="shared" si="1963"/>
        <v>163.85714285714286</v>
      </c>
      <c r="K11367" s="297">
        <f>J11367/POBLA!$B$14*100000</f>
        <v>12.991193397981982</v>
      </c>
      <c r="L11367" s="200">
        <f t="shared" si="1964"/>
        <v>-7.0502431118314446E-2</v>
      </c>
      <c r="M11367" s="401">
        <f>SUM(C11367,C11343,C11319,C11295,C11271,C11247,C11223)/POBLA!$B$14*100000</f>
        <v>90.938353785873872</v>
      </c>
    </row>
    <row r="11368" spans="1:13" x14ac:dyDescent="0.25">
      <c r="A11368" s="367" t="s">
        <v>19</v>
      </c>
      <c r="B11368" s="2">
        <v>44366</v>
      </c>
      <c r="C11368" s="1">
        <v>216</v>
      </c>
      <c r="D11368" s="39">
        <f t="shared" si="1953"/>
        <v>98811</v>
      </c>
      <c r="E11368" s="1">
        <v>19</v>
      </c>
      <c r="F11368" s="262">
        <f t="shared" si="1960"/>
        <v>1614</v>
      </c>
      <c r="G11368" s="168">
        <f>SUM(C11368,C11344,C11320,C11296,C11272,C11248,C11224,C11200,C11176,C11152,C11128,C11104,C11080,C11056)/POBLA!$B$15*100000</f>
        <v>761.98278159856761</v>
      </c>
      <c r="H11368" s="256">
        <f t="shared" si="1961"/>
        <v>0.4638797213054639</v>
      </c>
      <c r="I11368" s="297">
        <f t="shared" si="1965"/>
        <v>353.46836036750568</v>
      </c>
      <c r="J11368" s="422">
        <f t="shared" si="1963"/>
        <v>304</v>
      </c>
      <c r="K11368" s="297">
        <f>J11368/POBLA!$B$15*100000</f>
        <v>45.7792026889258</v>
      </c>
      <c r="L11368" s="200">
        <f t="shared" si="1964"/>
        <v>-0.27421555252387453</v>
      </c>
      <c r="M11368" s="401">
        <f>SUM(C11368,C11344,C11320,C11296,C11272,C11248,C11224)/POBLA!$B$15*100000</f>
        <v>320.45441882248059</v>
      </c>
    </row>
    <row r="11369" spans="1:13" x14ac:dyDescent="0.25">
      <c r="A11369" s="367" t="s">
        <v>18</v>
      </c>
      <c r="B11369" s="2">
        <v>44366</v>
      </c>
      <c r="C11369" s="1">
        <v>245</v>
      </c>
      <c r="D11369" s="39">
        <f t="shared" si="1953"/>
        <v>81512</v>
      </c>
      <c r="E11369" s="1">
        <v>5</v>
      </c>
      <c r="F11369" s="262">
        <f t="shared" si="1960"/>
        <v>1844</v>
      </c>
      <c r="G11369" s="168">
        <f>SUM(C11369,C11345,C11321,C11297,C11273,C11249,C11225,C11201,C11177,C11153,C11129,C11105,C11081,C11057)/POBLA!$B$16*100000</f>
        <v>663.44751942857908</v>
      </c>
      <c r="H11369" s="256">
        <f t="shared" si="1961"/>
        <v>0.73677956030897207</v>
      </c>
      <c r="I11369" s="297">
        <f t="shared" si="1965"/>
        <v>488.8145716526667</v>
      </c>
      <c r="J11369" s="422">
        <f t="shared" si="1963"/>
        <v>333.14285714285717</v>
      </c>
      <c r="K11369" s="297">
        <f>J11369/POBLA!$B$16*100000</f>
        <v>44.561048827979448</v>
      </c>
      <c r="L11369" s="200">
        <f t="shared" si="1964"/>
        <v>-0.11263318112633181</v>
      </c>
      <c r="M11369" s="401">
        <f>SUM(C11369,C11345,C11321,C11297,C11273,C11249,C11225)/POBLA!$B$16*100000</f>
        <v>311.92734179585614</v>
      </c>
    </row>
    <row r="11370" spans="1:13" x14ac:dyDescent="0.25">
      <c r="A11370" s="367" t="s">
        <v>34</v>
      </c>
      <c r="B11370" s="2">
        <v>44366</v>
      </c>
      <c r="C11370" s="1">
        <v>470</v>
      </c>
      <c r="D11370" s="39">
        <f>C11370+D11346</f>
        <v>55913</v>
      </c>
      <c r="E11370" s="1">
        <v>4</v>
      </c>
      <c r="F11370" s="262">
        <f t="shared" si="1960"/>
        <v>1603</v>
      </c>
      <c r="G11370" s="168">
        <f>SUM(C11370,C11346,C11322,C11298,C11274,C11250,C11226,C11202,C11178,C11154,C11130,C11106,C11082,C11058)/POBLA!$B$17*100000</f>
        <v>505.68766994033263</v>
      </c>
      <c r="H11370" s="256">
        <f t="shared" si="1961"/>
        <v>0.98617196056955092</v>
      </c>
      <c r="I11370" s="297">
        <f t="shared" si="1965"/>
        <v>498.69500090090577</v>
      </c>
      <c r="J11370" s="422">
        <f t="shared" si="1963"/>
        <v>504.57142857142856</v>
      </c>
      <c r="K11370" s="297">
        <f>J11370/POBLA!$B$17*100000</f>
        <v>35.423511041614702</v>
      </c>
      <c r="L11370" s="200">
        <f t="shared" si="1964"/>
        <v>-3.7864342141106011E-2</v>
      </c>
      <c r="M11370" s="401">
        <f>SUM(C11370,C11346,C11322,C11298,C11274,C11250,C11226)/POBLA!$B$17*100000</f>
        <v>247.9645772913029</v>
      </c>
    </row>
    <row r="11371" spans="1:13" x14ac:dyDescent="0.25">
      <c r="A11371" s="367" t="s">
        <v>35</v>
      </c>
      <c r="B11371" s="2">
        <v>44366</v>
      </c>
      <c r="C11371" s="1">
        <v>291</v>
      </c>
      <c r="D11371" s="39">
        <f t="shared" si="1953"/>
        <v>46283</v>
      </c>
      <c r="E11371" s="1">
        <v>2</v>
      </c>
      <c r="F11371" s="262">
        <f t="shared" si="1960"/>
        <v>754</v>
      </c>
      <c r="G11371" s="168">
        <f>SUM(C11371,C11347,C11323,C11299,C11275,C11251,C11227,C11203,C11179,C11155,C11131,C11107,C11083,C11059)/POBLA!$B$18*100000</f>
        <v>869.54072940040999</v>
      </c>
      <c r="H11371" s="256">
        <f t="shared" si="1961"/>
        <v>1.0334702571124297</v>
      </c>
      <c r="I11371" s="297">
        <f t="shared" si="1965"/>
        <v>898.64448118317137</v>
      </c>
      <c r="J11371" s="422">
        <f t="shared" si="1963"/>
        <v>488.42857142857144</v>
      </c>
      <c r="K11371" s="297">
        <f>J11371/POBLA!$B$18*100000</f>
        <v>62.521498050934824</v>
      </c>
      <c r="L11371" s="200">
        <f t="shared" si="1964"/>
        <v>1.3337285121517439E-2</v>
      </c>
      <c r="M11371" s="401">
        <f>SUM(C11371,C11347,C11323,C11299,C11275,C11251,C11227)/POBLA!$B$18*100000</f>
        <v>437.65048635654369</v>
      </c>
    </row>
    <row r="11372" spans="1:13" x14ac:dyDescent="0.25">
      <c r="A11372" s="367" t="s">
        <v>36</v>
      </c>
      <c r="B11372" s="2">
        <v>44366</v>
      </c>
      <c r="C11372" s="1">
        <v>366</v>
      </c>
      <c r="D11372" s="39">
        <f t="shared" si="1953"/>
        <v>61668</v>
      </c>
      <c r="E11372" s="1">
        <v>1</v>
      </c>
      <c r="F11372" s="262">
        <f t="shared" si="1960"/>
        <v>869</v>
      </c>
      <c r="G11372" s="168">
        <f>SUM(C11372,C11348,C11324,C11300,C11276,C11252,C11228,C11204,C11180,C11156,C11132,C11108,C11084,C11060)/POBLA!$B$19*100000</f>
        <v>1177.192678742859</v>
      </c>
      <c r="H11372" s="256">
        <f t="shared" si="1961"/>
        <v>0.78058961648839031</v>
      </c>
      <c r="I11372" s="297">
        <f t="shared" si="1965"/>
        <v>918.9043816328292</v>
      </c>
      <c r="J11372" s="422">
        <f t="shared" si="1963"/>
        <v>367.14285714285717</v>
      </c>
      <c r="K11372" s="297">
        <f>J11372/POBLA!$B$19*100000</f>
        <v>72.225582132571333</v>
      </c>
      <c r="L11372" s="200">
        <f t="shared" si="1964"/>
        <v>-0.2472173403632103</v>
      </c>
      <c r="M11372" s="401">
        <f>SUM(C11372,C11348,C11324,C11300,C11276,C11252,C11228)/POBLA!$B$19*100000</f>
        <v>505.57907492799922</v>
      </c>
    </row>
    <row r="11373" spans="1:13" x14ac:dyDescent="0.25">
      <c r="A11373" s="367" t="s">
        <v>37</v>
      </c>
      <c r="B11373" s="2">
        <v>44366</v>
      </c>
      <c r="C11373" s="1">
        <v>70</v>
      </c>
      <c r="D11373" s="39">
        <f t="shared" si="1953"/>
        <v>54346</v>
      </c>
      <c r="E11373" s="1">
        <v>1</v>
      </c>
      <c r="F11373" s="262">
        <f>E11373+F11349</f>
        <v>840</v>
      </c>
      <c r="G11373" s="168">
        <f>SUM(C11373,C11349,C11326,C11301,C11277,C11253,C11229,C11205,C11181,C11157,C11133,C11109,C11085,C11061)/POBLA!$B$20*100000</f>
        <v>1047.5857128012733</v>
      </c>
      <c r="H11373" s="256">
        <f t="shared" si="1961"/>
        <v>0.62169981916817363</v>
      </c>
      <c r="I11373" s="297">
        <f t="shared" si="1965"/>
        <v>651.28384821171392</v>
      </c>
      <c r="J11373" s="422">
        <f t="shared" si="1963"/>
        <v>114.42857142857143</v>
      </c>
      <c r="K11373" s="297">
        <f>J11373/POBLA!$B$20*100000</f>
        <v>31.290455903114438</v>
      </c>
      <c r="L11373" s="200">
        <f t="shared" si="1964"/>
        <v>-0.12745098039215685</v>
      </c>
      <c r="M11373" s="401">
        <f>SUM(C11373,C11349,C11325,C11301,C11277,C11253,C11229)/POBLA!$B$20*100000</f>
        <v>219.03319132180104</v>
      </c>
    </row>
    <row r="11374" spans="1:13" x14ac:dyDescent="0.25">
      <c r="A11374" s="367" t="s">
        <v>22</v>
      </c>
      <c r="B11374" s="2">
        <v>44366</v>
      </c>
      <c r="C11374" s="1">
        <v>1398</v>
      </c>
      <c r="D11374" s="39">
        <f t="shared" si="1953"/>
        <v>388706</v>
      </c>
      <c r="E11374" s="1">
        <v>9</v>
      </c>
      <c r="F11374" s="262">
        <f t="shared" si="1960"/>
        <v>6283</v>
      </c>
      <c r="G11374" s="168">
        <f>SUM(C11374,C11350,C11326,C11302,C11278,C11254,C11230,C11206,C11182,C11158,C11134,C11110,C11086,C11062)/POBLA!$B$21*100000</f>
        <v>803.72286307783747</v>
      </c>
      <c r="H11374" s="256">
        <f t="shared" si="1961"/>
        <v>0.71802450423140074</v>
      </c>
      <c r="I11374" s="297">
        <f t="shared" si="1965"/>
        <v>577.09271030090622</v>
      </c>
      <c r="J11374" s="422">
        <f t="shared" si="1963"/>
        <v>1852.4285714285713</v>
      </c>
      <c r="K11374" s="297">
        <f>J11374/POBLA!$B$21*100000</f>
        <v>52.381493687357413</v>
      </c>
      <c r="L11374" s="200">
        <f t="shared" si="1964"/>
        <v>-0.16103778467908902</v>
      </c>
      <c r="M11374" s="401">
        <f>SUM(C11374,C11350,C11326,C11302,C11278,C11254,C11230)/POBLA!$B$21*100000</f>
        <v>366.67045581150194</v>
      </c>
    </row>
    <row r="11375" spans="1:13" x14ac:dyDescent="0.25">
      <c r="A11375" s="367" t="s">
        <v>38</v>
      </c>
      <c r="B11375" s="2">
        <v>44366</v>
      </c>
      <c r="C11375" s="1">
        <v>503</v>
      </c>
      <c r="D11375" s="39">
        <f t="shared" si="1953"/>
        <v>54277</v>
      </c>
      <c r="E11375" s="1">
        <v>5</v>
      </c>
      <c r="F11375" s="262">
        <f t="shared" si="1960"/>
        <v>720</v>
      </c>
      <c r="G11375" s="168">
        <f>SUM(C11375,C11351,C11327,C11303,C11279,C11255,C11231,C11207,C11183,C11159,C11135,C11111,C11087,C11063)/POBLA!$B$22*100000</f>
        <v>764.78591207517422</v>
      </c>
      <c r="H11375" s="256">
        <f t="shared" si="1961"/>
        <v>0.96766683911019136</v>
      </c>
      <c r="I11375" s="297">
        <f t="shared" si="1965"/>
        <v>740.05796613378857</v>
      </c>
      <c r="J11375" s="422">
        <f t="shared" si="1963"/>
        <v>547.14285714285711</v>
      </c>
      <c r="K11375" s="297">
        <f>J11375/POBLA!$B$22*100000</f>
        <v>55.927178432961348</v>
      </c>
      <c r="L11375" s="200">
        <f t="shared" si="1964"/>
        <v>4.8740416210295789E-2</v>
      </c>
      <c r="M11375" s="401">
        <f>SUM(C11375,C11351,C11327,C11303,C11279,C11255,C11231)/POBLA!$B$22*100000</f>
        <v>391.49024903072944</v>
      </c>
    </row>
    <row r="11376" spans="1:13" x14ac:dyDescent="0.25">
      <c r="A11376" s="367" t="s">
        <v>39</v>
      </c>
      <c r="B11376" s="2">
        <v>44366</v>
      </c>
      <c r="C11376" s="1">
        <v>33</v>
      </c>
      <c r="D11376" s="39">
        <f t="shared" si="1953"/>
        <v>29302</v>
      </c>
      <c r="F11376" s="262">
        <f t="shared" si="1960"/>
        <v>434</v>
      </c>
      <c r="G11376" s="168">
        <f>SUM(C11376,C11352,C11328,C11304,C11280,C11256,C11232,C11208,C11184,C11160,C11136,C11112,C11088,C11064)/POBLA!$B$23*100000</f>
        <v>296.32980829044845</v>
      </c>
      <c r="H11376" s="256">
        <f t="shared" si="1961"/>
        <v>0.66581956797966968</v>
      </c>
      <c r="I11376" s="297">
        <f t="shared" si="1965"/>
        <v>197.30218493544473</v>
      </c>
      <c r="J11376" s="422">
        <f t="shared" si="1963"/>
        <v>39.285714285714285</v>
      </c>
      <c r="K11376" s="297">
        <f>J11376/POBLA!$B$23*100000</f>
        <v>22.216656837479096</v>
      </c>
      <c r="L11376" s="200">
        <f t="shared" si="1964"/>
        <v>0.10441767068273089</v>
      </c>
      <c r="M11376" s="401">
        <f>SUM(C11376,C11352,C11328,C11304,C11280,C11256,C11232)/POBLA!$B$23*100000</f>
        <v>155.51659786235368</v>
      </c>
    </row>
    <row r="11377" spans="1:17" ht="15.75" thickBot="1" x14ac:dyDescent="0.3">
      <c r="A11377" s="369" t="s">
        <v>40</v>
      </c>
      <c r="B11377" s="266">
        <v>44366</v>
      </c>
      <c r="C11377" s="44">
        <v>331</v>
      </c>
      <c r="D11377" s="176">
        <f t="shared" si="1953"/>
        <v>145616</v>
      </c>
      <c r="E11377" s="44">
        <v>9</v>
      </c>
      <c r="F11377" s="262">
        <f t="shared" si="1960"/>
        <v>2162</v>
      </c>
      <c r="G11377" s="177">
        <f>SUM(C11377,C11353,C11329,C11305,C11281,C11257,C11233,C11209,C11185,C11161,C11137,C11113,C11089,C11065)/POBLA!$B$24*100000</f>
        <v>652.04973752785224</v>
      </c>
      <c r="H11377" s="402">
        <f t="shared" si="1961"/>
        <v>0.80598103574033553</v>
      </c>
      <c r="I11377" s="403">
        <f t="shared" si="1965"/>
        <v>525.53972280691232</v>
      </c>
      <c r="J11377" s="428">
        <f t="shared" si="1963"/>
        <v>720.57142857142856</v>
      </c>
      <c r="K11377" s="299">
        <f>J11377/POBLA!$B$24*100000</f>
        <v>42.520218178286832</v>
      </c>
      <c r="L11377" s="260">
        <f t="shared" si="1964"/>
        <v>-0.16017316017316019</v>
      </c>
      <c r="M11377" s="406">
        <f>SUM(C11377,C11353,C11329,C11305,C11281,C11257,C11233)/POBLA!$B$24*100000</f>
        <v>297.64152724800783</v>
      </c>
    </row>
    <row r="11378" spans="1:17" x14ac:dyDescent="0.25">
      <c r="A11378" s="374" t="s">
        <v>16</v>
      </c>
      <c r="B11378" s="267">
        <v>44367</v>
      </c>
      <c r="C11378" s="490">
        <v>2830</v>
      </c>
      <c r="D11378" s="174">
        <f>C11378+D11354</f>
        <v>1777084</v>
      </c>
      <c r="E11378" s="225">
        <v>127</v>
      </c>
      <c r="F11378" s="262">
        <f>E11378+F11354</f>
        <v>45258</v>
      </c>
      <c r="G11378" s="175">
        <f>SUM(C11378,C11354,C11306,C11330,C11282,C11258,C11234,C11210,C11186,C11162,C11138,C11114,C11090,C11066)/POBLA!$B$1*100000</f>
        <v>610.95797588081643</v>
      </c>
      <c r="H11378" s="300">
        <f>SUM(C11378,C11354,C11330,C11306,C11282,C11258,C11234,C11210,C11186,C11162,C11138,C11114,C11090,C11066,)/SUM(C11042,C11018,C10994,C10970,C10946,C10922,C10898,C10874,C10850,C10826,C10802,C10778,C10754,C10730)</f>
        <v>0.73170881581822156</v>
      </c>
      <c r="I11378" s="447">
        <f>G11378*H11378</f>
        <v>447.04333704644978</v>
      </c>
      <c r="J11378" s="421">
        <f>AVERAGE(C11378,C11354,C11330,C11306,C11282,C11258,C11234)</f>
        <v>7015.5714285714284</v>
      </c>
      <c r="K11378" s="301">
        <f>J11378/POBLA!$B$1*100000</f>
        <v>39.994954881050376</v>
      </c>
      <c r="L11378" s="399">
        <f t="shared" si="1964"/>
        <v>-0.15416810196348607</v>
      </c>
      <c r="M11378" s="400">
        <f>SUM(C11378,C11354,C11330,C11306,C11282,C11258,C11234)/POBLA!$B$1*100000</f>
        <v>279.96468416735263</v>
      </c>
    </row>
    <row r="11379" spans="1:17" x14ac:dyDescent="0.25">
      <c r="A11379" s="367" t="s">
        <v>43</v>
      </c>
      <c r="B11379" s="2">
        <v>44367</v>
      </c>
      <c r="C11379" s="4">
        <v>771</v>
      </c>
      <c r="D11379" s="39">
        <f t="shared" si="1953"/>
        <v>450939</v>
      </c>
      <c r="E11379" s="1">
        <v>32</v>
      </c>
      <c r="F11379" s="262">
        <f t="shared" si="1960"/>
        <v>9996</v>
      </c>
      <c r="G11379" s="168">
        <f>SUM(C11379,C11355,C11331,C11307,C11283,C11259,C11235,C11211,C11187,C11163,C11139,C11115,C11091,C11067)/POBLA!$B$2*100000</f>
        <v>690.58662797994316</v>
      </c>
      <c r="H11379" s="256">
        <f t="shared" ref="H11379:H11401" si="1966">SUM(C11379,C11355,C11331,C11307,C11283,C11259,C11235,C11211,C11187,C11163,C11139,C11115,C11091,C11067,)/SUM(C11043,C11019,C10995,C10971,C10947,C10923,C10899,C10875,C10851,C10827,C10803,C10779,C10755,C10731)</f>
        <v>0.66708542713567842</v>
      </c>
      <c r="I11379" s="297">
        <f t="shared" ref="I11379:I11385" si="1967">G11379*H11379</f>
        <v>460.68027570018825</v>
      </c>
      <c r="J11379" s="422">
        <f>AVERAGE(C11379,C11355,C11331,C11307,C11283,C11259,C11235)</f>
        <v>1398.1428571428571</v>
      </c>
      <c r="K11379" s="297">
        <f>J11379/POBLA!$B$2*100000</f>
        <v>45.458510411889314</v>
      </c>
      <c r="L11379" s="200">
        <f>(SUM(C11379,C11355,C11331,C11307,C11283,C11259,C11235)/SUM(C11211,C11187,C11163,C11139,C11115,C11091,C11067))-1</f>
        <v>-0.14546407054920107</v>
      </c>
      <c r="M11379" s="401">
        <f>SUM(C11379,C11355,C11331,C11307,C11283,C11259,C11235)/POBLA!$B$2*100000</f>
        <v>318.20957288322518</v>
      </c>
      <c r="Q11379" s="487"/>
    </row>
    <row r="11380" spans="1:17" x14ac:dyDescent="0.25">
      <c r="A11380" s="367" t="s">
        <v>28</v>
      </c>
      <c r="B11380" s="2">
        <v>44367</v>
      </c>
      <c r="C11380" s="4">
        <v>281</v>
      </c>
      <c r="D11380" s="39">
        <f t="shared" si="1953"/>
        <v>31075</v>
      </c>
      <c r="E11380" s="1">
        <v>10</v>
      </c>
      <c r="F11380" s="262">
        <f t="shared" si="1960"/>
        <v>283</v>
      </c>
      <c r="G11380" s="168">
        <f>SUM(C11380,C11356,C11332,C11308,C11284,C11260,C11236,C11212,C11188,C11164,C11140,C11116,C11092,C11068)/POBLA!$B$3*100000</f>
        <v>1155.8884839615057</v>
      </c>
      <c r="H11380" s="256">
        <f t="shared" si="1966"/>
        <v>0.80543441798054349</v>
      </c>
      <c r="I11380" s="297">
        <f t="shared" si="1967"/>
        <v>930.99236832994814</v>
      </c>
      <c r="J11380" s="422">
        <f t="shared" ref="J11380:J11401" si="1968">AVERAGE(C11380,C11356,C11332,C11308,C11284,C11260,C11236)</f>
        <v>280.71428571428572</v>
      </c>
      <c r="K11380" s="297">
        <f>J11380/POBLA!$B$3*100000</f>
        <v>67.570680995548244</v>
      </c>
      <c r="L11380" s="200">
        <f t="shared" ref="L11380:L11402" si="1969">(SUM(C11380,C11356,C11332,C11308,C11284,C11260,C11236)/SUM(C11212,C11188,C11164,C11140,C11116,C11092,C11068))-1</f>
        <v>-0.30736693690518158</v>
      </c>
      <c r="M11380" s="401">
        <f>SUM(C11380,C11356,C11332,C11308,C11284,C11260,C11236)/POBLA!$B$3*100000</f>
        <v>472.99476696883767</v>
      </c>
      <c r="Q11380" s="487"/>
    </row>
    <row r="11381" spans="1:17" x14ac:dyDescent="0.25">
      <c r="A11381" s="367" t="s">
        <v>15</v>
      </c>
      <c r="B11381" s="2">
        <v>44367</v>
      </c>
      <c r="C11381" s="4">
        <v>382</v>
      </c>
      <c r="D11381" s="39">
        <f t="shared" si="1953"/>
        <v>71620</v>
      </c>
      <c r="E11381" s="1">
        <v>9</v>
      </c>
      <c r="F11381" s="262">
        <f t="shared" si="1960"/>
        <v>1513</v>
      </c>
      <c r="G11381" s="168">
        <f>SUM(C11381,C11357,C11333,C11309,C11285,C11261,C11237,C11213,C11189,C11165,C11141,C11117,C11093,C11069)/POBLA!$B$4*100000</f>
        <v>730.07062441212042</v>
      </c>
      <c r="H11381" s="256">
        <f t="shared" si="1966"/>
        <v>0.93225909042722355</v>
      </c>
      <c r="I11381" s="297">
        <f t="shared" si="1967"/>
        <v>680.61497626207859</v>
      </c>
      <c r="J11381" s="422">
        <f t="shared" si="1968"/>
        <v>576.42857142857144</v>
      </c>
      <c r="K11381" s="297">
        <f>J11381/POBLA!$B$4*100000</f>
        <v>47.854624411171677</v>
      </c>
      <c r="L11381" s="200">
        <f t="shared" si="1969"/>
        <v>-0.15213280100861526</v>
      </c>
      <c r="M11381" s="401">
        <f>SUM(C11381,C11357,C11333,C11309,C11285,C11261,C11237)/POBLA!$B$4*100000</f>
        <v>334.98237087820172</v>
      </c>
      <c r="Q11381" s="487"/>
    </row>
    <row r="11382" spans="1:17" x14ac:dyDescent="0.25">
      <c r="A11382" s="367" t="s">
        <v>29</v>
      </c>
      <c r="B11382" s="2">
        <v>44367</v>
      </c>
      <c r="C11382" s="4">
        <v>146</v>
      </c>
      <c r="D11382" s="39">
        <f t="shared" si="1953"/>
        <v>68495</v>
      </c>
      <c r="E11382" s="1">
        <v>2</v>
      </c>
      <c r="F11382" s="262">
        <f t="shared" si="1960"/>
        <v>1161</v>
      </c>
      <c r="G11382" s="168">
        <f>SUM(C11382,C11358,C11334,C11310,C11286,C11262,C11238,C11214,C11190,C11166,C11142,C11118,C11094,C11070)/POBLA!$B$5*100000</f>
        <v>521.49132301767054</v>
      </c>
      <c r="H11382" s="256">
        <f t="shared" si="1966"/>
        <v>0.6185092929680015</v>
      </c>
      <c r="I11382" s="297">
        <f t="shared" si="1967"/>
        <v>322.54722948860712</v>
      </c>
      <c r="J11382" s="422">
        <f t="shared" si="1968"/>
        <v>219.14285714285714</v>
      </c>
      <c r="K11382" s="297">
        <f>J11382/POBLA!$B$5*100000</f>
        <v>35.403066450217146</v>
      </c>
      <c r="L11382" s="200">
        <f t="shared" si="1969"/>
        <v>-9.4451003541912604E-2</v>
      </c>
      <c r="M11382" s="401">
        <f>SUM(C11382,C11358,C11334,C11310,C11286,C11262,C11238)/POBLA!$B$5*100000</f>
        <v>247.82146515152004</v>
      </c>
      <c r="Q11382" s="487"/>
    </row>
    <row r="11383" spans="1:17" x14ac:dyDescent="0.25">
      <c r="A11383" s="367" t="s">
        <v>30</v>
      </c>
      <c r="B11383" s="2">
        <v>44367</v>
      </c>
      <c r="C11383" s="4">
        <v>431</v>
      </c>
      <c r="D11383" s="39">
        <f t="shared" si="1953"/>
        <v>60835</v>
      </c>
      <c r="F11383" s="262">
        <f t="shared" si="1960"/>
        <v>700</v>
      </c>
      <c r="G11383" s="168">
        <f>SUM(C11383,C11359,C11335,C11311,C11287,C11263,C11239,C11215,C11191,C11167,C11143,C11119,C11095,C11071)/POBLA!$B$6*100000</f>
        <v>552.99736527715447</v>
      </c>
      <c r="H11383" s="256">
        <f t="shared" si="1966"/>
        <v>0.86721701413180352</v>
      </c>
      <c r="I11383" s="297">
        <f t="shared" si="1967"/>
        <v>479.5687239384082</v>
      </c>
      <c r="J11383" s="422">
        <f t="shared" si="1968"/>
        <v>468.85714285714283</v>
      </c>
      <c r="K11383" s="297">
        <f>J11383/POBLA!$B$6*100000</f>
        <v>41.832327313871318</v>
      </c>
      <c r="L11383" s="200">
        <f t="shared" si="1969"/>
        <v>0.12551440329218111</v>
      </c>
      <c r="M11383" s="401">
        <f>SUM(C11383,C11359,C11335,C11311,C11287,C11263,C11239)/POBLA!$B$6*100000</f>
        <v>292.82629119709924</v>
      </c>
      <c r="Q11383" s="487"/>
    </row>
    <row r="11384" spans="1:17" x14ac:dyDescent="0.25">
      <c r="A11384" s="367" t="s">
        <v>20</v>
      </c>
      <c r="B11384" s="2">
        <v>44367</v>
      </c>
      <c r="C11384" s="4">
        <v>1537</v>
      </c>
      <c r="D11384" s="39">
        <f t="shared" si="1953"/>
        <v>384397</v>
      </c>
      <c r="E11384" s="1">
        <v>23</v>
      </c>
      <c r="F11384" s="262">
        <f t="shared" si="1960"/>
        <v>4737</v>
      </c>
      <c r="G11384" s="168">
        <f>SUM(C11384,C11360,C11336,C11312,C11288,C11264,C11240,C11216,C11192,C11168,C11144,C11120,C11096,C11072)/POBLA!$B$7*100000</f>
        <v>1221.5559308061536</v>
      </c>
      <c r="H11384" s="256">
        <f t="shared" si="1966"/>
        <v>0.80140965473926618</v>
      </c>
      <c r="I11384" s="297">
        <f t="shared" si="1967"/>
        <v>978.96671675206244</v>
      </c>
      <c r="J11384" s="422">
        <f t="shared" si="1968"/>
        <v>2836.7142857142858</v>
      </c>
      <c r="K11384" s="297">
        <f>J11384/POBLA!$B$7*100000</f>
        <v>75.435500690456877</v>
      </c>
      <c r="L11384" s="200">
        <f t="shared" si="1969"/>
        <v>-0.23858276774416198</v>
      </c>
      <c r="M11384" s="401">
        <f>SUM(C11384,C11360,C11336,C11312,C11288,C11264,C11240)/POBLA!$B$7*100000</f>
        <v>528.04850483319808</v>
      </c>
      <c r="Q11384" s="487"/>
    </row>
    <row r="11385" spans="1:17" x14ac:dyDescent="0.25">
      <c r="A11385" s="367" t="s">
        <v>31</v>
      </c>
      <c r="B11385" s="2">
        <v>44367</v>
      </c>
      <c r="C11385" s="4">
        <v>343</v>
      </c>
      <c r="D11385" s="39">
        <f t="shared" si="1953"/>
        <v>103107</v>
      </c>
      <c r="E11385" s="1">
        <v>16</v>
      </c>
      <c r="F11385" s="262">
        <f t="shared" si="1960"/>
        <v>1670</v>
      </c>
      <c r="G11385" s="168">
        <f>SUM(C11385,C11361,C11337,C11313,C11289,C11265,C11241,C11217,C11193,C11169,C11145,C11121,C11097,C11073)/POBLA!$B$8*100000</f>
        <v>822.38966320120119</v>
      </c>
      <c r="H11385" s="256">
        <f t="shared" si="1966"/>
        <v>0.85263315380011973</v>
      </c>
      <c r="I11385" s="297">
        <f t="shared" si="1967"/>
        <v>701.19669218785839</v>
      </c>
      <c r="J11385" s="422">
        <f t="shared" si="1968"/>
        <v>780</v>
      </c>
      <c r="K11385" s="297">
        <f>J11385/POBLA!$B$8*100000</f>
        <v>56.278639875147995</v>
      </c>
      <c r="L11385" s="200">
        <f t="shared" si="1969"/>
        <v>-8.049848433816098E-2</v>
      </c>
      <c r="M11385" s="401">
        <f>SUM(C11385,C11361,C11337,C11313,C11289,C11265,C11241)/POBLA!$B$8*100000</f>
        <v>393.95047912603599</v>
      </c>
      <c r="Q11385" s="487"/>
    </row>
    <row r="11386" spans="1:17" x14ac:dyDescent="0.25">
      <c r="A11386" s="367" t="s">
        <v>41</v>
      </c>
      <c r="B11386" s="2">
        <v>44367</v>
      </c>
      <c r="C11386" s="4">
        <v>436</v>
      </c>
      <c r="D11386" s="39">
        <f t="shared" si="1953"/>
        <v>41558</v>
      </c>
      <c r="E11386" s="1">
        <v>4</v>
      </c>
      <c r="F11386" s="262">
        <f t="shared" si="1960"/>
        <v>721</v>
      </c>
      <c r="G11386" s="168">
        <f>SUM(C11386,C11362,C11338,C11314,C11290,C11266,C11242,C11218,C11194,C11170,C11146,C11122,C11098,C11074)/POBLA!$B$9*100000</f>
        <v>1040.3292833856306</v>
      </c>
      <c r="H11386" s="256">
        <f t="shared" si="1966"/>
        <v>0.52058872168017201</v>
      </c>
      <c r="I11386" s="297">
        <f>G11386*H11386</f>
        <v>541.58369176417477</v>
      </c>
      <c r="J11386" s="422">
        <f t="shared" si="1968"/>
        <v>523</v>
      </c>
      <c r="K11386" s="297">
        <f>J11386/POBLA!$B$9*100000</f>
        <v>86.418712708177395</v>
      </c>
      <c r="L11386" s="200">
        <f t="shared" si="1969"/>
        <v>0.38937381404174576</v>
      </c>
      <c r="M11386" s="401">
        <f>SUM(C11386,C11362,C11338,C11314,C11290,C11266,C11242)/POBLA!$B$9*100000</f>
        <v>604.93098895724177</v>
      </c>
      <c r="Q11386" s="487"/>
    </row>
    <row r="11387" spans="1:17" x14ac:dyDescent="0.25">
      <c r="A11387" s="367" t="s">
        <v>32</v>
      </c>
      <c r="B11387" s="2">
        <v>44367</v>
      </c>
      <c r="C11387" s="4">
        <v>169</v>
      </c>
      <c r="D11387" s="39">
        <f t="shared" si="1953"/>
        <v>33226</v>
      </c>
      <c r="E11387" s="1">
        <v>5</v>
      </c>
      <c r="F11387" s="262">
        <f t="shared" si="1960"/>
        <v>1137</v>
      </c>
      <c r="G11387" s="168">
        <f>SUM(C11387,C11363,C11339,C11315,C11291,C11267,C11243,C11219,C11195,C11171,C11147,C11123,C11099,C11075)/POBLA!$B$10*100000</f>
        <v>453.24764782112931</v>
      </c>
      <c r="H11387" s="256">
        <f t="shared" si="1966"/>
        <v>1.3428132205995389</v>
      </c>
      <c r="I11387" s="297">
        <f t="shared" ref="I11387:I11401" si="1970">G11387*H11387</f>
        <v>608.62693369985618</v>
      </c>
      <c r="J11387" s="422">
        <f t="shared" si="1968"/>
        <v>241.28571428571428</v>
      </c>
      <c r="K11387" s="297">
        <f>J11387/POBLA!$B$10*100000</f>
        <v>31.299994977916732</v>
      </c>
      <c r="L11387" s="200">
        <f t="shared" si="1969"/>
        <v>-6.4265927977839366E-2</v>
      </c>
      <c r="M11387" s="401">
        <f>SUM(C11387,C11363,C11339,C11315,C11291,C11267,C11243)/POBLA!$B$10*100000</f>
        <v>219.09996484541713</v>
      </c>
      <c r="Q11387" s="487"/>
    </row>
    <row r="11388" spans="1:17" x14ac:dyDescent="0.25">
      <c r="A11388" s="367" t="s">
        <v>33</v>
      </c>
      <c r="B11388" s="2">
        <v>44367</v>
      </c>
      <c r="C11388" s="4">
        <v>94</v>
      </c>
      <c r="D11388" s="39">
        <f t="shared" si="1953"/>
        <v>49180</v>
      </c>
      <c r="F11388" s="262">
        <f t="shared" si="1960"/>
        <v>682</v>
      </c>
      <c r="G11388" s="168">
        <f>SUM(C11388,C11364,C11340,C11316,C11292,C11268,C11244,C11220,C11196,C11172,C11148,C11124,C11100,C11076)/POBLA!$B$11*100000</f>
        <v>1117.9372147265281</v>
      </c>
      <c r="H11388" s="256">
        <f t="shared" si="1966"/>
        <v>0.5988641458675833</v>
      </c>
      <c r="I11388" s="297">
        <f t="shared" si="1970"/>
        <v>669.49251523078726</v>
      </c>
      <c r="J11388" s="422">
        <f t="shared" si="1968"/>
        <v>261.57142857142856</v>
      </c>
      <c r="K11388" s="297">
        <f>J11388/POBLA!$B$11*100000</f>
        <v>72.977398130566968</v>
      </c>
      <c r="L11388" s="200">
        <f t="shared" si="1969"/>
        <v>-0.15854779411764708</v>
      </c>
      <c r="M11388" s="401">
        <f>SUM(C11388,C11364,C11340,C11316,C11292,C11268,C11244)/POBLA!$B$11*100000</f>
        <v>510.8417869139688</v>
      </c>
      <c r="Q11388" s="487"/>
    </row>
    <row r="11389" spans="1:17" x14ac:dyDescent="0.25">
      <c r="A11389" s="367" t="s">
        <v>21</v>
      </c>
      <c r="B11389" s="2">
        <v>44367</v>
      </c>
      <c r="C11389" s="4">
        <v>151</v>
      </c>
      <c r="D11389" s="39">
        <f t="shared" si="1953"/>
        <v>20480</v>
      </c>
      <c r="F11389" s="262">
        <f t="shared" si="1960"/>
        <v>580</v>
      </c>
      <c r="G11389" s="168">
        <f>SUM(C11389,C11365,C11341,C11317,C11293,C11269,C11245,C11221,C11197,C11173,C11149,C11125,C11101,C11077)/POBLA!$B$12*100000</f>
        <v>508.4732841885392</v>
      </c>
      <c r="H11389" s="256">
        <f t="shared" si="1966"/>
        <v>0.84146341463414631</v>
      </c>
      <c r="I11389" s="297">
        <f t="shared" si="1970"/>
        <v>427.86166596352689</v>
      </c>
      <c r="J11389" s="422">
        <f t="shared" si="1968"/>
        <v>137.14285714285714</v>
      </c>
      <c r="K11389" s="297">
        <f>J11389/POBLA!$B$12*100000</f>
        <v>34.849314829799212</v>
      </c>
      <c r="L11389" s="200">
        <f t="shared" si="1969"/>
        <v>-7.7809798270893404E-2</v>
      </c>
      <c r="M11389" s="401">
        <f>SUM(C11389,C11365,C11341,C11317,C11293,C11269,C11245)/POBLA!$B$12*100000</f>
        <v>243.9452038085945</v>
      </c>
      <c r="Q11389" s="487"/>
    </row>
    <row r="11390" spans="1:17" x14ac:dyDescent="0.25">
      <c r="A11390" s="367" t="s">
        <v>17</v>
      </c>
      <c r="B11390" s="2">
        <v>44367</v>
      </c>
      <c r="C11390" s="4">
        <v>197</v>
      </c>
      <c r="D11390" s="39">
        <f t="shared" si="1953"/>
        <v>134019</v>
      </c>
      <c r="E11390" s="1">
        <v>19</v>
      </c>
      <c r="F11390" s="262">
        <f t="shared" si="1960"/>
        <v>3058</v>
      </c>
      <c r="G11390" s="168">
        <f>SUM(C11390,C11366,C11342,C11318,C11294,C11270,C11246,C11222,C11198,C11174,C11150,C11126,C11102,C11078)/POBLA!$B$13*100000</f>
        <v>445.95440573410139</v>
      </c>
      <c r="H11390" s="256">
        <f t="shared" si="1966"/>
        <v>0.86426484907497569</v>
      </c>
      <c r="I11390" s="297">
        <f t="shared" si="1970"/>
        <v>385.42271716610361</v>
      </c>
      <c r="J11390" s="422">
        <f t="shared" si="1968"/>
        <v>602.57142857142856</v>
      </c>
      <c r="K11390" s="297">
        <f>J11390/POBLA!$B$13*100000</f>
        <v>30.27482912808923</v>
      </c>
      <c r="L11390" s="200">
        <f t="shared" si="1969"/>
        <v>-9.4461142121082031E-2</v>
      </c>
      <c r="M11390" s="401">
        <f>SUM(C11390,C11366,C11342,C11318,C11294,C11270,C11246)/POBLA!$B$13*100000</f>
        <v>211.92380389662458</v>
      </c>
      <c r="Q11390" s="487"/>
    </row>
    <row r="11391" spans="1:17" x14ac:dyDescent="0.25">
      <c r="A11391" s="367" t="s">
        <v>23</v>
      </c>
      <c r="B11391" s="2">
        <v>44367</v>
      </c>
      <c r="C11391" s="4">
        <v>141</v>
      </c>
      <c r="D11391" s="39">
        <f t="shared" si="1953"/>
        <v>23854</v>
      </c>
      <c r="F11391" s="262">
        <f t="shared" si="1960"/>
        <v>380</v>
      </c>
      <c r="G11391" s="168">
        <f>SUM(C11391,C11367,C11343,C11319,C11295,C11271,C11247,C11223,C11199,C11175,C11151,C11127,C11103,C11079)/POBLA!$B$14*100000</f>
        <v>188.14011642012093</v>
      </c>
      <c r="H11391" s="256">
        <f t="shared" si="1966"/>
        <v>0.96345919610231423</v>
      </c>
      <c r="I11391" s="297">
        <f t="shared" si="1970"/>
        <v>181.26532532072551</v>
      </c>
      <c r="J11391" s="422">
        <f t="shared" si="1968"/>
        <v>160.42857142857142</v>
      </c>
      <c r="K11391" s="297">
        <f>J11391/POBLA!$B$14*100000</f>
        <v>12.719363719209907</v>
      </c>
      <c r="L11391" s="200">
        <f t="shared" si="1969"/>
        <v>-0.10160000000000002</v>
      </c>
      <c r="M11391" s="401">
        <f>SUM(C11391,C11367,C11343,C11319,C11295,C11271,C11247)/POBLA!$B$14*100000</f>
        <v>89.035546034469363</v>
      </c>
      <c r="Q11391" s="487"/>
    </row>
    <row r="11392" spans="1:17" x14ac:dyDescent="0.25">
      <c r="A11392" s="367" t="s">
        <v>19</v>
      </c>
      <c r="B11392" s="2">
        <v>44367</v>
      </c>
      <c r="C11392" s="4">
        <v>214</v>
      </c>
      <c r="D11392" s="39">
        <f t="shared" si="1953"/>
        <v>99025</v>
      </c>
      <c r="E11392" s="1">
        <v>24</v>
      </c>
      <c r="F11392" s="262">
        <f t="shared" si="1960"/>
        <v>1638</v>
      </c>
      <c r="G11392" s="168">
        <f>SUM(C11392,C11368,C11344,C11320,C11296,C11272,C11248,C11224,C11200,C11176,C11152,C11128,C11104,C11080)/POBLA!$B$15*100000</f>
        <v>743.00850679986809</v>
      </c>
      <c r="H11392" s="256">
        <f t="shared" si="1966"/>
        <v>0.47197245073656019</v>
      </c>
      <c r="I11392" s="297">
        <f t="shared" si="1970"/>
        <v>350.67954587244589</v>
      </c>
      <c r="J11392" s="422">
        <f t="shared" si="1968"/>
        <v>298.85714285714283</v>
      </c>
      <c r="K11392" s="297">
        <f>J11392/POBLA!$B$15*100000</f>
        <v>45.004742493060512</v>
      </c>
      <c r="L11392" s="200">
        <f t="shared" si="1969"/>
        <v>-0.26389866291344122</v>
      </c>
      <c r="M11392" s="401">
        <f>SUM(C11392,C11368,C11344,C11320,C11296,C11272,C11248)/POBLA!$B$15*100000</f>
        <v>315.03319745142358</v>
      </c>
      <c r="Q11392" s="487"/>
    </row>
    <row r="11393" spans="1:19" x14ac:dyDescent="0.25">
      <c r="A11393" s="367" t="s">
        <v>18</v>
      </c>
      <c r="B11393" s="2">
        <v>44367</v>
      </c>
      <c r="C11393" s="4">
        <v>102</v>
      </c>
      <c r="D11393" s="39">
        <f t="shared" si="1953"/>
        <v>81614</v>
      </c>
      <c r="E11393" s="1">
        <v>5</v>
      </c>
      <c r="F11393" s="262">
        <f t="shared" si="1960"/>
        <v>1849</v>
      </c>
      <c r="G11393" s="168">
        <f>SUM(C11393,C11369,C11345,C11321,C11297,C11273,C11249,C11225,C11201,C11177,C11153,C11129,C11105,C11081)/POBLA!$B$16*100000</f>
        <v>652.47923382512272</v>
      </c>
      <c r="H11393" s="256">
        <f t="shared" si="1966"/>
        <v>0.73441734417344173</v>
      </c>
      <c r="I11393" s="297">
        <f t="shared" si="1970"/>
        <v>479.1920660341687</v>
      </c>
      <c r="J11393" s="422">
        <f t="shared" si="1968"/>
        <v>319.85714285714283</v>
      </c>
      <c r="K11393" s="297">
        <f>J11393/POBLA!$B$16*100000</f>
        <v>42.783957258081465</v>
      </c>
      <c r="L11393" s="200">
        <f t="shared" si="1969"/>
        <v>-0.15157256536566877</v>
      </c>
      <c r="M11393" s="401">
        <f>SUM(C11393,C11369,C11345,C11321,C11297,C11273,C11249)/POBLA!$B$16*100000</f>
        <v>299.48770080657027</v>
      </c>
      <c r="Q11393" s="487"/>
    </row>
    <row r="11394" spans="1:19" x14ac:dyDescent="0.25">
      <c r="A11394" s="367" t="s">
        <v>34</v>
      </c>
      <c r="B11394" s="2">
        <v>44367</v>
      </c>
      <c r="C11394" s="4">
        <v>231</v>
      </c>
      <c r="D11394" s="39">
        <f>C11394+D11370</f>
        <v>56144</v>
      </c>
      <c r="E11394" s="1">
        <v>2</v>
      </c>
      <c r="F11394" s="262">
        <f t="shared" si="1960"/>
        <v>1605</v>
      </c>
      <c r="G11394" s="168">
        <f>SUM(C11394,C11370,C11346,C11322,C11298,C11274,C11250,C11226,C11202,C11178,C11154,C11130,C11106,C11082)/POBLA!$B$17*100000</f>
        <v>492.489102406141</v>
      </c>
      <c r="H11394" s="256">
        <f t="shared" si="1966"/>
        <v>0.95067082260468894</v>
      </c>
      <c r="I11394" s="297">
        <f t="shared" si="1970"/>
        <v>468.19502010829098</v>
      </c>
      <c r="J11394" s="422">
        <f t="shared" si="1968"/>
        <v>494.85714285714283</v>
      </c>
      <c r="K11394" s="297">
        <f>J11394/POBLA!$B$17*100000</f>
        <v>34.741518190303886</v>
      </c>
      <c r="L11394" s="200">
        <f t="shared" si="1969"/>
        <v>-2.4500140805406967E-2</v>
      </c>
      <c r="M11394" s="401">
        <f>SUM(C11394,C11370,C11346,C11322,C11298,C11274,C11250)/POBLA!$B$17*100000</f>
        <v>243.19062733212721</v>
      </c>
      <c r="Q11394" s="487"/>
    </row>
    <row r="11395" spans="1:19" x14ac:dyDescent="0.25">
      <c r="A11395" s="367" t="s">
        <v>35</v>
      </c>
      <c r="B11395" s="2">
        <v>44367</v>
      </c>
      <c r="C11395" s="4">
        <v>230</v>
      </c>
      <c r="D11395" s="39">
        <f t="shared" ref="D11395:D11401" si="1971">C11395+D11371</f>
        <v>46513</v>
      </c>
      <c r="F11395" s="262">
        <f t="shared" si="1960"/>
        <v>754</v>
      </c>
      <c r="G11395" s="168">
        <f>SUM(C11395,C11371,C11347,C11323,C11299,C11275,C11251,C11227,C11203,C11179,C11155,C11131,C11107,C11083)/POBLA!$B$18*100000</f>
        <v>881.70124306050684</v>
      </c>
      <c r="H11395" s="256">
        <f t="shared" si="1966"/>
        <v>1.0598553623634406</v>
      </c>
      <c r="I11395" s="297">
        <f t="shared" si="1970"/>
        <v>934.4757904601895</v>
      </c>
      <c r="J11395" s="422">
        <f t="shared" si="1968"/>
        <v>512.71428571428567</v>
      </c>
      <c r="K11395" s="297">
        <f>J11395/POBLA!$B$18*100000</f>
        <v>65.630200791109985</v>
      </c>
      <c r="L11395" s="200">
        <f t="shared" si="1969"/>
        <v>8.7905425886632305E-2</v>
      </c>
      <c r="M11395" s="401">
        <f>SUM(C11395,C11371,C11347,C11323,C11299,C11275,C11251)/POBLA!$B$18*100000</f>
        <v>459.41140553776989</v>
      </c>
      <c r="Q11395" s="487"/>
    </row>
    <row r="11396" spans="1:19" x14ac:dyDescent="0.25">
      <c r="A11396" s="367" t="s">
        <v>36</v>
      </c>
      <c r="B11396" s="2">
        <v>44367</v>
      </c>
      <c r="C11396" s="4">
        <v>335</v>
      </c>
      <c r="D11396" s="39">
        <f t="shared" si="1971"/>
        <v>62003</v>
      </c>
      <c r="F11396" s="262">
        <f t="shared" si="1960"/>
        <v>869</v>
      </c>
      <c r="G11396" s="168">
        <f>SUM(C11396,C11372,C11348,C11324,C11300,C11276,C11252,C11228,C11204,C11180,C11156,C11132,C11108,C11084)/POBLA!$B$19*100000</f>
        <v>1157.5203411970224</v>
      </c>
      <c r="H11396" s="256">
        <f t="shared" si="1966"/>
        <v>0.79309880037740932</v>
      </c>
      <c r="I11396" s="297">
        <f t="shared" si="1970"/>
        <v>918.02799401580796</v>
      </c>
      <c r="J11396" s="422">
        <f t="shared" si="1968"/>
        <v>359.14285714285717</v>
      </c>
      <c r="K11396" s="297">
        <f>J11396/POBLA!$B$19*100000</f>
        <v>70.651795128904396</v>
      </c>
      <c r="L11396" s="200">
        <f t="shared" si="1969"/>
        <v>-0.25400593471810085</v>
      </c>
      <c r="M11396" s="401">
        <f>SUM(C11396,C11372,C11348,C11324,C11300,C11276,C11252)/POBLA!$B$19*100000</f>
        <v>494.56256590233079</v>
      </c>
      <c r="Q11396" s="487"/>
    </row>
    <row r="11397" spans="1:19" x14ac:dyDescent="0.25">
      <c r="A11397" s="367" t="s">
        <v>37</v>
      </c>
      <c r="B11397" s="2">
        <v>44367</v>
      </c>
      <c r="C11397" s="4">
        <v>54</v>
      </c>
      <c r="D11397" s="39">
        <f t="shared" si="1971"/>
        <v>54400</v>
      </c>
      <c r="F11397" s="262">
        <f>E11397+F11373</f>
        <v>840</v>
      </c>
      <c r="G11397" s="168">
        <f>SUM(C11397,C11373,C11350,C11325,C11301,C11277,C11253,C11229,C11205,C11181,C11157,C11133,C11109,C11085)/POBLA!$B$20*100000</f>
        <v>920.70506264732103</v>
      </c>
      <c r="H11397" s="256">
        <f t="shared" si="1966"/>
        <v>0.62320441988950281</v>
      </c>
      <c r="I11397" s="297">
        <f t="shared" si="1970"/>
        <v>573.78746445645208</v>
      </c>
      <c r="J11397" s="422">
        <f t="shared" si="1968"/>
        <v>112</v>
      </c>
      <c r="K11397" s="297">
        <f>J11397/POBLA!$B$20*100000</f>
        <v>30.626363830264314</v>
      </c>
      <c r="L11397" s="200">
        <f t="shared" si="1969"/>
        <v>-0.13656387665198233</v>
      </c>
      <c r="M11397" s="401">
        <f>SUM(C11397,C11373,C11349,C11325,C11301,C11277,C11253)/POBLA!$B$20*100000</f>
        <v>214.38454681185019</v>
      </c>
      <c r="Q11397" s="487"/>
    </row>
    <row r="11398" spans="1:19" x14ac:dyDescent="0.25">
      <c r="A11398" s="367" t="s">
        <v>22</v>
      </c>
      <c r="B11398" s="2">
        <v>44367</v>
      </c>
      <c r="C11398" s="4">
        <v>773</v>
      </c>
      <c r="D11398" s="39">
        <f t="shared" si="1971"/>
        <v>389479</v>
      </c>
      <c r="E11398" s="1">
        <v>17</v>
      </c>
      <c r="F11398" s="262">
        <f t="shared" si="1960"/>
        <v>6300</v>
      </c>
      <c r="G11398" s="168">
        <f>SUM(C11398,C11374,C11350,C11326,C11302,C11278,C11254,C11230,C11206,C11182,C11158,C11134,C11110,C11086)/POBLA!$B$21*100000</f>
        <v>783.05222968551789</v>
      </c>
      <c r="H11398" s="256">
        <f t="shared" si="1966"/>
        <v>0.70639253099331667</v>
      </c>
      <c r="I11398" s="297">
        <f t="shared" si="1970"/>
        <v>553.14224642751287</v>
      </c>
      <c r="J11398" s="422">
        <f t="shared" si="1968"/>
        <v>1783.1428571428571</v>
      </c>
      <c r="K11398" s="297">
        <f>J11398/POBLA!$B$21*100000</f>
        <v>50.42228766912897</v>
      </c>
      <c r="L11398" s="200">
        <f t="shared" si="1969"/>
        <v>-0.17935568704799476</v>
      </c>
      <c r="M11398" s="401">
        <f>SUM(C11398,C11374,C11350,C11326,C11302,C11278,C11254)/POBLA!$B$21*100000</f>
        <v>352.95601368390277</v>
      </c>
      <c r="Q11398" s="487"/>
    </row>
    <row r="11399" spans="1:19" x14ac:dyDescent="0.25">
      <c r="A11399" s="367" t="s">
        <v>38</v>
      </c>
      <c r="B11399" s="2">
        <v>44367</v>
      </c>
      <c r="C11399" s="4">
        <v>337</v>
      </c>
      <c r="D11399" s="39">
        <f t="shared" si="1971"/>
        <v>54614</v>
      </c>
      <c r="E11399" s="1">
        <v>5</v>
      </c>
      <c r="F11399" s="262">
        <f t="shared" si="1960"/>
        <v>725</v>
      </c>
      <c r="G11399" s="168">
        <f>SUM(C11399,C11375,C11351,C11327,C11303,C11279,C11255,C11231,C11207,C11183,C11159,C11135,C11111,C11087)/POBLA!$B$22*100000</f>
        <v>750.9866474226551</v>
      </c>
      <c r="H11399" s="256">
        <f t="shared" si="1966"/>
        <v>0.94168162009741097</v>
      </c>
      <c r="I11399" s="297">
        <f t="shared" si="1970"/>
        <v>707.19032281648902</v>
      </c>
      <c r="J11399" s="422">
        <f t="shared" si="1968"/>
        <v>527.42857142857144</v>
      </c>
      <c r="K11399" s="297">
        <f>J11399/POBLA!$B$22*100000</f>
        <v>53.912047721799823</v>
      </c>
      <c r="L11399" s="200">
        <f t="shared" si="1969"/>
        <v>1.0123119015047921E-2</v>
      </c>
      <c r="M11399" s="401">
        <f>SUM(C11399,C11375,C11351,C11327,C11303,C11279,C11255)/POBLA!$B$22*100000</f>
        <v>377.38433405259872</v>
      </c>
      <c r="Q11399" s="487"/>
    </row>
    <row r="11400" spans="1:19" x14ac:dyDescent="0.25">
      <c r="A11400" s="367" t="s">
        <v>39</v>
      </c>
      <c r="B11400" s="2">
        <v>44367</v>
      </c>
      <c r="C11400" s="4">
        <v>34</v>
      </c>
      <c r="D11400" s="39">
        <f t="shared" si="1971"/>
        <v>29336</v>
      </c>
      <c r="F11400" s="262">
        <f t="shared" si="1960"/>
        <v>434</v>
      </c>
      <c r="G11400" s="168">
        <f>SUM(C11400,C11376,C11352,C11328,C11304,C11280,C11256,C11232,C11208,C11184,C11160,C11136,C11112,C11088)/POBLA!$B$23*100000</f>
        <v>292.93671888254255</v>
      </c>
      <c r="H11400" s="256">
        <f t="shared" si="1966"/>
        <v>0.67535853976531945</v>
      </c>
      <c r="I11400" s="297">
        <f t="shared" si="1970"/>
        <v>197.83731470815781</v>
      </c>
      <c r="J11400" s="422">
        <f t="shared" si="1968"/>
        <v>40.857142857142854</v>
      </c>
      <c r="K11400" s="297">
        <f>J11400/POBLA!$B$23*100000</f>
        <v>23.105323110978258</v>
      </c>
      <c r="L11400" s="200">
        <f t="shared" si="1969"/>
        <v>0.23275862068965525</v>
      </c>
      <c r="M11400" s="401">
        <f>SUM(C11400,C11376,C11352,C11328,C11304,C11280,C11256)/POBLA!$B$23*100000</f>
        <v>161.73726177684782</v>
      </c>
      <c r="Q11400" s="487"/>
    </row>
    <row r="11401" spans="1:19" ht="15.75" thickBot="1" x14ac:dyDescent="0.3">
      <c r="A11401" s="368" t="s">
        <v>40</v>
      </c>
      <c r="B11401" s="34">
        <v>44367</v>
      </c>
      <c r="C11401" s="27">
        <v>176</v>
      </c>
      <c r="D11401" s="67">
        <f t="shared" si="1971"/>
        <v>145792</v>
      </c>
      <c r="E11401" s="232">
        <v>1</v>
      </c>
      <c r="F11401" s="498">
        <f t="shared" si="1960"/>
        <v>2163</v>
      </c>
      <c r="G11401" s="177">
        <f>SUM(C11401,C11377,C11353,C11329,C11305,C11281,C11257,C11233,C11209,C11185,C11161,C11137,C11113,C11089)/POBLA!$B$24*100000</f>
        <v>630.8654971864496</v>
      </c>
      <c r="H11401" s="402">
        <f t="shared" si="1966"/>
        <v>0.77325329090120065</v>
      </c>
      <c r="I11401" s="299">
        <f t="shared" si="1970"/>
        <v>487.81882181544432</v>
      </c>
      <c r="J11401" s="428">
        <f t="shared" si="1968"/>
        <v>706.71428571428567</v>
      </c>
      <c r="K11401" s="299">
        <f>J11401/POBLA!$B$24*100000</f>
        <v>41.702521674858239</v>
      </c>
      <c r="L11401" s="260">
        <f t="shared" si="1969"/>
        <v>-0.13875348189415038</v>
      </c>
      <c r="M11401" s="406">
        <f>SUM(C11401,C11377,C11353,C11329,C11305,C11281,C11257)/POBLA!$B$24*100000</f>
        <v>291.91765172400773</v>
      </c>
      <c r="N11401" s="412"/>
      <c r="O11401" s="412"/>
      <c r="P11401" s="412"/>
      <c r="Q11401" s="412"/>
      <c r="R11401" s="412"/>
      <c r="S11401" s="412"/>
    </row>
    <row r="11402" spans="1:19" x14ac:dyDescent="0.25">
      <c r="A11402" s="363" t="s">
        <v>16</v>
      </c>
      <c r="B11402" s="265">
        <v>44368</v>
      </c>
      <c r="C11402" s="356">
        <v>2466</v>
      </c>
      <c r="D11402" s="174">
        <f>C11402+D11378</f>
        <v>1779550</v>
      </c>
      <c r="E11402" s="43">
        <v>231</v>
      </c>
      <c r="F11402" s="174">
        <f>E11402+F11378</f>
        <v>45489</v>
      </c>
      <c r="G11402" s="175">
        <f>SUM(C11402,C11378,C11330,C11354,C11306,C11282,C11258,C11234,C11210,C11186,C11162,C11138,C11114,C11090)/POBLA!$B$1*100000</f>
        <v>581.56992181979501</v>
      </c>
      <c r="H11402" s="300">
        <f>SUM(C11402,C11378,C11354,C11330,C11306,C11282,C11258,C11234,C11210,C11186,C11162,C11138,C11114,C11090,)/SUM(C11066,C11042,C11018,C10994,C10970,C10946,C10922,C10898,C10874,C10850,C10826,C10802,C10778,C10754)</f>
        <v>0.69617022438172194</v>
      </c>
      <c r="I11402" s="301">
        <f>G11402*H11402</f>
        <v>404.87166296694716</v>
      </c>
      <c r="J11402" s="421">
        <f>AVERAGE(C11402,C11378,C11354,C11330,C11306,C11282,C11258)</f>
        <v>6314.8571428571431</v>
      </c>
      <c r="K11402" s="301">
        <f>J11402/POBLA!$B$1*100000</f>
        <v>36.000264423261541</v>
      </c>
      <c r="L11402" s="399">
        <f t="shared" si="1969"/>
        <v>-0.23535720463587617</v>
      </c>
      <c r="M11402" s="400">
        <f>SUM(C11402,C11378,C11354,C11330,C11306,C11282,C11258)/POBLA!$B$1*100000</f>
        <v>252.00185096283076</v>
      </c>
      <c r="N11402" s="499"/>
      <c r="O11402" s="499"/>
      <c r="P11402" s="499"/>
      <c r="Q11402" s="499"/>
      <c r="R11402" s="499"/>
      <c r="S11402" s="412"/>
    </row>
    <row r="11403" spans="1:19" x14ac:dyDescent="0.25">
      <c r="A11403" s="367" t="s">
        <v>43</v>
      </c>
      <c r="B11403" s="2">
        <v>44368</v>
      </c>
      <c r="C11403" s="4">
        <v>791</v>
      </c>
      <c r="D11403" s="39">
        <f t="shared" ref="D11403:D11417" si="1972">C11403+D11379</f>
        <v>451730</v>
      </c>
      <c r="E11403" s="1">
        <v>21</v>
      </c>
      <c r="F11403" s="39">
        <f t="shared" si="1960"/>
        <v>10017</v>
      </c>
      <c r="G11403" s="168">
        <f>SUM(C11403,C11379,C11355,C11331,C11307,C11283,C11259,C11235,C11211,C11187,C11163,C11139,C11115,C11091)/POBLA!$B$2*100000</f>
        <v>664.4457782202503</v>
      </c>
      <c r="H11403" s="256">
        <f t="shared" ref="H11403:H11425" si="1973">SUM(C11403,C11379,C11355,C11331,C11307,C11283,C11259,C11235,C11211,C11187,C11163,C11139,C11115,C11091,)/SUM(C11067,C11043,C11019,C10995,C10971,C10947,C10923,C10899,C10875,C10851,C10827,C10803,C10779,C10755)</f>
        <v>0.65290734824281149</v>
      </c>
      <c r="I11403" s="297">
        <f t="shared" ref="I11403:I11409" si="1974">G11403*H11403</f>
        <v>433.82153110891488</v>
      </c>
      <c r="J11403" s="422">
        <f>AVERAGE(C11403,C11379,C11355,C11331,C11307,C11283,C11259)</f>
        <v>1278.1428571428571</v>
      </c>
      <c r="K11403" s="297">
        <f>J11403/POBLA!$B$2*100000</f>
        <v>41.556891044770992</v>
      </c>
      <c r="L11403" s="200">
        <f>(SUM(C11403,C11379,C11355,C11331,C11307,C11283,C11259)/SUM(C11235,C11211,C11187,C11163,C11139,C11115,C11091))-1</f>
        <v>-0.22125511358690919</v>
      </c>
      <c r="M11403" s="401">
        <f>SUM(C11403,C11379,C11355,C11331,C11307,C11283,C11259)/POBLA!$B$2*100000</f>
        <v>290.89823731339692</v>
      </c>
      <c r="N11403" s="499"/>
      <c r="O11403" s="499"/>
      <c r="P11403" s="499"/>
      <c r="Q11403" s="499"/>
      <c r="R11403" s="499"/>
      <c r="S11403" s="412"/>
    </row>
    <row r="11404" spans="1:19" x14ac:dyDescent="0.25">
      <c r="A11404" s="367" t="s">
        <v>28</v>
      </c>
      <c r="B11404" s="2">
        <v>44368</v>
      </c>
      <c r="C11404" s="4">
        <v>173</v>
      </c>
      <c r="D11404" s="39">
        <f t="shared" si="1972"/>
        <v>31248</v>
      </c>
      <c r="F11404" s="39">
        <f t="shared" si="1960"/>
        <v>283</v>
      </c>
      <c r="G11404" s="168">
        <f>SUM(C11404,C11380,C11356,C11332,C11308,C11284,C11260,C11236,C11212,C11188,C11164,C11140,C11116,C11092)/POBLA!$B$3*100000</f>
        <v>1092.3410954221808</v>
      </c>
      <c r="H11404" s="256">
        <f t="shared" si="1973"/>
        <v>0.76824106991704755</v>
      </c>
      <c r="I11404" s="297">
        <f t="shared" si="1974"/>
        <v>839.18129186149599</v>
      </c>
      <c r="J11404" s="422">
        <f t="shared" ref="J11404:J11425" si="1975">AVERAGE(C11404,C11380,C11356,C11332,C11308,C11284,C11260)</f>
        <v>261.42857142857144</v>
      </c>
      <c r="K11404" s="297">
        <f>J11404/POBLA!$B$3*100000</f>
        <v>62.928420469136533</v>
      </c>
      <c r="L11404" s="200">
        <f t="shared" ref="L11404:L11426" si="1976">(SUM(C11404,C11380,C11356,C11332,C11308,C11284,C11260)/SUM(C11236,C11212,C11188,C11164,C11140,C11116,C11092))-1</f>
        <v>-0.32422451994091583</v>
      </c>
      <c r="M11404" s="401">
        <f>SUM(C11404,C11380,C11356,C11332,C11308,C11284,C11260)/POBLA!$B$3*100000</f>
        <v>440.49894328395573</v>
      </c>
      <c r="N11404" s="412"/>
      <c r="O11404" s="412"/>
      <c r="P11404" s="412"/>
      <c r="Q11404" s="412"/>
      <c r="R11404" s="412"/>
      <c r="S11404" s="412"/>
    </row>
    <row r="11405" spans="1:19" x14ac:dyDescent="0.25">
      <c r="A11405" s="367" t="s">
        <v>15</v>
      </c>
      <c r="B11405" s="2">
        <v>44368</v>
      </c>
      <c r="C11405" s="4">
        <v>261</v>
      </c>
      <c r="D11405" s="39">
        <f t="shared" si="1972"/>
        <v>71881</v>
      </c>
      <c r="E11405" s="1">
        <v>8</v>
      </c>
      <c r="F11405" s="39">
        <f t="shared" si="1960"/>
        <v>1521</v>
      </c>
      <c r="G11405" s="168">
        <f>SUM(C11405,C11381,C11357,C11333,C11309,C11285,C11261,C11237,C11213,C11189,C11165,C11141,C11117,C11093)/POBLA!$B$4*100000</f>
        <v>709.73092655210576</v>
      </c>
      <c r="H11405" s="256">
        <f t="shared" si="1973"/>
        <v>0.90293620616814529</v>
      </c>
      <c r="I11405" s="297">
        <f t="shared" si="1974"/>
        <v>640.84175022116096</v>
      </c>
      <c r="J11405" s="422">
        <f t="shared" si="1975"/>
        <v>547</v>
      </c>
      <c r="K11405" s="297">
        <f>J11405/POBLA!$B$4*100000</f>
        <v>45.411488691543084</v>
      </c>
      <c r="L11405" s="200">
        <f t="shared" si="1976"/>
        <v>-0.18877118644067792</v>
      </c>
      <c r="M11405" s="401">
        <f>SUM(C11405,C11381,C11357,C11333,C11309,C11285,C11261)/POBLA!$B$4*100000</f>
        <v>317.88042084080161</v>
      </c>
      <c r="N11405" s="499"/>
      <c r="O11405" s="499"/>
      <c r="P11405" s="499"/>
      <c r="Q11405" s="499"/>
      <c r="R11405" s="499"/>
      <c r="S11405" s="412"/>
    </row>
    <row r="11406" spans="1:19" x14ac:dyDescent="0.25">
      <c r="A11406" s="367" t="s">
        <v>29</v>
      </c>
      <c r="B11406" s="2">
        <v>44368</v>
      </c>
      <c r="C11406" s="4">
        <v>96</v>
      </c>
      <c r="D11406" s="39">
        <f t="shared" si="1972"/>
        <v>68591</v>
      </c>
      <c r="E11406" s="1">
        <v>16</v>
      </c>
      <c r="F11406" s="39">
        <f t="shared" si="1960"/>
        <v>1177</v>
      </c>
      <c r="G11406" s="168">
        <f>SUM(C11406,C11382,C11358,C11334,C11310,C11286,C11262,C11238,C11214,C11190,C11166,C11142,C11118,C11094)/POBLA!$B$5*100000</f>
        <v>497.42000730217092</v>
      </c>
      <c r="H11406" s="256">
        <f t="shared" si="1973"/>
        <v>0.58658792150885886</v>
      </c>
      <c r="I11406" s="297">
        <f t="shared" si="1974"/>
        <v>291.78056820030184</v>
      </c>
      <c r="J11406" s="422">
        <f t="shared" si="1975"/>
        <v>212.71428571428572</v>
      </c>
      <c r="K11406" s="297">
        <f>J11406/POBLA!$B$5*100000</f>
        <v>34.364514957218603</v>
      </c>
      <c r="L11406" s="200">
        <f t="shared" si="1976"/>
        <v>-6.3522012578616338E-2</v>
      </c>
      <c r="M11406" s="401">
        <f>SUM(C11406,C11382,C11358,C11334,C11310,C11286,C11262)/POBLA!$B$5*100000</f>
        <v>240.55160470053022</v>
      </c>
      <c r="N11406" s="499"/>
      <c r="O11406" s="499"/>
      <c r="P11406" s="499"/>
      <c r="Q11406" s="499"/>
      <c r="R11406" s="499"/>
      <c r="S11406" s="412"/>
    </row>
    <row r="11407" spans="1:19" x14ac:dyDescent="0.25">
      <c r="A11407" s="367" t="s">
        <v>30</v>
      </c>
      <c r="B11407" s="2">
        <v>44368</v>
      </c>
      <c r="C11407" s="4">
        <v>175</v>
      </c>
      <c r="D11407" s="39">
        <f t="shared" si="1972"/>
        <v>61010</v>
      </c>
      <c r="F11407" s="39">
        <f t="shared" si="1960"/>
        <v>700</v>
      </c>
      <c r="G11407" s="168">
        <f>SUM(C11407,C11383,C11359,C11335,C11311,C11287,C11263,C11239,C11215,C11191,C11167,C11143,C11119,C11095)/POBLA!$B$6*100000</f>
        <v>540.95240814381862</v>
      </c>
      <c r="H11407" s="256">
        <f t="shared" si="1973"/>
        <v>0.85035063113604492</v>
      </c>
      <c r="I11407" s="297">
        <f t="shared" si="1974"/>
        <v>459.99922167965951</v>
      </c>
      <c r="J11407" s="422">
        <f t="shared" si="1975"/>
        <v>476.28571428571428</v>
      </c>
      <c r="K11407" s="297">
        <f>J11407/POBLA!$B$6*100000</f>
        <v>42.495118605864405</v>
      </c>
      <c r="L11407" s="200">
        <f t="shared" si="1976"/>
        <v>0.22169292781238559</v>
      </c>
      <c r="M11407" s="401">
        <f>SUM(C11407,C11383,C11359,C11335,C11311,C11287,C11263)/POBLA!$B$6*100000</f>
        <v>297.46583024105081</v>
      </c>
      <c r="N11407" s="412"/>
      <c r="O11407" s="412"/>
      <c r="P11407" s="412"/>
      <c r="Q11407" s="412"/>
      <c r="R11407" s="412"/>
      <c r="S11407" s="412"/>
    </row>
    <row r="11408" spans="1:19" x14ac:dyDescent="0.25">
      <c r="A11408" s="367" t="s">
        <v>20</v>
      </c>
      <c r="B11408" s="2">
        <v>44368</v>
      </c>
      <c r="C11408" s="4">
        <v>844</v>
      </c>
      <c r="D11408" s="39">
        <f t="shared" si="1972"/>
        <v>385241</v>
      </c>
      <c r="E11408" s="1">
        <v>34</v>
      </c>
      <c r="F11408" s="39">
        <f t="shared" si="1960"/>
        <v>4771</v>
      </c>
      <c r="G11408" s="168">
        <f>SUM(C11408,C11384,C11360,C11336,C11312,C11288,C11264,C11240,C11216,C11192,C11168,C11144,C11120,C11096)/POBLA!$B$7*100000</f>
        <v>1165.3658471725457</v>
      </c>
      <c r="H11408" s="256">
        <f t="shared" si="1973"/>
        <v>0.76255024447963249</v>
      </c>
      <c r="I11408" s="297">
        <f t="shared" si="1974"/>
        <v>888.65001166963873</v>
      </c>
      <c r="J11408" s="422">
        <f t="shared" si="1975"/>
        <v>2578</v>
      </c>
      <c r="K11408" s="297">
        <f>J11408/POBLA!$B$7*100000</f>
        <v>68.555624991689825</v>
      </c>
      <c r="L11408" s="200">
        <f t="shared" si="1976"/>
        <v>-0.29991853202467311</v>
      </c>
      <c r="M11408" s="401">
        <f>SUM(C11408,C11384,C11360,C11336,C11312,C11288,C11264)/POBLA!$B$7*100000</f>
        <v>479.88937494182881</v>
      </c>
      <c r="N11408" s="499"/>
      <c r="O11408" s="499"/>
      <c r="P11408" s="499"/>
      <c r="Q11408" s="499"/>
      <c r="R11408" s="499"/>
      <c r="S11408" s="412"/>
    </row>
    <row r="11409" spans="1:19" x14ac:dyDescent="0.25">
      <c r="A11409" s="367" t="s">
        <v>31</v>
      </c>
      <c r="B11409" s="2">
        <v>44368</v>
      </c>
      <c r="C11409" s="4">
        <v>246</v>
      </c>
      <c r="D11409" s="39">
        <f t="shared" si="1972"/>
        <v>103353</v>
      </c>
      <c r="E11409" s="1">
        <v>17</v>
      </c>
      <c r="F11409" s="39">
        <f t="shared" si="1960"/>
        <v>1687</v>
      </c>
      <c r="G11409" s="168">
        <f>SUM(C11409,C11385,C11361,C11337,C11313,C11289,C11265,C11241,C11217,C11193,C11169,C11145,C11121,C11097)/POBLA!$B$8*100000</f>
        <v>791.79717178188992</v>
      </c>
      <c r="H11409" s="256">
        <f t="shared" si="1973"/>
        <v>0.80839779005524859</v>
      </c>
      <c r="I11409" s="297">
        <f t="shared" si="1974"/>
        <v>640.08708384047588</v>
      </c>
      <c r="J11409" s="422">
        <f t="shared" si="1975"/>
        <v>715.57142857142856</v>
      </c>
      <c r="K11409" s="297">
        <f>J11409/POBLA!$B$8*100000</f>
        <v>51.629982991687967</v>
      </c>
      <c r="L11409" s="200">
        <f t="shared" si="1976"/>
        <v>-0.16026823134953894</v>
      </c>
      <c r="M11409" s="401">
        <f>SUM(C11409,C11385,C11361,C11337,C11313,C11289,C11265)/POBLA!$B$8*100000</f>
        <v>361.40988094181586</v>
      </c>
      <c r="N11409" s="499"/>
      <c r="O11409" s="499"/>
      <c r="P11409" s="499"/>
      <c r="Q11409" s="499"/>
      <c r="R11409" s="499"/>
      <c r="S11409" s="412"/>
    </row>
    <row r="11410" spans="1:19" x14ac:dyDescent="0.25">
      <c r="A11410" s="367" t="s">
        <v>41</v>
      </c>
      <c r="B11410" s="2">
        <v>44368</v>
      </c>
      <c r="C11410" s="4">
        <v>387</v>
      </c>
      <c r="D11410" s="39">
        <f t="shared" si="1972"/>
        <v>41945</v>
      </c>
      <c r="E11410" s="1">
        <v>15</v>
      </c>
      <c r="F11410" s="39">
        <f t="shared" si="1960"/>
        <v>736</v>
      </c>
      <c r="G11410" s="168">
        <f>SUM(C11410,C11386,C11362,C11338,C11314,C11290,C11266,C11242,C11218,C11194,C11170,C11146,C11122,C11098)/POBLA!$B$9*100000</f>
        <v>1025.953704024997</v>
      </c>
      <c r="H11410" s="256">
        <f t="shared" si="1973"/>
        <v>0.52574089754445386</v>
      </c>
      <c r="I11410" s="297">
        <f>G11410*H11410</f>
        <v>539.3858211931589</v>
      </c>
      <c r="J11410" s="422">
        <f t="shared" si="1975"/>
        <v>474</v>
      </c>
      <c r="K11410" s="297">
        <f>J11410/POBLA!$B$9*100000</f>
        <v>78.322122033797484</v>
      </c>
      <c r="L11410" s="200">
        <f t="shared" si="1976"/>
        <v>0.14769975786924938</v>
      </c>
      <c r="M11410" s="401">
        <f>SUM(C11410,C11386,C11362,C11338,C11314,C11290,C11266)/POBLA!$B$9*100000</f>
        <v>548.25485423658233</v>
      </c>
      <c r="N11410" s="499"/>
      <c r="O11410" s="499"/>
      <c r="P11410" s="499"/>
      <c r="Q11410" s="499"/>
      <c r="R11410" s="499"/>
      <c r="S11410" s="412"/>
    </row>
    <row r="11411" spans="1:19" x14ac:dyDescent="0.25">
      <c r="A11411" s="367" t="s">
        <v>32</v>
      </c>
      <c r="B11411" s="2">
        <v>44368</v>
      </c>
      <c r="C11411" s="4">
        <v>148</v>
      </c>
      <c r="D11411" s="39">
        <f t="shared" si="1972"/>
        <v>33374</v>
      </c>
      <c r="E11411" s="1">
        <v>5</v>
      </c>
      <c r="F11411" s="39">
        <f t="shared" si="1960"/>
        <v>1142</v>
      </c>
      <c r="G11411" s="168">
        <f>SUM(C11411,C11387,C11363,C11339,C11315,C11291,C11267,C11243,C11219,C11195,C11171,C11147,C11123,C11099)/POBLA!$B$10*100000</f>
        <v>434.95688699033968</v>
      </c>
      <c r="H11411" s="256">
        <f t="shared" si="1973"/>
        <v>1.2074180770615772</v>
      </c>
      <c r="I11411" s="297">
        <f t="shared" ref="I11411:I11425" si="1977">G11411*H11411</f>
        <v>525.17480809456572</v>
      </c>
      <c r="J11411" s="422">
        <f t="shared" si="1975"/>
        <v>223.28571428571428</v>
      </c>
      <c r="K11411" s="297">
        <f>J11411/POBLA!$B$10*100000</f>
        <v>28.965004233560595</v>
      </c>
      <c r="L11411" s="200">
        <f t="shared" si="1976"/>
        <v>-0.12681564245810051</v>
      </c>
      <c r="M11411" s="401">
        <f>SUM(C11411,C11387,C11363,C11339,C11315,C11291,C11267)/POBLA!$B$10*100000</f>
        <v>202.7550296349242</v>
      </c>
      <c r="N11411" s="499"/>
      <c r="O11411" s="499"/>
      <c r="P11411" s="499"/>
      <c r="Q11411" s="499"/>
      <c r="R11411" s="499"/>
      <c r="S11411" s="412"/>
    </row>
    <row r="11412" spans="1:19" x14ac:dyDescent="0.25">
      <c r="A11412" s="367" t="s">
        <v>33</v>
      </c>
      <c r="B11412" s="2">
        <v>44368</v>
      </c>
      <c r="C11412" s="4">
        <v>158</v>
      </c>
      <c r="D11412" s="39">
        <f t="shared" si="1972"/>
        <v>49338</v>
      </c>
      <c r="F11412" s="39">
        <f t="shared" si="1960"/>
        <v>682</v>
      </c>
      <c r="G11412" s="168">
        <f>SUM(C11412,C11388,C11364,C11340,C11316,C11292,C11268,C11244,C11220,C11196,C11172,C11148,C11124,C11100)/POBLA!$B$11*100000</f>
        <v>1045.3982389768657</v>
      </c>
      <c r="H11412" s="256">
        <f t="shared" si="1973"/>
        <v>0.5807501549907006</v>
      </c>
      <c r="I11412" s="297">
        <f t="shared" si="1977"/>
        <v>607.11518931282023</v>
      </c>
      <c r="J11412" s="422">
        <f t="shared" si="1975"/>
        <v>239.28571428571428</v>
      </c>
      <c r="K11412" s="297">
        <f>J11412/POBLA!$B$11*100000</f>
        <v>66.759771637738751</v>
      </c>
      <c r="L11412" s="200">
        <f t="shared" si="1976"/>
        <v>-0.19160231660231664</v>
      </c>
      <c r="M11412" s="401">
        <f>SUM(C11412,C11388,C11364,C11340,C11316,C11292,C11268)/POBLA!$B$11*100000</f>
        <v>467.31840146417136</v>
      </c>
      <c r="N11412" s="412"/>
      <c r="O11412" s="412"/>
      <c r="P11412" s="412"/>
      <c r="Q11412" s="412"/>
      <c r="R11412" s="412"/>
      <c r="S11412" s="412"/>
    </row>
    <row r="11413" spans="1:19" x14ac:dyDescent="0.25">
      <c r="A11413" s="367" t="s">
        <v>21</v>
      </c>
      <c r="B11413" s="2">
        <v>44368</v>
      </c>
      <c r="C11413" s="4">
        <v>187</v>
      </c>
      <c r="D11413" s="39">
        <f t="shared" si="1972"/>
        <v>20667</v>
      </c>
      <c r="F11413" s="39">
        <f t="shared" si="1960"/>
        <v>580</v>
      </c>
      <c r="G11413" s="168">
        <f>SUM(C11413,C11389,C11365,C11341,C11317,C11293,C11269,C11245,C11221,C11197,C11173,C11149,C11125,C11101)/POBLA!$B$12*100000</f>
        <v>520.16232520436768</v>
      </c>
      <c r="H11413" s="256">
        <f t="shared" si="1973"/>
        <v>0.88005159071367156</v>
      </c>
      <c r="I11413" s="297">
        <f t="shared" si="1977"/>
        <v>457.76968172542593</v>
      </c>
      <c r="J11413" s="422">
        <f t="shared" si="1975"/>
        <v>143</v>
      </c>
      <c r="K11413" s="297">
        <f>J11413/POBLA!$B$12*100000</f>
        <v>36.337670983988552</v>
      </c>
      <c r="L11413" s="200">
        <f t="shared" si="1976"/>
        <v>-4.3021032504780066E-2</v>
      </c>
      <c r="M11413" s="401">
        <f>SUM(C11413,C11389,C11365,C11341,C11317,C11293,C11269)/POBLA!$B$12*100000</f>
        <v>254.36369688791987</v>
      </c>
      <c r="N11413" s="412"/>
      <c r="O11413" s="412"/>
      <c r="P11413" s="412"/>
      <c r="Q11413" s="412"/>
      <c r="R11413" s="412"/>
      <c r="S11413" s="412"/>
    </row>
    <row r="11414" spans="1:19" x14ac:dyDescent="0.25">
      <c r="A11414" s="367" t="s">
        <v>17</v>
      </c>
      <c r="B11414" s="2">
        <v>44368</v>
      </c>
      <c r="C11414" s="4">
        <v>252</v>
      </c>
      <c r="D11414" s="39">
        <f t="shared" si="1972"/>
        <v>134271</v>
      </c>
      <c r="E11414" s="1">
        <v>5</v>
      </c>
      <c r="F11414" s="39">
        <f t="shared" si="1960"/>
        <v>3063</v>
      </c>
      <c r="G11414" s="168">
        <f>SUM(C11414,C11390,C11366,C11342,C11318,C11294,C11270,C11246,C11222,C11198,C11174,C11150,C11126,C11102)/POBLA!$B$13*100000</f>
        <v>425.55586036140596</v>
      </c>
      <c r="H11414" s="256">
        <f t="shared" si="1973"/>
        <v>0.79920739762219284</v>
      </c>
      <c r="I11414" s="297">
        <f t="shared" si="1977"/>
        <v>340.10739170231255</v>
      </c>
      <c r="J11414" s="422">
        <f t="shared" si="1975"/>
        <v>550.57142857142856</v>
      </c>
      <c r="K11414" s="297">
        <f>J11414/POBLA!$B$13*100000</f>
        <v>27.662207553261229</v>
      </c>
      <c r="L11414" s="200">
        <f t="shared" si="1976"/>
        <v>-0.16507798960138653</v>
      </c>
      <c r="M11414" s="401">
        <f>SUM(C11414,C11390,C11366,C11342,C11318,C11294,C11270)/POBLA!$B$13*100000</f>
        <v>193.63545287282864</v>
      </c>
      <c r="N11414" s="499"/>
      <c r="O11414" s="499"/>
      <c r="P11414" s="499"/>
      <c r="Q11414" s="499"/>
      <c r="R11414" s="499"/>
      <c r="S11414" s="412"/>
    </row>
    <row r="11415" spans="1:19" x14ac:dyDescent="0.25">
      <c r="A11415" s="367" t="s">
        <v>23</v>
      </c>
      <c r="B11415" s="2">
        <v>44368</v>
      </c>
      <c r="C11415" s="4">
        <v>111</v>
      </c>
      <c r="D11415" s="39">
        <f t="shared" si="1972"/>
        <v>23965</v>
      </c>
      <c r="F11415" s="39">
        <f t="shared" si="1960"/>
        <v>380</v>
      </c>
      <c r="G11415" s="168">
        <f>SUM(C11415,C11391,C11367,C11343,C11319,C11295,C11271,C11247,C11223,C11199,C11175,C11151,C11127,C11103)/POBLA!$B$14*100000</f>
        <v>181.55957294651367</v>
      </c>
      <c r="H11415" s="256">
        <f t="shared" si="1973"/>
        <v>0.89698394046220131</v>
      </c>
      <c r="I11415" s="297">
        <f t="shared" si="1977"/>
        <v>162.85602117019832</v>
      </c>
      <c r="J11415" s="422">
        <f t="shared" si="1975"/>
        <v>150.57142857142858</v>
      </c>
      <c r="K11415" s="297">
        <f>J11415/POBLA!$B$14*100000</f>
        <v>11.9378533927402</v>
      </c>
      <c r="L11415" s="200">
        <f t="shared" si="1976"/>
        <v>-0.1472491909385113</v>
      </c>
      <c r="M11415" s="401">
        <f>SUM(C11415,C11391,C11367,C11343,C11319,C11295,C11271)/POBLA!$B$14*100000</f>
        <v>83.564973749181391</v>
      </c>
      <c r="N11415" s="412"/>
      <c r="O11415" s="412"/>
      <c r="P11415" s="412"/>
      <c r="Q11415" s="412"/>
      <c r="R11415" s="412"/>
      <c r="S11415" s="412"/>
    </row>
    <row r="11416" spans="1:19" x14ac:dyDescent="0.25">
      <c r="A11416" s="367" t="s">
        <v>19</v>
      </c>
      <c r="B11416" s="2">
        <v>44368</v>
      </c>
      <c r="C11416" s="4">
        <v>99</v>
      </c>
      <c r="D11416" s="39">
        <f t="shared" si="1972"/>
        <v>99124</v>
      </c>
      <c r="E11416" s="1">
        <v>38</v>
      </c>
      <c r="F11416" s="39">
        <f t="shared" si="1960"/>
        <v>1676</v>
      </c>
      <c r="G11416" s="168">
        <f>SUM(C11416,C11392,C11368,C11344,C11320,C11296,C11272,C11248,C11224,C11200,C11176,C11152,C11128,C11104)/POBLA!$B$15*100000</f>
        <v>677.8032608646547</v>
      </c>
      <c r="H11416" s="256">
        <f t="shared" si="1973"/>
        <v>0.44454320987654322</v>
      </c>
      <c r="I11416" s="297">
        <f t="shared" si="1977"/>
        <v>301.3128372495616</v>
      </c>
      <c r="J11416" s="422">
        <f t="shared" si="1975"/>
        <v>255</v>
      </c>
      <c r="K11416" s="297">
        <f>J11416/POBLA!$B$15*100000</f>
        <v>38.400318044987102</v>
      </c>
      <c r="L11416" s="200">
        <f t="shared" si="1976"/>
        <v>-0.34278350515463918</v>
      </c>
      <c r="M11416" s="401">
        <f>SUM(C11416,C11392,C11368,C11344,C11320,C11296,C11272)/POBLA!$B$15*100000</f>
        <v>268.80222631490972</v>
      </c>
      <c r="N11416" s="499"/>
      <c r="O11416" s="499"/>
      <c r="P11416" s="499"/>
      <c r="Q11416" s="499"/>
      <c r="R11416" s="499"/>
      <c r="S11416" s="412"/>
    </row>
    <row r="11417" spans="1:19" x14ac:dyDescent="0.25">
      <c r="A11417" s="367" t="s">
        <v>18</v>
      </c>
      <c r="B11417" s="2">
        <v>44368</v>
      </c>
      <c r="C11417" s="4">
        <v>171</v>
      </c>
      <c r="D11417" s="39">
        <f t="shared" si="1972"/>
        <v>81785</v>
      </c>
      <c r="E11417" s="1">
        <v>6</v>
      </c>
      <c r="F11417" s="39">
        <f t="shared" si="1960"/>
        <v>1855</v>
      </c>
      <c r="G11417" s="168">
        <f>SUM(C11417,C11393,C11369,C11345,C11321,C11297,C11273,C11249,C11225,C11201,C11177,C11153,C11129,C11105)/POBLA!$B$16*100000</f>
        <v>623.31964526959246</v>
      </c>
      <c r="H11417" s="256">
        <f t="shared" si="1973"/>
        <v>0.70541931577353922</v>
      </c>
      <c r="I11417" s="297">
        <f t="shared" si="1977"/>
        <v>439.7017176742811</v>
      </c>
      <c r="J11417" s="422">
        <f t="shared" si="1975"/>
        <v>287.85714285714283</v>
      </c>
      <c r="K11417" s="297">
        <f>J11417/POBLA!$B$16*100000</f>
        <v>38.503650681122892</v>
      </c>
      <c r="L11417" s="200">
        <f t="shared" si="1976"/>
        <v>-0.23818525519848777</v>
      </c>
      <c r="M11417" s="401">
        <f>SUM(C11417,C11393,C11369,C11345,C11321,C11297,C11273)/POBLA!$B$16*100000</f>
        <v>269.52555476786029</v>
      </c>
      <c r="N11417" s="499"/>
      <c r="O11417" s="499"/>
      <c r="P11417" s="499"/>
      <c r="Q11417" s="499"/>
      <c r="R11417" s="499"/>
      <c r="S11417" s="412"/>
    </row>
    <row r="11418" spans="1:19" x14ac:dyDescent="0.25">
      <c r="A11418" s="367" t="s">
        <v>34</v>
      </c>
      <c r="B11418" s="2">
        <v>44368</v>
      </c>
      <c r="C11418" s="4">
        <v>225</v>
      </c>
      <c r="D11418" s="39">
        <f>C11418+D11394</f>
        <v>56369</v>
      </c>
      <c r="F11418" s="39">
        <f t="shared" si="1960"/>
        <v>1605</v>
      </c>
      <c r="G11418" s="168">
        <f>SUM(C11418,C11394,C11370,C11346,C11322,C11298,C11274,C11250,C11226,C11202,C11178,C11154,C11130,C11106)/POBLA!$B$17*100000</f>
        <v>483.85386939174964</v>
      </c>
      <c r="H11418" s="256">
        <f t="shared" si="1973"/>
        <v>0.93488876831253387</v>
      </c>
      <c r="I11418" s="297">
        <f t="shared" si="1977"/>
        <v>452.34954799890647</v>
      </c>
      <c r="J11418" s="422">
        <f t="shared" si="1975"/>
        <v>466.14285714285717</v>
      </c>
      <c r="K11418" s="297">
        <f>J11418/POBLA!$B$17*100000</f>
        <v>32.725627556282213</v>
      </c>
      <c r="L11418" s="200">
        <f t="shared" si="1976"/>
        <v>-0.10085422981537617</v>
      </c>
      <c r="M11418" s="401">
        <f>SUM(C11418,C11394,C11370,C11346,C11322,C11298,C11274)/POBLA!$B$17*100000</f>
        <v>229.07939289397547</v>
      </c>
      <c r="N11418" s="412"/>
      <c r="O11418" s="412"/>
      <c r="P11418" s="412"/>
      <c r="Q11418" s="412"/>
      <c r="R11418" s="412"/>
      <c r="S11418" s="412"/>
    </row>
    <row r="11419" spans="1:19" x14ac:dyDescent="0.25">
      <c r="A11419" s="367" t="s">
        <v>35</v>
      </c>
      <c r="B11419" s="2">
        <v>44368</v>
      </c>
      <c r="C11419" s="4">
        <v>231</v>
      </c>
      <c r="D11419" s="39">
        <f t="shared" ref="D11419:D11425" si="1978">C11419+D11395</f>
        <v>46744</v>
      </c>
      <c r="E11419" s="1">
        <v>6</v>
      </c>
      <c r="F11419" s="39">
        <f t="shared" ref="F11419:F11425" si="1979">E11419+F11395</f>
        <v>760</v>
      </c>
      <c r="G11419" s="168">
        <f>SUM(C11419,C11395,C11371,C11347,C11323,C11299,C11275,C11251,C11227,C11203,C11179,C11155,C11131,C11107)/POBLA!$B$18*100000</f>
        <v>850.97994539289346</v>
      </c>
      <c r="H11419" s="256">
        <f t="shared" si="1973"/>
        <v>0.99120322051587895</v>
      </c>
      <c r="I11419" s="297">
        <f t="shared" si="1977"/>
        <v>843.49406246786282</v>
      </c>
      <c r="J11419" s="422">
        <f t="shared" si="1975"/>
        <v>453.28571428571428</v>
      </c>
      <c r="K11419" s="297">
        <f>J11419/POBLA!$B$18*100000</f>
        <v>58.023022321034276</v>
      </c>
      <c r="L11419" s="200">
        <f t="shared" si="1976"/>
        <v>-8.6906474820143909E-2</v>
      </c>
      <c r="M11419" s="401">
        <f>SUM(C11419,C11395,C11371,C11347,C11323,C11299,C11275)/POBLA!$B$18*100000</f>
        <v>406.16115624723989</v>
      </c>
      <c r="N11419" s="499"/>
      <c r="O11419" s="499"/>
      <c r="P11419" s="499"/>
      <c r="Q11419" s="499"/>
      <c r="R11419" s="499"/>
      <c r="S11419" s="412"/>
    </row>
    <row r="11420" spans="1:19" x14ac:dyDescent="0.25">
      <c r="A11420" s="367" t="s">
        <v>36</v>
      </c>
      <c r="B11420" s="2">
        <v>44368</v>
      </c>
      <c r="C11420" s="4">
        <v>328</v>
      </c>
      <c r="D11420" s="39">
        <f t="shared" si="1978"/>
        <v>62331</v>
      </c>
      <c r="E11420" s="1">
        <v>5</v>
      </c>
      <c r="F11420" s="39">
        <f t="shared" si="1979"/>
        <v>874</v>
      </c>
      <c r="G11420" s="168">
        <f>SUM(C11420,C11396,C11372,C11348,C11324,C11300,C11276,C11252,C11228,C11204,C11180,C11156,C11132,C11108)/POBLA!$B$19*100000</f>
        <v>1109.5198375851812</v>
      </c>
      <c r="H11420" s="256">
        <f t="shared" si="1973"/>
        <v>0.76536843533722354</v>
      </c>
      <c r="I11420" s="297">
        <f t="shared" si="1977"/>
        <v>849.1914620681805</v>
      </c>
      <c r="J11420" s="422">
        <f t="shared" si="1975"/>
        <v>356.42857142857144</v>
      </c>
      <c r="K11420" s="297">
        <f>J11420/POBLA!$B$19*100000</f>
        <v>70.117831681231692</v>
      </c>
      <c r="L11420" s="200">
        <f t="shared" si="1976"/>
        <v>-0.2066772655007949</v>
      </c>
      <c r="M11420" s="401">
        <f>SUM(C11420,C11396,C11372,C11348,C11324,C11300,C11276)/POBLA!$B$19*100000</f>
        <v>490.82482176862186</v>
      </c>
      <c r="N11420" s="499"/>
      <c r="O11420" s="499"/>
      <c r="P11420" s="499"/>
      <c r="Q11420" s="499"/>
      <c r="R11420" s="499"/>
      <c r="S11420" s="412"/>
    </row>
    <row r="11421" spans="1:19" x14ac:dyDescent="0.25">
      <c r="A11421" s="367" t="s">
        <v>37</v>
      </c>
      <c r="B11421" s="2">
        <v>44368</v>
      </c>
      <c r="C11421" s="4">
        <v>51</v>
      </c>
      <c r="D11421" s="39">
        <f t="shared" si="1978"/>
        <v>54451</v>
      </c>
      <c r="F11421" s="39">
        <f>E11421+F11397</f>
        <v>840</v>
      </c>
      <c r="G11421" s="168">
        <f>SUM(C11421,C11397,C11374,C11349,C11325,C11301,C11277,C11253,C11229,C11205,C11181,C11157,C11133,C11109)/POBLA!$B$20*100000</f>
        <v>807.22344666910953</v>
      </c>
      <c r="H11421" s="256">
        <f t="shared" si="1973"/>
        <v>0.60664923421740757</v>
      </c>
      <c r="I11421" s="297">
        <f t="shared" si="1977"/>
        <v>489.70148576415164</v>
      </c>
      <c r="J11421" s="422">
        <f t="shared" si="1975"/>
        <v>100.71428571428571</v>
      </c>
      <c r="K11421" s="297">
        <f>J11421/POBLA!$B$20*100000</f>
        <v>27.540288903490232</v>
      </c>
      <c r="L11421" s="200">
        <f t="shared" si="1976"/>
        <v>-0.23286180631120779</v>
      </c>
      <c r="M11421" s="401">
        <f>SUM(C11421,C11397,C11373,C11349,C11325,C11301,C11277)/POBLA!$B$20*100000</f>
        <v>192.78202232443164</v>
      </c>
      <c r="N11421" s="412"/>
      <c r="O11421" s="412"/>
      <c r="P11421" s="412"/>
      <c r="Q11421" s="412"/>
      <c r="R11421" s="412"/>
      <c r="S11421" s="412"/>
    </row>
    <row r="11422" spans="1:19" x14ac:dyDescent="0.25">
      <c r="A11422" s="367" t="s">
        <v>22</v>
      </c>
      <c r="B11422" s="2">
        <v>44368</v>
      </c>
      <c r="C11422" s="4">
        <v>710</v>
      </c>
      <c r="D11422" s="39">
        <f t="shared" si="1978"/>
        <v>390189</v>
      </c>
      <c r="E11422" s="1">
        <v>8</v>
      </c>
      <c r="F11422" s="39">
        <f t="shared" si="1979"/>
        <v>6308</v>
      </c>
      <c r="G11422" s="168">
        <f>SUM(C11422,C11398,C11374,C11350,C11326,C11302,C11278,C11254,C11230,C11206,C11182,C11158,C11134,C11110)/POBLA!$B$21*100000</f>
        <v>753.27633780848305</v>
      </c>
      <c r="H11422" s="256">
        <f t="shared" si="1973"/>
        <v>0.68552973571116083</v>
      </c>
      <c r="I11422" s="297">
        <f t="shared" si="1977"/>
        <v>516.39332877532047</v>
      </c>
      <c r="J11422" s="422">
        <f t="shared" si="1975"/>
        <v>1642.7142857142858</v>
      </c>
      <c r="K11422" s="297">
        <f>J11422/POBLA!$B$21*100000</f>
        <v>46.451360832183461</v>
      </c>
      <c r="L11422" s="200">
        <f t="shared" si="1976"/>
        <v>-0.24048877146631442</v>
      </c>
      <c r="M11422" s="401">
        <f>SUM(C11422,C11398,C11374,C11350,C11326,C11302,C11278)/POBLA!$B$21*100000</f>
        <v>325.15952582528422</v>
      </c>
      <c r="N11422" s="499"/>
      <c r="O11422" s="499"/>
      <c r="P11422" s="499"/>
      <c r="Q11422" s="499"/>
      <c r="R11422" s="499"/>
      <c r="S11422" s="412"/>
    </row>
    <row r="11423" spans="1:19" x14ac:dyDescent="0.25">
      <c r="A11423" s="367" t="s">
        <v>38</v>
      </c>
      <c r="B11423" s="2">
        <v>44368</v>
      </c>
      <c r="C11423" s="4">
        <v>231</v>
      </c>
      <c r="D11423" s="39">
        <f t="shared" si="1978"/>
        <v>54845</v>
      </c>
      <c r="E11423" s="1">
        <v>10</v>
      </c>
      <c r="F11423" s="39">
        <f t="shared" si="1979"/>
        <v>735</v>
      </c>
      <c r="G11423" s="168">
        <f>SUM(C11423,C11399,C11375,C11351,C11327,C11303,C11279,C11255,C11231,C11207,C11183,C11159,C11135,C11111)/POBLA!$B$22*100000</f>
        <v>727.57900590097438</v>
      </c>
      <c r="H11423" s="256">
        <f t="shared" si="1973"/>
        <v>0.93448864382302743</v>
      </c>
      <c r="I11423" s="297">
        <f t="shared" si="1977"/>
        <v>679.91431849850801</v>
      </c>
      <c r="J11423" s="422">
        <f t="shared" si="1975"/>
        <v>515.14285714285711</v>
      </c>
      <c r="K11423" s="297">
        <f>J11423/POBLA!$B$22*100000</f>
        <v>52.65624162643828</v>
      </c>
      <c r="L11423" s="200">
        <f t="shared" si="1976"/>
        <v>2.6765375854214124E-2</v>
      </c>
      <c r="M11423" s="401">
        <f>SUM(C11423,C11399,C11375,C11351,C11327,C11303,C11279)/POBLA!$B$22*100000</f>
        <v>368.59369138506793</v>
      </c>
      <c r="N11423" s="499"/>
      <c r="O11423" s="499"/>
      <c r="P11423" s="499"/>
      <c r="Q11423" s="499"/>
      <c r="R11423" s="499"/>
      <c r="S11423" s="412"/>
    </row>
    <row r="11424" spans="1:19" x14ac:dyDescent="0.25">
      <c r="A11424" s="367" t="s">
        <v>39</v>
      </c>
      <c r="B11424" s="2">
        <v>44368</v>
      </c>
      <c r="C11424" s="4">
        <v>1</v>
      </c>
      <c r="D11424" s="39">
        <f t="shared" si="1978"/>
        <v>29337</v>
      </c>
      <c r="F11424" s="39">
        <f t="shared" si="1979"/>
        <v>434</v>
      </c>
      <c r="G11424" s="168">
        <f>SUM(C11424,C11400,C11376,C11352,C11328,C11304,C11280,C11256,C11232,C11208,C11184,C11160,C11136,C11112)/POBLA!$B$23*100000</f>
        <v>279.36436125091899</v>
      </c>
      <c r="H11424" s="256">
        <f t="shared" si="1973"/>
        <v>0.63496143958868889</v>
      </c>
      <c r="I11424" s="297">
        <f t="shared" si="1977"/>
        <v>177.38559698965807</v>
      </c>
      <c r="J11424" s="422">
        <f t="shared" si="1975"/>
        <v>37.857142857142854</v>
      </c>
      <c r="K11424" s="297">
        <f>J11424/POBLA!$B$23*100000</f>
        <v>21.408778407025309</v>
      </c>
      <c r="L11424" s="200">
        <f t="shared" si="1976"/>
        <v>0.15720524017467241</v>
      </c>
      <c r="M11424" s="401">
        <f>SUM(C11424,C11400,C11376,C11352,C11328,C11304,C11280)/POBLA!$B$23*100000</f>
        <v>149.86144884917718</v>
      </c>
      <c r="N11424" s="412"/>
      <c r="O11424" s="412"/>
      <c r="P11424" s="412"/>
      <c r="Q11424" s="412"/>
      <c r="R11424" s="412"/>
      <c r="S11424" s="412"/>
    </row>
    <row r="11425" spans="1:19" ht="15.75" thickBot="1" x14ac:dyDescent="0.3">
      <c r="A11425" s="368" t="s">
        <v>40</v>
      </c>
      <c r="B11425" s="34">
        <v>44368</v>
      </c>
      <c r="C11425" s="27">
        <v>264</v>
      </c>
      <c r="D11425" s="67">
        <f t="shared" si="1978"/>
        <v>146056</v>
      </c>
      <c r="E11425" s="232">
        <v>23</v>
      </c>
      <c r="F11425" s="67">
        <f t="shared" si="1979"/>
        <v>2186</v>
      </c>
      <c r="G11425" s="177">
        <f>SUM(C11425,C11401,C11377,C11353,C11329,C11305,C11281,C11257,C11233,C11209,C11185,C11161,C11137,C11113)/POBLA!$B$24*100000</f>
        <v>587.37584500925266</v>
      </c>
      <c r="H11425" s="402">
        <f t="shared" si="1973"/>
        <v>0.69906594564225011</v>
      </c>
      <c r="I11425" s="299">
        <f t="shared" si="1977"/>
        <v>410.61445053880897</v>
      </c>
      <c r="J11425" s="428">
        <f t="shared" si="1975"/>
        <v>565</v>
      </c>
      <c r="K11425" s="299">
        <f>J11425/POBLA!$B$24*100000</f>
        <v>33.340099701650367</v>
      </c>
      <c r="L11425" s="260">
        <f t="shared" si="1976"/>
        <v>-0.34072345390898484</v>
      </c>
      <c r="M11425" s="406">
        <f>SUM(C11425,C11401,C11377,C11353,C11329,C11305,C11281)/POBLA!$B$24*100000</f>
        <v>233.38069791155255</v>
      </c>
      <c r="N11425" s="499"/>
      <c r="O11425" s="499"/>
      <c r="P11425" s="499"/>
      <c r="Q11425" s="499"/>
      <c r="R11425" s="499"/>
      <c r="S11425" s="412"/>
    </row>
    <row r="11426" spans="1:19" x14ac:dyDescent="0.25">
      <c r="A11426" s="363" t="s">
        <v>16</v>
      </c>
      <c r="B11426" s="265">
        <v>44369</v>
      </c>
      <c r="C11426" s="43">
        <v>6951</v>
      </c>
      <c r="D11426" s="174">
        <f>C11426+D11402</f>
        <v>1786501</v>
      </c>
      <c r="E11426" s="43">
        <v>351</v>
      </c>
      <c r="F11426" s="174">
        <f>E11426+F11402</f>
        <v>45840</v>
      </c>
      <c r="G11426" s="175">
        <f>SUM(C11426,C11402,C11354,C11378,C11330,C11306,C11282,C11258,C11234,C11210,C11186,C11162,C11138,C11114)/POBLA!$B$1*100000</f>
        <v>559.51890472803336</v>
      </c>
      <c r="H11426" s="300">
        <f>SUM(C11426,C11402,C11378,C11354,C11330,C11306,C11282,C11258,C11234,C11210,C11186,C11162,C11138,C11114,)/SUM(C11090,C11066,C11042,C11018,C10994,C10970,C10946,C10922,C10898,C10874,C10850,C10826,C10802,C10778)</f>
        <v>0.65983609312707148</v>
      </c>
      <c r="I11426" s="301">
        <f>G11426*H11426</f>
        <v>369.19076812648365</v>
      </c>
      <c r="J11426" s="421">
        <f>AVERAGE(C11426,C11402,C11378,C11354,C11330,C11306,C11282)</f>
        <v>5907.8571428571431</v>
      </c>
      <c r="K11426" s="301">
        <f>J11426/POBLA!$B$1*100000</f>
        <v>33.680004868880211</v>
      </c>
      <c r="L11426" s="399">
        <f t="shared" si="1976"/>
        <v>-0.27180363085700199</v>
      </c>
      <c r="M11426" s="400">
        <f>SUM(C11426,C11402,C11378,C11354,C11330,C11306,C11282)/POBLA!$B$1*100000</f>
        <v>235.7600340821615</v>
      </c>
    </row>
    <row r="11427" spans="1:19" x14ac:dyDescent="0.25">
      <c r="A11427" s="367" t="s">
        <v>43</v>
      </c>
      <c r="B11427" s="2">
        <v>44369</v>
      </c>
      <c r="C11427" s="1">
        <v>1344</v>
      </c>
      <c r="D11427" s="39">
        <f t="shared" ref="D11427:D11441" si="1980">C11427+D11403</f>
        <v>453074</v>
      </c>
      <c r="E11427" s="1">
        <v>53</v>
      </c>
      <c r="F11427" s="39">
        <f t="shared" ref="F11427:F11449" si="1981">E11427+F11403</f>
        <v>10070</v>
      </c>
      <c r="G11427" s="168">
        <f>SUM(C11427,C11403,C11379,C11355,C11331,C11307,C11283,C11259,C11235,C11211,C11187,C11163,C11139,C11115)/POBLA!$B$2*100000</f>
        <v>638.85765787089929</v>
      </c>
      <c r="H11427" s="256">
        <f t="shared" ref="H11427:H11449" si="1982">SUM(C11427,C11403,C11379,C11355,C11331,C11307,C11283,C11259,C11235,C11211,C11187,C11163,C11139,C11115,)/SUM(C11091,C11067,C11043,C11019,C10995,C10971,C10947,C10923,C10899,C10875,C10851,C10827,C10803,C10779)</f>
        <v>0.63096881924151438</v>
      </c>
      <c r="I11427" s="297">
        <f t="shared" ref="I11427:I11433" si="1983">G11427*H11427</f>
        <v>403.09926205020071</v>
      </c>
      <c r="J11427" s="422">
        <f>AVERAGE(C11427,C11403,C11379,C11355,C11331,C11307,C11283)</f>
        <v>1207.1428571428571</v>
      </c>
      <c r="K11427" s="297">
        <f>J11427/POBLA!$B$2*100000</f>
        <v>39.248432919225976</v>
      </c>
      <c r="L11427" s="200">
        <f>(SUM(C11427,C11403,C11379,C11355,C11331,C11307,C11283)/SUM(C11259,C11235,C11211,C11187,C11163,C11139,C11115))-1</f>
        <v>-0.24546834538798112</v>
      </c>
      <c r="M11427" s="401">
        <f>SUM(C11427,C11403,C11379,C11355,C11331,C11307,C11283)/POBLA!$B$2*100000</f>
        <v>274.73903043458188</v>
      </c>
      <c r="S11427" s="487"/>
    </row>
    <row r="11428" spans="1:19" x14ac:dyDescent="0.25">
      <c r="A11428" s="367" t="s">
        <v>28</v>
      </c>
      <c r="B11428" s="2">
        <v>44369</v>
      </c>
      <c r="C11428" s="1">
        <v>303</v>
      </c>
      <c r="D11428" s="39">
        <f t="shared" si="1980"/>
        <v>31551</v>
      </c>
      <c r="E11428" s="1">
        <v>1</v>
      </c>
      <c r="F11428" s="39">
        <f t="shared" si="1981"/>
        <v>284</v>
      </c>
      <c r="G11428" s="168">
        <f>SUM(C11428,C11404,C11380,C11356,C11332,C11308,C11284,C11260,C11236,C11212,C11188,C11164,C11140,C11116)/POBLA!$B$3*100000</f>
        <v>1043.4770049923213</v>
      </c>
      <c r="H11428" s="256">
        <f t="shared" si="1982"/>
        <v>0.73375084631008802</v>
      </c>
      <c r="I11428" s="297">
        <f t="shared" si="1983"/>
        <v>765.65213551823172</v>
      </c>
      <c r="J11428" s="422">
        <f t="shared" ref="J11428:J11449" si="1984">AVERAGE(C11428,C11404,C11380,C11356,C11332,C11308,C11284)</f>
        <v>273.57142857142856</v>
      </c>
      <c r="K11428" s="297">
        <f>J11428/POBLA!$B$3*100000</f>
        <v>65.851325245025379</v>
      </c>
      <c r="L11428" s="200">
        <f t="shared" ref="L11428:L11450" si="1985">(SUM(C11428,C11404,C11380,C11356,C11332,C11308,C11284)/SUM(C11260,C11236,C11212,C11188,C11164,C11140,C11116))-1</f>
        <v>-0.20867768595041325</v>
      </c>
      <c r="M11428" s="401">
        <f>SUM(C11428,C11404,C11380,C11356,C11332,C11308,C11284)/POBLA!$B$3*100000</f>
        <v>460.95927671517768</v>
      </c>
      <c r="S11428" s="487"/>
    </row>
    <row r="11429" spans="1:19" x14ac:dyDescent="0.25">
      <c r="A11429" s="367" t="s">
        <v>15</v>
      </c>
      <c r="B11429" s="2">
        <v>44369</v>
      </c>
      <c r="C11429" s="1">
        <v>564</v>
      </c>
      <c r="D11429" s="39">
        <f t="shared" si="1980"/>
        <v>72445</v>
      </c>
      <c r="E11429" s="1">
        <v>24</v>
      </c>
      <c r="F11429" s="39">
        <f t="shared" si="1981"/>
        <v>1545</v>
      </c>
      <c r="G11429" s="168">
        <f>SUM(C11429,C11405,C11381,C11357,C11333,C11309,C11285,C11261,C11237,C11213,C11189,C11165,C11141,C11117)/POBLA!$B$4*100000</f>
        <v>693.29312991421637</v>
      </c>
      <c r="H11429" s="256">
        <f t="shared" si="1982"/>
        <v>0.87007709939570743</v>
      </c>
      <c r="I11429" s="297">
        <f t="shared" si="1983"/>
        <v>603.21847550673272</v>
      </c>
      <c r="J11429" s="422">
        <f t="shared" si="1984"/>
        <v>527.57142857142856</v>
      </c>
      <c r="K11429" s="297">
        <f>J11429/POBLA!$B$4*100000</f>
        <v>43.798544721302846</v>
      </c>
      <c r="L11429" s="200">
        <f t="shared" si="1985"/>
        <v>-0.20717045942464574</v>
      </c>
      <c r="M11429" s="401">
        <f>SUM(C11429,C11405,C11381,C11357,C11333,C11309,C11285)/POBLA!$B$4*100000</f>
        <v>306.58981304911993</v>
      </c>
      <c r="S11429" s="487"/>
    </row>
    <row r="11430" spans="1:19" x14ac:dyDescent="0.25">
      <c r="A11430" s="367" t="s">
        <v>29</v>
      </c>
      <c r="B11430" s="2">
        <v>44369</v>
      </c>
      <c r="C11430" s="1">
        <v>256</v>
      </c>
      <c r="D11430" s="39">
        <f t="shared" si="1980"/>
        <v>68847</v>
      </c>
      <c r="E11430" s="1">
        <v>3</v>
      </c>
      <c r="F11430" s="39">
        <f t="shared" si="1981"/>
        <v>1180</v>
      </c>
      <c r="G11430" s="168">
        <f>SUM(C11430,C11406,C11382,C11358,C11334,C11310,C11286,C11262,C11238,C11214,C11190,C11166,C11142,C11118)/POBLA!$B$5*100000</f>
        <v>486.11133548952012</v>
      </c>
      <c r="H11430" s="256">
        <f t="shared" si="1982"/>
        <v>0.56316676024705226</v>
      </c>
      <c r="I11430" s="297">
        <f t="shared" si="1983"/>
        <v>273.76174592700096</v>
      </c>
      <c r="J11430" s="422">
        <f t="shared" si="1984"/>
        <v>209.14285714285714</v>
      </c>
      <c r="K11430" s="297">
        <f>J11430/POBLA!$B$5*100000</f>
        <v>33.787541905552743</v>
      </c>
      <c r="L11430" s="200">
        <f t="shared" si="1985"/>
        <v>-5.2427184466019461E-2</v>
      </c>
      <c r="M11430" s="401">
        <f>SUM(C11430,C11406,C11382,C11358,C11334,C11310,C11286)/POBLA!$B$5*100000</f>
        <v>236.51279333886922</v>
      </c>
      <c r="S11430" s="487"/>
    </row>
    <row r="11431" spans="1:19" x14ac:dyDescent="0.25">
      <c r="A11431" s="367" t="s">
        <v>30</v>
      </c>
      <c r="B11431" s="2">
        <v>44369</v>
      </c>
      <c r="C11431" s="1">
        <v>935</v>
      </c>
      <c r="D11431" s="39">
        <f t="shared" si="1980"/>
        <v>61945</v>
      </c>
      <c r="E11431" s="1">
        <v>1</v>
      </c>
      <c r="F11431" s="39">
        <f t="shared" si="1981"/>
        <v>701</v>
      </c>
      <c r="G11431" s="168">
        <f>SUM(C11431,C11407,C11383,C11359,C11335,C11311,C11287,C11263,C11239,C11215,C11191,C11167,C11143,C11119)/POBLA!$B$6*100000</f>
        <v>614.1143699907476</v>
      </c>
      <c r="H11431" s="256">
        <f t="shared" si="1982"/>
        <v>0.95319207865946542</v>
      </c>
      <c r="I11431" s="297">
        <f t="shared" si="1983"/>
        <v>585.36895286612878</v>
      </c>
      <c r="J11431" s="422">
        <f t="shared" si="1984"/>
        <v>591.71428571428567</v>
      </c>
      <c r="K11431" s="297">
        <f>J11431/POBLA!$B$6*100000</f>
        <v>52.7938756045262</v>
      </c>
      <c r="L11431" s="200">
        <f t="shared" si="1985"/>
        <v>0.51112732579350606</v>
      </c>
      <c r="M11431" s="401">
        <f>SUM(C11431,C11407,C11383,C11359,C11335,C11311,C11287)/POBLA!$B$6*100000</f>
        <v>369.5571292316834</v>
      </c>
      <c r="S11431" s="487"/>
    </row>
    <row r="11432" spans="1:19" x14ac:dyDescent="0.25">
      <c r="A11432" s="367" t="s">
        <v>20</v>
      </c>
      <c r="B11432" s="2">
        <v>44369</v>
      </c>
      <c r="C11432" s="1">
        <v>3791</v>
      </c>
      <c r="D11432" s="39">
        <f t="shared" si="1980"/>
        <v>389032</v>
      </c>
      <c r="E11432" s="1">
        <v>87</v>
      </c>
      <c r="F11432" s="39">
        <f t="shared" si="1981"/>
        <v>4858</v>
      </c>
      <c r="G11432" s="168">
        <f>SUM(C11432,C11408,C11384,C11360,C11336,C11312,C11288,C11264,C11240,C11216,C11192,C11168,C11144,C11120)/POBLA!$B$7*100000</f>
        <v>1119.1745668736455</v>
      </c>
      <c r="H11432" s="256">
        <f t="shared" si="1982"/>
        <v>0.70646098064559448</v>
      </c>
      <c r="I11432" s="297">
        <f t="shared" si="1983"/>
        <v>790.65316202716406</v>
      </c>
      <c r="J11432" s="422">
        <f t="shared" si="1984"/>
        <v>2503.7142857142858</v>
      </c>
      <c r="K11432" s="297">
        <f>J11432/POBLA!$B$7*100000</f>
        <v>66.580177524346439</v>
      </c>
      <c r="L11432" s="200">
        <f t="shared" si="1985"/>
        <v>-0.28640065146579807</v>
      </c>
      <c r="M11432" s="401">
        <f>SUM(C11432,C11408,C11384,C11360,C11336,C11312,C11288)/POBLA!$B$7*100000</f>
        <v>466.06124267042509</v>
      </c>
      <c r="S11432" s="487"/>
    </row>
    <row r="11433" spans="1:19" x14ac:dyDescent="0.25">
      <c r="A11433" s="367" t="s">
        <v>31</v>
      </c>
      <c r="B11433" s="2">
        <v>44369</v>
      </c>
      <c r="C11433" s="1">
        <v>627</v>
      </c>
      <c r="D11433" s="39">
        <f t="shared" si="1980"/>
        <v>103980</v>
      </c>
      <c r="E11433" s="1">
        <v>25</v>
      </c>
      <c r="F11433" s="39">
        <f t="shared" si="1981"/>
        <v>1712</v>
      </c>
      <c r="G11433" s="168">
        <f>SUM(C11433,C11409,C11385,C11361,C11337,C11313,C11289,C11265,C11241,C11217,C11193,C11169,C11145,C11121)/POBLA!$B$8*100000</f>
        <v>754.20592642938732</v>
      </c>
      <c r="H11433" s="256">
        <f t="shared" si="1982"/>
        <v>0.74483397463303402</v>
      </c>
      <c r="I11433" s="297">
        <f t="shared" si="1983"/>
        <v>561.75819787419016</v>
      </c>
      <c r="J11433" s="422">
        <f t="shared" si="1984"/>
        <v>656.85714285714289</v>
      </c>
      <c r="K11433" s="297">
        <f>J11433/POBLA!$B$8*100000</f>
        <v>47.39362383625101</v>
      </c>
      <c r="L11433" s="200">
        <f t="shared" si="1985"/>
        <v>-0.21468830059777966</v>
      </c>
      <c r="M11433" s="401">
        <f>SUM(C11433,C11409,C11385,C11361,C11337,C11313,C11289)/POBLA!$B$8*100000</f>
        <v>331.7553668537571</v>
      </c>
      <c r="S11433" s="487"/>
    </row>
    <row r="11434" spans="1:19" x14ac:dyDescent="0.25">
      <c r="A11434" s="367" t="s">
        <v>41</v>
      </c>
      <c r="B11434" s="2">
        <v>44369</v>
      </c>
      <c r="C11434" s="1">
        <v>349</v>
      </c>
      <c r="D11434" s="39">
        <f t="shared" si="1980"/>
        <v>42294</v>
      </c>
      <c r="E11434" s="1">
        <v>16</v>
      </c>
      <c r="F11434" s="39">
        <f t="shared" si="1981"/>
        <v>752</v>
      </c>
      <c r="G11434" s="168">
        <f>SUM(C11434,C11410,C11386,C11362,C11338,C11314,C11290,C11266,C11242,C11218,C11194,C11170,C11146,C11122)/POBLA!$B$9*100000</f>
        <v>986.79264300809825</v>
      </c>
      <c r="H11434" s="256">
        <f t="shared" si="1982"/>
        <v>0.51372043010752688</v>
      </c>
      <c r="I11434" s="297">
        <f>G11434*H11434</f>
        <v>506.93554099306346</v>
      </c>
      <c r="J11434" s="422">
        <f t="shared" si="1984"/>
        <v>455.57142857142856</v>
      </c>
      <c r="K11434" s="297">
        <f>J11434/POBLA!$B$9*100000</f>
        <v>75.277048573170632</v>
      </c>
      <c r="L11434" s="200">
        <f t="shared" si="1985"/>
        <v>0.14588573481854117</v>
      </c>
      <c r="M11434" s="401">
        <f>SUM(C11434,C11410,C11386,C11362,C11338,C11314,C11290)/POBLA!$B$9*100000</f>
        <v>526.93934001219452</v>
      </c>
      <c r="S11434" s="487"/>
    </row>
    <row r="11435" spans="1:19" x14ac:dyDescent="0.25">
      <c r="A11435" s="367" t="s">
        <v>32</v>
      </c>
      <c r="B11435" s="2">
        <v>44369</v>
      </c>
      <c r="C11435" s="1">
        <v>203</v>
      </c>
      <c r="D11435" s="39">
        <f t="shared" si="1980"/>
        <v>33577</v>
      </c>
      <c r="F11435" s="39">
        <f t="shared" si="1981"/>
        <v>1142</v>
      </c>
      <c r="G11435" s="168">
        <f>SUM(C11435,C11411,C11387,C11363,C11339,C11315,C11291,C11267,C11243,C11219,C11195,C11171,C11147,C11123)/POBLA!$B$10*100000</f>
        <v>427.30330621717235</v>
      </c>
      <c r="H11435" s="256">
        <f t="shared" si="1982"/>
        <v>1.130017152658662</v>
      </c>
      <c r="I11435" s="297">
        <f t="shared" ref="I11435:I11449" si="1986">G11435*H11435</f>
        <v>482.86006541316141</v>
      </c>
      <c r="J11435" s="422">
        <f t="shared" si="1984"/>
        <v>210.14285714285714</v>
      </c>
      <c r="K11435" s="297">
        <f>J11435/POBLA!$B$10*100000</f>
        <v>27.260090356729137</v>
      </c>
      <c r="L11435" s="200">
        <f t="shared" si="1985"/>
        <v>-0.19308831596269882</v>
      </c>
      <c r="M11435" s="401">
        <f>SUM(C11435,C11411,C11387,C11363,C11339,C11315,C11291)/POBLA!$B$10*100000</f>
        <v>190.82063249710396</v>
      </c>
      <c r="S11435" s="487"/>
    </row>
    <row r="11436" spans="1:19" x14ac:dyDescent="0.25">
      <c r="A11436" s="367" t="s">
        <v>33</v>
      </c>
      <c r="B11436" s="2">
        <v>44369</v>
      </c>
      <c r="C11436" s="1">
        <v>279</v>
      </c>
      <c r="D11436" s="39">
        <f t="shared" si="1980"/>
        <v>49617</v>
      </c>
      <c r="E11436" s="1">
        <v>8</v>
      </c>
      <c r="F11436" s="39">
        <f t="shared" si="1981"/>
        <v>690</v>
      </c>
      <c r="G11436" s="168">
        <f>SUM(C11436,C11412,C11388,C11364,C11340,C11316,C11292,C11268,C11244,C11220,C11196,C11172,C11148,C11124)/POBLA!$B$11*100000</f>
        <v>1035.9123729172943</v>
      </c>
      <c r="H11436" s="256">
        <f t="shared" si="1982"/>
        <v>0.58899111675126903</v>
      </c>
      <c r="I11436" s="297">
        <f t="shared" si="1986"/>
        <v>610.14318538101418</v>
      </c>
      <c r="J11436" s="422">
        <f t="shared" si="1984"/>
        <v>233.28571428571428</v>
      </c>
      <c r="K11436" s="297">
        <f>J11436/POBLA!$B$11*100000</f>
        <v>65.085795274285019</v>
      </c>
      <c r="L11436" s="200">
        <f t="shared" si="1985"/>
        <v>-0.21490384615384617</v>
      </c>
      <c r="M11436" s="401">
        <f>SUM(C11436,C11412,C11388,C11364,C11340,C11316,C11292)/POBLA!$B$11*100000</f>
        <v>455.60056691999506</v>
      </c>
      <c r="S11436" s="487"/>
    </row>
    <row r="11437" spans="1:19" x14ac:dyDescent="0.25">
      <c r="A11437" s="367" t="s">
        <v>21</v>
      </c>
      <c r="B11437" s="2">
        <v>44369</v>
      </c>
      <c r="C11437" s="1">
        <v>108</v>
      </c>
      <c r="D11437" s="39">
        <f t="shared" si="1980"/>
        <v>20775</v>
      </c>
      <c r="E11437" s="1">
        <v>16</v>
      </c>
      <c r="F11437" s="39">
        <f t="shared" si="1981"/>
        <v>596</v>
      </c>
      <c r="G11437" s="168">
        <f>SUM(C11437,C11413,C11389,C11365,C11341,C11317,C11293,C11269,C11245,C11221,C11197,C11173,C11149,C11125)/POBLA!$B$12*100000</f>
        <v>499.32533904571687</v>
      </c>
      <c r="H11437" s="256">
        <f t="shared" si="1982"/>
        <v>0.84552495697074015</v>
      </c>
      <c r="I11437" s="297">
        <f t="shared" si="1986"/>
        <v>422.19203581103</v>
      </c>
      <c r="J11437" s="422">
        <f t="shared" si="1984"/>
        <v>131.57142857142858</v>
      </c>
      <c r="K11437" s="297">
        <f>J11437/POBLA!$B$12*100000</f>
        <v>33.433561414838621</v>
      </c>
      <c r="L11437" s="200">
        <f t="shared" si="1985"/>
        <v>-0.11781609195402298</v>
      </c>
      <c r="M11437" s="401">
        <f>SUM(C11437,C11413,C11389,C11365,C11341,C11317,C11293)/POBLA!$B$12*100000</f>
        <v>234.03492990387034</v>
      </c>
      <c r="S11437" s="487"/>
    </row>
    <row r="11438" spans="1:19" x14ac:dyDescent="0.25">
      <c r="A11438" s="367" t="s">
        <v>17</v>
      </c>
      <c r="B11438" s="2">
        <v>44369</v>
      </c>
      <c r="C11438" s="1">
        <v>614</v>
      </c>
      <c r="D11438" s="39">
        <f t="shared" si="1980"/>
        <v>134885</v>
      </c>
      <c r="E11438" s="1">
        <v>12</v>
      </c>
      <c r="F11438" s="39">
        <f t="shared" si="1981"/>
        <v>3075</v>
      </c>
      <c r="G11438" s="168">
        <f>SUM(C11438,C11414,C11390,C11366,C11342,C11318,C11294,C11270,C11246,C11222,C11198,C11174,C11150,C11126)/POBLA!$B$13*100000</f>
        <v>411.18644169985197</v>
      </c>
      <c r="H11438" s="256">
        <f t="shared" si="1982"/>
        <v>0.73929539295392954</v>
      </c>
      <c r="I11438" s="297">
        <f t="shared" si="1986"/>
        <v>303.98824199382011</v>
      </c>
      <c r="J11438" s="422">
        <f t="shared" si="1984"/>
        <v>520</v>
      </c>
      <c r="K11438" s="297">
        <f>J11438/POBLA!$B$13*100000</f>
        <v>26.126215748279936</v>
      </c>
      <c r="L11438" s="200">
        <f t="shared" si="1985"/>
        <v>-0.198943661971831</v>
      </c>
      <c r="M11438" s="401">
        <f>SUM(C11438,C11414,C11390,C11366,C11342,C11318,C11294)/POBLA!$B$13*100000</f>
        <v>182.8835102379596</v>
      </c>
      <c r="S11438" s="487"/>
    </row>
    <row r="11439" spans="1:19" x14ac:dyDescent="0.25">
      <c r="A11439" s="367" t="s">
        <v>23</v>
      </c>
      <c r="B11439" s="2">
        <v>44369</v>
      </c>
      <c r="C11439" s="1">
        <v>180</v>
      </c>
      <c r="D11439" s="39">
        <f t="shared" si="1980"/>
        <v>24145</v>
      </c>
      <c r="E11439" s="1">
        <v>4</v>
      </c>
      <c r="F11439" s="39">
        <f t="shared" si="1981"/>
        <v>384</v>
      </c>
      <c r="G11439" s="168">
        <f>SUM(C11439,C11415,C11391,C11367,C11343,C11319,C11295,C11271,C11247,C11223,C11199,C11175,C11151,C11127)/POBLA!$B$14*100000</f>
        <v>179.97389982034323</v>
      </c>
      <c r="H11439" s="256">
        <f t="shared" si="1982"/>
        <v>0.89546351084812625</v>
      </c>
      <c r="I11439" s="297">
        <f t="shared" si="1986"/>
        <v>161.16006019415352</v>
      </c>
      <c r="J11439" s="422">
        <f t="shared" si="1984"/>
        <v>158.71428571428572</v>
      </c>
      <c r="K11439" s="297">
        <f>J11439/POBLA!$B$14*100000</f>
        <v>12.583448879823875</v>
      </c>
      <c r="L11439" s="200">
        <f t="shared" si="1985"/>
        <v>-4.141501294219152E-2</v>
      </c>
      <c r="M11439" s="401">
        <f>SUM(C11439,C11415,C11391,C11367,C11343,C11319,C11295)/POBLA!$B$14*100000</f>
        <v>88.084142158767108</v>
      </c>
      <c r="S11439" s="487"/>
    </row>
    <row r="11440" spans="1:19" x14ac:dyDescent="0.25">
      <c r="A11440" s="367" t="s">
        <v>19</v>
      </c>
      <c r="B11440" s="2">
        <v>44369</v>
      </c>
      <c r="C11440" s="1">
        <v>312</v>
      </c>
      <c r="D11440" s="39">
        <f t="shared" si="1980"/>
        <v>99436</v>
      </c>
      <c r="E11440" s="1">
        <v>48</v>
      </c>
      <c r="F11440" s="39">
        <f t="shared" si="1981"/>
        <v>1724</v>
      </c>
      <c r="G11440" s="168">
        <f>SUM(C11440,C11416,C11392,C11368,C11344,C11320,C11296,C11272,C11248,C11224,C11200,C11176,C11152,C11128)/POBLA!$B$15*100000</f>
        <v>638.34881644196207</v>
      </c>
      <c r="H11440" s="256">
        <f t="shared" si="1982"/>
        <v>0.43436827543805717</v>
      </c>
      <c r="I11440" s="297">
        <f t="shared" si="1986"/>
        <v>277.27847452582</v>
      </c>
      <c r="J11440" s="422">
        <f t="shared" si="1984"/>
        <v>246.57142857142858</v>
      </c>
      <c r="K11440" s="297">
        <f>J11440/POBLA!$B$15*100000</f>
        <v>37.131063835096775</v>
      </c>
      <c r="L11440" s="200">
        <f t="shared" si="1985"/>
        <v>-0.31317150815758055</v>
      </c>
      <c r="M11440" s="401">
        <f>SUM(C11440,C11416,C11392,C11368,C11344,C11320,C11296)/POBLA!$B$15*100000</f>
        <v>259.91744684567738</v>
      </c>
      <c r="S11440" s="487"/>
    </row>
    <row r="11441" spans="1:19" x14ac:dyDescent="0.25">
      <c r="A11441" s="367" t="s">
        <v>18</v>
      </c>
      <c r="B11441" s="2">
        <v>44369</v>
      </c>
      <c r="C11441" s="1">
        <v>256</v>
      </c>
      <c r="D11441" s="39">
        <f t="shared" si="1980"/>
        <v>82041</v>
      </c>
      <c r="E11441" s="1">
        <v>12</v>
      </c>
      <c r="F11441" s="39">
        <f t="shared" si="1981"/>
        <v>1867</v>
      </c>
      <c r="G11441" s="168">
        <f>SUM(C11441,C11417,C11393,C11369,C11345,C11321,C11297,C11273,C11249,C11225,C11201,C11177,C11153,C11129)/POBLA!$B$16*100000</f>
        <v>594.56133545565206</v>
      </c>
      <c r="H11441" s="256">
        <f t="shared" si="1982"/>
        <v>0.67430218446601942</v>
      </c>
      <c r="I11441" s="297">
        <f t="shared" si="1986"/>
        <v>400.91400729677997</v>
      </c>
      <c r="J11441" s="422">
        <f t="shared" si="1984"/>
        <v>260.57142857142856</v>
      </c>
      <c r="K11441" s="297">
        <f>J11441/POBLA!$B$16*100000</f>
        <v>34.853924983805534</v>
      </c>
      <c r="L11441" s="200">
        <f t="shared" si="1985"/>
        <v>-0.30408241129339941</v>
      </c>
      <c r="M11441" s="401">
        <f>SUM(C11441,C11417,C11393,C11369,C11345,C11321,C11297)/POBLA!$B$16*100000</f>
        <v>243.97747488663879</v>
      </c>
      <c r="S11441" s="487"/>
    </row>
    <row r="11442" spans="1:19" x14ac:dyDescent="0.25">
      <c r="A11442" s="367" t="s">
        <v>34</v>
      </c>
      <c r="B11442" s="2">
        <v>44369</v>
      </c>
      <c r="C11442" s="1">
        <v>470</v>
      </c>
      <c r="D11442" s="39">
        <f>C11442+D11418</f>
        <v>56839</v>
      </c>
      <c r="E11442" s="1">
        <v>22</v>
      </c>
      <c r="F11442" s="39">
        <f t="shared" si="1981"/>
        <v>1627</v>
      </c>
      <c r="G11442" s="168">
        <f>SUM(C11442,C11418,C11394,C11370,C11346,C11322,C11298,C11274,C11250,C11226,C11202,C11178,C11154,C11130)/POBLA!$B$17*100000</f>
        <v>477.3247907711123</v>
      </c>
      <c r="H11442" s="256">
        <f t="shared" si="1982"/>
        <v>0.90592938041305793</v>
      </c>
      <c r="I11442" s="297">
        <f t="shared" si="1986"/>
        <v>432.42255195906625</v>
      </c>
      <c r="J11442" s="422">
        <f t="shared" si="1984"/>
        <v>436.85714285714283</v>
      </c>
      <c r="K11442" s="297">
        <f>J11442/POBLA!$B$17*100000</f>
        <v>30.669619695712843</v>
      </c>
      <c r="L11442" s="200">
        <f t="shared" si="1985"/>
        <v>-0.1825715049452018</v>
      </c>
      <c r="M11442" s="401">
        <f>SUM(C11442,C11418,C11394,C11370,C11346,C11322,C11298)/POBLA!$B$17*100000</f>
        <v>214.68733786998988</v>
      </c>
      <c r="S11442" s="487"/>
    </row>
    <row r="11443" spans="1:19" x14ac:dyDescent="0.25">
      <c r="A11443" s="367" t="s">
        <v>35</v>
      </c>
      <c r="B11443" s="2">
        <v>44369</v>
      </c>
      <c r="C11443" s="1">
        <v>437</v>
      </c>
      <c r="D11443" s="39">
        <f t="shared" ref="D11443:D11449" si="1987">C11443+D11419</f>
        <v>47181</v>
      </c>
      <c r="E11443" s="1">
        <v>10</v>
      </c>
      <c r="F11443" s="39">
        <f t="shared" si="1981"/>
        <v>770</v>
      </c>
      <c r="G11443" s="168">
        <f>SUM(C11443,C11419,C11395,C11371,C11347,C11323,C11299,C11275,C11251,C11227,C11203,C11179,C11155,C11131)/POBLA!$B$18*100000</f>
        <v>812.83433412227339</v>
      </c>
      <c r="H11443" s="256">
        <f t="shared" si="1982"/>
        <v>0.87950138504155129</v>
      </c>
      <c r="I11443" s="297">
        <f t="shared" si="1986"/>
        <v>714.88892266986647</v>
      </c>
      <c r="J11443" s="422">
        <f t="shared" si="1984"/>
        <v>395.85714285714283</v>
      </c>
      <c r="K11443" s="297">
        <f>J11443/POBLA!$B$18*100000</f>
        <v>50.671854664855324</v>
      </c>
      <c r="L11443" s="200">
        <f t="shared" si="1985"/>
        <v>-0.22576138586197259</v>
      </c>
      <c r="M11443" s="401">
        <f>SUM(C11443,C11419,C11395,C11371,C11347,C11323,C11299)/POBLA!$B$18*100000</f>
        <v>354.70298265398731</v>
      </c>
      <c r="S11443" s="487"/>
    </row>
    <row r="11444" spans="1:19" x14ac:dyDescent="0.25">
      <c r="A11444" s="367" t="s">
        <v>36</v>
      </c>
      <c r="B11444" s="2">
        <v>44369</v>
      </c>
      <c r="C11444" s="1">
        <v>275</v>
      </c>
      <c r="D11444" s="39">
        <f t="shared" si="1987"/>
        <v>62606</v>
      </c>
      <c r="E11444" s="1">
        <v>12</v>
      </c>
      <c r="F11444" s="39">
        <f t="shared" si="1981"/>
        <v>886</v>
      </c>
      <c r="G11444" s="168">
        <f>SUM(C11444,C11420,C11396,C11372,C11348,C11324,C11300,C11276,C11252,C11228,C11204,C11180,C11156,C11132)/POBLA!$B$19*100000</f>
        <v>1077.8473741363844</v>
      </c>
      <c r="H11444" s="256">
        <f t="shared" si="1982"/>
        <v>0.74839502800163915</v>
      </c>
      <c r="I11444" s="297">
        <f t="shared" si="1986"/>
        <v>806.65561574829258</v>
      </c>
      <c r="J11444" s="422">
        <f t="shared" si="1984"/>
        <v>329.57142857142856</v>
      </c>
      <c r="K11444" s="297">
        <f>J11444/POBLA!$B$19*100000</f>
        <v>64.834403883207017</v>
      </c>
      <c r="L11444" s="200">
        <f t="shared" si="1985"/>
        <v>-0.27269861286254726</v>
      </c>
      <c r="M11444" s="401">
        <f>SUM(C11444,C11420,C11396,C11372,C11348,C11324,C11300)/POBLA!$B$19*100000</f>
        <v>453.84082718244917</v>
      </c>
      <c r="S11444" s="487"/>
    </row>
    <row r="11445" spans="1:19" x14ac:dyDescent="0.25">
      <c r="A11445" s="367" t="s">
        <v>37</v>
      </c>
      <c r="B11445" s="2">
        <v>44369</v>
      </c>
      <c r="C11445" s="1">
        <v>132</v>
      </c>
      <c r="D11445" s="39">
        <f t="shared" si="1987"/>
        <v>54583</v>
      </c>
      <c r="E11445" s="1">
        <v>2</v>
      </c>
      <c r="F11445" s="39">
        <f>E11445+F11421</f>
        <v>842</v>
      </c>
      <c r="G11445" s="168">
        <f>SUM(C11445,C11421,C11398,C11373,C11349,C11325,C11301,C11277,C11253,C11229,C11205,C11181,C11157,C11133)/POBLA!$B$20*100000</f>
        <v>640.6925933420473</v>
      </c>
      <c r="H11445" s="256">
        <f t="shared" si="1982"/>
        <v>0.60983852797596694</v>
      </c>
      <c r="I11445" s="297">
        <f t="shared" si="1986"/>
        <v>390.7190280088189</v>
      </c>
      <c r="J11445" s="422">
        <f t="shared" si="1984"/>
        <v>100.57142857142857</v>
      </c>
      <c r="K11445" s="297">
        <f>J11445/POBLA!$B$20*100000</f>
        <v>27.501224663910815</v>
      </c>
      <c r="L11445" s="200">
        <f t="shared" si="1985"/>
        <v>-0.23478260869565215</v>
      </c>
      <c r="M11445" s="401">
        <f>SUM(C11445,C11421,C11397,C11373,C11349,C11325,C11301)/POBLA!$B$20*100000</f>
        <v>192.5085726473757</v>
      </c>
      <c r="S11445" s="487"/>
    </row>
    <row r="11446" spans="1:19" x14ac:dyDescent="0.25">
      <c r="A11446" s="367" t="s">
        <v>22</v>
      </c>
      <c r="B11446" s="2">
        <v>44369</v>
      </c>
      <c r="C11446" s="1">
        <v>1479</v>
      </c>
      <c r="D11446" s="39">
        <f t="shared" si="1987"/>
        <v>391668</v>
      </c>
      <c r="E11446" s="1">
        <v>72</v>
      </c>
      <c r="F11446" s="39">
        <f t="shared" si="1981"/>
        <v>6380</v>
      </c>
      <c r="G11446" s="168">
        <f>SUM(C11446,C11422,C11398,C11374,C11350,C11326,C11302,C11278,C11254,C11230,C11206,C11182,C11158,C11134)/POBLA!$B$21*100000</f>
        <v>714.87589985120542</v>
      </c>
      <c r="H11446" s="256">
        <f t="shared" si="1982"/>
        <v>0.64164974619289339</v>
      </c>
      <c r="I11446" s="297">
        <f t="shared" si="1986"/>
        <v>458.69993969894222</v>
      </c>
      <c r="J11446" s="422">
        <f t="shared" si="1984"/>
        <v>1519.1428571428571</v>
      </c>
      <c r="K11446" s="297">
        <f>J11446/POBLA!$B$21*100000</f>
        <v>42.957106799672921</v>
      </c>
      <c r="L11446" s="200">
        <f t="shared" si="1985"/>
        <v>-0.27398102000409641</v>
      </c>
      <c r="M11446" s="401">
        <f>SUM(C11446,C11422,C11398,C11374,C11350,C11326,C11302)/POBLA!$B$21*100000</f>
        <v>300.69974759771043</v>
      </c>
      <c r="S11446" s="487"/>
    </row>
    <row r="11447" spans="1:19" x14ac:dyDescent="0.25">
      <c r="A11447" s="367" t="s">
        <v>38</v>
      </c>
      <c r="B11447" s="2">
        <v>44369</v>
      </c>
      <c r="C11447" s="1">
        <v>320</v>
      </c>
      <c r="D11447" s="39">
        <f t="shared" si="1987"/>
        <v>55165</v>
      </c>
      <c r="E11447" s="1">
        <v>10</v>
      </c>
      <c r="F11447" s="39">
        <f t="shared" si="1981"/>
        <v>745</v>
      </c>
      <c r="G11447" s="168">
        <f>SUM(C11447,C11423,C11399,C11375,C11351,C11327,C11303,C11279,C11255,C11231,C11207,C11183,C11159,C11135)/POBLA!$B$22*100000</f>
        <v>717.25511160538599</v>
      </c>
      <c r="H11447" s="256">
        <f t="shared" si="1982"/>
        <v>0.92098700616878859</v>
      </c>
      <c r="I11447" s="297">
        <f t="shared" si="1986"/>
        <v>660.5826378967048</v>
      </c>
      <c r="J11447" s="422">
        <f t="shared" si="1984"/>
        <v>502.42857142857144</v>
      </c>
      <c r="K11447" s="297">
        <f>J11447/POBLA!$B$22*100000</f>
        <v>51.356628341703669</v>
      </c>
      <c r="L11447" s="200">
        <f t="shared" si="1985"/>
        <v>4.8571428571428932E-3</v>
      </c>
      <c r="M11447" s="401">
        <f>SUM(C11447,C11423,C11399,C11375,C11351,C11327,C11303)/POBLA!$B$22*100000</f>
        <v>359.49639839192571</v>
      </c>
      <c r="S11447" s="487"/>
    </row>
    <row r="11448" spans="1:19" x14ac:dyDescent="0.25">
      <c r="A11448" s="367" t="s">
        <v>39</v>
      </c>
      <c r="B11448" s="2">
        <v>44369</v>
      </c>
      <c r="C11448" s="1">
        <v>61</v>
      </c>
      <c r="D11448" s="39">
        <f t="shared" si="1987"/>
        <v>29398</v>
      </c>
      <c r="E11448" s="1">
        <v>1</v>
      </c>
      <c r="F11448" s="39">
        <f t="shared" si="1981"/>
        <v>435</v>
      </c>
      <c r="G11448" s="168">
        <f>SUM(C11448,C11424,C11400,C11376,C11352,C11328,C11304,C11280,C11256,C11232,C11208,C11184,C11160,C11136)/POBLA!$B$23*100000</f>
        <v>292.93671888254255</v>
      </c>
      <c r="H11448" s="256">
        <f t="shared" si="1982"/>
        <v>0.73684210526315785</v>
      </c>
      <c r="I11448" s="297">
        <f t="shared" si="1986"/>
        <v>215.84810865029451</v>
      </c>
      <c r="J11448" s="422">
        <f t="shared" si="1984"/>
        <v>43.857142857142854</v>
      </c>
      <c r="K11448" s="297">
        <f>J11448/POBLA!$B$23*100000</f>
        <v>24.801867814931207</v>
      </c>
      <c r="L11448" s="200">
        <f t="shared" si="1985"/>
        <v>0.45497630331753558</v>
      </c>
      <c r="M11448" s="401">
        <f>SUM(C11448,C11424,C11400,C11376,C11352,C11328,C11304)/POBLA!$B$23*100000</f>
        <v>173.61307470451845</v>
      </c>
      <c r="S11448" s="487"/>
    </row>
    <row r="11449" spans="1:19" ht="15.75" thickBot="1" x14ac:dyDescent="0.3">
      <c r="A11449" s="369" t="s">
        <v>40</v>
      </c>
      <c r="B11449" s="266">
        <v>44369</v>
      </c>
      <c r="C11449" s="44">
        <v>1141</v>
      </c>
      <c r="D11449" s="176">
        <f t="shared" si="1987"/>
        <v>147197</v>
      </c>
      <c r="E11449" s="44">
        <v>2</v>
      </c>
      <c r="F11449" s="176">
        <f t="shared" si="1981"/>
        <v>2188</v>
      </c>
      <c r="G11449" s="177">
        <f>SUM(C11449,C11425,C11401,C11377,C11353,C11329,C11305,C11281,C11257,C11233,C11209,C11185,C11161,C11137)/POBLA!$B$24*100000</f>
        <v>587.13980890517018</v>
      </c>
      <c r="H11449" s="402">
        <f t="shared" si="1982"/>
        <v>0.66693478115155169</v>
      </c>
      <c r="I11449" s="403">
        <f t="shared" si="1986"/>
        <v>391.58395995753358</v>
      </c>
      <c r="J11449" s="428">
        <f t="shared" si="1984"/>
        <v>583.57142857142856</v>
      </c>
      <c r="K11449" s="299">
        <f>J11449/POBLA!$B$24*100000</f>
        <v>34.435981613461877</v>
      </c>
      <c r="L11449" s="260">
        <f t="shared" si="1985"/>
        <v>-0.30349531116794548</v>
      </c>
      <c r="M11449" s="406">
        <f>SUM(C11449,C11425,C11401,C11377,C11353,C11329,C11305)/POBLA!$B$24*100000</f>
        <v>241.05187129423319</v>
      </c>
      <c r="S11449" s="487"/>
    </row>
    <row r="11450" spans="1:19" x14ac:dyDescent="0.25">
      <c r="A11450" s="363" t="s">
        <v>16</v>
      </c>
      <c r="B11450" s="265">
        <v>44370</v>
      </c>
      <c r="C11450" s="43">
        <v>9105</v>
      </c>
      <c r="D11450" s="174">
        <f>C11450+D11426</f>
        <v>1795606</v>
      </c>
      <c r="E11450" s="43">
        <v>345</v>
      </c>
      <c r="F11450" s="174">
        <f>E11450+F11426</f>
        <v>46185</v>
      </c>
      <c r="G11450" s="175">
        <f>SUM(C11450,C11426,C11378,C11402,C11354,C11330,C11306,C11282,C11258,C11234,C11210,C11186,C11162,C11138)/POBLA!$B$1*100000</f>
        <v>551.97663595543759</v>
      </c>
      <c r="H11450" s="300">
        <f>SUM(C11450,C11426,C11402,C11378,C11354,C11330,C11306,C11282,C11258,C11234,C11210,C11186,C11162,C11138,)/SUM(C11114,C11090,C11066,C11042,C11018,C10994,C10970,C10946,C10922,C10898,C10874,C10850,C10826,C10802)</f>
        <v>0.66085371846674679</v>
      </c>
      <c r="I11450" s="301">
        <f>G11450*H11450</f>
        <v>364.77581237791674</v>
      </c>
      <c r="J11450" s="421">
        <f>AVERAGE(C11450,C11426,C11402,C11378,C11354,C11330,C11306)</f>
        <v>5920.5714285714284</v>
      </c>
      <c r="K11450" s="301">
        <f>J11450/POBLA!$B$1*100000</f>
        <v>33.75248752958219</v>
      </c>
      <c r="L11450" s="399">
        <f t="shared" si="1985"/>
        <v>-0.25162967912024414</v>
      </c>
      <c r="M11450" s="400">
        <f>SUM(C11450,C11426,C11402,C11378,C11354,C11330,C11306)/POBLA!$B$1*100000</f>
        <v>236.26741270707532</v>
      </c>
      <c r="N11450" s="42" t="s">
        <v>16</v>
      </c>
      <c r="O11450" s="42">
        <v>161</v>
      </c>
      <c r="P11450" s="42">
        <v>183</v>
      </c>
      <c r="Q11450" s="42">
        <v>1</v>
      </c>
      <c r="R11450" s="42">
        <v>345</v>
      </c>
    </row>
    <row r="11451" spans="1:19" x14ac:dyDescent="0.25">
      <c r="A11451" s="367" t="s">
        <v>43</v>
      </c>
      <c r="B11451" s="2">
        <v>44370</v>
      </c>
      <c r="C11451" s="1">
        <v>1862</v>
      </c>
      <c r="D11451" s="39">
        <f t="shared" ref="D11451:D11465" si="1988">C11451+D11427</f>
        <v>454936</v>
      </c>
      <c r="E11451" s="1">
        <v>42</v>
      </c>
      <c r="F11451" s="39">
        <f t="shared" ref="F11451:F11468" si="1989">E11451+F11427</f>
        <v>10112</v>
      </c>
      <c r="G11451" s="168">
        <f>SUM(C11451,C11427,C11403,C11379,C11355,C11331,C11307,C11283,C11259,C11235,C11211,C11187,C11163,C11139)/POBLA!$B$2*100000</f>
        <v>644.51500595322091</v>
      </c>
      <c r="H11451" s="256">
        <f t="shared" ref="H11451:H11473" si="1990">SUM(C11451,C11427,C11403,C11379,C11355,C11331,C11307,C11283,C11259,C11235,C11211,C11187,C11163,C11139,)/SUM(C11115,C11091,C11067,C11043,C11019,C10995,C10971,C10947,C10923,C10899,C10875,C10851,C10827,C10803)</f>
        <v>0.67954475335093067</v>
      </c>
      <c r="I11451" s="297">
        <f t="shared" ref="I11451:I11457" si="1991">G11451*H11451</f>
        <v>437.9767907514551</v>
      </c>
      <c r="J11451" s="422">
        <f>AVERAGE(C11451,C11427,C11403,C11379,C11355,C11331,C11307)</f>
        <v>1244.1428571428571</v>
      </c>
      <c r="K11451" s="297">
        <f>J11451/POBLA!$B$2*100000</f>
        <v>40.451432224087462</v>
      </c>
      <c r="L11451" s="200">
        <f>(SUM(C11451,C11427,C11403,C11379,C11355,C11331,C11307)/SUM(C11283,C11259,C11235,C11211,C11187,C11163,C11139))-1</f>
        <v>-0.21639373762821668</v>
      </c>
      <c r="M11451" s="401">
        <f>SUM(C11451,C11427,C11403,C11379,C11355,C11331,C11307)/POBLA!$B$2*100000</f>
        <v>283.16002556861224</v>
      </c>
      <c r="N11451" s="42" t="s">
        <v>43</v>
      </c>
      <c r="O11451" s="42">
        <v>18</v>
      </c>
      <c r="P11451" s="42">
        <v>24</v>
      </c>
      <c r="Q11451" s="42">
        <v>0</v>
      </c>
      <c r="R11451" s="42">
        <v>42</v>
      </c>
    </row>
    <row r="11452" spans="1:19" x14ac:dyDescent="0.25">
      <c r="A11452" s="367" t="s">
        <v>28</v>
      </c>
      <c r="B11452" s="2">
        <v>44370</v>
      </c>
      <c r="C11452" s="1">
        <v>343</v>
      </c>
      <c r="D11452" s="39">
        <f t="shared" si="1988"/>
        <v>31894</v>
      </c>
      <c r="E11452" s="1">
        <v>17</v>
      </c>
      <c r="F11452" s="39">
        <f t="shared" si="1989"/>
        <v>301</v>
      </c>
      <c r="G11452" s="168">
        <f>SUM(C11452,C11428,C11404,C11380,C11356,C11332,C11308,C11284,C11260,C11236,C11212,C11188,C11164,C11140)/POBLA!$B$3*100000</f>
        <v>1046.1248128481266</v>
      </c>
      <c r="H11452" s="256">
        <f t="shared" si="1990"/>
        <v>0.73424564960297345</v>
      </c>
      <c r="I11452" s="297">
        <f t="shared" si="1991"/>
        <v>768.11259277546174</v>
      </c>
      <c r="J11452" s="422">
        <f t="shared" ref="J11452:J11473" si="1992">AVERAGE(C11452,C11428,C11404,C11380,C11356,C11332,C11308)</f>
        <v>262.28571428571428</v>
      </c>
      <c r="K11452" s="297">
        <f>J11452/POBLA!$B$3*100000</f>
        <v>63.134743159199267</v>
      </c>
      <c r="L11452" s="200">
        <f t="shared" ref="L11452:L11474" si="1993">(SUM(C11452,C11428,C11404,C11380,C11356,C11332,C11308)/SUM(C11284,C11260,C11236,C11212,C11188,C11164,C11140))-1</f>
        <v>-0.26852589641434266</v>
      </c>
      <c r="M11452" s="401">
        <f>SUM(C11452,C11428,C11404,C11380,C11356,C11332,C11308)/POBLA!$B$3*100000</f>
        <v>441.94320211439492</v>
      </c>
      <c r="N11452" s="42" t="s">
        <v>28</v>
      </c>
      <c r="O11452" s="42">
        <v>8</v>
      </c>
      <c r="P11452" s="42">
        <v>8</v>
      </c>
      <c r="Q11452" s="42">
        <v>1</v>
      </c>
      <c r="R11452" s="42">
        <v>17</v>
      </c>
    </row>
    <row r="11453" spans="1:19" x14ac:dyDescent="0.25">
      <c r="A11453" s="367" t="s">
        <v>15</v>
      </c>
      <c r="B11453" s="2">
        <v>44370</v>
      </c>
      <c r="C11453" s="1">
        <v>644</v>
      </c>
      <c r="D11453" s="39">
        <f t="shared" si="1988"/>
        <v>73089</v>
      </c>
      <c r="E11453" s="1">
        <v>16</v>
      </c>
      <c r="F11453" s="39">
        <f t="shared" si="1989"/>
        <v>1561</v>
      </c>
      <c r="G11453" s="168">
        <f>SUM(C11453,C11429,C11405,C11381,C11357,C11333,C11309,C11285,C11261,C11237,C11213,C11189,C11165,C11141)/POBLA!$B$4*100000</f>
        <v>673.61758545371219</v>
      </c>
      <c r="H11453" s="256">
        <f t="shared" si="1990"/>
        <v>0.82059061488673135</v>
      </c>
      <c r="I11453" s="297">
        <f t="shared" si="1991"/>
        <v>552.76426864597704</v>
      </c>
      <c r="J11453" s="422">
        <f t="shared" si="1992"/>
        <v>522.14285714285711</v>
      </c>
      <c r="K11453" s="297">
        <f>J11453/POBLA!$B$4*100000</f>
        <v>43.347869200206311</v>
      </c>
      <c r="L11453" s="200">
        <f t="shared" si="1993"/>
        <v>-0.18030948643193545</v>
      </c>
      <c r="M11453" s="401">
        <f>SUM(C11453,C11429,C11405,C11381,C11357,C11333,C11309)/POBLA!$B$4*100000</f>
        <v>303.43508440144421</v>
      </c>
      <c r="N11453" s="42" t="s">
        <v>15</v>
      </c>
      <c r="O11453" s="42">
        <v>8</v>
      </c>
      <c r="P11453" s="42">
        <v>8</v>
      </c>
      <c r="Q11453" s="42">
        <v>0</v>
      </c>
      <c r="R11453" s="42">
        <v>16</v>
      </c>
    </row>
    <row r="11454" spans="1:19" x14ac:dyDescent="0.25">
      <c r="A11454" s="367" t="s">
        <v>29</v>
      </c>
      <c r="B11454" s="2">
        <v>44370</v>
      </c>
      <c r="C11454" s="1">
        <v>283</v>
      </c>
      <c r="D11454" s="39">
        <f t="shared" si="1988"/>
        <v>69130</v>
      </c>
      <c r="E11454" s="1">
        <v>1</v>
      </c>
      <c r="F11454" s="39">
        <f t="shared" si="1989"/>
        <v>1181</v>
      </c>
      <c r="G11454" s="168">
        <f>SUM(C11454,C11430,C11406,C11382,C11358,C11334,C11310,C11286,C11262,C11238,C11214,C11190,C11166,C11142)/POBLA!$B$5*100000</f>
        <v>477.22595049386587</v>
      </c>
      <c r="H11454" s="256">
        <f t="shared" si="1990"/>
        <v>0.56170374595930783</v>
      </c>
      <c r="I11454" s="297">
        <f t="shared" si="1991"/>
        <v>268.05960406139565</v>
      </c>
      <c r="J11454" s="422">
        <f t="shared" si="1992"/>
        <v>201.28571428571428</v>
      </c>
      <c r="K11454" s="297">
        <f>J11454/POBLA!$B$5*100000</f>
        <v>32.518201191887854</v>
      </c>
      <c r="L11454" s="200">
        <f t="shared" si="1993"/>
        <v>-8.8025889967637494E-2</v>
      </c>
      <c r="M11454" s="401">
        <f>SUM(C11454,C11430,C11406,C11382,C11358,C11334,C11310)/POBLA!$B$5*100000</f>
        <v>227.62740834321497</v>
      </c>
      <c r="N11454" s="42" t="s">
        <v>29</v>
      </c>
      <c r="O11454" s="42">
        <v>0</v>
      </c>
      <c r="P11454" s="42">
        <v>1</v>
      </c>
      <c r="Q11454" s="42">
        <v>0</v>
      </c>
      <c r="R11454" s="42">
        <v>1</v>
      </c>
    </row>
    <row r="11455" spans="1:19" x14ac:dyDescent="0.25">
      <c r="A11455" s="367" t="s">
        <v>30</v>
      </c>
      <c r="B11455" s="2">
        <v>44370</v>
      </c>
      <c r="C11455" s="1">
        <v>435</v>
      </c>
      <c r="D11455" s="39">
        <f t="shared" si="1988"/>
        <v>62380</v>
      </c>
      <c r="F11455" s="39">
        <f t="shared" si="1989"/>
        <v>701</v>
      </c>
      <c r="G11455" s="168">
        <f>SUM(C11455,C11431,C11407,C11383,C11359,C11335,C11311,C11287,C11263,C11239,C11215,C11191,C11167,C11143)/POBLA!$B$6*100000</f>
        <v>574.05373478431943</v>
      </c>
      <c r="H11455" s="256">
        <f t="shared" si="1990"/>
        <v>0.87134344528710728</v>
      </c>
      <c r="I11455" s="297">
        <f t="shared" si="1991"/>
        <v>500.19795904690022</v>
      </c>
      <c r="J11455" s="422">
        <f t="shared" si="1992"/>
        <v>538.28571428571433</v>
      </c>
      <c r="K11455" s="297">
        <f>J11455/POBLA!$B$6*100000</f>
        <v>48.026876696729779</v>
      </c>
      <c r="L11455" s="200">
        <f t="shared" si="1993"/>
        <v>0.41335333833458354</v>
      </c>
      <c r="M11455" s="401">
        <f>SUM(C11455,C11431,C11407,C11383,C11359,C11335,C11311)/POBLA!$B$6*100000</f>
        <v>336.18813687710843</v>
      </c>
    </row>
    <row r="11456" spans="1:19" x14ac:dyDescent="0.25">
      <c r="A11456" s="367" t="s">
        <v>20</v>
      </c>
      <c r="B11456" s="2">
        <v>44370</v>
      </c>
      <c r="C11456" s="1">
        <v>3960</v>
      </c>
      <c r="D11456" s="39">
        <f t="shared" si="1988"/>
        <v>392992</v>
      </c>
      <c r="E11456" s="1">
        <v>95</v>
      </c>
      <c r="F11456" s="39">
        <f t="shared" si="1989"/>
        <v>4953</v>
      </c>
      <c r="G11456" s="168">
        <f>SUM(C11456,C11432,C11408,C11384,C11360,C11336,C11312,C11288,C11264,C11240,C11216,C11192,C11168,C11144)/POBLA!$B$7*100000</f>
        <v>1108.7768751080323</v>
      </c>
      <c r="H11456" s="256">
        <f t="shared" si="1990"/>
        <v>0.70192421003013417</v>
      </c>
      <c r="I11456" s="297">
        <f t="shared" si="1991"/>
        <v>778.27733215988633</v>
      </c>
      <c r="J11456" s="422">
        <f t="shared" si="1992"/>
        <v>2556.7142857142858</v>
      </c>
      <c r="K11456" s="297">
        <f>J11456/POBLA!$B$7*100000</f>
        <v>67.9895833135472</v>
      </c>
      <c r="L11456" s="200">
        <f t="shared" si="1993"/>
        <v>-0.24796201361458947</v>
      </c>
      <c r="M11456" s="401">
        <f>SUM(C11456,C11432,C11408,C11384,C11360,C11336,C11312)/POBLA!$B$7*100000</f>
        <v>475.9270831948304</v>
      </c>
      <c r="N11456" s="42" t="s">
        <v>20</v>
      </c>
      <c r="O11456" s="42">
        <v>51</v>
      </c>
      <c r="P11456" s="42">
        <v>44</v>
      </c>
      <c r="Q11456" s="42">
        <v>0</v>
      </c>
      <c r="R11456" s="42">
        <v>95</v>
      </c>
    </row>
    <row r="11457" spans="1:18" x14ac:dyDescent="0.25">
      <c r="A11457" s="367" t="s">
        <v>31</v>
      </c>
      <c r="B11457" s="2">
        <v>44370</v>
      </c>
      <c r="C11457" s="1">
        <v>935</v>
      </c>
      <c r="D11457" s="39">
        <f t="shared" si="1988"/>
        <v>104915</v>
      </c>
      <c r="E11457" s="1">
        <v>9</v>
      </c>
      <c r="F11457" s="39">
        <f t="shared" si="1989"/>
        <v>1721</v>
      </c>
      <c r="G11457" s="168">
        <f>SUM(C11457,C11433,C11409,C11385,C11361,C11337,C11313,C11289,C11265,C11241,C11217,C11193,C11169,C11145)/POBLA!$B$8*100000</f>
        <v>748.43375823706435</v>
      </c>
      <c r="H11457" s="256">
        <f t="shared" si="1990"/>
        <v>0.72946554149085796</v>
      </c>
      <c r="I11457" s="297">
        <f t="shared" si="1991"/>
        <v>545.95663672243802</v>
      </c>
      <c r="J11457" s="422">
        <f t="shared" si="1992"/>
        <v>647.14285714285711</v>
      </c>
      <c r="K11457" s="297">
        <f>J11457/POBLA!$B$8*100000</f>
        <v>46.692717698611801</v>
      </c>
      <c r="L11457" s="200">
        <f t="shared" si="1993"/>
        <v>-0.22471333219236689</v>
      </c>
      <c r="M11457" s="401">
        <f>SUM(C11457,C11433,C11409,C11385,C11361,C11337,C11313)/POBLA!$B$8*100000</f>
        <v>326.84902389028264</v>
      </c>
      <c r="N11457" s="42" t="s">
        <v>31</v>
      </c>
      <c r="O11457" s="42">
        <v>6</v>
      </c>
      <c r="P11457" s="42">
        <v>3</v>
      </c>
      <c r="Q11457" s="42">
        <v>0</v>
      </c>
      <c r="R11457" s="42">
        <v>9</v>
      </c>
    </row>
    <row r="11458" spans="1:18" x14ac:dyDescent="0.25">
      <c r="A11458" s="367" t="s">
        <v>41</v>
      </c>
      <c r="B11458" s="2">
        <v>44370</v>
      </c>
      <c r="C11458" s="1">
        <v>538</v>
      </c>
      <c r="D11458" s="39">
        <f t="shared" si="1988"/>
        <v>42832</v>
      </c>
      <c r="E11458" s="1">
        <v>16</v>
      </c>
      <c r="F11458" s="39">
        <f t="shared" si="1989"/>
        <v>768</v>
      </c>
      <c r="G11458" s="168">
        <f>SUM(C11458,C11434,C11410,C11386,C11362,C11338,C11314,C11290,C11266,C11242,C11218,C11194,C11170,C11146)/POBLA!$B$9*100000</f>
        <v>979.68747159996894</v>
      </c>
      <c r="H11458" s="256">
        <f t="shared" si="1990"/>
        <v>0.52187307455329635</v>
      </c>
      <c r="I11458" s="297">
        <f>G11458*H11458</f>
        <v>511.27251290522099</v>
      </c>
      <c r="J11458" s="422">
        <f t="shared" si="1992"/>
        <v>470.28571428571428</v>
      </c>
      <c r="K11458" s="297">
        <f>J11458/POBLA!$B$9*100000</f>
        <v>77.708386297547108</v>
      </c>
      <c r="L11458" s="200">
        <f t="shared" si="1993"/>
        <v>0.24838832006067491</v>
      </c>
      <c r="M11458" s="401">
        <f>SUM(C11458,C11434,C11410,C11386,C11362,C11338,C11314)/POBLA!$B$9*100000</f>
        <v>543.95870408282974</v>
      </c>
      <c r="N11458" s="42" t="s">
        <v>41</v>
      </c>
      <c r="O11458" s="42">
        <v>10</v>
      </c>
      <c r="P11458" s="42">
        <v>5</v>
      </c>
      <c r="Q11458" s="42">
        <v>1</v>
      </c>
      <c r="R11458" s="42">
        <v>16</v>
      </c>
    </row>
    <row r="11459" spans="1:18" x14ac:dyDescent="0.25">
      <c r="A11459" s="367" t="s">
        <v>32</v>
      </c>
      <c r="B11459" s="2">
        <v>44370</v>
      </c>
      <c r="C11459" s="1">
        <v>358</v>
      </c>
      <c r="D11459" s="39">
        <f t="shared" si="1988"/>
        <v>33935</v>
      </c>
      <c r="E11459" s="1">
        <v>4</v>
      </c>
      <c r="F11459" s="39">
        <f t="shared" si="1989"/>
        <v>1146</v>
      </c>
      <c r="G11459" s="168">
        <f>SUM(C11459,C11435,C11411,C11387,C11363,C11339,C11315,C11291,C11267,C11243,C11219,C11195,C11171,C11147)/POBLA!$B$10*100000</f>
        <v>431.8435659978648</v>
      </c>
      <c r="H11459" s="256">
        <f t="shared" si="1990"/>
        <v>1.0697300771208227</v>
      </c>
      <c r="I11459" s="297">
        <f t="shared" ref="I11459:I11473" si="1994">G11459*H11459</f>
        <v>461.95605115902697</v>
      </c>
      <c r="J11459" s="422">
        <f t="shared" si="1992"/>
        <v>219.71428571428572</v>
      </c>
      <c r="K11459" s="297">
        <f>J11459/POBLA!$B$10*100000</f>
        <v>28.501712419204228</v>
      </c>
      <c r="L11459" s="200">
        <f t="shared" si="1993"/>
        <v>-0.14126186487995529</v>
      </c>
      <c r="M11459" s="401">
        <f>SUM(C11459,C11435,C11411,C11387,C11363,C11339,C11315)/POBLA!$B$10*100000</f>
        <v>199.51198693442959</v>
      </c>
      <c r="N11459" s="42" t="s">
        <v>32</v>
      </c>
      <c r="O11459" s="42">
        <v>1</v>
      </c>
      <c r="P11459" s="42">
        <v>3</v>
      </c>
      <c r="Q11459" s="42">
        <v>0</v>
      </c>
      <c r="R11459" s="42">
        <v>4</v>
      </c>
    </row>
    <row r="11460" spans="1:18" x14ac:dyDescent="0.25">
      <c r="A11460" s="367" t="s">
        <v>33</v>
      </c>
      <c r="B11460" s="2">
        <v>44370</v>
      </c>
      <c r="C11460" s="1">
        <v>446</v>
      </c>
      <c r="D11460" s="39">
        <f t="shared" si="1988"/>
        <v>50063</v>
      </c>
      <c r="E11460" s="1">
        <v>9</v>
      </c>
      <c r="F11460" s="39">
        <f t="shared" si="1989"/>
        <v>699</v>
      </c>
      <c r="G11460" s="168">
        <f>SUM(C11460,C11436,C11412,C11388,C11364,C11340,C11316,C11292,C11268,C11244,C11220,C11196,C11172,C11148)/POBLA!$B$11*100000</f>
        <v>1048.7461917037733</v>
      </c>
      <c r="H11460" s="256">
        <f t="shared" si="1990"/>
        <v>0.64465786314525808</v>
      </c>
      <c r="I11460" s="297">
        <f t="shared" si="1994"/>
        <v>676.08247892548172</v>
      </c>
      <c r="J11460" s="422">
        <f t="shared" si="1992"/>
        <v>256.71428571428572</v>
      </c>
      <c r="K11460" s="297">
        <f>J11460/POBLA!$B$11*100000</f>
        <v>71.622274407771073</v>
      </c>
      <c r="L11460" s="200">
        <f t="shared" si="1993"/>
        <v>-8.4097859327217139E-2</v>
      </c>
      <c r="M11460" s="401">
        <f>SUM(C11460,C11436,C11412,C11388,C11364,C11340,C11316)/POBLA!$B$11*100000</f>
        <v>501.35592085439754</v>
      </c>
      <c r="N11460" s="42" t="s">
        <v>33</v>
      </c>
      <c r="O11460" s="42">
        <v>3</v>
      </c>
      <c r="P11460" s="42">
        <v>5</v>
      </c>
      <c r="Q11460" s="42">
        <v>1</v>
      </c>
      <c r="R11460" s="42">
        <v>9</v>
      </c>
    </row>
    <row r="11461" spans="1:18" x14ac:dyDescent="0.25">
      <c r="A11461" s="367" t="s">
        <v>21</v>
      </c>
      <c r="B11461" s="2">
        <v>44370</v>
      </c>
      <c r="C11461" s="1">
        <v>182</v>
      </c>
      <c r="D11461" s="39">
        <f t="shared" si="1988"/>
        <v>20957</v>
      </c>
      <c r="E11461" s="1">
        <v>5</v>
      </c>
      <c r="F11461" s="39">
        <f t="shared" si="1989"/>
        <v>601</v>
      </c>
      <c r="G11461" s="168">
        <f>SUM(C11461,C11437,C11413,C11389,C11365,C11341,C11317,C11293,C11269,C11245,C11221,C11197,C11173,C11149)/POBLA!$B$12*100000</f>
        <v>497.80068152191308</v>
      </c>
      <c r="H11461" s="256">
        <f t="shared" si="1990"/>
        <v>0.82103939647946356</v>
      </c>
      <c r="I11461" s="297">
        <f t="shared" si="1994"/>
        <v>408.71397112381715</v>
      </c>
      <c r="J11461" s="422">
        <f t="shared" si="1992"/>
        <v>136.85714285714286</v>
      </c>
      <c r="K11461" s="297">
        <f>J11461/POBLA!$B$12*100000</f>
        <v>34.77671209057047</v>
      </c>
      <c r="L11461" s="200">
        <f t="shared" si="1993"/>
        <v>-4.2957042957042946E-2</v>
      </c>
      <c r="M11461" s="401">
        <f>SUM(C11461,C11437,C11413,C11389,C11365,C11341,C11317)/POBLA!$B$12*100000</f>
        <v>243.43698463399326</v>
      </c>
      <c r="N11461" s="42" t="s">
        <v>21</v>
      </c>
      <c r="O11461" s="42">
        <v>3</v>
      </c>
      <c r="P11461" s="42">
        <v>2</v>
      </c>
      <c r="Q11461" s="42">
        <v>0</v>
      </c>
      <c r="R11461" s="42">
        <v>5</v>
      </c>
    </row>
    <row r="11462" spans="1:18" x14ac:dyDescent="0.25">
      <c r="A11462" s="367" t="s">
        <v>17</v>
      </c>
      <c r="B11462" s="2">
        <v>44370</v>
      </c>
      <c r="C11462" s="1">
        <v>846</v>
      </c>
      <c r="D11462" s="39">
        <f t="shared" si="1988"/>
        <v>135731</v>
      </c>
      <c r="E11462" s="1">
        <v>25</v>
      </c>
      <c r="F11462" s="39">
        <f t="shared" si="1989"/>
        <v>3100</v>
      </c>
      <c r="G11462" s="168">
        <f>SUM(C11462,C11438,C11414,C11390,C11366,C11342,C11318,C11294,C11270,C11246,C11222,C11198,C11174,C11150)/POBLA!$B$13*100000</f>
        <v>414.90440317172261</v>
      </c>
      <c r="H11462" s="256">
        <f t="shared" si="1990"/>
        <v>0.75518975765889351</v>
      </c>
      <c r="I11462" s="297">
        <f t="shared" si="1994"/>
        <v>313.33155568286105</v>
      </c>
      <c r="J11462" s="422">
        <f t="shared" si="1992"/>
        <v>530.71428571428567</v>
      </c>
      <c r="K11462" s="297">
        <f>J11462/POBLA!$B$13*100000</f>
        <v>26.664530633203292</v>
      </c>
      <c r="L11462" s="200">
        <f t="shared" si="1993"/>
        <v>-0.18225841954655519</v>
      </c>
      <c r="M11462" s="401">
        <f>SUM(C11462,C11438,C11414,C11390,C11366,C11342,C11318)/POBLA!$B$13*100000</f>
        <v>186.65171443242303</v>
      </c>
      <c r="N11462" s="42" t="s">
        <v>17</v>
      </c>
      <c r="O11462" s="42">
        <v>9</v>
      </c>
      <c r="P11462" s="42">
        <v>16</v>
      </c>
      <c r="Q11462" s="42">
        <v>0</v>
      </c>
      <c r="R11462" s="42">
        <v>25</v>
      </c>
    </row>
    <row r="11463" spans="1:18" x14ac:dyDescent="0.25">
      <c r="A11463" s="367" t="s">
        <v>23</v>
      </c>
      <c r="B11463" s="2">
        <v>44370</v>
      </c>
      <c r="C11463" s="1">
        <v>181</v>
      </c>
      <c r="D11463" s="39">
        <f t="shared" si="1988"/>
        <v>24326</v>
      </c>
      <c r="E11463" s="1">
        <v>4</v>
      </c>
      <c r="F11463" s="39">
        <f t="shared" si="1989"/>
        <v>388</v>
      </c>
      <c r="G11463" s="168">
        <f>SUM(C11463,C11439,C11415,C11391,C11367,C11343,C11319,C11295,C11271,C11247,C11223,C11199,C11175,C11151)/POBLA!$B$14*100000</f>
        <v>180.37031810188583</v>
      </c>
      <c r="H11463" s="256">
        <f t="shared" si="1990"/>
        <v>0.8928571428571429</v>
      </c>
      <c r="I11463" s="297">
        <f t="shared" si="1994"/>
        <v>161.04492687668377</v>
      </c>
      <c r="J11463" s="422">
        <f t="shared" si="1992"/>
        <v>155.85714285714286</v>
      </c>
      <c r="K11463" s="297">
        <f>J11463/POBLA!$B$14*100000</f>
        <v>12.356924147513812</v>
      </c>
      <c r="L11463" s="200">
        <f t="shared" si="1993"/>
        <v>-7.8547297297297258E-2</v>
      </c>
      <c r="M11463" s="401">
        <f>SUM(C11463,C11439,C11415,C11391,C11367,C11343,C11319)/POBLA!$B$14*100000</f>
        <v>86.498469032596688</v>
      </c>
      <c r="N11463" s="42" t="s">
        <v>23</v>
      </c>
      <c r="O11463" s="42">
        <v>1</v>
      </c>
      <c r="P11463" s="42">
        <v>3</v>
      </c>
      <c r="Q11463" s="42">
        <v>0</v>
      </c>
      <c r="R11463" s="42">
        <v>4</v>
      </c>
    </row>
    <row r="11464" spans="1:18" x14ac:dyDescent="0.25">
      <c r="A11464" s="367" t="s">
        <v>19</v>
      </c>
      <c r="B11464" s="2">
        <v>44370</v>
      </c>
      <c r="C11464" s="1">
        <v>360</v>
      </c>
      <c r="D11464" s="39">
        <f t="shared" si="1988"/>
        <v>99796</v>
      </c>
      <c r="E11464" s="1">
        <v>9</v>
      </c>
      <c r="F11464" s="39">
        <f t="shared" si="1989"/>
        <v>1733</v>
      </c>
      <c r="G11464" s="168">
        <f>SUM(C11464,C11440,C11416,C11392,C11368,C11344,C11320,C11296,C11272,C11248,C11224,C11200,C11176,C11152)/POBLA!$B$15*100000</f>
        <v>616.96510992279275</v>
      </c>
      <c r="H11464" s="256">
        <f t="shared" si="1990"/>
        <v>0.44210639905039389</v>
      </c>
      <c r="I11464" s="297">
        <f t="shared" si="1994"/>
        <v>272.76422308769634</v>
      </c>
      <c r="J11464" s="422">
        <f t="shared" si="1992"/>
        <v>251</v>
      </c>
      <c r="K11464" s="297">
        <f>J11464/POBLA!$B$15*100000</f>
        <v>37.79796011486966</v>
      </c>
      <c r="L11464" s="200">
        <f t="shared" si="1993"/>
        <v>-0.24914529914529915</v>
      </c>
      <c r="M11464" s="401">
        <f>SUM(C11464,C11440,C11416,C11392,C11368,C11344,C11320)/POBLA!$B$15*100000</f>
        <v>264.5857208040876</v>
      </c>
      <c r="N11464" s="42" t="s">
        <v>19</v>
      </c>
      <c r="O11464" s="42">
        <v>4</v>
      </c>
      <c r="P11464" s="42">
        <v>5</v>
      </c>
      <c r="Q11464" s="42">
        <v>0</v>
      </c>
      <c r="R11464" s="42">
        <v>9</v>
      </c>
    </row>
    <row r="11465" spans="1:18" x14ac:dyDescent="0.25">
      <c r="A11465" s="367" t="s">
        <v>18</v>
      </c>
      <c r="B11465" s="2">
        <v>44370</v>
      </c>
      <c r="C11465" s="1">
        <v>325</v>
      </c>
      <c r="D11465" s="39">
        <f t="shared" si="1988"/>
        <v>82366</v>
      </c>
      <c r="E11465" s="1">
        <v>13</v>
      </c>
      <c r="F11465" s="39">
        <f t="shared" si="1989"/>
        <v>1880</v>
      </c>
      <c r="G11465" s="168">
        <f>SUM(C11465,C11441,C11417,C11393,C11369,C11345,C11321,C11297,C11273,C11249,C11225,C11201,C11177,C11153)/POBLA!$B$16*100000</f>
        <v>581.45289656371631</v>
      </c>
      <c r="H11465" s="256">
        <f t="shared" si="1990"/>
        <v>0.68284637134778514</v>
      </c>
      <c r="I11465" s="297">
        <f t="shared" si="1994"/>
        <v>397.04300052819275</v>
      </c>
      <c r="J11465" s="422">
        <f t="shared" si="1992"/>
        <v>252.57142857142858</v>
      </c>
      <c r="K11465" s="297">
        <f>J11465/POBLA!$B$16*100000</f>
        <v>33.783848339565893</v>
      </c>
      <c r="L11465" s="200">
        <f t="shared" si="1993"/>
        <v>-0.31446297014346647</v>
      </c>
      <c r="M11465" s="401">
        <f>SUM(C11465,C11441,C11417,C11393,C11369,C11345,C11321)/POBLA!$B$16*100000</f>
        <v>236.48693837696123</v>
      </c>
      <c r="N11465" s="42" t="s">
        <v>18</v>
      </c>
      <c r="O11465" s="42">
        <v>4</v>
      </c>
      <c r="P11465" s="42">
        <v>8</v>
      </c>
      <c r="Q11465" s="42">
        <v>1</v>
      </c>
      <c r="R11465" s="42">
        <v>13</v>
      </c>
    </row>
    <row r="11466" spans="1:18" x14ac:dyDescent="0.25">
      <c r="A11466" s="367" t="s">
        <v>34</v>
      </c>
      <c r="B11466" s="2">
        <v>44370</v>
      </c>
      <c r="C11466" s="1">
        <v>705</v>
      </c>
      <c r="D11466" s="39">
        <f>C11466+D11442</f>
        <v>57544</v>
      </c>
      <c r="E11466" s="1">
        <v>28</v>
      </c>
      <c r="F11466" s="39">
        <f t="shared" si="1989"/>
        <v>1655</v>
      </c>
      <c r="G11466" s="168">
        <f>SUM(C11466,C11442,C11418,C11394,C11370,C11346,C11322,C11298,C11274,C11250,C11226,C11202,C11178,C11154)/POBLA!$B$17*100000</f>
        <v>480.90525324049406</v>
      </c>
      <c r="H11466" s="256">
        <f t="shared" si="1990"/>
        <v>0.87955829481253212</v>
      </c>
      <c r="I11466" s="297">
        <f t="shared" si="1994"/>
        <v>422.98420450659791</v>
      </c>
      <c r="J11466" s="422">
        <f t="shared" si="1992"/>
        <v>444.14285714285717</v>
      </c>
      <c r="K11466" s="297">
        <f>J11466/POBLA!$B$17*100000</f>
        <v>31.181114334195957</v>
      </c>
      <c r="L11466" s="200">
        <f t="shared" si="1993"/>
        <v>-0.16893878642074311</v>
      </c>
      <c r="M11466" s="401">
        <f>SUM(C11466,C11442,C11418,C11394,C11370,C11346,C11322)/POBLA!$B$17*100000</f>
        <v>218.26780033937166</v>
      </c>
      <c r="N11466" s="42" t="s">
        <v>34</v>
      </c>
      <c r="O11466" s="42">
        <v>7</v>
      </c>
      <c r="P11466" s="42">
        <v>21</v>
      </c>
      <c r="Q11466" s="42">
        <v>0</v>
      </c>
      <c r="R11466" s="42">
        <v>28</v>
      </c>
    </row>
    <row r="11467" spans="1:18" x14ac:dyDescent="0.25">
      <c r="A11467" s="367" t="s">
        <v>35</v>
      </c>
      <c r="B11467" s="2">
        <v>44370</v>
      </c>
      <c r="C11467" s="1">
        <v>716</v>
      </c>
      <c r="D11467" s="39">
        <f t="shared" ref="D11467:D11473" si="1995">C11467+D11443</f>
        <v>47897</v>
      </c>
      <c r="E11467" s="1">
        <v>8</v>
      </c>
      <c r="F11467" s="39">
        <f t="shared" si="1989"/>
        <v>778</v>
      </c>
      <c r="G11467" s="168">
        <f>SUM(C11467,C11443,C11419,C11395,C11371,C11347,C11323,C11299,C11275,C11251,C11227,C11203,C11179,C11155)/POBLA!$B$18*100000</f>
        <v>813.60236656396364</v>
      </c>
      <c r="H11467" s="256">
        <f t="shared" si="1990"/>
        <v>0.86830601092896176</v>
      </c>
      <c r="I11467" s="297">
        <f t="shared" si="1994"/>
        <v>706.45582539351813</v>
      </c>
      <c r="J11467" s="422">
        <f t="shared" si="1992"/>
        <v>419.85714285714283</v>
      </c>
      <c r="K11467" s="297">
        <f>J11467/POBLA!$B$18*100000</f>
        <v>53.743984431616667</v>
      </c>
      <c r="L11467" s="200">
        <f t="shared" si="1993"/>
        <v>-0.13988879133743048</v>
      </c>
      <c r="M11467" s="401">
        <f>SUM(C11467,C11443,C11419,C11395,C11371,C11347,C11323)/POBLA!$B$18*100000</f>
        <v>376.20789102131675</v>
      </c>
      <c r="N11467" s="42" t="s">
        <v>35</v>
      </c>
      <c r="O11467" s="42">
        <v>1</v>
      </c>
      <c r="P11467" s="42">
        <v>7</v>
      </c>
      <c r="Q11467" s="42">
        <v>0</v>
      </c>
      <c r="R11467" s="42">
        <v>8</v>
      </c>
    </row>
    <row r="11468" spans="1:18" x14ac:dyDescent="0.25">
      <c r="A11468" s="367" t="s">
        <v>36</v>
      </c>
      <c r="B11468" s="2">
        <v>44370</v>
      </c>
      <c r="C11468" s="1">
        <v>354</v>
      </c>
      <c r="D11468" s="39">
        <f t="shared" si="1995"/>
        <v>62960</v>
      </c>
      <c r="E11468" s="1">
        <v>9</v>
      </c>
      <c r="F11468" s="39">
        <f t="shared" si="1989"/>
        <v>895</v>
      </c>
      <c r="G11468" s="168">
        <f>SUM(C11468,C11444,C11420,C11396,C11372,C11348,C11324,C11300,C11276,C11252,C11228,C11204,C11180,C11156)/POBLA!$B$19*100000</f>
        <v>1042.4371665538786</v>
      </c>
      <c r="H11468" s="256">
        <f t="shared" si="1990"/>
        <v>0.7253935660506502</v>
      </c>
      <c r="I11468" s="297">
        <f t="shared" si="1994"/>
        <v>756.1772136302535</v>
      </c>
      <c r="J11468" s="422">
        <f t="shared" si="1992"/>
        <v>336.85714285714283</v>
      </c>
      <c r="K11468" s="297">
        <f>J11468/POBLA!$B$19*100000</f>
        <v>66.267674190117972</v>
      </c>
      <c r="L11468" s="200">
        <f t="shared" si="1993"/>
        <v>-0.19823189391363483</v>
      </c>
      <c r="M11468" s="401">
        <f>SUM(C11468,C11444,C11420,C11396,C11372,C11348,C11324)/POBLA!$B$19*100000</f>
        <v>463.87371933082579</v>
      </c>
      <c r="N11468" s="42" t="s">
        <v>36</v>
      </c>
      <c r="O11468" s="42">
        <v>1</v>
      </c>
      <c r="P11468" s="42">
        <v>8</v>
      </c>
      <c r="Q11468" s="42">
        <v>0</v>
      </c>
      <c r="R11468" s="42">
        <v>9</v>
      </c>
    </row>
    <row r="11469" spans="1:18" x14ac:dyDescent="0.25">
      <c r="A11469" s="367" t="s">
        <v>37</v>
      </c>
      <c r="B11469" s="2">
        <v>44370</v>
      </c>
      <c r="C11469" s="1">
        <v>134</v>
      </c>
      <c r="D11469" s="39">
        <f t="shared" si="1995"/>
        <v>54717</v>
      </c>
      <c r="E11469" s="1">
        <v>4</v>
      </c>
      <c r="F11469" s="39">
        <f t="shared" ref="F11469:F11474" si="1996">E11469+F11445</f>
        <v>846</v>
      </c>
      <c r="G11469" s="168">
        <f>SUM(C11469,C11445,C11422,C11397,C11373,C11349,C11325,C11301,C11277,C11253,C11229,C11205,C11181,C11157)/POBLA!$B$20*100000</f>
        <v>610.33967918883889</v>
      </c>
      <c r="H11469" s="256">
        <f t="shared" si="1990"/>
        <v>0.62100276352151595</v>
      </c>
      <c r="I11469" s="297">
        <f t="shared" si="1994"/>
        <v>379.02262746310441</v>
      </c>
      <c r="J11469" s="422">
        <f t="shared" si="1992"/>
        <v>98.142857142857139</v>
      </c>
      <c r="K11469" s="297">
        <f>J11469/POBLA!$B$20*100000</f>
        <v>26.837132591060694</v>
      </c>
      <c r="L11469" s="200">
        <f t="shared" si="1993"/>
        <v>-0.22460496613995484</v>
      </c>
      <c r="M11469" s="401">
        <f>SUM(C11469,C11445,C11421,C11397,C11373,C11349,C11325)/POBLA!$B$20*100000</f>
        <v>187.85992813742487</v>
      </c>
      <c r="N11469" s="42" t="s">
        <v>37</v>
      </c>
      <c r="O11469" s="42">
        <v>0</v>
      </c>
      <c r="P11469" s="42">
        <v>4</v>
      </c>
      <c r="Q11469" s="42">
        <v>0</v>
      </c>
      <c r="R11469" s="42">
        <v>4</v>
      </c>
    </row>
    <row r="11470" spans="1:18" x14ac:dyDescent="0.25">
      <c r="A11470" s="367" t="s">
        <v>22</v>
      </c>
      <c r="B11470" s="2">
        <v>44370</v>
      </c>
      <c r="C11470" s="1">
        <v>2285</v>
      </c>
      <c r="D11470" s="39">
        <f t="shared" si="1995"/>
        <v>393953</v>
      </c>
      <c r="E11470" s="1">
        <v>24</v>
      </c>
      <c r="F11470" s="39">
        <f t="shared" si="1996"/>
        <v>6404</v>
      </c>
      <c r="G11470" s="168">
        <f>SUM(C11470,C11446,C11422,C11398,C11374,C11350,C11326,C11302,C11278,C11254,C11230,C11206,C11182,C11158)/POBLA!$B$21*100000</f>
        <v>702.20771413334057</v>
      </c>
      <c r="H11470" s="256">
        <f t="shared" si="1990"/>
        <v>0.63002334077531963</v>
      </c>
      <c r="I11470" s="297">
        <f t="shared" si="1994"/>
        <v>442.40724997648783</v>
      </c>
      <c r="J11470" s="422">
        <f t="shared" si="1992"/>
        <v>1525.4285714285713</v>
      </c>
      <c r="K11470" s="297">
        <f>J11470/POBLA!$B$21*100000</f>
        <v>43.134849201326638</v>
      </c>
      <c r="L11470" s="200">
        <f t="shared" si="1993"/>
        <v>-0.24563758389261747</v>
      </c>
      <c r="M11470" s="401">
        <f>SUM(C11470,C11446,C11422,C11398,C11374,C11350,C11326)/POBLA!$B$21*100000</f>
        <v>301.94394440928647</v>
      </c>
      <c r="N11470" s="42" t="s">
        <v>22</v>
      </c>
      <c r="O11470" s="42">
        <v>12</v>
      </c>
      <c r="P11470" s="42">
        <v>11</v>
      </c>
      <c r="Q11470" s="42">
        <v>1</v>
      </c>
      <c r="R11470" s="42">
        <v>24</v>
      </c>
    </row>
    <row r="11471" spans="1:18" x14ac:dyDescent="0.25">
      <c r="A11471" s="367" t="s">
        <v>38</v>
      </c>
      <c r="B11471" s="2">
        <v>44370</v>
      </c>
      <c r="C11471" s="1">
        <v>497</v>
      </c>
      <c r="D11471" s="39">
        <f t="shared" si="1995"/>
        <v>55662</v>
      </c>
      <c r="E11471" s="1">
        <v>5</v>
      </c>
      <c r="F11471" s="39">
        <f t="shared" si="1996"/>
        <v>750</v>
      </c>
      <c r="G11471" s="168">
        <f>SUM(C11471,C11447,C11423,C11399,C11375,C11351,C11327,C11303,C11279,C11255,C11231,C11207,C11183,C11159)/POBLA!$B$22*100000</f>
        <v>700.69599402236304</v>
      </c>
      <c r="H11471" s="256">
        <f t="shared" si="1990"/>
        <v>0.88760844231516245</v>
      </c>
      <c r="I11471" s="297">
        <f t="shared" si="1994"/>
        <v>621.94367979066408</v>
      </c>
      <c r="J11471" s="422">
        <f t="shared" si="1992"/>
        <v>471.28571428571428</v>
      </c>
      <c r="K11471" s="297">
        <f>J11471/POBLA!$B$22*100000</f>
        <v>48.173305913926754</v>
      </c>
      <c r="L11471" s="200">
        <f t="shared" si="1993"/>
        <v>-7.2272215973003373E-2</v>
      </c>
      <c r="M11471" s="401">
        <f>SUM(C11471,C11447,C11423,C11399,C11375,C11351,C11327)/POBLA!$B$22*100000</f>
        <v>337.21314139748728</v>
      </c>
      <c r="N11471" s="42" t="s">
        <v>38</v>
      </c>
      <c r="O11471" s="42">
        <v>4</v>
      </c>
      <c r="P11471" s="42">
        <v>1</v>
      </c>
      <c r="Q11471" s="42">
        <v>0</v>
      </c>
      <c r="R11471" s="42">
        <v>5</v>
      </c>
    </row>
    <row r="11472" spans="1:18" x14ac:dyDescent="0.25">
      <c r="A11472" s="367" t="s">
        <v>39</v>
      </c>
      <c r="B11472" s="2">
        <v>44370</v>
      </c>
      <c r="C11472" s="1">
        <v>55</v>
      </c>
      <c r="D11472" s="39">
        <f t="shared" si="1995"/>
        <v>29453</v>
      </c>
      <c r="F11472" s="39">
        <f t="shared" si="1996"/>
        <v>435</v>
      </c>
      <c r="G11472" s="168">
        <f>SUM(C11472,C11448,C11424,C11400,C11376,C11352,C11328,C11304,C11280,C11256,C11232,C11208,C11184,C11160)/POBLA!$B$23*100000</f>
        <v>299.72289769835436</v>
      </c>
      <c r="H11472" s="256">
        <f t="shared" si="1990"/>
        <v>0.75284090909090906</v>
      </c>
      <c r="I11472" s="297">
        <f t="shared" si="1994"/>
        <v>225.64365877859063</v>
      </c>
      <c r="J11472" s="422">
        <f t="shared" si="1992"/>
        <v>39.285714285714285</v>
      </c>
      <c r="K11472" s="297">
        <f>J11472/POBLA!$B$23*100000</f>
        <v>22.216656837479096</v>
      </c>
      <c r="L11472" s="200">
        <f t="shared" si="1993"/>
        <v>7.8431372549019551E-2</v>
      </c>
      <c r="M11472" s="401">
        <f>SUM(C11472,C11448,C11424,C11400,C11376,C11352,C11328)/POBLA!$B$23*100000</f>
        <v>155.51659786235368</v>
      </c>
    </row>
    <row r="11473" spans="1:18" ht="15.75" thickBot="1" x14ac:dyDescent="0.3">
      <c r="A11473" s="369" t="s">
        <v>40</v>
      </c>
      <c r="B11473" s="2">
        <v>44370</v>
      </c>
      <c r="C11473" s="44">
        <v>1770</v>
      </c>
      <c r="D11473" s="176">
        <f t="shared" si="1995"/>
        <v>148967</v>
      </c>
      <c r="E11473" s="44">
        <v>18</v>
      </c>
      <c r="F11473" s="176">
        <f t="shared" si="1996"/>
        <v>2206</v>
      </c>
      <c r="G11473" s="177">
        <f>SUM(C11473,C11449,C11425,C11401,C11377,C11353,C11329,C11305,C11281,C11257,C11233,C11209,C11185,C11161)/POBLA!$B$24*100000</f>
        <v>635.11414705993423</v>
      </c>
      <c r="H11473" s="402">
        <f t="shared" si="1990"/>
        <v>0.76637710054115638</v>
      </c>
      <c r="I11473" s="403">
        <f t="shared" si="1994"/>
        <v>486.73693853646199</v>
      </c>
      <c r="J11473" s="428">
        <f t="shared" si="1992"/>
        <v>710.42857142857144</v>
      </c>
      <c r="K11473" s="299">
        <f>J11473/POBLA!$B$24*100000</f>
        <v>41.921698057220553</v>
      </c>
      <c r="L11473" s="260">
        <f t="shared" si="1993"/>
        <v>-0.14110535405872193</v>
      </c>
      <c r="M11473" s="406">
        <f>SUM(C11473,C11449,C11425,C11401,C11377,C11353,C11329)/POBLA!$B$24*100000</f>
        <v>293.45188640054386</v>
      </c>
      <c r="N11473" s="42" t="s">
        <v>40</v>
      </c>
      <c r="O11473" s="42">
        <v>7</v>
      </c>
      <c r="P11473" s="42">
        <v>11</v>
      </c>
      <c r="Q11473" s="42">
        <v>0</v>
      </c>
      <c r="R11473" s="42">
        <v>18</v>
      </c>
    </row>
    <row r="11474" spans="1:18" x14ac:dyDescent="0.25">
      <c r="A11474" s="363" t="s">
        <v>16</v>
      </c>
      <c r="B11474" s="2">
        <v>44371</v>
      </c>
      <c r="C11474" s="547">
        <v>8335</v>
      </c>
      <c r="D11474" s="174">
        <f>C11474+D11450</f>
        <v>1803941</v>
      </c>
      <c r="E11474" s="1">
        <v>111</v>
      </c>
      <c r="F11474" s="174">
        <f t="shared" si="1996"/>
        <v>46296</v>
      </c>
      <c r="G11474" s="175">
        <f>SUM(C11474,C11450,C11402,C11426,C11378,C11354,C11330,C11306,C11282,C11258,C11234,C11210,C11186,C11162)/POBLA!$B$1*100000</f>
        <v>545.39211559840953</v>
      </c>
      <c r="H11474" s="300">
        <f>SUM(C11474,C11450,C11426,C11402,C11378,C11354,C11330,C11306,C11282,C11258,C11234,C11210,C11186,C11162,)/SUM(C11138,C11114,C11090,C11066,C11042,C11018,C10994,C10970,C10946,C10922,C10898,C10874,C10850,C10826)</f>
        <v>0.6811437359382565</v>
      </c>
      <c r="I11474" s="301">
        <f>G11474*H11474</f>
        <v>371.49042316997014</v>
      </c>
      <c r="J11474" s="421">
        <f>AVERAGE(C11474,C11450,C11426,C11402,C11378,C11354,C11330)</f>
        <v>5942</v>
      </c>
      <c r="K11474" s="301">
        <f>J11474/POBLA!$B$1*100000</f>
        <v>33.874649317282156</v>
      </c>
      <c r="L11474" s="399">
        <f t="shared" si="1993"/>
        <v>-0.2307948367052558</v>
      </c>
      <c r="M11474" s="400">
        <f>SUM(C11474,C11450,C11426,C11402,C11378,C11354,C11330)/POBLA!$B$1*100000</f>
        <v>237.12254522097507</v>
      </c>
      <c r="N11474" s="42" t="s">
        <v>16</v>
      </c>
      <c r="O11474" s="42">
        <v>45</v>
      </c>
      <c r="P11474" s="42">
        <v>65</v>
      </c>
      <c r="Q11474" s="42">
        <v>1</v>
      </c>
      <c r="R11474" s="42">
        <v>111</v>
      </c>
    </row>
    <row r="11475" spans="1:18" x14ac:dyDescent="0.25">
      <c r="A11475" s="367" t="s">
        <v>43</v>
      </c>
      <c r="B11475" s="2">
        <v>44371</v>
      </c>
      <c r="C11475" s="547">
        <v>1511</v>
      </c>
      <c r="D11475" s="39">
        <f t="shared" ref="D11475:D11489" si="1997">C11475+D11451</f>
        <v>456447</v>
      </c>
      <c r="E11475" s="1">
        <v>42</v>
      </c>
      <c r="F11475" s="39">
        <f t="shared" ref="F11475:F11492" si="1998">E11475+F11451</f>
        <v>10154</v>
      </c>
      <c r="G11475" s="168">
        <f>SUM(C11475,C11451,C11427,C11403,C11379,C11355,C11331,C11307,C11283,C11259,C11235,C11211,C11187,C11163)/POBLA!$B$2*100000</f>
        <v>636.97187517679208</v>
      </c>
      <c r="H11475" s="256">
        <f t="shared" ref="H11475:H11497" si="1999">SUM(C11475,C11451,C11427,C11403,C11379,C11355,C11331,C11307,C11283,C11259,C11235,C11211,C11187,C11163,)/SUM(C11139,C11115,C11091,C11067,C11043,C11019,C10995,C10971,C10947,C10923,C10899,C10875,C10851,C10827)</f>
        <v>0.70418029546026384</v>
      </c>
      <c r="I11475" s="297">
        <f t="shared" ref="I11475:I11481" si="2000">G11475*H11475</f>
        <v>448.54304326187173</v>
      </c>
      <c r="J11475" s="422">
        <f>AVERAGE(C11475,C11451,C11427,C11403,C11379,C11355,C11331)</f>
        <v>1232.8571428571429</v>
      </c>
      <c r="K11475" s="297">
        <f>J11475/POBLA!$B$2*100000</f>
        <v>40.084494212179912</v>
      </c>
      <c r="L11475" s="200">
        <f>(SUM(C11475,C11451,C11427,C11403,C11379,C11355,C11331)/SUM(C11307,C11283,C11259,C11235,C11211,C11187,C11163))-1</f>
        <v>-0.21266307818629682</v>
      </c>
      <c r="M11475" s="401">
        <f>SUM(C11475,C11451,C11427,C11403,C11379,C11355,C11331)/POBLA!$B$2*100000</f>
        <v>280.59145948525935</v>
      </c>
      <c r="N11475" s="42" t="s">
        <v>43</v>
      </c>
      <c r="O11475" s="42">
        <v>17</v>
      </c>
      <c r="P11475" s="42">
        <v>25</v>
      </c>
      <c r="Q11475" s="42">
        <v>0</v>
      </c>
      <c r="R11475" s="42">
        <v>42</v>
      </c>
    </row>
    <row r="11476" spans="1:18" x14ac:dyDescent="0.25">
      <c r="A11476" s="367" t="s">
        <v>28</v>
      </c>
      <c r="B11476" s="2">
        <v>44371</v>
      </c>
      <c r="C11476" s="547">
        <v>378</v>
      </c>
      <c r="D11476" s="39">
        <f t="shared" si="1997"/>
        <v>32272</v>
      </c>
      <c r="E11476" s="1">
        <v>3</v>
      </c>
      <c r="F11476" s="39">
        <f t="shared" si="1998"/>
        <v>304</v>
      </c>
      <c r="G11476" s="168">
        <f>SUM(C11476,C11452,C11428,C11404,C11380,C11356,C11332,C11308,C11284,C11260,C11236,C11212,C11188,C11164)/POBLA!$B$3*100000</f>
        <v>1022.5352519509529</v>
      </c>
      <c r="H11476" s="256">
        <f t="shared" si="1999"/>
        <v>0.72952086553323026</v>
      </c>
      <c r="I11476" s="297">
        <f t="shared" si="2000"/>
        <v>745.96080204149882</v>
      </c>
      <c r="J11476" s="422">
        <f t="shared" ref="J11476:J11497" si="2001">AVERAGE(C11476,C11452,C11428,C11404,C11380,C11356,C11332)</f>
        <v>273.28571428571428</v>
      </c>
      <c r="K11476" s="297">
        <f>J11476/POBLA!$B$3*100000</f>
        <v>65.782551015004472</v>
      </c>
      <c r="L11476" s="200">
        <f t="shared" ref="L11476:L11498" si="2002">(SUM(C11476,C11452,C11428,C11404,C11380,C11356,C11332)/SUM(C11308,C11284,C11260,C11236,C11212,C11188,C11164))-1</f>
        <v>-0.18072805139186299</v>
      </c>
      <c r="M11476" s="401">
        <f>SUM(C11476,C11452,C11428,C11404,C11380,C11356,C11332)/POBLA!$B$3*100000</f>
        <v>460.47785710503132</v>
      </c>
      <c r="N11476" s="42" t="s">
        <v>28</v>
      </c>
      <c r="O11476" s="42">
        <v>1</v>
      </c>
      <c r="P11476" s="42">
        <v>2</v>
      </c>
      <c r="Q11476" s="42">
        <v>0</v>
      </c>
      <c r="R11476" s="42">
        <v>3</v>
      </c>
    </row>
    <row r="11477" spans="1:18" x14ac:dyDescent="0.25">
      <c r="A11477" s="367" t="s">
        <v>15</v>
      </c>
      <c r="B11477" s="2">
        <v>44371</v>
      </c>
      <c r="C11477" s="547">
        <v>598</v>
      </c>
      <c r="D11477" s="39">
        <f t="shared" si="1997"/>
        <v>73687</v>
      </c>
      <c r="E11477" s="1">
        <v>20</v>
      </c>
      <c r="F11477" s="39">
        <f t="shared" si="1998"/>
        <v>1581</v>
      </c>
      <c r="G11477" s="168">
        <f>SUM(C11477,C11453,C11429,C11405,C11381,C11357,C11333,C11309,C11285,C11261,C11237,C11213,C11189,C11165)/POBLA!$B$4*100000</f>
        <v>655.68544366692367</v>
      </c>
      <c r="H11477" s="256">
        <f t="shared" si="1999"/>
        <v>0.80256071537445384</v>
      </c>
      <c r="I11477" s="297">
        <f t="shared" si="2000"/>
        <v>526.22737872994242</v>
      </c>
      <c r="J11477" s="422">
        <f t="shared" si="2001"/>
        <v>520.85714285714289</v>
      </c>
      <c r="K11477" s="297">
        <f>J11477/POBLA!$B$4*100000</f>
        <v>43.241130260999242</v>
      </c>
      <c r="L11477" s="200">
        <f t="shared" si="2002"/>
        <v>-0.14252116650987767</v>
      </c>
      <c r="M11477" s="401">
        <f>SUM(C11477,C11453,C11429,C11405,C11381,C11357,C11333)/POBLA!$B$4*100000</f>
        <v>302.68791182699471</v>
      </c>
      <c r="N11477" s="42" t="s">
        <v>15</v>
      </c>
      <c r="O11477" s="42">
        <v>8</v>
      </c>
      <c r="P11477" s="42">
        <v>12</v>
      </c>
      <c r="Q11477" s="42">
        <v>0</v>
      </c>
      <c r="R11477" s="42">
        <v>20</v>
      </c>
    </row>
    <row r="11478" spans="1:18" x14ac:dyDescent="0.25">
      <c r="A11478" s="367" t="s">
        <v>29</v>
      </c>
      <c r="B11478" s="2">
        <v>44371</v>
      </c>
      <c r="C11478" s="547">
        <v>309</v>
      </c>
      <c r="D11478" s="39">
        <f t="shared" si="1997"/>
        <v>69439</v>
      </c>
      <c r="E11478" s="1">
        <v>5</v>
      </c>
      <c r="F11478" s="39">
        <f t="shared" si="1998"/>
        <v>1186</v>
      </c>
      <c r="G11478" s="168">
        <f>SUM(C11478,C11454,C11430,C11406,C11382,C11358,C11334,C11310,C11286,C11262,C11238,C11214,C11190,C11166)/POBLA!$B$5*100000</f>
        <v>486.59599285291938</v>
      </c>
      <c r="H11478" s="256">
        <f t="shared" si="1999"/>
        <v>0.60167798641630044</v>
      </c>
      <c r="I11478" s="297">
        <f t="shared" si="2000"/>
        <v>292.77409717798503</v>
      </c>
      <c r="J11478" s="422">
        <f t="shared" si="2001"/>
        <v>209.57142857142858</v>
      </c>
      <c r="K11478" s="297">
        <f>J11478/POBLA!$B$5*100000</f>
        <v>33.85677867175265</v>
      </c>
      <c r="L11478" s="200">
        <f t="shared" si="2002"/>
        <v>-5.0485436893203839E-2</v>
      </c>
      <c r="M11478" s="401">
        <f>SUM(C11478,C11454,C11430,C11406,C11382,C11358,C11334)/POBLA!$B$5*100000</f>
        <v>236.99745070226851</v>
      </c>
      <c r="N11478" s="42" t="s">
        <v>29</v>
      </c>
      <c r="O11478" s="42">
        <v>3</v>
      </c>
      <c r="P11478" s="42">
        <v>2</v>
      </c>
      <c r="Q11478" s="42">
        <v>0</v>
      </c>
      <c r="R11478" s="42">
        <v>5</v>
      </c>
    </row>
    <row r="11479" spans="1:18" x14ac:dyDescent="0.25">
      <c r="A11479" s="367" t="s">
        <v>30</v>
      </c>
      <c r="B11479" s="2">
        <v>44371</v>
      </c>
      <c r="C11479" s="547">
        <v>683</v>
      </c>
      <c r="D11479" s="39">
        <f t="shared" si="1997"/>
        <v>63063</v>
      </c>
      <c r="E11479" s="1">
        <v>5</v>
      </c>
      <c r="F11479" s="39">
        <f t="shared" si="1998"/>
        <v>706</v>
      </c>
      <c r="G11479" s="168">
        <f>SUM(C11479,C11455,C11431,C11407,C11383,C11359,C11335,C11311,C11287,C11263,C11239,C11215,C11191,C11167)/POBLA!$B$6*100000</f>
        <v>585.56336048950709</v>
      </c>
      <c r="H11479" s="256">
        <f t="shared" si="1999"/>
        <v>0.90561611701393685</v>
      </c>
      <c r="I11479" s="297">
        <f t="shared" si="2000"/>
        <v>530.29561679213953</v>
      </c>
      <c r="J11479" s="422">
        <f t="shared" si="2001"/>
        <v>572.57142857142856</v>
      </c>
      <c r="K11479" s="297">
        <f>J11479/POBLA!$B$6*100000</f>
        <v>51.085913429005551</v>
      </c>
      <c r="L11479" s="200">
        <f t="shared" si="2002"/>
        <v>0.56868884540117426</v>
      </c>
      <c r="M11479" s="401">
        <f>SUM(C11479,C11455,C11431,C11407,C11383,C11359,C11335)/POBLA!$B$6*100000</f>
        <v>357.60139400303888</v>
      </c>
      <c r="N11479" s="42" t="s">
        <v>30</v>
      </c>
      <c r="O11479" s="42">
        <v>5</v>
      </c>
      <c r="P11479" s="42">
        <v>0</v>
      </c>
      <c r="Q11479" s="42">
        <v>0</v>
      </c>
      <c r="R11479" s="42">
        <v>5</v>
      </c>
    </row>
    <row r="11480" spans="1:18" x14ac:dyDescent="0.25">
      <c r="A11480" s="367" t="s">
        <v>20</v>
      </c>
      <c r="B11480" s="2">
        <v>44371</v>
      </c>
      <c r="C11480" s="547">
        <v>3238</v>
      </c>
      <c r="D11480" s="39">
        <f t="shared" si="1997"/>
        <v>396230</v>
      </c>
      <c r="E11480" s="1">
        <v>56</v>
      </c>
      <c r="F11480" s="39">
        <f t="shared" si="1998"/>
        <v>5009</v>
      </c>
      <c r="G11480" s="168">
        <f>SUM(C11480,C11456,C11432,C11408,C11384,C11360,C11336,C11312,C11288,C11264,C11240,C11216,C11192,C11168)/POBLA!$B$7*100000</f>
        <v>1071.8398064061482</v>
      </c>
      <c r="H11480" s="256">
        <f t="shared" si="1999"/>
        <v>0.68205431931635507</v>
      </c>
      <c r="I11480" s="297">
        <f t="shared" si="2000"/>
        <v>731.05296957451924</v>
      </c>
      <c r="J11480" s="422">
        <f t="shared" si="2001"/>
        <v>2578.5714285714284</v>
      </c>
      <c r="K11480" s="297">
        <f>J11480/POBLA!$B$7*100000</f>
        <v>68.57082074143861</v>
      </c>
      <c r="L11480" s="200">
        <f t="shared" si="2002"/>
        <v>-0.18898274622573685</v>
      </c>
      <c r="M11480" s="401">
        <f>SUM(C11480,C11456,C11432,C11408,C11384,C11360,C11336)/POBLA!$B$7*100000</f>
        <v>479.99574519007029</v>
      </c>
      <c r="N11480" s="42" t="s">
        <v>20</v>
      </c>
      <c r="O11480" s="42">
        <v>25</v>
      </c>
      <c r="P11480" s="42">
        <v>30</v>
      </c>
      <c r="Q11480" s="42">
        <v>1</v>
      </c>
      <c r="R11480" s="42">
        <v>56</v>
      </c>
    </row>
    <row r="11481" spans="1:18" x14ac:dyDescent="0.25">
      <c r="A11481" s="367" t="s">
        <v>31</v>
      </c>
      <c r="B11481" s="2">
        <v>44371</v>
      </c>
      <c r="C11481" s="547">
        <v>934</v>
      </c>
      <c r="D11481" s="39">
        <f t="shared" si="1997"/>
        <v>105849</v>
      </c>
      <c r="E11481" s="1">
        <v>16</v>
      </c>
      <c r="F11481" s="39">
        <f t="shared" si="1998"/>
        <v>1737</v>
      </c>
      <c r="G11481" s="168">
        <f>SUM(C11481,C11457,C11433,C11409,C11385,C11361,C11337,C11313,C11289,C11265,C11241,C11217,C11193,C11169)/POBLA!$B$8*100000</f>
        <v>747.06286829138776</v>
      </c>
      <c r="H11481" s="256">
        <f t="shared" si="1999"/>
        <v>0.74920405209840812</v>
      </c>
      <c r="I11481" s="297">
        <f t="shared" si="2000"/>
        <v>559.70252809616704</v>
      </c>
      <c r="J11481" s="422">
        <f t="shared" si="2001"/>
        <v>638</v>
      </c>
      <c r="K11481" s="297">
        <f>J11481/POBLA!$B$8*100000</f>
        <v>46.033041333774904</v>
      </c>
      <c r="L11481" s="200">
        <f t="shared" si="2002"/>
        <v>-0.24150815217391308</v>
      </c>
      <c r="M11481" s="401">
        <f>SUM(C11481,C11457,C11433,C11409,C11385,C11361,C11337)/POBLA!$B$8*100000</f>
        <v>322.23128933642437</v>
      </c>
      <c r="N11481" s="42" t="s">
        <v>31</v>
      </c>
      <c r="O11481" s="42">
        <v>5</v>
      </c>
      <c r="P11481" s="42">
        <v>11</v>
      </c>
      <c r="Q11481" s="42">
        <v>0</v>
      </c>
      <c r="R11481" s="42">
        <v>16</v>
      </c>
    </row>
    <row r="11482" spans="1:18" x14ac:dyDescent="0.25">
      <c r="A11482" s="367" t="s">
        <v>41</v>
      </c>
      <c r="B11482" s="2">
        <v>44371</v>
      </c>
      <c r="C11482" s="547">
        <v>458</v>
      </c>
      <c r="D11482" s="39">
        <f t="shared" si="1997"/>
        <v>43290</v>
      </c>
      <c r="E11482" s="1">
        <v>9</v>
      </c>
      <c r="F11482" s="39">
        <f t="shared" si="1998"/>
        <v>777</v>
      </c>
      <c r="G11482" s="168">
        <f>SUM(C11482,C11458,C11434,C11410,C11386,C11362,C11338,C11314,C11290,C11266,C11242,C11218,C11194,C11170)/POBLA!$B$9*100000</f>
        <v>1002.6553512681079</v>
      </c>
      <c r="H11482" s="256">
        <f t="shared" si="1999"/>
        <v>0.57375189107413016</v>
      </c>
      <c r="I11482" s="297">
        <f>G11482*H11482</f>
        <v>575.2754038856732</v>
      </c>
      <c r="J11482" s="422">
        <f t="shared" si="2001"/>
        <v>454.28571428571428</v>
      </c>
      <c r="K11482" s="297">
        <f>J11482/POBLA!$B$9*100000</f>
        <v>75.064601587545496</v>
      </c>
      <c r="L11482" s="200">
        <f t="shared" si="2002"/>
        <v>0.10110803324099726</v>
      </c>
      <c r="M11482" s="401">
        <f>SUM(C11482,C11458,C11434,C11410,C11386,C11362,C11338)/POBLA!$B$9*100000</f>
        <v>525.45221111281853</v>
      </c>
      <c r="N11482" s="42" t="s">
        <v>41</v>
      </c>
      <c r="O11482" s="42">
        <v>4</v>
      </c>
      <c r="P11482" s="42">
        <v>5</v>
      </c>
      <c r="Q11482" s="42">
        <v>0</v>
      </c>
      <c r="R11482" s="42">
        <v>9</v>
      </c>
    </row>
    <row r="11483" spans="1:18" x14ac:dyDescent="0.25">
      <c r="A11483" s="367" t="s">
        <v>32</v>
      </c>
      <c r="B11483" s="2">
        <v>44371</v>
      </c>
      <c r="C11483" s="547">
        <v>299</v>
      </c>
      <c r="D11483" s="39">
        <f t="shared" si="1997"/>
        <v>34234</v>
      </c>
      <c r="E11483" s="1">
        <v>4</v>
      </c>
      <c r="F11483" s="39">
        <f t="shared" si="1998"/>
        <v>1150</v>
      </c>
      <c r="G11483" s="168">
        <f>SUM(C11483,C11459,C11435,C11411,C11387,C11363,C11339,C11315,C11291,C11267,C11243,C11219,C11195,C11171)/POBLA!$B$10*100000</f>
        <v>434.30827845024072</v>
      </c>
      <c r="H11483" s="256">
        <f t="shared" si="1999"/>
        <v>1.0581542351453856</v>
      </c>
      <c r="I11483" s="297">
        <f t="shared" ref="I11483:I11497" si="2003">G11483*H11483</f>
        <v>459.56514420082362</v>
      </c>
      <c r="J11483" s="422">
        <f t="shared" si="2001"/>
        <v>228.28571428571428</v>
      </c>
      <c r="K11483" s="297">
        <f>J11483/POBLA!$B$10*100000</f>
        <v>29.613612773659526</v>
      </c>
      <c r="L11483" s="200">
        <f t="shared" si="2002"/>
        <v>-8.6857142857142855E-2</v>
      </c>
      <c r="M11483" s="401">
        <f>SUM(C11483,C11459,C11435,C11411,C11387,C11363,C11339)/POBLA!$B$10*100000</f>
        <v>207.29528941561671</v>
      </c>
      <c r="N11483" s="42" t="s">
        <v>32</v>
      </c>
      <c r="O11483" s="42">
        <v>2</v>
      </c>
      <c r="P11483" s="42">
        <v>2</v>
      </c>
      <c r="Q11483" s="42">
        <v>0</v>
      </c>
      <c r="R11483" s="42">
        <v>4</v>
      </c>
    </row>
    <row r="11484" spans="1:18" x14ac:dyDescent="0.25">
      <c r="A11484" s="367" t="s">
        <v>33</v>
      </c>
      <c r="B11484" s="2">
        <v>44371</v>
      </c>
      <c r="C11484" s="547">
        <v>499</v>
      </c>
      <c r="D11484" s="39">
        <f t="shared" si="1997"/>
        <v>50562</v>
      </c>
      <c r="E11484" s="1">
        <v>7</v>
      </c>
      <c r="F11484" s="39">
        <f t="shared" si="1998"/>
        <v>706</v>
      </c>
      <c r="G11484" s="168">
        <f>SUM(C11484,C11460,C11436,C11412,C11388,C11364,C11340,C11316,C11292,C11268,C11244,C11220,C11196,C11172)/POBLA!$B$11*100000</f>
        <v>1083.8996953363019</v>
      </c>
      <c r="H11484" s="256">
        <f t="shared" si="1999"/>
        <v>0.70482583454281567</v>
      </c>
      <c r="I11484" s="297">
        <f t="shared" si="2003"/>
        <v>763.96050732611263</v>
      </c>
      <c r="J11484" s="422">
        <f t="shared" si="2001"/>
        <v>279</v>
      </c>
      <c r="K11484" s="297">
        <f>J11484/POBLA!$B$11*100000</f>
        <v>77.839900900599275</v>
      </c>
      <c r="L11484" s="200">
        <f t="shared" si="2002"/>
        <v>1.0869565217391353E-2</v>
      </c>
      <c r="M11484" s="401">
        <f>SUM(C11484,C11460,C11436,C11412,C11388,C11364,C11340)/POBLA!$B$11*100000</f>
        <v>544.87930630419498</v>
      </c>
      <c r="N11484" s="42" t="s">
        <v>33</v>
      </c>
      <c r="O11484" s="42">
        <v>4</v>
      </c>
      <c r="P11484" s="42">
        <v>3</v>
      </c>
      <c r="Q11484" s="42">
        <v>0</v>
      </c>
      <c r="R11484" s="42">
        <v>7</v>
      </c>
    </row>
    <row r="11485" spans="1:18" x14ac:dyDescent="0.25">
      <c r="A11485" s="367" t="s">
        <v>21</v>
      </c>
      <c r="B11485" s="2">
        <v>44371</v>
      </c>
      <c r="C11485" s="547">
        <v>183</v>
      </c>
      <c r="D11485" s="39">
        <f t="shared" si="1997"/>
        <v>21140</v>
      </c>
      <c r="E11485" s="1">
        <v>15</v>
      </c>
      <c r="F11485" s="39">
        <f t="shared" si="1998"/>
        <v>616</v>
      </c>
      <c r="G11485" s="168">
        <f>SUM(C11485,C11461,C11437,C11413,C11389,C11365,C11341,C11317,C11293,C11269,C11245,C11221,C11197,C11173)/POBLA!$B$12*100000</f>
        <v>503.64520202982737</v>
      </c>
      <c r="H11485" s="256">
        <f t="shared" si="1999"/>
        <v>0.82206553297386975</v>
      </c>
      <c r="I11485" s="297">
        <f t="shared" si="2003"/>
        <v>414.02936143638237</v>
      </c>
      <c r="J11485" s="422">
        <f t="shared" si="2001"/>
        <v>147.57142857142858</v>
      </c>
      <c r="K11485" s="297">
        <f>J11485/POBLA!$B$12*100000</f>
        <v>37.499314811648532</v>
      </c>
      <c r="L11485" s="200">
        <f t="shared" si="2002"/>
        <v>8.85142255005269E-2</v>
      </c>
      <c r="M11485" s="401">
        <f>SUM(C11485,C11461,C11437,C11413,C11389,C11365,C11341)/POBLA!$B$12*100000</f>
        <v>262.49520368153969</v>
      </c>
      <c r="N11485" s="42" t="s">
        <v>21</v>
      </c>
      <c r="O11485" s="42">
        <v>5</v>
      </c>
      <c r="P11485" s="42">
        <v>9</v>
      </c>
      <c r="Q11485" s="42">
        <v>1</v>
      </c>
      <c r="R11485" s="42">
        <v>15</v>
      </c>
    </row>
    <row r="11486" spans="1:18" x14ac:dyDescent="0.25">
      <c r="A11486" s="367" t="s">
        <v>17</v>
      </c>
      <c r="B11486" s="2">
        <v>44371</v>
      </c>
      <c r="C11486" s="547">
        <v>719</v>
      </c>
      <c r="D11486" s="39">
        <f t="shared" si="1997"/>
        <v>136450</v>
      </c>
      <c r="E11486" s="1">
        <v>27</v>
      </c>
      <c r="F11486" s="39">
        <f t="shared" si="1998"/>
        <v>3127</v>
      </c>
      <c r="G11486" s="168">
        <f>SUM(C11486,C11462,C11438,C11414,C11390,C11366,C11342,C11318,C11294,C11270,C11246,C11222,C11198,C11174)/POBLA!$B$13*100000</f>
        <v>414.10051961023703</v>
      </c>
      <c r="H11486" s="256">
        <f t="shared" si="1999"/>
        <v>0.77997539509794644</v>
      </c>
      <c r="I11486" s="297">
        <f t="shared" si="2003"/>
        <v>322.98821639325956</v>
      </c>
      <c r="J11486" s="422">
        <f t="shared" si="2001"/>
        <v>532.57142857142856</v>
      </c>
      <c r="K11486" s="297">
        <f>J11486/POBLA!$B$13*100000</f>
        <v>26.757838546590005</v>
      </c>
      <c r="L11486" s="200">
        <f t="shared" si="2002"/>
        <v>-0.17412494461674788</v>
      </c>
      <c r="M11486" s="401">
        <f>SUM(C11486,C11462,C11438,C11414,C11390,C11366,C11342)/POBLA!$B$13*100000</f>
        <v>187.30486982613004</v>
      </c>
      <c r="N11486" s="42" t="s">
        <v>17</v>
      </c>
      <c r="O11486" s="42">
        <v>14</v>
      </c>
      <c r="P11486" s="42">
        <v>13</v>
      </c>
      <c r="Q11486" s="42">
        <v>0</v>
      </c>
      <c r="R11486" s="42">
        <v>27</v>
      </c>
    </row>
    <row r="11487" spans="1:18" x14ac:dyDescent="0.25">
      <c r="A11487" s="367" t="s">
        <v>23</v>
      </c>
      <c r="B11487" s="2">
        <v>44371</v>
      </c>
      <c r="C11487" s="547">
        <v>201</v>
      </c>
      <c r="D11487" s="39">
        <f t="shared" si="1997"/>
        <v>24527</v>
      </c>
      <c r="E11487" s="1">
        <v>10</v>
      </c>
      <c r="F11487" s="39">
        <f t="shared" si="1998"/>
        <v>398</v>
      </c>
      <c r="G11487" s="168">
        <f>SUM(C11487,C11463,C11439,C11415,C11391,C11367,C11343,C11319,C11295,C11271,C11247,C11223,C11199,C11175)/POBLA!$B$14*100000</f>
        <v>183.38309704160966</v>
      </c>
      <c r="H11487" s="256">
        <f t="shared" si="1999"/>
        <v>0.90634796238244519</v>
      </c>
      <c r="I11487" s="297">
        <f t="shared" si="2003"/>
        <v>166.20889633904514</v>
      </c>
      <c r="J11487" s="422">
        <f t="shared" si="2001"/>
        <v>163.28571428571428</v>
      </c>
      <c r="K11487" s="297">
        <f>J11487/POBLA!$B$14*100000</f>
        <v>12.945888451519968</v>
      </c>
      <c r="L11487" s="200">
        <f t="shared" si="2002"/>
        <v>-2.3076923076923106E-2</v>
      </c>
      <c r="M11487" s="401">
        <f>SUM(C11487,C11463,C11439,C11415,C11391,C11367,C11343)/POBLA!$B$14*100000</f>
        <v>90.621219160639782</v>
      </c>
      <c r="N11487" s="42" t="s">
        <v>23</v>
      </c>
      <c r="O11487" s="42">
        <v>6</v>
      </c>
      <c r="P11487" s="42">
        <v>4</v>
      </c>
      <c r="Q11487" s="42">
        <v>0</v>
      </c>
      <c r="R11487" s="42">
        <v>10</v>
      </c>
    </row>
    <row r="11488" spans="1:18" x14ac:dyDescent="0.25">
      <c r="A11488" s="367" t="s">
        <v>19</v>
      </c>
      <c r="B11488" s="2">
        <v>44371</v>
      </c>
      <c r="C11488" s="547">
        <v>320</v>
      </c>
      <c r="D11488" s="39">
        <f t="shared" si="1997"/>
        <v>100116</v>
      </c>
      <c r="E11488" s="1">
        <v>5</v>
      </c>
      <c r="F11488" s="39">
        <f t="shared" si="1998"/>
        <v>1738</v>
      </c>
      <c r="G11488" s="168">
        <f>SUM(C11488,C11464,C11440,C11416,C11392,C11368,C11344,C11320,C11296,C11272,C11248,C11224,C11200,C11176)/POBLA!$B$15*100000</f>
        <v>605.21913028550262</v>
      </c>
      <c r="H11488" s="256">
        <f t="shared" si="1999"/>
        <v>0.45868523168226433</v>
      </c>
      <c r="I11488" s="297">
        <f t="shared" si="2003"/>
        <v>277.60507699354429</v>
      </c>
      <c r="J11488" s="422">
        <f t="shared" si="2001"/>
        <v>260.14285714285717</v>
      </c>
      <c r="K11488" s="297">
        <f>J11488/POBLA!$B$15*100000</f>
        <v>39.174778240852397</v>
      </c>
      <c r="L11488" s="200">
        <f t="shared" si="2002"/>
        <v>-0.1715195632393085</v>
      </c>
      <c r="M11488" s="401">
        <f>SUM(C11488,C11464,C11440,C11416,C11392,C11368,C11344)/POBLA!$B$15*100000</f>
        <v>274.22344768596673</v>
      </c>
      <c r="N11488" s="42" t="s">
        <v>19</v>
      </c>
      <c r="O11488" s="42">
        <v>2</v>
      </c>
      <c r="P11488" s="42">
        <v>3</v>
      </c>
      <c r="Q11488" s="42">
        <v>0</v>
      </c>
      <c r="R11488" s="42">
        <v>5</v>
      </c>
    </row>
    <row r="11489" spans="1:18" x14ac:dyDescent="0.25">
      <c r="A11489" s="367" t="s">
        <v>18</v>
      </c>
      <c r="B11489" s="2">
        <v>44371</v>
      </c>
      <c r="C11489" s="547">
        <v>358</v>
      </c>
      <c r="D11489" s="39">
        <f t="shared" si="1997"/>
        <v>82724</v>
      </c>
      <c r="E11489" s="1">
        <v>6</v>
      </c>
      <c r="F11489" s="39">
        <f t="shared" si="1998"/>
        <v>1886</v>
      </c>
      <c r="G11489" s="168">
        <f>SUM(C11489,C11465,C11441,C11417,C11393,C11369,C11345,C11321,C11297,C11273,C11249,C11225,C11201,C11177)/POBLA!$B$16*100000</f>
        <v>567.6756597691309</v>
      </c>
      <c r="H11489" s="256">
        <f t="shared" si="1999"/>
        <v>0.69585177898016071</v>
      </c>
      <c r="I11489" s="297">
        <f t="shared" si="2003"/>
        <v>395.01811773408616</v>
      </c>
      <c r="J11489" s="422">
        <f t="shared" si="2001"/>
        <v>255.42857142857142</v>
      </c>
      <c r="K11489" s="297">
        <f>J11489/POBLA!$B$16*100000</f>
        <v>34.166018569651477</v>
      </c>
      <c r="L11489" s="200">
        <f t="shared" si="2002"/>
        <v>-0.2719869706840391</v>
      </c>
      <c r="M11489" s="401">
        <f>SUM(C11489,C11465,C11441,C11417,C11393,C11369,C11345)/POBLA!$B$16*100000</f>
        <v>239.16212998756035</v>
      </c>
      <c r="N11489" s="42" t="s">
        <v>18</v>
      </c>
      <c r="O11489" s="42">
        <v>3</v>
      </c>
      <c r="P11489" s="42">
        <v>3</v>
      </c>
      <c r="Q11489" s="42">
        <v>0</v>
      </c>
      <c r="R11489" s="42">
        <v>6</v>
      </c>
    </row>
    <row r="11490" spans="1:18" x14ac:dyDescent="0.25">
      <c r="A11490" s="367" t="s">
        <v>34</v>
      </c>
      <c r="B11490" s="2">
        <v>44371</v>
      </c>
      <c r="C11490" s="547">
        <v>610</v>
      </c>
      <c r="D11490" s="39">
        <f>C11490+D11466</f>
        <v>58154</v>
      </c>
      <c r="E11490" s="1">
        <v>10</v>
      </c>
      <c r="F11490" s="39">
        <f t="shared" si="1998"/>
        <v>1665</v>
      </c>
      <c r="G11490" s="168">
        <f>SUM(C11490,C11466,C11442,C11418,C11394,C11370,C11346,C11322,C11298,C11274,C11250,C11226,C11202,C11178)/POBLA!$B$17*100000</f>
        <v>482.51997160903881</v>
      </c>
      <c r="H11490" s="256">
        <f t="shared" si="1999"/>
        <v>0.88569587628865976</v>
      </c>
      <c r="I11490" s="297">
        <f t="shared" si="2003"/>
        <v>427.36594908104684</v>
      </c>
      <c r="J11490" s="422">
        <f t="shared" si="2001"/>
        <v>454.57142857142856</v>
      </c>
      <c r="K11490" s="297">
        <f>J11490/POBLA!$B$17*100000</f>
        <v>31.91325371869139</v>
      </c>
      <c r="L11490" s="200">
        <f t="shared" si="2002"/>
        <v>-0.13790300731509075</v>
      </c>
      <c r="M11490" s="401">
        <f>SUM(C11490,C11466,C11442,C11418,C11394,C11370,C11346)/POBLA!$B$17*100000</f>
        <v>223.39277603083971</v>
      </c>
      <c r="N11490" s="42" t="s">
        <v>34</v>
      </c>
      <c r="O11490" s="42">
        <v>5</v>
      </c>
      <c r="P11490" s="42">
        <v>5</v>
      </c>
      <c r="Q11490" s="42">
        <v>0</v>
      </c>
      <c r="R11490" s="42">
        <v>10</v>
      </c>
    </row>
    <row r="11491" spans="1:18" x14ac:dyDescent="0.25">
      <c r="A11491" s="367" t="s">
        <v>35</v>
      </c>
      <c r="B11491" s="2">
        <v>44371</v>
      </c>
      <c r="C11491" s="547">
        <v>447</v>
      </c>
      <c r="D11491" s="39">
        <f t="shared" ref="D11491:D11497" si="2004">C11491+D11467</f>
        <v>48344</v>
      </c>
      <c r="E11491" s="1">
        <v>5</v>
      </c>
      <c r="F11491" s="39">
        <f t="shared" si="1998"/>
        <v>783</v>
      </c>
      <c r="G11491" s="168">
        <f>SUM(C11491,C11467,C11443,C11419,C11395,C11371,C11347,C11323,C11299,C11275,C11251,C11227,C11203,C11179)/POBLA!$B$18*100000</f>
        <v>788.00128517428573</v>
      </c>
      <c r="H11491" s="256">
        <f t="shared" si="1999"/>
        <v>0.85298600526534574</v>
      </c>
      <c r="I11491" s="297">
        <f t="shared" si="2003"/>
        <v>672.15406838477247</v>
      </c>
      <c r="J11491" s="422">
        <f t="shared" si="2001"/>
        <v>393.28571428571428</v>
      </c>
      <c r="K11491" s="297">
        <f>J11491/POBLA!$B$18*100000</f>
        <v>50.342697904130901</v>
      </c>
      <c r="L11491" s="200">
        <f t="shared" si="2002"/>
        <v>-0.19100793417572726</v>
      </c>
      <c r="M11491" s="401">
        <f>SUM(C11491,C11467,C11443,C11419,C11395,C11371,C11347)/POBLA!$B$18*100000</f>
        <v>352.39888532891626</v>
      </c>
      <c r="N11491" s="42" t="s">
        <v>35</v>
      </c>
      <c r="O11491" s="42">
        <v>2</v>
      </c>
      <c r="P11491" s="42">
        <v>3</v>
      </c>
      <c r="Q11491" s="42">
        <v>0</v>
      </c>
      <c r="R11491" s="42">
        <v>5</v>
      </c>
    </row>
    <row r="11492" spans="1:18" x14ac:dyDescent="0.25">
      <c r="A11492" s="367" t="s">
        <v>36</v>
      </c>
      <c r="B11492" s="2">
        <v>44371</v>
      </c>
      <c r="C11492" s="547">
        <v>404</v>
      </c>
      <c r="D11492" s="39">
        <f t="shared" si="2004"/>
        <v>63364</v>
      </c>
      <c r="E11492" s="1">
        <v>4</v>
      </c>
      <c r="F11492" s="39">
        <f t="shared" si="1998"/>
        <v>899</v>
      </c>
      <c r="G11492" s="168">
        <f>SUM(C11492,C11468,C11444,C11420,C11396,C11372,C11348,C11324,C11300,C11276,C11252,C11228,C11204,C11180)/POBLA!$B$19*100000</f>
        <v>1019.2238082497914</v>
      </c>
      <c r="H11492" s="256">
        <f t="shared" si="1999"/>
        <v>0.707400327689787</v>
      </c>
      <c r="I11492" s="297">
        <f t="shared" si="2003"/>
        <v>720.99925594513513</v>
      </c>
      <c r="J11492" s="422">
        <f t="shared" si="2001"/>
        <v>338</v>
      </c>
      <c r="K11492" s="297">
        <f>J11492/POBLA!$B$19*100000</f>
        <v>66.492500904927525</v>
      </c>
      <c r="L11492" s="200">
        <f t="shared" si="2002"/>
        <v>-0.15950266429840143</v>
      </c>
      <c r="M11492" s="401">
        <f>SUM(C11492,C11468,C11444,C11420,C11396,C11372,C11348)/POBLA!$B$19*100000</f>
        <v>465.44750633449274</v>
      </c>
      <c r="N11492" s="42" t="s">
        <v>36</v>
      </c>
      <c r="O11492" s="42">
        <v>1</v>
      </c>
      <c r="P11492" s="42">
        <v>3</v>
      </c>
      <c r="Q11492" s="42">
        <v>0</v>
      </c>
      <c r="R11492" s="42">
        <v>4</v>
      </c>
    </row>
    <row r="11493" spans="1:18" x14ac:dyDescent="0.25">
      <c r="A11493" s="367" t="s">
        <v>37</v>
      </c>
      <c r="B11493" s="2">
        <v>44371</v>
      </c>
      <c r="C11493" s="547">
        <v>120</v>
      </c>
      <c r="D11493" s="39">
        <f t="shared" si="2004"/>
        <v>54837</v>
      </c>
      <c r="E11493" s="1">
        <v>6</v>
      </c>
      <c r="F11493" s="39">
        <f t="shared" ref="F11493:F11498" si="2005">E11493+F11469</f>
        <v>852</v>
      </c>
      <c r="G11493" s="168">
        <f>SUM(C11493,C11469,C11446,C11421,C11397,C11373,C11349,C11325,C11301,C11277,C11253,C11229,C11205,C11181)/POBLA!$B$20*100000</f>
        <v>782.61297573407569</v>
      </c>
      <c r="H11493" s="256">
        <f t="shared" si="1999"/>
        <v>0.60190703218116803</v>
      </c>
      <c r="I11493" s="297">
        <f t="shared" si="2003"/>
        <v>471.06025357056996</v>
      </c>
      <c r="J11493" s="422">
        <f t="shared" si="2001"/>
        <v>90.714285714285708</v>
      </c>
      <c r="K11493" s="297">
        <f>J11493/POBLA!$B$20*100000</f>
        <v>24.805792132930918</v>
      </c>
      <c r="L11493" s="200">
        <f t="shared" si="2002"/>
        <v>-0.27840909090909094</v>
      </c>
      <c r="M11493" s="401">
        <f>SUM(C11493,C11469,C11445,C11421,C11397,C11373,C11349)/POBLA!$B$20*100000</f>
        <v>173.64054493051643</v>
      </c>
      <c r="N11493" s="42" t="s">
        <v>37</v>
      </c>
      <c r="O11493" s="42">
        <v>3</v>
      </c>
      <c r="P11493" s="42">
        <v>3</v>
      </c>
      <c r="Q11493" s="42">
        <v>0</v>
      </c>
      <c r="R11493" s="42">
        <v>6</v>
      </c>
    </row>
    <row r="11494" spans="1:18" x14ac:dyDescent="0.25">
      <c r="A11494" s="367" t="s">
        <v>22</v>
      </c>
      <c r="B11494" s="2">
        <v>44371</v>
      </c>
      <c r="C11494" s="547">
        <v>2074</v>
      </c>
      <c r="D11494" s="39">
        <f t="shared" si="2004"/>
        <v>396027</v>
      </c>
      <c r="E11494" s="1">
        <v>41</v>
      </c>
      <c r="F11494" s="39">
        <f t="shared" si="2005"/>
        <v>6445</v>
      </c>
      <c r="G11494" s="168">
        <f>SUM(C11494,C11470,C11446,C11422,C11398,C11374,C11350,C11326,C11302,C11278,C11254,C11230,C11206,C11182)/POBLA!$B$21*100000</f>
        <v>695.95845287519739</v>
      </c>
      <c r="H11494" s="256">
        <f t="shared" si="1999"/>
        <v>0.64481647410201992</v>
      </c>
      <c r="I11494" s="297">
        <f t="shared" si="2003"/>
        <v>448.76547570448156</v>
      </c>
      <c r="J11494" s="422">
        <f t="shared" si="2001"/>
        <v>1495.4285714285713</v>
      </c>
      <c r="K11494" s="297">
        <f>J11494/POBLA!$B$21*100000</f>
        <v>42.286533193433904</v>
      </c>
      <c r="L11494" s="200">
        <f t="shared" si="2002"/>
        <v>-0.25989819004524883</v>
      </c>
      <c r="M11494" s="401">
        <f>SUM(C11494,C11470,C11446,C11422,C11398,C11374,C11350)/POBLA!$B$21*100000</f>
        <v>296.00573235403732</v>
      </c>
      <c r="N11494" s="42" t="s">
        <v>22</v>
      </c>
      <c r="O11494" s="42">
        <v>22</v>
      </c>
      <c r="P11494" s="42">
        <v>18</v>
      </c>
      <c r="Q11494" s="42">
        <v>1</v>
      </c>
      <c r="R11494" s="42">
        <v>41</v>
      </c>
    </row>
    <row r="11495" spans="1:18" x14ac:dyDescent="0.25">
      <c r="A11495" s="367" t="s">
        <v>38</v>
      </c>
      <c r="B11495" s="2">
        <v>44371</v>
      </c>
      <c r="C11495" s="547">
        <v>609</v>
      </c>
      <c r="D11495" s="39">
        <f t="shared" si="2004"/>
        <v>56271</v>
      </c>
      <c r="E11495" s="1">
        <v>10</v>
      </c>
      <c r="F11495" s="39">
        <f t="shared" si="2005"/>
        <v>760</v>
      </c>
      <c r="G11495" s="168">
        <f>SUM(C11495,C11471,C11447,C11423,C11399,C11375,C11351,C11327,C11303,C11279,C11255,C11231,C11207,C11183)/POBLA!$B$22*100000</f>
        <v>702.12702887521687</v>
      </c>
      <c r="H11495" s="256">
        <f t="shared" si="1999"/>
        <v>0.88792657704239919</v>
      </c>
      <c r="I11495" s="297">
        <f t="shared" si="2003"/>
        <v>623.43724939812114</v>
      </c>
      <c r="J11495" s="422">
        <f t="shared" si="2001"/>
        <v>448.14285714285717</v>
      </c>
      <c r="K11495" s="297">
        <f>J11495/POBLA!$B$22*100000</f>
        <v>45.807717687780617</v>
      </c>
      <c r="L11495" s="200">
        <f t="shared" si="2002"/>
        <v>-0.15943193997856375</v>
      </c>
      <c r="M11495" s="401">
        <f>SUM(C11495,C11471,C11447,C11423,C11399,C11375,C11351)/POBLA!$B$22*100000</f>
        <v>320.65402381446427</v>
      </c>
      <c r="N11495" s="42" t="s">
        <v>38</v>
      </c>
      <c r="O11495" s="42">
        <v>3</v>
      </c>
      <c r="P11495" s="42">
        <v>7</v>
      </c>
      <c r="Q11495" s="42">
        <v>0</v>
      </c>
      <c r="R11495" s="42">
        <v>10</v>
      </c>
    </row>
    <row r="11496" spans="1:18" x14ac:dyDescent="0.25">
      <c r="A11496" s="367" t="s">
        <v>39</v>
      </c>
      <c r="B11496" s="2">
        <v>44371</v>
      </c>
      <c r="C11496" s="547">
        <v>44</v>
      </c>
      <c r="D11496" s="39">
        <f t="shared" si="2004"/>
        <v>29497</v>
      </c>
      <c r="F11496" s="39">
        <f t="shared" si="2005"/>
        <v>435</v>
      </c>
      <c r="G11496" s="168">
        <f>SUM(C11496,C11472,C11448,C11424,C11400,C11376,C11352,C11328,C11304,C11280,C11256,C11232,C11208,C11184)/POBLA!$B$23*100000</f>
        <v>300.85392750098964</v>
      </c>
      <c r="H11496" s="256">
        <f t="shared" si="1999"/>
        <v>0.79760119940029983</v>
      </c>
      <c r="I11496" s="297">
        <f t="shared" si="2003"/>
        <v>239.96145341908019</v>
      </c>
      <c r="J11496" s="422">
        <f t="shared" si="2001"/>
        <v>39.285714285714285</v>
      </c>
      <c r="K11496" s="297">
        <f>J11496/POBLA!$B$23*100000</f>
        <v>22.216656837479096</v>
      </c>
      <c r="L11496" s="200">
        <f t="shared" si="2002"/>
        <v>7.0038910505836549E-2</v>
      </c>
      <c r="M11496" s="401">
        <f>SUM(C11496,C11472,C11448,C11424,C11400,C11376,C11352)/POBLA!$B$23*100000</f>
        <v>155.51659786235368</v>
      </c>
    </row>
    <row r="11497" spans="1:18" ht="15.75" thickBot="1" x14ac:dyDescent="0.3">
      <c r="A11497" s="369" t="s">
        <v>40</v>
      </c>
      <c r="B11497" s="2">
        <v>44371</v>
      </c>
      <c r="C11497" s="547">
        <v>1132</v>
      </c>
      <c r="D11497" s="176">
        <f t="shared" si="2004"/>
        <v>150099</v>
      </c>
      <c r="E11497" s="1">
        <v>35</v>
      </c>
      <c r="F11497" s="176">
        <f t="shared" si="2005"/>
        <v>2241</v>
      </c>
      <c r="G11497" s="177">
        <f>SUM(C11497,C11473,C11449,C11425,C11401,C11377,C11353,C11329,C11305,C11281,C11257,C11233,C11209,C11185)/POBLA!$B$24*100000</f>
        <v>644.96865440537783</v>
      </c>
      <c r="H11497" s="402">
        <f t="shared" si="1999"/>
        <v>0.85370616261813637</v>
      </c>
      <c r="I11497" s="403">
        <f t="shared" si="2003"/>
        <v>550.61371496139805</v>
      </c>
      <c r="J11497" s="428">
        <f t="shared" si="2001"/>
        <v>761.57142857142856</v>
      </c>
      <c r="K11497" s="299">
        <f>J11497/POBLA!$B$24*100000</f>
        <v>44.939588245132256</v>
      </c>
      <c r="L11497" s="260">
        <f t="shared" si="2002"/>
        <v>-4.7865690301839625E-2</v>
      </c>
      <c r="M11497" s="406">
        <f>SUM(C11497,C11473,C11449,C11425,C11401,C11377,C11353)/POBLA!$B$24*100000</f>
        <v>314.57711771592579</v>
      </c>
      <c r="N11497" s="42" t="s">
        <v>40</v>
      </c>
      <c r="O11497" s="42">
        <v>13</v>
      </c>
      <c r="P11497" s="42">
        <v>22</v>
      </c>
      <c r="Q11497" s="42">
        <v>0</v>
      </c>
      <c r="R11497" s="42">
        <v>35</v>
      </c>
    </row>
    <row r="11498" spans="1:18" x14ac:dyDescent="0.25">
      <c r="A11498" s="363" t="s">
        <v>16</v>
      </c>
      <c r="B11498" s="2">
        <v>44372</v>
      </c>
      <c r="C11498" s="1">
        <v>8083</v>
      </c>
      <c r="D11498" s="174">
        <f>C11498+D11474</f>
        <v>1812024</v>
      </c>
      <c r="E11498" s="1">
        <v>213</v>
      </c>
      <c r="F11498" s="174">
        <f t="shared" si="2005"/>
        <v>46509</v>
      </c>
      <c r="G11498" s="175">
        <f>SUM(C11498,C11474,C11426,C11450,C11402,C11378,C11354,C11330,C11306,C11282,C11258,C11234,C11210,C11186)/POBLA!$B$1*100000</f>
        <v>536.99471431191387</v>
      </c>
      <c r="H11498" s="300">
        <f>SUM(C11498,C11474,C11450,C11426,C11402,C11378,C11354,C11330,C11306,C11282,C11258,C11234,C11210,C11186,)/SUM(C11162,C11138,C11114,C11090,C11066,C11042,C11018,C10994,C10970,C10946,C10922,C10898,C10874,C10850)</f>
        <v>0.69788031680410156</v>
      </c>
      <c r="I11498" s="301">
        <f>G11498*H11498</f>
        <v>374.75804134612645</v>
      </c>
      <c r="J11498" s="421">
        <f>AVERAGE(C11498,C11474,C11450,C11426,C11402,C11378,C11354)</f>
        <v>6121.2857142857147</v>
      </c>
      <c r="K11498" s="301">
        <f>J11498/POBLA!$B$1*100000</f>
        <v>34.896736274371861</v>
      </c>
      <c r="L11498" s="399">
        <f t="shared" si="2002"/>
        <v>-0.16548514003038206</v>
      </c>
      <c r="M11498" s="400">
        <f>SUM(C11498,C11474,C11450,C11426,C11402,C11378,C11354)/POBLA!$B$1*100000</f>
        <v>244.27715392060298</v>
      </c>
      <c r="N11498" s="42" t="s">
        <v>16</v>
      </c>
      <c r="O11498" s="42">
        <v>89</v>
      </c>
      <c r="P11498" s="42">
        <v>123</v>
      </c>
      <c r="Q11498" s="42">
        <v>1</v>
      </c>
      <c r="R11498" s="42">
        <v>213</v>
      </c>
    </row>
    <row r="11499" spans="1:18" x14ac:dyDescent="0.25">
      <c r="A11499" s="367" t="s">
        <v>43</v>
      </c>
      <c r="B11499" s="2">
        <v>44372</v>
      </c>
      <c r="C11499" s="1">
        <v>1590</v>
      </c>
      <c r="D11499" s="39">
        <f t="shared" ref="D11499:D11513" si="2006">C11499+D11475</f>
        <v>458037</v>
      </c>
      <c r="E11499" s="1">
        <v>35</v>
      </c>
      <c r="F11499" s="39">
        <f t="shared" ref="F11499:F11516" si="2007">E11499+F11475</f>
        <v>10189</v>
      </c>
      <c r="G11499" s="168">
        <f>SUM(C11499,C11475,C11451,C11427,C11403,C11379,C11355,C11331,C11307,C11283,C11259,C11235,C11211,C11187)/POBLA!$B$2*100000</f>
        <v>623.83642330749376</v>
      </c>
      <c r="H11499" s="256">
        <f t="shared" ref="H11499:H11521" si="2008">SUM(C11499,C11475,C11451,C11427,C11403,C11379,C11355,C11331,C11307,C11283,C11259,C11235,C11211,C11187,)/SUM(C11163,C11139,C11115,C11091,C11067,C11043,C11019,C10995,C10971,C10947,C10923,C10899,C10875,C10851)</f>
        <v>0.71622680951136664</v>
      </c>
      <c r="I11499" s="297">
        <f t="shared" ref="I11499:I11505" si="2009">G11499*H11499</f>
        <v>446.80837112250862</v>
      </c>
      <c r="J11499" s="422">
        <f>AVERAGE(C11499,C11475,C11451,C11427,C11403,C11379,C11355)</f>
        <v>1298.1428571428571</v>
      </c>
      <c r="K11499" s="297">
        <f>J11499/POBLA!$B$2*100000</f>
        <v>42.207160939290709</v>
      </c>
      <c r="L11499" s="200">
        <f>(SUM(C11499,C11475,C11451,C11427,C11403,C11379,C11355)/SUM(C11331,C11307,C11283,C11259,C11235,C11211,C11187))-1</f>
        <v>-0.10029702970297028</v>
      </c>
      <c r="M11499" s="401">
        <f>SUM(C11499,C11475,C11451,C11427,C11403,C11379,C11355)/POBLA!$B$2*100000</f>
        <v>295.45012657503497</v>
      </c>
      <c r="N11499" s="42" t="s">
        <v>43</v>
      </c>
      <c r="O11499" s="42">
        <v>10</v>
      </c>
      <c r="P11499" s="42">
        <v>24</v>
      </c>
      <c r="Q11499" s="42">
        <v>1</v>
      </c>
      <c r="R11499" s="42">
        <v>35</v>
      </c>
    </row>
    <row r="11500" spans="1:18" x14ac:dyDescent="0.25">
      <c r="A11500" s="367" t="s">
        <v>28</v>
      </c>
      <c r="B11500" s="2">
        <v>44372</v>
      </c>
      <c r="C11500" s="1">
        <v>406</v>
      </c>
      <c r="D11500" s="39">
        <f t="shared" si="2006"/>
        <v>32678</v>
      </c>
      <c r="E11500" s="1">
        <v>2</v>
      </c>
      <c r="F11500" s="39">
        <f t="shared" si="2007"/>
        <v>306</v>
      </c>
      <c r="G11500" s="168">
        <f>SUM(C11500,C11476,C11452,C11428,C11404,C11380,C11356,C11332,C11308,C11284,C11260,C11236,C11212,C11188)/POBLA!$B$3*100000</f>
        <v>1018.2024754596354</v>
      </c>
      <c r="H11500" s="256">
        <f t="shared" si="2008"/>
        <v>0.72618025751072957</v>
      </c>
      <c r="I11500" s="297">
        <f t="shared" si="2009"/>
        <v>739.39853582734031</v>
      </c>
      <c r="J11500" s="422">
        <f t="shared" ref="J11500:J11521" si="2010">AVERAGE(C11500,C11476,C11452,C11428,C11404,C11380,C11356)</f>
        <v>298.85714285714283</v>
      </c>
      <c r="K11500" s="297">
        <f>J11500/POBLA!$B$3*100000</f>
        <v>71.937844601876293</v>
      </c>
      <c r="L11500" s="200">
        <f t="shared" ref="L11500:L11522" si="2011">(SUM(C11500,C11476,C11452,C11428,C11404,C11380,C11356)/SUM(C11332,C11308,C11284,C11260,C11236,C11212,C11188))-1</f>
        <v>-2.1515434985968196E-2</v>
      </c>
      <c r="M11500" s="401">
        <f>SUM(C11500,C11476,C11452,C11428,C11404,C11380,C11356)/POBLA!$B$3*100000</f>
        <v>503.56491221313411</v>
      </c>
      <c r="N11500" s="42" t="s">
        <v>28</v>
      </c>
      <c r="O11500" s="42">
        <v>0</v>
      </c>
      <c r="P11500" s="42">
        <v>2</v>
      </c>
      <c r="Q11500" s="42">
        <v>0</v>
      </c>
      <c r="R11500" s="42">
        <v>2</v>
      </c>
    </row>
    <row r="11501" spans="1:18" x14ac:dyDescent="0.25">
      <c r="A11501" s="367" t="s">
        <v>15</v>
      </c>
      <c r="B11501" s="2">
        <v>44372</v>
      </c>
      <c r="C11501" s="1">
        <v>561</v>
      </c>
      <c r="D11501" s="39">
        <f t="shared" si="2006"/>
        <v>74248</v>
      </c>
      <c r="E11501" s="1">
        <v>13</v>
      </c>
      <c r="F11501" s="39">
        <f t="shared" si="2007"/>
        <v>1594</v>
      </c>
      <c r="G11501" s="168">
        <f>SUM(C11501,C11477,C11453,C11429,C11405,C11381,C11357,C11333,C11309,C11285,C11261,C11237,C11213,C11189)/POBLA!$B$4*100000</f>
        <v>640.74199217793341</v>
      </c>
      <c r="H11501" s="256">
        <f t="shared" si="2008"/>
        <v>0.78315575849822427</v>
      </c>
      <c r="I11501" s="297">
        <f t="shared" si="2009"/>
        <v>501.80078088577272</v>
      </c>
      <c r="J11501" s="422">
        <f t="shared" si="2010"/>
        <v>517.85714285714289</v>
      </c>
      <c r="K11501" s="297">
        <f>J11501/POBLA!$B$4*100000</f>
        <v>42.992072736182735</v>
      </c>
      <c r="L11501" s="200">
        <f t="shared" si="2011"/>
        <v>-0.11434155875885654</v>
      </c>
      <c r="M11501" s="401">
        <f>SUM(C11501,C11477,C11453,C11429,C11405,C11381,C11357)/POBLA!$B$4*100000</f>
        <v>300.94450915327911</v>
      </c>
      <c r="N11501" s="42" t="s">
        <v>15</v>
      </c>
      <c r="O11501" s="42">
        <v>6</v>
      </c>
      <c r="P11501" s="42">
        <v>7</v>
      </c>
      <c r="Q11501" s="42">
        <v>0</v>
      </c>
      <c r="R11501" s="42">
        <v>13</v>
      </c>
    </row>
    <row r="11502" spans="1:18" x14ac:dyDescent="0.25">
      <c r="A11502" s="367" t="s">
        <v>29</v>
      </c>
      <c r="B11502" s="2">
        <v>44372</v>
      </c>
      <c r="C11502" s="1">
        <v>283</v>
      </c>
      <c r="D11502" s="39">
        <f t="shared" si="2006"/>
        <v>69722</v>
      </c>
      <c r="E11502" s="1">
        <v>2</v>
      </c>
      <c r="F11502" s="39">
        <f t="shared" si="2007"/>
        <v>1188</v>
      </c>
      <c r="G11502" s="168">
        <f>SUM(C11502,C11478,C11454,C11430,C11406,C11382,C11358,C11334,C11310,C11286,C11262,C11238,C11214,C11190)/POBLA!$B$5*100000</f>
        <v>488.69617476098313</v>
      </c>
      <c r="H11502" s="256">
        <f t="shared" si="2008"/>
        <v>0.62551695616211744</v>
      </c>
      <c r="I11502" s="297">
        <f t="shared" si="2009"/>
        <v>305.68774372456039</v>
      </c>
      <c r="J11502" s="422">
        <f t="shared" si="2010"/>
        <v>223.28571428571428</v>
      </c>
      <c r="K11502" s="297">
        <f>J11502/POBLA!$B$5*100000</f>
        <v>36.072355190149544</v>
      </c>
      <c r="L11502" s="200">
        <f t="shared" si="2011"/>
        <v>6.9083447332421333E-2</v>
      </c>
      <c r="M11502" s="401">
        <f>SUM(C11502,C11478,C11454,C11430,C11406,C11382,C11358)/POBLA!$B$5*100000</f>
        <v>252.50648633104683</v>
      </c>
      <c r="N11502" s="42" t="s">
        <v>29</v>
      </c>
      <c r="O11502" s="42">
        <v>2</v>
      </c>
      <c r="P11502" s="42">
        <v>0</v>
      </c>
      <c r="Q11502" s="42">
        <v>0</v>
      </c>
      <c r="R11502" s="42">
        <v>2</v>
      </c>
    </row>
    <row r="11503" spans="1:18" x14ac:dyDescent="0.25">
      <c r="A11503" s="367" t="s">
        <v>30</v>
      </c>
      <c r="B11503" s="2">
        <v>44372</v>
      </c>
      <c r="C11503" s="1">
        <v>666</v>
      </c>
      <c r="D11503" s="39">
        <f t="shared" si="2006"/>
        <v>63729</v>
      </c>
      <c r="E11503" s="1">
        <v>1</v>
      </c>
      <c r="F11503" s="39">
        <f t="shared" si="2007"/>
        <v>707</v>
      </c>
      <c r="G11503" s="168">
        <f>SUM(C11503,C11479,C11455,C11431,C11407,C11383,C11359,C11335,C11311,C11287,C11263,C11239,C11215,C11191)/POBLA!$B$6*100000</f>
        <v>605.45984523568404</v>
      </c>
      <c r="H11503" s="256">
        <f t="shared" si="2008"/>
        <v>0.94263092096124457</v>
      </c>
      <c r="I11503" s="297">
        <f t="shared" si="2009"/>
        <v>570.72517151956549</v>
      </c>
      <c r="J11503" s="422">
        <f t="shared" si="2010"/>
        <v>557.42857142857144</v>
      </c>
      <c r="K11503" s="297">
        <f>J11503/POBLA!$B$6*100000</f>
        <v>49.734838872250414</v>
      </c>
      <c r="L11503" s="200">
        <f t="shared" si="2011"/>
        <v>0.35298196948682392</v>
      </c>
      <c r="M11503" s="401">
        <f>SUM(C11503,C11479,C11455,C11431,C11407,C11383,C11359)/POBLA!$B$6*100000</f>
        <v>348.14387210575296</v>
      </c>
      <c r="N11503" s="42" t="s">
        <v>30</v>
      </c>
      <c r="O11503" s="42">
        <v>1</v>
      </c>
      <c r="P11503" s="42">
        <v>0</v>
      </c>
      <c r="Q11503" s="42">
        <v>0</v>
      </c>
      <c r="R11503" s="42">
        <v>1</v>
      </c>
    </row>
    <row r="11504" spans="1:18" x14ac:dyDescent="0.25">
      <c r="A11504" s="367" t="s">
        <v>20</v>
      </c>
      <c r="B11504" s="2">
        <v>44372</v>
      </c>
      <c r="C11504" s="1">
        <v>3070</v>
      </c>
      <c r="D11504" s="39">
        <f t="shared" si="2006"/>
        <v>399300</v>
      </c>
      <c r="E11504" s="1">
        <v>56</v>
      </c>
      <c r="F11504" s="39">
        <f t="shared" si="2007"/>
        <v>5065</v>
      </c>
      <c r="G11504" s="168">
        <f>SUM(C11504,C11480,C11456,C11432,C11408,C11384,C11360,C11336,C11312,C11288,C11264,C11240,C11216,C11192)/POBLA!$B$7*100000</f>
        <v>1037.5354013482429</v>
      </c>
      <c r="H11504" s="256">
        <f t="shared" si="2008"/>
        <v>0.66352613050798459</v>
      </c>
      <c r="I11504" s="297">
        <f t="shared" si="2009"/>
        <v>688.43185012164838</v>
      </c>
      <c r="J11504" s="422">
        <f t="shared" si="2010"/>
        <v>2589.2857142857142</v>
      </c>
      <c r="K11504" s="297">
        <f>J11504/POBLA!$B$7*100000</f>
        <v>68.855741049228527</v>
      </c>
      <c r="L11504" s="200">
        <f t="shared" si="2011"/>
        <v>-0.13240151261308697</v>
      </c>
      <c r="M11504" s="401">
        <f>SUM(C11504,C11480,C11456,C11432,C11408,C11384,C11360)/POBLA!$B$7*100000</f>
        <v>481.99018734459975</v>
      </c>
      <c r="N11504" s="42" t="s">
        <v>20</v>
      </c>
      <c r="O11504" s="42">
        <v>25</v>
      </c>
      <c r="P11504" s="42">
        <v>31</v>
      </c>
      <c r="Q11504" s="42">
        <v>0</v>
      </c>
      <c r="R11504" s="42">
        <v>56</v>
      </c>
    </row>
    <row r="11505" spans="1:18" x14ac:dyDescent="0.25">
      <c r="A11505" s="367" t="s">
        <v>31</v>
      </c>
      <c r="B11505" s="2">
        <v>44372</v>
      </c>
      <c r="C11505" s="1">
        <v>917</v>
      </c>
      <c r="D11505" s="39">
        <f t="shared" si="2006"/>
        <v>106766</v>
      </c>
      <c r="E11505" s="1">
        <v>25</v>
      </c>
      <c r="F11505" s="39">
        <f t="shared" si="2007"/>
        <v>1762</v>
      </c>
      <c r="G11505" s="168">
        <f>SUM(C11505,C11481,C11457,C11433,C11409,C11385,C11361,C11337,C11313,C11289,C11265,C11241,C11217,C11193)/POBLA!$B$8*100000</f>
        <v>737.89955128607517</v>
      </c>
      <c r="H11505" s="256">
        <f t="shared" si="2008"/>
        <v>0.76389303854197788</v>
      </c>
      <c r="I11505" s="297">
        <f t="shared" si="2009"/>
        <v>563.67633037068197</v>
      </c>
      <c r="J11505" s="422">
        <f t="shared" si="2010"/>
        <v>649.42857142857144</v>
      </c>
      <c r="K11505" s="297">
        <f>J11505/POBLA!$B$8*100000</f>
        <v>46.857636789821029</v>
      </c>
      <c r="L11505" s="200">
        <f t="shared" si="2011"/>
        <v>-0.19978876958281988</v>
      </c>
      <c r="M11505" s="401">
        <f>SUM(C11505,C11481,C11457,C11433,C11409,C11385,C11361)/POBLA!$B$8*100000</f>
        <v>328.00345752874722</v>
      </c>
      <c r="N11505" s="42" t="s">
        <v>31</v>
      </c>
      <c r="O11505" s="42">
        <v>14</v>
      </c>
      <c r="P11505" s="42">
        <v>10</v>
      </c>
      <c r="Q11505" s="42">
        <v>1</v>
      </c>
      <c r="R11505" s="42">
        <v>25</v>
      </c>
    </row>
    <row r="11506" spans="1:18" x14ac:dyDescent="0.25">
      <c r="A11506" s="367" t="s">
        <v>41</v>
      </c>
      <c r="B11506" s="2">
        <v>44372</v>
      </c>
      <c r="C11506" s="1">
        <v>456</v>
      </c>
      <c r="D11506" s="39">
        <f t="shared" si="2006"/>
        <v>43746</v>
      </c>
      <c r="E11506" s="1">
        <v>8</v>
      </c>
      <c r="F11506" s="39">
        <f t="shared" si="2007"/>
        <v>785</v>
      </c>
      <c r="G11506" s="168">
        <f>SUM(C11506,C11482,C11458,C11434,C11410,C11386,C11362,C11338,C11314,C11290,C11266,C11242,C11218,C11194)/POBLA!$B$9*100000</f>
        <v>1076.3508500594025</v>
      </c>
      <c r="H11506" s="256">
        <f t="shared" si="2008"/>
        <v>0.69423425343706702</v>
      </c>
      <c r="I11506" s="297">
        <f>G11506*H11506</f>
        <v>747.23962882734179</v>
      </c>
      <c r="J11506" s="422">
        <f t="shared" si="2010"/>
        <v>452.14285714285717</v>
      </c>
      <c r="K11506" s="297">
        <f>J11506/POBLA!$B$9*100000</f>
        <v>74.710523278170299</v>
      </c>
      <c r="L11506" s="200">
        <f t="shared" si="2011"/>
        <v>-5.494177366378028E-2</v>
      </c>
      <c r="M11506" s="401">
        <f>SUM(C11506,C11482,C11458,C11434,C11410,C11386,C11362)/POBLA!$B$9*100000</f>
        <v>522.973662947192</v>
      </c>
      <c r="N11506" s="42" t="s">
        <v>41</v>
      </c>
      <c r="O11506" s="42">
        <v>2</v>
      </c>
      <c r="P11506" s="42">
        <v>6</v>
      </c>
      <c r="Q11506" s="42">
        <v>0</v>
      </c>
      <c r="R11506" s="42">
        <v>8</v>
      </c>
    </row>
    <row r="11507" spans="1:18" x14ac:dyDescent="0.25">
      <c r="A11507" s="367" t="s">
        <v>32</v>
      </c>
      <c r="B11507" s="2">
        <v>44372</v>
      </c>
      <c r="C11507" s="1">
        <v>296</v>
      </c>
      <c r="D11507" s="39">
        <f t="shared" si="2006"/>
        <v>34530</v>
      </c>
      <c r="E11507" s="1">
        <v>5</v>
      </c>
      <c r="F11507" s="39">
        <f t="shared" si="2007"/>
        <v>1155</v>
      </c>
      <c r="G11507" s="168">
        <f>SUM(C11507,C11483,C11459,C11435,C11411,C11387,C11363,C11339,C11315,C11291,C11267,C11243,C11219,C11195)/POBLA!$B$10*100000</f>
        <v>438.45937310687384</v>
      </c>
      <c r="H11507" s="256">
        <f t="shared" si="2008"/>
        <v>1.0412815773259396</v>
      </c>
      <c r="I11507" s="297">
        <f t="shared" ref="I11507:I11521" si="2012">G11507*H11507</f>
        <v>456.55966762206828</v>
      </c>
      <c r="J11507" s="422">
        <f t="shared" si="2010"/>
        <v>239.28571428571428</v>
      </c>
      <c r="K11507" s="297">
        <f>J11507/POBLA!$B$10*100000</f>
        <v>31.040551561877162</v>
      </c>
      <c r="L11507" s="200">
        <f t="shared" si="2011"/>
        <v>-1.7595307917888547E-2</v>
      </c>
      <c r="M11507" s="401">
        <f>SUM(C11507,C11483,C11459,C11435,C11411,C11387,C11363)/POBLA!$B$10*100000</f>
        <v>217.28386093314012</v>
      </c>
      <c r="N11507" s="42" t="s">
        <v>32</v>
      </c>
      <c r="O11507" s="42">
        <v>3</v>
      </c>
      <c r="P11507" s="42">
        <v>2</v>
      </c>
      <c r="Q11507" s="42">
        <v>0</v>
      </c>
      <c r="R11507" s="42">
        <v>5</v>
      </c>
    </row>
    <row r="11508" spans="1:18" x14ac:dyDescent="0.25">
      <c r="A11508" s="367" t="s">
        <v>33</v>
      </c>
      <c r="B11508" s="2">
        <v>44372</v>
      </c>
      <c r="C11508" s="1">
        <v>352</v>
      </c>
      <c r="D11508" s="39">
        <f t="shared" si="2006"/>
        <v>50914</v>
      </c>
      <c r="E11508" s="1">
        <v>6</v>
      </c>
      <c r="F11508" s="39">
        <f t="shared" si="2007"/>
        <v>712</v>
      </c>
      <c r="G11508" s="168">
        <f>SUM(C11508,C11484,C11460,C11436,C11412,C11388,C11364,C11340,C11316,C11292,C11268,C11244,C11220,C11196)/POBLA!$B$11*100000</f>
        <v>1076.0878056401843</v>
      </c>
      <c r="H11508" s="256">
        <f t="shared" si="2008"/>
        <v>0.72472754603532508</v>
      </c>
      <c r="I11508" s="297">
        <f t="shared" si="2012"/>
        <v>779.87047470014863</v>
      </c>
      <c r="J11508" s="422">
        <f t="shared" si="2010"/>
        <v>284.85714285714283</v>
      </c>
      <c r="K11508" s="297">
        <f>J11508/POBLA!$B$11*100000</f>
        <v>79.474020683970792</v>
      </c>
      <c r="L11508" s="200">
        <f t="shared" si="2011"/>
        <v>7.0316693505099392E-2</v>
      </c>
      <c r="M11508" s="401">
        <f>SUM(C11508,C11484,C11460,C11436,C11412,C11388,C11364)/POBLA!$B$11*100000</f>
        <v>556.31814478779552</v>
      </c>
      <c r="N11508" s="42" t="s">
        <v>33</v>
      </c>
      <c r="O11508" s="42">
        <v>1</v>
      </c>
      <c r="P11508" s="42">
        <v>5</v>
      </c>
      <c r="Q11508" s="42">
        <v>0</v>
      </c>
      <c r="R11508" s="42">
        <v>6</v>
      </c>
    </row>
    <row r="11509" spans="1:18" x14ac:dyDescent="0.25">
      <c r="A11509" s="367" t="s">
        <v>21</v>
      </c>
      <c r="B11509" s="2">
        <v>44372</v>
      </c>
      <c r="C11509" s="1">
        <v>164</v>
      </c>
      <c r="D11509" s="39">
        <f t="shared" si="2006"/>
        <v>21304</v>
      </c>
      <c r="E11509" s="1">
        <v>15</v>
      </c>
      <c r="F11509" s="39">
        <f t="shared" si="2007"/>
        <v>631</v>
      </c>
      <c r="G11509" s="168">
        <f>SUM(C11509,C11485,C11461,C11437,C11413,C11389,C11365,C11341,C11317,C11293,C11269,C11245,C11221,C11197)/POBLA!$B$12*100000</f>
        <v>511.01438006154535</v>
      </c>
      <c r="H11509" s="256">
        <f t="shared" si="2008"/>
        <v>0.86087328767123283</v>
      </c>
      <c r="I11509" s="297">
        <f t="shared" si="2012"/>
        <v>439.91862941085947</v>
      </c>
      <c r="J11509" s="422">
        <f t="shared" si="2010"/>
        <v>149.85714285714286</v>
      </c>
      <c r="K11509" s="297">
        <f>J11509/POBLA!$B$12*100000</f>
        <v>38.080136725478518</v>
      </c>
      <c r="L11509" s="200">
        <f t="shared" si="2011"/>
        <v>9.0436590436590469E-2</v>
      </c>
      <c r="M11509" s="401">
        <f>SUM(C11509,C11485,C11461,C11437,C11413,C11389,C11365)/POBLA!$B$12*100000</f>
        <v>266.56095707834965</v>
      </c>
      <c r="N11509" s="42" t="s">
        <v>21</v>
      </c>
      <c r="O11509" s="42">
        <v>4</v>
      </c>
      <c r="P11509" s="42">
        <v>11</v>
      </c>
      <c r="Q11509" s="42">
        <v>0</v>
      </c>
      <c r="R11509" s="42">
        <v>15</v>
      </c>
    </row>
    <row r="11510" spans="1:18" x14ac:dyDescent="0.25">
      <c r="A11510" s="367" t="s">
        <v>17</v>
      </c>
      <c r="B11510" s="2">
        <v>44372</v>
      </c>
      <c r="C11510" s="1">
        <v>766</v>
      </c>
      <c r="D11510" s="39">
        <f t="shared" si="2006"/>
        <v>137216</v>
      </c>
      <c r="E11510" s="1">
        <v>32</v>
      </c>
      <c r="F11510" s="39">
        <f t="shared" si="2007"/>
        <v>3159</v>
      </c>
      <c r="G11510" s="168">
        <f>SUM(C11510,C11486,C11462,C11438,C11414,C11390,C11366,C11342,C11318,C11294,C11270,C11246,C11222,C11198)/POBLA!$B$13*100000</f>
        <v>415.6580440106153</v>
      </c>
      <c r="H11510" s="256">
        <f t="shared" si="2008"/>
        <v>0.81307125307125305</v>
      </c>
      <c r="I11510" s="297">
        <f t="shared" si="2012"/>
        <v>337.95960669285705</v>
      </c>
      <c r="J11510" s="422">
        <f t="shared" si="2010"/>
        <v>549.14285714285711</v>
      </c>
      <c r="K11510" s="297">
        <f>J11510/POBLA!$B$13*100000</f>
        <v>27.59043223527145</v>
      </c>
      <c r="L11510" s="200">
        <f t="shared" si="2011"/>
        <v>-0.13208399187175435</v>
      </c>
      <c r="M11510" s="401">
        <f>SUM(C11510,C11486,C11462,C11438,C11414,C11390,C11366)/POBLA!$B$13*100000</f>
        <v>193.13302564690019</v>
      </c>
      <c r="N11510" s="42" t="s">
        <v>17</v>
      </c>
      <c r="O11510" s="42">
        <v>20</v>
      </c>
      <c r="P11510" s="42">
        <v>12</v>
      </c>
      <c r="Q11510" s="42">
        <v>0</v>
      </c>
      <c r="R11510" s="42">
        <v>32</v>
      </c>
    </row>
    <row r="11511" spans="1:18" x14ac:dyDescent="0.25">
      <c r="A11511" s="367" t="s">
        <v>23</v>
      </c>
      <c r="B11511" s="2">
        <v>44372</v>
      </c>
      <c r="C11511" s="1">
        <v>188</v>
      </c>
      <c r="D11511" s="39">
        <f t="shared" si="2006"/>
        <v>24715</v>
      </c>
      <c r="E11511" s="1">
        <v>10</v>
      </c>
      <c r="F11511" s="39">
        <f t="shared" si="2007"/>
        <v>408</v>
      </c>
      <c r="G11511" s="168">
        <f>SUM(C11511,C11487,C11463,C11439,C11415,C11391,C11367,C11343,C11319,C11295,C11271,C11247,C11223,C11199)/POBLA!$B$14*100000</f>
        <v>183.30381338530114</v>
      </c>
      <c r="H11511" s="256">
        <f t="shared" si="2008"/>
        <v>0.91491887613771272</v>
      </c>
      <c r="I11511" s="297">
        <f t="shared" si="2012"/>
        <v>167.70811893423675</v>
      </c>
      <c r="J11511" s="422">
        <f t="shared" si="2010"/>
        <v>165.85714285714286</v>
      </c>
      <c r="K11511" s="297">
        <f>J11511/POBLA!$B$14*100000</f>
        <v>13.149760710599024</v>
      </c>
      <c r="L11511" s="200">
        <f t="shared" si="2011"/>
        <v>8.6880973066898459E-3</v>
      </c>
      <c r="M11511" s="401">
        <f>SUM(C11511,C11487,C11463,C11439,C11415,C11391,C11367)/POBLA!$B$14*100000</f>
        <v>92.048324974193164</v>
      </c>
      <c r="N11511" s="42" t="s">
        <v>23</v>
      </c>
      <c r="O11511" s="42">
        <v>2</v>
      </c>
      <c r="P11511" s="42">
        <v>8</v>
      </c>
      <c r="Q11511" s="42">
        <v>0</v>
      </c>
      <c r="R11511" s="42">
        <v>10</v>
      </c>
    </row>
    <row r="11512" spans="1:18" x14ac:dyDescent="0.25">
      <c r="A11512" s="367" t="s">
        <v>19</v>
      </c>
      <c r="B11512" s="2">
        <v>44372</v>
      </c>
      <c r="C11512" s="1">
        <v>300</v>
      </c>
      <c r="D11512" s="39">
        <f t="shared" si="2006"/>
        <v>100416</v>
      </c>
      <c r="E11512" s="1">
        <v>6</v>
      </c>
      <c r="F11512" s="39">
        <f t="shared" si="2007"/>
        <v>1744</v>
      </c>
      <c r="G11512" s="168">
        <f>SUM(C11512,C11488,C11464,C11440,C11416,C11392,C11368,C11344,C11320,C11296,C11272,C11248,C11224,C11200)/POBLA!$B$15*100000</f>
        <v>591.66607685786005</v>
      </c>
      <c r="H11512" s="256">
        <f t="shared" si="2008"/>
        <v>0.48120024494794855</v>
      </c>
      <c r="I11512" s="297">
        <f t="shared" si="2012"/>
        <v>284.70986111139399</v>
      </c>
      <c r="J11512" s="422">
        <f t="shared" si="2010"/>
        <v>260.14285714285717</v>
      </c>
      <c r="K11512" s="297">
        <f>J11512/POBLA!$B$15*100000</f>
        <v>39.174778240852397</v>
      </c>
      <c r="L11512" s="200">
        <f t="shared" si="2011"/>
        <v>-0.13614800759013279</v>
      </c>
      <c r="M11512" s="401">
        <f>SUM(C11512,C11488,C11464,C11440,C11416,C11392,C11368)/POBLA!$B$15*100000</f>
        <v>274.22344768596673</v>
      </c>
      <c r="N11512" s="42" t="s">
        <v>19</v>
      </c>
      <c r="O11512" s="42">
        <v>3</v>
      </c>
      <c r="P11512" s="42">
        <v>3</v>
      </c>
      <c r="Q11512" s="42">
        <v>0</v>
      </c>
      <c r="R11512" s="42">
        <v>6</v>
      </c>
    </row>
    <row r="11513" spans="1:18" x14ac:dyDescent="0.25">
      <c r="A11513" s="367" t="s">
        <v>18</v>
      </c>
      <c r="B11513" s="2">
        <v>44372</v>
      </c>
      <c r="C11513" s="1">
        <v>409</v>
      </c>
      <c r="D11513" s="39">
        <f t="shared" si="2006"/>
        <v>83133</v>
      </c>
      <c r="E11513" s="1">
        <v>9</v>
      </c>
      <c r="F11513" s="39">
        <f t="shared" si="2007"/>
        <v>1895</v>
      </c>
      <c r="G11513" s="168">
        <f>SUM(C11513,C11489,C11465,C11441,C11417,C11393,C11369,C11345,C11321,C11297,C11273,C11249,C11225,C11201)/POBLA!$B$16*100000</f>
        <v>565.00046815853182</v>
      </c>
      <c r="H11513" s="256">
        <f t="shared" si="2008"/>
        <v>0.71255060728744934</v>
      </c>
      <c r="I11513" s="297">
        <f t="shared" si="2012"/>
        <v>402.59142670405504</v>
      </c>
      <c r="J11513" s="422">
        <f t="shared" si="2010"/>
        <v>266.57142857142856</v>
      </c>
      <c r="K11513" s="297">
        <f>J11513/POBLA!$B$16*100000</f>
        <v>35.656482466985267</v>
      </c>
      <c r="L11513" s="200">
        <f t="shared" si="2011"/>
        <v>-0.20865139949109412</v>
      </c>
      <c r="M11513" s="401">
        <f>SUM(C11513,C11489,C11465,C11441,C11417,C11393,C11369)/POBLA!$B$16*100000</f>
        <v>249.59537726889687</v>
      </c>
      <c r="N11513" s="42" t="s">
        <v>18</v>
      </c>
      <c r="O11513" s="42">
        <v>2</v>
      </c>
      <c r="P11513" s="42">
        <v>7</v>
      </c>
      <c r="Q11513" s="42">
        <v>0</v>
      </c>
      <c r="R11513" s="42">
        <v>9</v>
      </c>
    </row>
    <row r="11514" spans="1:18" x14ac:dyDescent="0.25">
      <c r="A11514" s="367" t="s">
        <v>34</v>
      </c>
      <c r="B11514" s="2">
        <v>44372</v>
      </c>
      <c r="C11514" s="1">
        <v>666</v>
      </c>
      <c r="D11514" s="39">
        <f>C11514+D11490</f>
        <v>58820</v>
      </c>
      <c r="E11514" s="1">
        <v>21</v>
      </c>
      <c r="F11514" s="39">
        <f t="shared" si="2007"/>
        <v>1686</v>
      </c>
      <c r="G11514" s="168">
        <f>SUM(C11514,C11490,C11466,C11442,C11418,C11394,C11370,C11346,C11322,C11298,C11274,C11250,C11226,C11202)/POBLA!$B$17*100000</f>
        <v>484.76653629570967</v>
      </c>
      <c r="H11514" s="256">
        <f t="shared" si="2008"/>
        <v>0.89004898169631352</v>
      </c>
      <c r="I11514" s="297">
        <f t="shared" si="2012"/>
        <v>431.46596199044541</v>
      </c>
      <c r="J11514" s="422">
        <f t="shared" si="2010"/>
        <v>482.42857142857144</v>
      </c>
      <c r="K11514" s="297">
        <f>J11514/POBLA!$B$17*100000</f>
        <v>33.86896851289152</v>
      </c>
      <c r="L11514" s="200">
        <f t="shared" si="2011"/>
        <v>-4.2800453514739267E-2</v>
      </c>
      <c r="M11514" s="401">
        <f>SUM(C11514,C11490,C11466,C11442,C11418,C11394,C11370)/POBLA!$B$17*100000</f>
        <v>237.08277959024062</v>
      </c>
      <c r="N11514" s="42" t="s">
        <v>34</v>
      </c>
      <c r="O11514" s="42">
        <v>8</v>
      </c>
      <c r="P11514" s="42">
        <v>12</v>
      </c>
      <c r="Q11514" s="42">
        <v>1</v>
      </c>
      <c r="R11514" s="42">
        <v>21</v>
      </c>
    </row>
    <row r="11515" spans="1:18" x14ac:dyDescent="0.25">
      <c r="A11515" s="367" t="s">
        <v>35</v>
      </c>
      <c r="B11515" s="2">
        <v>44372</v>
      </c>
      <c r="C11515" s="1">
        <v>441</v>
      </c>
      <c r="D11515" s="39">
        <f t="shared" ref="D11515:D11521" si="2013">C11515+D11491</f>
        <v>48785</v>
      </c>
      <c r="E11515" s="1">
        <v>10</v>
      </c>
      <c r="F11515" s="39">
        <f t="shared" si="2007"/>
        <v>793</v>
      </c>
      <c r="G11515" s="168">
        <f>SUM(C11515,C11491,C11467,C11443,C11419,C11395,C11371,C11347,C11323,C11299,C11275,C11251,C11227,C11203)/POBLA!$B$18*100000</f>
        <v>774.30470663080814</v>
      </c>
      <c r="H11515" s="256">
        <f t="shared" si="2008"/>
        <v>0.88383985973115142</v>
      </c>
      <c r="I11515" s="297">
        <f t="shared" si="2012"/>
        <v>684.36136329774376</v>
      </c>
      <c r="J11515" s="422">
        <f t="shared" si="2010"/>
        <v>399</v>
      </c>
      <c r="K11515" s="297">
        <f>J11515/POBLA!$B$18*100000</f>
        <v>51.074157372407413</v>
      </c>
      <c r="L11515" s="200">
        <f t="shared" si="2011"/>
        <v>-0.14219901719901717</v>
      </c>
      <c r="M11515" s="401">
        <f>SUM(C11515,C11491,C11467,C11443,C11419,C11395,C11371)/POBLA!$B$18*100000</f>
        <v>357.51910160685185</v>
      </c>
      <c r="N11515" s="42" t="s">
        <v>35</v>
      </c>
      <c r="O11515" s="42">
        <v>4</v>
      </c>
      <c r="P11515" s="42">
        <v>6</v>
      </c>
      <c r="Q11515" s="42">
        <v>0</v>
      </c>
      <c r="R11515" s="42">
        <v>10</v>
      </c>
    </row>
    <row r="11516" spans="1:18" x14ac:dyDescent="0.25">
      <c r="A11516" s="367" t="s">
        <v>36</v>
      </c>
      <c r="B11516" s="2">
        <v>44372</v>
      </c>
      <c r="C11516" s="1">
        <v>458</v>
      </c>
      <c r="D11516" s="39">
        <f t="shared" si="2013"/>
        <v>63822</v>
      </c>
      <c r="E11516" s="1">
        <v>4</v>
      </c>
      <c r="F11516" s="39">
        <f t="shared" si="2007"/>
        <v>903</v>
      </c>
      <c r="G11516" s="168">
        <f>SUM(C11516,C11492,C11468,C11444,C11420,C11396,C11372,C11348,C11324,C11300,C11276,C11252,C11228,C11204)/POBLA!$B$19*100000</f>
        <v>1019.2238082497914</v>
      </c>
      <c r="H11516" s="256">
        <f t="shared" si="2008"/>
        <v>0.72522396416573354</v>
      </c>
      <c r="I11516" s="297">
        <f t="shared" si="2012"/>
        <v>739.1655305910092</v>
      </c>
      <c r="J11516" s="422">
        <f t="shared" si="2010"/>
        <v>360</v>
      </c>
      <c r="K11516" s="297">
        <f>J11516/POBLA!$B$19*100000</f>
        <v>70.820415165011568</v>
      </c>
      <c r="L11516" s="200">
        <f t="shared" si="2011"/>
        <v>-5.29875986471251E-2</v>
      </c>
      <c r="M11516" s="401">
        <f>SUM(C11516,C11492,C11468,C11444,C11420,C11396,C11372)/POBLA!$B$19*100000</f>
        <v>495.74290615508096</v>
      </c>
      <c r="N11516" s="42" t="s">
        <v>36</v>
      </c>
      <c r="O11516" s="42">
        <v>1</v>
      </c>
      <c r="P11516" s="42">
        <v>3</v>
      </c>
      <c r="Q11516" s="42">
        <v>0</v>
      </c>
      <c r="R11516" s="42">
        <v>4</v>
      </c>
    </row>
    <row r="11517" spans="1:18" x14ac:dyDescent="0.25">
      <c r="A11517" s="367" t="s">
        <v>37</v>
      </c>
      <c r="B11517" s="2">
        <v>44372</v>
      </c>
      <c r="C11517" s="1">
        <v>125</v>
      </c>
      <c r="D11517" s="39">
        <f t="shared" si="2013"/>
        <v>54962</v>
      </c>
      <c r="E11517" s="1">
        <v>3</v>
      </c>
      <c r="F11517" s="39">
        <f t="shared" ref="F11517:F11522" si="2014">E11517+F11493</f>
        <v>855</v>
      </c>
      <c r="G11517" s="168">
        <f>SUM(C11517,C11493,C11470,C11445,C11421,C11397,C11373,C11349,C11325,C11301,C11277,C11253,C11229,C11205)/POBLA!$B$20*100000</f>
        <v>997.54442190003772</v>
      </c>
      <c r="H11517" s="256">
        <f t="shared" si="2008"/>
        <v>0.61352459016393446</v>
      </c>
      <c r="I11517" s="297">
        <f t="shared" si="2012"/>
        <v>612.01803261653959</v>
      </c>
      <c r="J11517" s="422">
        <f t="shared" si="2010"/>
        <v>98</v>
      </c>
      <c r="K11517" s="297">
        <f>J11517/POBLA!$B$20*100000</f>
        <v>26.798068351481273</v>
      </c>
      <c r="L11517" s="200">
        <f t="shared" si="2011"/>
        <v>-0.15413070283600494</v>
      </c>
      <c r="M11517" s="401">
        <f>SUM(C11517,C11493,C11469,C11445,C11421,C11397,C11373)/POBLA!$B$20*100000</f>
        <v>187.58647846036894</v>
      </c>
      <c r="N11517" s="42" t="s">
        <v>37</v>
      </c>
      <c r="O11517" s="42">
        <v>1</v>
      </c>
      <c r="P11517" s="42">
        <v>2</v>
      </c>
      <c r="Q11517" s="42">
        <v>0</v>
      </c>
      <c r="R11517" s="42">
        <v>3</v>
      </c>
    </row>
    <row r="11518" spans="1:18" x14ac:dyDescent="0.25">
      <c r="A11518" s="367" t="s">
        <v>22</v>
      </c>
      <c r="B11518" s="2">
        <v>44372</v>
      </c>
      <c r="C11518" s="1">
        <v>2165</v>
      </c>
      <c r="D11518" s="39">
        <f t="shared" si="2013"/>
        <v>398192</v>
      </c>
      <c r="E11518" s="1">
        <v>33</v>
      </c>
      <c r="F11518" s="39">
        <f t="shared" si="2014"/>
        <v>6478</v>
      </c>
      <c r="G11518" s="168">
        <f>SUM(C11518,C11494,C11470,C11446,C11422,C11398,C11374,C11350,C11326,C11302,C11278,C11254,C11230,C11206)/POBLA!$B$21*100000</f>
        <v>688.86087560916155</v>
      </c>
      <c r="H11518" s="256">
        <f t="shared" si="2008"/>
        <v>0.6596176757283656</v>
      </c>
      <c r="I11518" s="297">
        <f t="shared" si="2012"/>
        <v>454.38480966952193</v>
      </c>
      <c r="J11518" s="422">
        <f t="shared" si="2010"/>
        <v>1554.8571428571429</v>
      </c>
      <c r="K11518" s="297">
        <f>J11518/POBLA!$B$21*100000</f>
        <v>43.967006809069034</v>
      </c>
      <c r="L11518" s="200">
        <f t="shared" si="2011"/>
        <v>-0.19240186985234098</v>
      </c>
      <c r="M11518" s="401">
        <f>SUM(C11518,C11494,C11470,C11446,C11422,C11398,C11374)/POBLA!$B$21*100000</f>
        <v>307.76904766348326</v>
      </c>
      <c r="N11518" s="42" t="s">
        <v>22</v>
      </c>
      <c r="O11518" s="42">
        <v>16</v>
      </c>
      <c r="P11518" s="42">
        <v>17</v>
      </c>
      <c r="Q11518" s="42">
        <v>0</v>
      </c>
      <c r="R11518" s="42">
        <v>33</v>
      </c>
    </row>
    <row r="11519" spans="1:18" x14ac:dyDescent="0.25">
      <c r="A11519" s="367" t="s">
        <v>38</v>
      </c>
      <c r="B11519" s="2">
        <v>44372</v>
      </c>
      <c r="C11519" s="1">
        <v>628</v>
      </c>
      <c r="D11519" s="39">
        <f t="shared" si="2013"/>
        <v>56899</v>
      </c>
      <c r="E11519" s="1">
        <v>9</v>
      </c>
      <c r="F11519" s="39">
        <f t="shared" si="2014"/>
        <v>769</v>
      </c>
      <c r="G11519" s="168">
        <f>SUM(C11519,C11495,C11471,C11447,C11423,C11399,C11375,C11351,C11327,C11303,C11279,C11255,C11231,C11207)/POBLA!$B$22*100000</f>
        <v>718.07284580701673</v>
      </c>
      <c r="H11519" s="256">
        <f t="shared" si="2008"/>
        <v>0.9273927392739274</v>
      </c>
      <c r="I11519" s="297">
        <f t="shared" si="2012"/>
        <v>665.9355434711938</v>
      </c>
      <c r="J11519" s="422">
        <f t="shared" si="2010"/>
        <v>446.42857142857144</v>
      </c>
      <c r="K11519" s="297">
        <f>J11519/POBLA!$B$22*100000</f>
        <v>45.632488930288304</v>
      </c>
      <c r="L11519" s="200">
        <f t="shared" si="2011"/>
        <v>-0.19871794871794868</v>
      </c>
      <c r="M11519" s="401">
        <f>SUM(C11519,C11495,C11471,C11447,C11423,C11399,C11375)/POBLA!$B$22*100000</f>
        <v>319.4274225120181</v>
      </c>
      <c r="N11519" s="42" t="s">
        <v>38</v>
      </c>
      <c r="O11519" s="42">
        <v>1</v>
      </c>
      <c r="P11519" s="42">
        <v>8</v>
      </c>
      <c r="Q11519" s="42">
        <v>0</v>
      </c>
      <c r="R11519" s="42">
        <v>9</v>
      </c>
    </row>
    <row r="11520" spans="1:18" x14ac:dyDescent="0.25">
      <c r="A11520" s="367" t="s">
        <v>39</v>
      </c>
      <c r="B11520" s="2">
        <v>44372</v>
      </c>
      <c r="C11520" s="1">
        <v>56</v>
      </c>
      <c r="D11520" s="39">
        <f t="shared" si="2013"/>
        <v>29553</v>
      </c>
      <c r="E11520" s="1">
        <v>3</v>
      </c>
      <c r="F11520" s="39">
        <f t="shared" si="2014"/>
        <v>438</v>
      </c>
      <c r="G11520" s="168">
        <f>SUM(C11520,C11496,C11472,C11448,C11424,C11400,C11376,C11352,C11328,C11304,C11280,C11256,C11232,C11208)/POBLA!$B$23*100000</f>
        <v>316.12282983656621</v>
      </c>
      <c r="H11520" s="256">
        <f t="shared" si="2008"/>
        <v>0.90746753246753242</v>
      </c>
      <c r="I11520" s="297">
        <f t="shared" si="2012"/>
        <v>286.87120434844235</v>
      </c>
      <c r="J11520" s="422">
        <f t="shared" si="2010"/>
        <v>40.571428571428569</v>
      </c>
      <c r="K11520" s="297">
        <f>J11520/POBLA!$B$23*100000</f>
        <v>22.943747424887501</v>
      </c>
      <c r="L11520" s="200">
        <f t="shared" si="2011"/>
        <v>3.2727272727272716E-2</v>
      </c>
      <c r="M11520" s="401">
        <f>SUM(C11520,C11496,C11472,C11448,C11424,C11400,C11376)/POBLA!$B$23*100000</f>
        <v>160.60623197421253</v>
      </c>
      <c r="N11520" s="42" t="s">
        <v>39</v>
      </c>
      <c r="O11520" s="42">
        <v>0</v>
      </c>
      <c r="P11520" s="42">
        <v>3</v>
      </c>
      <c r="Q11520" s="42">
        <v>0</v>
      </c>
      <c r="R11520" s="42">
        <v>3</v>
      </c>
    </row>
    <row r="11521" spans="1:18" ht="15.75" thickBot="1" x14ac:dyDescent="0.3">
      <c r="A11521" s="369" t="s">
        <v>40</v>
      </c>
      <c r="B11521" s="2">
        <v>44372</v>
      </c>
      <c r="C11521" s="1">
        <v>977</v>
      </c>
      <c r="D11521" s="176">
        <f t="shared" si="2013"/>
        <v>151076</v>
      </c>
      <c r="E11521" s="1">
        <v>21</v>
      </c>
      <c r="F11521" s="176">
        <f t="shared" si="2014"/>
        <v>2262</v>
      </c>
      <c r="G11521" s="177">
        <f>SUM(C11521,C11497,C11473,C11449,C11425,C11401,C11377,C11353,C11329,C11305,C11281,C11257,C11233,C11209)/POBLA!$B$24*100000</f>
        <v>651.28262018958424</v>
      </c>
      <c r="H11521" s="402">
        <f t="shared" si="2008"/>
        <v>0.87518832765046384</v>
      </c>
      <c r="I11521" s="403">
        <f t="shared" si="2012"/>
        <v>569.99494719153449</v>
      </c>
      <c r="J11521" s="428">
        <f t="shared" si="2010"/>
        <v>827.28571428571433</v>
      </c>
      <c r="K11521" s="299">
        <f>J11521/POBLA!$B$24*100000</f>
        <v>48.817324240773011</v>
      </c>
      <c r="L11521" s="260">
        <f t="shared" si="2011"/>
        <v>0.10388867708730465</v>
      </c>
      <c r="M11521" s="406">
        <f>SUM(C11521,C11497,C11473,C11449,C11425,C11401,C11377)/POBLA!$B$24*100000</f>
        <v>341.72126968541107</v>
      </c>
      <c r="N11521" s="42" t="s">
        <v>40</v>
      </c>
      <c r="O11521" s="42">
        <v>3</v>
      </c>
      <c r="P11521" s="42">
        <v>18</v>
      </c>
      <c r="Q11521" s="42">
        <v>0</v>
      </c>
      <c r="R11521" s="42">
        <v>21</v>
      </c>
    </row>
    <row r="11522" spans="1:18" x14ac:dyDescent="0.25">
      <c r="A11522" s="363" t="s">
        <v>16</v>
      </c>
      <c r="B11522" s="2">
        <v>44373</v>
      </c>
      <c r="C11522" s="1">
        <v>6048</v>
      </c>
      <c r="D11522" s="174">
        <f>C11522+D11498</f>
        <v>1818072</v>
      </c>
      <c r="E11522" s="1">
        <v>211</v>
      </c>
      <c r="F11522" s="174">
        <f t="shared" si="2014"/>
        <v>46720</v>
      </c>
      <c r="G11522" s="175">
        <f>SUM(C11522,C11498,C11450,C11474,C11426,C11402,C11378,C11354,C11330,C11306,C11282,C11258,C11234,C11210)/POBLA!$B$1*100000</f>
        <v>535.26734663383638</v>
      </c>
      <c r="H11522" s="300">
        <f>SUM(C11522,C11498,C11474,C11450,C11426,C11402,C11378,C11354,C11330,C11306,C11282,C11258,C11234,C11210,)/SUM(C11186,C11162,C11138,C11114,C11090,C11066,C11042,C11018,C10994,C10970,C10946,C10922,C10898,C10874)</f>
        <v>0.72024056089964872</v>
      </c>
      <c r="I11522" s="301">
        <f>G11522*H11522</f>
        <v>385.52125397082102</v>
      </c>
      <c r="J11522" s="421">
        <f>AVERAGE(C11522,C11498,C11474,C11450,C11426,C11402,C11378)</f>
        <v>6259.7142857142853</v>
      </c>
      <c r="K11522" s="301">
        <f>J11522/POBLA!$B$1*100000</f>
        <v>35.685901422913624</v>
      </c>
      <c r="L11522" s="399">
        <f t="shared" si="2011"/>
        <v>-0.12493509605783437</v>
      </c>
      <c r="M11522" s="400">
        <f>SUM(C11522,C11498,C11474,C11450,C11426,C11402,C11378)/POBLA!$B$1*100000</f>
        <v>249.8013099603954</v>
      </c>
      <c r="N11522" s="42" t="s">
        <v>16</v>
      </c>
      <c r="O11522" s="42">
        <v>96</v>
      </c>
      <c r="P11522" s="42">
        <v>110</v>
      </c>
      <c r="Q11522" s="42">
        <v>5</v>
      </c>
      <c r="R11522" s="42">
        <v>211</v>
      </c>
    </row>
    <row r="11523" spans="1:18" x14ac:dyDescent="0.25">
      <c r="A11523" s="367" t="s">
        <v>43</v>
      </c>
      <c r="B11523" s="2">
        <v>44373</v>
      </c>
      <c r="C11523" s="1">
        <v>1343</v>
      </c>
      <c r="D11523" s="39">
        <f t="shared" ref="D11523:D11537" si="2015">C11523+D11499</f>
        <v>459380</v>
      </c>
      <c r="E11523" s="1">
        <v>22</v>
      </c>
      <c r="F11523" s="39">
        <f t="shared" ref="F11523:F11540" si="2016">E11523+F11499</f>
        <v>10211</v>
      </c>
      <c r="G11523" s="168">
        <f>SUM(C11523,C11499,C11475,C11451,C11427,C11403,C11379,C11355,C11331,C11307,C11283,C11259,C11235,C11211)/POBLA!$B$2*100000</f>
        <v>632.25741844152424</v>
      </c>
      <c r="H11523" s="256">
        <f t="shared" ref="H11523:H11545" si="2017">SUM(C11523,C11499,C11475,C11451,C11427,C11403,C11379,C11355,C11331,C11307,C11283,C11259,C11235,C11211,)/SUM(C11187,C11163,C11139,C11115,C11091,C11067,C11043,C11019,C10995,C10971,C10947,C10923,C10899,C10875)</f>
        <v>0.75937207122774131</v>
      </c>
      <c r="I11523" s="297">
        <f t="shared" ref="I11523:I11529" si="2018">G11523*H11523</f>
        <v>480.11862539104499</v>
      </c>
      <c r="J11523" s="422">
        <f>AVERAGE(C11523,C11499,C11475,C11451,C11427,C11403,C11379)</f>
        <v>1316</v>
      </c>
      <c r="K11523" s="297">
        <f>J11523/POBLA!$B$2*100000</f>
        <v>42.787759059397601</v>
      </c>
      <c r="L11523" s="200">
        <f>(SUM(C11523,C11499,C11475,C11451,C11427,C11403,C11379)/SUM(C11355,C11331,C11307,C11283,C11259,C11235,C11211))-1</f>
        <v>-9.9863201094391285E-2</v>
      </c>
      <c r="M11523" s="401">
        <f>SUM(C11523,C11499,C11475,C11451,C11427,C11403,C11379)/POBLA!$B$2*100000</f>
        <v>299.51431341578319</v>
      </c>
      <c r="N11523" s="42" t="s">
        <v>43</v>
      </c>
      <c r="O11523" s="42">
        <v>6</v>
      </c>
      <c r="P11523" s="42">
        <v>16</v>
      </c>
      <c r="Q11523" s="42">
        <v>0</v>
      </c>
      <c r="R11523" s="42">
        <v>22</v>
      </c>
    </row>
    <row r="11524" spans="1:18" x14ac:dyDescent="0.25">
      <c r="A11524" s="367" t="s">
        <v>28</v>
      </c>
      <c r="B11524" s="2">
        <v>44373</v>
      </c>
      <c r="C11524" s="1">
        <v>292</v>
      </c>
      <c r="D11524" s="39">
        <f t="shared" si="2015"/>
        <v>32970</v>
      </c>
      <c r="F11524" s="39">
        <f t="shared" si="2016"/>
        <v>306</v>
      </c>
      <c r="G11524" s="168">
        <f>SUM(C11524,C11500,C11476,C11452,C11428,C11404,C11380,C11356,C11332,C11308,C11284,C11260,C11236,C11212)/POBLA!$B$3*100000</f>
        <v>1009.2962126719269</v>
      </c>
      <c r="H11524" s="256">
        <f t="shared" si="2017"/>
        <v>0.71601775956284153</v>
      </c>
      <c r="I11524" s="297">
        <f t="shared" si="2018"/>
        <v>722.67401293261435</v>
      </c>
      <c r="J11524" s="422">
        <f t="shared" ref="J11524:J11545" si="2019">AVERAGE(C11524,C11500,C11476,C11452,C11428,C11404,C11380)</f>
        <v>310.85714285714283</v>
      </c>
      <c r="K11524" s="297">
        <f>J11524/POBLA!$B$3*100000</f>
        <v>74.826362262754699</v>
      </c>
      <c r="L11524" s="200">
        <f t="shared" ref="L11524:L11546" si="2020">(SUM(C11524,C11500,C11476,C11452,C11428,C11404,C11380)/SUM(C11356,C11332,C11308,C11284,C11260,C11236,C11212))-1</f>
        <v>7.8829945463559703E-2</v>
      </c>
      <c r="M11524" s="401">
        <f>SUM(C11524,C11500,C11476,C11452,C11428,C11404,C11380)/POBLA!$B$3*100000</f>
        <v>523.78453583928285</v>
      </c>
    </row>
    <row r="11525" spans="1:18" x14ac:dyDescent="0.25">
      <c r="A11525" s="367" t="s">
        <v>15</v>
      </c>
      <c r="B11525" s="2">
        <v>44373</v>
      </c>
      <c r="C11525" s="1">
        <v>765</v>
      </c>
      <c r="D11525" s="39">
        <f t="shared" si="2015"/>
        <v>75013</v>
      </c>
      <c r="E11525" s="1">
        <v>6</v>
      </c>
      <c r="F11525" s="39">
        <f t="shared" si="2016"/>
        <v>1600</v>
      </c>
      <c r="G11525" s="168">
        <f>SUM(C11525,C11501,C11477,C11453,C11429,C11405,C11381,C11357,C11333,C11309,C11285,C11261,C11237,C11213)/POBLA!$B$4*100000</f>
        <v>649.45900554651109</v>
      </c>
      <c r="H11525" s="256">
        <f t="shared" si="2017"/>
        <v>0.79704533876719308</v>
      </c>
      <c r="I11525" s="297">
        <f t="shared" si="2018"/>
        <v>517.64827309122325</v>
      </c>
      <c r="J11525" s="422">
        <f t="shared" si="2019"/>
        <v>539.28571428571433</v>
      </c>
      <c r="K11525" s="297">
        <f>J11525/POBLA!$B$4*100000</f>
        <v>44.771055056300646</v>
      </c>
      <c r="L11525" s="200">
        <f t="shared" si="2020"/>
        <v>-6.7440711462450564E-2</v>
      </c>
      <c r="M11525" s="401">
        <f>SUM(C11525,C11501,C11477,C11453,C11429,C11405,C11381)/POBLA!$B$4*100000</f>
        <v>313.39738539410445</v>
      </c>
      <c r="N11525" s="42" t="s">
        <v>15</v>
      </c>
      <c r="O11525" s="42">
        <v>2</v>
      </c>
      <c r="P11525" s="42">
        <v>4</v>
      </c>
      <c r="Q11525" s="42">
        <v>0</v>
      </c>
      <c r="R11525" s="42">
        <v>6</v>
      </c>
    </row>
    <row r="11526" spans="1:18" x14ac:dyDescent="0.25">
      <c r="A11526" s="367" t="s">
        <v>29</v>
      </c>
      <c r="B11526" s="2">
        <v>44373</v>
      </c>
      <c r="C11526" s="1">
        <v>191</v>
      </c>
      <c r="D11526" s="39">
        <f t="shared" si="2015"/>
        <v>69913</v>
      </c>
      <c r="E11526" s="1">
        <v>4</v>
      </c>
      <c r="F11526" s="39">
        <f t="shared" si="2016"/>
        <v>1192</v>
      </c>
      <c r="G11526" s="168">
        <f>SUM(C11526,C11502,C11478,C11454,C11430,C11406,C11382,C11358,C11334,C11310,C11286,C11262,C11238,C11214)/POBLA!$B$5*100000</f>
        <v>484.17270603592277</v>
      </c>
      <c r="H11526" s="256">
        <f t="shared" si="2017"/>
        <v>0.63201180936313794</v>
      </c>
      <c r="I11526" s="297">
        <f t="shared" si="2018"/>
        <v>306.00286798601024</v>
      </c>
      <c r="J11526" s="422">
        <f t="shared" si="2019"/>
        <v>223.42857142857142</v>
      </c>
      <c r="K11526" s="297">
        <f>J11526/POBLA!$B$5*100000</f>
        <v>36.095434112216182</v>
      </c>
      <c r="L11526" s="200">
        <f t="shared" si="2020"/>
        <v>9.1416608513607889E-2</v>
      </c>
      <c r="M11526" s="401">
        <f>SUM(C11526,C11502,C11478,C11454,C11430,C11406,C11382)/POBLA!$B$5*100000</f>
        <v>252.66803878551329</v>
      </c>
      <c r="N11526" s="42" t="s">
        <v>29</v>
      </c>
      <c r="O11526" s="42">
        <v>3</v>
      </c>
      <c r="P11526" s="42">
        <v>1</v>
      </c>
      <c r="Q11526" s="42">
        <v>0</v>
      </c>
      <c r="R11526" s="42">
        <v>4</v>
      </c>
    </row>
    <row r="11527" spans="1:18" x14ac:dyDescent="0.25">
      <c r="A11527" s="367" t="s">
        <v>30</v>
      </c>
      <c r="B11527" s="2">
        <v>44373</v>
      </c>
      <c r="C11527" s="1">
        <v>653</v>
      </c>
      <c r="D11527" s="39">
        <f t="shared" si="2015"/>
        <v>64382</v>
      </c>
      <c r="E11527" s="1">
        <v>1</v>
      </c>
      <c r="F11527" s="39">
        <f t="shared" si="2016"/>
        <v>708</v>
      </c>
      <c r="G11527" s="168">
        <f>SUM(C11527,C11503,C11479,C11455,C11431,C11407,C11383,C11359,C11335,C11311,C11287,C11263,C11239,C11215)/POBLA!$B$6*100000</f>
        <v>648.82169091569335</v>
      </c>
      <c r="H11527" s="256">
        <f t="shared" si="2017"/>
        <v>1.0989874565513071</v>
      </c>
      <c r="I11527" s="297">
        <f t="shared" si="2018"/>
        <v>713.04689985475613</v>
      </c>
      <c r="J11527" s="422">
        <f t="shared" si="2019"/>
        <v>568.28571428571433</v>
      </c>
      <c r="K11527" s="297">
        <f>J11527/POBLA!$B$6*100000</f>
        <v>50.703533837471092</v>
      </c>
      <c r="L11527" s="200">
        <f t="shared" si="2020"/>
        <v>0.20765027322404372</v>
      </c>
      <c r="M11527" s="401">
        <f>SUM(C11527,C11503,C11479,C11455,C11431,C11407,C11383)/POBLA!$B$6*100000</f>
        <v>354.92473686229761</v>
      </c>
      <c r="N11527" s="42" t="s">
        <v>30</v>
      </c>
      <c r="O11527" s="42">
        <v>0</v>
      </c>
      <c r="P11527" s="42">
        <v>1</v>
      </c>
      <c r="Q11527" s="42">
        <v>0</v>
      </c>
      <c r="R11527" s="42">
        <v>1</v>
      </c>
    </row>
    <row r="11528" spans="1:18" x14ac:dyDescent="0.25">
      <c r="A11528" s="367" t="s">
        <v>20</v>
      </c>
      <c r="B11528" s="2">
        <v>44373</v>
      </c>
      <c r="C11528" s="1">
        <v>2141</v>
      </c>
      <c r="D11528" s="39">
        <f t="shared" si="2015"/>
        <v>401441</v>
      </c>
      <c r="E11528" s="1">
        <v>41</v>
      </c>
      <c r="F11528" s="39">
        <f t="shared" si="2016"/>
        <v>5106</v>
      </c>
      <c r="G11528" s="168">
        <f>SUM(C11528,C11504,C11480,C11456,C11432,C11408,C11384,C11360,C11336,C11312,C11288,C11264,C11240,C11216)/POBLA!$B$7*100000</f>
        <v>1022.6435665944236</v>
      </c>
      <c r="H11528" s="256">
        <f t="shared" si="2017"/>
        <v>0.6617907725137242</v>
      </c>
      <c r="I11528" s="297">
        <f t="shared" si="2018"/>
        <v>676.77607594271376</v>
      </c>
      <c r="J11528" s="422">
        <f t="shared" si="2019"/>
        <v>2654.4285714285716</v>
      </c>
      <c r="K11528" s="297">
        <f>J11528/POBLA!$B$7*100000</f>
        <v>70.588056520591195</v>
      </c>
      <c r="L11528" s="200">
        <f t="shared" si="2020"/>
        <v>-6.5106918238993727E-2</v>
      </c>
      <c r="M11528" s="401">
        <f>SUM(C11528,C11504,C11480,C11456,C11432,C11408,C11384)/POBLA!$B$7*100000</f>
        <v>494.11639564413838</v>
      </c>
      <c r="N11528" s="42" t="s">
        <v>20</v>
      </c>
      <c r="O11528" s="42">
        <v>14</v>
      </c>
      <c r="P11528" s="42">
        <v>27</v>
      </c>
      <c r="Q11528" s="42">
        <v>0</v>
      </c>
      <c r="R11528" s="42">
        <v>41</v>
      </c>
    </row>
    <row r="11529" spans="1:18" x14ac:dyDescent="0.25">
      <c r="A11529" s="367" t="s">
        <v>31</v>
      </c>
      <c r="B11529" s="2">
        <v>44373</v>
      </c>
      <c r="C11529" s="1">
        <v>605</v>
      </c>
      <c r="D11529" s="39">
        <f t="shared" si="2015"/>
        <v>107371</v>
      </c>
      <c r="E11529" s="1">
        <v>2</v>
      </c>
      <c r="F11529" s="39">
        <f t="shared" si="2016"/>
        <v>1764</v>
      </c>
      <c r="G11529" s="168">
        <f>SUM(C11529,C11505,C11481,C11457,C11433,C11409,C11385,C11361,C11337,C11313,C11289,C11265,C11241,C11217)/POBLA!$B$8*100000</f>
        <v>730.90079735288373</v>
      </c>
      <c r="H11529" s="256">
        <f t="shared" si="2017"/>
        <v>0.78254152182309777</v>
      </c>
      <c r="I11529" s="297">
        <f t="shared" si="2018"/>
        <v>571.96022226224125</v>
      </c>
      <c r="J11529" s="422">
        <f t="shared" si="2019"/>
        <v>658.14285714285711</v>
      </c>
      <c r="K11529" s="297">
        <f>J11529/POBLA!$B$8*100000</f>
        <v>47.486390825056198</v>
      </c>
      <c r="L11529" s="200">
        <f t="shared" si="2020"/>
        <v>-0.16585189208763351</v>
      </c>
      <c r="M11529" s="401">
        <f>SUM(C11529,C11505,C11481,C11457,C11433,C11409,C11385)/POBLA!$B$8*100000</f>
        <v>332.40473577539336</v>
      </c>
      <c r="N11529" s="42" t="s">
        <v>31</v>
      </c>
      <c r="O11529" s="42">
        <v>1</v>
      </c>
      <c r="P11529" s="42">
        <v>1</v>
      </c>
      <c r="Q11529" s="42">
        <v>0</v>
      </c>
      <c r="R11529" s="42">
        <v>2</v>
      </c>
    </row>
    <row r="11530" spans="1:18" x14ac:dyDescent="0.25">
      <c r="A11530" s="367" t="s">
        <v>41</v>
      </c>
      <c r="B11530" s="2">
        <v>44373</v>
      </c>
      <c r="C11530" s="1">
        <v>450</v>
      </c>
      <c r="D11530" s="39">
        <f t="shared" si="2015"/>
        <v>44196</v>
      </c>
      <c r="E11530" s="1">
        <v>2</v>
      </c>
      <c r="F11530" s="39">
        <f t="shared" si="2016"/>
        <v>787</v>
      </c>
      <c r="G11530" s="168">
        <f>SUM(C11530,C11506,C11482,C11458,C11434,C11410,C11386,C11362,C11338,C11314,C11290,C11266,C11242,C11218)/POBLA!$B$9*100000</f>
        <v>1149.0549295844467</v>
      </c>
      <c r="H11530" s="256">
        <f t="shared" si="2017"/>
        <v>0.83062589584328717</v>
      </c>
      <c r="I11530" s="297">
        <f>G11530*H11530</f>
        <v>954.43478025922627</v>
      </c>
      <c r="J11530" s="422">
        <f t="shared" si="2019"/>
        <v>439.14285714285717</v>
      </c>
      <c r="K11530" s="297">
        <f>J11530/POBLA!$B$9*100000</f>
        <v>72.562448201294004</v>
      </c>
      <c r="L11530" s="200">
        <f t="shared" si="2020"/>
        <v>-0.20773195876288664</v>
      </c>
      <c r="M11530" s="401">
        <f>SUM(C11530,C11506,C11482,C11458,C11434,C11410,C11386)/POBLA!$B$9*100000</f>
        <v>507.93713740905798</v>
      </c>
      <c r="N11530" s="42" t="s">
        <v>41</v>
      </c>
      <c r="O11530" s="42">
        <v>1</v>
      </c>
      <c r="P11530" s="42">
        <v>1</v>
      </c>
      <c r="Q11530" s="42">
        <v>0</v>
      </c>
      <c r="R11530" s="42">
        <v>2</v>
      </c>
    </row>
    <row r="11531" spans="1:18" x14ac:dyDescent="0.25">
      <c r="A11531" s="367" t="s">
        <v>32</v>
      </c>
      <c r="B11531" s="2">
        <v>44373</v>
      </c>
      <c r="C11531" s="1">
        <v>178</v>
      </c>
      <c r="D11531" s="39">
        <f t="shared" si="2015"/>
        <v>34708</v>
      </c>
      <c r="F11531" s="39">
        <f t="shared" si="2016"/>
        <v>1155</v>
      </c>
      <c r="G11531" s="168">
        <f>SUM(C11531,C11507,C11483,C11459,C11435,C11411,C11387,C11363,C11339,C11315,C11291,C11267,C11243,C11219)/POBLA!$B$10*100000</f>
        <v>432.49217453796371</v>
      </c>
      <c r="H11531" s="256">
        <f t="shared" si="2017"/>
        <v>1.0087745839636915</v>
      </c>
      <c r="I11531" s="297">
        <f t="shared" ref="I11531:I11545" si="2021">G11531*H11531</f>
        <v>436.28711343708659</v>
      </c>
      <c r="J11531" s="422">
        <f t="shared" si="2019"/>
        <v>235.85714285714286</v>
      </c>
      <c r="K11531" s="297">
        <f>J11531/POBLA!$B$10*100000</f>
        <v>30.595791420095043</v>
      </c>
      <c r="L11531" s="200">
        <f t="shared" si="2020"/>
        <v>-1.9013666072489555E-2</v>
      </c>
      <c r="M11531" s="401">
        <f>SUM(C11531,C11507,C11483,C11459,C11435,C11411,C11387)/POBLA!$B$10*100000</f>
        <v>214.17053994066529</v>
      </c>
    </row>
    <row r="11532" spans="1:18" x14ac:dyDescent="0.25">
      <c r="A11532" s="367" t="s">
        <v>33</v>
      </c>
      <c r="B11532" s="2">
        <v>44373</v>
      </c>
      <c r="C11532" s="1">
        <v>389</v>
      </c>
      <c r="D11532" s="39">
        <f t="shared" si="2015"/>
        <v>51303</v>
      </c>
      <c r="E11532" s="1">
        <v>1</v>
      </c>
      <c r="F11532" s="39">
        <f t="shared" si="2016"/>
        <v>713</v>
      </c>
      <c r="G11532" s="168">
        <f>SUM(C11532,C11508,C11484,C11460,C11436,C11412,C11388,C11364,C11340,C11316,C11292,C11268,C11244,C11220)/POBLA!$B$11*100000</f>
        <v>1141.9308759360317</v>
      </c>
      <c r="H11532" s="256">
        <f t="shared" si="2017"/>
        <v>0.79168278529980662</v>
      </c>
      <c r="I11532" s="297">
        <f t="shared" si="2021"/>
        <v>904.04701648088553</v>
      </c>
      <c r="J11532" s="422">
        <f t="shared" si="2019"/>
        <v>316.71428571428572</v>
      </c>
      <c r="K11532" s="297">
        <f>J11532/POBLA!$B$11*100000</f>
        <v>88.362038042308555</v>
      </c>
      <c r="L11532" s="200">
        <f t="shared" si="2020"/>
        <v>0.18176972281449899</v>
      </c>
      <c r="M11532" s="401">
        <f>SUM(C11532,C11508,C11484,C11460,C11436,C11412,C11388)/POBLA!$B$11*100000</f>
        <v>618.5342662961599</v>
      </c>
      <c r="N11532" s="42" t="s">
        <v>33</v>
      </c>
      <c r="O11532" s="42">
        <v>1</v>
      </c>
      <c r="P11532" s="42">
        <v>0</v>
      </c>
      <c r="Q11532" s="42">
        <v>0</v>
      </c>
      <c r="R11532" s="42">
        <v>1</v>
      </c>
    </row>
    <row r="11533" spans="1:18" x14ac:dyDescent="0.25">
      <c r="A11533" s="367" t="s">
        <v>21</v>
      </c>
      <c r="B11533" s="2">
        <v>44373</v>
      </c>
      <c r="C11533" s="1">
        <v>177</v>
      </c>
      <c r="D11533" s="39">
        <f t="shared" si="2015"/>
        <v>21481</v>
      </c>
      <c r="F11533" s="39">
        <f t="shared" si="2016"/>
        <v>631</v>
      </c>
      <c r="G11533" s="168">
        <f>SUM(C11533,C11509,C11485,C11461,C11437,C11413,C11389,C11365,C11341,C11317,C11293,C11269,C11245,C11221)/POBLA!$B$12*100000</f>
        <v>523.46574983927565</v>
      </c>
      <c r="H11533" s="256">
        <f t="shared" si="2017"/>
        <v>0.91923248549754577</v>
      </c>
      <c r="I11533" s="297">
        <f t="shared" si="2021"/>
        <v>481.18672229759386</v>
      </c>
      <c r="J11533" s="422">
        <f t="shared" si="2019"/>
        <v>164.57142857142858</v>
      </c>
      <c r="K11533" s="297">
        <f>J11533/POBLA!$B$12*100000</f>
        <v>41.81917779575906</v>
      </c>
      <c r="L11533" s="200">
        <f t="shared" si="2020"/>
        <v>0.26872246696035251</v>
      </c>
      <c r="M11533" s="401">
        <f>SUM(C11533,C11509,C11485,C11461,C11437,C11413,C11389)/POBLA!$B$12*100000</f>
        <v>292.73424457031342</v>
      </c>
    </row>
    <row r="11534" spans="1:18" x14ac:dyDescent="0.25">
      <c r="A11534" s="367" t="s">
        <v>17</v>
      </c>
      <c r="B11534" s="2">
        <v>44373</v>
      </c>
      <c r="C11534" s="1">
        <v>465</v>
      </c>
      <c r="D11534" s="39">
        <f t="shared" si="2015"/>
        <v>137681</v>
      </c>
      <c r="E11534" s="1">
        <v>16</v>
      </c>
      <c r="F11534" s="39">
        <f t="shared" si="2016"/>
        <v>3175</v>
      </c>
      <c r="G11534" s="168">
        <f>SUM(C11534,C11510,C11486,C11462,C11438,C11414,C11390,C11366,C11342,C11318,C11294,C11270,C11246,C11222)/POBLA!$B$13*100000</f>
        <v>412.84445154541589</v>
      </c>
      <c r="H11534" s="256">
        <f t="shared" si="2017"/>
        <v>0.81875249103228376</v>
      </c>
      <c r="I11534" s="297">
        <f t="shared" si="2021"/>
        <v>338.01742311166623</v>
      </c>
      <c r="J11534" s="422">
        <f t="shared" si="2019"/>
        <v>551.28571428571433</v>
      </c>
      <c r="K11534" s="297">
        <f>J11534/POBLA!$B$13*100000</f>
        <v>27.698095212256128</v>
      </c>
      <c r="L11534" s="200">
        <f t="shared" si="2020"/>
        <v>-0.11450206516750805</v>
      </c>
      <c r="M11534" s="401">
        <f>SUM(C11534,C11510,C11486,C11462,C11438,C11414,C11390)/POBLA!$B$13*100000</f>
        <v>193.88666648579286</v>
      </c>
      <c r="N11534" s="42" t="s">
        <v>17</v>
      </c>
      <c r="O11534" s="42">
        <v>3</v>
      </c>
      <c r="P11534" s="42">
        <v>13</v>
      </c>
      <c r="Q11534" s="42">
        <v>0</v>
      </c>
      <c r="R11534" s="42">
        <v>16</v>
      </c>
    </row>
    <row r="11535" spans="1:18" x14ac:dyDescent="0.25">
      <c r="A11535" s="367" t="s">
        <v>23</v>
      </c>
      <c r="B11535" s="2">
        <v>44373</v>
      </c>
      <c r="C11535" s="1">
        <v>210</v>
      </c>
      <c r="D11535" s="39">
        <f t="shared" si="2015"/>
        <v>24925</v>
      </c>
      <c r="E11535" s="1">
        <v>4</v>
      </c>
      <c r="F11535" s="39">
        <f t="shared" si="2016"/>
        <v>412</v>
      </c>
      <c r="G11535" s="168">
        <f>SUM(C11535,C11511,C11487,C11463,C11439,C11415,C11391,C11367,C11343,C11319,C11295,C11271,C11247,C11223)/POBLA!$B$14*100000</f>
        <v>187.03014523180161</v>
      </c>
      <c r="H11535" s="256">
        <f t="shared" si="2017"/>
        <v>0.9470092332396628</v>
      </c>
      <c r="I11535" s="297">
        <f t="shared" si="2021"/>
        <v>177.11927442867122</v>
      </c>
      <c r="J11535" s="422">
        <f t="shared" si="2019"/>
        <v>173.14285714285714</v>
      </c>
      <c r="K11535" s="297">
        <f>J11535/POBLA!$B$14*100000</f>
        <v>13.727398777989679</v>
      </c>
      <c r="L11535" s="200">
        <f t="shared" si="2020"/>
        <v>5.6669572798605072E-2</v>
      </c>
      <c r="M11535" s="401">
        <f>SUM(C11535,C11511,C11487,C11463,C11439,C11415,C11391)/POBLA!$B$14*100000</f>
        <v>96.091791445927754</v>
      </c>
      <c r="N11535" s="42" t="s">
        <v>23</v>
      </c>
      <c r="O11535" s="42">
        <v>1</v>
      </c>
      <c r="P11535" s="42">
        <v>3</v>
      </c>
      <c r="Q11535" s="42">
        <v>0</v>
      </c>
      <c r="R11535" s="42">
        <v>4</v>
      </c>
    </row>
    <row r="11536" spans="1:18" x14ac:dyDescent="0.25">
      <c r="A11536" s="367" t="s">
        <v>19</v>
      </c>
      <c r="B11536" s="2">
        <v>44373</v>
      </c>
      <c r="C11536" s="1">
        <v>203</v>
      </c>
      <c r="D11536" s="39">
        <f t="shared" si="2015"/>
        <v>100619</v>
      </c>
      <c r="F11536" s="39">
        <f t="shared" si="2016"/>
        <v>1744</v>
      </c>
      <c r="G11536" s="168">
        <f>SUM(C11536,C11512,C11488,C11464,C11440,C11416,C11392,C11368,C11344,C11320,C11296,C11272,C11248,C11224)/POBLA!$B$15*100000</f>
        <v>592.72020323556558</v>
      </c>
      <c r="H11536" s="256">
        <f t="shared" si="2017"/>
        <v>0.50898745635587739</v>
      </c>
      <c r="I11536" s="297">
        <f t="shared" si="2021"/>
        <v>301.68714857560923</v>
      </c>
      <c r="J11536" s="422">
        <f t="shared" si="2019"/>
        <v>258.28571428571428</v>
      </c>
      <c r="K11536" s="297">
        <f>J11536/POBLA!$B$15*100000</f>
        <v>38.895112059012142</v>
      </c>
      <c r="L11536" s="200">
        <f t="shared" si="2020"/>
        <v>-0.15037593984962405</v>
      </c>
      <c r="M11536" s="401">
        <f>SUM(C11536,C11512,C11488,C11464,C11440,C11416,C11392)/POBLA!$B$15*100000</f>
        <v>272.26578441308499</v>
      </c>
    </row>
    <row r="11537" spans="1:18" x14ac:dyDescent="0.25">
      <c r="A11537" s="367" t="s">
        <v>18</v>
      </c>
      <c r="B11537" s="2">
        <v>44373</v>
      </c>
      <c r="C11537" s="1">
        <v>244</v>
      </c>
      <c r="D11537" s="39">
        <f t="shared" si="2015"/>
        <v>83377</v>
      </c>
      <c r="E11537" s="1">
        <v>10</v>
      </c>
      <c r="F11537" s="39">
        <f t="shared" si="2016"/>
        <v>1905</v>
      </c>
      <c r="G11537" s="168">
        <f>SUM(C11537,C11513,C11489,C11465,C11441,C11417,C11393,C11369,C11345,C11321,C11297,C11273,C11249,C11225)/POBLA!$B$16*100000</f>
        <v>561.38895948422305</v>
      </c>
      <c r="H11537" s="256">
        <f t="shared" si="2017"/>
        <v>0.73169456066945604</v>
      </c>
      <c r="I11537" s="297">
        <f t="shared" si="2021"/>
        <v>410.76524807449164</v>
      </c>
      <c r="J11537" s="422">
        <f t="shared" si="2019"/>
        <v>266.42857142857144</v>
      </c>
      <c r="K11537" s="297">
        <f>J11537/POBLA!$B$16*100000</f>
        <v>35.637373955480989</v>
      </c>
      <c r="L11537" s="200">
        <f t="shared" si="2020"/>
        <v>-0.20025728987993141</v>
      </c>
      <c r="M11537" s="401">
        <f>SUM(C11537,C11513,C11489,C11465,C11441,C11417,C11393)/POBLA!$B$16*100000</f>
        <v>249.46161768836694</v>
      </c>
      <c r="N11537" s="42" t="s">
        <v>18</v>
      </c>
      <c r="O11537" s="42">
        <v>4</v>
      </c>
      <c r="P11537" s="42">
        <v>6</v>
      </c>
      <c r="Q11537" s="42">
        <v>0</v>
      </c>
      <c r="R11537" s="42">
        <v>10</v>
      </c>
    </row>
    <row r="11538" spans="1:18" x14ac:dyDescent="0.25">
      <c r="A11538" s="367" t="s">
        <v>34</v>
      </c>
      <c r="B11538" s="2">
        <v>44373</v>
      </c>
      <c r="C11538" s="1">
        <v>559</v>
      </c>
      <c r="D11538" s="39">
        <f>C11538+D11514</f>
        <v>59379</v>
      </c>
      <c r="E11538" s="1">
        <v>6</v>
      </c>
      <c r="F11538" s="39">
        <f t="shared" si="2016"/>
        <v>1692</v>
      </c>
      <c r="G11538" s="168">
        <f>SUM(C11538,C11514,C11490,C11466,C11442,C11418,C11394,C11370,C11346,C11322,C11298,C11274,C11250,C11226)/POBLA!$B$17*100000</f>
        <v>491.29561491634701</v>
      </c>
      <c r="H11538" s="256">
        <f t="shared" si="2017"/>
        <v>0.90694660445826858</v>
      </c>
      <c r="I11538" s="297">
        <f t="shared" si="2021"/>
        <v>445.57888973361798</v>
      </c>
      <c r="J11538" s="422">
        <f t="shared" si="2019"/>
        <v>495.14285714285717</v>
      </c>
      <c r="K11538" s="297">
        <f>J11538/POBLA!$B$17*100000</f>
        <v>34.761576803577732</v>
      </c>
      <c r="L11538" s="200">
        <f t="shared" si="2020"/>
        <v>-1.8686296715741735E-2</v>
      </c>
      <c r="M11538" s="401">
        <f>SUM(C11538,C11514,C11490,C11466,C11442,C11418,C11394)/POBLA!$B$17*100000</f>
        <v>243.33103762504416</v>
      </c>
      <c r="N11538" s="42" t="s">
        <v>34</v>
      </c>
      <c r="O11538" s="42">
        <v>3</v>
      </c>
      <c r="P11538" s="42">
        <v>3</v>
      </c>
      <c r="Q11538" s="42">
        <v>0</v>
      </c>
      <c r="R11538" s="42">
        <v>6</v>
      </c>
    </row>
    <row r="11539" spans="1:18" x14ac:dyDescent="0.25">
      <c r="A11539" s="367" t="s">
        <v>35</v>
      </c>
      <c r="B11539" s="2">
        <v>44373</v>
      </c>
      <c r="C11539" s="1">
        <v>142</v>
      </c>
      <c r="D11539" s="39">
        <f t="shared" ref="D11539:D11545" si="2022">C11539+D11515</f>
        <v>48927</v>
      </c>
      <c r="F11539" s="39">
        <f t="shared" si="2016"/>
        <v>793</v>
      </c>
      <c r="G11539" s="168">
        <f>SUM(C11539,C11515,C11491,C11467,C11443,C11419,C11395,C11371,C11347,C11323,C11299,C11275,C11251,C11227)/POBLA!$B$18*100000</f>
        <v>776.09678232808551</v>
      </c>
      <c r="H11539" s="256">
        <f t="shared" si="2017"/>
        <v>0.93133640552995389</v>
      </c>
      <c r="I11539" s="297">
        <f t="shared" si="2021"/>
        <v>722.80718759680224</v>
      </c>
      <c r="J11539" s="422">
        <f t="shared" si="2019"/>
        <v>377.71428571428572</v>
      </c>
      <c r="K11539" s="297">
        <f>J11539/POBLA!$B$18*100000</f>
        <v>48.349470853077406</v>
      </c>
      <c r="L11539" s="200">
        <f t="shared" si="2020"/>
        <v>-0.22667446621819243</v>
      </c>
      <c r="M11539" s="401">
        <f>SUM(C11539,C11515,C11491,C11467,C11443,C11419,C11395)/POBLA!$B$18*100000</f>
        <v>338.44629597154182</v>
      </c>
    </row>
    <row r="11540" spans="1:18" x14ac:dyDescent="0.25">
      <c r="A11540" s="367" t="s">
        <v>36</v>
      </c>
      <c r="B11540" s="2">
        <v>44373</v>
      </c>
      <c r="C11540" s="1">
        <v>422</v>
      </c>
      <c r="D11540" s="39">
        <f t="shared" si="2022"/>
        <v>64244</v>
      </c>
      <c r="E11540" s="1">
        <v>1</v>
      </c>
      <c r="F11540" s="39">
        <f t="shared" si="2016"/>
        <v>904</v>
      </c>
      <c r="G11540" s="168">
        <f>SUM(C11540,C11516,C11492,C11468,C11444,C11420,C11396,C11372,C11348,C11324,C11300,C11276,C11252,C11228)/POBLA!$B$19*100000</f>
        <v>1012.3384901087487</v>
      </c>
      <c r="H11540" s="256">
        <f t="shared" si="2017"/>
        <v>0.73304843304843303</v>
      </c>
      <c r="I11540" s="297">
        <f t="shared" si="2021"/>
        <v>742.0931438888349</v>
      </c>
      <c r="J11540" s="422">
        <f t="shared" si="2019"/>
        <v>368</v>
      </c>
      <c r="K11540" s="297">
        <f>J11540/POBLA!$B$19*100000</f>
        <v>72.39420216867849</v>
      </c>
      <c r="L11540" s="200">
        <f t="shared" si="2020"/>
        <v>2.3346303501945442E-3</v>
      </c>
      <c r="M11540" s="401">
        <f>SUM(C11540,C11516,C11492,C11468,C11444,C11420,C11396)/POBLA!$B$19*100000</f>
        <v>506.75941518074944</v>
      </c>
      <c r="N11540" s="42" t="s">
        <v>36</v>
      </c>
      <c r="O11540" s="42">
        <v>0</v>
      </c>
      <c r="P11540" s="42">
        <v>1</v>
      </c>
      <c r="Q11540" s="42">
        <v>0</v>
      </c>
      <c r="R11540" s="42">
        <v>1</v>
      </c>
    </row>
    <row r="11541" spans="1:18" x14ac:dyDescent="0.25">
      <c r="A11541" s="367" t="s">
        <v>37</v>
      </c>
      <c r="B11541" s="2">
        <v>44373</v>
      </c>
      <c r="C11541" s="1">
        <v>77</v>
      </c>
      <c r="D11541" s="39">
        <f t="shared" si="2022"/>
        <v>55039</v>
      </c>
      <c r="F11541" s="39">
        <f t="shared" ref="F11541:F11546" si="2023">E11541+F11517</f>
        <v>855</v>
      </c>
      <c r="G11541" s="168">
        <f>SUM(C11541,C11517,C11494,C11469,C11445,C11421,C11397,C11373,C11349,C11325,C11301,C11277,C11253,C11229)/POBLA!$B$20*100000</f>
        <v>942.85448648885142</v>
      </c>
      <c r="H11541" s="256">
        <f t="shared" si="2017"/>
        <v>0.64065180102915953</v>
      </c>
      <c r="I11541" s="297">
        <f t="shared" si="2021"/>
        <v>604.04142487750607</v>
      </c>
      <c r="J11541" s="422">
        <f t="shared" si="2019"/>
        <v>99</v>
      </c>
      <c r="K11541" s="297">
        <f>J11541/POBLA!$B$20*100000</f>
        <v>27.071518028537206</v>
      </c>
      <c r="L11541" s="200">
        <f t="shared" si="2020"/>
        <v>-0.1348314606741573</v>
      </c>
      <c r="M11541" s="401">
        <f>SUM(C11541,C11517,C11493,C11469,C11445,C11421,C11397)/POBLA!$B$20*100000</f>
        <v>189.50062619976046</v>
      </c>
    </row>
    <row r="11542" spans="1:18" x14ac:dyDescent="0.25">
      <c r="A11542" s="367" t="s">
        <v>22</v>
      </c>
      <c r="B11542" s="2">
        <v>44373</v>
      </c>
      <c r="C11542" s="1">
        <v>1828</v>
      </c>
      <c r="D11542" s="39">
        <f t="shared" si="2022"/>
        <v>400020</v>
      </c>
      <c r="E11542" s="1">
        <v>9</v>
      </c>
      <c r="F11542" s="39">
        <f t="shared" si="2023"/>
        <v>6487</v>
      </c>
      <c r="G11542" s="168">
        <f>SUM(C11542,C11518,C11494,C11470,C11446,C11422,C11398,C11374,C11350,C11326,C11302,C11278,C11254,C11230)/POBLA!$B$21*100000</f>
        <v>686.5986995881143</v>
      </c>
      <c r="H11542" s="256">
        <f t="shared" si="2017"/>
        <v>0.68122773055017816</v>
      </c>
      <c r="I11542" s="297">
        <f t="shared" si="2021"/>
        <v>467.73007391911466</v>
      </c>
      <c r="J11542" s="422">
        <f t="shared" si="2019"/>
        <v>1616.2857142857142</v>
      </c>
      <c r="K11542" s="297">
        <f>J11542/POBLA!$B$21*100000</f>
        <v>45.704034825230337</v>
      </c>
      <c r="L11542" s="200">
        <f t="shared" si="2020"/>
        <v>-0.1274774427392612</v>
      </c>
      <c r="M11542" s="401">
        <f>SUM(C11542,C11518,C11494,C11470,C11446,C11422,C11398)/POBLA!$B$21*100000</f>
        <v>319.92824377661236</v>
      </c>
      <c r="N11542" s="42" t="s">
        <v>22</v>
      </c>
      <c r="O11542" s="42">
        <v>0</v>
      </c>
      <c r="P11542" s="42">
        <v>9</v>
      </c>
      <c r="Q11542" s="42">
        <v>0</v>
      </c>
      <c r="R11542" s="42">
        <v>9</v>
      </c>
    </row>
    <row r="11543" spans="1:18" x14ac:dyDescent="0.25">
      <c r="A11543" s="367" t="s">
        <v>38</v>
      </c>
      <c r="B11543" s="2">
        <v>44373</v>
      </c>
      <c r="C11543" s="1">
        <v>652</v>
      </c>
      <c r="D11543" s="39">
        <f t="shared" si="2022"/>
        <v>57551</v>
      </c>
      <c r="E11543" s="1">
        <v>1</v>
      </c>
      <c r="F11543" s="39">
        <f t="shared" si="2023"/>
        <v>770</v>
      </c>
      <c r="G11543" s="168">
        <f>SUM(C11543,C11519,C11495,C11471,C11447,C11423,C11399,C11375,C11351,C11327,C11303,C11279,C11255,C11231)/POBLA!$B$22*100000</f>
        <v>726.14797104812055</v>
      </c>
      <c r="H11543" s="256">
        <f t="shared" si="2017"/>
        <v>0.9489714133048357</v>
      </c>
      <c r="I11543" s="297">
        <f t="shared" si="2021"/>
        <v>689.09366635397384</v>
      </c>
      <c r="J11543" s="422">
        <f t="shared" si="2019"/>
        <v>467.71428571428572</v>
      </c>
      <c r="K11543" s="297">
        <f>J11543/POBLA!$B$22*100000</f>
        <v>47.808246002484452</v>
      </c>
      <c r="L11543" s="200">
        <f t="shared" si="2020"/>
        <v>-0.1451697127937337</v>
      </c>
      <c r="M11543" s="401">
        <f>SUM(C11543,C11519,C11495,C11471,C11447,C11423,C11399)/POBLA!$B$22*100000</f>
        <v>334.65772201739117</v>
      </c>
      <c r="N11543" s="42" t="s">
        <v>38</v>
      </c>
      <c r="O11543" s="42">
        <v>0</v>
      </c>
      <c r="P11543" s="42">
        <v>1</v>
      </c>
      <c r="Q11543" s="42">
        <v>0</v>
      </c>
      <c r="R11543" s="42">
        <v>1</v>
      </c>
    </row>
    <row r="11544" spans="1:18" x14ac:dyDescent="0.25">
      <c r="A11544" s="367" t="s">
        <v>39</v>
      </c>
      <c r="B11544" s="2">
        <v>44373</v>
      </c>
      <c r="C11544" s="1">
        <v>32</v>
      </c>
      <c r="D11544" s="39">
        <f t="shared" si="2022"/>
        <v>29585</v>
      </c>
      <c r="F11544" s="39">
        <f t="shared" si="2023"/>
        <v>438</v>
      </c>
      <c r="G11544" s="168">
        <f>SUM(C11544,C11520,C11496,C11472,C11448,C11424,C11400,C11376,C11352,C11328,C11304,C11280,C11256,C11232)/POBLA!$B$23*100000</f>
        <v>315.55731493524854</v>
      </c>
      <c r="H11544" s="256">
        <f t="shared" si="2017"/>
        <v>0.91625615763546797</v>
      </c>
      <c r="I11544" s="297">
        <f t="shared" si="2021"/>
        <v>289.13133289633612</v>
      </c>
      <c r="J11544" s="422">
        <f t="shared" si="2019"/>
        <v>40.428571428571431</v>
      </c>
      <c r="K11544" s="297">
        <f>J11544/POBLA!$B$23*100000</f>
        <v>22.862959581842127</v>
      </c>
      <c r="L11544" s="200">
        <f t="shared" si="2020"/>
        <v>2.9090909090909056E-2</v>
      </c>
      <c r="M11544" s="401">
        <f>SUM(C11544,C11520,C11496,C11472,C11448,C11424,C11400)/POBLA!$B$23*100000</f>
        <v>160.04071707289486</v>
      </c>
    </row>
    <row r="11545" spans="1:18" ht="15.75" thickBot="1" x14ac:dyDescent="0.3">
      <c r="A11545" s="369" t="s">
        <v>40</v>
      </c>
      <c r="B11545" s="2">
        <v>44373</v>
      </c>
      <c r="C11545" s="1">
        <v>489</v>
      </c>
      <c r="D11545" s="176">
        <f t="shared" si="2022"/>
        <v>151565</v>
      </c>
      <c r="E11545" s="1">
        <v>1</v>
      </c>
      <c r="F11545" s="176">
        <f t="shared" si="2023"/>
        <v>2263</v>
      </c>
      <c r="G11545" s="177">
        <f>SUM(C11545,C11521,C11497,C11473,C11449,C11425,C11401,C11377,C11353,C11329,C11305,C11281,C11257,C11233)/POBLA!$B$24*100000</f>
        <v>648.68622304467692</v>
      </c>
      <c r="H11545" s="402">
        <f t="shared" si="2017"/>
        <v>0.88439259855189056</v>
      </c>
      <c r="I11545" s="403">
        <f t="shared" si="2021"/>
        <v>573.6932944432931</v>
      </c>
      <c r="J11545" s="428">
        <f t="shared" si="2019"/>
        <v>849.85714285714289</v>
      </c>
      <c r="K11545" s="299">
        <f>J11545/POBLA!$B$24*100000</f>
        <v>50.149242256667009</v>
      </c>
      <c r="L11545" s="260">
        <f t="shared" si="2020"/>
        <v>0.17942109436954801</v>
      </c>
      <c r="M11545" s="406">
        <f>SUM(C11545,C11521,C11497,C11473,C11449,C11425,C11401)/POBLA!$B$24*100000</f>
        <v>351.04469579666909</v>
      </c>
      <c r="N11545" s="42" t="s">
        <v>40</v>
      </c>
      <c r="O11545" s="42">
        <v>0</v>
      </c>
      <c r="P11545" s="42">
        <v>1</v>
      </c>
      <c r="Q11545" s="42">
        <v>0</v>
      </c>
      <c r="R11545" s="42">
        <v>1</v>
      </c>
    </row>
    <row r="11546" spans="1:18" x14ac:dyDescent="0.25">
      <c r="A11546" s="363" t="s">
        <v>16</v>
      </c>
      <c r="B11546" s="2">
        <v>44374</v>
      </c>
      <c r="C11546" s="1">
        <v>3210</v>
      </c>
      <c r="D11546" s="174">
        <f>C11546+D11522</f>
        <v>1821282</v>
      </c>
      <c r="E11546" s="1">
        <v>93</v>
      </c>
      <c r="F11546" s="174">
        <f t="shared" si="2023"/>
        <v>46813</v>
      </c>
      <c r="G11546" s="175">
        <f>SUM(C11546,C11522,C11474,C11498,C11450,C11426,C11402,C11378,C11354,C11330,C11306,C11282,C11258,C11234)/POBLA!$B$1*100000</f>
        <v>531.93232982962741</v>
      </c>
      <c r="H11546" s="300">
        <f>SUM(C11546,C11522,C11498,C11474,C11450,C11426,C11402,C11378,C11354,C11330,C11306,C11282,C11258,C11234,)/SUM(C11210,C11186,C11162,C11138,C11114,C11090,C11066,C11042,C11018,C10994,C10970,C10946,C10922,C10898)</f>
        <v>0.73061051906257091</v>
      </c>
      <c r="I11546" s="301">
        <f>G11546*H11546</f>
        <v>388.63535560298675</v>
      </c>
      <c r="J11546" s="421">
        <f>AVERAGE(C11546,C11522,C11498,C11474,C11450,C11426,C11402)</f>
        <v>6314</v>
      </c>
      <c r="K11546" s="301">
        <f>J11546/POBLA!$B$1*100000</f>
        <v>35.995377951753539</v>
      </c>
      <c r="L11546" s="399">
        <f t="shared" si="2020"/>
        <v>-0.10000203628662774</v>
      </c>
      <c r="M11546" s="400">
        <f>SUM(C11546,C11522,C11498,C11474,C11450,C11426,C11402)/POBLA!$B$1*100000</f>
        <v>251.96764566227478</v>
      </c>
      <c r="N11546" s="42" t="s">
        <v>16</v>
      </c>
      <c r="O11546" s="42">
        <v>48</v>
      </c>
      <c r="P11546" s="42">
        <v>44</v>
      </c>
      <c r="Q11546" s="42">
        <v>1</v>
      </c>
      <c r="R11546" s="42">
        <v>93</v>
      </c>
    </row>
    <row r="11547" spans="1:18" x14ac:dyDescent="0.25">
      <c r="A11547" s="367" t="s">
        <v>43</v>
      </c>
      <c r="B11547" s="2">
        <v>44374</v>
      </c>
      <c r="C11547" s="1">
        <v>940</v>
      </c>
      <c r="D11547" s="39">
        <f t="shared" ref="D11547:D11561" si="2024">C11547+D11523</f>
        <v>460320</v>
      </c>
      <c r="E11547" s="1">
        <v>14</v>
      </c>
      <c r="F11547" s="39">
        <f t="shared" ref="F11547:F11564" si="2025">E11547+F11523</f>
        <v>10225</v>
      </c>
      <c r="G11547" s="168">
        <f>SUM(C11547,C11523,C11499,C11475,C11451,C11427,C11403,C11379,C11355,C11331,C11307,C11283,C11259,C11235)/POBLA!$B$2*100000</f>
        <v>623.21866690770003</v>
      </c>
      <c r="H11547" s="256">
        <f t="shared" ref="H11547:H11569" si="2026">SUM(C11547,C11523,C11499,C11475,C11451,C11427,C11403,C11379,C11355,C11331,C11307,C11283,C11259,C11235,)/SUM(C11211,C11187,C11163,C11139,C11115,C11091,C11067,C11043,C11019,C10995,C10971,C10947,C10923,C10899)</f>
        <v>0.76650537849402167</v>
      </c>
      <c r="I11547" s="297">
        <f t="shared" ref="I11547:I11553" si="2027">G11547*H11547</f>
        <v>477.7004601626262</v>
      </c>
      <c r="J11547" s="422">
        <f>AVERAGE(C11547,C11523,C11499,C11475,C11451,C11427,C11403)</f>
        <v>1340.1428571428571</v>
      </c>
      <c r="K11547" s="297">
        <f>J11547/POBLA!$B$2*100000</f>
        <v>43.572727717782122</v>
      </c>
      <c r="L11547" s="200">
        <f>(SUM(C11547,C11523,C11499,C11475,C11451,C11427,C11403)/SUM(C11379,C11355,C11331,C11307,C11283,C11259,C11235))-1</f>
        <v>-4.1483600694799172E-2</v>
      </c>
      <c r="M11547" s="401">
        <f>SUM(C11547,C11523,C11499,C11475,C11451,C11427,C11403)/POBLA!$B$2*100000</f>
        <v>305.00909402447485</v>
      </c>
      <c r="N11547" s="42" t="s">
        <v>43</v>
      </c>
      <c r="O11547" s="42">
        <v>5</v>
      </c>
      <c r="P11547" s="42">
        <v>9</v>
      </c>
      <c r="Q11547" s="42">
        <v>0</v>
      </c>
      <c r="R11547" s="42">
        <v>14</v>
      </c>
    </row>
    <row r="11548" spans="1:18" x14ac:dyDescent="0.25">
      <c r="A11548" s="367" t="s">
        <v>28</v>
      </c>
      <c r="B11548" s="2">
        <v>44374</v>
      </c>
      <c r="C11548" s="1">
        <v>221</v>
      </c>
      <c r="D11548" s="39">
        <f t="shared" si="2024"/>
        <v>33191</v>
      </c>
      <c r="F11548" s="39">
        <f t="shared" si="2025"/>
        <v>306</v>
      </c>
      <c r="G11548" s="168">
        <f>SUM(C11548,C11524,C11500,C11476,C11452,C11428,C11404,C11380,C11356,C11332,C11308,C11284,C11260,C11236)/POBLA!$B$3*100000</f>
        <v>982.33671450372856</v>
      </c>
      <c r="H11548" s="256">
        <f t="shared" si="2026"/>
        <v>0.71697118763176393</v>
      </c>
      <c r="I11548" s="297">
        <f t="shared" si="2027"/>
        <v>704.30712085202333</v>
      </c>
      <c r="J11548" s="422">
        <f t="shared" ref="J11548:J11569" si="2028">AVERAGE(C11548,C11524,C11500,C11476,C11452,C11428,C11404)</f>
        <v>302.28571428571428</v>
      </c>
      <c r="K11548" s="297">
        <f>J11548/POBLA!$B$3*100000</f>
        <v>72.763135362127258</v>
      </c>
      <c r="L11548" s="200">
        <f t="shared" ref="L11548:L11570" si="2029">(SUM(C11548,C11524,C11500,C11476,C11452,C11428,C11404)/SUM(C11380,C11356,C11332,C11308,C11284,C11260,C11236))-1</f>
        <v>7.6844783715012799E-2</v>
      </c>
      <c r="M11548" s="401">
        <f>SUM(C11548,C11524,C11500,C11476,C11452,C11428,C11404)/POBLA!$B$3*100000</f>
        <v>509.34194753489089</v>
      </c>
    </row>
    <row r="11549" spans="1:18" x14ac:dyDescent="0.25">
      <c r="A11549" s="367" t="s">
        <v>15</v>
      </c>
      <c r="B11549" s="2">
        <v>44374</v>
      </c>
      <c r="C11549" s="1">
        <v>295</v>
      </c>
      <c r="D11549" s="39">
        <f t="shared" si="2024"/>
        <v>75308</v>
      </c>
      <c r="E11549" s="1">
        <v>10</v>
      </c>
      <c r="F11549" s="39">
        <f t="shared" si="2025"/>
        <v>1610</v>
      </c>
      <c r="G11549" s="168">
        <f>SUM(C11549,C11525,C11501,C11477,C11453,C11429,C11405,C11381,C11357,C11333,C11309,C11285,C11261,C11237)/POBLA!$B$4*100000</f>
        <v>641.1570880526275</v>
      </c>
      <c r="H11549" s="256">
        <f t="shared" si="2026"/>
        <v>0.78342462974234128</v>
      </c>
      <c r="I11549" s="297">
        <f t="shared" si="2027"/>
        <v>502.29825431430743</v>
      </c>
      <c r="J11549" s="422">
        <f t="shared" si="2028"/>
        <v>526.85714285714289</v>
      </c>
      <c r="K11549" s="297">
        <f>J11549/POBLA!$B$4*100000</f>
        <v>43.739245310632256</v>
      </c>
      <c r="L11549" s="200">
        <f t="shared" si="2029"/>
        <v>-8.5997521685253986E-2</v>
      </c>
      <c r="M11549" s="401">
        <f>SUM(C11549,C11525,C11501,C11477,C11453,C11429,C11405)/POBLA!$B$4*100000</f>
        <v>306.17471717442578</v>
      </c>
      <c r="N11549" s="42" t="s">
        <v>15</v>
      </c>
      <c r="O11549" s="42">
        <v>5</v>
      </c>
      <c r="P11549" s="42">
        <v>5</v>
      </c>
      <c r="Q11549" s="42">
        <v>0</v>
      </c>
      <c r="R11549" s="42">
        <v>10</v>
      </c>
    </row>
    <row r="11550" spans="1:18" x14ac:dyDescent="0.25">
      <c r="A11550" s="367" t="s">
        <v>29</v>
      </c>
      <c r="B11550" s="2">
        <v>44374</v>
      </c>
      <c r="C11550" s="1">
        <v>159</v>
      </c>
      <c r="D11550" s="39">
        <f t="shared" si="2024"/>
        <v>70072</v>
      </c>
      <c r="F11550" s="39">
        <f t="shared" si="2025"/>
        <v>1192</v>
      </c>
      <c r="G11550" s="168">
        <f>SUM(C11550,C11526,C11502,C11478,C11454,C11430,C11406,C11382,C11358,C11334,C11310,C11286,C11262,C11238)/POBLA!$B$5*100000</f>
        <v>502.58968584509699</v>
      </c>
      <c r="H11550" s="256">
        <f t="shared" si="2026"/>
        <v>0.66773985833869931</v>
      </c>
      <c r="I11550" s="297">
        <f t="shared" si="2027"/>
        <v>335.59916562869648</v>
      </c>
      <c r="J11550" s="422">
        <f t="shared" si="2028"/>
        <v>225.28571428571428</v>
      </c>
      <c r="K11550" s="297">
        <f>J11550/POBLA!$B$5*100000</f>
        <v>36.395460099082428</v>
      </c>
      <c r="L11550" s="200">
        <f t="shared" si="2029"/>
        <v>2.8031290743155246E-2</v>
      </c>
      <c r="M11550" s="401">
        <f>SUM(C11550,C11526,C11502,C11478,C11454,C11430,C11406)/POBLA!$B$5*100000</f>
        <v>254.76822069357701</v>
      </c>
    </row>
    <row r="11551" spans="1:18" x14ac:dyDescent="0.25">
      <c r="A11551" s="367" t="s">
        <v>30</v>
      </c>
      <c r="B11551" s="2">
        <v>44374</v>
      </c>
      <c r="C11551" s="1">
        <v>418</v>
      </c>
      <c r="D11551" s="39">
        <f t="shared" si="2024"/>
        <v>64800</v>
      </c>
      <c r="F11551" s="39">
        <f t="shared" si="2025"/>
        <v>708</v>
      </c>
      <c r="G11551" s="168">
        <f>SUM(C11551,C11527,C11503,C11479,C11455,C11431,C11407,C11383,C11359,C11335,C11311,C11287,C11263,C11239)/POBLA!$B$6*100000</f>
        <v>646.59114329840895</v>
      </c>
      <c r="H11551" s="256">
        <f t="shared" si="2026"/>
        <v>1.1253105590062111</v>
      </c>
      <c r="I11551" s="297">
        <f t="shared" si="2027"/>
        <v>727.61584091359771</v>
      </c>
      <c r="J11551" s="422">
        <f t="shared" si="2028"/>
        <v>566.42857142857144</v>
      </c>
      <c r="K11551" s="297">
        <f>J11551/POBLA!$B$6*100000</f>
        <v>50.537836014472816</v>
      </c>
      <c r="L11551" s="200">
        <f t="shared" si="2029"/>
        <v>0.20810481413772086</v>
      </c>
      <c r="M11551" s="401">
        <f>SUM(C11551,C11527,C11503,C11479,C11455,C11431,C11407)/POBLA!$B$6*100000</f>
        <v>353.76485210130966</v>
      </c>
    </row>
    <row r="11552" spans="1:18" x14ac:dyDescent="0.25">
      <c r="A11552" s="367" t="s">
        <v>20</v>
      </c>
      <c r="B11552" s="2">
        <v>44374</v>
      </c>
      <c r="C11552" s="1">
        <v>1169</v>
      </c>
      <c r="D11552" s="39">
        <f t="shared" si="2024"/>
        <v>402610</v>
      </c>
      <c r="E11552" s="1">
        <v>27</v>
      </c>
      <c r="F11552" s="39">
        <f t="shared" si="2025"/>
        <v>5133</v>
      </c>
      <c r="G11552" s="168">
        <f>SUM(C11552,C11528,C11504,C11480,C11456,C11432,C11408,C11384,C11360,C11336,C11312,C11288,C11264,C11240)/POBLA!$B$7*100000</f>
        <v>1012.3788376391122</v>
      </c>
      <c r="H11552" s="256">
        <f t="shared" si="2026"/>
        <v>0.67712502000960462</v>
      </c>
      <c r="I11552" s="297">
        <f t="shared" si="2027"/>
        <v>685.50704069368419</v>
      </c>
      <c r="J11552" s="422">
        <f t="shared" si="2028"/>
        <v>2601.8571428571427</v>
      </c>
      <c r="K11552" s="297">
        <f>J11552/POBLA!$B$7*100000</f>
        <v>69.190047543702022</v>
      </c>
      <c r="L11552" s="200">
        <f t="shared" si="2029"/>
        <v>-8.2791962532104524E-2</v>
      </c>
      <c r="M11552" s="401">
        <f>SUM(C11552,C11528,C11504,C11480,C11456,C11432,C11408)/POBLA!$B$7*100000</f>
        <v>484.33033280591417</v>
      </c>
      <c r="N11552" s="42" t="s">
        <v>20</v>
      </c>
      <c r="O11552" s="42">
        <v>9</v>
      </c>
      <c r="P11552" s="42">
        <v>18</v>
      </c>
      <c r="Q11552" s="42">
        <v>0</v>
      </c>
      <c r="R11552" s="42">
        <v>27</v>
      </c>
    </row>
    <row r="11553" spans="1:18" x14ac:dyDescent="0.25">
      <c r="A11553" s="367" t="s">
        <v>31</v>
      </c>
      <c r="B11553" s="2">
        <v>44374</v>
      </c>
      <c r="C11553" s="1">
        <v>416</v>
      </c>
      <c r="D11553" s="39">
        <f t="shared" si="2024"/>
        <v>107787</v>
      </c>
      <c r="E11553" s="1">
        <v>8</v>
      </c>
      <c r="F11553" s="39">
        <f t="shared" si="2025"/>
        <v>1772</v>
      </c>
      <c r="G11553" s="168">
        <f>SUM(C11553,C11529,C11505,C11481,C11457,C11433,C11409,C11385,C11361,C11337,C11313,C11289,C11265,C11241)/POBLA!$B$8*100000</f>
        <v>731.622318376924</v>
      </c>
      <c r="H11553" s="256">
        <f t="shared" si="2026"/>
        <v>0.80386871729824005</v>
      </c>
      <c r="I11553" s="297">
        <f t="shared" si="2027"/>
        <v>588.12829462042248</v>
      </c>
      <c r="J11553" s="573">
        <f t="shared" si="2028"/>
        <v>668.57142857142856</v>
      </c>
      <c r="K11553" s="297">
        <f>J11553/POBLA!$B$8*100000</f>
        <v>48.238834178698291</v>
      </c>
      <c r="L11553" s="200">
        <f t="shared" si="2029"/>
        <v>-0.1428571428571429</v>
      </c>
      <c r="M11553" s="401">
        <f>SUM(C11553,C11529,C11505,C11481,C11457,C11433,C11409)/POBLA!$B$8*100000</f>
        <v>337.67183925088801</v>
      </c>
      <c r="N11553" s="42" t="s">
        <v>31</v>
      </c>
      <c r="O11553" s="42">
        <v>4</v>
      </c>
      <c r="P11553" s="42">
        <v>4</v>
      </c>
      <c r="Q11553" s="42">
        <v>0</v>
      </c>
      <c r="R11553" s="42">
        <v>8</v>
      </c>
    </row>
    <row r="11554" spans="1:18" x14ac:dyDescent="0.25">
      <c r="A11554" s="367" t="s">
        <v>41</v>
      </c>
      <c r="B11554" s="2">
        <v>44374</v>
      </c>
      <c r="C11554" s="1">
        <v>383</v>
      </c>
      <c r="D11554" s="39">
        <f t="shared" si="2024"/>
        <v>44579</v>
      </c>
      <c r="E11554" s="1">
        <v>5</v>
      </c>
      <c r="F11554" s="39">
        <f t="shared" si="2025"/>
        <v>792</v>
      </c>
      <c r="G11554" s="168">
        <f>SUM(C11554,C11530,C11506,C11482,C11458,C11434,C11410,C11386,C11362,C11338,C11314,C11290,C11266,C11242)/POBLA!$B$9*100000</f>
        <v>1104.1105895144194</v>
      </c>
      <c r="H11554" s="256">
        <f t="shared" si="2026"/>
        <v>0.80993939393939396</v>
      </c>
      <c r="I11554" s="297">
        <f>G11554*H11554</f>
        <v>894.26266171337579</v>
      </c>
      <c r="J11554" s="422">
        <f t="shared" si="2028"/>
        <v>431.57142857142856</v>
      </c>
      <c r="K11554" s="297">
        <f>J11554/POBLA!$B$9*100000</f>
        <v>71.311371508168222</v>
      </c>
      <c r="L11554" s="200">
        <f t="shared" si="2029"/>
        <v>-0.17481562414640806</v>
      </c>
      <c r="M11554" s="401">
        <f>SUM(C11554,C11530,C11506,C11482,C11458,C11434,C11410)/POBLA!$B$9*100000</f>
        <v>499.17960055717765</v>
      </c>
      <c r="N11554" s="42" t="s">
        <v>41</v>
      </c>
      <c r="O11554" s="42">
        <v>3</v>
      </c>
      <c r="P11554" s="42">
        <v>2</v>
      </c>
      <c r="Q11554" s="42">
        <v>0</v>
      </c>
      <c r="R11554" s="42">
        <v>5</v>
      </c>
    </row>
    <row r="11555" spans="1:18" x14ac:dyDescent="0.25">
      <c r="A11555" s="367" t="s">
        <v>32</v>
      </c>
      <c r="B11555" s="2">
        <v>44374</v>
      </c>
      <c r="C11555" s="1">
        <v>273</v>
      </c>
      <c r="D11555" s="39">
        <f t="shared" si="2024"/>
        <v>34981</v>
      </c>
      <c r="E11555" s="1">
        <v>6</v>
      </c>
      <c r="F11555" s="39">
        <f t="shared" si="2025"/>
        <v>1161</v>
      </c>
      <c r="G11555" s="168">
        <f>SUM(C11555,C11531,C11507,C11483,C11459,C11435,C11411,C11387,C11363,C11339,C11315,C11291,C11267,C11243)/POBLA!$B$10*100000</f>
        <v>446.76156242014008</v>
      </c>
      <c r="H11555" s="256">
        <f t="shared" si="2026"/>
        <v>1.0357894736842106</v>
      </c>
      <c r="I11555" s="297">
        <f t="shared" ref="I11555:I11569" si="2030">G11555*H11555</f>
        <v>462.7509236014925</v>
      </c>
      <c r="J11555" s="422">
        <f t="shared" si="2028"/>
        <v>250.71428571428572</v>
      </c>
      <c r="K11555" s="297">
        <f>J11555/POBLA!$B$10*100000</f>
        <v>32.523085367817565</v>
      </c>
      <c r="L11555" s="200">
        <f t="shared" si="2029"/>
        <v>3.9076376554174175E-2</v>
      </c>
      <c r="M11555" s="401">
        <f>SUM(C11555,C11531,C11507,C11483,C11459,C11435,C11411)/POBLA!$B$10*100000</f>
        <v>227.66159757472295</v>
      </c>
      <c r="N11555" s="42" t="s">
        <v>32</v>
      </c>
      <c r="O11555" s="42">
        <v>0</v>
      </c>
      <c r="P11555" s="42">
        <v>6</v>
      </c>
      <c r="Q11555" s="42">
        <v>0</v>
      </c>
      <c r="R11555" s="42">
        <v>6</v>
      </c>
    </row>
    <row r="11556" spans="1:18" x14ac:dyDescent="0.25">
      <c r="A11556" s="367" t="s">
        <v>33</v>
      </c>
      <c r="B11556" s="2">
        <v>44374</v>
      </c>
      <c r="C11556" s="1">
        <v>364</v>
      </c>
      <c r="D11556" s="39">
        <f t="shared" si="2024"/>
        <v>51667</v>
      </c>
      <c r="F11556" s="39">
        <f t="shared" si="2025"/>
        <v>713</v>
      </c>
      <c r="G11556" s="168">
        <f>SUM(C11556,C11532,C11508,C11484,C11460,C11436,C11412,C11388,C11364,C11340,C11316,C11292,C11268,C11244)/POBLA!$B$11*100000</f>
        <v>1204.7049895655473</v>
      </c>
      <c r="H11556" s="256">
        <f t="shared" si="2026"/>
        <v>0.86170425064857314</v>
      </c>
      <c r="I11556" s="297">
        <f t="shared" si="2030"/>
        <v>1038.0994102861771</v>
      </c>
      <c r="J11556" s="422">
        <f t="shared" si="2028"/>
        <v>355.28571428571428</v>
      </c>
      <c r="K11556" s="297">
        <f>J11556/POBLA!$B$11*100000</f>
        <v>99.123314664511227</v>
      </c>
      <c r="L11556" s="200">
        <f t="shared" si="2029"/>
        <v>0.35827416712179128</v>
      </c>
      <c r="M11556" s="401">
        <f>SUM(C11556,C11532,C11508,C11484,C11460,C11436,C11412)/POBLA!$B$11*100000</f>
        <v>693.86320265157849</v>
      </c>
    </row>
    <row r="11557" spans="1:18" x14ac:dyDescent="0.25">
      <c r="A11557" s="367" t="s">
        <v>21</v>
      </c>
      <c r="B11557" s="2">
        <v>44374</v>
      </c>
      <c r="C11557" s="1">
        <v>201</v>
      </c>
      <c r="D11557" s="39">
        <f t="shared" si="2024"/>
        <v>21682</v>
      </c>
      <c r="E11557" s="1">
        <v>1</v>
      </c>
      <c r="F11557" s="39">
        <f t="shared" si="2025"/>
        <v>632</v>
      </c>
      <c r="G11557" s="168">
        <f>SUM(C11557,C11533,C11509,C11485,C11461,C11437,C11413,C11389,C11365,C11341,C11317,C11293,C11269,C11245)/POBLA!$B$12*100000</f>
        <v>549.38492774393887</v>
      </c>
      <c r="H11557" s="256">
        <f t="shared" si="2026"/>
        <v>0.96907216494845361</v>
      </c>
      <c r="I11557" s="297">
        <f t="shared" si="2030"/>
        <v>532.39364131886862</v>
      </c>
      <c r="J11557" s="422">
        <f t="shared" si="2028"/>
        <v>171.71428571428572</v>
      </c>
      <c r="K11557" s="297">
        <f>J11557/POBLA!$B$12*100000</f>
        <v>43.634246276477768</v>
      </c>
      <c r="L11557" s="200">
        <f t="shared" si="2029"/>
        <v>0.25208333333333344</v>
      </c>
      <c r="M11557" s="401">
        <f>SUM(C11557,C11533,C11509,C11485,C11461,C11437,C11413)/POBLA!$B$12*100000</f>
        <v>305.43972393534438</v>
      </c>
      <c r="N11557" s="42" t="s">
        <v>21</v>
      </c>
      <c r="O11557" s="42">
        <v>1</v>
      </c>
      <c r="P11557" s="42">
        <v>0</v>
      </c>
      <c r="Q11557" s="42">
        <v>0</v>
      </c>
      <c r="R11557" s="42">
        <v>1</v>
      </c>
    </row>
    <row r="11558" spans="1:18" x14ac:dyDescent="0.25">
      <c r="A11558" s="367" t="s">
        <v>17</v>
      </c>
      <c r="B11558" s="2">
        <v>44374</v>
      </c>
      <c r="C11558" s="1">
        <v>208</v>
      </c>
      <c r="D11558" s="39">
        <f t="shared" si="2024"/>
        <v>137889</v>
      </c>
      <c r="E11558" s="1">
        <v>14</v>
      </c>
      <c r="F11558" s="39">
        <f t="shared" si="2025"/>
        <v>3189</v>
      </c>
      <c r="G11558" s="168">
        <f>SUM(C11558,C11534,C11510,C11486,C11462,C11438,C11414,C11390,C11366,C11342,C11318,C11294,C11270,C11246)/POBLA!$B$13*100000</f>
        <v>406.36314033093873</v>
      </c>
      <c r="H11558" s="256">
        <f t="shared" si="2026"/>
        <v>0.81507608586113067</v>
      </c>
      <c r="I11558" s="297">
        <f t="shared" si="2030"/>
        <v>331.21687785917891</v>
      </c>
      <c r="J11558" s="422">
        <f t="shared" si="2028"/>
        <v>552.85714285714289</v>
      </c>
      <c r="K11558" s="297">
        <f>J11558/POBLA!$B$13*100000</f>
        <v>27.77704806204488</v>
      </c>
      <c r="L11558" s="200">
        <f t="shared" si="2029"/>
        <v>-8.2503556187766725E-2</v>
      </c>
      <c r="M11558" s="401">
        <f>SUM(C11558,C11534,C11510,C11486,C11462,C11438,C11414)/POBLA!$B$13*100000</f>
        <v>194.43933643431419</v>
      </c>
      <c r="N11558" s="42" t="s">
        <v>17</v>
      </c>
      <c r="O11558" s="42">
        <v>8</v>
      </c>
      <c r="P11558" s="42">
        <v>6</v>
      </c>
      <c r="Q11558" s="42">
        <v>0</v>
      </c>
      <c r="R11558" s="42">
        <v>14</v>
      </c>
    </row>
    <row r="11559" spans="1:18" x14ac:dyDescent="0.25">
      <c r="A11559" s="367" t="s">
        <v>23</v>
      </c>
      <c r="B11559" s="2">
        <v>44374</v>
      </c>
      <c r="C11559" s="1">
        <v>219</v>
      </c>
      <c r="D11559" s="39">
        <f t="shared" si="2024"/>
        <v>25144</v>
      </c>
      <c r="F11559" s="39">
        <f t="shared" si="2025"/>
        <v>412</v>
      </c>
      <c r="G11559" s="168">
        <f>SUM(C11559,C11535,C11511,C11487,C11463,C11439,C11415,C11391,C11367,C11343,C11319,C11295,C11271,C11247)/POBLA!$B$14*100000</f>
        <v>191.31146267246177</v>
      </c>
      <c r="H11559" s="256">
        <f t="shared" si="2026"/>
        <v>0.97811106607215237</v>
      </c>
      <c r="I11559" s="297">
        <f t="shared" si="2030"/>
        <v>187.12385870638437</v>
      </c>
      <c r="J11559" s="422">
        <f t="shared" si="2028"/>
        <v>184.28571428571428</v>
      </c>
      <c r="K11559" s="297">
        <f>J11559/POBLA!$B$14*100000</f>
        <v>14.610845233998916</v>
      </c>
      <c r="L11559" s="200">
        <f t="shared" si="2029"/>
        <v>0.14870881567230643</v>
      </c>
      <c r="M11559" s="401">
        <f>SUM(C11559,C11535,C11511,C11487,C11463,C11439,C11415)/POBLA!$B$14*100000</f>
        <v>102.27591663799242</v>
      </c>
    </row>
    <row r="11560" spans="1:18" x14ac:dyDescent="0.25">
      <c r="A11560" s="367" t="s">
        <v>19</v>
      </c>
      <c r="B11560" s="2">
        <v>44374</v>
      </c>
      <c r="C11560" s="1">
        <v>173</v>
      </c>
      <c r="D11560" s="39">
        <f t="shared" si="2024"/>
        <v>100792</v>
      </c>
      <c r="E11560" s="1">
        <v>23</v>
      </c>
      <c r="F11560" s="39">
        <f t="shared" si="2025"/>
        <v>1767</v>
      </c>
      <c r="G11560" s="168">
        <f>SUM(C11560,C11536,C11512,C11488,C11464,C11440,C11416,C11392,C11368,C11344,C11320,C11296,C11272,C11248)/POBLA!$B$15*100000</f>
        <v>581.12481308080487</v>
      </c>
      <c r="H11560" s="256">
        <f t="shared" si="2026"/>
        <v>0.52268725450358933</v>
      </c>
      <c r="I11560" s="297">
        <f t="shared" si="2030"/>
        <v>303.7465330731174</v>
      </c>
      <c r="J11560" s="422">
        <f t="shared" si="2028"/>
        <v>252.42857142857142</v>
      </c>
      <c r="K11560" s="297">
        <f>J11560/POBLA!$B$15*100000</f>
        <v>38.013087947054458</v>
      </c>
      <c r="L11560" s="200">
        <f t="shared" si="2029"/>
        <v>-0.1553537284894837</v>
      </c>
      <c r="M11560" s="401">
        <f>SUM(C11560,C11536,C11512,C11488,C11464,C11440,C11416)/POBLA!$B$15*100000</f>
        <v>266.09161562938124</v>
      </c>
      <c r="N11560" s="42" t="s">
        <v>19</v>
      </c>
      <c r="O11560" s="42">
        <v>8</v>
      </c>
      <c r="P11560" s="42">
        <v>15</v>
      </c>
      <c r="Q11560" s="42">
        <v>0</v>
      </c>
      <c r="R11560" s="42">
        <v>23</v>
      </c>
    </row>
    <row r="11561" spans="1:18" x14ac:dyDescent="0.25">
      <c r="A11561" s="367" t="s">
        <v>18</v>
      </c>
      <c r="B11561" s="2">
        <v>44374</v>
      </c>
      <c r="C11561" s="1">
        <v>138</v>
      </c>
      <c r="D11561" s="39">
        <f t="shared" si="2024"/>
        <v>83515</v>
      </c>
      <c r="E11561" s="1">
        <v>3</v>
      </c>
      <c r="F11561" s="39">
        <f t="shared" si="2025"/>
        <v>1908</v>
      </c>
      <c r="G11561" s="168">
        <f>SUM(C11561,C11537,C11513,C11489,C11465,C11441,C11417,C11393,C11369,C11345,C11321,C11297,C11273,C11249)/POBLA!$B$16*100000</f>
        <v>553.76466339401554</v>
      </c>
      <c r="H11561" s="256">
        <f t="shared" si="2026"/>
        <v>0.71862523867384132</v>
      </c>
      <c r="I11561" s="297">
        <f t="shared" si="2030"/>
        <v>397.94926340066382</v>
      </c>
      <c r="J11561" s="422">
        <f t="shared" si="2028"/>
        <v>271.57142857142856</v>
      </c>
      <c r="K11561" s="297">
        <f>J11561/POBLA!$B$16*100000</f>
        <v>36.325280369635045</v>
      </c>
      <c r="L11561" s="200">
        <f t="shared" si="2029"/>
        <v>-0.15096025011165703</v>
      </c>
      <c r="M11561" s="401">
        <f>SUM(C11561,C11537,C11513,C11489,C11465,C11441,C11417)/POBLA!$B$16*100000</f>
        <v>254.27696258744533</v>
      </c>
      <c r="N11561" s="42" t="s">
        <v>18</v>
      </c>
      <c r="O11561" s="42">
        <v>2</v>
      </c>
      <c r="P11561" s="42">
        <v>1</v>
      </c>
      <c r="Q11561" s="42">
        <v>0</v>
      </c>
      <c r="R11561" s="42">
        <v>3</v>
      </c>
    </row>
    <row r="11562" spans="1:18" x14ac:dyDescent="0.25">
      <c r="A11562" s="367" t="s">
        <v>34</v>
      </c>
      <c r="B11562" s="2">
        <v>44374</v>
      </c>
      <c r="C11562" s="1">
        <v>383</v>
      </c>
      <c r="D11562" s="39">
        <f>C11562+D11538</f>
        <v>59762</v>
      </c>
      <c r="E11562" s="1">
        <v>1</v>
      </c>
      <c r="F11562" s="39">
        <f t="shared" si="2025"/>
        <v>1693</v>
      </c>
      <c r="G11562" s="168">
        <f>SUM(C11562,C11538,C11514,C11490,C11466,C11442,C11418,C11394,C11370,C11346,C11322,C11298,C11274,C11250)/POBLA!$B$17*100000</f>
        <v>497.19284721885822</v>
      </c>
      <c r="H11562" s="256">
        <f t="shared" si="2026"/>
        <v>0.91640786749482406</v>
      </c>
      <c r="I11562" s="297">
        <f t="shared" si="2030"/>
        <v>455.63143685351372</v>
      </c>
      <c r="J11562" s="422">
        <f t="shared" si="2028"/>
        <v>516.85714285714289</v>
      </c>
      <c r="K11562" s="297">
        <f>J11562/POBLA!$B$17*100000</f>
        <v>36.286031412390152</v>
      </c>
      <c r="L11562" s="200">
        <f t="shared" si="2029"/>
        <v>4.4457274826789739E-2</v>
      </c>
      <c r="M11562" s="401">
        <f>SUM(C11562,C11538,C11514,C11490,C11466,C11442,C11418)/POBLA!$B$17*100000</f>
        <v>254.00221988673101</v>
      </c>
      <c r="N11562" s="42" t="s">
        <v>34</v>
      </c>
      <c r="O11562" s="42">
        <v>1</v>
      </c>
      <c r="P11562" s="42">
        <v>0</v>
      </c>
      <c r="Q11562" s="42">
        <v>0</v>
      </c>
      <c r="R11562" s="42">
        <v>1</v>
      </c>
    </row>
    <row r="11563" spans="1:18" x14ac:dyDescent="0.25">
      <c r="A11563" s="367" t="s">
        <v>35</v>
      </c>
      <c r="B11563" s="2">
        <v>44374</v>
      </c>
      <c r="C11563" s="1">
        <v>317</v>
      </c>
      <c r="D11563" s="39">
        <f t="shared" ref="D11563:D11569" si="2031">C11563+D11539</f>
        <v>49244</v>
      </c>
      <c r="E11563" s="1">
        <v>5</v>
      </c>
      <c r="F11563" s="39">
        <f t="shared" si="2025"/>
        <v>798</v>
      </c>
      <c r="G11563" s="168">
        <f>SUM(C11563,C11539,C11515,C11491,C11467,C11443,C11419,C11395,C11371,C11347,C11323,C11299,C11275,C11251)/POBLA!$B$18*100000</f>
        <v>808.99417191382156</v>
      </c>
      <c r="H11563" s="256">
        <f t="shared" si="2026"/>
        <v>1.0007917656373713</v>
      </c>
      <c r="I11563" s="297">
        <f t="shared" si="2030"/>
        <v>809.63470569997651</v>
      </c>
      <c r="J11563" s="422">
        <f t="shared" si="2028"/>
        <v>390.14285714285717</v>
      </c>
      <c r="K11563" s="297">
        <f>J11563/POBLA!$B$18*100000</f>
        <v>49.940395196578827</v>
      </c>
      <c r="L11563" s="200">
        <f t="shared" si="2029"/>
        <v>-0.23906380607411537</v>
      </c>
      <c r="M11563" s="401">
        <f>SUM(C11563,C11539,C11515,C11491,C11467,C11443,C11419)/POBLA!$B$18*100000</f>
        <v>349.58276637605172</v>
      </c>
      <c r="N11563" s="42" t="s">
        <v>35</v>
      </c>
      <c r="O11563" s="42">
        <v>2</v>
      </c>
      <c r="P11563" s="42">
        <v>3</v>
      </c>
      <c r="Q11563" s="42">
        <v>0</v>
      </c>
      <c r="R11563" s="42">
        <v>5</v>
      </c>
    </row>
    <row r="11564" spans="1:18" x14ac:dyDescent="0.25">
      <c r="A11564" s="367" t="s">
        <v>36</v>
      </c>
      <c r="B11564" s="2">
        <v>44374</v>
      </c>
      <c r="C11564" s="1">
        <v>340</v>
      </c>
      <c r="D11564" s="39">
        <f t="shared" si="2031"/>
        <v>64584</v>
      </c>
      <c r="E11564" s="1">
        <v>1</v>
      </c>
      <c r="F11564" s="39">
        <f t="shared" si="2025"/>
        <v>905</v>
      </c>
      <c r="G11564" s="168">
        <f>SUM(C11564,C11540,C11516,C11492,C11468,C11444,C11420,C11396,C11372,C11348,C11324,C11300,C11276,C11252)/POBLA!$B$19*100000</f>
        <v>1002.3055979603721</v>
      </c>
      <c r="H11564" s="256">
        <f t="shared" si="2026"/>
        <v>0.73225064673756823</v>
      </c>
      <c r="I11564" s="297">
        <f t="shared" si="2030"/>
        <v>733.93892233516749</v>
      </c>
      <c r="J11564" s="422">
        <f t="shared" si="2028"/>
        <v>368.71428571428572</v>
      </c>
      <c r="K11564" s="297">
        <f>J11564/POBLA!$B$19*100000</f>
        <v>72.534718865434456</v>
      </c>
      <c r="L11564" s="200">
        <f t="shared" si="2029"/>
        <v>2.6650755767700929E-2</v>
      </c>
      <c r="M11564" s="401">
        <f>SUM(C11564,C11540,C11516,C11492,C11468,C11444,C11420)/POBLA!$B$19*100000</f>
        <v>507.74303205804131</v>
      </c>
      <c r="N11564" s="42" t="s">
        <v>36</v>
      </c>
      <c r="O11564" s="42">
        <v>1</v>
      </c>
      <c r="P11564" s="42">
        <v>0</v>
      </c>
      <c r="Q11564" s="42">
        <v>0</v>
      </c>
      <c r="R11564" s="42">
        <v>1</v>
      </c>
    </row>
    <row r="11565" spans="1:18" x14ac:dyDescent="0.25">
      <c r="A11565" s="367" t="s">
        <v>37</v>
      </c>
      <c r="B11565" s="2">
        <v>44374</v>
      </c>
      <c r="C11565" s="1">
        <v>45</v>
      </c>
      <c r="D11565" s="39">
        <f t="shared" si="2031"/>
        <v>55084</v>
      </c>
      <c r="F11565" s="39">
        <f t="shared" ref="F11565:F11570" si="2032">E11565+F11541</f>
        <v>855</v>
      </c>
      <c r="G11565" s="168">
        <f>SUM(C11565,C11541,C11518,C11493,C11469,C11445,C11421,C11397,C11373,C11349,C11325,C11301,C11277,C11253)/POBLA!$B$20*100000</f>
        <v>959.26146711220736</v>
      </c>
      <c r="H11565" s="256">
        <f t="shared" si="2026"/>
        <v>0.64048865619546247</v>
      </c>
      <c r="I11565" s="297">
        <f t="shared" si="2030"/>
        <v>614.39608801078555</v>
      </c>
      <c r="J11565" s="422">
        <f t="shared" si="2028"/>
        <v>97.714285714285708</v>
      </c>
      <c r="K11565" s="297">
        <f>J11565/POBLA!$B$20*100000</f>
        <v>26.719939872322438</v>
      </c>
      <c r="L11565" s="200">
        <f t="shared" si="2029"/>
        <v>-0.12755102040816324</v>
      </c>
      <c r="M11565" s="401">
        <f>SUM(C11565,C11541,C11517,C11493,C11469,C11445,C11421)/POBLA!$B$20*100000</f>
        <v>187.03957910625707</v>
      </c>
    </row>
    <row r="11566" spans="1:18" x14ac:dyDescent="0.25">
      <c r="A11566" s="367" t="s">
        <v>22</v>
      </c>
      <c r="B11566" s="2">
        <v>44374</v>
      </c>
      <c r="C11566" s="1">
        <v>1163</v>
      </c>
      <c r="D11566" s="39">
        <f t="shared" si="2031"/>
        <v>401183</v>
      </c>
      <c r="E11566" s="1">
        <v>13</v>
      </c>
      <c r="F11566" s="39">
        <f t="shared" si="2032"/>
        <v>6500</v>
      </c>
      <c r="G11566" s="168">
        <f>SUM(C11566,C11542,C11518,C11494,C11470,C11446,C11422,C11398,C11374,C11350,C11326,C11302,C11278,C11254)/POBLA!$B$21*100000</f>
        <v>683.9123655631206</v>
      </c>
      <c r="H11566" s="256">
        <f t="shared" si="2026"/>
        <v>0.70387939815488487</v>
      </c>
      <c r="I11566" s="297">
        <f t="shared" si="2030"/>
        <v>481.39182426325294</v>
      </c>
      <c r="J11566" s="422">
        <f t="shared" si="2028"/>
        <v>1672</v>
      </c>
      <c r="K11566" s="297">
        <f>J11566/POBLA!$B$21*100000</f>
        <v>47.27947883988827</v>
      </c>
      <c r="L11566" s="200">
        <f t="shared" si="2029"/>
        <v>-6.2329754846979668E-2</v>
      </c>
      <c r="M11566" s="401">
        <f>SUM(C11566,C11542,C11518,C11494,C11470,C11446,C11422)/POBLA!$B$21*100000</f>
        <v>330.95635187921789</v>
      </c>
      <c r="N11566" s="42" t="s">
        <v>22</v>
      </c>
      <c r="O11566" s="42">
        <v>2</v>
      </c>
      <c r="P11566" s="42">
        <v>11</v>
      </c>
      <c r="Q11566" s="42">
        <v>0</v>
      </c>
      <c r="R11566" s="42">
        <v>13</v>
      </c>
    </row>
    <row r="11567" spans="1:18" x14ac:dyDescent="0.25">
      <c r="A11567" s="367" t="s">
        <v>38</v>
      </c>
      <c r="B11567" s="2">
        <v>44374</v>
      </c>
      <c r="C11567" s="1">
        <v>550</v>
      </c>
      <c r="D11567" s="39">
        <f t="shared" si="2031"/>
        <v>58101</v>
      </c>
      <c r="E11567" s="1">
        <v>8</v>
      </c>
      <c r="F11567" s="39">
        <f t="shared" si="2032"/>
        <v>778</v>
      </c>
      <c r="G11567" s="168">
        <f>SUM(C11567,C11543,C11519,C11495,C11471,C11447,C11423,C11399,C11375,C11351,C11327,C11303,C11279,C11255)/POBLA!$B$22*100000</f>
        <v>733.81422918840906</v>
      </c>
      <c r="H11567" s="256">
        <f t="shared" si="2026"/>
        <v>0.95086092715231785</v>
      </c>
      <c r="I11567" s="297">
        <f t="shared" si="2030"/>
        <v>697.75527832365412</v>
      </c>
      <c r="J11567" s="422">
        <f t="shared" si="2028"/>
        <v>498.14285714285717</v>
      </c>
      <c r="K11567" s="297">
        <f>J11567/POBLA!$B$22*100000</f>
        <v>50.918556447972904</v>
      </c>
      <c r="L11567" s="200">
        <f t="shared" si="2029"/>
        <v>-5.5525460455037923E-2</v>
      </c>
      <c r="M11567" s="401">
        <f>SUM(C11567,C11543,C11519,C11495,C11471,C11447,C11423)/POBLA!$B$22*100000</f>
        <v>356.42989513581028</v>
      </c>
      <c r="N11567" s="42" t="s">
        <v>38</v>
      </c>
      <c r="O11567" s="42">
        <v>3</v>
      </c>
      <c r="P11567" s="42">
        <v>5</v>
      </c>
      <c r="Q11567" s="42">
        <v>0</v>
      </c>
      <c r="R11567" s="42">
        <v>8</v>
      </c>
    </row>
    <row r="11568" spans="1:18" x14ac:dyDescent="0.25">
      <c r="A11568" s="367" t="s">
        <v>39</v>
      </c>
      <c r="B11568" s="2">
        <v>44374</v>
      </c>
      <c r="C11568" s="1">
        <v>37</v>
      </c>
      <c r="D11568" s="39">
        <f t="shared" si="2031"/>
        <v>29622</v>
      </c>
      <c r="E11568" s="1">
        <v>1</v>
      </c>
      <c r="F11568" s="39">
        <f t="shared" si="2032"/>
        <v>439</v>
      </c>
      <c r="G11568" s="168">
        <f>SUM(C11568,C11544,C11520,C11496,C11472,C11448,C11424,C11400,C11376,C11352,C11328,C11304,C11280,C11256)/POBLA!$B$23*100000</f>
        <v>323.47452355369563</v>
      </c>
      <c r="H11568" s="256">
        <f t="shared" si="2026"/>
        <v>0.95333333333333337</v>
      </c>
      <c r="I11568" s="297">
        <f t="shared" si="2030"/>
        <v>308.37904578785651</v>
      </c>
      <c r="J11568" s="422">
        <f t="shared" si="2028"/>
        <v>40.857142857142854</v>
      </c>
      <c r="K11568" s="297">
        <f>J11568/POBLA!$B$23*100000</f>
        <v>23.105323110978258</v>
      </c>
      <c r="L11568" s="200">
        <f t="shared" si="2029"/>
        <v>0</v>
      </c>
      <c r="M11568" s="401">
        <f>SUM(C11568,C11544,C11520,C11496,C11472,C11448,C11424)/POBLA!$B$23*100000</f>
        <v>161.73726177684782</v>
      </c>
      <c r="N11568" s="42" t="s">
        <v>39</v>
      </c>
      <c r="O11568" s="42">
        <v>0</v>
      </c>
      <c r="P11568" s="42">
        <v>1</v>
      </c>
      <c r="Q11568" s="42">
        <v>0</v>
      </c>
      <c r="R11568" s="42">
        <v>1</v>
      </c>
    </row>
    <row r="11569" spans="1:18" ht="15.75" thickBot="1" x14ac:dyDescent="0.3">
      <c r="A11569" s="369" t="s">
        <v>40</v>
      </c>
      <c r="B11569" s="2">
        <v>44374</v>
      </c>
      <c r="C11569" s="1">
        <v>483</v>
      </c>
      <c r="D11569" s="176">
        <f t="shared" si="2031"/>
        <v>152048</v>
      </c>
      <c r="E11569" s="1">
        <v>18</v>
      </c>
      <c r="F11569" s="176">
        <f t="shared" si="2032"/>
        <v>2281</v>
      </c>
      <c r="G11569" s="177">
        <f>SUM(C11569,C11545,C11521,C11497,C11473,C11449,C11425,C11401,C11377,C11353,C11329,C11305,C11281,C11257)/POBLA!$B$24*100000</f>
        <v>661.07811850900714</v>
      </c>
      <c r="H11569" s="402">
        <f t="shared" si="2026"/>
        <v>0.91662575683194236</v>
      </c>
      <c r="I11569" s="403">
        <f t="shared" si="2030"/>
        <v>605.96123070335511</v>
      </c>
      <c r="J11569" s="428">
        <f t="shared" si="2028"/>
        <v>893.71428571428567</v>
      </c>
      <c r="K11569" s="299">
        <f>J11569/POBLA!$B$24*100000</f>
        <v>52.737209540714204</v>
      </c>
      <c r="L11569" s="260">
        <f t="shared" si="2029"/>
        <v>0.26460481099656352</v>
      </c>
      <c r="M11569" s="406">
        <f>SUM(C11569,C11545,C11521,C11497,C11473,C11449,C11425)/POBLA!$B$24*100000</f>
        <v>369.16046678499941</v>
      </c>
      <c r="N11569" s="42" t="s">
        <v>40</v>
      </c>
      <c r="O11569" s="42">
        <v>8</v>
      </c>
      <c r="P11569" s="42">
        <v>10</v>
      </c>
      <c r="Q11569" s="42">
        <v>0</v>
      </c>
      <c r="R11569" s="42">
        <v>18</v>
      </c>
    </row>
    <row r="11570" spans="1:18" x14ac:dyDescent="0.25">
      <c r="A11570" s="363" t="s">
        <v>16</v>
      </c>
      <c r="B11570" s="2">
        <v>44375</v>
      </c>
      <c r="C11570" s="1">
        <v>6023</v>
      </c>
      <c r="D11570" s="174">
        <f>C11570+D11546</f>
        <v>1827305</v>
      </c>
      <c r="E11570" s="1">
        <v>271</v>
      </c>
      <c r="F11570" s="174">
        <f t="shared" si="2032"/>
        <v>47084</v>
      </c>
      <c r="G11570" s="175">
        <f>SUM(C11570,C11546,C11498,C11522,C11474,C11450,C11426,C11402,C11378,C11354,C11330,C11306,C11282,C11258)/POBLA!$B$1*100000</f>
        <v>524.24753897138157</v>
      </c>
      <c r="H11570" s="300">
        <f>SUM(C11570,C11546,C11522,C11498,C11474,C11450,C11426,C11402,C11378,C11354,C11330,C11306,C11282,C11258,)/SUM(C11234,C11210,C11186,C11162,C11138,C11114,C11090,C11066,C11042,C11018,C10994,C10970,C10946,C10922)</f>
        <v>0.73531904685750837</v>
      </c>
      <c r="I11570" s="301">
        <f>G11570*H11570</f>
        <v>385.48920067383079</v>
      </c>
      <c r="J11570" s="421">
        <f>AVERAGE(C11570,C11546,C11522,C11498,C11474,C11450,C11426)</f>
        <v>6822.1428571428569</v>
      </c>
      <c r="K11570" s="301">
        <f>J11570/POBLA!$B$1*100000</f>
        <v>38.892241144078689</v>
      </c>
      <c r="L11570" s="399">
        <f t="shared" si="2029"/>
        <v>8.0332096642837802E-2</v>
      </c>
      <c r="M11570" s="400">
        <f>SUM(C11570,C11546,C11522,C11498,C11474,C11450,C11426)/POBLA!$B$1*100000</f>
        <v>272.24568800855087</v>
      </c>
      <c r="N11570" s="42" t="s">
        <v>16</v>
      </c>
      <c r="O11570" s="42">
        <v>112</v>
      </c>
      <c r="P11570" s="42">
        <v>156</v>
      </c>
      <c r="Q11570" s="42">
        <v>3</v>
      </c>
      <c r="R11570" s="42">
        <v>271</v>
      </c>
    </row>
    <row r="11571" spans="1:18" x14ac:dyDescent="0.25">
      <c r="A11571" s="367" t="s">
        <v>43</v>
      </c>
      <c r="B11571" s="2">
        <v>44375</v>
      </c>
      <c r="C11571" s="1">
        <v>1129</v>
      </c>
      <c r="D11571" s="39">
        <f t="shared" ref="D11571:D11585" si="2033">C11571+D11547</f>
        <v>461449</v>
      </c>
      <c r="E11571" s="1">
        <v>44</v>
      </c>
      <c r="F11571" s="39">
        <f t="shared" ref="F11571:F11588" si="2034">E11571+F11547</f>
        <v>10269</v>
      </c>
      <c r="G11571" s="168">
        <f>SUM(C11571,C11547,C11523,C11499,C11475,C11451,C11427,C11403,C11379,C11355,C11331,C11307,C11283,C11259)/POBLA!$B$2*100000</f>
        <v>606.89689255525502</v>
      </c>
      <c r="H11571" s="256">
        <f t="shared" ref="H11571:H11593" si="2035">SUM(C11571,C11547,C11523,C11499,C11475,C11451,C11427,C11403,C11379,C11355,C11331,C11307,C11283,C11259,)/SUM(C11235,C11211,C11187,C11163,C11139,C11115,C11091,C11067,C11043,C11019,C10995,C10971,C10947,C10923)</f>
        <v>0.76085272897729583</v>
      </c>
      <c r="I11571" s="297">
        <f t="shared" ref="I11571:I11577" si="2036">G11571*H11571</f>
        <v>461.7591569085065</v>
      </c>
      <c r="J11571" s="422">
        <f>AVERAGE(C11571,C11547,C11523,C11499,C11475,C11451,C11427)</f>
        <v>1388.4285714285713</v>
      </c>
      <c r="K11571" s="297">
        <f>J11571/POBLA!$B$2*100000</f>
        <v>45.142665034551158</v>
      </c>
      <c r="L11571" s="200">
        <f>(SUM(C11571,C11547,C11523,C11499,C11475,C11451,C11427)/SUM(C11403,C11379,C11355,C11331,C11307,C11283,C11259))-1</f>
        <v>8.6285905890242542E-2</v>
      </c>
      <c r="M11571" s="401">
        <f>SUM(C11571,C11547,C11523,C11499,C11475,C11451,C11427)/POBLA!$B$2*100000</f>
        <v>315.99865524185816</v>
      </c>
      <c r="N11571" s="42" t="s">
        <v>43</v>
      </c>
      <c r="O11571" s="42">
        <v>20</v>
      </c>
      <c r="P11571" s="42">
        <v>23</v>
      </c>
      <c r="Q11571" s="42">
        <v>1</v>
      </c>
      <c r="R11571" s="42">
        <v>44</v>
      </c>
    </row>
    <row r="11572" spans="1:18" x14ac:dyDescent="0.25">
      <c r="A11572" s="367" t="s">
        <v>28</v>
      </c>
      <c r="B11572" s="2">
        <v>44375</v>
      </c>
      <c r="C11572" s="1">
        <v>439</v>
      </c>
      <c r="D11572" s="39">
        <f t="shared" si="2033"/>
        <v>33630</v>
      </c>
      <c r="E11572" s="1">
        <v>5</v>
      </c>
      <c r="F11572" s="39">
        <f t="shared" si="2034"/>
        <v>311</v>
      </c>
      <c r="G11572" s="168">
        <f>SUM(C11572,C11548,C11524,C11500,C11476,C11452,C11428,C11404,C11380,C11356,C11332,C11308,C11284,C11260)/POBLA!$B$3*100000</f>
        <v>1013.8696989683178</v>
      </c>
      <c r="H11572" s="256">
        <f t="shared" si="2035"/>
        <v>0.74207188160676529</v>
      </c>
      <c r="I11572" s="297">
        <f t="shared" si="2036"/>
        <v>752.36419521750429</v>
      </c>
      <c r="J11572" s="422">
        <f t="shared" ref="J11572:J11593" si="2037">AVERAGE(C11572,C11548,C11524,C11500,C11476,C11452,C11428)</f>
        <v>340.28571428571428</v>
      </c>
      <c r="K11572" s="297">
        <f>J11572/POBLA!$B$3*100000</f>
        <v>81.910107954908852</v>
      </c>
      <c r="L11572" s="200">
        <f t="shared" ref="L11572:L11593" si="2038">(SUM(C11572,C11548,C11524,C11500,C11476,C11452,C11428)/SUM(C11404,C11380,C11356,C11332,C11308,C11284,C11260))-1</f>
        <v>0.30163934426229511</v>
      </c>
      <c r="M11572" s="401">
        <f>SUM(C11572,C11548,C11524,C11500,C11476,C11452,C11428)/POBLA!$B$3*100000</f>
        <v>573.37075568436205</v>
      </c>
      <c r="N11572" s="42" t="s">
        <v>28</v>
      </c>
      <c r="O11572" s="42">
        <v>1</v>
      </c>
      <c r="P11572" s="42">
        <v>4</v>
      </c>
      <c r="Q11572" s="42">
        <v>0</v>
      </c>
      <c r="R11572" s="42">
        <v>5</v>
      </c>
    </row>
    <row r="11573" spans="1:18" x14ac:dyDescent="0.25">
      <c r="A11573" s="367" t="s">
        <v>15</v>
      </c>
      <c r="B11573" s="2">
        <v>44375</v>
      </c>
      <c r="C11573" s="1">
        <v>351</v>
      </c>
      <c r="D11573" s="39">
        <f t="shared" si="2033"/>
        <v>75659</v>
      </c>
      <c r="E11573" s="1">
        <v>20</v>
      </c>
      <c r="F11573" s="39">
        <f t="shared" si="2034"/>
        <v>1630</v>
      </c>
      <c r="G11573" s="168">
        <f>SUM(C11573,C11549,C11525,C11501,C11477,C11453,C11429,C11405,C11381,C11357,C11333,C11309,C11285,C11261)/POBLA!$B$4*100000</f>
        <v>631.52686375972257</v>
      </c>
      <c r="H11573" s="256">
        <f t="shared" si="2035"/>
        <v>0.77267648552564749</v>
      </c>
      <c r="I11573" s="297">
        <f t="shared" si="2036"/>
        <v>487.96595760489686</v>
      </c>
      <c r="J11573" s="422">
        <f t="shared" si="2037"/>
        <v>539.71428571428567</v>
      </c>
      <c r="K11573" s="297">
        <f>J11573/POBLA!$B$4*100000</f>
        <v>44.806634702702993</v>
      </c>
      <c r="L11573" s="200">
        <f t="shared" si="2038"/>
        <v>-1.3319404544267388E-2</v>
      </c>
      <c r="M11573" s="401">
        <f>SUM(C11573,C11549,C11525,C11501,C11477,C11453,C11429)/POBLA!$B$4*100000</f>
        <v>313.64644291892103</v>
      </c>
      <c r="N11573" s="42" t="s">
        <v>15</v>
      </c>
      <c r="O11573" s="42">
        <v>12</v>
      </c>
      <c r="P11573" s="42">
        <v>8</v>
      </c>
      <c r="Q11573" s="42">
        <v>0</v>
      </c>
      <c r="R11573" s="42">
        <v>20</v>
      </c>
    </row>
    <row r="11574" spans="1:18" x14ac:dyDescent="0.25">
      <c r="A11574" s="367" t="s">
        <v>29</v>
      </c>
      <c r="B11574" s="2">
        <v>44375</v>
      </c>
      <c r="C11574" s="1">
        <v>272</v>
      </c>
      <c r="D11574" s="39">
        <f t="shared" si="2033"/>
        <v>70344</v>
      </c>
      <c r="E11574" s="1">
        <v>7</v>
      </c>
      <c r="F11574" s="39">
        <f t="shared" si="2034"/>
        <v>1199</v>
      </c>
      <c r="G11574" s="168">
        <f>SUM(C11574,C11550,C11526,C11502,C11478,C11454,C11430,C11406,C11382,C11358,C11334,C11310,C11286,C11262)/POBLA!$B$5*100000</f>
        <v>523.75305738020074</v>
      </c>
      <c r="H11574" s="256">
        <f t="shared" si="2035"/>
        <v>0.74426078971533516</v>
      </c>
      <c r="I11574" s="297">
        <f t="shared" si="2036"/>
        <v>389.80886410160946</v>
      </c>
      <c r="J11574" s="422">
        <f t="shared" si="2037"/>
        <v>250.42857142857142</v>
      </c>
      <c r="K11574" s="297">
        <f>J11574/POBLA!$B$5*100000</f>
        <v>40.457350382810077</v>
      </c>
      <c r="L11574" s="200">
        <f t="shared" si="2038"/>
        <v>0.17730020147750158</v>
      </c>
      <c r="M11574" s="401">
        <f>SUM(C11574,C11550,C11526,C11502,C11478,C11454,C11430)/POBLA!$B$5*100000</f>
        <v>283.20145267967058</v>
      </c>
      <c r="N11574" s="42" t="s">
        <v>29</v>
      </c>
      <c r="O11574" s="42">
        <v>3</v>
      </c>
      <c r="P11574" s="42">
        <v>3</v>
      </c>
      <c r="Q11574" s="42">
        <v>1</v>
      </c>
      <c r="R11574" s="42">
        <v>7</v>
      </c>
    </row>
    <row r="11575" spans="1:18" x14ac:dyDescent="0.25">
      <c r="A11575" s="367" t="s">
        <v>30</v>
      </c>
      <c r="B11575" s="2">
        <v>44375</v>
      </c>
      <c r="C11575" s="1">
        <v>239</v>
      </c>
      <c r="D11575" s="39">
        <f t="shared" si="2033"/>
        <v>65039</v>
      </c>
      <c r="E11575" s="1">
        <v>5</v>
      </c>
      <c r="F11575" s="39">
        <f t="shared" si="2034"/>
        <v>713</v>
      </c>
      <c r="G11575" s="168">
        <f>SUM(C11575,C11551,C11527,C11503,C11479,C11455,C11431,C11407,C11383,C11359,C11335,C11311,C11287,C11263)/POBLA!$B$6*100000</f>
        <v>656.9408842426086</v>
      </c>
      <c r="H11575" s="256">
        <f t="shared" si="2035"/>
        <v>1.183381549341048</v>
      </c>
      <c r="I11575" s="297">
        <f t="shared" si="2036"/>
        <v>777.41172142049629</v>
      </c>
      <c r="J11575" s="422">
        <f t="shared" si="2037"/>
        <v>575.57142857142856</v>
      </c>
      <c r="K11575" s="297">
        <f>J11575/POBLA!$B$6*100000</f>
        <v>51.353579143079685</v>
      </c>
      <c r="L11575" s="200">
        <f t="shared" si="2038"/>
        <v>0.20845830833833223</v>
      </c>
      <c r="M11575" s="401">
        <f>SUM(C11575,C11551,C11527,C11503,C11479,C11455,C11431)/POBLA!$B$6*100000</f>
        <v>359.47505400155779</v>
      </c>
      <c r="N11575" s="42" t="s">
        <v>30</v>
      </c>
      <c r="O11575" s="42">
        <v>3</v>
      </c>
      <c r="P11575" s="42">
        <v>2</v>
      </c>
      <c r="Q11575" s="42">
        <v>0</v>
      </c>
      <c r="R11575" s="42">
        <v>5</v>
      </c>
    </row>
    <row r="11576" spans="1:18" x14ac:dyDescent="0.25">
      <c r="A11576" s="367" t="s">
        <v>20</v>
      </c>
      <c r="B11576" s="2">
        <v>44375</v>
      </c>
      <c r="C11576" s="1">
        <v>2015</v>
      </c>
      <c r="D11576" s="39">
        <f t="shared" si="2033"/>
        <v>404625</v>
      </c>
      <c r="E11576" s="1">
        <v>67</v>
      </c>
      <c r="F11576" s="39">
        <f t="shared" si="2034"/>
        <v>5200</v>
      </c>
      <c r="G11576" s="168">
        <f>SUM(C11576,C11552,C11528,C11504,C11480,C11456,C11432,C11408,C11384,C11360,C11336,C11312,C11288,C11264)/POBLA!$B$7*100000</f>
        <v>995.35959792046162</v>
      </c>
      <c r="H11576" s="256">
        <f t="shared" si="2035"/>
        <v>0.67689024721051771</v>
      </c>
      <c r="I11576" s="297">
        <f t="shared" si="2036"/>
        <v>673.74920429974281</v>
      </c>
      <c r="J11576" s="422">
        <f t="shared" si="2037"/>
        <v>2769.1428571428573</v>
      </c>
      <c r="K11576" s="297">
        <f>J11576/POBLA!$B$7*100000</f>
        <v>73.638603282661848</v>
      </c>
      <c r="L11576" s="200">
        <f t="shared" si="2038"/>
        <v>7.4143854593815783E-2</v>
      </c>
      <c r="M11576" s="401">
        <f>SUM(C11576,C11552,C11528,C11504,C11480,C11456,C11432)/POBLA!$B$7*100000</f>
        <v>515.47022297863282</v>
      </c>
      <c r="N11576" s="42" t="s">
        <v>20</v>
      </c>
      <c r="O11576" s="42">
        <v>26</v>
      </c>
      <c r="P11576" s="42">
        <v>41</v>
      </c>
      <c r="Q11576" s="42">
        <v>0</v>
      </c>
      <c r="R11576" s="42">
        <v>67</v>
      </c>
    </row>
    <row r="11577" spans="1:18" x14ac:dyDescent="0.25">
      <c r="A11577" s="367" t="s">
        <v>31</v>
      </c>
      <c r="B11577" s="2">
        <v>44375</v>
      </c>
      <c r="C11577" s="1">
        <v>600</v>
      </c>
      <c r="D11577" s="39">
        <f t="shared" si="2033"/>
        <v>108387</v>
      </c>
      <c r="E11577" s="1">
        <v>8</v>
      </c>
      <c r="F11577" s="39">
        <f t="shared" si="2034"/>
        <v>1780</v>
      </c>
      <c r="G11577" s="168">
        <f>SUM(C11577,C11553,C11529,C11505,C11481,C11457,C11433,C11409,C11385,C11361,C11337,C11313,C11289,C11265)/POBLA!$B$8*100000</f>
        <v>724.62356444373256</v>
      </c>
      <c r="H11577" s="256">
        <f t="shared" si="2035"/>
        <v>0.79941096871766293</v>
      </c>
      <c r="I11577" s="297">
        <f t="shared" si="2036"/>
        <v>579.27202560761009</v>
      </c>
      <c r="J11577" s="422">
        <f t="shared" si="2037"/>
        <v>719.14285714285711</v>
      </c>
      <c r="K11577" s="297">
        <f>J11577/POBLA!$B$8*100000</f>
        <v>51.887669071702391</v>
      </c>
      <c r="L11577" s="200">
        <f t="shared" si="2038"/>
        <v>4.9910161708923706E-3</v>
      </c>
      <c r="M11577" s="401">
        <f>SUM(C11577,C11553,C11529,C11505,C11481,C11457,C11433)/POBLA!$B$8*100000</f>
        <v>363.21368350191671</v>
      </c>
      <c r="N11577" s="42" t="s">
        <v>31</v>
      </c>
      <c r="O11577" s="42">
        <v>2</v>
      </c>
      <c r="P11577" s="42">
        <v>6</v>
      </c>
      <c r="Q11577" s="42">
        <v>0</v>
      </c>
      <c r="R11577" s="42">
        <v>8</v>
      </c>
    </row>
    <row r="11578" spans="1:18" x14ac:dyDescent="0.25">
      <c r="A11578" s="367" t="s">
        <v>41</v>
      </c>
      <c r="B11578" s="2">
        <v>44375</v>
      </c>
      <c r="C11578" s="1">
        <v>246</v>
      </c>
      <c r="D11578" s="39">
        <f t="shared" si="2033"/>
        <v>44825</v>
      </c>
      <c r="E11578" s="1">
        <v>5</v>
      </c>
      <c r="F11578" s="39">
        <f t="shared" si="2034"/>
        <v>797</v>
      </c>
      <c r="G11578" s="168">
        <f>SUM(C11578,C11554,C11530,C11506,C11482,C11458,C11434,C11410,C11386,C11362,C11338,C11314,C11290,C11266)/POBLA!$B$9*100000</f>
        <v>1024.1361020368709</v>
      </c>
      <c r="H11578" s="256">
        <f t="shared" si="2035"/>
        <v>0.76330049261083743</v>
      </c>
      <c r="I11578" s="297">
        <f>G11578*H11578</f>
        <v>781.72359118528641</v>
      </c>
      <c r="J11578" s="422">
        <f t="shared" si="2037"/>
        <v>411.42857142857144</v>
      </c>
      <c r="K11578" s="297">
        <f>J11578/POBLA!$B$9*100000</f>
        <v>67.983035400041217</v>
      </c>
      <c r="L11578" s="200">
        <f t="shared" si="2038"/>
        <v>-0.13200723327305608</v>
      </c>
      <c r="M11578" s="401">
        <f>SUM(C11578,C11554,C11530,C11506,C11482,C11458,C11434)/POBLA!$B$9*100000</f>
        <v>475.88124780028852</v>
      </c>
      <c r="N11578" s="42" t="s">
        <v>41</v>
      </c>
      <c r="O11578" s="42">
        <v>0</v>
      </c>
      <c r="P11578" s="42">
        <v>5</v>
      </c>
      <c r="Q11578" s="42">
        <v>0</v>
      </c>
      <c r="R11578" s="42">
        <v>5</v>
      </c>
    </row>
    <row r="11579" spans="1:18" x14ac:dyDescent="0.25">
      <c r="A11579" s="367" t="s">
        <v>32</v>
      </c>
      <c r="B11579" s="2">
        <v>44375</v>
      </c>
      <c r="C11579" s="1">
        <v>265</v>
      </c>
      <c r="D11579" s="39">
        <f t="shared" si="2033"/>
        <v>35246</v>
      </c>
      <c r="E11579" s="1">
        <v>4</v>
      </c>
      <c r="F11579" s="39">
        <f t="shared" si="2034"/>
        <v>1165</v>
      </c>
      <c r="G11579" s="168">
        <f>SUM(C11579,C11555,C11531,C11507,C11483,C11459,C11435,C11411,C11387,C11363,C11339,C11315,C11291,C11267)/POBLA!$B$10*100000</f>
        <v>445.59406704796197</v>
      </c>
      <c r="H11579" s="256">
        <f t="shared" si="2035"/>
        <v>0.99796629866356767</v>
      </c>
      <c r="I11579" s="297">
        <f t="shared" ref="I11579:I11593" si="2039">G11579*H11579</f>
        <v>444.68786179830022</v>
      </c>
      <c r="J11579" s="422">
        <f t="shared" si="2037"/>
        <v>267.42857142857144</v>
      </c>
      <c r="K11579" s="297">
        <f>J11579/POBLA!$B$10*100000</f>
        <v>34.691291059005401</v>
      </c>
      <c r="L11579" s="200">
        <f t="shared" si="2038"/>
        <v>0.19769673704414581</v>
      </c>
      <c r="M11579" s="401">
        <f>SUM(C11579,C11555,C11531,C11507,C11483,C11459,C11435)/POBLA!$B$10*100000</f>
        <v>242.8390374130378</v>
      </c>
      <c r="N11579" s="42" t="s">
        <v>32</v>
      </c>
      <c r="O11579" s="42">
        <v>1</v>
      </c>
      <c r="P11579" s="42">
        <v>3</v>
      </c>
      <c r="Q11579" s="42">
        <v>0</v>
      </c>
      <c r="R11579" s="42">
        <v>4</v>
      </c>
    </row>
    <row r="11580" spans="1:18" x14ac:dyDescent="0.25">
      <c r="A11580" s="367" t="s">
        <v>33</v>
      </c>
      <c r="B11580" s="2">
        <v>44375</v>
      </c>
      <c r="C11580" s="1">
        <v>729</v>
      </c>
      <c r="D11580" s="39">
        <f t="shared" si="2033"/>
        <v>52396</v>
      </c>
      <c r="E11580" s="1">
        <v>13</v>
      </c>
      <c r="F11580" s="39">
        <f t="shared" si="2034"/>
        <v>726</v>
      </c>
      <c r="G11580" s="168">
        <f>SUM(C11580,C11556,C11532,C11508,C11484,C11460,C11436,C11412,C11388,C11364,C11340,C11316,C11292,C11268)/POBLA!$B$11*100000</f>
        <v>1320.4883547044315</v>
      </c>
      <c r="H11580" s="256">
        <f t="shared" si="2035"/>
        <v>0.9789038262668045</v>
      </c>
      <c r="I11580" s="297">
        <f t="shared" si="2039"/>
        <v>1292.6311029609253</v>
      </c>
      <c r="J11580" s="422">
        <f t="shared" si="2037"/>
        <v>436.85714285714283</v>
      </c>
      <c r="K11580" s="297">
        <f>J11580/POBLA!$B$11*100000</f>
        <v>121.88142189146573</v>
      </c>
      <c r="L11580" s="200">
        <f t="shared" si="2038"/>
        <v>0.8256716417910448</v>
      </c>
      <c r="M11580" s="401">
        <f>SUM(C11580,C11556,C11532,C11508,C11484,C11460,C11436)/POBLA!$B$11*100000</f>
        <v>853.16995324026027</v>
      </c>
      <c r="N11580" s="42" t="s">
        <v>33</v>
      </c>
      <c r="O11580" s="42">
        <v>5</v>
      </c>
      <c r="P11580" s="42">
        <v>8</v>
      </c>
      <c r="Q11580" s="42">
        <v>0</v>
      </c>
      <c r="R11580" s="42">
        <v>13</v>
      </c>
    </row>
    <row r="11581" spans="1:18" x14ac:dyDescent="0.25">
      <c r="A11581" s="367" t="s">
        <v>21</v>
      </c>
      <c r="B11581" s="2">
        <v>44375</v>
      </c>
      <c r="C11581" s="1">
        <v>105</v>
      </c>
      <c r="D11581" s="39">
        <f t="shared" si="2033"/>
        <v>21787</v>
      </c>
      <c r="F11581" s="39">
        <f t="shared" si="2034"/>
        <v>632</v>
      </c>
      <c r="G11581" s="168">
        <f>SUM(C11581,C11557,C11533,C11509,C11485,C11461,C11437,C11413,C11389,C11365,C11341,C11317,C11293,C11269)/POBLA!$B$12*100000</f>
        <v>538.96643466461342</v>
      </c>
      <c r="H11581" s="256">
        <f t="shared" si="2035"/>
        <v>0.93642384105960264</v>
      </c>
      <c r="I11581" s="297">
        <f t="shared" si="2039"/>
        <v>504.70101895083667</v>
      </c>
      <c r="J11581" s="422">
        <f t="shared" si="2037"/>
        <v>160</v>
      </c>
      <c r="K11581" s="297">
        <f>J11581/POBLA!$B$12*100000</f>
        <v>40.657533968099081</v>
      </c>
      <c r="L11581" s="200">
        <f t="shared" si="2038"/>
        <v>0.11888111888111896</v>
      </c>
      <c r="M11581" s="401">
        <f>SUM(C11581,C11557,C11533,C11509,C11485,C11461,C11437)/POBLA!$B$12*100000</f>
        <v>284.60273777669357</v>
      </c>
    </row>
    <row r="11582" spans="1:18" x14ac:dyDescent="0.25">
      <c r="A11582" s="367" t="s">
        <v>17</v>
      </c>
      <c r="B11582" s="2">
        <v>44375</v>
      </c>
      <c r="C11582" s="1">
        <v>649</v>
      </c>
      <c r="D11582" s="39">
        <f t="shared" si="2033"/>
        <v>138538</v>
      </c>
      <c r="E11582" s="1">
        <v>19</v>
      </c>
      <c r="F11582" s="39">
        <f t="shared" si="2034"/>
        <v>3208</v>
      </c>
      <c r="G11582" s="168">
        <f>SUM(C11582,C11558,C11534,C11510,C11486,C11462,C11438,C11414,C11390,C11366,C11342,C11318,C11294,C11270)/POBLA!$B$13*100000</f>
        <v>408.02115017650266</v>
      </c>
      <c r="H11582" s="256">
        <f t="shared" si="2035"/>
        <v>0.83283765767613582</v>
      </c>
      <c r="I11582" s="297">
        <f t="shared" si="2039"/>
        <v>339.81537899532134</v>
      </c>
      <c r="J11582" s="422">
        <f t="shared" si="2037"/>
        <v>609.57142857142856</v>
      </c>
      <c r="K11582" s="297">
        <f>J11582/POBLA!$B$13*100000</f>
        <v>30.626528186239153</v>
      </c>
      <c r="L11582" s="200">
        <f t="shared" si="2038"/>
        <v>0.1071613907628437</v>
      </c>
      <c r="M11582" s="401">
        <f>SUM(C11582,C11558,C11534,C11510,C11486,C11462,C11438)/POBLA!$B$13*100000</f>
        <v>214.38569730367405</v>
      </c>
      <c r="N11582" s="42" t="s">
        <v>17</v>
      </c>
      <c r="O11582" s="42">
        <v>8</v>
      </c>
      <c r="P11582" s="42">
        <v>11</v>
      </c>
      <c r="Q11582" s="42">
        <v>0</v>
      </c>
      <c r="R11582" s="42">
        <v>19</v>
      </c>
    </row>
    <row r="11583" spans="1:18" x14ac:dyDescent="0.25">
      <c r="A11583" s="367" t="s">
        <v>23</v>
      </c>
      <c r="B11583" s="2">
        <v>44375</v>
      </c>
      <c r="C11583" s="1">
        <v>160</v>
      </c>
      <c r="D11583" s="39">
        <f t="shared" si="2033"/>
        <v>25304</v>
      </c>
      <c r="F11583" s="39">
        <f t="shared" si="2034"/>
        <v>412</v>
      </c>
      <c r="G11583" s="168">
        <f>SUM(C11583,C11559,C11535,C11511,C11487,C11463,C11439,C11415,C11391,C11367,C11343,C11319,C11295,C11271)/POBLA!$B$14*100000</f>
        <v>189.72578954629134</v>
      </c>
      <c r="H11583" s="256">
        <f t="shared" si="2035"/>
        <v>0.97434853420195444</v>
      </c>
      <c r="I11583" s="297">
        <f t="shared" si="2039"/>
        <v>184.85904494473746</v>
      </c>
      <c r="J11583" s="422">
        <f t="shared" si="2037"/>
        <v>191.28571428571428</v>
      </c>
      <c r="K11583" s="297">
        <f>J11583/POBLA!$B$14*100000</f>
        <v>15.165830828158564</v>
      </c>
      <c r="L11583" s="200">
        <f t="shared" si="2038"/>
        <v>0.27039848197343463</v>
      </c>
      <c r="M11583" s="401">
        <f>SUM(C11583,C11559,C11535,C11511,C11487,C11463,C11439)/POBLA!$B$14*100000</f>
        <v>106.16081579710995</v>
      </c>
    </row>
    <row r="11584" spans="1:18" x14ac:dyDescent="0.25">
      <c r="A11584" s="367" t="s">
        <v>19</v>
      </c>
      <c r="B11584" s="2">
        <v>44375</v>
      </c>
      <c r="C11584" s="1">
        <v>185</v>
      </c>
      <c r="D11584" s="39">
        <f t="shared" si="2033"/>
        <v>100977</v>
      </c>
      <c r="E11584" s="1">
        <v>7</v>
      </c>
      <c r="F11584" s="39">
        <f t="shared" si="2034"/>
        <v>1774</v>
      </c>
      <c r="G11584" s="168">
        <f>SUM(C11584,C11560,C11536,C11512,C11488,C11464,C11440,C11416,C11392,C11368,C11344,C11320,C11296,C11272)/POBLA!$B$15*100000</f>
        <v>547.84453744181599</v>
      </c>
      <c r="H11584" s="256">
        <f t="shared" si="2035"/>
        <v>0.52488818352330113</v>
      </c>
      <c r="I11584" s="297">
        <f t="shared" si="2039"/>
        <v>287.5571241109979</v>
      </c>
      <c r="J11584" s="422">
        <f t="shared" si="2037"/>
        <v>264.71428571428572</v>
      </c>
      <c r="K11584" s="297">
        <f>J11584/POBLA!$B$15*100000</f>
        <v>39.863187303843752</v>
      </c>
      <c r="L11584" s="200">
        <f t="shared" si="2038"/>
        <v>3.8095238095238182E-2</v>
      </c>
      <c r="M11584" s="401">
        <f>SUM(C11584,C11560,C11536,C11512,C11488,C11464,C11440)/POBLA!$B$15*100000</f>
        <v>279.04231112690627</v>
      </c>
      <c r="N11584" s="42" t="s">
        <v>19</v>
      </c>
      <c r="O11584" s="42">
        <v>0</v>
      </c>
      <c r="P11584" s="42">
        <v>7</v>
      </c>
      <c r="Q11584" s="42">
        <v>0</v>
      </c>
      <c r="R11584" s="42">
        <v>7</v>
      </c>
    </row>
    <row r="11585" spans="1:18" x14ac:dyDescent="0.25">
      <c r="A11585" s="367" t="s">
        <v>18</v>
      </c>
      <c r="B11585" s="2">
        <v>44375</v>
      </c>
      <c r="C11585" s="1">
        <v>165</v>
      </c>
      <c r="D11585" s="39">
        <f t="shared" si="2033"/>
        <v>83680</v>
      </c>
      <c r="E11585" s="1">
        <v>9</v>
      </c>
      <c r="F11585" s="39">
        <f t="shared" si="2034"/>
        <v>1917</v>
      </c>
      <c r="G11585" s="168">
        <f>SUM(C11585,C11561,C11537,C11513,C11489,C11465,C11441,C11417,C11393,C11369,C11345,C11321,C11297,C11273)/POBLA!$B$16*100000</f>
        <v>522.99995987212583</v>
      </c>
      <c r="H11585" s="256">
        <f t="shared" si="2035"/>
        <v>0.7034904641957539</v>
      </c>
      <c r="I11585" s="297">
        <f t="shared" si="2039"/>
        <v>367.92548454480249</v>
      </c>
      <c r="J11585" s="422">
        <f t="shared" si="2037"/>
        <v>270.71428571428572</v>
      </c>
      <c r="K11585" s="297">
        <f>J11585/POBLA!$B$16*100000</f>
        <v>36.210629300609376</v>
      </c>
      <c r="L11585" s="200">
        <f t="shared" si="2038"/>
        <v>-5.9553349875930528E-2</v>
      </c>
      <c r="M11585" s="401">
        <f>SUM(C11585,C11561,C11537,C11513,C11489,C11465,C11441)/POBLA!$B$16*100000</f>
        <v>253.4744051042656</v>
      </c>
      <c r="N11585" s="42" t="s">
        <v>18</v>
      </c>
      <c r="O11585" s="42">
        <v>2</v>
      </c>
      <c r="P11585" s="42">
        <v>7</v>
      </c>
      <c r="Q11585" s="42">
        <v>0</v>
      </c>
      <c r="R11585" s="42">
        <v>9</v>
      </c>
    </row>
    <row r="11586" spans="1:18" x14ac:dyDescent="0.25">
      <c r="A11586" s="367" t="s">
        <v>34</v>
      </c>
      <c r="B11586" s="2">
        <v>44375</v>
      </c>
      <c r="C11586" s="1">
        <v>361</v>
      </c>
      <c r="D11586" s="39">
        <f>C11586+D11562</f>
        <v>60123</v>
      </c>
      <c r="E11586" s="1">
        <v>19</v>
      </c>
      <c r="F11586" s="39">
        <f t="shared" si="2034"/>
        <v>1712</v>
      </c>
      <c r="G11586" s="168">
        <f>SUM(C11586,C11562,C11538,C11514,C11490,C11466,C11442,C11418,C11394,C11370,C11346,C11322,C11298,C11274)/POBLA!$B$17*100000</f>
        <v>492.62951269905795</v>
      </c>
      <c r="H11586" s="256">
        <f t="shared" si="2035"/>
        <v>0.90811440403778954</v>
      </c>
      <c r="I11586" s="297">
        <f t="shared" si="2039"/>
        <v>447.36395633613171</v>
      </c>
      <c r="J11586" s="422">
        <f t="shared" si="2037"/>
        <v>536.28571428571433</v>
      </c>
      <c r="K11586" s="297">
        <f>J11586/POBLA!$B$17*100000</f>
        <v>37.650017115011778</v>
      </c>
      <c r="L11586" s="200">
        <f t="shared" si="2038"/>
        <v>0.15047502298498316</v>
      </c>
      <c r="M11586" s="401">
        <f>SUM(C11586,C11562,C11538,C11514,C11490,C11466,C11442)/POBLA!$B$17*100000</f>
        <v>263.55011980508243</v>
      </c>
      <c r="N11586" s="42" t="s">
        <v>34</v>
      </c>
      <c r="O11586" s="42">
        <v>7</v>
      </c>
      <c r="P11586" s="42">
        <v>12</v>
      </c>
      <c r="Q11586" s="42">
        <v>0</v>
      </c>
      <c r="R11586" s="42">
        <v>19</v>
      </c>
    </row>
    <row r="11587" spans="1:18" x14ac:dyDescent="0.25">
      <c r="A11587" s="367" t="s">
        <v>35</v>
      </c>
      <c r="B11587" s="2">
        <v>44375</v>
      </c>
      <c r="C11587" s="1">
        <v>471</v>
      </c>
      <c r="D11587" s="39">
        <f t="shared" ref="D11587:D11593" si="2040">C11587+D11563</f>
        <v>49715</v>
      </c>
      <c r="E11587" s="1">
        <v>9</v>
      </c>
      <c r="F11587" s="39">
        <f t="shared" si="2034"/>
        <v>807</v>
      </c>
      <c r="G11587" s="168">
        <f>SUM(C11587,C11563,C11539,C11515,C11491,C11467,C11443,C11419,C11395,C11371,C11347,C11323,C11299,C11275)/POBLA!$B$18*100000</f>
        <v>786.46522029090499</v>
      </c>
      <c r="H11587" s="256">
        <f t="shared" si="2035"/>
        <v>0.93758583854723032</v>
      </c>
      <c r="I11587" s="297">
        <f t="shared" si="2039"/>
        <v>737.3786530546804</v>
      </c>
      <c r="J11587" s="422">
        <f t="shared" si="2037"/>
        <v>424.42857142857144</v>
      </c>
      <c r="K11587" s="297">
        <f>J11587/POBLA!$B$18*100000</f>
        <v>54.329152006237891</v>
      </c>
      <c r="L11587" s="200">
        <f t="shared" si="2038"/>
        <v>-6.3662149385439681E-2</v>
      </c>
      <c r="M11587" s="401">
        <f>SUM(C11587,C11563,C11539,C11515,C11491,C11467,C11443)/POBLA!$B$18*100000</f>
        <v>380.30406404366522</v>
      </c>
      <c r="N11587" s="42" t="s">
        <v>35</v>
      </c>
      <c r="O11587" s="42">
        <v>2</v>
      </c>
      <c r="P11587" s="42">
        <v>7</v>
      </c>
      <c r="Q11587" s="42">
        <v>0</v>
      </c>
      <c r="R11587" s="42">
        <v>9</v>
      </c>
    </row>
    <row r="11588" spans="1:18" x14ac:dyDescent="0.25">
      <c r="A11588" s="367" t="s">
        <v>36</v>
      </c>
      <c r="B11588" s="2">
        <v>44375</v>
      </c>
      <c r="C11588" s="1">
        <v>375</v>
      </c>
      <c r="D11588" s="39">
        <f t="shared" si="2040"/>
        <v>64959</v>
      </c>
      <c r="E11588" s="1">
        <v>10</v>
      </c>
      <c r="F11588" s="39">
        <f t="shared" si="2034"/>
        <v>915</v>
      </c>
      <c r="G11588" s="168">
        <f>SUM(C11588,C11564,C11540,C11516,C11492,C11468,C11444,C11420,C11396,C11372,C11348,C11324,C11300,C11276)/POBLA!$B$19*100000</f>
        <v>1007.8138524732062</v>
      </c>
      <c r="H11588" s="256">
        <f t="shared" si="2035"/>
        <v>0.75638564890004434</v>
      </c>
      <c r="I11588" s="297">
        <f t="shared" si="2039"/>
        <v>762.29593477339961</v>
      </c>
      <c r="J11588" s="422">
        <f t="shared" si="2037"/>
        <v>375.42857142857144</v>
      </c>
      <c r="K11588" s="297">
        <f>J11588/POBLA!$B$19*100000</f>
        <v>73.855575814940636</v>
      </c>
      <c r="L11588" s="200">
        <f t="shared" si="2038"/>
        <v>5.3306613226452804E-2</v>
      </c>
      <c r="M11588" s="401">
        <f>SUM(C11588,C11564,C11540,C11516,C11492,C11468,C11444)/POBLA!$B$19*100000</f>
        <v>516.98903070458448</v>
      </c>
      <c r="N11588" s="42" t="s">
        <v>36</v>
      </c>
      <c r="O11588" s="42">
        <v>5</v>
      </c>
      <c r="P11588" s="42">
        <v>5</v>
      </c>
      <c r="Q11588" s="42">
        <v>0</v>
      </c>
      <c r="R11588" s="42">
        <v>10</v>
      </c>
    </row>
    <row r="11589" spans="1:18" x14ac:dyDescent="0.25">
      <c r="A11589" s="367" t="s">
        <v>37</v>
      </c>
      <c r="B11589" s="2">
        <v>44375</v>
      </c>
      <c r="C11589" s="1">
        <v>171</v>
      </c>
      <c r="D11589" s="39">
        <f t="shared" si="2040"/>
        <v>55255</v>
      </c>
      <c r="E11589" s="1">
        <v>1</v>
      </c>
      <c r="F11589" s="39">
        <f t="shared" ref="F11589:F11594" si="2041">E11589+F11565</f>
        <v>856</v>
      </c>
      <c r="G11589" s="168">
        <f>SUM(C11589,C11565,C11542,C11517,C11493,C11469,C11445,C11421,C11397,C11373,C11349,C11325,C11301,C11277)/POBLA!$B$20*100000</f>
        <v>891.44594720233624</v>
      </c>
      <c r="H11589" s="256">
        <f t="shared" si="2035"/>
        <v>0.68466424682395643</v>
      </c>
      <c r="I11589" s="297">
        <f t="shared" si="2039"/>
        <v>610.34116802555593</v>
      </c>
      <c r="J11589" s="422">
        <f t="shared" si="2037"/>
        <v>114.85714285714286</v>
      </c>
      <c r="K11589" s="297">
        <f>J11589/POBLA!$B$20*100000</f>
        <v>31.40764862185269</v>
      </c>
      <c r="L11589" s="200">
        <f t="shared" si="2038"/>
        <v>0.14042553191489371</v>
      </c>
      <c r="M11589" s="401">
        <f>SUM(C11589,C11565,C11541,C11517,C11493,C11469,C11445)/POBLA!$B$20*100000</f>
        <v>219.85354035296885</v>
      </c>
      <c r="N11589" s="42" t="s">
        <v>37</v>
      </c>
      <c r="O11589" s="42">
        <v>0</v>
      </c>
      <c r="P11589" s="42">
        <v>1</v>
      </c>
      <c r="Q11589" s="42">
        <v>0</v>
      </c>
      <c r="R11589" s="42">
        <v>1</v>
      </c>
    </row>
    <row r="11590" spans="1:18" x14ac:dyDescent="0.25">
      <c r="A11590" s="367" t="s">
        <v>22</v>
      </c>
      <c r="B11590" s="2">
        <v>44375</v>
      </c>
      <c r="C11590" s="1">
        <v>1377</v>
      </c>
      <c r="D11590" s="39">
        <f t="shared" si="2040"/>
        <v>402560</v>
      </c>
      <c r="E11590" s="1">
        <v>36</v>
      </c>
      <c r="F11590" s="39">
        <f t="shared" si="2041"/>
        <v>6536</v>
      </c>
      <c r="G11590" s="168">
        <f>SUM(C11590,C11566,C11542,C11518,C11494,C11470,C11446,C11422,C11398,C11374,C11350,C11326,C11302,C11278)/POBLA!$B$21*100000</f>
        <v>674.97677027998384</v>
      </c>
      <c r="H11590" s="256">
        <f t="shared" si="2035"/>
        <v>0.71001516999315861</v>
      </c>
      <c r="I11590" s="297">
        <f t="shared" si="2039"/>
        <v>479.24374629177589</v>
      </c>
      <c r="J11590" s="422">
        <f t="shared" si="2037"/>
        <v>1767.2857142857142</v>
      </c>
      <c r="K11590" s="297">
        <f>J11590/POBLA!$B$21*100000</f>
        <v>49.973892064957091</v>
      </c>
      <c r="L11590" s="200">
        <f t="shared" si="2038"/>
        <v>7.583268110270458E-2</v>
      </c>
      <c r="M11590" s="401">
        <f>SUM(C11590,C11566,C11542,C11518,C11494,C11470,C11446)/POBLA!$B$21*100000</f>
        <v>349.81724445469962</v>
      </c>
      <c r="N11590" s="42" t="s">
        <v>22</v>
      </c>
      <c r="O11590" s="42">
        <v>14</v>
      </c>
      <c r="P11590" s="42">
        <v>22</v>
      </c>
      <c r="Q11590" s="42">
        <v>0</v>
      </c>
      <c r="R11590" s="42">
        <v>36</v>
      </c>
    </row>
    <row r="11591" spans="1:18" x14ac:dyDescent="0.25">
      <c r="A11591" s="367" t="s">
        <v>38</v>
      </c>
      <c r="B11591" s="2">
        <v>44375</v>
      </c>
      <c r="C11591" s="1">
        <v>367</v>
      </c>
      <c r="D11591" s="39">
        <f t="shared" si="2040"/>
        <v>58468</v>
      </c>
      <c r="E11591" s="1">
        <v>6</v>
      </c>
      <c r="F11591" s="39">
        <f t="shared" si="2041"/>
        <v>784</v>
      </c>
      <c r="G11591" s="168">
        <f>SUM(C11591,C11567,C11543,C11519,C11495,C11471,C11447,C11423,C11399,C11375,C11351,C11327,C11303,C11279)/POBLA!$B$22*100000</f>
        <v>738.9250679486014</v>
      </c>
      <c r="H11591" s="256">
        <f t="shared" si="2035"/>
        <v>0.98729855230811259</v>
      </c>
      <c r="I11591" s="297">
        <f t="shared" si="2039"/>
        <v>729.53964984982792</v>
      </c>
      <c r="J11591" s="422">
        <f t="shared" si="2037"/>
        <v>517.57142857142856</v>
      </c>
      <c r="K11591" s="297">
        <f>J11591/POBLA!$B$22*100000</f>
        <v>52.904482366219057</v>
      </c>
      <c r="L11591" s="200">
        <f t="shared" si="2038"/>
        <v>4.7143649473100346E-3</v>
      </c>
      <c r="M11591" s="401">
        <f>SUM(C11591,C11567,C11543,C11519,C11495,C11471,C11447)/POBLA!$B$22*100000</f>
        <v>370.33137656353335</v>
      </c>
      <c r="N11591" s="42" t="s">
        <v>38</v>
      </c>
      <c r="O11591" s="42">
        <v>2</v>
      </c>
      <c r="P11591" s="42">
        <v>4</v>
      </c>
      <c r="Q11591" s="42">
        <v>0</v>
      </c>
      <c r="R11591" s="42">
        <v>6</v>
      </c>
    </row>
    <row r="11592" spans="1:18" x14ac:dyDescent="0.25">
      <c r="A11592" s="367" t="s">
        <v>39</v>
      </c>
      <c r="B11592" s="2">
        <v>44375</v>
      </c>
      <c r="C11592" s="1">
        <v>37</v>
      </c>
      <c r="D11592" s="39">
        <f t="shared" si="2040"/>
        <v>29659</v>
      </c>
      <c r="E11592" s="1">
        <v>1</v>
      </c>
      <c r="F11592" s="39">
        <f t="shared" si="2041"/>
        <v>440</v>
      </c>
      <c r="G11592" s="168">
        <f>SUM(C11592,C11568,C11544,C11520,C11496,C11472,C11448,C11424,C11400,C11376,C11352,C11328,C11304,C11280)/POBLA!$B$23*100000</f>
        <v>331.95724707346039</v>
      </c>
      <c r="H11592" s="256">
        <f t="shared" si="2035"/>
        <v>0.98988195615514329</v>
      </c>
      <c r="I11592" s="297">
        <f t="shared" si="2039"/>
        <v>328.59848909295317</v>
      </c>
      <c r="J11592" s="422">
        <f t="shared" si="2037"/>
        <v>46</v>
      </c>
      <c r="K11592" s="297">
        <f>J11592/POBLA!$B$23*100000</f>
        <v>26.013685460611889</v>
      </c>
      <c r="L11592" s="200">
        <f t="shared" si="2038"/>
        <v>0.21509433962264146</v>
      </c>
      <c r="M11592" s="401">
        <f>SUM(C11592,C11568,C11544,C11520,C11496,C11472,C11448)/POBLA!$B$23*100000</f>
        <v>182.09579822428319</v>
      </c>
      <c r="N11592" s="42" t="s">
        <v>39</v>
      </c>
      <c r="O11592" s="42">
        <v>0</v>
      </c>
      <c r="P11592" s="42">
        <v>1</v>
      </c>
      <c r="Q11592" s="42">
        <v>0</v>
      </c>
      <c r="R11592" s="42">
        <v>1</v>
      </c>
    </row>
    <row r="11593" spans="1:18" ht="15.75" thickBot="1" x14ac:dyDescent="0.3">
      <c r="A11593" s="368" t="s">
        <v>40</v>
      </c>
      <c r="B11593" s="34">
        <v>44375</v>
      </c>
      <c r="C11593" s="232">
        <v>1658</v>
      </c>
      <c r="D11593" s="67">
        <f t="shared" si="2040"/>
        <v>153706</v>
      </c>
      <c r="E11593" s="232">
        <v>10</v>
      </c>
      <c r="F11593" s="67">
        <f t="shared" si="2041"/>
        <v>2291</v>
      </c>
      <c r="G11593" s="255">
        <f>SUM(C11593,C11569,C11545,C11521,C11497,C11473,C11449,C11425,C11401,C11377,C11353,C11329,C11305,C11281)/POBLA!$B$24*100000</f>
        <v>684.79974696929639</v>
      </c>
      <c r="H11593" s="257">
        <f t="shared" si="2035"/>
        <v>0.96732516462448948</v>
      </c>
      <c r="I11593" s="299">
        <f t="shared" si="2039"/>
        <v>662.42402797188333</v>
      </c>
      <c r="J11593" s="428">
        <f t="shared" si="2037"/>
        <v>1092.8571428571429</v>
      </c>
      <c r="K11593" s="299">
        <f>J11593/POBLA!$B$24*100000</f>
        <v>64.488435579677699</v>
      </c>
      <c r="L11593" s="260">
        <f t="shared" si="2038"/>
        <v>0.93426042983565116</v>
      </c>
      <c r="M11593" s="406">
        <f>SUM(C11593,C11569,C11545,C11521,C11497,C11473,C11449)/POBLA!$B$24*100000</f>
        <v>451.41904905774385</v>
      </c>
      <c r="N11593" s="42" t="s">
        <v>40</v>
      </c>
      <c r="O11593" s="42">
        <v>5</v>
      </c>
      <c r="P11593" s="42">
        <v>5</v>
      </c>
      <c r="Q11593" s="42">
        <v>0</v>
      </c>
      <c r="R11593" s="42">
        <v>10</v>
      </c>
    </row>
    <row r="11594" spans="1:18" x14ac:dyDescent="0.25">
      <c r="A11594" s="363" t="s">
        <v>16</v>
      </c>
      <c r="B11594" s="265">
        <v>44376</v>
      </c>
      <c r="C11594" s="43">
        <v>8414</v>
      </c>
      <c r="D11594" s="174">
        <f>C11594+D11570</f>
        <v>1835719</v>
      </c>
      <c r="E11594" s="43">
        <v>210</v>
      </c>
      <c r="F11594" s="174">
        <f t="shared" si="2041"/>
        <v>47294</v>
      </c>
      <c r="G11594" s="175">
        <f>SUM(C11594,C11570,C11522,C11546,C11498,C11474,C11450,C11426,C11402,C11378,C11354,C11330,C11306,C11282)/POBLA!$B$1*100000</f>
        <v>516.34611454294793</v>
      </c>
      <c r="H11594" s="300">
        <f>SUM(C11594,C11570,C11546,C11522,C11498,C11474,C11450,C11426,C11402,C11378,C11354,C11330,C11306,C11282,)/SUM(C11258,C11234,C11210,C11186,C11162,C11138,C11114,C11090,C11066,C11042,C11018,C10994,C10970,C10946)</f>
        <v>0.74498465992745333</v>
      </c>
      <c r="I11594" s="301">
        <f>G11594*H11594</f>
        <v>384.66993454763991</v>
      </c>
      <c r="J11594" s="421">
        <f>AVERAGE(C11594,C11570,C11546,C11522,C11498,C11474,C11450)</f>
        <v>7031.1428571428569</v>
      </c>
      <c r="K11594" s="301">
        <f>J11594/POBLA!$B$1*100000</f>
        <v>40.083725780112346</v>
      </c>
      <c r="L11594" s="399">
        <f>(SUM(C11594,C11570,C11546,C11522,C11498,C11474,C11450)/SUM(C11426,C11402,C11378,C11354,C11330,C11306,C11282))-1</f>
        <v>0.19013420384475888</v>
      </c>
      <c r="M11594" s="400">
        <f>SUM(C11594,C11570,C11546,C11522,C11498,C11474,C11450)/POBLA!$B$1*100000</f>
        <v>280.58608046078643</v>
      </c>
      <c r="N11594" s="42" t="s">
        <v>16</v>
      </c>
      <c r="O11594" s="42">
        <v>84</v>
      </c>
      <c r="P11594" s="42">
        <v>126</v>
      </c>
      <c r="Q11594" s="42">
        <v>0</v>
      </c>
      <c r="R11594" s="42">
        <v>210</v>
      </c>
    </row>
    <row r="11595" spans="1:18" x14ac:dyDescent="0.25">
      <c r="A11595" s="367" t="s">
        <v>43</v>
      </c>
      <c r="B11595" s="2">
        <v>44376</v>
      </c>
      <c r="C11595" s="1">
        <v>1454</v>
      </c>
      <c r="D11595" s="39">
        <f t="shared" ref="D11595:D11609" si="2042">C11595+D11571</f>
        <v>462903</v>
      </c>
      <c r="E11595" s="1">
        <v>21</v>
      </c>
      <c r="F11595" s="39">
        <f t="shared" ref="F11595:F11612" si="2043">E11595+F11571</f>
        <v>10290</v>
      </c>
      <c r="G11595" s="168">
        <f>SUM(C11595,C11571,C11547,C11523,C11499,C11475,C11451,C11427,C11403,C11379,C11355,C11331,C11307,C11283)/POBLA!$B$2*100000</f>
        <v>594.31417009629843</v>
      </c>
      <c r="H11595" s="256">
        <f t="shared" ref="H11595:H11617" si="2044">SUM(C11595,C11571,C11547,C11523,C11499,C11475,C11451,C11427,C11403,C11379,C11355,C11331,C11307,C11283,)/SUM(C11259,C11235,C11211,C11187,C11163,C11139,C11115,C11091,C11067,C11043,C11019,C10995,C10971,C10947)</f>
        <v>0.76340628132308719</v>
      </c>
      <c r="I11595" s="297">
        <f t="shared" ref="I11595:I11601" si="2045">G11595*H11595</f>
        <v>453.70317053083187</v>
      </c>
      <c r="J11595" s="422">
        <f>AVERAGE(C11595,C11571,C11547,C11523,C11499,C11475,C11451)</f>
        <v>1404.1428571428571</v>
      </c>
      <c r="K11595" s="297">
        <f>J11595/POBLA!$B$2*100000</f>
        <v>45.653591380245224</v>
      </c>
      <c r="L11595" s="200">
        <f>(SUM(C11595,C11571,C11547,C11523,C11499,C11475,C11451)/SUM(C11427,C11403,C11379,C11355,C11331,C11307,C11283))-1</f>
        <v>0.16319526627218939</v>
      </c>
      <c r="M11595" s="401">
        <f>SUM(C11595,C11571,C11547,C11523,C11499,C11475,C11451)/POBLA!$B$2*100000</f>
        <v>319.57513966171661</v>
      </c>
      <c r="N11595" s="42" t="s">
        <v>43</v>
      </c>
      <c r="O11595" s="42">
        <v>6</v>
      </c>
      <c r="P11595" s="42">
        <v>14</v>
      </c>
      <c r="Q11595" s="42">
        <v>1</v>
      </c>
      <c r="R11595" s="42">
        <v>21</v>
      </c>
    </row>
    <row r="11596" spans="1:18" x14ac:dyDescent="0.25">
      <c r="A11596" s="367" t="s">
        <v>28</v>
      </c>
      <c r="B11596" s="2">
        <v>44376</v>
      </c>
      <c r="C11596" s="1">
        <v>261</v>
      </c>
      <c r="D11596" s="39">
        <f t="shared" si="2042"/>
        <v>33891</v>
      </c>
      <c r="F11596" s="39">
        <f t="shared" si="2043"/>
        <v>311</v>
      </c>
      <c r="G11596" s="168">
        <f>SUM(C11596,C11572,C11548,C11524,C11500,C11476,C11452,C11428,C11404,C11380,C11356,C11332,C11308,C11284)/POBLA!$B$3*100000</f>
        <v>1024.2202205864653</v>
      </c>
      <c r="H11596" s="256">
        <f t="shared" si="2044"/>
        <v>0.78231292517006801</v>
      </c>
      <c r="I11596" s="297">
        <f t="shared" si="2045"/>
        <v>801.26071678533003</v>
      </c>
      <c r="J11596" s="422">
        <f t="shared" ref="J11596:J11617" si="2046">AVERAGE(C11596,C11572,C11548,C11524,C11500,C11476,C11452)</f>
        <v>334.28571428571428</v>
      </c>
      <c r="K11596" s="297">
        <f>J11596/POBLA!$B$3*100000</f>
        <v>80.465849124469656</v>
      </c>
      <c r="L11596" s="200">
        <f t="shared" ref="L11596:L11617" si="2047">(SUM(C11596,C11572,C11548,C11524,C11500,C11476,C11452)/SUM(C11428,C11404,C11380,C11356,C11332,C11308,C11284))-1</f>
        <v>0.22193211488250664</v>
      </c>
      <c r="M11596" s="401">
        <f>SUM(C11596,C11572,C11548,C11524,C11500,C11476,C11452)/POBLA!$B$3*100000</f>
        <v>563.26094387128762</v>
      </c>
    </row>
    <row r="11597" spans="1:18" x14ac:dyDescent="0.25">
      <c r="A11597" s="367" t="s">
        <v>15</v>
      </c>
      <c r="B11597" s="2">
        <v>44376</v>
      </c>
      <c r="C11597" s="1">
        <v>641</v>
      </c>
      <c r="D11597" s="39">
        <f t="shared" si="2042"/>
        <v>76300</v>
      </c>
      <c r="E11597" s="1">
        <v>18</v>
      </c>
      <c r="F11597" s="39">
        <f t="shared" si="2043"/>
        <v>1648</v>
      </c>
      <c r="G11597" s="168">
        <f>SUM(C11597,C11573,C11549,C11525,C11501,C11477,C11453,C11429,C11405,C11381,C11357,C11333,C11309,C11285)/POBLA!$B$4*100000</f>
        <v>626.62873243833121</v>
      </c>
      <c r="H11597" s="256">
        <f t="shared" si="2044"/>
        <v>0.77383637482058643</v>
      </c>
      <c r="I11597" s="297">
        <f t="shared" si="2045"/>
        <v>484.90810666849745</v>
      </c>
      <c r="J11597" s="422">
        <f t="shared" si="2046"/>
        <v>550.71428571428567</v>
      </c>
      <c r="K11597" s="297">
        <f>J11597/POBLA!$B$4*100000</f>
        <v>45.719845627030182</v>
      </c>
      <c r="L11597" s="200">
        <f t="shared" si="2047"/>
        <v>4.386677497969127E-2</v>
      </c>
      <c r="M11597" s="401">
        <f>SUM(C11597,C11573,C11549,C11525,C11501,C11477,C11453)/POBLA!$B$4*100000</f>
        <v>320.03891938921134</v>
      </c>
      <c r="N11597" s="42" t="s">
        <v>15</v>
      </c>
      <c r="O11597" s="42">
        <v>10</v>
      </c>
      <c r="P11597" s="42">
        <v>8</v>
      </c>
      <c r="Q11597" s="42">
        <v>0</v>
      </c>
      <c r="R11597" s="42">
        <v>18</v>
      </c>
    </row>
    <row r="11598" spans="1:18" x14ac:dyDescent="0.25">
      <c r="A11598" s="367" t="s">
        <v>29</v>
      </c>
      <c r="B11598" s="2">
        <v>44376</v>
      </c>
      <c r="C11598" s="1">
        <v>249</v>
      </c>
      <c r="D11598" s="39">
        <f t="shared" si="2042"/>
        <v>70593</v>
      </c>
      <c r="F11598" s="39">
        <f t="shared" si="2043"/>
        <v>1199</v>
      </c>
      <c r="G11598" s="168">
        <f>SUM(C11598,C11574,C11550,C11526,C11502,C11478,C11454,C11430,C11406,C11382,C11358,C11334,C11310,C11286)/POBLA!$B$5*100000</f>
        <v>518.58337883727461</v>
      </c>
      <c r="H11598" s="256">
        <f t="shared" si="2044"/>
        <v>0.77705156136528686</v>
      </c>
      <c r="I11598" s="297">
        <f t="shared" si="2045"/>
        <v>402.9660242235903</v>
      </c>
      <c r="J11598" s="422">
        <f t="shared" si="2046"/>
        <v>249.42857142857142</v>
      </c>
      <c r="K11598" s="297">
        <f>J11598/POBLA!$B$5*100000</f>
        <v>40.295797928343639</v>
      </c>
      <c r="L11598" s="200">
        <f t="shared" si="2047"/>
        <v>0.19262295081967218</v>
      </c>
      <c r="M11598" s="401">
        <f>SUM(C11598,C11574,C11550,C11526,C11502,C11478,C11454)/POBLA!$B$5*100000</f>
        <v>282.07058549840548</v>
      </c>
    </row>
    <row r="11599" spans="1:18" x14ac:dyDescent="0.25">
      <c r="A11599" s="367" t="s">
        <v>30</v>
      </c>
      <c r="B11599" s="2">
        <v>44376</v>
      </c>
      <c r="C11599" s="1">
        <v>607</v>
      </c>
      <c r="D11599" s="39">
        <f t="shared" si="2042"/>
        <v>65646</v>
      </c>
      <c r="E11599" s="1">
        <v>5</v>
      </c>
      <c r="F11599" s="39">
        <f t="shared" si="2043"/>
        <v>718</v>
      </c>
      <c r="G11599" s="168">
        <f>SUM(C11599,C11575,C11551,C11527,C11503,C11479,C11455,C11431,C11407,C11383,C11359,C11335,C11311,C11287)/POBLA!$B$6*100000</f>
        <v>699.7673984944696</v>
      </c>
      <c r="H11599" s="256">
        <f t="shared" si="2044"/>
        <v>1.2686832740213523</v>
      </c>
      <c r="I11599" s="297">
        <f t="shared" si="2045"/>
        <v>887.78319417536795</v>
      </c>
      <c r="J11599" s="422">
        <f t="shared" si="2046"/>
        <v>528.71428571428567</v>
      </c>
      <c r="K11599" s="297">
        <f>J11599/POBLA!$B$6*100000</f>
        <v>47.172895608969448</v>
      </c>
      <c r="L11599" s="200">
        <f t="shared" si="2047"/>
        <v>-0.10647030420086911</v>
      </c>
      <c r="M11599" s="401">
        <f>SUM(C11599,C11575,C11551,C11527,C11503,C11479,C11455)/POBLA!$B$6*100000</f>
        <v>330.21026926278614</v>
      </c>
      <c r="N11599" s="42" t="s">
        <v>30</v>
      </c>
      <c r="O11599" s="42">
        <v>3</v>
      </c>
      <c r="P11599" s="42">
        <v>2</v>
      </c>
      <c r="Q11599" s="42">
        <v>0</v>
      </c>
      <c r="R11599" s="42">
        <v>5</v>
      </c>
    </row>
    <row r="11600" spans="1:18" x14ac:dyDescent="0.25">
      <c r="A11600" s="367" t="s">
        <v>20</v>
      </c>
      <c r="B11600" s="2">
        <v>44376</v>
      </c>
      <c r="C11600" s="1">
        <v>3033</v>
      </c>
      <c r="D11600" s="39">
        <f t="shared" si="2042"/>
        <v>407658</v>
      </c>
      <c r="E11600" s="1">
        <v>66</v>
      </c>
      <c r="F11600" s="39">
        <f t="shared" si="2043"/>
        <v>5266</v>
      </c>
      <c r="G11600" s="168">
        <f>SUM(C11600,C11576,C11552,C11528,C11504,C11480,C11456,C11432,C11408,C11384,C11360,C11336,C11312,C11288)/POBLA!$B$7*100000</f>
        <v>961.37430360728104</v>
      </c>
      <c r="H11600" s="256">
        <f t="shared" si="2044"/>
        <v>0.66363169101989872</v>
      </c>
      <c r="I11600" s="297">
        <f t="shared" si="2045"/>
        <v>637.99845480597742</v>
      </c>
      <c r="J11600" s="422">
        <f t="shared" si="2046"/>
        <v>2660.8571428571427</v>
      </c>
      <c r="K11600" s="297">
        <f>J11600/POBLA!$B$7*100000</f>
        <v>70.759008705265131</v>
      </c>
      <c r="L11600" s="200">
        <f t="shared" si="2047"/>
        <v>6.2763893643729363E-2</v>
      </c>
      <c r="M11600" s="401">
        <f>SUM(C11600,C11576,C11552,C11528,C11504,C11480,C11456)/POBLA!$B$7*100000</f>
        <v>495.313060936856</v>
      </c>
      <c r="N11600" s="42" t="s">
        <v>20</v>
      </c>
      <c r="O11600" s="42">
        <v>28</v>
      </c>
      <c r="P11600" s="42">
        <v>38</v>
      </c>
      <c r="Q11600" s="42">
        <v>0</v>
      </c>
      <c r="R11600" s="42">
        <v>66</v>
      </c>
    </row>
    <row r="11601" spans="1:18" x14ac:dyDescent="0.25">
      <c r="A11601" s="367" t="s">
        <v>31</v>
      </c>
      <c r="B11601" s="2">
        <v>44376</v>
      </c>
      <c r="C11601" s="1">
        <v>995</v>
      </c>
      <c r="D11601" s="39">
        <f t="shared" si="2042"/>
        <v>109382</v>
      </c>
      <c r="E11601" s="1">
        <v>25</v>
      </c>
      <c r="F11601" s="39">
        <f t="shared" si="2043"/>
        <v>1805</v>
      </c>
      <c r="G11601" s="168">
        <f>SUM(C11601,C11577,C11553,C11529,C11505,C11481,C11457,C11433,C11409,C11385,C11361,C11337,C11313,C11289)/POBLA!$B$8*100000</f>
        <v>721.52102404035895</v>
      </c>
      <c r="H11601" s="256">
        <f t="shared" si="2044"/>
        <v>0.81103000811030013</v>
      </c>
      <c r="I11601" s="297">
        <f t="shared" si="2045"/>
        <v>585.17520197920442</v>
      </c>
      <c r="J11601" s="422">
        <f t="shared" si="2046"/>
        <v>771.71428571428567</v>
      </c>
      <c r="K11601" s="297">
        <f>J11601/POBLA!$B$8*100000</f>
        <v>55.680808169514556</v>
      </c>
      <c r="L11601" s="200">
        <f t="shared" si="2047"/>
        <v>0.17485863418877767</v>
      </c>
      <c r="M11601" s="401">
        <f>SUM(C11601,C11577,C11553,C11529,C11505,C11481,C11457)/POBLA!$B$8*100000</f>
        <v>389.76565718660191</v>
      </c>
      <c r="N11601" s="42" t="s">
        <v>31</v>
      </c>
      <c r="O11601" s="42">
        <v>12</v>
      </c>
      <c r="P11601" s="42">
        <v>13</v>
      </c>
      <c r="Q11601" s="42">
        <v>0</v>
      </c>
      <c r="R11601" s="42">
        <v>25</v>
      </c>
    </row>
    <row r="11602" spans="1:18" x14ac:dyDescent="0.25">
      <c r="A11602" s="367" t="s">
        <v>41</v>
      </c>
      <c r="B11602" s="2">
        <v>44376</v>
      </c>
      <c r="C11602" s="1">
        <v>322</v>
      </c>
      <c r="D11602" s="39">
        <f t="shared" si="2042"/>
        <v>45147</v>
      </c>
      <c r="E11602" s="1">
        <v>13</v>
      </c>
      <c r="F11602" s="39">
        <f t="shared" si="2043"/>
        <v>810</v>
      </c>
      <c r="G11602" s="168">
        <f>SUM(C11602,C11578,C11554,C11530,C11506,C11482,C11458,C11434,C11410,C11386,C11362,C11338,C11314,C11290)/POBLA!$B$9*100000</f>
        <v>998.3592011143553</v>
      </c>
      <c r="H11602" s="256">
        <f t="shared" si="2044"/>
        <v>0.80121999734783189</v>
      </c>
      <c r="I11602" s="297">
        <f>G11602*H11602</f>
        <v>799.90535646902731</v>
      </c>
      <c r="J11602" s="422">
        <f t="shared" si="2046"/>
        <v>407.57142857142856</v>
      </c>
      <c r="K11602" s="297">
        <f>J11602/POBLA!$B$9*100000</f>
        <v>67.345694443165826</v>
      </c>
      <c r="L11602" s="200">
        <f t="shared" si="2047"/>
        <v>-0.10536218250235185</v>
      </c>
      <c r="M11602" s="401">
        <f>SUM(C11602,C11578,C11554,C11530,C11506,C11482,C11458)/POBLA!$B$9*100000</f>
        <v>471.41986110216078</v>
      </c>
      <c r="N11602" s="42" t="s">
        <v>41</v>
      </c>
      <c r="O11602" s="42">
        <v>5</v>
      </c>
      <c r="P11602" s="42">
        <v>8</v>
      </c>
      <c r="Q11602" s="42">
        <v>0</v>
      </c>
      <c r="R11602" s="42">
        <v>13</v>
      </c>
    </row>
    <row r="11603" spans="1:18" x14ac:dyDescent="0.25">
      <c r="A11603" s="367" t="s">
        <v>32</v>
      </c>
      <c r="B11603" s="2">
        <v>44376</v>
      </c>
      <c r="C11603" s="1">
        <v>309</v>
      </c>
      <c r="D11603" s="39">
        <f t="shared" si="2042"/>
        <v>35555</v>
      </c>
      <c r="F11603" s="39">
        <f t="shared" si="2043"/>
        <v>1165</v>
      </c>
      <c r="G11603" s="168">
        <f>SUM(C11603,C11579,C11555,C11531,C11507,C11483,C11459,C11435,C11411,C11387,C11363,C11339,C11315,C11291)/POBLA!$B$10*100000</f>
        <v>447.41017096023904</v>
      </c>
      <c r="H11603" s="256">
        <f t="shared" si="2044"/>
        <v>0.99710899103787221</v>
      </c>
      <c r="I11603" s="297">
        <f t="shared" ref="I11603:I11617" si="2048">G11603*H11603</f>
        <v>446.11670414624587</v>
      </c>
      <c r="J11603" s="422">
        <f t="shared" si="2046"/>
        <v>282.57142857142856</v>
      </c>
      <c r="K11603" s="297">
        <f>J11603/POBLA!$B$10*100000</f>
        <v>36.655648351876437</v>
      </c>
      <c r="L11603" s="200">
        <f t="shared" si="2047"/>
        <v>0.34466349422161802</v>
      </c>
      <c r="M11603" s="401">
        <f>SUM(C11603,C11579,C11555,C11531,C11507,C11483,C11459)/POBLA!$B$10*100000</f>
        <v>256.58953846313506</v>
      </c>
    </row>
    <row r="11604" spans="1:18" x14ac:dyDescent="0.25">
      <c r="A11604" s="367" t="s">
        <v>33</v>
      </c>
      <c r="B11604" s="2">
        <v>44376</v>
      </c>
      <c r="C11604" s="1">
        <v>374</v>
      </c>
      <c r="D11604" s="39">
        <f t="shared" si="2042"/>
        <v>52770</v>
      </c>
      <c r="E11604" s="1">
        <v>4</v>
      </c>
      <c r="F11604" s="39">
        <f t="shared" si="2043"/>
        <v>730</v>
      </c>
      <c r="G11604" s="168">
        <f>SUM(C11604,C11580,C11556,C11532,C11508,C11484,C11460,C11436,C11412,C11388,C11364,C11340,C11316,C11292)/POBLA!$B$11*100000</f>
        <v>1335.2751459149397</v>
      </c>
      <c r="H11604" s="256">
        <f t="shared" si="2044"/>
        <v>1.0341400172860846</v>
      </c>
      <c r="I11604" s="297">
        <f t="shared" si="2048"/>
        <v>1380.8614624781549</v>
      </c>
      <c r="J11604" s="422">
        <f t="shared" si="2046"/>
        <v>450.42857142857144</v>
      </c>
      <c r="K11604" s="297">
        <f>J11604/POBLA!$B$11*100000</f>
        <v>125.6677969992778</v>
      </c>
      <c r="L11604" s="200">
        <f t="shared" si="2047"/>
        <v>0.93080220453153695</v>
      </c>
      <c r="M11604" s="401">
        <f>SUM(C11604,C11580,C11556,C11532,C11508,C11484,C11460)/POBLA!$B$11*100000</f>
        <v>879.67457899494457</v>
      </c>
      <c r="N11604" s="42" t="s">
        <v>33</v>
      </c>
      <c r="O11604" s="42">
        <v>1</v>
      </c>
      <c r="P11604" s="42">
        <v>3</v>
      </c>
      <c r="Q11604" s="42">
        <v>0</v>
      </c>
      <c r="R11604" s="42">
        <v>4</v>
      </c>
    </row>
    <row r="11605" spans="1:18" x14ac:dyDescent="0.25">
      <c r="A11605" s="367" t="s">
        <v>21</v>
      </c>
      <c r="B11605" s="2">
        <v>44376</v>
      </c>
      <c r="C11605" s="1">
        <v>157</v>
      </c>
      <c r="D11605" s="39">
        <f t="shared" si="2042"/>
        <v>21944</v>
      </c>
      <c r="F11605" s="39">
        <f t="shared" si="2043"/>
        <v>632</v>
      </c>
      <c r="G11605" s="168">
        <f>SUM(C11605,C11581,C11557,C11533,C11509,C11485,C11461,C11437,C11413,C11389,C11365,C11341,C11317,C11293)/POBLA!$B$12*100000</f>
        <v>531.08903745829423</v>
      </c>
      <c r="H11605" s="256">
        <f t="shared" si="2044"/>
        <v>0.88822779430514243</v>
      </c>
      <c r="I11605" s="297">
        <f t="shared" si="2048"/>
        <v>471.72804432122183</v>
      </c>
      <c r="J11605" s="422">
        <f t="shared" si="2046"/>
        <v>167</v>
      </c>
      <c r="K11605" s="297">
        <f>J11605/POBLA!$B$12*100000</f>
        <v>42.436301079203417</v>
      </c>
      <c r="L11605" s="200">
        <f t="shared" si="2047"/>
        <v>0.26927252985884897</v>
      </c>
      <c r="M11605" s="401">
        <f>SUM(C11605,C11581,C11557,C11533,C11509,C11485,C11461)/POBLA!$B$12*100000</f>
        <v>297.05410755442392</v>
      </c>
    </row>
    <row r="11606" spans="1:18" x14ac:dyDescent="0.25">
      <c r="A11606" s="367" t="s">
        <v>17</v>
      </c>
      <c r="B11606" s="2">
        <v>44376</v>
      </c>
      <c r="C11606" s="1">
        <v>651</v>
      </c>
      <c r="D11606" s="39">
        <f t="shared" si="2042"/>
        <v>139189</v>
      </c>
      <c r="E11606" s="1">
        <v>17</v>
      </c>
      <c r="F11606" s="39">
        <f t="shared" si="2043"/>
        <v>3225</v>
      </c>
      <c r="G11606" s="168">
        <f>SUM(C11606,C11582,C11558,C11534,C11510,C11486,C11462,C11438,C11414,C11390,C11366,C11342,C11318,C11294)/POBLA!$B$13*100000</f>
        <v>399.12818827756894</v>
      </c>
      <c r="H11606" s="256">
        <f t="shared" si="2044"/>
        <v>0.83218101822752988</v>
      </c>
      <c r="I11606" s="297">
        <f t="shared" si="2048"/>
        <v>332.14690212413655</v>
      </c>
      <c r="J11606" s="422">
        <f t="shared" si="2046"/>
        <v>614.85714285714289</v>
      </c>
      <c r="K11606" s="297">
        <f>J11606/POBLA!$B$13*100000</f>
        <v>30.892096862801338</v>
      </c>
      <c r="L11606" s="200">
        <f t="shared" si="2047"/>
        <v>0.18241758241758244</v>
      </c>
      <c r="M11606" s="401">
        <f>SUM(C11606,C11582,C11558,C11534,C11510,C11486,C11462)/POBLA!$B$13*100000</f>
        <v>216.24467803960934</v>
      </c>
      <c r="N11606" s="42" t="s">
        <v>17</v>
      </c>
      <c r="O11606" s="42">
        <v>9</v>
      </c>
      <c r="P11606" s="42">
        <v>8</v>
      </c>
      <c r="Q11606" s="42">
        <v>0</v>
      </c>
      <c r="R11606" s="42">
        <v>17</v>
      </c>
    </row>
    <row r="11607" spans="1:18" x14ac:dyDescent="0.25">
      <c r="A11607" s="367" t="s">
        <v>23</v>
      </c>
      <c r="B11607" s="2">
        <v>44376</v>
      </c>
      <c r="C11607" s="1">
        <v>190</v>
      </c>
      <c r="D11607" s="39">
        <f t="shared" si="2042"/>
        <v>25494</v>
      </c>
      <c r="E11607" s="1">
        <v>1</v>
      </c>
      <c r="F11607" s="39">
        <f t="shared" si="2043"/>
        <v>413</v>
      </c>
      <c r="G11607" s="168">
        <f>SUM(C11607,C11583,C11559,C11535,C11511,C11487,C11463,C11439,C11415,C11391,C11367,C11343,C11319,C11295)/POBLA!$B$14*100000</f>
        <v>195.03779451896227</v>
      </c>
      <c r="H11607" s="256">
        <f t="shared" si="2044"/>
        <v>1.0140148392415498</v>
      </c>
      <c r="I11607" s="297">
        <f t="shared" si="2048"/>
        <v>197.77121785517195</v>
      </c>
      <c r="J11607" s="422">
        <f t="shared" si="2046"/>
        <v>192.71428571428572</v>
      </c>
      <c r="K11607" s="297">
        <f>J11607/POBLA!$B$14*100000</f>
        <v>15.279093194313594</v>
      </c>
      <c r="L11607" s="200">
        <f t="shared" si="2047"/>
        <v>0.21422142214221429</v>
      </c>
      <c r="M11607" s="401">
        <f>SUM(C11607,C11583,C11559,C11535,C11511,C11487,C11463)/POBLA!$B$14*100000</f>
        <v>106.95365236019515</v>
      </c>
      <c r="N11607" s="42" t="s">
        <v>23</v>
      </c>
      <c r="O11607" s="42">
        <v>0</v>
      </c>
      <c r="P11607" s="42">
        <v>1</v>
      </c>
      <c r="Q11607" s="42">
        <v>0</v>
      </c>
      <c r="R11607" s="42">
        <v>1</v>
      </c>
    </row>
    <row r="11608" spans="1:18" x14ac:dyDescent="0.25">
      <c r="A11608" s="367" t="s">
        <v>19</v>
      </c>
      <c r="B11608" s="2">
        <v>44376</v>
      </c>
      <c r="C11608" s="1">
        <v>214</v>
      </c>
      <c r="D11608" s="39">
        <f t="shared" si="2042"/>
        <v>101191</v>
      </c>
      <c r="E11608" s="1">
        <v>11</v>
      </c>
      <c r="F11608" s="39">
        <f t="shared" si="2043"/>
        <v>1785</v>
      </c>
      <c r="G11608" s="168">
        <f>SUM(C11608,C11584,C11560,C11536,C11512,C11488,C11464,C11440,C11416,C11392,C11368,C11344,C11320,C11296)/POBLA!$B$15*100000</f>
        <v>524.20198868470629</v>
      </c>
      <c r="H11608" s="256">
        <f t="shared" si="2044"/>
        <v>0.5391048474523773</v>
      </c>
      <c r="I11608" s="297">
        <f t="shared" si="2048"/>
        <v>282.59983314410141</v>
      </c>
      <c r="J11608" s="422">
        <f t="shared" si="2046"/>
        <v>250.71428571428572</v>
      </c>
      <c r="K11608" s="297">
        <f>J11608/POBLA!$B$15*100000</f>
        <v>37.754934548432701</v>
      </c>
      <c r="L11608" s="200">
        <f t="shared" si="2047"/>
        <v>1.6801853997682414E-2</v>
      </c>
      <c r="M11608" s="401">
        <f>SUM(C11608,C11584,C11560,C11536,C11512,C11488,C11464)/POBLA!$B$15*100000</f>
        <v>264.28454183902892</v>
      </c>
      <c r="N11608" s="42" t="s">
        <v>19</v>
      </c>
      <c r="O11608" s="42">
        <v>5</v>
      </c>
      <c r="P11608" s="42">
        <v>6</v>
      </c>
      <c r="Q11608" s="42">
        <v>0</v>
      </c>
      <c r="R11608" s="42">
        <v>11</v>
      </c>
    </row>
    <row r="11609" spans="1:18" x14ac:dyDescent="0.25">
      <c r="A11609" s="367" t="s">
        <v>18</v>
      </c>
      <c r="B11609" s="2">
        <v>44376</v>
      </c>
      <c r="C11609" s="1">
        <v>355</v>
      </c>
      <c r="D11609" s="39">
        <f t="shared" si="2042"/>
        <v>84035</v>
      </c>
      <c r="E11609" s="1">
        <v>6</v>
      </c>
      <c r="F11609" s="39">
        <f t="shared" si="2043"/>
        <v>1923</v>
      </c>
      <c r="G11609" s="168">
        <f>SUM(C11609,C11585,C11561,C11537,C11513,C11489,C11465,C11441,C11417,C11393,C11369,C11345,C11321,C11297)/POBLA!$B$16*100000</f>
        <v>510.69407846336992</v>
      </c>
      <c r="H11609" s="256">
        <f t="shared" si="2044"/>
        <v>0.70729899962949239</v>
      </c>
      <c r="I11609" s="297">
        <f t="shared" si="2048"/>
        <v>361.21341081384702</v>
      </c>
      <c r="J11609" s="422">
        <f t="shared" si="2046"/>
        <v>284.85714285714283</v>
      </c>
      <c r="K11609" s="297">
        <f>J11609/POBLA!$B$16*100000</f>
        <v>38.102371939533022</v>
      </c>
      <c r="L11609" s="200">
        <f t="shared" si="2047"/>
        <v>9.3201754385964897E-2</v>
      </c>
      <c r="M11609" s="401">
        <f>SUM(C11609,C11585,C11561,C11537,C11513,C11489,C11465)/POBLA!$B$16*100000</f>
        <v>266.71660357673119</v>
      </c>
      <c r="N11609" s="42" t="s">
        <v>18</v>
      </c>
      <c r="O11609" s="42">
        <v>2</v>
      </c>
      <c r="P11609" s="42">
        <v>4</v>
      </c>
      <c r="Q11609" s="42">
        <v>0</v>
      </c>
      <c r="R11609" s="42">
        <v>6</v>
      </c>
    </row>
    <row r="11610" spans="1:18" x14ac:dyDescent="0.25">
      <c r="A11610" s="367" t="s">
        <v>34</v>
      </c>
      <c r="B11610" s="2">
        <v>44376</v>
      </c>
      <c r="C11610" s="1">
        <v>560</v>
      </c>
      <c r="D11610" s="39">
        <f>C11610+D11586</f>
        <v>60683</v>
      </c>
      <c r="E11610" s="1">
        <v>11</v>
      </c>
      <c r="F11610" s="39">
        <f t="shared" si="2043"/>
        <v>1723</v>
      </c>
      <c r="G11610" s="168">
        <f>SUM(C11610,C11586,C11562,C11538,C11514,C11490,C11466,C11442,C11418,C11394,C11370,C11346,C11322,C11298)/POBLA!$B$17*100000</f>
        <v>484.5559208563343</v>
      </c>
      <c r="H11610" s="256">
        <f t="shared" si="2044"/>
        <v>0.89369416030040139</v>
      </c>
      <c r="I11610" s="297">
        <f t="shared" si="2048"/>
        <v>433.04479680828945</v>
      </c>
      <c r="J11610" s="422">
        <f t="shared" si="2046"/>
        <v>549.14285714285711</v>
      </c>
      <c r="K11610" s="297">
        <f>J11610/POBLA!$B$17*100000</f>
        <v>38.552654712334906</v>
      </c>
      <c r="L11610" s="200">
        <f t="shared" si="2047"/>
        <v>0.25703073904512763</v>
      </c>
      <c r="M11610" s="401">
        <f>SUM(C11610,C11586,C11562,C11538,C11514,C11490,C11466)/POBLA!$B$17*100000</f>
        <v>269.86858298634439</v>
      </c>
      <c r="N11610" s="42" t="s">
        <v>34</v>
      </c>
      <c r="O11610" s="42">
        <v>7</v>
      </c>
      <c r="P11610" s="42">
        <v>4</v>
      </c>
      <c r="Q11610" s="42">
        <v>0</v>
      </c>
      <c r="R11610" s="42">
        <v>11</v>
      </c>
    </row>
    <row r="11611" spans="1:18" x14ac:dyDescent="0.25">
      <c r="A11611" s="367" t="s">
        <v>35</v>
      </c>
      <c r="B11611" s="2">
        <v>44376</v>
      </c>
      <c r="C11611" s="1">
        <v>303</v>
      </c>
      <c r="D11611" s="39">
        <f t="shared" ref="D11611:D11617" si="2049">C11611+D11587</f>
        <v>50018</v>
      </c>
      <c r="E11611" s="1">
        <v>6</v>
      </c>
      <c r="F11611" s="39">
        <f t="shared" si="2043"/>
        <v>813</v>
      </c>
      <c r="G11611" s="168">
        <f>SUM(C11611,C11587,C11563,C11539,C11515,C11491,C11467,C11443,C11419,C11395,C11371,C11347,C11323,C11299)/POBLA!$B$18*100000</f>
        <v>717.85432216656829</v>
      </c>
      <c r="H11611" s="256">
        <f t="shared" si="2044"/>
        <v>0.82762691853600945</v>
      </c>
      <c r="I11611" s="297">
        <f t="shared" si="2048"/>
        <v>594.11556061247268</v>
      </c>
      <c r="J11611" s="422">
        <f t="shared" si="2046"/>
        <v>405.28571428571428</v>
      </c>
      <c r="K11611" s="297">
        <f>J11611/POBLA!$B$18*100000</f>
        <v>51.878762787511576</v>
      </c>
      <c r="L11611" s="200">
        <f t="shared" si="2047"/>
        <v>2.3818116203536688E-2</v>
      </c>
      <c r="M11611" s="401">
        <f>SUM(C11611,C11587,C11563,C11539,C11515,C11491,C11467)/POBLA!$B$18*100000</f>
        <v>363.15133951258099</v>
      </c>
      <c r="N11611" s="42" t="s">
        <v>35</v>
      </c>
      <c r="O11611" s="42">
        <v>4</v>
      </c>
      <c r="P11611" s="42">
        <v>2</v>
      </c>
      <c r="Q11611" s="42">
        <v>0</v>
      </c>
      <c r="R11611" s="42">
        <v>6</v>
      </c>
    </row>
    <row r="11612" spans="1:18" x14ac:dyDescent="0.25">
      <c r="A11612" s="367" t="s">
        <v>36</v>
      </c>
      <c r="B11612" s="2">
        <v>44376</v>
      </c>
      <c r="C11612" s="1">
        <v>344</v>
      </c>
      <c r="D11612" s="39">
        <f t="shared" si="2049"/>
        <v>65303</v>
      </c>
      <c r="E11612" s="1">
        <v>5</v>
      </c>
      <c r="F11612" s="39">
        <f t="shared" si="2043"/>
        <v>920</v>
      </c>
      <c r="G11612" s="168">
        <f>SUM(C11612,C11588,C11564,C11540,C11516,C11492,C11468,C11444,C11420,C11396,C11372,C11348,C11324,C11300)/POBLA!$B$19*100000</f>
        <v>984.4037707936609</v>
      </c>
      <c r="H11612" s="256">
        <f t="shared" si="2044"/>
        <v>0.73588235294117643</v>
      </c>
      <c r="I11612" s="297">
        <f t="shared" si="2048"/>
        <v>724.40536309580568</v>
      </c>
      <c r="J11612" s="422">
        <f t="shared" si="2046"/>
        <v>385.28571428571428</v>
      </c>
      <c r="K11612" s="297">
        <f>J11612/POBLA!$B$19*100000</f>
        <v>75.794706230173091</v>
      </c>
      <c r="L11612" s="200">
        <f t="shared" si="2047"/>
        <v>0.16905071521456438</v>
      </c>
      <c r="M11612" s="401">
        <f>SUM(C11612,C11588,C11564,C11540,C11516,C11492,C11468)/POBLA!$B$19*100000</f>
        <v>530.56294361121172</v>
      </c>
      <c r="N11612" s="42" t="s">
        <v>36</v>
      </c>
      <c r="O11612" s="42">
        <v>2</v>
      </c>
      <c r="P11612" s="42">
        <v>3</v>
      </c>
      <c r="Q11612" s="42">
        <v>0</v>
      </c>
      <c r="R11612" s="42">
        <v>5</v>
      </c>
    </row>
    <row r="11613" spans="1:18" x14ac:dyDescent="0.25">
      <c r="A11613" s="367" t="s">
        <v>37</v>
      </c>
      <c r="B11613" s="2">
        <v>44376</v>
      </c>
      <c r="C11613" s="1">
        <v>134</v>
      </c>
      <c r="D11613" s="39">
        <f t="shared" si="2049"/>
        <v>55389</v>
      </c>
      <c r="E11613" s="1">
        <v>9</v>
      </c>
      <c r="F11613" s="39">
        <f t="shared" ref="F11613:F11618" si="2050">E11613+F11589</f>
        <v>865</v>
      </c>
      <c r="G11613" s="168">
        <f>SUM(C11613,C11589,C11566,C11541,C11517,C11493,C11469,C11445,C11421,C11397,C11373,C11349,C11325,C11301)/POBLA!$B$20*100000</f>
        <v>718.62575130298774</v>
      </c>
      <c r="H11613" s="256">
        <f t="shared" si="2044"/>
        <v>0.71665875652586619</v>
      </c>
      <c r="I11613" s="297">
        <f t="shared" si="2048"/>
        <v>515.00943733626559</v>
      </c>
      <c r="J11613" s="422">
        <f t="shared" si="2046"/>
        <v>115.14285714285714</v>
      </c>
      <c r="K11613" s="297">
        <f>J11613/POBLA!$B$20*100000</f>
        <v>31.485777101011529</v>
      </c>
      <c r="L11613" s="200">
        <f t="shared" si="2047"/>
        <v>0.14488636363636354</v>
      </c>
      <c r="M11613" s="401">
        <f>SUM(C11613,C11589,C11565,C11541,C11517,C11493,C11469)/POBLA!$B$20*100000</f>
        <v>220.40043970708072</v>
      </c>
      <c r="N11613" s="42" t="s">
        <v>37</v>
      </c>
      <c r="O11613" s="42">
        <v>3</v>
      </c>
      <c r="P11613" s="42">
        <v>6</v>
      </c>
      <c r="Q11613" s="42">
        <v>0</v>
      </c>
      <c r="R11613" s="42">
        <v>9</v>
      </c>
    </row>
    <row r="11614" spans="1:18" x14ac:dyDescent="0.25">
      <c r="A11614" s="367" t="s">
        <v>22</v>
      </c>
      <c r="B11614" s="2">
        <v>44376</v>
      </c>
      <c r="C11614" s="1">
        <v>1955</v>
      </c>
      <c r="D11614" s="39">
        <f t="shared" si="2049"/>
        <v>404515</v>
      </c>
      <c r="E11614" s="1">
        <v>66</v>
      </c>
      <c r="F11614" s="39">
        <f t="shared" si="2050"/>
        <v>6602</v>
      </c>
      <c r="G11614" s="168">
        <f>SUM(C11614,C11590,C11566,C11542,C11518,C11494,C11470,C11446,C11422,C11398,C11374,C11350,C11326,C11302)/POBLA!$B$21*100000</f>
        <v>663.97693937764143</v>
      </c>
      <c r="H11614" s="256">
        <f t="shared" si="2044"/>
        <v>0.71950360042898731</v>
      </c>
      <c r="I11614" s="297">
        <f t="shared" si="2048"/>
        <v>477.73379848403243</v>
      </c>
      <c r="J11614" s="422">
        <f t="shared" si="2046"/>
        <v>1835.2857142857142</v>
      </c>
      <c r="K11614" s="297">
        <f>J11614/POBLA!$B$21*100000</f>
        <v>51.896741682847285</v>
      </c>
      <c r="L11614" s="200">
        <f t="shared" si="2047"/>
        <v>0.20810607485424115</v>
      </c>
      <c r="M11614" s="401">
        <f>SUM(C11614,C11590,C11566,C11542,C11518,C11494,C11470)/POBLA!$B$21*100000</f>
        <v>363.277191779931</v>
      </c>
      <c r="N11614" s="42" t="s">
        <v>22</v>
      </c>
      <c r="O11614" s="42">
        <v>27</v>
      </c>
      <c r="P11614" s="42">
        <v>39</v>
      </c>
      <c r="Q11614" s="42">
        <v>0</v>
      </c>
      <c r="R11614" s="42">
        <v>66</v>
      </c>
    </row>
    <row r="11615" spans="1:18" x14ac:dyDescent="0.25">
      <c r="A11615" s="367" t="s">
        <v>38</v>
      </c>
      <c r="B11615" s="2">
        <v>44376</v>
      </c>
      <c r="C11615" s="1">
        <v>413</v>
      </c>
      <c r="D11615" s="39">
        <f t="shared" si="2049"/>
        <v>58881</v>
      </c>
      <c r="E11615" s="1">
        <v>19</v>
      </c>
      <c r="F11615" s="39">
        <f t="shared" si="2050"/>
        <v>803</v>
      </c>
      <c r="G11615" s="168">
        <f>SUM(C11615,C11591,C11567,C11543,C11519,C11495,C11471,C11447,C11423,C11399,C11375,C11351,C11327,C11303)/POBLA!$B$22*100000</f>
        <v>739.33393504941671</v>
      </c>
      <c r="H11615" s="256">
        <f t="shared" si="2044"/>
        <v>0.98434948285247681</v>
      </c>
      <c r="I11615" s="297">
        <f t="shared" si="2048"/>
        <v>727.76297662117997</v>
      </c>
      <c r="J11615" s="422">
        <f t="shared" si="2046"/>
        <v>530.85714285714289</v>
      </c>
      <c r="K11615" s="297">
        <f>J11615/POBLA!$B$22*100000</f>
        <v>54.262505236784435</v>
      </c>
      <c r="L11615" s="200">
        <f t="shared" si="2047"/>
        <v>5.6582314472561901E-2</v>
      </c>
      <c r="M11615" s="401">
        <f>SUM(C11615,C11591,C11567,C11543,C11519,C11495,C11471)/POBLA!$B$22*100000</f>
        <v>379.837536657491</v>
      </c>
      <c r="N11615" s="42" t="s">
        <v>38</v>
      </c>
      <c r="O11615" s="42">
        <v>11</v>
      </c>
      <c r="P11615" s="42">
        <v>8</v>
      </c>
      <c r="Q11615" s="42">
        <v>0</v>
      </c>
      <c r="R11615" s="42">
        <v>19</v>
      </c>
    </row>
    <row r="11616" spans="1:18" x14ac:dyDescent="0.25">
      <c r="A11616" s="367" t="s">
        <v>39</v>
      </c>
      <c r="B11616" s="2">
        <v>44376</v>
      </c>
      <c r="C11616" s="1">
        <v>55</v>
      </c>
      <c r="D11616" s="39">
        <f t="shared" si="2049"/>
        <v>29714</v>
      </c>
      <c r="E11616" s="1">
        <v>6</v>
      </c>
      <c r="F11616" s="39">
        <f t="shared" si="2050"/>
        <v>446</v>
      </c>
      <c r="G11616" s="168">
        <f>SUM(C11616,C11592,C11568,C11544,C11520,C11496,C11472,C11448,C11424,C11400,C11376,C11352,C11328,C11304)/POBLA!$B$23*100000</f>
        <v>352.31578352089576</v>
      </c>
      <c r="H11616" s="256">
        <f t="shared" si="2044"/>
        <v>1.1065719360568385</v>
      </c>
      <c r="I11616" s="297">
        <f t="shared" si="2048"/>
        <v>389.86275867409961</v>
      </c>
      <c r="J11616" s="422">
        <f t="shared" si="2046"/>
        <v>45.142857142857146</v>
      </c>
      <c r="K11616" s="297">
        <f>J11616/POBLA!$B$23*100000</f>
        <v>25.528958402339619</v>
      </c>
      <c r="L11616" s="200">
        <f t="shared" si="2047"/>
        <v>2.931596091205213E-2</v>
      </c>
      <c r="M11616" s="401">
        <f>SUM(C11616,C11592,C11568,C11544,C11520,C11496,C11472)/POBLA!$B$23*100000</f>
        <v>178.70270881637731</v>
      </c>
      <c r="N11616" s="42" t="s">
        <v>39</v>
      </c>
      <c r="O11616" s="42">
        <v>1</v>
      </c>
      <c r="P11616" s="42">
        <v>5</v>
      </c>
      <c r="Q11616" s="42">
        <v>0</v>
      </c>
      <c r="R11616" s="42">
        <v>6</v>
      </c>
    </row>
    <row r="11617" spans="1:18" ht="15.75" thickBot="1" x14ac:dyDescent="0.3">
      <c r="A11617" s="368" t="s">
        <v>40</v>
      </c>
      <c r="B11617" s="34">
        <v>44376</v>
      </c>
      <c r="C11617" s="232">
        <v>2075</v>
      </c>
      <c r="D11617" s="67">
        <f t="shared" si="2049"/>
        <v>155781</v>
      </c>
      <c r="E11617" s="232">
        <v>7</v>
      </c>
      <c r="F11617" s="67">
        <f t="shared" si="2050"/>
        <v>2298</v>
      </c>
      <c r="G11617" s="255">
        <f>SUM(C11617,C11593,C11569,C11545,C11521,C11497,C11473,C11449,C11425,C11401,C11377,C11353,C11329,C11305)/POBLA!$B$24*100000</f>
        <v>747.5853506552362</v>
      </c>
      <c r="H11617" s="257">
        <f t="shared" si="2044"/>
        <v>1.0548709408825978</v>
      </c>
      <c r="I11617" s="299">
        <f t="shared" si="2048"/>
        <v>788.60606223573586</v>
      </c>
      <c r="J11617" s="428">
        <f t="shared" si="2046"/>
        <v>1226.2857142857142</v>
      </c>
      <c r="K11617" s="299">
        <f>J11617/POBLA!$B$24*100000</f>
        <v>72.361925623000431</v>
      </c>
      <c r="L11617" s="260">
        <f t="shared" si="2047"/>
        <v>1.1013463892288859</v>
      </c>
      <c r="M11617" s="406">
        <f>SUM(C11617,C11593,C11569,C11545,C11521,C11497,C11473)/POBLA!$B$24*100000</f>
        <v>506.53347936100306</v>
      </c>
      <c r="N11617" s="42" t="s">
        <v>40</v>
      </c>
      <c r="O11617" s="42">
        <v>2</v>
      </c>
      <c r="P11617" s="42">
        <v>5</v>
      </c>
      <c r="Q11617" s="42">
        <v>0</v>
      </c>
      <c r="R11617" s="42">
        <v>7</v>
      </c>
    </row>
    <row r="11618" spans="1:18" x14ac:dyDescent="0.25">
      <c r="A11618" s="363" t="s">
        <v>16</v>
      </c>
      <c r="B11618" s="265">
        <v>44377</v>
      </c>
      <c r="C11618" s="43">
        <v>7157</v>
      </c>
      <c r="D11618" s="174">
        <f>C11618+D11594</f>
        <v>1842876</v>
      </c>
      <c r="E11618" s="43">
        <v>289</v>
      </c>
      <c r="F11618" s="174">
        <f t="shared" si="2050"/>
        <v>47583</v>
      </c>
      <c r="G11618" s="175">
        <f>SUM(C11618,C11594,C11546,C11570,C11522,C11498,C11474,C11450,C11426,C11402,C11378,C11354,C11330,C11306)/POBLA!$B$1*100000</f>
        <v>505.74817225401699</v>
      </c>
      <c r="H11618" s="300">
        <f>SUM(C11618,C11594,C11570,C11546,C11522,C11498,C11474,C11450,C11426,C11402,C11378,C11354,C11330,C11306,)/SUM(C11282,C11258,C11234,C11210,C11186,C11162,C11138,C11114,C11090,C11066,C11042,C11018,C10994,C10970)</f>
        <v>0.7497865938691165</v>
      </c>
      <c r="I11618" s="301">
        <f>G11618*H11618</f>
        <v>379.20319942987061</v>
      </c>
      <c r="J11618" s="421">
        <f>AVERAGE(C11618,C11594,C11570,C11546,C11522,C11498,C11474)</f>
        <v>6752.8571428571431</v>
      </c>
      <c r="K11618" s="301">
        <f>J11618/POBLA!$B$1*100000</f>
        <v>38.497251363848811</v>
      </c>
      <c r="L11618" s="399">
        <f>(SUM(C11618,C11594,C11570,C11546,C11522,C11498,C11474)/SUM(C11450,C11426,C11402,C11378,C11354,C11330,C11306))-1</f>
        <v>0.14057523405076733</v>
      </c>
      <c r="M11618" s="400">
        <f>SUM(C11618,C11594,C11570,C11546,C11522,C11498,C11474)/POBLA!$B$1*100000</f>
        <v>269.48075954694167</v>
      </c>
      <c r="N11618" s="42" t="s">
        <v>16</v>
      </c>
      <c r="O11618" s="42">
        <v>113</v>
      </c>
      <c r="P11618" s="42">
        <v>174</v>
      </c>
      <c r="Q11618" s="42">
        <v>2</v>
      </c>
      <c r="R11618" s="42">
        <v>289</v>
      </c>
    </row>
    <row r="11619" spans="1:18" x14ac:dyDescent="0.25">
      <c r="A11619" s="367" t="s">
        <v>43</v>
      </c>
      <c r="B11619" s="2">
        <v>44377</v>
      </c>
      <c r="C11619" s="1">
        <v>1048</v>
      </c>
      <c r="D11619" s="39">
        <f t="shared" ref="D11619:D11633" si="2051">C11619+D11595</f>
        <v>463951</v>
      </c>
      <c r="E11619" s="1">
        <v>43</v>
      </c>
      <c r="F11619" s="39">
        <f t="shared" ref="F11619:F11636" si="2052">E11619+F11595</f>
        <v>10333</v>
      </c>
      <c r="G11619" s="168">
        <f>SUM(C11619,C11595,C11571,C11547,C11523,C11499,C11475,C11451,C11427,C11403,C11379,C11355,C11331,C11307)/POBLA!$B$2*100000</f>
        <v>576.26918052337624</v>
      </c>
      <c r="H11619" s="256">
        <f t="shared" ref="H11619:H11641" si="2053">SUM(C11619,C11595,C11571,C11547,C11523,C11499,C11475,C11451,C11427,C11403,C11379,C11355,C11331,C11307,)/SUM(C11283,C11259,C11235,C11211,C11187,C11163,C11139,C11115,C11091,C11067,C11043,C11019,C10995,C10971)</f>
        <v>0.76003430531732419</v>
      </c>
      <c r="I11619" s="297">
        <f t="shared" ref="I11619:I11625" si="2054">G11619*H11619</f>
        <v>437.98434629486792</v>
      </c>
      <c r="J11619" s="422">
        <f>AVERAGE(C11619,C11595,C11571,C11547,C11523,C11499,C11475)</f>
        <v>1287.8571428571429</v>
      </c>
      <c r="K11619" s="297">
        <f>J11619/POBLA!$B$2*100000</f>
        <v>41.872736422109142</v>
      </c>
      <c r="L11619" s="200">
        <f>(SUM(C11619,C11595,C11571,C11547,C11523,C11499,C11475)/SUM(C11451,C11427,C11403,C11379,C11355,C11331,C11307))-1</f>
        <v>3.5136066138477418E-2</v>
      </c>
      <c r="M11619" s="401">
        <f>SUM(C11619,C11595,C11571,C11547,C11523,C11499,C11475)/POBLA!$B$2*100000</f>
        <v>293.10915495476399</v>
      </c>
      <c r="N11619" s="42" t="s">
        <v>43</v>
      </c>
      <c r="O11619" s="42">
        <v>21</v>
      </c>
      <c r="P11619" s="42">
        <v>22</v>
      </c>
      <c r="Q11619" s="42">
        <v>0</v>
      </c>
      <c r="R11619" s="42">
        <v>43</v>
      </c>
    </row>
    <row r="11620" spans="1:18" x14ac:dyDescent="0.25">
      <c r="A11620" s="367" t="s">
        <v>28</v>
      </c>
      <c r="B11620" s="2">
        <v>44377</v>
      </c>
      <c r="C11620" s="1">
        <v>366</v>
      </c>
      <c r="D11620" s="39">
        <f t="shared" si="2051"/>
        <v>34257</v>
      </c>
      <c r="F11620" s="39">
        <f t="shared" si="2052"/>
        <v>311</v>
      </c>
      <c r="G11620" s="168">
        <f>SUM(C11620,C11596,C11572,C11548,C11524,C11500,C11476,C11452,C11428,C11404,C11380,C11356,C11332,C11308)/POBLA!$B$3*100000</f>
        <v>1010.7404715023662</v>
      </c>
      <c r="H11620" s="256">
        <f t="shared" si="2053"/>
        <v>0.76778204424940577</v>
      </c>
      <c r="I11620" s="297">
        <f t="shared" si="2054"/>
        <v>776.02838541569497</v>
      </c>
      <c r="J11620" s="422">
        <f t="shared" ref="J11620:J11641" si="2055">AVERAGE(C11620,C11596,C11572,C11548,C11524,C11500,C11476)</f>
        <v>337.57142857142856</v>
      </c>
      <c r="K11620" s="297">
        <f>J11620/POBLA!$B$3*100000</f>
        <v>81.256752769710175</v>
      </c>
      <c r="L11620" s="200">
        <f t="shared" ref="L11620:L11641" si="2056">(SUM(C11620,C11596,C11572,C11548,C11524,C11500,C11476)/SUM(C11452,C11428,C11404,C11380,C11356,C11332,C11308))-1</f>
        <v>0.28703703703703698</v>
      </c>
      <c r="M11620" s="401">
        <f>SUM(C11620,C11596,C11572,C11548,C11524,C11500,C11476)/POBLA!$B$3*100000</f>
        <v>568.79726938797126</v>
      </c>
    </row>
    <row r="11621" spans="1:18" x14ac:dyDescent="0.25">
      <c r="A11621" s="367" t="s">
        <v>15</v>
      </c>
      <c r="B11621" s="2">
        <v>44377</v>
      </c>
      <c r="C11621" s="1">
        <v>746</v>
      </c>
      <c r="D11621" s="39">
        <f t="shared" si="2051"/>
        <v>77046</v>
      </c>
      <c r="E11621" s="1">
        <v>9</v>
      </c>
      <c r="F11621" s="39">
        <f t="shared" si="2052"/>
        <v>1657</v>
      </c>
      <c r="G11621" s="168">
        <f>SUM(C11621,C11597,C11573,C11549,C11525,C11501,C11477,C11453,C11429,C11405,C11381,C11357,C11333,C11309)/POBLA!$B$4*100000</f>
        <v>631.94195963441678</v>
      </c>
      <c r="H11621" s="256">
        <f t="shared" si="2053"/>
        <v>0.79011833091135564</v>
      </c>
      <c r="I11621" s="297">
        <f t="shared" si="2054"/>
        <v>499.30892637919663</v>
      </c>
      <c r="J11621" s="422">
        <f t="shared" si="2055"/>
        <v>565.28571428571433</v>
      </c>
      <c r="K11621" s="297">
        <f>J11621/POBLA!$B$4*100000</f>
        <v>46.929553604710371</v>
      </c>
      <c r="L11621" s="200">
        <f t="shared" si="2056"/>
        <v>8.2626538987688125E-2</v>
      </c>
      <c r="M11621" s="401">
        <f>SUM(C11621,C11597,C11573,C11549,C11525,C11501,C11477)/POBLA!$B$4*100000</f>
        <v>328.50687523297256</v>
      </c>
      <c r="N11621" s="42" t="s">
        <v>15</v>
      </c>
      <c r="O11621" s="42">
        <v>5</v>
      </c>
      <c r="P11621" s="42">
        <v>4</v>
      </c>
      <c r="Q11621" s="42">
        <v>0</v>
      </c>
      <c r="R11621" s="42">
        <v>9</v>
      </c>
    </row>
    <row r="11622" spans="1:18" x14ac:dyDescent="0.25">
      <c r="A11622" s="367" t="s">
        <v>29</v>
      </c>
      <c r="B11622" s="2">
        <v>44377</v>
      </c>
      <c r="C11622" s="1">
        <v>200</v>
      </c>
      <c r="D11622" s="39">
        <f t="shared" si="2051"/>
        <v>70793</v>
      </c>
      <c r="E11622" s="1">
        <v>4</v>
      </c>
      <c r="F11622" s="39">
        <f t="shared" si="2052"/>
        <v>1203</v>
      </c>
      <c r="G11622" s="168">
        <f>SUM(C11622,C11598,C11574,C11550,C11526,C11502,C11478,C11454,C11430,C11406,C11382,C11358,C11334,C11310)/POBLA!$B$5*100000</f>
        <v>496.28914012090587</v>
      </c>
      <c r="H11622" s="256">
        <f t="shared" si="2053"/>
        <v>0.7796954314720812</v>
      </c>
      <c r="I11622" s="297">
        <f t="shared" si="2054"/>
        <v>386.95437524147786</v>
      </c>
      <c r="J11622" s="422">
        <f t="shared" si="2055"/>
        <v>237.57142857142858</v>
      </c>
      <c r="K11622" s="297">
        <f>J11622/POBLA!$B$5*100000</f>
        <v>38.380247396812983</v>
      </c>
      <c r="L11622" s="200">
        <f t="shared" si="2056"/>
        <v>0.18026969481902055</v>
      </c>
      <c r="M11622" s="401">
        <f>SUM(C11622,C11598,C11574,C11550,C11526,C11502,C11478)/POBLA!$B$5*100000</f>
        <v>268.66173177769093</v>
      </c>
      <c r="N11622" s="42" t="s">
        <v>29</v>
      </c>
      <c r="O11622" s="42">
        <v>2</v>
      </c>
      <c r="P11622" s="42">
        <v>2</v>
      </c>
      <c r="Q11622" s="42">
        <v>0</v>
      </c>
      <c r="R11622" s="42">
        <v>4</v>
      </c>
    </row>
    <row r="11623" spans="1:18" x14ac:dyDescent="0.25">
      <c r="A11623" s="367" t="s">
        <v>30</v>
      </c>
      <c r="B11623" s="2">
        <v>44377</v>
      </c>
      <c r="C11623" s="1">
        <v>588</v>
      </c>
      <c r="D11623" s="39">
        <f t="shared" si="2051"/>
        <v>66234</v>
      </c>
      <c r="E11623" s="1">
        <v>9</v>
      </c>
      <c r="F11623" s="39">
        <f t="shared" si="2052"/>
        <v>727</v>
      </c>
      <c r="G11623" s="168">
        <f>SUM(C11623,C11599,C11575,C11551,C11527,C11503,C11479,C11455,C11431,C11407,C11383,C11359,C11335,C11311)/POBLA!$B$6*100000</f>
        <v>680.04935755767519</v>
      </c>
      <c r="H11623" s="256">
        <f t="shared" si="2053"/>
        <v>1.1944836232565428</v>
      </c>
      <c r="I11623" s="297">
        <f t="shared" si="2054"/>
        <v>812.30782060877607</v>
      </c>
      <c r="J11623" s="422">
        <f t="shared" si="2055"/>
        <v>550.57142857142856</v>
      </c>
      <c r="K11623" s="297">
        <f>J11623/POBLA!$B$6*100000</f>
        <v>49.123031525795263</v>
      </c>
      <c r="L11623" s="200">
        <f t="shared" si="2056"/>
        <v>2.2823779193205995E-2</v>
      </c>
      <c r="M11623" s="401">
        <f>SUM(C11623,C11599,C11575,C11551,C11527,C11503,C11479)/POBLA!$B$6*100000</f>
        <v>343.86122068056682</v>
      </c>
      <c r="N11623" s="42" t="s">
        <v>30</v>
      </c>
      <c r="O11623" s="42">
        <v>3</v>
      </c>
      <c r="P11623" s="42">
        <v>6</v>
      </c>
      <c r="Q11623" s="42">
        <v>0</v>
      </c>
      <c r="R11623" s="42">
        <v>9</v>
      </c>
    </row>
    <row r="11624" spans="1:18" x14ac:dyDescent="0.25">
      <c r="A11624" s="367" t="s">
        <v>20</v>
      </c>
      <c r="B11624" s="2">
        <v>44377</v>
      </c>
      <c r="C11624" s="1">
        <v>2968</v>
      </c>
      <c r="D11624" s="39">
        <f t="shared" si="2051"/>
        <v>410626</v>
      </c>
      <c r="E11624" s="1">
        <v>53</v>
      </c>
      <c r="F11624" s="39">
        <f t="shared" si="2052"/>
        <v>5319</v>
      </c>
      <c r="G11624" s="168">
        <f>SUM(C11624,C11600,C11576,C11552,C11528,C11504,C11480,C11456,C11432,C11408,C11384,C11360,C11336,C11312)/POBLA!$B$7*100000</f>
        <v>944.86032256777787</v>
      </c>
      <c r="H11624" s="256">
        <f t="shared" si="2053"/>
        <v>0.66952458120560021</v>
      </c>
      <c r="I11624" s="297">
        <f t="shared" si="2054"/>
        <v>632.60721176497975</v>
      </c>
      <c r="J11624" s="422">
        <f t="shared" si="2055"/>
        <v>2519.1428571428573</v>
      </c>
      <c r="K11624" s="297">
        <f>J11624/POBLA!$B$7*100000</f>
        <v>66.990462767563912</v>
      </c>
      <c r="L11624" s="200">
        <f t="shared" si="2056"/>
        <v>-1.4695200312901613E-2</v>
      </c>
      <c r="M11624" s="401">
        <f>SUM(C11624,C11600,C11576,C11552,C11528,C11504,C11480)/POBLA!$B$7*100000</f>
        <v>468.93323937294736</v>
      </c>
      <c r="N11624" s="42" t="s">
        <v>20</v>
      </c>
      <c r="O11624" s="42">
        <v>25</v>
      </c>
      <c r="P11624" s="42">
        <v>28</v>
      </c>
      <c r="Q11624" s="42">
        <v>0</v>
      </c>
      <c r="R11624" s="42">
        <v>53</v>
      </c>
    </row>
    <row r="11625" spans="1:18" x14ac:dyDescent="0.25">
      <c r="A11625" s="367" t="s">
        <v>31</v>
      </c>
      <c r="B11625" s="2">
        <v>44377</v>
      </c>
      <c r="C11625" s="1">
        <v>902</v>
      </c>
      <c r="D11625" s="39">
        <f t="shared" si="2051"/>
        <v>110284</v>
      </c>
      <c r="E11625" s="1">
        <v>24</v>
      </c>
      <c r="F11625" s="39">
        <f t="shared" si="2052"/>
        <v>1829</v>
      </c>
      <c r="G11625" s="168">
        <f>SUM(C11625,C11601,C11577,C11553,C11529,C11505,C11481,C11457,C11433,C11409,C11385,C11361,C11337,C11313)/POBLA!$B$8*100000</f>
        <v>714.23366169755138</v>
      </c>
      <c r="H11625" s="256">
        <f t="shared" si="2053"/>
        <v>0.81681656902384681</v>
      </c>
      <c r="I11625" s="297">
        <f t="shared" si="2054"/>
        <v>583.39788902913278</v>
      </c>
      <c r="J11625" s="422">
        <f t="shared" si="2055"/>
        <v>767</v>
      </c>
      <c r="K11625" s="297">
        <f>J11625/POBLA!$B$8*100000</f>
        <v>55.34066254389554</v>
      </c>
      <c r="L11625" s="200">
        <f t="shared" si="2056"/>
        <v>0.18520971302428246</v>
      </c>
      <c r="M11625" s="401">
        <f>SUM(C11625,C11601,C11577,C11553,C11529,C11505,C11481)/POBLA!$B$8*100000</f>
        <v>387.38463780726875</v>
      </c>
      <c r="N11625" s="42" t="s">
        <v>31</v>
      </c>
      <c r="O11625" s="42">
        <v>12</v>
      </c>
      <c r="P11625" s="42">
        <v>12</v>
      </c>
      <c r="Q11625" s="42">
        <v>0</v>
      </c>
      <c r="R11625" s="42">
        <v>24</v>
      </c>
    </row>
    <row r="11626" spans="1:18" x14ac:dyDescent="0.25">
      <c r="A11626" s="367" t="s">
        <v>41</v>
      </c>
      <c r="B11626" s="2">
        <v>44377</v>
      </c>
      <c r="C11626" s="1">
        <v>411</v>
      </c>
      <c r="D11626" s="39">
        <f t="shared" si="2051"/>
        <v>45558</v>
      </c>
      <c r="E11626" s="1">
        <v>6</v>
      </c>
      <c r="F11626" s="39">
        <f t="shared" si="2052"/>
        <v>816</v>
      </c>
      <c r="G11626" s="168">
        <f>SUM(C11626,C11602,C11578,C11554,C11530,C11506,C11482,C11458,C11434,C11410,C11386,C11362,C11338,C11314)/POBLA!$B$9*100000</f>
        <v>994.39352404935289</v>
      </c>
      <c r="H11626" s="256">
        <f t="shared" si="2053"/>
        <v>0.86490370796205807</v>
      </c>
      <c r="I11626" s="297">
        <f>G11626*H11626</f>
        <v>860.05464612374328</v>
      </c>
      <c r="J11626" s="422">
        <f t="shared" si="2055"/>
        <v>389.42857142857144</v>
      </c>
      <c r="K11626" s="297">
        <f>J11626/POBLA!$B$9*100000</f>
        <v>64.347831423789017</v>
      </c>
      <c r="L11626" s="200">
        <f t="shared" si="2056"/>
        <v>-0.17193195625759417</v>
      </c>
      <c r="M11626" s="401">
        <f>SUM(C11626,C11602,C11578,C11554,C11530,C11506,C11482)/POBLA!$B$9*100000</f>
        <v>450.43481996652304</v>
      </c>
      <c r="N11626" s="42" t="s">
        <v>41</v>
      </c>
      <c r="O11626" s="42">
        <v>2</v>
      </c>
      <c r="P11626" s="42">
        <v>4</v>
      </c>
      <c r="Q11626" s="42">
        <v>0</v>
      </c>
      <c r="R11626" s="42">
        <v>6</v>
      </c>
    </row>
    <row r="11627" spans="1:18" x14ac:dyDescent="0.25">
      <c r="A11627" s="367" t="s">
        <v>32</v>
      </c>
      <c r="B11627" s="2">
        <v>44377</v>
      </c>
      <c r="C11627" s="1">
        <v>291</v>
      </c>
      <c r="D11627" s="39">
        <f t="shared" si="2051"/>
        <v>35846</v>
      </c>
      <c r="E11627" s="1">
        <v>5</v>
      </c>
      <c r="F11627" s="39">
        <f t="shared" si="2052"/>
        <v>1170</v>
      </c>
      <c r="G11627" s="168">
        <f>SUM(C11627,C11603,C11579,C11555,C11531,C11507,C11483,C11459,C11435,C11411,C11387,C11363,C11339,C11315)/POBLA!$B$10*100000</f>
        <v>447.41017096023904</v>
      </c>
      <c r="H11627" s="256">
        <f t="shared" si="2053"/>
        <v>0.98486579097658478</v>
      </c>
      <c r="I11627" s="297">
        <f t="shared" ref="I11627:I11641" si="2057">G11627*H11627</f>
        <v>440.63897191372484</v>
      </c>
      <c r="J11627" s="422">
        <f t="shared" si="2055"/>
        <v>273</v>
      </c>
      <c r="K11627" s="297">
        <f>J11627/POBLA!$B$10*100000</f>
        <v>35.414026289401349</v>
      </c>
      <c r="L11627" s="200">
        <f t="shared" si="2056"/>
        <v>0.24252275682704805</v>
      </c>
      <c r="M11627" s="401">
        <f>SUM(C11627,C11603,C11579,C11555,C11531,C11507,C11483)/POBLA!$B$10*100000</f>
        <v>247.89818402580943</v>
      </c>
      <c r="N11627" s="42" t="s">
        <v>32</v>
      </c>
      <c r="O11627" s="42">
        <v>2</v>
      </c>
      <c r="P11627" s="42">
        <v>3</v>
      </c>
      <c r="Q11627" s="42">
        <v>0</v>
      </c>
      <c r="R11627" s="42">
        <v>5</v>
      </c>
    </row>
    <row r="11628" spans="1:18" x14ac:dyDescent="0.25">
      <c r="A11628" s="367" t="s">
        <v>33</v>
      </c>
      <c r="B11628" s="2">
        <v>44377</v>
      </c>
      <c r="C11628" s="1">
        <v>326</v>
      </c>
      <c r="D11628" s="39">
        <f t="shared" si="2051"/>
        <v>53096</v>
      </c>
      <c r="E11628" s="1">
        <v>3</v>
      </c>
      <c r="F11628" s="39">
        <f t="shared" si="2052"/>
        <v>733</v>
      </c>
      <c r="G11628" s="168">
        <f>SUM(C11628,C11604,C11580,C11556,C11532,C11508,C11484,C11460,C11436,C11412,C11388,C11364,C11340,C11316)/POBLA!$B$11*100000</f>
        <v>1347.5509725802672</v>
      </c>
      <c r="H11628" s="256">
        <f t="shared" si="2053"/>
        <v>1.0778844008033921</v>
      </c>
      <c r="I11628" s="297">
        <f t="shared" si="2057"/>
        <v>1452.5041726317095</v>
      </c>
      <c r="J11628" s="422">
        <f t="shared" si="2055"/>
        <v>433.28571428571428</v>
      </c>
      <c r="K11628" s="297">
        <f>J11628/POBLA!$B$11*100000</f>
        <v>120.88500738940994</v>
      </c>
      <c r="L11628" s="200">
        <f t="shared" si="2056"/>
        <v>0.68781302170283798</v>
      </c>
      <c r="M11628" s="401">
        <f>SUM(C11628,C11604,C11580,C11556,C11532,C11508,C11484)/POBLA!$B$11*100000</f>
        <v>846.19505172586969</v>
      </c>
      <c r="N11628" s="42" t="s">
        <v>33</v>
      </c>
      <c r="O11628" s="42">
        <v>1</v>
      </c>
      <c r="P11628" s="42">
        <v>2</v>
      </c>
      <c r="Q11628" s="42">
        <v>0</v>
      </c>
      <c r="R11628" s="42">
        <v>3</v>
      </c>
    </row>
    <row r="11629" spans="1:18" x14ac:dyDescent="0.25">
      <c r="A11629" s="367" t="s">
        <v>21</v>
      </c>
      <c r="B11629" s="2">
        <v>44377</v>
      </c>
      <c r="C11629" s="1">
        <v>239</v>
      </c>
      <c r="D11629" s="39">
        <f t="shared" si="2051"/>
        <v>22183</v>
      </c>
      <c r="F11629" s="39">
        <f t="shared" si="2052"/>
        <v>632</v>
      </c>
      <c r="G11629" s="168">
        <f>SUM(C11629,C11605,C11581,C11557,C11533,C11509,C11485,C11461,C11437,C11413,C11389,C11365,C11341,C11317)/POBLA!$B$12*100000</f>
        <v>554.97533866455251</v>
      </c>
      <c r="H11629" s="256">
        <f t="shared" si="2053"/>
        <v>0.96937416777629826</v>
      </c>
      <c r="I11629" s="297">
        <f t="shared" si="2057"/>
        <v>537.97875705431989</v>
      </c>
      <c r="J11629" s="422">
        <f t="shared" si="2055"/>
        <v>175.14285714285714</v>
      </c>
      <c r="K11629" s="297">
        <f>J11629/POBLA!$B$12*100000</f>
        <v>44.505479147222744</v>
      </c>
      <c r="L11629" s="200">
        <f t="shared" si="2056"/>
        <v>0.27974947807933193</v>
      </c>
      <c r="M11629" s="401">
        <f>SUM(C11629,C11605,C11581,C11557,C11533,C11509,C11485)/POBLA!$B$12*100000</f>
        <v>311.53835403055922</v>
      </c>
    </row>
    <row r="11630" spans="1:18" x14ac:dyDescent="0.25">
      <c r="A11630" s="367" t="s">
        <v>17</v>
      </c>
      <c r="B11630" s="2">
        <v>44377</v>
      </c>
      <c r="C11630" s="1">
        <v>635</v>
      </c>
      <c r="D11630" s="39">
        <f t="shared" si="2051"/>
        <v>139824</v>
      </c>
      <c r="E11630" s="1">
        <v>24</v>
      </c>
      <c r="F11630" s="39">
        <f t="shared" si="2052"/>
        <v>3249</v>
      </c>
      <c r="G11630" s="168">
        <f>SUM(C11630,C11606,C11582,C11558,C11534,C11510,C11486,C11462,C11438,C11414,C11390,C11366,C11342,C11318)/POBLA!$B$13*100000</f>
        <v>392.29517800494182</v>
      </c>
      <c r="H11630" s="256">
        <f t="shared" si="2053"/>
        <v>0.84183288409703505</v>
      </c>
      <c r="I11630" s="297">
        <f t="shared" si="2057"/>
        <v>330.24698111725991</v>
      </c>
      <c r="J11630" s="422">
        <f t="shared" si="2055"/>
        <v>584.71428571428567</v>
      </c>
      <c r="K11630" s="297">
        <f>J11630/POBLA!$B$13*100000</f>
        <v>29.377637653216976</v>
      </c>
      <c r="L11630" s="200">
        <f t="shared" si="2056"/>
        <v>0.10174966352624493</v>
      </c>
      <c r="M11630" s="401">
        <f>SUM(C11630,C11606,C11582,C11558,C11534,C11510,C11486)/POBLA!$B$13*100000</f>
        <v>205.64346357251884</v>
      </c>
      <c r="N11630" s="42" t="s">
        <v>17</v>
      </c>
      <c r="O11630" s="42">
        <v>9</v>
      </c>
      <c r="P11630" s="42">
        <v>14</v>
      </c>
      <c r="Q11630" s="42">
        <v>1</v>
      </c>
      <c r="R11630" s="42">
        <v>24</v>
      </c>
    </row>
    <row r="11631" spans="1:18" x14ac:dyDescent="0.25">
      <c r="A11631" s="367" t="s">
        <v>23</v>
      </c>
      <c r="B11631" s="2">
        <v>44377</v>
      </c>
      <c r="C11631" s="1">
        <v>177</v>
      </c>
      <c r="D11631" s="39">
        <f t="shared" si="2051"/>
        <v>25671</v>
      </c>
      <c r="E11631" s="1">
        <v>16</v>
      </c>
      <c r="F11631" s="39">
        <f t="shared" si="2052"/>
        <v>429</v>
      </c>
      <c r="G11631" s="168">
        <f>SUM(C11631,C11607,C11583,C11559,C11535,C11511,C11487,C11463,C11439,C11415,C11391,C11367,C11343,C11319)/POBLA!$B$14*100000</f>
        <v>193.13498676755776</v>
      </c>
      <c r="H11631" s="256">
        <f t="shared" si="2053"/>
        <v>0.99917965545529119</v>
      </c>
      <c r="I11631" s="297">
        <f t="shared" si="2057"/>
        <v>192.97654953477058</v>
      </c>
      <c r="J11631" s="422">
        <f t="shared" si="2055"/>
        <v>192.14285714285714</v>
      </c>
      <c r="K11631" s="297">
        <f>J11631/POBLA!$B$14*100000</f>
        <v>15.233788247851583</v>
      </c>
      <c r="L11631" s="200">
        <f t="shared" si="2056"/>
        <v>0.23281393217231905</v>
      </c>
      <c r="M11631" s="401">
        <f>SUM(C11631,C11607,C11583,C11559,C11535,C11511,C11487)/POBLA!$B$14*100000</f>
        <v>106.63651773496107</v>
      </c>
      <c r="N11631" s="42" t="s">
        <v>23</v>
      </c>
      <c r="O11631" s="42">
        <v>7</v>
      </c>
      <c r="P11631" s="42">
        <v>9</v>
      </c>
      <c r="Q11631" s="42">
        <v>0</v>
      </c>
      <c r="R11631" s="42">
        <v>16</v>
      </c>
    </row>
    <row r="11632" spans="1:18" x14ac:dyDescent="0.25">
      <c r="A11632" s="367" t="s">
        <v>19</v>
      </c>
      <c r="B11632" s="2">
        <v>44377</v>
      </c>
      <c r="C11632" s="1">
        <v>237</v>
      </c>
      <c r="D11632" s="39">
        <f t="shared" si="2051"/>
        <v>101428</v>
      </c>
      <c r="E11632" s="1">
        <v>11</v>
      </c>
      <c r="F11632" s="39">
        <f t="shared" si="2052"/>
        <v>1796</v>
      </c>
      <c r="G11632" s="168">
        <f>SUM(C11632,C11608,C11584,C11560,C11536,C11512,C11488,C11464,C11440,C11416,C11392,C11368,C11344,C11320)/POBLA!$B$15*100000</f>
        <v>510.34775629200504</v>
      </c>
      <c r="H11632" s="256">
        <f t="shared" si="2053"/>
        <v>0.57324086603518265</v>
      </c>
      <c r="I11632" s="297">
        <f t="shared" si="2057"/>
        <v>292.55218979594133</v>
      </c>
      <c r="J11632" s="422">
        <f t="shared" si="2055"/>
        <v>233.14285714285714</v>
      </c>
      <c r="K11632" s="297">
        <f>J11632/POBLA!$B$15*100000</f>
        <v>35.108862212559636</v>
      </c>
      <c r="L11632" s="200">
        <f t="shared" si="2056"/>
        <v>-7.1143995446784292E-2</v>
      </c>
      <c r="M11632" s="401">
        <f>SUM(C11632,C11608,C11584,C11560,C11536,C11512,C11488)/POBLA!$B$15*100000</f>
        <v>245.76203548791744</v>
      </c>
      <c r="N11632" s="42" t="s">
        <v>19</v>
      </c>
      <c r="O11632" s="42">
        <v>5</v>
      </c>
      <c r="P11632" s="42">
        <v>6</v>
      </c>
      <c r="Q11632" s="42">
        <v>0</v>
      </c>
      <c r="R11632" s="42">
        <v>11</v>
      </c>
    </row>
    <row r="11633" spans="1:18" x14ac:dyDescent="0.25">
      <c r="A11633" s="367" t="s">
        <v>18</v>
      </c>
      <c r="B11633" s="2">
        <v>44377</v>
      </c>
      <c r="C11633" s="1">
        <v>244</v>
      </c>
      <c r="D11633" s="39">
        <f t="shared" si="2051"/>
        <v>84279</v>
      </c>
      <c r="E11633" s="1">
        <v>6</v>
      </c>
      <c r="F11633" s="39">
        <f t="shared" si="2052"/>
        <v>1929</v>
      </c>
      <c r="G11633" s="168">
        <f>SUM(C11633,C11609,C11585,C11561,C11537,C11513,C11489,C11465,C11441,C11417,C11393,C11369,C11345,C11321)/POBLA!$B$16*100000</f>
        <v>492.36901593076607</v>
      </c>
      <c r="H11633" s="256">
        <f t="shared" si="2053"/>
        <v>0.69649952696310313</v>
      </c>
      <c r="I11633" s="297">
        <f t="shared" si="2057"/>
        <v>342.93478668706717</v>
      </c>
      <c r="J11633" s="422">
        <f t="shared" si="2055"/>
        <v>273.28571428571428</v>
      </c>
      <c r="K11633" s="297">
        <f>J11633/POBLA!$B$16*100000</f>
        <v>36.554582507686398</v>
      </c>
      <c r="L11633" s="200">
        <f t="shared" si="2056"/>
        <v>8.2013574660633415E-2</v>
      </c>
      <c r="M11633" s="401">
        <f>SUM(C11633,C11609,C11585,C11561,C11537,C11513,C11489)/POBLA!$B$16*100000</f>
        <v>255.88207755380481</v>
      </c>
      <c r="N11633" s="42" t="s">
        <v>18</v>
      </c>
      <c r="O11633" s="42">
        <v>3</v>
      </c>
      <c r="P11633" s="42">
        <v>3</v>
      </c>
      <c r="Q11633" s="42">
        <v>0</v>
      </c>
      <c r="R11633" s="42">
        <v>6</v>
      </c>
    </row>
    <row r="11634" spans="1:18" x14ac:dyDescent="0.25">
      <c r="A11634" s="367" t="s">
        <v>34</v>
      </c>
      <c r="B11634" s="2">
        <v>44377</v>
      </c>
      <c r="C11634" s="1">
        <v>619</v>
      </c>
      <c r="D11634" s="39">
        <f>C11634+D11610</f>
        <v>61302</v>
      </c>
      <c r="E11634" s="1">
        <v>10</v>
      </c>
      <c r="F11634" s="39">
        <f t="shared" si="2052"/>
        <v>1733</v>
      </c>
      <c r="G11634" s="168">
        <f>SUM(C11634,C11610,C11586,C11562,C11538,C11514,C11490,C11466,C11442,C11418,C11394,C11370,C11346,C11322)/POBLA!$B$17*100000</f>
        <v>482.09874073028794</v>
      </c>
      <c r="H11634" s="256">
        <f t="shared" si="2053"/>
        <v>0.89682643332898004</v>
      </c>
      <c r="I11634" s="297">
        <f t="shared" si="2057"/>
        <v>432.3588941615368</v>
      </c>
      <c r="J11634" s="422">
        <f t="shared" si="2055"/>
        <v>536.85714285714289</v>
      </c>
      <c r="K11634" s="297">
        <f>J11634/POBLA!$B$17*100000</f>
        <v>37.690134341559478</v>
      </c>
      <c r="L11634" s="200">
        <f t="shared" si="2056"/>
        <v>0.20874879382438083</v>
      </c>
      <c r="M11634" s="401">
        <f>SUM(C11634,C11610,C11586,C11562,C11538,C11514,C11490)/POBLA!$B$17*100000</f>
        <v>263.83094039091628</v>
      </c>
      <c r="N11634" s="42" t="s">
        <v>34</v>
      </c>
      <c r="O11634" s="42">
        <v>3</v>
      </c>
      <c r="P11634" s="42">
        <v>6</v>
      </c>
      <c r="Q11634" s="42">
        <v>1</v>
      </c>
      <c r="R11634" s="42">
        <v>10</v>
      </c>
    </row>
    <row r="11635" spans="1:18" x14ac:dyDescent="0.25">
      <c r="A11635" s="367" t="s">
        <v>35</v>
      </c>
      <c r="B11635" s="2">
        <v>44377</v>
      </c>
      <c r="C11635" s="1">
        <v>880</v>
      </c>
      <c r="D11635" s="39">
        <f t="shared" ref="D11635:D11641" si="2058">C11635+D11611</f>
        <v>50898</v>
      </c>
      <c r="E11635" s="1">
        <v>6</v>
      </c>
      <c r="F11635" s="39">
        <f t="shared" si="2052"/>
        <v>819</v>
      </c>
      <c r="G11635" s="168">
        <f>SUM(C11635,C11611,C11587,C11563,C11539,C11515,C11491,C11467,C11443,C11419,C11395,C11371,C11347,C11323)/POBLA!$B$18*100000</f>
        <v>760.35211727343369</v>
      </c>
      <c r="H11635" s="256">
        <f t="shared" si="2053"/>
        <v>0.8963331824354912</v>
      </c>
      <c r="I11635" s="297">
        <f t="shared" si="2057"/>
        <v>681.5288330472606</v>
      </c>
      <c r="J11635" s="422">
        <f t="shared" si="2055"/>
        <v>428.71428571428572</v>
      </c>
      <c r="K11635" s="297">
        <f>J11635/POBLA!$B$18*100000</f>
        <v>54.877746607445275</v>
      </c>
      <c r="L11635" s="200">
        <f t="shared" si="2056"/>
        <v>2.1095610751956428E-2</v>
      </c>
      <c r="M11635" s="401">
        <f>SUM(C11635,C11611,C11587,C11563,C11539,C11515,C11491)/POBLA!$B$18*100000</f>
        <v>384.14422625211688</v>
      </c>
      <c r="N11635" s="42" t="s">
        <v>35</v>
      </c>
      <c r="O11635" s="42">
        <v>4</v>
      </c>
      <c r="P11635" s="42">
        <v>2</v>
      </c>
      <c r="Q11635" s="42">
        <v>0</v>
      </c>
      <c r="R11635" s="42">
        <v>6</v>
      </c>
    </row>
    <row r="11636" spans="1:18" x14ac:dyDescent="0.25">
      <c r="A11636" s="367" t="s">
        <v>36</v>
      </c>
      <c r="B11636" s="2">
        <v>44377</v>
      </c>
      <c r="C11636" s="1">
        <v>480</v>
      </c>
      <c r="D11636" s="39">
        <f t="shared" si="2058"/>
        <v>65783</v>
      </c>
      <c r="E11636" s="1">
        <v>21</v>
      </c>
      <c r="F11636" s="39">
        <f t="shared" si="2052"/>
        <v>941</v>
      </c>
      <c r="G11636" s="168">
        <f>SUM(C11636,C11612,C11588,C11564,C11540,C11516,C11492,C11468,C11444,C11420,C11396,C11372,C11348,C11324)/POBLA!$B$19*100000</f>
        <v>1019.2238082497914</v>
      </c>
      <c r="H11636" s="256">
        <f t="shared" si="2053"/>
        <v>0.7857142857142857</v>
      </c>
      <c r="I11636" s="297">
        <f t="shared" si="2057"/>
        <v>800.81870648197901</v>
      </c>
      <c r="J11636" s="422">
        <f t="shared" si="2055"/>
        <v>403.28571428571428</v>
      </c>
      <c r="K11636" s="297">
        <f>J11636/POBLA!$B$19*100000</f>
        <v>79.335726988423673</v>
      </c>
      <c r="L11636" s="200">
        <f t="shared" si="2056"/>
        <v>0.19720101781170474</v>
      </c>
      <c r="M11636" s="401">
        <f>SUM(C11636,C11612,C11588,C11564,C11540,C11516,C11492)/POBLA!$B$19*100000</f>
        <v>555.35008891896575</v>
      </c>
      <c r="N11636" s="42" t="s">
        <v>36</v>
      </c>
      <c r="O11636" s="42">
        <v>7</v>
      </c>
      <c r="P11636" s="42">
        <v>14</v>
      </c>
      <c r="Q11636" s="42">
        <v>0</v>
      </c>
      <c r="R11636" s="42">
        <v>21</v>
      </c>
    </row>
    <row r="11637" spans="1:18" x14ac:dyDescent="0.25">
      <c r="A11637" s="367" t="s">
        <v>37</v>
      </c>
      <c r="B11637" s="2">
        <v>44377</v>
      </c>
      <c r="C11637" s="1">
        <v>120</v>
      </c>
      <c r="D11637" s="39">
        <f t="shared" si="2058"/>
        <v>55509</v>
      </c>
      <c r="E11637" s="1">
        <v>2</v>
      </c>
      <c r="F11637" s="39">
        <f t="shared" ref="F11637:F11642" si="2059">E11637+F11613</f>
        <v>867</v>
      </c>
      <c r="G11637" s="168">
        <f>SUM(C11637,C11613,C11590,C11565,C11541,C11517,C11493,C11469,C11445,C11421,C11397,C11373,C11349,C11325)/POBLA!$B$20*100000</f>
        <v>734.21238289517578</v>
      </c>
      <c r="H11637" s="256">
        <f t="shared" si="2053"/>
        <v>0.73073122529644263</v>
      </c>
      <c r="I11637" s="297">
        <f t="shared" si="2057"/>
        <v>536.51191418081271</v>
      </c>
      <c r="J11637" s="422">
        <f t="shared" si="2055"/>
        <v>113.14285714285714</v>
      </c>
      <c r="K11637" s="297">
        <f>J11637/POBLA!$B$20*100000</f>
        <v>30.938877746899664</v>
      </c>
      <c r="L11637" s="200">
        <f t="shared" si="2056"/>
        <v>0.15283842794759828</v>
      </c>
      <c r="M11637" s="401">
        <f>SUM(C11637,C11613,C11589,C11565,C11541,C11517,C11493)/POBLA!$B$20*100000</f>
        <v>216.57214422829765</v>
      </c>
      <c r="N11637" s="42" t="s">
        <v>37</v>
      </c>
      <c r="O11637" s="42">
        <v>1</v>
      </c>
      <c r="P11637" s="42">
        <v>1</v>
      </c>
      <c r="Q11637" s="42">
        <v>0</v>
      </c>
      <c r="R11637" s="42">
        <v>2</v>
      </c>
    </row>
    <row r="11638" spans="1:18" x14ac:dyDescent="0.25">
      <c r="A11638" s="367" t="s">
        <v>22</v>
      </c>
      <c r="B11638" s="2">
        <v>44377</v>
      </c>
      <c r="C11638" s="1">
        <v>1660</v>
      </c>
      <c r="D11638" s="39">
        <f t="shared" si="2058"/>
        <v>406175</v>
      </c>
      <c r="E11638" s="1">
        <v>80</v>
      </c>
      <c r="F11638" s="39">
        <f t="shared" si="2059"/>
        <v>6682</v>
      </c>
      <c r="G11638" s="168">
        <f>SUM(C11638,C11614,C11590,C11566,C11542,C11518,C11494,C11470,C11446,C11422,C11398,C11374,C11350,C11326)/POBLA!$B$21*100000</f>
        <v>647.5478860247855</v>
      </c>
      <c r="H11638" s="256">
        <f t="shared" si="2053"/>
        <v>0.733715677165102</v>
      </c>
      <c r="I11638" s="297">
        <f t="shared" si="2057"/>
        <v>475.11603569150577</v>
      </c>
      <c r="J11638" s="422">
        <f t="shared" si="2055"/>
        <v>1746</v>
      </c>
      <c r="K11638" s="297">
        <f>J11638/POBLA!$B$21*100000</f>
        <v>49.371991659357015</v>
      </c>
      <c r="L11638" s="200">
        <f t="shared" si="2056"/>
        <v>0.14459636636074169</v>
      </c>
      <c r="M11638" s="401">
        <f>SUM(C11638,C11614,C11590,C11566,C11542,C11518,C11494)/POBLA!$B$21*100000</f>
        <v>345.60394161549908</v>
      </c>
      <c r="N11638" s="42" t="s">
        <v>22</v>
      </c>
      <c r="O11638" s="42">
        <v>31</v>
      </c>
      <c r="P11638" s="42">
        <v>49</v>
      </c>
      <c r="Q11638" s="42">
        <v>0</v>
      </c>
      <c r="R11638" s="42">
        <v>80</v>
      </c>
    </row>
    <row r="11639" spans="1:18" x14ac:dyDescent="0.25">
      <c r="A11639" s="367" t="s">
        <v>38</v>
      </c>
      <c r="B11639" s="2">
        <v>44377</v>
      </c>
      <c r="C11639" s="1">
        <v>564</v>
      </c>
      <c r="D11639" s="39">
        <f t="shared" si="2058"/>
        <v>59445</v>
      </c>
      <c r="E11639" s="1">
        <v>12</v>
      </c>
      <c r="F11639" s="39">
        <f t="shared" si="2059"/>
        <v>815</v>
      </c>
      <c r="G11639" s="168">
        <f>SUM(C11639,C11615,C11591,C11567,C11543,C11519,C11495,C11471,C11447,C11423,C11399,C11375,C11351,C11327)/POBLA!$B$22*100000</f>
        <v>723.89920199363598</v>
      </c>
      <c r="H11639" s="256">
        <f t="shared" si="2053"/>
        <v>0.93950650039798356</v>
      </c>
      <c r="I11639" s="297">
        <f t="shared" si="2057"/>
        <v>680.10800590593396</v>
      </c>
      <c r="J11639" s="422">
        <f t="shared" si="2055"/>
        <v>540.42857142857144</v>
      </c>
      <c r="K11639" s="297">
        <f>J11639/POBLA!$B$22*100000</f>
        <v>55.240865799449807</v>
      </c>
      <c r="L11639" s="200">
        <f t="shared" si="2056"/>
        <v>0.14671112458320712</v>
      </c>
      <c r="M11639" s="401">
        <f>SUM(C11639,C11615,C11591,C11567,C11543,C11519,C11495)/POBLA!$B$22*100000</f>
        <v>386.68606059614871</v>
      </c>
      <c r="N11639" s="42" t="s">
        <v>38</v>
      </c>
      <c r="O11639" s="42">
        <v>4</v>
      </c>
      <c r="P11639" s="42">
        <v>8</v>
      </c>
      <c r="Q11639" s="42">
        <v>0</v>
      </c>
      <c r="R11639" s="42">
        <v>12</v>
      </c>
    </row>
    <row r="11640" spans="1:18" x14ac:dyDescent="0.25">
      <c r="A11640" s="367" t="s">
        <v>39</v>
      </c>
      <c r="B11640" s="2">
        <v>44377</v>
      </c>
      <c r="C11640" s="1">
        <v>67</v>
      </c>
      <c r="D11640" s="39">
        <f t="shared" si="2058"/>
        <v>29781</v>
      </c>
      <c r="E11640" s="1">
        <v>1</v>
      </c>
      <c r="F11640" s="39">
        <f t="shared" si="2059"/>
        <v>447</v>
      </c>
      <c r="G11640" s="168">
        <f>SUM(C11640,C11616,C11592,C11568,C11544,C11520,C11496,C11472,C11448,C11424,C11400,C11376,C11352,C11328)/POBLA!$B$23*100000</f>
        <v>341.00548549454277</v>
      </c>
      <c r="H11640" s="256">
        <f t="shared" si="2053"/>
        <v>1.048695652173913</v>
      </c>
      <c r="I11640" s="297">
        <f t="shared" si="2057"/>
        <v>357.61097000558135</v>
      </c>
      <c r="J11640" s="422">
        <f t="shared" si="2055"/>
        <v>46.857142857142854</v>
      </c>
      <c r="K11640" s="297">
        <f>J11640/POBLA!$B$23*100000</f>
        <v>26.498412518884155</v>
      </c>
      <c r="L11640" s="200">
        <f t="shared" si="2056"/>
        <v>0.19272727272727264</v>
      </c>
      <c r="M11640" s="401">
        <f>SUM(C11640,C11616,C11592,C11568,C11544,C11520,C11496)/POBLA!$B$23*100000</f>
        <v>185.48888763218909</v>
      </c>
      <c r="N11640" s="42" t="s">
        <v>39</v>
      </c>
      <c r="O11640" s="42">
        <v>0</v>
      </c>
      <c r="P11640" s="42">
        <v>1</v>
      </c>
      <c r="Q11640" s="42">
        <v>0</v>
      </c>
      <c r="R11640" s="42">
        <v>1</v>
      </c>
    </row>
    <row r="11641" spans="1:18" ht="15.75" thickBot="1" x14ac:dyDescent="0.3">
      <c r="A11641" s="368" t="s">
        <v>40</v>
      </c>
      <c r="B11641" s="34">
        <v>44377</v>
      </c>
      <c r="C11641" s="232">
        <v>1748</v>
      </c>
      <c r="D11641" s="67">
        <f t="shared" si="2058"/>
        <v>157529</v>
      </c>
      <c r="E11641" s="232">
        <v>4</v>
      </c>
      <c r="F11641" s="67">
        <f t="shared" si="2059"/>
        <v>2302</v>
      </c>
      <c r="G11641" s="255">
        <f>SUM(C11641,C11617,C11593,C11569,C11545,C11521,C11497,C11473,C11449,C11425,C11401,C11377,C11353,C11329)/POBLA!$B$24*100000</f>
        <v>798.68716718909332</v>
      </c>
      <c r="H11641" s="257">
        <f t="shared" si="2053"/>
        <v>1.1390221324581336</v>
      </c>
      <c r="I11641" s="299">
        <f t="shared" si="2057"/>
        <v>909.72236033866693</v>
      </c>
      <c r="J11641" s="428">
        <f t="shared" si="2055"/>
        <v>1223.1428571428571</v>
      </c>
      <c r="K11641" s="299">
        <f>J11641/POBLA!$B$24*100000</f>
        <v>72.176468684078486</v>
      </c>
      <c r="L11641" s="260">
        <f t="shared" si="2056"/>
        <v>0.72169716468932243</v>
      </c>
      <c r="M11641" s="406">
        <f>SUM(C11641,C11617,C11593,C11569,C11545,C11521,C11497)/POBLA!$B$24*100000</f>
        <v>505.2352807885494</v>
      </c>
      <c r="N11641" s="42" t="s">
        <v>40</v>
      </c>
      <c r="O11641" s="42">
        <v>0</v>
      </c>
      <c r="P11641" s="42">
        <v>4</v>
      </c>
      <c r="Q11641" s="42">
        <v>0</v>
      </c>
      <c r="R11641" s="42">
        <v>4</v>
      </c>
    </row>
    <row r="11642" spans="1:18" x14ac:dyDescent="0.25">
      <c r="A11642" s="363" t="s">
        <v>16</v>
      </c>
      <c r="B11642" s="265">
        <v>44378</v>
      </c>
      <c r="C11642" s="43">
        <v>6565</v>
      </c>
      <c r="D11642" s="174">
        <f>C11642+D11618</f>
        <v>1849441</v>
      </c>
      <c r="E11642" s="43">
        <v>136</v>
      </c>
      <c r="F11642" s="174">
        <f t="shared" si="2059"/>
        <v>47719</v>
      </c>
      <c r="G11642" s="175">
        <f>SUM(C11642,C11618,C11570,C11594,C11546,C11522,C11498,C11474,C11450,C11426,C11402,C11378,C11354,C11330)/POBLA!$B$1*100000</f>
        <v>496.51274110389966</v>
      </c>
      <c r="H11642" s="300">
        <f>SUM(C11642,C11618,C11594,C11570,C11546,C11522,C11498,C11474,C11450,C11426,C11402,C11378,C11354,C11330,)/SUM(C11306,C11282,C11258,C11234,C11210,C11186,C11162,C11138,C11114,C11090,C11066,C11042,C11018,C10994)</f>
        <v>0.75640513452953739</v>
      </c>
      <c r="I11642" s="301">
        <f>G11642*H11642</f>
        <v>375.56478673032461</v>
      </c>
      <c r="J11642" s="421">
        <f>AVERAGE(C11642,C11618,C11594,C11570,C11546,C11522,C11498)</f>
        <v>6500</v>
      </c>
      <c r="K11642" s="301">
        <f>J11642/POBLA!$B$1*100000</f>
        <v>37.055742268989228</v>
      </c>
      <c r="L11642" s="399">
        <f>(SUM(C11642,C11618,C11594,C11570,C11546,C11522,C11498)/SUM(C11474,C11450,C11426,C11402,C11378,C11354,C11330))-1</f>
        <v>9.3907775159878915E-2</v>
      </c>
      <c r="M11642" s="400">
        <f>SUM(C11642,C11618,C11594,C11570,C11546,C11522,C11498)/POBLA!$B$1*100000</f>
        <v>259.39019588292462</v>
      </c>
      <c r="N11642" s="42" t="s">
        <v>16</v>
      </c>
      <c r="O11642" s="42">
        <v>57</v>
      </c>
      <c r="P11642" s="42">
        <v>79</v>
      </c>
      <c r="Q11642" s="42">
        <v>0</v>
      </c>
      <c r="R11642" s="42">
        <v>136</v>
      </c>
    </row>
    <row r="11643" spans="1:18" x14ac:dyDescent="0.25">
      <c r="A11643" s="367" t="s">
        <v>43</v>
      </c>
      <c r="B11643" s="2">
        <v>44378</v>
      </c>
      <c r="C11643" s="1">
        <v>1309</v>
      </c>
      <c r="D11643" s="39">
        <f t="shared" ref="D11643:D11657" si="2060">C11643+D11619</f>
        <v>465260</v>
      </c>
      <c r="E11643" s="1">
        <v>40</v>
      </c>
      <c r="F11643" s="39">
        <f t="shared" ref="F11643:F11660" si="2061">E11643+F11619</f>
        <v>10373</v>
      </c>
      <c r="G11643" s="168">
        <f>SUM(C11643,C11619,C11595,C11571,C11547,C11523,C11499,C11475,C11451,C11427,C11403,C11379,C11355,C11331)/POBLA!$B$2*100000</f>
        <v>567.13288850537424</v>
      </c>
      <c r="H11643" s="256">
        <f t="shared" ref="H11643:H11665" si="2062">SUM(C11643,C11619,C11595,C11571,C11547,C11523,C11499,C11475,C11451,C11427,C11403,C11379,C11355,C11331,)/SUM(C11307,C11283,C11259,C11235,C11211,C11187,C11163,C11139,C11115,C11091,C11067,C11043,C11019,C10995)</f>
        <v>0.75915045480262866</v>
      </c>
      <c r="I11643" s="297">
        <f t="shared" ref="I11643:I11649" si="2063">G11643*H11643</f>
        <v>430.53919024238337</v>
      </c>
      <c r="J11643" s="422">
        <f>AVERAGE(C11643,C11619,C11595,C11571,C11547,C11523,C11499)</f>
        <v>1259</v>
      </c>
      <c r="K11643" s="297">
        <f>J11643/POBLA!$B$2*100000</f>
        <v>40.934489860016399</v>
      </c>
      <c r="L11643" s="200">
        <f>(SUM(C11643,C11619,C11595,C11571,C11547,C11523,C11499)/SUM(C11475,C11451,C11427,C11403,C11379,C11355,C11331))-1</f>
        <v>2.120509849362695E-2</v>
      </c>
      <c r="M11643" s="401">
        <f>SUM(C11643,C11619,C11595,C11571,C11547,C11523,C11499)/POBLA!$B$2*100000</f>
        <v>286.54142902011478</v>
      </c>
      <c r="N11643" s="42" t="s">
        <v>43</v>
      </c>
      <c r="O11643" s="42">
        <v>10</v>
      </c>
      <c r="P11643" s="42">
        <v>30</v>
      </c>
      <c r="Q11643" s="42">
        <v>0</v>
      </c>
      <c r="R11643" s="42">
        <v>40</v>
      </c>
    </row>
    <row r="11644" spans="1:18" x14ac:dyDescent="0.25">
      <c r="A11644" s="367" t="s">
        <v>28</v>
      </c>
      <c r="B11644" s="2">
        <v>44378</v>
      </c>
      <c r="C11644" s="1">
        <v>294</v>
      </c>
      <c r="D11644" s="39">
        <f t="shared" si="2060"/>
        <v>34551</v>
      </c>
      <c r="E11644" s="1">
        <v>8</v>
      </c>
      <c r="F11644" s="39">
        <f t="shared" si="2061"/>
        <v>319</v>
      </c>
      <c r="G11644" s="168">
        <f>SUM(C11644,C11620,C11596,C11572,C11548,C11524,C11500,C11476,C11452,C11428,C11404,C11380,C11356,C11332)/POBLA!$B$3*100000</f>
        <v>1009.0555028668538</v>
      </c>
      <c r="H11644" s="256">
        <f t="shared" si="2062"/>
        <v>0.77932701245584679</v>
      </c>
      <c r="I11644" s="297">
        <f t="shared" si="2063"/>
        <v>786.38421045135726</v>
      </c>
      <c r="J11644" s="422">
        <f t="shared" ref="J11644:J11665" si="2064">AVERAGE(C11644,C11620,C11596,C11572,C11548,C11524,C11500)</f>
        <v>325.57142857142856</v>
      </c>
      <c r="K11644" s="297">
        <f>J11644/POBLA!$B$3*100000</f>
        <v>78.368235108831783</v>
      </c>
      <c r="L11644" s="200">
        <f t="shared" ref="L11644:L11665" si="2065">(SUM(C11644,C11620,C11596,C11572,C11548,C11524,C11500)/SUM(C11476,C11452,C11428,C11404,C11380,C11356,C11332))-1</f>
        <v>0.19132253005750122</v>
      </c>
      <c r="M11644" s="401">
        <f>SUM(C11644,C11620,C11596,C11572,C11548,C11524,C11500)/POBLA!$B$3*100000</f>
        <v>548.57764576182251</v>
      </c>
      <c r="N11644" s="42" t="s">
        <v>28</v>
      </c>
      <c r="O11644" s="42">
        <v>3</v>
      </c>
      <c r="P11644" s="42">
        <v>5</v>
      </c>
      <c r="Q11644" s="42">
        <v>0</v>
      </c>
      <c r="R11644" s="42">
        <v>8</v>
      </c>
    </row>
    <row r="11645" spans="1:18" x14ac:dyDescent="0.25">
      <c r="A11645" s="367" t="s">
        <v>15</v>
      </c>
      <c r="B11645" s="2">
        <v>44378</v>
      </c>
      <c r="C11645" s="1">
        <v>602</v>
      </c>
      <c r="D11645" s="39">
        <f t="shared" si="2060"/>
        <v>77648</v>
      </c>
      <c r="E11645" s="1">
        <v>13</v>
      </c>
      <c r="F11645" s="39">
        <f t="shared" si="2061"/>
        <v>1670</v>
      </c>
      <c r="G11645" s="168">
        <f>SUM(C11645,C11621,C11597,C11573,C11549,C11525,C11501,C11477,C11453,C11429,C11405,C11381,C11357,C11333)/POBLA!$B$4*100000</f>
        <v>631.52686375972257</v>
      </c>
      <c r="H11645" s="256">
        <f t="shared" si="2062"/>
        <v>0.80856717687074831</v>
      </c>
      <c r="I11645" s="297">
        <f t="shared" si="2063"/>
        <v>510.63189334823659</v>
      </c>
      <c r="J11645" s="422">
        <f t="shared" si="2064"/>
        <v>565.85714285714289</v>
      </c>
      <c r="K11645" s="297">
        <f>J11645/POBLA!$B$4*100000</f>
        <v>46.97699313324685</v>
      </c>
      <c r="L11645" s="200">
        <f t="shared" si="2065"/>
        <v>8.6396050466264418E-2</v>
      </c>
      <c r="M11645" s="401">
        <f>SUM(C11645,C11621,C11597,C11573,C11549,C11525,C11501)/POBLA!$B$4*100000</f>
        <v>328.83895193272792</v>
      </c>
      <c r="N11645" s="42" t="s">
        <v>15</v>
      </c>
      <c r="O11645" s="42">
        <v>5</v>
      </c>
      <c r="P11645" s="42">
        <v>8</v>
      </c>
      <c r="Q11645" s="42">
        <v>0</v>
      </c>
      <c r="R11645" s="42">
        <v>13</v>
      </c>
    </row>
    <row r="11646" spans="1:18" x14ac:dyDescent="0.25">
      <c r="A11646" s="367" t="s">
        <v>29</v>
      </c>
      <c r="B11646" s="2">
        <v>44378</v>
      </c>
      <c r="C11646" s="1">
        <v>234</v>
      </c>
      <c r="D11646" s="39">
        <f t="shared" si="2060"/>
        <v>71027</v>
      </c>
      <c r="E11646" s="1">
        <v>9</v>
      </c>
      <c r="F11646" s="39">
        <f t="shared" si="2061"/>
        <v>1212</v>
      </c>
      <c r="G11646" s="168">
        <f>SUM(C11646,C11622,C11598,C11574,C11550,C11526,C11502,C11478,C11454,C11430,C11406,C11382,C11358,C11334)/POBLA!$B$5*100000</f>
        <v>493.5427483949764</v>
      </c>
      <c r="H11646" s="256">
        <f t="shared" si="2062"/>
        <v>0.82567567567567568</v>
      </c>
      <c r="I11646" s="297">
        <f t="shared" si="2063"/>
        <v>407.50624225585216</v>
      </c>
      <c r="J11646" s="422">
        <f t="shared" si="2064"/>
        <v>226.85714285714286</v>
      </c>
      <c r="K11646" s="297">
        <f>J11646/POBLA!$B$5*100000</f>
        <v>36.649328241815411</v>
      </c>
      <c r="L11646" s="200">
        <f t="shared" si="2065"/>
        <v>8.2481254260395431E-2</v>
      </c>
      <c r="M11646" s="401">
        <f>SUM(C11646,C11622,C11598,C11574,C11550,C11526,C11502)/POBLA!$B$5*100000</f>
        <v>256.54529769270783</v>
      </c>
      <c r="N11646" s="42" t="s">
        <v>29</v>
      </c>
      <c r="O11646" s="42">
        <v>2</v>
      </c>
      <c r="P11646" s="42">
        <v>7</v>
      </c>
      <c r="Q11646" s="42">
        <v>0</v>
      </c>
      <c r="R11646" s="42">
        <v>9</v>
      </c>
    </row>
    <row r="11647" spans="1:18" x14ac:dyDescent="0.25">
      <c r="A11647" s="367" t="s">
        <v>30</v>
      </c>
      <c r="B11647" s="2">
        <v>44378</v>
      </c>
      <c r="C11647" s="1">
        <v>570</v>
      </c>
      <c r="D11647" s="39">
        <f t="shared" si="2060"/>
        <v>66804</v>
      </c>
      <c r="E11647" s="1">
        <v>13</v>
      </c>
      <c r="F11647" s="39">
        <f t="shared" si="2061"/>
        <v>740</v>
      </c>
      <c r="G11647" s="168">
        <f>SUM(C11647,C11623,C11599,C11575,C11551,C11527,C11503,C11479,C11455,C11431,C11407,C11383,C11359,C11335)/POBLA!$B$6*100000</f>
        <v>691.3805394534802</v>
      </c>
      <c r="H11647" s="256">
        <f t="shared" si="2062"/>
        <v>1.2432215626504091</v>
      </c>
      <c r="I11647" s="297">
        <f t="shared" si="2063"/>
        <v>859.53919464543844</v>
      </c>
      <c r="J11647" s="422">
        <f t="shared" si="2064"/>
        <v>534.42857142857144</v>
      </c>
      <c r="K11647" s="297">
        <f>J11647/POBLA!$B$6*100000</f>
        <v>47.682735064348755</v>
      </c>
      <c r="L11647" s="200">
        <f t="shared" si="2065"/>
        <v>-6.6616766467065824E-2</v>
      </c>
      <c r="M11647" s="401">
        <f>SUM(C11647,C11623,C11599,C11575,C11551,C11527,C11503)/POBLA!$B$6*100000</f>
        <v>333.77914545044126</v>
      </c>
      <c r="N11647" s="42" t="s">
        <v>30</v>
      </c>
      <c r="O11647" s="42">
        <v>10</v>
      </c>
      <c r="P11647" s="42">
        <v>3</v>
      </c>
      <c r="Q11647" s="42">
        <v>0</v>
      </c>
      <c r="R11647" s="42">
        <v>13</v>
      </c>
    </row>
    <row r="11648" spans="1:18" x14ac:dyDescent="0.25">
      <c r="A11648" s="367" t="s">
        <v>20</v>
      </c>
      <c r="B11648" s="2">
        <v>44378</v>
      </c>
      <c r="C11648" s="1">
        <v>2771</v>
      </c>
      <c r="D11648" s="39">
        <f t="shared" si="2060"/>
        <v>413397</v>
      </c>
      <c r="E11648" s="1">
        <v>50</v>
      </c>
      <c r="F11648" s="39">
        <f t="shared" si="2061"/>
        <v>5369</v>
      </c>
      <c r="G11648" s="168">
        <f>SUM(C11648,C11624,C11600,C11576,C11552,C11528,C11504,C11480,C11456,C11432,C11408,C11384,C11360,C11336)/POBLA!$B$7*100000</f>
        <v>936.51025808081488</v>
      </c>
      <c r="H11648" s="256">
        <f t="shared" si="2062"/>
        <v>0.69040757513379991</v>
      </c>
      <c r="I11648" s="297">
        <f t="shared" si="2063"/>
        <v>646.57377636950457</v>
      </c>
      <c r="J11648" s="422">
        <f t="shared" si="2064"/>
        <v>2452.4285714285716</v>
      </c>
      <c r="K11648" s="297">
        <f>J11648/POBLA!$B$7*100000</f>
        <v>65.216358984392059</v>
      </c>
      <c r="L11648" s="200">
        <f t="shared" si="2065"/>
        <v>-4.8919667590027749E-2</v>
      </c>
      <c r="M11648" s="401">
        <f>SUM(C11648,C11624,C11600,C11576,C11552,C11528,C11504)/POBLA!$B$7*100000</f>
        <v>456.51451289074441</v>
      </c>
      <c r="N11648" s="42" t="s">
        <v>20</v>
      </c>
      <c r="O11648" s="42">
        <v>19</v>
      </c>
      <c r="P11648" s="42">
        <v>31</v>
      </c>
      <c r="Q11648" s="42">
        <v>0</v>
      </c>
      <c r="R11648" s="42">
        <v>50</v>
      </c>
    </row>
    <row r="11649" spans="1:18" x14ac:dyDescent="0.25">
      <c r="A11649" s="367" t="s">
        <v>31</v>
      </c>
      <c r="B11649" s="2">
        <v>44378</v>
      </c>
      <c r="C11649" s="1">
        <v>896</v>
      </c>
      <c r="D11649" s="39">
        <f t="shared" si="2060"/>
        <v>111180</v>
      </c>
      <c r="E11649" s="1">
        <v>9</v>
      </c>
      <c r="F11649" s="39">
        <f t="shared" si="2061"/>
        <v>1838</v>
      </c>
      <c r="G11649" s="168">
        <f>SUM(C11649,C11625,C11601,C11577,C11553,C11529,C11505,C11481,C11457,C11433,C11409,C11385,C11361,C11337)/POBLA!$B$8*100000</f>
        <v>706.87414725233975</v>
      </c>
      <c r="H11649" s="256">
        <f t="shared" si="2062"/>
        <v>0.81215286412998422</v>
      </c>
      <c r="I11649" s="297">
        <f t="shared" si="2063"/>
        <v>574.08986327042794</v>
      </c>
      <c r="J11649" s="422">
        <f t="shared" si="2064"/>
        <v>761.57142857142856</v>
      </c>
      <c r="K11649" s="297">
        <f>J11649/POBLA!$B$8*100000</f>
        <v>54.948979702273625</v>
      </c>
      <c r="L11649" s="200">
        <f t="shared" si="2065"/>
        <v>0.19368562472010753</v>
      </c>
      <c r="M11649" s="401">
        <f>SUM(C11649,C11625,C11601,C11577,C11553,C11529,C11505)/POBLA!$B$8*100000</f>
        <v>384.64285791591539</v>
      </c>
      <c r="N11649" s="42" t="s">
        <v>31</v>
      </c>
      <c r="O11649" s="42">
        <v>5</v>
      </c>
      <c r="P11649" s="42">
        <v>4</v>
      </c>
      <c r="Q11649" s="42">
        <v>0</v>
      </c>
      <c r="R11649" s="42">
        <v>9</v>
      </c>
    </row>
    <row r="11650" spans="1:18" x14ac:dyDescent="0.25">
      <c r="A11650" s="367" t="s">
        <v>41</v>
      </c>
      <c r="B11650" s="2">
        <v>44378</v>
      </c>
      <c r="C11650" s="1">
        <v>473</v>
      </c>
      <c r="D11650" s="39">
        <f t="shared" si="2060"/>
        <v>46031</v>
      </c>
      <c r="E11650" s="1">
        <v>7</v>
      </c>
      <c r="F11650" s="39">
        <f t="shared" si="2061"/>
        <v>823</v>
      </c>
      <c r="G11650" s="168">
        <f>SUM(C11650,C11626,C11602,C11578,C11554,C11530,C11506,C11482,C11458,C11434,C11410,C11386,C11362,C11338)/POBLA!$B$9*100000</f>
        <v>978.3655792449681</v>
      </c>
      <c r="H11650" s="256">
        <f t="shared" si="2062"/>
        <v>0.8930618401206637</v>
      </c>
      <c r="I11650" s="297">
        <f>G11650*H11650</f>
        <v>873.74096451123023</v>
      </c>
      <c r="J11650" s="422">
        <f t="shared" si="2064"/>
        <v>391.57142857142856</v>
      </c>
      <c r="K11650" s="297">
        <f>J11650/POBLA!$B$9*100000</f>
        <v>64.701909733164214</v>
      </c>
      <c r="L11650" s="200">
        <f t="shared" si="2065"/>
        <v>-0.13805031446540883</v>
      </c>
      <c r="M11650" s="401">
        <f>SUM(C11650,C11626,C11602,C11578,C11554,C11530,C11506)/POBLA!$B$9*100000</f>
        <v>452.91336813214963</v>
      </c>
      <c r="N11650" s="42" t="s">
        <v>41</v>
      </c>
      <c r="O11650" s="42">
        <v>1</v>
      </c>
      <c r="P11650" s="42">
        <v>6</v>
      </c>
      <c r="Q11650" s="42">
        <v>0</v>
      </c>
      <c r="R11650" s="42">
        <v>7</v>
      </c>
    </row>
    <row r="11651" spans="1:18" x14ac:dyDescent="0.25">
      <c r="A11651" s="367" t="s">
        <v>32</v>
      </c>
      <c r="B11651" s="2">
        <v>44378</v>
      </c>
      <c r="C11651" s="1">
        <v>278</v>
      </c>
      <c r="D11651" s="39">
        <f t="shared" si="2060"/>
        <v>36124</v>
      </c>
      <c r="E11651" s="1">
        <v>4</v>
      </c>
      <c r="F11651" s="39">
        <f t="shared" si="2061"/>
        <v>1174</v>
      </c>
      <c r="G11651" s="168">
        <f>SUM(C11651,C11627,C11603,C11579,C11555,C11531,C11507,C11483,C11459,C11435,C11411,C11387,C11363,C11339)/POBLA!$B$10*100000</f>
        <v>452.46931757301064</v>
      </c>
      <c r="H11651" s="256">
        <f t="shared" si="2062"/>
        <v>0.99600228440890914</v>
      </c>
      <c r="I11651" s="297">
        <f t="shared" ref="I11651:I11665" si="2066">G11651*H11651</f>
        <v>450.66047392765876</v>
      </c>
      <c r="J11651" s="422">
        <f t="shared" si="2064"/>
        <v>270</v>
      </c>
      <c r="K11651" s="297">
        <f>J11651/POBLA!$B$10*100000</f>
        <v>35.024861165341989</v>
      </c>
      <c r="L11651" s="200">
        <f t="shared" si="2065"/>
        <v>0.18272841051314148</v>
      </c>
      <c r="M11651" s="401">
        <f>SUM(C11651,C11627,C11603,C11579,C11555,C11531,C11507)/POBLA!$B$10*100000</f>
        <v>245.17402815739396</v>
      </c>
      <c r="N11651" s="42" t="s">
        <v>32</v>
      </c>
      <c r="O11651" s="42">
        <v>0</v>
      </c>
      <c r="P11651" s="42">
        <v>4</v>
      </c>
      <c r="Q11651" s="42">
        <v>0</v>
      </c>
      <c r="R11651" s="42">
        <v>4</v>
      </c>
    </row>
    <row r="11652" spans="1:18" x14ac:dyDescent="0.25">
      <c r="A11652" s="367" t="s">
        <v>33</v>
      </c>
      <c r="B11652" s="2">
        <v>44378</v>
      </c>
      <c r="C11652" s="1">
        <v>252</v>
      </c>
      <c r="D11652" s="39">
        <f t="shared" si="2060"/>
        <v>53348</v>
      </c>
      <c r="E11652" s="1">
        <v>4</v>
      </c>
      <c r="F11652" s="39">
        <f t="shared" si="2061"/>
        <v>737</v>
      </c>
      <c r="G11652" s="168">
        <f>SUM(C11652,C11628,C11604,C11580,C11556,C11532,C11508,C11484,C11460,C11436,C11412,C11388,C11364,C11340)/POBLA!$B$11*100000</f>
        <v>1322.1623310678854</v>
      </c>
      <c r="H11652" s="256">
        <f t="shared" si="2062"/>
        <v>1.0799908842297175</v>
      </c>
      <c r="I11652" s="297">
        <f t="shared" si="2066"/>
        <v>1427.92326502523</v>
      </c>
      <c r="J11652" s="422">
        <f t="shared" si="2064"/>
        <v>398</v>
      </c>
      <c r="K11652" s="297">
        <f>J11652/POBLA!$B$11*100000</f>
        <v>111.04043210909862</v>
      </c>
      <c r="L11652" s="200">
        <f t="shared" si="2065"/>
        <v>0.42652329749103934</v>
      </c>
      <c r="M11652" s="401">
        <f>SUM(C11652,C11628,C11604,C11580,C11556,C11532,C11508)/POBLA!$B$11*100000</f>
        <v>777.28302476369038</v>
      </c>
      <c r="N11652" s="42" t="s">
        <v>33</v>
      </c>
      <c r="O11652" s="42">
        <v>1</v>
      </c>
      <c r="P11652" s="42">
        <v>3</v>
      </c>
      <c r="Q11652" s="42">
        <v>0</v>
      </c>
      <c r="R11652" s="42">
        <v>4</v>
      </c>
    </row>
    <row r="11653" spans="1:18" x14ac:dyDescent="0.25">
      <c r="A11653" s="367" t="s">
        <v>21</v>
      </c>
      <c r="B11653" s="2">
        <v>44378</v>
      </c>
      <c r="C11653" s="1">
        <v>223</v>
      </c>
      <c r="D11653" s="39">
        <f t="shared" si="2060"/>
        <v>22406</v>
      </c>
      <c r="E11653" s="1">
        <v>2</v>
      </c>
      <c r="F11653" s="39">
        <f t="shared" si="2061"/>
        <v>634</v>
      </c>
      <c r="G11653" s="168">
        <f>SUM(C11653,C11629,C11605,C11581,C11557,C11533,C11509,C11485,C11461,C11437,C11413,C11389,C11365,C11341)/POBLA!$B$12*100000</f>
        <v>584.19794120412371</v>
      </c>
      <c r="H11653" s="256">
        <f t="shared" si="2062"/>
        <v>1.0574977000919963</v>
      </c>
      <c r="I11653" s="297">
        <f t="shared" si="2066"/>
        <v>617.78797922184015</v>
      </c>
      <c r="J11653" s="422">
        <f t="shared" si="2064"/>
        <v>180.85714285714286</v>
      </c>
      <c r="K11653" s="297">
        <f>J11653/POBLA!$B$12*100000</f>
        <v>45.957533931797713</v>
      </c>
      <c r="L11653" s="200">
        <f t="shared" si="2065"/>
        <v>0.2255566311713455</v>
      </c>
      <c r="M11653" s="401">
        <f>SUM(C11653,C11629,C11605,C11581,C11557,C11533,C11509)/POBLA!$B$12*100000</f>
        <v>321.70273752258402</v>
      </c>
      <c r="N11653" s="42" t="s">
        <v>21</v>
      </c>
      <c r="O11653" s="42">
        <v>0</v>
      </c>
      <c r="P11653" s="42">
        <v>2</v>
      </c>
      <c r="Q11653" s="42">
        <v>0</v>
      </c>
      <c r="R11653" s="42">
        <v>2</v>
      </c>
    </row>
    <row r="11654" spans="1:18" x14ac:dyDescent="0.25">
      <c r="A11654" s="367" t="s">
        <v>17</v>
      </c>
      <c r="B11654" s="2">
        <v>44378</v>
      </c>
      <c r="C11654" s="1">
        <v>755</v>
      </c>
      <c r="D11654" s="39">
        <f t="shared" si="2060"/>
        <v>140579</v>
      </c>
      <c r="E11654" s="1">
        <v>25</v>
      </c>
      <c r="F11654" s="39">
        <f t="shared" si="2061"/>
        <v>3274</v>
      </c>
      <c r="G11654" s="168">
        <f>SUM(C11654,C11630,C11606,C11582,C11558,C11534,C11510,C11486,C11462,C11438,C11414,C11390,C11366,C11342)/POBLA!$B$13*100000</f>
        <v>394.75707141199132</v>
      </c>
      <c r="H11654" s="256">
        <f t="shared" si="2062"/>
        <v>0.85756385068762275</v>
      </c>
      <c r="I11654" s="297">
        <f t="shared" si="2066"/>
        <v>338.52939424623617</v>
      </c>
      <c r="J11654" s="422">
        <f t="shared" si="2064"/>
        <v>589.85714285714289</v>
      </c>
      <c r="K11654" s="297">
        <f>J11654/POBLA!$B$13*100000</f>
        <v>29.636028797980185</v>
      </c>
      <c r="L11654" s="200">
        <f t="shared" si="2065"/>
        <v>0.10756437768240334</v>
      </c>
      <c r="M11654" s="401">
        <f>SUM(C11654,C11630,C11606,C11582,C11558,C11534,C11510)/POBLA!$B$13*100000</f>
        <v>207.4522015858613</v>
      </c>
      <c r="N11654" s="42" t="s">
        <v>17</v>
      </c>
      <c r="O11654" s="42">
        <v>11</v>
      </c>
      <c r="P11654" s="42">
        <v>14</v>
      </c>
      <c r="Q11654" s="42">
        <v>0</v>
      </c>
      <c r="R11654" s="42">
        <v>25</v>
      </c>
    </row>
    <row r="11655" spans="1:18" x14ac:dyDescent="0.25">
      <c r="A11655" s="367" t="s">
        <v>23</v>
      </c>
      <c r="B11655" s="2">
        <v>44378</v>
      </c>
      <c r="C11655" s="1">
        <v>157</v>
      </c>
      <c r="D11655" s="39">
        <f t="shared" si="2060"/>
        <v>25828</v>
      </c>
      <c r="E11655" s="1">
        <v>1</v>
      </c>
      <c r="F11655" s="39">
        <f t="shared" si="2061"/>
        <v>430</v>
      </c>
      <c r="G11655" s="168">
        <f>SUM(C11655,C11631,C11607,C11583,C11559,C11535,C11511,C11487,C11463,C11439,C11415,C11391,C11367,C11343)/POBLA!$B$14*100000</f>
        <v>193.76925601802594</v>
      </c>
      <c r="H11655" s="256">
        <f t="shared" si="2062"/>
        <v>1.0174854288093256</v>
      </c>
      <c r="I11655" s="297">
        <f t="shared" si="2066"/>
        <v>197.15739454956511</v>
      </c>
      <c r="J11655" s="422">
        <f t="shared" si="2064"/>
        <v>185.85714285714286</v>
      </c>
      <c r="K11655" s="297">
        <f>J11655/POBLA!$B$14*100000</f>
        <v>14.735433836769451</v>
      </c>
      <c r="L11655" s="200">
        <f t="shared" si="2065"/>
        <v>0.13823272090988636</v>
      </c>
      <c r="M11655" s="401">
        <f>SUM(C11655,C11631,C11607,C11583,C11559,C11535,C11511)/POBLA!$B$14*100000</f>
        <v>103.14803685738615</v>
      </c>
      <c r="N11655" s="42" t="s">
        <v>23</v>
      </c>
      <c r="O11655" s="42">
        <v>0</v>
      </c>
      <c r="P11655" s="42">
        <v>1</v>
      </c>
      <c r="Q11655" s="42">
        <v>0</v>
      </c>
      <c r="R11655" s="42">
        <v>1</v>
      </c>
    </row>
    <row r="11656" spans="1:18" x14ac:dyDescent="0.25">
      <c r="A11656" s="367" t="s">
        <v>19</v>
      </c>
      <c r="B11656" s="2">
        <v>44378</v>
      </c>
      <c r="C11656" s="1">
        <v>215</v>
      </c>
      <c r="D11656" s="39">
        <f t="shared" si="2060"/>
        <v>101643</v>
      </c>
      <c r="E11656" s="1">
        <v>7</v>
      </c>
      <c r="F11656" s="39">
        <f t="shared" si="2061"/>
        <v>1803</v>
      </c>
      <c r="G11656" s="168">
        <f>SUM(C11656,C11632,C11608,C11584,C11560,C11536,C11512,C11488,C11464,C11440,C11416,C11392,C11368,C11344)/POBLA!$B$15*100000</f>
        <v>504.17358750830124</v>
      </c>
      <c r="H11656" s="256">
        <f t="shared" si="2062"/>
        <v>0.6</v>
      </c>
      <c r="I11656" s="297">
        <f t="shared" si="2066"/>
        <v>302.50415250498071</v>
      </c>
      <c r="J11656" s="422">
        <f t="shared" si="2064"/>
        <v>218.14285714285714</v>
      </c>
      <c r="K11656" s="297">
        <f>J11656/POBLA!$B$15*100000</f>
        <v>32.850019974619222</v>
      </c>
      <c r="L11656" s="200">
        <f t="shared" si="2065"/>
        <v>-0.16144975288303132</v>
      </c>
      <c r="M11656" s="401">
        <f>SUM(C11656,C11632,C11608,C11584,C11560,C11536,C11512)/POBLA!$B$15*100000</f>
        <v>229.95013982233451</v>
      </c>
      <c r="N11656" s="42" t="s">
        <v>19</v>
      </c>
      <c r="O11656" s="42">
        <v>2</v>
      </c>
      <c r="P11656" s="42">
        <v>4</v>
      </c>
      <c r="Q11656" s="42">
        <v>1</v>
      </c>
      <c r="R11656" s="42">
        <v>7</v>
      </c>
    </row>
    <row r="11657" spans="1:18" x14ac:dyDescent="0.25">
      <c r="A11657" s="367" t="s">
        <v>18</v>
      </c>
      <c r="B11657" s="2">
        <v>44378</v>
      </c>
      <c r="C11657" s="1">
        <v>292</v>
      </c>
      <c r="D11657" s="39">
        <f t="shared" si="2060"/>
        <v>84571</v>
      </c>
      <c r="E11657" s="1">
        <v>4</v>
      </c>
      <c r="F11657" s="39">
        <f t="shared" si="2061"/>
        <v>1933</v>
      </c>
      <c r="G11657" s="168">
        <f>SUM(C11657,C11633,C11609,C11585,C11561,C11537,C11513,C11489,C11465,C11441,C11417,C11393,C11369,C11345)/POBLA!$B$16*100000</f>
        <v>486.21607522638811</v>
      </c>
      <c r="H11657" s="256">
        <f t="shared" si="2062"/>
        <v>0.70323079899400276</v>
      </c>
      <c r="I11657" s="297">
        <f t="shared" si="2066"/>
        <v>341.92211906518105</v>
      </c>
      <c r="J11657" s="422">
        <f t="shared" si="2064"/>
        <v>263.85714285714283</v>
      </c>
      <c r="K11657" s="297">
        <f>J11657/POBLA!$B$16*100000</f>
        <v>35.293420748403953</v>
      </c>
      <c r="L11657" s="200">
        <f t="shared" si="2065"/>
        <v>3.299776286353473E-2</v>
      </c>
      <c r="M11657" s="401">
        <f>SUM(C11657,C11633,C11609,C11585,C11561,C11537,C11513)/POBLA!$B$16*100000</f>
        <v>247.05394523882774</v>
      </c>
      <c r="N11657" s="42" t="s">
        <v>18</v>
      </c>
      <c r="O11657" s="42">
        <v>1</v>
      </c>
      <c r="P11657" s="42">
        <v>3</v>
      </c>
      <c r="Q11657" s="42">
        <v>0</v>
      </c>
      <c r="R11657" s="42">
        <v>4</v>
      </c>
    </row>
    <row r="11658" spans="1:18" x14ac:dyDescent="0.25">
      <c r="A11658" s="367" t="s">
        <v>34</v>
      </c>
      <c r="B11658" s="2">
        <v>44378</v>
      </c>
      <c r="C11658" s="1">
        <v>713</v>
      </c>
      <c r="D11658" s="39">
        <f>C11658+D11634</f>
        <v>62015</v>
      </c>
      <c r="E11658" s="1">
        <v>12</v>
      </c>
      <c r="F11658" s="39">
        <f t="shared" si="2061"/>
        <v>1745</v>
      </c>
      <c r="G11658" s="168">
        <f>SUM(C11658,C11634,C11610,C11586,C11562,C11538,C11514,C11490,C11466,C11442,C11418,C11394,C11370,C11346)/POBLA!$B$17*100000</f>
        <v>494.45484650697801</v>
      </c>
      <c r="H11658" s="256">
        <f t="shared" si="2062"/>
        <v>0.93260063559322037</v>
      </c>
      <c r="I11658" s="297">
        <f t="shared" si="2066"/>
        <v>461.1289041245559</v>
      </c>
      <c r="J11658" s="422">
        <f t="shared" si="2064"/>
        <v>551.57142857142856</v>
      </c>
      <c r="K11658" s="297">
        <f>J11658/POBLA!$B$17*100000</f>
        <v>38.723152925162616</v>
      </c>
      <c r="L11658" s="200">
        <f t="shared" si="2065"/>
        <v>0.21338780641106214</v>
      </c>
      <c r="M11658" s="401">
        <f>SUM(C11658,C11634,C11610,C11586,C11562,C11538,C11514)/POBLA!$B$17*100000</f>
        <v>271.06207047613833</v>
      </c>
      <c r="N11658" s="42" t="s">
        <v>34</v>
      </c>
      <c r="O11658" s="42">
        <v>6</v>
      </c>
      <c r="P11658" s="42">
        <v>6</v>
      </c>
      <c r="Q11658" s="42">
        <v>0</v>
      </c>
      <c r="R11658" s="42">
        <v>12</v>
      </c>
    </row>
    <row r="11659" spans="1:18" x14ac:dyDescent="0.25">
      <c r="A11659" s="367" t="s">
        <v>35</v>
      </c>
      <c r="B11659" s="2">
        <v>44378</v>
      </c>
      <c r="C11659" s="1">
        <v>213</v>
      </c>
      <c r="D11659" s="39">
        <f t="shared" ref="D11659:D11665" si="2067">C11659+D11635</f>
        <v>51111</v>
      </c>
      <c r="E11659" s="1">
        <v>8</v>
      </c>
      <c r="F11659" s="39">
        <f t="shared" si="2061"/>
        <v>827</v>
      </c>
      <c r="G11659" s="168">
        <f>SUM(C11659,C11635,C11611,C11587,C11563,C11539,C11515,C11491,C11467,C11443,C11419,C11395,C11371,C11347)/POBLA!$B$18*100000</f>
        <v>706.58984635511001</v>
      </c>
      <c r="H11659" s="256">
        <f t="shared" si="2062"/>
        <v>0.82069580731489744</v>
      </c>
      <c r="I11659" s="297">
        <f t="shared" si="2066"/>
        <v>579.89532439491632</v>
      </c>
      <c r="J11659" s="422">
        <f t="shared" si="2064"/>
        <v>395.28571428571428</v>
      </c>
      <c r="K11659" s="297">
        <f>J11659/POBLA!$B$18*100000</f>
        <v>50.598708718027673</v>
      </c>
      <c r="L11659" s="200">
        <f t="shared" si="2065"/>
        <v>5.0853614239012579E-3</v>
      </c>
      <c r="M11659" s="401">
        <f>SUM(C11659,C11635,C11611,C11587,C11563,C11539,C11515)/POBLA!$B$18*100000</f>
        <v>354.19096102619375</v>
      </c>
      <c r="N11659" s="42" t="s">
        <v>35</v>
      </c>
      <c r="O11659" s="42">
        <v>4</v>
      </c>
      <c r="P11659" s="42">
        <v>4</v>
      </c>
      <c r="Q11659" s="42">
        <v>0</v>
      </c>
      <c r="R11659" s="42">
        <v>8</v>
      </c>
    </row>
    <row r="11660" spans="1:18" x14ac:dyDescent="0.25">
      <c r="A11660" s="367" t="s">
        <v>36</v>
      </c>
      <c r="B11660" s="2">
        <v>44378</v>
      </c>
      <c r="C11660" s="1">
        <v>305</v>
      </c>
      <c r="D11660" s="39">
        <f t="shared" si="2067"/>
        <v>66088</v>
      </c>
      <c r="E11660" s="1">
        <v>12</v>
      </c>
      <c r="F11660" s="39">
        <f t="shared" si="2061"/>
        <v>953</v>
      </c>
      <c r="G11660" s="168">
        <f>SUM(C11660,C11636,C11612,C11588,C11564,C11540,C11516,C11492,C11468,C11444,C11420,C11396,C11372,C11348)/POBLA!$B$19*100000</f>
        <v>1001.3219810830802</v>
      </c>
      <c r="H11660" s="256">
        <f t="shared" si="2062"/>
        <v>0.80601741884402212</v>
      </c>
      <c r="I11660" s="297">
        <f t="shared" si="2066"/>
        <v>807.08295862436705</v>
      </c>
      <c r="J11660" s="422">
        <f t="shared" si="2064"/>
        <v>389.14285714285717</v>
      </c>
      <c r="K11660" s="297">
        <f>J11660/POBLA!$B$19*100000</f>
        <v>76.553496392655376</v>
      </c>
      <c r="L11660" s="200">
        <f t="shared" si="2065"/>
        <v>0.1513102282333052</v>
      </c>
      <c r="M11660" s="401">
        <f>SUM(C11660,C11636,C11612,C11588,C11564,C11540,C11516)/POBLA!$B$19*100000</f>
        <v>535.87447474858755</v>
      </c>
      <c r="N11660" s="42" t="s">
        <v>36</v>
      </c>
      <c r="O11660" s="42">
        <v>6</v>
      </c>
      <c r="P11660" s="42">
        <v>6</v>
      </c>
      <c r="Q11660" s="42">
        <v>0</v>
      </c>
      <c r="R11660" s="42">
        <v>12</v>
      </c>
    </row>
    <row r="11661" spans="1:18" x14ac:dyDescent="0.25">
      <c r="A11661" s="367" t="s">
        <v>37</v>
      </c>
      <c r="B11661" s="2">
        <v>44378</v>
      </c>
      <c r="C11661" s="1">
        <v>118</v>
      </c>
      <c r="D11661" s="39">
        <f t="shared" si="2067"/>
        <v>55627</v>
      </c>
      <c r="E11661" s="1">
        <v>3</v>
      </c>
      <c r="F11661" s="39">
        <f t="shared" ref="F11661:F11666" si="2068">E11661+F11637</f>
        <v>870</v>
      </c>
      <c r="G11661" s="168">
        <f>SUM(C11661,C11637,C11614,C11589,C11565,C11541,C11517,C11493,C11469,C11445,C11421,C11397,C11373,C11349)/POBLA!$B$20*100000</f>
        <v>887.61765172355331</v>
      </c>
      <c r="H11661" s="256">
        <f t="shared" si="2062"/>
        <v>0.70649479424888451</v>
      </c>
      <c r="I11661" s="297">
        <f t="shared" si="2066"/>
        <v>627.09725022610985</v>
      </c>
      <c r="J11661" s="422">
        <f t="shared" si="2064"/>
        <v>112.85714285714286</v>
      </c>
      <c r="K11661" s="297">
        <f>J11661/POBLA!$B$20*100000</f>
        <v>30.860749267740829</v>
      </c>
      <c r="L11661" s="200">
        <f t="shared" si="2065"/>
        <v>0.24409448818897639</v>
      </c>
      <c r="M11661" s="401">
        <f>SUM(C11661,C11637,C11613,C11589,C11565,C11541,C11517)/POBLA!$B$20*100000</f>
        <v>216.0252448741858</v>
      </c>
      <c r="N11661" s="42" t="s">
        <v>37</v>
      </c>
      <c r="O11661" s="42">
        <v>1</v>
      </c>
      <c r="P11661" s="42">
        <v>2</v>
      </c>
      <c r="Q11661" s="42">
        <v>0</v>
      </c>
      <c r="R11661" s="42">
        <v>3</v>
      </c>
    </row>
    <row r="11662" spans="1:18" x14ac:dyDescent="0.25">
      <c r="A11662" s="367" t="s">
        <v>22</v>
      </c>
      <c r="B11662" s="2">
        <v>44378</v>
      </c>
      <c r="C11662" s="1">
        <v>1739</v>
      </c>
      <c r="D11662" s="39">
        <f t="shared" si="2067"/>
        <v>407914</v>
      </c>
      <c r="E11662" s="1">
        <v>87</v>
      </c>
      <c r="F11662" s="39">
        <f t="shared" si="2068"/>
        <v>6769</v>
      </c>
      <c r="G11662" s="168">
        <f>SUM(C11662,C11638,C11614,C11590,C11566,C11542,C11518,C11494,C11470,C11446,C11422,C11398,C11374,C11350)/POBLA!$B$21*100000</f>
        <v>632.13681188140094</v>
      </c>
      <c r="H11662" s="256">
        <f t="shared" si="2062"/>
        <v>0.73213466954869977</v>
      </c>
      <c r="I11662" s="297">
        <f t="shared" si="2066"/>
        <v>462.80927587635807</v>
      </c>
      <c r="J11662" s="422">
        <f t="shared" si="2064"/>
        <v>1698.1428571428571</v>
      </c>
      <c r="K11662" s="297">
        <f>J11662/POBLA!$B$21*100000</f>
        <v>48.018725646766221</v>
      </c>
      <c r="L11662" s="200">
        <f t="shared" si="2065"/>
        <v>0.13555598012991976</v>
      </c>
      <c r="M11662" s="401">
        <f>SUM(C11662,C11638,C11614,C11590,C11566,C11542,C11518)/POBLA!$B$21*100000</f>
        <v>336.13107952736357</v>
      </c>
      <c r="N11662" s="42" t="s">
        <v>22</v>
      </c>
      <c r="O11662" s="42">
        <v>35</v>
      </c>
      <c r="P11662" s="42">
        <v>52</v>
      </c>
      <c r="Q11662" s="42">
        <v>0</v>
      </c>
      <c r="R11662" s="42">
        <v>87</v>
      </c>
    </row>
    <row r="11663" spans="1:18" x14ac:dyDescent="0.25">
      <c r="A11663" s="367" t="s">
        <v>38</v>
      </c>
      <c r="B11663" s="2">
        <v>44378</v>
      </c>
      <c r="C11663" s="1">
        <v>764</v>
      </c>
      <c r="D11663" s="39">
        <f t="shared" si="2067"/>
        <v>60209</v>
      </c>
      <c r="E11663" s="1">
        <v>9</v>
      </c>
      <c r="F11663" s="39">
        <f t="shared" si="2068"/>
        <v>824</v>
      </c>
      <c r="G11663" s="168">
        <f>SUM(C11663,C11639,C11615,C11591,C11567,C11543,C11519,C11495,C11471,C11447,C11423,C11399,C11375,C11351)/POBLA!$B$22*100000</f>
        <v>723.18368456720907</v>
      </c>
      <c r="H11663" s="256">
        <f t="shared" si="2062"/>
        <v>0.9278688524590164</v>
      </c>
      <c r="I11663" s="297">
        <f t="shared" si="2066"/>
        <v>671.01961551645957</v>
      </c>
      <c r="J11663" s="422">
        <f t="shared" si="2064"/>
        <v>562.57142857142856</v>
      </c>
      <c r="K11663" s="297">
        <f>J11663/POBLA!$B$22*100000</f>
        <v>57.504237250392102</v>
      </c>
      <c r="L11663" s="200">
        <f t="shared" si="2065"/>
        <v>0.25533949633407715</v>
      </c>
      <c r="M11663" s="401">
        <f>SUM(C11663,C11639,C11615,C11591,C11567,C11543,C11519)/POBLA!$B$22*100000</f>
        <v>402.5296607527448</v>
      </c>
      <c r="N11663" s="42" t="s">
        <v>38</v>
      </c>
      <c r="O11663" s="42">
        <v>5</v>
      </c>
      <c r="P11663" s="42">
        <v>4</v>
      </c>
      <c r="Q11663" s="42">
        <v>0</v>
      </c>
      <c r="R11663" s="42">
        <v>9</v>
      </c>
    </row>
    <row r="11664" spans="1:18" x14ac:dyDescent="0.25">
      <c r="A11664" s="367" t="s">
        <v>39</v>
      </c>
      <c r="B11664" s="2">
        <v>44378</v>
      </c>
      <c r="C11664" s="1">
        <v>38</v>
      </c>
      <c r="D11664" s="39">
        <f t="shared" si="2067"/>
        <v>29819</v>
      </c>
      <c r="F11664" s="39">
        <f t="shared" si="2068"/>
        <v>447</v>
      </c>
      <c r="G11664" s="168">
        <f>SUM(C11664,C11640,C11616,C11592,C11568,C11544,C11520,C11496,C11472,C11448,C11424,C11400,C11376,C11352)/POBLA!$B$23*100000</f>
        <v>337.61239608663686</v>
      </c>
      <c r="H11664" s="256">
        <f t="shared" si="2062"/>
        <v>1.1682974559686889</v>
      </c>
      <c r="I11664" s="297">
        <f t="shared" si="2066"/>
        <v>394.43170345151123</v>
      </c>
      <c r="J11664" s="422">
        <f t="shared" si="2064"/>
        <v>46</v>
      </c>
      <c r="K11664" s="297">
        <f>J11664/POBLA!$B$23*100000</f>
        <v>26.013685460611889</v>
      </c>
      <c r="L11664" s="200">
        <f t="shared" si="2065"/>
        <v>0.1709090909090909</v>
      </c>
      <c r="M11664" s="401">
        <f>SUM(C11664,C11640,C11616,C11592,C11568,C11544,C11520)/POBLA!$B$23*100000</f>
        <v>182.09579822428319</v>
      </c>
    </row>
    <row r="11665" spans="1:18" ht="15.75" thickBot="1" x14ac:dyDescent="0.3">
      <c r="A11665" s="368" t="s">
        <v>40</v>
      </c>
      <c r="B11665" s="34">
        <v>44378</v>
      </c>
      <c r="C11665" s="232">
        <v>1401</v>
      </c>
      <c r="D11665" s="67">
        <f t="shared" si="2067"/>
        <v>158930</v>
      </c>
      <c r="E11665" s="232">
        <v>6</v>
      </c>
      <c r="F11665" s="67">
        <f t="shared" si="2068"/>
        <v>2308</v>
      </c>
      <c r="G11665" s="255">
        <f>SUM(C11665,C11641,C11617,C11593,C11569,C11545,C11521,C11497,C11473,C11449,C11425,C11401,C11377,C11353)/POBLA!$B$24*100000</f>
        <v>835.68582650402209</v>
      </c>
      <c r="H11665" s="257">
        <f t="shared" si="2062"/>
        <v>1.20476393024245</v>
      </c>
      <c r="I11665" s="299">
        <f t="shared" si="2066"/>
        <v>1006.8041407868958</v>
      </c>
      <c r="J11665" s="428">
        <f t="shared" si="2064"/>
        <v>1261.5714285714287</v>
      </c>
      <c r="K11665" s="299">
        <f>J11665/POBLA!$B$24*100000</f>
        <v>74.44410125544232</v>
      </c>
      <c r="L11665" s="260">
        <f t="shared" si="2065"/>
        <v>0.65653723504033024</v>
      </c>
      <c r="M11665" s="406">
        <f>SUM(C11665,C11641,C11617,C11593,C11569,C11545,C11521)/POBLA!$B$24*100000</f>
        <v>521.10870878809624</v>
      </c>
      <c r="N11665" s="42" t="s">
        <v>40</v>
      </c>
      <c r="O11665" s="42">
        <v>2</v>
      </c>
      <c r="P11665" s="42">
        <v>4</v>
      </c>
      <c r="Q11665" s="42">
        <v>0</v>
      </c>
      <c r="R11665" s="42">
        <v>6</v>
      </c>
    </row>
    <row r="11666" spans="1:18" x14ac:dyDescent="0.25">
      <c r="A11666" s="363" t="s">
        <v>16</v>
      </c>
      <c r="B11666" s="265">
        <v>44379</v>
      </c>
      <c r="C11666" s="43">
        <v>6302</v>
      </c>
      <c r="D11666" s="174">
        <f>C11666+D11642</f>
        <v>1855743</v>
      </c>
      <c r="E11666" s="43">
        <v>304</v>
      </c>
      <c r="F11666" s="174">
        <f t="shared" si="2068"/>
        <v>48023</v>
      </c>
      <c r="G11666" s="175">
        <f>SUM(C11666,C11642,C11594,C11618,C11570,C11546,C11522,C11498,C11474,C11450,C11426,C11402,C11378,C11354)/POBLA!$B$1*100000</f>
        <v>493.51407642182454</v>
      </c>
      <c r="H11666" s="300">
        <f>SUM(C11666,C11642,C11618,C11594,C11570,C11546,C11522,C11498,C11474,C11450,C11426,C11402,C11378,C11354,)/SUM(C11330,C11306,C11282,C11258,C11234,C11210,C11186,C11162,C11138,C11114,C11090,C11066,C11042,C11018)</f>
        <v>0.77599096434141879</v>
      </c>
      <c r="I11666" s="301">
        <f>G11666*H11666</f>
        <v>382.96246407863629</v>
      </c>
      <c r="J11666" s="421">
        <f>AVERAGE(C11666,C11642,C11618,C11594,C11570,C11546,C11522)</f>
        <v>6245.5714285714284</v>
      </c>
      <c r="K11666" s="301">
        <f>J11666/POBLA!$B$1*100000</f>
        <v>35.605274643031649</v>
      </c>
      <c r="L11666" s="399">
        <f>(SUM(C11666,C11642,C11618,C11594,C11570,C11546,C11522)/SUM(C11498,C11474,C11450,C11426,C11402,C11378,C11354))-1</f>
        <v>2.0303857732969277E-2</v>
      </c>
      <c r="M11666" s="400">
        <f>SUM(C11666,C11642,C11618,C11594,C11570,C11546,C11522)/POBLA!$B$1*100000</f>
        <v>249.23692250122153</v>
      </c>
      <c r="N11666" s="42" t="s">
        <v>16</v>
      </c>
      <c r="O11666" s="42">
        <v>139</v>
      </c>
      <c r="P11666" s="42">
        <v>163</v>
      </c>
      <c r="Q11666" s="42">
        <v>2</v>
      </c>
      <c r="R11666" s="42">
        <v>304</v>
      </c>
    </row>
    <row r="11667" spans="1:18" x14ac:dyDescent="0.25">
      <c r="A11667" s="367" t="s">
        <v>43</v>
      </c>
      <c r="B11667" s="2">
        <v>44379</v>
      </c>
      <c r="C11667" s="1">
        <v>1315</v>
      </c>
      <c r="D11667" s="39">
        <f t="shared" ref="D11667:D11681" si="2069">C11667+D11643</f>
        <v>466575</v>
      </c>
      <c r="E11667" s="1">
        <v>30</v>
      </c>
      <c r="F11667" s="39">
        <f t="shared" ref="F11667:F11684" si="2070">E11667+F11643</f>
        <v>10403</v>
      </c>
      <c r="G11667" s="168">
        <f>SUM(C11667,C11643,C11619,C11595,C11571,C11547,C11523,C11499,C11475,C11451,C11427,C11403,C11379,C11355)/POBLA!$B$2*100000</f>
        <v>573.05034454550366</v>
      </c>
      <c r="H11667" s="256">
        <f t="shared" ref="H11667:H11689" si="2071">SUM(C11667,C11643,C11619,C11595,C11571,C11547,C11523,C11499,C11475,C11451,C11427,C11403,C11379,C11355,)/SUM(C11331,C11307,C11283,C11259,C11235,C11211,C11187,C11163,C11139,C11115,C11091,C11067,C11043,C11019)</f>
        <v>0.79538787851437343</v>
      </c>
      <c r="I11667" s="297">
        <f t="shared" ref="I11667:I11673" si="2072">G11667*H11667</f>
        <v>455.7972978299789</v>
      </c>
      <c r="J11667" s="422">
        <f>AVERAGE(C11667,C11643,C11619,C11595,C11571,C11547,C11523)</f>
        <v>1219.7142857142858</v>
      </c>
      <c r="K11667" s="297">
        <f>J11667/POBLA!$B$2*100000</f>
        <v>39.657173995781235</v>
      </c>
      <c r="L11667" s="200">
        <f>(SUM(C11667,C11643,C11619,C11595,C11571,C11547,C11523)/SUM(C11499,C11475,C11451,C11427,C11403,C11379,C11355))-1</f>
        <v>-6.0415978870914544E-2</v>
      </c>
      <c r="M11667" s="401">
        <f>SUM(C11667,C11643,C11619,C11595,C11571,C11547,C11523)/POBLA!$B$2*100000</f>
        <v>277.60021797046863</v>
      </c>
      <c r="N11667" s="42" t="s">
        <v>43</v>
      </c>
      <c r="O11667" s="42">
        <v>5</v>
      </c>
      <c r="P11667" s="42">
        <v>24</v>
      </c>
      <c r="Q11667" s="42">
        <v>1</v>
      </c>
      <c r="R11667" s="42">
        <v>30</v>
      </c>
    </row>
    <row r="11668" spans="1:18" x14ac:dyDescent="0.25">
      <c r="A11668" s="367" t="s">
        <v>28</v>
      </c>
      <c r="B11668" s="2">
        <v>44379</v>
      </c>
      <c r="C11668" s="1">
        <v>316</v>
      </c>
      <c r="D11668" s="39">
        <f t="shared" si="2069"/>
        <v>34867</v>
      </c>
      <c r="E11668" s="1">
        <v>10</v>
      </c>
      <c r="F11668" s="39">
        <f t="shared" si="2070"/>
        <v>329</v>
      </c>
      <c r="G11668" s="168">
        <f>SUM(C11668,C11644,C11620,C11596,C11572,C11548,C11524,C11500,C11476,C11452,C11428,C11404,C11380,C11356)/POBLA!$B$3*100000</f>
        <v>1030.4786755183686</v>
      </c>
      <c r="H11668" s="256">
        <f t="shared" si="2071"/>
        <v>0.83304144775248101</v>
      </c>
      <c r="I11668" s="297">
        <f t="shared" si="2072"/>
        <v>858.43144773188089</v>
      </c>
      <c r="J11668" s="422">
        <f t="shared" ref="J11668:J11689" si="2073">AVERAGE(C11668,C11644,C11620,C11596,C11572,C11548,C11524)</f>
        <v>312.71428571428572</v>
      </c>
      <c r="K11668" s="297">
        <f>J11668/POBLA!$B$3*100000</f>
        <v>75.273394757890642</v>
      </c>
      <c r="L11668" s="200">
        <f t="shared" ref="L11668:L11689" si="2074">(SUM(C11668,C11644,C11620,C11596,C11572,C11548,C11524)/SUM(C11500,C11476,C11452,C11428,C11404,C11380,C11356))-1</f>
        <v>4.6367112810707489E-2</v>
      </c>
      <c r="M11668" s="401">
        <f>SUM(C11668,C11644,C11620,C11596,C11572,C11548,C11524)/POBLA!$B$3*100000</f>
        <v>526.91376330523451</v>
      </c>
      <c r="N11668" s="42" t="s">
        <v>28</v>
      </c>
      <c r="O11668" s="42">
        <v>3</v>
      </c>
      <c r="P11668" s="42">
        <v>7</v>
      </c>
      <c r="Q11668" s="42">
        <v>0</v>
      </c>
      <c r="R11668" s="42">
        <v>10</v>
      </c>
    </row>
    <row r="11669" spans="1:18" x14ac:dyDescent="0.25">
      <c r="A11669" s="367" t="s">
        <v>15</v>
      </c>
      <c r="B11669" s="2">
        <v>44379</v>
      </c>
      <c r="C11669" s="1">
        <v>586</v>
      </c>
      <c r="D11669" s="39">
        <f t="shared" si="2069"/>
        <v>78234</v>
      </c>
      <c r="E11669" s="1">
        <v>13</v>
      </c>
      <c r="F11669" s="39">
        <f t="shared" si="2070"/>
        <v>1683</v>
      </c>
      <c r="G11669" s="168">
        <f>SUM(C11669,C11645,C11621,C11597,C11573,C11549,C11525,C11501,C11477,C11453,C11429,C11405,C11381,C11357)/POBLA!$B$4*100000</f>
        <v>631.85894045947794</v>
      </c>
      <c r="H11669" s="256">
        <f t="shared" si="2071"/>
        <v>0.81610551147330046</v>
      </c>
      <c r="I11669" s="297">
        <f t="shared" si="2072"/>
        <v>515.66356378265993</v>
      </c>
      <c r="J11669" s="422">
        <f t="shared" si="2073"/>
        <v>569.42857142857144</v>
      </c>
      <c r="K11669" s="297">
        <f>J11669/POBLA!$B$4*100000</f>
        <v>47.27349018659983</v>
      </c>
      <c r="L11669" s="200">
        <f t="shared" si="2074"/>
        <v>9.9586206896551621E-2</v>
      </c>
      <c r="M11669" s="401">
        <f>SUM(C11669,C11645,C11621,C11597,C11573,C11549,C11525)/POBLA!$B$4*100000</f>
        <v>330.91443130619876</v>
      </c>
      <c r="N11669" s="42" t="s">
        <v>15</v>
      </c>
      <c r="O11669" s="42">
        <v>9</v>
      </c>
      <c r="P11669" s="42">
        <v>4</v>
      </c>
      <c r="Q11669" s="42">
        <v>0</v>
      </c>
      <c r="R11669" s="42">
        <v>13</v>
      </c>
    </row>
    <row r="11670" spans="1:18" x14ac:dyDescent="0.25">
      <c r="A11670" s="367" t="s">
        <v>29</v>
      </c>
      <c r="B11670" s="2">
        <v>44379</v>
      </c>
      <c r="C11670" s="1">
        <v>269</v>
      </c>
      <c r="D11670" s="39">
        <f t="shared" si="2069"/>
        <v>71296</v>
      </c>
      <c r="E11670" s="1">
        <v>8</v>
      </c>
      <c r="F11670" s="39">
        <f t="shared" si="2070"/>
        <v>1220</v>
      </c>
      <c r="G11670" s="168">
        <f>SUM(C11670,C11646,C11622,C11598,C11574,C11550,C11526,C11502,C11478,C11454,C11430,C11406,C11382,C11358)/POBLA!$B$5*100000</f>
        <v>506.79004966122454</v>
      </c>
      <c r="H11670" s="256">
        <f t="shared" si="2071"/>
        <v>0.92346187812775982</v>
      </c>
      <c r="I11670" s="297">
        <f t="shared" si="2072"/>
        <v>468.00129107661508</v>
      </c>
      <c r="J11670" s="422">
        <f t="shared" si="2073"/>
        <v>224.85714285714286</v>
      </c>
      <c r="K11670" s="297">
        <f>J11670/POBLA!$B$5*100000</f>
        <v>36.326223332882527</v>
      </c>
      <c r="L11670" s="200">
        <f t="shared" si="2074"/>
        <v>7.0377479206653604E-3</v>
      </c>
      <c r="M11670" s="401">
        <f>SUM(C11670,C11646,C11622,C11598,C11574,C11550,C11526)/POBLA!$B$5*100000</f>
        <v>254.28356333017766</v>
      </c>
      <c r="N11670" s="42" t="s">
        <v>29</v>
      </c>
      <c r="O11670" s="42">
        <v>2</v>
      </c>
      <c r="P11670" s="42">
        <v>6</v>
      </c>
      <c r="Q11670" s="42">
        <v>0</v>
      </c>
      <c r="R11670" s="42">
        <v>8</v>
      </c>
    </row>
    <row r="11671" spans="1:18" x14ac:dyDescent="0.25">
      <c r="A11671" s="367" t="s">
        <v>30</v>
      </c>
      <c r="B11671" s="2">
        <v>44379</v>
      </c>
      <c r="C11671" s="1">
        <v>675</v>
      </c>
      <c r="D11671" s="39">
        <f t="shared" si="2069"/>
        <v>67479</v>
      </c>
      <c r="E11671" s="1">
        <v>14</v>
      </c>
      <c r="F11671" s="39">
        <f t="shared" si="2070"/>
        <v>754</v>
      </c>
      <c r="G11671" s="168">
        <f>SUM(C11671,C11647,C11623,C11599,C11575,C11551,C11527,C11503,C11479,C11455,C11431,C11407,C11383,C11359)/POBLA!$B$6*100000</f>
        <v>682.72601469841663</v>
      </c>
      <c r="H11671" s="256">
        <f t="shared" si="2071"/>
        <v>1.1876455067515133</v>
      </c>
      <c r="I11671" s="297">
        <f t="shared" si="2072"/>
        <v>810.83648369894206</v>
      </c>
      <c r="J11671" s="422">
        <f t="shared" si="2073"/>
        <v>535.71428571428567</v>
      </c>
      <c r="K11671" s="297">
        <f>J11671/POBLA!$B$6*100000</f>
        <v>47.797448941809087</v>
      </c>
      <c r="L11671" s="200">
        <f t="shared" si="2074"/>
        <v>-3.8954382368016405E-2</v>
      </c>
      <c r="M11671" s="401">
        <f>SUM(C11671,C11647,C11623,C11599,C11575,C11551,C11527)/POBLA!$B$6*100000</f>
        <v>334.58214259266367</v>
      </c>
      <c r="N11671" s="42" t="s">
        <v>30</v>
      </c>
      <c r="O11671" s="42">
        <v>9</v>
      </c>
      <c r="P11671" s="42">
        <v>5</v>
      </c>
      <c r="Q11671" s="42">
        <v>0</v>
      </c>
      <c r="R11671" s="42">
        <v>14</v>
      </c>
    </row>
    <row r="11672" spans="1:18" x14ac:dyDescent="0.25">
      <c r="A11672" s="367" t="s">
        <v>20</v>
      </c>
      <c r="B11672" s="2">
        <v>44379</v>
      </c>
      <c r="C11672" s="1">
        <v>2356</v>
      </c>
      <c r="D11672" s="39">
        <f t="shared" si="2069"/>
        <v>415753</v>
      </c>
      <c r="E11672" s="1">
        <v>38</v>
      </c>
      <c r="F11672" s="39">
        <f t="shared" si="2070"/>
        <v>5407</v>
      </c>
      <c r="G11672" s="168">
        <f>SUM(C11672,C11648,C11624,C11600,C11576,C11552,C11528,C11504,C11480,C11456,C11432,C11408,C11384,C11360)/POBLA!$B$7*100000</f>
        <v>919.51761092422453</v>
      </c>
      <c r="H11672" s="256">
        <f t="shared" si="2071"/>
        <v>0.71079408802187183</v>
      </c>
      <c r="I11672" s="297">
        <f t="shared" si="2072"/>
        <v>653.58768167693449</v>
      </c>
      <c r="J11672" s="422">
        <f t="shared" si="2073"/>
        <v>2350.4285714285716</v>
      </c>
      <c r="K11672" s="297">
        <f>J11672/POBLA!$B$7*100000</f>
        <v>62.503917654232112</v>
      </c>
      <c r="L11672" s="200">
        <f t="shared" si="2074"/>
        <v>-9.2248275862068962E-2</v>
      </c>
      <c r="M11672" s="401">
        <f>SUM(C11672,C11648,C11624,C11600,C11576,C11552,C11528)/POBLA!$B$7*100000</f>
        <v>437.52742357962484</v>
      </c>
      <c r="N11672" s="42" t="s">
        <v>20</v>
      </c>
      <c r="O11672" s="42">
        <v>13</v>
      </c>
      <c r="P11672" s="42">
        <v>25</v>
      </c>
      <c r="Q11672" s="42">
        <v>0</v>
      </c>
      <c r="R11672" s="42">
        <v>38</v>
      </c>
    </row>
    <row r="11673" spans="1:18" x14ac:dyDescent="0.25">
      <c r="A11673" s="367" t="s">
        <v>31</v>
      </c>
      <c r="B11673" s="2">
        <v>44379</v>
      </c>
      <c r="C11673" s="1">
        <v>885</v>
      </c>
      <c r="D11673" s="39">
        <f t="shared" si="2069"/>
        <v>112065</v>
      </c>
      <c r="E11673" s="1">
        <v>17</v>
      </c>
      <c r="F11673" s="39">
        <f t="shared" si="2070"/>
        <v>1855</v>
      </c>
      <c r="G11673" s="168">
        <f>SUM(C11673,C11649,C11625,C11601,C11577,C11553,C11529,C11505,C11481,C11457,C11433,C11409,C11385,C11361)/POBLA!$B$8*100000</f>
        <v>710.33744816773344</v>
      </c>
      <c r="H11673" s="256">
        <f t="shared" si="2071"/>
        <v>0.82996122070477152</v>
      </c>
      <c r="I11673" s="297">
        <f t="shared" si="2072"/>
        <v>589.55253559360438</v>
      </c>
      <c r="J11673" s="422">
        <f t="shared" si="2073"/>
        <v>757</v>
      </c>
      <c r="K11673" s="297">
        <f>J11673/POBLA!$B$8*100000</f>
        <v>54.619141519855177</v>
      </c>
      <c r="L11673" s="200">
        <f t="shared" si="2074"/>
        <v>0.16564012318521781</v>
      </c>
      <c r="M11673" s="401">
        <f>SUM(C11673,C11649,C11625,C11601,C11577,C11553,C11529)/POBLA!$B$8*100000</f>
        <v>382.33399063898622</v>
      </c>
      <c r="N11673" s="42" t="s">
        <v>31</v>
      </c>
      <c r="O11673" s="42">
        <v>8</v>
      </c>
      <c r="P11673" s="42">
        <v>9</v>
      </c>
      <c r="Q11673" s="42">
        <v>0</v>
      </c>
      <c r="R11673" s="42">
        <v>17</v>
      </c>
    </row>
    <row r="11674" spans="1:18" x14ac:dyDescent="0.25">
      <c r="A11674" s="367" t="s">
        <v>41</v>
      </c>
      <c r="B11674" s="2">
        <v>44379</v>
      </c>
      <c r="C11674" s="1">
        <v>434</v>
      </c>
      <c r="D11674" s="39">
        <f t="shared" si="2069"/>
        <v>46465</v>
      </c>
      <c r="E11674" s="1">
        <v>9</v>
      </c>
      <c r="F11674" s="39">
        <f t="shared" si="2070"/>
        <v>832</v>
      </c>
      <c r="G11674" s="168">
        <f>SUM(C11674,C11650,C11626,C11602,C11578,C11554,C11530,C11506,C11482,C11458,C11434,C11410,C11386,C11362)/POBLA!$B$9*100000</f>
        <v>972.25182710308945</v>
      </c>
      <c r="H11674" s="256">
        <f t="shared" si="2071"/>
        <v>0.92110206637445213</v>
      </c>
      <c r="I11674" s="297">
        <f>G11674*H11674</f>
        <v>895.54316698099228</v>
      </c>
      <c r="J11674" s="422">
        <f t="shared" si="2073"/>
        <v>388.42857142857144</v>
      </c>
      <c r="K11674" s="297">
        <f>J11674/POBLA!$B$9*100000</f>
        <v>64.182594879413912</v>
      </c>
      <c r="L11674" s="200">
        <f t="shared" si="2074"/>
        <v>-0.14091627172195897</v>
      </c>
      <c r="M11674" s="401">
        <f>SUM(C11674,C11650,C11626,C11602,C11578,C11554,C11530)/POBLA!$B$9*100000</f>
        <v>449.2781641558974</v>
      </c>
      <c r="N11674" s="42" t="s">
        <v>41</v>
      </c>
      <c r="O11674" s="42">
        <v>1</v>
      </c>
      <c r="P11674" s="42">
        <v>8</v>
      </c>
      <c r="Q11674" s="42">
        <v>0</v>
      </c>
      <c r="R11674" s="42">
        <v>9</v>
      </c>
    </row>
    <row r="11675" spans="1:18" x14ac:dyDescent="0.25">
      <c r="A11675" s="367" t="s">
        <v>32</v>
      </c>
      <c r="B11675" s="2">
        <v>44379</v>
      </c>
      <c r="C11675" s="1">
        <v>290</v>
      </c>
      <c r="D11675" s="39">
        <f t="shared" si="2069"/>
        <v>36414</v>
      </c>
      <c r="E11675" s="1">
        <v>6</v>
      </c>
      <c r="F11675" s="39">
        <f t="shared" si="2070"/>
        <v>1180</v>
      </c>
      <c r="G11675" s="168">
        <f>SUM(C11675,C11651,C11627,C11603,C11579,C11555,C11531,C11507,C11483,C11459,C11435,C11411,C11387,C11363)/POBLA!$B$10*100000</f>
        <v>461.67955884241542</v>
      </c>
      <c r="H11675" s="256">
        <f t="shared" si="2071"/>
        <v>1.0244674726540011</v>
      </c>
      <c r="I11675" s="297">
        <f t="shared" ref="I11675:I11689" si="2075">G11675*H11675</f>
        <v>472.97569082330347</v>
      </c>
      <c r="J11675" s="422">
        <f t="shared" si="2073"/>
        <v>269.14285714285717</v>
      </c>
      <c r="K11675" s="297">
        <f>J11675/POBLA!$B$10*100000</f>
        <v>34.913671129896464</v>
      </c>
      <c r="L11675" s="200">
        <f t="shared" si="2074"/>
        <v>0.12477611940298505</v>
      </c>
      <c r="M11675" s="401">
        <f>SUM(C11675,C11651,C11627,C11603,C11579,C11555,C11531)/POBLA!$B$10*100000</f>
        <v>244.39569790927524</v>
      </c>
      <c r="N11675" s="42" t="s">
        <v>32</v>
      </c>
      <c r="O11675" s="42">
        <v>0</v>
      </c>
      <c r="P11675" s="42">
        <v>6</v>
      </c>
      <c r="Q11675" s="42">
        <v>0</v>
      </c>
      <c r="R11675" s="42">
        <v>6</v>
      </c>
    </row>
    <row r="11676" spans="1:18" x14ac:dyDescent="0.25">
      <c r="A11676" s="367" t="s">
        <v>33</v>
      </c>
      <c r="B11676" s="2">
        <v>44379</v>
      </c>
      <c r="C11676" s="1">
        <v>251</v>
      </c>
      <c r="D11676" s="39">
        <f t="shared" si="2069"/>
        <v>53599</v>
      </c>
      <c r="E11676" s="1">
        <v>5</v>
      </c>
      <c r="F11676" s="39">
        <f t="shared" si="2070"/>
        <v>742</v>
      </c>
      <c r="G11676" s="168">
        <f>SUM(C11676,C11652,C11628,C11604,C11580,C11556,C11532,C11508,C11484,C11460,C11436,C11412,C11388,C11364)/POBLA!$B$11*100000</f>
        <v>1305.4225674333479</v>
      </c>
      <c r="H11676" s="256">
        <f t="shared" si="2071"/>
        <v>1.103277528884697</v>
      </c>
      <c r="I11676" s="297">
        <f t="shared" si="2075"/>
        <v>1440.2433843481808</v>
      </c>
      <c r="J11676" s="422">
        <f t="shared" si="2073"/>
        <v>383.57142857142856</v>
      </c>
      <c r="K11676" s="297">
        <f>J11676/POBLA!$B$11*100000</f>
        <v>107.01491752079318</v>
      </c>
      <c r="L11676" s="200">
        <f t="shared" si="2074"/>
        <v>0.3465396188565697</v>
      </c>
      <c r="M11676" s="401">
        <f>SUM(C11676,C11652,C11628,C11604,C11580,C11556,C11532)/POBLA!$B$11*100000</f>
        <v>749.10442264555229</v>
      </c>
      <c r="N11676" s="42" t="s">
        <v>33</v>
      </c>
      <c r="O11676" s="42">
        <v>1</v>
      </c>
      <c r="P11676" s="42">
        <v>4</v>
      </c>
      <c r="Q11676" s="42">
        <v>0</v>
      </c>
      <c r="R11676" s="42">
        <v>5</v>
      </c>
    </row>
    <row r="11677" spans="1:18" x14ac:dyDescent="0.25">
      <c r="A11677" s="367" t="s">
        <v>21</v>
      </c>
      <c r="B11677" s="2">
        <v>44379</v>
      </c>
      <c r="C11677" s="1">
        <v>168</v>
      </c>
      <c r="D11677" s="39">
        <f t="shared" si="2069"/>
        <v>22574</v>
      </c>
      <c r="F11677" s="39">
        <f t="shared" si="2070"/>
        <v>634</v>
      </c>
      <c r="G11677" s="168">
        <f>SUM(C11677,C11653,C11629,C11605,C11581,C11557,C11533,C11509,C11485,C11461,C11437,C11413,C11389,C11365)/POBLA!$B$12*100000</f>
        <v>589.28013295013602</v>
      </c>
      <c r="H11677" s="256">
        <f t="shared" si="2071"/>
        <v>1.1027104136947219</v>
      </c>
      <c r="I11677" s="297">
        <f t="shared" si="2075"/>
        <v>649.80533918752519</v>
      </c>
      <c r="J11677" s="422">
        <f t="shared" si="2073"/>
        <v>181.42857142857142</v>
      </c>
      <c r="K11677" s="297">
        <f>J11677/POBLA!$B$12*100000</f>
        <v>46.102739410255204</v>
      </c>
      <c r="L11677" s="200">
        <f t="shared" si="2074"/>
        <v>0.21067683508102952</v>
      </c>
      <c r="M11677" s="401">
        <f>SUM(C11677,C11653,C11629,C11605,C11581,C11557,C11533)/POBLA!$B$12*100000</f>
        <v>322.71917587178643</v>
      </c>
    </row>
    <row r="11678" spans="1:18" x14ac:dyDescent="0.25">
      <c r="A11678" s="367" t="s">
        <v>17</v>
      </c>
      <c r="B11678" s="2">
        <v>44379</v>
      </c>
      <c r="C11678" s="1">
        <v>800</v>
      </c>
      <c r="D11678" s="39">
        <f t="shared" si="2069"/>
        <v>141379</v>
      </c>
      <c r="E11678" s="1">
        <v>23</v>
      </c>
      <c r="F11678" s="39">
        <f t="shared" si="2070"/>
        <v>3297</v>
      </c>
      <c r="G11678" s="168">
        <f>SUM(C11678,C11654,C11630,C11606,C11582,C11558,C11534,C11510,C11486,C11462,C11438,C11414,C11390,C11366)/POBLA!$B$13*100000</f>
        <v>402.29347980091825</v>
      </c>
      <c r="H11678" s="256">
        <f t="shared" si="2071"/>
        <v>0.88192532217204533</v>
      </c>
      <c r="I11678" s="297">
        <f t="shared" si="2075"/>
        <v>354.79280678113804</v>
      </c>
      <c r="J11678" s="422">
        <f t="shared" si="2073"/>
        <v>594.71428571428567</v>
      </c>
      <c r="K11678" s="297">
        <f>J11678/POBLA!$B$13*100000</f>
        <v>29.880064879145436</v>
      </c>
      <c r="L11678" s="200">
        <f t="shared" si="2074"/>
        <v>8.29864724245577E-2</v>
      </c>
      <c r="M11678" s="401">
        <f>SUM(C11678,C11654,C11630,C11606,C11582,C11558,C11534)/POBLA!$B$13*100000</f>
        <v>209.16045415401808</v>
      </c>
      <c r="N11678" s="42" t="s">
        <v>17</v>
      </c>
      <c r="O11678" s="42">
        <v>9</v>
      </c>
      <c r="P11678" s="42">
        <v>14</v>
      </c>
      <c r="Q11678" s="42">
        <v>0</v>
      </c>
      <c r="R11678" s="42">
        <v>23</v>
      </c>
    </row>
    <row r="11679" spans="1:18" x14ac:dyDescent="0.25">
      <c r="A11679" s="367" t="s">
        <v>23</v>
      </c>
      <c r="B11679" s="2">
        <v>44379</v>
      </c>
      <c r="C11679" s="1">
        <v>143</v>
      </c>
      <c r="D11679" s="39">
        <f t="shared" si="2069"/>
        <v>25971</v>
      </c>
      <c r="E11679" s="1">
        <v>10</v>
      </c>
      <c r="F11679" s="39">
        <f t="shared" si="2070"/>
        <v>440</v>
      </c>
      <c r="G11679" s="168">
        <f>SUM(C11679,C11655,C11631,C11607,C11583,C11559,C11535,C11511,C11487,C11463,C11439,C11415,C11391,C11367)/POBLA!$B$14*100000</f>
        <v>191.62859729769585</v>
      </c>
      <c r="H11679" s="256">
        <f t="shared" si="2071"/>
        <v>1.0054076539101497</v>
      </c>
      <c r="I11679" s="297">
        <f t="shared" si="2075"/>
        <v>192.66485843116925</v>
      </c>
      <c r="J11679" s="422">
        <f t="shared" si="2073"/>
        <v>179.42857142857142</v>
      </c>
      <c r="K11679" s="297">
        <f>J11679/POBLA!$B$14*100000</f>
        <v>14.225753189071812</v>
      </c>
      <c r="L11679" s="200">
        <f t="shared" si="2074"/>
        <v>8.1826012058570097E-2</v>
      </c>
      <c r="M11679" s="401">
        <f>SUM(C11679,C11655,C11631,C11607,C11583,C11559,C11535)/POBLA!$B$14*100000</f>
        <v>99.580272323502683</v>
      </c>
      <c r="N11679" s="42" t="s">
        <v>23</v>
      </c>
      <c r="O11679" s="42">
        <v>3</v>
      </c>
      <c r="P11679" s="42">
        <v>7</v>
      </c>
      <c r="Q11679" s="42">
        <v>0</v>
      </c>
      <c r="R11679" s="42">
        <v>10</v>
      </c>
    </row>
    <row r="11680" spans="1:18" x14ac:dyDescent="0.25">
      <c r="A11680" s="367" t="s">
        <v>19</v>
      </c>
      <c r="B11680" s="2">
        <v>44379</v>
      </c>
      <c r="C11680" s="1">
        <v>243</v>
      </c>
      <c r="D11680" s="39">
        <f t="shared" si="2069"/>
        <v>101886</v>
      </c>
      <c r="E11680" s="1">
        <v>20</v>
      </c>
      <c r="F11680" s="39">
        <f t="shared" si="2070"/>
        <v>1823</v>
      </c>
      <c r="G11680" s="168">
        <f>SUM(C11680,C11656,C11632,C11608,C11584,C11560,C11536,C11512,C11488,C11464,C11440,C11416,C11392,C11368)/POBLA!$B$15*100000</f>
        <v>495.58998700412764</v>
      </c>
      <c r="H11680" s="256">
        <f t="shared" si="2071"/>
        <v>0.62530875926277785</v>
      </c>
      <c r="I11680" s="297">
        <f t="shared" si="2075"/>
        <v>309.89675987660723</v>
      </c>
      <c r="J11680" s="422">
        <f t="shared" si="2073"/>
        <v>210</v>
      </c>
      <c r="K11680" s="297">
        <f>J11680/POBLA!$B$15*100000</f>
        <v>31.623791331165847</v>
      </c>
      <c r="L11680" s="200">
        <f t="shared" si="2074"/>
        <v>-0.19275123558484353</v>
      </c>
      <c r="M11680" s="401">
        <f>SUM(C11680,C11656,C11632,C11608,C11584,C11560,C11536)/POBLA!$B$15*100000</f>
        <v>221.36653931816093</v>
      </c>
      <c r="N11680" s="42" t="s">
        <v>19</v>
      </c>
      <c r="O11680" s="42">
        <v>6</v>
      </c>
      <c r="P11680" s="42">
        <v>14</v>
      </c>
      <c r="Q11680" s="42">
        <v>0</v>
      </c>
      <c r="R11680" s="42">
        <v>20</v>
      </c>
    </row>
    <row r="11681" spans="1:18" x14ac:dyDescent="0.25">
      <c r="A11681" s="367" t="s">
        <v>18</v>
      </c>
      <c r="B11681" s="2">
        <v>44379</v>
      </c>
      <c r="C11681" s="1">
        <v>236</v>
      </c>
      <c r="D11681" s="39">
        <f t="shared" si="2069"/>
        <v>84807</v>
      </c>
      <c r="E11681" s="1">
        <v>10</v>
      </c>
      <c r="F11681" s="39">
        <f t="shared" si="2070"/>
        <v>1943</v>
      </c>
      <c r="G11681" s="168">
        <f>SUM(C11681,C11657,C11633,C11609,C11585,C11561,C11537,C11513,C11489,C11465,C11441,C11417,C11393,C11369)/POBLA!$B$16*100000</f>
        <v>473.50891507604229</v>
      </c>
      <c r="H11681" s="256">
        <f t="shared" si="2071"/>
        <v>0.70349761526232113</v>
      </c>
      <c r="I11681" s="297">
        <f t="shared" si="2075"/>
        <v>333.11239256144466</v>
      </c>
      <c r="J11681" s="422">
        <f t="shared" si="2073"/>
        <v>239.14285714285714</v>
      </c>
      <c r="K11681" s="297">
        <f>J11681/POBLA!$B$16*100000</f>
        <v>31.987648258163635</v>
      </c>
      <c r="L11681" s="200">
        <f t="shared" si="2074"/>
        <v>-0.10289389067524113</v>
      </c>
      <c r="M11681" s="401">
        <f>SUM(C11681,C11657,C11633,C11609,C11585,C11561,C11537)/POBLA!$B$16*100000</f>
        <v>223.91353780714545</v>
      </c>
      <c r="N11681" s="42" t="s">
        <v>18</v>
      </c>
      <c r="O11681" s="42">
        <v>5</v>
      </c>
      <c r="P11681" s="42">
        <v>5</v>
      </c>
      <c r="Q11681" s="42">
        <v>0</v>
      </c>
      <c r="R11681" s="42">
        <v>10</v>
      </c>
    </row>
    <row r="11682" spans="1:18" x14ac:dyDescent="0.25">
      <c r="A11682" s="367" t="s">
        <v>34</v>
      </c>
      <c r="B11682" s="2">
        <v>44379</v>
      </c>
      <c r="C11682" s="1">
        <v>563</v>
      </c>
      <c r="D11682" s="39">
        <f>C11682+D11658</f>
        <v>62578</v>
      </c>
      <c r="E11682" s="1">
        <v>7</v>
      </c>
      <c r="F11682" s="39">
        <f t="shared" si="2070"/>
        <v>1752</v>
      </c>
      <c r="G11682" s="168">
        <f>SUM(C11682,C11658,C11634,C11610,C11586,C11562,C11538,C11514,C11490,C11466,C11442,C11418,C11394,C11370)/POBLA!$B$17*100000</f>
        <v>500.91371998115693</v>
      </c>
      <c r="H11682" s="256">
        <f t="shared" si="2071"/>
        <v>0.96798263464930134</v>
      </c>
      <c r="I11682" s="297">
        <f t="shared" si="2075"/>
        <v>484.87578239934265</v>
      </c>
      <c r="J11682" s="422">
        <f t="shared" si="2073"/>
        <v>536.85714285714289</v>
      </c>
      <c r="K11682" s="297">
        <f>J11682/POBLA!$B$17*100000</f>
        <v>37.690134341559478</v>
      </c>
      <c r="L11682" s="200">
        <f t="shared" si="2074"/>
        <v>0.11282203138880664</v>
      </c>
      <c r="M11682" s="401">
        <f>SUM(C11682,C11658,C11634,C11610,C11586,C11562,C11538)/POBLA!$B$17*100000</f>
        <v>263.83094039091628</v>
      </c>
      <c r="N11682" s="42" t="s">
        <v>34</v>
      </c>
      <c r="O11682" s="42">
        <v>2</v>
      </c>
      <c r="P11682" s="42">
        <v>5</v>
      </c>
      <c r="Q11682" s="42">
        <v>0</v>
      </c>
      <c r="R11682" s="42">
        <v>7</v>
      </c>
    </row>
    <row r="11683" spans="1:18" x14ac:dyDescent="0.25">
      <c r="A11683" s="367" t="s">
        <v>35</v>
      </c>
      <c r="B11683" s="2">
        <v>44379</v>
      </c>
      <c r="C11683" s="1">
        <v>720</v>
      </c>
      <c r="D11683" s="39">
        <f t="shared" ref="D11683:D11689" si="2076">C11683+D11659</f>
        <v>51831</v>
      </c>
      <c r="E11683" s="1">
        <v>6</v>
      </c>
      <c r="F11683" s="39">
        <f t="shared" si="2070"/>
        <v>833</v>
      </c>
      <c r="G11683" s="168">
        <f>SUM(C11683,C11659,C11635,C11611,C11587,C11563,C11539,C11515,C11491,C11467,C11443,C11419,C11395,C11371)/POBLA!$B$18*100000</f>
        <v>747.42357117164624</v>
      </c>
      <c r="H11683" s="256">
        <f t="shared" si="2071"/>
        <v>0.86928688402560672</v>
      </c>
      <c r="I11683" s="297">
        <f t="shared" si="2075"/>
        <v>649.72550723109168</v>
      </c>
      <c r="J11683" s="422">
        <f t="shared" si="2073"/>
        <v>435.14285714285717</v>
      </c>
      <c r="K11683" s="297">
        <f>J11683/POBLA!$B$18*100000</f>
        <v>55.700638509256351</v>
      </c>
      <c r="L11683" s="200">
        <f t="shared" si="2074"/>
        <v>9.0583601861797369E-2</v>
      </c>
      <c r="M11683" s="401">
        <f>SUM(C11683,C11659,C11635,C11611,C11587,C11563,C11539)/POBLA!$B$18*100000</f>
        <v>389.9044695647944</v>
      </c>
      <c r="N11683" s="42" t="s">
        <v>35</v>
      </c>
      <c r="O11683" s="42">
        <v>2</v>
      </c>
      <c r="P11683" s="42">
        <v>4</v>
      </c>
      <c r="Q11683" s="42">
        <v>0</v>
      </c>
      <c r="R11683" s="42">
        <v>6</v>
      </c>
    </row>
    <row r="11684" spans="1:18" x14ac:dyDescent="0.25">
      <c r="A11684" s="367" t="s">
        <v>36</v>
      </c>
      <c r="B11684" s="2">
        <v>44379</v>
      </c>
      <c r="C11684" s="1">
        <v>487</v>
      </c>
      <c r="D11684" s="39">
        <f t="shared" si="2076"/>
        <v>66575</v>
      </c>
      <c r="E11684" s="1">
        <v>25</v>
      </c>
      <c r="F11684" s="39">
        <f t="shared" si="2070"/>
        <v>978</v>
      </c>
      <c r="G11684" s="168">
        <f>SUM(C11684,C11660,C11636,C11612,C11588,C11564,C11540,C11516,C11492,C11468,C11444,C11420,C11396,C11372)/POBLA!$B$19*100000</f>
        <v>1037.3223587919611</v>
      </c>
      <c r="H11684" s="256">
        <f t="shared" si="2071"/>
        <v>0.87013201320132016</v>
      </c>
      <c r="I11684" s="297">
        <f t="shared" si="2075"/>
        <v>902.60739239439124</v>
      </c>
      <c r="J11684" s="422">
        <f t="shared" si="2073"/>
        <v>393.28571428571428</v>
      </c>
      <c r="K11684" s="297">
        <f>J11684/POBLA!$B$19*100000</f>
        <v>77.368493233840013</v>
      </c>
      <c r="L11684" s="200">
        <f t="shared" si="2074"/>
        <v>9.2460317460317354E-2</v>
      </c>
      <c r="M11684" s="401">
        <f>SUM(C11684,C11660,C11636,C11612,C11588,C11564,C11540)/POBLA!$B$19*100000</f>
        <v>541.57945263688021</v>
      </c>
      <c r="N11684" s="42" t="s">
        <v>36</v>
      </c>
      <c r="O11684" s="42">
        <v>7</v>
      </c>
      <c r="P11684" s="42">
        <v>18</v>
      </c>
      <c r="Q11684" s="42">
        <v>0</v>
      </c>
      <c r="R11684" s="42">
        <v>25</v>
      </c>
    </row>
    <row r="11685" spans="1:18" x14ac:dyDescent="0.25">
      <c r="A11685" s="367" t="s">
        <v>37</v>
      </c>
      <c r="B11685" s="2">
        <v>44379</v>
      </c>
      <c r="C11685" s="1">
        <v>172</v>
      </c>
      <c r="D11685" s="39">
        <f t="shared" si="2076"/>
        <v>55799</v>
      </c>
      <c r="E11685" s="1">
        <v>1</v>
      </c>
      <c r="F11685" s="39">
        <f t="shared" ref="F11685:F11690" si="2077">E11685+F11661</f>
        <v>871</v>
      </c>
      <c r="G11685" s="168">
        <f>SUM(C11685,C11661,C11638,C11613,C11589,C11565,C11541,C11517,C11493,C11469,C11445,C11421,C11397,C11373)/POBLA!$B$20*100000</f>
        <v>837.57636082231784</v>
      </c>
      <c r="H11685" s="256">
        <f t="shared" si="2071"/>
        <v>0.81313400961025095</v>
      </c>
      <c r="I11685" s="297">
        <f t="shared" si="2075"/>
        <v>681.06182463021366</v>
      </c>
      <c r="J11685" s="422">
        <f t="shared" si="2073"/>
        <v>119.57142857142857</v>
      </c>
      <c r="K11685" s="297">
        <f>J11685/POBLA!$B$20*100000</f>
        <v>32.696768527973511</v>
      </c>
      <c r="L11685" s="200">
        <f t="shared" si="2074"/>
        <v>0.22011661807580185</v>
      </c>
      <c r="M11685" s="401">
        <f>SUM(C11685,C11661,C11637,C11613,C11589,C11565,C11541)/POBLA!$B$20*100000</f>
        <v>228.87737969581457</v>
      </c>
      <c r="N11685" s="42" t="s">
        <v>37</v>
      </c>
      <c r="O11685" s="42">
        <v>1</v>
      </c>
      <c r="P11685" s="42">
        <v>0</v>
      </c>
      <c r="Q11685" s="42">
        <v>0</v>
      </c>
      <c r="R11685" s="42">
        <v>1</v>
      </c>
    </row>
    <row r="11686" spans="1:18" x14ac:dyDescent="0.25">
      <c r="A11686" s="367" t="s">
        <v>22</v>
      </c>
      <c r="B11686" s="2">
        <v>44379</v>
      </c>
      <c r="C11686" s="1">
        <v>1736</v>
      </c>
      <c r="D11686" s="39">
        <f t="shared" si="2076"/>
        <v>409650</v>
      </c>
      <c r="E11686" s="1">
        <v>50</v>
      </c>
      <c r="F11686" s="39">
        <f t="shared" si="2077"/>
        <v>6819</v>
      </c>
      <c r="G11686" s="168">
        <f>SUM(C11686,C11662,C11638,C11614,C11590,C11566,C11542,C11518,C11494,C11470,C11446,C11422,C11398,C11374)/POBLA!$B$21*100000</f>
        <v>631.76920827798074</v>
      </c>
      <c r="H11686" s="256">
        <f t="shared" si="2071"/>
        <v>0.75993197278911562</v>
      </c>
      <c r="I11686" s="297">
        <f t="shared" si="2075"/>
        <v>480.10162079410355</v>
      </c>
      <c r="J11686" s="422">
        <f t="shared" si="2073"/>
        <v>1636.8571428571429</v>
      </c>
      <c r="K11686" s="297">
        <f>J11686/POBLA!$B$21*100000</f>
        <v>46.285737230642503</v>
      </c>
      <c r="L11686" s="200">
        <f t="shared" si="2074"/>
        <v>5.2737963983829461E-2</v>
      </c>
      <c r="M11686" s="401">
        <f>SUM(C11686,C11662,C11638,C11614,C11590,C11566,C11542)/POBLA!$B$21*100000</f>
        <v>324.00016061449753</v>
      </c>
      <c r="N11686" s="42" t="s">
        <v>22</v>
      </c>
      <c r="O11686" s="42">
        <v>16</v>
      </c>
      <c r="P11686" s="42">
        <v>34</v>
      </c>
      <c r="Q11686" s="42">
        <v>0</v>
      </c>
      <c r="R11686" s="42">
        <v>50</v>
      </c>
    </row>
    <row r="11687" spans="1:18" x14ac:dyDescent="0.25">
      <c r="A11687" s="367" t="s">
        <v>38</v>
      </c>
      <c r="B11687" s="2">
        <v>44379</v>
      </c>
      <c r="C11687" s="1">
        <v>605</v>
      </c>
      <c r="D11687" s="39">
        <f t="shared" si="2076"/>
        <v>60814</v>
      </c>
      <c r="E11687" s="1">
        <v>4</v>
      </c>
      <c r="F11687" s="39">
        <f t="shared" si="2077"/>
        <v>828</v>
      </c>
      <c r="G11687" s="168">
        <f>SUM(C11687,C11663,C11639,C11615,C11591,C11567,C11543,C11519,C11495,C11471,C11447,C11423,C11399,C11375)/POBLA!$B$22*100000</f>
        <v>719.6060974350745</v>
      </c>
      <c r="H11687" s="256">
        <f t="shared" si="2071"/>
        <v>0.92692560895325871</v>
      </c>
      <c r="I11687" s="297">
        <f t="shared" si="2075"/>
        <v>667.02132007148441</v>
      </c>
      <c r="J11687" s="422">
        <f t="shared" si="2073"/>
        <v>559.28571428571433</v>
      </c>
      <c r="K11687" s="297">
        <f>J11687/POBLA!$B$22*100000</f>
        <v>57.168382131865187</v>
      </c>
      <c r="L11687" s="200">
        <f t="shared" si="2074"/>
        <v>0.25279999999999991</v>
      </c>
      <c r="M11687" s="401">
        <f>SUM(C11687,C11663,C11639,C11615,C11591,C11567,C11543)/POBLA!$B$22*100000</f>
        <v>400.17867492305635</v>
      </c>
      <c r="N11687" s="42" t="s">
        <v>38</v>
      </c>
      <c r="O11687" s="42">
        <v>0</v>
      </c>
      <c r="P11687" s="42">
        <v>4</v>
      </c>
      <c r="Q11687" s="42">
        <v>0</v>
      </c>
      <c r="R11687" s="42">
        <v>4</v>
      </c>
    </row>
    <row r="11688" spans="1:18" x14ac:dyDescent="0.25">
      <c r="A11688" s="367" t="s">
        <v>39</v>
      </c>
      <c r="B11688" s="2">
        <v>44379</v>
      </c>
      <c r="C11688" s="1">
        <v>90</v>
      </c>
      <c r="D11688" s="39">
        <f t="shared" si="2076"/>
        <v>29909</v>
      </c>
      <c r="F11688" s="39">
        <f t="shared" si="2077"/>
        <v>447</v>
      </c>
      <c r="G11688" s="168">
        <f>SUM(C11688,C11664,C11640,C11616,C11592,C11568,C11544,C11520,C11496,C11472,C11448,C11424,C11400,C11376)/POBLA!$B$23*100000</f>
        <v>361.92953684329586</v>
      </c>
      <c r="H11688" s="256">
        <f t="shared" si="2071"/>
        <v>1.2427184466019416</v>
      </c>
      <c r="I11688" s="297">
        <f t="shared" si="2075"/>
        <v>449.77651180526084</v>
      </c>
      <c r="J11688" s="422">
        <f t="shared" si="2073"/>
        <v>50.857142857142854</v>
      </c>
      <c r="K11688" s="297">
        <f>J11688/POBLA!$B$23*100000</f>
        <v>28.760472124154756</v>
      </c>
      <c r="L11688" s="200">
        <f t="shared" si="2074"/>
        <v>0.25352112676056349</v>
      </c>
      <c r="M11688" s="401">
        <f>SUM(C11688,C11664,C11640,C11616,C11592,C11568,C11544)/POBLA!$B$23*100000</f>
        <v>201.32330486908333</v>
      </c>
    </row>
    <row r="11689" spans="1:18" ht="15.75" thickBot="1" x14ac:dyDescent="0.3">
      <c r="A11689" s="368" t="s">
        <v>40</v>
      </c>
      <c r="B11689" s="34">
        <v>44379</v>
      </c>
      <c r="C11689" s="232">
        <v>1246</v>
      </c>
      <c r="D11689" s="67">
        <f t="shared" si="2076"/>
        <v>160176</v>
      </c>
      <c r="E11689" s="232">
        <v>4</v>
      </c>
      <c r="F11689" s="67">
        <f t="shared" si="2077"/>
        <v>2312</v>
      </c>
      <c r="G11689" s="255">
        <f>SUM(C11689,C11665,C11641,C11617,C11593,C11569,C11545,C11521,C11497,C11473,C11449,C11425,C11401,C11377)/POBLA!$B$24*100000</f>
        <v>878.70340647305409</v>
      </c>
      <c r="H11689" s="257">
        <f t="shared" si="2071"/>
        <v>1.3153431675647027</v>
      </c>
      <c r="I11689" s="299">
        <f t="shared" si="2075"/>
        <v>1155.7965220201615</v>
      </c>
      <c r="J11689" s="428">
        <f t="shared" si="2073"/>
        <v>1300</v>
      </c>
      <c r="K11689" s="299">
        <f>J11689/POBLA!$B$24*100000</f>
        <v>76.711733826806139</v>
      </c>
      <c r="L11689" s="260">
        <f t="shared" si="2074"/>
        <v>0.57140390260749441</v>
      </c>
      <c r="M11689" s="406">
        <f>SUM(C11689,C11665,C11641,C11617,C11593,C11569,C11545)/POBLA!$B$24*100000</f>
        <v>536.98213678764307</v>
      </c>
      <c r="N11689" s="42" t="s">
        <v>40</v>
      </c>
      <c r="O11689" s="42">
        <v>1</v>
      </c>
      <c r="P11689" s="42">
        <v>3</v>
      </c>
      <c r="Q11689" s="42">
        <v>0</v>
      </c>
      <c r="R11689" s="42">
        <v>4</v>
      </c>
    </row>
    <row r="11690" spans="1:18" x14ac:dyDescent="0.25">
      <c r="A11690" s="363" t="s">
        <v>16</v>
      </c>
      <c r="B11690" s="265">
        <v>44380</v>
      </c>
      <c r="C11690" s="43">
        <v>4807</v>
      </c>
      <c r="D11690" s="174">
        <f>C11690+D11666</f>
        <v>1860550</v>
      </c>
      <c r="E11690" s="43">
        <v>67</v>
      </c>
      <c r="F11690" s="174">
        <f t="shared" si="2077"/>
        <v>48090</v>
      </c>
      <c r="G11690" s="175">
        <f>SUM(C11690,C11666,C11618,C11642,C11594,C11570,C11546,C11522,C11498,C11474,C11450,C11426,C11402,C11378)/POBLA!$B$1*100000</f>
        <v>491.96343612995304</v>
      </c>
      <c r="H11690" s="300">
        <f>SUM(C11690,C11666,C11642,C11618,C11594,C11570,C11546,C11522,C11498,C11474,C11450,C11426,C11402,C11378,)/SUM(C11354,C11330,C11306,C11282,C11258,C11234,C11210,C11186,C11162,C11138,C11114,C11090,C11066,C11042)</f>
        <v>0.79303056479626532</v>
      </c>
      <c r="I11690" s="301">
        <f>G11690*H11690</f>
        <v>390.14204161324807</v>
      </c>
      <c r="J11690" s="421">
        <f>AVERAGE(C11690,C11666,C11642,C11618,C11594,C11570,C11546)</f>
        <v>6068.2857142857147</v>
      </c>
      <c r="K11690" s="301">
        <f>J11690/POBLA!$B$1*100000</f>
        <v>34.594589452793947</v>
      </c>
      <c r="L11690" s="399">
        <f>(SUM(C11690,C11666,C11642,C11618,C11594,C11570,C11546)/SUM(C11522,C11498,C11474,C11450,C11426,C11402,C11378))-1</f>
        <v>-3.0581039755351647E-2</v>
      </c>
      <c r="M11690" s="400">
        <f>SUM(C11690,C11666,C11642,C11618,C11594,C11570,C11546)/POBLA!$B$1*100000</f>
        <v>242.16212616955764</v>
      </c>
      <c r="N11690" s="42" t="s">
        <v>16</v>
      </c>
      <c r="O11690" s="42">
        <v>25</v>
      </c>
      <c r="P11690" s="42">
        <v>41</v>
      </c>
      <c r="Q11690" s="42">
        <v>1</v>
      </c>
      <c r="R11690" s="42">
        <v>67</v>
      </c>
    </row>
    <row r="11691" spans="1:18" x14ac:dyDescent="0.25">
      <c r="A11691" s="367" t="s">
        <v>43</v>
      </c>
      <c r="B11691" s="2">
        <v>44380</v>
      </c>
      <c r="C11691" s="1">
        <v>889</v>
      </c>
      <c r="D11691" s="39">
        <f t="shared" ref="D11691:D11705" si="2078">C11691+D11667</f>
        <v>467464</v>
      </c>
      <c r="E11691" s="1">
        <v>19</v>
      </c>
      <c r="F11691" s="39">
        <f t="shared" ref="F11691:F11708" si="2079">E11691+F11667</f>
        <v>10422</v>
      </c>
      <c r="G11691" s="168">
        <f>SUM(C11691,C11667,C11643,C11619,C11595,C11571,C11547,C11523,C11499,C11475,C11451,C11427,C11403,C11379)/POBLA!$B$2*100000</f>
        <v>562.35340478065416</v>
      </c>
      <c r="H11691" s="256">
        <f t="shared" ref="H11691:H11713" si="2080">SUM(C11691,C11667,C11643,C11619,C11595,C11571,C11547,C11523,C11499,C11475,C11451,C11427,C11403,C11379,)/SUM(C11355,C11331,C11307,C11283,C11259,C11235,C11211,C11187,C11163,C11139,C11115,C11091,C11067,C11043)</f>
        <v>0.79804364877958756</v>
      </c>
      <c r="I11691" s="297">
        <f t="shared" ref="I11691:I11697" si="2081">G11691*H11691</f>
        <v>448.7825630547776</v>
      </c>
      <c r="J11691" s="422">
        <f>AVERAGE(C11691,C11667,C11643,C11619,C11595,C11571,C11547)</f>
        <v>1154.8571428571429</v>
      </c>
      <c r="K11691" s="297">
        <f>J11691/POBLA!$B$2*100000</f>
        <v>37.548441623552996</v>
      </c>
      <c r="L11691" s="200">
        <f>(SUM(C11691,C11667,C11643,C11619,C11595,C11571,C11547)/SUM(C11523,C11499,C11475,C11451,C11427,C11403,C11379))-1</f>
        <v>-0.12244897959183676</v>
      </c>
      <c r="M11691" s="401">
        <f>SUM(C11691,C11667,C11643,C11619,C11595,C11571,C11547)/POBLA!$B$2*100000</f>
        <v>262.83909136487102</v>
      </c>
      <c r="N11691" s="42" t="s">
        <v>43</v>
      </c>
      <c r="O11691" s="42">
        <v>8</v>
      </c>
      <c r="P11691" s="42">
        <v>11</v>
      </c>
      <c r="Q11691" s="42">
        <v>0</v>
      </c>
      <c r="R11691" s="42">
        <v>19</v>
      </c>
    </row>
    <row r="11692" spans="1:18" x14ac:dyDescent="0.25">
      <c r="A11692" s="367" t="s">
        <v>28</v>
      </c>
      <c r="B11692" s="2">
        <v>44380</v>
      </c>
      <c r="C11692" s="1">
        <v>260</v>
      </c>
      <c r="D11692" s="39">
        <f t="shared" si="2078"/>
        <v>35127</v>
      </c>
      <c r="F11692" s="39">
        <f t="shared" si="2079"/>
        <v>329</v>
      </c>
      <c r="G11692" s="168">
        <f>SUM(C11692,C11668,C11644,C11620,C11596,C11572,C11548,C11524,C11500,C11476,C11452,C11428,C11404,C11380)/POBLA!$B$3*100000</f>
        <v>1042.9955853821748</v>
      </c>
      <c r="H11692" s="256">
        <f t="shared" si="2080"/>
        <v>0.8945086705202312</v>
      </c>
      <c r="I11692" s="297">
        <f t="shared" si="2081"/>
        <v>932.96859443867947</v>
      </c>
      <c r="J11692" s="422">
        <f t="shared" ref="J11692:J11713" si="2082">AVERAGE(C11692,C11668,C11644,C11620,C11596,C11572,C11548)</f>
        <v>308.14285714285717</v>
      </c>
      <c r="K11692" s="297">
        <f>J11692/POBLA!$B$3*100000</f>
        <v>74.173007077556008</v>
      </c>
      <c r="L11692" s="200">
        <f t="shared" ref="L11692:L11713" si="2083">(SUM(C11692,C11668,C11644,C11620,C11596,C11572,C11548)/SUM(C11524,C11500,C11476,C11452,C11428,C11404,C11380))-1</f>
        <v>-8.7316176470588758E-3</v>
      </c>
      <c r="M11692" s="401">
        <f>SUM(C11692,C11668,C11644,C11620,C11596,C11572,C11548)/POBLA!$B$3*100000</f>
        <v>519.21104954289206</v>
      </c>
    </row>
    <row r="11693" spans="1:18" x14ac:dyDescent="0.25">
      <c r="A11693" s="367" t="s">
        <v>15</v>
      </c>
      <c r="B11693" s="2">
        <v>44380</v>
      </c>
      <c r="C11693" s="1">
        <v>483</v>
      </c>
      <c r="D11693" s="39">
        <f t="shared" si="2078"/>
        <v>78717</v>
      </c>
      <c r="E11693" s="1">
        <v>8</v>
      </c>
      <c r="F11693" s="39">
        <f t="shared" si="2079"/>
        <v>1691</v>
      </c>
      <c r="G11693" s="168">
        <f>SUM(C11693,C11669,C11645,C11621,C11597,C11573,C11549,C11525,C11501,C11477,C11453,C11429,C11405,C11381)/POBLA!$B$4*100000</f>
        <v>620.90040936755156</v>
      </c>
      <c r="H11693" s="256">
        <f t="shared" si="2080"/>
        <v>0.81952662721893488</v>
      </c>
      <c r="I11693" s="297">
        <f t="shared" si="2081"/>
        <v>508.84441832784552</v>
      </c>
      <c r="J11693" s="422">
        <f t="shared" si="2082"/>
        <v>529.14285714285711</v>
      </c>
      <c r="K11693" s="297">
        <f>J11693/POBLA!$B$4*100000</f>
        <v>43.929003424778159</v>
      </c>
      <c r="L11693" s="200">
        <f t="shared" si="2083"/>
        <v>-1.8807947019867544E-2</v>
      </c>
      <c r="M11693" s="401">
        <f>SUM(C11693,C11669,C11645,C11621,C11597,C11573,C11549)/POBLA!$B$4*100000</f>
        <v>307.50302397344711</v>
      </c>
      <c r="N11693" s="42" t="s">
        <v>15</v>
      </c>
      <c r="O11693" s="42">
        <v>3</v>
      </c>
      <c r="P11693" s="42">
        <v>5</v>
      </c>
      <c r="Q11693" s="42">
        <v>0</v>
      </c>
      <c r="R11693" s="42">
        <v>8</v>
      </c>
    </row>
    <row r="11694" spans="1:18" x14ac:dyDescent="0.25">
      <c r="A11694" s="367" t="s">
        <v>29</v>
      </c>
      <c r="B11694" s="2">
        <v>44380</v>
      </c>
      <c r="C11694" s="1">
        <v>153</v>
      </c>
      <c r="D11694" s="39">
        <f t="shared" si="2078"/>
        <v>71449</v>
      </c>
      <c r="F11694" s="39">
        <f t="shared" si="2079"/>
        <v>1220</v>
      </c>
      <c r="G11694" s="168">
        <f>SUM(C11694,C11670,C11646,C11622,C11598,C11574,C11550,C11526,C11502,C11478,C11454,C11430,C11406,C11382)/POBLA!$B$5*100000</f>
        <v>500.81260884596622</v>
      </c>
      <c r="H11694" s="256">
        <f t="shared" si="2080"/>
        <v>0.93825665859564167</v>
      </c>
      <c r="I11694" s="297">
        <f t="shared" si="2081"/>
        <v>469.89076495838236</v>
      </c>
      <c r="J11694" s="422">
        <f t="shared" si="2082"/>
        <v>219.42857142857142</v>
      </c>
      <c r="K11694" s="297">
        <f>J11694/POBLA!$B$5*100000</f>
        <v>35.449224294350415</v>
      </c>
      <c r="L11694" s="200">
        <f t="shared" si="2083"/>
        <v>-1.7902813299232712E-2</v>
      </c>
      <c r="M11694" s="401">
        <f>SUM(C11694,C11670,C11646,C11622,C11598,C11574,C11550)/POBLA!$B$5*100000</f>
        <v>248.14457006045293</v>
      </c>
    </row>
    <row r="11695" spans="1:18" x14ac:dyDescent="0.25">
      <c r="A11695" s="367" t="s">
        <v>30</v>
      </c>
      <c r="B11695" s="2">
        <v>44380</v>
      </c>
      <c r="C11695" s="1">
        <v>17</v>
      </c>
      <c r="D11695" s="39">
        <f t="shared" si="2078"/>
        <v>67496</v>
      </c>
      <c r="E11695" s="1">
        <v>1</v>
      </c>
      <c r="F11695" s="39">
        <f t="shared" si="2079"/>
        <v>755</v>
      </c>
      <c r="G11695" s="168">
        <f>SUM(C11695,C11671,C11647,C11623,C11599,C11575,C11551,C11527,C11503,C11479,C11455,C11431,C11407,C11383)/POBLA!$B$6*100000</f>
        <v>632.76174807124551</v>
      </c>
      <c r="H11695" s="256">
        <f t="shared" si="2080"/>
        <v>1.0929264909847434</v>
      </c>
      <c r="I11695" s="297">
        <f t="shared" si="2081"/>
        <v>691.5620769488786</v>
      </c>
      <c r="J11695" s="422">
        <f t="shared" si="2082"/>
        <v>444.85714285714283</v>
      </c>
      <c r="K11695" s="297">
        <f>J11695/POBLA!$B$6*100000</f>
        <v>39.691001601278266</v>
      </c>
      <c r="L11695" s="200">
        <f t="shared" si="2083"/>
        <v>-0.21719457013574661</v>
      </c>
      <c r="M11695" s="401">
        <f>SUM(C11695,C11671,C11647,C11623,C11599,C11575,C11551)/POBLA!$B$6*100000</f>
        <v>277.8370112089479</v>
      </c>
      <c r="N11695" s="42" t="s">
        <v>30</v>
      </c>
      <c r="O11695" s="42">
        <v>1</v>
      </c>
      <c r="P11695" s="42">
        <v>0</v>
      </c>
      <c r="Q11695" s="42">
        <v>0</v>
      </c>
      <c r="R11695" s="42">
        <v>1</v>
      </c>
    </row>
    <row r="11696" spans="1:18" x14ac:dyDescent="0.25">
      <c r="A11696" s="367" t="s">
        <v>20</v>
      </c>
      <c r="B11696" s="2">
        <v>44380</v>
      </c>
      <c r="C11696" s="1">
        <v>1678</v>
      </c>
      <c r="D11696" s="39">
        <f t="shared" si="2078"/>
        <v>417431</v>
      </c>
      <c r="E11696" s="1">
        <v>48</v>
      </c>
      <c r="F11696" s="39">
        <f t="shared" si="2079"/>
        <v>5455</v>
      </c>
      <c r="G11696" s="168">
        <f>SUM(C11696,C11672,C11648,C11624,C11600,C11576,C11552,C11528,C11504,C11480,C11456,C11432,C11408,C11384)/POBLA!$B$7*100000</f>
        <v>919.33146298980171</v>
      </c>
      <c r="H11696" s="256">
        <f t="shared" si="2080"/>
        <v>0.73461538461538467</v>
      </c>
      <c r="I11696" s="297">
        <f t="shared" si="2081"/>
        <v>675.35503627327751</v>
      </c>
      <c r="J11696" s="422">
        <f t="shared" si="2082"/>
        <v>2284.2857142857142</v>
      </c>
      <c r="K11696" s="297">
        <f>J11696/POBLA!$B$7*100000</f>
        <v>60.745009620809057</v>
      </c>
      <c r="L11696" s="200">
        <f t="shared" si="2083"/>
        <v>-0.13944351757171303</v>
      </c>
      <c r="M11696" s="401">
        <f>SUM(C11696,C11672,C11648,C11624,C11600,C11576,C11552)/POBLA!$B$7*100000</f>
        <v>425.21506734566339</v>
      </c>
      <c r="N11696" s="42" t="s">
        <v>20</v>
      </c>
      <c r="O11696" s="42">
        <v>19</v>
      </c>
      <c r="P11696" s="42">
        <v>29</v>
      </c>
      <c r="Q11696" s="42">
        <v>0</v>
      </c>
      <c r="R11696" s="42">
        <v>48</v>
      </c>
    </row>
    <row r="11697" spans="1:18" x14ac:dyDescent="0.25">
      <c r="A11697" s="367" t="s">
        <v>31</v>
      </c>
      <c r="B11697" s="2">
        <v>44380</v>
      </c>
      <c r="C11697" s="1">
        <v>502</v>
      </c>
      <c r="D11697" s="39">
        <f t="shared" si="2078"/>
        <v>112567</v>
      </c>
      <c r="E11697" s="1">
        <v>1</v>
      </c>
      <c r="F11697" s="39">
        <f t="shared" si="2079"/>
        <v>1856</v>
      </c>
      <c r="G11697" s="168">
        <f>SUM(C11697,C11673,C11649,C11625,C11601,C11577,C11553,C11529,C11505,C11481,C11457,C11433,C11409,C11385)/POBLA!$B$8*100000</f>
        <v>707.30705986676401</v>
      </c>
      <c r="H11697" s="256">
        <f t="shared" si="2080"/>
        <v>0.84742392807745504</v>
      </c>
      <c r="I11697" s="297">
        <f t="shared" si="2081"/>
        <v>599.38892702920884</v>
      </c>
      <c r="J11697" s="422">
        <f t="shared" si="2082"/>
        <v>742.28571428571433</v>
      </c>
      <c r="K11697" s="297">
        <f>J11697/POBLA!$B$8*100000</f>
        <v>53.557474870195797</v>
      </c>
      <c r="L11697" s="200">
        <f t="shared" si="2083"/>
        <v>0.12784892554807903</v>
      </c>
      <c r="M11697" s="401">
        <f>SUM(C11697,C11673,C11649,C11625,C11601,C11577,C11553)/POBLA!$B$8*100000</f>
        <v>374.90232409137053</v>
      </c>
      <c r="N11697" s="42" t="s">
        <v>31</v>
      </c>
      <c r="O11697" s="42">
        <v>1</v>
      </c>
      <c r="P11697" s="42">
        <v>0</v>
      </c>
      <c r="Q11697" s="42">
        <v>0</v>
      </c>
      <c r="R11697" s="42">
        <v>1</v>
      </c>
    </row>
    <row r="11698" spans="1:18" x14ac:dyDescent="0.25">
      <c r="A11698" s="367" t="s">
        <v>41</v>
      </c>
      <c r="B11698" s="2">
        <v>44380</v>
      </c>
      <c r="C11698" s="1">
        <v>339</v>
      </c>
      <c r="D11698" s="39">
        <f t="shared" si="2078"/>
        <v>46804</v>
      </c>
      <c r="E11698" s="1">
        <v>9</v>
      </c>
      <c r="F11698" s="39">
        <f t="shared" si="2079"/>
        <v>841</v>
      </c>
      <c r="G11698" s="168">
        <f>SUM(C11698,C11674,C11650,C11626,C11602,C11578,C11554,C11530,C11506,C11482,C11458,C11434,C11410,C11386)/POBLA!$B$9*100000</f>
        <v>938.87404513931915</v>
      </c>
      <c r="H11698" s="256">
        <f t="shared" si="2080"/>
        <v>0.89791403286978511</v>
      </c>
      <c r="I11698" s="297">
        <f>G11698*H11698</f>
        <v>843.02818022781469</v>
      </c>
      <c r="J11698" s="422">
        <f t="shared" si="2082"/>
        <v>372.57142857142856</v>
      </c>
      <c r="K11698" s="297">
        <f>J11698/POBLA!$B$9*100000</f>
        <v>61.562415390037316</v>
      </c>
      <c r="L11698" s="200">
        <f t="shared" si="2083"/>
        <v>-0.15159401431359787</v>
      </c>
      <c r="M11698" s="401">
        <f>SUM(C11698,C11674,C11650,C11626,C11602,C11578,C11554)/POBLA!$B$9*100000</f>
        <v>430.93690773026128</v>
      </c>
      <c r="N11698" s="42" t="s">
        <v>41</v>
      </c>
      <c r="O11698" s="42">
        <v>4</v>
      </c>
      <c r="P11698" s="42">
        <v>5</v>
      </c>
      <c r="Q11698" s="42">
        <v>0</v>
      </c>
      <c r="R11698" s="42">
        <v>9</v>
      </c>
    </row>
    <row r="11699" spans="1:18" x14ac:dyDescent="0.25">
      <c r="A11699" s="367" t="s">
        <v>32</v>
      </c>
      <c r="B11699" s="2">
        <v>44380</v>
      </c>
      <c r="C11699" s="1">
        <v>238</v>
      </c>
      <c r="D11699" s="39">
        <f t="shared" si="2078"/>
        <v>36652</v>
      </c>
      <c r="E11699" s="1">
        <v>5</v>
      </c>
      <c r="F11699" s="39">
        <f t="shared" si="2079"/>
        <v>1185</v>
      </c>
      <c r="G11699" s="168">
        <f>SUM(C11699,C11675,C11651,C11627,C11603,C11579,C11555,C11531,C11507,C11483,C11459,C11435,C11411,C11387)/POBLA!$B$10*100000</f>
        <v>466.34954033112763</v>
      </c>
      <c r="H11699" s="256">
        <f t="shared" si="2080"/>
        <v>1.0375180375180375</v>
      </c>
      <c r="I11699" s="297">
        <f t="shared" ref="I11699:I11713" si="2084">G11699*H11699</f>
        <v>483.84605988179044</v>
      </c>
      <c r="J11699" s="422">
        <f t="shared" si="2082"/>
        <v>277.71428571428572</v>
      </c>
      <c r="K11699" s="297">
        <f>J11699/POBLA!$B$10*100000</f>
        <v>36.025571484351765</v>
      </c>
      <c r="L11699" s="200">
        <f t="shared" si="2083"/>
        <v>0.17746820109024841</v>
      </c>
      <c r="M11699" s="401">
        <f>SUM(C11699,C11675,C11651,C11627,C11603,C11579,C11555)/POBLA!$B$10*100000</f>
        <v>252.17900039046233</v>
      </c>
      <c r="N11699" s="42" t="s">
        <v>32</v>
      </c>
      <c r="O11699" s="42">
        <v>4</v>
      </c>
      <c r="P11699" s="42">
        <v>1</v>
      </c>
      <c r="Q11699" s="42">
        <v>0</v>
      </c>
      <c r="R11699" s="42">
        <v>5</v>
      </c>
    </row>
    <row r="11700" spans="1:18" x14ac:dyDescent="0.25">
      <c r="A11700" s="367" t="s">
        <v>33</v>
      </c>
      <c r="B11700" s="2">
        <v>44380</v>
      </c>
      <c r="C11700" s="1">
        <v>204</v>
      </c>
      <c r="D11700" s="39">
        <f t="shared" si="2078"/>
        <v>53803</v>
      </c>
      <c r="F11700" s="39">
        <f t="shared" si="2079"/>
        <v>742</v>
      </c>
      <c r="G11700" s="168">
        <f>SUM(C11700,C11676,C11652,C11628,C11604,C11580,C11556,C11532,C11508,C11484,C11460,C11436,C11412,C11388)/POBLA!$B$11*100000</f>
        <v>1316.0244177352215</v>
      </c>
      <c r="H11700" s="256">
        <f t="shared" si="2080"/>
        <v>1.1566944580676803</v>
      </c>
      <c r="I11700" s="297">
        <f t="shared" si="2084"/>
        <v>1522.2381506760767</v>
      </c>
      <c r="J11700" s="422">
        <f t="shared" si="2082"/>
        <v>357.14285714285717</v>
      </c>
      <c r="K11700" s="297">
        <f>J11700/POBLA!$B$11*100000</f>
        <v>99.641450205580242</v>
      </c>
      <c r="L11700" s="200">
        <f t="shared" si="2083"/>
        <v>0.12764997744700035</v>
      </c>
      <c r="M11700" s="401">
        <f>SUM(C11700,C11676,C11652,C11628,C11604,C11580,C11556)/POBLA!$B$11*100000</f>
        <v>697.49015143906161</v>
      </c>
    </row>
    <row r="11701" spans="1:18" x14ac:dyDescent="0.25">
      <c r="A11701" s="367" t="s">
        <v>21</v>
      </c>
      <c r="B11701" s="2">
        <v>44380</v>
      </c>
      <c r="C11701" s="1">
        <v>152</v>
      </c>
      <c r="D11701" s="39">
        <f t="shared" si="2078"/>
        <v>22726</v>
      </c>
      <c r="E11701" s="1">
        <v>6</v>
      </c>
      <c r="F11701" s="39">
        <f t="shared" si="2079"/>
        <v>640</v>
      </c>
      <c r="G11701" s="168">
        <f>SUM(C11701,C11677,C11653,C11629,C11605,C11581,C11557,C11533,C11509,C11485,C11461,C11437,C11413,C11389)/POBLA!$B$12*100000</f>
        <v>609.10068075958441</v>
      </c>
      <c r="H11701" s="256">
        <f t="shared" si="2080"/>
        <v>1.1518500720807303</v>
      </c>
      <c r="I11701" s="297">
        <f t="shared" si="2084"/>
        <v>701.59266303734921</v>
      </c>
      <c r="J11701" s="422">
        <f t="shared" si="2082"/>
        <v>177.85714285714286</v>
      </c>
      <c r="K11701" s="297">
        <f>J11701/POBLA!$B$12*100000</f>
        <v>45.195205169895857</v>
      </c>
      <c r="L11701" s="200">
        <f t="shared" si="2083"/>
        <v>8.0729166666666741E-2</v>
      </c>
      <c r="M11701" s="401">
        <f>SUM(C11701,C11677,C11653,C11629,C11605,C11581,C11557)/POBLA!$B$12*100000</f>
        <v>316.36643618927098</v>
      </c>
      <c r="N11701" s="42" t="s">
        <v>21</v>
      </c>
      <c r="O11701" s="42">
        <v>1</v>
      </c>
      <c r="P11701" s="42">
        <v>4</v>
      </c>
      <c r="Q11701" s="42">
        <v>1</v>
      </c>
      <c r="R11701" s="42">
        <v>6</v>
      </c>
    </row>
    <row r="11702" spans="1:18" x14ac:dyDescent="0.25">
      <c r="A11702" s="367" t="s">
        <v>17</v>
      </c>
      <c r="B11702" s="2">
        <v>44380</v>
      </c>
      <c r="C11702" s="1">
        <v>401</v>
      </c>
      <c r="D11702" s="39">
        <f t="shared" si="2078"/>
        <v>141780</v>
      </c>
      <c r="E11702" s="1">
        <v>25</v>
      </c>
      <c r="F11702" s="39">
        <f t="shared" si="2079"/>
        <v>3322</v>
      </c>
      <c r="G11702" s="168">
        <f>SUM(C11702,C11678,C11654,C11630,C11606,C11582,C11558,C11534,C11510,C11486,C11462,C11438,C11414,C11390)/POBLA!$B$13*100000</f>
        <v>399.83158639386875</v>
      </c>
      <c r="H11702" s="256">
        <f t="shared" si="2080"/>
        <v>0.88836793927215896</v>
      </c>
      <c r="I11702" s="297">
        <f t="shared" si="2084"/>
        <v>355.19756246063935</v>
      </c>
      <c r="J11702" s="422">
        <f t="shared" si="2082"/>
        <v>585.57142857142856</v>
      </c>
      <c r="K11702" s="297">
        <f>J11702/POBLA!$B$13*100000</f>
        <v>29.420702844010844</v>
      </c>
      <c r="L11702" s="200">
        <f t="shared" si="2083"/>
        <v>6.2192277792174178E-2</v>
      </c>
      <c r="M11702" s="401">
        <f>SUM(C11702,C11678,C11654,C11630,C11606,C11582,C11558)/POBLA!$B$13*100000</f>
        <v>205.94491990807595</v>
      </c>
      <c r="N11702" s="42" t="s">
        <v>17</v>
      </c>
      <c r="O11702" s="42">
        <v>16</v>
      </c>
      <c r="P11702" s="42">
        <v>9</v>
      </c>
      <c r="Q11702" s="42">
        <v>0</v>
      </c>
      <c r="R11702" s="42">
        <v>25</v>
      </c>
    </row>
    <row r="11703" spans="1:18" x14ac:dyDescent="0.25">
      <c r="A11703" s="367" t="s">
        <v>23</v>
      </c>
      <c r="B11703" s="2">
        <v>44380</v>
      </c>
      <c r="C11703" s="1">
        <v>203</v>
      </c>
      <c r="D11703" s="39">
        <f t="shared" si="2078"/>
        <v>26174</v>
      </c>
      <c r="E11703" s="1">
        <v>2</v>
      </c>
      <c r="F11703" s="39">
        <f t="shared" si="2079"/>
        <v>442</v>
      </c>
      <c r="G11703" s="168">
        <f>SUM(C11703,C11679,C11655,C11631,C11607,C11583,C11559,C11535,C11511,C11487,C11463,C11439,C11415,C11391)/POBLA!$B$14*100000</f>
        <v>195.11707817527079</v>
      </c>
      <c r="H11703" s="256">
        <f t="shared" si="2080"/>
        <v>1.0335993280134397</v>
      </c>
      <c r="I11703" s="297">
        <f t="shared" si="2084"/>
        <v>201.67288088590567</v>
      </c>
      <c r="J11703" s="422">
        <f t="shared" si="2082"/>
        <v>178.42857142857142</v>
      </c>
      <c r="K11703" s="297">
        <f>J11703/POBLA!$B$14*100000</f>
        <v>14.146469532763289</v>
      </c>
      <c r="L11703" s="200">
        <f t="shared" si="2083"/>
        <v>3.0528052805280481E-2</v>
      </c>
      <c r="M11703" s="401">
        <f>SUM(C11703,C11679,C11655,C11631,C11607,C11583,C11559)/POBLA!$B$14*100000</f>
        <v>99.025286729343051</v>
      </c>
      <c r="N11703" s="42" t="s">
        <v>23</v>
      </c>
      <c r="O11703" s="42">
        <v>0</v>
      </c>
      <c r="P11703" s="42">
        <v>2</v>
      </c>
      <c r="Q11703" s="42">
        <v>0</v>
      </c>
      <c r="R11703" s="42">
        <v>2</v>
      </c>
    </row>
    <row r="11704" spans="1:18" x14ac:dyDescent="0.25">
      <c r="A11704" s="367" t="s">
        <v>19</v>
      </c>
      <c r="B11704" s="2">
        <v>44380</v>
      </c>
      <c r="C11704" s="1">
        <v>191</v>
      </c>
      <c r="D11704" s="39">
        <f t="shared" si="2078"/>
        <v>102077</v>
      </c>
      <c r="E11704" s="1">
        <v>4</v>
      </c>
      <c r="F11704" s="39">
        <f t="shared" si="2079"/>
        <v>1827</v>
      </c>
      <c r="G11704" s="168">
        <f>SUM(C11704,C11680,C11656,C11632,C11608,C11584,C11560,C11536,C11512,C11488,C11464,C11440,C11416,C11392)/POBLA!$B$15*100000</f>
        <v>491.82524994089368</v>
      </c>
      <c r="H11704" s="256">
        <f t="shared" si="2080"/>
        <v>0.6454545454545455</v>
      </c>
      <c r="I11704" s="297">
        <f t="shared" si="2084"/>
        <v>317.45084314366778</v>
      </c>
      <c r="J11704" s="422">
        <f t="shared" si="2082"/>
        <v>208.28571428571428</v>
      </c>
      <c r="K11704" s="297">
        <f>J11704/POBLA!$B$15*100000</f>
        <v>31.365637932544086</v>
      </c>
      <c r="L11704" s="200">
        <f t="shared" si="2083"/>
        <v>-0.19358407079646023</v>
      </c>
      <c r="M11704" s="401">
        <f>SUM(C11704,C11680,C11656,C11632,C11608,C11584,C11560)/POBLA!$B$15*100000</f>
        <v>219.55946552780861</v>
      </c>
      <c r="N11704" s="42" t="s">
        <v>19</v>
      </c>
      <c r="O11704" s="42">
        <v>1</v>
      </c>
      <c r="P11704" s="42">
        <v>3</v>
      </c>
      <c r="Q11704" s="42">
        <v>0</v>
      </c>
      <c r="R11704" s="42">
        <v>4</v>
      </c>
    </row>
    <row r="11705" spans="1:18" x14ac:dyDescent="0.25">
      <c r="A11705" s="367" t="s">
        <v>18</v>
      </c>
      <c r="B11705" s="2">
        <v>44380</v>
      </c>
      <c r="C11705" s="1">
        <v>139</v>
      </c>
      <c r="D11705" s="39">
        <f t="shared" si="2078"/>
        <v>84946</v>
      </c>
      <c r="E11705" s="1">
        <v>2</v>
      </c>
      <c r="F11705" s="39">
        <f t="shared" si="2079"/>
        <v>1945</v>
      </c>
      <c r="G11705" s="168">
        <f>SUM(C11705,C11681,C11657,C11633,C11609,C11585,C11561,C11537,C11513,C11489,C11465,C11441,C11417,C11393)/POBLA!$B$16*100000</f>
        <v>459.33039953986707</v>
      </c>
      <c r="H11705" s="256">
        <f t="shared" si="2080"/>
        <v>0.69233870967741939</v>
      </c>
      <c r="I11705" s="297">
        <f t="shared" si="2084"/>
        <v>318.01221613304506</v>
      </c>
      <c r="J11705" s="422">
        <f t="shared" si="2082"/>
        <v>224.14285714285714</v>
      </c>
      <c r="K11705" s="297">
        <f>J11705/POBLA!$B$16*100000</f>
        <v>29.981254550214302</v>
      </c>
      <c r="L11705" s="200">
        <f t="shared" si="2083"/>
        <v>-0.15871313672922249</v>
      </c>
      <c r="M11705" s="401">
        <f>SUM(C11705,C11681,C11657,C11633,C11609,C11585,C11561)/POBLA!$B$16*100000</f>
        <v>209.8687818515001</v>
      </c>
      <c r="N11705" s="42" t="s">
        <v>18</v>
      </c>
      <c r="O11705" s="42">
        <v>1</v>
      </c>
      <c r="P11705" s="42">
        <v>1</v>
      </c>
      <c r="Q11705" s="42">
        <v>0</v>
      </c>
      <c r="R11705" s="42">
        <v>2</v>
      </c>
    </row>
    <row r="11706" spans="1:18" x14ac:dyDescent="0.25">
      <c r="A11706" s="367" t="s">
        <v>34</v>
      </c>
      <c r="B11706" s="2">
        <v>44380</v>
      </c>
      <c r="C11706" s="1">
        <v>401</v>
      </c>
      <c r="D11706" s="39">
        <f>C11706+D11682</f>
        <v>62979</v>
      </c>
      <c r="E11706" s="1">
        <v>4</v>
      </c>
      <c r="F11706" s="39">
        <f t="shared" si="2079"/>
        <v>1756</v>
      </c>
      <c r="G11706" s="168">
        <f>SUM(C11706,C11682,C11658,C11634,C11610,C11586,C11562,C11538,C11514,C11490,C11466,C11442,C11418,C11394)/POBLA!$B$17*100000</f>
        <v>496.06956487552276</v>
      </c>
      <c r="H11706" s="256">
        <f t="shared" si="2080"/>
        <v>0.9809801471609052</v>
      </c>
      <c r="I11706" s="297">
        <f t="shared" si="2084"/>
        <v>486.63439475363651</v>
      </c>
      <c r="J11706" s="422">
        <f t="shared" si="2082"/>
        <v>514.28571428571433</v>
      </c>
      <c r="K11706" s="297">
        <f>J11706/POBLA!$B$17*100000</f>
        <v>36.105503892925519</v>
      </c>
      <c r="L11706" s="200">
        <f t="shared" si="2083"/>
        <v>3.8661281015579974E-2</v>
      </c>
      <c r="M11706" s="70">
        <f>SUM(C11706,C11682,C11658,C11634,C11610,C11586,C11562)/POBLA!$B$17*100000</f>
        <v>252.73852725047863</v>
      </c>
      <c r="N11706" s="412"/>
      <c r="O11706" s="412"/>
      <c r="P11706" s="412"/>
      <c r="Q11706" s="412"/>
      <c r="R11706" s="412"/>
    </row>
    <row r="11707" spans="1:18" x14ac:dyDescent="0.25">
      <c r="A11707" s="367" t="s">
        <v>35</v>
      </c>
      <c r="B11707" s="2">
        <v>44380</v>
      </c>
      <c r="C11707" s="1">
        <v>358</v>
      </c>
      <c r="D11707" s="39">
        <f t="shared" ref="D11707:D11713" si="2085">C11707+D11683</f>
        <v>52189</v>
      </c>
      <c r="E11707" s="1">
        <v>2</v>
      </c>
      <c r="F11707" s="39">
        <f t="shared" si="2079"/>
        <v>835</v>
      </c>
      <c r="G11707" s="168">
        <f>SUM(C11707,C11683,C11659,C11635,C11611,C11587,C11563,C11539,C11515,C11491,C11467,C11443,C11419,C11395)/POBLA!$B$18*100000</f>
        <v>755.99993343718836</v>
      </c>
      <c r="H11707" s="256">
        <f t="shared" si="2080"/>
        <v>0.86942440747828642</v>
      </c>
      <c r="I11707" s="297">
        <f t="shared" si="2084"/>
        <v>657.28479418225152</v>
      </c>
      <c r="J11707" s="422">
        <f t="shared" si="2082"/>
        <v>466</v>
      </c>
      <c r="K11707" s="297">
        <f>J11707/POBLA!$B$18*100000</f>
        <v>59.6505196379495</v>
      </c>
      <c r="L11707" s="200">
        <f t="shared" si="2083"/>
        <v>0.23373676248108932</v>
      </c>
      <c r="M11707" s="70">
        <f>SUM(C11707,C11683,C11659,C11635,C11611,C11587,C11563)/POBLA!$B$18*100000</f>
        <v>417.55363746564655</v>
      </c>
      <c r="N11707" s="412"/>
      <c r="O11707" s="412"/>
      <c r="P11707" s="412"/>
      <c r="Q11707" s="412"/>
      <c r="R11707" s="412"/>
    </row>
    <row r="11708" spans="1:18" x14ac:dyDescent="0.25">
      <c r="A11708" s="367" t="s">
        <v>36</v>
      </c>
      <c r="B11708" s="2">
        <v>44380</v>
      </c>
      <c r="C11708" s="1">
        <v>288</v>
      </c>
      <c r="D11708" s="39">
        <f t="shared" si="2085"/>
        <v>66863</v>
      </c>
      <c r="E11708" s="1">
        <v>2</v>
      </c>
      <c r="F11708" s="39">
        <f t="shared" si="2079"/>
        <v>980</v>
      </c>
      <c r="G11708" s="168">
        <f>SUM(C11708,C11684,C11660,C11636,C11612,C11588,C11564,C11540,C11516,C11492,C11468,C11444,C11420,C11396)/POBLA!$B$19*100000</f>
        <v>1021.9779355062086</v>
      </c>
      <c r="H11708" s="256">
        <f t="shared" si="2080"/>
        <v>0.86814839572192515</v>
      </c>
      <c r="I11708" s="297">
        <f t="shared" si="2084"/>
        <v>887.22850517292011</v>
      </c>
      <c r="J11708" s="422">
        <f t="shared" si="2082"/>
        <v>374.14285714285717</v>
      </c>
      <c r="K11708" s="297">
        <f>J11708/POBLA!$B$19*100000</f>
        <v>73.602645760779879</v>
      </c>
      <c r="L11708" s="200">
        <f t="shared" si="2083"/>
        <v>1.6692546583850998E-2</v>
      </c>
      <c r="M11708" s="70">
        <f>SUM(C11708,C11684,C11660,C11636,C11612,C11588,C11564)/POBLA!$B$19*100000</f>
        <v>515.21852032545917</v>
      </c>
      <c r="N11708" s="412"/>
      <c r="O11708" s="412"/>
      <c r="P11708" s="412"/>
      <c r="Q11708" s="412"/>
      <c r="R11708" s="412"/>
    </row>
    <row r="11709" spans="1:18" x14ac:dyDescent="0.25">
      <c r="A11709" s="367" t="s">
        <v>37</v>
      </c>
      <c r="B11709" s="2">
        <v>44380</v>
      </c>
      <c r="C11709" s="1">
        <v>46</v>
      </c>
      <c r="D11709" s="39">
        <f t="shared" si="2085"/>
        <v>55845</v>
      </c>
      <c r="E11709" s="1">
        <v>3</v>
      </c>
      <c r="F11709" s="39">
        <f t="shared" ref="F11709:F11714" si="2086">E11709+F11685</f>
        <v>874</v>
      </c>
      <c r="G11709" s="168">
        <f>SUM(C11709,C11685,C11662,C11637,C11613,C11589,C11565,C11541,C11517,C11493,C11469,C11445,C11421,C11397)/POBLA!$B$20*100000</f>
        <v>853.16299241450599</v>
      </c>
      <c r="H11709" s="256">
        <f t="shared" si="2080"/>
        <v>0.87201861547411286</v>
      </c>
      <c r="I11709" s="297">
        <f t="shared" si="2084"/>
        <v>743.97401141904857</v>
      </c>
      <c r="J11709" s="422">
        <f t="shared" si="2082"/>
        <v>115.14285714285714</v>
      </c>
      <c r="K11709" s="297">
        <f>J11709/POBLA!$B$20*100000</f>
        <v>31.485777101011529</v>
      </c>
      <c r="L11709" s="200">
        <f t="shared" si="2083"/>
        <v>0.16305916305916313</v>
      </c>
      <c r="M11709" s="70">
        <f>SUM(C11709,C11685,C11661,C11637,C11613,C11589,C11565)/POBLA!$B$20*100000</f>
        <v>220.40043970708072</v>
      </c>
      <c r="N11709" s="412"/>
      <c r="O11709" s="412"/>
      <c r="P11709" s="412"/>
      <c r="Q11709" s="412"/>
      <c r="R11709" s="412"/>
    </row>
    <row r="11710" spans="1:18" x14ac:dyDescent="0.25">
      <c r="A11710" s="367" t="s">
        <v>22</v>
      </c>
      <c r="B11710" s="2">
        <v>44380</v>
      </c>
      <c r="C11710" s="1">
        <v>1439</v>
      </c>
      <c r="D11710" s="39">
        <f t="shared" si="2085"/>
        <v>411089</v>
      </c>
      <c r="E11710" s="1">
        <v>4</v>
      </c>
      <c r="F11710" s="39">
        <f t="shared" si="2086"/>
        <v>6823</v>
      </c>
      <c r="G11710" s="168">
        <f>SUM(C11710,C11686,C11662,C11638,C11614,C11590,C11566,C11542,C11518,C11494,C11470,C11446,C11422,C11398)/POBLA!$B$21*100000</f>
        <v>632.92857348876748</v>
      </c>
      <c r="H11710" s="256">
        <f t="shared" si="2080"/>
        <v>0.78749604193786726</v>
      </c>
      <c r="I11710" s="297">
        <f t="shared" si="2084"/>
        <v>498.42874645178495</v>
      </c>
      <c r="J11710" s="422">
        <f t="shared" si="2082"/>
        <v>1581.2857142857142</v>
      </c>
      <c r="K11710" s="297">
        <f>J11710/POBLA!$B$21*100000</f>
        <v>44.71433281602215</v>
      </c>
      <c r="L11710" s="200">
        <f t="shared" si="2083"/>
        <v>-2.1654587237051492E-2</v>
      </c>
      <c r="M11710" s="70">
        <f>SUM(C11710,C11686,C11662,C11638,C11614,C11590,C11566)/POBLA!$B$21*100000</f>
        <v>313.00032971215506</v>
      </c>
      <c r="N11710" s="412"/>
      <c r="O11710" s="412"/>
      <c r="P11710" s="412"/>
      <c r="Q11710" s="412"/>
      <c r="R11710" s="412"/>
    </row>
    <row r="11711" spans="1:18" x14ac:dyDescent="0.25">
      <c r="A11711" s="367" t="s">
        <v>38</v>
      </c>
      <c r="B11711" s="2">
        <v>44380</v>
      </c>
      <c r="C11711" s="1">
        <v>463</v>
      </c>
      <c r="D11711" s="39">
        <f t="shared" si="2085"/>
        <v>61277</v>
      </c>
      <c r="E11711" s="1">
        <v>3</v>
      </c>
      <c r="F11711" s="39">
        <f t="shared" si="2086"/>
        <v>831</v>
      </c>
      <c r="G11711" s="168">
        <f>SUM(C11711,C11687,C11663,C11639,C11615,C11591,C11567,C11543,C11519,C11495,C11471,C11447,C11423,C11399)/POBLA!$B$22*100000</f>
        <v>715.51742642692068</v>
      </c>
      <c r="H11711" s="256">
        <f t="shared" si="2080"/>
        <v>0.93557872226677363</v>
      </c>
      <c r="I11711" s="297">
        <f t="shared" si="2084"/>
        <v>669.4228795761087</v>
      </c>
      <c r="J11711" s="422">
        <f t="shared" si="2082"/>
        <v>532.28571428571433</v>
      </c>
      <c r="K11711" s="297">
        <f>J11711/POBLA!$B$22*100000</f>
        <v>54.408529201361354</v>
      </c>
      <c r="L11711" s="200">
        <f t="shared" si="2083"/>
        <v>0.13805742211362237</v>
      </c>
      <c r="M11711" s="70">
        <f>SUM(C11711,C11687,C11663,C11639,C11615,C11591,C11567)/POBLA!$B$22*100000</f>
        <v>380.85970440952946</v>
      </c>
      <c r="N11711" s="412"/>
      <c r="O11711" s="412"/>
      <c r="P11711" s="412"/>
      <c r="Q11711" s="412"/>
      <c r="R11711" s="412"/>
    </row>
    <row r="11712" spans="1:18" x14ac:dyDescent="0.25">
      <c r="A11712" s="367" t="s">
        <v>39</v>
      </c>
      <c r="B11712" s="2">
        <v>44380</v>
      </c>
      <c r="C11712" s="1">
        <v>4</v>
      </c>
      <c r="D11712" s="39">
        <f t="shared" si="2085"/>
        <v>29913</v>
      </c>
      <c r="F11712" s="39">
        <f t="shared" si="2086"/>
        <v>447</v>
      </c>
      <c r="G11712" s="168">
        <f>SUM(C11712,C11688,C11664,C11640,C11616,C11592,C11568,C11544,C11520,C11496,C11472,C11448,C11424,C11400)/POBLA!$B$23*100000</f>
        <v>345.52960470508401</v>
      </c>
      <c r="H11712" s="256">
        <f t="shared" si="2080"/>
        <v>1.166030534351145</v>
      </c>
      <c r="I11712" s="297">
        <f t="shared" si="2084"/>
        <v>402.898069608409</v>
      </c>
      <c r="J11712" s="422">
        <f t="shared" si="2082"/>
        <v>46.857142857142854</v>
      </c>
      <c r="K11712" s="297">
        <f>J11712/POBLA!$B$23*100000</f>
        <v>26.498412518884155</v>
      </c>
      <c r="L11712" s="200">
        <f t="shared" si="2083"/>
        <v>0.1590106007067138</v>
      </c>
      <c r="M11712" s="70">
        <f>SUM(C11712,C11688,C11664,C11640,C11616,C11592,C11568)/POBLA!$B$23*100000</f>
        <v>185.48888763218909</v>
      </c>
      <c r="N11712" s="412"/>
      <c r="O11712" s="412"/>
      <c r="P11712" s="412"/>
      <c r="Q11712" s="412"/>
      <c r="R11712" s="412"/>
    </row>
    <row r="11713" spans="1:18" ht="15.75" thickBot="1" x14ac:dyDescent="0.3">
      <c r="A11713" s="368" t="s">
        <v>40</v>
      </c>
      <c r="B11713" s="34">
        <v>44380</v>
      </c>
      <c r="C11713" s="232">
        <v>379</v>
      </c>
      <c r="D11713" s="67">
        <f t="shared" si="2085"/>
        <v>160555</v>
      </c>
      <c r="E11713" s="232"/>
      <c r="F11713" s="67">
        <f t="shared" si="2086"/>
        <v>2312</v>
      </c>
      <c r="G11713" s="255">
        <f>SUM(C11713,C11689,C11665,C11641,C11617,C11593,C11569,C11545,C11521,C11497,C11473,C11449,C11425,C11401)/POBLA!$B$24*100000</f>
        <v>881.53583972204399</v>
      </c>
      <c r="H11713" s="257">
        <f t="shared" si="2080"/>
        <v>1.3519457013574661</v>
      </c>
      <c r="I11713" s="299">
        <f t="shared" si="2084"/>
        <v>1191.7885891047615</v>
      </c>
      <c r="J11713" s="428">
        <f t="shared" si="2082"/>
        <v>1284.2857142857142</v>
      </c>
      <c r="K11713" s="299">
        <f>J11713/POBLA!$B$24*100000</f>
        <v>75.7844491321964</v>
      </c>
      <c r="L11713" s="260">
        <f t="shared" si="2083"/>
        <v>0.5111783493024038</v>
      </c>
      <c r="M11713" s="566">
        <f>SUM(C11713,C11689,C11665,C11641,C11617,C11593,C11569)/POBLA!$B$24*100000</f>
        <v>530.4911439253749</v>
      </c>
      <c r="N11713" s="412"/>
      <c r="O11713" s="412"/>
      <c r="P11713" s="412"/>
      <c r="Q11713" s="412"/>
      <c r="R11713" s="412"/>
    </row>
    <row r="11714" spans="1:18" x14ac:dyDescent="0.25">
      <c r="A11714" s="363" t="s">
        <v>16</v>
      </c>
      <c r="B11714" s="265">
        <v>44381</v>
      </c>
      <c r="C11714" s="356">
        <v>2488</v>
      </c>
      <c r="D11714" s="174">
        <f>C11714+D11690</f>
        <v>1863038</v>
      </c>
      <c r="E11714" s="43">
        <v>176</v>
      </c>
      <c r="F11714" s="174">
        <f t="shared" si="2086"/>
        <v>48266</v>
      </c>
      <c r="G11714" s="175">
        <f>SUM(C11714,C11690,C11642,C11666,C11618,C11594,C11570,C11546,C11522,C11498,C11474,C11450,C11426,C11402)/POBLA!$B$1*100000</f>
        <v>490.01373399826156</v>
      </c>
      <c r="H11714" s="300">
        <f>SUM(C11714,C11690,C11666,C11642,C11618,C11594,C11570,C11546,C11522,C11498,C11474,C11450,C11426,C11402,)/SUM(C11378,C11354,C11330,C11306,C11282,C11258,C11234,C11210,C11186,C11162,C11138,C11114,C11090,C11066)</f>
        <v>0.80204163517435079</v>
      </c>
      <c r="I11714" s="301">
        <f>G11714*H11714</f>
        <v>393.01141647385509</v>
      </c>
      <c r="J11714" s="421">
        <f>AVERAGE(C11714,C11690,C11666,C11642,C11618,C11594,C11570)</f>
        <v>5965.1428571428569</v>
      </c>
      <c r="K11714" s="301">
        <f>J11714/POBLA!$B$1*100000</f>
        <v>34.006584047998118</v>
      </c>
      <c r="L11714" s="399">
        <f>(SUM(C11714,C11690,C11666,C11642,C11618,C11594,C11570)/SUM(C11546,C11522,C11498,C11474,C11450,C11426,C11402))-1</f>
        <v>-5.5251368840218973E-2</v>
      </c>
      <c r="M11714" s="567">
        <f>SUM(C11714,C11690,C11666,C11642,C11618,C11594,C11570)/POBLA!$B$1*100000</f>
        <v>238.04608833598678</v>
      </c>
      <c r="N11714" s="499"/>
      <c r="O11714" s="499"/>
      <c r="P11714" s="499"/>
      <c r="Q11714" s="499"/>
      <c r="R11714" s="499"/>
    </row>
    <row r="11715" spans="1:18" x14ac:dyDescent="0.25">
      <c r="A11715" s="367" t="s">
        <v>43</v>
      </c>
      <c r="B11715" s="2">
        <v>44381</v>
      </c>
      <c r="C11715" s="4">
        <v>781</v>
      </c>
      <c r="D11715" s="39">
        <f t="shared" ref="D11715:D11729" si="2087">C11715+D11691</f>
        <v>468245</v>
      </c>
      <c r="E11715" s="1">
        <v>11</v>
      </c>
      <c r="F11715" s="39">
        <f t="shared" ref="F11715:F11732" si="2088">E11715+F11691</f>
        <v>10433</v>
      </c>
      <c r="G11715" s="168">
        <f>SUM(C11715,C11691,C11667,C11643,C11619,C11595,C11571,C11547,C11523,C11499,C11475,C11451,C11427,C11403)/POBLA!$B$2*100000</f>
        <v>562.67853972791409</v>
      </c>
      <c r="H11715" s="256">
        <f t="shared" ref="H11715:H11737" si="2089">SUM(C11715,C11691,C11667,C11643,C11619,C11595,C11571,C11547,C11523,C11499,C11475,C11451,C11427,C11403,)/SUM(C11379,C11355,C11331,C11307,C11283,C11259,C11235,C11211,C11187,C11163,C11139,C11115,C11091,C11067)</f>
        <v>0.81478342749529187</v>
      </c>
      <c r="I11715" s="297">
        <f t="shared" ref="I11715:I11721" si="2090">G11715*H11715</f>
        <v>458.46114917755557</v>
      </c>
      <c r="J11715" s="422">
        <f>AVERAGE(C11715,C11691,C11667,C11643,C11619,C11595,C11571)</f>
        <v>1132.1428571428571</v>
      </c>
      <c r="K11715" s="297">
        <f>J11715/POBLA!$B$2*100000</f>
        <v>36.80992081477703</v>
      </c>
      <c r="L11715" s="200">
        <f>(SUM(C11715,C11691,C11667,C11643,C11619,C11595,C11571)/SUM(C11547,C11523,C11499,C11475,C11451,C11427,C11403))-1</f>
        <v>-0.15520733397292397</v>
      </c>
      <c r="M11715" s="70">
        <f>SUM(C11715,C11691,C11667,C11643,C11619,C11595,C11571)/POBLA!$B$2*100000</f>
        <v>257.66944570343924</v>
      </c>
      <c r="N11715" s="499"/>
      <c r="O11715" s="499"/>
      <c r="P11715" s="499"/>
      <c r="Q11715" s="499"/>
      <c r="R11715" s="499"/>
    </row>
    <row r="11716" spans="1:18" x14ac:dyDescent="0.25">
      <c r="A11716" s="367" t="s">
        <v>28</v>
      </c>
      <c r="B11716" s="2">
        <v>44381</v>
      </c>
      <c r="C11716" s="4">
        <v>178</v>
      </c>
      <c r="D11716" s="39">
        <f t="shared" si="2087"/>
        <v>35305</v>
      </c>
      <c r="F11716" s="39">
        <f t="shared" si="2088"/>
        <v>329</v>
      </c>
      <c r="G11716" s="168">
        <f>SUM(C11716,C11692,C11668,C11644,C11620,C11596,C11572,C11548,C11524,C11500,C11476,C11452,C11428,C11404)/POBLA!$B$3*100000</f>
        <v>1018.2024754596354</v>
      </c>
      <c r="H11716" s="256">
        <f t="shared" si="2089"/>
        <v>0.88088296543107036</v>
      </c>
      <c r="I11716" s="297">
        <f t="shared" si="2090"/>
        <v>896.9172159921402</v>
      </c>
      <c r="J11716" s="422">
        <f t="shared" ref="J11716:J11737" si="2091">AVERAGE(C11716,C11692,C11668,C11644,C11620,C11596,C11572)</f>
        <v>302</v>
      </c>
      <c r="K11716" s="297">
        <f>J11716/POBLA!$B$3*100000</f>
        <v>72.694361132106351</v>
      </c>
      <c r="L11716" s="200">
        <f t="shared" ref="L11716:L11737" si="2092">(SUM(C11716,C11692,C11668,C11644,C11620,C11596,C11572)/SUM(C11548,C11524,C11500,C11476,C11452,C11428,C11404))-1</f>
        <v>-9.4517958412099201E-4</v>
      </c>
      <c r="M11716" s="70">
        <f>SUM(C11716,C11692,C11668,C11644,C11620,C11596,C11572)/POBLA!$B$3*100000</f>
        <v>508.86052792474447</v>
      </c>
      <c r="N11716" s="412"/>
      <c r="O11716" s="412"/>
      <c r="P11716" s="412"/>
      <c r="Q11716" s="412"/>
      <c r="R11716" s="412"/>
    </row>
    <row r="11717" spans="1:18" x14ac:dyDescent="0.25">
      <c r="A11717" s="367" t="s">
        <v>15</v>
      </c>
      <c r="B11717" s="2">
        <v>44381</v>
      </c>
      <c r="C11717" s="4">
        <v>285</v>
      </c>
      <c r="D11717" s="39">
        <f t="shared" si="2087"/>
        <v>79002</v>
      </c>
      <c r="E11717" s="1">
        <v>14</v>
      </c>
      <c r="F11717" s="39">
        <f t="shared" si="2088"/>
        <v>1705</v>
      </c>
      <c r="G11717" s="168">
        <f>SUM(C11717,C11693,C11669,C11645,C11621,C11597,C11573,C11549,C11525,C11501,C11477,C11453,C11429,C11405)/POBLA!$B$4*100000</f>
        <v>612.8475493984846</v>
      </c>
      <c r="H11717" s="256">
        <f t="shared" si="2089"/>
        <v>0.83943597907664314</v>
      </c>
      <c r="I11717" s="297">
        <f t="shared" si="2090"/>
        <v>514.44628265403833</v>
      </c>
      <c r="J11717" s="422">
        <f t="shared" si="2091"/>
        <v>527.71428571428567</v>
      </c>
      <c r="K11717" s="297">
        <f>J11717/POBLA!$B$4*100000</f>
        <v>43.810404603436965</v>
      </c>
      <c r="L11717" s="200">
        <f t="shared" si="2092"/>
        <v>1.6268980477223138E-3</v>
      </c>
      <c r="M11717" s="70">
        <f>SUM(C11717,C11693,C11669,C11645,C11621,C11597,C11573)/POBLA!$B$4*100000</f>
        <v>306.67283222405877</v>
      </c>
      <c r="N11717" s="499"/>
      <c r="O11717" s="499"/>
      <c r="P11717" s="499"/>
      <c r="Q11717" s="499"/>
      <c r="R11717" s="499"/>
    </row>
    <row r="11718" spans="1:18" x14ac:dyDescent="0.25">
      <c r="A11718" s="367" t="s">
        <v>29</v>
      </c>
      <c r="B11718" s="2">
        <v>44381</v>
      </c>
      <c r="C11718" s="4">
        <v>52</v>
      </c>
      <c r="D11718" s="39">
        <f t="shared" si="2087"/>
        <v>71501</v>
      </c>
      <c r="E11718" s="1">
        <v>2</v>
      </c>
      <c r="F11718" s="39">
        <f t="shared" si="2088"/>
        <v>1222</v>
      </c>
      <c r="G11718" s="168">
        <f>SUM(C11718,C11694,C11670,C11646,C11622,C11598,C11574,C11550,C11526,C11502,C11478,C11454,C11430,C11406)/POBLA!$B$5*100000</f>
        <v>485.62667812612074</v>
      </c>
      <c r="H11718" s="256">
        <f t="shared" si="2089"/>
        <v>0.93122676579925645</v>
      </c>
      <c r="I11718" s="297">
        <f t="shared" si="2090"/>
        <v>452.22856085722395</v>
      </c>
      <c r="J11718" s="422">
        <f t="shared" si="2091"/>
        <v>204.14285714285714</v>
      </c>
      <c r="K11718" s="297">
        <f>J11718/POBLA!$B$5*100000</f>
        <v>32.979779633220538</v>
      </c>
      <c r="L11718" s="200">
        <f t="shared" si="2092"/>
        <v>-9.3849080532656948E-2</v>
      </c>
      <c r="M11718" s="70">
        <f>SUM(C11718,C11694,C11670,C11646,C11622,C11598,C11574)/POBLA!$B$5*100000</f>
        <v>230.85845743254376</v>
      </c>
      <c r="N11718" s="499"/>
      <c r="O11718" s="499"/>
      <c r="P11718" s="499"/>
      <c r="Q11718" s="499"/>
      <c r="R11718" s="499"/>
    </row>
    <row r="11719" spans="1:18" x14ac:dyDescent="0.25">
      <c r="A11719" s="367" t="s">
        <v>30</v>
      </c>
      <c r="B11719" s="2">
        <v>44381</v>
      </c>
      <c r="C11719" s="4">
        <v>492</v>
      </c>
      <c r="D11719" s="39">
        <f t="shared" si="2087"/>
        <v>67988</v>
      </c>
      <c r="F11719" s="39">
        <f t="shared" si="2088"/>
        <v>755</v>
      </c>
      <c r="G11719" s="168">
        <f>SUM(C11719,C11695,C11671,C11647,C11623,C11599,C11575,C11551,C11527,C11503,C11479,C11455,C11431,C11407)/POBLA!$B$6*100000</f>
        <v>638.20428425741943</v>
      </c>
      <c r="H11719" s="256">
        <f t="shared" si="2089"/>
        <v>1.154081961923201</v>
      </c>
      <c r="I11719" s="297">
        <f t="shared" si="2090"/>
        <v>736.54005248359488</v>
      </c>
      <c r="J11719" s="422">
        <f t="shared" si="2091"/>
        <v>455.42857142857144</v>
      </c>
      <c r="K11719" s="297">
        <f>J11719/POBLA!$B$6*100000</f>
        <v>40.634204593729969</v>
      </c>
      <c r="L11719" s="200">
        <f t="shared" si="2092"/>
        <v>-0.19596469104665826</v>
      </c>
      <c r="M11719" s="70">
        <f>SUM(C11719,C11695,C11671,C11647,C11623,C11599,C11575)/POBLA!$B$6*100000</f>
        <v>284.43943215610977</v>
      </c>
      <c r="N11719" s="412"/>
      <c r="O11719" s="412"/>
      <c r="P11719" s="412"/>
      <c r="Q11719" s="412"/>
      <c r="R11719" s="412"/>
    </row>
    <row r="11720" spans="1:18" x14ac:dyDescent="0.25">
      <c r="A11720" s="367" t="s">
        <v>20</v>
      </c>
      <c r="B11720" s="2">
        <v>44381</v>
      </c>
      <c r="C11720" s="4">
        <v>845</v>
      </c>
      <c r="D11720" s="39">
        <f t="shared" si="2087"/>
        <v>418276</v>
      </c>
      <c r="E11720" s="1">
        <v>12</v>
      </c>
      <c r="F11720" s="39">
        <f t="shared" si="2088"/>
        <v>5467</v>
      </c>
      <c r="G11720" s="168">
        <f>SUM(C11720,C11696,C11672,C11648,C11624,C11600,C11576,C11552,C11528,C11504,C11480,C11456,C11432,C11408)/POBLA!$B$7*100000</f>
        <v>900.92941004401064</v>
      </c>
      <c r="H11720" s="256">
        <f t="shared" si="2089"/>
        <v>0.73752612330198541</v>
      </c>
      <c r="I11720" s="297">
        <f t="shared" si="2090"/>
        <v>664.45897515850402</v>
      </c>
      <c r="J11720" s="422">
        <f t="shared" si="2091"/>
        <v>2238</v>
      </c>
      <c r="K11720" s="297">
        <f>J11720/POBLA!$B$7*100000</f>
        <v>59.514153891156639</v>
      </c>
      <c r="L11720" s="200">
        <f t="shared" si="2092"/>
        <v>-0.13984516554109705</v>
      </c>
      <c r="M11720" s="70">
        <f>SUM(C11720,C11696,C11672,C11648,C11624,C11600,C11576)/POBLA!$B$7*100000</f>
        <v>416.59907723809653</v>
      </c>
      <c r="N11720" s="499"/>
      <c r="O11720" s="499"/>
      <c r="P11720" s="499"/>
      <c r="Q11720" s="499"/>
      <c r="R11720" s="499"/>
    </row>
    <row r="11721" spans="1:18" x14ac:dyDescent="0.25">
      <c r="A11721" s="367" t="s">
        <v>31</v>
      </c>
      <c r="B11721" s="2">
        <v>44381</v>
      </c>
      <c r="C11721" s="4">
        <v>336</v>
      </c>
      <c r="D11721" s="39">
        <f t="shared" si="2087"/>
        <v>112903</v>
      </c>
      <c r="E11721" s="1">
        <v>7</v>
      </c>
      <c r="F11721" s="39">
        <f t="shared" si="2088"/>
        <v>1863</v>
      </c>
      <c r="G11721" s="168">
        <f>SUM(C11721,C11697,C11673,C11649,C11625,C11601,C11577,C11553,C11529,C11505,C11481,C11457,C11433,C11409)/POBLA!$B$8*100000</f>
        <v>706.80199514993569</v>
      </c>
      <c r="H11721" s="256">
        <f t="shared" si="2089"/>
        <v>0.85944902614493768</v>
      </c>
      <c r="I11721" s="297">
        <f t="shared" si="2090"/>
        <v>607.4602864089112</v>
      </c>
      <c r="J11721" s="572">
        <f t="shared" si="2091"/>
        <v>730.85714285714289</v>
      </c>
      <c r="K11721" s="297">
        <f>J11721/POBLA!$B$8*100000</f>
        <v>52.732879414149672</v>
      </c>
      <c r="L11721" s="200">
        <f t="shared" si="2092"/>
        <v>9.3162393162393053E-2</v>
      </c>
      <c r="M11721" s="70">
        <f>SUM(C11721,C11697,C11673,C11649,C11625,C11601,C11577)/POBLA!$B$8*100000</f>
        <v>369.13015589904762</v>
      </c>
      <c r="N11721" s="499"/>
      <c r="O11721" s="499"/>
      <c r="P11721" s="499"/>
      <c r="Q11721" s="499"/>
      <c r="R11721" s="499"/>
    </row>
    <row r="11722" spans="1:18" x14ac:dyDescent="0.25">
      <c r="A11722" s="367" t="s">
        <v>41</v>
      </c>
      <c r="B11722" s="2">
        <v>44381</v>
      </c>
      <c r="C11722" s="4">
        <v>320</v>
      </c>
      <c r="D11722" s="39">
        <f t="shared" si="2087"/>
        <v>47124</v>
      </c>
      <c r="F11722" s="39">
        <f t="shared" si="2088"/>
        <v>841</v>
      </c>
      <c r="G11722" s="168">
        <f>SUM(C11722,C11698,C11674,C11650,C11626,C11602,C11578,C11554,C11530,C11506,C11482,C11458,C11434,C11410)/POBLA!$B$9*100000</f>
        <v>919.70660599180758</v>
      </c>
      <c r="H11722" s="256">
        <f t="shared" si="2089"/>
        <v>0.88405336721728078</v>
      </c>
      <c r="I11722" s="297">
        <f>G11722*H11722</f>
        <v>813.06972187903443</v>
      </c>
      <c r="J11722" s="422">
        <f t="shared" si="2091"/>
        <v>363.57142857142856</v>
      </c>
      <c r="K11722" s="297">
        <f>J11722/POBLA!$B$9*100000</f>
        <v>60.075286490661419</v>
      </c>
      <c r="L11722" s="200">
        <f t="shared" si="2092"/>
        <v>-0.1575637206223105</v>
      </c>
      <c r="M11722" s="70">
        <f>SUM(C11722,C11698,C11674,C11650,C11626,C11602,C11578)/POBLA!$B$9*100000</f>
        <v>420.52700543462998</v>
      </c>
      <c r="N11722" s="412"/>
      <c r="O11722" s="412"/>
      <c r="P11722" s="412"/>
      <c r="Q11722" s="412"/>
      <c r="R11722" s="412"/>
    </row>
    <row r="11723" spans="1:18" x14ac:dyDescent="0.25">
      <c r="A11723" s="367" t="s">
        <v>32</v>
      </c>
      <c r="B11723" s="2">
        <v>44381</v>
      </c>
      <c r="C11723" s="4">
        <v>259</v>
      </c>
      <c r="D11723" s="39">
        <f t="shared" si="2087"/>
        <v>36911</v>
      </c>
      <c r="E11723" s="1">
        <v>4</v>
      </c>
      <c r="F11723" s="39">
        <f t="shared" si="2088"/>
        <v>1189</v>
      </c>
      <c r="G11723" s="168">
        <f>SUM(C11723,C11699,C11675,C11651,C11627,C11603,C11579,C11555,C11531,C11507,C11483,C11459,C11435,C11411)/POBLA!$B$10*100000</f>
        <v>478.02449405290827</v>
      </c>
      <c r="H11723" s="256">
        <f t="shared" si="2089"/>
        <v>1.0546651402404121</v>
      </c>
      <c r="I11723" s="297">
        <f t="shared" ref="I11723:I11737" si="2093">G11723*H11723</f>
        <v>504.15577005866254</v>
      </c>
      <c r="J11723" s="422">
        <f t="shared" si="2091"/>
        <v>275.71428571428572</v>
      </c>
      <c r="K11723" s="297">
        <f>J11723/POBLA!$B$10*100000</f>
        <v>35.766128068312192</v>
      </c>
      <c r="L11723" s="200">
        <f t="shared" si="2092"/>
        <v>9.9715099715099731E-2</v>
      </c>
      <c r="M11723" s="70">
        <f>SUM(C11723,C11699,C11675,C11651,C11627,C11603,C11579)/POBLA!$B$10*100000</f>
        <v>250.36289647818532</v>
      </c>
      <c r="N11723" s="499"/>
      <c r="O11723" s="499"/>
      <c r="P11723" s="499"/>
      <c r="Q11723" s="499"/>
      <c r="R11723" s="499"/>
    </row>
    <row r="11724" spans="1:18" x14ac:dyDescent="0.25">
      <c r="A11724" s="367" t="s">
        <v>33</v>
      </c>
      <c r="B11724" s="2">
        <v>44381</v>
      </c>
      <c r="C11724" s="4">
        <v>197</v>
      </c>
      <c r="D11724" s="39">
        <f t="shared" si="2087"/>
        <v>54000</v>
      </c>
      <c r="F11724" s="39">
        <f t="shared" si="2088"/>
        <v>742</v>
      </c>
      <c r="G11724" s="168">
        <f>SUM(C11724,C11700,C11676,C11652,C11628,C11604,C11580,C11556,C11532,C11508,C11484,C11460,C11436,C11412)/POBLA!$B$11*100000</f>
        <v>1344.7610119745109</v>
      </c>
      <c r="H11724" s="256">
        <f t="shared" si="2089"/>
        <v>1.2028949338657349</v>
      </c>
      <c r="I11724" s="297">
        <f t="shared" si="2093"/>
        <v>1617.606208564298</v>
      </c>
      <c r="J11724" s="422">
        <f t="shared" si="2091"/>
        <v>333.28571428571428</v>
      </c>
      <c r="K11724" s="297">
        <f>J11724/POBLA!$B$11*100000</f>
        <v>92.985401331847484</v>
      </c>
      <c r="L11724" s="200">
        <f t="shared" si="2092"/>
        <v>-6.1921994370727762E-2</v>
      </c>
      <c r="M11724" s="70">
        <f>SUM(C11724,C11700,C11676,C11652,C11628,C11604,C11580)/POBLA!$B$11*100000</f>
        <v>650.8978093229324</v>
      </c>
      <c r="N11724" s="412"/>
      <c r="O11724" s="412"/>
      <c r="P11724" s="412"/>
      <c r="Q11724" s="412"/>
      <c r="R11724" s="412"/>
    </row>
    <row r="11725" spans="1:18" x14ac:dyDescent="0.25">
      <c r="A11725" s="367" t="s">
        <v>21</v>
      </c>
      <c r="B11725" s="2">
        <v>44381</v>
      </c>
      <c r="C11725" s="4">
        <v>136</v>
      </c>
      <c r="D11725" s="39">
        <f t="shared" si="2087"/>
        <v>22862</v>
      </c>
      <c r="F11725" s="39">
        <f t="shared" si="2088"/>
        <v>640</v>
      </c>
      <c r="G11725" s="168">
        <f>SUM(C11725,C11701,C11677,C11653,C11629,C11605,C11581,C11557,C11533,C11509,C11485,C11461,C11437,C11413)/POBLA!$B$12*100000</f>
        <v>605.28903695007511</v>
      </c>
      <c r="H11725" s="256">
        <f t="shared" si="2089"/>
        <v>1.1904047976011993</v>
      </c>
      <c r="I11725" s="297">
        <f t="shared" si="2093"/>
        <v>720.538973520779</v>
      </c>
      <c r="J11725" s="422">
        <f t="shared" si="2091"/>
        <v>168.57142857142858</v>
      </c>
      <c r="K11725" s="297">
        <f>J11725/POBLA!$B$12*100000</f>
        <v>42.835616144961534</v>
      </c>
      <c r="L11725" s="200">
        <f t="shared" si="2092"/>
        <v>-1.830282861896837E-2</v>
      </c>
      <c r="M11725" s="70">
        <f>SUM(C11725,C11701,C11677,C11653,C11629,C11605,C11581)/POBLA!$B$12*100000</f>
        <v>299.84931301473074</v>
      </c>
      <c r="N11725" s="412"/>
      <c r="O11725" s="412"/>
      <c r="P11725" s="412"/>
      <c r="Q11725" s="412"/>
      <c r="R11725" s="412"/>
    </row>
    <row r="11726" spans="1:18" x14ac:dyDescent="0.25">
      <c r="A11726" s="367" t="s">
        <v>17</v>
      </c>
      <c r="B11726" s="2">
        <v>44381</v>
      </c>
      <c r="C11726" s="4">
        <v>204</v>
      </c>
      <c r="D11726" s="39">
        <f t="shared" si="2087"/>
        <v>141984</v>
      </c>
      <c r="E11726" s="1">
        <v>25</v>
      </c>
      <c r="F11726" s="39">
        <f t="shared" si="2088"/>
        <v>3347</v>
      </c>
      <c r="G11726" s="168">
        <f>SUM(C11726,C11702,C11678,C11654,C11630,C11606,C11582,C11558,C11534,C11510,C11486,C11462,C11438,C11414)/POBLA!$B$13*100000</f>
        <v>400.18328545201865</v>
      </c>
      <c r="H11726" s="256">
        <f t="shared" si="2089"/>
        <v>0.89736367733213163</v>
      </c>
      <c r="I11726" s="297">
        <f t="shared" si="2093"/>
        <v>359.10994464007757</v>
      </c>
      <c r="J11726" s="422">
        <f t="shared" si="2091"/>
        <v>585</v>
      </c>
      <c r="K11726" s="297">
        <f>J11726/POBLA!$B$13*100000</f>
        <v>29.391992716814936</v>
      </c>
      <c r="L11726" s="200">
        <f t="shared" si="2092"/>
        <v>5.8139534883721034E-2</v>
      </c>
      <c r="M11726" s="70">
        <f>SUM(C11726,C11702,C11678,C11654,C11630,C11606,C11582)/POBLA!$B$13*100000</f>
        <v>205.74394901770452</v>
      </c>
      <c r="N11726" s="499"/>
      <c r="O11726" s="499"/>
      <c r="P11726" s="499"/>
      <c r="Q11726" s="499"/>
      <c r="R11726" s="499"/>
    </row>
    <row r="11727" spans="1:18" x14ac:dyDescent="0.25">
      <c r="A11727" s="367" t="s">
        <v>23</v>
      </c>
      <c r="B11727" s="2">
        <v>44381</v>
      </c>
      <c r="C11727" s="4">
        <v>196</v>
      </c>
      <c r="D11727" s="39">
        <f t="shared" si="2087"/>
        <v>26370</v>
      </c>
      <c r="E11727" s="1">
        <v>1</v>
      </c>
      <c r="F11727" s="39">
        <f t="shared" si="2088"/>
        <v>443</v>
      </c>
      <c r="G11727" s="168">
        <f>SUM(C11727,C11703,C11679,C11655,C11631,C11607,C11583,C11559,C11535,C11511,C11487,C11463,C11439,C11415)/POBLA!$B$14*100000</f>
        <v>199.47767927223944</v>
      </c>
      <c r="H11727" s="256">
        <f t="shared" si="2089"/>
        <v>1.0602612726506533</v>
      </c>
      <c r="I11727" s="297">
        <f t="shared" si="2093"/>
        <v>211.49845809058343</v>
      </c>
      <c r="J11727" s="422">
        <f t="shared" si="2091"/>
        <v>175.14285714285714</v>
      </c>
      <c r="K11727" s="297">
        <f>J11727/POBLA!$B$14*100000</f>
        <v>13.885966090606722</v>
      </c>
      <c r="L11727" s="200">
        <f t="shared" si="2092"/>
        <v>-4.9612403100775193E-2</v>
      </c>
      <c r="M11727" s="70">
        <f>SUM(C11727,C11703,C11679,C11655,C11631,C11607,C11583)/POBLA!$B$14*100000</f>
        <v>97.201762634247061</v>
      </c>
      <c r="N11727" s="499"/>
      <c r="O11727" s="499"/>
      <c r="P11727" s="499"/>
      <c r="Q11727" s="499"/>
      <c r="R11727" s="499"/>
    </row>
    <row r="11728" spans="1:18" x14ac:dyDescent="0.25">
      <c r="A11728" s="367" t="s">
        <v>19</v>
      </c>
      <c r="B11728" s="2">
        <v>44381</v>
      </c>
      <c r="C11728" s="4">
        <v>148</v>
      </c>
      <c r="D11728" s="39">
        <f t="shared" si="2087"/>
        <v>102225</v>
      </c>
      <c r="E11728" s="1">
        <v>18</v>
      </c>
      <c r="F11728" s="39">
        <f t="shared" si="2088"/>
        <v>1845</v>
      </c>
      <c r="G11728" s="168">
        <f>SUM(C11728,C11704,C11680,C11656,C11632,C11608,C11584,C11560,C11536,C11512,C11488,C11464,C11440,C11416)/POBLA!$B$15*100000</f>
        <v>481.88634409395581</v>
      </c>
      <c r="H11728" s="256">
        <f t="shared" si="2089"/>
        <v>0.64856100526955818</v>
      </c>
      <c r="I11728" s="297">
        <f t="shared" si="2093"/>
        <v>312.53269175124819</v>
      </c>
      <c r="J11728" s="422">
        <f t="shared" si="2091"/>
        <v>204.71428571428572</v>
      </c>
      <c r="K11728" s="297">
        <f>J11728/POBLA!$B$15*100000</f>
        <v>30.827818352082083</v>
      </c>
      <c r="L11728" s="200">
        <f t="shared" si="2092"/>
        <v>-0.18902093944538767</v>
      </c>
      <c r="M11728" s="70">
        <f>SUM(C11728,C11704,C11680,C11656,C11632,C11608,C11584)/POBLA!$B$15*100000</f>
        <v>215.79472846457458</v>
      </c>
      <c r="N11728" s="499"/>
      <c r="O11728" s="499"/>
      <c r="P11728" s="499"/>
      <c r="Q11728" s="499"/>
      <c r="R11728" s="499"/>
    </row>
    <row r="11729" spans="1:18" x14ac:dyDescent="0.25">
      <c r="A11729" s="367" t="s">
        <v>18</v>
      </c>
      <c r="B11729" s="2">
        <v>44381</v>
      </c>
      <c r="C11729" s="4">
        <v>73</v>
      </c>
      <c r="D11729" s="39">
        <f t="shared" si="2087"/>
        <v>85019</v>
      </c>
      <c r="E11729" s="1">
        <v>6</v>
      </c>
      <c r="F11729" s="39">
        <f t="shared" si="2088"/>
        <v>1951</v>
      </c>
      <c r="G11729" s="168">
        <f>SUM(C11729,C11705,C11681,C11657,C11633,C11609,C11585,C11561,C11537,C11513,C11489,C11465,C11441,C11417)/POBLA!$B$16*100000</f>
        <v>455.4513717044984</v>
      </c>
      <c r="H11729" s="256">
        <f t="shared" si="2089"/>
        <v>0.69803198031980318</v>
      </c>
      <c r="I11729" s="297">
        <f t="shared" si="2093"/>
        <v>317.91962293026177</v>
      </c>
      <c r="J11729" s="422">
        <f t="shared" si="2091"/>
        <v>214.85714285714286</v>
      </c>
      <c r="K11729" s="297">
        <f>J11729/POBLA!$B$16*100000</f>
        <v>28.739201302436147</v>
      </c>
      <c r="L11729" s="200">
        <f t="shared" si="2092"/>
        <v>-0.20883745397159392</v>
      </c>
      <c r="M11729" s="70">
        <f>SUM(C11729,C11705,C11681,C11657,C11633,C11609,C11585)/POBLA!$B$16*100000</f>
        <v>201.17440911705302</v>
      </c>
      <c r="N11729" s="499"/>
      <c r="O11729" s="499"/>
      <c r="P11729" s="499"/>
      <c r="Q11729" s="499"/>
      <c r="R11729" s="499"/>
    </row>
    <row r="11730" spans="1:18" x14ac:dyDescent="0.25">
      <c r="A11730" s="367" t="s">
        <v>34</v>
      </c>
      <c r="B11730" s="2">
        <v>44381</v>
      </c>
      <c r="C11730" s="4">
        <v>285</v>
      </c>
      <c r="D11730" s="39">
        <f>C11730+D11706</f>
        <v>63264</v>
      </c>
      <c r="E11730" s="1">
        <v>3</v>
      </c>
      <c r="F11730" s="39">
        <f t="shared" si="2088"/>
        <v>1759</v>
      </c>
      <c r="G11730" s="168">
        <f>SUM(C11730,C11706,C11682,C11658,C11634,C11610,C11586,C11562,C11538,C11514,C11490,C11466,C11442,C11418)/POBLA!$B$17*100000</f>
        <v>499.86064278427995</v>
      </c>
      <c r="H11730" s="256">
        <f t="shared" si="2089"/>
        <v>1.014967925873129</v>
      </c>
      <c r="I11730" s="297">
        <f t="shared" si="2093"/>
        <v>507.34251983236965</v>
      </c>
      <c r="J11730" s="422">
        <f t="shared" si="2091"/>
        <v>500.28571428571428</v>
      </c>
      <c r="K11730" s="297">
        <f>J11730/POBLA!$B$17*100000</f>
        <v>35.122631842506991</v>
      </c>
      <c r="L11730" s="200">
        <f t="shared" si="2092"/>
        <v>-3.2061912658927549E-2</v>
      </c>
      <c r="M11730" s="70">
        <f>SUM(C11730,C11706,C11682,C11658,C11634,C11610,C11586)/POBLA!$B$17*100000</f>
        <v>245.85842289754893</v>
      </c>
      <c r="N11730" s="499"/>
      <c r="O11730" s="499"/>
      <c r="P11730" s="499"/>
      <c r="Q11730" s="499"/>
      <c r="R11730" s="499"/>
    </row>
    <row r="11731" spans="1:18" x14ac:dyDescent="0.25">
      <c r="A11731" s="367" t="s">
        <v>35</v>
      </c>
      <c r="B11731" s="2">
        <v>44381</v>
      </c>
      <c r="C11731" s="4">
        <v>38</v>
      </c>
      <c r="D11731" s="39">
        <f t="shared" ref="D11731:D11737" si="2094">C11731+D11707</f>
        <v>52227</v>
      </c>
      <c r="E11731" s="1">
        <v>1</v>
      </c>
      <c r="F11731" s="39">
        <f t="shared" si="2088"/>
        <v>836</v>
      </c>
      <c r="G11731" s="168">
        <f>SUM(C11731,C11707,C11683,C11659,C11635,C11611,C11587,C11563,C11539,C11515,C11491,C11467,C11443,C11419)/POBLA!$B$18*100000</f>
        <v>731.42289530309756</v>
      </c>
      <c r="H11731" s="256">
        <f t="shared" si="2089"/>
        <v>0.82955865272938445</v>
      </c>
      <c r="I11731" s="297">
        <f t="shared" si="2093"/>
        <v>606.75819160306321</v>
      </c>
      <c r="J11731" s="422">
        <f t="shared" si="2091"/>
        <v>426.14285714285717</v>
      </c>
      <c r="K11731" s="297">
        <f>J11731/POBLA!$B$18*100000</f>
        <v>54.548589846720844</v>
      </c>
      <c r="L11731" s="200">
        <f t="shared" si="2092"/>
        <v>9.2273892347125575E-2</v>
      </c>
      <c r="M11731" s="70">
        <f>SUM(C11731,C11707,C11683,C11659,C11635,C11611,C11587)/POBLA!$B$18*100000</f>
        <v>381.84012892704584</v>
      </c>
      <c r="N11731" s="499"/>
      <c r="O11731" s="499"/>
      <c r="P11731" s="499"/>
      <c r="Q11731" s="499"/>
      <c r="R11731" s="499"/>
    </row>
    <row r="11732" spans="1:18" x14ac:dyDescent="0.25">
      <c r="A11732" s="367" t="s">
        <v>36</v>
      </c>
      <c r="B11732" s="2">
        <v>44381</v>
      </c>
      <c r="C11732" s="4">
        <v>299</v>
      </c>
      <c r="D11732" s="39">
        <f t="shared" si="2094"/>
        <v>67162</v>
      </c>
      <c r="E11732" s="1">
        <v>2</v>
      </c>
      <c r="F11732" s="39">
        <f t="shared" si="2088"/>
        <v>982</v>
      </c>
      <c r="G11732" s="168">
        <f>SUM(C11732,C11708,C11684,C11660,C11636,C11612,C11588,C11564,C11540,C11516,C11492,C11468,C11444,C11420)/POBLA!$B$19*100000</f>
        <v>1014.8958939897075</v>
      </c>
      <c r="H11732" s="256">
        <f t="shared" si="2089"/>
        <v>0.87678450033990485</v>
      </c>
      <c r="I11732" s="297">
        <f t="shared" si="2093"/>
        <v>889.84498930878669</v>
      </c>
      <c r="J11732" s="422">
        <f t="shared" si="2091"/>
        <v>368.28571428571428</v>
      </c>
      <c r="K11732" s="297">
        <f>J11732/POBLA!$B$19*100000</f>
        <v>72.450408847380885</v>
      </c>
      <c r="L11732" s="200">
        <f t="shared" si="2092"/>
        <v>-1.1623401782254739E-3</v>
      </c>
      <c r="M11732" s="70">
        <f>SUM(C11732,C11708,C11684,C11660,C11636,C11612,C11588)/POBLA!$B$19*100000</f>
        <v>507.15286193166617</v>
      </c>
      <c r="N11732" s="499"/>
      <c r="O11732" s="499"/>
      <c r="P11732" s="499"/>
      <c r="Q11732" s="499"/>
      <c r="R11732" s="499"/>
    </row>
    <row r="11733" spans="1:18" x14ac:dyDescent="0.25">
      <c r="A11733" s="367" t="s">
        <v>37</v>
      </c>
      <c r="B11733" s="2">
        <v>44381</v>
      </c>
      <c r="C11733" s="4">
        <v>76</v>
      </c>
      <c r="D11733" s="39">
        <f t="shared" si="2094"/>
        <v>55921</v>
      </c>
      <c r="E11733" s="1">
        <v>2</v>
      </c>
      <c r="F11733" s="39">
        <f t="shared" ref="F11733:F11738" si="2095">E11733+F11709</f>
        <v>876</v>
      </c>
      <c r="G11733" s="168">
        <f>SUM(C11733,C11709,C11686,C11661,C11637,C11613,C11589,C11565,C11541,C11517,C11493,C11469,C11445,C11421)/POBLA!$B$20*100000</f>
        <v>843.59225371754826</v>
      </c>
      <c r="H11733" s="256">
        <f t="shared" si="2089"/>
        <v>0.89893617021276595</v>
      </c>
      <c r="I11733" s="297">
        <f t="shared" si="2093"/>
        <v>758.33558977800885</v>
      </c>
      <c r="J11733" s="422">
        <f t="shared" si="2091"/>
        <v>119.57142857142857</v>
      </c>
      <c r="K11733" s="297">
        <f>J11733/POBLA!$B$20*100000</f>
        <v>32.696768527973511</v>
      </c>
      <c r="L11733" s="200">
        <f t="shared" si="2092"/>
        <v>0.22368421052631571</v>
      </c>
      <c r="M11733" s="70">
        <f>SUM(C11733,C11709,C11685,C11661,C11637,C11613,C11589)/POBLA!$B$20*100000</f>
        <v>228.87737969581457</v>
      </c>
      <c r="N11733" s="499"/>
      <c r="O11733" s="499"/>
      <c r="P11733" s="499"/>
      <c r="Q11733" s="499"/>
      <c r="R11733" s="499"/>
    </row>
    <row r="11734" spans="1:18" x14ac:dyDescent="0.25">
      <c r="A11734" s="367" t="s">
        <v>22</v>
      </c>
      <c r="B11734" s="2">
        <v>44381</v>
      </c>
      <c r="C11734" s="4">
        <v>555</v>
      </c>
      <c r="D11734" s="39">
        <f t="shared" si="2094"/>
        <v>411644</v>
      </c>
      <c r="E11734" s="1">
        <v>14</v>
      </c>
      <c r="F11734" s="39">
        <f t="shared" si="2095"/>
        <v>6837</v>
      </c>
      <c r="G11734" s="168">
        <f>SUM(C11734,C11710,C11686,C11662,C11638,C11614,C11590,C11566,C11542,C11518,C11494,C11470,C11446,C11422)/POBLA!$B$21*100000</f>
        <v>626.76414383141355</v>
      </c>
      <c r="H11734" s="256">
        <f t="shared" si="2089"/>
        <v>0.8004116712407916</v>
      </c>
      <c r="I11734" s="297">
        <f t="shared" si="2093"/>
        <v>501.66933583790558</v>
      </c>
      <c r="J11734" s="422">
        <f t="shared" si="2091"/>
        <v>1494.4285714285713</v>
      </c>
      <c r="K11734" s="297">
        <f>J11734/POBLA!$B$21*100000</f>
        <v>42.258255993170813</v>
      </c>
      <c r="L11734" s="200">
        <f t="shared" si="2092"/>
        <v>-0.10620300751879697</v>
      </c>
      <c r="M11734" s="70">
        <f>SUM(C11734,C11710,C11686,C11662,C11638,C11614,C11590)/POBLA!$B$21*100000</f>
        <v>295.80779195219566</v>
      </c>
      <c r="N11734" s="499"/>
      <c r="O11734" s="499"/>
      <c r="P11734" s="499"/>
      <c r="Q11734" s="499"/>
      <c r="R11734" s="499"/>
    </row>
    <row r="11735" spans="1:18" x14ac:dyDescent="0.25">
      <c r="A11735" s="367" t="s">
        <v>38</v>
      </c>
      <c r="B11735" s="2">
        <v>44381</v>
      </c>
      <c r="C11735" s="4">
        <v>459</v>
      </c>
      <c r="D11735" s="39">
        <f t="shared" si="2094"/>
        <v>61736</v>
      </c>
      <c r="E11735" s="1">
        <v>11</v>
      </c>
      <c r="F11735" s="39">
        <f t="shared" si="2095"/>
        <v>842</v>
      </c>
      <c r="G11735" s="168">
        <f>SUM(C11735,C11711,C11687,C11663,C11639,C11615,C11591,C11567,C11543,C11519,C11495,C11471,C11447,C11423)/POBLA!$B$22*100000</f>
        <v>727.98787300178981</v>
      </c>
      <c r="H11735" s="256">
        <f t="shared" si="2089"/>
        <v>0.9693752552062066</v>
      </c>
      <c r="I11735" s="297">
        <f t="shared" si="2093"/>
        <v>705.69343017813355</v>
      </c>
      <c r="J11735" s="422">
        <f t="shared" si="2091"/>
        <v>519.28571428571433</v>
      </c>
      <c r="K11735" s="297">
        <f>J11735/POBLA!$B$22*100000</f>
        <v>53.079711123711363</v>
      </c>
      <c r="L11735" s="200">
        <f t="shared" si="2092"/>
        <v>4.2443361055348516E-2</v>
      </c>
      <c r="M11735" s="70">
        <f>SUM(C11735,C11711,C11687,C11663,C11639,C11615,C11591)/POBLA!$B$22*100000</f>
        <v>371.55797786597952</v>
      </c>
      <c r="N11735" s="499"/>
      <c r="O11735" s="499"/>
      <c r="P11735" s="499"/>
      <c r="Q11735" s="499"/>
      <c r="R11735" s="499"/>
    </row>
    <row r="11736" spans="1:18" x14ac:dyDescent="0.25">
      <c r="A11736" s="367" t="s">
        <v>39</v>
      </c>
      <c r="B11736" s="2">
        <v>44381</v>
      </c>
      <c r="C11736" s="4">
        <v>38</v>
      </c>
      <c r="D11736" s="39">
        <f t="shared" si="2094"/>
        <v>29951</v>
      </c>
      <c r="F11736" s="39">
        <f t="shared" si="2095"/>
        <v>447</v>
      </c>
      <c r="G11736" s="168">
        <f>SUM(C11736,C11712,C11688,C11664,C11640,C11616,C11592,C11568,C11544,C11520,C11496,C11472,C11448,C11424)/POBLA!$B$23*100000</f>
        <v>347.79166431035458</v>
      </c>
      <c r="H11736" s="256">
        <f t="shared" si="2089"/>
        <v>1.1872586872586872</v>
      </c>
      <c r="I11736" s="297">
        <f t="shared" si="2093"/>
        <v>412.91867480862561</v>
      </c>
      <c r="J11736" s="422">
        <f t="shared" si="2091"/>
        <v>47</v>
      </c>
      <c r="K11736" s="297">
        <f>J11736/POBLA!$B$23*100000</f>
        <v>26.579200361929541</v>
      </c>
      <c r="L11736" s="200">
        <f t="shared" si="2092"/>
        <v>0.15034965034965042</v>
      </c>
      <c r="M11736" s="70">
        <f>SUM(C11736,C11712,C11688,C11664,C11640,C11616,C11592)/POBLA!$B$23*100000</f>
        <v>186.05440253350676</v>
      </c>
      <c r="N11736" s="412"/>
      <c r="O11736" s="412"/>
      <c r="P11736" s="412"/>
      <c r="Q11736" s="412"/>
      <c r="R11736" s="412"/>
    </row>
    <row r="11737" spans="1:18" ht="15.75" thickBot="1" x14ac:dyDescent="0.3">
      <c r="A11737" s="368" t="s">
        <v>40</v>
      </c>
      <c r="B11737" s="34">
        <v>44381</v>
      </c>
      <c r="C11737" s="27">
        <v>260</v>
      </c>
      <c r="D11737" s="67">
        <f t="shared" si="2094"/>
        <v>160815</v>
      </c>
      <c r="E11737" s="232">
        <v>1</v>
      </c>
      <c r="F11737" s="67">
        <f t="shared" si="2095"/>
        <v>2313</v>
      </c>
      <c r="G11737" s="255">
        <f>SUM(C11737,C11713,C11689,C11665,C11641,C11617,C11593,C11569,C11545,C11521,C11497,C11473,C11449,C11425)/POBLA!$B$24*100000</f>
        <v>886.49259790777592</v>
      </c>
      <c r="H11737" s="257">
        <f t="shared" si="2089"/>
        <v>1.4052006360490132</v>
      </c>
      <c r="I11737" s="299">
        <f t="shared" si="2093"/>
        <v>1245.6999624327489</v>
      </c>
      <c r="J11737" s="428">
        <f t="shared" si="2091"/>
        <v>1252.4285714285713</v>
      </c>
      <c r="K11737" s="299">
        <f>J11737/POBLA!$B$24*100000</f>
        <v>73.904590160396637</v>
      </c>
      <c r="L11737" s="260">
        <f t="shared" si="2092"/>
        <v>0.40137468030690537</v>
      </c>
      <c r="M11737" s="566">
        <f>SUM(C11737,C11713,C11689,C11665,C11641,C11617,C11593)/POBLA!$B$24*100000</f>
        <v>517.33213112277656</v>
      </c>
      <c r="N11737" s="499"/>
      <c r="O11737" s="499"/>
      <c r="P11737" s="499"/>
      <c r="Q11737" s="499"/>
      <c r="R11737" s="499"/>
    </row>
    <row r="11738" spans="1:18" x14ac:dyDescent="0.25">
      <c r="A11738" s="363" t="s">
        <v>16</v>
      </c>
      <c r="B11738" s="265">
        <v>44382</v>
      </c>
      <c r="C11738" s="43">
        <v>5260</v>
      </c>
      <c r="D11738" s="174">
        <f>C11738+D11714</f>
        <v>1868298</v>
      </c>
      <c r="E11738" s="43">
        <v>267</v>
      </c>
      <c r="F11738" s="174">
        <f t="shared" si="2095"/>
        <v>48533</v>
      </c>
      <c r="G11738" s="175">
        <f>SUM(C11738,C11714,C11666,C11690,C11642,C11618,C11594,C11570,C11546,C11522,C11498,C11474,C11450,C11426)/POBLA!$B$1*100000</f>
        <v>505.94200229050097</v>
      </c>
      <c r="H11738" s="300">
        <f>SUM(C11738,C11714,C11690,C11666,C11642,C11618,C11594,C11570,C11546,C11522,C11498,C11474,C11450,C11426,)/SUM(C11402,C11378,C11354,C11330,C11306,C11282,C11258,C11234,C11210,C11186,C11162,C11138,C11114,C11090)</f>
        <v>0.86995902523183088</v>
      </c>
      <c r="I11738" s="301">
        <f>G11738*H11738</f>
        <v>440.14881113648499</v>
      </c>
      <c r="J11738" s="421">
        <f>AVERAGE(C11738,C11714,C11690,C11666,C11642,C11618,C11594)</f>
        <v>5856.1428571428569</v>
      </c>
      <c r="K11738" s="301">
        <f>J11738/POBLA!$B$1*100000</f>
        <v>33.385187754564292</v>
      </c>
      <c r="L11738" s="399">
        <f>(SUM(C11738,C11714,C11690,C11666,C11642,C11618,C11594)/SUM(C11570,C11546,C11522,C11498,C11474,C11450,C11426))-1</f>
        <v>-0.14159773845670609</v>
      </c>
      <c r="M11738" s="400">
        <f>SUM(C11738,C11714,C11690,C11666,C11642,C11618,C11594)/POBLA!$B$1*100000</f>
        <v>233.69631428195007</v>
      </c>
      <c r="N11738" s="42" t="s">
        <v>319</v>
      </c>
      <c r="O11738" s="42">
        <v>114</v>
      </c>
      <c r="P11738" s="42">
        <v>151</v>
      </c>
      <c r="Q11738" s="42">
        <v>2</v>
      </c>
      <c r="R11738" s="42">
        <v>267</v>
      </c>
    </row>
    <row r="11739" spans="1:18" x14ac:dyDescent="0.25">
      <c r="A11739" s="367" t="s">
        <v>43</v>
      </c>
      <c r="B11739" s="2">
        <v>44382</v>
      </c>
      <c r="C11739" s="1">
        <v>1092</v>
      </c>
      <c r="D11739" s="39">
        <f t="shared" ref="D11739:D11753" si="2096">C11739+D11715</f>
        <v>469337</v>
      </c>
      <c r="E11739" s="1">
        <v>36</v>
      </c>
      <c r="F11739" s="39">
        <f t="shared" ref="F11739:F11756" si="2097">E11739+F11715</f>
        <v>10469</v>
      </c>
      <c r="G11739" s="168">
        <f>SUM(C11739,C11715,C11691,C11667,C11643,C11619,C11595,C11571,C11547,C11523,C11499,C11475,C11451,C11427)/POBLA!$B$2*100000</f>
        <v>572.46510164043582</v>
      </c>
      <c r="H11739" s="256">
        <f t="shared" ref="H11739:H11761" si="2098">SUM(C11739,C11715,C11691,C11667,C11643,C11619,C11595,C11571,C11547,C11523,C11499,C11475,C11451,C11427,)/SUM(C11403,C11379,C11355,C11331,C11307,C11283,C11259,C11235,C11211,C11187,C11163,C11139,C11115,C11091)</f>
        <v>0.86156782149148559</v>
      </c>
      <c r="I11739" s="297">
        <f t="shared" ref="I11739:I11745" si="2099">G11739*H11739</f>
        <v>493.21751050025216</v>
      </c>
      <c r="J11739" s="422">
        <f>AVERAGE(C11739,C11715,C11691,C11667,C11643,C11619,C11595)</f>
        <v>1126.8571428571429</v>
      </c>
      <c r="K11739" s="297">
        <f>J11739/POBLA!$B$2*100000</f>
        <v>36.63806377122539</v>
      </c>
      <c r="L11739" s="200">
        <f>(SUM(C11739,C11715,C11691,C11667,C11643,C11619,C11595)/SUM(C11571,C11547,C11523,C11499,C11475,C11451,C11427))-1</f>
        <v>-0.18839386768186028</v>
      </c>
      <c r="M11739" s="401">
        <f>SUM(C11739,C11715,C11691,C11667,C11643,C11619,C11595)/POBLA!$B$2*100000</f>
        <v>256.46644639857772</v>
      </c>
      <c r="N11739" s="42" t="s">
        <v>43</v>
      </c>
      <c r="O11739" s="42">
        <v>15</v>
      </c>
      <c r="P11739" s="42">
        <v>21</v>
      </c>
      <c r="Q11739" s="42">
        <v>0</v>
      </c>
      <c r="R11739" s="42">
        <v>36</v>
      </c>
    </row>
    <row r="11740" spans="1:18" x14ac:dyDescent="0.25">
      <c r="A11740" s="367" t="s">
        <v>28</v>
      </c>
      <c r="B11740" s="2">
        <v>44382</v>
      </c>
      <c r="C11740" s="1">
        <v>279</v>
      </c>
      <c r="D11740" s="39">
        <f t="shared" si="2096"/>
        <v>35584</v>
      </c>
      <c r="E11740" s="1">
        <v>14</v>
      </c>
      <c r="F11740" s="39">
        <f t="shared" si="2097"/>
        <v>343</v>
      </c>
      <c r="G11740" s="168">
        <f>SUM(C11740,C11716,C11692,C11668,C11644,C11620,C11596,C11572,C11548,C11524,C11500,C11476,C11452,C11428)/POBLA!$B$3*100000</f>
        <v>1043.7177147973946</v>
      </c>
      <c r="H11740" s="256">
        <f t="shared" si="2098"/>
        <v>0.9554869986778316</v>
      </c>
      <c r="I11740" s="297">
        <f t="shared" si="2099"/>
        <v>997.25870677864759</v>
      </c>
      <c r="J11740" s="422">
        <f t="shared" ref="J11740:J11761" si="2100">AVERAGE(C11740,C11716,C11692,C11668,C11644,C11620,C11596)</f>
        <v>279.14285714285717</v>
      </c>
      <c r="K11740" s="297">
        <f>J11740/POBLA!$B$3*100000</f>
        <v>67.192422730433222</v>
      </c>
      <c r="L11740" s="200">
        <f t="shared" ref="L11740:L11761" si="2101">(SUM(C11740,C11716,C11692,C11668,C11644,C11620,C11596)/SUM(C11572,C11548,C11524,C11500,C11476,C11452,C11428))-1</f>
        <v>-0.17968094038623006</v>
      </c>
      <c r="M11740" s="401">
        <f>SUM(C11740,C11716,C11692,C11668,C11644,C11620,C11596)/POBLA!$B$3*100000</f>
        <v>470.34695911303254</v>
      </c>
      <c r="N11740" s="42" t="s">
        <v>28</v>
      </c>
      <c r="O11740" s="42">
        <v>7</v>
      </c>
      <c r="P11740" s="42">
        <v>7</v>
      </c>
      <c r="Q11740" s="42">
        <v>0</v>
      </c>
      <c r="R11740" s="42">
        <v>14</v>
      </c>
    </row>
    <row r="11741" spans="1:18" x14ac:dyDescent="0.25">
      <c r="A11741" s="367" t="s">
        <v>15</v>
      </c>
      <c r="B11741" s="2">
        <v>44382</v>
      </c>
      <c r="C11741" s="1">
        <v>420</v>
      </c>
      <c r="D11741" s="39">
        <f t="shared" si="2096"/>
        <v>79422</v>
      </c>
      <c r="E11741" s="1">
        <v>24</v>
      </c>
      <c r="F11741" s="39">
        <f t="shared" si="2097"/>
        <v>1729</v>
      </c>
      <c r="G11741" s="168">
        <f>SUM(C11741,C11717,C11693,C11669,C11645,C11621,C11597,C11573,C11549,C11525,C11501,C11477,C11453,C11429)/POBLA!$B$4*100000</f>
        <v>626.04759821375944</v>
      </c>
      <c r="H11741" s="256">
        <f t="shared" si="2098"/>
        <v>0.88209147268686394</v>
      </c>
      <c r="I11741" s="297">
        <f t="shared" si="2099"/>
        <v>552.23124788044913</v>
      </c>
      <c r="J11741" s="422">
        <f t="shared" si="2100"/>
        <v>537.57142857142856</v>
      </c>
      <c r="K11741" s="297">
        <f>J11741/POBLA!$B$4*100000</f>
        <v>44.628736470691202</v>
      </c>
      <c r="L11741" s="200">
        <f t="shared" si="2101"/>
        <v>-3.9703546850184956E-3</v>
      </c>
      <c r="M11741" s="401">
        <f>SUM(C11741,C11717,C11693,C11669,C11645,C11621,C11597)/POBLA!$B$4*100000</f>
        <v>312.40115529483842</v>
      </c>
      <c r="N11741" s="42" t="s">
        <v>15</v>
      </c>
      <c r="O11741" s="42">
        <v>12</v>
      </c>
      <c r="P11741" s="42">
        <v>12</v>
      </c>
      <c r="Q11741" s="42">
        <v>0</v>
      </c>
      <c r="R11741" s="42">
        <v>24</v>
      </c>
    </row>
    <row r="11742" spans="1:18" x14ac:dyDescent="0.25">
      <c r="A11742" s="367" t="s">
        <v>29</v>
      </c>
      <c r="B11742" s="2">
        <v>44382</v>
      </c>
      <c r="C11742" s="1">
        <v>151</v>
      </c>
      <c r="D11742" s="39">
        <f t="shared" si="2096"/>
        <v>71652</v>
      </c>
      <c r="E11742" s="1">
        <v>4</v>
      </c>
      <c r="F11742" s="39">
        <f t="shared" si="2097"/>
        <v>1226</v>
      </c>
      <c r="G11742" s="168">
        <f>SUM(C11742,C11718,C11694,C11670,C11646,C11622,C11598,C11574,C11550,C11526,C11502,C11478,C11454,C11430)/POBLA!$B$5*100000</f>
        <v>494.51206312177499</v>
      </c>
      <c r="H11742" s="256">
        <f t="shared" si="2098"/>
        <v>0.99415394608639174</v>
      </c>
      <c r="I11742" s="297">
        <f t="shared" si="2099"/>
        <v>491.62111893983541</v>
      </c>
      <c r="J11742" s="422">
        <f t="shared" si="2100"/>
        <v>186.85714285714286</v>
      </c>
      <c r="K11742" s="297">
        <f>J11742/POBLA!$B$5*100000</f>
        <v>30.187230063157781</v>
      </c>
      <c r="L11742" s="200">
        <f t="shared" si="2101"/>
        <v>-0.25385054192812317</v>
      </c>
      <c r="M11742" s="401">
        <f>SUM(C11742,C11718,C11694,C11670,C11646,C11622,C11598)/POBLA!$B$5*100000</f>
        <v>211.31061044210443</v>
      </c>
      <c r="N11742" s="42" t="s">
        <v>29</v>
      </c>
      <c r="O11742" s="42">
        <v>3</v>
      </c>
      <c r="P11742" s="42">
        <v>1</v>
      </c>
      <c r="Q11742" s="42">
        <v>0</v>
      </c>
      <c r="R11742" s="42">
        <v>4</v>
      </c>
    </row>
    <row r="11743" spans="1:18" x14ac:dyDescent="0.25">
      <c r="A11743" s="367" t="s">
        <v>30</v>
      </c>
      <c r="B11743" s="2">
        <v>44382</v>
      </c>
      <c r="C11743" s="1">
        <v>317</v>
      </c>
      <c r="D11743" s="39">
        <f t="shared" si="2096"/>
        <v>68305</v>
      </c>
      <c r="E11743" s="1">
        <v>13</v>
      </c>
      <c r="F11743" s="39">
        <f t="shared" si="2097"/>
        <v>768</v>
      </c>
      <c r="G11743" s="168">
        <f>SUM(C11743,C11719,C11695,C11671,C11647,C11623,C11599,C11575,C11551,C11527,C11503,C11479,C11455,C11431)/POBLA!$B$6*100000</f>
        <v>650.87379472359498</v>
      </c>
      <c r="H11743" s="256">
        <f t="shared" si="2098"/>
        <v>1.2031997361042388</v>
      </c>
      <c r="I11743" s="297">
        <f t="shared" si="2099"/>
        <v>783.13117804859394</v>
      </c>
      <c r="J11743" s="422">
        <f t="shared" si="2100"/>
        <v>466.57142857142856</v>
      </c>
      <c r="K11743" s="297">
        <f>J11743/POBLA!$B$6*100000</f>
        <v>41.6283915317196</v>
      </c>
      <c r="L11743" s="200">
        <f t="shared" si="2101"/>
        <v>-0.18937701662943662</v>
      </c>
      <c r="M11743" s="401">
        <f>SUM(C11743,C11719,C11695,C11671,C11647,C11623,C11599)/POBLA!$B$6*100000</f>
        <v>291.39874072203719</v>
      </c>
      <c r="N11743" s="42" t="s">
        <v>30</v>
      </c>
      <c r="O11743" s="42">
        <v>7</v>
      </c>
      <c r="P11743" s="42">
        <v>6</v>
      </c>
      <c r="Q11743" s="42">
        <v>0</v>
      </c>
      <c r="R11743" s="42">
        <v>13</v>
      </c>
    </row>
    <row r="11744" spans="1:18" x14ac:dyDescent="0.25">
      <c r="A11744" s="367" t="s">
        <v>20</v>
      </c>
      <c r="B11744" s="2">
        <v>44382</v>
      </c>
      <c r="C11744" s="1">
        <v>2102</v>
      </c>
      <c r="D11744" s="39">
        <f t="shared" si="2096"/>
        <v>420378</v>
      </c>
      <c r="E11744" s="1">
        <v>49</v>
      </c>
      <c r="F11744" s="39">
        <f t="shared" si="2097"/>
        <v>5516</v>
      </c>
      <c r="G11744" s="168">
        <f>SUM(C11744,C11720,C11696,C11672,C11648,C11624,C11600,C11576,C11552,C11528,C11504,C11480,C11456,C11432)/POBLA!$B$7*100000</f>
        <v>934.38285311598349</v>
      </c>
      <c r="H11744" s="256">
        <f t="shared" si="2098"/>
        <v>0.80179357871437373</v>
      </c>
      <c r="I11744" s="297">
        <f t="shared" si="2099"/>
        <v>749.18217168921137</v>
      </c>
      <c r="J11744" s="422">
        <f t="shared" si="2100"/>
        <v>2250.4285714285716</v>
      </c>
      <c r="K11744" s="297">
        <f>J11744/POBLA!$B$7*100000</f>
        <v>59.844661448192937</v>
      </c>
      <c r="L11744" s="200">
        <f t="shared" si="2101"/>
        <v>-0.18731943871234003</v>
      </c>
      <c r="M11744" s="401">
        <f>SUM(C11744,C11720,C11696,C11672,C11648,C11624,C11600)/POBLA!$B$7*100000</f>
        <v>418.91263013735056</v>
      </c>
      <c r="N11744" s="42" t="s">
        <v>20</v>
      </c>
      <c r="O11744" s="42">
        <v>19</v>
      </c>
      <c r="P11744" s="42">
        <v>30</v>
      </c>
      <c r="Q11744" s="42">
        <v>0</v>
      </c>
      <c r="R11744" s="42">
        <v>49</v>
      </c>
    </row>
    <row r="11745" spans="1:18" x14ac:dyDescent="0.25">
      <c r="A11745" s="367" t="s">
        <v>31</v>
      </c>
      <c r="B11745" s="2">
        <v>44382</v>
      </c>
      <c r="C11745" s="1">
        <v>582</v>
      </c>
      <c r="D11745" s="39">
        <f t="shared" si="2096"/>
        <v>113485</v>
      </c>
      <c r="E11745" s="1">
        <v>21</v>
      </c>
      <c r="F11745" s="39">
        <f t="shared" si="2097"/>
        <v>1884</v>
      </c>
      <c r="G11745" s="168">
        <f>SUM(C11745,C11721,C11697,C11673,C11649,C11625,C11601,C11577,C11553,C11529,C11505,C11481,C11457,C11433)/POBLA!$B$8*100000</f>
        <v>731.04510155769174</v>
      </c>
      <c r="H11745" s="256">
        <f t="shared" si="2098"/>
        <v>0.92327319117915074</v>
      </c>
      <c r="I11745" s="297">
        <f t="shared" si="2099"/>
        <v>674.95434381105645</v>
      </c>
      <c r="J11745" s="422">
        <f t="shared" si="2100"/>
        <v>728.28571428571433</v>
      </c>
      <c r="K11745" s="297">
        <f>J11745/POBLA!$B$8*100000</f>
        <v>52.547345436539288</v>
      </c>
      <c r="L11745" s="200">
        <f t="shared" si="2101"/>
        <v>1.2713547874453779E-2</v>
      </c>
      <c r="M11745" s="401">
        <f>SUM(C11745,C11721,C11697,C11673,C11649,C11625,C11601)/POBLA!$B$8*100000</f>
        <v>367.83141805577498</v>
      </c>
      <c r="N11745" s="42" t="s">
        <v>31</v>
      </c>
      <c r="O11745" s="42">
        <v>6</v>
      </c>
      <c r="P11745" s="42">
        <v>15</v>
      </c>
      <c r="Q11745" s="42">
        <v>0</v>
      </c>
      <c r="R11745" s="42">
        <v>21</v>
      </c>
    </row>
    <row r="11746" spans="1:18" x14ac:dyDescent="0.25">
      <c r="A11746" s="367" t="s">
        <v>41</v>
      </c>
      <c r="B11746" s="2">
        <v>44382</v>
      </c>
      <c r="C11746" s="1">
        <v>294</v>
      </c>
      <c r="D11746" s="39">
        <f t="shared" si="2096"/>
        <v>47418</v>
      </c>
      <c r="E11746" s="1">
        <v>4</v>
      </c>
      <c r="F11746" s="39">
        <f t="shared" si="2097"/>
        <v>845</v>
      </c>
      <c r="G11746" s="168">
        <f>SUM(C11746,C11722,C11698,C11674,C11650,C11626,C11602,C11578,C11554,C11530,C11506,C11482,C11458,C11434)/POBLA!$B$9*100000</f>
        <v>904.33960736492327</v>
      </c>
      <c r="H11746" s="256">
        <f t="shared" si="2098"/>
        <v>0.88146239330004827</v>
      </c>
      <c r="I11746" s="297">
        <f>G11746*H11746</f>
        <v>797.14135466391122</v>
      </c>
      <c r="J11746" s="422">
        <f t="shared" si="2100"/>
        <v>370.42857142857144</v>
      </c>
      <c r="K11746" s="297">
        <f>J11746/POBLA!$B$9*100000</f>
        <v>61.208337080662112</v>
      </c>
      <c r="L11746" s="200">
        <f t="shared" si="2101"/>
        <v>-9.9652777777777812E-2</v>
      </c>
      <c r="M11746" s="401">
        <f>SUM(C11746,C11722,C11698,C11674,C11650,C11626,C11602)/POBLA!$B$9*100000</f>
        <v>428.45835956463469</v>
      </c>
      <c r="N11746" s="42" t="s">
        <v>41</v>
      </c>
      <c r="O11746" s="42">
        <v>2</v>
      </c>
      <c r="P11746" s="42">
        <v>2</v>
      </c>
      <c r="Q11746" s="42">
        <v>0</v>
      </c>
      <c r="R11746" s="42">
        <v>4</v>
      </c>
    </row>
    <row r="11747" spans="1:18" x14ac:dyDescent="0.25">
      <c r="A11747" s="367" t="s">
        <v>32</v>
      </c>
      <c r="B11747" s="2">
        <v>44382</v>
      </c>
      <c r="C11747" s="1">
        <v>279</v>
      </c>
      <c r="D11747" s="39">
        <f t="shared" si="2096"/>
        <v>37190</v>
      </c>
      <c r="E11747" s="1">
        <v>6</v>
      </c>
      <c r="F11747" s="39">
        <f t="shared" si="2097"/>
        <v>1195</v>
      </c>
      <c r="G11747" s="168">
        <f>SUM(C11747,C11723,C11699,C11675,C11651,C11627,C11603,C11579,C11555,C11531,C11507,C11483,C11459,C11435)/POBLA!$B$10*100000</f>
        <v>495.01803780350019</v>
      </c>
      <c r="H11747" s="256">
        <f t="shared" si="2098"/>
        <v>1.1380852967491799</v>
      </c>
      <c r="I11747" s="297">
        <f t="shared" ref="I11747:I11761" si="2102">G11747*H11747</f>
        <v>563.37275044979333</v>
      </c>
      <c r="J11747" s="422">
        <f t="shared" si="2100"/>
        <v>277.71428571428572</v>
      </c>
      <c r="K11747" s="297">
        <f>J11747/POBLA!$B$10*100000</f>
        <v>36.025571484351765</v>
      </c>
      <c r="L11747" s="200">
        <f t="shared" si="2101"/>
        <v>3.8461538461538547E-2</v>
      </c>
      <c r="M11747" s="401">
        <f>SUM(C11747,C11723,C11699,C11675,C11651,C11627,C11603)/POBLA!$B$10*100000</f>
        <v>252.17900039046233</v>
      </c>
      <c r="N11747" s="42" t="s">
        <v>32</v>
      </c>
      <c r="O11747" s="42">
        <v>2</v>
      </c>
      <c r="P11747" s="42">
        <v>4</v>
      </c>
      <c r="Q11747" s="42">
        <v>0</v>
      </c>
      <c r="R11747" s="42">
        <v>6</v>
      </c>
    </row>
    <row r="11748" spans="1:18" x14ac:dyDescent="0.25">
      <c r="A11748" s="367" t="s">
        <v>33</v>
      </c>
      <c r="B11748" s="2">
        <v>44382</v>
      </c>
      <c r="C11748" s="1">
        <v>323</v>
      </c>
      <c r="D11748" s="39">
        <f t="shared" si="2096"/>
        <v>54323</v>
      </c>
      <c r="E11748" s="1">
        <v>11</v>
      </c>
      <c r="F11748" s="39">
        <f t="shared" si="2097"/>
        <v>753</v>
      </c>
      <c r="G11748" s="168">
        <f>SUM(C11748,C11724,C11700,C11676,C11652,C11628,C11604,C11580,C11556,C11532,C11508,C11484,C11460,C11436)/POBLA!$B$11*100000</f>
        <v>1390.795361969489</v>
      </c>
      <c r="H11748" s="256">
        <f t="shared" si="2098"/>
        <v>1.3303976514544968</v>
      </c>
      <c r="I11748" s="297">
        <f t="shared" si="2102"/>
        <v>1850.3108832180151</v>
      </c>
      <c r="J11748" s="422">
        <f t="shared" si="2100"/>
        <v>275.28571428571428</v>
      </c>
      <c r="K11748" s="297">
        <f>J11748/POBLA!$B$11*100000</f>
        <v>76.803629818461246</v>
      </c>
      <c r="L11748" s="200">
        <f t="shared" si="2101"/>
        <v>-0.36984957488554615</v>
      </c>
      <c r="M11748" s="401">
        <f>SUM(C11748,C11724,C11700,C11676,C11652,C11628,C11604)/POBLA!$B$11*100000</f>
        <v>537.62540872922875</v>
      </c>
      <c r="N11748" s="42" t="s">
        <v>33</v>
      </c>
      <c r="O11748" s="42">
        <v>3</v>
      </c>
      <c r="P11748" s="42">
        <v>8</v>
      </c>
      <c r="Q11748" s="42">
        <v>0</v>
      </c>
      <c r="R11748" s="42">
        <v>11</v>
      </c>
    </row>
    <row r="11749" spans="1:18" x14ac:dyDescent="0.25">
      <c r="A11749" s="367" t="s">
        <v>21</v>
      </c>
      <c r="B11749" s="2">
        <v>44382</v>
      </c>
      <c r="C11749" s="1">
        <v>238</v>
      </c>
      <c r="D11749" s="39">
        <f t="shared" si="2096"/>
        <v>23100</v>
      </c>
      <c r="E11749" s="1">
        <v>1</v>
      </c>
      <c r="F11749" s="39">
        <f t="shared" si="2097"/>
        <v>641</v>
      </c>
      <c r="G11749" s="168">
        <f>SUM(C11749,C11725,C11701,C11677,C11653,C11629,C11605,C11581,C11557,C11533,C11509,C11485,C11461,C11437)/POBLA!$B$12*100000</f>
        <v>618.24862590240673</v>
      </c>
      <c r="H11749" s="256">
        <f t="shared" si="2098"/>
        <v>1.1885686370297996</v>
      </c>
      <c r="I11749" s="297">
        <f t="shared" si="2102"/>
        <v>734.83092663437003</v>
      </c>
      <c r="J11749" s="422">
        <f t="shared" si="2100"/>
        <v>187.57142857142858</v>
      </c>
      <c r="K11749" s="297">
        <f>J11749/POBLA!$B$12*100000</f>
        <v>47.6636983036733</v>
      </c>
      <c r="L11749" s="200">
        <f t="shared" si="2101"/>
        <v>0.17232142857142851</v>
      </c>
      <c r="M11749" s="401">
        <f>SUM(C11749,C11725,C11701,C11677,C11653,C11629,C11605)/POBLA!$B$12*100000</f>
        <v>333.6458881257131</v>
      </c>
      <c r="N11749" s="42" t="s">
        <v>21</v>
      </c>
      <c r="O11749" s="42">
        <v>0</v>
      </c>
      <c r="P11749" s="42">
        <v>1</v>
      </c>
      <c r="Q11749" s="42">
        <v>0</v>
      </c>
      <c r="R11749" s="42">
        <v>1</v>
      </c>
    </row>
    <row r="11750" spans="1:18" x14ac:dyDescent="0.25">
      <c r="A11750" s="367" t="s">
        <v>17</v>
      </c>
      <c r="B11750" s="2">
        <v>44382</v>
      </c>
      <c r="C11750" s="1">
        <v>562</v>
      </c>
      <c r="D11750" s="39">
        <f t="shared" si="2096"/>
        <v>142546</v>
      </c>
      <c r="E11750" s="1">
        <v>18</v>
      </c>
      <c r="F11750" s="39">
        <f t="shared" si="2097"/>
        <v>3365</v>
      </c>
      <c r="G11750" s="168">
        <f>SUM(C11750,C11726,C11702,C11678,C11654,C11630,C11606,C11582,C11558,C11534,C11510,C11486,C11462,C11438)/POBLA!$B$13*100000</f>
        <v>415.75852945580101</v>
      </c>
      <c r="H11750" s="256">
        <f t="shared" si="2098"/>
        <v>0.97697756788665879</v>
      </c>
      <c r="I11750" s="297">
        <f t="shared" si="2102"/>
        <v>406.18675693586226</v>
      </c>
      <c r="J11750" s="422">
        <f t="shared" si="2100"/>
        <v>572.57142857142856</v>
      </c>
      <c r="K11750" s="297">
        <f>J11750/POBLA!$B$13*100000</f>
        <v>28.767547450303848</v>
      </c>
      <c r="L11750" s="200">
        <f t="shared" si="2101"/>
        <v>-6.0698382938832895E-2</v>
      </c>
      <c r="M11750" s="401">
        <f>SUM(C11750,C11726,C11702,C11678,C11654,C11630,C11606)/POBLA!$B$13*100000</f>
        <v>201.37283215212693</v>
      </c>
      <c r="N11750" s="42" t="s">
        <v>17</v>
      </c>
      <c r="O11750" s="42">
        <v>7</v>
      </c>
      <c r="P11750" s="42">
        <v>11</v>
      </c>
      <c r="Q11750" s="42">
        <v>0</v>
      </c>
      <c r="R11750" s="42">
        <v>18</v>
      </c>
    </row>
    <row r="11751" spans="1:18" x14ac:dyDescent="0.25">
      <c r="A11751" s="367" t="s">
        <v>23</v>
      </c>
      <c r="B11751" s="2">
        <v>44382</v>
      </c>
      <c r="C11751" s="1">
        <v>153</v>
      </c>
      <c r="D11751" s="39">
        <f t="shared" si="2096"/>
        <v>26523</v>
      </c>
      <c r="E11751" s="1">
        <v>2</v>
      </c>
      <c r="F11751" s="39">
        <f t="shared" si="2097"/>
        <v>445</v>
      </c>
      <c r="G11751" s="168">
        <f>SUM(C11751,C11727,C11703,C11679,C11655,C11631,C11607,C11583,C11559,C11535,C11511,C11487,C11463,C11439)/POBLA!$B$14*100000</f>
        <v>202.80759283719738</v>
      </c>
      <c r="H11751" s="256">
        <f t="shared" si="2098"/>
        <v>1.1170305676855896</v>
      </c>
      <c r="I11751" s="297">
        <f t="shared" si="2102"/>
        <v>226.54228055788249</v>
      </c>
      <c r="J11751" s="422">
        <f t="shared" si="2100"/>
        <v>174.14285714285714</v>
      </c>
      <c r="K11751" s="297">
        <f>J11751/POBLA!$B$14*100000</f>
        <v>13.806682434298201</v>
      </c>
      <c r="L11751" s="200">
        <f t="shared" si="2101"/>
        <v>-8.9619118745332349E-2</v>
      </c>
      <c r="M11751" s="401">
        <f>SUM(C11751,C11727,C11703,C11679,C11655,C11631,C11607)/POBLA!$B$14*100000</f>
        <v>96.6467770400874</v>
      </c>
      <c r="N11751" s="42" t="s">
        <v>23</v>
      </c>
      <c r="O11751" s="42">
        <v>1</v>
      </c>
      <c r="P11751" s="42">
        <v>1</v>
      </c>
      <c r="Q11751" s="42">
        <v>0</v>
      </c>
      <c r="R11751" s="42">
        <v>2</v>
      </c>
    </row>
    <row r="11752" spans="1:18" x14ac:dyDescent="0.25">
      <c r="A11752" s="367" t="s">
        <v>19</v>
      </c>
      <c r="B11752" s="2">
        <v>44382</v>
      </c>
      <c r="C11752" s="1">
        <v>224</v>
      </c>
      <c r="D11752" s="39">
        <f t="shared" si="2096"/>
        <v>102449</v>
      </c>
      <c r="E11752" s="1">
        <v>21</v>
      </c>
      <c r="F11752" s="39">
        <f t="shared" si="2097"/>
        <v>1866</v>
      </c>
      <c r="G11752" s="168">
        <f>SUM(C11752,C11728,C11704,C11680,C11656,C11632,C11608,C11584,C11560,C11536,C11512,C11488,C11464,C11440)/POBLA!$B$15*100000</f>
        <v>500.71002941012597</v>
      </c>
      <c r="H11752" s="256">
        <f t="shared" si="2098"/>
        <v>0.73872472783825816</v>
      </c>
      <c r="I11752" s="297">
        <f t="shared" si="2102"/>
        <v>369.88688020188152</v>
      </c>
      <c r="J11752" s="422">
        <f t="shared" si="2100"/>
        <v>210.28571428571428</v>
      </c>
      <c r="K11752" s="297">
        <f>J11752/POBLA!$B$15*100000</f>
        <v>31.666816897602807</v>
      </c>
      <c r="L11752" s="200">
        <f t="shared" si="2101"/>
        <v>-0.2056125202374528</v>
      </c>
      <c r="M11752" s="401">
        <f>SUM(C11752,C11728,C11704,C11680,C11656,C11632,C11608)/POBLA!$B$15*100000</f>
        <v>221.66771828321967</v>
      </c>
      <c r="N11752" s="42" t="s">
        <v>19</v>
      </c>
      <c r="O11752" s="42">
        <v>6</v>
      </c>
      <c r="P11752" s="42">
        <v>14</v>
      </c>
      <c r="Q11752" s="42">
        <v>1</v>
      </c>
      <c r="R11752" s="42">
        <v>21</v>
      </c>
    </row>
    <row r="11753" spans="1:18" x14ac:dyDescent="0.25">
      <c r="A11753" s="367" t="s">
        <v>18</v>
      </c>
      <c r="B11753" s="2">
        <v>44382</v>
      </c>
      <c r="C11753" s="1">
        <v>238</v>
      </c>
      <c r="D11753" s="39">
        <f t="shared" si="2096"/>
        <v>85257</v>
      </c>
      <c r="E11753" s="1">
        <v>8</v>
      </c>
      <c r="F11753" s="39">
        <f t="shared" si="2097"/>
        <v>1959</v>
      </c>
      <c r="G11753" s="168">
        <f>SUM(C11753,C11729,C11705,C11681,C11657,C11633,C11609,C11585,C11561,C11537,C11513,C11489,C11465,C11441)/POBLA!$B$16*100000</f>
        <v>464.41326360000534</v>
      </c>
      <c r="H11753" s="256">
        <f t="shared" si="2098"/>
        <v>0.74506437768240341</v>
      </c>
      <c r="I11753" s="297">
        <f t="shared" si="2102"/>
        <v>346.01777923159193</v>
      </c>
      <c r="J11753" s="422">
        <f t="shared" si="2100"/>
        <v>225.28571428571428</v>
      </c>
      <c r="K11753" s="297">
        <f>J11753/POBLA!$B$16*100000</f>
        <v>30.134122642248535</v>
      </c>
      <c r="L11753" s="200">
        <f t="shared" si="2101"/>
        <v>-0.16781002638522424</v>
      </c>
      <c r="M11753" s="401">
        <f>SUM(C11753,C11729,C11705,C11681,C11657,C11633,C11609)/POBLA!$B$16*100000</f>
        <v>210.93885849573974</v>
      </c>
      <c r="N11753" s="42" t="s">
        <v>18</v>
      </c>
      <c r="O11753" s="42">
        <v>3</v>
      </c>
      <c r="P11753" s="42">
        <v>5</v>
      </c>
      <c r="Q11753" s="42">
        <v>0</v>
      </c>
      <c r="R11753" s="42">
        <v>8</v>
      </c>
    </row>
    <row r="11754" spans="1:18" x14ac:dyDescent="0.25">
      <c r="A11754" s="367" t="s">
        <v>34</v>
      </c>
      <c r="B11754" s="2">
        <v>44382</v>
      </c>
      <c r="C11754" s="1">
        <v>457</v>
      </c>
      <c r="D11754" s="39">
        <f>C11754+D11730</f>
        <v>63721</v>
      </c>
      <c r="E11754" s="1">
        <v>21</v>
      </c>
      <c r="F11754" s="39">
        <f t="shared" si="2097"/>
        <v>1780</v>
      </c>
      <c r="G11754" s="168">
        <f>SUM(C11754,C11730,C11706,C11682,C11658,C11634,C11610,C11586,C11562,C11538,C11514,C11490,C11466,C11442)/POBLA!$B$17*100000</f>
        <v>516.14823676264405</v>
      </c>
      <c r="H11754" s="256">
        <f t="shared" si="2098"/>
        <v>1.0667440510737087</v>
      </c>
      <c r="I11754" s="297">
        <f t="shared" si="2102"/>
        <v>550.59806103873461</v>
      </c>
      <c r="J11754" s="422">
        <f t="shared" si="2100"/>
        <v>514</v>
      </c>
      <c r="K11754" s="297">
        <f>J11754/POBLA!$B$17*100000</f>
        <v>36.085445279651672</v>
      </c>
      <c r="L11754" s="200">
        <f t="shared" si="2101"/>
        <v>-4.1555673947789029E-2</v>
      </c>
      <c r="M11754" s="401">
        <f>SUM(C11754,C11730,C11706,C11682,C11658,C11634,C11610)/POBLA!$B$17*100000</f>
        <v>252.5981169575617</v>
      </c>
      <c r="N11754" s="42" t="s">
        <v>34</v>
      </c>
      <c r="O11754" s="42">
        <v>10</v>
      </c>
      <c r="P11754" s="42">
        <v>11</v>
      </c>
      <c r="Q11754" s="42">
        <v>0</v>
      </c>
      <c r="R11754" s="42">
        <v>21</v>
      </c>
    </row>
    <row r="11755" spans="1:18" x14ac:dyDescent="0.25">
      <c r="A11755" s="367" t="s">
        <v>35</v>
      </c>
      <c r="B11755" s="2">
        <v>44382</v>
      </c>
      <c r="C11755" s="1">
        <v>411</v>
      </c>
      <c r="D11755" s="39">
        <f t="shared" ref="D11755:D11761" si="2103">C11755+D11731</f>
        <v>52638</v>
      </c>
      <c r="E11755" s="1">
        <v>11</v>
      </c>
      <c r="F11755" s="39">
        <f t="shared" si="2097"/>
        <v>847</v>
      </c>
      <c r="G11755" s="168">
        <f>SUM(C11755,C11731,C11707,C11683,C11659,C11635,C11611,C11587,C11563,C11539,C11515,C11491,C11467,C11443)/POBLA!$B$18*100000</f>
        <v>754.46386855380774</v>
      </c>
      <c r="H11755" s="256">
        <f t="shared" si="2098"/>
        <v>0.88658243080625754</v>
      </c>
      <c r="I11755" s="297">
        <f t="shared" si="2102"/>
        <v>668.89441053792768</v>
      </c>
      <c r="J11755" s="422">
        <f t="shared" si="2100"/>
        <v>417.57142857142856</v>
      </c>
      <c r="K11755" s="297">
        <f>J11755/POBLA!$B$18*100000</f>
        <v>53.451400644306077</v>
      </c>
      <c r="L11755" s="200">
        <f t="shared" si="2101"/>
        <v>-1.6156176371592057E-2</v>
      </c>
      <c r="M11755" s="401">
        <f>SUM(C11755,C11731,C11707,C11683,C11659,C11635,C11611)/POBLA!$B$18*100000</f>
        <v>374.15980451014252</v>
      </c>
      <c r="N11755" s="42" t="s">
        <v>35</v>
      </c>
      <c r="O11755" s="42">
        <v>5</v>
      </c>
      <c r="P11755" s="42">
        <v>6</v>
      </c>
      <c r="Q11755" s="42">
        <v>0</v>
      </c>
      <c r="R11755" s="42">
        <v>11</v>
      </c>
    </row>
    <row r="11756" spans="1:18" x14ac:dyDescent="0.25">
      <c r="A11756" s="367" t="s">
        <v>36</v>
      </c>
      <c r="B11756" s="2">
        <v>44382</v>
      </c>
      <c r="C11756" s="1">
        <v>260</v>
      </c>
      <c r="D11756" s="39">
        <f t="shared" si="2103"/>
        <v>67422</v>
      </c>
      <c r="E11756" s="1">
        <v>19</v>
      </c>
      <c r="F11756" s="39">
        <f t="shared" si="2097"/>
        <v>1001</v>
      </c>
      <c r="G11756" s="168">
        <f>SUM(C11756,C11732,C11708,C11684,C11660,C11636,C11612,C11588,C11564,C11540,C11516,C11492,C11468,C11444)/POBLA!$B$19*100000</f>
        <v>1001.5187044585385</v>
      </c>
      <c r="H11756" s="256">
        <f t="shared" si="2098"/>
        <v>0.90265957446808509</v>
      </c>
      <c r="I11756" s="297">
        <f t="shared" si="2102"/>
        <v>904.03044758837223</v>
      </c>
      <c r="J11756" s="422">
        <f t="shared" si="2100"/>
        <v>351.85714285714283</v>
      </c>
      <c r="K11756" s="297">
        <f>J11756/POBLA!$B$19*100000</f>
        <v>69.218524821993441</v>
      </c>
      <c r="L11756" s="200">
        <f t="shared" si="2101"/>
        <v>-6.2785388127853836E-2</v>
      </c>
      <c r="M11756" s="401">
        <f>SUM(C11756,C11732,C11708,C11684,C11660,C11636,C11612)/POBLA!$B$19*100000</f>
        <v>484.52967375395411</v>
      </c>
      <c r="N11756" s="42" t="s">
        <v>36</v>
      </c>
      <c r="O11756" s="42">
        <v>6</v>
      </c>
      <c r="P11756" s="42">
        <v>13</v>
      </c>
      <c r="Q11756" s="42">
        <v>0</v>
      </c>
      <c r="R11756" s="42">
        <v>19</v>
      </c>
    </row>
    <row r="11757" spans="1:18" x14ac:dyDescent="0.25">
      <c r="A11757" s="367" t="s">
        <v>37</v>
      </c>
      <c r="B11757" s="2">
        <v>44382</v>
      </c>
      <c r="C11757" s="1">
        <v>97</v>
      </c>
      <c r="D11757" s="39">
        <f t="shared" si="2103"/>
        <v>56018</v>
      </c>
      <c r="E11757" s="1">
        <v>3</v>
      </c>
      <c r="F11757" s="39">
        <f t="shared" ref="F11757:F11762" si="2104">E11757+F11733</f>
        <v>879</v>
      </c>
      <c r="G11757" s="168">
        <f>SUM(C11757,C11733,C11710,C11685,C11661,C11637,C11613,C11589,C11565,C11541,C11517,C11493,C11469,C11445)/POBLA!$B$20*100000</f>
        <v>809.41104408555691</v>
      </c>
      <c r="H11757" s="256">
        <f t="shared" si="2098"/>
        <v>0.96490147783251234</v>
      </c>
      <c r="I11757" s="297">
        <f t="shared" si="2102"/>
        <v>781.00191261211069</v>
      </c>
      <c r="J11757" s="422">
        <f t="shared" si="2100"/>
        <v>109</v>
      </c>
      <c r="K11757" s="297">
        <f>J11757/POBLA!$B$20*100000</f>
        <v>29.806014799096523</v>
      </c>
      <c r="L11757" s="200">
        <f t="shared" si="2101"/>
        <v>-5.0995024875621908E-2</v>
      </c>
      <c r="M11757" s="401">
        <f>SUM(C11757,C11733,C11709,C11685,C11661,C11637,C11613)/POBLA!$B$20*100000</f>
        <v>208.64210359367564</v>
      </c>
      <c r="N11757" s="42" t="s">
        <v>37</v>
      </c>
      <c r="O11757" s="42">
        <v>2</v>
      </c>
      <c r="P11757" s="42">
        <v>1</v>
      </c>
      <c r="Q11757" s="42">
        <v>0</v>
      </c>
      <c r="R11757" s="42">
        <v>3</v>
      </c>
    </row>
    <row r="11758" spans="1:18" x14ac:dyDescent="0.25">
      <c r="A11758" s="367" t="s">
        <v>22</v>
      </c>
      <c r="B11758" s="2">
        <v>44382</v>
      </c>
      <c r="C11758" s="1">
        <v>1300</v>
      </c>
      <c r="D11758" s="39">
        <f t="shared" si="2103"/>
        <v>412944</v>
      </c>
      <c r="E11758" s="1">
        <v>48</v>
      </c>
      <c r="F11758" s="39">
        <f t="shared" si="2104"/>
        <v>6885</v>
      </c>
      <c r="G11758" s="168">
        <f>SUM(C11758,C11734,C11710,C11686,C11662,C11638,C11614,C11590,C11566,C11542,C11518,C11494,C11470,C11446)/POBLA!$B$21*100000</f>
        <v>643.44769198663732</v>
      </c>
      <c r="H11758" s="256">
        <f t="shared" si="2098"/>
        <v>0.85419873118360301</v>
      </c>
      <c r="I11758" s="297">
        <f t="shared" si="2102"/>
        <v>549.63220207800339</v>
      </c>
      <c r="J11758" s="422">
        <f t="shared" si="2100"/>
        <v>1483.4285714285713</v>
      </c>
      <c r="K11758" s="297">
        <f>J11758/POBLA!$B$21*100000</f>
        <v>41.947206790276809</v>
      </c>
      <c r="L11758" s="200">
        <f t="shared" si="2101"/>
        <v>-0.16061757335704474</v>
      </c>
      <c r="M11758" s="401">
        <f>SUM(C11758,C11734,C11710,C11686,C11662,C11638,C11614)/POBLA!$B$21*100000</f>
        <v>293.6304475319377</v>
      </c>
      <c r="N11758" s="42" t="s">
        <v>22</v>
      </c>
      <c r="O11758" s="42">
        <v>21</v>
      </c>
      <c r="P11758" s="42">
        <v>27</v>
      </c>
      <c r="Q11758" s="42">
        <v>0</v>
      </c>
      <c r="R11758" s="42">
        <v>48</v>
      </c>
    </row>
    <row r="11759" spans="1:18" x14ac:dyDescent="0.25">
      <c r="A11759" s="367" t="s">
        <v>38</v>
      </c>
      <c r="B11759" s="2">
        <v>44382</v>
      </c>
      <c r="C11759" s="1">
        <v>406</v>
      </c>
      <c r="D11759" s="39">
        <f t="shared" si="2103"/>
        <v>62142</v>
      </c>
      <c r="E11759" s="1">
        <v>7</v>
      </c>
      <c r="F11759" s="39">
        <f t="shared" si="2104"/>
        <v>849</v>
      </c>
      <c r="G11759" s="168">
        <f>SUM(C11759,C11735,C11711,C11687,C11663,C11639,C11615,C11591,C11567,C11543,C11519,C11495,C11471,C11447)/POBLA!$B$22*100000</f>
        <v>745.87580866246287</v>
      </c>
      <c r="H11759" s="256">
        <f t="shared" si="2098"/>
        <v>1.0251475133464456</v>
      </c>
      <c r="I11759" s="297">
        <f t="shared" si="2102"/>
        <v>764.63273051559304</v>
      </c>
      <c r="J11759" s="422">
        <f t="shared" si="2100"/>
        <v>524.85714285714289</v>
      </c>
      <c r="K11759" s="297">
        <f>J11759/POBLA!$B$22*100000</f>
        <v>53.649204585561357</v>
      </c>
      <c r="L11759" s="200">
        <f t="shared" si="2101"/>
        <v>1.4076731990063429E-2</v>
      </c>
      <c r="M11759" s="401">
        <f>SUM(C11759,C11735,C11711,C11687,C11663,C11639,C11615)/POBLA!$B$22*100000</f>
        <v>375.54443209892946</v>
      </c>
      <c r="N11759" s="42" t="s">
        <v>38</v>
      </c>
      <c r="O11759" s="42">
        <v>5</v>
      </c>
      <c r="P11759" s="42">
        <v>2</v>
      </c>
      <c r="Q11759" s="42">
        <v>0</v>
      </c>
      <c r="R11759" s="42">
        <v>7</v>
      </c>
    </row>
    <row r="11760" spans="1:18" x14ac:dyDescent="0.25">
      <c r="A11760" s="367" t="s">
        <v>39</v>
      </c>
      <c r="B11760" s="2">
        <v>44382</v>
      </c>
      <c r="C11760" s="1">
        <v>43</v>
      </c>
      <c r="D11760" s="39">
        <f t="shared" si="2103"/>
        <v>29994</v>
      </c>
      <c r="F11760" s="39">
        <f t="shared" si="2104"/>
        <v>447</v>
      </c>
      <c r="G11760" s="168">
        <f>SUM(C11760,C11736,C11712,C11688,C11664,C11640,C11616,C11592,C11568,C11544,C11520,C11496,C11472,C11448)/POBLA!$B$23*100000</f>
        <v>371.54329016569585</v>
      </c>
      <c r="H11760" s="256">
        <f t="shared" si="2098"/>
        <v>1.3299595141700404</v>
      </c>
      <c r="I11760" s="297">
        <f t="shared" si="2102"/>
        <v>494.1375336819072</v>
      </c>
      <c r="J11760" s="422">
        <f t="shared" si="2100"/>
        <v>47.857142857142854</v>
      </c>
      <c r="K11760" s="297">
        <f>J11760/POBLA!$B$23*100000</f>
        <v>27.063927420201807</v>
      </c>
      <c r="L11760" s="200">
        <f t="shared" si="2101"/>
        <v>4.0372670807453437E-2</v>
      </c>
      <c r="M11760" s="401">
        <f>SUM(C11760,C11736,C11712,C11688,C11664,C11640,C11616)/POBLA!$B$23*100000</f>
        <v>189.44749194141266</v>
      </c>
    </row>
    <row r="11761" spans="1:18" ht="15.75" thickBot="1" x14ac:dyDescent="0.3">
      <c r="A11761" s="368" t="s">
        <v>40</v>
      </c>
      <c r="B11761" s="34">
        <v>44382</v>
      </c>
      <c r="C11761" s="232">
        <v>1789</v>
      </c>
      <c r="D11761" s="67">
        <f t="shared" si="2103"/>
        <v>162604</v>
      </c>
      <c r="E11761" s="232">
        <v>13</v>
      </c>
      <c r="F11761" s="67">
        <f t="shared" si="2104"/>
        <v>2326</v>
      </c>
      <c r="G11761" s="255">
        <f>SUM(C11761,C11737,C11713,C11689,C11665,C11641,C11617,C11593,C11569,C11545,C11521,C11497,C11473,C11449)/POBLA!$B$24*100000</f>
        <v>976.4813625892217</v>
      </c>
      <c r="H11761" s="257">
        <f t="shared" si="2098"/>
        <v>1.6624472573839661</v>
      </c>
      <c r="I11761" s="299">
        <f t="shared" si="2102"/>
        <v>1623.3487631230098</v>
      </c>
      <c r="J11761" s="428">
        <f t="shared" si="2100"/>
        <v>1271.1428571428571</v>
      </c>
      <c r="K11761" s="299">
        <f>J11761/POBLA!$B$24*100000</f>
        <v>75.008901933068259</v>
      </c>
      <c r="L11761" s="260">
        <f t="shared" si="2101"/>
        <v>0.16313725490196074</v>
      </c>
      <c r="M11761" s="406">
        <f>SUM(C11761,C11737,C11713,C11689,C11665,C11641,C11617)/POBLA!$B$24*100000</f>
        <v>525.0623135314778</v>
      </c>
      <c r="N11761" s="42" t="s">
        <v>40</v>
      </c>
      <c r="O11761" s="42">
        <v>4</v>
      </c>
      <c r="P11761" s="42">
        <v>9</v>
      </c>
      <c r="Q11761" s="42">
        <v>0</v>
      </c>
      <c r="R11761" s="42">
        <v>13</v>
      </c>
    </row>
    <row r="11762" spans="1:18" x14ac:dyDescent="0.25">
      <c r="A11762" s="363" t="s">
        <v>16</v>
      </c>
      <c r="B11762" s="265">
        <v>44383</v>
      </c>
      <c r="C11762" s="43">
        <v>6818</v>
      </c>
      <c r="D11762" s="174">
        <f>C11762+D11738</f>
        <v>1875116</v>
      </c>
      <c r="E11762" s="43">
        <v>176</v>
      </c>
      <c r="F11762" s="174">
        <f t="shared" si="2104"/>
        <v>48709</v>
      </c>
      <c r="G11762" s="175">
        <f>SUM(C11762,C11738,C11690,C11714,C11666,C11642,C11618,C11594,C11570,C11546,C11522,C11498,C11474,C11450)/POBLA!$B$1*100000</f>
        <v>505.18378479484318</v>
      </c>
      <c r="H11762" s="300">
        <f>SUM(C11762,C11738,C11714,C11690,C11666,C11642,C11618,C11594,C11570,C11546,C11522,C11498,C11474,C11450,)/SUM(C11426,C11402,C11378,C11354,C11330,C11306,C11282,C11258,C11234,C11210,C11186,C11162,C11138,C11114)</f>
        <v>0.90288957267743974</v>
      </c>
      <c r="I11762" s="301">
        <f>G11762*H11762</f>
        <v>456.12517157698761</v>
      </c>
      <c r="J11762" s="421">
        <f>AVERAGE(C11762,C11738,C11714,C11690,C11666,C11642,C11618)</f>
        <v>5628.1428571428569</v>
      </c>
      <c r="K11762" s="301">
        <f>J11762/POBLA!$B$1*100000</f>
        <v>32.085386333436674</v>
      </c>
      <c r="L11762" s="399">
        <f>(SUM(C11762,C11738,C11714,C11690,C11666,C11642,C11618)/SUM(C11594,C11570,C11546,C11522,C11498,C11474,C11450))-1</f>
        <v>-0.19954081839977245</v>
      </c>
      <c r="M11762" s="400">
        <f>SUM(C11762,C11738,C11714,C11690,C11666,C11642,C11618)/POBLA!$B$1*100000</f>
        <v>224.59770433405674</v>
      </c>
      <c r="N11762" s="42" t="s">
        <v>16</v>
      </c>
      <c r="O11762" s="42">
        <v>63</v>
      </c>
      <c r="P11762" s="42">
        <v>110</v>
      </c>
      <c r="Q11762" s="42">
        <v>3</v>
      </c>
      <c r="R11762" s="42">
        <v>176</v>
      </c>
    </row>
    <row r="11763" spans="1:18" x14ac:dyDescent="0.25">
      <c r="A11763" s="367" t="s">
        <v>43</v>
      </c>
      <c r="B11763" s="2">
        <v>44383</v>
      </c>
      <c r="C11763" s="1">
        <v>1170</v>
      </c>
      <c r="D11763" s="39">
        <f t="shared" ref="D11763:D11777" si="2105">C11763+D11739</f>
        <v>470507</v>
      </c>
      <c r="E11763" s="1">
        <v>15</v>
      </c>
      <c r="F11763" s="39">
        <f t="shared" ref="F11763:F11780" si="2106">E11763+F11739</f>
        <v>10484</v>
      </c>
      <c r="G11763" s="168">
        <f>SUM(C11763,C11739,C11715,C11691,C11667,C11643,C11619,C11595,C11571,C11547,C11523,C11499,C11475,C11451)/POBLA!$B$2*100000</f>
        <v>566.80775355811431</v>
      </c>
      <c r="H11763" s="256">
        <f t="shared" ref="H11763:H11785" si="2107">SUM(C11763,C11739,C11715,C11691,C11667,C11643,C11619,C11595,C11571,C11547,C11523,C11499,C11475,C11451,)/SUM(C11427,C11403,C11379,C11355,C11331,C11307,C11283,C11259,C11235,C11211,C11187,C11163,C11139,C11115)</f>
        <v>0.88722072370095173</v>
      </c>
      <c r="I11763" s="297">
        <f t="shared" ref="I11763:I11769" si="2108">G11763*H11763</f>
        <v>502.88358531114091</v>
      </c>
      <c r="J11763" s="422">
        <f>AVERAGE(C11763,C11739,C11715,C11691,C11667,C11643,C11619)</f>
        <v>1086.2857142857142</v>
      </c>
      <c r="K11763" s="297">
        <f>J11763/POBLA!$B$2*100000</f>
        <v>35.318944842342525</v>
      </c>
      <c r="L11763" s="200">
        <f>(SUM(C11763,C11739,C11715,C11691,C11667,C11643,C11619)/SUM(C11595,C11571,C11547,C11523,C11499,C11475,C11451))-1</f>
        <v>-0.22637094312747985</v>
      </c>
      <c r="M11763" s="401">
        <f>SUM(C11763,C11739,C11715,C11691,C11667,C11643,C11619)/POBLA!$B$2*100000</f>
        <v>247.23261389639771</v>
      </c>
      <c r="N11763" s="42" t="s">
        <v>43</v>
      </c>
      <c r="O11763" s="42">
        <v>8</v>
      </c>
      <c r="P11763" s="42">
        <v>7</v>
      </c>
      <c r="Q11763" s="42">
        <v>0</v>
      </c>
      <c r="R11763" s="42">
        <v>15</v>
      </c>
    </row>
    <row r="11764" spans="1:18" x14ac:dyDescent="0.25">
      <c r="A11764" s="367" t="s">
        <v>28</v>
      </c>
      <c r="B11764" s="2">
        <v>44383</v>
      </c>
      <c r="C11764" s="1">
        <v>335</v>
      </c>
      <c r="D11764" s="39">
        <f t="shared" si="2105"/>
        <v>35919</v>
      </c>
      <c r="F11764" s="39">
        <f t="shared" si="2106"/>
        <v>343</v>
      </c>
      <c r="G11764" s="168">
        <f>SUM(C11764,C11740,C11716,C11692,C11668,C11644,C11620,C11596,C11572,C11548,C11524,C11500,C11476,C11452)/POBLA!$B$3*100000</f>
        <v>1051.420428559737</v>
      </c>
      <c r="H11764" s="256">
        <f t="shared" si="2107"/>
        <v>1.0076124567474047</v>
      </c>
      <c r="I11764" s="297">
        <f t="shared" si="2108"/>
        <v>1059.4243210954858</v>
      </c>
      <c r="J11764" s="422">
        <f t="shared" ref="J11764:J11785" si="2109">AVERAGE(C11764,C11740,C11716,C11692,C11668,C11644,C11620)</f>
        <v>289.71428571428572</v>
      </c>
      <c r="K11764" s="297">
        <f>J11764/POBLA!$B$3*100000</f>
        <v>69.737069241207053</v>
      </c>
      <c r="L11764" s="200">
        <f t="shared" ref="L11764:L11785" si="2110">(SUM(C11764,C11740,C11716,C11692,C11668,C11644,C11620)/SUM(C11596,C11572,C11548,C11524,C11500,C11476,C11452))-1</f>
        <v>-0.1333333333333333</v>
      </c>
      <c r="M11764" s="401">
        <f>SUM(C11764,C11740,C11716,C11692,C11668,C11644,C11620)/POBLA!$B$3*100000</f>
        <v>488.15948468844925</v>
      </c>
    </row>
    <row r="11765" spans="1:18" x14ac:dyDescent="0.25">
      <c r="A11765" s="367" t="s">
        <v>15</v>
      </c>
      <c r="B11765" s="2">
        <v>44383</v>
      </c>
      <c r="C11765" s="1">
        <v>736</v>
      </c>
      <c r="D11765" s="39">
        <f t="shared" si="2105"/>
        <v>80158</v>
      </c>
      <c r="E11765" s="1">
        <v>20</v>
      </c>
      <c r="F11765" s="39">
        <f t="shared" si="2106"/>
        <v>1749</v>
      </c>
      <c r="G11765" s="168">
        <f>SUM(C11765,C11741,C11717,C11693,C11669,C11645,C11621,C11597,C11573,C11549,C11525,C11501,C11477,C11453)/POBLA!$B$4*100000</f>
        <v>640.32689630323921</v>
      </c>
      <c r="H11765" s="256">
        <f t="shared" si="2107"/>
        <v>0.92360196383666626</v>
      </c>
      <c r="I11765" s="297">
        <f t="shared" si="2108"/>
        <v>591.40717892310909</v>
      </c>
      <c r="J11765" s="422">
        <f t="shared" si="2109"/>
        <v>551.14285714285711</v>
      </c>
      <c r="K11765" s="297">
        <f>J11765/POBLA!$B$4*100000</f>
        <v>45.755425273432543</v>
      </c>
      <c r="L11765" s="200">
        <f t="shared" si="2110"/>
        <v>7.7821011673151474E-4</v>
      </c>
      <c r="M11765" s="401">
        <f>SUM(C11765,C11741,C11717,C11693,C11669,C11645,C11621)/POBLA!$B$4*100000</f>
        <v>320.28797691402787</v>
      </c>
      <c r="N11765" s="42" t="s">
        <v>15</v>
      </c>
      <c r="O11765" s="42">
        <v>7</v>
      </c>
      <c r="P11765" s="42">
        <v>13</v>
      </c>
      <c r="Q11765" s="42">
        <v>0</v>
      </c>
      <c r="R11765" s="42">
        <v>20</v>
      </c>
    </row>
    <row r="11766" spans="1:18" x14ac:dyDescent="0.25">
      <c r="A11766" s="367" t="s">
        <v>29</v>
      </c>
      <c r="B11766" s="2">
        <v>44383</v>
      </c>
      <c r="C11766" s="1">
        <v>224</v>
      </c>
      <c r="D11766" s="39">
        <f t="shared" si="2105"/>
        <v>71876</v>
      </c>
      <c r="E11766" s="1">
        <v>7</v>
      </c>
      <c r="F11766" s="39">
        <f t="shared" si="2106"/>
        <v>1233</v>
      </c>
      <c r="G11766" s="168">
        <f>SUM(C11766,C11742,C11718,C11694,C11670,C11646,C11622,C11598,C11574,C11550,C11526,C11502,C11478,C11454)/POBLA!$B$5*100000</f>
        <v>489.34238457884885</v>
      </c>
      <c r="H11766" s="256">
        <f t="shared" si="2107"/>
        <v>1.006646726487205</v>
      </c>
      <c r="I11766" s="297">
        <f t="shared" si="2108"/>
        <v>492.59490956774113</v>
      </c>
      <c r="J11766" s="422">
        <f t="shared" si="2109"/>
        <v>183.28571428571428</v>
      </c>
      <c r="K11766" s="297">
        <f>J11766/POBLA!$B$5*100000</f>
        <v>29.610257011491917</v>
      </c>
      <c r="L11766" s="200">
        <f t="shared" si="2110"/>
        <v>-0.26517754868270327</v>
      </c>
      <c r="M11766" s="401">
        <f>SUM(C11766,C11742,C11718,C11694,C11670,C11646,C11622)/POBLA!$B$5*100000</f>
        <v>207.2717990804434</v>
      </c>
      <c r="N11766" s="42" t="s">
        <v>29</v>
      </c>
      <c r="O11766" s="42">
        <v>3</v>
      </c>
      <c r="P11766" s="42">
        <v>4</v>
      </c>
      <c r="Q11766" s="42">
        <v>0</v>
      </c>
      <c r="R11766" s="42">
        <v>7</v>
      </c>
    </row>
    <row r="11767" spans="1:18" x14ac:dyDescent="0.25">
      <c r="A11767" s="367" t="s">
        <v>30</v>
      </c>
      <c r="B11767" s="2">
        <v>44383</v>
      </c>
      <c r="C11767" s="1">
        <v>805</v>
      </c>
      <c r="D11767" s="39">
        <f t="shared" si="2105"/>
        <v>69110</v>
      </c>
      <c r="E11767" s="1">
        <v>21</v>
      </c>
      <c r="F11767" s="39">
        <f t="shared" si="2106"/>
        <v>789</v>
      </c>
      <c r="G11767" s="168">
        <f>SUM(C11767,C11743,C11719,C11695,C11671,C11647,C11623,C11599,C11575,C11551,C11527,C11503,C11479,C11455)/POBLA!$B$6*100000</f>
        <v>639.27494711371605</v>
      </c>
      <c r="H11767" s="256">
        <f t="shared" si="2107"/>
        <v>1.040970507046346</v>
      </c>
      <c r="I11767" s="297">
        <f t="shared" si="2108"/>
        <v>665.46636583899101</v>
      </c>
      <c r="J11767" s="422">
        <f t="shared" si="2109"/>
        <v>494.85714285714283</v>
      </c>
      <c r="K11767" s="297">
        <f>J11767/POBLA!$B$6*100000</f>
        <v>44.152096835847111</v>
      </c>
      <c r="L11767" s="200">
        <f t="shared" si="2110"/>
        <v>-6.4036746825182345E-2</v>
      </c>
      <c r="M11767" s="401">
        <f>SUM(C11767,C11743,C11719,C11695,C11671,C11647,C11623)/POBLA!$B$6*100000</f>
        <v>309.0646778509298</v>
      </c>
      <c r="N11767" s="42" t="s">
        <v>30</v>
      </c>
      <c r="O11767" s="42">
        <v>9</v>
      </c>
      <c r="P11767" s="42">
        <v>12</v>
      </c>
      <c r="Q11767" s="42">
        <v>0</v>
      </c>
      <c r="R11767" s="42">
        <v>21</v>
      </c>
    </row>
    <row r="11768" spans="1:18" x14ac:dyDescent="0.25">
      <c r="A11768" s="367" t="s">
        <v>20</v>
      </c>
      <c r="B11768" s="2">
        <v>44383</v>
      </c>
      <c r="C11768" s="1">
        <v>2715</v>
      </c>
      <c r="D11768" s="39">
        <f t="shared" si="2105"/>
        <v>423093</v>
      </c>
      <c r="E11768" s="1">
        <v>28</v>
      </c>
      <c r="F11768" s="39">
        <f t="shared" si="2106"/>
        <v>5544</v>
      </c>
      <c r="G11768" s="168">
        <f>SUM(C11768,C11744,C11720,C11696,C11672,C11648,C11624,C11600,C11576,C11552,C11528,C11504,C11480,C11456)/POBLA!$B$7*100000</f>
        <v>905.76925633900191</v>
      </c>
      <c r="H11768" s="256">
        <f t="shared" si="2107"/>
        <v>0.80931901344865276</v>
      </c>
      <c r="I11768" s="297">
        <f t="shared" si="2108"/>
        <v>733.05628095240093</v>
      </c>
      <c r="J11768" s="422">
        <f t="shared" si="2109"/>
        <v>2205</v>
      </c>
      <c r="K11768" s="297">
        <f>J11768/POBLA!$B$7*100000</f>
        <v>58.636599343163709</v>
      </c>
      <c r="L11768" s="200">
        <f t="shared" si="2110"/>
        <v>-0.171319660689359</v>
      </c>
      <c r="M11768" s="401">
        <f>SUM(C11768,C11744,C11720,C11696,C11672,C11648,C11624)/POBLA!$B$7*100000</f>
        <v>410.45619540214602</v>
      </c>
      <c r="N11768" s="42" t="s">
        <v>20</v>
      </c>
      <c r="O11768" s="42">
        <v>11</v>
      </c>
      <c r="P11768" s="42">
        <v>17</v>
      </c>
      <c r="Q11768" s="42">
        <v>0</v>
      </c>
      <c r="R11768" s="42">
        <v>28</v>
      </c>
    </row>
    <row r="11769" spans="1:18" x14ac:dyDescent="0.25">
      <c r="A11769" s="367" t="s">
        <v>31</v>
      </c>
      <c r="B11769" s="2">
        <v>44383</v>
      </c>
      <c r="C11769" s="1">
        <v>1023</v>
      </c>
      <c r="D11769" s="39">
        <f t="shared" si="2105"/>
        <v>114508</v>
      </c>
      <c r="E11769" s="1">
        <v>8</v>
      </c>
      <c r="F11769" s="39">
        <f t="shared" si="2106"/>
        <v>1892</v>
      </c>
      <c r="G11769" s="168">
        <f>SUM(C11769,C11745,C11721,C11697,C11673,C11649,C11625,C11601,C11577,C11553,C11529,C11505,C11481,C11457)/POBLA!$B$8*100000</f>
        <v>759.61733410968998</v>
      </c>
      <c r="H11769" s="256">
        <f t="shared" si="2107"/>
        <v>1.0071749736917632</v>
      </c>
      <c r="I11769" s="297">
        <f t="shared" si="2108"/>
        <v>765.06756849773433</v>
      </c>
      <c r="J11769" s="422">
        <f t="shared" si="2109"/>
        <v>732.28571428571433</v>
      </c>
      <c r="K11769" s="297">
        <f>J11769/POBLA!$B$8*100000</f>
        <v>52.835953846155434</v>
      </c>
      <c r="L11769" s="200">
        <f t="shared" si="2110"/>
        <v>-5.1092188078489476E-2</v>
      </c>
      <c r="M11769" s="401">
        <f>SUM(C11769,C11745,C11721,C11697,C11673,C11649,C11625)/POBLA!$B$8*100000</f>
        <v>369.85167692308801</v>
      </c>
      <c r="N11769" s="42" t="s">
        <v>31</v>
      </c>
      <c r="O11769" s="42">
        <v>2</v>
      </c>
      <c r="P11769" s="42">
        <v>6</v>
      </c>
      <c r="Q11769" s="42">
        <v>0</v>
      </c>
      <c r="R11769" s="42">
        <v>8</v>
      </c>
    </row>
    <row r="11770" spans="1:18" x14ac:dyDescent="0.25">
      <c r="A11770" s="367" t="s">
        <v>41</v>
      </c>
      <c r="B11770" s="2">
        <v>44383</v>
      </c>
      <c r="C11770" s="1">
        <v>479</v>
      </c>
      <c r="D11770" s="39">
        <f t="shared" si="2105"/>
        <v>47897</v>
      </c>
      <c r="E11770" s="1">
        <v>3</v>
      </c>
      <c r="F11770" s="39">
        <f t="shared" si="2106"/>
        <v>848</v>
      </c>
      <c r="G11770" s="168">
        <f>SUM(C11770,C11746,C11722,C11698,C11674,C11650,C11626,C11602,C11578,C11554,C11530,C11506,C11482,C11458)/POBLA!$B$9*100000</f>
        <v>925.82035813368634</v>
      </c>
      <c r="H11770" s="256">
        <f t="shared" si="2107"/>
        <v>0.93821165438713994</v>
      </c>
      <c r="I11770" s="297">
        <f>G11770*H11770</f>
        <v>868.6154498699002</v>
      </c>
      <c r="J11770" s="422">
        <f t="shared" si="2109"/>
        <v>392.85714285714283</v>
      </c>
      <c r="K11770" s="297">
        <f>J11770/POBLA!$B$9*100000</f>
        <v>64.91435671878935</v>
      </c>
      <c r="L11770" s="200">
        <f t="shared" si="2110"/>
        <v>-3.6102348405187557E-2</v>
      </c>
      <c r="M11770" s="401">
        <f>SUM(C11770,C11746,C11722,C11698,C11674,C11650,C11626)/POBLA!$B$9*100000</f>
        <v>454.4004970315255</v>
      </c>
      <c r="N11770" s="42" t="s">
        <v>41</v>
      </c>
      <c r="O11770" s="42">
        <v>2</v>
      </c>
      <c r="P11770" s="42">
        <v>1</v>
      </c>
      <c r="Q11770" s="42">
        <v>0</v>
      </c>
      <c r="R11770" s="42">
        <v>3</v>
      </c>
    </row>
    <row r="11771" spans="1:18" x14ac:dyDescent="0.25">
      <c r="A11771" s="367" t="s">
        <v>32</v>
      </c>
      <c r="B11771" s="2">
        <v>44383</v>
      </c>
      <c r="C11771" s="1">
        <v>314</v>
      </c>
      <c r="D11771" s="39">
        <f t="shared" si="2105"/>
        <v>37504</v>
      </c>
      <c r="E11771" s="1">
        <v>6</v>
      </c>
      <c r="F11771" s="39">
        <f t="shared" si="2106"/>
        <v>1201</v>
      </c>
      <c r="G11771" s="168">
        <f>SUM(C11771,C11747,C11723,C11699,C11675,C11651,C11627,C11603,C11579,C11555,C11531,C11507,C11483,C11459)/POBLA!$B$10*100000</f>
        <v>509.41714739369633</v>
      </c>
      <c r="H11771" s="256">
        <f t="shared" si="2107"/>
        <v>1.192167577413479</v>
      </c>
      <c r="I11771" s="297">
        <f t="shared" ref="I11771:I11785" si="2111">G11771*H11771</f>
        <v>607.31060650122811</v>
      </c>
      <c r="J11771" s="422">
        <f t="shared" si="2109"/>
        <v>278.42857142857144</v>
      </c>
      <c r="K11771" s="297">
        <f>J11771/POBLA!$B$10*100000</f>
        <v>36.118229847223041</v>
      </c>
      <c r="L11771" s="200">
        <f t="shared" si="2110"/>
        <v>-1.4661274014155734E-2</v>
      </c>
      <c r="M11771" s="401">
        <f>SUM(C11771,C11747,C11723,C11699,C11675,C11651,C11627)/POBLA!$B$10*100000</f>
        <v>252.82760893056127</v>
      </c>
      <c r="N11771" s="42" t="s">
        <v>32</v>
      </c>
      <c r="O11771" s="42">
        <v>4</v>
      </c>
      <c r="P11771" s="42">
        <v>2</v>
      </c>
      <c r="Q11771" s="42">
        <v>0</v>
      </c>
      <c r="R11771" s="42">
        <v>6</v>
      </c>
    </row>
    <row r="11772" spans="1:18" x14ac:dyDescent="0.25">
      <c r="A11772" s="367" t="s">
        <v>33</v>
      </c>
      <c r="B11772" s="2">
        <v>44383</v>
      </c>
      <c r="C11772" s="1">
        <v>316</v>
      </c>
      <c r="D11772" s="39">
        <f t="shared" si="2105"/>
        <v>54639</v>
      </c>
      <c r="E11772" s="1">
        <v>1</v>
      </c>
      <c r="F11772" s="39">
        <f t="shared" si="2106"/>
        <v>754</v>
      </c>
      <c r="G11772" s="168">
        <f>SUM(C11772,C11748,C11724,C11700,C11676,C11652,C11628,C11604,C11580,C11556,C11532,C11508,C11484,C11460)/POBLA!$B$11*100000</f>
        <v>1401.1182162107871</v>
      </c>
      <c r="H11772" s="256">
        <f t="shared" si="2107"/>
        <v>1.3525451117694587</v>
      </c>
      <c r="I11772" s="297">
        <f t="shared" si="2111"/>
        <v>1895.0755943470435</v>
      </c>
      <c r="J11772" s="422">
        <f t="shared" si="2109"/>
        <v>267</v>
      </c>
      <c r="K11772" s="297">
        <f>J11772/POBLA!$B$11*100000</f>
        <v>74.491948173691782</v>
      </c>
      <c r="L11772" s="200">
        <f t="shared" si="2110"/>
        <v>-0.4072312083729781</v>
      </c>
      <c r="M11772" s="401">
        <f>SUM(C11772,C11748,C11724,C11700,C11676,C11652,C11628)/POBLA!$B$11*100000</f>
        <v>521.4436372158425</v>
      </c>
      <c r="N11772" s="42" t="s">
        <v>33</v>
      </c>
      <c r="O11772" s="42">
        <v>0</v>
      </c>
      <c r="P11772" s="42">
        <v>1</v>
      </c>
      <c r="Q11772" s="42">
        <v>0</v>
      </c>
      <c r="R11772" s="42">
        <v>1</v>
      </c>
    </row>
    <row r="11773" spans="1:18" x14ac:dyDescent="0.25">
      <c r="A11773" s="367" t="s">
        <v>21</v>
      </c>
      <c r="B11773" s="2">
        <v>44383</v>
      </c>
      <c r="C11773" s="1">
        <v>185</v>
      </c>
      <c r="D11773" s="39">
        <f t="shared" si="2105"/>
        <v>23285</v>
      </c>
      <c r="F11773" s="39">
        <f t="shared" si="2106"/>
        <v>641</v>
      </c>
      <c r="G11773" s="168">
        <f>SUM(C11773,C11749,C11725,C11701,C11677,C11653,C11629,C11605,C11581,C11557,C11533,C11509,C11485,C11461)/POBLA!$B$12*100000</f>
        <v>637.8150641245544</v>
      </c>
      <c r="H11773" s="256">
        <f t="shared" si="2107"/>
        <v>1.27735368956743</v>
      </c>
      <c r="I11773" s="297">
        <f t="shared" si="2111"/>
        <v>814.71542542118652</v>
      </c>
      <c r="J11773" s="422">
        <f t="shared" si="2109"/>
        <v>191.57142857142858</v>
      </c>
      <c r="K11773" s="297">
        <f>J11773/POBLA!$B$12*100000</f>
        <v>48.680136652875781</v>
      </c>
      <c r="L11773" s="200">
        <f t="shared" si="2110"/>
        <v>0.1471343028229255</v>
      </c>
      <c r="M11773" s="401">
        <f>SUM(C11773,C11749,C11725,C11701,C11677,C11653,C11629)/POBLA!$B$12*100000</f>
        <v>340.76095657013042</v>
      </c>
    </row>
    <row r="11774" spans="1:18" x14ac:dyDescent="0.25">
      <c r="A11774" s="367" t="s">
        <v>17</v>
      </c>
      <c r="B11774" s="2">
        <v>44383</v>
      </c>
      <c r="C11774" s="1">
        <v>580</v>
      </c>
      <c r="D11774" s="39">
        <f t="shared" si="2105"/>
        <v>143126</v>
      </c>
      <c r="E11774" s="1">
        <v>23</v>
      </c>
      <c r="F11774" s="39">
        <f t="shared" si="2106"/>
        <v>3388</v>
      </c>
      <c r="G11774" s="168">
        <f>SUM(C11774,C11750,C11726,C11702,C11678,C11654,C11630,C11606,C11582,C11558,C11534,C11510,C11486,C11462)/POBLA!$B$13*100000</f>
        <v>414.05027688764426</v>
      </c>
      <c r="H11774" s="256">
        <f t="shared" si="2107"/>
        <v>1.0069648093841643</v>
      </c>
      <c r="I11774" s="297">
        <f t="shared" si="2111"/>
        <v>416.93405814162713</v>
      </c>
      <c r="J11774" s="422">
        <f t="shared" si="2109"/>
        <v>562.42857142857144</v>
      </c>
      <c r="K11774" s="297">
        <f>J11774/POBLA!$B$13*100000</f>
        <v>28.25794269257641</v>
      </c>
      <c r="L11774" s="200">
        <f t="shared" si="2110"/>
        <v>-8.5269516728624484E-2</v>
      </c>
      <c r="M11774" s="401">
        <f>SUM(C11774,C11750,C11726,C11702,C11678,C11654,C11630)/POBLA!$B$13*100000</f>
        <v>197.80559884803486</v>
      </c>
      <c r="N11774" s="42" t="s">
        <v>17</v>
      </c>
      <c r="O11774" s="42">
        <v>8</v>
      </c>
      <c r="P11774" s="42">
        <v>15</v>
      </c>
      <c r="Q11774" s="42">
        <v>0</v>
      </c>
      <c r="R11774" s="42">
        <v>23</v>
      </c>
    </row>
    <row r="11775" spans="1:18" x14ac:dyDescent="0.25">
      <c r="A11775" s="367" t="s">
        <v>23</v>
      </c>
      <c r="B11775" s="2">
        <v>44383</v>
      </c>
      <c r="C11775" s="1">
        <v>150</v>
      </c>
      <c r="D11775" s="39">
        <f t="shared" si="2105"/>
        <v>26673</v>
      </c>
      <c r="E11775" s="1">
        <v>6</v>
      </c>
      <c r="F11775" s="39">
        <f t="shared" si="2106"/>
        <v>451</v>
      </c>
      <c r="G11775" s="168">
        <f>SUM(C11775,C11751,C11727,C11703,C11679,C11655,C11631,C11607,C11583,C11559,C11535,C11511,C11487,C11463)/POBLA!$B$14*100000</f>
        <v>200.42908314794172</v>
      </c>
      <c r="H11775" s="256">
        <f t="shared" si="2107"/>
        <v>1.1136563876651981</v>
      </c>
      <c r="I11775" s="297">
        <f t="shared" si="2111"/>
        <v>223.20912872158442</v>
      </c>
      <c r="J11775" s="422">
        <f t="shared" si="2109"/>
        <v>168.42857142857142</v>
      </c>
      <c r="K11775" s="297">
        <f>J11775/POBLA!$B$14*100000</f>
        <v>13.353632969678078</v>
      </c>
      <c r="L11775" s="200">
        <f t="shared" si="2110"/>
        <v>-0.12601927353595255</v>
      </c>
      <c r="M11775" s="401">
        <f>SUM(C11775,C11751,C11727,C11703,C11679,C11655,C11631)/POBLA!$B$14*100000</f>
        <v>93.475430787746546</v>
      </c>
      <c r="N11775" s="42" t="s">
        <v>23</v>
      </c>
      <c r="O11775" s="42">
        <v>3</v>
      </c>
      <c r="P11775" s="42">
        <v>3</v>
      </c>
      <c r="Q11775" s="42">
        <v>0</v>
      </c>
      <c r="R11775" s="42">
        <v>6</v>
      </c>
    </row>
    <row r="11776" spans="1:18" x14ac:dyDescent="0.25">
      <c r="A11776" s="367" t="s">
        <v>19</v>
      </c>
      <c r="B11776" s="2">
        <v>44383</v>
      </c>
      <c r="C11776" s="1">
        <v>241</v>
      </c>
      <c r="D11776" s="39">
        <f t="shared" si="2105"/>
        <v>102690</v>
      </c>
      <c r="E11776" s="1">
        <v>10</v>
      </c>
      <c r="F11776" s="39">
        <f t="shared" si="2106"/>
        <v>1876</v>
      </c>
      <c r="G11776" s="168">
        <f>SUM(C11776,C11752,C11728,C11704,C11680,C11656,C11632,C11608,C11584,C11560,C11536,C11512,C11488,C11464)/POBLA!$B$15*100000</f>
        <v>490.01817615054125</v>
      </c>
      <c r="H11776" s="256">
        <f t="shared" si="2107"/>
        <v>0.76763387591413068</v>
      </c>
      <c r="I11776" s="297">
        <f t="shared" si="2111"/>
        <v>376.15455182681319</v>
      </c>
      <c r="J11776" s="422">
        <f t="shared" si="2109"/>
        <v>214.14285714285714</v>
      </c>
      <c r="K11776" s="297">
        <f>J11776/POBLA!$B$15*100000</f>
        <v>32.247662044501773</v>
      </c>
      <c r="L11776" s="200">
        <f t="shared" si="2110"/>
        <v>-0.14586894586894583</v>
      </c>
      <c r="M11776" s="401">
        <f>SUM(C11776,C11752,C11728,C11704,C11680,C11656,C11632)/POBLA!$B$15*100000</f>
        <v>225.73363431151239</v>
      </c>
      <c r="N11776" s="42" t="s">
        <v>19</v>
      </c>
      <c r="O11776" s="42">
        <v>6</v>
      </c>
      <c r="P11776" s="42">
        <v>4</v>
      </c>
      <c r="Q11776" s="42">
        <v>0</v>
      </c>
      <c r="R11776" s="42">
        <v>10</v>
      </c>
    </row>
    <row r="11777" spans="1:18" x14ac:dyDescent="0.25">
      <c r="A11777" s="367" t="s">
        <v>18</v>
      </c>
      <c r="B11777" s="2">
        <v>44383</v>
      </c>
      <c r="C11777" s="1">
        <v>273</v>
      </c>
      <c r="D11777" s="39">
        <f t="shared" si="2105"/>
        <v>85530</v>
      </c>
      <c r="E11777" s="1">
        <v>8</v>
      </c>
      <c r="F11777" s="39">
        <f t="shared" si="2106"/>
        <v>1967</v>
      </c>
      <c r="G11777" s="168">
        <f>SUM(C11777,C11753,C11729,C11705,C11681,C11657,C11633,C11609,C11585,C11561,C11537,C11513,C11489,C11465)/POBLA!$B$16*100000</f>
        <v>466.68717646901456</v>
      </c>
      <c r="H11777" s="256">
        <f t="shared" si="2107"/>
        <v>0.78492688413948253</v>
      </c>
      <c r="I11777" s="297">
        <f t="shared" si="2111"/>
        <v>366.31531129367642</v>
      </c>
      <c r="J11777" s="422">
        <f t="shared" si="2109"/>
        <v>213.57142857142858</v>
      </c>
      <c r="K11777" s="297">
        <f>J11777/POBLA!$B$16*100000</f>
        <v>28.567224698897629</v>
      </c>
      <c r="L11777" s="200">
        <f t="shared" si="2110"/>
        <v>-0.25025075225677029</v>
      </c>
      <c r="M11777" s="401">
        <f>SUM(C11777,C11753,C11729,C11705,C11681,C11657,C11633)/POBLA!$B$16*100000</f>
        <v>199.9705728922834</v>
      </c>
      <c r="N11777" s="42" t="s">
        <v>18</v>
      </c>
      <c r="O11777" s="42">
        <v>2</v>
      </c>
      <c r="P11777" s="42">
        <v>6</v>
      </c>
      <c r="Q11777" s="42">
        <v>0</v>
      </c>
      <c r="R11777" s="42">
        <v>8</v>
      </c>
    </row>
    <row r="11778" spans="1:18" x14ac:dyDescent="0.25">
      <c r="A11778" s="367" t="s">
        <v>34</v>
      </c>
      <c r="B11778" s="2">
        <v>44383</v>
      </c>
      <c r="C11778" s="1">
        <v>572</v>
      </c>
      <c r="D11778" s="39">
        <f>C11778+D11754</f>
        <v>64293</v>
      </c>
      <c r="E11778" s="1">
        <v>17</v>
      </c>
      <c r="F11778" s="39">
        <f t="shared" si="2106"/>
        <v>1797</v>
      </c>
      <c r="G11778" s="168">
        <f>SUM(C11778,C11754,C11730,C11706,C11682,C11658,C11634,C11610,C11586,C11562,C11538,C11514,C11490,C11466)/POBLA!$B$17*100000</f>
        <v>523.30916170140767</v>
      </c>
      <c r="H11778" s="256">
        <f t="shared" si="2107"/>
        <v>1.0963376967201059</v>
      </c>
      <c r="I11778" s="297">
        <f t="shared" si="2111"/>
        <v>573.7235610122508</v>
      </c>
      <c r="J11778" s="422">
        <f t="shared" si="2109"/>
        <v>515.71428571428567</v>
      </c>
      <c r="K11778" s="297">
        <f>J11778/POBLA!$B$17*100000</f>
        <v>36.205796959294752</v>
      </c>
      <c r="L11778" s="200">
        <f t="shared" si="2110"/>
        <v>-6.0874089490114414E-2</v>
      </c>
      <c r="M11778" s="401">
        <f>SUM(C11778,C11754,C11730,C11706,C11682,C11658,C11634)/POBLA!$B$17*100000</f>
        <v>253.44057871506328</v>
      </c>
      <c r="N11778" s="42" t="s">
        <v>34</v>
      </c>
      <c r="O11778" s="42">
        <v>7</v>
      </c>
      <c r="P11778" s="42">
        <v>9</v>
      </c>
      <c r="Q11778" s="42">
        <v>1</v>
      </c>
      <c r="R11778" s="42">
        <v>17</v>
      </c>
    </row>
    <row r="11779" spans="1:18" x14ac:dyDescent="0.25">
      <c r="A11779" s="367" t="s">
        <v>35</v>
      </c>
      <c r="B11779" s="2">
        <v>44383</v>
      </c>
      <c r="C11779" s="1">
        <v>370</v>
      </c>
      <c r="D11779" s="39">
        <f t="shared" ref="D11779:D11785" si="2112">C11779+D11755</f>
        <v>53008</v>
      </c>
      <c r="E11779" s="1">
        <v>6</v>
      </c>
      <c r="F11779" s="39">
        <f t="shared" si="2106"/>
        <v>853</v>
      </c>
      <c r="G11779" s="168">
        <f>SUM(C11779,C11755,C11731,C11707,C11683,C11659,C11635,C11611,C11587,C11563,C11539,C11515,C11491,C11467)/POBLA!$B$18*100000</f>
        <v>745.88750628826563</v>
      </c>
      <c r="H11779" s="256">
        <f t="shared" si="2107"/>
        <v>0.91763779527559053</v>
      </c>
      <c r="I11779" s="297">
        <f t="shared" si="2111"/>
        <v>684.45456679397228</v>
      </c>
      <c r="J11779" s="422">
        <f t="shared" si="2109"/>
        <v>427.14285714285717</v>
      </c>
      <c r="K11779" s="297">
        <f>J11779/POBLA!$B$18*100000</f>
        <v>54.676595253669234</v>
      </c>
      <c r="L11779" s="200">
        <f t="shared" si="2110"/>
        <v>5.3930207966161436E-2</v>
      </c>
      <c r="M11779" s="401">
        <f>SUM(C11779,C11755,C11731,C11707,C11683,C11659,C11635)/POBLA!$B$18*100000</f>
        <v>382.73616677568458</v>
      </c>
      <c r="N11779" s="42" t="s">
        <v>35</v>
      </c>
      <c r="O11779" s="42">
        <v>2</v>
      </c>
      <c r="P11779" s="42">
        <v>4</v>
      </c>
      <c r="Q11779" s="42">
        <v>0</v>
      </c>
      <c r="R11779" s="42">
        <v>6</v>
      </c>
    </row>
    <row r="11780" spans="1:18" x14ac:dyDescent="0.25">
      <c r="A11780" s="367" t="s">
        <v>36</v>
      </c>
      <c r="B11780" s="2">
        <v>44383</v>
      </c>
      <c r="C11780" s="1">
        <v>362</v>
      </c>
      <c r="D11780" s="39">
        <f t="shared" si="2112"/>
        <v>67784</v>
      </c>
      <c r="E11780" s="1">
        <v>37</v>
      </c>
      <c r="F11780" s="39">
        <f t="shared" si="2106"/>
        <v>1038</v>
      </c>
      <c r="G11780" s="168">
        <f>SUM(C11780,C11756,C11732,C11708,C11684,C11660,C11636,C11612,C11588,C11564,C11540,C11516,C11492,C11468)/POBLA!$B$19*100000</f>
        <v>1018.6336381234163</v>
      </c>
      <c r="H11780" s="256">
        <f t="shared" si="2107"/>
        <v>0.94506296769483478</v>
      </c>
      <c r="I11780" s="297">
        <f t="shared" si="2111"/>
        <v>962.67292903870214</v>
      </c>
      <c r="J11780" s="422">
        <f t="shared" si="2109"/>
        <v>354.42857142857144</v>
      </c>
      <c r="K11780" s="297">
        <f>J11780/POBLA!$B$19*100000</f>
        <v>69.724384930314969</v>
      </c>
      <c r="L11780" s="200">
        <f t="shared" si="2110"/>
        <v>-8.0088987764182384E-2</v>
      </c>
      <c r="M11780" s="401">
        <f>SUM(C11780,C11756,C11732,C11708,C11684,C11660,C11636)/POBLA!$B$19*100000</f>
        <v>488.07069451220468</v>
      </c>
      <c r="N11780" s="42" t="s">
        <v>36</v>
      </c>
      <c r="O11780" s="42">
        <v>19</v>
      </c>
      <c r="P11780" s="42">
        <v>18</v>
      </c>
      <c r="Q11780" s="42">
        <v>0</v>
      </c>
      <c r="R11780" s="42">
        <v>37</v>
      </c>
    </row>
    <row r="11781" spans="1:18" x14ac:dyDescent="0.25">
      <c r="A11781" s="367" t="s">
        <v>37</v>
      </c>
      <c r="B11781" s="2">
        <v>44383</v>
      </c>
      <c r="C11781" s="1">
        <v>133</v>
      </c>
      <c r="D11781" s="39">
        <f t="shared" si="2112"/>
        <v>56151</v>
      </c>
      <c r="E11781" s="1">
        <v>1</v>
      </c>
      <c r="F11781" s="39">
        <f t="shared" ref="F11781:F11786" si="2113">E11781+F11757</f>
        <v>880</v>
      </c>
      <c r="G11781" s="168">
        <f>SUM(C11781,C11757,C11734,C11709,C11685,C11661,C11637,C11613,C11589,C11565,C11541,C11517,C11493,C11469)/POBLA!$B$20*100000</f>
        <v>559.7514889334916</v>
      </c>
      <c r="H11781" s="256">
        <f t="shared" si="2107"/>
        <v>0.96551724137931039</v>
      </c>
      <c r="I11781" s="297">
        <f t="shared" si="2111"/>
        <v>540.44971345302645</v>
      </c>
      <c r="J11781" s="422">
        <f t="shared" si="2109"/>
        <v>108.85714285714286</v>
      </c>
      <c r="K11781" s="297">
        <f>J11781/POBLA!$B$20*100000</f>
        <v>29.766950559517106</v>
      </c>
      <c r="L11781" s="200">
        <f t="shared" si="2110"/>
        <v>-5.4590570719602938E-2</v>
      </c>
      <c r="M11781" s="401">
        <f>SUM(C11781,C11757,C11733,C11709,C11685,C11661,C11637)/POBLA!$B$20*100000</f>
        <v>208.36865391661973</v>
      </c>
      <c r="N11781" s="42" t="s">
        <v>37</v>
      </c>
      <c r="O11781" s="42">
        <v>0</v>
      </c>
      <c r="P11781" s="42">
        <v>1</v>
      </c>
      <c r="Q11781" s="42">
        <v>0</v>
      </c>
      <c r="R11781" s="42">
        <v>1</v>
      </c>
    </row>
    <row r="11782" spans="1:18" x14ac:dyDescent="0.25">
      <c r="A11782" s="367" t="s">
        <v>22</v>
      </c>
      <c r="B11782" s="2">
        <v>44383</v>
      </c>
      <c r="C11782" s="1">
        <v>2125</v>
      </c>
      <c r="D11782" s="39">
        <f t="shared" si="2112"/>
        <v>415069</v>
      </c>
      <c r="E11782" s="1">
        <v>53</v>
      </c>
      <c r="F11782" s="39">
        <f t="shared" si="2113"/>
        <v>6938</v>
      </c>
      <c r="G11782" s="168">
        <f>SUM(C11782,C11758,C11734,C11710,C11686,C11662,C11638,C11614,C11590,C11566,C11542,C11518,C11494,C11470)/POBLA!$B$21*100000</f>
        <v>661.71476335659418</v>
      </c>
      <c r="H11782" s="256">
        <f t="shared" si="2107"/>
        <v>0.92563585301214346</v>
      </c>
      <c r="I11782" s="297">
        <f t="shared" si="2111"/>
        <v>612.50690943030975</v>
      </c>
      <c r="J11782" s="422">
        <f t="shared" si="2109"/>
        <v>1507.7142857142858</v>
      </c>
      <c r="K11782" s="297">
        <f>J11782/POBLA!$B$21*100000</f>
        <v>42.633938796666172</v>
      </c>
      <c r="L11782" s="200">
        <f t="shared" si="2110"/>
        <v>-0.17848524947458555</v>
      </c>
      <c r="M11782" s="401">
        <f>SUM(C11782,C11758,C11734,C11710,C11686,C11662,C11638)/POBLA!$B$21*100000</f>
        <v>298.43757157666317</v>
      </c>
      <c r="N11782" s="42" t="s">
        <v>22</v>
      </c>
      <c r="O11782" s="42">
        <v>29</v>
      </c>
      <c r="P11782" s="42">
        <v>24</v>
      </c>
      <c r="Q11782" s="42">
        <v>0</v>
      </c>
      <c r="R11782" s="42">
        <v>53</v>
      </c>
    </row>
    <row r="11783" spans="1:18" x14ac:dyDescent="0.25">
      <c r="A11783" s="367" t="s">
        <v>38</v>
      </c>
      <c r="B11783" s="2">
        <v>44383</v>
      </c>
      <c r="C11783" s="1">
        <v>329</v>
      </c>
      <c r="D11783" s="39">
        <f t="shared" si="2112"/>
        <v>62471</v>
      </c>
      <c r="E11783" s="1">
        <v>9</v>
      </c>
      <c r="F11783" s="39">
        <f t="shared" si="2113"/>
        <v>858</v>
      </c>
      <c r="G11783" s="168">
        <f>SUM(C11783,C11759,C11735,C11711,C11687,C11663,C11639,C11615,C11591,C11567,C11543,C11519,C11495,C11471)/POBLA!$B$22*100000</f>
        <v>746.79575963929744</v>
      </c>
      <c r="H11783" s="256">
        <f t="shared" si="2107"/>
        <v>1.0411856918911215</v>
      </c>
      <c r="I11783" s="297">
        <f t="shared" si="2111"/>
        <v>777.55305970139761</v>
      </c>
      <c r="J11783" s="422">
        <f t="shared" si="2109"/>
        <v>512.85714285714289</v>
      </c>
      <c r="K11783" s="297">
        <f>J11783/POBLA!$B$22*100000</f>
        <v>52.422603283115208</v>
      </c>
      <c r="L11783" s="200">
        <f t="shared" si="2110"/>
        <v>-3.3907427341227092E-2</v>
      </c>
      <c r="M11783" s="401">
        <f>SUM(C11783,C11759,C11735,C11711,C11687,C11663,C11639)/POBLA!$B$22*100000</f>
        <v>366.95822298180644</v>
      </c>
      <c r="N11783" s="42" t="s">
        <v>38</v>
      </c>
      <c r="O11783" s="42">
        <v>4</v>
      </c>
      <c r="P11783" s="42">
        <v>5</v>
      </c>
      <c r="Q11783" s="42">
        <v>0</v>
      </c>
      <c r="R11783" s="42">
        <v>9</v>
      </c>
    </row>
    <row r="11784" spans="1:18" x14ac:dyDescent="0.25">
      <c r="A11784" s="367" t="s">
        <v>39</v>
      </c>
      <c r="B11784" s="2">
        <v>44383</v>
      </c>
      <c r="C11784" s="1">
        <v>61</v>
      </c>
      <c r="D11784" s="39">
        <f t="shared" si="2112"/>
        <v>30055</v>
      </c>
      <c r="E11784" s="1">
        <v>2</v>
      </c>
      <c r="F11784" s="39">
        <f t="shared" si="2113"/>
        <v>449</v>
      </c>
      <c r="G11784" s="168">
        <f>SUM(C11784,C11760,C11736,C11712,C11688,C11664,C11640,C11616,C11592,C11568,C11544,C11520,C11496,C11472)/POBLA!$B$23*100000</f>
        <v>371.54329016569585</v>
      </c>
      <c r="H11784" s="256">
        <f t="shared" si="2107"/>
        <v>1.2683397683397684</v>
      </c>
      <c r="I11784" s="297">
        <f t="shared" si="2111"/>
        <v>471.243130576954</v>
      </c>
      <c r="J11784" s="422">
        <f t="shared" si="2109"/>
        <v>48.714285714285715</v>
      </c>
      <c r="K11784" s="297">
        <f>J11784/POBLA!$B$23*100000</f>
        <v>27.548654478474077</v>
      </c>
      <c r="L11784" s="200">
        <f t="shared" si="2110"/>
        <v>7.9113924050632889E-2</v>
      </c>
      <c r="M11784" s="401">
        <f>SUM(C11784,C11760,C11736,C11712,C11688,C11664,C11640)/POBLA!$B$23*100000</f>
        <v>192.84058134931857</v>
      </c>
      <c r="N11784" s="42" t="s">
        <v>39</v>
      </c>
      <c r="O11784" s="42">
        <v>1</v>
      </c>
      <c r="P11784" s="42">
        <v>1</v>
      </c>
      <c r="Q11784" s="42">
        <v>0</v>
      </c>
      <c r="R11784" s="42">
        <v>2</v>
      </c>
    </row>
    <row r="11785" spans="1:18" ht="15.75" thickBot="1" x14ac:dyDescent="0.3">
      <c r="A11785" s="368" t="s">
        <v>40</v>
      </c>
      <c r="B11785" s="34">
        <v>44383</v>
      </c>
      <c r="C11785" s="232">
        <v>1274</v>
      </c>
      <c r="D11785" s="67">
        <f t="shared" si="2112"/>
        <v>163878</v>
      </c>
      <c r="E11785" s="232">
        <v>12</v>
      </c>
      <c r="F11785" s="67">
        <f t="shared" si="2113"/>
        <v>2338</v>
      </c>
      <c r="G11785" s="255">
        <f>SUM(C11785,C11761,C11737,C11713,C11689,C11665,C11641,C11617,C11593,C11569,C11545,C11521,C11497,C11473)/POBLA!$B$24*100000</f>
        <v>984.32956304996401</v>
      </c>
      <c r="H11785" s="257">
        <f t="shared" si="2107"/>
        <v>1.6764824120603015</v>
      </c>
      <c r="I11785" s="299">
        <f t="shared" si="2111"/>
        <v>1650.2112001242663</v>
      </c>
      <c r="J11785" s="428">
        <f t="shared" si="2109"/>
        <v>1156.7142857142858</v>
      </c>
      <c r="K11785" s="299">
        <f>J11785/POBLA!$B$24*100000</f>
        <v>68.256583384137301</v>
      </c>
      <c r="L11785" s="260">
        <f t="shared" si="2110"/>
        <v>-5.6733457595526615E-2</v>
      </c>
      <c r="M11785" s="406">
        <f>SUM(C11785,C11761,C11737,C11713,C11689,C11665,C11641)/POBLA!$B$24*100000</f>
        <v>477.79608368896112</v>
      </c>
      <c r="N11785" s="42" t="s">
        <v>40</v>
      </c>
      <c r="O11785" s="42">
        <v>4</v>
      </c>
      <c r="P11785" s="42">
        <v>8</v>
      </c>
      <c r="Q11785" s="42">
        <v>0</v>
      </c>
      <c r="R11785" s="42">
        <v>12</v>
      </c>
    </row>
    <row r="11786" spans="1:18" x14ac:dyDescent="0.25">
      <c r="A11786" s="363" t="s">
        <v>16</v>
      </c>
      <c r="B11786" s="265">
        <v>44384</v>
      </c>
      <c r="C11786" s="43">
        <v>5985</v>
      </c>
      <c r="D11786" s="174">
        <f>C11786+D11762</f>
        <v>1881101</v>
      </c>
      <c r="E11786" s="43">
        <v>182</v>
      </c>
      <c r="F11786" s="174">
        <f t="shared" si="2113"/>
        <v>48891</v>
      </c>
      <c r="G11786" s="175">
        <f>SUM(C11786,C11762,C11714,C11738,C11690,C11666,C11642,C11618,C11594,C11570,C11546,C11522,C11498,C11474)/POBLA!$B$1*100000</f>
        <v>487.39702850572831</v>
      </c>
      <c r="H11786" s="300">
        <f>SUM(C11786,C11762,C11738,C11714,C11690,C11666,C11642,C11618,C11594,C11570,C11546,C11522,C11498,C11474,)/SUM(C11450,C11426,C11402,C11378,C11354,C11330,C11306,C11282,C11258,C11234,C11210,C11186,C11162,C11138)</f>
        <v>0.88300300548423416</v>
      </c>
      <c r="I11786" s="301">
        <f>G11786*H11786</f>
        <v>430.37304103464305</v>
      </c>
      <c r="J11786" s="421">
        <f>AVERAGE(C11786,C11762,C11738,C11714,C11690,C11666,C11642)</f>
        <v>5460.7142857142853</v>
      </c>
      <c r="K11786" s="301">
        <f>J11786/POBLA!$B$1*100000</f>
        <v>31.13089556554095</v>
      </c>
      <c r="L11786" s="399">
        <f>(SUM(C11786,C11762,C11738,C11714,C11690,C11666,C11642)/SUM(C11618,C11594,C11570,C11546,C11522,C11498,C11474))-1</f>
        <v>-0.19134757774486988</v>
      </c>
      <c r="M11786" s="400">
        <f>SUM(C11786,C11762,C11738,C11714,C11690,C11666,C11642)/POBLA!$B$1*100000</f>
        <v>217.91626895878665</v>
      </c>
      <c r="N11786" s="42" t="s">
        <v>16</v>
      </c>
      <c r="O11786" s="42">
        <v>85</v>
      </c>
      <c r="P11786" s="42">
        <v>94</v>
      </c>
      <c r="Q11786" s="42">
        <v>3</v>
      </c>
      <c r="R11786" s="42">
        <v>182</v>
      </c>
    </row>
    <row r="11787" spans="1:18" x14ac:dyDescent="0.25">
      <c r="A11787" s="367" t="s">
        <v>43</v>
      </c>
      <c r="B11787" s="2">
        <v>44384</v>
      </c>
      <c r="C11787" s="1">
        <v>1092</v>
      </c>
      <c r="D11787" s="39">
        <f t="shared" ref="D11787:D11801" si="2114">C11787+D11763</f>
        <v>471599</v>
      </c>
      <c r="E11787" s="1">
        <v>15</v>
      </c>
      <c r="F11787" s="39">
        <f t="shared" ref="F11787:F11804" si="2115">E11787+F11763</f>
        <v>10499</v>
      </c>
      <c r="G11787" s="168">
        <f>SUM(C11787,C11763,C11739,C11715,C11691,C11667,C11643,C11619,C11595,C11571,C11547,C11523,C11499,C11475)/POBLA!$B$2*100000</f>
        <v>541.77236261910502</v>
      </c>
      <c r="H11787" s="256">
        <f t="shared" ref="H11787:H11809" si="2116">SUM(C11787,C11763,C11739,C11715,C11691,C11667,C11643,C11619,C11595,C11571,C11547,C11523,C11499,C11475,)/SUM(C11451,C11427,C11403,C11379,C11355,C11331,C11307,C11283,C11259,C11235,C11211,C11187,C11163,C11139)</f>
        <v>0.84058921454875646</v>
      </c>
      <c r="I11787" s="297">
        <f t="shared" ref="I11787:I11793" si="2117">G11787*H11787</f>
        <v>455.40800475821754</v>
      </c>
      <c r="J11787" s="422">
        <f>AVERAGE(C11787,C11763,C11739,C11715,C11691,C11667,C11643)</f>
        <v>1092.5714285714287</v>
      </c>
      <c r="K11787" s="297">
        <f>J11787/POBLA!$B$2*100000</f>
        <v>35.523315380620161</v>
      </c>
      <c r="L11787" s="200">
        <f>(SUM(C11787,C11763,C11739,C11715,C11691,C11667,C11643)/SUM(C11619,C11595,C11571,C11547,C11523,C11499,C11475))-1</f>
        <v>-0.15163616195230167</v>
      </c>
      <c r="M11787" s="401">
        <f>SUM(C11787,C11763,C11739,C11715,C11691,C11667,C11643)/POBLA!$B$2*100000</f>
        <v>248.66320766434106</v>
      </c>
      <c r="N11787" s="42" t="s">
        <v>43</v>
      </c>
      <c r="O11787" s="42">
        <v>7</v>
      </c>
      <c r="P11787" s="42">
        <v>8</v>
      </c>
      <c r="Q11787" s="42">
        <v>0</v>
      </c>
      <c r="R11787" s="42">
        <v>15</v>
      </c>
    </row>
    <row r="11788" spans="1:18" x14ac:dyDescent="0.25">
      <c r="A11788" s="367" t="s">
        <v>28</v>
      </c>
      <c r="B11788" s="2">
        <v>44384</v>
      </c>
      <c r="C11788" s="1">
        <v>369</v>
      </c>
      <c r="D11788" s="39">
        <f t="shared" si="2114"/>
        <v>36288</v>
      </c>
      <c r="E11788" s="1">
        <v>1</v>
      </c>
      <c r="F11788" s="39">
        <f t="shared" si="2115"/>
        <v>344</v>
      </c>
      <c r="G11788" s="168">
        <f>SUM(C11788,C11764,C11740,C11716,C11692,C11668,C11644,C11620,C11596,C11572,C11548,C11524,C11500,C11476)/POBLA!$B$3*100000</f>
        <v>1057.6788834916401</v>
      </c>
      <c r="H11788" s="256">
        <f t="shared" si="2116"/>
        <v>1.0110446387482743</v>
      </c>
      <c r="I11788" s="297">
        <f t="shared" si="2117"/>
        <v>1069.3605646714834</v>
      </c>
      <c r="J11788" s="422">
        <f t="shared" ref="J11788:J11809" si="2118">AVERAGE(C11788,C11764,C11740,C11716,C11692,C11668,C11644)</f>
        <v>290.14285714285717</v>
      </c>
      <c r="K11788" s="297">
        <f>J11788/POBLA!$B$3*100000</f>
        <v>69.84023058623842</v>
      </c>
      <c r="L11788" s="200">
        <f t="shared" ref="L11788:L11809" si="2119">(SUM(C11788,C11764,C11740,C11716,C11692,C11668,C11644)/SUM(C11620,C11596,C11572,C11548,C11524,C11500,C11476))-1</f>
        <v>-0.14049936521371142</v>
      </c>
      <c r="M11788" s="401">
        <f>SUM(C11788,C11764,C11740,C11716,C11692,C11668,C11644)/POBLA!$B$3*100000</f>
        <v>488.88161410366894</v>
      </c>
      <c r="N11788" s="42" t="s">
        <v>28</v>
      </c>
      <c r="O11788" s="42">
        <v>1</v>
      </c>
      <c r="P11788" s="42">
        <v>0</v>
      </c>
      <c r="Q11788" s="42">
        <v>0</v>
      </c>
      <c r="R11788" s="42">
        <v>1</v>
      </c>
    </row>
    <row r="11789" spans="1:18" x14ac:dyDescent="0.25">
      <c r="A11789" s="367" t="s">
        <v>15</v>
      </c>
      <c r="B11789" s="2">
        <v>44384</v>
      </c>
      <c r="C11789" s="1">
        <v>693</v>
      </c>
      <c r="D11789" s="39">
        <f t="shared" si="2114"/>
        <v>80851</v>
      </c>
      <c r="E11789" s="1">
        <v>16</v>
      </c>
      <c r="F11789" s="39">
        <f t="shared" si="2115"/>
        <v>1765</v>
      </c>
      <c r="G11789" s="168">
        <f>SUM(C11789,C11765,C11741,C11717,C11693,C11669,C11645,C11621,C11597,C11573,C11549,C11525,C11501,C11477)/POBLA!$B$4*100000</f>
        <v>644.39483587524205</v>
      </c>
      <c r="H11789" s="256">
        <f t="shared" si="2116"/>
        <v>0.95661819078136556</v>
      </c>
      <c r="I11789" s="297">
        <f t="shared" si="2117"/>
        <v>616.43982204382905</v>
      </c>
      <c r="J11789" s="422">
        <f t="shared" si="2118"/>
        <v>543.57142857142856</v>
      </c>
      <c r="K11789" s="297">
        <f>J11789/POBLA!$B$4*100000</f>
        <v>45.126851520324223</v>
      </c>
      <c r="L11789" s="200">
        <f t="shared" si="2119"/>
        <v>-3.8412939095274212E-2</v>
      </c>
      <c r="M11789" s="401">
        <f>SUM(C11789,C11765,C11741,C11717,C11693,C11669,C11645)/POBLA!$B$4*100000</f>
        <v>315.88796064226955</v>
      </c>
      <c r="N11789" s="42" t="s">
        <v>15</v>
      </c>
      <c r="O11789" s="42">
        <v>5</v>
      </c>
      <c r="P11789" s="42">
        <v>11</v>
      </c>
      <c r="Q11789" s="42">
        <v>0</v>
      </c>
      <c r="R11789" s="42">
        <v>16</v>
      </c>
    </row>
    <row r="11790" spans="1:18" x14ac:dyDescent="0.25">
      <c r="A11790" s="367" t="s">
        <v>29</v>
      </c>
      <c r="B11790" s="2">
        <v>44384</v>
      </c>
      <c r="C11790" s="1">
        <v>224</v>
      </c>
      <c r="D11790" s="39">
        <f t="shared" si="2114"/>
        <v>72100</v>
      </c>
      <c r="E11790" s="1">
        <v>1</v>
      </c>
      <c r="F11790" s="39">
        <f t="shared" si="2115"/>
        <v>1234</v>
      </c>
      <c r="G11790" s="168">
        <f>SUM(C11790,C11766,C11742,C11718,C11694,C11670,C11646,C11622,C11598,C11574,C11550,C11526,C11502,C11478)/POBLA!$B$5*100000</f>
        <v>479.81078976532888</v>
      </c>
      <c r="H11790" s="256">
        <f t="shared" si="2116"/>
        <v>1.005416384563304</v>
      </c>
      <c r="I11790" s="297">
        <f t="shared" si="2117"/>
        <v>482.40962952032049</v>
      </c>
      <c r="J11790" s="422">
        <f t="shared" si="2118"/>
        <v>186.71428571428572</v>
      </c>
      <c r="K11790" s="297">
        <f>J11790/POBLA!$B$5*100000</f>
        <v>30.164151141091146</v>
      </c>
      <c r="L11790" s="200">
        <f t="shared" si="2119"/>
        <v>-0.21407095610342752</v>
      </c>
      <c r="M11790" s="401">
        <f>SUM(C11790,C11766,C11742,C11718,C11694,C11670,C11646)/POBLA!$B$5*100000</f>
        <v>211.149057987638</v>
      </c>
      <c r="N11790" s="42" t="s">
        <v>29</v>
      </c>
      <c r="O11790" s="42">
        <v>0</v>
      </c>
      <c r="P11790" s="42">
        <v>1</v>
      </c>
      <c r="Q11790" s="42">
        <v>0</v>
      </c>
      <c r="R11790" s="42">
        <v>1</v>
      </c>
    </row>
    <row r="11791" spans="1:18" x14ac:dyDescent="0.25">
      <c r="A11791" s="367" t="s">
        <v>30</v>
      </c>
      <c r="B11791" s="2">
        <v>44384</v>
      </c>
      <c r="C11791" s="1">
        <v>23</v>
      </c>
      <c r="D11791" s="39">
        <f t="shared" si="2114"/>
        <v>69133</v>
      </c>
      <c r="E11791" s="1">
        <v>2</v>
      </c>
      <c r="F11791" s="39">
        <f t="shared" si="2115"/>
        <v>791</v>
      </c>
      <c r="G11791" s="168">
        <f>SUM(C11791,C11767,C11743,C11719,C11695,C11671,C11647,C11623,C11599,C11575,C11551,C11527,C11503,C11479)/POBLA!$B$6*100000</f>
        <v>602.51552238086867</v>
      </c>
      <c r="H11791" s="256">
        <f t="shared" si="2116"/>
        <v>1.0495803543674231</v>
      </c>
      <c r="I11791" s="297">
        <f t="shared" si="2117"/>
        <v>632.38845549238522</v>
      </c>
      <c r="J11791" s="422">
        <f t="shared" si="2118"/>
        <v>414.14285714285717</v>
      </c>
      <c r="K11791" s="297">
        <f>J11791/POBLA!$B$6*100000</f>
        <v>36.950614528614551</v>
      </c>
      <c r="L11791" s="200">
        <f t="shared" si="2119"/>
        <v>-0.24779449922158792</v>
      </c>
      <c r="M11791" s="401">
        <f>SUM(C11791,C11767,C11743,C11719,C11695,C11671,C11647)/POBLA!$B$6*100000</f>
        <v>258.65430170030186</v>
      </c>
      <c r="N11791" s="42" t="s">
        <v>30</v>
      </c>
      <c r="O11791" s="42">
        <v>1</v>
      </c>
      <c r="P11791" s="42">
        <v>1</v>
      </c>
      <c r="Q11791" s="42">
        <v>0</v>
      </c>
      <c r="R11791" s="42">
        <v>2</v>
      </c>
    </row>
    <row r="11792" spans="1:18" x14ac:dyDescent="0.25">
      <c r="A11792" s="367" t="s">
        <v>20</v>
      </c>
      <c r="B11792" s="2">
        <v>44384</v>
      </c>
      <c r="C11792" s="1">
        <v>2651</v>
      </c>
      <c r="D11792" s="39">
        <f t="shared" si="2114"/>
        <v>425744</v>
      </c>
      <c r="E11792" s="1">
        <v>42</v>
      </c>
      <c r="F11792" s="39">
        <f t="shared" si="2115"/>
        <v>5586</v>
      </c>
      <c r="G11792" s="168">
        <f>SUM(C11792,C11768,C11744,C11720,C11696,C11672,C11648,C11624,C11600,C11576,C11552,C11528,C11504,C11480)/POBLA!$B$7*100000</f>
        <v>870.95959260194923</v>
      </c>
      <c r="H11792" s="256">
        <f t="shared" si="2116"/>
        <v>0.7855138505816045</v>
      </c>
      <c r="I11792" s="297">
        <f t="shared" si="2117"/>
        <v>684.15082328574272</v>
      </c>
      <c r="J11792" s="422">
        <f t="shared" si="2118"/>
        <v>2159.7142857142858</v>
      </c>
      <c r="K11792" s="297">
        <f>J11792/POBLA!$B$7*100000</f>
        <v>57.432336175571692</v>
      </c>
      <c r="L11792" s="200">
        <f t="shared" si="2119"/>
        <v>-0.14267891573097424</v>
      </c>
      <c r="M11792" s="401">
        <f>SUM(C11792,C11768,C11744,C11720,C11696,C11672,C11648)/POBLA!$B$7*100000</f>
        <v>402.02635322900181</v>
      </c>
      <c r="N11792" s="42" t="s">
        <v>20</v>
      </c>
      <c r="O11792" s="42">
        <v>22</v>
      </c>
      <c r="P11792" s="42">
        <v>19</v>
      </c>
      <c r="Q11792" s="42">
        <v>1</v>
      </c>
      <c r="R11792" s="42">
        <v>42</v>
      </c>
    </row>
    <row r="11793" spans="1:18" x14ac:dyDescent="0.25">
      <c r="A11793" s="367" t="s">
        <v>31</v>
      </c>
      <c r="B11793" s="2">
        <v>44384</v>
      </c>
      <c r="C11793" s="1">
        <v>773</v>
      </c>
      <c r="D11793" s="39">
        <f t="shared" si="2114"/>
        <v>115281</v>
      </c>
      <c r="E11793" s="1">
        <v>24</v>
      </c>
      <c r="F11793" s="39">
        <f t="shared" si="2115"/>
        <v>1916</v>
      </c>
      <c r="G11793" s="168">
        <f>SUM(C11793,C11769,C11745,C11721,C11697,C11673,C11649,C11625,C11601,C11577,C11553,C11529,C11505,C11481)/POBLA!$B$8*100000</f>
        <v>747.92869352023615</v>
      </c>
      <c r="H11793" s="256">
        <f t="shared" si="2116"/>
        <v>0.99932517111732377</v>
      </c>
      <c r="I11793" s="297">
        <f t="shared" si="2117"/>
        <v>747.42396963566637</v>
      </c>
      <c r="J11793" s="422">
        <f t="shared" si="2118"/>
        <v>713.85714285714289</v>
      </c>
      <c r="K11793" s="297">
        <f>J11793/POBLA!$B$8*100000</f>
        <v>51.506293673281064</v>
      </c>
      <c r="L11793" s="200">
        <f t="shared" si="2119"/>
        <v>-6.9286645557832038E-2</v>
      </c>
      <c r="M11793" s="401">
        <f>SUM(C11793,C11769,C11745,C11721,C11697,C11673,C11649)/POBLA!$B$8*100000</f>
        <v>360.54405571296741</v>
      </c>
      <c r="N11793" s="42" t="s">
        <v>31</v>
      </c>
      <c r="O11793" s="42">
        <v>9</v>
      </c>
      <c r="P11793" s="42">
        <v>15</v>
      </c>
      <c r="Q11793" s="42">
        <v>0</v>
      </c>
      <c r="R11793" s="42">
        <v>24</v>
      </c>
    </row>
    <row r="11794" spans="1:18" x14ac:dyDescent="0.25">
      <c r="A11794" s="367" t="s">
        <v>41</v>
      </c>
      <c r="B11794" s="2">
        <v>44384</v>
      </c>
      <c r="C11794" s="1">
        <v>464</v>
      </c>
      <c r="D11794" s="39">
        <f t="shared" si="2114"/>
        <v>48361</v>
      </c>
      <c r="E11794" s="1">
        <v>15</v>
      </c>
      <c r="F11794" s="39">
        <f t="shared" si="2115"/>
        <v>863</v>
      </c>
      <c r="G11794" s="168">
        <f>SUM(C11794,C11770,C11746,C11722,C11698,C11674,C11650,C11626,C11602,C11578,C11554,C11530,C11506,C11482)/POBLA!$B$9*100000</f>
        <v>913.59285384992882</v>
      </c>
      <c r="H11794" s="256">
        <f t="shared" si="2116"/>
        <v>0.93253499747006241</v>
      </c>
      <c r="I11794" s="297">
        <f>G11794*H11794</f>
        <v>851.95730965361042</v>
      </c>
      <c r="J11794" s="422">
        <f t="shared" si="2118"/>
        <v>400.42857142857144</v>
      </c>
      <c r="K11794" s="297">
        <f>J11794/POBLA!$B$9*100000</f>
        <v>66.165433411915117</v>
      </c>
      <c r="L11794" s="200">
        <f t="shared" si="2119"/>
        <v>2.8246515040352138E-2</v>
      </c>
      <c r="M11794" s="401">
        <f>SUM(C11794,C11770,C11746,C11722,C11698,C11674,C11650)/POBLA!$B$9*100000</f>
        <v>463.15803388340578</v>
      </c>
      <c r="N11794" s="42" t="s">
        <v>41</v>
      </c>
      <c r="O11794" s="42">
        <v>9</v>
      </c>
      <c r="P11794" s="42">
        <v>6</v>
      </c>
      <c r="Q11794" s="42">
        <v>0</v>
      </c>
      <c r="R11794" s="42">
        <v>15</v>
      </c>
    </row>
    <row r="11795" spans="1:18" x14ac:dyDescent="0.25">
      <c r="A11795" s="367" t="s">
        <v>32</v>
      </c>
      <c r="B11795" s="2">
        <v>44384</v>
      </c>
      <c r="C11795" s="1">
        <v>296</v>
      </c>
      <c r="D11795" s="39">
        <f t="shared" si="2114"/>
        <v>37800</v>
      </c>
      <c r="E11795" s="1">
        <v>6</v>
      </c>
      <c r="F11795" s="39">
        <f t="shared" si="2115"/>
        <v>1207</v>
      </c>
      <c r="G11795" s="168">
        <f>SUM(C11795,C11771,C11747,C11723,C11699,C11675,C11651,C11627,C11603,C11579,C11555,C11531,C11507,C11483)/POBLA!$B$10*100000</f>
        <v>501.3744014964696</v>
      </c>
      <c r="H11795" s="256">
        <f t="shared" si="2116"/>
        <v>1.1610093121057374</v>
      </c>
      <c r="I11795" s="297">
        <f t="shared" ref="I11795:I11809" si="2120">G11795*H11795</f>
        <v>582.10034898884203</v>
      </c>
      <c r="J11795" s="422">
        <f t="shared" si="2118"/>
        <v>279.14285714285717</v>
      </c>
      <c r="K11795" s="297">
        <f>J11795/POBLA!$B$10*100000</f>
        <v>36.210888210094318</v>
      </c>
      <c r="L11795" s="200">
        <f t="shared" si="2119"/>
        <v>2.250130821559404E-2</v>
      </c>
      <c r="M11795" s="401">
        <f>SUM(C11795,C11771,C11747,C11723,C11699,C11675,C11651)/POBLA!$B$10*100000</f>
        <v>253.4762174706602</v>
      </c>
      <c r="N11795" s="42" t="s">
        <v>32</v>
      </c>
      <c r="O11795" s="42">
        <v>3</v>
      </c>
      <c r="P11795" s="42">
        <v>3</v>
      </c>
      <c r="Q11795" s="42">
        <v>0</v>
      </c>
      <c r="R11795" s="42">
        <v>6</v>
      </c>
    </row>
    <row r="11796" spans="1:18" x14ac:dyDescent="0.25">
      <c r="A11796" s="367" t="s">
        <v>33</v>
      </c>
      <c r="B11796" s="2">
        <v>44384</v>
      </c>
      <c r="C11796" s="1">
        <v>300</v>
      </c>
      <c r="D11796" s="39">
        <f t="shared" si="2114"/>
        <v>54939</v>
      </c>
      <c r="E11796" s="1">
        <v>11</v>
      </c>
      <c r="F11796" s="39">
        <f t="shared" si="2115"/>
        <v>765</v>
      </c>
      <c r="G11796" s="168">
        <f>SUM(C11796,C11772,C11748,C11724,C11700,C11676,C11652,C11628,C11604,C11580,C11556,C11532,C11508,C11484)/POBLA!$B$11*100000</f>
        <v>1360.3847913667457</v>
      </c>
      <c r="H11796" s="256">
        <f t="shared" si="2116"/>
        <v>1.2971534982708166</v>
      </c>
      <c r="I11796" s="297">
        <f t="shared" si="2120"/>
        <v>1764.6278911157892</v>
      </c>
      <c r="J11796" s="422">
        <f t="shared" si="2118"/>
        <v>263.28571428571428</v>
      </c>
      <c r="K11796" s="297">
        <f>J11796/POBLA!$B$11*100000</f>
        <v>73.455677091553753</v>
      </c>
      <c r="L11796" s="200">
        <f t="shared" si="2119"/>
        <v>-0.3923508077810749</v>
      </c>
      <c r="M11796" s="401">
        <f>SUM(C11796,C11772,C11748,C11724,C11700,C11676,C11652)/POBLA!$B$11*100000</f>
        <v>514.18973964087627</v>
      </c>
      <c r="N11796" s="42" t="s">
        <v>33</v>
      </c>
      <c r="O11796" s="42">
        <v>4</v>
      </c>
      <c r="P11796" s="42">
        <v>7</v>
      </c>
      <c r="Q11796" s="42">
        <v>0</v>
      </c>
      <c r="R11796" s="42">
        <v>11</v>
      </c>
    </row>
    <row r="11797" spans="1:18" x14ac:dyDescent="0.25">
      <c r="A11797" s="367" t="s">
        <v>21</v>
      </c>
      <c r="B11797" s="2">
        <v>44384</v>
      </c>
      <c r="C11797" s="1">
        <v>147</v>
      </c>
      <c r="D11797" s="39">
        <f t="shared" si="2114"/>
        <v>23432</v>
      </c>
      <c r="F11797" s="39">
        <f t="shared" si="2115"/>
        <v>641</v>
      </c>
      <c r="G11797" s="168">
        <f>SUM(C11797,C11773,C11749,C11725,C11701,C11677,C11653,C11629,C11605,C11581,C11557,C11533,C11509,C11485)/POBLA!$B$12*100000</f>
        <v>628.92122856903268</v>
      </c>
      <c r="H11797" s="256">
        <f t="shared" si="2116"/>
        <v>1.2633996937212864</v>
      </c>
      <c r="I11797" s="297">
        <f t="shared" si="2120"/>
        <v>794.57888754893099</v>
      </c>
      <c r="J11797" s="422">
        <f t="shared" si="2118"/>
        <v>178.42857142857142</v>
      </c>
      <c r="K11797" s="297">
        <f>J11797/POBLA!$B$12*100000</f>
        <v>45.340410648353348</v>
      </c>
      <c r="L11797" s="200">
        <f t="shared" si="2119"/>
        <v>1.8760195758564358E-2</v>
      </c>
      <c r="M11797" s="401">
        <f>SUM(C11797,C11773,C11749,C11725,C11701,C11677,C11653)/POBLA!$B$12*100000</f>
        <v>317.38287453847346</v>
      </c>
    </row>
    <row r="11798" spans="1:18" x14ac:dyDescent="0.25">
      <c r="A11798" s="367" t="s">
        <v>17</v>
      </c>
      <c r="B11798" s="2">
        <v>44384</v>
      </c>
      <c r="C11798" s="1">
        <v>543</v>
      </c>
      <c r="D11798" s="39">
        <f t="shared" si="2114"/>
        <v>143669</v>
      </c>
      <c r="E11798" s="1">
        <v>29</v>
      </c>
      <c r="F11798" s="39">
        <f t="shared" si="2115"/>
        <v>3417</v>
      </c>
      <c r="G11798" s="168">
        <f>SUM(C11798,C11774,C11750,C11726,C11702,C11678,C11654,C11630,C11606,C11582,C11558,C11534,C11510,C11486)/POBLA!$B$13*100000</f>
        <v>398.8267319420118</v>
      </c>
      <c r="H11798" s="256">
        <f t="shared" si="2116"/>
        <v>0.96124969726325982</v>
      </c>
      <c r="I11798" s="297">
        <f t="shared" si="2120"/>
        <v>383.37207533975413</v>
      </c>
      <c r="J11798" s="422">
        <f t="shared" si="2118"/>
        <v>549.28571428571433</v>
      </c>
      <c r="K11798" s="297">
        <f>J11798/POBLA!$B$13*100000</f>
        <v>27.597609767070434</v>
      </c>
      <c r="L11798" s="200">
        <f t="shared" si="2119"/>
        <v>-6.0591253359394082E-2</v>
      </c>
      <c r="M11798" s="401">
        <f>SUM(C11798,C11774,C11750,C11726,C11702,C11678,C11654)/POBLA!$B$13*100000</f>
        <v>193.18326836949302</v>
      </c>
      <c r="N11798" s="42" t="s">
        <v>17</v>
      </c>
      <c r="O11798" s="42">
        <v>12</v>
      </c>
      <c r="P11798" s="42">
        <v>17</v>
      </c>
      <c r="Q11798" s="42">
        <v>0</v>
      </c>
      <c r="R11798" s="42">
        <v>29</v>
      </c>
    </row>
    <row r="11799" spans="1:18" x14ac:dyDescent="0.25">
      <c r="A11799" s="367" t="s">
        <v>23</v>
      </c>
      <c r="B11799" s="2">
        <v>44384</v>
      </c>
      <c r="C11799" s="1">
        <v>188</v>
      </c>
      <c r="D11799" s="39">
        <f t="shared" si="2114"/>
        <v>26861</v>
      </c>
      <c r="E11799" s="1">
        <v>3</v>
      </c>
      <c r="F11799" s="39">
        <f t="shared" si="2115"/>
        <v>454</v>
      </c>
      <c r="G11799" s="168">
        <f>SUM(C11799,C11775,C11751,C11727,C11703,C11679,C11655,C11631,C11607,C11583,C11559,C11535,C11511,C11487)/POBLA!$B$14*100000</f>
        <v>200.98406874210136</v>
      </c>
      <c r="H11799" s="256">
        <f t="shared" si="2116"/>
        <v>1.1142857142857143</v>
      </c>
      <c r="I11799" s="297">
        <f t="shared" si="2120"/>
        <v>223.95367659834153</v>
      </c>
      <c r="J11799" s="422">
        <f t="shared" si="2118"/>
        <v>170</v>
      </c>
      <c r="K11799" s="297">
        <f>J11799/POBLA!$B$14*100000</f>
        <v>13.478221572448611</v>
      </c>
      <c r="L11799" s="200">
        <f t="shared" si="2119"/>
        <v>-0.11524163568773238</v>
      </c>
      <c r="M11799" s="401">
        <f>SUM(C11799,C11775,C11751,C11727,C11703,C11679,C11655)/POBLA!$B$14*100000</f>
        <v>94.347551007140297</v>
      </c>
      <c r="N11799" s="42" t="s">
        <v>23</v>
      </c>
      <c r="O11799" s="42">
        <v>1</v>
      </c>
      <c r="P11799" s="42">
        <v>2</v>
      </c>
      <c r="Q11799" s="42">
        <v>0</v>
      </c>
      <c r="R11799" s="42">
        <v>3</v>
      </c>
    </row>
    <row r="11800" spans="1:18" x14ac:dyDescent="0.25">
      <c r="A11800" s="367" t="s">
        <v>19</v>
      </c>
      <c r="B11800" s="2">
        <v>44384</v>
      </c>
      <c r="C11800" s="1">
        <v>222</v>
      </c>
      <c r="D11800" s="39">
        <f t="shared" si="2114"/>
        <v>102912</v>
      </c>
      <c r="E11800" s="1">
        <v>4</v>
      </c>
      <c r="F11800" s="39">
        <f t="shared" si="2115"/>
        <v>1880</v>
      </c>
      <c r="G11800" s="168">
        <f>SUM(C11800,C11776,C11752,C11728,C11704,C11680,C11656,C11632,C11608,C11584,C11560,C11536,C11512,C11488)/POBLA!$B$15*100000</f>
        <v>469.23682756148941</v>
      </c>
      <c r="H11800" s="256">
        <f t="shared" si="2116"/>
        <v>0.76055650475958014</v>
      </c>
      <c r="I11800" s="297">
        <f t="shared" si="2120"/>
        <v>356.88112147464022</v>
      </c>
      <c r="J11800" s="422">
        <f t="shared" si="2118"/>
        <v>212</v>
      </c>
      <c r="K11800" s="297">
        <f>J11800/POBLA!$B$15*100000</f>
        <v>31.924970296224572</v>
      </c>
      <c r="L11800" s="200">
        <f t="shared" si="2119"/>
        <v>-9.0686274509803932E-2</v>
      </c>
      <c r="M11800" s="401">
        <f>SUM(C11800,C11776,C11752,C11728,C11704,C11680,C11656)/POBLA!$B$15*100000</f>
        <v>223.47479207357199</v>
      </c>
      <c r="N11800" s="42" t="s">
        <v>19</v>
      </c>
      <c r="O11800" s="42">
        <v>1</v>
      </c>
      <c r="P11800" s="42">
        <v>3</v>
      </c>
      <c r="Q11800" s="42">
        <v>0</v>
      </c>
      <c r="R11800" s="42">
        <v>4</v>
      </c>
    </row>
    <row r="11801" spans="1:18" x14ac:dyDescent="0.25">
      <c r="A11801" s="367" t="s">
        <v>18</v>
      </c>
      <c r="B11801" s="2">
        <v>44384</v>
      </c>
      <c r="C11801" s="1">
        <v>269</v>
      </c>
      <c r="D11801" s="39">
        <f t="shared" si="2114"/>
        <v>85799</v>
      </c>
      <c r="E11801" s="1">
        <v>3</v>
      </c>
      <c r="F11801" s="39">
        <f t="shared" si="2115"/>
        <v>1970</v>
      </c>
      <c r="G11801" s="168">
        <f>SUM(C11801,C11777,C11753,C11729,C11705,C11681,C11657,C11633,C11609,C11585,C11561,C11537,C11513,C11489)/POBLA!$B$16*100000</f>
        <v>459.19663995933706</v>
      </c>
      <c r="H11801" s="256">
        <f t="shared" si="2116"/>
        <v>0.78974005060961583</v>
      </c>
      <c r="I11801" s="297">
        <f t="shared" si="2120"/>
        <v>362.64597768125242</v>
      </c>
      <c r="J11801" s="422">
        <f t="shared" si="2118"/>
        <v>217.14285714285714</v>
      </c>
      <c r="K11801" s="297">
        <f>J11801/POBLA!$B$16*100000</f>
        <v>29.044937486504615</v>
      </c>
      <c r="L11801" s="200">
        <f t="shared" si="2119"/>
        <v>-0.20543648719289076</v>
      </c>
      <c r="M11801" s="401">
        <f>SUM(C11801,C11777,C11753,C11729,C11705,C11681,C11657)/POBLA!$B$16*100000</f>
        <v>203.31456240553231</v>
      </c>
      <c r="N11801" s="42" t="s">
        <v>18</v>
      </c>
      <c r="O11801" s="42">
        <v>1</v>
      </c>
      <c r="P11801" s="42">
        <v>2</v>
      </c>
      <c r="Q11801" s="42">
        <v>0</v>
      </c>
      <c r="R11801" s="42">
        <v>3</v>
      </c>
    </row>
    <row r="11802" spans="1:18" x14ac:dyDescent="0.25">
      <c r="A11802" s="367" t="s">
        <v>34</v>
      </c>
      <c r="B11802" s="2">
        <v>44384</v>
      </c>
      <c r="C11802" s="1">
        <v>635</v>
      </c>
      <c r="D11802" s="39">
        <f>C11802+D11778</f>
        <v>64928</v>
      </c>
      <c r="E11802" s="1">
        <v>15</v>
      </c>
      <c r="F11802" s="39">
        <f t="shared" si="2115"/>
        <v>1812</v>
      </c>
      <c r="G11802" s="168">
        <f>SUM(C11802,C11778,C11754,C11730,C11706,C11682,C11658,C11634,C11610,C11586,C11562,C11538,C11514,C11490)/POBLA!$B$17*100000</f>
        <v>518.39480144931508</v>
      </c>
      <c r="H11802" s="256">
        <f t="shared" si="2116"/>
        <v>1.0779562043795621</v>
      </c>
      <c r="I11802" s="297">
        <f t="shared" si="2120"/>
        <v>558.80689254040044</v>
      </c>
      <c r="J11802" s="422">
        <f t="shared" si="2118"/>
        <v>518</v>
      </c>
      <c r="K11802" s="297">
        <f>J11802/POBLA!$B$17*100000</f>
        <v>36.366265865485538</v>
      </c>
      <c r="L11802" s="200">
        <f t="shared" si="2119"/>
        <v>-3.5125066524747228E-2</v>
      </c>
      <c r="M11802" s="401">
        <f>SUM(C11802,C11778,C11754,C11730,C11706,C11682,C11658)/POBLA!$B$17*100000</f>
        <v>254.56386105839871</v>
      </c>
      <c r="N11802" s="42" t="s">
        <v>34</v>
      </c>
      <c r="O11802" s="42">
        <v>11</v>
      </c>
      <c r="P11802" s="42">
        <v>4</v>
      </c>
      <c r="Q11802" s="42">
        <v>0</v>
      </c>
      <c r="R11802" s="42">
        <v>15</v>
      </c>
    </row>
    <row r="11803" spans="1:18" x14ac:dyDescent="0.25">
      <c r="A11803" s="367" t="s">
        <v>35</v>
      </c>
      <c r="B11803" s="2">
        <v>44384</v>
      </c>
      <c r="C11803" s="1">
        <v>328</v>
      </c>
      <c r="D11803" s="39">
        <f t="shared" ref="D11803:D11809" si="2121">C11803+D11779</f>
        <v>53336</v>
      </c>
      <c r="E11803" s="1">
        <v>1</v>
      </c>
      <c r="F11803" s="39">
        <f t="shared" si="2115"/>
        <v>854</v>
      </c>
      <c r="G11803" s="168">
        <f>SUM(C11803,C11779,C11755,C11731,C11707,C11683,C11659,C11635,C11611,C11587,C11563,C11539,C11515,C11491)/POBLA!$B$18*100000</f>
        <v>696.22140839229041</v>
      </c>
      <c r="H11803" s="256">
        <f t="shared" si="2116"/>
        <v>0.85572687224669608</v>
      </c>
      <c r="I11803" s="297">
        <f t="shared" si="2120"/>
        <v>595.77536819472436</v>
      </c>
      <c r="J11803" s="422">
        <f t="shared" si="2118"/>
        <v>348.28571428571428</v>
      </c>
      <c r="K11803" s="297">
        <f>J11803/POBLA!$B$18*100000</f>
        <v>44.58245459145337</v>
      </c>
      <c r="L11803" s="200">
        <f t="shared" si="2119"/>
        <v>-0.18760413195601466</v>
      </c>
      <c r="M11803" s="401">
        <f>SUM(C11803,C11779,C11755,C11731,C11707,C11683,C11659)/POBLA!$B$18*100000</f>
        <v>312.07718214017359</v>
      </c>
      <c r="N11803" s="42" t="s">
        <v>35</v>
      </c>
      <c r="O11803" s="42">
        <v>0</v>
      </c>
      <c r="P11803" s="42">
        <v>1</v>
      </c>
      <c r="Q11803" s="42">
        <v>0</v>
      </c>
      <c r="R11803" s="42">
        <v>1</v>
      </c>
    </row>
    <row r="11804" spans="1:18" x14ac:dyDescent="0.25">
      <c r="A11804" s="367" t="s">
        <v>36</v>
      </c>
      <c r="B11804" s="2">
        <v>44384</v>
      </c>
      <c r="C11804" s="1">
        <v>405</v>
      </c>
      <c r="D11804" s="39">
        <f t="shared" si="2121"/>
        <v>68189</v>
      </c>
      <c r="E11804" s="1">
        <v>31</v>
      </c>
      <c r="F11804" s="39">
        <f t="shared" si="2115"/>
        <v>1069</v>
      </c>
      <c r="G11804" s="168">
        <f>SUM(C11804,C11780,C11756,C11732,C11708,C11684,C11660,C11636,C11612,C11588,C11564,C11540,C11516,C11492)/POBLA!$B$19*100000</f>
        <v>1028.6665302717931</v>
      </c>
      <c r="H11804" s="256">
        <f t="shared" si="2116"/>
        <v>0.98678996036988109</v>
      </c>
      <c r="I11804" s="297">
        <f t="shared" si="2120"/>
        <v>1015.0778046407258</v>
      </c>
      <c r="J11804" s="422">
        <f t="shared" si="2118"/>
        <v>343.71428571428572</v>
      </c>
      <c r="K11804" s="297">
        <f>J11804/POBLA!$B$19*100000</f>
        <v>67.616634478975328</v>
      </c>
      <c r="L11804" s="200">
        <f t="shared" si="2119"/>
        <v>-0.14771519659936239</v>
      </c>
      <c r="M11804" s="401">
        <f>SUM(C11804,C11780,C11756,C11732,C11708,C11684,C11660)/POBLA!$B$19*100000</f>
        <v>473.31644135282733</v>
      </c>
      <c r="N11804" s="42" t="s">
        <v>36</v>
      </c>
      <c r="O11804" s="42">
        <v>13</v>
      </c>
      <c r="P11804" s="42">
        <v>18</v>
      </c>
      <c r="Q11804" s="42">
        <v>0</v>
      </c>
      <c r="R11804" s="42">
        <v>31</v>
      </c>
    </row>
    <row r="11805" spans="1:18" x14ac:dyDescent="0.25">
      <c r="A11805" s="367" t="s">
        <v>37</v>
      </c>
      <c r="B11805" s="2">
        <v>44384</v>
      </c>
      <c r="C11805" s="1">
        <v>119</v>
      </c>
      <c r="D11805" s="39">
        <f t="shared" si="2121"/>
        <v>56270</v>
      </c>
      <c r="E11805" s="1">
        <v>1</v>
      </c>
      <c r="F11805" s="39">
        <f t="shared" ref="F11805:F11810" si="2122">E11805+F11781</f>
        <v>881</v>
      </c>
      <c r="G11805" s="168">
        <f>SUM(C11805,C11781,C11758,C11733,C11709,C11685,C11661,C11637,C11613,C11589,C11565,C11541,C11517,C11493)/POBLA!$B$20*100000</f>
        <v>753.62730996614698</v>
      </c>
      <c r="H11805" s="256">
        <f t="shared" si="2116"/>
        <v>0.98728544183089639</v>
      </c>
      <c r="I11805" s="297">
        <f t="shared" si="2120"/>
        <v>744.04527169575738</v>
      </c>
      <c r="J11805" s="422">
        <f t="shared" si="2118"/>
        <v>108.71428571428571</v>
      </c>
      <c r="K11805" s="297">
        <f>J11805/POBLA!$B$20*100000</f>
        <v>29.727886319937681</v>
      </c>
      <c r="L11805" s="200">
        <f t="shared" si="2119"/>
        <v>-3.9141414141414144E-2</v>
      </c>
      <c r="M11805" s="401">
        <f>SUM(C11805,C11781,C11757,C11733,C11709,C11685,C11661)/POBLA!$B$20*100000</f>
        <v>208.09520423956377</v>
      </c>
      <c r="N11805" s="42" t="s">
        <v>37</v>
      </c>
      <c r="O11805" s="42">
        <v>1</v>
      </c>
      <c r="P11805" s="42">
        <v>0</v>
      </c>
      <c r="Q11805" s="42">
        <v>0</v>
      </c>
      <c r="R11805" s="42">
        <v>1</v>
      </c>
    </row>
    <row r="11806" spans="1:18" x14ac:dyDescent="0.25">
      <c r="A11806" s="367" t="s">
        <v>22</v>
      </c>
      <c r="B11806" s="2">
        <v>44384</v>
      </c>
      <c r="C11806" s="1">
        <v>2106</v>
      </c>
      <c r="D11806" s="39">
        <f t="shared" si="2121"/>
        <v>417175</v>
      </c>
      <c r="E11806" s="1">
        <v>37</v>
      </c>
      <c r="F11806" s="39">
        <f t="shared" si="2122"/>
        <v>6975</v>
      </c>
      <c r="G11806" s="168">
        <f>SUM(C11806,C11782,C11758,C11734,C11710,C11686,C11662,C11638,C11614,C11590,C11566,C11542,C11518,C11494)/POBLA!$B$21*100000</f>
        <v>656.65314450950086</v>
      </c>
      <c r="H11806" s="256">
        <f t="shared" si="2116"/>
        <v>0.93512664599524831</v>
      </c>
      <c r="I11806" s="297">
        <f t="shared" si="2120"/>
        <v>614.05385260740263</v>
      </c>
      <c r="J11806" s="422">
        <f t="shared" si="2118"/>
        <v>1571.4285714285713</v>
      </c>
      <c r="K11806" s="297">
        <f>J11806/POBLA!$B$21*100000</f>
        <v>44.435600413428823</v>
      </c>
      <c r="L11806" s="200">
        <f t="shared" si="2119"/>
        <v>-9.9983636066110271E-2</v>
      </c>
      <c r="M11806" s="401">
        <f>SUM(C11806,C11782,C11758,C11734,C11710,C11686,C11662)/POBLA!$B$21*100000</f>
        <v>311.04920289400178</v>
      </c>
      <c r="N11806" s="42" t="s">
        <v>22</v>
      </c>
      <c r="O11806" s="42">
        <v>20</v>
      </c>
      <c r="P11806" s="42">
        <v>17</v>
      </c>
      <c r="Q11806" s="42">
        <v>0</v>
      </c>
      <c r="R11806" s="42">
        <v>37</v>
      </c>
    </row>
    <row r="11807" spans="1:18" x14ac:dyDescent="0.25">
      <c r="A11807" s="367" t="s">
        <v>38</v>
      </c>
      <c r="B11807" s="2">
        <v>44384</v>
      </c>
      <c r="C11807" s="1">
        <v>678</v>
      </c>
      <c r="D11807" s="39">
        <f t="shared" si="2121"/>
        <v>63149</v>
      </c>
      <c r="E11807" s="1">
        <v>7</v>
      </c>
      <c r="F11807" s="39">
        <f t="shared" si="2122"/>
        <v>865</v>
      </c>
      <c r="G11807" s="168">
        <f>SUM(C11807,C11783,C11759,C11735,C11711,C11687,C11663,C11639,C11615,C11591,C11567,C11543,C11519,C11495)/POBLA!$B$22*100000</f>
        <v>765.29699595119348</v>
      </c>
      <c r="H11807" s="256">
        <f t="shared" si="2116"/>
        <v>1.0921954777534646</v>
      </c>
      <c r="I11807" s="297">
        <f t="shared" si="2120"/>
        <v>835.85391811620502</v>
      </c>
      <c r="J11807" s="422">
        <f t="shared" si="2118"/>
        <v>529.14285714285711</v>
      </c>
      <c r="K11807" s="297">
        <f>J11807/POBLA!$B$22*100000</f>
        <v>54.087276479292122</v>
      </c>
      <c r="L11807" s="200">
        <f t="shared" si="2119"/>
        <v>-2.0882897171557002E-2</v>
      </c>
      <c r="M11807" s="401">
        <f>SUM(C11807,C11783,C11759,C11735,C11711,C11687,C11663)/POBLA!$B$22*100000</f>
        <v>378.61093535504489</v>
      </c>
      <c r="N11807" s="42" t="s">
        <v>38</v>
      </c>
      <c r="O11807" s="42">
        <v>3</v>
      </c>
      <c r="P11807" s="42">
        <v>4</v>
      </c>
      <c r="Q11807" s="42">
        <v>0</v>
      </c>
      <c r="R11807" s="42">
        <v>7</v>
      </c>
    </row>
    <row r="11808" spans="1:18" x14ac:dyDescent="0.25">
      <c r="A11808" s="367" t="s">
        <v>39</v>
      </c>
      <c r="B11808" s="2">
        <v>44384</v>
      </c>
      <c r="C11808" s="1">
        <v>28</v>
      </c>
      <c r="D11808" s="39">
        <f t="shared" si="2121"/>
        <v>30083</v>
      </c>
      <c r="F11808" s="39">
        <f t="shared" si="2122"/>
        <v>449</v>
      </c>
      <c r="G11808" s="168">
        <f>SUM(C11808,C11784,C11760,C11736,C11712,C11688,C11664,C11640,C11616,C11592,C11568,C11544,C11520,C11496)/POBLA!$B$23*100000</f>
        <v>356.27438783011934</v>
      </c>
      <c r="H11808" s="256">
        <f t="shared" si="2116"/>
        <v>1.1886792452830188</v>
      </c>
      <c r="I11808" s="297">
        <f t="shared" si="2120"/>
        <v>423.49597043957579</v>
      </c>
      <c r="J11808" s="422">
        <f t="shared" si="2118"/>
        <v>43.142857142857146</v>
      </c>
      <c r="K11808" s="297">
        <f>J11808/POBLA!$B$23*100000</f>
        <v>24.397928599704318</v>
      </c>
      <c r="L11808" s="200">
        <f t="shared" si="2119"/>
        <v>-7.9268292682926789E-2</v>
      </c>
      <c r="M11808" s="401">
        <f>SUM(C11808,C11784,C11760,C11736,C11712,C11688,C11664)/POBLA!$B$23*100000</f>
        <v>170.78550019793022</v>
      </c>
    </row>
    <row r="11809" spans="1:18" ht="15.75" thickBot="1" x14ac:dyDescent="0.3">
      <c r="A11809" s="368" t="s">
        <v>40</v>
      </c>
      <c r="B11809" s="34">
        <v>44384</v>
      </c>
      <c r="C11809" s="232">
        <v>885</v>
      </c>
      <c r="D11809" s="67">
        <f t="shared" si="2121"/>
        <v>164763</v>
      </c>
      <c r="E11809" s="232">
        <v>11</v>
      </c>
      <c r="F11809" s="67">
        <f t="shared" si="2122"/>
        <v>2349</v>
      </c>
      <c r="G11809" s="255">
        <f>SUM(C11809,C11785,C11761,C11737,C11713,C11689,C11665,C11641,C11617,C11593,C11569,C11545,C11521,C11497)/POBLA!$B$24*100000</f>
        <v>932.10657502171534</v>
      </c>
      <c r="H11809" s="257">
        <f t="shared" si="2116"/>
        <v>1.4676205518907368</v>
      </c>
      <c r="I11809" s="299">
        <f t="shared" si="2120"/>
        <v>1367.9787660543543</v>
      </c>
      <c r="J11809" s="428">
        <f t="shared" si="2118"/>
        <v>1033.4285714285713</v>
      </c>
      <c r="K11809" s="299">
        <f>J11809/POBLA!$B$24*100000</f>
        <v>60.981613461880841</v>
      </c>
      <c r="L11809" s="260">
        <f t="shared" si="2119"/>
        <v>-0.15510394767577673</v>
      </c>
      <c r="M11809" s="406">
        <f>SUM(C11809,C11785,C11761,C11737,C11713,C11689,C11665)/POBLA!$B$24*100000</f>
        <v>426.87129423316588</v>
      </c>
      <c r="N11809" s="42" t="s">
        <v>40</v>
      </c>
      <c r="O11809" s="42">
        <v>6</v>
      </c>
      <c r="P11809" s="42">
        <v>5</v>
      </c>
      <c r="Q11809" s="42">
        <v>0</v>
      </c>
      <c r="R11809" s="42">
        <v>11</v>
      </c>
    </row>
    <row r="11810" spans="1:18" x14ac:dyDescent="0.25">
      <c r="A11810" s="363" t="s">
        <v>16</v>
      </c>
      <c r="B11810" s="265">
        <v>44385</v>
      </c>
      <c r="C11810" s="43">
        <v>5535</v>
      </c>
      <c r="D11810" s="174">
        <f>C11810+D11786</f>
        <v>1886636</v>
      </c>
      <c r="E11810" s="43">
        <v>160</v>
      </c>
      <c r="F11810" s="174">
        <f t="shared" si="2122"/>
        <v>49051</v>
      </c>
      <c r="G11810" s="175">
        <f>SUM(C11810,C11786,C11738,C11762,C11714,C11690,C11666,C11642,C11618,C11594,C11570,C11546,C11522,C11498)/POBLA!$B$1*100000</f>
        <v>471.43455491293298</v>
      </c>
      <c r="H11810" s="300">
        <f>SUM(C11810,C11786,C11762,C11738,C11714,C11690,C11666,C11642,C11618,C11594,C11570,C11546,C11522,C11498,)/SUM(C11474,C11450,C11426,C11402,C11378,C11354,C11330,C11306,C11282,C11258,C11234,C11210,C11186,C11162)</f>
        <v>0.86439561817953758</v>
      </c>
      <c r="I11810" s="301">
        <f>G11810*H11810</f>
        <v>407.50596352515987</v>
      </c>
      <c r="J11810" s="421">
        <f>AVERAGE(C11810,C11786,C11762,C11738,C11714,C11690,C11666)</f>
        <v>5313.5714285714284</v>
      </c>
      <c r="K11810" s="301">
        <f>J11810/POBLA!$B$1*100000</f>
        <v>30.292051290001194</v>
      </c>
      <c r="L11810" s="399">
        <f>(SUM(C11810,C11786,C11762,C11738,C11714,C11690,C11666)/SUM(C11642,C11618,C11594,C11570,C11546,C11522,C11498))-1</f>
        <v>-0.18252747252747248</v>
      </c>
      <c r="M11810" s="400">
        <f>SUM(C11810,C11786,C11762,C11738,C11714,C11690,C11666)/POBLA!$B$1*100000</f>
        <v>212.04435903000837</v>
      </c>
      <c r="N11810" s="42" t="s">
        <v>16</v>
      </c>
      <c r="O11810" s="42">
        <v>73</v>
      </c>
      <c r="P11810" s="42">
        <v>87</v>
      </c>
      <c r="Q11810" s="42">
        <v>0</v>
      </c>
      <c r="R11810" s="42">
        <v>160</v>
      </c>
    </row>
    <row r="11811" spans="1:18" x14ac:dyDescent="0.25">
      <c r="A11811" s="367" t="s">
        <v>43</v>
      </c>
      <c r="B11811" s="2">
        <v>44385</v>
      </c>
      <c r="C11811" s="1">
        <v>954</v>
      </c>
      <c r="D11811" s="39">
        <f t="shared" ref="D11811:D11825" si="2123">C11811+D11787</f>
        <v>472553</v>
      </c>
      <c r="E11811" s="1">
        <v>21</v>
      </c>
      <c r="F11811" s="39">
        <f t="shared" ref="F11811:F11828" si="2124">E11811+F11787</f>
        <v>10520</v>
      </c>
      <c r="G11811" s="168">
        <f>SUM(C11811,C11787,C11763,C11739,C11715,C11691,C11667,C11643,C11619,C11595,C11571,C11547,C11523,C11499)/POBLA!$B$2*100000</f>
        <v>523.66234605673083</v>
      </c>
      <c r="H11811" s="256">
        <f t="shared" ref="H11811:H11833" si="2125">SUM(C11811,C11787,C11763,C11739,C11715,C11691,C11667,C11643,C11619,C11595,C11571,C11547,C11523,C11499,)/SUM(C11475,C11451,C11427,C11403,C11379,C11355,C11331,C11307,C11283,C11259,C11235,C11211,C11187,C11163)</f>
        <v>0.82211219437496807</v>
      </c>
      <c r="I11811" s="297">
        <f t="shared" ref="I11811:I11817" si="2126">G11811*H11811</f>
        <v>430.50920042824288</v>
      </c>
      <c r="J11811" s="422">
        <f>AVERAGE(C11811,C11787,C11763,C11739,C11715,C11691,C11667)</f>
        <v>1041.8571428571429</v>
      </c>
      <c r="K11811" s="297">
        <f>J11811/POBLA!$B$2*100000</f>
        <v>33.874416719516582</v>
      </c>
      <c r="L11811" s="200">
        <f>(SUM(C11811,C11787,C11763,C11739,C11715,C11691,C11667)/SUM(C11643,C11619,C11595,C11571,C11547,C11523,C11499))-1</f>
        <v>-0.17247248383070468</v>
      </c>
      <c r="M11811" s="401">
        <f>SUM(C11811,C11787,C11763,C11739,C11715,C11691,C11667)/POBLA!$B$2*100000</f>
        <v>237.12091703661605</v>
      </c>
      <c r="N11811" s="42" t="s">
        <v>43</v>
      </c>
      <c r="O11811" s="42">
        <v>11</v>
      </c>
      <c r="P11811" s="42">
        <v>10</v>
      </c>
      <c r="Q11811" s="42">
        <v>0</v>
      </c>
      <c r="R11811" s="42">
        <v>21</v>
      </c>
    </row>
    <row r="11812" spans="1:18" x14ac:dyDescent="0.25">
      <c r="A11812" s="367" t="s">
        <v>28</v>
      </c>
      <c r="B11812" s="2">
        <v>44385</v>
      </c>
      <c r="C11812" s="1">
        <v>264</v>
      </c>
      <c r="D11812" s="39">
        <f t="shared" si="2123"/>
        <v>36552</v>
      </c>
      <c r="E11812" s="1">
        <v>14</v>
      </c>
      <c r="F11812" s="39">
        <f t="shared" si="2124"/>
        <v>358</v>
      </c>
      <c r="G11812" s="168">
        <f>SUM(C11812,C11788,C11764,C11740,C11716,C11692,C11668,C11644,C11620,C11596,C11572,C11548,C11524,C11500)/POBLA!$B$3*100000</f>
        <v>1030.2379657132954</v>
      </c>
      <c r="H11812" s="256">
        <f t="shared" si="2125"/>
        <v>1.0075329566854991</v>
      </c>
      <c r="I11812" s="297">
        <f t="shared" si="2126"/>
        <v>1037.9987036847704</v>
      </c>
      <c r="J11812" s="422">
        <f t="shared" ref="J11812:J11833" si="2127">AVERAGE(C11812,C11788,C11764,C11740,C11716,C11692,C11668)</f>
        <v>285.85714285714283</v>
      </c>
      <c r="K11812" s="297">
        <f>J11812/POBLA!$B$3*100000</f>
        <v>68.808617135924692</v>
      </c>
      <c r="L11812" s="200">
        <f t="shared" ref="L11812:L11833" si="2128">(SUM(C11812,C11788,C11764,C11740,C11716,C11692,C11668)/SUM(C11644,C11620,C11596,C11572,C11548,C11524,C11500))-1</f>
        <v>-0.12198332602018425</v>
      </c>
      <c r="M11812" s="401">
        <f>SUM(C11812,C11788,C11764,C11740,C11716,C11692,C11668)/POBLA!$B$3*100000</f>
        <v>481.66031995147296</v>
      </c>
      <c r="N11812" s="42" t="s">
        <v>28</v>
      </c>
      <c r="O11812" s="42">
        <v>7</v>
      </c>
      <c r="P11812" s="42">
        <v>7</v>
      </c>
      <c r="Q11812" s="42">
        <v>0</v>
      </c>
      <c r="R11812" s="42">
        <v>14</v>
      </c>
    </row>
    <row r="11813" spans="1:18" x14ac:dyDescent="0.25">
      <c r="A11813" s="367" t="s">
        <v>15</v>
      </c>
      <c r="B11813" s="2">
        <v>44385</v>
      </c>
      <c r="C11813" s="1">
        <v>649</v>
      </c>
      <c r="D11813" s="39">
        <f t="shared" si="2123"/>
        <v>81500</v>
      </c>
      <c r="E11813" s="1">
        <v>16</v>
      </c>
      <c r="F11813" s="39">
        <f t="shared" si="2124"/>
        <v>1781</v>
      </c>
      <c r="G11813" s="168">
        <f>SUM(C11813,C11789,C11765,C11741,C11717,C11693,C11669,C11645,C11621,C11597,C11573,C11549,C11525,C11501)/POBLA!$B$4*100000</f>
        <v>648.62881379712269</v>
      </c>
      <c r="H11813" s="256">
        <f t="shared" si="2125"/>
        <v>0.98923778171689036</v>
      </c>
      <c r="I11813" s="297">
        <f t="shared" si="2126"/>
        <v>641.64812891832355</v>
      </c>
      <c r="J11813" s="422">
        <f t="shared" si="2127"/>
        <v>550.28571428571433</v>
      </c>
      <c r="K11813" s="297">
        <f>J11813/POBLA!$B$4*100000</f>
        <v>45.684265980627835</v>
      </c>
      <c r="L11813" s="200">
        <f t="shared" si="2128"/>
        <v>-2.7518303458722526E-2</v>
      </c>
      <c r="M11813" s="401">
        <f>SUM(C11813,C11789,C11765,C11741,C11717,C11693,C11669)/POBLA!$B$4*100000</f>
        <v>319.78986186439482</v>
      </c>
      <c r="N11813" s="42" t="s">
        <v>15</v>
      </c>
      <c r="O11813" s="42">
        <v>6</v>
      </c>
      <c r="P11813" s="42">
        <v>10</v>
      </c>
      <c r="Q11813" s="42">
        <v>0</v>
      </c>
      <c r="R11813" s="42">
        <v>16</v>
      </c>
    </row>
    <row r="11814" spans="1:18" x14ac:dyDescent="0.25">
      <c r="A11814" s="367" t="s">
        <v>29</v>
      </c>
      <c r="B11814" s="2">
        <v>44385</v>
      </c>
      <c r="C11814" s="1">
        <v>228</v>
      </c>
      <c r="D11814" s="39">
        <f t="shared" si="2123"/>
        <v>72328</v>
      </c>
      <c r="E11814" s="1">
        <v>2</v>
      </c>
      <c r="F11814" s="39">
        <f t="shared" si="2124"/>
        <v>1236</v>
      </c>
      <c r="G11814" s="168">
        <f>SUM(C11814,C11790,C11766,C11742,C11718,C11694,C11670,C11646,C11622,C11598,C11574,C11550,C11526,C11502)/POBLA!$B$5*100000</f>
        <v>466.72504095354719</v>
      </c>
      <c r="H11814" s="256">
        <f t="shared" si="2125"/>
        <v>0.95916334661354585</v>
      </c>
      <c r="I11814" s="297">
        <f t="shared" si="2126"/>
        <v>447.66555222934858</v>
      </c>
      <c r="J11814" s="422">
        <f t="shared" si="2127"/>
        <v>185.85714285714286</v>
      </c>
      <c r="K11814" s="297">
        <f>J11814/POBLA!$B$5*100000</f>
        <v>30.025677608691336</v>
      </c>
      <c r="L11814" s="200">
        <f t="shared" si="2128"/>
        <v>-0.18073047858942071</v>
      </c>
      <c r="M11814" s="401">
        <f>SUM(C11814,C11790,C11766,C11742,C11718,C11694,C11670)/POBLA!$B$5*100000</f>
        <v>210.17974326083933</v>
      </c>
      <c r="N11814" s="42" t="s">
        <v>29</v>
      </c>
      <c r="O11814" s="42">
        <v>1</v>
      </c>
      <c r="P11814" s="42">
        <v>1</v>
      </c>
      <c r="Q11814" s="42">
        <v>0</v>
      </c>
      <c r="R11814" s="42">
        <v>2</v>
      </c>
    </row>
    <row r="11815" spans="1:18" x14ac:dyDescent="0.25">
      <c r="A11815" s="367" t="s">
        <v>30</v>
      </c>
      <c r="B11815" s="2">
        <v>44385</v>
      </c>
      <c r="C11815" s="1">
        <v>640</v>
      </c>
      <c r="D11815" s="39">
        <f t="shared" si="2123"/>
        <v>69773</v>
      </c>
      <c r="E11815" s="1">
        <v>8</v>
      </c>
      <c r="F11815" s="39">
        <f t="shared" si="2124"/>
        <v>799</v>
      </c>
      <c r="G11815" s="168">
        <f>SUM(C11815,C11791,C11767,C11743,C11719,C11695,C11671,C11647,C11623,C11599,C11575,C11551,C11527,C11503)/POBLA!$B$6*100000</f>
        <v>598.67898047913957</v>
      </c>
      <c r="H11815" s="256">
        <f t="shared" si="2125"/>
        <v>1.0223982934633551</v>
      </c>
      <c r="I11815" s="297">
        <f t="shared" si="2126"/>
        <v>612.08836797425352</v>
      </c>
      <c r="J11815" s="422">
        <f t="shared" si="2127"/>
        <v>424.14285714285717</v>
      </c>
      <c r="K11815" s="297">
        <f>J11815/POBLA!$B$6*100000</f>
        <v>37.842833575528324</v>
      </c>
      <c r="L11815" s="200">
        <f t="shared" si="2128"/>
        <v>-0.20636193531141411</v>
      </c>
      <c r="M11815" s="401">
        <f>SUM(C11815,C11791,C11767,C11743,C11719,C11695,C11671)/POBLA!$B$6*100000</f>
        <v>264.89983502869825</v>
      </c>
      <c r="N11815" s="42" t="s">
        <v>30</v>
      </c>
      <c r="O11815" s="42">
        <v>4</v>
      </c>
      <c r="P11815" s="42">
        <v>3</v>
      </c>
      <c r="Q11815" s="42">
        <v>1</v>
      </c>
      <c r="R11815" s="42">
        <v>8</v>
      </c>
    </row>
    <row r="11816" spans="1:18" x14ac:dyDescent="0.25">
      <c r="A11816" s="367" t="s">
        <v>20</v>
      </c>
      <c r="B11816" s="2">
        <v>44385</v>
      </c>
      <c r="C11816" s="1">
        <v>2463</v>
      </c>
      <c r="D11816" s="39">
        <f t="shared" si="2123"/>
        <v>428207</v>
      </c>
      <c r="E11816" s="1">
        <v>47</v>
      </c>
      <c r="F11816" s="39">
        <f t="shared" si="2124"/>
        <v>5633</v>
      </c>
      <c r="G11816" s="168">
        <f>SUM(C11816,C11792,C11768,C11744,C11720,C11696,C11672,C11648,C11624,C11600,C11576,C11552,C11528,C11504)/POBLA!$B$7*100000</f>
        <v>850.35035700514561</v>
      </c>
      <c r="H11816" s="256">
        <f>SUM(C11816,C11792,C11768,C11744,C11720,C11696,C11672,C11648,C11624,C11600,C11576,C11552,C11528,C11504,)/SUM(C11480,C11456,C11432,C11408,C11384,C11360,C11336,C11312,C11288,C11264,C11240,C11216,C11192,C11168)</f>
        <v>0.79335582791643922</v>
      </c>
      <c r="I11816" s="297">
        <f t="shared" si="2126"/>
        <v>674.63041150085701</v>
      </c>
      <c r="J11816" s="422">
        <f t="shared" si="2127"/>
        <v>2115.7142857142858</v>
      </c>
      <c r="K11816" s="297">
        <f>J11816/POBLA!$B$7*100000</f>
        <v>56.26226344491446</v>
      </c>
      <c r="L11816" s="200">
        <f t="shared" si="2128"/>
        <v>-0.13729830488728378</v>
      </c>
      <c r="M11816" s="401">
        <f>SUM(C11816,C11792,C11768,C11744,C11720,C11696,C11672)/POBLA!$B$7*100000</f>
        <v>393.8358441144012</v>
      </c>
      <c r="N11816" s="42" t="s">
        <v>20</v>
      </c>
      <c r="O11816" s="42">
        <v>16</v>
      </c>
      <c r="P11816" s="42">
        <v>31</v>
      </c>
      <c r="Q11816" s="42">
        <v>0</v>
      </c>
      <c r="R11816" s="42">
        <v>47</v>
      </c>
    </row>
    <row r="11817" spans="1:18" x14ac:dyDescent="0.25">
      <c r="A11817" s="367" t="s">
        <v>31</v>
      </c>
      <c r="B11817" s="2">
        <v>44385</v>
      </c>
      <c r="C11817" s="1">
        <v>890</v>
      </c>
      <c r="D11817" s="39">
        <f t="shared" si="2123"/>
        <v>116171</v>
      </c>
      <c r="E11817" s="1">
        <v>4</v>
      </c>
      <c r="F11817" s="39">
        <f t="shared" si="2124"/>
        <v>1920</v>
      </c>
      <c r="G11817" s="168">
        <f>SUM(C11817,C11793,C11769,C11745,C11721,C11697,C11673,C11649,C11625,C11601,C11577,C11553,C11529,C11505)/POBLA!$B$8*100000</f>
        <v>744.75400101445859</v>
      </c>
      <c r="H11817" s="256">
        <f t="shared" si="2125"/>
        <v>0.99690940699246666</v>
      </c>
      <c r="I11817" s="297">
        <f t="shared" si="2126"/>
        <v>742.45226950659082</v>
      </c>
      <c r="J11817" s="422">
        <f t="shared" si="2127"/>
        <v>713</v>
      </c>
      <c r="K11817" s="297">
        <f>J11817/POBLA!$B$8*100000</f>
        <v>51.444449014077591</v>
      </c>
      <c r="L11817" s="200">
        <f t="shared" si="2128"/>
        <v>-6.3777902832489186E-2</v>
      </c>
      <c r="M11817" s="401">
        <f>SUM(C11817,C11793,C11769,C11745,C11721,C11697,C11673)/POBLA!$B$8*100000</f>
        <v>360.11114309854321</v>
      </c>
      <c r="N11817" s="42" t="s">
        <v>31</v>
      </c>
      <c r="O11817" s="42">
        <v>1</v>
      </c>
      <c r="P11817" s="42">
        <v>3</v>
      </c>
      <c r="Q11817" s="42">
        <v>0</v>
      </c>
      <c r="R11817" s="42">
        <v>4</v>
      </c>
    </row>
    <row r="11818" spans="1:18" x14ac:dyDescent="0.25">
      <c r="A11818" s="367" t="s">
        <v>41</v>
      </c>
      <c r="B11818" s="2">
        <v>44385</v>
      </c>
      <c r="C11818" s="1">
        <v>579</v>
      </c>
      <c r="D11818" s="39">
        <f t="shared" si="2123"/>
        <v>48940</v>
      </c>
      <c r="E11818" s="1">
        <v>6</v>
      </c>
      <c r="F11818" s="39">
        <f t="shared" si="2124"/>
        <v>869</v>
      </c>
      <c r="G11818" s="168">
        <f>SUM(C11818,C11794,C11770,C11746,C11722,C11698,C11674,C11650,C11626,C11602,C11578,C11554,C11530,C11506)/POBLA!$B$9*100000</f>
        <v>933.58647571931601</v>
      </c>
      <c r="H11818" s="256">
        <f t="shared" si="2125"/>
        <v>0.93111404087013838</v>
      </c>
      <c r="I11818" s="297">
        <f>G11818*H11818</f>
        <v>869.27547590872371</v>
      </c>
      <c r="J11818" s="422">
        <f t="shared" si="2127"/>
        <v>415.57142857142856</v>
      </c>
      <c r="K11818" s="297">
        <f>J11818/POBLA!$B$9*100000</f>
        <v>68.667586798166624</v>
      </c>
      <c r="L11818" s="200">
        <f t="shared" si="2128"/>
        <v>6.1291499452754472E-2</v>
      </c>
      <c r="M11818" s="401">
        <f>SUM(C11818,C11794,C11770,C11746,C11722,C11698,C11674)/POBLA!$B$9*100000</f>
        <v>480.67310758716638</v>
      </c>
      <c r="N11818" s="42" t="s">
        <v>41</v>
      </c>
      <c r="O11818" s="42">
        <v>2</v>
      </c>
      <c r="P11818" s="42">
        <v>4</v>
      </c>
      <c r="Q11818" s="42">
        <v>0</v>
      </c>
      <c r="R11818" s="42">
        <v>6</v>
      </c>
    </row>
    <row r="11819" spans="1:18" x14ac:dyDescent="0.25">
      <c r="A11819" s="367" t="s">
        <v>32</v>
      </c>
      <c r="B11819" s="2">
        <v>44385</v>
      </c>
      <c r="C11819" s="1">
        <v>298</v>
      </c>
      <c r="D11819" s="39">
        <f t="shared" si="2123"/>
        <v>38098</v>
      </c>
      <c r="E11819" s="1">
        <v>6</v>
      </c>
      <c r="F11819" s="39">
        <f t="shared" si="2124"/>
        <v>1213</v>
      </c>
      <c r="G11819" s="168">
        <f>SUM(C11819,C11795,C11771,C11747,C11723,C11699,C11675,C11651,C11627,C11603,C11579,C11555,C11531,C11507)/POBLA!$B$10*100000</f>
        <v>501.24467978844984</v>
      </c>
      <c r="H11819" s="256">
        <f t="shared" si="2125"/>
        <v>1.1541218637992832</v>
      </c>
      <c r="I11819" s="297">
        <f t="shared" ref="I11819:I11833" si="2129">G11819*H11819</f>
        <v>578.49744405692059</v>
      </c>
      <c r="J11819" s="422">
        <f t="shared" si="2127"/>
        <v>282</v>
      </c>
      <c r="K11819" s="297">
        <f>J11819/POBLA!$B$10*100000</f>
        <v>36.581521661579409</v>
      </c>
      <c r="L11819" s="200">
        <f t="shared" si="2128"/>
        <v>4.4444444444444509E-2</v>
      </c>
      <c r="M11819" s="401">
        <f>SUM(C11819,C11795,C11771,C11747,C11723,C11699,C11675)/POBLA!$B$10*100000</f>
        <v>256.07065163105585</v>
      </c>
      <c r="N11819" s="42" t="s">
        <v>32</v>
      </c>
      <c r="O11819" s="42">
        <v>1</v>
      </c>
      <c r="P11819" s="42">
        <v>5</v>
      </c>
      <c r="Q11819" s="42">
        <v>0</v>
      </c>
      <c r="R11819" s="42">
        <v>6</v>
      </c>
    </row>
    <row r="11820" spans="1:18" x14ac:dyDescent="0.25">
      <c r="A11820" s="367" t="s">
        <v>33</v>
      </c>
      <c r="B11820" s="2">
        <v>44385</v>
      </c>
      <c r="C11820" s="1">
        <v>326</v>
      </c>
      <c r="D11820" s="39">
        <f t="shared" si="2123"/>
        <v>55265</v>
      </c>
      <c r="E11820" s="1">
        <v>2</v>
      </c>
      <c r="F11820" s="39">
        <f t="shared" si="2124"/>
        <v>767</v>
      </c>
      <c r="G11820" s="168">
        <f>SUM(C11820,C11796,C11772,C11748,C11724,C11700,C11676,C11652,C11628,C11604,C11580,C11556,C11532,C11508)/POBLA!$B$11*100000</f>
        <v>1312.1184728871629</v>
      </c>
      <c r="H11820" s="256">
        <f t="shared" si="2125"/>
        <v>1.2105534105534106</v>
      </c>
      <c r="I11820" s="297">
        <f t="shared" si="2129"/>
        <v>1588.3894924036879</v>
      </c>
      <c r="J11820" s="422">
        <f t="shared" si="2127"/>
        <v>273.85714285714283</v>
      </c>
      <c r="K11820" s="297">
        <f>J11820/POBLA!$B$11*100000</f>
        <v>76.405064017638921</v>
      </c>
      <c r="L11820" s="200">
        <f t="shared" si="2128"/>
        <v>-0.31191672648959079</v>
      </c>
      <c r="M11820" s="401">
        <f>SUM(C11820,C11796,C11772,C11748,C11724,C11700,C11676)/POBLA!$B$11*100000</f>
        <v>534.83544812347247</v>
      </c>
      <c r="N11820" s="42" t="s">
        <v>33</v>
      </c>
      <c r="O11820" s="42">
        <v>1</v>
      </c>
      <c r="P11820" s="42">
        <v>1</v>
      </c>
      <c r="Q11820" s="42">
        <v>0</v>
      </c>
      <c r="R11820" s="42">
        <v>2</v>
      </c>
    </row>
    <row r="11821" spans="1:18" x14ac:dyDescent="0.25">
      <c r="A11821" s="367" t="s">
        <v>21</v>
      </c>
      <c r="B11821" s="2">
        <v>44385</v>
      </c>
      <c r="C11821" s="1">
        <v>256</v>
      </c>
      <c r="D11821" s="39">
        <f t="shared" si="2123"/>
        <v>23688</v>
      </c>
      <c r="F11821" s="39">
        <f t="shared" si="2124"/>
        <v>641</v>
      </c>
      <c r="G11821" s="168">
        <f>SUM(C11821,C11797,C11773,C11749,C11725,C11701,C11677,C11653,C11629,C11605,C11581,C11557,C11533,C11509)/POBLA!$B$12*100000</f>
        <v>647.47122844197793</v>
      </c>
      <c r="H11821" s="256">
        <f t="shared" si="2125"/>
        <v>1.2855701311806256</v>
      </c>
      <c r="I11821" s="297">
        <f t="shared" si="2129"/>
        <v>832.3696720838343</v>
      </c>
      <c r="J11821" s="422">
        <f t="shared" si="2127"/>
        <v>183.14285714285714</v>
      </c>
      <c r="K11821" s="297">
        <f>J11821/POBLA!$B$12*100000</f>
        <v>46.538355845627699</v>
      </c>
      <c r="L11821" s="200">
        <f t="shared" si="2128"/>
        <v>1.2638230647709303E-2</v>
      </c>
      <c r="M11821" s="401">
        <f>SUM(C11821,C11797,C11773,C11749,C11725,C11701,C11677)/POBLA!$B$12*100000</f>
        <v>325.76849091939391</v>
      </c>
    </row>
    <row r="11822" spans="1:18" x14ac:dyDescent="0.25">
      <c r="A11822" s="367" t="s">
        <v>17</v>
      </c>
      <c r="B11822" s="2">
        <v>44385</v>
      </c>
      <c r="C11822" s="1">
        <v>604</v>
      </c>
      <c r="D11822" s="39">
        <f t="shared" si="2123"/>
        <v>144273</v>
      </c>
      <c r="E11822" s="1">
        <v>18</v>
      </c>
      <c r="F11822" s="39">
        <f t="shared" si="2124"/>
        <v>3435</v>
      </c>
      <c r="G11822" s="168">
        <f>SUM(C11822,C11798,C11774,C11750,C11726,C11702,C11678,C11654,C11630,C11606,C11582,C11558,C11534,C11510)/POBLA!$B$13*100000</f>
        <v>393.04881884383457</v>
      </c>
      <c r="H11822" s="256">
        <f t="shared" si="2125"/>
        <v>0.94916282455714629</v>
      </c>
      <c r="I11822" s="297">
        <f t="shared" si="2129"/>
        <v>373.06732708266412</v>
      </c>
      <c r="J11822" s="422">
        <f t="shared" si="2127"/>
        <v>527.71428571428567</v>
      </c>
      <c r="K11822" s="297">
        <f>J11822/POBLA!$B$13*100000</f>
        <v>26.513802465424749</v>
      </c>
      <c r="L11822" s="200">
        <f t="shared" si="2128"/>
        <v>-0.10535238556551219</v>
      </c>
      <c r="M11822" s="401">
        <f>SUM(C11822,C11798,C11774,C11750,C11726,C11702,C11678)/POBLA!$B$13*100000</f>
        <v>185.59661725797326</v>
      </c>
      <c r="N11822" s="42" t="s">
        <v>17</v>
      </c>
      <c r="O11822" s="42">
        <v>6</v>
      </c>
      <c r="P11822" s="42">
        <v>11</v>
      </c>
      <c r="Q11822" s="42">
        <v>1</v>
      </c>
      <c r="R11822" s="42">
        <v>18</v>
      </c>
    </row>
    <row r="11823" spans="1:18" x14ac:dyDescent="0.25">
      <c r="A11823" s="367" t="s">
        <v>23</v>
      </c>
      <c r="B11823" s="2">
        <v>44385</v>
      </c>
      <c r="C11823" s="1">
        <v>211</v>
      </c>
      <c r="D11823" s="39">
        <f t="shared" si="2123"/>
        <v>27072</v>
      </c>
      <c r="E11823" s="1">
        <v>3</v>
      </c>
      <c r="F11823" s="39">
        <f t="shared" si="2124"/>
        <v>457</v>
      </c>
      <c r="G11823" s="168">
        <f>SUM(C11823,C11799,C11775,C11751,C11727,C11703,C11679,C11655,C11631,C11607,C11583,C11559,C11535,C11511)/POBLA!$B$14*100000</f>
        <v>201.77690530518657</v>
      </c>
      <c r="H11823" s="256">
        <f t="shared" si="2125"/>
        <v>1.1003026372676179</v>
      </c>
      <c r="I11823" s="297">
        <f t="shared" si="2129"/>
        <v>222.01566104699518</v>
      </c>
      <c r="J11823" s="422">
        <f t="shared" si="2127"/>
        <v>177.71428571428572</v>
      </c>
      <c r="K11823" s="297">
        <f>J11823/POBLA!$B$14*100000</f>
        <v>14.089838349685776</v>
      </c>
      <c r="L11823" s="200">
        <f t="shared" si="2128"/>
        <v>-4.3812451960030696E-2</v>
      </c>
      <c r="M11823" s="401">
        <f>SUM(C11823,C11799,C11775,C11751,C11727,C11703,C11679)/POBLA!$B$14*100000</f>
        <v>98.628868447800428</v>
      </c>
      <c r="N11823" s="42" t="s">
        <v>23</v>
      </c>
      <c r="O11823" s="42">
        <v>2</v>
      </c>
      <c r="P11823" s="42">
        <v>1</v>
      </c>
      <c r="Q11823" s="42">
        <v>0</v>
      </c>
      <c r="R11823" s="42">
        <v>3</v>
      </c>
    </row>
    <row r="11824" spans="1:18" x14ac:dyDescent="0.25">
      <c r="A11824" s="367" t="s">
        <v>19</v>
      </c>
      <c r="B11824" s="2">
        <v>44385</v>
      </c>
      <c r="C11824" s="1">
        <v>194</v>
      </c>
      <c r="D11824" s="39">
        <f t="shared" si="2123"/>
        <v>103106</v>
      </c>
      <c r="E11824" s="1">
        <v>28</v>
      </c>
      <c r="F11824" s="39">
        <f t="shared" si="2124"/>
        <v>1908</v>
      </c>
      <c r="G11824" s="168">
        <f>SUM(C11824,C11800,C11776,C11752,C11728,C11704,C11680,C11656,C11632,C11608,C11584,C11560,C11536,C11512)/POBLA!$B$15*100000</f>
        <v>450.26255276278994</v>
      </c>
      <c r="H11824" s="256">
        <f t="shared" si="2125"/>
        <v>0.74396616073650157</v>
      </c>
      <c r="I11824" s="297">
        <f t="shared" si="2129"/>
        <v>334.98010270234931</v>
      </c>
      <c r="J11824" s="422">
        <f t="shared" si="2127"/>
        <v>209</v>
      </c>
      <c r="K11824" s="297">
        <f>J11824/POBLA!$B$15*100000</f>
        <v>31.473201848636485</v>
      </c>
      <c r="L11824" s="200">
        <f t="shared" si="2128"/>
        <v>-4.1912246234446671E-2</v>
      </c>
      <c r="M11824" s="401">
        <f>SUM(C11824,C11800,C11776,C11752,C11728,C11704,C11680)/POBLA!$B$15*100000</f>
        <v>220.31241294045543</v>
      </c>
      <c r="N11824" s="42" t="s">
        <v>19</v>
      </c>
      <c r="O11824" s="42">
        <v>12</v>
      </c>
      <c r="P11824" s="42">
        <v>15</v>
      </c>
      <c r="Q11824" s="42">
        <v>1</v>
      </c>
      <c r="R11824" s="42">
        <v>28</v>
      </c>
    </row>
    <row r="11825" spans="1:18" x14ac:dyDescent="0.25">
      <c r="A11825" s="367" t="s">
        <v>18</v>
      </c>
      <c r="B11825" s="2">
        <v>44385</v>
      </c>
      <c r="C11825" s="1">
        <v>281</v>
      </c>
      <c r="D11825" s="39">
        <f t="shared" si="2123"/>
        <v>86080</v>
      </c>
      <c r="E11825" s="1">
        <v>8</v>
      </c>
      <c r="F11825" s="39">
        <f t="shared" si="2124"/>
        <v>1978</v>
      </c>
      <c r="G11825" s="168">
        <f>SUM(C11825,C11801,C11777,C11753,C11729,C11705,C11681,C11657,C11633,C11609,C11585,C11561,C11537,C11513)/POBLA!$B$16*100000</f>
        <v>448.89715225853053</v>
      </c>
      <c r="H11825" s="256">
        <f t="shared" si="2125"/>
        <v>0.79076343072573041</v>
      </c>
      <c r="I11825" s="297">
        <f t="shared" si="2129"/>
        <v>354.97145216296616</v>
      </c>
      <c r="J11825" s="422">
        <f t="shared" si="2127"/>
        <v>215.57142857142858</v>
      </c>
      <c r="K11825" s="297">
        <f>J11825/POBLA!$B$16*100000</f>
        <v>28.834743859957545</v>
      </c>
      <c r="L11825" s="200">
        <f t="shared" si="2128"/>
        <v>-0.18299945858148348</v>
      </c>
      <c r="M11825" s="401">
        <f>SUM(C11825,C11801,C11777,C11753,C11729,C11705,C11681)/POBLA!$B$16*100000</f>
        <v>201.84320701970279</v>
      </c>
      <c r="N11825" s="42" t="s">
        <v>18</v>
      </c>
      <c r="O11825" s="42">
        <v>2</v>
      </c>
      <c r="P11825" s="42">
        <v>5</v>
      </c>
      <c r="Q11825" s="42">
        <v>1</v>
      </c>
      <c r="R11825" s="42">
        <v>8</v>
      </c>
    </row>
    <row r="11826" spans="1:18" x14ac:dyDescent="0.25">
      <c r="A11826" s="367" t="s">
        <v>34</v>
      </c>
      <c r="B11826" s="2">
        <v>44385</v>
      </c>
      <c r="C11826" s="1">
        <v>616</v>
      </c>
      <c r="D11826" s="39">
        <f>C11826+D11802</f>
        <v>65544</v>
      </c>
      <c r="E11826" s="1">
        <v>26</v>
      </c>
      <c r="F11826" s="39">
        <f t="shared" si="2124"/>
        <v>1838</v>
      </c>
      <c r="G11826" s="168">
        <f>SUM(C11826,C11802,C11778,C11754,C11730,C11706,C11682,C11658,C11634,C11610,C11586,C11562,C11538,C11514)/POBLA!$B$17*100000</f>
        <v>518.81603232806583</v>
      </c>
      <c r="H11826" s="256">
        <f t="shared" si="2125"/>
        <v>1.0752218827295212</v>
      </c>
      <c r="I11826" s="297">
        <f t="shared" si="2129"/>
        <v>557.84235107004315</v>
      </c>
      <c r="J11826" s="422">
        <f t="shared" si="2127"/>
        <v>504.14285714285717</v>
      </c>
      <c r="K11826" s="297">
        <f>J11826/POBLA!$B$17*100000</f>
        <v>35.393423121703933</v>
      </c>
      <c r="L11826" s="200">
        <f t="shared" si="2128"/>
        <v>-8.5988085988085938E-2</v>
      </c>
      <c r="M11826" s="401">
        <f>SUM(C11826,C11802,C11778,C11754,C11730,C11706,C11682)/POBLA!$B$17*100000</f>
        <v>247.75396185192753</v>
      </c>
      <c r="N11826" s="42" t="s">
        <v>34</v>
      </c>
      <c r="O11826" s="42">
        <v>18</v>
      </c>
      <c r="P11826" s="42">
        <v>8</v>
      </c>
      <c r="Q11826" s="42">
        <v>0</v>
      </c>
      <c r="R11826" s="42">
        <v>26</v>
      </c>
    </row>
    <row r="11827" spans="1:18" x14ac:dyDescent="0.25">
      <c r="A11827" s="367" t="s">
        <v>35</v>
      </c>
      <c r="B11827" s="2">
        <v>44385</v>
      </c>
      <c r="C11827" s="1">
        <v>580</v>
      </c>
      <c r="D11827" s="39">
        <f t="shared" ref="D11827:D11833" si="2130">C11827+D11803</f>
        <v>53916</v>
      </c>
      <c r="E11827" s="1">
        <v>6</v>
      </c>
      <c r="F11827" s="39">
        <f t="shared" si="2124"/>
        <v>860</v>
      </c>
      <c r="G11827" s="168">
        <f>SUM(C11827,C11803,C11779,C11755,C11731,C11707,C11683,C11659,C11635,C11611,C11587,C11563,C11539,C11515)/POBLA!$B$18*100000</f>
        <v>713.24612751642621</v>
      </c>
      <c r="H11827" s="256">
        <f t="shared" si="2125"/>
        <v>0.90513320337881742</v>
      </c>
      <c r="I11827" s="297">
        <f t="shared" si="2129"/>
        <v>645.5827521964793</v>
      </c>
      <c r="J11827" s="422">
        <f t="shared" si="2127"/>
        <v>400.71428571428572</v>
      </c>
      <c r="K11827" s="297">
        <f>J11827/POBLA!$B$18*100000</f>
        <v>51.293595212890366</v>
      </c>
      <c r="L11827" s="200">
        <f t="shared" si="2128"/>
        <v>1.3733285146367846E-2</v>
      </c>
      <c r="M11827" s="401">
        <f>SUM(C11827,C11803,C11779,C11755,C11731,C11707,C11683)/POBLA!$B$18*100000</f>
        <v>359.05516649023252</v>
      </c>
      <c r="N11827" s="42" t="s">
        <v>35</v>
      </c>
      <c r="O11827" s="42">
        <v>4</v>
      </c>
      <c r="P11827" s="42">
        <v>2</v>
      </c>
      <c r="Q11827" s="42">
        <v>0</v>
      </c>
      <c r="R11827" s="42">
        <v>6</v>
      </c>
    </row>
    <row r="11828" spans="1:18" x14ac:dyDescent="0.25">
      <c r="A11828" s="367" t="s">
        <v>36</v>
      </c>
      <c r="B11828" s="2">
        <v>44385</v>
      </c>
      <c r="C11828" s="1">
        <v>436</v>
      </c>
      <c r="D11828" s="39">
        <f t="shared" si="2130"/>
        <v>68625</v>
      </c>
      <c r="E11828" s="1">
        <v>10</v>
      </c>
      <c r="F11828" s="39">
        <f t="shared" si="2124"/>
        <v>1079</v>
      </c>
      <c r="G11828" s="168">
        <f>SUM(C11828,C11804,C11780,C11756,C11732,C11708,C11684,C11660,C11636,C11612,C11588,C11564,C11540,C11516)/POBLA!$B$19*100000</f>
        <v>1034.9616782864607</v>
      </c>
      <c r="H11828" s="256">
        <f t="shared" si="2125"/>
        <v>1.0154410345493148</v>
      </c>
      <c r="I11828" s="297">
        <f t="shared" si="2129"/>
        <v>1050.9425573180988</v>
      </c>
      <c r="J11828" s="422">
        <f t="shared" si="2127"/>
        <v>362.42857142857144</v>
      </c>
      <c r="K11828" s="297">
        <f>J11828/POBLA!$B$19*100000</f>
        <v>71.298171933981891</v>
      </c>
      <c r="L11828" s="200">
        <f t="shared" si="2128"/>
        <v>-6.8649045521292251E-2</v>
      </c>
      <c r="M11828" s="401">
        <f>SUM(C11828,C11804,C11780,C11756,C11732,C11708,C11684)/POBLA!$B$19*100000</f>
        <v>499.08720353787317</v>
      </c>
      <c r="N11828" s="42" t="s">
        <v>36</v>
      </c>
      <c r="O11828" s="42">
        <v>4</v>
      </c>
      <c r="P11828" s="42">
        <v>6</v>
      </c>
      <c r="Q11828" s="42">
        <v>0</v>
      </c>
      <c r="R11828" s="42">
        <v>10</v>
      </c>
    </row>
    <row r="11829" spans="1:18" x14ac:dyDescent="0.25">
      <c r="A11829" s="367" t="s">
        <v>37</v>
      </c>
      <c r="B11829" s="2">
        <v>44385</v>
      </c>
      <c r="C11829" s="1">
        <v>90</v>
      </c>
      <c r="D11829" s="39">
        <f t="shared" si="2130"/>
        <v>56360</v>
      </c>
      <c r="E11829" s="1">
        <v>2</v>
      </c>
      <c r="F11829" s="39">
        <f t="shared" ref="F11829:F11834" si="2131">E11829+F11805</f>
        <v>883</v>
      </c>
      <c r="G11829" s="168">
        <f>SUM(C11829,C11805,C11782,C11757,C11733,C11709,C11685,C11661,C11637,C11613,C11589,C11565,C11541,C11517)/POBLA!$B$20*100000</f>
        <v>961.17561485159888</v>
      </c>
      <c r="H11829" s="256">
        <f t="shared" si="2125"/>
        <v>1.0052805280528052</v>
      </c>
      <c r="I11829" s="297">
        <f t="shared" si="2129"/>
        <v>966.25112964949506</v>
      </c>
      <c r="J11829" s="422">
        <f t="shared" si="2127"/>
        <v>104.71428571428571</v>
      </c>
      <c r="K11829" s="297">
        <f>J11829/POBLA!$B$20*100000</f>
        <v>28.634087611713955</v>
      </c>
      <c r="L11829" s="200">
        <f t="shared" si="2128"/>
        <v>-7.2151898734177267E-2</v>
      </c>
      <c r="M11829" s="401">
        <f>SUM(C11829,C11805,C11781,C11757,C11733,C11709,C11685)/POBLA!$B$20*100000</f>
        <v>200.4386132819977</v>
      </c>
      <c r="N11829" s="42" t="s">
        <v>37</v>
      </c>
      <c r="O11829" s="42">
        <v>0</v>
      </c>
      <c r="P11829" s="42">
        <v>2</v>
      </c>
      <c r="Q11829" s="42">
        <v>0</v>
      </c>
      <c r="R11829" s="42">
        <v>2</v>
      </c>
    </row>
    <row r="11830" spans="1:18" x14ac:dyDescent="0.25">
      <c r="A11830" s="367" t="s">
        <v>22</v>
      </c>
      <c r="B11830" s="2">
        <v>44385</v>
      </c>
      <c r="C11830" s="1">
        <v>1563</v>
      </c>
      <c r="D11830" s="39">
        <f t="shared" si="2130"/>
        <v>418738</v>
      </c>
      <c r="E11830" s="1">
        <v>43</v>
      </c>
      <c r="F11830" s="39">
        <f t="shared" si="2131"/>
        <v>7018</v>
      </c>
      <c r="G11830" s="168">
        <f>SUM(C11830,C11806,C11782,C11758,C11734,C11710,C11686,C11662,C11638,C11614,C11590,C11566,C11542,C11518)/POBLA!$B$21*100000</f>
        <v>642.20349517506133</v>
      </c>
      <c r="H11830" s="256">
        <f t="shared" si="2125"/>
        <v>0.92276125467251746</v>
      </c>
      <c r="I11830" s="297">
        <f t="shared" si="2129"/>
        <v>592.60050296281565</v>
      </c>
      <c r="J11830" s="422">
        <f t="shared" si="2127"/>
        <v>1546.2857142857142</v>
      </c>
      <c r="K11830" s="297">
        <f>J11830/POBLA!$B$21*100000</f>
        <v>43.724630806813963</v>
      </c>
      <c r="L11830" s="200">
        <f t="shared" si="2128"/>
        <v>-8.9425422730714188E-2</v>
      </c>
      <c r="M11830" s="401">
        <f>SUM(C11830,C11806,C11782,C11758,C11734,C11710,C11686)/POBLA!$B$21*100000</f>
        <v>306.07241564769777</v>
      </c>
      <c r="N11830" s="42" t="s">
        <v>22</v>
      </c>
      <c r="O11830" s="42">
        <v>21</v>
      </c>
      <c r="P11830" s="42">
        <v>21</v>
      </c>
      <c r="Q11830" s="42">
        <v>1</v>
      </c>
      <c r="R11830" s="42">
        <v>43</v>
      </c>
    </row>
    <row r="11831" spans="1:18" x14ac:dyDescent="0.25">
      <c r="A11831" s="367" t="s">
        <v>38</v>
      </c>
      <c r="B11831" s="2">
        <v>44385</v>
      </c>
      <c r="C11831" s="1">
        <v>698</v>
      </c>
      <c r="D11831" s="39">
        <f t="shared" si="2130"/>
        <v>63847</v>
      </c>
      <c r="E11831" s="1">
        <v>10</v>
      </c>
      <c r="F11831" s="39">
        <f t="shared" si="2131"/>
        <v>875</v>
      </c>
      <c r="G11831" s="168">
        <f>SUM(C11831,C11807,C11783,C11759,C11735,C11711,C11687,C11663,C11639,C11615,C11591,C11567,C11543,C11519)/POBLA!$B$22*100000</f>
        <v>774.39428894433581</v>
      </c>
      <c r="H11831" s="256">
        <f t="shared" si="2125"/>
        <v>1.1029261901295677</v>
      </c>
      <c r="I11831" s="297">
        <f t="shared" si="2129"/>
        <v>854.09974276347191</v>
      </c>
      <c r="J11831" s="422">
        <f t="shared" si="2127"/>
        <v>519.71428571428567</v>
      </c>
      <c r="K11831" s="297">
        <f>J11831/POBLA!$B$22*100000</f>
        <v>53.123518313084425</v>
      </c>
      <c r="L11831" s="200">
        <f t="shared" si="2128"/>
        <v>-7.6180802437785688E-2</v>
      </c>
      <c r="M11831" s="401">
        <f>SUM(C11831,C11807,C11783,C11759,C11735,C11711,C11687)/POBLA!$B$22*100000</f>
        <v>371.86462819159101</v>
      </c>
      <c r="N11831" s="42" t="s">
        <v>38</v>
      </c>
      <c r="O11831" s="42">
        <v>5</v>
      </c>
      <c r="P11831" s="42">
        <v>5</v>
      </c>
      <c r="Q11831" s="42">
        <v>0</v>
      </c>
      <c r="R11831" s="42">
        <v>10</v>
      </c>
    </row>
    <row r="11832" spans="1:18" x14ac:dyDescent="0.25">
      <c r="A11832" s="367" t="s">
        <v>39</v>
      </c>
      <c r="B11832" s="2">
        <v>44385</v>
      </c>
      <c r="C11832" s="1">
        <v>59</v>
      </c>
      <c r="D11832" s="39">
        <f t="shared" si="2130"/>
        <v>30142</v>
      </c>
      <c r="E11832" s="1">
        <v>7</v>
      </c>
      <c r="F11832" s="39">
        <f t="shared" si="2131"/>
        <v>456</v>
      </c>
      <c r="G11832" s="168">
        <f>SUM(C11832,C11808,C11784,C11760,C11736,C11712,C11688,C11664,C11640,C11616,C11592,C11568,C11544,C11520)/POBLA!$B$23*100000</f>
        <v>364.75711134988404</v>
      </c>
      <c r="H11832" s="256">
        <f t="shared" si="2125"/>
        <v>1.2124060150375939</v>
      </c>
      <c r="I11832" s="297">
        <f t="shared" si="2129"/>
        <v>442.23371582833681</v>
      </c>
      <c r="J11832" s="422">
        <f t="shared" si="2127"/>
        <v>46.142857142857146</v>
      </c>
      <c r="K11832" s="297">
        <f>J11832/POBLA!$B$23*100000</f>
        <v>26.094473303657267</v>
      </c>
      <c r="L11832" s="200">
        <f t="shared" si="2128"/>
        <v>3.1055900621117516E-3</v>
      </c>
      <c r="M11832" s="401">
        <f>SUM(C11832,C11808,C11784,C11760,C11736,C11712,C11688)/POBLA!$B$23*100000</f>
        <v>182.66131312560086</v>
      </c>
      <c r="N11832" s="42" t="s">
        <v>39</v>
      </c>
      <c r="O11832" s="42">
        <v>1</v>
      </c>
      <c r="P11832" s="42">
        <v>6</v>
      </c>
      <c r="Q11832" s="42">
        <v>0</v>
      </c>
      <c r="R11832" s="42">
        <v>7</v>
      </c>
    </row>
    <row r="11833" spans="1:18" ht="15.75" thickBot="1" x14ac:dyDescent="0.3">
      <c r="A11833" s="368" t="s">
        <v>40</v>
      </c>
      <c r="B11833" s="34">
        <v>44385</v>
      </c>
      <c r="C11833" s="232">
        <v>842</v>
      </c>
      <c r="D11833" s="67">
        <f t="shared" si="2130"/>
        <v>165605</v>
      </c>
      <c r="E11833" s="232">
        <v>19</v>
      </c>
      <c r="F11833" s="67">
        <f t="shared" si="2131"/>
        <v>2368</v>
      </c>
      <c r="G11833" s="255">
        <f>SUM(C11833,C11809,C11785,C11761,C11737,C11713,C11689,C11665,C11641,C11617,C11593,C11569,C11545,C11521)/POBLA!$B$24*100000</f>
        <v>914.99395747573556</v>
      </c>
      <c r="H11833" s="257">
        <f t="shared" si="2125"/>
        <v>1.4186642268984446</v>
      </c>
      <c r="I11833" s="299">
        <f t="shared" si="2129"/>
        <v>1298.0691952990628</v>
      </c>
      <c r="J11833" s="428">
        <f t="shared" si="2127"/>
        <v>953.57142857142856</v>
      </c>
      <c r="K11833" s="299">
        <f>J11833/POBLA!$B$24*100000</f>
        <v>56.269321241091326</v>
      </c>
      <c r="L11833" s="260">
        <f t="shared" si="2128"/>
        <v>-0.24413996149926398</v>
      </c>
      <c r="M11833" s="406">
        <f>SUM(C11833,C11809,C11785,C11761,C11737,C11713,C11689)/POBLA!$B$24*100000</f>
        <v>393.88524868763932</v>
      </c>
      <c r="N11833" s="42" t="s">
        <v>40</v>
      </c>
      <c r="O11833" s="42">
        <v>5</v>
      </c>
      <c r="P11833" s="42">
        <v>14</v>
      </c>
      <c r="Q11833" s="42">
        <v>0</v>
      </c>
      <c r="R11833" s="42">
        <v>19</v>
      </c>
    </row>
    <row r="11834" spans="1:18" x14ac:dyDescent="0.25">
      <c r="A11834" s="363" t="s">
        <v>16</v>
      </c>
      <c r="B11834" s="265">
        <v>44386</v>
      </c>
      <c r="C11834" s="356">
        <v>3932</v>
      </c>
      <c r="D11834" s="174">
        <f>C11834+D11810</f>
        <v>1890568</v>
      </c>
      <c r="E11834" s="43">
        <v>107</v>
      </c>
      <c r="F11834" s="174">
        <f t="shared" si="2131"/>
        <v>49158</v>
      </c>
      <c r="G11834" s="175">
        <f>SUM(C11834,C11810,C11762,C11786,C11738,C11714,C11690,C11666,C11642,C11618,C11594,C11570,C11546,C11522)/POBLA!$B$1*100000</f>
        <v>447.77018781161388</v>
      </c>
      <c r="H11834" s="300">
        <f t="shared" ref="H11834:H11840" si="2132">SUM(C11834,C11810,C11786,C11762,C11738,C11714,C11690,C11666,C11642,C11618,C11594,C11570,C11546,C11522,)/SUM(C11498,C11474,C11450,C11426,C11402,C11378,C11354,C11330,C11306,C11282,C11258,C11234,C11210,C11186)</f>
        <v>0.83384468390041933</v>
      </c>
      <c r="I11834" s="301">
        <f>G11834*H11834</f>
        <v>373.37079071580655</v>
      </c>
      <c r="J11834" s="421">
        <f>AVERAGE(C11834,C11810,C11786,C11762,C11738,C11714,C11690)</f>
        <v>4975</v>
      </c>
      <c r="K11834" s="301">
        <f>J11834/POBLA!$B$1*100000</f>
        <v>28.361895044341757</v>
      </c>
      <c r="L11834" s="399">
        <f>(SUM(C11834,C11810,C11786,C11762,C11738,C11714,C11690)/SUM(C11666,C11642,C11618,C11594,C11570,C11546,C11522))-1</f>
        <v>-0.20343557720899386</v>
      </c>
      <c r="M11834" s="400">
        <f>SUM(C11834,C11810,C11786,C11762,C11738,C11714,C11690)/POBLA!$B$1*100000</f>
        <v>198.53326531039227</v>
      </c>
      <c r="N11834" s="42" t="s">
        <v>16</v>
      </c>
      <c r="O11834" s="42">
        <v>48</v>
      </c>
      <c r="P11834" s="42">
        <v>59</v>
      </c>
      <c r="Q11834" s="42">
        <v>0</v>
      </c>
      <c r="R11834" s="42">
        <v>107</v>
      </c>
    </row>
    <row r="11835" spans="1:18" x14ac:dyDescent="0.25">
      <c r="A11835" s="367" t="s">
        <v>43</v>
      </c>
      <c r="B11835" s="2">
        <v>44386</v>
      </c>
      <c r="C11835" s="4">
        <v>1051</v>
      </c>
      <c r="D11835" s="39">
        <f t="shared" ref="D11835:D11849" si="2133">C11835+D11811</f>
        <v>473604</v>
      </c>
      <c r="E11835" s="1">
        <v>15</v>
      </c>
      <c r="F11835" s="39">
        <f t="shared" ref="F11835:F11852" si="2134">E11835+F11811</f>
        <v>10535</v>
      </c>
      <c r="G11835" s="168">
        <f>SUM(C11835,C11811,C11787,C11763,C11739,C11715,C11691,C11667,C11643,C11619,C11595,C11571,C11547,C11523)/POBLA!$B$2*100000</f>
        <v>506.13757239942436</v>
      </c>
      <c r="H11835" s="256">
        <f t="shared" si="2132"/>
        <v>0.81133058841924222</v>
      </c>
      <c r="I11835" s="297">
        <f t="shared" ref="I11835:I11841" si="2135">G11835*H11835</f>
        <v>410.64489443591179</v>
      </c>
      <c r="J11835" s="422">
        <f>AVERAGE(C11835,C11811,C11787,C11763,C11739,C11715,C11691)</f>
        <v>1004.1428571428571</v>
      </c>
      <c r="K11835" s="297">
        <f>J11835/POBLA!$B$2*100000</f>
        <v>32.648193489850819</v>
      </c>
      <c r="L11835" s="200">
        <f>(SUM(C11835,C11811,C11787,C11763,C11739,C11715,C11691)/SUM(C11667,C11643,C11619,C11595,C11571,C11547,C11523))-1</f>
        <v>-0.1767392832044975</v>
      </c>
      <c r="M11835" s="401">
        <f>SUM(C11835,C11811,C11787,C11763,C11739,C11715,C11691)/POBLA!$B$2*100000</f>
        <v>228.53735442895572</v>
      </c>
      <c r="N11835" s="42" t="s">
        <v>43</v>
      </c>
      <c r="O11835" s="42">
        <v>6</v>
      </c>
      <c r="P11835" s="42">
        <v>9</v>
      </c>
      <c r="Q11835" s="42">
        <v>0</v>
      </c>
      <c r="R11835" s="42">
        <v>15</v>
      </c>
    </row>
    <row r="11836" spans="1:18" x14ac:dyDescent="0.25">
      <c r="A11836" s="367" t="s">
        <v>28</v>
      </c>
      <c r="B11836" s="2">
        <v>44386</v>
      </c>
      <c r="C11836" s="4">
        <v>304</v>
      </c>
      <c r="D11836" s="39">
        <f t="shared" si="2133"/>
        <v>36856</v>
      </c>
      <c r="F11836" s="39">
        <f t="shared" si="2134"/>
        <v>358</v>
      </c>
      <c r="G11836" s="168">
        <f>SUM(C11836,C11812,C11788,C11764,C11740,C11716,C11692,C11668,C11644,C11620,C11596,C11572,C11548,C11524)/POBLA!$B$3*100000</f>
        <v>1005.685565595829</v>
      </c>
      <c r="H11836" s="256">
        <f t="shared" si="2132"/>
        <v>0.98770685579196216</v>
      </c>
      <c r="I11836" s="297">
        <f t="shared" si="2135"/>
        <v>993.32252791001736</v>
      </c>
      <c r="J11836" s="422">
        <f t="shared" ref="J11836:J11857" si="2136">AVERAGE(C11836,C11812,C11788,C11764,C11740,C11716,C11692)</f>
        <v>284.14285714285717</v>
      </c>
      <c r="K11836" s="297">
        <f>J11836/POBLA!$B$3*100000</f>
        <v>68.395971755799224</v>
      </c>
      <c r="L11836" s="200">
        <f t="shared" ref="L11836:L11857" si="2137">(SUM(C11836,C11812,C11788,C11764,C11740,C11716,C11692)/SUM(C11668,C11644,C11620,C11596,C11572,C11548,C11524))-1</f>
        <v>-9.1365920511649157E-2</v>
      </c>
      <c r="M11836" s="401">
        <f>SUM(C11836,C11812,C11788,C11764,C11740,C11716,C11692)/POBLA!$B$3*100000</f>
        <v>478.77180229059451</v>
      </c>
    </row>
    <row r="11837" spans="1:18" x14ac:dyDescent="0.25">
      <c r="A11837" s="367" t="s">
        <v>15</v>
      </c>
      <c r="B11837" s="2">
        <v>44386</v>
      </c>
      <c r="C11837" s="4">
        <v>641</v>
      </c>
      <c r="D11837" s="39">
        <f t="shared" si="2133"/>
        <v>82141</v>
      </c>
      <c r="E11837" s="1">
        <v>13</v>
      </c>
      <c r="F11837" s="39">
        <f t="shared" si="2134"/>
        <v>1794</v>
      </c>
      <c r="G11837" s="168">
        <f>SUM(C11837,C11813,C11789,C11765,C11741,C11717,C11693,C11669,C11645,C11621,C11597,C11573,C11549,C11525)/POBLA!$B$4*100000</f>
        <v>655.27034779222959</v>
      </c>
      <c r="H11837" s="256">
        <f t="shared" si="2132"/>
        <v>1.0226742679450636</v>
      </c>
      <c r="I11837" s="297">
        <f t="shared" si="2135"/>
        <v>670.12812323452556</v>
      </c>
      <c r="J11837" s="422">
        <f t="shared" si="2136"/>
        <v>558.14285714285711</v>
      </c>
      <c r="K11837" s="297">
        <f>J11837/POBLA!$B$4*100000</f>
        <v>46.336559498004398</v>
      </c>
      <c r="L11837" s="200">
        <f t="shared" si="2137"/>
        <v>-1.9819367787255349E-2</v>
      </c>
      <c r="M11837" s="401">
        <f>SUM(C11837,C11813,C11789,C11765,C11741,C11717,C11693)/POBLA!$B$4*100000</f>
        <v>324.35591648603076</v>
      </c>
      <c r="N11837" s="42" t="s">
        <v>15</v>
      </c>
      <c r="O11837" s="42">
        <v>7</v>
      </c>
      <c r="P11837" s="42">
        <v>6</v>
      </c>
      <c r="Q11837" s="42">
        <v>0</v>
      </c>
      <c r="R11837" s="42">
        <v>13</v>
      </c>
    </row>
    <row r="11838" spans="1:18" x14ac:dyDescent="0.25">
      <c r="A11838" s="367" t="s">
        <v>29</v>
      </c>
      <c r="B11838" s="2">
        <v>44386</v>
      </c>
      <c r="C11838" s="4">
        <v>142</v>
      </c>
      <c r="D11838" s="39">
        <f t="shared" si="2133"/>
        <v>72470</v>
      </c>
      <c r="E11838" s="1">
        <v>5</v>
      </c>
      <c r="F11838" s="39">
        <f t="shared" si="2134"/>
        <v>1241</v>
      </c>
      <c r="G11838" s="168">
        <f>SUM(C11838,C11814,C11790,C11766,C11742,C11718,C11694,C11670,C11646,C11622,C11598,C11574,C11550,C11526)/POBLA!$B$5*100000</f>
        <v>443.94614487377902</v>
      </c>
      <c r="H11838" s="256">
        <f t="shared" si="2132"/>
        <v>0.90842975206611565</v>
      </c>
      <c r="I11838" s="297">
        <f t="shared" si="2135"/>
        <v>403.29388631839493</v>
      </c>
      <c r="J11838" s="422">
        <f t="shared" si="2136"/>
        <v>167.71428571428572</v>
      </c>
      <c r="K11838" s="297">
        <f>J11838/POBLA!$B$5*100000</f>
        <v>27.094654506228771</v>
      </c>
      <c r="L11838" s="200">
        <f t="shared" si="2137"/>
        <v>-0.25412960609911051</v>
      </c>
      <c r="M11838" s="401">
        <f>SUM(C11838,C11814,C11790,C11766,C11742,C11718,C11694)/POBLA!$B$5*100000</f>
        <v>189.66258154360139</v>
      </c>
      <c r="N11838" s="42" t="s">
        <v>29</v>
      </c>
      <c r="O11838" s="42">
        <v>0</v>
      </c>
      <c r="P11838" s="42">
        <v>5</v>
      </c>
      <c r="Q11838" s="42">
        <v>0</v>
      </c>
      <c r="R11838" s="42">
        <v>5</v>
      </c>
    </row>
    <row r="11839" spans="1:18" x14ac:dyDescent="0.25">
      <c r="A11839" s="367" t="s">
        <v>30</v>
      </c>
      <c r="B11839" s="2">
        <v>44386</v>
      </c>
      <c r="C11839" s="4">
        <v>367</v>
      </c>
      <c r="D11839" s="39">
        <f t="shared" si="2133"/>
        <v>70140</v>
      </c>
      <c r="E11839" s="1">
        <v>5</v>
      </c>
      <c r="F11839" s="39">
        <f t="shared" si="2134"/>
        <v>804</v>
      </c>
      <c r="G11839" s="168">
        <f>SUM(C11839,C11815,C11791,C11767,C11743,C11719,C11695,C11671,C11647,C11623,C11599,C11575,C11551,C11527)/POBLA!$B$6*100000</f>
        <v>572.0016309764178</v>
      </c>
      <c r="H11839" s="256">
        <f t="shared" si="2132"/>
        <v>0.94473916887709997</v>
      </c>
      <c r="I11839" s="297">
        <f t="shared" si="2135"/>
        <v>540.39234544500664</v>
      </c>
      <c r="J11839" s="422">
        <f t="shared" si="2136"/>
        <v>380.14285714285717</v>
      </c>
      <c r="K11839" s="297">
        <f>J11839/POBLA!$B$6*100000</f>
        <v>33.917069769107734</v>
      </c>
      <c r="L11839" s="200">
        <f t="shared" si="2137"/>
        <v>-0.29039999999999999</v>
      </c>
      <c r="M11839" s="401">
        <f>SUM(C11839,C11815,C11791,C11767,C11743,C11719,C11695)/POBLA!$B$6*100000</f>
        <v>237.41948838375413</v>
      </c>
      <c r="N11839" s="42" t="s">
        <v>30</v>
      </c>
      <c r="O11839" s="42">
        <v>1</v>
      </c>
      <c r="P11839" s="42">
        <v>4</v>
      </c>
      <c r="Q11839" s="42">
        <v>0</v>
      </c>
      <c r="R11839" s="42">
        <v>5</v>
      </c>
    </row>
    <row r="11840" spans="1:18" x14ac:dyDescent="0.25">
      <c r="A11840" s="367" t="s">
        <v>20</v>
      </c>
      <c r="B11840" s="2">
        <v>44386</v>
      </c>
      <c r="C11840" s="4">
        <v>1765</v>
      </c>
      <c r="D11840" s="39">
        <f t="shared" si="2133"/>
        <v>429972</v>
      </c>
      <c r="E11840" s="1">
        <v>11</v>
      </c>
      <c r="F11840" s="39">
        <f t="shared" si="2134"/>
        <v>5644</v>
      </c>
      <c r="G11840" s="168">
        <f>SUM(C11840,C11816,C11792,C11768,C11744,C11720,C11696,C11672,C11648,C11624,C11600,C11576,C11552,C11528)/POBLA!$B$7*100000</f>
        <v>815.64706351633447</v>
      </c>
      <c r="H11840" s="256">
        <f t="shared" si="2132"/>
        <v>0.78613901988927615</v>
      </c>
      <c r="I11840" s="297">
        <f t="shared" si="2135"/>
        <v>641.2119830882973</v>
      </c>
      <c r="J11840" s="422">
        <f t="shared" si="2136"/>
        <v>2031.2857142857142</v>
      </c>
      <c r="K11840" s="297">
        <f>J11840/POBLA!$B$7*100000</f>
        <v>54.017091419529955</v>
      </c>
      <c r="L11840" s="200">
        <f t="shared" si="2137"/>
        <v>-0.13578070868534609</v>
      </c>
      <c r="M11840" s="401">
        <f>SUM(C11840,C11816,C11792,C11768,C11744,C11720,C11696)/POBLA!$B$7*100000</f>
        <v>378.11963993670969</v>
      </c>
      <c r="N11840" s="42" t="s">
        <v>20</v>
      </c>
      <c r="O11840" s="42">
        <v>3</v>
      </c>
      <c r="P11840" s="42">
        <v>8</v>
      </c>
      <c r="Q11840" s="42">
        <v>0</v>
      </c>
      <c r="R11840" s="42">
        <v>11</v>
      </c>
    </row>
    <row r="11841" spans="1:18" x14ac:dyDescent="0.25">
      <c r="A11841" s="367" t="s">
        <v>31</v>
      </c>
      <c r="B11841" s="2">
        <v>44386</v>
      </c>
      <c r="C11841" s="4">
        <v>592</v>
      </c>
      <c r="D11841" s="39">
        <f t="shared" si="2133"/>
        <v>116763</v>
      </c>
      <c r="E11841" s="1">
        <v>11</v>
      </c>
      <c r="F11841" s="39">
        <f t="shared" si="2134"/>
        <v>1931</v>
      </c>
      <c r="G11841" s="168">
        <f>SUM(C11841,C11817,C11793,C11769,C11745,C11721,C11697,C11673,C11649,C11625,C11601,C11577,C11553,C11529)/POBLA!$B$8*100000</f>
        <v>721.30456773314688</v>
      </c>
      <c r="H11841" s="256">
        <f t="shared" ref="H11841:H11857" si="2138">SUM(C11841,C11817,C11793,C11769,C11745,C11721,C11697,C11673,C11649,C11625,C11601,C11577,C11553,C11529,)/SUM(C11505,C11481,C11457,C11433,C11409,C11385,C11361,C11337,C11313,C11289,C11265,C11241,C11217,C11193)</f>
        <v>0.97751051139141487</v>
      </c>
      <c r="I11841" s="297">
        <f t="shared" si="2135"/>
        <v>705.08279687379184</v>
      </c>
      <c r="J11841" s="422">
        <f t="shared" si="2136"/>
        <v>671.14285714285711</v>
      </c>
      <c r="K11841" s="297">
        <f>J11841/POBLA!$B$8*100000</f>
        <v>48.424368156308667</v>
      </c>
      <c r="L11841" s="200">
        <f t="shared" si="2137"/>
        <v>-0.11341762596716365</v>
      </c>
      <c r="M11841" s="401">
        <f>SUM(C11841,C11817,C11793,C11769,C11745,C11721,C11697)/POBLA!$B$8*100000</f>
        <v>338.97057709416066</v>
      </c>
      <c r="N11841" s="42" t="s">
        <v>31</v>
      </c>
      <c r="O11841" s="42">
        <v>3</v>
      </c>
      <c r="P11841" s="42">
        <v>8</v>
      </c>
      <c r="Q11841" s="42">
        <v>0</v>
      </c>
      <c r="R11841" s="42">
        <v>11</v>
      </c>
    </row>
    <row r="11842" spans="1:18" x14ac:dyDescent="0.25">
      <c r="A11842" s="367" t="s">
        <v>41</v>
      </c>
      <c r="B11842" s="2">
        <v>44386</v>
      </c>
      <c r="C11842" s="4">
        <v>424</v>
      </c>
      <c r="D11842" s="39">
        <f t="shared" si="2133"/>
        <v>49364</v>
      </c>
      <c r="E11842" s="1">
        <v>5</v>
      </c>
      <c r="F11842" s="39">
        <f t="shared" si="2134"/>
        <v>874</v>
      </c>
      <c r="G11842" s="168">
        <f>SUM(C11842,C11818,C11794,C11770,C11746,C11722,C11698,C11674,C11650,C11626,C11602,C11578,C11554,C11530)/POBLA!$B$9*100000</f>
        <v>928.29890629931288</v>
      </c>
      <c r="H11842" s="256">
        <f t="shared" si="2138"/>
        <v>0.8624501074608536</v>
      </c>
      <c r="I11842" s="297">
        <f>G11842*H11842</f>
        <v>800.6114914936353</v>
      </c>
      <c r="J11842" s="422">
        <f t="shared" si="2136"/>
        <v>414.14285714285717</v>
      </c>
      <c r="K11842" s="297">
        <f>J11842/POBLA!$B$9*100000</f>
        <v>68.431534591916503</v>
      </c>
      <c r="L11842" s="200">
        <f t="shared" si="2137"/>
        <v>6.6200809121000459E-2</v>
      </c>
      <c r="M11842" s="401">
        <f>SUM(C11842,C11818,C11794,C11770,C11746,C11722,C11698)/POBLA!$B$9*100000</f>
        <v>479.02074214341542</v>
      </c>
      <c r="N11842" s="42" t="s">
        <v>41</v>
      </c>
      <c r="O11842" s="42">
        <v>1</v>
      </c>
      <c r="P11842" s="42">
        <v>4</v>
      </c>
      <c r="Q11842" s="42">
        <v>0</v>
      </c>
      <c r="R11842" s="42">
        <v>5</v>
      </c>
    </row>
    <row r="11843" spans="1:18" x14ac:dyDescent="0.25">
      <c r="A11843" s="367" t="s">
        <v>32</v>
      </c>
      <c r="B11843" s="2">
        <v>44386</v>
      </c>
      <c r="C11843" s="4">
        <v>256</v>
      </c>
      <c r="D11843" s="39">
        <f t="shared" si="2133"/>
        <v>38354</v>
      </c>
      <c r="E11843" s="1">
        <v>4</v>
      </c>
      <c r="F11843" s="39">
        <f t="shared" si="2134"/>
        <v>1217</v>
      </c>
      <c r="G11843" s="168">
        <f>SUM(C11843,C11819,C11795,C11771,C11747,C11723,C11699,C11675,C11651,C11627,C11603,C11579,C11555,C11531)/POBLA!$B$10*100000</f>
        <v>496.05581146765843</v>
      </c>
      <c r="H11843" s="256">
        <f t="shared" si="2138"/>
        <v>1.1313609467455621</v>
      </c>
      <c r="I11843" s="297">
        <f t="shared" ref="I11843:I11857" si="2139">G11843*H11843</f>
        <v>561.21817250068807</v>
      </c>
      <c r="J11843" s="422">
        <f t="shared" si="2136"/>
        <v>277.14285714285717</v>
      </c>
      <c r="K11843" s="297">
        <f>J11843/POBLA!$B$10*100000</f>
        <v>35.951444794054744</v>
      </c>
      <c r="L11843" s="200">
        <f t="shared" si="2137"/>
        <v>2.9723991507430991E-2</v>
      </c>
      <c r="M11843" s="401">
        <f>SUM(C11843,C11819,C11795,C11771,C11747,C11723,C11699)/POBLA!$B$10*100000</f>
        <v>251.66011355838322</v>
      </c>
      <c r="N11843" s="42" t="s">
        <v>32</v>
      </c>
      <c r="O11843" s="42">
        <v>3</v>
      </c>
      <c r="P11843" s="42">
        <v>1</v>
      </c>
      <c r="Q11843" s="42">
        <v>0</v>
      </c>
      <c r="R11843" s="42">
        <v>4</v>
      </c>
    </row>
    <row r="11844" spans="1:18" x14ac:dyDescent="0.25">
      <c r="A11844" s="367" t="s">
        <v>33</v>
      </c>
      <c r="B11844" s="2">
        <v>44386</v>
      </c>
      <c r="C11844" s="4">
        <v>232</v>
      </c>
      <c r="D11844" s="39">
        <f t="shared" si="2133"/>
        <v>55497</v>
      </c>
      <c r="F11844" s="39">
        <f t="shared" si="2134"/>
        <v>767</v>
      </c>
      <c r="G11844" s="168">
        <f>SUM(C11844,C11820,C11796,C11772,C11748,C11724,C11700,C11676,C11652,C11628,C11604,C11580,C11556,C11532)/POBLA!$B$11*100000</f>
        <v>1278.6389456180877</v>
      </c>
      <c r="H11844" s="256">
        <f t="shared" si="2138"/>
        <v>1.1882291936738398</v>
      </c>
      <c r="I11844" s="297">
        <f t="shared" si="2139"/>
        <v>1519.3161233517492</v>
      </c>
      <c r="J11844" s="422">
        <f t="shared" si="2136"/>
        <v>271.14285714285717</v>
      </c>
      <c r="K11844" s="297">
        <f>J11844/POBLA!$B$11*100000</f>
        <v>75.647788996076528</v>
      </c>
      <c r="L11844" s="200">
        <f t="shared" si="2137"/>
        <v>-0.29310986964618246</v>
      </c>
      <c r="M11844" s="401">
        <f>SUM(C11844,C11820,C11796,C11772,C11748,C11724,C11700)/POBLA!$B$11*100000</f>
        <v>529.53452297253568</v>
      </c>
    </row>
    <row r="11845" spans="1:18" x14ac:dyDescent="0.25">
      <c r="A11845" s="367" t="s">
        <v>21</v>
      </c>
      <c r="B11845" s="2">
        <v>44386</v>
      </c>
      <c r="C11845" s="4">
        <v>158</v>
      </c>
      <c r="D11845" s="39">
        <f t="shared" si="2133"/>
        <v>23846</v>
      </c>
      <c r="F11845" s="39">
        <f t="shared" si="2134"/>
        <v>641</v>
      </c>
      <c r="G11845" s="168">
        <f>SUM(C11845,C11821,C11797,C11773,C11749,C11725,C11701,C11677,C11653,C11629,C11605,C11581,C11557,C11533)/POBLA!$B$12*100000</f>
        <v>645.94657091817419</v>
      </c>
      <c r="H11845" s="256">
        <f t="shared" si="2138"/>
        <v>1.2640477374440577</v>
      </c>
      <c r="I11845" s="297">
        <f t="shared" si="2139"/>
        <v>816.50730147886566</v>
      </c>
      <c r="J11845" s="422">
        <f t="shared" si="2136"/>
        <v>181.71428571428572</v>
      </c>
      <c r="K11845" s="297">
        <f>J11845/POBLA!$B$12*100000</f>
        <v>46.17534214948396</v>
      </c>
      <c r="L11845" s="200">
        <f t="shared" si="2137"/>
        <v>1.5748031496063408E-3</v>
      </c>
      <c r="M11845" s="401">
        <f>SUM(C11845,C11821,C11797,C11773,C11749,C11725,C11701)/POBLA!$B$12*100000</f>
        <v>323.2273950463877</v>
      </c>
    </row>
    <row r="11846" spans="1:18" x14ac:dyDescent="0.25">
      <c r="A11846" s="367" t="s">
        <v>17</v>
      </c>
      <c r="B11846" s="2">
        <v>44386</v>
      </c>
      <c r="C11846" s="4">
        <v>324</v>
      </c>
      <c r="D11846" s="39">
        <f t="shared" si="2133"/>
        <v>144597</v>
      </c>
      <c r="E11846" s="1">
        <v>26</v>
      </c>
      <c r="F11846" s="39">
        <f t="shared" si="2134"/>
        <v>3461</v>
      </c>
      <c r="G11846" s="168">
        <f>SUM(C11846,C11822,C11798,C11774,C11750,C11726,C11702,C11678,C11654,C11630,C11606,C11582,C11558,C11534)/POBLA!$B$13*100000</f>
        <v>370.84153545779662</v>
      </c>
      <c r="H11846" s="256">
        <f t="shared" si="2138"/>
        <v>0.89217937870180108</v>
      </c>
      <c r="I11846" s="297">
        <f t="shared" si="2139"/>
        <v>330.85717070155891</v>
      </c>
      <c r="J11846" s="422">
        <f t="shared" si="2136"/>
        <v>459.71428571428572</v>
      </c>
      <c r="K11846" s="297">
        <f>J11846/POBLA!$B$13*100000</f>
        <v>23.097297329111221</v>
      </c>
      <c r="L11846" s="200">
        <f t="shared" si="2137"/>
        <v>-0.22699975978861398</v>
      </c>
      <c r="M11846" s="401">
        <f>SUM(C11846,C11822,C11798,C11774,C11750,C11726,C11702)/POBLA!$B$13*100000</f>
        <v>161.68108130377854</v>
      </c>
      <c r="N11846" s="42" t="s">
        <v>17</v>
      </c>
      <c r="O11846" s="42">
        <v>11</v>
      </c>
      <c r="P11846" s="42">
        <v>14</v>
      </c>
      <c r="Q11846" s="42">
        <v>1</v>
      </c>
      <c r="R11846" s="42">
        <v>26</v>
      </c>
    </row>
    <row r="11847" spans="1:18" x14ac:dyDescent="0.25">
      <c r="A11847" s="367" t="s">
        <v>23</v>
      </c>
      <c r="B11847" s="2">
        <v>44386</v>
      </c>
      <c r="C11847" s="4">
        <v>170</v>
      </c>
      <c r="D11847" s="39">
        <f t="shared" si="2133"/>
        <v>27242</v>
      </c>
      <c r="E11847" s="1">
        <v>4</v>
      </c>
      <c r="F11847" s="39">
        <f t="shared" si="2134"/>
        <v>461</v>
      </c>
      <c r="G11847" s="168">
        <f>SUM(C11847,C11823,C11799,C11775,C11751,C11727,C11703,C11679,C11655,C11631,C11607,C11583,C11559,C11535)/POBLA!$B$14*100000</f>
        <v>200.34979949163321</v>
      </c>
      <c r="H11847" s="256">
        <f t="shared" si="2138"/>
        <v>1.0929930795847751</v>
      </c>
      <c r="I11847" s="297">
        <f t="shared" si="2139"/>
        <v>218.98094434055238</v>
      </c>
      <c r="J11847" s="422">
        <f t="shared" si="2136"/>
        <v>181.57142857142858</v>
      </c>
      <c r="K11847" s="297">
        <f>J11847/POBLA!$B$14*100000</f>
        <v>14.395646738304357</v>
      </c>
      <c r="L11847" s="200">
        <f t="shared" si="2137"/>
        <v>1.1942675159235749E-2</v>
      </c>
      <c r="M11847" s="401">
        <f>SUM(C11847,C11823,C11799,C11775,C11751,C11727,C11703)/POBLA!$B$14*100000</f>
        <v>100.76952716813051</v>
      </c>
      <c r="N11847" s="42" t="s">
        <v>23</v>
      </c>
      <c r="O11847" s="42">
        <v>1</v>
      </c>
      <c r="P11847" s="42">
        <v>3</v>
      </c>
      <c r="Q11847" s="42">
        <v>0</v>
      </c>
      <c r="R11847" s="42">
        <v>4</v>
      </c>
    </row>
    <row r="11848" spans="1:18" x14ac:dyDescent="0.25">
      <c r="A11848" s="367" t="s">
        <v>19</v>
      </c>
      <c r="B11848" s="2">
        <v>44386</v>
      </c>
      <c r="C11848" s="4">
        <v>148</v>
      </c>
      <c r="D11848" s="39">
        <f t="shared" si="2133"/>
        <v>103254</v>
      </c>
      <c r="E11848" s="1">
        <v>7</v>
      </c>
      <c r="F11848" s="39">
        <f t="shared" si="2134"/>
        <v>1915</v>
      </c>
      <c r="G11848" s="168">
        <f>SUM(C11848,C11824,C11800,C11776,C11752,C11728,C11704,C11680,C11656,C11632,C11608,C11584,C11560,C11536)/POBLA!$B$15*100000</f>
        <v>427.37295141832703</v>
      </c>
      <c r="H11848" s="256">
        <f t="shared" si="2138"/>
        <v>0.72232120132349198</v>
      </c>
      <c r="I11848" s="297">
        <f t="shared" si="2139"/>
        <v>308.70054368165233</v>
      </c>
      <c r="J11848" s="422">
        <f t="shared" si="2136"/>
        <v>195.42857142857142</v>
      </c>
      <c r="K11848" s="297">
        <f>J11848/POBLA!$B$15*100000</f>
        <v>29.429487442880866</v>
      </c>
      <c r="L11848" s="200">
        <f t="shared" si="2137"/>
        <v>-6.9387755102040871E-2</v>
      </c>
      <c r="M11848" s="401">
        <f>SUM(C11848,C11824,C11800,C11776,C11752,C11728,C11704)/POBLA!$B$15*100000</f>
        <v>206.00641210016607</v>
      </c>
      <c r="N11848" s="42" t="s">
        <v>19</v>
      </c>
      <c r="O11848" s="42">
        <v>2</v>
      </c>
      <c r="P11848" s="42">
        <v>5</v>
      </c>
      <c r="Q11848" s="42">
        <v>0</v>
      </c>
      <c r="R11848" s="42">
        <v>7</v>
      </c>
    </row>
    <row r="11849" spans="1:18" x14ac:dyDescent="0.25">
      <c r="A11849" s="367" t="s">
        <v>18</v>
      </c>
      <c r="B11849" s="2">
        <v>44386</v>
      </c>
      <c r="C11849" s="4">
        <v>125</v>
      </c>
      <c r="D11849" s="39">
        <f t="shared" si="2133"/>
        <v>86205</v>
      </c>
      <c r="E11849" s="1">
        <v>4</v>
      </c>
      <c r="F11849" s="39">
        <f t="shared" si="2134"/>
        <v>1982</v>
      </c>
      <c r="G11849" s="168">
        <f>SUM(C11849,C11825,C11801,C11777,C11753,C11729,C11705,C11681,C11657,C11633,C11609,C11585,C11561,C11537)/POBLA!$B$16*100000</f>
        <v>410.90943138802317</v>
      </c>
      <c r="H11849" s="256">
        <f t="shared" si="2138"/>
        <v>0.72727272727272729</v>
      </c>
      <c r="I11849" s="297">
        <f t="shared" si="2139"/>
        <v>298.84322282765322</v>
      </c>
      <c r="J11849" s="422">
        <f t="shared" si="2136"/>
        <v>199.71428571428572</v>
      </c>
      <c r="K11849" s="297">
        <f>J11849/POBLA!$B$16*100000</f>
        <v>26.713699082982533</v>
      </c>
      <c r="L11849" s="200">
        <f t="shared" si="2137"/>
        <v>-0.16487455197132617</v>
      </c>
      <c r="M11849" s="401">
        <f>SUM(C11849,C11825,C11801,C11777,C11753,C11729,C11705)/POBLA!$B$16*100000</f>
        <v>186.99589358087775</v>
      </c>
      <c r="N11849" s="42" t="s">
        <v>18</v>
      </c>
      <c r="O11849" s="42">
        <v>1</v>
      </c>
      <c r="P11849" s="42">
        <v>3</v>
      </c>
      <c r="Q11849" s="42">
        <v>0</v>
      </c>
      <c r="R11849" s="42">
        <v>4</v>
      </c>
    </row>
    <row r="11850" spans="1:18" x14ac:dyDescent="0.25">
      <c r="A11850" s="367" t="s">
        <v>34</v>
      </c>
      <c r="B11850" s="2">
        <v>44386</v>
      </c>
      <c r="C11850" s="4">
        <v>415</v>
      </c>
      <c r="D11850" s="39">
        <f>C11850+D11826</f>
        <v>65959</v>
      </c>
      <c r="E11850" s="1">
        <v>7</v>
      </c>
      <c r="F11850" s="39">
        <f t="shared" si="2134"/>
        <v>1845</v>
      </c>
      <c r="G11850" s="168">
        <f>SUM(C11850,C11826,C11802,C11778,C11754,C11730,C11706,C11682,C11658,C11634,C11610,C11586,C11562,C11538)/POBLA!$B$17*100000</f>
        <v>501.19454056699078</v>
      </c>
      <c r="H11850" s="256">
        <f t="shared" si="2138"/>
        <v>1.0338884866039102</v>
      </c>
      <c r="I11850" s="297">
        <f t="shared" si="2139"/>
        <v>518.17926504094817</v>
      </c>
      <c r="J11850" s="422">
        <f t="shared" si="2136"/>
        <v>483</v>
      </c>
      <c r="K11850" s="297">
        <f>J11850/POBLA!$B$17*100000</f>
        <v>33.909085739439213</v>
      </c>
      <c r="L11850" s="200">
        <f t="shared" si="2137"/>
        <v>-0.10031931878658862</v>
      </c>
      <c r="M11850" s="401">
        <f>SUM(C11850,C11826,C11802,C11778,C11754,C11730,C11706)/POBLA!$B$17*100000</f>
        <v>237.3636001760745</v>
      </c>
      <c r="N11850" s="42" t="s">
        <v>34</v>
      </c>
      <c r="O11850" s="42">
        <v>2</v>
      </c>
      <c r="P11850" s="42">
        <v>5</v>
      </c>
      <c r="Q11850" s="42">
        <v>0</v>
      </c>
      <c r="R11850" s="42">
        <v>7</v>
      </c>
    </row>
    <row r="11851" spans="1:18" x14ac:dyDescent="0.25">
      <c r="A11851" s="367" t="s">
        <v>35</v>
      </c>
      <c r="B11851" s="2">
        <v>44386</v>
      </c>
      <c r="C11851" s="4">
        <v>199</v>
      </c>
      <c r="D11851" s="39">
        <f t="shared" ref="D11851:D11857" si="2140">C11851+D11827</f>
        <v>54115</v>
      </c>
      <c r="E11851" s="1">
        <v>1</v>
      </c>
      <c r="F11851" s="39">
        <f t="shared" si="2134"/>
        <v>861</v>
      </c>
      <c r="G11851" s="168">
        <f>SUM(C11851,C11827,C11803,C11779,C11755,C11731,C11707,C11683,C11659,C11635,C11611,C11587,C11563,C11539)/POBLA!$B$18*100000</f>
        <v>682.26881903491608</v>
      </c>
      <c r="H11851" s="256">
        <f t="shared" si="2138"/>
        <v>0.88113737807902137</v>
      </c>
      <c r="I11851" s="297">
        <f t="shared" si="2139"/>
        <v>601.17255834949628</v>
      </c>
      <c r="J11851" s="422">
        <f t="shared" si="2136"/>
        <v>326.28571428571428</v>
      </c>
      <c r="K11851" s="297">
        <f>J11851/POBLA!$B$18*100000</f>
        <v>41.766335638588799</v>
      </c>
      <c r="L11851" s="200">
        <f t="shared" si="2137"/>
        <v>-0.25016414970453049</v>
      </c>
      <c r="M11851" s="401">
        <f>SUM(C11851,C11827,C11803,C11779,C11755,C11731,C11707)/POBLA!$B$18*100000</f>
        <v>292.36434947012162</v>
      </c>
      <c r="N11851" s="42" t="s">
        <v>35</v>
      </c>
      <c r="O11851" s="42">
        <v>0</v>
      </c>
      <c r="P11851" s="42">
        <v>1</v>
      </c>
      <c r="Q11851" s="42">
        <v>0</v>
      </c>
      <c r="R11851" s="42">
        <v>1</v>
      </c>
    </row>
    <row r="11852" spans="1:18" x14ac:dyDescent="0.25">
      <c r="A11852" s="367" t="s">
        <v>36</v>
      </c>
      <c r="B11852" s="2">
        <v>44386</v>
      </c>
      <c r="C11852" s="4">
        <v>347</v>
      </c>
      <c r="D11852" s="39">
        <f t="shared" si="2140"/>
        <v>68972</v>
      </c>
      <c r="E11852" s="1">
        <v>3</v>
      </c>
      <c r="F11852" s="39">
        <f t="shared" si="2134"/>
        <v>1082</v>
      </c>
      <c r="G11852" s="168">
        <f>SUM(C11852,C11828,C11804,C11780,C11756,C11732,C11708,C11684,C11660,C11636,C11612,C11588,C11564,C11540)/POBLA!$B$19*100000</f>
        <v>1013.1253836105822</v>
      </c>
      <c r="H11852" s="256">
        <f t="shared" si="2138"/>
        <v>0.99401659911214046</v>
      </c>
      <c r="I11852" s="297">
        <f t="shared" si="2139"/>
        <v>1007.0634482907735</v>
      </c>
      <c r="J11852" s="422">
        <f t="shared" si="2136"/>
        <v>342.42857142857144</v>
      </c>
      <c r="K11852" s="297">
        <f>J11852/POBLA!$B$19*100000</f>
        <v>67.363704424814571</v>
      </c>
      <c r="L11852" s="200">
        <f t="shared" si="2137"/>
        <v>-0.12931347620777334</v>
      </c>
      <c r="M11852" s="401">
        <f>SUM(C11852,C11828,C11804,C11780,C11756,C11732,C11708)/POBLA!$B$19*100000</f>
        <v>471.54593097370201</v>
      </c>
      <c r="N11852" s="42" t="s">
        <v>36</v>
      </c>
      <c r="O11852" s="42">
        <v>2</v>
      </c>
      <c r="P11852" s="42">
        <v>1</v>
      </c>
      <c r="Q11852" s="42">
        <v>0</v>
      </c>
      <c r="R11852" s="42">
        <v>3</v>
      </c>
    </row>
    <row r="11853" spans="1:18" x14ac:dyDescent="0.25">
      <c r="A11853" s="367" t="s">
        <v>37</v>
      </c>
      <c r="B11853" s="2">
        <v>44386</v>
      </c>
      <c r="C11853" s="4">
        <v>55</v>
      </c>
      <c r="D11853" s="39">
        <f t="shared" si="2140"/>
        <v>56415</v>
      </c>
      <c r="E11853" s="1">
        <v>3</v>
      </c>
      <c r="F11853" s="39">
        <f t="shared" ref="F11853:F11858" si="2141">E11853+F11829</f>
        <v>886</v>
      </c>
      <c r="G11853" s="168">
        <f>SUM(C11853,C11829,C11806,C11781,C11757,C11733,C11709,C11685,C11661,C11637,C11613,C11589,C11565,C11541)/POBLA!$B$20*100000</f>
        <v>940.66688907240393</v>
      </c>
      <c r="H11853" s="256">
        <f t="shared" si="2138"/>
        <v>0.97060788243152973</v>
      </c>
      <c r="I11853" s="297">
        <f t="shared" si="2139"/>
        <v>913.0186972760207</v>
      </c>
      <c r="J11853" s="422">
        <f t="shared" si="2136"/>
        <v>88</v>
      </c>
      <c r="K11853" s="297">
        <f>J11853/POBLA!$B$20*100000</f>
        <v>24.063571580921963</v>
      </c>
      <c r="L11853" s="200">
        <f t="shared" si="2137"/>
        <v>-0.26403823178016728</v>
      </c>
      <c r="M11853" s="401">
        <f>SUM(C11853,C11829,C11805,C11781,C11757,C11733,C11709)/POBLA!$B$20*100000</f>
        <v>168.44500106645376</v>
      </c>
      <c r="N11853" s="42" t="s">
        <v>37</v>
      </c>
      <c r="O11853" s="42">
        <v>2</v>
      </c>
      <c r="P11853" s="42">
        <v>1</v>
      </c>
      <c r="Q11853" s="42">
        <v>0</v>
      </c>
      <c r="R11853" s="42">
        <v>3</v>
      </c>
    </row>
    <row r="11854" spans="1:18" x14ac:dyDescent="0.25">
      <c r="A11854" s="367" t="s">
        <v>22</v>
      </c>
      <c r="B11854" s="2">
        <v>44386</v>
      </c>
      <c r="C11854" s="4">
        <v>1631</v>
      </c>
      <c r="D11854" s="39">
        <f t="shared" si="2140"/>
        <v>420369</v>
      </c>
      <c r="E11854" s="1">
        <v>7</v>
      </c>
      <c r="F11854" s="39">
        <f t="shared" si="2141"/>
        <v>7025</v>
      </c>
      <c r="G11854" s="168">
        <f>SUM(C11854,C11830,C11806,C11782,C11758,C11734,C11710,C11686,C11662,C11638,C11614,C11590,C11566,C11542)/POBLA!$B$21*100000</f>
        <v>627.10347023457064</v>
      </c>
      <c r="H11854" s="256">
        <f t="shared" si="2138"/>
        <v>0.91034850786092525</v>
      </c>
      <c r="I11854" s="297">
        <f t="shared" si="2139"/>
        <v>570.88270840244957</v>
      </c>
      <c r="J11854" s="422">
        <f t="shared" si="2136"/>
        <v>1531.2857142857142</v>
      </c>
      <c r="K11854" s="297">
        <f>J11854/POBLA!$B$21*100000</f>
        <v>43.300472802867596</v>
      </c>
      <c r="L11854" s="200">
        <f t="shared" si="2137"/>
        <v>-6.4496421714086205E-2</v>
      </c>
      <c r="M11854" s="401">
        <f>SUM(C11854,C11830,C11806,C11782,C11758,C11734,C11710)/POBLA!$B$21*100000</f>
        <v>303.10330962007322</v>
      </c>
      <c r="N11854" s="42" t="s">
        <v>22</v>
      </c>
      <c r="O11854" s="42">
        <v>4</v>
      </c>
      <c r="P11854" s="42">
        <v>3</v>
      </c>
      <c r="Q11854" s="42">
        <v>0</v>
      </c>
      <c r="R11854" s="42">
        <v>7</v>
      </c>
    </row>
    <row r="11855" spans="1:18" x14ac:dyDescent="0.25">
      <c r="A11855" s="367" t="s">
        <v>38</v>
      </c>
      <c r="B11855" s="2">
        <v>44386</v>
      </c>
      <c r="C11855" s="4">
        <v>728</v>
      </c>
      <c r="D11855" s="39">
        <f t="shared" si="2140"/>
        <v>64575</v>
      </c>
      <c r="E11855" s="1">
        <v>4</v>
      </c>
      <c r="F11855" s="39">
        <f t="shared" si="2141"/>
        <v>879</v>
      </c>
      <c r="G11855" s="168">
        <f>SUM(C11855,C11831,C11807,C11783,C11759,C11735,C11711,C11687,C11663,C11639,C11615,C11591,C11567,C11543)/POBLA!$B$22*100000</f>
        <v>784.61596646472037</v>
      </c>
      <c r="H11855" s="256">
        <f t="shared" si="2138"/>
        <v>1.0926690391459075</v>
      </c>
      <c r="I11855" s="297">
        <f t="shared" si="2139"/>
        <v>857.32557417554358</v>
      </c>
      <c r="J11855" s="422">
        <f t="shared" si="2136"/>
        <v>537.28571428571433</v>
      </c>
      <c r="K11855" s="297">
        <f>J11855/POBLA!$B$22*100000</f>
        <v>54.919613077380589</v>
      </c>
      <c r="L11855" s="200">
        <f t="shared" si="2137"/>
        <v>-3.9335887611749665E-2</v>
      </c>
      <c r="M11855" s="401">
        <f>SUM(C11855,C11831,C11807,C11783,C11759,C11735,C11711)/POBLA!$B$22*100000</f>
        <v>384.43729154166402</v>
      </c>
      <c r="N11855" s="42" t="s">
        <v>38</v>
      </c>
      <c r="O11855" s="42">
        <v>0</v>
      </c>
      <c r="P11855" s="42">
        <v>4</v>
      </c>
      <c r="Q11855" s="42">
        <v>0</v>
      </c>
      <c r="R11855" s="42">
        <v>4</v>
      </c>
    </row>
    <row r="11856" spans="1:18" x14ac:dyDescent="0.25">
      <c r="A11856" s="367" t="s">
        <v>39</v>
      </c>
      <c r="B11856" s="2">
        <v>44386</v>
      </c>
      <c r="C11856" s="4">
        <v>41</v>
      </c>
      <c r="D11856" s="39">
        <f t="shared" si="2140"/>
        <v>30183</v>
      </c>
      <c r="E11856" s="1">
        <v>2</v>
      </c>
      <c r="F11856" s="39">
        <f t="shared" si="2141"/>
        <v>458</v>
      </c>
      <c r="G11856" s="168">
        <f>SUM(C11856,C11832,C11808,C11784,C11760,C11736,C11712,C11688,C11664,C11640,C11616,C11592,C11568,C11544)/POBLA!$B$23*100000</f>
        <v>356.27438783011934</v>
      </c>
      <c r="H11856" s="256">
        <f t="shared" si="2138"/>
        <v>1.1270125223613596</v>
      </c>
      <c r="I11856" s="297">
        <f t="shared" si="2139"/>
        <v>401.52569648117208</v>
      </c>
      <c r="J11856" s="422">
        <f t="shared" si="2136"/>
        <v>39.142857142857146</v>
      </c>
      <c r="K11856" s="297">
        <f>J11856/POBLA!$B$23*100000</f>
        <v>22.135868994433718</v>
      </c>
      <c r="L11856" s="200">
        <f t="shared" si="2137"/>
        <v>-0.2303370786516854</v>
      </c>
      <c r="M11856" s="401">
        <f>SUM(C11856,C11832,C11808,C11784,C11760,C11736,C11712)/POBLA!$B$23*100000</f>
        <v>154.95108296103604</v>
      </c>
      <c r="N11856" s="42" t="s">
        <v>39</v>
      </c>
      <c r="O11856" s="42">
        <v>0</v>
      </c>
      <c r="P11856" s="42">
        <v>2</v>
      </c>
      <c r="Q11856" s="42">
        <v>0</v>
      </c>
      <c r="R11856" s="42">
        <v>2</v>
      </c>
    </row>
    <row r="11857" spans="1:18" ht="15.75" thickBot="1" x14ac:dyDescent="0.3">
      <c r="A11857" s="369" t="s">
        <v>40</v>
      </c>
      <c r="B11857" s="266">
        <v>44386</v>
      </c>
      <c r="C11857" s="357">
        <v>471</v>
      </c>
      <c r="D11857" s="176">
        <f t="shared" si="2140"/>
        <v>166076</v>
      </c>
      <c r="E11857" s="44"/>
      <c r="F11857" s="176">
        <f t="shared" si="2141"/>
        <v>2368</v>
      </c>
      <c r="G11857" s="177">
        <f>SUM(C11857,C11833,C11809,C11785,C11761,C11737,C11713,C11689,C11665,C11641,C11617,C11593,C11569,C11545)/POBLA!$B$24*100000</f>
        <v>885.13539030930167</v>
      </c>
      <c r="H11857" s="402">
        <f t="shared" si="2138"/>
        <v>1.3590649633052461</v>
      </c>
      <c r="I11857" s="403">
        <f t="shared" si="2139"/>
        <v>1202.9564967508857</v>
      </c>
      <c r="J11857" s="423">
        <f t="shared" si="2136"/>
        <v>842.85714285714289</v>
      </c>
      <c r="K11857" s="403">
        <f>J11857/POBLA!$B$24*100000</f>
        <v>49.736179074522667</v>
      </c>
      <c r="L11857" s="404">
        <f t="shared" si="2137"/>
        <v>-0.35164835164835162</v>
      </c>
      <c r="M11857" s="405">
        <f>SUM(C11857,C11833,C11809,C11785,C11761,C11737,C11713)/POBLA!$B$24*100000</f>
        <v>348.15325352165866</v>
      </c>
    </row>
    <row r="11858" spans="1:18" ht="15.75" thickBot="1" x14ac:dyDescent="0.3">
      <c r="A11858" s="363" t="s">
        <v>16</v>
      </c>
      <c r="B11858" s="266">
        <v>44387</v>
      </c>
      <c r="C11858" s="225">
        <v>3298</v>
      </c>
      <c r="D11858" s="174">
        <f>C11858+D11834</f>
        <v>1893866</v>
      </c>
      <c r="E11858" s="43">
        <v>190</v>
      </c>
      <c r="F11858" s="174">
        <f t="shared" si="2141"/>
        <v>49348</v>
      </c>
      <c r="G11858" s="175">
        <f>SUM(C11858,C11834,C11786,C11810,C11762,C11738,C11714,C11690,C11666,C11642,C11618,C11594,C11570,C11546)/POBLA!$B$1*100000</f>
        <v>432.09275839011838</v>
      </c>
      <c r="H11858" s="300">
        <f t="shared" ref="H11858:H11864" si="2142">SUM(C11858,C11834,C11810,C11786,C11762,C11738,C11714,C11690,C11666,C11642,C11618,C11594,C11570,C11546,)/SUM(C11522,C11498,C11474,C11450,C11426,C11402,C11378,C11354,C11330,C11306,C11282,C11258,C11234,C11210)</f>
        <v>0.80724662378051382</v>
      </c>
      <c r="I11858" s="301">
        <f>G11858*H11858</f>
        <v>348.80542037043233</v>
      </c>
      <c r="J11858" s="421">
        <f>AVERAGE(C11858,C11834,C11810,C11786,C11762,C11738,C11714)</f>
        <v>4759.4285714285716</v>
      </c>
      <c r="K11858" s="301">
        <f>J11858/POBLA!$B$1*100000</f>
        <v>27.132947460080114</v>
      </c>
      <c r="L11858" s="399">
        <f>(SUM(C11858,C11834,C11810,C11786,C11762,C11738,C11714)/SUM(C11690,C11666,C11642,C11618,C11594,C11570,C11546))-1</f>
        <v>-0.2156881209096474</v>
      </c>
      <c r="M11858" s="400">
        <f>SUM(C11858,C11834,C11810,C11786,C11762,C11738,C11714)/POBLA!$B$1*100000</f>
        <v>189.9306322205608</v>
      </c>
      <c r="N11858" s="42" t="s">
        <v>16</v>
      </c>
      <c r="O11858" s="42">
        <v>91</v>
      </c>
      <c r="P11858" s="42">
        <v>98</v>
      </c>
      <c r="Q11858" s="42">
        <v>1</v>
      </c>
      <c r="R11858" s="42">
        <v>190</v>
      </c>
    </row>
    <row r="11859" spans="1:18" ht="15.75" thickBot="1" x14ac:dyDescent="0.3">
      <c r="A11859" s="367" t="s">
        <v>43</v>
      </c>
      <c r="B11859" s="266">
        <v>44387</v>
      </c>
      <c r="C11859" s="1">
        <v>814</v>
      </c>
      <c r="D11859" s="39">
        <f t="shared" ref="D11859:D11873" si="2143">C11859+D11835</f>
        <v>474418</v>
      </c>
      <c r="E11859" s="1">
        <v>7</v>
      </c>
      <c r="F11859" s="39">
        <f t="shared" ref="F11859:F11876" si="2144">E11859+F11835</f>
        <v>10542</v>
      </c>
      <c r="G11859" s="168">
        <f>SUM(C11859,C11835,C11811,C11787,C11763,C11739,C11715,C11691,C11667,C11643,C11619,C11595,C11571,C11547)/POBLA!$B$2*100000</f>
        <v>488.93793368937776</v>
      </c>
      <c r="H11859" s="256">
        <f t="shared" si="2142"/>
        <v>0.77332099146354005</v>
      </c>
      <c r="I11859" s="297">
        <f t="shared" ref="I11859:I11865" si="2145">G11859*H11859</f>
        <v>378.1059676448042</v>
      </c>
      <c r="J11859" s="422">
        <f>AVERAGE(C11859,C11835,C11811,C11787,C11763,C11739,C11715)</f>
        <v>993.42857142857144</v>
      </c>
      <c r="K11859" s="297">
        <f>J11859/POBLA!$B$2*100000</f>
        <v>32.299834617786679</v>
      </c>
      <c r="L11859" s="200">
        <f>(SUM(C11859,C11835,C11811,C11787,C11763,C11739,C11715)/SUM(C11691,C11667,C11643,C11619,C11595,C11571,C11547))-1</f>
        <v>-0.13978228599703113</v>
      </c>
      <c r="M11859" s="401">
        <f>SUM(C11859,C11835,C11811,C11787,C11763,C11739,C11715)/POBLA!$B$2*100000</f>
        <v>226.09884232450676</v>
      </c>
      <c r="N11859" s="42" t="s">
        <v>43</v>
      </c>
      <c r="O11859" s="42">
        <v>3</v>
      </c>
      <c r="P11859" s="42">
        <v>4</v>
      </c>
      <c r="Q11859" s="42">
        <v>0</v>
      </c>
      <c r="R11859" s="42">
        <v>7</v>
      </c>
    </row>
    <row r="11860" spans="1:18" ht="15.75" thickBot="1" x14ac:dyDescent="0.3">
      <c r="A11860" s="367" t="s">
        <v>28</v>
      </c>
      <c r="B11860" s="266">
        <v>44387</v>
      </c>
      <c r="C11860" s="1">
        <v>211</v>
      </c>
      <c r="D11860" s="39">
        <f t="shared" si="2143"/>
        <v>37067</v>
      </c>
      <c r="E11860" s="1">
        <v>19</v>
      </c>
      <c r="F11860" s="39">
        <f t="shared" si="2144"/>
        <v>377</v>
      </c>
      <c r="G11860" s="168">
        <f>SUM(C11860,C11836,C11812,C11788,C11764,C11740,C11716,C11692,C11668,C11644,C11620,C11596,C11572,C11548)/POBLA!$B$3*100000</f>
        <v>986.18807138489967</v>
      </c>
      <c r="H11860" s="256">
        <f t="shared" si="2142"/>
        <v>0.97710469830670166</v>
      </c>
      <c r="I11860" s="297">
        <f t="shared" si="2145"/>
        <v>963.6089979642104</v>
      </c>
      <c r="J11860" s="422">
        <f t="shared" ref="J11860:J11881" si="2146">AVERAGE(C11860,C11836,C11812,C11788,C11764,C11740,C11716)</f>
        <v>277.14285714285717</v>
      </c>
      <c r="K11860" s="297">
        <f>J11860/POBLA!$B$3*100000</f>
        <v>66.711003120286819</v>
      </c>
      <c r="L11860" s="200">
        <f t="shared" ref="L11860:L11881" si="2147">(SUM(C11860,C11836,C11812,C11788,C11764,C11740,C11716)/SUM(C11692,C11668,C11644,C11620,C11596,C11572,C11548))-1</f>
        <v>-0.10060268891979607</v>
      </c>
      <c r="M11860" s="401">
        <f>SUM(C11860,C11836,C11812,C11788,C11764,C11740,C11716)/POBLA!$B$3*100000</f>
        <v>466.97702184200773</v>
      </c>
      <c r="N11860" s="42" t="s">
        <v>28</v>
      </c>
      <c r="O11860" s="42">
        <v>6</v>
      </c>
      <c r="P11860" s="42">
        <v>13</v>
      </c>
      <c r="Q11860" s="42">
        <v>0</v>
      </c>
      <c r="R11860" s="42">
        <v>19</v>
      </c>
    </row>
    <row r="11861" spans="1:18" ht="15.75" thickBot="1" x14ac:dyDescent="0.3">
      <c r="A11861" s="367" t="s">
        <v>15</v>
      </c>
      <c r="B11861" s="266">
        <v>44387</v>
      </c>
      <c r="C11861" s="1">
        <v>484</v>
      </c>
      <c r="D11861" s="39">
        <f t="shared" si="2143"/>
        <v>82625</v>
      </c>
      <c r="E11861" s="1">
        <v>6</v>
      </c>
      <c r="F11861" s="39">
        <f t="shared" si="2144"/>
        <v>1800</v>
      </c>
      <c r="G11861" s="168">
        <f>SUM(C11861,C11837,C11813,C11789,C11765,C11741,C11717,C11693,C11669,C11645,C11621,C11597,C11573,C11549)/POBLA!$B$4*100000</f>
        <v>631.94195963441678</v>
      </c>
      <c r="H11861" s="256">
        <f t="shared" si="2142"/>
        <v>0.97302825003195703</v>
      </c>
      <c r="I11861" s="297">
        <f t="shared" si="2145"/>
        <v>614.89737910484223</v>
      </c>
      <c r="J11861" s="422">
        <f t="shared" si="2146"/>
        <v>558.28571428571433</v>
      </c>
      <c r="K11861" s="297">
        <f>J11861/POBLA!$B$4*100000</f>
        <v>46.348419380138523</v>
      </c>
      <c r="L11861" s="200">
        <f t="shared" si="2147"/>
        <v>5.5075593952483848E-2</v>
      </c>
      <c r="M11861" s="401">
        <f>SUM(C11861,C11837,C11813,C11789,C11765,C11741,C11717)/POBLA!$B$4*100000</f>
        <v>324.43893566096961</v>
      </c>
      <c r="N11861" s="42" t="s">
        <v>15</v>
      </c>
      <c r="O11861" s="42">
        <v>3</v>
      </c>
      <c r="P11861" s="42">
        <v>3</v>
      </c>
      <c r="Q11861" s="42">
        <v>0</v>
      </c>
      <c r="R11861" s="42">
        <v>6</v>
      </c>
    </row>
    <row r="11862" spans="1:18" ht="15.75" thickBot="1" x14ac:dyDescent="0.3">
      <c r="A11862" s="367" t="s">
        <v>29</v>
      </c>
      <c r="B11862" s="266">
        <v>44387</v>
      </c>
      <c r="C11862" s="1">
        <v>91</v>
      </c>
      <c r="D11862" s="39">
        <f t="shared" si="2143"/>
        <v>72561</v>
      </c>
      <c r="E11862" s="1">
        <v>1</v>
      </c>
      <c r="F11862" s="39">
        <f t="shared" si="2144"/>
        <v>1242</v>
      </c>
      <c r="G11862" s="168">
        <f>SUM(C11862,C11838,C11814,C11790,C11766,C11742,C11718,C11694,C11670,C11646,C11622,C11598,C11574,C11550)/POBLA!$B$5*100000</f>
        <v>427.79089942713495</v>
      </c>
      <c r="H11862" s="256">
        <f t="shared" si="2142"/>
        <v>0.88355021688355018</v>
      </c>
      <c r="I11862" s="297">
        <f t="shared" si="2145"/>
        <v>377.97474196965408</v>
      </c>
      <c r="J11862" s="422">
        <f t="shared" si="2146"/>
        <v>158.85714285714286</v>
      </c>
      <c r="K11862" s="297">
        <f>J11862/POBLA!$B$5*100000</f>
        <v>25.663761338097437</v>
      </c>
      <c r="L11862" s="200">
        <f t="shared" si="2147"/>
        <v>-0.27604166666666663</v>
      </c>
      <c r="M11862" s="401">
        <f>SUM(C11862,C11838,C11814,C11790,C11766,C11742,C11718)/POBLA!$B$5*100000</f>
        <v>179.64632936668207</v>
      </c>
      <c r="N11862" s="42" t="s">
        <v>29</v>
      </c>
      <c r="O11862" s="42">
        <v>1</v>
      </c>
      <c r="P11862" s="42">
        <v>0</v>
      </c>
      <c r="Q11862" s="42">
        <v>0</v>
      </c>
      <c r="R11862" s="42">
        <v>1</v>
      </c>
    </row>
    <row r="11863" spans="1:18" ht="15.75" thickBot="1" x14ac:dyDescent="0.3">
      <c r="A11863" s="367" t="s">
        <v>30</v>
      </c>
      <c r="B11863" s="266">
        <v>44387</v>
      </c>
      <c r="C11863" s="1">
        <v>411</v>
      </c>
      <c r="D11863" s="39">
        <f t="shared" si="2143"/>
        <v>70551</v>
      </c>
      <c r="F11863" s="39">
        <f t="shared" si="2144"/>
        <v>804</v>
      </c>
      <c r="G11863" s="168">
        <f>SUM(C11863,C11839,C11815,C11791,C11767,C11743,C11719,C11695,C11671,C11647,C11623,C11599,C11575,C11551)/POBLA!$B$6*100000</f>
        <v>550.40993004110453</v>
      </c>
      <c r="H11863" s="256">
        <f t="shared" si="2142"/>
        <v>0.84832233223322329</v>
      </c>
      <c r="I11863" s="297">
        <f t="shared" si="2145"/>
        <v>466.92503553679506</v>
      </c>
      <c r="J11863" s="422">
        <f t="shared" si="2146"/>
        <v>436.42857142857144</v>
      </c>
      <c r="K11863" s="297">
        <f>J11863/POBLA!$B$6*100000</f>
        <v>38.938988404593808</v>
      </c>
      <c r="L11863" s="200">
        <f t="shared" si="2147"/>
        <v>-1.8946692357097006E-2</v>
      </c>
      <c r="M11863" s="401">
        <f>SUM(C11863,C11839,C11815,C11791,C11767,C11743,C11719)/POBLA!$B$6*100000</f>
        <v>272.57291883215663</v>
      </c>
    </row>
    <row r="11864" spans="1:18" ht="15.75" thickBot="1" x14ac:dyDescent="0.3">
      <c r="A11864" s="367" t="s">
        <v>20</v>
      </c>
      <c r="B11864" s="266">
        <v>44387</v>
      </c>
      <c r="C11864" s="1">
        <v>1196</v>
      </c>
      <c r="D11864" s="39">
        <f t="shared" si="2143"/>
        <v>431168</v>
      </c>
      <c r="E11864" s="1">
        <v>10</v>
      </c>
      <c r="F11864" s="39">
        <f t="shared" si="2144"/>
        <v>5654</v>
      </c>
      <c r="G11864" s="168">
        <f>SUM(C11864,C11840,C11816,C11792,C11768,C11744,C11720,C11696,C11672,C11648,C11624,C11600,C11576,C11552)/POBLA!$B$7*100000</f>
        <v>790.51709236926433</v>
      </c>
      <c r="H11864" s="256">
        <f t="shared" si="2142"/>
        <v>0.77301331391720407</v>
      </c>
      <c r="I11864" s="297">
        <f t="shared" si="2145"/>
        <v>611.08023728055753</v>
      </c>
      <c r="J11864" s="422">
        <f t="shared" si="2146"/>
        <v>1962.4285714285713</v>
      </c>
      <c r="K11864" s="297">
        <f>J11864/POBLA!$B$7*100000</f>
        <v>52.186003574800118</v>
      </c>
      <c r="L11864" s="200">
        <f t="shared" si="2147"/>
        <v>-0.14090056285178232</v>
      </c>
      <c r="M11864" s="401">
        <f>SUM(C11864,C11840,C11816,C11792,C11768,C11744,C11720)/POBLA!$B$7*100000</f>
        <v>365.30202502360089</v>
      </c>
      <c r="N11864" s="42" t="s">
        <v>20</v>
      </c>
      <c r="O11864" s="42">
        <v>6</v>
      </c>
      <c r="P11864" s="42">
        <v>4</v>
      </c>
      <c r="Q11864" s="42">
        <v>0</v>
      </c>
      <c r="R11864" s="42">
        <v>10</v>
      </c>
    </row>
    <row r="11865" spans="1:18" ht="15.75" thickBot="1" x14ac:dyDescent="0.3">
      <c r="A11865" s="367" t="s">
        <v>31</v>
      </c>
      <c r="B11865" s="266">
        <v>44387</v>
      </c>
      <c r="C11865" s="1">
        <v>237</v>
      </c>
      <c r="D11865" s="39">
        <f t="shared" si="2143"/>
        <v>117000</v>
      </c>
      <c r="E11865" s="1">
        <v>15</v>
      </c>
      <c r="F11865" s="39">
        <f t="shared" si="2144"/>
        <v>1946</v>
      </c>
      <c r="G11865" s="168">
        <f>SUM(C11865,C11841,C11817,C11793,C11769,C11745,C11721,C11697,C11673,C11649,C11625,C11601,C11577,C11553)/POBLA!$B$8*100000</f>
        <v>694.75259404846167</v>
      </c>
      <c r="H11865" s="256">
        <f t="shared" ref="H11865:H11881" si="2148">SUM(C11865,C11841,C11817,C11793,C11769,C11745,C11721,C11697,C11673,C11649,C11625,C11601,C11577,C11553,)/SUM(C11529,C11505,C11481,C11457,C11433,C11409,C11385,C11361,C11337,C11313,C11289,C11265,C11241,C11217)</f>
        <v>0.95054294175715692</v>
      </c>
      <c r="I11865" s="297">
        <f t="shared" si="2145"/>
        <v>660.3921745402406</v>
      </c>
      <c r="J11865" s="422">
        <f t="shared" si="2146"/>
        <v>633.28571428571433</v>
      </c>
      <c r="K11865" s="297">
        <f>J11865/POBLA!$B$8*100000</f>
        <v>45.692895708155881</v>
      </c>
      <c r="L11865" s="200">
        <f t="shared" si="2147"/>
        <v>-0.14684372594303308</v>
      </c>
      <c r="M11865" s="401">
        <f>SUM(C11865,C11841,C11817,C11793,C11769,C11745,C11721)/POBLA!$B$8*100000</f>
        <v>319.85026995709114</v>
      </c>
      <c r="N11865" s="42" t="s">
        <v>31</v>
      </c>
      <c r="O11865" s="42">
        <v>1</v>
      </c>
      <c r="P11865" s="42">
        <v>12</v>
      </c>
      <c r="Q11865" s="42">
        <v>2</v>
      </c>
      <c r="R11865" s="42">
        <v>15</v>
      </c>
    </row>
    <row r="11866" spans="1:18" ht="15.75" thickBot="1" x14ac:dyDescent="0.3">
      <c r="A11866" s="367" t="s">
        <v>41</v>
      </c>
      <c r="B11866" s="266">
        <v>44387</v>
      </c>
      <c r="C11866" s="1">
        <v>494</v>
      </c>
      <c r="D11866" s="39">
        <f t="shared" si="2143"/>
        <v>49858</v>
      </c>
      <c r="E11866" s="1">
        <v>3</v>
      </c>
      <c r="F11866" s="39">
        <f t="shared" si="2144"/>
        <v>877</v>
      </c>
      <c r="G11866" s="168">
        <f>SUM(C11866,C11842,C11818,C11794,C11770,C11746,C11722,C11698,C11674,C11650,C11626,C11602,C11578,C11554)/POBLA!$B$9*100000</f>
        <v>935.56931425181722</v>
      </c>
      <c r="H11866" s="256">
        <f t="shared" si="2148"/>
        <v>0.81420765027322406</v>
      </c>
      <c r="I11866" s="297">
        <f>G11866*H11866</f>
        <v>761.74769302470361</v>
      </c>
      <c r="J11866" s="422">
        <f t="shared" si="2146"/>
        <v>436.28571428571428</v>
      </c>
      <c r="K11866" s="297">
        <f>J11866/POBLA!$B$9*100000</f>
        <v>72.090343788793703</v>
      </c>
      <c r="L11866" s="200">
        <f t="shared" si="2147"/>
        <v>0.17101226993865026</v>
      </c>
      <c r="M11866" s="401">
        <f>SUM(C11866,C11842,C11818,C11794,C11770,C11746,C11722)/POBLA!$B$9*100000</f>
        <v>504.63240652155594</v>
      </c>
      <c r="N11866" s="42" t="s">
        <v>41</v>
      </c>
      <c r="O11866" s="42">
        <v>2</v>
      </c>
      <c r="P11866" s="42">
        <v>1</v>
      </c>
      <c r="Q11866" s="42">
        <v>0</v>
      </c>
      <c r="R11866" s="42">
        <v>3</v>
      </c>
    </row>
    <row r="11867" spans="1:18" ht="15.75" thickBot="1" x14ac:dyDescent="0.3">
      <c r="A11867" s="367" t="s">
        <v>32</v>
      </c>
      <c r="B11867" s="266">
        <v>44387</v>
      </c>
      <c r="C11867" s="1">
        <v>304</v>
      </c>
      <c r="D11867" s="39">
        <f t="shared" si="2143"/>
        <v>38658</v>
      </c>
      <c r="E11867" s="1">
        <v>5</v>
      </c>
      <c r="F11867" s="39">
        <f t="shared" si="2144"/>
        <v>1222</v>
      </c>
      <c r="G11867" s="168">
        <f>SUM(C11867,C11843,C11819,C11795,C11771,C11747,C11723,C11699,C11675,C11651,C11627,C11603,C11579,C11555)/POBLA!$B$10*100000</f>
        <v>512.40074667815134</v>
      </c>
      <c r="H11867" s="256">
        <f t="shared" si="2148"/>
        <v>1.184763047390522</v>
      </c>
      <c r="I11867" s="297">
        <f t="shared" ref="I11867:I11881" si="2149">G11867*H11867</f>
        <v>607.07347011958541</v>
      </c>
      <c r="J11867" s="422">
        <f t="shared" si="2146"/>
        <v>286.57142857142856</v>
      </c>
      <c r="K11867" s="297">
        <f>J11867/POBLA!$B$10*100000</f>
        <v>37.174535183955577</v>
      </c>
      <c r="L11867" s="200">
        <f t="shared" si="2147"/>
        <v>3.1893004115226331E-2</v>
      </c>
      <c r="M11867" s="401">
        <f>SUM(C11867,C11843,C11819,C11795,C11771,C11747,C11723)/POBLA!$B$10*100000</f>
        <v>260.22174628768903</v>
      </c>
      <c r="N11867" s="42" t="s">
        <v>32</v>
      </c>
      <c r="O11867" s="42">
        <v>3</v>
      </c>
      <c r="P11867" s="42">
        <v>2</v>
      </c>
      <c r="Q11867" s="42">
        <v>0</v>
      </c>
      <c r="R11867" s="42">
        <v>5</v>
      </c>
    </row>
    <row r="11868" spans="1:18" ht="15.75" thickBot="1" x14ac:dyDescent="0.3">
      <c r="A11868" s="367" t="s">
        <v>33</v>
      </c>
      <c r="B11868" s="266">
        <v>44387</v>
      </c>
      <c r="C11868" s="1">
        <v>207</v>
      </c>
      <c r="D11868" s="39">
        <f t="shared" si="2143"/>
        <v>55704</v>
      </c>
      <c r="F11868" s="39">
        <f t="shared" si="2144"/>
        <v>767</v>
      </c>
      <c r="G11868" s="168">
        <f>SUM(C11868,C11844,C11820,C11796,C11772,C11748,C11724,C11700,C11676,C11652,C11628,C11604,C11580,C11556)/POBLA!$B$11*100000</f>
        <v>1227.8616625933241</v>
      </c>
      <c r="H11868" s="256">
        <f t="shared" si="2148"/>
        <v>1.0752504275592476</v>
      </c>
      <c r="I11868" s="297">
        <f t="shared" si="2149"/>
        <v>1320.2587776870803</v>
      </c>
      <c r="J11868" s="422">
        <f t="shared" si="2146"/>
        <v>271.57142857142856</v>
      </c>
      <c r="K11868" s="297">
        <f>J11868/POBLA!$B$11*100000</f>
        <v>75.767358736323217</v>
      </c>
      <c r="L11868" s="200">
        <f t="shared" si="2147"/>
        <v>-0.23960000000000004</v>
      </c>
      <c r="M11868" s="401">
        <f>SUM(C11868,C11844,C11820,C11796,C11772,C11748,C11724)/POBLA!$B$11*100000</f>
        <v>530.37151115426241</v>
      </c>
    </row>
    <row r="11869" spans="1:18" ht="15.75" thickBot="1" x14ac:dyDescent="0.3">
      <c r="A11869" s="367" t="s">
        <v>21</v>
      </c>
      <c r="B11869" s="266">
        <v>44387</v>
      </c>
      <c r="C11869" s="1">
        <v>235</v>
      </c>
      <c r="D11869" s="39">
        <f t="shared" si="2143"/>
        <v>24081</v>
      </c>
      <c r="E11869" s="1">
        <v>13</v>
      </c>
      <c r="F11869" s="39">
        <f t="shared" si="2144"/>
        <v>654</v>
      </c>
      <c r="G11869" s="168">
        <f>SUM(C11869,C11845,C11821,C11797,C11773,C11749,C11725,C11701,C11677,C11653,C11629,C11605,C11581,C11557)/POBLA!$B$12*100000</f>
        <v>660.68492698161003</v>
      </c>
      <c r="H11869" s="256">
        <f t="shared" si="2148"/>
        <v>1.2621359223300972</v>
      </c>
      <c r="I11869" s="297">
        <f t="shared" si="2149"/>
        <v>833.87417968552734</v>
      </c>
      <c r="J11869" s="422">
        <f t="shared" si="2146"/>
        <v>193.57142857142858</v>
      </c>
      <c r="K11869" s="297">
        <f>J11869/POBLA!$B$12*100000</f>
        <v>49.188355827477018</v>
      </c>
      <c r="L11869" s="200">
        <f t="shared" si="2147"/>
        <v>8.8353413654618462E-2</v>
      </c>
      <c r="M11869" s="401">
        <f>SUM(C11869,C11845,C11821,C11797,C11773,C11749,C11725)/POBLA!$B$12*100000</f>
        <v>344.31849079233911</v>
      </c>
      <c r="N11869" s="42" t="s">
        <v>21</v>
      </c>
      <c r="O11869" s="42">
        <v>8</v>
      </c>
      <c r="P11869" s="42">
        <v>5</v>
      </c>
      <c r="Q11869" s="42">
        <v>0</v>
      </c>
      <c r="R11869" s="42">
        <v>13</v>
      </c>
    </row>
    <row r="11870" spans="1:18" ht="15.75" thickBot="1" x14ac:dyDescent="0.3">
      <c r="A11870" s="367" t="s">
        <v>17</v>
      </c>
      <c r="B11870" s="266">
        <v>44387</v>
      </c>
      <c r="C11870" s="1">
        <v>310</v>
      </c>
      <c r="D11870" s="39">
        <f t="shared" si="2143"/>
        <v>144907</v>
      </c>
      <c r="E11870" s="1">
        <v>32</v>
      </c>
      <c r="F11870" s="39">
        <f t="shared" si="2144"/>
        <v>3493</v>
      </c>
      <c r="G11870" s="168">
        <f>SUM(C11870,C11846,C11822,C11798,C11774,C11750,C11726,C11702,C11678,C11654,C11630,C11606,C11582,C11558)/POBLA!$B$13*100000</f>
        <v>363.0539134559055</v>
      </c>
      <c r="H11870" s="256">
        <f t="shared" si="2148"/>
        <v>0.87939637337227694</v>
      </c>
      <c r="I11870" s="297">
        <f t="shared" si="2149"/>
        <v>319.26829483173577</v>
      </c>
      <c r="J11870" s="422">
        <f t="shared" si="2146"/>
        <v>446.71428571428572</v>
      </c>
      <c r="K11870" s="297">
        <f>J11870/POBLA!$B$13*100000</f>
        <v>22.444141935404225</v>
      </c>
      <c r="L11870" s="200">
        <f t="shared" si="2147"/>
        <v>-0.23713100756282024</v>
      </c>
      <c r="M11870" s="401">
        <f>SUM(C11870,C11846,C11822,C11798,C11774,C11750,C11726)/POBLA!$B$13*100000</f>
        <v>157.10899354782956</v>
      </c>
      <c r="N11870" s="42" t="s">
        <v>17</v>
      </c>
      <c r="O11870" s="42">
        <v>10</v>
      </c>
      <c r="P11870" s="42">
        <v>19</v>
      </c>
      <c r="Q11870" s="42">
        <v>3</v>
      </c>
      <c r="R11870" s="42">
        <v>32</v>
      </c>
    </row>
    <row r="11871" spans="1:18" ht="15.75" thickBot="1" x14ac:dyDescent="0.3">
      <c r="A11871" s="367" t="s">
        <v>23</v>
      </c>
      <c r="B11871" s="266">
        <v>44387</v>
      </c>
      <c r="C11871" s="1">
        <v>160</v>
      </c>
      <c r="D11871" s="39">
        <f t="shared" si="2143"/>
        <v>27402</v>
      </c>
      <c r="E11871" s="1">
        <v>3</v>
      </c>
      <c r="F11871" s="39">
        <f t="shared" si="2144"/>
        <v>464</v>
      </c>
      <c r="G11871" s="168">
        <f>SUM(C11871,C11847,C11823,C11799,C11775,C11751,C11727,C11703,C11679,C11655,C11631,C11607,C11583,C11559)/POBLA!$B$14*100000</f>
        <v>196.38561667620715</v>
      </c>
      <c r="H11871" s="256">
        <f t="shared" si="2148"/>
        <v>1.0500211954217888</v>
      </c>
      <c r="I11871" s="297">
        <f t="shared" si="2149"/>
        <v>206.20905998599622</v>
      </c>
      <c r="J11871" s="422">
        <f t="shared" si="2146"/>
        <v>175.42857142857142</v>
      </c>
      <c r="K11871" s="297">
        <f>J11871/POBLA!$B$14*100000</f>
        <v>13.908618563837727</v>
      </c>
      <c r="L11871" s="200">
        <f t="shared" si="2147"/>
        <v>-1.6813450760608473E-2</v>
      </c>
      <c r="M11871" s="401">
        <f>SUM(C11871,C11847,C11823,C11799,C11775,C11751,C11727)/POBLA!$B$14*100000</f>
        <v>97.360329946864098</v>
      </c>
      <c r="N11871" s="42" t="s">
        <v>23</v>
      </c>
      <c r="O11871" s="42">
        <v>0</v>
      </c>
      <c r="P11871" s="42">
        <v>3</v>
      </c>
      <c r="Q11871" s="42">
        <v>0</v>
      </c>
      <c r="R11871" s="42">
        <v>3</v>
      </c>
    </row>
    <row r="11872" spans="1:18" ht="15.75" thickBot="1" x14ac:dyDescent="0.3">
      <c r="A11872" s="367" t="s">
        <v>19</v>
      </c>
      <c r="B11872" s="266">
        <v>44387</v>
      </c>
      <c r="C11872" s="1">
        <v>151</v>
      </c>
      <c r="D11872" s="39">
        <f t="shared" si="2143"/>
        <v>103405</v>
      </c>
      <c r="E11872" s="1">
        <v>22</v>
      </c>
      <c r="F11872" s="39">
        <f t="shared" si="2144"/>
        <v>1937</v>
      </c>
      <c r="G11872" s="168">
        <f>SUM(C11872,C11848,C11824,C11800,C11776,C11752,C11728,C11704,C11680,C11656,C11632,C11608,C11584,C11560)/POBLA!$B$15*100000</f>
        <v>419.54229832680022</v>
      </c>
      <c r="H11872" s="256">
        <f t="shared" si="2148"/>
        <v>0.70782520325203258</v>
      </c>
      <c r="I11872" s="297">
        <f t="shared" si="2149"/>
        <v>296.96261258599225</v>
      </c>
      <c r="J11872" s="422">
        <f t="shared" si="2146"/>
        <v>189.71428571428572</v>
      </c>
      <c r="K11872" s="297">
        <f>J11872/POBLA!$B$15*100000</f>
        <v>28.568976114141666</v>
      </c>
      <c r="L11872" s="200">
        <f t="shared" si="2147"/>
        <v>-8.9163237311385424E-2</v>
      </c>
      <c r="M11872" s="401">
        <f>SUM(C11872,C11848,C11824,C11800,C11776,C11752,C11728)/POBLA!$B$15*100000</f>
        <v>199.98283279899164</v>
      </c>
      <c r="N11872" s="42" t="s">
        <v>19</v>
      </c>
      <c r="O11872" s="42">
        <v>9</v>
      </c>
      <c r="P11872" s="42">
        <v>13</v>
      </c>
      <c r="Q11872" s="42">
        <v>0</v>
      </c>
      <c r="R11872" s="42">
        <v>22</v>
      </c>
    </row>
    <row r="11873" spans="1:18" ht="15.75" thickBot="1" x14ac:dyDescent="0.3">
      <c r="A11873" s="367" t="s">
        <v>18</v>
      </c>
      <c r="B11873" s="266">
        <v>44387</v>
      </c>
      <c r="C11873" s="1">
        <v>181</v>
      </c>
      <c r="D11873" s="39">
        <f t="shared" si="2143"/>
        <v>86386</v>
      </c>
      <c r="E11873" s="1">
        <v>2</v>
      </c>
      <c r="F11873" s="39">
        <f t="shared" si="2144"/>
        <v>1984</v>
      </c>
      <c r="G11873" s="168">
        <f>SUM(C11873,C11849,C11825,C11801,C11777,C11753,C11729,C11705,C11681,C11657,C11633,C11609,C11585,C11561)/POBLA!$B$16*100000</f>
        <v>402.48257781463599</v>
      </c>
      <c r="H11873" s="256">
        <f t="shared" si="2148"/>
        <v>0.71694067190850608</v>
      </c>
      <c r="I11873" s="297">
        <f t="shared" si="2149"/>
        <v>288.55612976989272</v>
      </c>
      <c r="J11873" s="422">
        <f t="shared" si="2146"/>
        <v>205.71428571428572</v>
      </c>
      <c r="K11873" s="297">
        <f>J11873/POBLA!$B$16*100000</f>
        <v>27.516256566162266</v>
      </c>
      <c r="L11873" s="200">
        <f t="shared" si="2147"/>
        <v>-8.2217973231357599E-2</v>
      </c>
      <c r="M11873" s="401">
        <f>SUM(C11873,C11849,C11825,C11801,C11777,C11753,C11729)/POBLA!$B$16*100000</f>
        <v>192.61379596313586</v>
      </c>
      <c r="N11873" s="42" t="s">
        <v>18</v>
      </c>
      <c r="O11873" s="42">
        <v>2</v>
      </c>
      <c r="P11873" s="42">
        <v>0</v>
      </c>
      <c r="Q11873" s="42">
        <v>0</v>
      </c>
      <c r="R11873" s="42">
        <v>2</v>
      </c>
    </row>
    <row r="11874" spans="1:18" ht="15.75" thickBot="1" x14ac:dyDescent="0.3">
      <c r="A11874" s="367" t="s">
        <v>34</v>
      </c>
      <c r="B11874" s="266">
        <v>44387</v>
      </c>
      <c r="C11874" s="1">
        <v>341</v>
      </c>
      <c r="D11874" s="39">
        <f>C11874+D11850</f>
        <v>66300</v>
      </c>
      <c r="E11874" s="1">
        <v>2</v>
      </c>
      <c r="F11874" s="39">
        <f t="shared" si="2144"/>
        <v>1847</v>
      </c>
      <c r="G11874" s="168">
        <f>SUM(C11874,C11850,C11826,C11802,C11778,C11754,C11730,C11706,C11682,C11658,C11634,C11610,C11586,C11562)/POBLA!$B$17*100000</f>
        <v>485.88981863904513</v>
      </c>
      <c r="H11874" s="256">
        <f t="shared" si="2148"/>
        <v>0.98899685624464129</v>
      </c>
      <c r="I11874" s="297">
        <f t="shared" si="2149"/>
        <v>480.54350311529453</v>
      </c>
      <c r="J11874" s="422">
        <f t="shared" si="2146"/>
        <v>474.42857142857144</v>
      </c>
      <c r="K11874" s="297">
        <f>J11874/POBLA!$B$17*100000</f>
        <v>33.30732734122379</v>
      </c>
      <c r="L11874" s="200">
        <f t="shared" si="2147"/>
        <v>-7.7500000000000013E-2</v>
      </c>
      <c r="M11874" s="401">
        <f>SUM(C11874,C11850,C11826,C11802,C11778,C11754,C11730)/POBLA!$B$17*100000</f>
        <v>233.15129138856656</v>
      </c>
      <c r="N11874" s="42" t="s">
        <v>34</v>
      </c>
      <c r="O11874" s="42">
        <v>1</v>
      </c>
      <c r="P11874" s="42">
        <v>1</v>
      </c>
      <c r="Q11874" s="42">
        <v>0</v>
      </c>
      <c r="R11874" s="42">
        <v>2</v>
      </c>
    </row>
    <row r="11875" spans="1:18" ht="15.75" thickBot="1" x14ac:dyDescent="0.3">
      <c r="A11875" s="367" t="s">
        <v>35</v>
      </c>
      <c r="B11875" s="266">
        <v>44387</v>
      </c>
      <c r="C11875" s="1">
        <v>246</v>
      </c>
      <c r="D11875" s="39">
        <f t="shared" ref="D11875:D11881" si="2150">C11875+D11851</f>
        <v>54361</v>
      </c>
      <c r="E11875" s="1">
        <v>2</v>
      </c>
      <c r="F11875" s="39">
        <f t="shared" si="2144"/>
        <v>863</v>
      </c>
      <c r="G11875" s="168">
        <f>SUM(C11875,C11851,C11827,C11803,C11779,C11755,C11731,C11707,C11683,C11659,C11635,C11611,C11587,C11563)/POBLA!$B$18*100000</f>
        <v>695.58138135754859</v>
      </c>
      <c r="H11875" s="256">
        <f t="shared" si="2148"/>
        <v>0.89625597888833908</v>
      </c>
      <c r="I11875" s="297">
        <f t="shared" si="2149"/>
        <v>623.41897184511276</v>
      </c>
      <c r="J11875" s="422">
        <f t="shared" si="2146"/>
        <v>310.28571428571428</v>
      </c>
      <c r="K11875" s="297">
        <f>J11875/POBLA!$B$18*100000</f>
        <v>39.718249127414573</v>
      </c>
      <c r="L11875" s="200">
        <f t="shared" si="2147"/>
        <v>-0.33415082771305948</v>
      </c>
      <c r="M11875" s="401">
        <f>SUM(C11875,C11851,C11827,C11803,C11779,C11755,C11731)/POBLA!$B$18*100000</f>
        <v>278.02774389190199</v>
      </c>
      <c r="N11875" s="42" t="s">
        <v>35</v>
      </c>
      <c r="O11875" s="42">
        <v>0</v>
      </c>
      <c r="P11875" s="42">
        <v>2</v>
      </c>
      <c r="Q11875" s="42">
        <v>0</v>
      </c>
      <c r="R11875" s="42">
        <v>2</v>
      </c>
    </row>
    <row r="11876" spans="1:18" ht="15.75" thickBot="1" x14ac:dyDescent="0.3">
      <c r="A11876" s="367" t="s">
        <v>36</v>
      </c>
      <c r="B11876" s="266">
        <v>44387</v>
      </c>
      <c r="C11876" s="1">
        <v>240</v>
      </c>
      <c r="D11876" s="39">
        <f t="shared" si="2150"/>
        <v>69212</v>
      </c>
      <c r="E11876" s="1">
        <v>1</v>
      </c>
      <c r="F11876" s="39">
        <f t="shared" si="2144"/>
        <v>1083</v>
      </c>
      <c r="G11876" s="168">
        <f>SUM(C11876,C11852,C11828,C11804,C11780,C11756,C11732,C11708,C11684,C11660,C11636,C11612,C11588,C11564)/POBLA!$B$19*100000</f>
        <v>977.32172927715953</v>
      </c>
      <c r="H11876" s="256">
        <f t="shared" si="2148"/>
        <v>0.96541002720559654</v>
      </c>
      <c r="I11876" s="297">
        <f t="shared" si="2149"/>
        <v>943.51619725008322</v>
      </c>
      <c r="J11876" s="422">
        <f t="shared" si="2146"/>
        <v>335.57142857142856</v>
      </c>
      <c r="K11876" s="297">
        <f>J11876/POBLA!$B$19*100000</f>
        <v>66.014744135957201</v>
      </c>
      <c r="L11876" s="200">
        <f t="shared" si="2147"/>
        <v>-0.10309278350515461</v>
      </c>
      <c r="M11876" s="401">
        <f>SUM(C11876,C11852,C11828,C11804,C11780,C11756,C11732)/POBLA!$B$19*100000</f>
        <v>462.10320895170048</v>
      </c>
      <c r="N11876" s="42" t="s">
        <v>36</v>
      </c>
      <c r="O11876" s="42">
        <v>0</v>
      </c>
      <c r="P11876" s="42">
        <v>1</v>
      </c>
      <c r="Q11876" s="42">
        <v>0</v>
      </c>
      <c r="R11876" s="42">
        <v>1</v>
      </c>
    </row>
    <row r="11877" spans="1:18" ht="15.75" thickBot="1" x14ac:dyDescent="0.3">
      <c r="A11877" s="367" t="s">
        <v>37</v>
      </c>
      <c r="B11877" s="266">
        <v>44387</v>
      </c>
      <c r="C11877" s="1">
        <v>31</v>
      </c>
      <c r="D11877" s="39">
        <f t="shared" si="2150"/>
        <v>56446</v>
      </c>
      <c r="E11877" s="1">
        <v>1</v>
      </c>
      <c r="F11877" s="39">
        <f t="shared" ref="F11877:F11882" si="2151">E11877+F11853</f>
        <v>887</v>
      </c>
      <c r="G11877" s="168">
        <f>SUM(C11877,C11853,C11830,C11805,C11781,C11757,C11733,C11709,C11685,C11661,C11637,C11613,C11589,C11565)/POBLA!$B$20*100000</f>
        <v>787.53506992108248</v>
      </c>
      <c r="H11877" s="256">
        <f t="shared" si="2148"/>
        <v>0.94176706827309242</v>
      </c>
      <c r="I11877" s="297">
        <f t="shared" si="2149"/>
        <v>741.67459396182267</v>
      </c>
      <c r="J11877" s="422">
        <f t="shared" si="2146"/>
        <v>85.857142857142861</v>
      </c>
      <c r="K11877" s="297">
        <f>J11877/POBLA!$B$20*100000</f>
        <v>23.477607987230684</v>
      </c>
      <c r="L11877" s="200">
        <f t="shared" si="2147"/>
        <v>-0.25434243176178661</v>
      </c>
      <c r="M11877" s="401">
        <f>SUM(C11877,C11853,C11829,C11805,C11781,C11757,C11733)/POBLA!$B$20*100000</f>
        <v>164.34325591061477</v>
      </c>
      <c r="N11877" s="42" t="s">
        <v>37</v>
      </c>
      <c r="O11877" s="42">
        <v>1</v>
      </c>
      <c r="P11877" s="42">
        <v>0</v>
      </c>
      <c r="Q11877" s="42">
        <v>0</v>
      </c>
      <c r="R11877" s="42">
        <v>1</v>
      </c>
    </row>
    <row r="11878" spans="1:18" ht="15.75" thickBot="1" x14ac:dyDescent="0.3">
      <c r="A11878" s="367" t="s">
        <v>22</v>
      </c>
      <c r="B11878" s="266">
        <v>44387</v>
      </c>
      <c r="C11878" s="1">
        <v>1090</v>
      </c>
      <c r="D11878" s="39">
        <f t="shared" si="2150"/>
        <v>421459</v>
      </c>
      <c r="E11878" s="1">
        <v>10</v>
      </c>
      <c r="F11878" s="39">
        <f t="shared" si="2151"/>
        <v>7035</v>
      </c>
      <c r="G11878" s="168">
        <f>SUM(C11878,C11854,C11830,C11806,C11782,C11758,C11734,C11710,C11686,C11662,C11638,C11614,C11590,C11566)/POBLA!$B$21*100000</f>
        <v>606.23489644040956</v>
      </c>
      <c r="H11878" s="256">
        <f t="shared" si="2148"/>
        <v>0.8829537498455583</v>
      </c>
      <c r="I11878" s="297">
        <f t="shared" si="2149"/>
        <v>535.27737509929329</v>
      </c>
      <c r="J11878" s="422">
        <f t="shared" si="2146"/>
        <v>1481.4285714285713</v>
      </c>
      <c r="K11878" s="297">
        <f>J11878/POBLA!$B$21*100000</f>
        <v>41.890652389750628</v>
      </c>
      <c r="L11878" s="200">
        <f t="shared" si="2147"/>
        <v>-6.314933598337702E-2</v>
      </c>
      <c r="M11878" s="401">
        <f>SUM(C11878,C11854,C11830,C11806,C11782,C11758,C11734)/POBLA!$B$21*100000</f>
        <v>293.23456672825444</v>
      </c>
      <c r="N11878" s="42" t="s">
        <v>22</v>
      </c>
      <c r="O11878" s="42">
        <v>6</v>
      </c>
      <c r="P11878" s="42">
        <v>4</v>
      </c>
      <c r="Q11878" s="42">
        <v>0</v>
      </c>
      <c r="R11878" s="42">
        <v>10</v>
      </c>
    </row>
    <row r="11879" spans="1:18" ht="15.75" thickBot="1" x14ac:dyDescent="0.3">
      <c r="A11879" s="367" t="s">
        <v>38</v>
      </c>
      <c r="B11879" s="266">
        <v>44387</v>
      </c>
      <c r="C11879" s="1">
        <v>548</v>
      </c>
      <c r="D11879" s="39">
        <f t="shared" si="2150"/>
        <v>65123</v>
      </c>
      <c r="E11879" s="1">
        <v>10</v>
      </c>
      <c r="F11879" s="39">
        <f t="shared" si="2151"/>
        <v>889</v>
      </c>
      <c r="G11879" s="168">
        <f>SUM(C11879,C11855,C11831,C11807,C11783,C11759,C11735,C11711,C11687,C11663,C11639,C11615,C11591,C11567)/POBLA!$B$22*100000</f>
        <v>773.98542184352038</v>
      </c>
      <c r="H11879" s="256">
        <f t="shared" si="2148"/>
        <v>1.0658783783783783</v>
      </c>
      <c r="I11879" s="297">
        <f t="shared" si="2149"/>
        <v>824.97432632307653</v>
      </c>
      <c r="J11879" s="422">
        <f t="shared" si="2146"/>
        <v>549.42857142857144</v>
      </c>
      <c r="K11879" s="297">
        <f>J11879/POBLA!$B$22*100000</f>
        <v>56.16081677628442</v>
      </c>
      <c r="L11879" s="200">
        <f t="shared" si="2147"/>
        <v>3.2206119162640823E-2</v>
      </c>
      <c r="M11879" s="401">
        <f>SUM(C11879,C11855,C11831,C11807,C11783,C11759,C11735)/POBLA!$B$22*100000</f>
        <v>393.12571743399093</v>
      </c>
      <c r="N11879" s="42" t="s">
        <v>38</v>
      </c>
      <c r="O11879" s="42">
        <v>4</v>
      </c>
      <c r="P11879" s="42">
        <v>6</v>
      </c>
      <c r="Q11879" s="42">
        <v>0</v>
      </c>
      <c r="R11879" s="42">
        <v>10</v>
      </c>
    </row>
    <row r="11880" spans="1:18" ht="15.75" thickBot="1" x14ac:dyDescent="0.3">
      <c r="A11880" s="367" t="s">
        <v>39</v>
      </c>
      <c r="B11880" s="266">
        <v>44387</v>
      </c>
      <c r="C11880" s="1">
        <v>29</v>
      </c>
      <c r="D11880" s="39">
        <f t="shared" si="2150"/>
        <v>30212</v>
      </c>
      <c r="F11880" s="39">
        <f t="shared" si="2151"/>
        <v>458</v>
      </c>
      <c r="G11880" s="168">
        <f>SUM(C11880,C11856,C11832,C11808,C11784,C11760,C11736,C11712,C11688,C11664,C11640,C11616,C11592,C11568)/POBLA!$B$23*100000</f>
        <v>354.57784312616639</v>
      </c>
      <c r="H11880" s="256">
        <f t="shared" si="2148"/>
        <v>1.1236559139784945</v>
      </c>
      <c r="I11880" s="297">
        <f t="shared" si="2149"/>
        <v>398.42349039445571</v>
      </c>
      <c r="J11880" s="422">
        <f t="shared" si="2146"/>
        <v>42.714285714285715</v>
      </c>
      <c r="K11880" s="297">
        <f>J11880/POBLA!$B$23*100000</f>
        <v>24.15556507056818</v>
      </c>
      <c r="L11880" s="200">
        <f t="shared" si="2147"/>
        <v>-8.8414634146341431E-2</v>
      </c>
      <c r="M11880" s="401">
        <f>SUM(C11880,C11856,C11832,C11808,C11784,C11760,C11736)/POBLA!$B$23*100000</f>
        <v>169.08895549397727</v>
      </c>
    </row>
    <row r="11881" spans="1:18" ht="15.75" thickBot="1" x14ac:dyDescent="0.3">
      <c r="A11881" s="368" t="s">
        <v>40</v>
      </c>
      <c r="B11881" s="34">
        <v>44387</v>
      </c>
      <c r="C11881" s="232">
        <v>252</v>
      </c>
      <c r="D11881" s="67">
        <f t="shared" si="2150"/>
        <v>166328</v>
      </c>
      <c r="E11881" s="232"/>
      <c r="F11881" s="67">
        <f t="shared" si="2151"/>
        <v>2368</v>
      </c>
      <c r="G11881" s="255">
        <f>SUM(C11881,C11857,C11833,C11809,C11785,C11761,C11737,C11713,C11689,C11665,C11641,C11617,C11593,C11569)/POBLA!$B$24*100000</f>
        <v>871.15025114241473</v>
      </c>
      <c r="H11881" s="257">
        <f t="shared" si="2148"/>
        <v>1.3429455107795869</v>
      </c>
      <c r="I11881" s="299">
        <f t="shared" si="2149"/>
        <v>1169.9073189862156</v>
      </c>
      <c r="J11881" s="428">
        <f t="shared" si="2146"/>
        <v>824.71428571428567</v>
      </c>
      <c r="K11881" s="299">
        <f>J11881/POBLA!$B$24*100000</f>
        <v>48.665586745291414</v>
      </c>
      <c r="L11881" s="260">
        <f t="shared" si="2147"/>
        <v>-0.35784204671857622</v>
      </c>
      <c r="M11881" s="406">
        <f>SUM(C11881,C11857,C11833,C11809,C11785,C11761,C11737)/POBLA!$B$24*100000</f>
        <v>340.65910721703989</v>
      </c>
    </row>
    <row r="11882" spans="1:18" x14ac:dyDescent="0.25">
      <c r="A11882" s="612" t="s">
        <v>16</v>
      </c>
      <c r="B11882" s="613">
        <v>44388</v>
      </c>
      <c r="C11882" s="614">
        <v>2193</v>
      </c>
      <c r="D11882" s="615">
        <f>C11882+D11858</f>
        <v>1896059</v>
      </c>
      <c r="E11882" s="614">
        <v>186</v>
      </c>
      <c r="F11882" s="615">
        <f t="shared" si="2151"/>
        <v>49534</v>
      </c>
      <c r="G11882" s="616">
        <f>SUM(C11882,C11858,C11810,C11834,C11786,C11762,C11738,C11714,C11690,C11666,C11642,C11618,C11594,C11570)/POBLA!$B$1*100000</f>
        <v>426.29495994587808</v>
      </c>
      <c r="H11882" s="617">
        <f t="shared" ref="H11882:H11888" si="2152">SUM(C11882,C11858,C11834,C11810,C11786,C11762,C11738,C11714,C11690,C11666,C11642,C11618,C11594,C11570,)/SUM(C11546,C11522,C11498,C11474,C11450,C11426,C11402,C11378,C11354,C11330,C11306,C11282,C11258,C11234)</f>
        <v>0.80140825447179742</v>
      </c>
      <c r="I11882" s="618">
        <f>G11882*H11882</f>
        <v>341.63629974035092</v>
      </c>
      <c r="J11882" s="619">
        <f>AVERAGE(C11882,C11858,C11834,C11810,C11786,C11762,C11738)</f>
        <v>4717.2857142857147</v>
      </c>
      <c r="K11882" s="618">
        <f>J11882/POBLA!$B$1*100000</f>
        <v>26.892695944270184</v>
      </c>
      <c r="L11882" s="620">
        <f>(SUM(C11882,C11858,C11834,C11810,C11786,C11762,C11738)/SUM(C11714,C11690,C11666,C11642,C11618,C11594,C11570))-1</f>
        <v>-0.20919149343806875</v>
      </c>
      <c r="M11882" s="621">
        <f>SUM(C11882,C11858,C11834,C11810,C11786,C11762,C11738)/POBLA!$B$1*100000</f>
        <v>188.2488716098913</v>
      </c>
      <c r="N11882" s="499"/>
      <c r="O11882" s="499"/>
      <c r="P11882" s="499"/>
      <c r="Q11882" s="499"/>
      <c r="R11882" s="499"/>
    </row>
    <row r="11883" spans="1:18" x14ac:dyDescent="0.25">
      <c r="A11883" s="622" t="s">
        <v>43</v>
      </c>
      <c r="B11883" s="574">
        <v>44388</v>
      </c>
      <c r="C11883" s="275">
        <v>705</v>
      </c>
      <c r="D11883" s="575">
        <f t="shared" ref="D11883:D11897" si="2153">C11883+D11859</f>
        <v>475123</v>
      </c>
      <c r="E11883" s="275">
        <v>11</v>
      </c>
      <c r="F11883" s="575">
        <f t="shared" ref="F11883:F11900" si="2154">E11883+F11859</f>
        <v>10553</v>
      </c>
      <c r="G11883" s="576">
        <f>SUM(C11883,C11859,C11835,C11811,C11787,C11763,C11739,C11715,C11691,C11667,C11643,C11619,C11595,C11571)/POBLA!$B$2*100000</f>
        <v>481.29726242877103</v>
      </c>
      <c r="H11883" s="577">
        <f t="shared" si="2152"/>
        <v>0.77227671118530883</v>
      </c>
      <c r="I11883" s="578">
        <f t="shared" ref="I11883:I11889" si="2155">G11883*H11883</f>
        <v>371.69466693098377</v>
      </c>
      <c r="J11883" s="579">
        <f>AVERAGE(C11883,C11859,C11835,C11811,C11787,C11763,C11739)</f>
        <v>982.57142857142856</v>
      </c>
      <c r="K11883" s="578">
        <f>J11883/POBLA!$B$2*100000</f>
        <v>31.946830960761694</v>
      </c>
      <c r="L11883" s="580">
        <f>(SUM(C11883,C11859,C11835,C11811,C11787,C11763,C11739)/SUM(C11715,C11691,C11667,C11643,C11619,C11595,C11571))-1</f>
        <v>-0.13211356466876967</v>
      </c>
      <c r="M11883" s="623">
        <f>SUM(C11883,C11859,C11835,C11811,C11787,C11763,C11739)/POBLA!$B$2*100000</f>
        <v>223.62781672533183</v>
      </c>
      <c r="N11883" s="499"/>
      <c r="O11883" s="499"/>
      <c r="P11883" s="499"/>
      <c r="Q11883" s="499"/>
      <c r="R11883" s="499"/>
    </row>
    <row r="11884" spans="1:18" x14ac:dyDescent="0.25">
      <c r="A11884" s="622" t="s">
        <v>28</v>
      </c>
      <c r="B11884" s="574">
        <v>44388</v>
      </c>
      <c r="C11884" s="275">
        <v>168</v>
      </c>
      <c r="D11884" s="575">
        <f t="shared" si="2153"/>
        <v>37235</v>
      </c>
      <c r="E11884" s="275"/>
      <c r="F11884" s="575">
        <f t="shared" si="2154"/>
        <v>377</v>
      </c>
      <c r="G11884" s="576">
        <f>SUM(C11884,C11860,C11836,C11812,C11788,C11764,C11740,C11716,C11692,C11668,C11644,C11620,C11596,C11572)/POBLA!$B$3*100000</f>
        <v>973.43045171602023</v>
      </c>
      <c r="H11884" s="577">
        <f t="shared" si="2152"/>
        <v>0.99093359470717957</v>
      </c>
      <c r="I11884" s="578">
        <f t="shared" si="2155"/>
        <v>964.60493671638949</v>
      </c>
      <c r="J11884" s="579">
        <f t="shared" ref="J11884:J11905" si="2156">AVERAGE(C11884,C11860,C11836,C11812,C11788,C11764,C11740)</f>
        <v>275.71428571428572</v>
      </c>
      <c r="K11884" s="578">
        <f>J11884/POBLA!$B$3*100000</f>
        <v>66.367131970182243</v>
      </c>
      <c r="L11884" s="580">
        <f t="shared" ref="L11884:L11905" si="2157">(SUM(C11884,C11860,C11836,C11812,C11788,C11764,C11740)/SUM(C11716,C11692,C11668,C11644,C11620,C11596,C11572))-1</f>
        <v>-8.7038789025543961E-2</v>
      </c>
      <c r="M11884" s="623">
        <f>SUM(C11884,C11860,C11836,C11812,C11788,C11764,C11740)/POBLA!$B$3*100000</f>
        <v>464.5699237912757</v>
      </c>
      <c r="N11884" s="412"/>
      <c r="O11884" s="412"/>
      <c r="P11884" s="412"/>
      <c r="Q11884" s="412"/>
      <c r="R11884" s="412"/>
    </row>
    <row r="11885" spans="1:18" x14ac:dyDescent="0.25">
      <c r="A11885" s="622" t="s">
        <v>15</v>
      </c>
      <c r="B11885" s="574">
        <v>44388</v>
      </c>
      <c r="C11885" s="275">
        <v>295</v>
      </c>
      <c r="D11885" s="575">
        <f t="shared" si="2153"/>
        <v>82920</v>
      </c>
      <c r="E11885" s="275">
        <v>12</v>
      </c>
      <c r="F11885" s="575">
        <f t="shared" si="2154"/>
        <v>1812</v>
      </c>
      <c r="G11885" s="576">
        <f>SUM(C11885,C11861,C11837,C11813,C11789,C11765,C11741,C11717,C11693,C11669,C11645,C11621,C11597,C11573)/POBLA!$B$4*100000</f>
        <v>631.94195963441678</v>
      </c>
      <c r="H11885" s="577">
        <f t="shared" si="2152"/>
        <v>0.98562734688592513</v>
      </c>
      <c r="I11885" s="578">
        <f t="shared" si="2155"/>
        <v>622.85927706036261</v>
      </c>
      <c r="J11885" s="579">
        <f t="shared" si="2156"/>
        <v>559.71428571428567</v>
      </c>
      <c r="K11885" s="578">
        <f>J11885/POBLA!$B$4*100000</f>
        <v>46.467018201479704</v>
      </c>
      <c r="L11885" s="580">
        <f t="shared" si="2157"/>
        <v>6.0638873849485631E-2</v>
      </c>
      <c r="M11885" s="623">
        <f>SUM(C11885,C11861,C11837,C11813,C11789,C11765,C11741)/POBLA!$B$4*100000</f>
        <v>325.26912741035795</v>
      </c>
      <c r="N11885" s="499"/>
      <c r="O11885" s="499"/>
      <c r="P11885" s="499"/>
      <c r="Q11885" s="499"/>
      <c r="R11885" s="499"/>
    </row>
    <row r="11886" spans="1:18" x14ac:dyDescent="0.25">
      <c r="A11886" s="622" t="s">
        <v>29</v>
      </c>
      <c r="B11886" s="574">
        <v>44388</v>
      </c>
      <c r="C11886" s="275">
        <v>82</v>
      </c>
      <c r="D11886" s="575">
        <f t="shared" si="2153"/>
        <v>72643</v>
      </c>
      <c r="E11886" s="275">
        <v>1</v>
      </c>
      <c r="F11886" s="575">
        <f t="shared" si="2154"/>
        <v>1243</v>
      </c>
      <c r="G11886" s="576">
        <f>SUM(C11886,C11862,C11838,C11814,C11790,C11766,C11742,C11718,C11694,C11670,C11646,C11622,C11598,C11574)/POBLA!$B$5*100000</f>
        <v>415.35136043321904</v>
      </c>
      <c r="H11886" s="577">
        <f t="shared" si="2152"/>
        <v>0.82642237222757953</v>
      </c>
      <c r="I11886" s="578">
        <f t="shared" si="2155"/>
        <v>343.2556565971733</v>
      </c>
      <c r="J11886" s="579">
        <f t="shared" si="2156"/>
        <v>163.14285714285714</v>
      </c>
      <c r="K11886" s="578">
        <f>J11886/POBLA!$B$5*100000</f>
        <v>26.35612900009647</v>
      </c>
      <c r="L11886" s="580">
        <f t="shared" si="2157"/>
        <v>-0.20083974807557736</v>
      </c>
      <c r="M11886" s="623">
        <f>SUM(C11886,C11862,C11838,C11814,C11790,C11766,C11742)/POBLA!$B$5*100000</f>
        <v>184.49290300067528</v>
      </c>
      <c r="N11886" s="499"/>
      <c r="O11886" s="499"/>
      <c r="P11886" s="499"/>
      <c r="Q11886" s="499"/>
      <c r="R11886" s="499"/>
    </row>
    <row r="11887" spans="1:18" x14ac:dyDescent="0.25">
      <c r="A11887" s="622" t="s">
        <v>30</v>
      </c>
      <c r="B11887" s="574">
        <v>44388</v>
      </c>
      <c r="C11887" s="275">
        <v>478</v>
      </c>
      <c r="D11887" s="575">
        <f t="shared" si="2153"/>
        <v>71029</v>
      </c>
      <c r="E11887" s="275"/>
      <c r="F11887" s="575">
        <f t="shared" si="2154"/>
        <v>804</v>
      </c>
      <c r="G11887" s="576">
        <f>SUM(C11887,C11863,C11839,C11815,C11791,C11767,C11743,C11719,C11695,C11671,C11647,C11623,C11599,C11575)/POBLA!$B$6*100000</f>
        <v>555.76324432258718</v>
      </c>
      <c r="H11887" s="577">
        <f t="shared" si="2152"/>
        <v>0.85952808058506969</v>
      </c>
      <c r="I11887" s="578">
        <f t="shared" si="2155"/>
        <v>477.69411465232452</v>
      </c>
      <c r="J11887" s="579">
        <f t="shared" si="2156"/>
        <v>434.42857142857144</v>
      </c>
      <c r="K11887" s="578">
        <f>J11887/POBLA!$B$6*100000</f>
        <v>38.760544595211051</v>
      </c>
      <c r="L11887" s="580">
        <f t="shared" si="2157"/>
        <v>-4.6110414052697668E-2</v>
      </c>
      <c r="M11887" s="623">
        <f>SUM(C11887,C11863,C11839,C11815,C11791,C11767,C11743)/POBLA!$B$6*100000</f>
        <v>271.32381216647735</v>
      </c>
      <c r="N11887" s="412"/>
      <c r="O11887" s="412"/>
      <c r="P11887" s="412"/>
      <c r="Q11887" s="412"/>
      <c r="R11887" s="412"/>
    </row>
    <row r="11888" spans="1:18" x14ac:dyDescent="0.25">
      <c r="A11888" s="622" t="s">
        <v>20</v>
      </c>
      <c r="B11888" s="574">
        <v>44388</v>
      </c>
      <c r="C11888" s="275">
        <v>1001</v>
      </c>
      <c r="D11888" s="575">
        <f t="shared" si="2153"/>
        <v>432169</v>
      </c>
      <c r="E11888" s="275">
        <v>11</v>
      </c>
      <c r="F11888" s="575">
        <f t="shared" si="2154"/>
        <v>5665</v>
      </c>
      <c r="G11888" s="576">
        <f>SUM(C11888,C11864,C11840,C11816,C11792,C11768,C11744,C11720,C11696,C11672,C11648,C11624,C11600,C11576)/POBLA!$B$7*100000</f>
        <v>786.04954194311847</v>
      </c>
      <c r="H11888" s="577">
        <f t="shared" si="2152"/>
        <v>0.77643814026792746</v>
      </c>
      <c r="I11888" s="578">
        <f t="shared" si="2155"/>
        <v>610.31884450477116</v>
      </c>
      <c r="J11888" s="579">
        <f t="shared" si="2156"/>
        <v>1984.7142857142858</v>
      </c>
      <c r="K11888" s="578">
        <f>J11888/POBLA!$B$7*100000</f>
        <v>52.778637815003151</v>
      </c>
      <c r="L11888" s="580">
        <f t="shared" si="2157"/>
        <v>-0.11317502872462659</v>
      </c>
      <c r="M11888" s="623">
        <f>SUM(C11888,C11864,C11840,C11816,C11792,C11768,C11744)/POBLA!$B$7*100000</f>
        <v>369.450464705022</v>
      </c>
      <c r="N11888" s="634"/>
      <c r="O11888" s="634"/>
      <c r="P11888" s="634"/>
      <c r="Q11888" s="634"/>
      <c r="R11888" s="634"/>
    </row>
    <row r="11889" spans="1:18" x14ac:dyDescent="0.25">
      <c r="A11889" s="622" t="s">
        <v>31</v>
      </c>
      <c r="B11889" s="574">
        <v>44388</v>
      </c>
      <c r="C11889" s="275">
        <v>413</v>
      </c>
      <c r="D11889" s="575">
        <f t="shared" si="2153"/>
        <v>117413</v>
      </c>
      <c r="E11889" s="275">
        <v>1</v>
      </c>
      <c r="F11889" s="575">
        <f t="shared" si="2154"/>
        <v>1947</v>
      </c>
      <c r="G11889" s="576">
        <f>SUM(C11889,C11865,C11841,C11817,C11793,C11769,C11745,C11721,C11697,C11673,C11649,C11625,C11601,C11577)/POBLA!$B$8*100000</f>
        <v>694.5361377412496</v>
      </c>
      <c r="H11889" s="577">
        <f t="shared" ref="H11889:H11905" si="2158">SUM(C11889,C11865,C11841,C11817,C11793,C11769,C11745,C11721,C11697,C11673,C11649,C11625,C11601,C11577,)/SUM(C11553,C11529,C11505,C11481,C11457,C11433,C11409,C11385,C11361,C11337,C11313,C11289,C11265,C11241)</f>
        <v>0.94930966469428013</v>
      </c>
      <c r="I11889" s="578">
        <f t="shared" si="2155"/>
        <v>659.32986803720598</v>
      </c>
      <c r="J11889" s="579">
        <f t="shared" si="2156"/>
        <v>644.28571428571433</v>
      </c>
      <c r="K11889" s="578">
        <f>J11889/POBLA!$B$8*100000</f>
        <v>46.486568834600277</v>
      </c>
      <c r="L11889" s="580">
        <f t="shared" si="2157"/>
        <v>-0.11845191555903045</v>
      </c>
      <c r="M11889" s="623">
        <f>SUM(C11889,C11865,C11841,C11817,C11793,C11769,C11745)/POBLA!$B$8*100000</f>
        <v>325.40598184220192</v>
      </c>
      <c r="N11889" s="634"/>
      <c r="O11889" s="634"/>
      <c r="P11889" s="634"/>
      <c r="Q11889" s="634"/>
      <c r="R11889" s="634"/>
    </row>
    <row r="11890" spans="1:18" x14ac:dyDescent="0.25">
      <c r="A11890" s="622" t="s">
        <v>41</v>
      </c>
      <c r="B11890" s="574">
        <v>44388</v>
      </c>
      <c r="C11890" s="275">
        <v>344</v>
      </c>
      <c r="D11890" s="575">
        <f t="shared" si="2153"/>
        <v>50202</v>
      </c>
      <c r="E11890" s="275">
        <v>6</v>
      </c>
      <c r="F11890" s="575">
        <f t="shared" si="2154"/>
        <v>883</v>
      </c>
      <c r="G11890" s="576">
        <f>SUM(C11890,C11866,C11842,C11818,C11794,C11770,C11746,C11722,C11698,C11674,C11650,C11626,C11602,C11578)/POBLA!$B$9*100000</f>
        <v>929.12508902118827</v>
      </c>
      <c r="H11890" s="577">
        <f t="shared" si="2158"/>
        <v>0.84151451661179288</v>
      </c>
      <c r="I11890" s="578">
        <f>G11890*H11890</f>
        <v>781.87225015955426</v>
      </c>
      <c r="J11890" s="579">
        <f t="shared" si="2156"/>
        <v>439.71428571428572</v>
      </c>
      <c r="K11890" s="578">
        <f>J11890/POBLA!$B$9*100000</f>
        <v>72.656869083794049</v>
      </c>
      <c r="L11890" s="580">
        <f t="shared" si="2157"/>
        <v>0.20943025540275051</v>
      </c>
      <c r="M11890" s="623">
        <f>SUM(C11890,C11866,C11842,C11818,C11794,C11770,C11746)/POBLA!$B$9*100000</f>
        <v>508.59808358655835</v>
      </c>
      <c r="N11890" s="634"/>
      <c r="O11890" s="634"/>
      <c r="P11890" s="634"/>
      <c r="Q11890" s="634"/>
      <c r="R11890" s="634"/>
    </row>
    <row r="11891" spans="1:18" x14ac:dyDescent="0.25">
      <c r="A11891" s="622" t="s">
        <v>32</v>
      </c>
      <c r="B11891" s="574">
        <v>44388</v>
      </c>
      <c r="C11891" s="275">
        <v>276</v>
      </c>
      <c r="D11891" s="575">
        <f t="shared" si="2153"/>
        <v>38934</v>
      </c>
      <c r="E11891" s="275">
        <v>6</v>
      </c>
      <c r="F11891" s="575">
        <f t="shared" si="2154"/>
        <v>1228</v>
      </c>
      <c r="G11891" s="576">
        <f>SUM(C11891,C11867,C11843,C11819,C11795,C11771,C11747,C11723,C11699,C11675,C11651,C11627,C11603,C11579)/POBLA!$B$10*100000</f>
        <v>512.78991180221067</v>
      </c>
      <c r="H11891" s="577">
        <f t="shared" si="2158"/>
        <v>1.1477932636469221</v>
      </c>
      <c r="I11891" s="578">
        <f t="shared" ref="I11891:I11905" si="2159">G11891*H11891</f>
        <v>588.57680643267679</v>
      </c>
      <c r="J11891" s="579">
        <f t="shared" si="2156"/>
        <v>289</v>
      </c>
      <c r="K11891" s="578">
        <f>J11891/POBLA!$B$10*100000</f>
        <v>37.489573617717909</v>
      </c>
      <c r="L11891" s="580">
        <f t="shared" si="2157"/>
        <v>4.8186528497409231E-2</v>
      </c>
      <c r="M11891" s="623">
        <f>SUM(C11891,C11867,C11843,C11819,C11795,C11771,C11747)/POBLA!$B$10*100000</f>
        <v>262.42701532402538</v>
      </c>
      <c r="N11891" s="634"/>
      <c r="O11891" s="634"/>
      <c r="P11891" s="634"/>
      <c r="Q11891" s="634"/>
      <c r="R11891" s="634"/>
    </row>
    <row r="11892" spans="1:18" x14ac:dyDescent="0.25">
      <c r="A11892" s="622" t="s">
        <v>33</v>
      </c>
      <c r="B11892" s="574">
        <v>44388</v>
      </c>
      <c r="C11892" s="275">
        <v>191</v>
      </c>
      <c r="D11892" s="575">
        <f t="shared" si="2153"/>
        <v>55895</v>
      </c>
      <c r="E11892" s="275"/>
      <c r="F11892" s="575">
        <f t="shared" si="2154"/>
        <v>767</v>
      </c>
      <c r="G11892" s="576">
        <f>SUM(C11892,C11868,C11844,C11820,C11796,C11772,C11748,C11724,C11700,C11676,C11652,C11628,C11604,C11580)/POBLA!$B$11*100000</f>
        <v>1179.595344113741</v>
      </c>
      <c r="H11892" s="577">
        <f t="shared" si="2158"/>
        <v>0.97915701713756365</v>
      </c>
      <c r="I11892" s="578">
        <f t="shared" si="2159"/>
        <v>1155.0090585717685</v>
      </c>
      <c r="J11892" s="579">
        <f t="shared" si="2156"/>
        <v>270.71428571428572</v>
      </c>
      <c r="K11892" s="578">
        <f>J11892/POBLA!$B$11*100000</f>
        <v>75.528219255829825</v>
      </c>
      <c r="L11892" s="580">
        <f t="shared" si="2157"/>
        <v>-0.18774110587226744</v>
      </c>
      <c r="M11892" s="623">
        <f>SUM(C11892,C11868,C11844,C11820,C11796,C11772,C11748)/POBLA!$B$11*100000</f>
        <v>528.69753479080885</v>
      </c>
      <c r="N11892" s="412"/>
      <c r="O11892" s="412"/>
      <c r="P11892" s="412"/>
      <c r="Q11892" s="412"/>
      <c r="R11892" s="412"/>
    </row>
    <row r="11893" spans="1:18" x14ac:dyDescent="0.25">
      <c r="A11893" s="622" t="s">
        <v>21</v>
      </c>
      <c r="B11893" s="574">
        <v>44388</v>
      </c>
      <c r="C11893" s="275">
        <v>149</v>
      </c>
      <c r="D11893" s="575">
        <f t="shared" si="2153"/>
        <v>24230</v>
      </c>
      <c r="E11893" s="275"/>
      <c r="F11893" s="575">
        <f t="shared" si="2154"/>
        <v>654</v>
      </c>
      <c r="G11893" s="576">
        <f>SUM(C11893,C11869,C11845,C11821,C11797,C11773,C11749,C11725,C11701,C11677,C11653,C11629,C11605,C11581)/POBLA!$B$12*100000</f>
        <v>647.47122844197793</v>
      </c>
      <c r="H11893" s="577">
        <f t="shared" si="2158"/>
        <v>1.1785383903792785</v>
      </c>
      <c r="I11893" s="578">
        <f t="shared" si="2159"/>
        <v>763.06969938490283</v>
      </c>
      <c r="J11893" s="579">
        <f t="shared" si="2156"/>
        <v>195.42857142857142</v>
      </c>
      <c r="K11893" s="578">
        <f>J11893/POBLA!$B$12*100000</f>
        <v>49.660273632463884</v>
      </c>
      <c r="L11893" s="580">
        <f t="shared" si="2157"/>
        <v>0.15932203389830502</v>
      </c>
      <c r="M11893" s="623">
        <f>SUM(C11893,C11869,C11845,C11821,C11797,C11773,C11749)/POBLA!$B$12*100000</f>
        <v>347.62191542724713</v>
      </c>
      <c r="N11893" s="412"/>
      <c r="O11893" s="412"/>
      <c r="P11893" s="412"/>
      <c r="Q11893" s="412"/>
      <c r="R11893" s="412"/>
    </row>
    <row r="11894" spans="1:18" x14ac:dyDescent="0.25">
      <c r="A11894" s="622" t="s">
        <v>17</v>
      </c>
      <c r="B11894" s="574">
        <v>44388</v>
      </c>
      <c r="C11894" s="275">
        <v>142</v>
      </c>
      <c r="D11894" s="575">
        <f t="shared" si="2153"/>
        <v>145049</v>
      </c>
      <c r="E11894" s="275">
        <v>21</v>
      </c>
      <c r="F11894" s="575">
        <f t="shared" si="2154"/>
        <v>3514</v>
      </c>
      <c r="G11894" s="576">
        <f>SUM(C11894,C11870,C11846,C11822,C11798,C11774,C11750,C11726,C11702,C11678,C11654,C11630,C11606,C11582)/POBLA!$B$13*100000</f>
        <v>359.73789376477765</v>
      </c>
      <c r="H11894" s="577">
        <f t="shared" si="2158"/>
        <v>0.88526211671612265</v>
      </c>
      <c r="I11894" s="578">
        <f t="shared" si="2159"/>
        <v>318.46232929720674</v>
      </c>
      <c r="J11894" s="579">
        <f t="shared" si="2156"/>
        <v>437.85714285714283</v>
      </c>
      <c r="K11894" s="578">
        <f>J11894/POBLA!$B$13*100000</f>
        <v>21.999134963867586</v>
      </c>
      <c r="L11894" s="580">
        <f t="shared" si="2157"/>
        <v>-0.25152625152625152</v>
      </c>
      <c r="M11894" s="623">
        <f>SUM(C11894,C11870,C11846,C11822,C11798,C11774,C11750)/POBLA!$B$13*100000</f>
        <v>153.99394474707313</v>
      </c>
      <c r="N11894" s="634"/>
      <c r="O11894" s="634"/>
      <c r="P11894" s="634"/>
      <c r="Q11894" s="634"/>
      <c r="R11894" s="634"/>
    </row>
    <row r="11895" spans="1:18" x14ac:dyDescent="0.25">
      <c r="A11895" s="622" t="s">
        <v>23</v>
      </c>
      <c r="B11895" s="574">
        <v>44388</v>
      </c>
      <c r="C11895" s="275">
        <v>152</v>
      </c>
      <c r="D11895" s="575">
        <f t="shared" si="2153"/>
        <v>27554</v>
      </c>
      <c r="E11895" s="275">
        <v>6</v>
      </c>
      <c r="F11895" s="575">
        <f t="shared" si="2154"/>
        <v>470</v>
      </c>
      <c r="G11895" s="576">
        <f>SUM(C11895,C11871,C11847,C11823,C11799,C11775,C11751,C11727,C11703,C11679,C11655,C11631,C11607,C11583)/POBLA!$B$14*100000</f>
        <v>191.07361170353619</v>
      </c>
      <c r="H11895" s="577">
        <f t="shared" si="2158"/>
        <v>0.99875673435557399</v>
      </c>
      <c r="I11895" s="578">
        <f t="shared" si="2159"/>
        <v>190.83605644654878</v>
      </c>
      <c r="J11895" s="579">
        <f t="shared" si="2156"/>
        <v>169.14285714285714</v>
      </c>
      <c r="K11895" s="578">
        <f>J11895/POBLA!$B$14*100000</f>
        <v>13.410264152755595</v>
      </c>
      <c r="L11895" s="580">
        <f t="shared" si="2157"/>
        <v>-3.4257748776509001E-2</v>
      </c>
      <c r="M11895" s="623">
        <f>SUM(C11895,C11871,C11847,C11823,C11799,C11775,C11751)/POBLA!$B$14*100000</f>
        <v>93.871849069289155</v>
      </c>
      <c r="N11895" s="634"/>
      <c r="O11895" s="634"/>
      <c r="P11895" s="634"/>
      <c r="Q11895" s="634"/>
      <c r="R11895" s="634"/>
    </row>
    <row r="11896" spans="1:18" x14ac:dyDescent="0.25">
      <c r="A11896" s="622" t="s">
        <v>19</v>
      </c>
      <c r="B11896" s="574">
        <v>44388</v>
      </c>
      <c r="C11896" s="275">
        <v>105</v>
      </c>
      <c r="D11896" s="575">
        <f t="shared" si="2153"/>
        <v>103510</v>
      </c>
      <c r="E11896" s="275"/>
      <c r="F11896" s="575">
        <f t="shared" si="2154"/>
        <v>1937</v>
      </c>
      <c r="G11896" s="576">
        <f>SUM(C11896,C11872,C11848,C11824,C11800,C11776,C11752,C11728,C11704,C11680,C11656,C11632,C11608,C11584)/POBLA!$B$15*100000</f>
        <v>409.30221351480367</v>
      </c>
      <c r="H11896" s="577">
        <f t="shared" si="2158"/>
        <v>0.70432754599637215</v>
      </c>
      <c r="I11896" s="578">
        <f t="shared" si="2159"/>
        <v>288.28282361576481</v>
      </c>
      <c r="J11896" s="579">
        <f t="shared" si="2156"/>
        <v>183.57142857142858</v>
      </c>
      <c r="K11896" s="578">
        <f>J11896/POBLA!$B$15*100000</f>
        <v>27.643926435747016</v>
      </c>
      <c r="L11896" s="580">
        <f t="shared" si="2157"/>
        <v>-0.10327983251919048</v>
      </c>
      <c r="M11896" s="623">
        <f>SUM(C11896,C11872,C11848,C11824,C11800,C11776,C11752)/POBLA!$B$15*100000</f>
        <v>193.50748505022912</v>
      </c>
      <c r="N11896" s="412"/>
      <c r="O11896" s="412"/>
      <c r="P11896" s="412"/>
      <c r="Q11896" s="412"/>
      <c r="R11896" s="412"/>
    </row>
    <row r="11897" spans="1:18" x14ac:dyDescent="0.25">
      <c r="A11897" s="622" t="s">
        <v>18</v>
      </c>
      <c r="B11897" s="574">
        <v>44388</v>
      </c>
      <c r="C11897" s="275">
        <v>87</v>
      </c>
      <c r="D11897" s="575">
        <f t="shared" si="2153"/>
        <v>86473</v>
      </c>
      <c r="E11897" s="275">
        <v>1</v>
      </c>
      <c r="F11897" s="575">
        <f t="shared" si="2154"/>
        <v>1985</v>
      </c>
      <c r="G11897" s="576">
        <f>SUM(C11897,C11873,C11849,C11825,C11801,C11777,C11753,C11729,C11705,C11681,C11657,C11633,C11609,C11585)/POBLA!$B$16*100000</f>
        <v>395.66083920760821</v>
      </c>
      <c r="H11897" s="577">
        <f t="shared" si="2158"/>
        <v>0.71449275362318843</v>
      </c>
      <c r="I11897" s="578">
        <f t="shared" si="2159"/>
        <v>282.69680250630557</v>
      </c>
      <c r="J11897" s="579">
        <f t="shared" si="2156"/>
        <v>207.71428571428572</v>
      </c>
      <c r="K11897" s="578">
        <f>J11897/POBLA!$B$16*100000</f>
        <v>27.783775727222178</v>
      </c>
      <c r="L11897" s="580">
        <f t="shared" si="2157"/>
        <v>-3.3244680851063801E-2</v>
      </c>
      <c r="M11897" s="623">
        <f>SUM(C11897,C11873,C11849,C11825,C11801,C11777,C11753)/POBLA!$B$16*100000</f>
        <v>194.48643009055525</v>
      </c>
      <c r="N11897" s="634"/>
      <c r="O11897" s="634"/>
      <c r="P11897" s="634"/>
      <c r="Q11897" s="634"/>
      <c r="R11897" s="634"/>
    </row>
    <row r="11898" spans="1:18" x14ac:dyDescent="0.25">
      <c r="A11898" s="622" t="s">
        <v>34</v>
      </c>
      <c r="B11898" s="574">
        <v>44388</v>
      </c>
      <c r="C11898" s="275">
        <v>207</v>
      </c>
      <c r="D11898" s="575">
        <f>C11898+D11874</f>
        <v>66507</v>
      </c>
      <c r="E11898" s="275"/>
      <c r="F11898" s="575">
        <f t="shared" si="2154"/>
        <v>1847</v>
      </c>
      <c r="G11898" s="576">
        <f>SUM(C11898,C11874,C11850,C11826,C11802,C11778,C11754,C11730,C11706,C11682,C11658,C11634,C11610,C11586)/POBLA!$B$17*100000</f>
        <v>473.53371286235512</v>
      </c>
      <c r="H11898" s="577">
        <f t="shared" si="2158"/>
        <v>0.95241457215475855</v>
      </c>
      <c r="I11898" s="578">
        <f t="shared" si="2159"/>
        <v>451.00040853665422</v>
      </c>
      <c r="J11898" s="579">
        <f t="shared" si="2156"/>
        <v>463.28571428571428</v>
      </c>
      <c r="K11898" s="578">
        <f>J11898/POBLA!$B$17*100000</f>
        <v>32.525041423543733</v>
      </c>
      <c r="L11898" s="580">
        <f t="shared" si="2157"/>
        <v>-7.3957738435179943E-2</v>
      </c>
      <c r="M11898" s="623">
        <f>SUM(C11898,C11874,C11850,C11826,C11802,C11778,C11754)/POBLA!$B$17*100000</f>
        <v>227.67528996480618</v>
      </c>
      <c r="N11898" s="412"/>
      <c r="O11898" s="412"/>
      <c r="P11898" s="412"/>
      <c r="Q11898" s="412"/>
      <c r="R11898" s="412"/>
    </row>
    <row r="11899" spans="1:18" x14ac:dyDescent="0.25">
      <c r="A11899" s="622" t="s">
        <v>35</v>
      </c>
      <c r="B11899" s="574">
        <v>44388</v>
      </c>
      <c r="C11899" s="275">
        <v>193</v>
      </c>
      <c r="D11899" s="575">
        <f t="shared" ref="D11899:D11905" si="2160">C11899+D11875</f>
        <v>54554</v>
      </c>
      <c r="E11899" s="275">
        <v>2</v>
      </c>
      <c r="F11899" s="575">
        <f t="shared" si="2154"/>
        <v>865</v>
      </c>
      <c r="G11899" s="576">
        <f>SUM(C11899,C11875,C11851,C11827,C11803,C11779,C11755,C11731,C11707,C11683,C11659,C11635,C11611,C11587)/POBLA!$B$18*100000</f>
        <v>679.70871089594823</v>
      </c>
      <c r="H11899" s="577">
        <f t="shared" si="2158"/>
        <v>0.84018987341772156</v>
      </c>
      <c r="I11899" s="578">
        <f t="shared" si="2159"/>
        <v>571.08437576858944</v>
      </c>
      <c r="J11899" s="579">
        <f t="shared" si="2156"/>
        <v>332.42857142857144</v>
      </c>
      <c r="K11899" s="578">
        <f>J11899/POBLA!$B$18*100000</f>
        <v>42.552654566986057</v>
      </c>
      <c r="L11899" s="580">
        <f t="shared" si="2157"/>
        <v>-0.21991283942339923</v>
      </c>
      <c r="M11899" s="623">
        <f>SUM(C11899,C11875,C11851,C11827,C11803,C11779,C11755)/POBLA!$B$18*100000</f>
        <v>297.86858196890239</v>
      </c>
      <c r="N11899" s="634"/>
      <c r="O11899" s="634"/>
      <c r="P11899" s="634"/>
      <c r="Q11899" s="634"/>
      <c r="R11899" s="634"/>
    </row>
    <row r="11900" spans="1:18" x14ac:dyDescent="0.25">
      <c r="A11900" s="622" t="s">
        <v>36</v>
      </c>
      <c r="B11900" s="574">
        <v>44388</v>
      </c>
      <c r="C11900" s="275">
        <v>235</v>
      </c>
      <c r="D11900" s="575">
        <f t="shared" si="2160"/>
        <v>69447</v>
      </c>
      <c r="E11900" s="275">
        <v>1</v>
      </c>
      <c r="F11900" s="575">
        <f t="shared" si="2154"/>
        <v>1084</v>
      </c>
      <c r="G11900" s="576">
        <f>SUM(C11900,C11876,C11852,C11828,C11804,C11780,C11756,C11732,C11708,C11684,C11660,C11636,C11612,C11588)/POBLA!$B$19*100000</f>
        <v>956.66577485403127</v>
      </c>
      <c r="H11900" s="577">
        <f t="shared" si="2158"/>
        <v>0.95446516192345432</v>
      </c>
      <c r="I11900" s="578">
        <f t="shared" si="2159"/>
        <v>913.10415370267981</v>
      </c>
      <c r="J11900" s="579">
        <f t="shared" si="2156"/>
        <v>326.42857142857144</v>
      </c>
      <c r="K11900" s="578">
        <f>J11900/POBLA!$B$19*100000</f>
        <v>64.216130417480727</v>
      </c>
      <c r="L11900" s="580">
        <f t="shared" si="2157"/>
        <v>-0.11365399534522891</v>
      </c>
      <c r="M11900" s="623">
        <f>SUM(C11900,C11876,C11852,C11828,C11804,C11780,C11756)/POBLA!$B$19*100000</f>
        <v>449.51291292236505</v>
      </c>
      <c r="N11900" s="634"/>
      <c r="O11900" s="634"/>
      <c r="P11900" s="634"/>
      <c r="Q11900" s="634"/>
      <c r="R11900" s="634"/>
    </row>
    <row r="11901" spans="1:18" x14ac:dyDescent="0.25">
      <c r="A11901" s="622" t="s">
        <v>37</v>
      </c>
      <c r="B11901" s="574">
        <v>44388</v>
      </c>
      <c r="C11901" s="275">
        <v>37</v>
      </c>
      <c r="D11901" s="575">
        <f t="shared" si="2160"/>
        <v>56483</v>
      </c>
      <c r="E11901" s="275"/>
      <c r="F11901" s="575">
        <f t="shared" ref="F11901:F11906" si="2161">E11901+F11877</f>
        <v>887</v>
      </c>
      <c r="G11901" s="576">
        <f>SUM(C11901,C11877,C11854,C11829,C11805,C11781,C11757,C11733,C11709,C11685,C11661,C11637,C11613,C11589)/POBLA!$B$20*100000</f>
        <v>813.51278924139592</v>
      </c>
      <c r="H11901" s="577">
        <f t="shared" si="2158"/>
        <v>0.95299727520435973</v>
      </c>
      <c r="I11901" s="578">
        <f t="shared" si="2159"/>
        <v>775.27547149094892</v>
      </c>
      <c r="J11901" s="579">
        <f t="shared" si="2156"/>
        <v>80.285714285714292</v>
      </c>
      <c r="K11901" s="578">
        <f>J11901/POBLA!$B$20*100000</f>
        <v>21.954102643633352</v>
      </c>
      <c r="L11901" s="580">
        <f t="shared" si="2157"/>
        <v>-0.32855436081242528</v>
      </c>
      <c r="M11901" s="623">
        <f>SUM(C11901,C11877,C11853,C11829,C11805,C11781,C11757)/POBLA!$B$20*100000</f>
        <v>153.67871850543344</v>
      </c>
      <c r="N11901" s="412"/>
      <c r="O11901" s="412"/>
      <c r="P11901" s="412"/>
      <c r="Q11901" s="412"/>
      <c r="R11901" s="412"/>
    </row>
    <row r="11902" spans="1:18" x14ac:dyDescent="0.25">
      <c r="A11902" s="622" t="s">
        <v>22</v>
      </c>
      <c r="B11902" s="574">
        <v>44388</v>
      </c>
      <c r="C11902" s="275">
        <v>733</v>
      </c>
      <c r="D11902" s="575">
        <f t="shared" si="2160"/>
        <v>422192</v>
      </c>
      <c r="E11902" s="275">
        <v>10</v>
      </c>
      <c r="F11902" s="575">
        <f t="shared" si="2161"/>
        <v>7045</v>
      </c>
      <c r="G11902" s="576">
        <f>SUM(C11902,C11878,C11854,C11830,C11806,C11782,C11758,C11734,C11710,C11686,C11662,C11638,C11614,C11590)/POBLA!$B$21*100000</f>
        <v>594.0757003272804</v>
      </c>
      <c r="H11902" s="577">
        <f t="shared" si="2158"/>
        <v>0.86864301662118582</v>
      </c>
      <c r="I11902" s="578">
        <f t="shared" si="2159"/>
        <v>516.03970843363243</v>
      </c>
      <c r="J11902" s="579">
        <f t="shared" si="2156"/>
        <v>1506.8571428571429</v>
      </c>
      <c r="K11902" s="578">
        <f>J11902/POBLA!$B$21*100000</f>
        <v>42.60970119644066</v>
      </c>
      <c r="L11902" s="580">
        <f t="shared" si="2157"/>
        <v>8.3166045311156012E-3</v>
      </c>
      <c r="M11902" s="623">
        <f>SUM(C11902,C11878,C11854,C11830,C11806,C11782,C11758)/POBLA!$B$21*100000</f>
        <v>298.26790837508463</v>
      </c>
      <c r="N11902" s="634"/>
      <c r="O11902" s="634"/>
      <c r="P11902" s="634"/>
      <c r="Q11902" s="634"/>
      <c r="R11902" s="634"/>
    </row>
    <row r="11903" spans="1:18" ht="17.25" customHeight="1" x14ac:dyDescent="0.25">
      <c r="A11903" s="622" t="s">
        <v>38</v>
      </c>
      <c r="B11903" s="574">
        <v>44388</v>
      </c>
      <c r="C11903" s="275">
        <v>433</v>
      </c>
      <c r="D11903" s="575">
        <f t="shared" si="2160"/>
        <v>65556</v>
      </c>
      <c r="E11903" s="275">
        <v>6</v>
      </c>
      <c r="F11903" s="575">
        <f t="shared" si="2161"/>
        <v>895</v>
      </c>
      <c r="G11903" s="576">
        <f>SUM(C11903,C11879,C11855,C11831,C11807,C11783,C11759,C11735,C11711,C11687,C11663,C11639,C11615,C11591)/POBLA!$B$22*100000</f>
        <v>762.0260591446704</v>
      </c>
      <c r="H11903" s="577">
        <f t="shared" si="2158"/>
        <v>1.0384454659423319</v>
      </c>
      <c r="I11903" s="578">
        <f t="shared" si="2159"/>
        <v>791.32250604868625</v>
      </c>
      <c r="J11903" s="579">
        <f t="shared" si="2156"/>
        <v>545.71428571428567</v>
      </c>
      <c r="K11903" s="578">
        <f>J11903/POBLA!$B$22*100000</f>
        <v>55.781154468384422</v>
      </c>
      <c r="L11903" s="580">
        <f t="shared" si="2157"/>
        <v>5.0894085281980805E-2</v>
      </c>
      <c r="M11903" s="623">
        <f>SUM(C11903,C11879,C11855,C11831,C11807,C11783,C11759)/POBLA!$B$22*100000</f>
        <v>390.46808127869099</v>
      </c>
      <c r="N11903" s="634"/>
      <c r="O11903" s="634"/>
      <c r="P11903" s="634"/>
      <c r="Q11903" s="634"/>
      <c r="R11903" s="634"/>
    </row>
    <row r="11904" spans="1:18" x14ac:dyDescent="0.25">
      <c r="A11904" s="622" t="s">
        <v>39</v>
      </c>
      <c r="B11904" s="574">
        <v>44388</v>
      </c>
      <c r="C11904" s="275">
        <v>19</v>
      </c>
      <c r="D11904" s="575">
        <f t="shared" si="2160"/>
        <v>30231</v>
      </c>
      <c r="E11904" s="275"/>
      <c r="F11904" s="575">
        <f t="shared" si="2161"/>
        <v>458</v>
      </c>
      <c r="G11904" s="576">
        <f>SUM(C11904,C11880,C11856,C11832,C11808,C11784,C11760,C11736,C11712,C11688,C11664,C11640,C11616,C11592)/POBLA!$B$23*100000</f>
        <v>344.39857490244867</v>
      </c>
      <c r="H11904" s="577">
        <f t="shared" si="2158"/>
        <v>1.0646853146853146</v>
      </c>
      <c r="I11904" s="578">
        <f t="shared" si="2159"/>
        <v>366.67610509718747</v>
      </c>
      <c r="J11904" s="579">
        <f t="shared" si="2156"/>
        <v>40</v>
      </c>
      <c r="K11904" s="578">
        <f>J11904/POBLA!$B$23*100000</f>
        <v>22.620596052705991</v>
      </c>
      <c r="L11904" s="580">
        <f t="shared" si="2157"/>
        <v>-0.14893617021276595</v>
      </c>
      <c r="M11904" s="623">
        <f>SUM(C11904,C11880,C11856,C11832,C11808,C11784,C11760)/POBLA!$B$23*100000</f>
        <v>158.34417236894191</v>
      </c>
      <c r="N11904" s="412"/>
      <c r="O11904" s="412"/>
      <c r="P11904" s="412"/>
      <c r="Q11904" s="412"/>
      <c r="R11904" s="412"/>
    </row>
    <row r="11905" spans="1:18" ht="15.75" thickBot="1" x14ac:dyDescent="0.3">
      <c r="A11905" s="624" t="s">
        <v>40</v>
      </c>
      <c r="B11905" s="625">
        <v>44388</v>
      </c>
      <c r="C11905" s="626">
        <v>212</v>
      </c>
      <c r="D11905" s="627">
        <f t="shared" si="2160"/>
        <v>166540</v>
      </c>
      <c r="E11905" s="626"/>
      <c r="F11905" s="627">
        <f t="shared" si="2161"/>
        <v>2368</v>
      </c>
      <c r="G11905" s="628">
        <f>SUM(C11905,C11881,C11857,C11833,C11809,C11785,C11761,C11737,C11713,C11689,C11665,C11641,C11617,C11593)/POBLA!$B$24*100000</f>
        <v>855.15880509082683</v>
      </c>
      <c r="H11905" s="629">
        <f t="shared" si="2158"/>
        <v>1.2935820762295813</v>
      </c>
      <c r="I11905" s="630">
        <f t="shared" si="2159"/>
        <v>1106.2181025953996</v>
      </c>
      <c r="J11905" s="631">
        <f t="shared" si="2156"/>
        <v>817.85714285714289</v>
      </c>
      <c r="K11905" s="630">
        <f>J11905/POBLA!$B$24*100000</f>
        <v>48.26095342400717</v>
      </c>
      <c r="L11905" s="632">
        <f t="shared" si="2157"/>
        <v>-0.34698300444850005</v>
      </c>
      <c r="M11905" s="633">
        <f>SUM(C11905,C11881,C11857,C11833,C11809,C11785,C11761)/POBLA!$B$24*100000</f>
        <v>337.82667396805016</v>
      </c>
      <c r="N11905" s="412"/>
      <c r="O11905" s="412"/>
      <c r="P11905" s="412"/>
      <c r="Q11905" s="412"/>
      <c r="R11905" s="412"/>
    </row>
    <row r="11906" spans="1:18" x14ac:dyDescent="0.25">
      <c r="A11906" s="602" t="s">
        <v>16</v>
      </c>
      <c r="B11906" s="603">
        <v>44389</v>
      </c>
      <c r="C11906" s="604">
        <v>4614</v>
      </c>
      <c r="D11906" s="605">
        <f>C11906+D11882</f>
        <v>1900673</v>
      </c>
      <c r="E11906" s="604">
        <v>182</v>
      </c>
      <c r="F11906" s="605">
        <f t="shared" si="2161"/>
        <v>49716</v>
      </c>
      <c r="G11906" s="606">
        <f>SUM(C11906,C11882,C11834,C11858,C11810,C11786,C11762,C11738,C11714,C11690,C11666,C11642,C11618,C11594)/POBLA!$B$1*100000</f>
        <v>418.26241519864647</v>
      </c>
      <c r="H11906" s="607">
        <f t="shared" ref="H11906:H11912" si="2162">SUM(C11906,C11882,C11858,C11834,C11810,C11786,C11762,C11738,C11714,C11690,C11666,C11642,C11618,C11594,)/SUM(C11570,C11546,C11522,C11498,C11474,C11450,C11426,C11402,C11378,C11354,C11330,C11306,C11282,C11258)</f>
        <v>0.79783381724464164</v>
      </c>
      <c r="I11906" s="608">
        <f>G11906*H11906</f>
        <v>333.70389932789931</v>
      </c>
      <c r="J11906" s="609">
        <f>AVERAGE(C11906,C11882,C11858,C11834,C11810,C11786,C11762)</f>
        <v>4625</v>
      </c>
      <c r="K11906" s="608">
        <f>J11906/POBLA!$B$1*100000</f>
        <v>26.366585845242337</v>
      </c>
      <c r="L11906" s="610">
        <f>(SUM(C11906,C11882,C11858,C11834,C11810,C11786,C11762)/SUM(C11738,C11714,C11690,C11666,C11642,C11618,C11594))-1</f>
        <v>-0.21023101505135022</v>
      </c>
      <c r="M11906" s="611">
        <f>SUM(C11906,C11882,C11858,C11834,C11810,C11786,C11762)/POBLA!$B$1*100000</f>
        <v>184.56610091669637</v>
      </c>
      <c r="N11906" s="42" t="s">
        <v>16</v>
      </c>
      <c r="O11906" s="42">
        <v>66</v>
      </c>
      <c r="P11906" s="42">
        <v>115</v>
      </c>
      <c r="Q11906" s="42">
        <v>1</v>
      </c>
      <c r="R11906" s="42">
        <v>182</v>
      </c>
    </row>
    <row r="11907" spans="1:18" x14ac:dyDescent="0.25">
      <c r="A11907" s="582" t="s">
        <v>43</v>
      </c>
      <c r="B11907" s="574">
        <v>44389</v>
      </c>
      <c r="C11907" s="275">
        <v>1010</v>
      </c>
      <c r="D11907" s="575">
        <f t="shared" ref="D11907:D11921" si="2163">C11907+D11883</f>
        <v>476133</v>
      </c>
      <c r="E11907" s="275">
        <v>31</v>
      </c>
      <c r="F11907" s="575">
        <f t="shared" ref="F11907:F11924" si="2164">E11907+F11883</f>
        <v>10584</v>
      </c>
      <c r="G11907" s="576">
        <f>SUM(C11907,C11883,C11859,C11835,C11811,C11787,C11763,C11739,C11715,C11691,C11667,C11643,C11619,C11595)/POBLA!$B$2*100000</f>
        <v>477.42815655637878</v>
      </c>
      <c r="H11907" s="577">
        <f t="shared" si="2162"/>
        <v>0.78667095253401909</v>
      </c>
      <c r="I11907" s="578">
        <f t="shared" ref="I11907:I11913" si="2165">G11907*H11907</f>
        <v>375.57886268476727</v>
      </c>
      <c r="J11907" s="579">
        <f>AVERAGE(C11907,C11883,C11859,C11835,C11811,C11787,C11763)</f>
        <v>970.85714285714289</v>
      </c>
      <c r="K11907" s="578">
        <f>J11907/POBLA!$B$2*100000</f>
        <v>31.565958593971573</v>
      </c>
      <c r="L11907" s="580">
        <f>(SUM(C11907,C11883,C11859,C11835,C11811,C11787,C11763)/SUM(C11739,C11715,C11691,C11667,C11643,C11619,C11595))-1</f>
        <v>-0.13843813387423931</v>
      </c>
      <c r="M11907" s="583">
        <f>SUM(C11907,C11883,C11859,C11835,C11811,C11787,C11763)/POBLA!$B$2*100000</f>
        <v>220.96171015780101</v>
      </c>
      <c r="N11907" s="42" t="s">
        <v>43</v>
      </c>
      <c r="O11907" s="42">
        <v>16</v>
      </c>
      <c r="P11907" s="42">
        <v>15</v>
      </c>
      <c r="Q11907" s="42">
        <v>0</v>
      </c>
      <c r="R11907" s="42">
        <v>31</v>
      </c>
    </row>
    <row r="11908" spans="1:18" x14ac:dyDescent="0.25">
      <c r="A11908" s="582" t="s">
        <v>28</v>
      </c>
      <c r="B11908" s="574">
        <v>44389</v>
      </c>
      <c r="C11908" s="275">
        <v>190</v>
      </c>
      <c r="D11908" s="575">
        <f t="shared" si="2163"/>
        <v>37425</v>
      </c>
      <c r="E11908" s="275">
        <v>1</v>
      </c>
      <c r="F11908" s="575">
        <f t="shared" si="2164"/>
        <v>378</v>
      </c>
      <c r="G11908" s="576">
        <f>SUM(C11908,C11884,C11860,C11836,C11812,C11788,C11764,C11740,C11716,C11692,C11668,C11644,C11620,C11596)/POBLA!$B$3*100000</f>
        <v>913.49371025279345</v>
      </c>
      <c r="H11908" s="577">
        <f t="shared" si="2162"/>
        <v>0.90099715099715094</v>
      </c>
      <c r="I11908" s="578">
        <f t="shared" si="2165"/>
        <v>823.05523039158379</v>
      </c>
      <c r="J11908" s="579">
        <f t="shared" ref="J11908:J11929" si="2166">AVERAGE(C11908,C11884,C11860,C11836,C11812,C11788,C11764)</f>
        <v>263</v>
      </c>
      <c r="K11908" s="578">
        <f>J11908/POBLA!$B$3*100000</f>
        <v>63.306678734251555</v>
      </c>
      <c r="L11908" s="580">
        <f t="shared" ref="L11908:L11929" si="2167">(SUM(C11908,C11884,C11860,C11836,C11812,C11788,C11764)/SUM(C11740,C11716,C11692,C11668,C11644,C11620,C11596))-1</f>
        <v>-5.7830092118730803E-2</v>
      </c>
      <c r="M11908" s="583">
        <f>SUM(C11908,C11884,C11860,C11836,C11812,C11788,C11764)/POBLA!$B$3*100000</f>
        <v>443.14675113976091</v>
      </c>
      <c r="N11908" s="42" t="s">
        <v>28</v>
      </c>
      <c r="O11908" s="42">
        <v>0</v>
      </c>
      <c r="P11908" s="42">
        <v>1</v>
      </c>
      <c r="Q11908" s="42">
        <v>0</v>
      </c>
      <c r="R11908" s="42">
        <v>1</v>
      </c>
    </row>
    <row r="11909" spans="1:18" x14ac:dyDescent="0.25">
      <c r="A11909" s="582" t="s">
        <v>15</v>
      </c>
      <c r="B11909" s="574">
        <v>44389</v>
      </c>
      <c r="C11909" s="275">
        <v>378</v>
      </c>
      <c r="D11909" s="575">
        <f t="shared" si="2163"/>
        <v>83298</v>
      </c>
      <c r="E11909" s="275">
        <v>14</v>
      </c>
      <c r="F11909" s="575">
        <f t="shared" si="2164"/>
        <v>1826</v>
      </c>
      <c r="G11909" s="576">
        <f>SUM(C11909,C11885,C11861,C11837,C11813,C11789,C11765,C11741,C11717,C11693,C11669,C11645,C11621,C11597)/POBLA!$B$4*100000</f>
        <v>634.18347735776536</v>
      </c>
      <c r="H11909" s="577">
        <f t="shared" si="2162"/>
        <v>1.0042066517681083</v>
      </c>
      <c r="I11909" s="578">
        <f t="shared" si="2165"/>
        <v>636.85126640409749</v>
      </c>
      <c r="J11909" s="579">
        <f t="shared" si="2166"/>
        <v>553.71428571428567</v>
      </c>
      <c r="K11909" s="578">
        <f>J11909/POBLA!$B$4*100000</f>
        <v>45.968903151846689</v>
      </c>
      <c r="L11909" s="580">
        <f t="shared" si="2167"/>
        <v>3.0029231995748029E-2</v>
      </c>
      <c r="M11909" s="583">
        <f>SUM(C11909,C11885,C11861,C11837,C11813,C11789,C11765)/POBLA!$B$4*100000</f>
        <v>321.78232206292688</v>
      </c>
      <c r="N11909" s="42" t="s">
        <v>15</v>
      </c>
      <c r="O11909" s="42">
        <v>3</v>
      </c>
      <c r="P11909" s="42">
        <v>11</v>
      </c>
      <c r="Q11909" s="42">
        <v>0</v>
      </c>
      <c r="R11909" s="42">
        <v>14</v>
      </c>
    </row>
    <row r="11910" spans="1:18" x14ac:dyDescent="0.25">
      <c r="A11910" s="582" t="s">
        <v>29</v>
      </c>
      <c r="B11910" s="574">
        <v>44389</v>
      </c>
      <c r="C11910" s="275">
        <v>201</v>
      </c>
      <c r="D11910" s="575">
        <f t="shared" si="2163"/>
        <v>72844</v>
      </c>
      <c r="E11910" s="275">
        <v>8</v>
      </c>
      <c r="F11910" s="575">
        <f t="shared" si="2164"/>
        <v>1251</v>
      </c>
      <c r="G11910" s="576">
        <f>SUM(C11910,C11886,C11862,C11838,C11814,C11790,C11766,C11742,C11718,C11694,C11670,C11646,C11622,C11598)/POBLA!$B$5*100000</f>
        <v>403.88113616610178</v>
      </c>
      <c r="H11910" s="577">
        <f t="shared" si="2162"/>
        <v>0.77112893275755712</v>
      </c>
      <c r="I11910" s="578">
        <f t="shared" si="2165"/>
        <v>311.44442949267568</v>
      </c>
      <c r="J11910" s="579">
        <f t="shared" si="2166"/>
        <v>170.28571428571428</v>
      </c>
      <c r="K11910" s="578">
        <f>J11910/POBLA!$B$5*100000</f>
        <v>27.510075103428189</v>
      </c>
      <c r="L11910" s="580">
        <f t="shared" si="2167"/>
        <v>-8.8685015290519864E-2</v>
      </c>
      <c r="M11910" s="583">
        <f>SUM(C11910,C11886,C11862,C11838,C11814,C11790,C11766)/POBLA!$B$5*100000</f>
        <v>192.57052572399732</v>
      </c>
      <c r="N11910" s="42" t="s">
        <v>29</v>
      </c>
      <c r="O11910" s="42">
        <v>4</v>
      </c>
      <c r="P11910" s="42">
        <v>4</v>
      </c>
      <c r="Q11910" s="42">
        <v>0</v>
      </c>
      <c r="R11910" s="42">
        <v>8</v>
      </c>
    </row>
    <row r="11911" spans="1:18" x14ac:dyDescent="0.25">
      <c r="A11911" s="582" t="s">
        <v>30</v>
      </c>
      <c r="B11911" s="574">
        <v>44389</v>
      </c>
      <c r="C11911" s="275">
        <v>311</v>
      </c>
      <c r="D11911" s="575">
        <f t="shared" si="2163"/>
        <v>71340</v>
      </c>
      <c r="E11911" s="275"/>
      <c r="F11911" s="575">
        <f t="shared" si="2164"/>
        <v>804</v>
      </c>
      <c r="G11911" s="576">
        <f>SUM(C11911,C11887,C11863,C11839,C11815,C11791,C11767,C11743,C11719,C11695,C11671,C11647,C11623,C11599)/POBLA!$B$6*100000</f>
        <v>562.18722146036635</v>
      </c>
      <c r="H11911" s="577">
        <f t="shared" si="2162"/>
        <v>0.85576531305174519</v>
      </c>
      <c r="I11911" s="578">
        <f t="shared" si="2165"/>
        <v>481.10032356672122</v>
      </c>
      <c r="J11911" s="579">
        <f t="shared" si="2166"/>
        <v>433.57142857142856</v>
      </c>
      <c r="K11911" s="578">
        <f>J11911/POBLA!$B$6*100000</f>
        <v>38.684068676904154</v>
      </c>
      <c r="L11911" s="580">
        <f t="shared" si="2167"/>
        <v>-7.0728720146968738E-2</v>
      </c>
      <c r="M11911" s="583">
        <f>SUM(C11911,C11887,C11863,C11839,C11815,C11791,C11767)/POBLA!$B$6*100000</f>
        <v>270.7884807383291</v>
      </c>
    </row>
    <row r="11912" spans="1:18" x14ac:dyDescent="0.25">
      <c r="A11912" s="582" t="s">
        <v>20</v>
      </c>
      <c r="B11912" s="574">
        <v>44389</v>
      </c>
      <c r="C11912" s="275">
        <v>1771</v>
      </c>
      <c r="D11912" s="575">
        <f t="shared" si="2163"/>
        <v>433940</v>
      </c>
      <c r="E11912" s="275">
        <v>34</v>
      </c>
      <c r="F11912" s="575">
        <f t="shared" si="2164"/>
        <v>5699</v>
      </c>
      <c r="G11912" s="576">
        <f>SUM(C11912,C11888,C11864,C11840,C11816,C11792,C11768,C11744,C11720,C11696,C11672,C11648,C11624,C11600)/POBLA!$B$7*100000</f>
        <v>779.56095680038288</v>
      </c>
      <c r="H11912" s="577">
        <f t="shared" si="2162"/>
        <v>0.78319529788939357</v>
      </c>
      <c r="I11912" s="578">
        <f t="shared" si="2165"/>
        <v>610.54847578421652</v>
      </c>
      <c r="J11912" s="579">
        <f t="shared" si="2166"/>
        <v>1937.4285714285713</v>
      </c>
      <c r="K11912" s="578">
        <f>J11912/POBLA!$B$7*100000</f>
        <v>51.521189523290332</v>
      </c>
      <c r="L11912" s="580">
        <f t="shared" si="2167"/>
        <v>-0.13908461880276768</v>
      </c>
      <c r="M11912" s="583">
        <f>SUM(C11912,C11888,C11864,C11840,C11816,C11792,C11768)/POBLA!$B$7*100000</f>
        <v>360.64832666303232</v>
      </c>
      <c r="N11912" s="42" t="s">
        <v>20</v>
      </c>
      <c r="O11912" s="42">
        <v>12</v>
      </c>
      <c r="P11912" s="42">
        <v>22</v>
      </c>
      <c r="Q11912" s="42">
        <v>0</v>
      </c>
      <c r="R11912" s="42">
        <v>34</v>
      </c>
    </row>
    <row r="11913" spans="1:18" x14ac:dyDescent="0.25">
      <c r="A11913" s="582" t="s">
        <v>31</v>
      </c>
      <c r="B11913" s="574">
        <v>44389</v>
      </c>
      <c r="C11913" s="275">
        <v>641</v>
      </c>
      <c r="D11913" s="575">
        <f t="shared" si="2163"/>
        <v>118054</v>
      </c>
      <c r="E11913" s="275">
        <v>15</v>
      </c>
      <c r="F11913" s="575">
        <f t="shared" si="2164"/>
        <v>1962</v>
      </c>
      <c r="G11913" s="576">
        <f>SUM(C11913,C11889,C11865,C11841,C11817,C11793,C11769,C11745,C11721,C11697,C11673,C11649,C11625,C11601)/POBLA!$B$8*100000</f>
        <v>697.49437393981498</v>
      </c>
      <c r="H11913" s="577">
        <f t="shared" ref="H11913:H11936" si="2168">SUM(C11913,C11889,C11865,C11841,C11817,C11793,C11769,C11745,C11721,C11697,C11673,C11649,C11625,C11601,)/SUM(C11577,C11553,C11529,C11505,C11481,C11457,C11433,C11409,C11385,C11361,C11337,C11313,C11289,C11265)</f>
        <v>0.96256098775266352</v>
      </c>
      <c r="I11913" s="578">
        <f t="shared" si="2165"/>
        <v>671.38087353143396</v>
      </c>
      <c r="J11913" s="579">
        <f t="shared" si="2166"/>
        <v>652.71428571428567</v>
      </c>
      <c r="K11913" s="578">
        <f>J11913/POBLA!$B$8*100000</f>
        <v>47.094707983434283</v>
      </c>
      <c r="L11913" s="580">
        <f t="shared" si="2167"/>
        <v>-0.10376618281679095</v>
      </c>
      <c r="M11913" s="583">
        <f>SUM(C11913,C11889,C11865,C11841,C11817,C11793,C11769)/POBLA!$B$8*100000</f>
        <v>329.66295588404006</v>
      </c>
      <c r="N11913" s="42" t="s">
        <v>31</v>
      </c>
      <c r="O11913" s="42">
        <v>7</v>
      </c>
      <c r="P11913" s="42">
        <v>8</v>
      </c>
      <c r="Q11913" s="42">
        <v>0</v>
      </c>
      <c r="R11913" s="42">
        <v>15</v>
      </c>
    </row>
    <row r="11914" spans="1:18" x14ac:dyDescent="0.25">
      <c r="A11914" s="582" t="s">
        <v>41</v>
      </c>
      <c r="B11914" s="574">
        <v>44389</v>
      </c>
      <c r="C11914" s="275">
        <v>348</v>
      </c>
      <c r="D11914" s="575">
        <f t="shared" si="2163"/>
        <v>50550</v>
      </c>
      <c r="E11914" s="275">
        <v>10</v>
      </c>
      <c r="F11914" s="575">
        <f t="shared" si="2164"/>
        <v>893</v>
      </c>
      <c r="G11914" s="576">
        <f>SUM(C11914,C11890,C11866,C11842,C11818,C11794,C11770,C11746,C11722,C11698,C11674,C11650,C11626,C11602)/POBLA!$B$9*100000</f>
        <v>945.97921654744846</v>
      </c>
      <c r="H11914" s="577">
        <f t="shared" si="2168"/>
        <v>0.92368505969667636</v>
      </c>
      <c r="I11914" s="578">
        <f>G11914*H11914</f>
        <v>873.7868691084451</v>
      </c>
      <c r="J11914" s="579">
        <f t="shared" si="2166"/>
        <v>447.42857142857144</v>
      </c>
      <c r="K11914" s="578">
        <f>J11914/POBLA!$B$9*100000</f>
        <v>73.931550997544818</v>
      </c>
      <c r="L11914" s="580">
        <f t="shared" si="2167"/>
        <v>0.20786733513305045</v>
      </c>
      <c r="M11914" s="583">
        <f>SUM(C11914,C11890,C11866,C11842,C11818,C11794,C11770)/POBLA!$B$9*100000</f>
        <v>517.52085698281371</v>
      </c>
      <c r="N11914" s="42" t="s">
        <v>41</v>
      </c>
      <c r="O11914" s="42">
        <v>5</v>
      </c>
      <c r="P11914" s="42">
        <v>5</v>
      </c>
      <c r="Q11914" s="42">
        <v>0</v>
      </c>
      <c r="R11914" s="42">
        <v>10</v>
      </c>
    </row>
    <row r="11915" spans="1:18" x14ac:dyDescent="0.25">
      <c r="A11915" s="582" t="s">
        <v>32</v>
      </c>
      <c r="B11915" s="574">
        <v>44389</v>
      </c>
      <c r="C11915" s="275">
        <v>270</v>
      </c>
      <c r="D11915" s="575">
        <f t="shared" si="2163"/>
        <v>39204</v>
      </c>
      <c r="E11915" s="275">
        <v>6</v>
      </c>
      <c r="F11915" s="575">
        <f t="shared" si="2164"/>
        <v>1234</v>
      </c>
      <c r="G11915" s="576">
        <f>SUM(C11915,C11891,C11867,C11843,C11819,C11795,C11771,C11747,C11723,C11699,C11675,C11651,C11627,C11603)/POBLA!$B$10*100000</f>
        <v>513.43852034230963</v>
      </c>
      <c r="H11915" s="577">
        <f t="shared" si="2168"/>
        <v>1.1522561863173217</v>
      </c>
      <c r="I11915" s="578">
        <f t="shared" ref="I11915:I11929" si="2169">G11915*H11915</f>
        <v>591.61271135803827</v>
      </c>
      <c r="J11915" s="579">
        <f t="shared" si="2166"/>
        <v>287.71428571428572</v>
      </c>
      <c r="K11915" s="578">
        <f>J11915/POBLA!$B$10*100000</f>
        <v>37.322788564549612</v>
      </c>
      <c r="L11915" s="580">
        <f t="shared" si="2167"/>
        <v>3.6008230452674983E-2</v>
      </c>
      <c r="M11915" s="583">
        <f>SUM(C11915,C11891,C11867,C11843,C11819,C11795,C11771)/POBLA!$B$10*100000</f>
        <v>261.25951995184732</v>
      </c>
      <c r="N11915" s="42" t="s">
        <v>32</v>
      </c>
      <c r="O11915" s="42">
        <v>2</v>
      </c>
      <c r="P11915" s="42">
        <v>4</v>
      </c>
      <c r="Q11915" s="42">
        <v>0</v>
      </c>
      <c r="R11915" s="42">
        <v>6</v>
      </c>
    </row>
    <row r="11916" spans="1:18" x14ac:dyDescent="0.25">
      <c r="A11916" s="582" t="s">
        <v>33</v>
      </c>
      <c r="B11916" s="574">
        <v>44389</v>
      </c>
      <c r="C11916" s="275">
        <v>222</v>
      </c>
      <c r="D11916" s="575">
        <f t="shared" si="2163"/>
        <v>56117</v>
      </c>
      <c r="E11916" s="275">
        <v>11</v>
      </c>
      <c r="F11916" s="575">
        <f t="shared" si="2164"/>
        <v>778</v>
      </c>
      <c r="G11916" s="576">
        <f>SUM(C11916,C11892,C11868,C11844,C11820,C11796,C11772,C11748,C11724,C11700,C11676,C11652,C11628,C11604)/POBLA!$B$11*100000</f>
        <v>1038.1443414018993</v>
      </c>
      <c r="H11916" s="577">
        <f t="shared" si="2168"/>
        <v>0.78618212550179589</v>
      </c>
      <c r="I11916" s="578">
        <f t="shared" si="2169"/>
        <v>816.17052490100718</v>
      </c>
      <c r="J11916" s="579">
        <f t="shared" si="2166"/>
        <v>256.28571428571428</v>
      </c>
      <c r="K11916" s="578">
        <f>J11916/POBLA!$B$11*100000</f>
        <v>71.502704667524384</v>
      </c>
      <c r="L11916" s="580">
        <f t="shared" si="2167"/>
        <v>-6.9019200830306215E-2</v>
      </c>
      <c r="M11916" s="583">
        <f>SUM(C11916,C11892,C11868,C11844,C11820,C11796,C11772)/POBLA!$B$11*100000</f>
        <v>500.51893267267064</v>
      </c>
      <c r="N11916" s="42" t="s">
        <v>33</v>
      </c>
      <c r="O11916" s="42">
        <v>3</v>
      </c>
      <c r="P11916" s="42">
        <v>8</v>
      </c>
      <c r="Q11916" s="42">
        <v>0</v>
      </c>
      <c r="R11916" s="42">
        <v>11</v>
      </c>
    </row>
    <row r="11917" spans="1:18" x14ac:dyDescent="0.25">
      <c r="A11917" s="582" t="s">
        <v>21</v>
      </c>
      <c r="B11917" s="574">
        <v>44389</v>
      </c>
      <c r="C11917" s="275">
        <v>198</v>
      </c>
      <c r="D11917" s="575">
        <f t="shared" si="2163"/>
        <v>24428</v>
      </c>
      <c r="E11917" s="275"/>
      <c r="F11917" s="575">
        <f t="shared" si="2164"/>
        <v>654</v>
      </c>
      <c r="G11917" s="576">
        <f>SUM(C11917,C11893,C11869,C11845,C11821,C11797,C11773,C11749,C11725,C11701,C11677,C11653,C11629,C11605)/POBLA!$B$12*100000</f>
        <v>671.10342006093549</v>
      </c>
      <c r="H11917" s="577">
        <f t="shared" si="2168"/>
        <v>1.2451673738802451</v>
      </c>
      <c r="I11917" s="578">
        <f t="shared" si="2169"/>
        <v>835.63608315932606</v>
      </c>
      <c r="J11917" s="579">
        <f t="shared" si="2166"/>
        <v>189.71428571428572</v>
      </c>
      <c r="K11917" s="578">
        <f>J11917/POBLA!$B$12*100000</f>
        <v>48.208218847888915</v>
      </c>
      <c r="L11917" s="580">
        <f t="shared" si="2167"/>
        <v>1.1424219345011366E-2</v>
      </c>
      <c r="M11917" s="583">
        <f>SUM(C11917,C11893,C11869,C11845,C11821,C11797,C11773)/POBLA!$B$12*100000</f>
        <v>337.45753193522239</v>
      </c>
    </row>
    <row r="11918" spans="1:18" x14ac:dyDescent="0.25">
      <c r="A11918" s="582" t="s">
        <v>17</v>
      </c>
      <c r="B11918" s="574">
        <v>44389</v>
      </c>
      <c r="C11918" s="275">
        <v>461</v>
      </c>
      <c r="D11918" s="575">
        <f t="shared" si="2163"/>
        <v>145510</v>
      </c>
      <c r="E11918" s="275">
        <v>17</v>
      </c>
      <c r="F11918" s="575">
        <f t="shared" si="2164"/>
        <v>3531</v>
      </c>
      <c r="G11918" s="576">
        <f>SUM(C11918,C11894,C11870,C11846,C11822,C11798,C11774,C11750,C11726,C11702,C11678,C11654,C11630,C11606)/POBLA!$B$13*100000</f>
        <v>350.29226191732261</v>
      </c>
      <c r="H11918" s="577">
        <f t="shared" si="2168"/>
        <v>0.85851496121167348</v>
      </c>
      <c r="I11918" s="578">
        <f t="shared" si="2169"/>
        <v>300.73114765269958</v>
      </c>
      <c r="J11918" s="579">
        <f t="shared" si="2166"/>
        <v>423.42857142857144</v>
      </c>
      <c r="K11918" s="578">
        <f>J11918/POBLA!$B$13*100000</f>
        <v>21.274204252170808</v>
      </c>
      <c r="L11918" s="580">
        <f t="shared" si="2167"/>
        <v>-0.26047904191616766</v>
      </c>
      <c r="M11918" s="583">
        <f>SUM(C11918,C11894,C11870,C11846,C11822,C11798,C11774)/POBLA!$B$13*100000</f>
        <v>148.91942976519564</v>
      </c>
      <c r="N11918" s="42" t="s">
        <v>17</v>
      </c>
      <c r="O11918" s="42">
        <v>5</v>
      </c>
      <c r="P11918" s="42">
        <v>12</v>
      </c>
      <c r="Q11918" s="42">
        <v>0</v>
      </c>
      <c r="R11918" s="42">
        <v>17</v>
      </c>
    </row>
    <row r="11919" spans="1:18" x14ac:dyDescent="0.25">
      <c r="A11919" s="582" t="s">
        <v>23</v>
      </c>
      <c r="B11919" s="574">
        <v>44389</v>
      </c>
      <c r="C11919" s="275">
        <v>87</v>
      </c>
      <c r="D11919" s="575">
        <f t="shared" si="2163"/>
        <v>27641</v>
      </c>
      <c r="E11919" s="275">
        <v>5</v>
      </c>
      <c r="F11919" s="575">
        <f t="shared" si="2164"/>
        <v>475</v>
      </c>
      <c r="G11919" s="576">
        <f>SUM(C11919,C11895,C11871,C11847,C11823,C11799,C11775,C11751,C11727,C11703,C11679,C11655,C11631,C11607)/POBLA!$B$14*100000</f>
        <v>185.28590479301414</v>
      </c>
      <c r="H11919" s="577">
        <f t="shared" si="2168"/>
        <v>0.97659841203510234</v>
      </c>
      <c r="I11919" s="578">
        <f t="shared" si="2169"/>
        <v>180.94992039334477</v>
      </c>
      <c r="J11919" s="579">
        <f t="shared" si="2166"/>
        <v>159.71428571428572</v>
      </c>
      <c r="K11919" s="578">
        <f>J11919/POBLA!$B$14*100000</f>
        <v>12.662732536132394</v>
      </c>
      <c r="L11919" s="580">
        <f t="shared" si="2167"/>
        <v>-8.2854799015586567E-2</v>
      </c>
      <c r="M11919" s="583">
        <f>SUM(C11919,C11895,C11871,C11847,C11823,C11799,C11775)/POBLA!$B$14*100000</f>
        <v>88.639127752926754</v>
      </c>
      <c r="N11919" s="42" t="s">
        <v>23</v>
      </c>
      <c r="O11919" s="42">
        <v>2</v>
      </c>
      <c r="P11919" s="42">
        <v>3</v>
      </c>
      <c r="Q11919" s="42">
        <v>0</v>
      </c>
      <c r="R11919" s="42">
        <v>5</v>
      </c>
    </row>
    <row r="11920" spans="1:18" x14ac:dyDescent="0.25">
      <c r="A11920" s="582" t="s">
        <v>19</v>
      </c>
      <c r="B11920" s="574">
        <v>44389</v>
      </c>
      <c r="C11920" s="275">
        <v>146</v>
      </c>
      <c r="D11920" s="575">
        <f t="shared" si="2163"/>
        <v>103656</v>
      </c>
      <c r="E11920" s="275">
        <v>20</v>
      </c>
      <c r="F11920" s="575">
        <f t="shared" si="2164"/>
        <v>1957</v>
      </c>
      <c r="G11920" s="576">
        <f>SUM(C11920,C11896,C11872,C11848,C11824,C11800,C11776,C11752,C11728,C11704,C11680,C11656,C11632,C11608)/POBLA!$B$15*100000</f>
        <v>403.4292236961586</v>
      </c>
      <c r="H11920" s="577">
        <f t="shared" si="2168"/>
        <v>0.73639362286970866</v>
      </c>
      <c r="I11920" s="578">
        <f t="shared" si="2169"/>
        <v>297.08270760912836</v>
      </c>
      <c r="J11920" s="579">
        <f t="shared" si="2166"/>
        <v>172.42857142857142</v>
      </c>
      <c r="K11920" s="578">
        <f>J11920/POBLA!$B$15*100000</f>
        <v>25.965929344705565</v>
      </c>
      <c r="L11920" s="580">
        <f t="shared" si="2167"/>
        <v>-0.18002717391304346</v>
      </c>
      <c r="M11920" s="583">
        <f>SUM(C11920,C11896,C11872,C11848,C11824,C11800,C11776)/POBLA!$B$15*100000</f>
        <v>181.76150541293893</v>
      </c>
      <c r="N11920" s="42" t="s">
        <v>19</v>
      </c>
      <c r="O11920" s="42">
        <v>6</v>
      </c>
      <c r="P11920" s="42">
        <v>14</v>
      </c>
      <c r="Q11920" s="42">
        <v>0</v>
      </c>
      <c r="R11920" s="42">
        <v>20</v>
      </c>
    </row>
    <row r="11921" spans="1:18" x14ac:dyDescent="0.25">
      <c r="A11921" s="582" t="s">
        <v>18</v>
      </c>
      <c r="B11921" s="574">
        <v>44389</v>
      </c>
      <c r="C11921" s="275">
        <v>294</v>
      </c>
      <c r="D11921" s="575">
        <f t="shared" si="2163"/>
        <v>86767</v>
      </c>
      <c r="E11921" s="275">
        <v>12</v>
      </c>
      <c r="F11921" s="575">
        <f t="shared" si="2164"/>
        <v>1997</v>
      </c>
      <c r="G11921" s="576">
        <f>SUM(C11921,C11897,C11873,C11849,C11825,C11801,C11777,C11753,C11729,C11705,C11681,C11657,C11633,C11609)/POBLA!$B$16*100000</f>
        <v>412.91582509597254</v>
      </c>
      <c r="H11921" s="577">
        <f t="shared" si="2168"/>
        <v>0.78951406649616374</v>
      </c>
      <c r="I11921" s="578">
        <f t="shared" si="2169"/>
        <v>326.00285219213998</v>
      </c>
      <c r="J11921" s="579">
        <f t="shared" si="2166"/>
        <v>215.71428571428572</v>
      </c>
      <c r="K11921" s="578">
        <f>J11921/POBLA!$B$16*100000</f>
        <v>28.853852371461819</v>
      </c>
      <c r="L11921" s="580">
        <f t="shared" si="2167"/>
        <v>-4.2485732403297449E-2</v>
      </c>
      <c r="M11921" s="583">
        <f>SUM(C11921,C11897,C11873,C11849,C11825,C11801,C11777)/POBLA!$B$16*100000</f>
        <v>201.97696660023274</v>
      </c>
      <c r="N11921" s="42" t="s">
        <v>18</v>
      </c>
      <c r="O11921" s="42">
        <v>4</v>
      </c>
      <c r="P11921" s="42">
        <v>8</v>
      </c>
      <c r="Q11921" s="42">
        <v>0</v>
      </c>
      <c r="R11921" s="42">
        <v>12</v>
      </c>
    </row>
    <row r="11922" spans="1:18" x14ac:dyDescent="0.25">
      <c r="A11922" s="582" t="s">
        <v>34</v>
      </c>
      <c r="B11922" s="574">
        <v>44389</v>
      </c>
      <c r="C11922" s="275">
        <v>513</v>
      </c>
      <c r="D11922" s="575">
        <f>C11922+D11898</f>
        <v>67020</v>
      </c>
      <c r="E11922" s="275">
        <v>16</v>
      </c>
      <c r="F11922" s="575">
        <f t="shared" si="2164"/>
        <v>1863</v>
      </c>
      <c r="G11922" s="576">
        <f>SUM(C11922,C11898,C11874,C11850,C11826,C11802,C11778,C11754,C11730,C11706,C11682,C11658,C11634,C11610)/POBLA!$B$17*100000</f>
        <v>484.20489512404197</v>
      </c>
      <c r="H11922" s="577">
        <f t="shared" si="2168"/>
        <v>0.9828986746472852</v>
      </c>
      <c r="I11922" s="578">
        <f t="shared" si="2169"/>
        <v>475.92434967514856</v>
      </c>
      <c r="J11922" s="579">
        <f t="shared" si="2166"/>
        <v>471.28571428571428</v>
      </c>
      <c r="K11922" s="578">
        <f>J11922/POBLA!$B$17*100000</f>
        <v>33.086682595211464</v>
      </c>
      <c r="L11922" s="580">
        <f t="shared" si="2167"/>
        <v>-8.3101723179544229E-2</v>
      </c>
      <c r="M11922" s="583">
        <f>SUM(C11922,C11898,C11874,C11850,C11826,C11802,C11778)/POBLA!$B$17*100000</f>
        <v>231.60677816648027</v>
      </c>
      <c r="N11922" s="42" t="s">
        <v>34</v>
      </c>
      <c r="O11922" s="42">
        <v>5</v>
      </c>
      <c r="P11922" s="42">
        <v>11</v>
      </c>
      <c r="Q11922" s="42">
        <v>0</v>
      </c>
      <c r="R11922" s="42">
        <v>16</v>
      </c>
    </row>
    <row r="11923" spans="1:18" x14ac:dyDescent="0.25">
      <c r="A11923" s="582" t="s">
        <v>35</v>
      </c>
      <c r="B11923" s="574">
        <v>44389</v>
      </c>
      <c r="C11923" s="275">
        <v>70</v>
      </c>
      <c r="D11923" s="575">
        <f t="shared" ref="D11923:D11929" si="2170">C11923+D11899</f>
        <v>54624</v>
      </c>
      <c r="E11923" s="275">
        <v>5</v>
      </c>
      <c r="F11923" s="575">
        <f t="shared" si="2164"/>
        <v>870</v>
      </c>
      <c r="G11923" s="576">
        <f>SUM(C11923,C11899,C11875,C11851,C11827,C11803,C11779,C11755,C11731,C11707,C11683,C11659,C11635,C11611)/POBLA!$B$18*100000</f>
        <v>628.37854270964408</v>
      </c>
      <c r="H11923" s="577">
        <f t="shared" si="2168"/>
        <v>0.79899088541666663</v>
      </c>
      <c r="I11923" s="578">
        <f t="shared" si="2169"/>
        <v>502.06872821641321</v>
      </c>
      <c r="J11923" s="579">
        <f t="shared" si="2166"/>
        <v>283.71428571428572</v>
      </c>
      <c r="K11923" s="578">
        <f>J11923/POBLA!$B$18*100000</f>
        <v>36.316962599928793</v>
      </c>
      <c r="L11923" s="580">
        <f t="shared" si="2167"/>
        <v>-0.32056106739651047</v>
      </c>
      <c r="M11923" s="583">
        <f>SUM(C11923,C11899,C11875,C11851,C11827,C11803,C11779)/POBLA!$B$18*100000</f>
        <v>254.21873819950156</v>
      </c>
      <c r="N11923" s="42" t="s">
        <v>35</v>
      </c>
      <c r="O11923" s="42">
        <v>1</v>
      </c>
      <c r="P11923" s="42">
        <v>3</v>
      </c>
      <c r="Q11923" s="42">
        <v>1</v>
      </c>
      <c r="R11923" s="42">
        <v>5</v>
      </c>
    </row>
    <row r="11924" spans="1:18" x14ac:dyDescent="0.25">
      <c r="A11924" s="582" t="s">
        <v>36</v>
      </c>
      <c r="B11924" s="574">
        <v>44389</v>
      </c>
      <c r="C11924" s="275">
        <v>335</v>
      </c>
      <c r="D11924" s="575">
        <f t="shared" si="2170"/>
        <v>69782</v>
      </c>
      <c r="E11924" s="275">
        <v>8</v>
      </c>
      <c r="F11924" s="575">
        <f t="shared" si="2164"/>
        <v>1092</v>
      </c>
      <c r="G11924" s="576">
        <f>SUM(C11924,C11900,C11876,C11852,C11828,C11804,C11780,C11756,C11732,C11708,C11684,C11660,C11636,C11612)/POBLA!$B$19*100000</f>
        <v>948.79683983569669</v>
      </c>
      <c r="H11924" s="577">
        <f t="shared" si="2168"/>
        <v>0.94144056217060312</v>
      </c>
      <c r="I11924" s="578">
        <f t="shared" si="2169"/>
        <v>893.23583028061</v>
      </c>
      <c r="J11924" s="579">
        <f t="shared" si="2166"/>
        <v>337.14285714285717</v>
      </c>
      <c r="K11924" s="578">
        <f>J11924/POBLA!$B$19*100000</f>
        <v>66.323880868820368</v>
      </c>
      <c r="L11924" s="580">
        <f t="shared" si="2167"/>
        <v>-4.1818920016240324E-2</v>
      </c>
      <c r="M11924" s="583">
        <f>SUM(C11924,C11900,C11876,C11852,C11828,C11804,C11780)/POBLA!$B$19*100000</f>
        <v>464.26716608174252</v>
      </c>
      <c r="N11924" s="42" t="s">
        <v>36</v>
      </c>
      <c r="O11924" s="42">
        <v>4</v>
      </c>
      <c r="P11924" s="42">
        <v>4</v>
      </c>
      <c r="Q11924" s="42">
        <v>0</v>
      </c>
      <c r="R11924" s="42">
        <v>8</v>
      </c>
    </row>
    <row r="11925" spans="1:18" x14ac:dyDescent="0.25">
      <c r="A11925" s="582" t="s">
        <v>37</v>
      </c>
      <c r="B11925" s="574">
        <v>44389</v>
      </c>
      <c r="C11925" s="275">
        <v>89</v>
      </c>
      <c r="D11925" s="575">
        <f t="shared" si="2170"/>
        <v>56572</v>
      </c>
      <c r="E11925" s="275">
        <v>4</v>
      </c>
      <c r="F11925" s="575">
        <f>E11925+F11901</f>
        <v>891</v>
      </c>
      <c r="G11925" s="576">
        <f>SUM(C11925,C11901,C11878,C11853,C11829,C11805,C11781,C11757,C11733,C11709,C11685,C11661,C11637,C11613)/POBLA!$B$20*100000</f>
        <v>649.71643268489299</v>
      </c>
      <c r="H11925" s="577">
        <f t="shared" si="2168"/>
        <v>0.87276341948310143</v>
      </c>
      <c r="I11925" s="578">
        <f t="shared" si="2169"/>
        <v>567.04873548442947</v>
      </c>
      <c r="J11925" s="579">
        <f t="shared" si="2166"/>
        <v>79.142857142857139</v>
      </c>
      <c r="K11925" s="578">
        <f>J11925/POBLA!$B$20*100000</f>
        <v>21.641588726997998</v>
      </c>
      <c r="L11925" s="580">
        <f t="shared" si="2167"/>
        <v>-0.27391874180865006</v>
      </c>
      <c r="M11925" s="583">
        <f>SUM(C11925,C11901,C11877,C11853,C11829,C11805,C11781)/POBLA!$B$20*100000</f>
        <v>151.49112108898598</v>
      </c>
      <c r="N11925" s="42" t="s">
        <v>37</v>
      </c>
      <c r="O11925" s="42">
        <v>1</v>
      </c>
      <c r="P11925" s="42">
        <v>3</v>
      </c>
      <c r="Q11925" s="42">
        <v>0</v>
      </c>
      <c r="R11925" s="42">
        <v>4</v>
      </c>
    </row>
    <row r="11926" spans="1:18" x14ac:dyDescent="0.25">
      <c r="A11926" s="582" t="s">
        <v>22</v>
      </c>
      <c r="B11926" s="574">
        <v>44389</v>
      </c>
      <c r="C11926" s="275">
        <v>1280</v>
      </c>
      <c r="D11926" s="575">
        <f t="shared" si="2170"/>
        <v>423472</v>
      </c>
      <c r="E11926" s="275">
        <v>69</v>
      </c>
      <c r="F11926" s="575">
        <f>E11926+F11902</f>
        <v>7114</v>
      </c>
      <c r="G11926" s="576">
        <f>SUM(C11926,C11902,C11878,C11854,C11830,C11806,C11782,C11758,C11734,C11710,C11686,C11662,C11638,C11614)/POBLA!$B$21*100000</f>
        <v>591.33281190176046</v>
      </c>
      <c r="H11926" s="577">
        <f t="shared" si="2168"/>
        <v>0.87607875994972773</v>
      </c>
      <c r="I11926" s="578">
        <f t="shared" si="2169"/>
        <v>518.05411656847991</v>
      </c>
      <c r="J11926" s="579">
        <f t="shared" si="2166"/>
        <v>1504</v>
      </c>
      <c r="K11926" s="578">
        <f>J11926/POBLA!$B$21*100000</f>
        <v>42.528909195688975</v>
      </c>
      <c r="L11926" s="580">
        <f t="shared" si="2167"/>
        <v>1.3867488443759735E-2</v>
      </c>
      <c r="M11926" s="583">
        <f>SUM(C11926,C11902,C11878,C11854,C11830,C11806,C11782)/POBLA!$B$21*100000</f>
        <v>297.70236436982282</v>
      </c>
      <c r="N11926" s="42" t="s">
        <v>22</v>
      </c>
      <c r="O11926" s="42">
        <v>25</v>
      </c>
      <c r="P11926" s="42">
        <v>44</v>
      </c>
      <c r="Q11926" s="42">
        <v>0</v>
      </c>
      <c r="R11926" s="42">
        <v>69</v>
      </c>
    </row>
    <row r="11927" spans="1:18" x14ac:dyDescent="0.25">
      <c r="A11927" s="582" t="s">
        <v>38</v>
      </c>
      <c r="B11927" s="574">
        <v>44389</v>
      </c>
      <c r="C11927" s="275">
        <v>400</v>
      </c>
      <c r="D11927" s="575">
        <f t="shared" si="2170"/>
        <v>65956</v>
      </c>
      <c r="E11927" s="275">
        <v>4</v>
      </c>
      <c r="F11927" s="575">
        <f>E11927+F11903</f>
        <v>899</v>
      </c>
      <c r="G11927" s="576">
        <f>SUM(C11927,C11903,C11879,C11855,C11831,C11807,C11783,C11759,C11735,C11711,C11687,C11663,C11639,C11615)/POBLA!$B$22*100000</f>
        <v>765.39921272639742</v>
      </c>
      <c r="H11927" s="577">
        <f t="shared" si="2168"/>
        <v>1.0358279153409877</v>
      </c>
      <c r="I11927" s="578">
        <f t="shared" si="2169"/>
        <v>792.82187092201741</v>
      </c>
      <c r="J11927" s="579">
        <f t="shared" si="2166"/>
        <v>544.85714285714289</v>
      </c>
      <c r="K11927" s="578">
        <f>J11927/POBLA!$B$22*100000</f>
        <v>55.693540089638276</v>
      </c>
      <c r="L11927" s="580">
        <f t="shared" si="2167"/>
        <v>3.8105606967882455E-2</v>
      </c>
      <c r="M11927" s="583">
        <f>SUM(C11927,C11903,C11879,C11855,C11831,C11807,C11783)/POBLA!$B$22*100000</f>
        <v>389.8547806274679</v>
      </c>
      <c r="N11927" s="42" t="s">
        <v>38</v>
      </c>
      <c r="O11927" s="42">
        <v>2</v>
      </c>
      <c r="P11927" s="42">
        <v>1</v>
      </c>
      <c r="Q11927" s="42">
        <v>1</v>
      </c>
      <c r="R11927" s="42">
        <v>4</v>
      </c>
    </row>
    <row r="11928" spans="1:18" x14ac:dyDescent="0.25">
      <c r="A11928" s="582" t="s">
        <v>39</v>
      </c>
      <c r="B11928" s="574">
        <v>44389</v>
      </c>
      <c r="C11928" s="275">
        <v>31</v>
      </c>
      <c r="D11928" s="575">
        <f t="shared" si="2170"/>
        <v>30262</v>
      </c>
      <c r="E11928" s="275">
        <v>3</v>
      </c>
      <c r="F11928" s="575">
        <f>E11928+F11904</f>
        <v>461</v>
      </c>
      <c r="G11928" s="576">
        <f>SUM(C11928,C11904,C11880,C11856,C11832,C11808,C11784,C11760,C11736,C11712,C11688,C11664,C11640,C11616)/POBLA!$B$23*100000</f>
        <v>341.00548549454277</v>
      </c>
      <c r="H11928" s="577">
        <f t="shared" si="2168"/>
        <v>1.0272572402044293</v>
      </c>
      <c r="I11928" s="578">
        <f t="shared" si="2169"/>
        <v>350.30035392369558</v>
      </c>
      <c r="J11928" s="579">
        <f t="shared" si="2166"/>
        <v>38.285714285714285</v>
      </c>
      <c r="K11928" s="578">
        <f>J11928/POBLA!$B$23*100000</f>
        <v>21.651141936161444</v>
      </c>
      <c r="L11928" s="580">
        <f t="shared" si="2167"/>
        <v>-0.19999999999999996</v>
      </c>
      <c r="M11928" s="583">
        <f>SUM(C11928,C11904,C11880,C11856,C11832,C11808,C11784)/POBLA!$B$23*100000</f>
        <v>151.55799355313013</v>
      </c>
      <c r="N11928" s="42" t="s">
        <v>39</v>
      </c>
      <c r="O11928" s="42">
        <v>0</v>
      </c>
      <c r="P11928" s="42">
        <v>3</v>
      </c>
      <c r="Q11928" s="42">
        <v>0</v>
      </c>
      <c r="R11928" s="42">
        <v>3</v>
      </c>
    </row>
    <row r="11929" spans="1:18" ht="15.75" thickBot="1" x14ac:dyDescent="0.3">
      <c r="A11929" s="584" t="s">
        <v>40</v>
      </c>
      <c r="B11929" s="585">
        <v>44389</v>
      </c>
      <c r="C11929" s="586">
        <v>1129</v>
      </c>
      <c r="D11929" s="587">
        <f t="shared" si="2170"/>
        <v>167669</v>
      </c>
      <c r="E11929" s="586">
        <v>5</v>
      </c>
      <c r="F11929" s="587">
        <f>E11929+F11905</f>
        <v>2373</v>
      </c>
      <c r="G11929" s="588">
        <f>SUM(C11929,C11905,C11881,C11857,C11833,C11809,C11785,C11761,C11737,C11713,C11689,C11665,C11641,C11617)/POBLA!$B$24*100000</f>
        <v>823.94303032591858</v>
      </c>
      <c r="H11929" s="589">
        <f t="shared" si="2168"/>
        <v>1.2031882809133994</v>
      </c>
      <c r="I11929" s="590">
        <f t="shared" si="2169"/>
        <v>991.35859822841883</v>
      </c>
      <c r="J11929" s="591">
        <f t="shared" si="2166"/>
        <v>723.57142857142856</v>
      </c>
      <c r="K11929" s="590">
        <f>J11929/POBLA!$B$24*100000</f>
        <v>42.697245256348694</v>
      </c>
      <c r="L11929" s="592">
        <f t="shared" si="2167"/>
        <v>-0.43077095976623958</v>
      </c>
      <c r="M11929" s="593">
        <f>SUM(C11929,C11905,C11881,C11857,C11833,C11809,C11785)/POBLA!$B$24*100000</f>
        <v>298.8807167944409</v>
      </c>
      <c r="N11929" s="42" t="s">
        <v>40</v>
      </c>
      <c r="O11929" s="42">
        <v>2</v>
      </c>
      <c r="P11929" s="42">
        <v>3</v>
      </c>
      <c r="Q11929" s="42">
        <v>0</v>
      </c>
      <c r="R11929" s="42">
        <v>5</v>
      </c>
    </row>
    <row r="11930" spans="1:18" x14ac:dyDescent="0.25">
      <c r="A11930" s="602" t="s">
        <v>16</v>
      </c>
      <c r="B11930" s="603">
        <v>44390</v>
      </c>
      <c r="C11930" s="604">
        <v>6119</v>
      </c>
      <c r="D11930" s="605">
        <f>C11930+D11906</f>
        <v>1906792</v>
      </c>
      <c r="E11930" s="604">
        <v>133</v>
      </c>
      <c r="F11930" s="605">
        <f t="shared" ref="F11930:F11948" si="2171">E11930+F11906</f>
        <v>49849</v>
      </c>
      <c r="G11930" s="606">
        <f>SUM(C11930,C11906,C11858,C11882,C11834,C11810,C11786,C11762,C11738,C11714,C11690,C11666,C11642,C11618)/POBLA!$B$1*100000</f>
        <v>405.17888773598025</v>
      </c>
      <c r="H11930" s="607">
        <f t="shared" si="2168"/>
        <v>0.78470405087608885</v>
      </c>
      <c r="I11930" s="608">
        <f>G11930*H11930</f>
        <v>317.94551453589173</v>
      </c>
      <c r="J11930" s="609">
        <f>AVERAGE(C11930,C11906,C11882,C11858,C11834,C11810,C11786)</f>
        <v>4525.1428571428569</v>
      </c>
      <c r="K11930" s="608">
        <f>J11930/POBLA!$B$1*100000</f>
        <v>25.797311914560499</v>
      </c>
      <c r="L11930" s="610">
        <f>(SUM(C11930,C11906,C11882,C11858,C11834,C11810,C11786)/SUM(C11762,C11738,C11714,C11690,C11666,C11642,C11618))-1</f>
        <v>-0.19597938929360104</v>
      </c>
      <c r="M11930" s="611">
        <f>SUM(C11930,C11906,C11882,C11858,C11834,C11810,C11786)/POBLA!$B$1*100000</f>
        <v>180.58118340192351</v>
      </c>
      <c r="N11930" s="570" t="s">
        <v>16</v>
      </c>
      <c r="O11930" s="42">
        <v>58</v>
      </c>
      <c r="P11930" s="42">
        <v>75</v>
      </c>
      <c r="Q11930" s="42">
        <v>0</v>
      </c>
      <c r="R11930" s="42">
        <v>133</v>
      </c>
    </row>
    <row r="11931" spans="1:18" x14ac:dyDescent="0.25">
      <c r="A11931" s="582" t="s">
        <v>43</v>
      </c>
      <c r="B11931" s="574">
        <v>44390</v>
      </c>
      <c r="C11931" s="275">
        <v>1120</v>
      </c>
      <c r="D11931" s="575">
        <f t="shared" ref="D11931:D11945" si="2172">C11931+D11907</f>
        <v>477253</v>
      </c>
      <c r="E11931" s="275">
        <v>15</v>
      </c>
      <c r="F11931" s="575">
        <f t="shared" si="2171"/>
        <v>10599</v>
      </c>
      <c r="G11931" s="576">
        <f>SUM(C11931,C11907,C11883,C11859,C11835,C11811,C11787,C11763,C11739,C11715,C11691,C11667,C11643,C11619)/POBLA!$B$2*100000</f>
        <v>466.56864931789937</v>
      </c>
      <c r="H11931" s="577">
        <f t="shared" si="2168"/>
        <v>0.78505388697412326</v>
      </c>
      <c r="I11931" s="578">
        <f t="shared" ref="I11931:I11937" si="2173">G11931*H11931</f>
        <v>366.28153168728352</v>
      </c>
      <c r="J11931" s="579">
        <f>AVERAGE(C11931,C11907,C11883,C11859,C11835,C11811,C11787)</f>
        <v>963.71428571428567</v>
      </c>
      <c r="K11931" s="578">
        <f>J11931/POBLA!$B$2*100000</f>
        <v>31.333719345928809</v>
      </c>
      <c r="L11931" s="580">
        <f>(SUM(C11931,C11907,C11883,C11859,C11835,C11811,C11787)/SUM(C11763,C11739,C11715,C11691,C11667,C11643,C11619))-1</f>
        <v>-0.11283534981588639</v>
      </c>
      <c r="M11931" s="583">
        <f>SUM(C11931,C11907,C11883,C11859,C11835,C11811,C11787)/POBLA!$B$2*100000</f>
        <v>219.33603542150169</v>
      </c>
      <c r="N11931" s="570" t="s">
        <v>43</v>
      </c>
      <c r="O11931" s="42">
        <v>7</v>
      </c>
      <c r="P11931" s="42">
        <v>8</v>
      </c>
      <c r="Q11931" s="42">
        <v>0</v>
      </c>
      <c r="R11931" s="42">
        <v>15</v>
      </c>
    </row>
    <row r="11932" spans="1:18" x14ac:dyDescent="0.25">
      <c r="A11932" s="582" t="s">
        <v>28</v>
      </c>
      <c r="B11932" s="574">
        <v>44390</v>
      </c>
      <c r="C11932" s="275">
        <v>263</v>
      </c>
      <c r="D11932" s="575">
        <f t="shared" si="2172"/>
        <v>37688</v>
      </c>
      <c r="E11932" s="275">
        <v>10</v>
      </c>
      <c r="F11932" s="575">
        <f t="shared" si="2171"/>
        <v>388</v>
      </c>
      <c r="G11932" s="576">
        <f>SUM(C11932,C11908,C11884,C11860,C11836,C11812,C11788,C11764,C11740,C11716,C11692,C11668,C11644,C11620)/POBLA!$B$3*100000</f>
        <v>913.97512986293987</v>
      </c>
      <c r="H11932" s="577">
        <f t="shared" si="2168"/>
        <v>0.89236192714453588</v>
      </c>
      <c r="I11932" s="578">
        <f t="shared" si="2173"/>
        <v>815.59660824667048</v>
      </c>
      <c r="J11932" s="579">
        <f t="shared" ref="J11932:J11953" si="2174">AVERAGE(C11932,C11908,C11884,C11860,C11836,C11812,C11788)</f>
        <v>252.71428571428572</v>
      </c>
      <c r="K11932" s="578">
        <f>J11932/POBLA!$B$3*100000</f>
        <v>60.830806453498653</v>
      </c>
      <c r="L11932" s="580">
        <f t="shared" ref="L11932:L11953" si="2175">(SUM(C11932,C11908,C11884,C11860,C11836,C11812,C11788)/SUM(C11764,C11740,C11716,C11692,C11668,C11644,C11620))-1</f>
        <v>-0.12771203155818545</v>
      </c>
      <c r="M11932" s="583">
        <f>SUM(C11932,C11908,C11884,C11860,C11836,C11812,C11788)/POBLA!$B$3*100000</f>
        <v>425.81564517449056</v>
      </c>
      <c r="N11932" s="570" t="s">
        <v>28</v>
      </c>
      <c r="O11932" s="42">
        <v>3</v>
      </c>
      <c r="P11932" s="42">
        <v>7</v>
      </c>
      <c r="Q11932" s="42">
        <v>0</v>
      </c>
      <c r="R11932" s="42">
        <v>10</v>
      </c>
    </row>
    <row r="11933" spans="1:18" x14ac:dyDescent="0.25">
      <c r="A11933" s="582" t="s">
        <v>15</v>
      </c>
      <c r="B11933" s="574">
        <v>44390</v>
      </c>
      <c r="C11933" s="275">
        <v>619</v>
      </c>
      <c r="D11933" s="575">
        <f t="shared" si="2172"/>
        <v>83917</v>
      </c>
      <c r="E11933" s="275">
        <v>15</v>
      </c>
      <c r="F11933" s="575">
        <f t="shared" si="2171"/>
        <v>1841</v>
      </c>
      <c r="G11933" s="576">
        <f>SUM(C11933,C11909,C11885,C11861,C11837,C11813,C11789,C11765,C11741,C11717,C11693,C11669,C11645,C11621)/POBLA!$B$4*100000</f>
        <v>632.35705550911086</v>
      </c>
      <c r="H11933" s="577">
        <f t="shared" si="2168"/>
        <v>1.0091414944356121</v>
      </c>
      <c r="I11933" s="578">
        <f t="shared" si="2173"/>
        <v>638.13774401336741</v>
      </c>
      <c r="J11933" s="579">
        <f t="shared" si="2174"/>
        <v>537</v>
      </c>
      <c r="K11933" s="578">
        <f>J11933/POBLA!$B$4*100000</f>
        <v>44.581296942154729</v>
      </c>
      <c r="L11933" s="580">
        <f t="shared" si="2175"/>
        <v>-2.5660964230171057E-2</v>
      </c>
      <c r="M11933" s="583">
        <f>SUM(C11933,C11909,C11885,C11861,C11837,C11813,C11789)/POBLA!$B$4*100000</f>
        <v>312.06907859508311</v>
      </c>
      <c r="N11933" s="570" t="s">
        <v>15</v>
      </c>
      <c r="O11933" s="42">
        <v>7</v>
      </c>
      <c r="P11933" s="42">
        <v>8</v>
      </c>
      <c r="Q11933" s="42">
        <v>0</v>
      </c>
      <c r="R11933" s="42">
        <v>15</v>
      </c>
    </row>
    <row r="11934" spans="1:18" x14ac:dyDescent="0.25">
      <c r="A11934" s="582" t="s">
        <v>29</v>
      </c>
      <c r="B11934" s="574">
        <v>44390</v>
      </c>
      <c r="C11934" s="275">
        <v>194</v>
      </c>
      <c r="D11934" s="575">
        <f t="shared" si="2172"/>
        <v>73038</v>
      </c>
      <c r="E11934" s="275">
        <v>1</v>
      </c>
      <c r="F11934" s="575">
        <f t="shared" si="2171"/>
        <v>1252</v>
      </c>
      <c r="G11934" s="576">
        <f>SUM(C11934,C11910,C11886,C11862,C11838,C11814,C11790,C11766,C11742,C11718,C11694,C11670,C11646,C11622)/POBLA!$B$5*100000</f>
        <v>394.99575117044753</v>
      </c>
      <c r="H11934" s="577">
        <f t="shared" si="2168"/>
        <v>0.76168224299065423</v>
      </c>
      <c r="I11934" s="578">
        <f t="shared" si="2173"/>
        <v>300.8612497232848</v>
      </c>
      <c r="J11934" s="579">
        <f t="shared" si="2174"/>
        <v>166</v>
      </c>
      <c r="K11934" s="578">
        <f>J11934/POBLA!$B$5*100000</f>
        <v>26.81770744142916</v>
      </c>
      <c r="L11934" s="580">
        <f t="shared" si="2175"/>
        <v>-9.4310210444271236E-2</v>
      </c>
      <c r="M11934" s="583">
        <f>SUM(C11934,C11910,C11886,C11862,C11838,C11814,C11790)/POBLA!$B$5*100000</f>
        <v>187.7239520900041</v>
      </c>
      <c r="N11934" s="570" t="s">
        <v>29</v>
      </c>
      <c r="O11934" s="42">
        <v>0</v>
      </c>
      <c r="P11934" s="42">
        <v>1</v>
      </c>
      <c r="Q11934" s="42">
        <v>0</v>
      </c>
      <c r="R11934" s="42">
        <v>1</v>
      </c>
    </row>
    <row r="11935" spans="1:18" x14ac:dyDescent="0.25">
      <c r="A11935" s="582" t="s">
        <v>30</v>
      </c>
      <c r="B11935" s="574">
        <v>44390</v>
      </c>
      <c r="C11935" s="275">
        <v>596</v>
      </c>
      <c r="D11935" s="575">
        <f t="shared" si="2172"/>
        <v>71936</v>
      </c>
      <c r="E11935" s="275">
        <v>10</v>
      </c>
      <c r="F11935" s="575">
        <f t="shared" si="2171"/>
        <v>814</v>
      </c>
      <c r="G11935" s="576">
        <f>SUM(C11935,C11911,C11887,C11863,C11839,C11815,C11791,C11767,C11743,C11719,C11695,C11671,C11647,C11623)/POBLA!$B$6*100000</f>
        <v>561.20578050876111</v>
      </c>
      <c r="H11935" s="577">
        <f t="shared" si="2168"/>
        <v>0.80198903480810912</v>
      </c>
      <c r="I11935" s="578">
        <f t="shared" si="2173"/>
        <v>450.08088223895288</v>
      </c>
      <c r="J11935" s="579">
        <f t="shared" si="2174"/>
        <v>403.71428571428572</v>
      </c>
      <c r="K11935" s="578">
        <f>J11935/POBLA!$B$6*100000</f>
        <v>36.020157522547329</v>
      </c>
      <c r="L11935" s="580">
        <f t="shared" si="2175"/>
        <v>-0.18418013856812931</v>
      </c>
      <c r="M11935" s="583">
        <f>SUM(C11935,C11911,C11887,C11863,C11839,C11815,C11791)/POBLA!$B$6*100000</f>
        <v>252.14110265783131</v>
      </c>
      <c r="N11935" s="570" t="s">
        <v>30</v>
      </c>
      <c r="O11935" s="42">
        <v>2</v>
      </c>
      <c r="P11935" s="42">
        <v>7</v>
      </c>
      <c r="Q11935" s="42">
        <v>1</v>
      </c>
      <c r="R11935" s="42">
        <v>10</v>
      </c>
    </row>
    <row r="11936" spans="1:18" x14ac:dyDescent="0.25">
      <c r="A11936" s="582" t="s">
        <v>20</v>
      </c>
      <c r="B11936" s="574">
        <v>44390</v>
      </c>
      <c r="C11936" s="275">
        <v>2938</v>
      </c>
      <c r="D11936" s="575">
        <f t="shared" si="2172"/>
        <v>436878</v>
      </c>
      <c r="E11936" s="275">
        <v>30</v>
      </c>
      <c r="F11936" s="575">
        <f t="shared" si="2171"/>
        <v>5729</v>
      </c>
      <c r="G11936" s="576">
        <f>SUM(C11936,C11912,C11888,C11864,C11840,C11816,C11792,C11768,C11744,C11720,C11696,C11672,C11648,C11624)/POBLA!$B$7*100000</f>
        <v>777.0346634046457</v>
      </c>
      <c r="H11936" s="577">
        <f t="shared" si="2168"/>
        <v>0.80825403850409383</v>
      </c>
      <c r="I11936" s="578">
        <f t="shared" si="2173"/>
        <v>628.04140475447412</v>
      </c>
      <c r="J11936" s="579">
        <f t="shared" si="2174"/>
        <v>1969.2857142857142</v>
      </c>
      <c r="K11936" s="578">
        <f>J11936/POBLA!$B$7*100000</f>
        <v>52.368352571785664</v>
      </c>
      <c r="L11936" s="580">
        <f t="shared" si="2175"/>
        <v>-0.10689990281827022</v>
      </c>
      <c r="M11936" s="583">
        <f>SUM(C11936,C11912,C11888,C11864,C11840,C11816,C11792)/POBLA!$B$7*100000</f>
        <v>366.57846800249968</v>
      </c>
      <c r="N11936" s="570" t="s">
        <v>20</v>
      </c>
      <c r="O11936" s="42">
        <v>16</v>
      </c>
      <c r="P11936" s="42">
        <v>14</v>
      </c>
      <c r="Q11936" s="42">
        <v>0</v>
      </c>
      <c r="R11936" s="42">
        <v>30</v>
      </c>
    </row>
    <row r="11937" spans="1:18" x14ac:dyDescent="0.25">
      <c r="A11937" s="582" t="s">
        <v>31</v>
      </c>
      <c r="B11937" s="574">
        <v>44390</v>
      </c>
      <c r="C11937" s="275">
        <v>898</v>
      </c>
      <c r="D11937" s="575">
        <f t="shared" si="2172"/>
        <v>118952</v>
      </c>
      <c r="E11937" s="275">
        <v>13</v>
      </c>
      <c r="F11937" s="575">
        <f t="shared" si="2171"/>
        <v>1975</v>
      </c>
      <c r="G11937" s="576">
        <f>SUM(C11937,C11913,C11889,C11865,C11841,C11817,C11793,C11769,C11745,C11721,C11697,C11673,C11649,C11625)/POBLA!$B$8*100000</f>
        <v>690.49562000662354</v>
      </c>
      <c r="H11937" s="577">
        <f t="shared" ref="H11937:H11960" si="2176">SUM(C11937,C11913,C11889,C11865,C11841,C11817,C11793,C11769,C11745,C11721,C11697,C11673,C11649,C11625,)/SUM(C11601,C11577,C11553,C11529,C11505,C11481,C11457,C11433,C11409,C11385,C11361,C11337,C11313,C11289)</f>
        <v>0.95699999999999996</v>
      </c>
      <c r="I11937" s="578">
        <f t="shared" si="2173"/>
        <v>660.80430834633876</v>
      </c>
      <c r="J11937" s="579">
        <f t="shared" si="2174"/>
        <v>634.85714285714289</v>
      </c>
      <c r="K11937" s="578">
        <f>J11937/POBLA!$B$8*100000</f>
        <v>45.806277583362224</v>
      </c>
      <c r="L11937" s="580">
        <f t="shared" si="2175"/>
        <v>-0.13304721030042921</v>
      </c>
      <c r="M11937" s="583">
        <f>SUM(C11937,C11913,C11889,C11865,C11841,C11817,C11793)/POBLA!$B$8*100000</f>
        <v>320.64394308353553</v>
      </c>
      <c r="N11937" s="570" t="s">
        <v>31</v>
      </c>
      <c r="O11937" s="42">
        <v>5</v>
      </c>
      <c r="P11937" s="42">
        <v>8</v>
      </c>
      <c r="Q11937" s="42">
        <v>0</v>
      </c>
      <c r="R11937" s="42">
        <v>13</v>
      </c>
    </row>
    <row r="11938" spans="1:18" x14ac:dyDescent="0.25">
      <c r="A11938" s="582" t="s">
        <v>41</v>
      </c>
      <c r="B11938" s="574">
        <v>44390</v>
      </c>
      <c r="C11938" s="275">
        <v>439</v>
      </c>
      <c r="D11938" s="575">
        <f t="shared" si="2172"/>
        <v>50989</v>
      </c>
      <c r="E11938" s="275">
        <v>9</v>
      </c>
      <c r="F11938" s="575">
        <f t="shared" si="2171"/>
        <v>902</v>
      </c>
      <c r="G11938" s="576">
        <f>SUM(C11938,C11914,C11890,C11866,C11842,C11818,C11794,C11770,C11746,C11722,C11698,C11674,C11650,C11626)/POBLA!$B$9*100000</f>
        <v>965.31189223933518</v>
      </c>
      <c r="H11938" s="577">
        <f t="shared" si="2176"/>
        <v>0.96689837802052303</v>
      </c>
      <c r="I11938" s="578">
        <f>G11938*H11938</f>
        <v>933.35850289013513</v>
      </c>
      <c r="J11938" s="579">
        <f t="shared" si="2174"/>
        <v>441.71428571428572</v>
      </c>
      <c r="K11938" s="578">
        <f>J11938/POBLA!$B$9*100000</f>
        <v>72.987342172544245</v>
      </c>
      <c r="L11938" s="580">
        <f t="shared" si="2175"/>
        <v>0.12436363636363645</v>
      </c>
      <c r="M11938" s="583">
        <f>SUM(C11938,C11914,C11890,C11866,C11842,C11818,C11794)/POBLA!$B$9*100000</f>
        <v>510.91139520780973</v>
      </c>
      <c r="N11938" s="570" t="s">
        <v>41</v>
      </c>
      <c r="O11938" s="42">
        <v>4</v>
      </c>
      <c r="P11938" s="42">
        <v>5</v>
      </c>
      <c r="Q11938" s="42">
        <v>0</v>
      </c>
      <c r="R11938" s="42">
        <v>9</v>
      </c>
    </row>
    <row r="11939" spans="1:18" x14ac:dyDescent="0.25">
      <c r="A11939" s="582" t="s">
        <v>32</v>
      </c>
      <c r="B11939" s="574">
        <v>44390</v>
      </c>
      <c r="C11939" s="275">
        <v>281</v>
      </c>
      <c r="D11939" s="575">
        <f t="shared" si="2172"/>
        <v>39485</v>
      </c>
      <c r="E11939" s="275">
        <v>6</v>
      </c>
      <c r="F11939" s="575">
        <f t="shared" si="2171"/>
        <v>1240</v>
      </c>
      <c r="G11939" s="576">
        <f>SUM(C11939,C11915,C11891,C11867,C11843,C11819,C11795,C11771,C11747,C11723,C11699,C11675,C11651,C11627)/POBLA!$B$10*100000</f>
        <v>509.80631251775566</v>
      </c>
      <c r="H11939" s="577">
        <f t="shared" si="2176"/>
        <v>1.1394607132502175</v>
      </c>
      <c r="I11939" s="578">
        <f t="shared" ref="I11939:I11953" si="2177">G11939*H11939</f>
        <v>580.90426448094513</v>
      </c>
      <c r="J11939" s="579">
        <f t="shared" si="2174"/>
        <v>283</v>
      </c>
      <c r="K11939" s="578">
        <f>J11939/POBLA!$B$10*100000</f>
        <v>36.711243369599202</v>
      </c>
      <c r="L11939" s="580">
        <f t="shared" si="2175"/>
        <v>1.641867624422777E-2</v>
      </c>
      <c r="M11939" s="583">
        <f>SUM(C11939,C11915,C11891,C11867,C11843,C11819,C11795)/POBLA!$B$10*100000</f>
        <v>256.97870358719439</v>
      </c>
      <c r="N11939" s="570" t="s">
        <v>32</v>
      </c>
      <c r="O11939" s="42">
        <v>1</v>
      </c>
      <c r="P11939" s="42">
        <v>5</v>
      </c>
      <c r="Q11939" s="42">
        <v>0</v>
      </c>
      <c r="R11939" s="42">
        <v>6</v>
      </c>
    </row>
    <row r="11940" spans="1:18" x14ac:dyDescent="0.25">
      <c r="A11940" s="582" t="s">
        <v>33</v>
      </c>
      <c r="B11940" s="574">
        <v>44390</v>
      </c>
      <c r="C11940" s="275">
        <v>308</v>
      </c>
      <c r="D11940" s="575">
        <f t="shared" si="2172"/>
        <v>56425</v>
      </c>
      <c r="E11940" s="275">
        <v>8</v>
      </c>
      <c r="F11940" s="575">
        <f t="shared" si="2171"/>
        <v>786</v>
      </c>
      <c r="G11940" s="576">
        <f>SUM(C11940,C11916,C11892,C11868,C11844,C11820,C11796,C11772,C11748,C11724,C11700,C11676,C11652,C11628)/POBLA!$B$11*100000</f>
        <v>1019.7306014039082</v>
      </c>
      <c r="H11940" s="577">
        <f t="shared" si="2176"/>
        <v>0.76368575010447137</v>
      </c>
      <c r="I11940" s="578">
        <f t="shared" si="2177"/>
        <v>778.75372923762734</v>
      </c>
      <c r="J11940" s="579">
        <f t="shared" si="2174"/>
        <v>255.14285714285714</v>
      </c>
      <c r="K11940" s="578">
        <f>J11940/POBLA!$B$11*100000</f>
        <v>71.183852026866518</v>
      </c>
      <c r="L11940" s="580">
        <f t="shared" si="2175"/>
        <v>-4.4408774745853363E-2</v>
      </c>
      <c r="M11940" s="583">
        <f>SUM(C11940,C11916,C11892,C11868,C11844,C11820,C11796)/POBLA!$B$11*100000</f>
        <v>498.28696418806561</v>
      </c>
      <c r="N11940" s="570" t="s">
        <v>33</v>
      </c>
      <c r="O11940" s="42">
        <v>2</v>
      </c>
      <c r="P11940" s="42">
        <v>6</v>
      </c>
      <c r="Q11940" s="42">
        <v>0</v>
      </c>
      <c r="R11940" s="42">
        <v>8</v>
      </c>
    </row>
    <row r="11941" spans="1:18" x14ac:dyDescent="0.25">
      <c r="A11941" s="582" t="s">
        <v>21</v>
      </c>
      <c r="B11941" s="574">
        <v>44390</v>
      </c>
      <c r="C11941" s="275">
        <v>195</v>
      </c>
      <c r="D11941" s="575">
        <f t="shared" si="2172"/>
        <v>24623</v>
      </c>
      <c r="E11941" s="275"/>
      <c r="F11941" s="575">
        <f t="shared" si="2171"/>
        <v>654</v>
      </c>
      <c r="G11941" s="576">
        <f>SUM(C11941,C11917,C11893,C11869,C11845,C11821,C11797,C11773,C11749,C11725,C11701,C11677,C11653,C11629)/POBLA!$B$12*100000</f>
        <v>680.75958437835902</v>
      </c>
      <c r="H11941" s="577">
        <f t="shared" si="2176"/>
        <v>1.2818181818181817</v>
      </c>
      <c r="I11941" s="578">
        <f t="shared" si="2177"/>
        <v>872.61001270316922</v>
      </c>
      <c r="J11941" s="579">
        <f t="shared" si="2174"/>
        <v>191.14285714285714</v>
      </c>
      <c r="K11941" s="578">
        <f>J11941/POBLA!$B$12*100000</f>
        <v>48.571232544032654</v>
      </c>
      <c r="L11941" s="580">
        <f t="shared" si="2175"/>
        <v>-2.2371364653244186E-3</v>
      </c>
      <c r="M11941" s="583">
        <f>SUM(C11941,C11917,C11893,C11869,C11845,C11821,C11797)/POBLA!$B$12*100000</f>
        <v>339.99862780822855</v>
      </c>
    </row>
    <row r="11942" spans="1:18" x14ac:dyDescent="0.25">
      <c r="A11942" s="582" t="s">
        <v>17</v>
      </c>
      <c r="B11942" s="574">
        <v>44390</v>
      </c>
      <c r="C11942" s="275">
        <v>604</v>
      </c>
      <c r="D11942" s="575">
        <f t="shared" si="2172"/>
        <v>146114</v>
      </c>
      <c r="E11942" s="275">
        <v>14</v>
      </c>
      <c r="F11942" s="575">
        <f t="shared" si="2171"/>
        <v>3545</v>
      </c>
      <c r="G11942" s="576">
        <f>SUM(C11942,C11918,C11894,C11870,C11846,C11822,C11798,C11774,C11750,C11726,C11702,C11678,C11654,C11630)/POBLA!$B$13*100000</f>
        <v>347.93085395545882</v>
      </c>
      <c r="H11942" s="577">
        <f t="shared" si="2176"/>
        <v>0.87172708962739176</v>
      </c>
      <c r="I11942" s="578">
        <f t="shared" si="2177"/>
        <v>303.30075071016518</v>
      </c>
      <c r="J11942" s="579">
        <f t="shared" si="2174"/>
        <v>426.85714285714283</v>
      </c>
      <c r="K11942" s="578">
        <f>J11942/POBLA!$B$13*100000</f>
        <v>21.446465015346281</v>
      </c>
      <c r="L11942" s="580">
        <f t="shared" si="2175"/>
        <v>-0.2410464820929642</v>
      </c>
      <c r="M11942" s="583">
        <f>SUM(C11942,C11918,C11894,C11870,C11846,C11822,C11798)/POBLA!$B$13*100000</f>
        <v>150.12525510742395</v>
      </c>
      <c r="N11942" s="570" t="s">
        <v>17</v>
      </c>
      <c r="O11942" s="42">
        <v>8</v>
      </c>
      <c r="P11942" s="42">
        <v>5</v>
      </c>
      <c r="Q11942" s="42">
        <v>1</v>
      </c>
      <c r="R11942" s="42">
        <v>14</v>
      </c>
    </row>
    <row r="11943" spans="1:18" x14ac:dyDescent="0.25">
      <c r="A11943" s="582" t="s">
        <v>23</v>
      </c>
      <c r="B11943" s="574">
        <v>44390</v>
      </c>
      <c r="C11943" s="275">
        <v>95</v>
      </c>
      <c r="D11943" s="575">
        <f t="shared" si="2172"/>
        <v>27736</v>
      </c>
      <c r="E11943" s="275">
        <v>6</v>
      </c>
      <c r="F11943" s="575">
        <f t="shared" si="2171"/>
        <v>481</v>
      </c>
      <c r="G11943" s="576">
        <f>SUM(C11943,C11919,C11895,C11871,C11847,C11823,C11799,C11775,C11751,C11727,C11703,C11679,C11655,C11631)/POBLA!$B$14*100000</f>
        <v>177.75395744370465</v>
      </c>
      <c r="H11943" s="577">
        <f t="shared" si="2176"/>
        <v>0.91138211382113821</v>
      </c>
      <c r="I11943" s="578">
        <f t="shared" si="2177"/>
        <v>162.0017774751162</v>
      </c>
      <c r="J11943" s="579">
        <f t="shared" si="2174"/>
        <v>151.85714285714286</v>
      </c>
      <c r="K11943" s="578">
        <f>J11943/POBLA!$B$14*100000</f>
        <v>12.039789522279726</v>
      </c>
      <c r="L11943" s="580">
        <f t="shared" si="2175"/>
        <v>-9.8388464800678532E-2</v>
      </c>
      <c r="M11943" s="583">
        <f>SUM(C11943,C11919,C11895,C11871,C11847,C11823,C11799)/POBLA!$B$14*100000</f>
        <v>84.278526655958089</v>
      </c>
      <c r="N11943" s="570" t="s">
        <v>23</v>
      </c>
      <c r="O11943" s="42">
        <v>2</v>
      </c>
      <c r="P11943" s="42">
        <v>4</v>
      </c>
      <c r="Q11943" s="42">
        <v>0</v>
      </c>
      <c r="R11943" s="42">
        <v>6</v>
      </c>
    </row>
    <row r="11944" spans="1:18" x14ac:dyDescent="0.25">
      <c r="A11944" s="582" t="s">
        <v>19</v>
      </c>
      <c r="B11944" s="574">
        <v>44390</v>
      </c>
      <c r="C11944" s="275">
        <v>235</v>
      </c>
      <c r="D11944" s="575">
        <f t="shared" si="2172"/>
        <v>103891</v>
      </c>
      <c r="E11944" s="275">
        <v>5</v>
      </c>
      <c r="F11944" s="575">
        <f t="shared" si="2171"/>
        <v>1962</v>
      </c>
      <c r="G11944" s="576">
        <f>SUM(C11944,C11920,C11896,C11872,C11848,C11824,C11800,C11776,C11752,C11728,C11704,C11680,C11656,C11632)/POBLA!$B$15*100000</f>
        <v>406.59160282927519</v>
      </c>
      <c r="H11944" s="577">
        <f t="shared" si="2176"/>
        <v>0.77563918414248778</v>
      </c>
      <c r="I11944" s="578">
        <f t="shared" si="2177"/>
        <v>315.36837909768542</v>
      </c>
      <c r="J11944" s="579">
        <f t="shared" si="2174"/>
        <v>171.57142857142858</v>
      </c>
      <c r="K11944" s="578">
        <f>J11944/POBLA!$B$15*100000</f>
        <v>25.836852645394686</v>
      </c>
      <c r="L11944" s="580">
        <f t="shared" si="2175"/>
        <v>-0.19879919946631086</v>
      </c>
      <c r="M11944" s="583">
        <f>SUM(C11944,C11920,C11896,C11872,C11848,C11824,C11800)/POBLA!$B$15*100000</f>
        <v>180.85796851776277</v>
      </c>
      <c r="N11944" s="570" t="s">
        <v>19</v>
      </c>
      <c r="O11944" s="42">
        <v>2</v>
      </c>
      <c r="P11944" s="42">
        <v>3</v>
      </c>
      <c r="Q11944" s="42">
        <v>0</v>
      </c>
      <c r="R11944" s="42">
        <v>5</v>
      </c>
    </row>
    <row r="11945" spans="1:18" x14ac:dyDescent="0.25">
      <c r="A11945" s="582" t="s">
        <v>18</v>
      </c>
      <c r="B11945" s="574">
        <v>44390</v>
      </c>
      <c r="C11945" s="275">
        <v>286</v>
      </c>
      <c r="D11945" s="575">
        <f t="shared" si="2172"/>
        <v>87053</v>
      </c>
      <c r="E11945" s="275">
        <v>6</v>
      </c>
      <c r="F11945" s="575">
        <f t="shared" si="2171"/>
        <v>2003</v>
      </c>
      <c r="G11945" s="576">
        <f>SUM(C11945,C11921,C11897,C11873,C11849,C11825,C11801,C11777,C11753,C11729,C11705,C11681,C11657,C11633)/POBLA!$B$16*100000</f>
        <v>403.68641403940558</v>
      </c>
      <c r="H11945" s="577">
        <f t="shared" si="2176"/>
        <v>0.79046621267679418</v>
      </c>
      <c r="I11945" s="578">
        <f t="shared" si="2177"/>
        <v>319.10047081480513</v>
      </c>
      <c r="J11945" s="579">
        <f t="shared" si="2174"/>
        <v>217.57142857142858</v>
      </c>
      <c r="K11945" s="578">
        <f>J11945/POBLA!$B$16*100000</f>
        <v>29.10226302101745</v>
      </c>
      <c r="L11945" s="580">
        <f t="shared" si="2175"/>
        <v>1.8729096989966498E-2</v>
      </c>
      <c r="M11945" s="583">
        <f>SUM(C11945,C11921,C11897,C11873,C11849,C11825,C11801)/POBLA!$B$16*100000</f>
        <v>203.71584114712215</v>
      </c>
      <c r="N11945" s="570" t="s">
        <v>18</v>
      </c>
      <c r="O11945" s="42">
        <v>3</v>
      </c>
      <c r="P11945" s="42">
        <v>3</v>
      </c>
      <c r="Q11945" s="42">
        <v>0</v>
      </c>
      <c r="R11945" s="42">
        <v>6</v>
      </c>
    </row>
    <row r="11946" spans="1:18" x14ac:dyDescent="0.25">
      <c r="A11946" s="582" t="s">
        <v>34</v>
      </c>
      <c r="B11946" s="574">
        <v>44390</v>
      </c>
      <c r="C11946" s="275">
        <v>733</v>
      </c>
      <c r="D11946" s="575">
        <f>C11946+D11922</f>
        <v>67753</v>
      </c>
      <c r="E11946" s="275">
        <v>22</v>
      </c>
      <c r="F11946" s="575">
        <f t="shared" si="2171"/>
        <v>1885</v>
      </c>
      <c r="G11946" s="576">
        <f>SUM(C11946,C11922,C11898,C11874,C11850,C11826,C11802,C11778,C11754,C11730,C11706,C11682,C11658,C11634)/POBLA!$B$17*100000</f>
        <v>496.35038546135667</v>
      </c>
      <c r="H11946" s="577">
        <f t="shared" si="2176"/>
        <v>1.024340770791075</v>
      </c>
      <c r="I11946" s="578">
        <f t="shared" si="2177"/>
        <v>508.43193642593326</v>
      </c>
      <c r="J11946" s="579">
        <f t="shared" si="2174"/>
        <v>494.28571428571428</v>
      </c>
      <c r="K11946" s="578">
        <f>J11946/POBLA!$B$17*100000</f>
        <v>34.701400963756186</v>
      </c>
      <c r="L11946" s="580">
        <f t="shared" si="2175"/>
        <v>-4.1551246537396169E-2</v>
      </c>
      <c r="M11946" s="583">
        <f>SUM(C11946,C11922,C11898,C11874,C11850,C11826,C11802)/POBLA!$B$17*100000</f>
        <v>242.90980674629336</v>
      </c>
      <c r="N11946" s="570" t="s">
        <v>34</v>
      </c>
      <c r="O11946" s="42">
        <v>10</v>
      </c>
      <c r="P11946" s="42">
        <v>12</v>
      </c>
      <c r="Q11946" s="42">
        <v>0</v>
      </c>
      <c r="R11946" s="42">
        <v>22</v>
      </c>
    </row>
    <row r="11947" spans="1:18" x14ac:dyDescent="0.25">
      <c r="A11947" s="582" t="s">
        <v>35</v>
      </c>
      <c r="B11947" s="574">
        <v>44390</v>
      </c>
      <c r="C11947" s="275">
        <v>608</v>
      </c>
      <c r="D11947" s="575">
        <f t="shared" ref="D11947:D11953" si="2178">C11947+D11923</f>
        <v>55232</v>
      </c>
      <c r="E11947" s="275">
        <v>4</v>
      </c>
      <c r="F11947" s="575">
        <f t="shared" si="2171"/>
        <v>874</v>
      </c>
      <c r="G11947" s="576">
        <f>SUM(C11947,C11923,C11899,C11875,C11851,C11827,C11803,C11779,C11755,C11731,C11707,C11683,C11659,C11635)/POBLA!$B$18*100000</f>
        <v>667.42019182890283</v>
      </c>
      <c r="H11947" s="577">
        <f t="shared" si="2176"/>
        <v>0.92974322396576314</v>
      </c>
      <c r="I11947" s="578">
        <f t="shared" si="2177"/>
        <v>620.52940089085223</v>
      </c>
      <c r="J11947" s="579">
        <f t="shared" si="2174"/>
        <v>317.71428571428572</v>
      </c>
      <c r="K11947" s="578">
        <f>J11947/POBLA!$B$18*100000</f>
        <v>40.669146436174032</v>
      </c>
      <c r="L11947" s="580">
        <f t="shared" si="2175"/>
        <v>-0.25618729096989967</v>
      </c>
      <c r="M11947" s="583">
        <f>SUM(C11947,C11923,C11899,C11875,C11851,C11827,C11803)/POBLA!$B$18*100000</f>
        <v>284.68402505321825</v>
      </c>
      <c r="N11947" s="570" t="s">
        <v>35</v>
      </c>
      <c r="O11947" s="42">
        <v>2</v>
      </c>
      <c r="P11947" s="42">
        <v>1</v>
      </c>
      <c r="Q11947" s="42">
        <v>1</v>
      </c>
      <c r="R11947" s="42">
        <v>4</v>
      </c>
    </row>
    <row r="11948" spans="1:18" x14ac:dyDescent="0.25">
      <c r="A11948" s="582" t="s">
        <v>36</v>
      </c>
      <c r="B11948" s="574">
        <v>44390</v>
      </c>
      <c r="C11948" s="275">
        <v>300</v>
      </c>
      <c r="D11948" s="575">
        <f t="shared" si="2178"/>
        <v>70082</v>
      </c>
      <c r="E11948" s="275">
        <v>14</v>
      </c>
      <c r="F11948" s="575">
        <f t="shared" si="2171"/>
        <v>1106</v>
      </c>
      <c r="G11948" s="576">
        <f>SUM(C11948,C11924,C11900,C11876,C11852,C11828,C11804,C11780,C11756,C11732,C11708,C11684,C11660,C11636)/POBLA!$B$19*100000</f>
        <v>940.14101131552866</v>
      </c>
      <c r="H11948" s="577">
        <f t="shared" si="2176"/>
        <v>0.95503597122302153</v>
      </c>
      <c r="I11948" s="578">
        <f t="shared" si="2177"/>
        <v>897.86848382831954</v>
      </c>
      <c r="J11948" s="579">
        <f t="shared" si="2174"/>
        <v>328.28571428571428</v>
      </c>
      <c r="K11948" s="578">
        <f>J11948/POBLA!$B$19*100000</f>
        <v>64.58147382904626</v>
      </c>
      <c r="L11948" s="580">
        <f t="shared" si="2175"/>
        <v>-7.3760580411124543E-2</v>
      </c>
      <c r="M11948" s="583">
        <f>SUM(C11948,C11924,C11900,C11876,C11852,C11828,C11804)/POBLA!$B$19*100000</f>
        <v>452.07031680332386</v>
      </c>
      <c r="N11948" s="570" t="s">
        <v>36</v>
      </c>
      <c r="O11948" s="42">
        <v>4</v>
      </c>
      <c r="P11948" s="42">
        <v>10</v>
      </c>
      <c r="Q11948" s="42">
        <v>0</v>
      </c>
      <c r="R11948" s="42">
        <v>14</v>
      </c>
    </row>
    <row r="11949" spans="1:18" x14ac:dyDescent="0.25">
      <c r="A11949" s="582" t="s">
        <v>37</v>
      </c>
      <c r="B11949" s="574">
        <v>44390</v>
      </c>
      <c r="C11949" s="275">
        <v>88</v>
      </c>
      <c r="D11949" s="575">
        <f t="shared" si="2178"/>
        <v>56660</v>
      </c>
      <c r="E11949" s="275"/>
      <c r="F11949" s="575">
        <f>E11949+F11925</f>
        <v>891</v>
      </c>
      <c r="G11949" s="576">
        <f>SUM(C11949,C11925,C11902,C11877,C11853,C11829,C11805,C11781,C11757,C11733,C11709,C11685,C11661,C11637)/POBLA!$B$20*100000</f>
        <v>537.87551476901706</v>
      </c>
      <c r="H11949" s="577">
        <f t="shared" si="2176"/>
        <v>0.84172185430463575</v>
      </c>
      <c r="I11949" s="578">
        <f t="shared" si="2177"/>
        <v>452.74157567643755</v>
      </c>
      <c r="J11949" s="579">
        <f t="shared" si="2174"/>
        <v>72.714285714285708</v>
      </c>
      <c r="K11949" s="578">
        <f>J11949/POBLA!$B$20*100000</f>
        <v>19.883697945924151</v>
      </c>
      <c r="L11949" s="580">
        <f t="shared" si="2175"/>
        <v>-0.33202099737532809</v>
      </c>
      <c r="M11949" s="583">
        <f>SUM(C11949,C11925,C11901,C11877,C11853,C11829,C11805)/POBLA!$B$20*100000</f>
        <v>139.18588562146908</v>
      </c>
    </row>
    <row r="11950" spans="1:18" x14ac:dyDescent="0.25">
      <c r="A11950" s="582" t="s">
        <v>22</v>
      </c>
      <c r="B11950" s="574">
        <v>44390</v>
      </c>
      <c r="C11950" s="275">
        <v>1908</v>
      </c>
      <c r="D11950" s="575">
        <f t="shared" si="2178"/>
        <v>425380</v>
      </c>
      <c r="E11950" s="275">
        <v>45</v>
      </c>
      <c r="F11950" s="575">
        <f>E11950+F11926</f>
        <v>7159</v>
      </c>
      <c r="G11950" s="576">
        <f>SUM(C11950,C11926,C11902,C11878,C11854,C11830,C11806,C11782,C11758,C11734,C11710,C11686,C11662,C11638)/POBLA!$B$21*100000</f>
        <v>590.00378348939523</v>
      </c>
      <c r="H11950" s="577">
        <f t="shared" si="2176"/>
        <v>0.8885907755206337</v>
      </c>
      <c r="I11950" s="578">
        <f t="shared" si="2177"/>
        <v>524.27191953094973</v>
      </c>
      <c r="J11950" s="579">
        <f t="shared" si="2174"/>
        <v>1473</v>
      </c>
      <c r="K11950" s="578">
        <f>J11950/POBLA!$B$21*100000</f>
        <v>41.65231598753315</v>
      </c>
      <c r="L11950" s="580">
        <f t="shared" si="2175"/>
        <v>-2.3024445707788499E-2</v>
      </c>
      <c r="M11950" s="583">
        <f>SUM(C11950,C11926,C11902,C11878,C11854,C11830,C11806)/POBLA!$B$21*100000</f>
        <v>291.566211912732</v>
      </c>
      <c r="N11950" s="570" t="s">
        <v>22</v>
      </c>
      <c r="O11950" s="42">
        <v>17</v>
      </c>
      <c r="P11950" s="42">
        <v>27</v>
      </c>
      <c r="Q11950" s="42">
        <v>1</v>
      </c>
      <c r="R11950" s="42">
        <v>45</v>
      </c>
    </row>
    <row r="11951" spans="1:18" x14ac:dyDescent="0.25">
      <c r="A11951" s="582" t="s">
        <v>38</v>
      </c>
      <c r="B11951" s="574">
        <v>44390</v>
      </c>
      <c r="C11951" s="275">
        <v>431</v>
      </c>
      <c r="D11951" s="575">
        <f t="shared" si="2178"/>
        <v>66387</v>
      </c>
      <c r="E11951" s="275">
        <v>5</v>
      </c>
      <c r="F11951" s="575">
        <f>E11951+F11927</f>
        <v>904</v>
      </c>
      <c r="G11951" s="576">
        <f>SUM(C11951,C11927,C11903,C11879,C11855,C11831,C11807,C11783,C11759,C11735,C11711,C11687,C11663,C11639)/POBLA!$B$22*100000</f>
        <v>767.23911468006656</v>
      </c>
      <c r="H11951" s="577">
        <f t="shared" si="2176"/>
        <v>1.0377436748237245</v>
      </c>
      <c r="I11951" s="578">
        <f t="shared" si="2177"/>
        <v>796.19753833659331</v>
      </c>
      <c r="J11951" s="579">
        <f t="shared" si="2174"/>
        <v>559.42857142857144</v>
      </c>
      <c r="K11951" s="578">
        <f>J11951/POBLA!$B$22*100000</f>
        <v>57.182984528322891</v>
      </c>
      <c r="L11951" s="580">
        <f t="shared" si="2175"/>
        <v>9.0807799442896853E-2</v>
      </c>
      <c r="M11951" s="583">
        <f>SUM(C11951,C11927,C11903,C11879,C11855,C11831,C11807)/POBLA!$B$22*100000</f>
        <v>400.28089169826018</v>
      </c>
      <c r="N11951" s="570" t="s">
        <v>38</v>
      </c>
      <c r="O11951" s="42">
        <v>2</v>
      </c>
      <c r="P11951" s="42">
        <v>3</v>
      </c>
      <c r="Q11951" s="42">
        <v>0</v>
      </c>
      <c r="R11951" s="42">
        <v>5</v>
      </c>
    </row>
    <row r="11952" spans="1:18" x14ac:dyDescent="0.25">
      <c r="A11952" s="582" t="s">
        <v>39</v>
      </c>
      <c r="B11952" s="574">
        <v>44390</v>
      </c>
      <c r="C11952" s="275">
        <v>55</v>
      </c>
      <c r="D11952" s="575">
        <f t="shared" si="2178"/>
        <v>30317</v>
      </c>
      <c r="E11952" s="275">
        <v>1</v>
      </c>
      <c r="F11952" s="575">
        <f>E11952+F11928</f>
        <v>462</v>
      </c>
      <c r="G11952" s="576">
        <f>SUM(C11952,C11928,C11904,C11880,C11856,C11832,C11808,C11784,C11760,C11736,C11712,C11688,C11664,C11640)/POBLA!$B$23*100000</f>
        <v>341.00548549454277</v>
      </c>
      <c r="H11952" s="577">
        <f t="shared" si="2176"/>
        <v>0.9678972712680578</v>
      </c>
      <c r="I11952" s="578">
        <f t="shared" si="2177"/>
        <v>330.05827889760724</v>
      </c>
      <c r="J11952" s="579">
        <f t="shared" si="2174"/>
        <v>37.428571428571431</v>
      </c>
      <c r="K11952" s="578">
        <f>J11952/POBLA!$B$23*100000</f>
        <v>21.166414877889178</v>
      </c>
      <c r="L11952" s="580">
        <f t="shared" si="2175"/>
        <v>-0.23167155425219943</v>
      </c>
      <c r="M11952" s="583">
        <f>SUM(C11952,C11928,C11904,C11880,C11856,C11832,C11808)/POBLA!$B$23*100000</f>
        <v>148.16490414522423</v>
      </c>
      <c r="N11952" s="570" t="s">
        <v>39</v>
      </c>
      <c r="O11952" s="42">
        <v>1</v>
      </c>
      <c r="P11952" s="42">
        <v>0</v>
      </c>
      <c r="Q11952" s="42">
        <v>0</v>
      </c>
      <c r="R11952" s="42">
        <v>1</v>
      </c>
    </row>
    <row r="11953" spans="1:18" ht="15.75" thickBot="1" x14ac:dyDescent="0.3">
      <c r="A11953" s="584" t="s">
        <v>40</v>
      </c>
      <c r="B11953" s="574">
        <v>44390</v>
      </c>
      <c r="C11953" s="586">
        <v>710</v>
      </c>
      <c r="D11953" s="587">
        <f t="shared" si="2178"/>
        <v>168379</v>
      </c>
      <c r="E11953" s="586">
        <v>15</v>
      </c>
      <c r="F11953" s="587">
        <f>E11953+F11929</f>
        <v>2388</v>
      </c>
      <c r="G11953" s="588">
        <f>SUM(C11953,C11929,C11905,C11881,C11857,C11833,C11809,C11785,C11761,C11737,C11713,C11689,C11665,C11641)/POBLA!$B$24*100000</f>
        <v>743.39570980777216</v>
      </c>
      <c r="H11953" s="589">
        <f t="shared" si="2176"/>
        <v>0.9943957692004104</v>
      </c>
      <c r="I11953" s="590">
        <f t="shared" si="2177"/>
        <v>739.22954867458463</v>
      </c>
      <c r="J11953" s="591">
        <f t="shared" si="2174"/>
        <v>643</v>
      </c>
      <c r="K11953" s="590">
        <f>J11953/POBLA!$B$24*100000</f>
        <v>37.942803731258735</v>
      </c>
      <c r="L11953" s="592">
        <f t="shared" si="2175"/>
        <v>-0.44411510435963941</v>
      </c>
      <c r="M11953" s="593">
        <f>SUM(C11953,C11929,C11905,C11881,C11857,C11833,C11809)/POBLA!$B$24*100000</f>
        <v>265.59962611881116</v>
      </c>
      <c r="N11953" s="570" t="s">
        <v>40</v>
      </c>
      <c r="O11953" s="42">
        <v>7</v>
      </c>
      <c r="P11953" s="42">
        <v>8</v>
      </c>
      <c r="Q11953" s="42">
        <v>0</v>
      </c>
      <c r="R11953" s="42">
        <v>15</v>
      </c>
    </row>
    <row r="11954" spans="1:18" x14ac:dyDescent="0.25">
      <c r="A11954" s="602" t="s">
        <v>16</v>
      </c>
      <c r="B11954" s="574">
        <v>44391</v>
      </c>
      <c r="C11954" s="604">
        <v>5419</v>
      </c>
      <c r="D11954" s="605">
        <v>1912211</v>
      </c>
      <c r="E11954" s="604">
        <v>358</v>
      </c>
      <c r="F11954" s="605">
        <v>50186</v>
      </c>
      <c r="G11954" s="606">
        <f>SUM(C11954,C11930,C11882,C11906,C11858,C11834,C11810,C11786,C11762,C11738,C11714,C11690,C11666,C11642)/POBLA!$B$1*100000</f>
        <v>395.27075234159508</v>
      </c>
      <c r="H11954" s="607">
        <f t="shared" si="2176"/>
        <v>0.78155646233965326</v>
      </c>
      <c r="I11954" s="608">
        <f>G11954*H11954</f>
        <v>308.92641086643027</v>
      </c>
      <c r="J11954" s="609">
        <f>AVERAGE(C11954,C11930,C11906,C11882,C11858,C11834,C11810)</f>
        <v>4444.2857142857147</v>
      </c>
      <c r="K11954" s="608">
        <f>J11954/POBLA!$B$1*100000</f>
        <v>25.336354768972637</v>
      </c>
      <c r="L11954" s="610">
        <f>(SUM(C11954,C11930,C11906,C11882,C11858,C11834,C11810)/SUM(C11786,C11762,C11738,C11714,C11690,C11666,C11642))-1</f>
        <v>-0.18613472858077174</v>
      </c>
      <c r="M11954" s="611">
        <f>SUM(C11954,C11930,C11906,C11882,C11858,C11834,C11810)/POBLA!$B$1*100000</f>
        <v>177.35448338280844</v>
      </c>
      <c r="N11954" s="42" t="s">
        <v>16</v>
      </c>
      <c r="O11954" s="42">
        <v>163</v>
      </c>
      <c r="P11954" s="42">
        <v>195</v>
      </c>
      <c r="Q11954" s="42">
        <v>0</v>
      </c>
      <c r="R11954" s="42">
        <v>358</v>
      </c>
    </row>
    <row r="11955" spans="1:18" x14ac:dyDescent="0.25">
      <c r="A11955" s="582" t="s">
        <v>43</v>
      </c>
      <c r="B11955" s="574">
        <v>44391</v>
      </c>
      <c r="C11955" s="275">
        <v>1028</v>
      </c>
      <c r="D11955" s="575">
        <v>478281</v>
      </c>
      <c r="E11955" s="275">
        <v>16</v>
      </c>
      <c r="F11955" s="575">
        <v>10635</v>
      </c>
      <c r="G11955" s="576">
        <f>SUM(C11955,C11931,C11907,C11883,C11859,C11835,C11811,C11787,C11763,C11739,C11715,C11691,C11667,C11643)/POBLA!$B$2*100000</f>
        <v>465.91837942337969</v>
      </c>
      <c r="H11955" s="577">
        <f t="shared" si="2176"/>
        <v>0.80850823741819</v>
      </c>
      <c r="I11955" s="578">
        <f t="shared" ref="I11955:I11961" si="2179">G11955*H11955</f>
        <v>376.6988477283362</v>
      </c>
      <c r="J11955" s="579">
        <f>AVERAGE(C11955,C11931,C11907,C11883,C11859,C11835,C11811)</f>
        <v>954.57142857142856</v>
      </c>
      <c r="K11955" s="578">
        <f>J11955/POBLA!$B$2*100000</f>
        <v>31.036453108434081</v>
      </c>
      <c r="L11955" s="580">
        <f>(SUM(C11955,C11931,C11907,C11883,C11859,C11835,C11811)/SUM(C11787,C11763,C11739,C11715,C11691,C11667,C11643))-1</f>
        <v>-0.12630753138075312</v>
      </c>
      <c r="M11955" s="583">
        <f>SUM(C11955,C11931,C11907,C11883,C11859,C11835,C11811)/POBLA!$B$2*100000</f>
        <v>217.2551717590386</v>
      </c>
      <c r="N11955" s="42" t="s">
        <v>43</v>
      </c>
      <c r="O11955" s="42">
        <v>5</v>
      </c>
      <c r="P11955" s="42">
        <v>11</v>
      </c>
      <c r="Q11955" s="42">
        <v>0</v>
      </c>
      <c r="R11955" s="42">
        <v>16</v>
      </c>
    </row>
    <row r="11956" spans="1:18" x14ac:dyDescent="0.25">
      <c r="A11956" s="582" t="s">
        <v>28</v>
      </c>
      <c r="B11956" s="574">
        <v>44391</v>
      </c>
      <c r="C11956" s="275">
        <v>278</v>
      </c>
      <c r="D11956" s="575">
        <v>37966</v>
      </c>
      <c r="E11956" s="275">
        <v>4</v>
      </c>
      <c r="F11956" s="575">
        <v>392</v>
      </c>
      <c r="G11956" s="576">
        <f>SUM(C11956,C11932,C11908,C11884,C11860,C11836,C11812,C11788,C11764,C11740,C11716,C11692,C11668,C11644)/POBLA!$B$3*100000</f>
        <v>892.79266701649817</v>
      </c>
      <c r="H11956" s="577">
        <f t="shared" si="2176"/>
        <v>0.88330554894022384</v>
      </c>
      <c r="I11956" s="578">
        <f t="shared" si="2179"/>
        <v>788.60871682881441</v>
      </c>
      <c r="J11956" s="579">
        <f t="shared" ref="J11956:J11977" si="2180">AVERAGE(C11956,C11932,C11908,C11884,C11860,C11836,C11812)</f>
        <v>239.71428571428572</v>
      </c>
      <c r="K11956" s="578">
        <f>J11956/POBLA!$B$3*100000</f>
        <v>57.701578987547052</v>
      </c>
      <c r="L11956" s="580">
        <f t="shared" ref="L11956:L11977" si="2181">(SUM(C11956,C11932,C11908,C11884,C11860,C11836,C11812)/SUM(C11788,C11764,C11740,C11716,C11692,C11668,C11644))-1</f>
        <v>-0.17380600689315606</v>
      </c>
      <c r="M11956" s="583">
        <f>SUM(C11956,C11932,C11908,C11884,C11860,C11836,C11812)/POBLA!$B$3*100000</f>
        <v>403.91105291282935</v>
      </c>
      <c r="N11956" s="42" t="s">
        <v>28</v>
      </c>
      <c r="O11956" s="42">
        <v>2</v>
      </c>
      <c r="P11956" s="42">
        <v>2</v>
      </c>
      <c r="Q11956" s="42">
        <v>0</v>
      </c>
      <c r="R11956" s="42">
        <v>4</v>
      </c>
    </row>
    <row r="11957" spans="1:18" x14ac:dyDescent="0.25">
      <c r="A11957" s="582" t="s">
        <v>15</v>
      </c>
      <c r="B11957" s="574">
        <v>44391</v>
      </c>
      <c r="C11957" s="275">
        <v>587</v>
      </c>
      <c r="D11957" s="575">
        <v>84504</v>
      </c>
      <c r="E11957" s="275">
        <v>8</v>
      </c>
      <c r="F11957" s="575">
        <v>1836</v>
      </c>
      <c r="G11957" s="576">
        <f>SUM(C11957,C11933,C11909,C11885,C11861,C11837,C11813,C11789,C11765,C11741,C11717,C11693,C11669,C11645)/POBLA!$B$4*100000</f>
        <v>619.15700669383602</v>
      </c>
      <c r="H11957" s="577">
        <f t="shared" si="2176"/>
        <v>0.97976878612716767</v>
      </c>
      <c r="I11957" s="578">
        <f t="shared" si="2179"/>
        <v>606.63070887055039</v>
      </c>
      <c r="J11957" s="579">
        <f t="shared" si="2180"/>
        <v>521.85714285714289</v>
      </c>
      <c r="K11957" s="578">
        <f>J11957/POBLA!$B$4*100000</f>
        <v>43.324149435938082</v>
      </c>
      <c r="L11957" s="580">
        <f t="shared" si="2181"/>
        <v>-3.994743758212882E-2</v>
      </c>
      <c r="M11957" s="583">
        <f>SUM(C11957,C11933,C11909,C11885,C11861,C11837,C11813)/POBLA!$B$4*100000</f>
        <v>303.26904605156653</v>
      </c>
      <c r="N11957" s="42" t="s">
        <v>15</v>
      </c>
      <c r="O11957" s="42">
        <v>2</v>
      </c>
      <c r="P11957" s="42">
        <v>6</v>
      </c>
      <c r="Q11957" s="42">
        <v>0</v>
      </c>
      <c r="R11957" s="42">
        <v>8</v>
      </c>
    </row>
    <row r="11958" spans="1:18" x14ac:dyDescent="0.25">
      <c r="A11958" s="582" t="s">
        <v>29</v>
      </c>
      <c r="B11958" s="574">
        <v>44391</v>
      </c>
      <c r="C11958" s="275">
        <v>261</v>
      </c>
      <c r="D11958" s="575">
        <v>73299</v>
      </c>
      <c r="E11958" s="275">
        <v>3</v>
      </c>
      <c r="F11958" s="575">
        <v>1255</v>
      </c>
      <c r="G11958" s="576">
        <f>SUM(C11958,C11934,C11910,C11886,C11862,C11838,C11814,C11790,C11766,C11742,C11718,C11694,C11670,C11646)/POBLA!$B$5*100000</f>
        <v>404.85045089290043</v>
      </c>
      <c r="H11958" s="577">
        <f t="shared" si="2176"/>
        <v>0.81575520833333337</v>
      </c>
      <c r="I11958" s="578">
        <f t="shared" si="2179"/>
        <v>330.25886391198196</v>
      </c>
      <c r="J11958" s="579">
        <f t="shared" si="2180"/>
        <v>171.28571428571428</v>
      </c>
      <c r="K11958" s="578">
        <f>J11958/POBLA!$B$5*100000</f>
        <v>27.671627557894631</v>
      </c>
      <c r="L11958" s="580">
        <f t="shared" si="2181"/>
        <v>-8.2631981637337426E-2</v>
      </c>
      <c r="M11958" s="583">
        <f>SUM(C11958,C11934,C11910,C11886,C11862,C11838,C11814)/POBLA!$B$5*100000</f>
        <v>193.70139290526242</v>
      </c>
      <c r="N11958" s="42" t="s">
        <v>29</v>
      </c>
      <c r="O11958" s="42">
        <v>0</v>
      </c>
      <c r="P11958" s="42">
        <v>3</v>
      </c>
      <c r="Q11958" s="42">
        <v>0</v>
      </c>
      <c r="R11958" s="42">
        <v>3</v>
      </c>
    </row>
    <row r="11959" spans="1:18" x14ac:dyDescent="0.25">
      <c r="A11959" s="582" t="s">
        <v>30</v>
      </c>
      <c r="B11959" s="574">
        <v>44391</v>
      </c>
      <c r="C11959" s="275">
        <v>653</v>
      </c>
      <c r="D11959" s="575">
        <v>440591</v>
      </c>
      <c r="E11959" s="275">
        <v>5</v>
      </c>
      <c r="F11959" s="575">
        <v>5779</v>
      </c>
      <c r="G11959" s="576">
        <f>SUM(C11959,C11935,C11911,C11887,C11863,C11839,C11815,C11791,C11767,C11743,C11719,C11695,C11671,C11647)/POBLA!$B$6*100000</f>
        <v>567.00520431370057</v>
      </c>
      <c r="H11959" s="577">
        <f t="shared" si="2176"/>
        <v>0.83377066386775123</v>
      </c>
      <c r="I11959" s="578">
        <f t="shared" si="2179"/>
        <v>472.75230561710407</v>
      </c>
      <c r="J11959" s="579">
        <f t="shared" si="2180"/>
        <v>493.71428571428572</v>
      </c>
      <c r="K11959" s="578">
        <f>J11959/POBLA!$B$6*100000</f>
        <v>44.050128944771259</v>
      </c>
      <c r="L11959" s="580">
        <f t="shared" si="2181"/>
        <v>0.19213521904104858</v>
      </c>
      <c r="M11959" s="583">
        <f>SUM(C11959,C11935,C11911,C11887,C11863,C11839,C11815)/POBLA!$B$6*100000</f>
        <v>308.35090261339883</v>
      </c>
      <c r="N11959" s="42" t="s">
        <v>30</v>
      </c>
      <c r="O11959" s="42">
        <v>4</v>
      </c>
      <c r="P11959" s="42">
        <v>1</v>
      </c>
      <c r="Q11959" s="42">
        <v>0</v>
      </c>
      <c r="R11959" s="42">
        <v>5</v>
      </c>
    </row>
    <row r="11960" spans="1:18" x14ac:dyDescent="0.25">
      <c r="A11960" s="582" t="s">
        <v>20</v>
      </c>
      <c r="B11960" s="574">
        <v>44391</v>
      </c>
      <c r="C11960" s="275">
        <v>2385</v>
      </c>
      <c r="D11960" s="575">
        <v>71260</v>
      </c>
      <c r="E11960" s="275">
        <v>36</v>
      </c>
      <c r="F11960" s="575">
        <v>774</v>
      </c>
      <c r="G11960" s="576">
        <f>SUM(C11960,C11936,C11912,C11888,C11864,C11840,C11816,C11792,C11768,C11744,C11720,C11696,C11672,C11648)/POBLA!$B$7*100000</f>
        <v>761.53119972343734</v>
      </c>
      <c r="H11960" s="577">
        <f t="shared" si="2176"/>
        <v>0.80597224958486957</v>
      </c>
      <c r="I11960" s="578">
        <f t="shared" si="2179"/>
        <v>613.77301417016338</v>
      </c>
      <c r="J11960" s="579">
        <f t="shared" si="2180"/>
        <v>1931.2857142857142</v>
      </c>
      <c r="K11960" s="578">
        <f>J11960/POBLA!$B$7*100000</f>
        <v>51.35783521349078</v>
      </c>
      <c r="L11960" s="580">
        <f t="shared" si="2181"/>
        <v>-0.10576795872469902</v>
      </c>
      <c r="M11960" s="583">
        <f>SUM(C11960,C11936,C11912,C11888,C11864,C11840,C11816)/POBLA!$B$7*100000</f>
        <v>359.50484649443553</v>
      </c>
      <c r="N11960" s="42" t="s">
        <v>20</v>
      </c>
      <c r="O11960" s="42">
        <v>13</v>
      </c>
      <c r="P11960" s="42">
        <v>22</v>
      </c>
      <c r="Q11960" s="42">
        <v>1</v>
      </c>
      <c r="R11960" s="42">
        <v>36</v>
      </c>
    </row>
    <row r="11961" spans="1:18" x14ac:dyDescent="0.25">
      <c r="A11961" s="582" t="s">
        <v>31</v>
      </c>
      <c r="B11961" s="574">
        <v>44391</v>
      </c>
      <c r="C11961" s="275">
        <v>1018</v>
      </c>
      <c r="D11961" s="575">
        <v>119970</v>
      </c>
      <c r="E11961" s="275">
        <v>19</v>
      </c>
      <c r="F11961" s="575">
        <v>1991</v>
      </c>
      <c r="G11961" s="576">
        <f>SUM(C11961,C11937,C11913,C11889,C11865,C11841,C11817,C11793,C11769,C11745,C11721,C11697,C11673,C11649)/POBLA!$B$8*100000</f>
        <v>698.8652638854918</v>
      </c>
      <c r="H11961" s="577">
        <f t="shared" ref="H11961:H11984" si="2182">SUM(C11961,C11937,C11913,C11889,C11865,C11841,C11817,C11793,C11769,C11745,C11721,C11697,C11673,C11649,)/SUM(C11625,C11601,C11577,C11553,C11529,C11505,C11481,C11457,C11433,C11409,C11385,C11361,C11337,C11313)</f>
        <v>0.9784826750176786</v>
      </c>
      <c r="I11961" s="578">
        <f t="shared" si="2179"/>
        <v>683.82755288361193</v>
      </c>
      <c r="J11961" s="579">
        <f t="shared" si="2180"/>
        <v>669.85714285714289</v>
      </c>
      <c r="K11961" s="578">
        <f>J11961/POBLA!$B$8*100000</f>
        <v>48.331601167503479</v>
      </c>
      <c r="L11961" s="580">
        <f t="shared" si="2181"/>
        <v>-6.1636982189313572E-2</v>
      </c>
      <c r="M11961" s="583">
        <f>SUM(C11961,C11937,C11913,C11889,C11865,C11841,C11817)/POBLA!$B$8*100000</f>
        <v>338.32120817252434</v>
      </c>
      <c r="N11961" s="42" t="s">
        <v>31</v>
      </c>
      <c r="O11961" s="42">
        <v>6</v>
      </c>
      <c r="P11961" s="42">
        <v>13</v>
      </c>
      <c r="Q11961" s="42">
        <v>0</v>
      </c>
      <c r="R11961" s="42">
        <v>19</v>
      </c>
    </row>
    <row r="11962" spans="1:18" x14ac:dyDescent="0.25">
      <c r="A11962" s="582" t="s">
        <v>41</v>
      </c>
      <c r="B11962" s="574">
        <v>44391</v>
      </c>
      <c r="C11962" s="275">
        <v>462</v>
      </c>
      <c r="D11962" s="575">
        <v>51451</v>
      </c>
      <c r="E11962" s="275">
        <v>2</v>
      </c>
      <c r="F11962" s="575">
        <v>905</v>
      </c>
      <c r="G11962" s="576">
        <f>SUM(C11962,C11938,C11914,C11890,C11866,C11842,C11818,C11794,C11770,C11746,C11722,C11698,C11674,C11650)/POBLA!$B$9*100000</f>
        <v>973.73895600246522</v>
      </c>
      <c r="H11962" s="577">
        <f t="shared" si="2182"/>
        <v>0.97922897972748424</v>
      </c>
      <c r="I11962" s="578">
        <f>G11962*H11962</f>
        <v>953.51340440719969</v>
      </c>
      <c r="J11962" s="579">
        <f t="shared" si="2180"/>
        <v>441.42857142857144</v>
      </c>
      <c r="K11962" s="578">
        <f>J11962/POBLA!$B$9*100000</f>
        <v>72.94013173129423</v>
      </c>
      <c r="L11962" s="580">
        <f t="shared" si="2181"/>
        <v>0.10239029611130923</v>
      </c>
      <c r="M11962" s="583">
        <f>SUM(C11962,C11938,C11914,C11890,C11866,C11842,C11818)/POBLA!$B$9*100000</f>
        <v>510.58092211905955</v>
      </c>
      <c r="N11962" s="42" t="s">
        <v>41</v>
      </c>
      <c r="O11962" s="42">
        <v>2</v>
      </c>
      <c r="P11962" s="42">
        <v>0</v>
      </c>
      <c r="Q11962" s="42">
        <v>0</v>
      </c>
      <c r="R11962" s="42">
        <v>2</v>
      </c>
    </row>
    <row r="11963" spans="1:18" x14ac:dyDescent="0.25">
      <c r="A11963" s="582" t="s">
        <v>32</v>
      </c>
      <c r="B11963" s="574">
        <v>44391</v>
      </c>
      <c r="C11963" s="275">
        <v>308</v>
      </c>
      <c r="D11963" s="575">
        <v>39793</v>
      </c>
      <c r="E11963" s="275">
        <v>6</v>
      </c>
      <c r="F11963" s="575">
        <v>1244</v>
      </c>
      <c r="G11963" s="576">
        <f>SUM(C11963,C11939,C11915,C11891,C11867,C11843,C11819,C11795,C11771,C11747,C11723,C11699,C11675,C11651)/POBLA!$B$10*100000</f>
        <v>512.011581554092</v>
      </c>
      <c r="H11963" s="577">
        <f t="shared" si="2182"/>
        <v>1.1443896781675849</v>
      </c>
      <c r="I11963" s="578">
        <f t="shared" ref="I11963:I11977" si="2183">G11963*H11963</f>
        <v>585.94076903276346</v>
      </c>
      <c r="J11963" s="579">
        <f t="shared" si="2180"/>
        <v>284.71428571428572</v>
      </c>
      <c r="K11963" s="578">
        <f>J11963/POBLA!$B$10*100000</f>
        <v>36.933623440490258</v>
      </c>
      <c r="L11963" s="580">
        <f t="shared" si="2181"/>
        <v>1.9959058341862956E-2</v>
      </c>
      <c r="M11963" s="583">
        <f>SUM(C11963,C11939,C11915,C11891,C11867,C11843,C11819)/POBLA!$B$10*100000</f>
        <v>258.53536408343183</v>
      </c>
      <c r="N11963" s="42" t="s">
        <v>32</v>
      </c>
      <c r="O11963" s="42">
        <v>1</v>
      </c>
      <c r="P11963" s="42">
        <v>5</v>
      </c>
      <c r="Q11963" s="42">
        <v>0</v>
      </c>
      <c r="R11963" s="42">
        <v>6</v>
      </c>
    </row>
    <row r="11964" spans="1:18" x14ac:dyDescent="0.25">
      <c r="A11964" s="582" t="s">
        <v>33</v>
      </c>
      <c r="B11964" s="574">
        <v>44391</v>
      </c>
      <c r="C11964" s="275">
        <v>349</v>
      </c>
      <c r="D11964" s="575">
        <v>56774</v>
      </c>
      <c r="E11964" s="275">
        <v>4</v>
      </c>
      <c r="F11964" s="575">
        <v>790</v>
      </c>
      <c r="G11964" s="576">
        <f>SUM(C11964,C11940,C11916,C11892,C11868,C11844,C11820,C11796,C11772,C11748,C11724,C11700,C11676,C11652)/POBLA!$B$11*100000</f>
        <v>1026.1475107971476</v>
      </c>
      <c r="H11964" s="577">
        <f t="shared" si="2182"/>
        <v>0.76149068322981361</v>
      </c>
      <c r="I11964" s="578">
        <f t="shared" si="2183"/>
        <v>781.40176909149238</v>
      </c>
      <c r="J11964" s="579">
        <f t="shared" si="2180"/>
        <v>262.14285714285717</v>
      </c>
      <c r="K11964" s="578">
        <f>J11964/POBLA!$B$11*100000</f>
        <v>73.136824450895901</v>
      </c>
      <c r="L11964" s="580">
        <f t="shared" si="2181"/>
        <v>-4.3407487791644606E-3</v>
      </c>
      <c r="M11964" s="583">
        <f>SUM(C11964,C11940,C11916,C11892,C11868,C11844,C11820)/POBLA!$B$11*100000</f>
        <v>511.95777115627124</v>
      </c>
      <c r="N11964" s="42" t="s">
        <v>33</v>
      </c>
      <c r="O11964" s="42">
        <v>1</v>
      </c>
      <c r="P11964" s="42">
        <v>3</v>
      </c>
      <c r="Q11964" s="42">
        <v>0</v>
      </c>
      <c r="R11964" s="42">
        <v>4</v>
      </c>
    </row>
    <row r="11965" spans="1:18" x14ac:dyDescent="0.25">
      <c r="A11965" s="582" t="s">
        <v>21</v>
      </c>
      <c r="B11965" s="574">
        <v>44391</v>
      </c>
      <c r="C11965" s="275">
        <v>219</v>
      </c>
      <c r="D11965" s="575">
        <v>24842</v>
      </c>
      <c r="E11965" s="275">
        <v>15</v>
      </c>
      <c r="F11965" s="575">
        <v>669</v>
      </c>
      <c r="G11965" s="576">
        <f>SUM(C11965,C11941,C11917,C11893,C11869,C11845,C11821,C11797,C11773,C11749,C11725,C11701,C11677,C11653)/POBLA!$B$12*100000</f>
        <v>675.6773926323466</v>
      </c>
      <c r="H11965" s="577">
        <f t="shared" si="2182"/>
        <v>1.2174908424908424</v>
      </c>
      <c r="I11965" s="578">
        <f t="shared" si="2183"/>
        <v>822.63103800797137</v>
      </c>
      <c r="J11965" s="579">
        <f t="shared" si="2180"/>
        <v>201.42857142857142</v>
      </c>
      <c r="K11965" s="578">
        <f>J11965/POBLA!$B$12*100000</f>
        <v>51.184931156267595</v>
      </c>
      <c r="L11965" s="580">
        <f t="shared" si="2181"/>
        <v>0.1289031224979984</v>
      </c>
      <c r="M11965" s="583">
        <f>SUM(C11965,C11941,C11917,C11893,C11869,C11845,C11821)/POBLA!$B$12*100000</f>
        <v>358.29451809387314</v>
      </c>
      <c r="N11965" s="42" t="s">
        <v>21</v>
      </c>
      <c r="O11965" s="42">
        <v>5</v>
      </c>
      <c r="P11965" s="42">
        <v>9</v>
      </c>
      <c r="Q11965" s="42">
        <v>1</v>
      </c>
      <c r="R11965" s="42">
        <v>15</v>
      </c>
    </row>
    <row r="11966" spans="1:18" x14ac:dyDescent="0.25">
      <c r="A11966" s="582" t="s">
        <v>17</v>
      </c>
      <c r="B11966" s="574">
        <v>44391</v>
      </c>
      <c r="C11966" s="275">
        <v>753</v>
      </c>
      <c r="D11966" s="575">
        <v>146867</v>
      </c>
      <c r="E11966" s="275">
        <v>26</v>
      </c>
      <c r="F11966" s="575">
        <v>3564</v>
      </c>
      <c r="G11966" s="576">
        <f>SUM(C11966,C11942,C11918,C11894,C11870,C11846,C11822,C11798,C11774,C11750,C11726,C11702,C11678,C11654)/POBLA!$B$13*100000</f>
        <v>353.85949522141465</v>
      </c>
      <c r="H11966" s="577">
        <f t="shared" si="2182"/>
        <v>0.9020235655737705</v>
      </c>
      <c r="I11966" s="578">
        <f t="shared" si="2183"/>
        <v>319.18960359175503</v>
      </c>
      <c r="J11966" s="579">
        <f t="shared" si="2180"/>
        <v>456.85714285714283</v>
      </c>
      <c r="K11966" s="578">
        <f>J11966/POBLA!$B$13*100000</f>
        <v>22.953746693131663</v>
      </c>
      <c r="L11966" s="580">
        <f t="shared" si="2181"/>
        <v>-0.16827048114434329</v>
      </c>
      <c r="M11966" s="583">
        <f>SUM(C11966,C11942,C11918,C11894,C11870,C11846,C11822)/POBLA!$B$13*100000</f>
        <v>160.67622685192163</v>
      </c>
      <c r="N11966" s="42" t="s">
        <v>17</v>
      </c>
      <c r="O11966" s="42">
        <v>10</v>
      </c>
      <c r="P11966" s="42">
        <v>15</v>
      </c>
      <c r="Q11966" s="42">
        <v>1</v>
      </c>
      <c r="R11966" s="42">
        <v>26</v>
      </c>
    </row>
    <row r="11967" spans="1:18" x14ac:dyDescent="0.25">
      <c r="A11967" s="582" t="s">
        <v>23</v>
      </c>
      <c r="B11967" s="574">
        <v>44391</v>
      </c>
      <c r="C11967" s="275">
        <v>189</v>
      </c>
      <c r="D11967" s="575">
        <v>27925</v>
      </c>
      <c r="E11967" s="275">
        <v>2</v>
      </c>
      <c r="F11967" s="575">
        <v>484</v>
      </c>
      <c r="G11967" s="576">
        <f>SUM(C11967,C11943,C11919,C11895,C11871,C11847,C11823,C11799,C11775,C11751,C11727,C11703,C11679,C11655)/POBLA!$B$14*100000</f>
        <v>178.7053613194069</v>
      </c>
      <c r="H11967" s="577">
        <f t="shared" si="2182"/>
        <v>0.92528735632183912</v>
      </c>
      <c r="I11967" s="578">
        <f t="shared" si="2183"/>
        <v>165.35381133577306</v>
      </c>
      <c r="J11967" s="579">
        <f t="shared" si="2180"/>
        <v>152</v>
      </c>
      <c r="K11967" s="578">
        <f>J11967/POBLA!$B$14*100000</f>
        <v>12.05111575889523</v>
      </c>
      <c r="L11967" s="580">
        <f t="shared" si="2181"/>
        <v>-0.10588235294117643</v>
      </c>
      <c r="M11967" s="583">
        <f>SUM(C11967,C11943,C11919,C11895,C11871,C11847,C11823)/POBLA!$B$14*100000</f>
        <v>84.357810312266608</v>
      </c>
      <c r="N11967" s="42" t="s">
        <v>23</v>
      </c>
      <c r="O11967" s="42">
        <v>0</v>
      </c>
      <c r="P11967" s="42">
        <v>2</v>
      </c>
      <c r="Q11967" s="42">
        <v>0</v>
      </c>
      <c r="R11967" s="42">
        <v>2</v>
      </c>
    </row>
    <row r="11968" spans="1:18" x14ac:dyDescent="0.25">
      <c r="A11968" s="582" t="s">
        <v>19</v>
      </c>
      <c r="B11968" s="574">
        <v>44391</v>
      </c>
      <c r="C11968" s="275">
        <v>254</v>
      </c>
      <c r="D11968" s="575">
        <v>104145</v>
      </c>
      <c r="E11968" s="275"/>
      <c r="F11968" s="575">
        <v>1947</v>
      </c>
      <c r="G11968" s="576">
        <f>SUM(C11968,C11944,C11920,C11896,C11872,C11848,C11824,C11800,C11776,C11752,C11728,C11704,C11680,C11656)/POBLA!$B$15*100000</f>
        <v>409.15162403227436</v>
      </c>
      <c r="H11968" s="577">
        <f t="shared" si="2182"/>
        <v>0.80171141929772793</v>
      </c>
      <c r="I11968" s="578">
        <f t="shared" si="2183"/>
        <v>328.02152921088503</v>
      </c>
      <c r="J11968" s="579">
        <f t="shared" si="2180"/>
        <v>176.14285714285714</v>
      </c>
      <c r="K11968" s="578">
        <f>J11968/POBLA!$B$15*100000</f>
        <v>26.525261708386047</v>
      </c>
      <c r="L11968" s="580">
        <f t="shared" si="2181"/>
        <v>-0.16913746630727766</v>
      </c>
      <c r="M11968" s="583">
        <f>SUM(C11968,C11944,C11920,C11896,C11872,C11848,C11824)/POBLA!$B$15*100000</f>
        <v>185.67683195870234</v>
      </c>
    </row>
    <row r="11969" spans="1:18" x14ac:dyDescent="0.25">
      <c r="A11969" s="582" t="s">
        <v>18</v>
      </c>
      <c r="B11969" s="574">
        <v>44391</v>
      </c>
      <c r="C11969" s="275">
        <v>305</v>
      </c>
      <c r="D11969" s="575">
        <v>87358</v>
      </c>
      <c r="E11969" s="275">
        <v>3</v>
      </c>
      <c r="F11969" s="575">
        <v>2011</v>
      </c>
      <c r="G11969" s="576">
        <f>SUM(C11969,C11945,C11921,C11897,C11873,C11849,C11825,C11801,C11777,C11753,C11729,C11705,C11681,C11657)/POBLA!$B$16*100000</f>
        <v>411.8457484517329</v>
      </c>
      <c r="H11969" s="577">
        <f t="shared" si="2182"/>
        <v>0.83645748437924472</v>
      </c>
      <c r="I11969" s="578">
        <f t="shared" si="2183"/>
        <v>344.49145870222372</v>
      </c>
      <c r="J11969" s="579">
        <f t="shared" si="2180"/>
        <v>222.71428571428572</v>
      </c>
      <c r="K11969" s="578">
        <f>J11969/POBLA!$B$16*100000</f>
        <v>29.79016943517151</v>
      </c>
      <c r="L11969" s="580">
        <f t="shared" si="2181"/>
        <v>2.5657894736842213E-2</v>
      </c>
      <c r="M11969" s="583">
        <f>SUM(C11969,C11945,C11921,C11897,C11873,C11849,C11825)/POBLA!$B$16*100000</f>
        <v>208.53118604620059</v>
      </c>
      <c r="N11969" s="42" t="s">
        <v>18</v>
      </c>
      <c r="O11969" s="42">
        <v>0</v>
      </c>
      <c r="P11969" s="42">
        <v>3</v>
      </c>
      <c r="Q11969" s="42">
        <v>0</v>
      </c>
      <c r="R11969" s="42">
        <v>3</v>
      </c>
    </row>
    <row r="11970" spans="1:18" x14ac:dyDescent="0.25">
      <c r="A11970" s="582" t="s">
        <v>34</v>
      </c>
      <c r="B11970" s="574">
        <v>44391</v>
      </c>
      <c r="C11970" s="275">
        <v>724</v>
      </c>
      <c r="D11970" s="575">
        <v>68477</v>
      </c>
      <c r="E11970" s="275">
        <v>9</v>
      </c>
      <c r="F11970" s="575">
        <v>1888</v>
      </c>
      <c r="G11970" s="576">
        <f>SUM(C11970,C11946,C11922,C11898,C11874,C11850,C11826,C11802,C11778,C11754,C11730,C11706,C11682,C11658)/POBLA!$B$17*100000</f>
        <v>503.72192583949555</v>
      </c>
      <c r="H11970" s="577">
        <f t="shared" si="2182"/>
        <v>1.0448521916411824</v>
      </c>
      <c r="I11970" s="578">
        <f t="shared" si="2183"/>
        <v>526.3149581911141</v>
      </c>
      <c r="J11970" s="579">
        <f t="shared" si="2180"/>
        <v>507</v>
      </c>
      <c r="K11970" s="578">
        <f>J11970/POBLA!$B$17*100000</f>
        <v>35.594009254442405</v>
      </c>
      <c r="L11970" s="580">
        <f t="shared" si="2181"/>
        <v>-2.1235521235521193E-2</v>
      </c>
      <c r="M11970" s="583">
        <f>SUM(C11970,C11946,C11922,C11898,C11874,C11850,C11826)/POBLA!$B$17*100000</f>
        <v>249.15806478109681</v>
      </c>
      <c r="N11970" s="42" t="s">
        <v>34</v>
      </c>
      <c r="O11970" s="42">
        <v>6</v>
      </c>
      <c r="P11970" s="42">
        <v>3</v>
      </c>
      <c r="Q11970" s="42">
        <v>0</v>
      </c>
      <c r="R11970" s="42">
        <v>9</v>
      </c>
    </row>
    <row r="11971" spans="1:18" x14ac:dyDescent="0.25">
      <c r="A11971" s="582" t="s">
        <v>35</v>
      </c>
      <c r="B11971" s="574">
        <v>44391</v>
      </c>
      <c r="C11971" s="275">
        <v>355</v>
      </c>
      <c r="D11971" s="575">
        <v>55587</v>
      </c>
      <c r="E11971" s="275">
        <v>6</v>
      </c>
      <c r="F11971" s="575">
        <v>882</v>
      </c>
      <c r="G11971" s="576">
        <f>SUM(C11971,C11947,C11923,C11899,C11875,C11851,C11827,C11803,C11779,C11755,C11731,C11707,C11683,C11659)/POBLA!$B$18*100000</f>
        <v>600.21735318099832</v>
      </c>
      <c r="H11971" s="577">
        <f t="shared" si="2182"/>
        <v>0.78939393939393943</v>
      </c>
      <c r="I11971" s="578">
        <f t="shared" si="2183"/>
        <v>473.80794092015174</v>
      </c>
      <c r="J11971" s="579">
        <f t="shared" si="2180"/>
        <v>321.57142857142856</v>
      </c>
      <c r="K11971" s="578">
        <f>J11971/POBLA!$B$18*100000</f>
        <v>41.162881577260677</v>
      </c>
      <c r="L11971" s="580">
        <f t="shared" si="2181"/>
        <v>-7.670221493027074E-2</v>
      </c>
      <c r="M11971" s="583">
        <f>SUM(C11971,C11947,C11923,C11899,C11875,C11851,C11827)/POBLA!$B$18*100000</f>
        <v>288.14017104082473</v>
      </c>
      <c r="N11971" s="42" t="s">
        <v>35</v>
      </c>
      <c r="O11971" s="42">
        <v>2</v>
      </c>
      <c r="P11971" s="42">
        <v>4</v>
      </c>
      <c r="Q11971" s="42">
        <v>0</v>
      </c>
      <c r="R11971" s="42">
        <v>6</v>
      </c>
    </row>
    <row r="11972" spans="1:18" x14ac:dyDescent="0.25">
      <c r="A11972" s="582" t="s">
        <v>36</v>
      </c>
      <c r="B11972" s="574">
        <v>44391</v>
      </c>
      <c r="C11972" s="275">
        <v>336</v>
      </c>
      <c r="D11972" s="575">
        <v>70418</v>
      </c>
      <c r="E11972" s="275">
        <v>14</v>
      </c>
      <c r="F11972" s="575">
        <v>1121</v>
      </c>
      <c r="G11972" s="576">
        <f>SUM(C11972,C11948,C11924,C11900,C11876,C11852,C11828,C11804,C11780,C11756,C11732,C11708,C11684,C11660)/POBLA!$B$19*100000</f>
        <v>911.81284524952389</v>
      </c>
      <c r="H11972" s="577">
        <f t="shared" si="2182"/>
        <v>0.8946149392009265</v>
      </c>
      <c r="I11972" s="578">
        <f t="shared" si="2183"/>
        <v>815.72139311552667</v>
      </c>
      <c r="J11972" s="579">
        <f t="shared" si="2180"/>
        <v>318.42857142857144</v>
      </c>
      <c r="K11972" s="578">
        <f>J11972/POBLA!$B$19*100000</f>
        <v>62.642343413813805</v>
      </c>
      <c r="L11972" s="580">
        <f t="shared" si="2181"/>
        <v>-7.3566084788029951E-2</v>
      </c>
      <c r="M11972" s="583">
        <f>SUM(C11972,C11948,C11924,C11900,C11876,C11852,C11828)/POBLA!$B$19*100000</f>
        <v>438.49640389669656</v>
      </c>
      <c r="N11972" s="42" t="s">
        <v>36</v>
      </c>
      <c r="O11972" s="42">
        <v>10</v>
      </c>
      <c r="P11972" s="42">
        <v>4</v>
      </c>
      <c r="Q11972" s="42">
        <v>0</v>
      </c>
      <c r="R11972" s="42">
        <v>14</v>
      </c>
    </row>
    <row r="11973" spans="1:18" x14ac:dyDescent="0.25">
      <c r="A11973" s="582" t="s">
        <v>37</v>
      </c>
      <c r="B11973" s="574">
        <v>44391</v>
      </c>
      <c r="C11973" s="275">
        <v>107</v>
      </c>
      <c r="D11973" s="575">
        <v>56767</v>
      </c>
      <c r="E11973" s="275">
        <v>1</v>
      </c>
      <c r="F11973" s="575">
        <v>893</v>
      </c>
      <c r="G11973" s="576">
        <f>SUM(C11973,C11949,C11926,C11901,C11877,C11853,C11829,C11805,C11781,C11757,C11733,C11709,C11685,C11661)/POBLA!$B$20*100000</f>
        <v>669.6782591099759</v>
      </c>
      <c r="H11973" s="577">
        <f t="shared" si="2182"/>
        <v>0.85057471264367812</v>
      </c>
      <c r="I11973" s="578">
        <f t="shared" si="2183"/>
        <v>569.61139280618636</v>
      </c>
      <c r="J11973" s="579">
        <f t="shared" si="2180"/>
        <v>71</v>
      </c>
      <c r="K11973" s="578">
        <f>J11973/POBLA!$B$20*100000</f>
        <v>19.414927070971128</v>
      </c>
      <c r="L11973" s="580">
        <f t="shared" si="2181"/>
        <v>-0.34691195795006569</v>
      </c>
      <c r="M11973" s="583">
        <f>SUM(C11973,C11949,C11925,C11901,C11877,C11853,C11829)/POBLA!$B$20*100000</f>
        <v>135.90448949679791</v>
      </c>
      <c r="N11973" s="42" t="s">
        <v>37</v>
      </c>
      <c r="O11973" s="42">
        <v>0</v>
      </c>
      <c r="P11973" s="42">
        <v>1</v>
      </c>
      <c r="Q11973" s="42">
        <v>0</v>
      </c>
      <c r="R11973" s="42">
        <v>1</v>
      </c>
    </row>
    <row r="11974" spans="1:18" x14ac:dyDescent="0.25">
      <c r="A11974" s="582" t="s">
        <v>22</v>
      </c>
      <c r="B11974" s="574">
        <v>44391</v>
      </c>
      <c r="C11974" s="275">
        <v>1907</v>
      </c>
      <c r="D11974" s="575">
        <v>427287</v>
      </c>
      <c r="E11974" s="275">
        <v>42</v>
      </c>
      <c r="F11974" s="575">
        <v>7195</v>
      </c>
      <c r="G11974" s="576">
        <f>SUM(C11974,C11950,C11926,C11902,C11878,C11854,C11830,C11806,C11782,C11758,C11734,C11710,C11686,C11662)/POBLA!$B$21*100000</f>
        <v>596.98825195437871</v>
      </c>
      <c r="H11974" s="577">
        <f t="shared" si="2182"/>
        <v>0.92192139737991263</v>
      </c>
      <c r="I11974" s="578">
        <f t="shared" si="2183"/>
        <v>550.37624346117218</v>
      </c>
      <c r="J11974" s="579">
        <f t="shared" si="2180"/>
        <v>1444.5714285714287</v>
      </c>
      <c r="K11974" s="578">
        <f>J11974/POBLA!$B$21*100000</f>
        <v>40.848435580053845</v>
      </c>
      <c r="L11974" s="580">
        <f t="shared" si="2181"/>
        <v>-8.0727272727272759E-2</v>
      </c>
      <c r="M11974" s="583">
        <f>SUM(C11974,C11950,C11926,C11902,C11878,C11854,C11830)/POBLA!$B$21*100000</f>
        <v>285.93904906037693</v>
      </c>
      <c r="N11974" s="42" t="s">
        <v>22</v>
      </c>
      <c r="O11974" s="42">
        <v>27</v>
      </c>
      <c r="P11974" s="42">
        <v>15</v>
      </c>
      <c r="Q11974" s="42">
        <v>0</v>
      </c>
      <c r="R11974" s="42">
        <v>42</v>
      </c>
    </row>
    <row r="11975" spans="1:18" x14ac:dyDescent="0.25">
      <c r="A11975" s="582" t="s">
        <v>38</v>
      </c>
      <c r="B11975" s="574">
        <v>44391</v>
      </c>
      <c r="C11975" s="275">
        <v>683</v>
      </c>
      <c r="D11975" s="575">
        <v>67070</v>
      </c>
      <c r="E11975" s="275">
        <v>12</v>
      </c>
      <c r="F11975" s="575">
        <v>931</v>
      </c>
      <c r="G11975" s="576">
        <f>SUM(C11975,C11951,C11927,C11903,C11879,C11855,C11831,C11807,C11783,C11759,C11735,C11711,C11687,C11663)/POBLA!$B$22*100000</f>
        <v>779.40291092932432</v>
      </c>
      <c r="H11975" s="577">
        <f t="shared" si="2182"/>
        <v>1.0766732561423327</v>
      </c>
      <c r="I11975" s="578">
        <f t="shared" si="2183"/>
        <v>839.16226995708814</v>
      </c>
      <c r="J11975" s="579">
        <f t="shared" si="2180"/>
        <v>560.14285714285711</v>
      </c>
      <c r="K11975" s="578">
        <f>J11975/POBLA!$B$22*100000</f>
        <v>57.255996510611332</v>
      </c>
      <c r="L11975" s="580">
        <f t="shared" si="2181"/>
        <v>5.8585313174946085E-2</v>
      </c>
      <c r="M11975" s="583">
        <f>SUM(C11975,C11951,C11927,C11903,C11879,C11855,C11831)/POBLA!$B$22*100000</f>
        <v>400.79197557427943</v>
      </c>
      <c r="N11975" s="42" t="s">
        <v>38</v>
      </c>
      <c r="O11975" s="42">
        <v>7</v>
      </c>
      <c r="P11975" s="42">
        <v>5</v>
      </c>
      <c r="Q11975" s="42">
        <v>0</v>
      </c>
      <c r="R11975" s="42">
        <v>12</v>
      </c>
    </row>
    <row r="11976" spans="1:18" x14ac:dyDescent="0.25">
      <c r="A11976" s="582" t="s">
        <v>39</v>
      </c>
      <c r="B11976" s="574">
        <v>44391</v>
      </c>
      <c r="C11976" s="275">
        <v>71</v>
      </c>
      <c r="D11976" s="575">
        <v>30388</v>
      </c>
      <c r="E11976" s="275">
        <v>2</v>
      </c>
      <c r="F11976" s="575">
        <v>461</v>
      </c>
      <c r="G11976" s="576">
        <f>SUM(C11976,C11952,C11928,C11904,C11880,C11856,C11832,C11808,C11784,C11760,C11736,C11712,C11688,C11664)/POBLA!$B$23*100000</f>
        <v>343.26754509981339</v>
      </c>
      <c r="H11976" s="577">
        <f t="shared" si="2182"/>
        <v>1.0066334991708126</v>
      </c>
      <c r="I11976" s="578">
        <f t="shared" si="2183"/>
        <v>345.54461007559985</v>
      </c>
      <c r="J11976" s="579">
        <f t="shared" si="2180"/>
        <v>43.571428571428569</v>
      </c>
      <c r="K11976" s="578">
        <f>J11976/POBLA!$B$23*100000</f>
        <v>24.64029212884045</v>
      </c>
      <c r="L11976" s="580">
        <f t="shared" si="2181"/>
        <v>9.9337748344370258E-3</v>
      </c>
      <c r="M11976" s="583">
        <f>SUM(C11976,C11952,C11928,C11904,C11880,C11856,C11832)/POBLA!$B$23*100000</f>
        <v>172.48204490188317</v>
      </c>
      <c r="N11976" s="42" t="s">
        <v>39</v>
      </c>
      <c r="O11976" s="42">
        <v>1</v>
      </c>
      <c r="P11976" s="42">
        <v>1</v>
      </c>
      <c r="Q11976" s="42">
        <v>0</v>
      </c>
      <c r="R11976" s="42">
        <v>2</v>
      </c>
    </row>
    <row r="11977" spans="1:18" ht="15.75" thickBot="1" x14ac:dyDescent="0.3">
      <c r="A11977" s="646" t="s">
        <v>40</v>
      </c>
      <c r="B11977" s="647">
        <v>44391</v>
      </c>
      <c r="C11977" s="648">
        <v>1046</v>
      </c>
      <c r="D11977" s="642">
        <v>169425</v>
      </c>
      <c r="E11977" s="648">
        <v>21</v>
      </c>
      <c r="F11977" s="642">
        <v>2407</v>
      </c>
      <c r="G11977" s="649">
        <f>SUM(C11977,C11953,C11929,C11905,C11881,C11857,C11833,C11809,C11785,C11761,C11737,C11713,C11689,C11665)/POBLA!$B$24*100000</f>
        <v>701.97137354129688</v>
      </c>
      <c r="H11977" s="650">
        <f t="shared" si="2182"/>
        <v>0.87890653860362022</v>
      </c>
      <c r="I11977" s="651">
        <f t="shared" si="2183"/>
        <v>616.96723011801021</v>
      </c>
      <c r="J11977" s="652">
        <f t="shared" si="2180"/>
        <v>666</v>
      </c>
      <c r="K11977" s="651">
        <f>J11977/POBLA!$B$24*100000</f>
        <v>39.300011329732996</v>
      </c>
      <c r="L11977" s="653">
        <f t="shared" si="2181"/>
        <v>-0.35554326790157587</v>
      </c>
      <c r="M11977" s="654">
        <f>SUM(C11977,C11953,C11929,C11905,C11881,C11857,C11833)/POBLA!$B$24*100000</f>
        <v>275.100079308131</v>
      </c>
      <c r="N11977" s="42" t="s">
        <v>40</v>
      </c>
      <c r="O11977" s="42">
        <v>9</v>
      </c>
      <c r="P11977" s="42">
        <v>11</v>
      </c>
      <c r="Q11977" s="42">
        <v>1</v>
      </c>
      <c r="R11977" s="42">
        <v>21</v>
      </c>
    </row>
    <row r="11978" spans="1:18" x14ac:dyDescent="0.25">
      <c r="A11978" s="363" t="s">
        <v>16</v>
      </c>
      <c r="B11978" s="265">
        <v>44392</v>
      </c>
      <c r="C11978" s="356">
        <v>5071</v>
      </c>
      <c r="D11978" s="174">
        <f>C11978+D11954</f>
        <v>1917282</v>
      </c>
      <c r="E11978" s="43">
        <v>124</v>
      </c>
      <c r="F11978" s="174">
        <f t="shared" ref="F11978:F11996" si="2184">E11978+F11954</f>
        <v>50310</v>
      </c>
      <c r="G11978" s="175">
        <f>SUM(C11978,C11954,C11906,C11930,C11882,C11858,C11834,C11810,C11786,C11762,C11738,C11714,C11690,C11666)/POBLA!$B$1*100000</f>
        <v>386.7536325031536</v>
      </c>
      <c r="H11978" s="300">
        <f t="shared" si="2182"/>
        <v>0.77893999586653506</v>
      </c>
      <c r="I11978" s="301">
        <f>G11978*H11978</f>
        <v>301.25787290337388</v>
      </c>
      <c r="J11978" s="421">
        <f>AVERAGE(C11978,C11954,C11930,C11906,C11882,C11858,C11834)</f>
        <v>4378</v>
      </c>
      <c r="K11978" s="301">
        <f>J11978/POBLA!$B$1*100000</f>
        <v>24.958467639020746</v>
      </c>
      <c r="L11978" s="399">
        <f>(SUM(C11978,C11954,C11930,C11906,C11882,C11858,C11834)/SUM(C11810,C11786,C11762,C11738,C11714,C11690,C11666))-1</f>
        <v>-0.17607205269525472</v>
      </c>
      <c r="M11978" s="400">
        <f>SUM(C11978,C11954,C11930,C11906,C11882,C11858,C11834)/POBLA!$B$1*100000</f>
        <v>174.7092734731452</v>
      </c>
      <c r="N11978" s="42" t="s">
        <v>16</v>
      </c>
      <c r="O11978" s="42">
        <v>50</v>
      </c>
      <c r="P11978" s="42">
        <v>72</v>
      </c>
      <c r="Q11978" s="42">
        <v>2</v>
      </c>
      <c r="R11978" s="42">
        <v>124</v>
      </c>
    </row>
    <row r="11979" spans="1:18" x14ac:dyDescent="0.25">
      <c r="A11979" s="367" t="s">
        <v>43</v>
      </c>
      <c r="B11979" s="2">
        <v>44392</v>
      </c>
      <c r="C11979" s="4">
        <v>928</v>
      </c>
      <c r="D11979" s="39">
        <f t="shared" ref="D11979:D11993" si="2185">C11979+D11955</f>
        <v>479209</v>
      </c>
      <c r="E11979" s="1">
        <v>32</v>
      </c>
      <c r="F11979" s="39">
        <f t="shared" si="2184"/>
        <v>10667</v>
      </c>
      <c r="G11979" s="168">
        <f>SUM(C11979,C11955,C11931,C11907,C11883,C11859,C11835,C11811,C11787,C11763,C11739,C11715,C11691,C11667)/POBLA!$B$2*100000</f>
        <v>453.530737932779</v>
      </c>
      <c r="H11979" s="256">
        <f t="shared" si="2182"/>
        <v>0.79969042022587855</v>
      </c>
      <c r="I11979" s="297">
        <f t="shared" ref="I11979:I11985" si="2186">G11979*H11979</f>
        <v>362.68418640281686</v>
      </c>
      <c r="J11979" s="422">
        <f>AVERAGE(C11979,C11955,C11931,C11907,C11883,C11859,C11835)</f>
        <v>950.85714285714289</v>
      </c>
      <c r="K11979" s="297">
        <f>J11979/POBLA!$B$2*100000</f>
        <v>30.915688699451852</v>
      </c>
      <c r="L11979" s="200">
        <f>(SUM(C11979,C11955,C11931,C11907,C11883,C11859,C11835)/SUM(C11811,C11787,C11763,C11739,C11715,C11691,C11667))-1</f>
        <v>-8.7344028520499162E-2</v>
      </c>
      <c r="M11979" s="401">
        <f>SUM(C11979,C11955,C11931,C11907,C11883,C11859,C11835)/POBLA!$B$2*100000</f>
        <v>216.40982089616293</v>
      </c>
      <c r="N11979" s="42" t="s">
        <v>43</v>
      </c>
      <c r="O11979" s="42">
        <v>17</v>
      </c>
      <c r="P11979" s="42">
        <v>15</v>
      </c>
      <c r="Q11979" s="42">
        <v>0</v>
      </c>
      <c r="R11979" s="42">
        <v>32</v>
      </c>
    </row>
    <row r="11980" spans="1:18" x14ac:dyDescent="0.25">
      <c r="A11980" s="367" t="s">
        <v>28</v>
      </c>
      <c r="B11980" s="2">
        <v>44392</v>
      </c>
      <c r="C11980" s="4">
        <v>323</v>
      </c>
      <c r="D11980" s="39">
        <f t="shared" si="2185"/>
        <v>38289</v>
      </c>
      <c r="F11980" s="39">
        <f t="shared" si="2184"/>
        <v>392</v>
      </c>
      <c r="G11980" s="168">
        <f>SUM(C11980,C11956,C11932,C11908,C11884,C11860,C11836,C11812,C11788,C11764,C11740,C11716,C11692,C11668)/POBLA!$B$3*100000</f>
        <v>899.77325136362117</v>
      </c>
      <c r="H11980" s="256">
        <f t="shared" si="2182"/>
        <v>0.89169847328244278</v>
      </c>
      <c r="I11980" s="297">
        <f t="shared" si="2186"/>
        <v>802.32643454132062</v>
      </c>
      <c r="J11980" s="422">
        <f t="shared" ref="J11980:J12001" si="2187">AVERAGE(C11980,C11956,C11932,C11908,C11884,C11860,C11836)</f>
        <v>248.14285714285714</v>
      </c>
      <c r="K11980" s="297">
        <f>J11980/POBLA!$B$3*100000</f>
        <v>59.730418773164025</v>
      </c>
      <c r="L11980" s="200">
        <f t="shared" ref="L11980:L12001" si="2188">(SUM(C11980,C11956,C11932,C11908,C11884,C11860,C11836)/SUM(C11812,C11788,C11764,C11740,C11716,C11692,C11668))-1</f>
        <v>-0.13193403298350825</v>
      </c>
      <c r="M11980" s="401">
        <f>SUM(C11980,C11956,C11932,C11908,C11884,C11860,C11836)/POBLA!$B$3*100000</f>
        <v>418.1129314121481</v>
      </c>
    </row>
    <row r="11981" spans="1:18" x14ac:dyDescent="0.25">
      <c r="A11981" s="367" t="s">
        <v>15</v>
      </c>
      <c r="B11981" s="2">
        <v>44392</v>
      </c>
      <c r="C11981" s="4">
        <v>548</v>
      </c>
      <c r="D11981" s="39">
        <f t="shared" si="2185"/>
        <v>85052</v>
      </c>
      <c r="E11981" s="1">
        <v>14</v>
      </c>
      <c r="F11981" s="39">
        <f t="shared" si="2184"/>
        <v>1850</v>
      </c>
      <c r="G11981" s="168">
        <f>SUM(C11981,C11957,C11933,C11909,C11885,C11861,C11837,C11813,C11789,C11765,C11741,C11717,C11693,C11669)/POBLA!$B$4*100000</f>
        <v>614.67397124713887</v>
      </c>
      <c r="H11981" s="256">
        <f t="shared" si="2182"/>
        <v>0.97331405284606287</v>
      </c>
      <c r="I11981" s="297">
        <f t="shared" si="2186"/>
        <v>598.2708141335371</v>
      </c>
      <c r="J11981" s="422">
        <f t="shared" si="2187"/>
        <v>507.42857142857144</v>
      </c>
      <c r="K11981" s="297">
        <f>J11981/POBLA!$B$4*100000</f>
        <v>42.126301340392018</v>
      </c>
      <c r="L11981" s="200">
        <f t="shared" si="2188"/>
        <v>-7.7881619937694713E-2</v>
      </c>
      <c r="M11981" s="401">
        <f>SUM(C11981,C11957,C11933,C11909,C11885,C11861,C11837)/POBLA!$B$4*100000</f>
        <v>294.8841093827441</v>
      </c>
      <c r="N11981" s="42" t="s">
        <v>15</v>
      </c>
      <c r="O11981" s="42">
        <v>10</v>
      </c>
      <c r="P11981" s="42">
        <v>4</v>
      </c>
      <c r="Q11981" s="42">
        <v>0</v>
      </c>
      <c r="R11981" s="42">
        <v>14</v>
      </c>
    </row>
    <row r="11982" spans="1:18" x14ac:dyDescent="0.25">
      <c r="A11982" s="367" t="s">
        <v>29</v>
      </c>
      <c r="B11982" s="2">
        <v>44392</v>
      </c>
      <c r="C11982" s="4">
        <v>170</v>
      </c>
      <c r="D11982" s="39">
        <f t="shared" si="2185"/>
        <v>73469</v>
      </c>
      <c r="E11982" s="1">
        <v>10</v>
      </c>
      <c r="F11982" s="39">
        <f t="shared" si="2184"/>
        <v>1265</v>
      </c>
      <c r="G11982" s="168">
        <f>SUM(C11982,C11958,C11934,C11910,C11886,C11862,C11838,C11814,C11790,C11766,C11742,C11718,C11694,C11670)/POBLA!$B$5*100000</f>
        <v>394.51109380704821</v>
      </c>
      <c r="H11982" s="256">
        <f t="shared" si="2182"/>
        <v>0.79934533551554832</v>
      </c>
      <c r="I11982" s="297">
        <f t="shared" si="2186"/>
        <v>315.35060264380093</v>
      </c>
      <c r="J11982" s="422">
        <f t="shared" si="2187"/>
        <v>163</v>
      </c>
      <c r="K11982" s="297">
        <f>J11982/POBLA!$B$5*100000</f>
        <v>26.333050078029835</v>
      </c>
      <c r="L11982" s="200">
        <f t="shared" si="2188"/>
        <v>-0.12298232129131437</v>
      </c>
      <c r="M11982" s="401">
        <f>SUM(C11982,C11958,C11934,C11910,C11886,C11862,C11838)/POBLA!$B$5*100000</f>
        <v>184.33135054620885</v>
      </c>
      <c r="N11982" s="42" t="s">
        <v>29</v>
      </c>
      <c r="O11982" s="42">
        <v>4</v>
      </c>
      <c r="P11982" s="42">
        <v>6</v>
      </c>
      <c r="Q11982" s="42">
        <v>0</v>
      </c>
      <c r="R11982" s="42">
        <v>10</v>
      </c>
    </row>
    <row r="11983" spans="1:18" x14ac:dyDescent="0.25">
      <c r="A11983" s="367" t="s">
        <v>30</v>
      </c>
      <c r="B11983" s="2">
        <v>44392</v>
      </c>
      <c r="C11983" s="4">
        <v>639</v>
      </c>
      <c r="D11983" s="39">
        <f t="shared" si="2185"/>
        <v>441230</v>
      </c>
      <c r="E11983" s="1">
        <v>6</v>
      </c>
      <c r="F11983" s="39">
        <f t="shared" si="2184"/>
        <v>5785</v>
      </c>
      <c r="G11983" s="168">
        <f>SUM(C11983,C11959,C11935,C11911,C11887,C11863,C11839,C11815,C11791,C11767,C11743,C11719,C11695,C11671)/POBLA!$B$6*100000</f>
        <v>573.16151573740558</v>
      </c>
      <c r="H11983" s="256">
        <f t="shared" si="2182"/>
        <v>0.82901019486385341</v>
      </c>
      <c r="I11983" s="297">
        <f t="shared" si="2186"/>
        <v>475.15673984992816</v>
      </c>
      <c r="J11983" s="422">
        <f t="shared" si="2187"/>
        <v>493.57142857142856</v>
      </c>
      <c r="K11983" s="297">
        <f>J11983/POBLA!$B$6*100000</f>
        <v>44.037382958386772</v>
      </c>
      <c r="L11983" s="200">
        <f t="shared" si="2188"/>
        <v>0.16369147861232736</v>
      </c>
      <c r="M11983" s="401">
        <f>SUM(C11983,C11959,C11935,C11911,C11887,C11863,C11839)/POBLA!$B$6*100000</f>
        <v>308.26168070870744</v>
      </c>
      <c r="N11983" s="42" t="s">
        <v>30</v>
      </c>
      <c r="O11983" s="42">
        <v>3</v>
      </c>
      <c r="P11983" s="42">
        <v>3</v>
      </c>
      <c r="Q11983" s="42">
        <v>0</v>
      </c>
      <c r="R11983" s="42">
        <v>6</v>
      </c>
    </row>
    <row r="11984" spans="1:18" x14ac:dyDescent="0.25">
      <c r="A11984" s="367" t="s">
        <v>20</v>
      </c>
      <c r="B11984" s="2">
        <v>44392</v>
      </c>
      <c r="C11984" s="4">
        <v>1968</v>
      </c>
      <c r="D11984" s="39">
        <f t="shared" si="2185"/>
        <v>73228</v>
      </c>
      <c r="E11984" s="1">
        <v>42</v>
      </c>
      <c r="F11984" s="39">
        <f t="shared" si="2184"/>
        <v>816</v>
      </c>
      <c r="G11984" s="168">
        <f>SUM(C11984,C11960,C11936,C11912,C11888,C11864,C11840,C11816,C11792,C11768,C11744,C11720,C11696,C11672)/POBLA!$B$7*100000</f>
        <v>740.17737238894279</v>
      </c>
      <c r="H11984" s="256">
        <f t="shared" si="2182"/>
        <v>0.79035692989181361</v>
      </c>
      <c r="I11984" s="297">
        <f t="shared" si="2186"/>
        <v>585.00431561671451</v>
      </c>
      <c r="J11984" s="422">
        <f t="shared" si="2187"/>
        <v>1860.5714285714287</v>
      </c>
      <c r="K11984" s="297">
        <f>J11984/POBLA!$B$7*100000</f>
        <v>49.477361182077374</v>
      </c>
      <c r="L11984" s="200">
        <f t="shared" si="2188"/>
        <v>-0.12059419311276165</v>
      </c>
      <c r="M11984" s="401">
        <f>SUM(C11984,C11960,C11936,C11912,C11888,C11864,C11840)/POBLA!$B$7*100000</f>
        <v>346.34152827454159</v>
      </c>
      <c r="N11984" s="42" t="s">
        <v>20</v>
      </c>
      <c r="O11984" s="42">
        <v>20</v>
      </c>
      <c r="P11984" s="42">
        <v>22</v>
      </c>
      <c r="Q11984" s="42">
        <v>0</v>
      </c>
      <c r="R11984" s="42">
        <v>42</v>
      </c>
    </row>
    <row r="11985" spans="1:18" x14ac:dyDescent="0.25">
      <c r="A11985" s="367" t="s">
        <v>31</v>
      </c>
      <c r="B11985" s="2">
        <v>44392</v>
      </c>
      <c r="C11985" s="4">
        <v>840</v>
      </c>
      <c r="D11985" s="39">
        <f t="shared" si="2185"/>
        <v>120810</v>
      </c>
      <c r="E11985" s="1">
        <v>6</v>
      </c>
      <c r="F11985" s="39">
        <f t="shared" si="2184"/>
        <v>1997</v>
      </c>
      <c r="G11985" s="168">
        <f>SUM(C11985,C11961,C11937,C11913,C11889,C11865,C11841,C11817,C11793,C11769,C11745,C11721,C11697,C11673)/POBLA!$B$8*100000</f>
        <v>694.82474615086574</v>
      </c>
      <c r="H11985" s="256">
        <f t="shared" ref="H11985:H12008" si="2189">SUM(C11985,C11961,C11937,C11913,C11889,C11865,C11841,C11817,C11793,C11769,C11745,C11721,C11697,C11673,)/SUM(C11649,C11625,C11601,C11577,C11553,C11529,C11505,C11481,C11457,C11433,C11409,C11385,C11361,C11337)</f>
        <v>0.98295396549964276</v>
      </c>
      <c r="I11985" s="297">
        <f t="shared" si="2186"/>
        <v>682.98073955627615</v>
      </c>
      <c r="J11985" s="422">
        <f t="shared" si="2187"/>
        <v>662.71428571428567</v>
      </c>
      <c r="K11985" s="297">
        <f>J11985/POBLA!$B$8*100000</f>
        <v>47.816229007474647</v>
      </c>
      <c r="L11985" s="200">
        <f t="shared" si="2188"/>
        <v>-7.0526948507313114E-2</v>
      </c>
      <c r="M11985" s="401">
        <f>SUM(C11985,C11961,C11937,C11913,C11889,C11865,C11841)/POBLA!$B$8*100000</f>
        <v>334.71360305232258</v>
      </c>
      <c r="N11985" s="42" t="s">
        <v>31</v>
      </c>
      <c r="O11985" s="42">
        <v>3</v>
      </c>
      <c r="P11985" s="42">
        <v>3</v>
      </c>
      <c r="Q11985" s="42">
        <v>0</v>
      </c>
      <c r="R11985" s="42">
        <v>6</v>
      </c>
    </row>
    <row r="11986" spans="1:18" x14ac:dyDescent="0.25">
      <c r="A11986" s="367" t="s">
        <v>41</v>
      </c>
      <c r="B11986" s="2">
        <v>44392</v>
      </c>
      <c r="C11986" s="4">
        <v>441</v>
      </c>
      <c r="D11986" s="39">
        <f t="shared" si="2185"/>
        <v>51892</v>
      </c>
      <c r="E11986" s="1">
        <v>8</v>
      </c>
      <c r="F11986" s="39">
        <f t="shared" si="2184"/>
        <v>913</v>
      </c>
      <c r="G11986" s="168">
        <f>SUM(C11986,C11962,C11938,C11914,C11890,C11866,C11842,C11818,C11794,C11770,C11746,C11722,C11698,C11674)/POBLA!$B$9*100000</f>
        <v>968.45138658246208</v>
      </c>
      <c r="H11986" s="256">
        <f t="shared" si="2189"/>
        <v>0.98986657659179189</v>
      </c>
      <c r="I11986" s="297">
        <f>G11986*H11986</f>
        <v>958.63765863195579</v>
      </c>
      <c r="J11986" s="422">
        <f t="shared" si="2187"/>
        <v>421.71428571428572</v>
      </c>
      <c r="K11986" s="297">
        <f>J11986/POBLA!$B$9*100000</f>
        <v>69.682611285042242</v>
      </c>
      <c r="L11986" s="200">
        <f t="shared" si="2188"/>
        <v>1.4781711928497865E-2</v>
      </c>
      <c r="M11986" s="401">
        <f>SUM(C11986,C11962,C11938,C11914,C11890,C11866,C11842)/POBLA!$B$9*100000</f>
        <v>487.77827899529569</v>
      </c>
      <c r="N11986" s="42" t="s">
        <v>41</v>
      </c>
      <c r="O11986" s="42">
        <v>3</v>
      </c>
      <c r="P11986" s="42">
        <v>5</v>
      </c>
      <c r="Q11986" s="42">
        <v>0</v>
      </c>
      <c r="R11986" s="42">
        <v>8</v>
      </c>
    </row>
    <row r="11987" spans="1:18" x14ac:dyDescent="0.25">
      <c r="A11987" s="367" t="s">
        <v>32</v>
      </c>
      <c r="B11987" s="2">
        <v>44392</v>
      </c>
      <c r="C11987" s="4">
        <v>288</v>
      </c>
      <c r="D11987" s="39">
        <f t="shared" si="2185"/>
        <v>40081</v>
      </c>
      <c r="E11987" s="1">
        <v>6</v>
      </c>
      <c r="F11987" s="39">
        <f t="shared" si="2184"/>
        <v>1250</v>
      </c>
      <c r="G11987" s="168">
        <f>SUM(C11987,C11963,C11939,C11915,C11891,C11867,C11843,C11819,C11795,C11771,C11747,C11723,C11699,C11675)/POBLA!$B$10*100000</f>
        <v>513.30879863428981</v>
      </c>
      <c r="H11987" s="256">
        <f t="shared" si="2189"/>
        <v>1.1344610091743119</v>
      </c>
      <c r="I11987" s="297">
        <f t="shared" ref="I11987:I12001" si="2190">G11987*H11987</f>
        <v>582.32881771671009</v>
      </c>
      <c r="J11987" s="422">
        <f t="shared" si="2187"/>
        <v>283.28571428571428</v>
      </c>
      <c r="K11987" s="297">
        <f>J11987/POBLA!$B$10*100000</f>
        <v>36.748306714747706</v>
      </c>
      <c r="L11987" s="200">
        <f t="shared" si="2188"/>
        <v>4.5592705167172287E-3</v>
      </c>
      <c r="M11987" s="401">
        <f>SUM(C11987,C11963,C11939,C11915,C11891,C11867,C11843)/POBLA!$B$10*100000</f>
        <v>257.23814700323396</v>
      </c>
      <c r="N11987" s="42" t="s">
        <v>32</v>
      </c>
      <c r="O11987" s="42">
        <v>3</v>
      </c>
      <c r="P11987" s="42">
        <v>3</v>
      </c>
      <c r="Q11987" s="42">
        <v>0</v>
      </c>
      <c r="R11987" s="42">
        <v>6</v>
      </c>
    </row>
    <row r="11988" spans="1:18" x14ac:dyDescent="0.25">
      <c r="A11988" s="367" t="s">
        <v>33</v>
      </c>
      <c r="B11988" s="2">
        <v>44392</v>
      </c>
      <c r="C11988" s="4">
        <v>301</v>
      </c>
      <c r="D11988" s="39">
        <f t="shared" si="2185"/>
        <v>57075</v>
      </c>
      <c r="E11988" s="1">
        <v>1</v>
      </c>
      <c r="F11988" s="39">
        <f t="shared" si="2184"/>
        <v>791</v>
      </c>
      <c r="G11988" s="168">
        <f>SUM(C11988,C11964,C11940,C11916,C11892,C11868,C11844,C11820,C11796,C11772,C11748,C11724,C11700,C11676)/POBLA!$B$11*100000</f>
        <v>1039.8183177653532</v>
      </c>
      <c r="H11988" s="256">
        <f t="shared" si="2189"/>
        <v>0.78645283815150879</v>
      </c>
      <c r="I11988" s="297">
        <f t="shared" si="2190"/>
        <v>817.76806716848944</v>
      </c>
      <c r="J11988" s="422">
        <f t="shared" si="2187"/>
        <v>258.57142857142856</v>
      </c>
      <c r="K11988" s="297">
        <f>J11988/POBLA!$B$11*100000</f>
        <v>72.140409948840087</v>
      </c>
      <c r="L11988" s="200">
        <f t="shared" si="2188"/>
        <v>-5.5816379760041723E-2</v>
      </c>
      <c r="M11988" s="401">
        <f>SUM(C11988,C11964,C11940,C11916,C11892,C11868,C11844)/POBLA!$B$11*100000</f>
        <v>504.98286964188065</v>
      </c>
      <c r="N11988" s="42" t="s">
        <v>33</v>
      </c>
      <c r="O11988" s="42">
        <v>0</v>
      </c>
      <c r="P11988" s="42">
        <v>1</v>
      </c>
      <c r="Q11988" s="42">
        <v>0</v>
      </c>
      <c r="R11988" s="42">
        <v>1</v>
      </c>
    </row>
    <row r="11989" spans="1:18" x14ac:dyDescent="0.25">
      <c r="A11989" s="367" t="s">
        <v>21</v>
      </c>
      <c r="B11989" s="2">
        <v>44392</v>
      </c>
      <c r="C11989" s="4">
        <v>206</v>
      </c>
      <c r="D11989" s="39">
        <f t="shared" si="2185"/>
        <v>25048</v>
      </c>
      <c r="E11989" s="1">
        <v>48</v>
      </c>
      <c r="F11989" s="39">
        <f t="shared" si="2184"/>
        <v>717</v>
      </c>
      <c r="G11989" s="168">
        <f>SUM(C11989,C11965,C11941,C11917,C11893,C11869,C11845,C11821,C11797,C11773,C11749,C11725,C11701,C11677)/POBLA!$B$12*100000</f>
        <v>671.3575296482361</v>
      </c>
      <c r="H11989" s="256">
        <f t="shared" si="2189"/>
        <v>1.1491953023053501</v>
      </c>
      <c r="I11989" s="297">
        <f t="shared" si="2190"/>
        <v>771.52091923907767</v>
      </c>
      <c r="J11989" s="422">
        <f t="shared" si="2187"/>
        <v>194.28571428571428</v>
      </c>
      <c r="K11989" s="297">
        <f>J11989/POBLA!$B$12*100000</f>
        <v>49.369862675548887</v>
      </c>
      <c r="L11989" s="200">
        <f t="shared" si="2188"/>
        <v>6.0842433697347875E-2</v>
      </c>
      <c r="M11989" s="401">
        <f>SUM(C11989,C11965,C11941,C11917,C11893,C11869,C11845)/POBLA!$B$12*100000</f>
        <v>345.58903872884218</v>
      </c>
      <c r="N11989" s="42" t="s">
        <v>21</v>
      </c>
      <c r="O11989" s="42">
        <v>16</v>
      </c>
      <c r="P11989" s="42">
        <v>32</v>
      </c>
      <c r="Q11989" s="42">
        <v>0</v>
      </c>
      <c r="R11989" s="42">
        <v>48</v>
      </c>
    </row>
    <row r="11990" spans="1:18" x14ac:dyDescent="0.25">
      <c r="A11990" s="367" t="s">
        <v>17</v>
      </c>
      <c r="B11990" s="2">
        <v>44392</v>
      </c>
      <c r="C11990" s="4">
        <v>562</v>
      </c>
      <c r="D11990" s="39">
        <f t="shared" si="2185"/>
        <v>147429</v>
      </c>
      <c r="E11990" s="1">
        <v>33</v>
      </c>
      <c r="F11990" s="39">
        <f t="shared" si="2184"/>
        <v>3597</v>
      </c>
      <c r="G11990" s="168">
        <f>SUM(C11990,C11966,C11942,C11918,C11894,C11870,C11846,C11822,C11798,C11774,C11750,C11726,C11702,C11678)/POBLA!$B$13*100000</f>
        <v>344.16264976099541</v>
      </c>
      <c r="H11990" s="256">
        <f t="shared" si="2189"/>
        <v>0.8718340333460608</v>
      </c>
      <c r="I11990" s="297">
        <f t="shared" si="2190"/>
        <v>300.05271106819629</v>
      </c>
      <c r="J11990" s="422">
        <f t="shared" si="2187"/>
        <v>450.85714285714283</v>
      </c>
      <c r="K11990" s="297">
        <f>J11990/POBLA!$B$13*100000</f>
        <v>22.652290357574586</v>
      </c>
      <c r="L11990" s="200">
        <f t="shared" si="2188"/>
        <v>-0.14564158094206825</v>
      </c>
      <c r="M11990" s="401">
        <f>SUM(C11990,C11966,C11942,C11918,C11894,C11870,C11846)/POBLA!$B$13*100000</f>
        <v>158.56603250302211</v>
      </c>
      <c r="N11990" s="42" t="s">
        <v>17</v>
      </c>
      <c r="O11990" s="42">
        <v>7</v>
      </c>
      <c r="P11990" s="42">
        <v>25</v>
      </c>
      <c r="Q11990" s="42">
        <v>1</v>
      </c>
      <c r="R11990" s="42">
        <v>33</v>
      </c>
    </row>
    <row r="11991" spans="1:18" x14ac:dyDescent="0.25">
      <c r="A11991" s="367" t="s">
        <v>23</v>
      </c>
      <c r="B11991" s="2">
        <v>44392</v>
      </c>
      <c r="C11991" s="4">
        <v>184</v>
      </c>
      <c r="D11991" s="39">
        <f t="shared" si="2185"/>
        <v>28109</v>
      </c>
      <c r="E11991" s="1">
        <v>5</v>
      </c>
      <c r="F11991" s="39">
        <f t="shared" si="2184"/>
        <v>489</v>
      </c>
      <c r="G11991" s="168">
        <f>SUM(C11991,C11967,C11943,C11919,C11895,C11871,C11847,C11823,C11799,C11775,C11751,C11727,C11703,C11679)/POBLA!$B$14*100000</f>
        <v>180.84602003973697</v>
      </c>
      <c r="H11991" s="256">
        <f t="shared" si="2189"/>
        <v>0.93330605564648117</v>
      </c>
      <c r="I11991" s="297">
        <f t="shared" si="2190"/>
        <v>168.7846856426514</v>
      </c>
      <c r="J11991" s="422">
        <f t="shared" si="2187"/>
        <v>148.14285714285714</v>
      </c>
      <c r="K11991" s="297">
        <f>J11991/POBLA!$B$14*100000</f>
        <v>11.745307370276649</v>
      </c>
      <c r="L11991" s="200">
        <f t="shared" si="2188"/>
        <v>-0.16639871382636651</v>
      </c>
      <c r="M11991" s="401">
        <f>SUM(C11991,C11967,C11943,C11919,C11895,C11871,C11847)/POBLA!$B$14*100000</f>
        <v>82.217151591936542</v>
      </c>
      <c r="N11991" s="42" t="s">
        <v>23</v>
      </c>
      <c r="O11991" s="42">
        <v>3</v>
      </c>
      <c r="P11991" s="42">
        <v>2</v>
      </c>
      <c r="Q11991" s="42">
        <v>0</v>
      </c>
      <c r="R11991" s="42">
        <v>5</v>
      </c>
    </row>
    <row r="11992" spans="1:18" x14ac:dyDescent="0.25">
      <c r="A11992" s="367" t="s">
        <v>19</v>
      </c>
      <c r="B11992" s="2">
        <v>44392</v>
      </c>
      <c r="C11992" s="4">
        <v>224</v>
      </c>
      <c r="D11992" s="39">
        <f t="shared" si="2185"/>
        <v>104369</v>
      </c>
      <c r="E11992" s="1">
        <v>2</v>
      </c>
      <c r="F11992" s="39">
        <f t="shared" si="2184"/>
        <v>1949</v>
      </c>
      <c r="G11992" s="168">
        <f>SUM(C11992,C11968,C11944,C11920,C11896,C11872,C11848,C11824,C11800,C11776,C11752,C11728,C11704,C11680)/POBLA!$B$15*100000</f>
        <v>410.50692937503862</v>
      </c>
      <c r="H11992" s="256">
        <f t="shared" si="2189"/>
        <v>0.81421744324970136</v>
      </c>
      <c r="I11992" s="297">
        <f t="shared" si="2190"/>
        <v>334.24190247202966</v>
      </c>
      <c r="J11992" s="422">
        <f t="shared" si="2187"/>
        <v>180.42857142857142</v>
      </c>
      <c r="K11992" s="297">
        <f>J11992/POBLA!$B$15*100000</f>
        <v>27.170645204940449</v>
      </c>
      <c r="L11992" s="200">
        <f t="shared" si="2188"/>
        <v>-0.13670539986329455</v>
      </c>
      <c r="M11992" s="401">
        <f>SUM(C11992,C11968,C11944,C11920,C11896,C11872,C11848)/POBLA!$B$15*100000</f>
        <v>190.19451643458319</v>
      </c>
      <c r="N11992" s="42" t="s">
        <v>19</v>
      </c>
      <c r="O11992" s="42">
        <v>0</v>
      </c>
      <c r="P11992" s="42">
        <v>2</v>
      </c>
      <c r="Q11992" s="42">
        <v>0</v>
      </c>
      <c r="R11992" s="42">
        <v>2</v>
      </c>
    </row>
    <row r="11993" spans="1:18" x14ac:dyDescent="0.25">
      <c r="A11993" s="367" t="s">
        <v>18</v>
      </c>
      <c r="B11993" s="2">
        <v>44392</v>
      </c>
      <c r="C11993" s="4">
        <v>244</v>
      </c>
      <c r="D11993" s="39">
        <f t="shared" si="2185"/>
        <v>87602</v>
      </c>
      <c r="E11993" s="1">
        <v>5</v>
      </c>
      <c r="F11993" s="39">
        <f t="shared" si="2184"/>
        <v>2016</v>
      </c>
      <c r="G11993" s="168">
        <f>SUM(C11993,C11969,C11945,C11921,C11897,C11873,C11849,C11825,C11801,C11777,C11753,C11729,C11705,C11681)/POBLA!$B$16*100000</f>
        <v>405.42528858629504</v>
      </c>
      <c r="H11993" s="256">
        <f t="shared" si="2189"/>
        <v>0.83383768913342504</v>
      </c>
      <c r="I11993" s="297">
        <f t="shared" si="2190"/>
        <v>338.05888575104819</v>
      </c>
      <c r="J11993" s="422">
        <f t="shared" si="2187"/>
        <v>217.42857142857142</v>
      </c>
      <c r="K11993" s="297">
        <f>J11993/POBLA!$B$16*100000</f>
        <v>29.083154509513172</v>
      </c>
      <c r="L11993" s="200">
        <f t="shared" si="2188"/>
        <v>8.6149768058316756E-3</v>
      </c>
      <c r="M11993" s="401">
        <f>SUM(C11993,C11969,C11945,C11921,C11897,C11873,C11849)/POBLA!$B$16*100000</f>
        <v>203.58208156659222</v>
      </c>
      <c r="N11993" s="42" t="s">
        <v>18</v>
      </c>
      <c r="O11993" s="42">
        <v>2</v>
      </c>
      <c r="P11993" s="42">
        <v>3</v>
      </c>
      <c r="Q11993" s="42">
        <v>0</v>
      </c>
      <c r="R11993" s="42">
        <v>5</v>
      </c>
    </row>
    <row r="11994" spans="1:18" x14ac:dyDescent="0.25">
      <c r="A11994" s="367" t="s">
        <v>34</v>
      </c>
      <c r="B11994" s="2">
        <v>44392</v>
      </c>
      <c r="C11994" s="4">
        <v>747</v>
      </c>
      <c r="D11994" s="39">
        <f>C11994+D11970</f>
        <v>69224</v>
      </c>
      <c r="E11994" s="1">
        <v>23</v>
      </c>
      <c r="F11994" s="39">
        <f t="shared" si="2184"/>
        <v>1911</v>
      </c>
      <c r="G11994" s="168">
        <f>SUM(C11994,C11970,C11946,C11922,C11898,C11874,C11850,C11826,C11802,C11778,C11754,C11730,C11706,C11682)/POBLA!$B$17*100000</f>
        <v>506.10890081908349</v>
      </c>
      <c r="H11994" s="256">
        <f t="shared" si="2189"/>
        <v>1.023569501632827</v>
      </c>
      <c r="I11994" s="297">
        <f t="shared" si="2190"/>
        <v>518.03763538332714</v>
      </c>
      <c r="J11994" s="422">
        <f t="shared" si="2187"/>
        <v>525.71428571428567</v>
      </c>
      <c r="K11994" s="297">
        <f>J11994/POBLA!$B$17*100000</f>
        <v>36.907848423879415</v>
      </c>
      <c r="L11994" s="200">
        <f t="shared" si="2188"/>
        <v>4.2788325304618846E-2</v>
      </c>
      <c r="M11994" s="401">
        <f>SUM(C11994,C11970,C11946,C11922,C11898,C11874,C11850)/POBLA!$B$17*100000</f>
        <v>258.35493896715593</v>
      </c>
      <c r="N11994" s="42" t="s">
        <v>34</v>
      </c>
      <c r="O11994" s="42">
        <v>12</v>
      </c>
      <c r="P11994" s="42">
        <v>11</v>
      </c>
      <c r="Q11994" s="42">
        <v>0</v>
      </c>
      <c r="R11994" s="42">
        <v>23</v>
      </c>
    </row>
    <row r="11995" spans="1:18" x14ac:dyDescent="0.25">
      <c r="A11995" s="367" t="s">
        <v>35</v>
      </c>
      <c r="B11995" s="2">
        <v>44392</v>
      </c>
      <c r="C11995" s="4">
        <v>369</v>
      </c>
      <c r="D11995" s="39">
        <f t="shared" ref="D11995:D12001" si="2191">C11995+D11971</f>
        <v>55956</v>
      </c>
      <c r="E11995" s="1">
        <v>1</v>
      </c>
      <c r="F11995" s="39">
        <f t="shared" si="2184"/>
        <v>883</v>
      </c>
      <c r="G11995" s="168">
        <f>SUM(C11995,C11971,C11947,C11923,C11899,C11875,C11851,C11827,C11803,C11779,C11755,C11731,C11707,C11683)/POBLA!$B$18*100000</f>
        <v>620.18619666494703</v>
      </c>
      <c r="H11995" s="256">
        <f t="shared" si="2189"/>
        <v>0.87771739130434778</v>
      </c>
      <c r="I11995" s="297">
        <f t="shared" si="2190"/>
        <v>544.34821065972255</v>
      </c>
      <c r="J11995" s="422">
        <f t="shared" si="2187"/>
        <v>291.42857142857144</v>
      </c>
      <c r="K11995" s="297">
        <f>J11995/POBLA!$B$18*100000</f>
        <v>37.304432882102084</v>
      </c>
      <c r="L11995" s="200">
        <f t="shared" si="2188"/>
        <v>-0.27272727272727271</v>
      </c>
      <c r="M11995" s="401">
        <f>SUM(C11995,C11971,C11947,C11923,C11899,C11875,C11851)/POBLA!$B$18*100000</f>
        <v>261.13103017471457</v>
      </c>
      <c r="N11995" s="42" t="s">
        <v>35</v>
      </c>
      <c r="O11995" s="42">
        <v>1</v>
      </c>
      <c r="P11995" s="42">
        <v>0</v>
      </c>
      <c r="Q11995" s="42">
        <v>0</v>
      </c>
      <c r="R11995" s="42">
        <v>1</v>
      </c>
    </row>
    <row r="11996" spans="1:18" x14ac:dyDescent="0.25">
      <c r="A11996" s="367" t="s">
        <v>36</v>
      </c>
      <c r="B11996" s="2">
        <v>44392</v>
      </c>
      <c r="C11996" s="4">
        <v>314</v>
      </c>
      <c r="D11996" s="39">
        <f t="shared" si="2191"/>
        <v>70732</v>
      </c>
      <c r="E11996" s="1">
        <v>11</v>
      </c>
      <c r="F11996" s="39">
        <f t="shared" si="2184"/>
        <v>1132</v>
      </c>
      <c r="G11996" s="168">
        <f>SUM(C11996,C11972,C11948,C11924,C11900,C11876,C11852,C11828,C11804,C11780,C11756,C11732,C11708,C11684)/POBLA!$B$19*100000</f>
        <v>913.5833556286492</v>
      </c>
      <c r="H11996" s="256">
        <f t="shared" si="2189"/>
        <v>0.91237721021611007</v>
      </c>
      <c r="I11996" s="297">
        <f t="shared" si="2190"/>
        <v>833.53263330833931</v>
      </c>
      <c r="J11996" s="422">
        <f t="shared" si="2187"/>
        <v>301</v>
      </c>
      <c r="K11996" s="297">
        <f>J11996/POBLA!$B$19*100000</f>
        <v>59.213736012968006</v>
      </c>
      <c r="L11996" s="200">
        <f t="shared" si="2188"/>
        <v>-0.16949152542372881</v>
      </c>
      <c r="M11996" s="401">
        <f>SUM(C11996,C11972,C11948,C11924,C11900,C11876,C11852)/POBLA!$B$19*100000</f>
        <v>414.49615209077604</v>
      </c>
      <c r="N11996" s="42" t="s">
        <v>36</v>
      </c>
      <c r="O11996" s="42">
        <v>6</v>
      </c>
      <c r="P11996" s="42">
        <v>5</v>
      </c>
      <c r="Q11996" s="42">
        <v>0</v>
      </c>
      <c r="R11996" s="42">
        <v>11</v>
      </c>
    </row>
    <row r="11997" spans="1:18" x14ac:dyDescent="0.25">
      <c r="A11997" s="367" t="s">
        <v>37</v>
      </c>
      <c r="B11997" s="2">
        <v>44392</v>
      </c>
      <c r="C11997" s="4">
        <v>107</v>
      </c>
      <c r="D11997" s="39">
        <f t="shared" si="2191"/>
        <v>56874</v>
      </c>
      <c r="E11997" s="1">
        <v>14</v>
      </c>
      <c r="F11997" s="39">
        <f>E11997+F11973</f>
        <v>907</v>
      </c>
      <c r="G11997" s="168">
        <f>SUM(C11997,C11973,C11950,C11925,C11901,C11877,C11853,C11829,C11805,C11781,C11757,C11733,C11709,C11685)/POBLA!$B$20*100000</f>
        <v>838.67015953054158</v>
      </c>
      <c r="H11997" s="256">
        <f t="shared" si="2189"/>
        <v>0.87508771929824558</v>
      </c>
      <c r="I11997" s="297">
        <f t="shared" si="2190"/>
        <v>733.90995714707742</v>
      </c>
      <c r="J11997" s="422">
        <f t="shared" si="2187"/>
        <v>73.428571428571431</v>
      </c>
      <c r="K11997" s="297">
        <f>J11997/POBLA!$B$20*100000</f>
        <v>20.079019143821249</v>
      </c>
      <c r="L11997" s="200">
        <f t="shared" si="2188"/>
        <v>-0.29877216916780358</v>
      </c>
      <c r="M11997" s="401">
        <f>SUM(C11997,C11973,C11949,C11925,C11901,C11877,C11853)/POBLA!$B$20*100000</f>
        <v>140.55313400674873</v>
      </c>
      <c r="N11997" s="42" t="s">
        <v>37</v>
      </c>
      <c r="O11997" s="42">
        <v>7</v>
      </c>
      <c r="P11997" s="42">
        <v>7</v>
      </c>
      <c r="Q11997" s="42">
        <v>0</v>
      </c>
      <c r="R11997" s="42">
        <v>14</v>
      </c>
    </row>
    <row r="11998" spans="1:18" x14ac:dyDescent="0.25">
      <c r="A11998" s="367" t="s">
        <v>22</v>
      </c>
      <c r="B11998" s="2">
        <v>44392</v>
      </c>
      <c r="C11998" s="4">
        <v>1330</v>
      </c>
      <c r="D11998" s="39">
        <f t="shared" si="2191"/>
        <v>428617</v>
      </c>
      <c r="E11998" s="1">
        <v>41</v>
      </c>
      <c r="F11998" s="39">
        <f>E11998+F11974</f>
        <v>7236</v>
      </c>
      <c r="G11998" s="168">
        <f>SUM(C11998,C11974,C11950,C11926,C11902,C11878,C11854,C11830,C11806,C11782,C11758,C11734,C11710,C11686)/POBLA!$B$21*100000</f>
        <v>585.42287704677449</v>
      </c>
      <c r="H11998" s="256">
        <f t="shared" si="2189"/>
        <v>0.92610154327890848</v>
      </c>
      <c r="I11998" s="297">
        <f t="shared" si="2190"/>
        <v>542.16102990379659</v>
      </c>
      <c r="J11998" s="422">
        <f t="shared" si="2187"/>
        <v>1411.2857142857142</v>
      </c>
      <c r="K11998" s="297">
        <f>J11998/POBLA!$B$21*100000</f>
        <v>39.907208771296673</v>
      </c>
      <c r="L11998" s="200">
        <f t="shared" si="2188"/>
        <v>-8.7305986696230575E-2</v>
      </c>
      <c r="M11998" s="401">
        <f>SUM(C11998,C11974,C11950,C11926,C11902,C11878,C11854)/POBLA!$B$21*100000</f>
        <v>279.35046139907672</v>
      </c>
      <c r="N11998" s="42" t="s">
        <v>22</v>
      </c>
      <c r="O11998" s="42">
        <v>15</v>
      </c>
      <c r="P11998" s="42">
        <v>25</v>
      </c>
      <c r="Q11998" s="42">
        <v>1</v>
      </c>
      <c r="R11998" s="42">
        <v>41</v>
      </c>
    </row>
    <row r="11999" spans="1:18" x14ac:dyDescent="0.25">
      <c r="A11999" s="367" t="s">
        <v>38</v>
      </c>
      <c r="B11999" s="2">
        <v>44392</v>
      </c>
      <c r="C11999" s="4">
        <v>723</v>
      </c>
      <c r="D11999" s="39">
        <f t="shared" si="2191"/>
        <v>67793</v>
      </c>
      <c r="E11999" s="1">
        <v>3</v>
      </c>
      <c r="F11999" s="39">
        <f>E11999+F11975</f>
        <v>934</v>
      </c>
      <c r="G11999" s="168">
        <f>SUM(C11999,C11975,C11951,C11927,C11903,C11879,C11855,C11831,C11807,C11783,C11759,C11735,C11711,C11687)/POBLA!$B$22*100000</f>
        <v>775.21202314596655</v>
      </c>
      <c r="H11999" s="256">
        <f t="shared" si="2189"/>
        <v>1.0719434628975264</v>
      </c>
      <c r="I11999" s="297">
        <f t="shared" si="2190"/>
        <v>830.98346057088474</v>
      </c>
      <c r="J11999" s="422">
        <f t="shared" si="2187"/>
        <v>563.71428571428567</v>
      </c>
      <c r="K11999" s="297">
        <f>J11999/POBLA!$B$22*100000</f>
        <v>57.621056422053648</v>
      </c>
      <c r="L11999" s="200">
        <f t="shared" si="2188"/>
        <v>8.4661902144035128E-2</v>
      </c>
      <c r="M11999" s="401">
        <f>SUM(C11999,C11975,C11951,C11927,C11903,C11879,C11855)/POBLA!$B$22*100000</f>
        <v>403.34739495437555</v>
      </c>
      <c r="N11999" s="42" t="s">
        <v>38</v>
      </c>
      <c r="O11999" s="42">
        <v>3</v>
      </c>
      <c r="P11999" s="42">
        <v>0</v>
      </c>
      <c r="Q11999" s="42">
        <v>0</v>
      </c>
      <c r="R11999" s="42">
        <v>3</v>
      </c>
    </row>
    <row r="12000" spans="1:18" x14ac:dyDescent="0.25">
      <c r="A12000" s="367" t="s">
        <v>39</v>
      </c>
      <c r="B12000" s="2">
        <v>44392</v>
      </c>
      <c r="C12000" s="4">
        <v>48</v>
      </c>
      <c r="D12000" s="39">
        <f t="shared" si="2191"/>
        <v>30436</v>
      </c>
      <c r="E12000" s="1">
        <v>1</v>
      </c>
      <c r="F12000" s="39">
        <f>E12000+F11976</f>
        <v>462</v>
      </c>
      <c r="G12000" s="168">
        <f>SUM(C12000,C11976,C11952,C11928,C11904,C11880,C11856,C11832,C11808,C11784,C11760,C11736,C11712,C11688)/POBLA!$B$23*100000</f>
        <v>348.92269411298986</v>
      </c>
      <c r="H12000" s="256">
        <f t="shared" si="2189"/>
        <v>1.033500837520938</v>
      </c>
      <c r="I12000" s="297">
        <f t="shared" si="2190"/>
        <v>360.61189659583709</v>
      </c>
      <c r="J12000" s="422">
        <f t="shared" si="2187"/>
        <v>42</v>
      </c>
      <c r="K12000" s="297">
        <f>J12000/POBLA!$B$23*100000</f>
        <v>23.751625855341288</v>
      </c>
      <c r="L12000" s="200">
        <f t="shared" si="2188"/>
        <v>-8.9783281733746167E-2</v>
      </c>
      <c r="M12000" s="401">
        <f>SUM(C12000,C11976,C11952,C11928,C11904,C11880,C11856)/POBLA!$B$23*100000</f>
        <v>166.26138098738903</v>
      </c>
      <c r="N12000" s="42" t="s">
        <v>39</v>
      </c>
      <c r="O12000" s="42">
        <v>1</v>
      </c>
      <c r="P12000" s="42">
        <v>0</v>
      </c>
      <c r="Q12000" s="42">
        <v>0</v>
      </c>
      <c r="R12000" s="42">
        <v>1</v>
      </c>
    </row>
    <row r="12001" spans="1:18" ht="15.75" thickBot="1" x14ac:dyDescent="0.3">
      <c r="A12001" s="368" t="s">
        <v>40</v>
      </c>
      <c r="B12001" s="34">
        <v>44392</v>
      </c>
      <c r="C12001" s="27">
        <v>720</v>
      </c>
      <c r="D12001" s="67">
        <f t="shared" si="2191"/>
        <v>170145</v>
      </c>
      <c r="E12001" s="232">
        <v>19</v>
      </c>
      <c r="F12001" s="67">
        <f>E12001+F11977</f>
        <v>2426</v>
      </c>
      <c r="G12001" s="255">
        <f>SUM(C12001,C11977,C11953,C11929,C11905,C11881,C11857,C11833,C11809,C11785,C11761,C11737,C11713,C11689)/POBLA!$B$24*100000</f>
        <v>661.78622682125456</v>
      </c>
      <c r="H12001" s="257">
        <f t="shared" si="2189"/>
        <v>0.79190792260980092</v>
      </c>
      <c r="I12001" s="299">
        <f t="shared" si="2190"/>
        <v>524.07375609379824</v>
      </c>
      <c r="J12001" s="428">
        <f t="shared" si="2187"/>
        <v>648.57142857142856</v>
      </c>
      <c r="K12001" s="299">
        <f>J12001/POBLA!$B$24*100000</f>
        <v>38.271568304802187</v>
      </c>
      <c r="L12001" s="260">
        <f t="shared" si="2188"/>
        <v>-0.31985018726591763</v>
      </c>
      <c r="M12001" s="406">
        <f>SUM(C12001,C11977,C11953,C11929,C11905,C11881,C11857)/POBLA!$B$24*100000</f>
        <v>267.90097813361535</v>
      </c>
      <c r="N12001" s="42" t="s">
        <v>40</v>
      </c>
      <c r="O12001" s="42">
        <v>8</v>
      </c>
      <c r="P12001" s="42">
        <v>11</v>
      </c>
      <c r="Q12001" s="42">
        <v>0</v>
      </c>
      <c r="R12001" s="42">
        <v>19</v>
      </c>
    </row>
    <row r="12002" spans="1:18" x14ac:dyDescent="0.25">
      <c r="A12002" s="363" t="s">
        <v>16</v>
      </c>
      <c r="B12002" s="265">
        <v>44393</v>
      </c>
      <c r="C12002" s="601">
        <v>5033</v>
      </c>
      <c r="D12002" s="174">
        <f>C12002+D11978</f>
        <v>1922315</v>
      </c>
      <c r="E12002" s="43">
        <v>198</v>
      </c>
      <c r="F12002" s="174">
        <f t="shared" ref="F12002:F12020" si="2192">E12002+F11978</f>
        <v>50508</v>
      </c>
      <c r="G12002" s="175">
        <f>SUM(C12002,C11978,C11930,C11954,C11906,C11882,C11858,C11834,C11810,C11786,C11762,C11738,C11714,C11690)/POBLA!$B$1*100000</f>
        <v>379.51921143556166</v>
      </c>
      <c r="H12002" s="300">
        <f t="shared" si="2189"/>
        <v>0.769013954348027</v>
      </c>
      <c r="I12002" s="301">
        <f>G12002*H12002</f>
        <v>291.85556953710619</v>
      </c>
      <c r="J12002" s="421">
        <f>AVERAGE(C12002,C11978,C11954,C11930,C11906,C11882,C11858)</f>
        <v>4535.2857142857147</v>
      </c>
      <c r="K12002" s="301">
        <f>J12002/POBLA!$B$1*100000</f>
        <v>25.855135160738485</v>
      </c>
      <c r="L12002" s="399">
        <f>(SUM(C12002,C11978,C11954,C11930,C11906,C11882,C11858)/SUM(C11834,C11810,C11786,C11762,C11738,C11714,C11690))-1</f>
        <v>-8.838478104809766E-2</v>
      </c>
      <c r="M12002" s="400">
        <f>SUM(C12002,C11978,C11954,C11930,C11906,C11882,C11858)/POBLA!$B$1*100000</f>
        <v>180.98594612516939</v>
      </c>
      <c r="N12002" s="42" t="s">
        <v>16</v>
      </c>
      <c r="O12002" s="42">
        <v>84</v>
      </c>
      <c r="P12002" s="42">
        <v>113</v>
      </c>
      <c r="Q12002" s="42">
        <v>1</v>
      </c>
      <c r="R12002" s="42">
        <v>198</v>
      </c>
    </row>
    <row r="12003" spans="1:18" x14ac:dyDescent="0.25">
      <c r="A12003" s="367" t="s">
        <v>43</v>
      </c>
      <c r="B12003" s="2">
        <v>44393</v>
      </c>
      <c r="C12003" s="601">
        <v>1109</v>
      </c>
      <c r="D12003" s="39">
        <f t="shared" ref="D12003:D12017" si="2193">C12003+D11979</f>
        <v>480318</v>
      </c>
      <c r="E12003" s="1">
        <v>17</v>
      </c>
      <c r="F12003" s="39">
        <f t="shared" si="2192"/>
        <v>10684</v>
      </c>
      <c r="G12003" s="168">
        <f>SUM(C12003,C11979,C11955,C11931,C11907,C11883,C11859,C11835,C11811,C11787,C11763,C11739,C11715,C11691)/POBLA!$B$2*100000</f>
        <v>446.83295801922588</v>
      </c>
      <c r="H12003" s="256">
        <f t="shared" si="2189"/>
        <v>0.77974468085106385</v>
      </c>
      <c r="I12003" s="297">
        <f t="shared" ref="I12003:I12009" si="2194">G12003*H12003</f>
        <v>348.41562224443811</v>
      </c>
      <c r="J12003" s="422">
        <f>AVERAGE(C12003,C11979,C11955,C11931,C11907,C11883,C11859)</f>
        <v>959.14285714285711</v>
      </c>
      <c r="K12003" s="297">
        <f>J12003/POBLA!$B$2*100000</f>
        <v>31.185086227181447</v>
      </c>
      <c r="L12003" s="200">
        <f>(SUM(C12003,C11979,C11955,C11931,C11907,C11883,C11859)/SUM(C11835,C11811,C11787,C11763,C11739,C11715,C11691))-1</f>
        <v>-4.4814340588988477E-2</v>
      </c>
      <c r="M12003" s="401">
        <f>SUM(C12003,C11979,C11955,C11931,C11907,C11883,C11859)/POBLA!$B$2*100000</f>
        <v>218.29560359027016</v>
      </c>
      <c r="N12003" s="42" t="s">
        <v>43</v>
      </c>
      <c r="O12003" s="42">
        <v>6</v>
      </c>
      <c r="P12003" s="42">
        <v>11</v>
      </c>
      <c r="Q12003" s="42">
        <v>0</v>
      </c>
      <c r="R12003" s="42">
        <v>17</v>
      </c>
    </row>
    <row r="12004" spans="1:18" x14ac:dyDescent="0.25">
      <c r="A12004" s="367" t="s">
        <v>28</v>
      </c>
      <c r="B12004" s="2">
        <v>44393</v>
      </c>
      <c r="C12004" s="601">
        <v>354</v>
      </c>
      <c r="D12004" s="39">
        <f t="shared" si="2193"/>
        <v>38643</v>
      </c>
      <c r="E12004" s="1">
        <v>1</v>
      </c>
      <c r="F12004" s="39">
        <f t="shared" si="2192"/>
        <v>393</v>
      </c>
      <c r="G12004" s="168">
        <f>SUM(C12004,C11980,C11956,C11932,C11908,C11884,C11860,C11836,C11812,C11788,C11764,C11740,C11716,C11692)/POBLA!$B$3*100000</f>
        <v>908.92022395640265</v>
      </c>
      <c r="H12004" s="256">
        <f t="shared" si="2189"/>
        <v>0.88203690726465778</v>
      </c>
      <c r="I12004" s="297">
        <f t="shared" si="2194"/>
        <v>801.70118328880551</v>
      </c>
      <c r="J12004" s="422">
        <f t="shared" ref="J12004:J12025" si="2195">AVERAGE(C12004,C11980,C11956,C11932,C11908,C11884,C11860)</f>
        <v>255.28571428571428</v>
      </c>
      <c r="K12004" s="297">
        <f>J12004/POBLA!$B$3*100000</f>
        <v>61.44977452368687</v>
      </c>
      <c r="L12004" s="200">
        <f t="shared" ref="L12004:L12025" si="2196">(SUM(C12004,C11980,C11956,C11932,C11908,C11884,C11860)/SUM(C11836,C11812,C11788,C11764,C11740,C11716,C11692))-1</f>
        <v>-0.10155857214680741</v>
      </c>
      <c r="M12004" s="401">
        <f>SUM(C12004,C11980,C11956,C11932,C11908,C11884,C11860)/POBLA!$B$3*100000</f>
        <v>430.14842166580814</v>
      </c>
      <c r="N12004" s="42" t="s">
        <v>28</v>
      </c>
      <c r="O12004" s="42">
        <v>1</v>
      </c>
      <c r="P12004" s="42">
        <v>0</v>
      </c>
      <c r="Q12004" s="42">
        <v>0</v>
      </c>
      <c r="R12004" s="42">
        <v>1</v>
      </c>
    </row>
    <row r="12005" spans="1:18" x14ac:dyDescent="0.25">
      <c r="A12005" s="367" t="s">
        <v>15</v>
      </c>
      <c r="B12005" s="2">
        <v>44393</v>
      </c>
      <c r="C12005" s="601">
        <v>450</v>
      </c>
      <c r="D12005" s="39">
        <f t="shared" si="2193"/>
        <v>85502</v>
      </c>
      <c r="E12005" s="1">
        <v>12</v>
      </c>
      <c r="F12005" s="39">
        <f t="shared" si="2192"/>
        <v>1862</v>
      </c>
      <c r="G12005" s="168">
        <f>SUM(C12005,C11981,C11957,C11933,C11909,C11885,C11861,C11837,C11813,C11789,C11765,C11741,C11717,C11693)/POBLA!$B$4*100000</f>
        <v>603.38336345545724</v>
      </c>
      <c r="H12005" s="256">
        <f t="shared" si="2189"/>
        <v>0.95493364866640384</v>
      </c>
      <c r="I12005" s="297">
        <f t="shared" si="2194"/>
        <v>576.19107680912668</v>
      </c>
      <c r="J12005" s="422">
        <f t="shared" si="2195"/>
        <v>480.14285714285717</v>
      </c>
      <c r="K12005" s="297">
        <f>J12005/POBLA!$B$4*100000</f>
        <v>39.861063852775217</v>
      </c>
      <c r="L12005" s="200">
        <f t="shared" si="2196"/>
        <v>-0.13974916815971339</v>
      </c>
      <c r="M12005" s="401">
        <f>SUM(C12005,C11981,C11957,C11933,C11909,C11885,C11861)/POBLA!$B$4*100000</f>
        <v>279.02744696942653</v>
      </c>
      <c r="N12005" s="42" t="s">
        <v>15</v>
      </c>
      <c r="O12005" s="42">
        <v>6</v>
      </c>
      <c r="P12005" s="42">
        <v>6</v>
      </c>
      <c r="Q12005" s="42">
        <v>0</v>
      </c>
      <c r="R12005" s="42">
        <v>12</v>
      </c>
    </row>
    <row r="12006" spans="1:18" x14ac:dyDescent="0.25">
      <c r="A12006" s="367" t="s">
        <v>29</v>
      </c>
      <c r="B12006" s="2">
        <v>44393</v>
      </c>
      <c r="C12006" s="601">
        <v>206</v>
      </c>
      <c r="D12006" s="39">
        <f t="shared" si="2193"/>
        <v>73675</v>
      </c>
      <c r="E12006" s="1">
        <v>9</v>
      </c>
      <c r="F12006" s="39">
        <f t="shared" si="2192"/>
        <v>1274</v>
      </c>
      <c r="G12006" s="168">
        <f>SUM(C12006,C11982,C11958,C11934,C11910,C11886,C11862,C11838,C11814,C11790,C11766,C11742,C11718,C11694)/POBLA!$B$5*100000</f>
        <v>384.33328917566246</v>
      </c>
      <c r="H12006" s="256">
        <f t="shared" si="2189"/>
        <v>0.75836786738922535</v>
      </c>
      <c r="I12006" s="297">
        <f t="shared" si="2194"/>
        <v>291.46601687883356</v>
      </c>
      <c r="J12006" s="422">
        <f t="shared" si="2195"/>
        <v>172.14285714285714</v>
      </c>
      <c r="K12006" s="297">
        <f>J12006/POBLA!$B$5*100000</f>
        <v>27.810101090294435</v>
      </c>
      <c r="L12006" s="200">
        <f t="shared" si="2196"/>
        <v>2.6405451448040962E-2</v>
      </c>
      <c r="M12006" s="401">
        <f>SUM(C12006,C11982,C11958,C11934,C11910,C11886,C11862)/POBLA!$B$5*100000</f>
        <v>194.67070763206107</v>
      </c>
      <c r="N12006" s="42" t="s">
        <v>29</v>
      </c>
      <c r="O12006" s="42">
        <v>3</v>
      </c>
      <c r="P12006" s="42">
        <v>6</v>
      </c>
      <c r="Q12006" s="42">
        <v>0</v>
      </c>
      <c r="R12006" s="42">
        <v>9</v>
      </c>
    </row>
    <row r="12007" spans="1:18" x14ac:dyDescent="0.25">
      <c r="A12007" s="367" t="s">
        <v>30</v>
      </c>
      <c r="B12007" s="2">
        <v>44393</v>
      </c>
      <c r="C12007" s="601">
        <v>612</v>
      </c>
      <c r="D12007" s="39">
        <f t="shared" si="2193"/>
        <v>441842</v>
      </c>
      <c r="E12007" s="1">
        <v>1</v>
      </c>
      <c r="F12007" s="39">
        <f t="shared" si="2192"/>
        <v>5786</v>
      </c>
      <c r="G12007" s="168">
        <f>SUM(C12007,C11983,C11959,C11935,C11911,C11887,C11863,C11839,C11815,C11791,C11767,C11743,C11719,C11695)/POBLA!$B$6*100000</f>
        <v>567.540535741849</v>
      </c>
      <c r="H12007" s="256">
        <f t="shared" si="2189"/>
        <v>0.83128593831677988</v>
      </c>
      <c r="I12007" s="297">
        <f t="shared" si="2194"/>
        <v>471.7884667869709</v>
      </c>
      <c r="J12007" s="422">
        <f t="shared" si="2195"/>
        <v>528.57142857142856</v>
      </c>
      <c r="K12007" s="297">
        <f>J12007/POBLA!$B$6*100000</f>
        <v>47.160149622584967</v>
      </c>
      <c r="L12007" s="200">
        <f t="shared" si="2196"/>
        <v>0.39045471627207817</v>
      </c>
      <c r="M12007" s="401">
        <f>SUM(C12007,C11983,C11959,C11935,C11911,C11887,C11863)/POBLA!$B$6*100000</f>
        <v>330.12104735809481</v>
      </c>
      <c r="N12007" s="42" t="s">
        <v>30</v>
      </c>
      <c r="O12007" s="42">
        <v>1</v>
      </c>
      <c r="P12007" s="42">
        <v>0</v>
      </c>
      <c r="Q12007" s="42">
        <v>0</v>
      </c>
      <c r="R12007" s="42">
        <v>1</v>
      </c>
    </row>
    <row r="12008" spans="1:18" x14ac:dyDescent="0.25">
      <c r="A12008" s="367" t="s">
        <v>20</v>
      </c>
      <c r="B12008" s="2">
        <v>44393</v>
      </c>
      <c r="C12008" s="601">
        <v>2178</v>
      </c>
      <c r="D12008" s="39">
        <f t="shared" si="2193"/>
        <v>75406</v>
      </c>
      <c r="E12008" s="1">
        <v>37</v>
      </c>
      <c r="F12008" s="39">
        <f t="shared" si="2192"/>
        <v>853</v>
      </c>
      <c r="G12008" s="168">
        <f>SUM(C12008,C11984,C11960,C11936,C11912,C11888,C11864,C11840,C11816,C11792,C11768,C11744,C11720,C11696)/POBLA!$B$7*100000</f>
        <v>735.44389634219317</v>
      </c>
      <c r="H12008" s="256">
        <f t="shared" si="2189"/>
        <v>0.79981491121522352</v>
      </c>
      <c r="I12008" s="297">
        <f t="shared" si="2194"/>
        <v>588.21899465670924</v>
      </c>
      <c r="J12008" s="422">
        <f t="shared" si="2195"/>
        <v>1919.5714285714287</v>
      </c>
      <c r="K12008" s="297">
        <f>J12008/POBLA!$B$7*100000</f>
        <v>51.046322343640483</v>
      </c>
      <c r="L12008" s="200">
        <f t="shared" si="2196"/>
        <v>-5.4996835220479601E-2</v>
      </c>
      <c r="M12008" s="401">
        <f>SUM(C12008,C11984,C11960,C11936,C11912,C11888,C11864)/POBLA!$B$7*100000</f>
        <v>357.32425640548342</v>
      </c>
      <c r="N12008" s="42" t="s">
        <v>20</v>
      </c>
      <c r="O12008" s="42">
        <v>20</v>
      </c>
      <c r="P12008" s="42">
        <v>17</v>
      </c>
      <c r="Q12008" s="42">
        <v>0</v>
      </c>
      <c r="R12008" s="42">
        <v>37</v>
      </c>
    </row>
    <row r="12009" spans="1:18" x14ac:dyDescent="0.25">
      <c r="A12009" s="367" t="s">
        <v>31</v>
      </c>
      <c r="B12009" s="2">
        <v>44393</v>
      </c>
      <c r="C12009" s="601">
        <v>675</v>
      </c>
      <c r="D12009" s="39">
        <f t="shared" si="2193"/>
        <v>121485</v>
      </c>
      <c r="E12009" s="1">
        <v>19</v>
      </c>
      <c r="F12009" s="39">
        <f t="shared" si="2192"/>
        <v>2016</v>
      </c>
      <c r="G12009" s="168">
        <f>SUM(C12009,C11985,C11961,C11937,C11913,C11889,C11865,C11841,C11817,C11793,C11769,C11745,C11721,C11697)/POBLA!$B$8*100000</f>
        <v>679.67280464601822</v>
      </c>
      <c r="H12009" s="256">
        <f t="shared" ref="H12009:H12032" si="2197">SUM(C12009,C11985,C11961,C11937,C11913,C11889,C11865,C11841,C11817,C11793,C11769,C11745,C11721,C11697,)/SUM(C11673,C11649,C11625,C11601,C11577,C11553,C11529,C11505,C11481,C11457,C11433,C11409,C11385,C11361)</f>
        <v>0.95683087861858807</v>
      </c>
      <c r="I12009" s="297">
        <f t="shared" si="2194"/>
        <v>650.33192684260962</v>
      </c>
      <c r="J12009" s="422">
        <f t="shared" si="2195"/>
        <v>674.57142857142856</v>
      </c>
      <c r="K12009" s="297">
        <f>J12009/POBLA!$B$8*100000</f>
        <v>48.671746793122502</v>
      </c>
      <c r="L12009" s="200">
        <f t="shared" si="2196"/>
        <v>5.1085568326947328E-3</v>
      </c>
      <c r="M12009" s="401">
        <f>SUM(C12009,C11985,C11961,C11937,C11913,C11889,C11865)/POBLA!$B$8*100000</f>
        <v>340.70222755185756</v>
      </c>
      <c r="N12009" s="42" t="s">
        <v>31</v>
      </c>
      <c r="O12009" s="42">
        <v>14</v>
      </c>
      <c r="P12009" s="42">
        <v>5</v>
      </c>
      <c r="Q12009" s="42">
        <v>0</v>
      </c>
      <c r="R12009" s="42">
        <v>19</v>
      </c>
    </row>
    <row r="12010" spans="1:18" x14ac:dyDescent="0.25">
      <c r="A12010" s="367" t="s">
        <v>41</v>
      </c>
      <c r="B12010" s="2">
        <v>44393</v>
      </c>
      <c r="C12010" s="601">
        <v>316</v>
      </c>
      <c r="D12010" s="39">
        <f t="shared" si="2193"/>
        <v>52208</v>
      </c>
      <c r="E12010" s="1">
        <v>1</v>
      </c>
      <c r="F12010" s="39">
        <f t="shared" si="2192"/>
        <v>914</v>
      </c>
      <c r="G12010" s="168">
        <f>SUM(C12010,C11986,C11962,C11938,C11914,C11890,C11866,C11842,C11818,C11794,C11770,C11746,C11722,C11698)/POBLA!$B$9*100000</f>
        <v>948.95347434620032</v>
      </c>
      <c r="H12010" s="256">
        <f t="shared" si="2197"/>
        <v>0.9760367097212781</v>
      </c>
      <c r="I12010" s="297">
        <f>G12010*H12010</f>
        <v>926.21342677944062</v>
      </c>
      <c r="J12010" s="422">
        <f t="shared" si="2195"/>
        <v>406.28571428571428</v>
      </c>
      <c r="K12010" s="297">
        <f>J12010/POBLA!$B$9*100000</f>
        <v>67.133247457540691</v>
      </c>
      <c r="L12010" s="200">
        <f t="shared" si="2196"/>
        <v>-1.8972059330803703E-2</v>
      </c>
      <c r="M12010" s="401">
        <f>SUM(C12010,C11986,C11962,C11938,C11914,C11890,C11866)/POBLA!$B$9*100000</f>
        <v>469.93273220278496</v>
      </c>
      <c r="N12010" s="42" t="s">
        <v>41</v>
      </c>
      <c r="O12010" s="42">
        <v>0</v>
      </c>
      <c r="P12010" s="42">
        <v>1</v>
      </c>
      <c r="Q12010" s="42">
        <v>0</v>
      </c>
      <c r="R12010" s="42">
        <v>1</v>
      </c>
    </row>
    <row r="12011" spans="1:18" x14ac:dyDescent="0.25">
      <c r="A12011" s="367" t="s">
        <v>32</v>
      </c>
      <c r="B12011" s="2">
        <v>44393</v>
      </c>
      <c r="C12011" s="601">
        <v>250</v>
      </c>
      <c r="D12011" s="39">
        <f t="shared" si="2193"/>
        <v>40331</v>
      </c>
      <c r="E12011" s="1">
        <v>6</v>
      </c>
      <c r="F12011" s="39">
        <f t="shared" si="2192"/>
        <v>1256</v>
      </c>
      <c r="G12011" s="168">
        <f>SUM(C12011,C11987,C11963,C11939,C11915,C11891,C11867,C11843,C11819,C11795,C11771,C11747,C11723,C11699)/POBLA!$B$10*100000</f>
        <v>508.11993031349846</v>
      </c>
      <c r="H12011" s="256">
        <f t="shared" si="2197"/>
        <v>1.1005900533857824</v>
      </c>
      <c r="I12011" s="297">
        <f t="shared" ref="I12011:I12025" si="2198">G12011*H12011</f>
        <v>559.23174123011336</v>
      </c>
      <c r="J12011" s="422">
        <f t="shared" si="2195"/>
        <v>282.42857142857144</v>
      </c>
      <c r="K12011" s="297">
        <f>J12011/POBLA!$B$10*100000</f>
        <v>36.637116679302181</v>
      </c>
      <c r="L12011" s="200">
        <f t="shared" si="2196"/>
        <v>1.907216494845354E-2</v>
      </c>
      <c r="M12011" s="401">
        <f>SUM(C12011,C11987,C11963,C11939,C11915,C11891,C11867)/POBLA!$B$10*100000</f>
        <v>256.45981675511524</v>
      </c>
      <c r="N12011" s="42" t="s">
        <v>32</v>
      </c>
      <c r="O12011" s="42">
        <v>3</v>
      </c>
      <c r="P12011" s="42">
        <v>3</v>
      </c>
      <c r="Q12011" s="42">
        <v>0</v>
      </c>
      <c r="R12011" s="42">
        <v>6</v>
      </c>
    </row>
    <row r="12012" spans="1:18" x14ac:dyDescent="0.25">
      <c r="A12012" s="367" t="s">
        <v>33</v>
      </c>
      <c r="B12012" s="2">
        <v>44393</v>
      </c>
      <c r="C12012" s="601">
        <v>322</v>
      </c>
      <c r="D12012" s="39">
        <f t="shared" si="2193"/>
        <v>57397</v>
      </c>
      <c r="E12012" s="1">
        <v>2</v>
      </c>
      <c r="F12012" s="39">
        <f t="shared" si="2192"/>
        <v>793</v>
      </c>
      <c r="G12012" s="168">
        <f>SUM(C12012,C11988,C11964,C11940,C11916,C11892,C11868,C11844,C11820,C11796,C11772,C11748,C11724,C11700)/POBLA!$B$11*100000</f>
        <v>1059.6270380662224</v>
      </c>
      <c r="H12012" s="256">
        <f t="shared" si="2197"/>
        <v>0.81171190425304551</v>
      </c>
      <c r="I12012" s="297">
        <f t="shared" si="2198"/>
        <v>860.11188086674781</v>
      </c>
      <c r="J12012" s="422">
        <f t="shared" si="2195"/>
        <v>271.42857142857144</v>
      </c>
      <c r="K12012" s="297">
        <f>J12012/POBLA!$B$11*100000</f>
        <v>75.727502156240988</v>
      </c>
      <c r="L12012" s="200">
        <f t="shared" si="2196"/>
        <v>1.0537407797681642E-3</v>
      </c>
      <c r="M12012" s="401">
        <f>SUM(C12012,C11988,C11964,C11940,C11916,C11892,C11868)/POBLA!$B$11*100000</f>
        <v>530.09251509368687</v>
      </c>
      <c r="N12012" s="42" t="s">
        <v>33</v>
      </c>
      <c r="O12012" s="42">
        <v>2</v>
      </c>
      <c r="P12012" s="42">
        <v>0</v>
      </c>
      <c r="Q12012" s="42">
        <v>0</v>
      </c>
      <c r="R12012" s="42">
        <v>2</v>
      </c>
    </row>
    <row r="12013" spans="1:18" x14ac:dyDescent="0.25">
      <c r="A12013" s="367" t="s">
        <v>21</v>
      </c>
      <c r="B12013" s="2">
        <v>44393</v>
      </c>
      <c r="C12013" s="601">
        <v>292</v>
      </c>
      <c r="D12013" s="39">
        <f t="shared" si="2193"/>
        <v>25340</v>
      </c>
      <c r="E12013" s="1">
        <v>13</v>
      </c>
      <c r="F12013" s="39">
        <f t="shared" si="2192"/>
        <v>730</v>
      </c>
      <c r="G12013" s="168">
        <f>SUM(C12013,C11989,C11965,C11941,C11917,C11893,C11869,C11845,C11821,C11797,C11773,C11749,C11725,C11701)/POBLA!$B$12*100000</f>
        <v>702.86711847351285</v>
      </c>
      <c r="H12013" s="256">
        <f t="shared" si="2197"/>
        <v>1.1927554980595083</v>
      </c>
      <c r="I12013" s="297">
        <f t="shared" si="2198"/>
        <v>838.34861996452628</v>
      </c>
      <c r="J12013" s="422">
        <f t="shared" si="2195"/>
        <v>213.42857142857142</v>
      </c>
      <c r="K12013" s="297">
        <f>J12013/POBLA!$B$12*100000</f>
        <v>54.234246203875024</v>
      </c>
      <c r="L12013" s="200">
        <f t="shared" si="2196"/>
        <v>0.17452830188679247</v>
      </c>
      <c r="M12013" s="401">
        <f>SUM(C12013,C11989,C11965,C11941,C11917,C11893,C11869)/POBLA!$B$12*100000</f>
        <v>379.63972342712515</v>
      </c>
      <c r="N12013" s="42" t="s">
        <v>21</v>
      </c>
      <c r="O12013" s="42">
        <v>7</v>
      </c>
      <c r="P12013" s="42">
        <v>6</v>
      </c>
      <c r="Q12013" s="42">
        <v>0</v>
      </c>
      <c r="R12013" s="42">
        <v>13</v>
      </c>
    </row>
    <row r="12014" spans="1:18" x14ac:dyDescent="0.25">
      <c r="A12014" s="367" t="s">
        <v>17</v>
      </c>
      <c r="B12014" s="2">
        <v>44393</v>
      </c>
      <c r="C12014" s="601">
        <v>546</v>
      </c>
      <c r="D12014" s="39">
        <f t="shared" si="2193"/>
        <v>147975</v>
      </c>
      <c r="E12014" s="1">
        <v>21</v>
      </c>
      <c r="F12014" s="39">
        <f t="shared" si="2192"/>
        <v>3618</v>
      </c>
      <c r="G12014" s="168">
        <f>SUM(C12014,C11990,C11966,C11942,C11918,C11894,C11870,C11846,C11822,C11798,C11774,C11750,C11726,C11702)/POBLA!$B$13*100000</f>
        <v>331.40099822241245</v>
      </c>
      <c r="H12014" s="256">
        <f t="shared" si="2197"/>
        <v>0.82377919320594484</v>
      </c>
      <c r="I12014" s="297">
        <f t="shared" si="2198"/>
        <v>273.00124694330367</v>
      </c>
      <c r="J12014" s="422">
        <f t="shared" si="2195"/>
        <v>482.57142857142856</v>
      </c>
      <c r="K12014" s="297">
        <f>J12014/POBLA!$B$13*100000</f>
        <v>24.245702416947704</v>
      </c>
      <c r="L12014" s="200">
        <f t="shared" si="2196"/>
        <v>4.9720323182100623E-2</v>
      </c>
      <c r="M12014" s="401">
        <f>SUM(C12014,C11990,C11966,C11942,C11918,C11894,C11870)/POBLA!$B$13*100000</f>
        <v>169.71991691863391</v>
      </c>
      <c r="N12014" s="42" t="s">
        <v>17</v>
      </c>
      <c r="O12014" s="42">
        <v>7</v>
      </c>
      <c r="P12014" s="42">
        <v>12</v>
      </c>
      <c r="Q12014" s="42">
        <v>2</v>
      </c>
      <c r="R12014" s="42">
        <v>21</v>
      </c>
    </row>
    <row r="12015" spans="1:18" x14ac:dyDescent="0.25">
      <c r="A12015" s="367" t="s">
        <v>23</v>
      </c>
      <c r="B12015" s="2">
        <v>44393</v>
      </c>
      <c r="C12015" s="601">
        <v>164</v>
      </c>
      <c r="D12015" s="39">
        <f t="shared" si="2193"/>
        <v>28273</v>
      </c>
      <c r="F12015" s="39">
        <f t="shared" si="2192"/>
        <v>489</v>
      </c>
      <c r="G12015" s="168">
        <f>SUM(C12015,C11991,C11967,C11943,C11919,C11895,C11871,C11847,C11823,C11799,C11775,C11751,C11727,C11703)/POBLA!$B$14*100000</f>
        <v>182.51097682221592</v>
      </c>
      <c r="H12015" s="256">
        <f t="shared" si="2197"/>
        <v>0.95242035581299134</v>
      </c>
      <c r="I12015" s="297">
        <f t="shared" si="2198"/>
        <v>173.82716948479151</v>
      </c>
      <c r="J12015" s="422">
        <f t="shared" si="2195"/>
        <v>147.28571428571428</v>
      </c>
      <c r="K12015" s="297">
        <f>J12015/POBLA!$B$14*100000</f>
        <v>11.677349950583629</v>
      </c>
      <c r="L12015" s="200">
        <f t="shared" si="2196"/>
        <v>-0.1888276947285602</v>
      </c>
      <c r="M12015" s="401">
        <f>SUM(C12015,C11991,C11967,C11943,C11919,C11895,C11871)/POBLA!$B$14*100000</f>
        <v>81.7414496540854</v>
      </c>
    </row>
    <row r="12016" spans="1:18" x14ac:dyDescent="0.25">
      <c r="A12016" s="367" t="s">
        <v>19</v>
      </c>
      <c r="B12016" s="2">
        <v>44393</v>
      </c>
      <c r="C12016" s="601">
        <v>229</v>
      </c>
      <c r="D12016" s="39">
        <f t="shared" si="2193"/>
        <v>104598</v>
      </c>
      <c r="E12016" s="1">
        <v>4</v>
      </c>
      <c r="F12016" s="39">
        <f t="shared" si="2192"/>
        <v>1953</v>
      </c>
      <c r="G12016" s="168">
        <f>SUM(C12016,C11992,C11968,C11944,C11920,C11896,C11872,C11848,C11824,C11800,C11776,C11752,C11728,C11704)/POBLA!$B$15*100000</f>
        <v>408.39867661962751</v>
      </c>
      <c r="H12016" s="256">
        <f t="shared" si="2197"/>
        <v>0.82406563354603468</v>
      </c>
      <c r="I12016" s="297">
        <f t="shared" si="2198"/>
        <v>336.5473141879155</v>
      </c>
      <c r="J12016" s="422">
        <f t="shared" si="2195"/>
        <v>192</v>
      </c>
      <c r="K12016" s="297">
        <f>J12016/POBLA!$B$15*100000</f>
        <v>28.913180645637343</v>
      </c>
      <c r="L12016" s="200">
        <f t="shared" si="2196"/>
        <v>-1.7543859649122862E-2</v>
      </c>
      <c r="M12016" s="401">
        <f>SUM(C12016,C11992,C11968,C11944,C11920,C11896,C11872)/POBLA!$B$15*100000</f>
        <v>202.39226451946143</v>
      </c>
      <c r="N12016" s="42" t="s">
        <v>19</v>
      </c>
      <c r="O12016" s="42">
        <v>0</v>
      </c>
      <c r="P12016" s="42">
        <v>4</v>
      </c>
      <c r="Q12016" s="42">
        <v>0</v>
      </c>
      <c r="R12016" s="42">
        <v>4</v>
      </c>
    </row>
    <row r="12017" spans="1:18" x14ac:dyDescent="0.25">
      <c r="A12017" s="367" t="s">
        <v>18</v>
      </c>
      <c r="B12017" s="2">
        <v>44393</v>
      </c>
      <c r="C12017" s="601">
        <v>327</v>
      </c>
      <c r="D12017" s="39">
        <f t="shared" si="2193"/>
        <v>87929</v>
      </c>
      <c r="E12017" s="1">
        <v>6</v>
      </c>
      <c r="F12017" s="39">
        <f t="shared" si="2192"/>
        <v>2022</v>
      </c>
      <c r="G12017" s="168">
        <f>SUM(C12017,C11993,C11969,C11945,C11921,C11897,C11873,C11849,C11825,C11801,C11777,C11753,C11729,C11705)/POBLA!$B$16*100000</f>
        <v>417.59741041452094</v>
      </c>
      <c r="H12017" s="256">
        <f t="shared" si="2197"/>
        <v>0.88192090395480227</v>
      </c>
      <c r="I12017" s="297">
        <f t="shared" si="2198"/>
        <v>368.28788568195887</v>
      </c>
      <c r="J12017" s="422">
        <f t="shared" si="2195"/>
        <v>246.28571428571428</v>
      </c>
      <c r="K12017" s="297">
        <f>J12017/POBLA!$B$16*100000</f>
        <v>32.943073833377596</v>
      </c>
      <c r="L12017" s="200">
        <f t="shared" si="2196"/>
        <v>0.23319027181688123</v>
      </c>
      <c r="M12017" s="401">
        <f>SUM(C12017,C11993,C11969,C11945,C11921,C11897,C11873)/POBLA!$B$16*100000</f>
        <v>230.60151683364322</v>
      </c>
      <c r="N12017" s="42" t="s">
        <v>18</v>
      </c>
      <c r="O12017" s="42">
        <v>2</v>
      </c>
      <c r="P12017" s="42">
        <v>4</v>
      </c>
      <c r="Q12017" s="42">
        <v>0</v>
      </c>
      <c r="R12017" s="42">
        <v>6</v>
      </c>
    </row>
    <row r="12018" spans="1:18" x14ac:dyDescent="0.25">
      <c r="A12018" s="367" t="s">
        <v>34</v>
      </c>
      <c r="B12018" s="2">
        <v>44393</v>
      </c>
      <c r="C12018" s="601">
        <v>626</v>
      </c>
      <c r="D12018" s="39">
        <f>C12018+D11994</f>
        <v>69850</v>
      </c>
      <c r="E12018" s="1">
        <v>14</v>
      </c>
      <c r="F12018" s="39">
        <f t="shared" si="2192"/>
        <v>1925</v>
      </c>
      <c r="G12018" s="168">
        <f>SUM(C12018,C11994,C11970,C11946,C11922,C11898,C11874,C11850,C11826,C11802,C11778,C11754,C11730,C11706)/POBLA!$B$17*100000</f>
        <v>510.5318250459668</v>
      </c>
      <c r="H12018" s="256">
        <f t="shared" si="2197"/>
        <v>1.0192011212333567</v>
      </c>
      <c r="I12018" s="297">
        <f t="shared" si="2198"/>
        <v>520.33460851216125</v>
      </c>
      <c r="J12018" s="422">
        <f t="shared" si="2195"/>
        <v>555.85714285714289</v>
      </c>
      <c r="K12018" s="297">
        <f>J12018/POBLA!$B$17*100000</f>
        <v>39.024032124270335</v>
      </c>
      <c r="L12018" s="200">
        <f t="shared" si="2196"/>
        <v>0.15084294587400171</v>
      </c>
      <c r="M12018" s="401">
        <f>SUM(C12018,C11994,C11970,C11946,C11922,C11898,C11874)/POBLA!$B$17*100000</f>
        <v>273.1682248698923</v>
      </c>
      <c r="N12018" s="42" t="s">
        <v>34</v>
      </c>
      <c r="O12018" s="42">
        <v>6</v>
      </c>
      <c r="P12018" s="42">
        <v>8</v>
      </c>
      <c r="Q12018" s="42">
        <v>0</v>
      </c>
      <c r="R12018" s="42">
        <v>14</v>
      </c>
    </row>
    <row r="12019" spans="1:18" x14ac:dyDescent="0.25">
      <c r="A12019" s="367" t="s">
        <v>35</v>
      </c>
      <c r="B12019" s="2">
        <v>44393</v>
      </c>
      <c r="C12019" s="601">
        <v>328</v>
      </c>
      <c r="D12019" s="39">
        <f t="shared" ref="D12019:D12025" si="2199">C12019+D11995</f>
        <v>56284</v>
      </c>
      <c r="E12019" s="1">
        <v>8</v>
      </c>
      <c r="F12019" s="39">
        <f t="shared" si="2192"/>
        <v>891</v>
      </c>
      <c r="G12019" s="168">
        <f>SUM(C12019,C11995,C11971,C11947,C11923,C11899,C11875,C11851,C11827,C11803,C11779,C11755,C11731,C11707)/POBLA!$B$18*100000</f>
        <v>570.00807714117843</v>
      </c>
      <c r="H12019" s="256">
        <f t="shared" si="2197"/>
        <v>0.7626305874293543</v>
      </c>
      <c r="I12019" s="297">
        <f t="shared" si="2198"/>
        <v>434.70559470965361</v>
      </c>
      <c r="J12019" s="422">
        <f t="shared" si="2195"/>
        <v>309.85714285714283</v>
      </c>
      <c r="K12019" s="297">
        <f>J12019/POBLA!$B$18*100000</f>
        <v>39.663389667293828</v>
      </c>
      <c r="L12019" s="200">
        <f t="shared" si="2196"/>
        <v>-5.0350262697022807E-2</v>
      </c>
      <c r="M12019" s="401">
        <f>SUM(C12019,C11995,C11971,C11947,C11923,C11899,C11875)/POBLA!$B$18*100000</f>
        <v>277.64372767105681</v>
      </c>
      <c r="N12019" s="42" t="s">
        <v>35</v>
      </c>
      <c r="O12019" s="42">
        <v>4</v>
      </c>
      <c r="P12019" s="42">
        <v>4</v>
      </c>
      <c r="Q12019" s="42">
        <v>0</v>
      </c>
      <c r="R12019" s="42">
        <v>8</v>
      </c>
    </row>
    <row r="12020" spans="1:18" x14ac:dyDescent="0.25">
      <c r="A12020" s="367" t="s">
        <v>36</v>
      </c>
      <c r="B12020" s="2">
        <v>44393</v>
      </c>
      <c r="C12020" s="601">
        <v>401</v>
      </c>
      <c r="D12020" s="39">
        <f t="shared" si="2199"/>
        <v>71133</v>
      </c>
      <c r="E12020" s="1">
        <v>11</v>
      </c>
      <c r="F12020" s="39">
        <f t="shared" si="2192"/>
        <v>1143</v>
      </c>
      <c r="G12020" s="168">
        <f>SUM(C12020,C11996,C11972,C11948,C11924,C11900,C11876,C11852,C11828,C11804,C11780,C11756,C11732,C11708)/POBLA!$B$19*100000</f>
        <v>896.66514533922987</v>
      </c>
      <c r="H12020" s="256">
        <f t="shared" si="2197"/>
        <v>0.86440356533282758</v>
      </c>
      <c r="I12020" s="297">
        <f t="shared" si="2198"/>
        <v>775.08054854090835</v>
      </c>
      <c r="J12020" s="422">
        <f t="shared" si="2195"/>
        <v>308.71428571428572</v>
      </c>
      <c r="K12020" s="297">
        <f>J12020/POBLA!$B$19*100000</f>
        <v>60.73131633793254</v>
      </c>
      <c r="L12020" s="200">
        <f t="shared" si="2196"/>
        <v>-9.8456403838131035E-2</v>
      </c>
      <c r="M12020" s="401">
        <f>SUM(C12020,C11996,C11972,C11948,C11924,C11900,C11876)/POBLA!$B$19*100000</f>
        <v>425.1192143655278</v>
      </c>
      <c r="N12020" s="42" t="s">
        <v>36</v>
      </c>
      <c r="O12020" s="42">
        <v>5</v>
      </c>
      <c r="P12020" s="42">
        <v>6</v>
      </c>
      <c r="Q12020" s="42">
        <v>0</v>
      </c>
      <c r="R12020" s="42">
        <v>11</v>
      </c>
    </row>
    <row r="12021" spans="1:18" x14ac:dyDescent="0.25">
      <c r="A12021" s="367" t="s">
        <v>37</v>
      </c>
      <c r="B12021" s="2">
        <v>44393</v>
      </c>
      <c r="C12021" s="601">
        <v>97</v>
      </c>
      <c r="D12021" s="39">
        <f t="shared" si="2199"/>
        <v>56971</v>
      </c>
      <c r="E12021" s="1">
        <v>11</v>
      </c>
      <c r="F12021" s="39">
        <f>E12021+F11997</f>
        <v>918</v>
      </c>
      <c r="G12021" s="168">
        <f>SUM(C12021,C11997,C11974,C11949,C11925,C11901,C11877,C11853,C11829,C11805,C11781,C11757,C11733,C11709)/POBLA!$B$20*100000</f>
        <v>812.69244021022814</v>
      </c>
      <c r="H12021" s="256">
        <f t="shared" si="2197"/>
        <v>0.7695338148391333</v>
      </c>
      <c r="I12021" s="297">
        <f t="shared" si="2198"/>
        <v>625.39431380590111</v>
      </c>
      <c r="J12021" s="422">
        <f t="shared" si="2195"/>
        <v>79.428571428571431</v>
      </c>
      <c r="K12021" s="297">
        <f>J12021/POBLA!$B$20*100000</f>
        <v>21.719717206156837</v>
      </c>
      <c r="L12021" s="200">
        <f t="shared" si="2196"/>
        <v>-9.740259740259738E-2</v>
      </c>
      <c r="M12021" s="401">
        <f>SUM(C12021,C11997,C11973,C11949,C11925,C11901,C11877)/POBLA!$B$20*100000</f>
        <v>152.03802044309788</v>
      </c>
      <c r="N12021" s="42" t="s">
        <v>37</v>
      </c>
      <c r="O12021" s="42">
        <v>1</v>
      </c>
      <c r="P12021" s="42">
        <v>10</v>
      </c>
      <c r="Q12021" s="42">
        <v>0</v>
      </c>
      <c r="R12021" s="42">
        <v>11</v>
      </c>
    </row>
    <row r="12022" spans="1:18" x14ac:dyDescent="0.25">
      <c r="A12022" s="367" t="s">
        <v>22</v>
      </c>
      <c r="B12022" s="2">
        <v>44393</v>
      </c>
      <c r="C12022" s="601">
        <v>1479</v>
      </c>
      <c r="D12022" s="39">
        <f t="shared" si="2199"/>
        <v>430096</v>
      </c>
      <c r="E12022" s="1">
        <v>44</v>
      </c>
      <c r="F12022" s="39">
        <f>E12022+F11998</f>
        <v>7280</v>
      </c>
      <c r="G12022" s="168">
        <f>SUM(C12022,C11998,C11974,C11950,C11926,C11902,C11878,C11854,C11830,C11806,C11782,C11758,C11734,C11710)/POBLA!$B$21*100000</f>
        <v>578.15563657916005</v>
      </c>
      <c r="H12022" s="256">
        <f t="shared" si="2197"/>
        <v>0.91513740936353061</v>
      </c>
      <c r="I12022" s="297">
        <f t="shared" si="2198"/>
        <v>529.0918514679754</v>
      </c>
      <c r="J12022" s="422">
        <f t="shared" si="2195"/>
        <v>1389.5714285714287</v>
      </c>
      <c r="K12022" s="297">
        <f>J12022/POBLA!$B$21*100000</f>
        <v>39.293189565583837</v>
      </c>
      <c r="L12022" s="200">
        <f t="shared" si="2196"/>
        <v>-9.2545946450228511E-2</v>
      </c>
      <c r="M12022" s="401">
        <f>SUM(C12022,C11998,C11974,C11950,C11926,C11902,C11878)/POBLA!$B$21*100000</f>
        <v>275.05232695908688</v>
      </c>
      <c r="N12022" s="42" t="s">
        <v>22</v>
      </c>
      <c r="O12022" s="42">
        <v>26</v>
      </c>
      <c r="P12022" s="42">
        <v>18</v>
      </c>
      <c r="Q12022" s="42">
        <v>0</v>
      </c>
      <c r="R12022" s="42">
        <v>44</v>
      </c>
    </row>
    <row r="12023" spans="1:18" x14ac:dyDescent="0.25">
      <c r="A12023" s="367" t="s">
        <v>38</v>
      </c>
      <c r="B12023" s="2">
        <v>44393</v>
      </c>
      <c r="C12023" s="601">
        <v>555</v>
      </c>
      <c r="D12023" s="39">
        <f t="shared" si="2199"/>
        <v>68348</v>
      </c>
      <c r="E12023" s="1">
        <v>8</v>
      </c>
      <c r="F12023" s="39">
        <f>E12023+F11999</f>
        <v>942</v>
      </c>
      <c r="G12023" s="168">
        <f>SUM(C12023,C11999,C11975,C11951,C11927,C11903,C11879,C11855,C11831,C11807,C11783,C11759,C11735,C11711)/POBLA!$B$22*100000</f>
        <v>770.10118438577433</v>
      </c>
      <c r="H12023" s="256">
        <f t="shared" si="2197"/>
        <v>1.0701704545454545</v>
      </c>
      <c r="I12023" s="297">
        <f t="shared" si="2198"/>
        <v>824.13953454011698</v>
      </c>
      <c r="J12023" s="422">
        <f t="shared" si="2195"/>
        <v>539</v>
      </c>
      <c r="K12023" s="297">
        <f>J12023/POBLA!$B$22*100000</f>
        <v>55.094841834872895</v>
      </c>
      <c r="L12023" s="200">
        <f t="shared" si="2196"/>
        <v>3.190640787024801E-3</v>
      </c>
      <c r="M12023" s="401">
        <f>SUM(C12023,C11999,C11975,C11951,C11927,C11903,C11879)/POBLA!$B$22*100000</f>
        <v>385.66389284411019</v>
      </c>
      <c r="N12023" s="42" t="s">
        <v>38</v>
      </c>
      <c r="O12023" s="42">
        <v>4</v>
      </c>
      <c r="P12023" s="42">
        <v>3</v>
      </c>
      <c r="Q12023" s="42">
        <v>1</v>
      </c>
      <c r="R12023" s="42">
        <v>8</v>
      </c>
    </row>
    <row r="12024" spans="1:18" x14ac:dyDescent="0.25">
      <c r="A12024" s="367" t="s">
        <v>39</v>
      </c>
      <c r="B12024" s="2">
        <v>44393</v>
      </c>
      <c r="C12024" s="601">
        <v>53</v>
      </c>
      <c r="D12024" s="39">
        <f t="shared" si="2199"/>
        <v>30489</v>
      </c>
      <c r="F12024" s="39">
        <f>E12024+F12000</f>
        <v>462</v>
      </c>
      <c r="G12024" s="168">
        <f>SUM(C12024,C12000,C11976,C11952,C11928,C11904,C11880,C11856,C11832,C11808,C11784,C11760,C11736,C11712)/POBLA!$B$23*100000</f>
        <v>327.99864276423688</v>
      </c>
      <c r="H12024" s="256">
        <f t="shared" si="2197"/>
        <v>0.90625</v>
      </c>
      <c r="I12024" s="297">
        <f t="shared" si="2198"/>
        <v>297.24877000508968</v>
      </c>
      <c r="J12024" s="422">
        <f t="shared" si="2195"/>
        <v>43.714285714285715</v>
      </c>
      <c r="K12024" s="297">
        <f>J12024/POBLA!$B$23*100000</f>
        <v>24.721079971885828</v>
      </c>
      <c r="L12024" s="200">
        <f t="shared" si="2196"/>
        <v>0.11678832116788329</v>
      </c>
      <c r="M12024" s="401">
        <f>SUM(C12024,C12000,C11976,C11952,C11928,C11904,C11880)/POBLA!$B$23*100000</f>
        <v>173.04755980320081</v>
      </c>
    </row>
    <row r="12025" spans="1:18" ht="15.75" thickBot="1" x14ac:dyDescent="0.3">
      <c r="A12025" s="368" t="s">
        <v>40</v>
      </c>
      <c r="B12025" s="34">
        <v>44393</v>
      </c>
      <c r="C12025" s="601">
        <v>659</v>
      </c>
      <c r="D12025" s="67">
        <f t="shared" si="2199"/>
        <v>170804</v>
      </c>
      <c r="E12025" s="232">
        <v>22</v>
      </c>
      <c r="F12025" s="67">
        <f>E12025+F12001</f>
        <v>2448</v>
      </c>
      <c r="G12025" s="255">
        <f>SUM(C12025,C12001,C11977,C11953,C11929,C11905,C11881,C11857,C11833,C11809,C11785,C11761,C11737,C11713)/POBLA!$B$24*100000</f>
        <v>627.14792854715063</v>
      </c>
      <c r="H12025" s="257">
        <f t="shared" si="2197"/>
        <v>0.71371969646094957</v>
      </c>
      <c r="I12025" s="299">
        <f t="shared" si="2198"/>
        <v>447.60782919878562</v>
      </c>
      <c r="J12025" s="428">
        <f t="shared" si="2195"/>
        <v>675.42857142857144</v>
      </c>
      <c r="K12025" s="299">
        <f>J12025/POBLA!$B$24*100000</f>
        <v>39.856382146498845</v>
      </c>
      <c r="L12025" s="260">
        <f t="shared" si="2196"/>
        <v>-0.19864406779661015</v>
      </c>
      <c r="M12025" s="406">
        <f>SUM(C12025,C12001,C11977,C11953,C11929,C11905,C11881)/POBLA!$B$24*100000</f>
        <v>278.99467502549192</v>
      </c>
      <c r="N12025" s="42" t="s">
        <v>40</v>
      </c>
      <c r="O12025" s="42">
        <v>10</v>
      </c>
      <c r="P12025" s="42">
        <v>12</v>
      </c>
      <c r="Q12025" s="42">
        <v>0</v>
      </c>
      <c r="R12025" s="42">
        <v>22</v>
      </c>
    </row>
    <row r="12026" spans="1:18" x14ac:dyDescent="0.25">
      <c r="A12026" s="363" t="s">
        <v>16</v>
      </c>
      <c r="B12026" s="265">
        <v>44394</v>
      </c>
      <c r="C12026" s="261">
        <v>3373</v>
      </c>
      <c r="D12026" s="174">
        <f>C12026+D12002</f>
        <v>1925688</v>
      </c>
      <c r="E12026" s="43">
        <v>100</v>
      </c>
      <c r="F12026" s="174">
        <f t="shared" ref="F12026:F12044" si="2200">E12026+F12002</f>
        <v>50608</v>
      </c>
      <c r="G12026" s="175">
        <f>SUM(C12026,C12002,C11954,C11978,C11930,C11906,C11882,C11858,C11834,C11810,C11786,C11762,C11738,C11714)/POBLA!$B$1*100000</f>
        <v>371.34414460268005</v>
      </c>
      <c r="H12026" s="300">
        <f t="shared" si="2197"/>
        <v>0.75482061740984518</v>
      </c>
      <c r="I12026" s="301">
        <f>G12026*H12026</f>
        <v>280.29821650052577</v>
      </c>
      <c r="J12026" s="421">
        <f>AVERAGE(C12026,C12002,C11978,C11954,C11930,C11906,C11882)</f>
        <v>4546</v>
      </c>
      <c r="K12026" s="301">
        <f>J12026/POBLA!$B$1*100000</f>
        <v>25.916216054588464</v>
      </c>
      <c r="L12026" s="399">
        <f>(SUM(C12026,C12002,C11978,C11954,C11930,C11906,C11882)/SUM(C11858,C11834,C11810,C11786,C11762,C11738,C11714))-1</f>
        <v>-4.484331852563328E-2</v>
      </c>
      <c r="M12026" s="400">
        <f>SUM(C12026,C12002,C11978,C11954,C11930,C11906,C11882)/POBLA!$B$1*100000</f>
        <v>181.41351238211928</v>
      </c>
      <c r="N12026" t="s">
        <v>16</v>
      </c>
      <c r="O12026">
        <v>51</v>
      </c>
      <c r="P12026" s="42">
        <v>48</v>
      </c>
      <c r="Q12026" s="42">
        <v>1</v>
      </c>
      <c r="R12026" s="42">
        <v>100</v>
      </c>
    </row>
    <row r="12027" spans="1:18" x14ac:dyDescent="0.25">
      <c r="A12027" s="367" t="s">
        <v>43</v>
      </c>
      <c r="B12027" s="2">
        <v>44394</v>
      </c>
      <c r="C12027" s="261">
        <v>840</v>
      </c>
      <c r="D12027" s="39">
        <f t="shared" ref="D12027:D12041" si="2201">C12027+D12003</f>
        <v>481158</v>
      </c>
      <c r="E12027" s="1">
        <v>5</v>
      </c>
      <c r="F12027" s="39">
        <f t="shared" si="2200"/>
        <v>10689</v>
      </c>
      <c r="G12027" s="168">
        <f>SUM(C12027,C12003,C11979,C11955,C11931,C11907,C11883,C11859,C11835,C11811,C11787,C11763,C11739,C11715)/POBLA!$B$2*100000</f>
        <v>445.2397967776526</v>
      </c>
      <c r="H12027" s="256">
        <f t="shared" si="2197"/>
        <v>0.79174375578168366</v>
      </c>
      <c r="I12027" s="297">
        <f t="shared" ref="I12027:I12033" si="2202">G12027*H12027</f>
        <v>352.51582892421226</v>
      </c>
      <c r="J12027" s="422">
        <f>AVERAGE(C12027,C12003,C11979,C11955,C11931,C11907,C11883)</f>
        <v>962.85714285714289</v>
      </c>
      <c r="K12027" s="297">
        <f>J12027/POBLA!$B$2*100000</f>
        <v>31.305850636163683</v>
      </c>
      <c r="L12027" s="200">
        <f>(SUM(C12027,C12003,C11979,C11955,C11931,C11907,C11883)/SUM(C11859,C11835,C11811,C11787,C11763,C11739,C11715))-1</f>
        <v>-3.077365545010069E-2</v>
      </c>
      <c r="M12027" s="401">
        <f>SUM(C12027,C12003,C11979,C11955,C11931,C11907,C11883)/POBLA!$B$2*100000</f>
        <v>219.14095445314578</v>
      </c>
      <c r="N12027" t="s">
        <v>43</v>
      </c>
      <c r="O12027">
        <v>1</v>
      </c>
      <c r="P12027" s="42">
        <v>4</v>
      </c>
      <c r="Q12027" s="42">
        <v>0</v>
      </c>
      <c r="R12027" s="42">
        <v>5</v>
      </c>
    </row>
    <row r="12028" spans="1:18" x14ac:dyDescent="0.25">
      <c r="A12028" s="367" t="s">
        <v>28</v>
      </c>
      <c r="B12028" s="2">
        <v>44394</v>
      </c>
      <c r="C12028" s="261">
        <v>149</v>
      </c>
      <c r="D12028" s="39">
        <f t="shared" si="2201"/>
        <v>38792</v>
      </c>
      <c r="E12028" s="1">
        <v>5</v>
      </c>
      <c r="F12028" s="39">
        <f t="shared" si="2200"/>
        <v>398</v>
      </c>
      <c r="G12028" s="168">
        <f>SUM(C12028,C12004,C11980,C11956,C11932,C11908,C11884,C11860,C11836,C11812,C11788,C11764,C11740,C11716)/POBLA!$B$3*100000</f>
        <v>882.20143559327744</v>
      </c>
      <c r="H12028" s="256">
        <f t="shared" si="2197"/>
        <v>0.84583429494576501</v>
      </c>
      <c r="I12028" s="297">
        <f t="shared" si="2202"/>
        <v>746.19622927518151</v>
      </c>
      <c r="J12028" s="422">
        <f t="shared" ref="J12028:J12049" si="2203">AVERAGE(C12028,C12004,C11980,C11956,C11932,C11908,C11884)</f>
        <v>246.42857142857142</v>
      </c>
      <c r="K12028" s="297">
        <f>J12028/POBLA!$B$3*100000</f>
        <v>59.317773393038529</v>
      </c>
      <c r="L12028" s="200">
        <f t="shared" ref="L12028:L12049" si="2204">(SUM(C12028,C12004,C11980,C11956,C11932,C11908,C11884)/SUM(C11860,C11836,C11812,C11788,C11764,C11740,C11716))-1</f>
        <v>-0.11082474226804129</v>
      </c>
      <c r="M12028" s="401">
        <f>SUM(C12028,C12004,C11980,C11956,C11932,C11908,C11884)/POBLA!$B$3*100000</f>
        <v>415.22441375126976</v>
      </c>
      <c r="N12028" t="s">
        <v>28</v>
      </c>
      <c r="O12028">
        <v>5</v>
      </c>
      <c r="P12028" s="42">
        <v>0</v>
      </c>
      <c r="Q12028" s="42">
        <v>0</v>
      </c>
      <c r="R12028" s="42">
        <v>5</v>
      </c>
    </row>
    <row r="12029" spans="1:18" x14ac:dyDescent="0.25">
      <c r="A12029" s="367" t="s">
        <v>15</v>
      </c>
      <c r="B12029" s="2">
        <v>44394</v>
      </c>
      <c r="C12029" s="601">
        <v>303</v>
      </c>
      <c r="D12029" s="39">
        <f t="shared" si="2201"/>
        <v>85805</v>
      </c>
      <c r="E12029" s="1">
        <v>8</v>
      </c>
      <c r="F12029" s="39">
        <f t="shared" si="2200"/>
        <v>1870</v>
      </c>
      <c r="G12029" s="168">
        <f>SUM(C12029,C12005,C11981,C11957,C11933,C11909,C11885,C11861,C11837,C11813,C11789,C11765,C11741,C11717)/POBLA!$B$4*100000</f>
        <v>588.43991196646687</v>
      </c>
      <c r="H12029" s="256">
        <f t="shared" si="2197"/>
        <v>0.94772028346035564</v>
      </c>
      <c r="I12029" s="297">
        <f t="shared" si="2202"/>
        <v>557.6764401682467</v>
      </c>
      <c r="J12029" s="422">
        <f t="shared" si="2203"/>
        <v>454.28571428571428</v>
      </c>
      <c r="K12029" s="297">
        <f>J12029/POBLA!$B$4*100000</f>
        <v>37.714425186499611</v>
      </c>
      <c r="L12029" s="200">
        <f t="shared" si="2204"/>
        <v>-0.18628454452405319</v>
      </c>
      <c r="M12029" s="401">
        <f>SUM(C12029,C12005,C11981,C11957,C11933,C11909,C11885)/POBLA!$B$4*100000</f>
        <v>264.00097630549732</v>
      </c>
      <c r="N12029" s="42" t="s">
        <v>15</v>
      </c>
      <c r="O12029" s="42">
        <v>4</v>
      </c>
      <c r="P12029" s="42">
        <v>4</v>
      </c>
      <c r="Q12029" s="42">
        <v>0</v>
      </c>
      <c r="R12029" s="42">
        <v>8</v>
      </c>
    </row>
    <row r="12030" spans="1:18" x14ac:dyDescent="0.25">
      <c r="A12030" s="367" t="s">
        <v>29</v>
      </c>
      <c r="B12030" s="2">
        <v>44394</v>
      </c>
      <c r="C12030" s="601">
        <v>145</v>
      </c>
      <c r="D12030" s="39">
        <f t="shared" si="2201"/>
        <v>73820</v>
      </c>
      <c r="E12030" s="1">
        <v>2</v>
      </c>
      <c r="F12030" s="39">
        <f t="shared" si="2200"/>
        <v>1276</v>
      </c>
      <c r="G12030" s="168">
        <f>SUM(C12030,C12006,C11982,C11958,C11934,C11910,C11886,C11862,C11838,C11814,C11790,C11766,C11742,C11718)/POBLA!$B$5*100000</f>
        <v>383.04086953993095</v>
      </c>
      <c r="H12030" s="256">
        <f t="shared" si="2197"/>
        <v>0.7648387096774194</v>
      </c>
      <c r="I12030" s="297">
        <f t="shared" si="2202"/>
        <v>292.96448441263755</v>
      </c>
      <c r="J12030" s="422">
        <f t="shared" si="2203"/>
        <v>179.85714285714286</v>
      </c>
      <c r="K12030" s="297">
        <f>J12030/POBLA!$B$5*100000</f>
        <v>29.056362881892692</v>
      </c>
      <c r="L12030" s="200">
        <f t="shared" si="2204"/>
        <v>0.1321942446043165</v>
      </c>
      <c r="M12030" s="401">
        <f>SUM(C12030,C12006,C11982,C11958,C11934,C11910,C11886)/POBLA!$B$5*100000</f>
        <v>203.39454017324886</v>
      </c>
      <c r="N12030" s="42" t="s">
        <v>29</v>
      </c>
      <c r="O12030" s="42">
        <v>0</v>
      </c>
      <c r="P12030" s="42">
        <v>2</v>
      </c>
      <c r="Q12030" s="42">
        <v>0</v>
      </c>
      <c r="R12030" s="42">
        <v>2</v>
      </c>
    </row>
    <row r="12031" spans="1:18" x14ac:dyDescent="0.25">
      <c r="A12031" s="367" t="s">
        <v>30</v>
      </c>
      <c r="B12031" s="2">
        <v>44394</v>
      </c>
      <c r="C12031" s="601">
        <v>544</v>
      </c>
      <c r="D12031" s="39">
        <f t="shared" si="2201"/>
        <v>442386</v>
      </c>
      <c r="E12031" s="1">
        <v>6</v>
      </c>
      <c r="F12031" s="39">
        <f t="shared" si="2200"/>
        <v>5792</v>
      </c>
      <c r="G12031" s="168">
        <f>SUM(C12031,C12007,C11983,C11959,C11935,C11911,C11887,C11863,C11839,C11815,C11791,C11767,C11743,C11719)/POBLA!$B$6*100000</f>
        <v>614.56047951420453</v>
      </c>
      <c r="H12031" s="256">
        <f t="shared" si="2197"/>
        <v>0.97123519458544838</v>
      </c>
      <c r="I12031" s="297">
        <f t="shared" si="2202"/>
        <v>596.88276690550492</v>
      </c>
      <c r="J12031" s="422">
        <f t="shared" si="2203"/>
        <v>547.57142857142856</v>
      </c>
      <c r="K12031" s="297">
        <f>J12031/POBLA!$B$6*100000</f>
        <v>48.855365811721128</v>
      </c>
      <c r="L12031" s="200">
        <f t="shared" si="2204"/>
        <v>0.25466448445171852</v>
      </c>
      <c r="M12031" s="401">
        <f>SUM(C12031,C12007,C11983,C11959,C11935,C11911,C11887)/POBLA!$B$6*100000</f>
        <v>341.98756068204796</v>
      </c>
      <c r="N12031" s="42" t="s">
        <v>30</v>
      </c>
      <c r="O12031" s="42">
        <v>4</v>
      </c>
      <c r="P12031" s="42">
        <v>2</v>
      </c>
      <c r="Q12031" s="42">
        <v>0</v>
      </c>
      <c r="R12031" s="42">
        <v>6</v>
      </c>
    </row>
    <row r="12032" spans="1:18" x14ac:dyDescent="0.25">
      <c r="A12032" s="367" t="s">
        <v>20</v>
      </c>
      <c r="B12032" s="2">
        <v>44394</v>
      </c>
      <c r="C12032" s="601">
        <v>1292</v>
      </c>
      <c r="D12032" s="39">
        <f t="shared" si="2201"/>
        <v>76698</v>
      </c>
      <c r="E12032" s="1">
        <v>21</v>
      </c>
      <c r="F12032" s="39">
        <f t="shared" si="2200"/>
        <v>874</v>
      </c>
      <c r="G12032" s="168">
        <f>SUM(C12032,C12008,C11984,C11960,C11936,C11912,C11888,C11864,C11840,C11816,C11792,C11768,C11744,C11720)/POBLA!$B$7*100000</f>
        <v>725.17916738688189</v>
      </c>
      <c r="H12032" s="256">
        <f t="shared" si="2197"/>
        <v>0.7888114315466721</v>
      </c>
      <c r="I12032" s="297">
        <f t="shared" si="2202"/>
        <v>572.02961715427</v>
      </c>
      <c r="J12032" s="422">
        <f t="shared" si="2203"/>
        <v>1933.2857142857142</v>
      </c>
      <c r="K12032" s="297">
        <f>J12032/POBLA!$B$7*100000</f>
        <v>51.411020337611568</v>
      </c>
      <c r="L12032" s="200">
        <f t="shared" si="2204"/>
        <v>-1.4850404018344587E-2</v>
      </c>
      <c r="M12032" s="401">
        <f>SUM(C12032,C12008,C11984,C11960,C11936,C11912,C11888)/POBLA!$B$7*100000</f>
        <v>359.877142363281</v>
      </c>
      <c r="N12032" s="42" t="s">
        <v>20</v>
      </c>
      <c r="O12032" s="42">
        <v>10</v>
      </c>
      <c r="P12032" s="42">
        <v>11</v>
      </c>
      <c r="Q12032" s="42">
        <v>0</v>
      </c>
      <c r="R12032" s="42">
        <v>21</v>
      </c>
    </row>
    <row r="12033" spans="1:18" x14ac:dyDescent="0.25">
      <c r="A12033" s="367" t="s">
        <v>31</v>
      </c>
      <c r="B12033" s="2">
        <v>44394</v>
      </c>
      <c r="C12033" s="601">
        <v>467</v>
      </c>
      <c r="D12033" s="39">
        <f t="shared" si="2201"/>
        <v>121952</v>
      </c>
      <c r="E12033" s="1">
        <v>2</v>
      </c>
      <c r="F12033" s="39">
        <f t="shared" si="2200"/>
        <v>2018</v>
      </c>
      <c r="G12033" s="168">
        <f>SUM(C12033,C12009,C11985,C11961,C11937,C11913,C11889,C11865,C11841,C11817,C11793,C11769,C11745,C11721)/POBLA!$B$8*100000</f>
        <v>677.14748106187699</v>
      </c>
      <c r="H12033" s="256">
        <f t="shared" ref="H12033:H12056" si="2205">SUM(C12033,C12009,C11985,C11961,C11937,C11913,C11889,C11865,C11841,C11817,C11793,C11769,C11745,C11721,)/SUM(C11697,C11673,C11649,C11625,C11601,C11577,C11553,C11529,C11505,C11481,C11457,C11433,C11409,C11385)</f>
        <v>0.95735999183923293</v>
      </c>
      <c r="I12033" s="297">
        <f t="shared" si="2202"/>
        <v>648.27390694335566</v>
      </c>
      <c r="J12033" s="422">
        <f t="shared" si="2203"/>
        <v>707.42857142857144</v>
      </c>
      <c r="K12033" s="297">
        <f>J12033/POBLA!$B$8*100000</f>
        <v>51.042458729255117</v>
      </c>
      <c r="L12033" s="200">
        <f t="shared" si="2204"/>
        <v>0.11707647191518156</v>
      </c>
      <c r="M12033" s="401">
        <f>SUM(C12033,C12009,C11985,C11961,C11937,C11913,C11889)/POBLA!$B$8*100000</f>
        <v>357.29721110478579</v>
      </c>
      <c r="N12033" s="42" t="s">
        <v>31</v>
      </c>
      <c r="O12033" s="42">
        <v>1</v>
      </c>
      <c r="P12033" s="42">
        <v>1</v>
      </c>
      <c r="Q12033" s="42">
        <v>0</v>
      </c>
      <c r="R12033" s="42">
        <v>2</v>
      </c>
    </row>
    <row r="12034" spans="1:18" x14ac:dyDescent="0.25">
      <c r="A12034" s="367" t="s">
        <v>41</v>
      </c>
      <c r="B12034" s="2">
        <v>44394</v>
      </c>
      <c r="C12034" s="601">
        <v>334</v>
      </c>
      <c r="D12034" s="39">
        <f t="shared" si="2201"/>
        <v>52542</v>
      </c>
      <c r="E12034" s="1">
        <v>5</v>
      </c>
      <c r="F12034" s="39">
        <f t="shared" si="2200"/>
        <v>919</v>
      </c>
      <c r="G12034" s="168">
        <f>SUM(C12034,C12010,C11986,C11962,C11938,C11914,C11890,C11866,C11842,C11818,C11794,C11770,C11746,C11722)/POBLA!$B$9*100000</f>
        <v>948.12729162432481</v>
      </c>
      <c r="H12034" s="256">
        <f t="shared" si="2205"/>
        <v>1.0098556846180922</v>
      </c>
      <c r="I12034" s="297">
        <f>G12034*H12034</f>
        <v>957.47173518838008</v>
      </c>
      <c r="J12034" s="422">
        <f t="shared" si="2203"/>
        <v>383.42857142857144</v>
      </c>
      <c r="K12034" s="297">
        <f>J12034/POBLA!$B$9*100000</f>
        <v>63.356412157538408</v>
      </c>
      <c r="L12034" s="200">
        <f t="shared" si="2204"/>
        <v>-0.12115258677144725</v>
      </c>
      <c r="M12034" s="401">
        <f>SUM(C12034,C12010,C11986,C11962,C11938,C11914,C11890)/POBLA!$B$9*100000</f>
        <v>443.49488510276888</v>
      </c>
      <c r="N12034" s="42" t="s">
        <v>41</v>
      </c>
      <c r="O12034" s="42">
        <v>1</v>
      </c>
      <c r="P12034" s="42">
        <v>4</v>
      </c>
      <c r="Q12034" s="42">
        <v>0</v>
      </c>
      <c r="R12034" s="42">
        <v>5</v>
      </c>
    </row>
    <row r="12035" spans="1:18" x14ac:dyDescent="0.25">
      <c r="A12035" s="367" t="s">
        <v>32</v>
      </c>
      <c r="B12035" s="2">
        <v>44394</v>
      </c>
      <c r="C12035" s="601">
        <v>250</v>
      </c>
      <c r="D12035" s="39">
        <f t="shared" si="2201"/>
        <v>40581</v>
      </c>
      <c r="E12035" s="1">
        <v>4</v>
      </c>
      <c r="F12035" s="39">
        <f t="shared" si="2200"/>
        <v>1260</v>
      </c>
      <c r="G12035" s="168">
        <f>SUM(C12035,C12011,C11987,C11963,C11939,C11915,C11891,C11867,C11843,C11819,C11795,C11771,C11747,C11723)/POBLA!$B$10*100000</f>
        <v>509.6765908097359</v>
      </c>
      <c r="H12035" s="256">
        <f t="shared" si="2205"/>
        <v>1.0929068150208623</v>
      </c>
      <c r="I12035" s="297">
        <f t="shared" ref="I12035:I12049" si="2206">G12035*H12035</f>
        <v>557.0290195525597</v>
      </c>
      <c r="J12035" s="422">
        <f t="shared" si="2203"/>
        <v>274.71428571428572</v>
      </c>
      <c r="K12035" s="297">
        <f>J12035/POBLA!$B$10*100000</f>
        <v>35.636406360292412</v>
      </c>
      <c r="L12035" s="200">
        <f t="shared" si="2204"/>
        <v>-4.1375872382851453E-2</v>
      </c>
      <c r="M12035" s="401">
        <f>SUM(C12035,C12011,C11987,C11963,C11939,C11915,C11891)/POBLA!$B$10*100000</f>
        <v>249.45484452204687</v>
      </c>
      <c r="N12035" s="42" t="s">
        <v>32</v>
      </c>
      <c r="O12035" s="42">
        <v>2</v>
      </c>
      <c r="P12035" s="42">
        <v>2</v>
      </c>
      <c r="Q12035" s="42">
        <v>0</v>
      </c>
      <c r="R12035" s="42">
        <v>4</v>
      </c>
    </row>
    <row r="12036" spans="1:18" x14ac:dyDescent="0.25">
      <c r="A12036" s="367" t="s">
        <v>33</v>
      </c>
      <c r="B12036" s="2">
        <v>44394</v>
      </c>
      <c r="C12036" s="601">
        <v>199</v>
      </c>
      <c r="D12036" s="39">
        <f t="shared" si="2201"/>
        <v>57596</v>
      </c>
      <c r="F12036" s="39">
        <f t="shared" si="2200"/>
        <v>793</v>
      </c>
      <c r="G12036" s="168">
        <f>SUM(C12036,C12012,C11988,C11964,C11940,C11916,C11892,C11868,C11844,C11820,C11796,C11772,C11748,C11724)/POBLA!$B$11*100000</f>
        <v>1058.2320577633443</v>
      </c>
      <c r="H12036" s="256">
        <f t="shared" si="2205"/>
        <v>0.80411278354886584</v>
      </c>
      <c r="I12036" s="297">
        <f t="shared" si="2206"/>
        <v>850.93792560872691</v>
      </c>
      <c r="J12036" s="422">
        <f t="shared" si="2203"/>
        <v>270.28571428571428</v>
      </c>
      <c r="K12036" s="297">
        <f>J12036/POBLA!$B$11*100000</f>
        <v>75.408649515583122</v>
      </c>
      <c r="L12036" s="200">
        <f t="shared" si="2204"/>
        <v>-4.7343503419252642E-3</v>
      </c>
      <c r="M12036" s="401">
        <f>SUM(C12036,C12012,C11988,C11964,C11940,C11916,C11892)/POBLA!$B$11*100000</f>
        <v>527.86054660908189</v>
      </c>
    </row>
    <row r="12037" spans="1:18" x14ac:dyDescent="0.25">
      <c r="A12037" s="367" t="s">
        <v>21</v>
      </c>
      <c r="B12037" s="2">
        <v>44394</v>
      </c>
      <c r="C12037" s="601">
        <v>265</v>
      </c>
      <c r="D12037" s="39">
        <f t="shared" si="2201"/>
        <v>25605</v>
      </c>
      <c r="E12037" s="1">
        <v>28</v>
      </c>
      <c r="F12037" s="39">
        <f t="shared" si="2200"/>
        <v>758</v>
      </c>
      <c r="G12037" s="168">
        <f>SUM(C12037,C12013,C11989,C11965,C11941,C11917,C11893,C11869,C11845,C11821,C11797,C11773,C11749,C11725)/POBLA!$B$12*100000</f>
        <v>731.58150183848295</v>
      </c>
      <c r="H12037" s="256">
        <f t="shared" si="2205"/>
        <v>1.2010846891948268</v>
      </c>
      <c r="I12037" s="297">
        <f t="shared" si="2206"/>
        <v>878.69134075635895</v>
      </c>
      <c r="J12037" s="422">
        <f t="shared" si="2203"/>
        <v>217.71428571428572</v>
      </c>
      <c r="K12037" s="297">
        <f>J12037/POBLA!$B$12*100000</f>
        <v>55.323287292306254</v>
      </c>
      <c r="L12037" s="200">
        <f t="shared" si="2204"/>
        <v>0.12472324723247241</v>
      </c>
      <c r="M12037" s="401">
        <f>SUM(C12037,C12013,C11989,C11965,C11941,C11917,C11893)/POBLA!$B$12*100000</f>
        <v>387.26301104614373</v>
      </c>
      <c r="N12037" s="42" t="s">
        <v>21</v>
      </c>
      <c r="O12037" s="42">
        <v>10</v>
      </c>
      <c r="P12037" s="42">
        <v>18</v>
      </c>
      <c r="Q12037" s="42">
        <v>0</v>
      </c>
      <c r="R12037" s="42">
        <v>28</v>
      </c>
    </row>
    <row r="12038" spans="1:18" x14ac:dyDescent="0.25">
      <c r="A12038" s="367" t="s">
        <v>17</v>
      </c>
      <c r="B12038" s="2">
        <v>44394</v>
      </c>
      <c r="C12038" s="601">
        <v>330</v>
      </c>
      <c r="D12038" s="39">
        <f t="shared" si="2201"/>
        <v>148305</v>
      </c>
      <c r="E12038" s="1">
        <v>28</v>
      </c>
      <c r="F12038" s="39">
        <f t="shared" si="2200"/>
        <v>3646</v>
      </c>
      <c r="G12038" s="168">
        <f>SUM(C12038,C12014,C11990,C11966,C11942,C11918,C11894,C11870,C11846,C11822,C11798,C11774,C11750,C11726)/POBLA!$B$13*100000</f>
        <v>327.83376491832041</v>
      </c>
      <c r="H12038" s="256">
        <f t="shared" si="2205"/>
        <v>0.81992963056044232</v>
      </c>
      <c r="I12038" s="297">
        <f t="shared" si="2206"/>
        <v>268.80061775471734</v>
      </c>
      <c r="J12038" s="422">
        <f t="shared" si="2203"/>
        <v>485.42857142857144</v>
      </c>
      <c r="K12038" s="297">
        <f>J12038/POBLA!$B$13*100000</f>
        <v>24.389253052927263</v>
      </c>
      <c r="L12038" s="200">
        <f t="shared" si="2204"/>
        <v>8.6664534697793449E-2</v>
      </c>
      <c r="M12038" s="401">
        <f>SUM(C12038,C12014,C11990,C11966,C11942,C11918,C11894)/POBLA!$B$13*100000</f>
        <v>170.72477137049083</v>
      </c>
      <c r="N12038" s="42" t="s">
        <v>17</v>
      </c>
      <c r="O12038" s="42">
        <v>11</v>
      </c>
      <c r="P12038" s="42">
        <v>16</v>
      </c>
      <c r="Q12038" s="42">
        <v>1</v>
      </c>
      <c r="R12038" s="42">
        <v>28</v>
      </c>
    </row>
    <row r="12039" spans="1:18" x14ac:dyDescent="0.25">
      <c r="A12039" s="367" t="s">
        <v>23</v>
      </c>
      <c r="B12039" s="2">
        <v>44394</v>
      </c>
      <c r="C12039" s="601">
        <v>217</v>
      </c>
      <c r="D12039" s="39">
        <f t="shared" si="2201"/>
        <v>28490</v>
      </c>
      <c r="E12039" s="1">
        <v>2</v>
      </c>
      <c r="F12039" s="39">
        <f t="shared" si="2200"/>
        <v>491</v>
      </c>
      <c r="G12039" s="168">
        <f>SUM(C12039,C12015,C11991,C11967,C11943,C11919,C11895,C11871,C11847,C11823,C11799,C11775,C11751,C11727)/POBLA!$B$14*100000</f>
        <v>183.62094801053522</v>
      </c>
      <c r="H12039" s="256">
        <f t="shared" si="2205"/>
        <v>0.94108086143843961</v>
      </c>
      <c r="I12039" s="297">
        <f t="shared" si="2206"/>
        <v>172.80215993189742</v>
      </c>
      <c r="J12039" s="422">
        <f t="shared" si="2203"/>
        <v>155.42857142857142</v>
      </c>
      <c r="K12039" s="297">
        <f>J12039/POBLA!$B$14*100000</f>
        <v>12.322945437667302</v>
      </c>
      <c r="L12039" s="200">
        <f t="shared" si="2204"/>
        <v>-0.11400651465798051</v>
      </c>
      <c r="M12039" s="401">
        <f>SUM(C12039,C12015,C11991,C11967,C11943,C11919,C11895)/POBLA!$B$14*100000</f>
        <v>86.260618063671117</v>
      </c>
      <c r="N12039" s="42" t="s">
        <v>23</v>
      </c>
      <c r="O12039" s="42">
        <v>1</v>
      </c>
      <c r="P12039" s="42">
        <v>1</v>
      </c>
      <c r="Q12039" s="42">
        <v>0</v>
      </c>
      <c r="R12039" s="42">
        <v>2</v>
      </c>
    </row>
    <row r="12040" spans="1:18" x14ac:dyDescent="0.25">
      <c r="A12040" s="367" t="s">
        <v>19</v>
      </c>
      <c r="B12040" s="2">
        <v>44394</v>
      </c>
      <c r="C12040" s="601">
        <v>140</v>
      </c>
      <c r="D12040" s="39">
        <f t="shared" si="2201"/>
        <v>104738</v>
      </c>
      <c r="F12040" s="39">
        <f t="shared" si="2200"/>
        <v>1953</v>
      </c>
      <c r="G12040" s="168">
        <f>SUM(C12040,C12016,C11992,C11968,C11944,C11920,C11896,C11872,C11848,C11824,C11800,C11776,C11752,C11728)/POBLA!$B$15*100000</f>
        <v>400.71861301063012</v>
      </c>
      <c r="H12040" s="256">
        <f t="shared" si="2205"/>
        <v>0.81475811390079611</v>
      </c>
      <c r="I12040" s="297">
        <f t="shared" si="2206"/>
        <v>326.488741341484</v>
      </c>
      <c r="J12040" s="422">
        <f t="shared" si="2203"/>
        <v>190.42857142857142</v>
      </c>
      <c r="K12040" s="297">
        <f>J12040/POBLA!$B$15*100000</f>
        <v>28.676540030234062</v>
      </c>
      <c r="L12040" s="200">
        <f t="shared" si="2204"/>
        <v>3.7650602409637912E-3</v>
      </c>
      <c r="M12040" s="401">
        <f>SUM(C12040,C12016,C11992,C11968,C11944,C11920,C11896)/POBLA!$B$15*100000</f>
        <v>200.73578021163846</v>
      </c>
    </row>
    <row r="12041" spans="1:18" x14ac:dyDescent="0.25">
      <c r="A12041" s="367" t="s">
        <v>18</v>
      </c>
      <c r="B12041" s="2">
        <v>44394</v>
      </c>
      <c r="C12041" s="601">
        <v>178</v>
      </c>
      <c r="D12041" s="39">
        <f t="shared" si="2201"/>
        <v>88107</v>
      </c>
      <c r="E12041" s="1">
        <v>1</v>
      </c>
      <c r="F12041" s="39">
        <f t="shared" si="2200"/>
        <v>2023</v>
      </c>
      <c r="G12041" s="168">
        <f>SUM(C12041,C12017,C11993,C11969,C11945,C11921,C11897,C11873,C11849,C11825,C11801,C11777,C11753,C11729)/POBLA!$B$16*100000</f>
        <v>422.81403405518921</v>
      </c>
      <c r="H12041" s="256">
        <f t="shared" si="2205"/>
        <v>0.92050087361677346</v>
      </c>
      <c r="I12041" s="297">
        <f t="shared" si="2206"/>
        <v>389.20068772523388</v>
      </c>
      <c r="J12041" s="422">
        <f t="shared" si="2203"/>
        <v>245.85714285714286</v>
      </c>
      <c r="K12041" s="297">
        <f>J12041/POBLA!$B$16*100000</f>
        <v>32.885748298864769</v>
      </c>
      <c r="L12041" s="200">
        <f t="shared" si="2204"/>
        <v>0.19513888888888897</v>
      </c>
      <c r="M12041" s="401">
        <f>SUM(C12041,C12017,C11993,C11969,C11945,C11921,C11897)/POBLA!$B$16*100000</f>
        <v>230.20023809205335</v>
      </c>
      <c r="N12041" s="42" t="s">
        <v>18</v>
      </c>
      <c r="O12041" s="42">
        <v>1</v>
      </c>
      <c r="P12041" s="42">
        <v>0</v>
      </c>
      <c r="Q12041" s="42">
        <v>0</v>
      </c>
      <c r="R12041" s="42">
        <v>1</v>
      </c>
    </row>
    <row r="12042" spans="1:18" x14ac:dyDescent="0.25">
      <c r="A12042" s="367" t="s">
        <v>34</v>
      </c>
      <c r="B12042" s="2">
        <v>44394</v>
      </c>
      <c r="C12042" s="601">
        <v>445</v>
      </c>
      <c r="D12042" s="39">
        <f>C12042+D12018</f>
        <v>70295</v>
      </c>
      <c r="E12042" s="1">
        <v>13</v>
      </c>
      <c r="F12042" s="39">
        <f t="shared" si="2200"/>
        <v>1938</v>
      </c>
      <c r="G12042" s="168">
        <f>SUM(C12042,C12018,C11994,C11970,C11946,C11922,C11898,C11874,C11850,C11826,C11802,C11778,C11754,C11730)/POBLA!$B$17*100000</f>
        <v>513.62085149013933</v>
      </c>
      <c r="H12042" s="256">
        <f t="shared" si="2205"/>
        <v>1.0353806962921031</v>
      </c>
      <c r="I12042" s="297">
        <f t="shared" si="2206"/>
        <v>531.79311484600328</v>
      </c>
      <c r="J12042" s="422">
        <f t="shared" si="2203"/>
        <v>570.71428571428567</v>
      </c>
      <c r="K12042" s="297">
        <f>J12042/POBLA!$B$17*100000</f>
        <v>40.067080014510395</v>
      </c>
      <c r="L12042" s="200">
        <f t="shared" si="2204"/>
        <v>0.20295091839807289</v>
      </c>
      <c r="M12042" s="401">
        <f>SUM(C12042,C12018,C11994,C11970,C11946,C11922,C11898)/POBLA!$B$17*100000</f>
        <v>280.46956010157277</v>
      </c>
      <c r="N12042" s="42" t="s">
        <v>34</v>
      </c>
      <c r="O12042" s="42">
        <v>4</v>
      </c>
      <c r="P12042" s="42">
        <v>8</v>
      </c>
      <c r="Q12042" s="42">
        <v>1</v>
      </c>
      <c r="R12042" s="42">
        <v>13</v>
      </c>
    </row>
    <row r="12043" spans="1:18" x14ac:dyDescent="0.25">
      <c r="A12043" s="367" t="s">
        <v>35</v>
      </c>
      <c r="B12043" s="2">
        <v>44394</v>
      </c>
      <c r="C12043" s="601">
        <v>339</v>
      </c>
      <c r="D12043" s="39">
        <f t="shared" ref="D12043:D12049" si="2207">C12043+D12019</f>
        <v>56623</v>
      </c>
      <c r="E12043" s="1">
        <v>1</v>
      </c>
      <c r="F12043" s="39">
        <f t="shared" si="2200"/>
        <v>892</v>
      </c>
      <c r="G12043" s="168">
        <f>SUM(C12043,C12019,C11995,C11971,C11947,C11923,C11899,C11875,C11851,C11827,C11803,C11779,C11755,C11731)/POBLA!$B$18*100000</f>
        <v>567.57597440915902</v>
      </c>
      <c r="H12043" s="256">
        <f t="shared" si="2205"/>
        <v>0.75076193701320693</v>
      </c>
      <c r="I12043" s="297">
        <f t="shared" si="2206"/>
        <v>426.11443794957859</v>
      </c>
      <c r="J12043" s="422">
        <f t="shared" si="2203"/>
        <v>323.14285714285717</v>
      </c>
      <c r="K12043" s="297">
        <f>J12043/POBLA!$B$18*100000</f>
        <v>41.364032931036725</v>
      </c>
      <c r="L12043" s="200">
        <f t="shared" si="2204"/>
        <v>4.143646408839774E-2</v>
      </c>
      <c r="M12043" s="401">
        <f>SUM(C12043,C12019,C11995,C11971,C11947,C11923,C11899)/POBLA!$B$18*100000</f>
        <v>289.54823051725702</v>
      </c>
      <c r="N12043" s="42" t="s">
        <v>35</v>
      </c>
      <c r="O12043" s="42">
        <v>0</v>
      </c>
      <c r="P12043" s="42">
        <v>1</v>
      </c>
      <c r="Q12043" s="42">
        <v>0</v>
      </c>
      <c r="R12043" s="42">
        <v>1</v>
      </c>
    </row>
    <row r="12044" spans="1:18" x14ac:dyDescent="0.25">
      <c r="A12044" s="367" t="s">
        <v>36</v>
      </c>
      <c r="B12044" s="2">
        <v>44394</v>
      </c>
      <c r="C12044" s="601">
        <v>323</v>
      </c>
      <c r="D12044" s="39">
        <f t="shared" si="2207"/>
        <v>71456</v>
      </c>
      <c r="E12044" s="1">
        <v>18</v>
      </c>
      <c r="F12044" s="39">
        <f t="shared" si="2200"/>
        <v>1161</v>
      </c>
      <c r="G12044" s="168">
        <f>SUM(C12044,C12020,C11996,C11972,C11948,C11924,C11900,C11876,C11852,C11828,C11804,C11780,C11756,C11732)/POBLA!$B$19*100000</f>
        <v>903.55046348027258</v>
      </c>
      <c r="H12044" s="256">
        <f t="shared" si="2205"/>
        <v>0.88411934552454285</v>
      </c>
      <c r="I12044" s="297">
        <f t="shared" si="2206"/>
        <v>798.84644442057595</v>
      </c>
      <c r="J12044" s="422">
        <f t="shared" si="2203"/>
        <v>320.57142857142856</v>
      </c>
      <c r="K12044" s="297">
        <f>J12044/POBLA!$B$19*100000</f>
        <v>63.063893504081719</v>
      </c>
      <c r="L12044" s="200">
        <f t="shared" si="2204"/>
        <v>-4.469987228607919E-2</v>
      </c>
      <c r="M12044" s="401">
        <f>SUM(C12044,C12020,C11996,C11972,C11948,C11924,C11900)/POBLA!$B$19*100000</f>
        <v>441.4472545285721</v>
      </c>
      <c r="N12044" s="42" t="s">
        <v>36</v>
      </c>
      <c r="O12044" s="42">
        <v>12</v>
      </c>
      <c r="P12044" s="42">
        <v>6</v>
      </c>
      <c r="Q12044" s="42">
        <v>0</v>
      </c>
      <c r="R12044" s="42">
        <v>18</v>
      </c>
    </row>
    <row r="12045" spans="1:18" x14ac:dyDescent="0.25">
      <c r="A12045" s="367" t="s">
        <v>37</v>
      </c>
      <c r="B12045" s="2">
        <v>44394</v>
      </c>
      <c r="C12045" s="601">
        <v>76</v>
      </c>
      <c r="D12045" s="39">
        <f t="shared" si="2207"/>
        <v>57047</v>
      </c>
      <c r="E12045" s="1">
        <v>2</v>
      </c>
      <c r="F12045" s="39">
        <f>E12045+F12021</f>
        <v>920</v>
      </c>
      <c r="G12045" s="168">
        <f>SUM(C12045,C12021,C11998,C11973,C11949,C11925,C11901,C11877,C11853,C11829,C11805,C11781,C11757,C11733)/POBLA!$B$20*100000</f>
        <v>663.11546686063366</v>
      </c>
      <c r="H12045" s="256">
        <f t="shared" si="2205"/>
        <v>0.80186791194129414</v>
      </c>
      <c r="I12045" s="297">
        <f t="shared" si="2206"/>
        <v>531.73101478751278</v>
      </c>
      <c r="J12045" s="422">
        <f t="shared" si="2203"/>
        <v>85.857142857142861</v>
      </c>
      <c r="K12045" s="297">
        <f>J12045/POBLA!$B$20*100000</f>
        <v>23.477607987230684</v>
      </c>
      <c r="L12045" s="200">
        <f t="shared" si="2204"/>
        <v>0</v>
      </c>
      <c r="M12045" s="401">
        <f>SUM(C12045,C12021,C11997,C11973,C11949,C11925,C11901)/POBLA!$B$20*100000</f>
        <v>164.34325591061477</v>
      </c>
      <c r="N12045" s="42" t="s">
        <v>37</v>
      </c>
      <c r="O12045" s="42">
        <v>0</v>
      </c>
      <c r="P12045" s="42">
        <v>2</v>
      </c>
      <c r="Q12045" s="42">
        <v>0</v>
      </c>
      <c r="R12045" s="42">
        <v>2</v>
      </c>
    </row>
    <row r="12046" spans="1:18" x14ac:dyDescent="0.25">
      <c r="A12046" s="367" t="s">
        <v>22</v>
      </c>
      <c r="B12046" s="2">
        <v>44394</v>
      </c>
      <c r="C12046" s="601">
        <v>1292</v>
      </c>
      <c r="D12046" s="39">
        <f t="shared" si="2207"/>
        <v>431388</v>
      </c>
      <c r="E12046" s="1">
        <v>18</v>
      </c>
      <c r="F12046" s="39">
        <f>E12046+F12022</f>
        <v>7298</v>
      </c>
      <c r="G12046" s="168">
        <f>SUM(C12046,C12022,C11998,C11974,C11950,C11926,C11902,C11878,C11854,C11830,C11806,C11782,C11758,C11734)/POBLA!$B$21*100000</f>
        <v>573.99888814048563</v>
      </c>
      <c r="H12046" s="256">
        <f t="shared" si="2205"/>
        <v>0.90689362462583212</v>
      </c>
      <c r="I12046" s="297">
        <f t="shared" si="2206"/>
        <v>520.55593219692253</v>
      </c>
      <c r="J12046" s="422">
        <f t="shared" si="2203"/>
        <v>1418.4285714285713</v>
      </c>
      <c r="K12046" s="297">
        <f>J12046/POBLA!$B$21*100000</f>
        <v>40.109188773175887</v>
      </c>
      <c r="L12046" s="200">
        <f t="shared" si="2204"/>
        <v>-4.2526518804242963E-2</v>
      </c>
      <c r="M12046" s="401">
        <f>SUM(C12046,C12022,C11998,C11974,C11950,C11926,C11902)/POBLA!$B$21*100000</f>
        <v>280.76432141223125</v>
      </c>
      <c r="N12046" s="42" t="s">
        <v>22</v>
      </c>
      <c r="O12046" s="42">
        <v>5</v>
      </c>
      <c r="P12046" s="42">
        <v>13</v>
      </c>
      <c r="Q12046" s="42">
        <v>0</v>
      </c>
      <c r="R12046" s="42">
        <v>18</v>
      </c>
    </row>
    <row r="12047" spans="1:18" x14ac:dyDescent="0.25">
      <c r="A12047" s="367" t="s">
        <v>38</v>
      </c>
      <c r="B12047" s="2">
        <v>44394</v>
      </c>
      <c r="C12047" s="601">
        <v>401</v>
      </c>
      <c r="D12047" s="39">
        <f t="shared" si="2207"/>
        <v>68749</v>
      </c>
      <c r="E12047" s="1">
        <v>7</v>
      </c>
      <c r="F12047" s="39">
        <f>E12047+F12023</f>
        <v>949</v>
      </c>
      <c r="G12047" s="168">
        <f>SUM(C12047,C12023,C11999,C11975,C11951,C11927,C11903,C11879,C11855,C11831,C11807,C11783,C11759,C11735)/POBLA!$B$22*100000</f>
        <v>763.76374432313582</v>
      </c>
      <c r="H12047" s="256">
        <f t="shared" si="2205"/>
        <v>1.0674285714285714</v>
      </c>
      <c r="I12047" s="297">
        <f t="shared" si="2206"/>
        <v>815.26324251178153</v>
      </c>
      <c r="J12047" s="422">
        <f t="shared" si="2203"/>
        <v>518</v>
      </c>
      <c r="K12047" s="297">
        <f>J12047/POBLA!$B$22*100000</f>
        <v>52.948289555592126</v>
      </c>
      <c r="L12047" s="200">
        <f t="shared" si="2204"/>
        <v>-5.7202288091523612E-2</v>
      </c>
      <c r="M12047" s="401">
        <f>SUM(C12047,C12023,C11999,C11975,C11951,C11927,C11903)/POBLA!$B$22*100000</f>
        <v>370.6380268891449</v>
      </c>
      <c r="N12047" s="42" t="s">
        <v>38</v>
      </c>
      <c r="O12047" s="42">
        <v>4</v>
      </c>
      <c r="P12047" s="42">
        <v>3</v>
      </c>
      <c r="Q12047" s="42">
        <v>0</v>
      </c>
      <c r="R12047" s="42">
        <v>7</v>
      </c>
    </row>
    <row r="12048" spans="1:18" x14ac:dyDescent="0.25">
      <c r="A12048" s="367" t="s">
        <v>39</v>
      </c>
      <c r="B12048" s="2">
        <v>44394</v>
      </c>
      <c r="C12048" s="601">
        <v>49</v>
      </c>
      <c r="D12048" s="39">
        <f t="shared" si="2207"/>
        <v>30538</v>
      </c>
      <c r="F12048" s="39">
        <f>E12048+F12024</f>
        <v>462</v>
      </c>
      <c r="G12048" s="168">
        <f>SUM(C12048,C12024,C12000,C11976,C11952,C11928,C11904,C11880,C11856,C11832,C11808,C11784,C11760,C11736)/POBLA!$B$23*100000</f>
        <v>353.44681332353105</v>
      </c>
      <c r="H12048" s="256">
        <f t="shared" si="2205"/>
        <v>1.0229132569558101</v>
      </c>
      <c r="I12048" s="297">
        <f t="shared" si="2206"/>
        <v>361.54543097742538</v>
      </c>
      <c r="J12048" s="422">
        <f t="shared" si="2203"/>
        <v>46.571428571428569</v>
      </c>
      <c r="K12048" s="297">
        <f>J12048/POBLA!$B$23*100000</f>
        <v>26.336836832793402</v>
      </c>
      <c r="L12048" s="200">
        <f t="shared" si="2204"/>
        <v>9.0301003344481545E-2</v>
      </c>
      <c r="M12048" s="401">
        <f>SUM(C12048,C12024,C12000,C11976,C11952,C11928,C11904)/POBLA!$B$23*100000</f>
        <v>184.35785782955381</v>
      </c>
    </row>
    <row r="12049" spans="1:18" ht="15.75" thickBot="1" x14ac:dyDescent="0.3">
      <c r="A12049" s="368" t="s">
        <v>40</v>
      </c>
      <c r="B12049" s="34">
        <v>44394</v>
      </c>
      <c r="C12049" s="601">
        <v>279</v>
      </c>
      <c r="D12049" s="67">
        <f t="shared" si="2207"/>
        <v>171083</v>
      </c>
      <c r="E12049" s="232"/>
      <c r="F12049" s="67">
        <f>E12049+F12025</f>
        <v>2448</v>
      </c>
      <c r="G12049" s="255">
        <f>SUM(C12049,C12025,C12001,C11977,C11953,C11929,C11905,C11881,C11857,C11833,C11809,C11785,C11761,C11737)/POBLA!$B$24*100000</f>
        <v>621.24702594508858</v>
      </c>
      <c r="H12049" s="257">
        <f t="shared" si="2205"/>
        <v>0.70473257915523124</v>
      </c>
      <c r="I12049" s="299">
        <f t="shared" si="2206"/>
        <v>437.81301888679911</v>
      </c>
      <c r="J12049" s="428">
        <f t="shared" si="2203"/>
        <v>679.28571428571433</v>
      </c>
      <c r="K12049" s="299">
        <f>J12049/POBLA!$B$24*100000</f>
        <v>40.083988389721235</v>
      </c>
      <c r="L12049" s="260">
        <f t="shared" si="2204"/>
        <v>-0.17633812575783825</v>
      </c>
      <c r="M12049" s="406">
        <f>SUM(C12049,C12025,C12001,C11977,C11953,C11929,C11905)/POBLA!$B$24*100000</f>
        <v>280.58791872804863</v>
      </c>
    </row>
    <row r="12050" spans="1:18" x14ac:dyDescent="0.25">
      <c r="A12050" s="363" t="s">
        <v>16</v>
      </c>
      <c r="B12050" s="265">
        <v>44395</v>
      </c>
      <c r="C12050" s="356">
        <v>1711</v>
      </c>
      <c r="D12050" s="174">
        <f>C12050+D12026</f>
        <v>1927399</v>
      </c>
      <c r="E12050" s="43">
        <v>50</v>
      </c>
      <c r="F12050" s="174">
        <f t="shared" ref="F12050:F12068" si="2208">E12050+F12026</f>
        <v>50658</v>
      </c>
      <c r="G12050" s="175">
        <f>SUM(C12050,C12026,C11978,C12002,C11954,C11930,C11906,C11882,C11858,C11834,C11810,C11786,C11762,C11738)/POBLA!$B$1*100000</f>
        <v>366.91455818067936</v>
      </c>
      <c r="H12050" s="300">
        <f t="shared" si="2205"/>
        <v>0.74878423342718203</v>
      </c>
      <c r="I12050" s="301">
        <f>G12050*H12050</f>
        <v>274.73983618059316</v>
      </c>
      <c r="J12050" s="421">
        <f>AVERAGE(C12050,C12026,C12002,C11978,C11954,C11930,C11906)</f>
        <v>4477.1428571428569</v>
      </c>
      <c r="K12050" s="301">
        <f>J12050/POBLA!$B$1*100000</f>
        <v>25.52366951011258</v>
      </c>
      <c r="L12050" s="399">
        <f>(SUM(C12050,C12026,C12002,C11978,C11954,C11930,C11906)/SUM(C11882,C11858,C11834,C11810,C11786,C11762,C11738))-1</f>
        <v>-5.0906998576663365E-2</v>
      </c>
      <c r="M12050" s="400">
        <f>SUM(C12050,C12026,C12002,C11978,C11954,C11930,C11906)/POBLA!$B$1*100000</f>
        <v>178.66568657078807</v>
      </c>
      <c r="N12050" s="42" t="s">
        <v>16</v>
      </c>
      <c r="O12050" s="42">
        <v>21</v>
      </c>
      <c r="P12050" s="42">
        <v>29</v>
      </c>
      <c r="Q12050" s="42">
        <v>0</v>
      </c>
      <c r="R12050" s="42">
        <v>50</v>
      </c>
    </row>
    <row r="12051" spans="1:18" x14ac:dyDescent="0.25">
      <c r="A12051" s="367" t="s">
        <v>43</v>
      </c>
      <c r="B12051" s="2">
        <v>44395</v>
      </c>
      <c r="C12051" s="4">
        <v>685</v>
      </c>
      <c r="D12051" s="39">
        <f t="shared" ref="D12051:D12065" si="2209">C12051+D12027</f>
        <v>481843</v>
      </c>
      <c r="E12051" s="1">
        <v>5</v>
      </c>
      <c r="F12051" s="39">
        <f t="shared" si="2208"/>
        <v>10694</v>
      </c>
      <c r="G12051" s="168">
        <f>SUM(C12051,C12027,C12003,C11979,C11955,C11931,C11907,C11883,C11859,C11835,C11811,C11787,C11763,C11739)/POBLA!$B$2*100000</f>
        <v>442.11850128395793</v>
      </c>
      <c r="H12051" s="256">
        <f t="shared" si="2205"/>
        <v>0.78573905004044842</v>
      </c>
      <c r="I12051" s="297">
        <f t="shared" ref="I12051:I12057" si="2210">G12051*H12051</f>
        <v>347.38977120416388</v>
      </c>
      <c r="J12051" s="422">
        <f>AVERAGE(C12051,C12027,C12003,C11979,C11955,C11931,C11907)</f>
        <v>960</v>
      </c>
      <c r="K12051" s="297">
        <f>J12051/POBLA!$B$2*100000</f>
        <v>31.212954936946581</v>
      </c>
      <c r="L12051" s="200">
        <f>(SUM(C12051,C12027,C12003,C11979,C11955,C11931,C11907)/SUM(C11883,C11859,C11835,C11811,C11787,C11763,C11739))-1</f>
        <v>-2.297179412619943E-2</v>
      </c>
      <c r="M12051" s="401">
        <f>SUM(C12051,C12027,C12003,C11979,C11955,C11931,C11907)/POBLA!$B$2*100000</f>
        <v>218.49068455862607</v>
      </c>
      <c r="N12051" s="42" t="s">
        <v>43</v>
      </c>
      <c r="O12051" s="42">
        <v>3</v>
      </c>
      <c r="P12051" s="42">
        <v>2</v>
      </c>
      <c r="Q12051" s="42">
        <v>0</v>
      </c>
      <c r="R12051" s="42">
        <v>5</v>
      </c>
    </row>
    <row r="12052" spans="1:18" x14ac:dyDescent="0.25">
      <c r="A12052" s="367" t="s">
        <v>28</v>
      </c>
      <c r="B12052" s="2">
        <v>44395</v>
      </c>
      <c r="C12052" s="4">
        <v>194</v>
      </c>
      <c r="D12052" s="39">
        <f t="shared" si="2209"/>
        <v>38986</v>
      </c>
      <c r="F12052" s="39">
        <f t="shared" si="2208"/>
        <v>398</v>
      </c>
      <c r="G12052" s="168">
        <f>SUM(C12052,C12028,C12004,C11980,C11956,C11932,C11908,C11884,C11860,C11836,C11812,C11788,C11764,C11740)/POBLA!$B$3*100000</f>
        <v>886.05279247444855</v>
      </c>
      <c r="H12052" s="256">
        <f t="shared" si="2205"/>
        <v>0.87021276595744679</v>
      </c>
      <c r="I12052" s="297">
        <f t="shared" si="2210"/>
        <v>771.05445132350951</v>
      </c>
      <c r="J12052" s="422">
        <f t="shared" ref="J12052:J12073" si="2211">AVERAGE(C12052,C12028,C12004,C11980,C11956,C11932,C11908)</f>
        <v>250.14285714285714</v>
      </c>
      <c r="K12052" s="297">
        <f>J12052/POBLA!$B$3*100000</f>
        <v>60.211838383310422</v>
      </c>
      <c r="L12052" s="200">
        <f t="shared" ref="L12052:L12073" si="2212">(SUM(C12052,C12028,C12004,C11980,C11956,C11932,C11908)/SUM(C11884,C11860,C11836,C11812,C11788,C11764,C11740))-1</f>
        <v>-9.274611398963728E-2</v>
      </c>
      <c r="M12052" s="401">
        <f>SUM(C12052,C12028,C12004,C11980,C11956,C11932,C11908)/POBLA!$B$3*100000</f>
        <v>421.48286868317297</v>
      </c>
    </row>
    <row r="12053" spans="1:18" x14ac:dyDescent="0.25">
      <c r="A12053" s="367" t="s">
        <v>15</v>
      </c>
      <c r="B12053" s="2">
        <v>44395</v>
      </c>
      <c r="C12053" s="4">
        <v>264</v>
      </c>
      <c r="D12053" s="39">
        <f t="shared" si="2209"/>
        <v>86069</v>
      </c>
      <c r="E12053" s="1">
        <v>12</v>
      </c>
      <c r="F12053" s="39">
        <f t="shared" si="2208"/>
        <v>1882</v>
      </c>
      <c r="G12053" s="168">
        <f>SUM(C12053,C12029,C12005,C11981,C11957,C11933,C11909,C11885,C11861,C11837,C11813,C11789,C11765,C11741)/POBLA!$B$4*100000</f>
        <v>586.69650929275133</v>
      </c>
      <c r="H12053" s="256">
        <f t="shared" si="2205"/>
        <v>0.95732863722568406</v>
      </c>
      <c r="I12053" s="297">
        <f t="shared" si="2210"/>
        <v>561.66136970629555</v>
      </c>
      <c r="J12053" s="422">
        <f t="shared" si="2211"/>
        <v>449.85714285714283</v>
      </c>
      <c r="K12053" s="297">
        <f>J12053/POBLA!$B$4*100000</f>
        <v>37.346768840341909</v>
      </c>
      <c r="L12053" s="200">
        <f t="shared" si="2212"/>
        <v>-0.19627360898417556</v>
      </c>
      <c r="M12053" s="401">
        <f>SUM(C12053,C12029,C12005,C11981,C11957,C11933,C11909)/POBLA!$B$4*100000</f>
        <v>261.42738188239338</v>
      </c>
      <c r="N12053" s="42" t="s">
        <v>15</v>
      </c>
      <c r="O12053" s="42">
        <v>10</v>
      </c>
      <c r="P12053" s="42">
        <v>2</v>
      </c>
      <c r="Q12053" s="42">
        <v>0</v>
      </c>
      <c r="R12053" s="42">
        <v>12</v>
      </c>
    </row>
    <row r="12054" spans="1:18" x14ac:dyDescent="0.25">
      <c r="A12054" s="367" t="s">
        <v>29</v>
      </c>
      <c r="B12054" s="2">
        <v>44395</v>
      </c>
      <c r="C12054" s="4">
        <v>78</v>
      </c>
      <c r="D12054" s="39">
        <f t="shared" si="2209"/>
        <v>73898</v>
      </c>
      <c r="E12054" s="1">
        <v>1</v>
      </c>
      <c r="F12054" s="39">
        <f t="shared" si="2208"/>
        <v>1277</v>
      </c>
      <c r="G12054" s="168">
        <f>SUM(C12054,C12030,C12006,C11982,C11958,C11934,C11910,C11886,C11862,C11838,C11814,C11790,C11766,C11742)/POBLA!$B$5*100000</f>
        <v>387.24123335605839</v>
      </c>
      <c r="H12054" s="256">
        <f t="shared" si="2205"/>
        <v>0.79740518962075846</v>
      </c>
      <c r="I12054" s="297">
        <f t="shared" si="2210"/>
        <v>308.78816911326413</v>
      </c>
      <c r="J12054" s="422">
        <f t="shared" si="2211"/>
        <v>179.28571428571428</v>
      </c>
      <c r="K12054" s="297">
        <f>J12054/POBLA!$B$5*100000</f>
        <v>28.964047193626154</v>
      </c>
      <c r="L12054" s="200">
        <f t="shared" si="2212"/>
        <v>9.8949211908931689E-2</v>
      </c>
      <c r="M12054" s="401">
        <f>SUM(C12054,C12030,C12006,C11982,C11958,C11934,C11910)/POBLA!$B$5*100000</f>
        <v>202.7483303553831</v>
      </c>
      <c r="N12054" s="42" t="s">
        <v>29</v>
      </c>
      <c r="O12054" s="42">
        <v>1</v>
      </c>
      <c r="P12054" s="42">
        <v>0</v>
      </c>
      <c r="Q12054" s="42">
        <v>0</v>
      </c>
      <c r="R12054" s="42">
        <v>1</v>
      </c>
    </row>
    <row r="12055" spans="1:18" x14ac:dyDescent="0.25">
      <c r="A12055" s="367" t="s">
        <v>30</v>
      </c>
      <c r="B12055" s="2">
        <v>44395</v>
      </c>
      <c r="C12055" s="4">
        <v>387</v>
      </c>
      <c r="D12055" s="39">
        <f t="shared" si="2209"/>
        <v>442773</v>
      </c>
      <c r="F12055" s="39">
        <f t="shared" si="2208"/>
        <v>5792</v>
      </c>
      <c r="G12055" s="168">
        <f>SUM(C12055,C12031,C12007,C11983,C11959,C11935,C11911,C11887,C11863,C11839,C11815,C11791,C11767,C11743)/POBLA!$B$6*100000</f>
        <v>605.19217952161</v>
      </c>
      <c r="H12055" s="256">
        <f t="shared" si="2205"/>
        <v>0.94827345169858801</v>
      </c>
      <c r="I12055" s="297">
        <f t="shared" si="2210"/>
        <v>573.88767701594861</v>
      </c>
      <c r="J12055" s="422">
        <f t="shared" si="2211"/>
        <v>534.57142857142856</v>
      </c>
      <c r="K12055" s="297">
        <f>J12055/POBLA!$B$6*100000</f>
        <v>47.695481050733228</v>
      </c>
      <c r="L12055" s="200">
        <f t="shared" si="2212"/>
        <v>0.2305162775402827</v>
      </c>
      <c r="M12055" s="401">
        <f>SUM(C12055,C12031,C12007,C11983,C11959,C11935,C11911)/POBLA!$B$6*100000</f>
        <v>333.86836735513259</v>
      </c>
    </row>
    <row r="12056" spans="1:18" x14ac:dyDescent="0.25">
      <c r="A12056" s="367" t="s">
        <v>20</v>
      </c>
      <c r="B12056" s="2">
        <v>44395</v>
      </c>
      <c r="C12056" s="4">
        <v>473</v>
      </c>
      <c r="D12056" s="39">
        <f t="shared" si="2209"/>
        <v>77171</v>
      </c>
      <c r="E12056" s="1">
        <v>5</v>
      </c>
      <c r="F12056" s="39">
        <f t="shared" si="2208"/>
        <v>879</v>
      </c>
      <c r="G12056" s="168">
        <f>SUM(C12056,C12032,C12008,C11984,C11960,C11936,C11912,C11888,C11864,C11840,C11816,C11792,C11768,C11744)/POBLA!$B$7*100000</f>
        <v>715.28673430041613</v>
      </c>
      <c r="H12056" s="256">
        <f t="shared" si="2205"/>
        <v>0.79394315062428056</v>
      </c>
      <c r="I12056" s="297">
        <f t="shared" si="2210"/>
        <v>567.89700343022503</v>
      </c>
      <c r="J12056" s="422">
        <f t="shared" si="2211"/>
        <v>1857.8571428571429</v>
      </c>
      <c r="K12056" s="297">
        <f>J12056/POBLA!$B$7*100000</f>
        <v>49.405181370770592</v>
      </c>
      <c r="L12056" s="200">
        <f t="shared" si="2212"/>
        <v>-6.39170805441589E-2</v>
      </c>
      <c r="M12056" s="401">
        <f>SUM(C12056,C12032,C12008,C11984,C11960,C11936,C11912)/POBLA!$B$7*100000</f>
        <v>345.83626959539419</v>
      </c>
      <c r="N12056" s="42" t="s">
        <v>20</v>
      </c>
      <c r="O12056" s="42">
        <v>4</v>
      </c>
      <c r="P12056" s="42">
        <v>1</v>
      </c>
      <c r="Q12056" s="42">
        <v>0</v>
      </c>
      <c r="R12056" s="42">
        <v>5</v>
      </c>
    </row>
    <row r="12057" spans="1:18" x14ac:dyDescent="0.25">
      <c r="A12057" s="367" t="s">
        <v>31</v>
      </c>
      <c r="B12057" s="2">
        <v>44395</v>
      </c>
      <c r="C12057" s="4">
        <v>206</v>
      </c>
      <c r="D12057" s="39">
        <f t="shared" si="2209"/>
        <v>122158</v>
      </c>
      <c r="E12057" s="1">
        <v>4</v>
      </c>
      <c r="F12057" s="39">
        <f t="shared" si="2208"/>
        <v>2022</v>
      </c>
      <c r="G12057" s="168">
        <f>SUM(C12057,C12033,C12009,C11985,C11961,C11937,C11913,C11889,C11865,C11841,C11817,C11793,C11769,C11745)/POBLA!$B$8*100000</f>
        <v>667.76770774935233</v>
      </c>
      <c r="H12057" s="256">
        <f t="shared" ref="H12057:H12080" si="2213">SUM(C12057,C12033,C12009,C11985,C11961,C11937,C11913,C11889,C11865,C11841,C11817,C11793,C11769,C11745,)/SUM(C11721,C11697,C11673,C11649,C11625,C11601,C11577,C11553,C11529,C11505,C11481,C11457,C11433,C11409)</f>
        <v>0.94477337688852592</v>
      </c>
      <c r="I12057" s="297">
        <f t="shared" si="2210"/>
        <v>630.88915222746584</v>
      </c>
      <c r="J12057" s="422">
        <f t="shared" si="2211"/>
        <v>677.85714285714289</v>
      </c>
      <c r="K12057" s="297">
        <f>J12057/POBLA!$B$8*100000</f>
        <v>48.90881798673577</v>
      </c>
      <c r="L12057" s="200">
        <f t="shared" si="2212"/>
        <v>5.2106430155210548E-2</v>
      </c>
      <c r="M12057" s="401">
        <f>SUM(C12057,C12033,C12009,C11985,C11961,C11937,C11913)/POBLA!$B$8*100000</f>
        <v>342.36172590715034</v>
      </c>
      <c r="N12057" s="42" t="s">
        <v>31</v>
      </c>
      <c r="O12057" s="42">
        <v>2</v>
      </c>
      <c r="P12057" s="42">
        <v>2</v>
      </c>
      <c r="Q12057" s="42">
        <v>0</v>
      </c>
      <c r="R12057" s="42">
        <v>4</v>
      </c>
    </row>
    <row r="12058" spans="1:18" x14ac:dyDescent="0.25">
      <c r="A12058" s="367" t="s">
        <v>41</v>
      </c>
      <c r="B12058" s="2">
        <v>44395</v>
      </c>
      <c r="C12058" s="4">
        <v>221</v>
      </c>
      <c r="D12058" s="39">
        <f t="shared" si="2209"/>
        <v>52763</v>
      </c>
      <c r="F12058" s="39">
        <f t="shared" si="2208"/>
        <v>919</v>
      </c>
      <c r="G12058" s="168">
        <f>SUM(C12058,C12034,C12010,C11986,C11962,C11938,C11914,C11890,C11866,C11842,C11818,C11794,C11770,C11746)/POBLA!$B$9*100000</f>
        <v>931.76887373118984</v>
      </c>
      <c r="H12058" s="256">
        <f t="shared" si="2213"/>
        <v>1.013115343154869</v>
      </c>
      <c r="I12058" s="297">
        <f>G12058*H12058</f>
        <v>943.98934225120013</v>
      </c>
      <c r="J12058" s="422">
        <f t="shared" si="2211"/>
        <v>365.85714285714283</v>
      </c>
      <c r="K12058" s="297">
        <f>J12058/POBLA!$B$9*100000</f>
        <v>60.452970020661645</v>
      </c>
      <c r="L12058" s="200">
        <f t="shared" si="2212"/>
        <v>-0.16796621182586091</v>
      </c>
      <c r="M12058" s="401">
        <f>SUM(C12058,C12034,C12010,C11986,C11962,C11938,C11914)/POBLA!$B$9*100000</f>
        <v>423.17079014463155</v>
      </c>
    </row>
    <row r="12059" spans="1:18" x14ac:dyDescent="0.25">
      <c r="A12059" s="367" t="s">
        <v>32</v>
      </c>
      <c r="B12059" s="2">
        <v>44395</v>
      </c>
      <c r="C12059" s="4">
        <v>189</v>
      </c>
      <c r="D12059" s="39">
        <f t="shared" si="2209"/>
        <v>40770</v>
      </c>
      <c r="F12059" s="39">
        <f t="shared" si="2208"/>
        <v>1260</v>
      </c>
      <c r="G12059" s="168">
        <f>SUM(C12059,C12035,C12011,C11987,C11963,C11939,C11915,C11891,C11867,C11843,C11819,C11795,C11771,C11747)/POBLA!$B$10*100000</f>
        <v>500.59607124835088</v>
      </c>
      <c r="H12059" s="256">
        <f t="shared" si="2213"/>
        <v>1.0472184531886024</v>
      </c>
      <c r="I12059" s="297">
        <f t="shared" ref="I12059:I12073" si="2214">G12059*H12059</f>
        <v>524.23344340498943</v>
      </c>
      <c r="J12059" s="422">
        <f t="shared" si="2211"/>
        <v>262.28571428571428</v>
      </c>
      <c r="K12059" s="297">
        <f>J12059/POBLA!$B$10*100000</f>
        <v>34.024150846332219</v>
      </c>
      <c r="L12059" s="200">
        <f t="shared" si="2212"/>
        <v>-9.2436974789915971E-2</v>
      </c>
      <c r="M12059" s="401">
        <f>SUM(C12059,C12035,C12011,C11987,C11963,C11939,C11915)/POBLA!$B$10*100000</f>
        <v>238.16905592432556</v>
      </c>
    </row>
    <row r="12060" spans="1:18" x14ac:dyDescent="0.25">
      <c r="A12060" s="367" t="s">
        <v>33</v>
      </c>
      <c r="B12060" s="2">
        <v>44395</v>
      </c>
      <c r="C12060" s="4">
        <v>183</v>
      </c>
      <c r="D12060" s="39">
        <f t="shared" si="2209"/>
        <v>57779</v>
      </c>
      <c r="F12060" s="39">
        <f t="shared" si="2208"/>
        <v>793</v>
      </c>
      <c r="G12060" s="168">
        <f>SUM(C12060,C12036,C12012,C11988,C11964,C11940,C11916,C11892,C11868,C11844,C11820,C11796,C11772,C11748)/POBLA!$B$11*100000</f>
        <v>1054.3261129152856</v>
      </c>
      <c r="H12060" s="256">
        <f t="shared" si="2213"/>
        <v>0.78402489626556016</v>
      </c>
      <c r="I12060" s="297">
        <f t="shared" si="2214"/>
        <v>826.61792130847812</v>
      </c>
      <c r="J12060" s="422">
        <f t="shared" si="2211"/>
        <v>269.14285714285717</v>
      </c>
      <c r="K12060" s="297">
        <f>J12060/POBLA!$B$11*100000</f>
        <v>75.08979687492527</v>
      </c>
      <c r="L12060" s="200">
        <f t="shared" si="2212"/>
        <v>-5.8047493403693418E-3</v>
      </c>
      <c r="M12060" s="401">
        <f>SUM(C12060,C12036,C12012,C11988,C11964,C11940,C11916)/POBLA!$B$11*100000</f>
        <v>525.62857812447692</v>
      </c>
    </row>
    <row r="12061" spans="1:18" x14ac:dyDescent="0.25">
      <c r="A12061" s="367" t="s">
        <v>21</v>
      </c>
      <c r="B12061" s="2">
        <v>44395</v>
      </c>
      <c r="C12061" s="4">
        <v>128</v>
      </c>
      <c r="D12061" s="39">
        <f t="shared" si="2209"/>
        <v>25733</v>
      </c>
      <c r="E12061" s="1">
        <v>3</v>
      </c>
      <c r="F12061" s="39">
        <f t="shared" si="2208"/>
        <v>761</v>
      </c>
      <c r="G12061" s="168">
        <f>SUM(C12061,C12037,C12013,C11989,C11965,C11941,C11917,C11893,C11869,C11845,C11821,C11797,C11773,C11749)/POBLA!$B$12*100000</f>
        <v>729.54862514007789</v>
      </c>
      <c r="H12061" s="256">
        <f t="shared" si="2213"/>
        <v>1.2052896725440807</v>
      </c>
      <c r="I12061" s="297">
        <f t="shared" si="2214"/>
        <v>879.3174235000688</v>
      </c>
      <c r="J12061" s="422">
        <f t="shared" si="2211"/>
        <v>214.71428571428572</v>
      </c>
      <c r="K12061" s="297">
        <f>J12061/POBLA!$B$12*100000</f>
        <v>54.560958530404392</v>
      </c>
      <c r="L12061" s="200">
        <f t="shared" si="2212"/>
        <v>9.8684210526315708E-2</v>
      </c>
      <c r="M12061" s="401">
        <f>SUM(C12061,C12037,C12013,C11989,C11965,C11941,C11917)/POBLA!$B$12*100000</f>
        <v>381.92670971283076</v>
      </c>
      <c r="N12061" s="42" t="s">
        <v>21</v>
      </c>
      <c r="O12061" s="42">
        <v>1</v>
      </c>
      <c r="P12061" s="42">
        <v>2</v>
      </c>
      <c r="Q12061" s="42">
        <v>0</v>
      </c>
      <c r="R12061" s="42">
        <v>3</v>
      </c>
    </row>
    <row r="12062" spans="1:18" x14ac:dyDescent="0.25">
      <c r="A12062" s="367" t="s">
        <v>17</v>
      </c>
      <c r="B12062" s="2">
        <v>44395</v>
      </c>
      <c r="C12062" s="4">
        <v>125</v>
      </c>
      <c r="D12062" s="39">
        <f t="shared" si="2209"/>
        <v>148430</v>
      </c>
      <c r="E12062" s="1">
        <v>15</v>
      </c>
      <c r="F12062" s="39">
        <f t="shared" si="2208"/>
        <v>3661</v>
      </c>
      <c r="G12062" s="168">
        <f>SUM(C12062,C12038,C12014,C11990,C11966,C11942,C11918,C11894,C11870,C11846,C11822,C11798,C11774,C11750)/POBLA!$B$13*100000</f>
        <v>323.86458983348558</v>
      </c>
      <c r="H12062" s="256">
        <f t="shared" si="2213"/>
        <v>0.80929064657878214</v>
      </c>
      <c r="I12062" s="297">
        <f t="shared" si="2214"/>
        <v>262.1005833103136</v>
      </c>
      <c r="J12062" s="422">
        <f t="shared" si="2211"/>
        <v>483</v>
      </c>
      <c r="K12062" s="297">
        <f>J12062/POBLA!$B$13*100000</f>
        <v>24.267235012344635</v>
      </c>
      <c r="L12062" s="200">
        <f t="shared" si="2212"/>
        <v>0.10309951060358902</v>
      </c>
      <c r="M12062" s="401">
        <f>SUM(C12062,C12038,C12014,C11990,C11966,C11942,C11918)/POBLA!$B$13*100000</f>
        <v>169.87064508641245</v>
      </c>
      <c r="N12062" s="42" t="s">
        <v>17</v>
      </c>
      <c r="O12062" s="42">
        <v>5</v>
      </c>
      <c r="P12062" s="42">
        <v>9</v>
      </c>
      <c r="Q12062" s="42">
        <v>1</v>
      </c>
      <c r="R12062" s="42">
        <v>15</v>
      </c>
    </row>
    <row r="12063" spans="1:18" x14ac:dyDescent="0.25">
      <c r="A12063" s="367" t="s">
        <v>23</v>
      </c>
      <c r="B12063" s="2">
        <v>44395</v>
      </c>
      <c r="C12063" s="4">
        <v>8</v>
      </c>
      <c r="D12063" s="39">
        <f t="shared" si="2209"/>
        <v>28498</v>
      </c>
      <c r="F12063" s="39">
        <f t="shared" si="2208"/>
        <v>491</v>
      </c>
      <c r="G12063" s="168">
        <f>SUM(C12063,C12039,C12015,C11991,C11967,C11943,C11919,C11895,C11871,C11847,C11823,C11799,C11775,C11751)/POBLA!$B$14*100000</f>
        <v>168.71562062453322</v>
      </c>
      <c r="H12063" s="256">
        <f t="shared" si="2213"/>
        <v>0.84578696343402227</v>
      </c>
      <c r="I12063" s="297">
        <f t="shared" si="2214"/>
        <v>142.69747245191044</v>
      </c>
      <c r="J12063" s="422">
        <f t="shared" si="2211"/>
        <v>134.85714285714286</v>
      </c>
      <c r="K12063" s="297">
        <f>J12063/POBLA!$B$14*100000</f>
        <v>10.691967365034866</v>
      </c>
      <c r="L12063" s="200">
        <f t="shared" si="2212"/>
        <v>-0.20270270270270274</v>
      </c>
      <c r="M12063" s="401">
        <f>SUM(C12063,C12039,C12015,C11991,C11967,C11943,C11919)/POBLA!$B$14*100000</f>
        <v>74.843771555244061</v>
      </c>
    </row>
    <row r="12064" spans="1:18" x14ac:dyDescent="0.25">
      <c r="A12064" s="367" t="s">
        <v>19</v>
      </c>
      <c r="B12064" s="2">
        <v>44395</v>
      </c>
      <c r="C12064" s="4">
        <v>126</v>
      </c>
      <c r="D12064" s="39">
        <f t="shared" si="2209"/>
        <v>104864</v>
      </c>
      <c r="F12064" s="39">
        <f t="shared" si="2208"/>
        <v>1953</v>
      </c>
      <c r="G12064" s="168">
        <f>SUM(C12064,C12040,C12016,C11992,C11968,C11944,C11920,C11896,C11872,C11848,C11824,C11800,C11776,C11752)/POBLA!$B$15*100000</f>
        <v>397.40564439498417</v>
      </c>
      <c r="H12064" s="256">
        <f t="shared" si="2213"/>
        <v>0.82468750000000002</v>
      </c>
      <c r="I12064" s="297">
        <f t="shared" si="2214"/>
        <v>327.73546736198853</v>
      </c>
      <c r="J12064" s="422">
        <f t="shared" si="2211"/>
        <v>193.42857142857142</v>
      </c>
      <c r="K12064" s="297">
        <f>J12064/POBLA!$B$15*100000</f>
        <v>29.128308477822149</v>
      </c>
      <c r="L12064" s="200">
        <f t="shared" si="2212"/>
        <v>5.3696498054474739E-2</v>
      </c>
      <c r="M12064" s="401">
        <f>SUM(C12064,C12040,C12016,C11992,C11968,C11944,C11920)/POBLA!$B$15*100000</f>
        <v>203.89815934475502</v>
      </c>
    </row>
    <row r="12065" spans="1:18" x14ac:dyDescent="0.25">
      <c r="A12065" s="367" t="s">
        <v>18</v>
      </c>
      <c r="B12065" s="2">
        <v>44395</v>
      </c>
      <c r="C12065" s="4">
        <v>180</v>
      </c>
      <c r="D12065" s="39">
        <f t="shared" si="2209"/>
        <v>88287</v>
      </c>
      <c r="F12065" s="39">
        <f t="shared" si="2208"/>
        <v>2023</v>
      </c>
      <c r="G12065" s="168">
        <f>SUM(C12065,C12041,C12017,C11993,C11969,C11945,C11921,C11897,C11873,C11849,C11825,C11801,C11777,C11753)/POBLA!$B$16*100000</f>
        <v>437.12630917189443</v>
      </c>
      <c r="H12065" s="256">
        <f t="shared" si="2213"/>
        <v>0.95976505139500734</v>
      </c>
      <c r="I12065" s="297">
        <f t="shared" si="2214"/>
        <v>419.53855458847312</v>
      </c>
      <c r="J12065" s="422">
        <f t="shared" si="2211"/>
        <v>259.14285714285717</v>
      </c>
      <c r="K12065" s="297">
        <f>J12065/POBLA!$B$16*100000</f>
        <v>34.662839868762745</v>
      </c>
      <c r="L12065" s="200">
        <f t="shared" si="2212"/>
        <v>0.24759284731774422</v>
      </c>
      <c r="M12065" s="401">
        <f>SUM(C12065,C12041,C12017,C11993,C11969,C11945,C11921)/POBLA!$B$16*100000</f>
        <v>242.63987908133919</v>
      </c>
    </row>
    <row r="12066" spans="1:18" x14ac:dyDescent="0.25">
      <c r="A12066" s="367" t="s">
        <v>34</v>
      </c>
      <c r="B12066" s="2">
        <v>44395</v>
      </c>
      <c r="C12066" s="4">
        <v>199</v>
      </c>
      <c r="D12066" s="39">
        <f>C12066+D12042</f>
        <v>70494</v>
      </c>
      <c r="E12066" s="1">
        <v>6</v>
      </c>
      <c r="F12066" s="39">
        <f t="shared" si="2208"/>
        <v>1944</v>
      </c>
      <c r="G12066" s="168">
        <f>SUM(C12066,C12042,C12018,C11994,C11970,C11946,C11922,C11898,C11874,C11850,C11826,C11802,C11778,C11754)/POBLA!$B$17*100000</f>
        <v>507.58320889471122</v>
      </c>
      <c r="H12066" s="256">
        <f t="shared" si="2213"/>
        <v>1.0154494382022472</v>
      </c>
      <c r="I12066" s="297">
        <f t="shared" si="2214"/>
        <v>515.42508431302838</v>
      </c>
      <c r="J12066" s="422">
        <f t="shared" si="2211"/>
        <v>569.57142857142856</v>
      </c>
      <c r="K12066" s="297">
        <f>J12066/POBLA!$B$17*100000</f>
        <v>39.986845561415009</v>
      </c>
      <c r="L12066" s="200">
        <f t="shared" si="2212"/>
        <v>0.2294172062904718</v>
      </c>
      <c r="M12066" s="401">
        <f>SUM(C12066,C12042,C12018,C11994,C11970,C11946,C11922)/POBLA!$B$17*100000</f>
        <v>279.90791892990507</v>
      </c>
      <c r="N12066" s="42" t="s">
        <v>34</v>
      </c>
      <c r="O12066" s="42">
        <v>2</v>
      </c>
      <c r="P12066" s="42">
        <v>4</v>
      </c>
      <c r="Q12066" s="42">
        <v>0</v>
      </c>
      <c r="R12066" s="42">
        <v>6</v>
      </c>
    </row>
    <row r="12067" spans="1:18" x14ac:dyDescent="0.25">
      <c r="A12067" s="367" t="s">
        <v>35</v>
      </c>
      <c r="B12067" s="2">
        <v>44395</v>
      </c>
      <c r="C12067" s="4">
        <v>62</v>
      </c>
      <c r="D12067" s="39">
        <f t="shared" ref="D12067:D12073" si="2215">C12067+D12043</f>
        <v>56685</v>
      </c>
      <c r="E12067" s="1">
        <v>2</v>
      </c>
      <c r="F12067" s="39">
        <f t="shared" si="2208"/>
        <v>894</v>
      </c>
      <c r="G12067" s="168">
        <f>SUM(C12067,C12043,C12019,C11995,C11971,C11947,C11923,C11899,C11875,C11851,C11827,C11803,C11779,C11755)/POBLA!$B$18*100000</f>
        <v>570.64810417592037</v>
      </c>
      <c r="H12067" s="256">
        <f t="shared" si="2213"/>
        <v>0.78018900945047254</v>
      </c>
      <c r="I12067" s="297">
        <f t="shared" si="2214"/>
        <v>445.2133791418014</v>
      </c>
      <c r="J12067" s="422">
        <f t="shared" si="2211"/>
        <v>304.42857142857144</v>
      </c>
      <c r="K12067" s="297">
        <f>J12067/POBLA!$B$18*100000</f>
        <v>38.968503172431149</v>
      </c>
      <c r="L12067" s="200">
        <f t="shared" si="2212"/>
        <v>-8.4228620541469734E-2</v>
      </c>
      <c r="M12067" s="401">
        <f>SUM(C12067,C12043,C12019,C11995,C11971,C11947,C11923)/POBLA!$B$18*100000</f>
        <v>272.77952220701803</v>
      </c>
      <c r="N12067" s="42" t="s">
        <v>35</v>
      </c>
      <c r="O12067" s="42">
        <v>2</v>
      </c>
      <c r="P12067" s="42">
        <v>0</v>
      </c>
      <c r="Q12067" s="42">
        <v>0</v>
      </c>
      <c r="R12067" s="42">
        <v>2</v>
      </c>
    </row>
    <row r="12068" spans="1:18" x14ac:dyDescent="0.25">
      <c r="A12068" s="367" t="s">
        <v>36</v>
      </c>
      <c r="B12068" s="2">
        <v>44395</v>
      </c>
      <c r="C12068" s="4">
        <v>203</v>
      </c>
      <c r="D12068" s="39">
        <f t="shared" si="2215"/>
        <v>71659</v>
      </c>
      <c r="E12068" s="1">
        <v>2</v>
      </c>
      <c r="F12068" s="39">
        <f t="shared" si="2208"/>
        <v>1163</v>
      </c>
      <c r="G12068" s="168">
        <f>SUM(C12068,C12044,C12020,C11996,C11972,C11948,C11924,C11900,C11876,C11852,C11828,C11804,C11780,C11756)/POBLA!$B$19*100000</f>
        <v>884.66501943626952</v>
      </c>
      <c r="H12068" s="256">
        <f t="shared" si="2213"/>
        <v>0.87168055824772239</v>
      </c>
      <c r="I12068" s="297">
        <f t="shared" si="2214"/>
        <v>771.14529800443961</v>
      </c>
      <c r="J12068" s="422">
        <f t="shared" si="2211"/>
        <v>316</v>
      </c>
      <c r="K12068" s="297">
        <f>J12068/POBLA!$B$19*100000</f>
        <v>62.164586644843489</v>
      </c>
      <c r="L12068" s="200">
        <f t="shared" si="2212"/>
        <v>-3.1947483588621428E-2</v>
      </c>
      <c r="M12068" s="401">
        <f>SUM(C12068,C12044,C12020,C11996,C11972,C11948,C11924)/POBLA!$B$19*100000</f>
        <v>435.15210651390441</v>
      </c>
      <c r="N12068" s="42" t="s">
        <v>36</v>
      </c>
      <c r="O12068" s="42">
        <v>1</v>
      </c>
      <c r="P12068" s="42">
        <v>1</v>
      </c>
      <c r="Q12068" s="42">
        <v>0</v>
      </c>
      <c r="R12068" s="42">
        <v>2</v>
      </c>
    </row>
    <row r="12069" spans="1:18" x14ac:dyDescent="0.25">
      <c r="A12069" s="367" t="s">
        <v>37</v>
      </c>
      <c r="B12069" s="2">
        <v>44395</v>
      </c>
      <c r="C12069" s="4">
        <v>28</v>
      </c>
      <c r="D12069" s="39">
        <f t="shared" si="2215"/>
        <v>57075</v>
      </c>
      <c r="F12069" s="39">
        <f>E12069+F12045</f>
        <v>920</v>
      </c>
      <c r="G12069" s="168">
        <f>SUM(C12069,C12045,C12022,C11997,C11973,C11949,C11925,C11901,C11877,C11853,C11829,C11805,C11781,C11757)/POBLA!$B$20*100000</f>
        <v>693.46838101384208</v>
      </c>
      <c r="H12069" s="256">
        <f t="shared" si="2213"/>
        <v>0.75871137409598943</v>
      </c>
      <c r="I12069" s="297">
        <f t="shared" si="2214"/>
        <v>526.14234825113328</v>
      </c>
      <c r="J12069" s="422">
        <f t="shared" si="2211"/>
        <v>84.571428571428569</v>
      </c>
      <c r="K12069" s="297">
        <f>J12069/POBLA!$B$20*100000</f>
        <v>23.126029831015913</v>
      </c>
      <c r="L12069" s="200">
        <f t="shared" si="2212"/>
        <v>5.3380782918149405E-2</v>
      </c>
      <c r="M12069" s="401">
        <f>SUM(C12069,C12045,C12021,C11997,C11973,C11949,C11925)/POBLA!$B$20*100000</f>
        <v>161.88220881711138</v>
      </c>
    </row>
    <row r="12070" spans="1:18" x14ac:dyDescent="0.25">
      <c r="A12070" s="367" t="s">
        <v>22</v>
      </c>
      <c r="B12070" s="2">
        <v>44395</v>
      </c>
      <c r="C12070" s="4">
        <v>663</v>
      </c>
      <c r="D12070" s="39">
        <f t="shared" si="2215"/>
        <v>432051</v>
      </c>
      <c r="E12070" s="1">
        <v>6</v>
      </c>
      <c r="F12070" s="39">
        <f>E12070+F12046</f>
        <v>7304</v>
      </c>
      <c r="G12070" s="168">
        <f>SUM(C12070,C12046,C12022,C11998,C11974,C11950,C11926,C11902,C11878,C11854,C11830,C11806,C11782,C11758)/POBLA!$B$21*100000</f>
        <v>577.05282576889942</v>
      </c>
      <c r="H12070" s="256">
        <f t="shared" si="2213"/>
        <v>0.92068576584705619</v>
      </c>
      <c r="I12070" s="297">
        <f t="shared" si="2214"/>
        <v>531.28432282724702</v>
      </c>
      <c r="J12070" s="422">
        <f t="shared" si="2211"/>
        <v>1408.4285714285713</v>
      </c>
      <c r="K12070" s="297">
        <f>J12070/POBLA!$B$21*100000</f>
        <v>39.826416770544981</v>
      </c>
      <c r="L12070" s="200">
        <f t="shared" si="2212"/>
        <v>-6.5320439893818749E-2</v>
      </c>
      <c r="M12070" s="401">
        <f>SUM(C12070,C12046,C12022,C11998,C11974,C11950,C11926)/POBLA!$B$21*100000</f>
        <v>278.78491739381491</v>
      </c>
      <c r="N12070" s="42" t="s">
        <v>22</v>
      </c>
      <c r="O12070" s="42">
        <v>4</v>
      </c>
      <c r="P12070" s="42">
        <v>2</v>
      </c>
      <c r="Q12070" s="42">
        <v>0</v>
      </c>
      <c r="R12070" s="42">
        <v>6</v>
      </c>
    </row>
    <row r="12071" spans="1:18" x14ac:dyDescent="0.25">
      <c r="A12071" s="367" t="s">
        <v>38</v>
      </c>
      <c r="B12071" s="2">
        <v>44395</v>
      </c>
      <c r="C12071" s="4">
        <v>335</v>
      </c>
      <c r="D12071" s="39">
        <f t="shared" si="2215"/>
        <v>69084</v>
      </c>
      <c r="E12071" s="1">
        <v>4</v>
      </c>
      <c r="F12071" s="39">
        <f>E12071+F12047</f>
        <v>953</v>
      </c>
      <c r="G12071" s="168">
        <f>SUM(C12071,C12047,C12023,C11999,C11975,C11951,C11927,C11903,C11879,C11855,C11831,C11807,C11783,C11759)/POBLA!$B$22*100000</f>
        <v>751.08886419785892</v>
      </c>
      <c r="H12071" s="256">
        <f t="shared" si="2213"/>
        <v>1.0317326593653469</v>
      </c>
      <c r="I12071" s="297">
        <f t="shared" si="2214"/>
        <v>774.92291127855481</v>
      </c>
      <c r="J12071" s="422">
        <f t="shared" si="2211"/>
        <v>504</v>
      </c>
      <c r="K12071" s="297">
        <f>J12071/POBLA!$B$22*100000</f>
        <v>51.517254702738285</v>
      </c>
      <c r="L12071" s="200">
        <f t="shared" si="2212"/>
        <v>-7.6439790575916211E-2</v>
      </c>
      <c r="M12071" s="401">
        <f>SUM(C12071,C12047,C12023,C11999,C11975,C11951,C11927)/POBLA!$B$22*100000</f>
        <v>360.62078291916799</v>
      </c>
      <c r="N12071" s="42" t="s">
        <v>38</v>
      </c>
      <c r="O12071" s="42">
        <v>3</v>
      </c>
      <c r="P12071" s="42">
        <v>1</v>
      </c>
      <c r="Q12071" s="42">
        <v>0</v>
      </c>
      <c r="R12071" s="42">
        <v>4</v>
      </c>
    </row>
    <row r="12072" spans="1:18" x14ac:dyDescent="0.25">
      <c r="A12072" s="367" t="s">
        <v>39</v>
      </c>
      <c r="B12072" s="2">
        <v>44395</v>
      </c>
      <c r="C12072" s="4">
        <v>15</v>
      </c>
      <c r="D12072" s="39">
        <f t="shared" si="2215"/>
        <v>30553</v>
      </c>
      <c r="F12072" s="39">
        <f>E12072+F12048</f>
        <v>462</v>
      </c>
      <c r="G12072" s="168">
        <f>SUM(C12072,C12048,C12024,C12000,C11976,C11952,C11928,C11904,C11880,C11856,C11832,C11808,C11784,C11760)/POBLA!$B$23*100000</f>
        <v>340.4399705932251</v>
      </c>
      <c r="H12072" s="256">
        <f t="shared" si="2213"/>
        <v>0.9788617886178862</v>
      </c>
      <c r="I12072" s="297">
        <f t="shared" si="2214"/>
        <v>333.24367853190489</v>
      </c>
      <c r="J12072" s="422">
        <f t="shared" si="2211"/>
        <v>46</v>
      </c>
      <c r="K12072" s="297">
        <f>J12072/POBLA!$B$23*100000</f>
        <v>26.013685460611889</v>
      </c>
      <c r="L12072" s="200">
        <f t="shared" si="2212"/>
        <v>0.14999999999999991</v>
      </c>
      <c r="M12072" s="401">
        <f>SUM(C12072,C12048,C12024,C12000,C11976,C11952,C11928)/POBLA!$B$23*100000</f>
        <v>182.09579822428319</v>
      </c>
    </row>
    <row r="12073" spans="1:18" ht="15.75" thickBot="1" x14ac:dyDescent="0.3">
      <c r="A12073" s="369" t="s">
        <v>40</v>
      </c>
      <c r="B12073" s="266">
        <v>44395</v>
      </c>
      <c r="C12073" s="357">
        <v>272</v>
      </c>
      <c r="D12073" s="176">
        <f t="shared" si="2215"/>
        <v>171355</v>
      </c>
      <c r="E12073" s="44"/>
      <c r="F12073" s="176">
        <f>E12073+F12049</f>
        <v>2448</v>
      </c>
      <c r="G12073" s="177">
        <f>SUM(C12073,C12049,C12025,C12001,C11977,C11953,C11929,C11905,C11881,C11857,C11833,C11809,C11785,C11761)/POBLA!$B$24*100000</f>
        <v>621.955134257336</v>
      </c>
      <c r="H12073" s="402">
        <f t="shared" si="2213"/>
        <v>0.70159089396259067</v>
      </c>
      <c r="I12073" s="403">
        <f t="shared" si="2214"/>
        <v>436.35805864822748</v>
      </c>
      <c r="J12073" s="423">
        <f t="shared" si="2211"/>
        <v>687.85714285714289</v>
      </c>
      <c r="K12073" s="403">
        <f>J12073/POBLA!$B$24*100000</f>
        <v>40.589780041326549</v>
      </c>
      <c r="L12073" s="404">
        <f t="shared" si="2212"/>
        <v>-0.15895196506550213</v>
      </c>
      <c r="M12073" s="405">
        <f>SUM(C12073,C12049,C12025,C12001,C11977,C11953,C11929)/POBLA!$B$24*100000</f>
        <v>284.12846028928584</v>
      </c>
    </row>
    <row r="12074" spans="1:18" x14ac:dyDescent="0.25">
      <c r="A12074" s="363" t="s">
        <v>16</v>
      </c>
      <c r="B12074" s="265">
        <v>44396</v>
      </c>
      <c r="C12074" s="356">
        <v>3743</v>
      </c>
      <c r="D12074" s="174">
        <f>C12074+D12050</f>
        <v>1931142</v>
      </c>
      <c r="E12074" s="43">
        <v>106</v>
      </c>
      <c r="F12074" s="174">
        <f t="shared" ref="F12074:F12092" si="2216">E12074+F12050</f>
        <v>50764</v>
      </c>
      <c r="G12074" s="175">
        <f>SUM(C12074,C12050,C12002,C12026,C11978,C11954,C11930,C11906,C11882,C11858,C11834,C11810,C11786,C11762)/POBLA!$B$1*100000</f>
        <v>358.26631802343991</v>
      </c>
      <c r="H12074" s="300">
        <f t="shared" si="2213"/>
        <v>0.70811736602514985</v>
      </c>
      <c r="I12074" s="301">
        <f>G12074*H12074</f>
        <v>253.69460145428692</v>
      </c>
      <c r="J12074" s="421">
        <f>AVERAGE(C12074,C12050,C12026,C12002,C11978,C11954,C11930)</f>
        <v>4352.7142857142853</v>
      </c>
      <c r="K12074" s="301">
        <f>J12074/POBLA!$B$1*100000</f>
        <v>24.814316729534788</v>
      </c>
      <c r="L12074" s="399">
        <f>(SUM(C12074,C12050,C12026,C12002,C11978,C11954,C11930)/SUM(C11906,C11882,C11858,C11834,C11810,C11786,C11762))-1</f>
        <v>-5.8872586872586896E-2</v>
      </c>
      <c r="M12074" s="400">
        <f>SUM(C12074,C12050,C12026,C12002,C11978,C11954,C11930)/POBLA!$B$1*100000</f>
        <v>173.70021710674351</v>
      </c>
      <c r="N12074" s="42" t="s">
        <v>16</v>
      </c>
      <c r="O12074" s="42">
        <v>46</v>
      </c>
      <c r="P12074" s="42">
        <v>58</v>
      </c>
      <c r="Q12074" s="42">
        <v>2</v>
      </c>
      <c r="R12074" s="42">
        <v>106</v>
      </c>
    </row>
    <row r="12075" spans="1:18" x14ac:dyDescent="0.25">
      <c r="A12075" s="367" t="s">
        <v>43</v>
      </c>
      <c r="B12075" s="2">
        <v>44396</v>
      </c>
      <c r="C12075" s="4">
        <v>770</v>
      </c>
      <c r="D12075" s="39">
        <f t="shared" ref="D12075:D12089" si="2217">C12075+D12051</f>
        <v>482613</v>
      </c>
      <c r="E12075" s="1">
        <v>26</v>
      </c>
      <c r="F12075" s="39">
        <f t="shared" si="2216"/>
        <v>10720</v>
      </c>
      <c r="G12075" s="168">
        <f>SUM(C12075,C12051,C12027,C12003,C11979,C11955,C11931,C11907,C11883,C11859,C11835,C11811,C11787,C11763)/POBLA!$B$2*100000</f>
        <v>431.64915598219039</v>
      </c>
      <c r="H12075" s="256">
        <f t="shared" si="2213"/>
        <v>0.75401828818083716</v>
      </c>
      <c r="I12075" s="297">
        <f t="shared" ref="I12075:I12081" si="2218">G12075*H12075</f>
        <v>325.47135768839439</v>
      </c>
      <c r="J12075" s="422">
        <f>AVERAGE(C12075,C12051,C12027,C12003,C11979,C11955,C11931)</f>
        <v>925.71428571428567</v>
      </c>
      <c r="K12075" s="297">
        <f>J12075/POBLA!$B$2*100000</f>
        <v>30.098206546341341</v>
      </c>
      <c r="L12075" s="200">
        <f>(SUM(C12075,C12051,C12027,C12003,C11979,C11955,C11931)/SUM(C11907,C11883,C11859,C11835,C11811,C11787,C11763))-1</f>
        <v>-4.6497939964685098E-2</v>
      </c>
      <c r="M12075" s="401">
        <f>SUM(C12075,C12051,C12027,C12003,C11979,C11955,C11931)/POBLA!$B$2*100000</f>
        <v>210.68744582438941</v>
      </c>
      <c r="N12075" s="42" t="s">
        <v>43</v>
      </c>
      <c r="O12075" s="42">
        <v>8</v>
      </c>
      <c r="P12075" s="42">
        <v>18</v>
      </c>
      <c r="Q12075" s="42">
        <v>0</v>
      </c>
      <c r="R12075" s="42">
        <v>26</v>
      </c>
    </row>
    <row r="12076" spans="1:18" x14ac:dyDescent="0.25">
      <c r="A12076" s="367" t="s">
        <v>28</v>
      </c>
      <c r="B12076" s="2">
        <v>44396</v>
      </c>
      <c r="C12076" s="4">
        <v>227</v>
      </c>
      <c r="D12076" s="39">
        <f t="shared" si="2217"/>
        <v>39213</v>
      </c>
      <c r="E12076" s="1">
        <v>2</v>
      </c>
      <c r="F12076" s="39">
        <f t="shared" si="2216"/>
        <v>400</v>
      </c>
      <c r="G12076" s="168">
        <f>SUM(C12076,C12052,C12028,C12004,C11980,C11956,C11932,C11908,C11884,C11860,C11836,C11812,C11788,C11764)/POBLA!$B$3*100000</f>
        <v>873.53588261064237</v>
      </c>
      <c r="H12076" s="256">
        <f t="shared" si="2213"/>
        <v>0.83694649446494462</v>
      </c>
      <c r="I12076" s="297">
        <f t="shared" si="2218"/>
        <v>731.10279474031847</v>
      </c>
      <c r="J12076" s="422">
        <f t="shared" ref="J12076:J12097" si="2219">AVERAGE(C12076,C12052,C12028,C12004,C11980,C11956,C11932)</f>
        <v>255.42857142857142</v>
      </c>
      <c r="K12076" s="297">
        <f>J12076/POBLA!$B$3*100000</f>
        <v>61.484161638697337</v>
      </c>
      <c r="L12076" s="200">
        <f t="shared" ref="L12076:L12097" si="2220">(SUM(C12076,C12052,C12028,C12004,C11980,C11956,C11932)/SUM(C11908,C11884,C11860,C11836,C11812,C11788,C11764))-1</f>
        <v>-2.8788701792504034E-2</v>
      </c>
      <c r="M12076" s="401">
        <f>SUM(C12076,C12052,C12028,C12004,C11980,C11956,C11932)/POBLA!$B$3*100000</f>
        <v>430.38913147088135</v>
      </c>
      <c r="N12076" s="42" t="s">
        <v>28</v>
      </c>
      <c r="O12076" s="42">
        <v>2</v>
      </c>
      <c r="P12076" s="42">
        <v>0</v>
      </c>
      <c r="Q12076" s="42">
        <v>0</v>
      </c>
      <c r="R12076" s="42">
        <v>2</v>
      </c>
    </row>
    <row r="12077" spans="1:18" x14ac:dyDescent="0.25">
      <c r="A12077" s="367" t="s">
        <v>15</v>
      </c>
      <c r="B12077" s="2">
        <v>44396</v>
      </c>
      <c r="C12077" s="4">
        <v>343</v>
      </c>
      <c r="D12077" s="39">
        <f t="shared" si="2217"/>
        <v>86412</v>
      </c>
      <c r="E12077" s="1">
        <v>14</v>
      </c>
      <c r="F12077" s="39">
        <f t="shared" si="2216"/>
        <v>1896</v>
      </c>
      <c r="G12077" s="168">
        <f>SUM(C12077,C12053,C12029,C12005,C11981,C11957,C11933,C11909,C11885,C11861,C11837,C11813,C11789,C11765)/POBLA!$B$4*100000</f>
        <v>580.30403282246107</v>
      </c>
      <c r="H12077" s="256">
        <f t="shared" si="2213"/>
        <v>0.9269327675374619</v>
      </c>
      <c r="I12077" s="297">
        <f t="shared" si="2218"/>
        <v>537.90282315727393</v>
      </c>
      <c r="J12077" s="422">
        <f t="shared" si="2219"/>
        <v>444.85714285714283</v>
      </c>
      <c r="K12077" s="297">
        <f>J12077/POBLA!$B$4*100000</f>
        <v>36.931672965647728</v>
      </c>
      <c r="L12077" s="200">
        <f t="shared" si="2220"/>
        <v>-0.19659442724458209</v>
      </c>
      <c r="M12077" s="401">
        <f>SUM(C12077,C12053,C12029,C12005,C11981,C11957,C11933)/POBLA!$B$4*100000</f>
        <v>258.52171075953413</v>
      </c>
      <c r="N12077" s="42" t="s">
        <v>15</v>
      </c>
      <c r="O12077" s="42">
        <v>5</v>
      </c>
      <c r="P12077" s="42">
        <v>9</v>
      </c>
      <c r="Q12077" s="42">
        <v>0</v>
      </c>
      <c r="R12077" s="42">
        <v>14</v>
      </c>
    </row>
    <row r="12078" spans="1:18" x14ac:dyDescent="0.25">
      <c r="A12078" s="367" t="s">
        <v>29</v>
      </c>
      <c r="B12078" s="2">
        <v>44396</v>
      </c>
      <c r="C12078" s="4">
        <v>147</v>
      </c>
      <c r="D12078" s="39">
        <f t="shared" si="2217"/>
        <v>74045</v>
      </c>
      <c r="E12078" s="1">
        <v>3</v>
      </c>
      <c r="F12078" s="39">
        <f t="shared" si="2216"/>
        <v>1280</v>
      </c>
      <c r="G12078" s="168">
        <f>SUM(C12078,C12054,C12030,C12006,C11982,C11958,C11934,C11910,C11886,C11862,C11838,C11814,C11790,C11766)/POBLA!$B$5*100000</f>
        <v>386.59502353819261</v>
      </c>
      <c r="H12078" s="256">
        <f t="shared" si="2213"/>
        <v>0.78177066318196664</v>
      </c>
      <c r="I12078" s="297">
        <f t="shared" si="2218"/>
        <v>302.22864793430085</v>
      </c>
      <c r="J12078" s="422">
        <f t="shared" si="2219"/>
        <v>171.57142857142858</v>
      </c>
      <c r="K12078" s="297">
        <f>J12078/POBLA!$B$5*100000</f>
        <v>27.7177854020279</v>
      </c>
      <c r="L12078" s="200">
        <f t="shared" si="2220"/>
        <v>7.5503355704698016E-3</v>
      </c>
      <c r="M12078" s="401">
        <f>SUM(C12078,C12054,C12030,C12006,C11982,C11958,C11934)/POBLA!$B$5*100000</f>
        <v>194.02449781419529</v>
      </c>
      <c r="N12078" s="42" t="s">
        <v>29</v>
      </c>
      <c r="O12078" s="42">
        <v>0</v>
      </c>
      <c r="P12078" s="42">
        <v>3</v>
      </c>
      <c r="Q12078" s="42">
        <v>0</v>
      </c>
      <c r="R12078" s="42">
        <v>3</v>
      </c>
    </row>
    <row r="12079" spans="1:18" x14ac:dyDescent="0.25">
      <c r="A12079" s="367" t="s">
        <v>30</v>
      </c>
      <c r="B12079" s="2">
        <v>44396</v>
      </c>
      <c r="C12079" s="4">
        <v>247</v>
      </c>
      <c r="D12079" s="39">
        <f t="shared" si="2217"/>
        <v>443020</v>
      </c>
      <c r="E12079" s="1">
        <v>12</v>
      </c>
      <c r="F12079" s="39">
        <f t="shared" si="2216"/>
        <v>5804</v>
      </c>
      <c r="G12079" s="168">
        <f>SUM(C12079,C12055,C12031,C12007,C11983,C11959,C11935,C11911,C11887,C11863,C11839,C11815,C11791,C11767)/POBLA!$B$6*100000</f>
        <v>598.94664619321361</v>
      </c>
      <c r="H12079" s="256">
        <f t="shared" si="2213"/>
        <v>0.92021932830705966</v>
      </c>
      <c r="I12079" s="297">
        <f t="shared" si="2218"/>
        <v>551.16228045168509</v>
      </c>
      <c r="J12079" s="422">
        <f t="shared" si="2219"/>
        <v>525.42857142857144</v>
      </c>
      <c r="K12079" s="297">
        <f>J12079/POBLA!$B$6*100000</f>
        <v>46.87973792212636</v>
      </c>
      <c r="L12079" s="200">
        <f t="shared" si="2220"/>
        <v>0.21186161449752894</v>
      </c>
      <c r="M12079" s="401">
        <f>SUM(C12079,C12055,C12031,C12007,C11983,C11959,C11935)/POBLA!$B$6*100000</f>
        <v>328.15816545488445</v>
      </c>
      <c r="N12079" s="42" t="s">
        <v>30</v>
      </c>
      <c r="O12079" s="42">
        <v>3</v>
      </c>
      <c r="P12079" s="42">
        <v>9</v>
      </c>
      <c r="Q12079" s="42">
        <v>0</v>
      </c>
      <c r="R12079" s="42">
        <v>12</v>
      </c>
    </row>
    <row r="12080" spans="1:18" x14ac:dyDescent="0.25">
      <c r="A12080" s="367" t="s">
        <v>20</v>
      </c>
      <c r="B12080" s="2">
        <v>44396</v>
      </c>
      <c r="C12080" s="4">
        <v>1094</v>
      </c>
      <c r="D12080" s="39">
        <f t="shared" si="2217"/>
        <v>78265</v>
      </c>
      <c r="E12080" s="1">
        <v>30</v>
      </c>
      <c r="F12080" s="39">
        <f t="shared" si="2216"/>
        <v>909</v>
      </c>
      <c r="G12080" s="168">
        <f>SUM(C12080,C12056,C12032,C12008,C11984,C11960,C11936,C11912,C11888,C11864,C11840,C11816,C11792,C11768)/POBLA!$B$7*100000</f>
        <v>688.48143174354129</v>
      </c>
      <c r="H12080" s="256">
        <f t="shared" si="2213"/>
        <v>0.73683012209351961</v>
      </c>
      <c r="I12080" s="297">
        <f t="shared" si="2218"/>
        <v>507.29385741071474</v>
      </c>
      <c r="J12080" s="422">
        <f t="shared" si="2219"/>
        <v>1761.1428571428571</v>
      </c>
      <c r="K12080" s="297">
        <f>J12080/POBLA!$B$7*100000</f>
        <v>46.833300725786998</v>
      </c>
      <c r="L12080" s="200">
        <f t="shared" si="2220"/>
        <v>-9.0989529567910288E-2</v>
      </c>
      <c r="M12080" s="401">
        <f>SUM(C12080,C12056,C12032,C12008,C11984,C11960,C11936)/POBLA!$B$7*100000</f>
        <v>327.83310508050897</v>
      </c>
      <c r="N12080" s="42" t="s">
        <v>20</v>
      </c>
      <c r="O12080" s="42">
        <v>14</v>
      </c>
      <c r="P12080" s="42">
        <v>16</v>
      </c>
      <c r="Q12080" s="42">
        <v>0</v>
      </c>
      <c r="R12080" s="42">
        <v>30</v>
      </c>
    </row>
    <row r="12081" spans="1:18" x14ac:dyDescent="0.25">
      <c r="A12081" s="367" t="s">
        <v>31</v>
      </c>
      <c r="B12081" s="2">
        <v>44396</v>
      </c>
      <c r="C12081" s="4">
        <v>348</v>
      </c>
      <c r="D12081" s="39">
        <f t="shared" si="2217"/>
        <v>122506</v>
      </c>
      <c r="E12081" s="1">
        <v>14</v>
      </c>
      <c r="F12081" s="39">
        <f t="shared" si="2216"/>
        <v>2036</v>
      </c>
      <c r="G12081" s="168">
        <f>SUM(C12081,C12057,C12033,C12009,C11985,C11961,C11937,C11913,C11889,C11865,C11841,C11817,C11793,C11769)/POBLA!$B$8*100000</f>
        <v>650.8841157868078</v>
      </c>
      <c r="H12081" s="256">
        <f t="shared" ref="H12081:H12104" si="2221">SUM(C12081,C12057,C12033,C12009,C11985,C11961,C11937,C11913,C11889,C11865,C11841,C11817,C11793,C11769,)/SUM(C11745,C11721,C11697,C11673,C11649,C11625,C11601,C11577,C11553,C11529,C11505,C11481,C11457,C11433)</f>
        <v>0.89034741413343865</v>
      </c>
      <c r="I12081" s="297">
        <f t="shared" si="2218"/>
        <v>579.51298939131402</v>
      </c>
      <c r="J12081" s="422">
        <f t="shared" si="2219"/>
        <v>636</v>
      </c>
      <c r="K12081" s="297">
        <f>J12081/POBLA!$B$8*100000</f>
        <v>45.888737128966831</v>
      </c>
      <c r="L12081" s="200">
        <f t="shared" si="2220"/>
        <v>-2.5607353906762942E-2</v>
      </c>
      <c r="M12081" s="401">
        <f>SUM(C12081,C12057,C12033,C12009,C11985,C11961,C11937)/POBLA!$B$8*100000</f>
        <v>321.22115990276779</v>
      </c>
      <c r="N12081" s="42" t="s">
        <v>31</v>
      </c>
      <c r="O12081" s="42">
        <v>5</v>
      </c>
      <c r="P12081" s="42">
        <v>9</v>
      </c>
      <c r="Q12081" s="42">
        <v>0</v>
      </c>
      <c r="R12081" s="42">
        <v>14</v>
      </c>
    </row>
    <row r="12082" spans="1:18" x14ac:dyDescent="0.25">
      <c r="A12082" s="367" t="s">
        <v>41</v>
      </c>
      <c r="B12082" s="2">
        <v>44396</v>
      </c>
      <c r="C12082" s="4">
        <v>243</v>
      </c>
      <c r="D12082" s="39">
        <f t="shared" si="2217"/>
        <v>53006</v>
      </c>
      <c r="E12082" s="1">
        <v>27</v>
      </c>
      <c r="F12082" s="39">
        <f t="shared" si="2216"/>
        <v>946</v>
      </c>
      <c r="G12082" s="168">
        <f>SUM(C12082,C12058,C12034,C12010,C11986,C11962,C11938,C11914,C11890,C11866,C11842,C11818,C11794,C11770)/POBLA!$B$9*100000</f>
        <v>923.34180996805969</v>
      </c>
      <c r="H12082" s="256">
        <f t="shared" si="2221"/>
        <v>1.0210122419148548</v>
      </c>
      <c r="I12082" s="297">
        <f>G12082*H12082</f>
        <v>942.74329144920853</v>
      </c>
      <c r="J12082" s="422">
        <f t="shared" si="2219"/>
        <v>350.85714285714283</v>
      </c>
      <c r="K12082" s="297">
        <f>J12082/POBLA!$B$9*100000</f>
        <v>57.974421855035139</v>
      </c>
      <c r="L12082" s="200">
        <f t="shared" si="2220"/>
        <v>-0.21583652618135374</v>
      </c>
      <c r="M12082" s="401">
        <f>SUM(C12082,C12058,C12034,C12010,C11986,C11962,C11938)/POBLA!$B$9*100000</f>
        <v>405.82095298524604</v>
      </c>
      <c r="N12082" s="42" t="s">
        <v>41</v>
      </c>
      <c r="O12082" s="42">
        <v>10</v>
      </c>
      <c r="P12082" s="42">
        <v>17</v>
      </c>
      <c r="Q12082" s="42">
        <v>0</v>
      </c>
      <c r="R12082" s="42">
        <v>27</v>
      </c>
    </row>
    <row r="12083" spans="1:18" x14ac:dyDescent="0.25">
      <c r="A12083" s="367" t="s">
        <v>32</v>
      </c>
      <c r="B12083" s="2">
        <v>44396</v>
      </c>
      <c r="C12083" s="4">
        <v>298</v>
      </c>
      <c r="D12083" s="39">
        <f t="shared" si="2217"/>
        <v>41068</v>
      </c>
      <c r="E12083" s="1">
        <v>6</v>
      </c>
      <c r="F12083" s="39">
        <f t="shared" si="2216"/>
        <v>1266</v>
      </c>
      <c r="G12083" s="168">
        <f>SUM(C12083,C12059,C12035,C12011,C11987,C11963,C11939,C11915,C11891,C11867,C11843,C11819,C11795,C11771)/POBLA!$B$10*100000</f>
        <v>503.06078370072686</v>
      </c>
      <c r="H12083" s="256">
        <f t="shared" si="2221"/>
        <v>1.0162473794549267</v>
      </c>
      <c r="I12083" s="297">
        <f t="shared" ref="I12083:I12097" si="2222">G12083*H12083</f>
        <v>511.23420314240536</v>
      </c>
      <c r="J12083" s="422">
        <f t="shared" si="2219"/>
        <v>266.28571428571428</v>
      </c>
      <c r="K12083" s="297">
        <f>J12083/POBLA!$B$10*100000</f>
        <v>34.543037678411359</v>
      </c>
      <c r="L12083" s="200">
        <f t="shared" si="2220"/>
        <v>-7.4478649453823209E-2</v>
      </c>
      <c r="M12083" s="401">
        <f>SUM(C12083,C12059,C12035,C12011,C11987,C11963,C11939)/POBLA!$B$10*100000</f>
        <v>241.80126374887953</v>
      </c>
      <c r="N12083" s="42" t="s">
        <v>32</v>
      </c>
      <c r="O12083" s="42">
        <v>2</v>
      </c>
      <c r="P12083" s="42">
        <v>4</v>
      </c>
      <c r="Q12083" s="42">
        <v>0</v>
      </c>
      <c r="R12083" s="42">
        <v>6</v>
      </c>
    </row>
    <row r="12084" spans="1:18" x14ac:dyDescent="0.25">
      <c r="A12084" s="367" t="s">
        <v>33</v>
      </c>
      <c r="B12084" s="2">
        <v>44396</v>
      </c>
      <c r="C12084" s="4">
        <v>297</v>
      </c>
      <c r="D12084" s="39">
        <f t="shared" si="2217"/>
        <v>58076</v>
      </c>
      <c r="E12084" s="1">
        <v>9</v>
      </c>
      <c r="F12084" s="39">
        <f t="shared" si="2216"/>
        <v>802</v>
      </c>
      <c r="G12084" s="168">
        <f>SUM(C12084,C12060,C12036,C12012,C11988,C11964,C11940,C11916,C11892,C11868,C11844,C11820,C11796,C11772)/POBLA!$B$11*100000</f>
        <v>1047.0722153403194</v>
      </c>
      <c r="H12084" s="256">
        <f t="shared" si="2221"/>
        <v>0.75285857572718151</v>
      </c>
      <c r="I12084" s="297">
        <f t="shared" si="2222"/>
        <v>788.29729672461758</v>
      </c>
      <c r="J12084" s="422">
        <f t="shared" si="2219"/>
        <v>279.85714285714283</v>
      </c>
      <c r="K12084" s="297">
        <f>J12084/POBLA!$B$11*100000</f>
        <v>78.079040381092668</v>
      </c>
      <c r="L12084" s="200">
        <f t="shared" si="2220"/>
        <v>9.197324414715724E-2</v>
      </c>
      <c r="M12084" s="401">
        <f>SUM(C12084,C12060,C12036,C12012,C11988,C11964,C11940)/POBLA!$B$11*100000</f>
        <v>546.55328266764877</v>
      </c>
      <c r="N12084" s="42" t="s">
        <v>33</v>
      </c>
      <c r="O12084" s="42">
        <v>4</v>
      </c>
      <c r="P12084" s="42">
        <v>5</v>
      </c>
      <c r="Q12084" s="42">
        <v>0</v>
      </c>
      <c r="R12084" s="42">
        <v>9</v>
      </c>
    </row>
    <row r="12085" spans="1:18" x14ac:dyDescent="0.25">
      <c r="A12085" s="367" t="s">
        <v>21</v>
      </c>
      <c r="B12085" s="2">
        <v>44396</v>
      </c>
      <c r="C12085" s="4">
        <v>133</v>
      </c>
      <c r="D12085" s="39">
        <f t="shared" si="2217"/>
        <v>25866</v>
      </c>
      <c r="F12085" s="39">
        <f t="shared" si="2216"/>
        <v>761</v>
      </c>
      <c r="G12085" s="168">
        <f>SUM(C12085,C12061,C12037,C12013,C11989,C11965,C11941,C11917,C11893,C11869,C11845,C11821,C11797,C11773)/POBLA!$B$12*100000</f>
        <v>702.86711847351285</v>
      </c>
      <c r="H12085" s="256">
        <f t="shared" si="2221"/>
        <v>1.1368680641183724</v>
      </c>
      <c r="I12085" s="297">
        <f t="shared" si="2222"/>
        <v>799.06718031144123</v>
      </c>
      <c r="J12085" s="422">
        <f t="shared" si="2219"/>
        <v>205.42857142857142</v>
      </c>
      <c r="K12085" s="297">
        <f>J12085/POBLA!$B$12*100000</f>
        <v>52.201369505470062</v>
      </c>
      <c r="L12085" s="200">
        <f t="shared" si="2220"/>
        <v>8.2831325301204739E-2</v>
      </c>
      <c r="M12085" s="401">
        <f>SUM(C12085,C12061,C12037,C12013,C11989,C11965,C11941)/POBLA!$B$12*100000</f>
        <v>365.40958653829051</v>
      </c>
    </row>
    <row r="12086" spans="1:18" x14ac:dyDescent="0.25">
      <c r="A12086" s="367" t="s">
        <v>17</v>
      </c>
      <c r="B12086" s="2">
        <v>44396</v>
      </c>
      <c r="C12086" s="4">
        <v>437</v>
      </c>
      <c r="D12086" s="39">
        <f t="shared" si="2217"/>
        <v>148867</v>
      </c>
      <c r="E12086" s="1">
        <v>18</v>
      </c>
      <c r="F12086" s="39">
        <f t="shared" si="2216"/>
        <v>3679</v>
      </c>
      <c r="G12086" s="168">
        <f>SUM(C12086,C12062,C12038,C12014,C11990,C11966,C11942,C11918,C11894,C11870,C11846,C11822,C11798,C11774)/POBLA!$B$13*100000</f>
        <v>317.58424950937984</v>
      </c>
      <c r="H12086" s="256">
        <f t="shared" si="2221"/>
        <v>0.76386706948640481</v>
      </c>
      <c r="I12086" s="297">
        <f t="shared" si="2222"/>
        <v>242.59214998776918</v>
      </c>
      <c r="J12086" s="422">
        <f t="shared" si="2219"/>
        <v>479.57142857142856</v>
      </c>
      <c r="K12086" s="297">
        <f>J12086/POBLA!$B$13*100000</f>
        <v>24.094974249169166</v>
      </c>
      <c r="L12086" s="200">
        <f t="shared" si="2220"/>
        <v>0.1325910931174088</v>
      </c>
      <c r="M12086" s="401">
        <f>SUM(C12086,C12062,C12038,C12014,C11990,C11966,C11942)/POBLA!$B$13*100000</f>
        <v>168.66481974418414</v>
      </c>
      <c r="N12086" s="42" t="s">
        <v>17</v>
      </c>
      <c r="O12086" s="42">
        <v>5</v>
      </c>
      <c r="P12086" s="42">
        <v>13</v>
      </c>
      <c r="Q12086" s="42">
        <v>0</v>
      </c>
      <c r="R12086" s="42">
        <v>18</v>
      </c>
    </row>
    <row r="12087" spans="1:18" x14ac:dyDescent="0.25">
      <c r="A12087" s="367" t="s">
        <v>23</v>
      </c>
      <c r="B12087" s="2">
        <v>44396</v>
      </c>
      <c r="C12087" s="4">
        <v>301</v>
      </c>
      <c r="D12087" s="39">
        <f t="shared" si="2217"/>
        <v>28799</v>
      </c>
      <c r="F12087" s="39">
        <f t="shared" si="2216"/>
        <v>491</v>
      </c>
      <c r="G12087" s="168">
        <f>SUM(C12087,C12063,C12039,C12015,C11991,C11967,C11943,C11919,C11895,C11871,C11847,C11823,C11799,C11775)/POBLA!$B$14*100000</f>
        <v>180.44960175819435</v>
      </c>
      <c r="H12087" s="256">
        <f t="shared" si="2221"/>
        <v>0.88975762314308049</v>
      </c>
      <c r="I12087" s="297">
        <f t="shared" si="2222"/>
        <v>160.55640875748645</v>
      </c>
      <c r="J12087" s="422">
        <f t="shared" si="2219"/>
        <v>165.42857142857142</v>
      </c>
      <c r="K12087" s="297">
        <f>J12087/POBLA!$B$14*100000</f>
        <v>13.115782000752514</v>
      </c>
      <c r="L12087" s="200">
        <f t="shared" si="2220"/>
        <v>3.5778175313059046E-2</v>
      </c>
      <c r="M12087" s="401">
        <f>SUM(C12087,C12063,C12039,C12015,C11991,C11967,C11943)/POBLA!$B$14*100000</f>
        <v>91.810474005267608</v>
      </c>
    </row>
    <row r="12088" spans="1:18" x14ac:dyDescent="0.25">
      <c r="A12088" s="367" t="s">
        <v>19</v>
      </c>
      <c r="B12088" s="2">
        <v>44396</v>
      </c>
      <c r="C12088" s="4">
        <v>168</v>
      </c>
      <c r="D12088" s="39">
        <f t="shared" si="2217"/>
        <v>105032</v>
      </c>
      <c r="E12088" s="1">
        <v>15</v>
      </c>
      <c r="F12088" s="39">
        <f t="shared" si="2216"/>
        <v>1968</v>
      </c>
      <c r="G12088" s="168">
        <f>SUM(C12088,C12064,C12040,C12016,C11992,C11968,C11944,C11920,C11896,C11872,C11848,C11824,C11800,C11776)/POBLA!$B$15*100000</f>
        <v>388.97263337333993</v>
      </c>
      <c r="H12088" s="256">
        <f t="shared" si="2221"/>
        <v>0.77684210526315789</v>
      </c>
      <c r="I12088" s="297">
        <f t="shared" si="2222"/>
        <v>302.17031939949987</v>
      </c>
      <c r="J12088" s="422">
        <f t="shared" si="2219"/>
        <v>196.57142857142858</v>
      </c>
      <c r="K12088" s="297">
        <f>J12088/POBLA!$B$15*100000</f>
        <v>29.601589708628715</v>
      </c>
      <c r="L12088" s="200">
        <f t="shared" si="2220"/>
        <v>0.14001657000828494</v>
      </c>
      <c r="M12088" s="401">
        <f>SUM(C12088,C12064,C12040,C12016,C11992,C11968,C11944)/POBLA!$B$15*100000</f>
        <v>207.21112796040097</v>
      </c>
      <c r="N12088" s="42" t="s">
        <v>19</v>
      </c>
      <c r="O12088" s="42">
        <v>6</v>
      </c>
      <c r="P12088" s="42">
        <v>8</v>
      </c>
      <c r="Q12088" s="42">
        <v>1</v>
      </c>
      <c r="R12088" s="42">
        <v>15</v>
      </c>
    </row>
    <row r="12089" spans="1:18" x14ac:dyDescent="0.25">
      <c r="A12089" s="367" t="s">
        <v>18</v>
      </c>
      <c r="B12089" s="2">
        <v>44396</v>
      </c>
      <c r="C12089" s="4">
        <v>320</v>
      </c>
      <c r="D12089" s="39">
        <f t="shared" si="2217"/>
        <v>88607</v>
      </c>
      <c r="E12089" s="1">
        <v>4</v>
      </c>
      <c r="F12089" s="39">
        <f t="shared" si="2216"/>
        <v>2027</v>
      </c>
      <c r="G12089" s="168">
        <f>SUM(C12089,C12065,C12041,C12017,C11993,C11969,C11945,C11921,C11897,C11873,C11849,C11825,C11801,C11777)/POBLA!$B$16*100000</f>
        <v>448.09459477535074</v>
      </c>
      <c r="H12089" s="256">
        <f t="shared" si="2221"/>
        <v>0.96486175115207373</v>
      </c>
      <c r="I12089" s="297">
        <f t="shared" si="2222"/>
        <v>432.3493353967238</v>
      </c>
      <c r="J12089" s="422">
        <f t="shared" si="2219"/>
        <v>262.85714285714283</v>
      </c>
      <c r="K12089" s="297">
        <f>J12089/POBLA!$B$16*100000</f>
        <v>35.159661167873999</v>
      </c>
      <c r="L12089" s="200">
        <f t="shared" si="2220"/>
        <v>0.2185430463576159</v>
      </c>
      <c r="M12089" s="401">
        <f>SUM(C12089,C12065,C12041,C12017,C11993,C11969,C11945)/POBLA!$B$16*100000</f>
        <v>246.11762817511803</v>
      </c>
      <c r="N12089" s="42" t="s">
        <v>18</v>
      </c>
      <c r="O12089" s="42">
        <v>4</v>
      </c>
      <c r="P12089" s="42">
        <v>0</v>
      </c>
      <c r="Q12089" s="42">
        <v>0</v>
      </c>
      <c r="R12089" s="42">
        <v>4</v>
      </c>
    </row>
    <row r="12090" spans="1:18" x14ac:dyDescent="0.25">
      <c r="A12090" s="367" t="s">
        <v>34</v>
      </c>
      <c r="B12090" s="2">
        <v>44396</v>
      </c>
      <c r="C12090" s="4">
        <v>360</v>
      </c>
      <c r="D12090" s="39">
        <f>C12090+D12066</f>
        <v>70854</v>
      </c>
      <c r="E12090" s="1">
        <v>12</v>
      </c>
      <c r="F12090" s="39">
        <f t="shared" si="2216"/>
        <v>1956</v>
      </c>
      <c r="G12090" s="168">
        <f>SUM(C12090,C12066,C12042,C12018,C11994,C11970,C11946,C11922,C11898,C11874,C11850,C11826,C11802,C11778)/POBLA!$B$17*100000</f>
        <v>500.77330968823998</v>
      </c>
      <c r="H12090" s="256">
        <f t="shared" si="2221"/>
        <v>0.9702121871599565</v>
      </c>
      <c r="I12090" s="297">
        <f t="shared" si="2222"/>
        <v>485.85636806395752</v>
      </c>
      <c r="J12090" s="422">
        <f t="shared" si="2219"/>
        <v>547.71428571428567</v>
      </c>
      <c r="K12090" s="297">
        <f>J12090/POBLA!$B$17*100000</f>
        <v>38.452361645965674</v>
      </c>
      <c r="L12090" s="200">
        <f t="shared" si="2220"/>
        <v>0.16217035465292517</v>
      </c>
      <c r="M12090" s="401">
        <f>SUM(C12090,C12066,C12042,C12018,C11994,C11970,C11946)/POBLA!$B$17*100000</f>
        <v>269.16653152175974</v>
      </c>
      <c r="N12090" s="42" t="s">
        <v>34</v>
      </c>
      <c r="O12090" s="42">
        <v>4</v>
      </c>
      <c r="P12090" s="42">
        <v>8</v>
      </c>
      <c r="Q12090" s="42">
        <v>0</v>
      </c>
      <c r="R12090" s="42">
        <v>12</v>
      </c>
    </row>
    <row r="12091" spans="1:18" x14ac:dyDescent="0.25">
      <c r="A12091" s="367" t="s">
        <v>35</v>
      </c>
      <c r="B12091" s="2">
        <v>44396</v>
      </c>
      <c r="C12091" s="4">
        <v>223</v>
      </c>
      <c r="D12091" s="39">
        <f t="shared" ref="D12091:D12097" si="2223">C12091+D12067</f>
        <v>56908</v>
      </c>
      <c r="E12091" s="1">
        <v>7</v>
      </c>
      <c r="F12091" s="39">
        <f t="shared" si="2216"/>
        <v>901</v>
      </c>
      <c r="G12091" s="168">
        <f>SUM(C12091,C12067,C12043,C12019,C11995,C11971,C11947,C11923,C11899,C11875,C11851,C11827,C11803,C11779)/POBLA!$B$18*100000</f>
        <v>546.58308766962318</v>
      </c>
      <c r="H12091" s="256">
        <f t="shared" si="2221"/>
        <v>0.72446555819477432</v>
      </c>
      <c r="I12091" s="297">
        <f t="shared" si="2222"/>
        <v>395.98062170839682</v>
      </c>
      <c r="J12091" s="422">
        <f t="shared" si="2219"/>
        <v>326.28571428571428</v>
      </c>
      <c r="K12091" s="297">
        <f>J12091/POBLA!$B$18*100000</f>
        <v>41.766335638588799</v>
      </c>
      <c r="L12091" s="200">
        <f t="shared" si="2220"/>
        <v>0.15005035246727094</v>
      </c>
      <c r="M12091" s="401">
        <f>SUM(C12091,C12067,C12043,C12019,C11995,C11971,C11947)/POBLA!$B$18*100000</f>
        <v>292.36434947012162</v>
      </c>
      <c r="N12091" s="42" t="s">
        <v>35</v>
      </c>
      <c r="O12091" s="42">
        <v>4</v>
      </c>
      <c r="P12091" s="42">
        <v>3</v>
      </c>
      <c r="Q12091" s="42">
        <v>0</v>
      </c>
      <c r="R12091" s="42">
        <v>7</v>
      </c>
    </row>
    <row r="12092" spans="1:18" x14ac:dyDescent="0.25">
      <c r="A12092" s="367" t="s">
        <v>36</v>
      </c>
      <c r="B12092" s="2">
        <v>44396</v>
      </c>
      <c r="C12092" s="4">
        <v>227</v>
      </c>
      <c r="D12092" s="39">
        <f t="shared" si="2223"/>
        <v>71886</v>
      </c>
      <c r="E12092" s="1">
        <v>13</v>
      </c>
      <c r="F12092" s="39">
        <f t="shared" si="2216"/>
        <v>1176</v>
      </c>
      <c r="G12092" s="168">
        <f>SUM(C12092,C12068,C12044,C12020,C11996,C11972,C11948,C11924,C11900,C11876,C11852,C11828,C11804,C11780)/POBLA!$B$19*100000</f>
        <v>878.17314804614341</v>
      </c>
      <c r="H12092" s="256">
        <f t="shared" si="2221"/>
        <v>0.87684148497348258</v>
      </c>
      <c r="I12092" s="297">
        <f t="shared" si="2222"/>
        <v>770.0186471966183</v>
      </c>
      <c r="J12092" s="422">
        <f t="shared" si="2219"/>
        <v>300.57142857142856</v>
      </c>
      <c r="K12092" s="297">
        <f>J12092/POBLA!$B$19*100000</f>
        <v>59.129425994914413</v>
      </c>
      <c r="L12092" s="200">
        <f t="shared" si="2220"/>
        <v>-0.1084745762711864</v>
      </c>
      <c r="M12092" s="401">
        <f>SUM(C12092,C12068,C12044,C12020,C11996,C11972,C11948)/POBLA!$B$19*100000</f>
        <v>413.90598196440095</v>
      </c>
      <c r="N12092" s="42" t="s">
        <v>36</v>
      </c>
      <c r="O12092" s="42">
        <v>5</v>
      </c>
      <c r="P12092" s="42">
        <v>8</v>
      </c>
      <c r="Q12092" s="42">
        <v>0</v>
      </c>
      <c r="R12092" s="42">
        <v>13</v>
      </c>
    </row>
    <row r="12093" spans="1:18" x14ac:dyDescent="0.25">
      <c r="A12093" s="367" t="s">
        <v>37</v>
      </c>
      <c r="B12093" s="2">
        <v>44396</v>
      </c>
      <c r="C12093" s="4">
        <v>81</v>
      </c>
      <c r="D12093" s="39">
        <f t="shared" si="2223"/>
        <v>57156</v>
      </c>
      <c r="E12093" s="1">
        <v>2</v>
      </c>
      <c r="F12093" s="39">
        <f>E12093+F12069</f>
        <v>922</v>
      </c>
      <c r="G12093" s="168">
        <f>SUM(C12093,C12069,C12046,C12021,C11997,C11973,C11949,C11925,C11901,C11877,C11853,C11829,C11805,C11781)/POBLA!$B$20*100000</f>
        <v>643.70053978966257</v>
      </c>
      <c r="H12093" s="256">
        <f t="shared" si="2221"/>
        <v>0.72622846202935543</v>
      </c>
      <c r="I12093" s="297">
        <f t="shared" si="2222"/>
        <v>467.47365301891256</v>
      </c>
      <c r="J12093" s="422">
        <f t="shared" si="2219"/>
        <v>83.428571428571431</v>
      </c>
      <c r="K12093" s="297">
        <f>J12093/POBLA!$B$20*100000</f>
        <v>22.813515914380563</v>
      </c>
      <c r="L12093" s="200">
        <f t="shared" si="2220"/>
        <v>5.4151624548736566E-2</v>
      </c>
      <c r="M12093" s="401">
        <f>SUM(C12093,C12069,C12045,C12021,C11997,C11973,C11949)/POBLA!$B$20*100000</f>
        <v>159.69461140066394</v>
      </c>
      <c r="N12093" s="42" t="s">
        <v>37</v>
      </c>
      <c r="O12093" s="42">
        <v>1</v>
      </c>
      <c r="P12093" s="42">
        <v>1</v>
      </c>
      <c r="Q12093" s="42">
        <v>0</v>
      </c>
      <c r="R12093" s="42">
        <v>2</v>
      </c>
    </row>
    <row r="12094" spans="1:18" x14ac:dyDescent="0.25">
      <c r="A12094" s="367" t="s">
        <v>22</v>
      </c>
      <c r="B12094" s="2">
        <v>44396</v>
      </c>
      <c r="C12094" s="4">
        <v>1003</v>
      </c>
      <c r="D12094" s="39">
        <f t="shared" si="2223"/>
        <v>433054</v>
      </c>
      <c r="E12094" s="1">
        <v>60</v>
      </c>
      <c r="F12094" s="39">
        <f>E12094+F12070</f>
        <v>7364</v>
      </c>
      <c r="G12094" s="168">
        <f>SUM(C12094,C12070,C12046,C12022,C11998,C11974,C11950,C11926,C11902,C11878,C11854,C11830,C11806,C11782)/POBLA!$B$21*100000</f>
        <v>568.65449729076147</v>
      </c>
      <c r="H12094" s="256">
        <f t="shared" si="2221"/>
        <v>0.88376181059107883</v>
      </c>
      <c r="I12094" s="297">
        <f t="shared" si="2222"/>
        <v>502.55512812644309</v>
      </c>
      <c r="J12094" s="422">
        <f t="shared" si="2219"/>
        <v>1368.8571428571429</v>
      </c>
      <c r="K12094" s="297">
        <f>J12094/POBLA!$B$21*100000</f>
        <v>38.707447560134092</v>
      </c>
      <c r="L12094" s="200">
        <f t="shared" si="2220"/>
        <v>-8.9855623100303927E-2</v>
      </c>
      <c r="M12094" s="401">
        <f>SUM(C12094,C12070,C12046,C12022,C11998,C11974,C11950)/POBLA!$B$21*100000</f>
        <v>270.95213292093865</v>
      </c>
      <c r="N12094" s="42" t="s">
        <v>22</v>
      </c>
      <c r="O12094" s="42">
        <v>21</v>
      </c>
      <c r="P12094" s="42">
        <v>39</v>
      </c>
      <c r="Q12094" s="42">
        <v>0</v>
      </c>
      <c r="R12094" s="42">
        <v>60</v>
      </c>
    </row>
    <row r="12095" spans="1:18" x14ac:dyDescent="0.25">
      <c r="A12095" s="367" t="s">
        <v>38</v>
      </c>
      <c r="B12095" s="2">
        <v>44396</v>
      </c>
      <c r="C12095" s="4">
        <v>256</v>
      </c>
      <c r="D12095" s="39">
        <f t="shared" si="2223"/>
        <v>69340</v>
      </c>
      <c r="E12095" s="1">
        <v>10</v>
      </c>
      <c r="F12095" s="39">
        <f>E12095+F12071</f>
        <v>963</v>
      </c>
      <c r="G12095" s="168">
        <f>SUM(C12095,C12071,C12047,C12023,C11999,C11975,C11951,C11927,C11903,C11879,C11855,C11831,C11807,C11783)/POBLA!$B$22*100000</f>
        <v>735.75634791728214</v>
      </c>
      <c r="H12095" s="256">
        <f t="shared" si="2221"/>
        <v>0.98643278059476502</v>
      </c>
      <c r="I12095" s="297">
        <f t="shared" si="2222"/>
        <v>725.77418011629402</v>
      </c>
      <c r="J12095" s="422">
        <f t="shared" si="2219"/>
        <v>483.42857142857144</v>
      </c>
      <c r="K12095" s="297">
        <f>J12095/POBLA!$B$22*100000</f>
        <v>49.414509612830606</v>
      </c>
      <c r="L12095" s="200">
        <f t="shared" si="2220"/>
        <v>-0.11274252753015213</v>
      </c>
      <c r="M12095" s="401">
        <f>SUM(C12095,C12071,C12047,C12023,C11999,C11975,C11951)/POBLA!$B$22*100000</f>
        <v>345.90156728981418</v>
      </c>
      <c r="N12095" s="42" t="s">
        <v>38</v>
      </c>
      <c r="O12095" s="42">
        <v>7</v>
      </c>
      <c r="P12095" s="42">
        <v>3</v>
      </c>
      <c r="Q12095" s="42">
        <v>0</v>
      </c>
      <c r="R12095" s="42">
        <v>10</v>
      </c>
    </row>
    <row r="12096" spans="1:18" x14ac:dyDescent="0.25">
      <c r="A12096" s="367" t="s">
        <v>39</v>
      </c>
      <c r="B12096" s="2">
        <v>44396</v>
      </c>
      <c r="C12096" s="4">
        <v>50</v>
      </c>
      <c r="D12096" s="39">
        <f t="shared" si="2223"/>
        <v>30603</v>
      </c>
      <c r="F12096" s="39">
        <f>E12096+F12072</f>
        <v>462</v>
      </c>
      <c r="G12096" s="168">
        <f>SUM(C12096,C12072,C12048,C12024,C12000,C11976,C11952,C11928,C11904,C11880,C11856,C11832,C11808,C11784)/POBLA!$B$23*100000</f>
        <v>344.39857490244867</v>
      </c>
      <c r="H12096" s="256">
        <f t="shared" si="2221"/>
        <v>0.9269406392694064</v>
      </c>
      <c r="I12096" s="297">
        <f t="shared" si="2222"/>
        <v>319.2370351835483</v>
      </c>
      <c r="J12096" s="422">
        <f t="shared" si="2219"/>
        <v>48.714285714285715</v>
      </c>
      <c r="K12096" s="297">
        <f>J12096/POBLA!$B$23*100000</f>
        <v>27.548654478474077</v>
      </c>
      <c r="L12096" s="200">
        <f t="shared" si="2220"/>
        <v>0.27238805970149249</v>
      </c>
      <c r="M12096" s="401">
        <f>SUM(C12096,C12072,C12048,C12024,C12000,C11976,C11952)/POBLA!$B$23*100000</f>
        <v>192.84058134931857</v>
      </c>
    </row>
    <row r="12097" spans="1:18" ht="15.75" thickBot="1" x14ac:dyDescent="0.3">
      <c r="A12097" s="369" t="s">
        <v>40</v>
      </c>
      <c r="B12097" s="2">
        <v>44396</v>
      </c>
      <c r="C12097" s="357">
        <v>1448</v>
      </c>
      <c r="D12097" s="176">
        <f t="shared" si="2223"/>
        <v>172803</v>
      </c>
      <c r="E12097" s="44">
        <v>22</v>
      </c>
      <c r="F12097" s="176">
        <f>E12097+F12073</f>
        <v>2470</v>
      </c>
      <c r="G12097" s="177">
        <f>SUM(C12097,C12073,C12049,C12025,C12001,C11977,C11953,C11929,C11905,C11881,C11857,C11833,C11809,C11785)/POBLA!$B$24*100000</f>
        <v>601.83305638430454</v>
      </c>
      <c r="H12097" s="402">
        <f t="shared" si="2221"/>
        <v>0.61632825719120132</v>
      </c>
      <c r="I12097" s="403">
        <f t="shared" si="2222"/>
        <v>370.92671876139241</v>
      </c>
      <c r="J12097" s="423">
        <f t="shared" si="2219"/>
        <v>733.42857142857144</v>
      </c>
      <c r="K12097" s="403">
        <f>J12097/POBLA!$B$24*100000</f>
        <v>43.278905655694807</v>
      </c>
      <c r="L12097" s="404">
        <f t="shared" si="2220"/>
        <v>1.3622902270483683E-2</v>
      </c>
      <c r="M12097" s="405">
        <f>SUM(C12097,C12073,C12049,C12025,C12001,C11977,C11953)/POBLA!$B$24*100000</f>
        <v>302.95233958986364</v>
      </c>
      <c r="N12097" s="42" t="s">
        <v>40</v>
      </c>
      <c r="O12097" s="42">
        <v>11</v>
      </c>
      <c r="P12097" s="42">
        <v>11</v>
      </c>
      <c r="Q12097" s="42">
        <v>0</v>
      </c>
      <c r="R12097" s="42">
        <v>22</v>
      </c>
    </row>
    <row r="12098" spans="1:18" x14ac:dyDescent="0.25">
      <c r="A12098" s="363" t="s">
        <v>16</v>
      </c>
      <c r="B12098" s="265">
        <v>44397</v>
      </c>
      <c r="C12098" s="356">
        <v>4737</v>
      </c>
      <c r="D12098" s="174">
        <f>C12098+D12074</f>
        <v>1935879</v>
      </c>
      <c r="E12098" s="43">
        <v>133</v>
      </c>
      <c r="F12098" s="174">
        <f t="shared" ref="F12098:F12116" si="2224">E12098+F12074</f>
        <v>50897</v>
      </c>
      <c r="G12098" s="175">
        <f>SUM(C12098,C12074,C12026,C12050,C12002,C11978,C11954,C11930,C11906,C11882,C11858,C11834,C11810,C11786)/POBLA!$B$1*100000</f>
        <v>346.40277961393735</v>
      </c>
      <c r="H12098" s="300">
        <f t="shared" si="2221"/>
        <v>0.68569655250239803</v>
      </c>
      <c r="I12098" s="301">
        <f>G12098*H12098</f>
        <v>237.52719175852482</v>
      </c>
      <c r="J12098" s="421">
        <f>AVERAGE(C12098,C12074,C12050,C12026,C12002,C11978,C11954)</f>
        <v>4155.2857142857147</v>
      </c>
      <c r="K12098" s="301">
        <f>J12098/POBLA!$B$1*100000</f>
        <v>23.688799458859116</v>
      </c>
      <c r="L12098" s="399">
        <f>(SUM(C12098,C12074,C12050,C12026,C12002,C11978,C11954)/SUM(C11930,C11906,C11882,C11858,C11834,C11810,C11786))-1</f>
        <v>-8.1733804773329921E-2</v>
      </c>
      <c r="M12098" s="400">
        <f>SUM(C12098,C12074,C12050,C12026,C12002,C11978,C11954)/POBLA!$B$1*100000</f>
        <v>165.82159621201382</v>
      </c>
      <c r="N12098" t="s">
        <v>319</v>
      </c>
      <c r="O12098" s="42">
        <v>59</v>
      </c>
      <c r="P12098" s="42">
        <v>72</v>
      </c>
      <c r="Q12098" s="42">
        <v>2</v>
      </c>
      <c r="R12098" s="42">
        <v>133</v>
      </c>
    </row>
    <row r="12099" spans="1:18" x14ac:dyDescent="0.25">
      <c r="A12099" s="367" t="s">
        <v>43</v>
      </c>
      <c r="B12099" s="2">
        <v>44397</v>
      </c>
      <c r="C12099" s="4">
        <v>862</v>
      </c>
      <c r="D12099" s="39">
        <f t="shared" ref="D12099:D12113" si="2225">C12099+D12075</f>
        <v>483475</v>
      </c>
      <c r="E12099" s="1">
        <v>27</v>
      </c>
      <c r="F12099" s="39">
        <f t="shared" si="2224"/>
        <v>10747</v>
      </c>
      <c r="G12099" s="168">
        <f>SUM(C12099,C12075,C12051,C12027,C12003,C11979,C11955,C11931,C11907,C11883,C11859,C11835,C11811,C11787)/POBLA!$B$2*100000</f>
        <v>421.63499960658675</v>
      </c>
      <c r="H12099" s="256">
        <f t="shared" si="2221"/>
        <v>0.7438765559570929</v>
      </c>
      <c r="I12099" s="297">
        <f t="shared" ref="I12099:I12105" si="2226">G12099*H12099</f>
        <v>313.64439137831795</v>
      </c>
      <c r="J12099" s="422">
        <f>AVERAGE(C12099,C12075,C12051,C12027,C12003,C11979,C11955)</f>
        <v>888.85714285714289</v>
      </c>
      <c r="K12099" s="297">
        <f>J12099/POBLA!$B$2*100000</f>
        <v>28.899852026440719</v>
      </c>
      <c r="L12099" s="200">
        <f>(SUM(C12099,C12075,C12051,C12027,C12003,C11979,C11955)/SUM(C11931,C11907,C11883,C11859,C11835,C11811,C11787))-1</f>
        <v>-7.7675659650163098E-2</v>
      </c>
      <c r="M12099" s="401">
        <f>SUM(C12099,C12075,C12051,C12027,C12003,C11979,C11955)/POBLA!$B$2*100000</f>
        <v>202.298964185085</v>
      </c>
      <c r="N12099" t="s">
        <v>43</v>
      </c>
      <c r="O12099" s="42">
        <v>10</v>
      </c>
      <c r="P12099" s="42">
        <v>17</v>
      </c>
      <c r="Q12099" s="42">
        <v>0</v>
      </c>
      <c r="R12099" s="42">
        <v>27</v>
      </c>
    </row>
    <row r="12100" spans="1:18" x14ac:dyDescent="0.25">
      <c r="A12100" s="367" t="s">
        <v>28</v>
      </c>
      <c r="B12100" s="2">
        <v>44397</v>
      </c>
      <c r="C12100" s="4">
        <v>245</v>
      </c>
      <c r="D12100" s="39">
        <f t="shared" si="2225"/>
        <v>39458</v>
      </c>
      <c r="E12100" s="1">
        <v>17</v>
      </c>
      <c r="F12100" s="39">
        <f t="shared" si="2224"/>
        <v>417</v>
      </c>
      <c r="G12100" s="168">
        <f>SUM(C12100,C12076,C12052,C12028,C12004,C11980,C11956,C11932,C11908,C11884,C11860,C11836,C11812,C11788)/POBLA!$B$3*100000</f>
        <v>851.87200015405426</v>
      </c>
      <c r="H12100" s="256">
        <f t="shared" si="2221"/>
        <v>0.81021062271062272</v>
      </c>
      <c r="I12100" s="297">
        <f t="shared" si="2226"/>
        <v>690.19574371455997</v>
      </c>
      <c r="J12100" s="422">
        <f t="shared" ref="J12100:J12121" si="2227">AVERAGE(C12100,C12076,C12052,C12028,C12004,C11980,C11956)</f>
        <v>252.85714285714286</v>
      </c>
      <c r="K12100" s="297">
        <f>J12100/POBLA!$B$3*100000</f>
        <v>60.865193568509099</v>
      </c>
      <c r="L12100" s="200">
        <f t="shared" ref="L12100:L12121" si="2228">(SUM(C12100,C12076,C12052,C12028,C12004,C11980,C11956)/SUM(C11932,C11908,C11884,C11860,C11836,C11812,C11788))-1</f>
        <v>5.6529112492942346E-4</v>
      </c>
      <c r="M12100" s="401">
        <f>SUM(C12100,C12076,C12052,C12028,C12004,C11980,C11956)/POBLA!$B$3*100000</f>
        <v>426.05635497956371</v>
      </c>
      <c r="N12100" t="s">
        <v>28</v>
      </c>
      <c r="O12100" s="42">
        <v>8</v>
      </c>
      <c r="P12100" s="42">
        <v>9</v>
      </c>
      <c r="Q12100" s="42">
        <v>0</v>
      </c>
      <c r="R12100" s="42">
        <v>17</v>
      </c>
    </row>
    <row r="12101" spans="1:18" x14ac:dyDescent="0.25">
      <c r="A12101" s="367" t="s">
        <v>15</v>
      </c>
      <c r="B12101" s="2">
        <v>44397</v>
      </c>
      <c r="C12101" s="4">
        <v>368</v>
      </c>
      <c r="D12101" s="39">
        <f t="shared" si="2225"/>
        <v>86780</v>
      </c>
      <c r="E12101" s="1">
        <v>11</v>
      </c>
      <c r="F12101" s="39">
        <f t="shared" si="2224"/>
        <v>1907</v>
      </c>
      <c r="G12101" s="168">
        <f>SUM(C12101,C12077,C12053,C12029,C12005,C11981,C11957,C11933,C11909,C11885,C11861,C11837,C11813,C11789)/POBLA!$B$4*100000</f>
        <v>549.75297644496948</v>
      </c>
      <c r="H12101" s="256">
        <f t="shared" si="2221"/>
        <v>0.858550499157267</v>
      </c>
      <c r="I12101" s="297">
        <f t="shared" si="2226"/>
        <v>471.99069234002178</v>
      </c>
      <c r="J12101" s="422">
        <f t="shared" si="2227"/>
        <v>409</v>
      </c>
      <c r="K12101" s="297">
        <f>J12101/POBLA!$B$4*100000</f>
        <v>33.954842549983766</v>
      </c>
      <c r="L12101" s="200">
        <f t="shared" si="2228"/>
        <v>-0.23836126629422716</v>
      </c>
      <c r="M12101" s="401">
        <f>SUM(C12101,C12077,C12053,C12029,C12005,C11981,C11957)/POBLA!$B$4*100000</f>
        <v>237.68389784988639</v>
      </c>
      <c r="N12101" t="s">
        <v>15</v>
      </c>
      <c r="O12101" s="42">
        <v>5</v>
      </c>
      <c r="P12101" s="42">
        <v>6</v>
      </c>
      <c r="Q12101" s="42">
        <v>0</v>
      </c>
      <c r="R12101" s="42">
        <v>11</v>
      </c>
    </row>
    <row r="12102" spans="1:18" x14ac:dyDescent="0.25">
      <c r="A12102" s="367" t="s">
        <v>29</v>
      </c>
      <c r="B12102" s="2">
        <v>44397</v>
      </c>
      <c r="C12102" s="4">
        <v>160</v>
      </c>
      <c r="D12102" s="39">
        <f t="shared" si="2225"/>
        <v>74205</v>
      </c>
      <c r="E12102" s="1">
        <v>2</v>
      </c>
      <c r="F12102" s="39">
        <f t="shared" si="2224"/>
        <v>1282</v>
      </c>
      <c r="G12102" s="168">
        <f>SUM(C12102,C12078,C12054,C12030,C12006,C11982,C11958,C11934,C11910,C11886,C11862,C11838,C11814,C11790)/POBLA!$B$5*100000</f>
        <v>376.25566645234039</v>
      </c>
      <c r="H12102" s="256">
        <f t="shared" si="2221"/>
        <v>0.76890062726972597</v>
      </c>
      <c r="I12102" s="297">
        <f t="shared" si="2226"/>
        <v>289.30321794899334</v>
      </c>
      <c r="J12102" s="422">
        <f t="shared" si="2227"/>
        <v>166.71428571428572</v>
      </c>
      <c r="K12102" s="297">
        <f>J12102/POBLA!$B$5*100000</f>
        <v>26.933102051762329</v>
      </c>
      <c r="L12102" s="200">
        <f t="shared" si="2228"/>
        <v>4.3029259896729677E-3</v>
      </c>
      <c r="M12102" s="401">
        <f>SUM(C12102,C12078,C12054,C12030,C12006,C11982,C11958)/POBLA!$B$5*100000</f>
        <v>188.53171436233632</v>
      </c>
      <c r="N12102" t="s">
        <v>29</v>
      </c>
      <c r="O12102" s="42">
        <v>0</v>
      </c>
      <c r="P12102" s="42">
        <v>2</v>
      </c>
      <c r="Q12102" s="42">
        <v>0</v>
      </c>
      <c r="R12102" s="42">
        <v>2</v>
      </c>
    </row>
    <row r="12103" spans="1:18" x14ac:dyDescent="0.25">
      <c r="A12103" s="367" t="s">
        <v>30</v>
      </c>
      <c r="B12103" s="2">
        <v>44397</v>
      </c>
      <c r="C12103" s="4">
        <v>636</v>
      </c>
      <c r="D12103" s="39">
        <f t="shared" si="2225"/>
        <v>443656</v>
      </c>
      <c r="E12103" s="1">
        <v>11</v>
      </c>
      <c r="F12103" s="39">
        <f t="shared" si="2224"/>
        <v>5815</v>
      </c>
      <c r="G12103" s="168">
        <f>SUM(C12103,C12079,C12055,C12031,C12007,C11983,C11959,C11935,C11911,C11887,C11863,C11839,C11815,C11791)/POBLA!$B$6*100000</f>
        <v>583.86814430037089</v>
      </c>
      <c r="H12103" s="256">
        <f t="shared" si="2221"/>
        <v>0.9133286810886253</v>
      </c>
      <c r="I12103" s="297">
        <f t="shared" si="2226"/>
        <v>533.26352216352086</v>
      </c>
      <c r="J12103" s="422">
        <f t="shared" si="2227"/>
        <v>531.14285714285711</v>
      </c>
      <c r="K12103" s="297">
        <f>J12103/POBLA!$B$6*100000</f>
        <v>47.389577377505653</v>
      </c>
      <c r="L12103" s="200">
        <f t="shared" si="2228"/>
        <v>0.31564048124557686</v>
      </c>
      <c r="M12103" s="401">
        <f>SUM(C12103,C12079,C12055,C12031,C12007,C11983,C11959)/POBLA!$B$6*100000</f>
        <v>331.72704164253958</v>
      </c>
      <c r="N12103" s="42" t="s">
        <v>30</v>
      </c>
      <c r="O12103" s="42">
        <v>4</v>
      </c>
      <c r="P12103" s="42">
        <v>7</v>
      </c>
      <c r="Q12103" s="42">
        <v>0</v>
      </c>
      <c r="R12103" s="42">
        <v>11</v>
      </c>
    </row>
    <row r="12104" spans="1:18" x14ac:dyDescent="0.25">
      <c r="A12104" s="367" t="s">
        <v>20</v>
      </c>
      <c r="B12104" s="2">
        <v>44397</v>
      </c>
      <c r="C12104" s="4">
        <v>1345</v>
      </c>
      <c r="D12104" s="39">
        <f t="shared" si="2225"/>
        <v>79610</v>
      </c>
      <c r="E12104" s="1">
        <v>34</v>
      </c>
      <c r="F12104" s="39">
        <f t="shared" si="2224"/>
        <v>943</v>
      </c>
      <c r="G12104" s="168">
        <f>SUM(C12104,C12080,C12056,C12032,C12008,C11984,C11960,C11936,C11912,C11888,C11864,C11840,C11816,C11792)/POBLA!$B$7*100000</f>
        <v>652.04962172080468</v>
      </c>
      <c r="H12104" s="256">
        <f t="shared" si="2221"/>
        <v>0.71988491236311325</v>
      </c>
      <c r="I12104" s="297">
        <f t="shared" si="2226"/>
        <v>469.40068478888264</v>
      </c>
      <c r="J12104" s="422">
        <f t="shared" si="2227"/>
        <v>1533.5714285714287</v>
      </c>
      <c r="K12104" s="297">
        <f>J12104/POBLA!$B$7*100000</f>
        <v>40.781593388329284</v>
      </c>
      <c r="L12104" s="200">
        <f t="shared" si="2228"/>
        <v>-0.22125498730504167</v>
      </c>
      <c r="M12104" s="401">
        <f>SUM(C12104,C12080,C12056,C12032,C12008,C11984,C11960)/POBLA!$B$7*100000</f>
        <v>285.471153718305</v>
      </c>
      <c r="N12104" s="42" t="s">
        <v>20</v>
      </c>
      <c r="O12104" s="42">
        <v>19</v>
      </c>
      <c r="P12104" s="42">
        <v>15</v>
      </c>
      <c r="Q12104" s="42">
        <v>0</v>
      </c>
      <c r="R12104" s="42">
        <v>34</v>
      </c>
    </row>
    <row r="12105" spans="1:18" x14ac:dyDescent="0.25">
      <c r="A12105" s="367" t="s">
        <v>31</v>
      </c>
      <c r="B12105" s="2">
        <v>44397</v>
      </c>
      <c r="C12105" s="4">
        <v>706</v>
      </c>
      <c r="D12105" s="39">
        <f t="shared" si="2225"/>
        <v>123212</v>
      </c>
      <c r="E12105" s="1">
        <v>6</v>
      </c>
      <c r="F12105" s="39">
        <f t="shared" si="2224"/>
        <v>2042</v>
      </c>
      <c r="G12105" s="168">
        <f>SUM(C12105,C12081,C12057,C12033,C12009,C11985,C11961,C11937,C11913,C11889,C11865,C11841,C11817,C11793)/POBLA!$B$8*100000</f>
        <v>628.01189932472846</v>
      </c>
      <c r="H12105" s="256">
        <f t="shared" ref="H12105:H12128" si="2229">SUM(C12105,C12081,C12057,C12033,C12009,C11985,C11961,C11937,C11913,C11889,C11865,C11841,C11817,C11793,)/SUM(C11769,C11745,C11721,C11697,C11673,C11649,C11625,C11601,C11577,C11553,C11529,C11505,C11481,C11457)</f>
        <v>0.82674772036474165</v>
      </c>
      <c r="I12105" s="297">
        <f t="shared" si="2226"/>
        <v>519.20740612865086</v>
      </c>
      <c r="J12105" s="422">
        <f t="shared" si="2227"/>
        <v>608.57142857142856</v>
      </c>
      <c r="K12105" s="297">
        <f>J12105/POBLA!$B$8*100000</f>
        <v>43.909708034456131</v>
      </c>
      <c r="L12105" s="200">
        <f t="shared" si="2228"/>
        <v>-4.140414041404139E-2</v>
      </c>
      <c r="M12105" s="401">
        <f>SUM(C12105,C12081,C12057,C12033,C12009,C11985,C11961)/POBLA!$B$8*100000</f>
        <v>307.36795624119293</v>
      </c>
      <c r="N12105" s="42" t="s">
        <v>31</v>
      </c>
      <c r="O12105" s="42">
        <v>3</v>
      </c>
      <c r="P12105" s="42">
        <v>3</v>
      </c>
      <c r="Q12105" s="42">
        <v>0</v>
      </c>
      <c r="R12105" s="42">
        <v>6</v>
      </c>
    </row>
    <row r="12106" spans="1:18" x14ac:dyDescent="0.25">
      <c r="A12106" s="367" t="s">
        <v>41</v>
      </c>
      <c r="B12106" s="2">
        <v>44397</v>
      </c>
      <c r="C12106" s="4">
        <v>292</v>
      </c>
      <c r="D12106" s="39">
        <f t="shared" si="2225"/>
        <v>53298</v>
      </c>
      <c r="E12106" s="1">
        <v>7</v>
      </c>
      <c r="F12106" s="39">
        <f t="shared" si="2224"/>
        <v>953</v>
      </c>
      <c r="G12106" s="168">
        <f>SUM(C12106,C12082,C12058,C12034,C12010,C11986,C11962,C11938,C11914,C11890,C11866,C11842,C11818,C11794)/POBLA!$B$9*100000</f>
        <v>892.44257616991604</v>
      </c>
      <c r="H12106" s="256">
        <f t="shared" si="2229"/>
        <v>0.96394788506157414</v>
      </c>
      <c r="I12106" s="297">
        <f>G12106*H12106</f>
        <v>860.2681338378934</v>
      </c>
      <c r="J12106" s="422">
        <f t="shared" si="2227"/>
        <v>329.85714285714283</v>
      </c>
      <c r="K12106" s="297">
        <f>J12106/POBLA!$B$9*100000</f>
        <v>54.504454423158045</v>
      </c>
      <c r="L12106" s="200">
        <f t="shared" si="2228"/>
        <v>-0.25323415265200522</v>
      </c>
      <c r="M12106" s="401">
        <f>SUM(C12106,C12082,C12058,C12034,C12010,C11986,C11962)/POBLA!$B$9*100000</f>
        <v>381.5311809621063</v>
      </c>
      <c r="N12106" s="42" t="s">
        <v>41</v>
      </c>
      <c r="O12106" s="42">
        <v>3</v>
      </c>
      <c r="P12106" s="42">
        <v>4</v>
      </c>
      <c r="Q12106" s="42">
        <v>0</v>
      </c>
      <c r="R12106" s="42">
        <v>7</v>
      </c>
    </row>
    <row r="12107" spans="1:18" x14ac:dyDescent="0.25">
      <c r="A12107" s="367" t="s">
        <v>32</v>
      </c>
      <c r="B12107" s="2">
        <v>44397</v>
      </c>
      <c r="C12107" s="4">
        <v>237</v>
      </c>
      <c r="D12107" s="39">
        <f t="shared" si="2225"/>
        <v>41305</v>
      </c>
      <c r="E12107" s="1">
        <v>1</v>
      </c>
      <c r="F12107" s="39">
        <f t="shared" si="2224"/>
        <v>1267</v>
      </c>
      <c r="G12107" s="168">
        <f>SUM(C12107,C12083,C12059,C12035,C12011,C11987,C11963,C11939,C11915,C11891,C11867,C11843,C11819,C11795)/POBLA!$B$10*100000</f>
        <v>493.07221218320336</v>
      </c>
      <c r="H12107" s="256">
        <f t="shared" si="2229"/>
        <v>0.96791443850267378</v>
      </c>
      <c r="I12107" s="297">
        <f t="shared" ref="I12107:I12121" si="2230">G12107*H12107</f>
        <v>477.25171339657652</v>
      </c>
      <c r="J12107" s="422">
        <f t="shared" si="2227"/>
        <v>260</v>
      </c>
      <c r="K12107" s="297">
        <f>J12107/POBLA!$B$10*100000</f>
        <v>33.727644085144142</v>
      </c>
      <c r="L12107" s="200">
        <f t="shared" si="2228"/>
        <v>-8.1272084805653733E-2</v>
      </c>
      <c r="M12107" s="401">
        <f>SUM(C12107,C12083,C12059,C12035,C12011,C11987,C11963)/POBLA!$B$10*100000</f>
        <v>236.093508596009</v>
      </c>
      <c r="N12107" s="42" t="s">
        <v>32</v>
      </c>
      <c r="O12107" s="42">
        <v>1</v>
      </c>
      <c r="P12107" s="42">
        <v>0</v>
      </c>
      <c r="Q12107" s="42">
        <v>0</v>
      </c>
      <c r="R12107" s="42">
        <v>1</v>
      </c>
    </row>
    <row r="12108" spans="1:18" x14ac:dyDescent="0.25">
      <c r="A12108" s="367" t="s">
        <v>33</v>
      </c>
      <c r="B12108" s="2">
        <v>44397</v>
      </c>
      <c r="C12108" s="4">
        <v>301</v>
      </c>
      <c r="D12108" s="39">
        <f t="shared" si="2225"/>
        <v>58377</v>
      </c>
      <c r="E12108" s="1">
        <v>1</v>
      </c>
      <c r="F12108" s="39">
        <f t="shared" si="2224"/>
        <v>803</v>
      </c>
      <c r="G12108" s="168">
        <f>SUM(C12108,C12084,C12060,C12036,C12012,C11988,C11964,C11940,C11916,C11892,C11868,C11844,C11820,C11796)/POBLA!$B$11*100000</f>
        <v>1042.887274431685</v>
      </c>
      <c r="H12108" s="256">
        <f t="shared" si="2229"/>
        <v>0.74432497013142174</v>
      </c>
      <c r="I12108" s="297">
        <f t="shared" si="2230"/>
        <v>776.24703939180381</v>
      </c>
      <c r="J12108" s="422">
        <f t="shared" si="2227"/>
        <v>278.85714285714283</v>
      </c>
      <c r="K12108" s="297">
        <f>J12108/POBLA!$B$11*100000</f>
        <v>77.800044320517046</v>
      </c>
      <c r="L12108" s="200">
        <f t="shared" si="2228"/>
        <v>9.2945128779395203E-2</v>
      </c>
      <c r="M12108" s="401">
        <f>SUM(C12108,C12084,C12060,C12036,C12012,C11988,C11964)/POBLA!$B$11*100000</f>
        <v>544.60031024361933</v>
      </c>
      <c r="N12108" s="42" t="s">
        <v>33</v>
      </c>
      <c r="O12108" s="42">
        <v>0</v>
      </c>
      <c r="P12108" s="42">
        <v>1</v>
      </c>
      <c r="Q12108" s="42">
        <v>0</v>
      </c>
      <c r="R12108" s="42">
        <v>1</v>
      </c>
    </row>
    <row r="12109" spans="1:18" x14ac:dyDescent="0.25">
      <c r="A12109" s="367" t="s">
        <v>21</v>
      </c>
      <c r="B12109" s="2">
        <v>44397</v>
      </c>
      <c r="C12109" s="4">
        <v>123</v>
      </c>
      <c r="D12109" s="39">
        <f t="shared" si="2225"/>
        <v>25989</v>
      </c>
      <c r="F12109" s="39">
        <f t="shared" si="2224"/>
        <v>761</v>
      </c>
      <c r="G12109" s="168">
        <f>SUM(C12109,C12085,C12061,C12037,C12013,C11989,C11965,C11941,C11917,C11893,C11869,C11845,C11821,C11797)/POBLA!$B$12*100000</f>
        <v>687.11232406087447</v>
      </c>
      <c r="H12109" s="256">
        <f t="shared" si="2229"/>
        <v>1.0772908366533864</v>
      </c>
      <c r="I12109" s="297">
        <f t="shared" si="2230"/>
        <v>740.21981046239227</v>
      </c>
      <c r="J12109" s="422">
        <f t="shared" si="2227"/>
        <v>195.14285714285714</v>
      </c>
      <c r="K12109" s="297">
        <f>J12109/POBLA!$B$12*100000</f>
        <v>49.587670893235135</v>
      </c>
      <c r="L12109" s="200">
        <f t="shared" si="2228"/>
        <v>2.0926756352765308E-2</v>
      </c>
      <c r="M12109" s="401">
        <f>SUM(C12109,C12085,C12061,C12037,C12013,C11989,C11965)/POBLA!$B$12*100000</f>
        <v>347.11369625264592</v>
      </c>
    </row>
    <row r="12110" spans="1:18" x14ac:dyDescent="0.25">
      <c r="A12110" s="367" t="s">
        <v>17</v>
      </c>
      <c r="B12110" s="2">
        <v>44397</v>
      </c>
      <c r="C12110" s="4">
        <v>464</v>
      </c>
      <c r="D12110" s="39">
        <f t="shared" si="2225"/>
        <v>149331</v>
      </c>
      <c r="E12110" s="1">
        <v>22</v>
      </c>
      <c r="F12110" s="39">
        <f t="shared" si="2224"/>
        <v>3701</v>
      </c>
      <c r="G12110" s="168">
        <f>SUM(C12110,C12086,C12062,C12038,C12014,C11990,C11966,C11942,C11918,C11894,C11870,C11846,C11822,C11798)/POBLA!$B$13*100000</f>
        <v>311.75609368860967</v>
      </c>
      <c r="H12110" s="256">
        <f t="shared" si="2229"/>
        <v>0.75294260405290625</v>
      </c>
      <c r="I12110" s="297">
        <f t="shared" si="2230"/>
        <v>234.73444501126357</v>
      </c>
      <c r="J12110" s="422">
        <f t="shared" si="2227"/>
        <v>459.57142857142856</v>
      </c>
      <c r="K12110" s="297">
        <f>J12110/POBLA!$B$13*100000</f>
        <v>23.090119797312241</v>
      </c>
      <c r="L12110" s="200">
        <f t="shared" si="2228"/>
        <v>7.6639892904953211E-2</v>
      </c>
      <c r="M12110" s="401">
        <f>SUM(C12110,C12086,C12062,C12038,C12014,C11990,C11966)/POBLA!$B$13*100000</f>
        <v>161.63083858118571</v>
      </c>
      <c r="N12110" s="42" t="s">
        <v>17</v>
      </c>
      <c r="O12110" s="42">
        <v>5</v>
      </c>
      <c r="P12110" s="42">
        <v>17</v>
      </c>
      <c r="Q12110" s="42">
        <v>0</v>
      </c>
      <c r="R12110" s="42">
        <v>22</v>
      </c>
    </row>
    <row r="12111" spans="1:18" x14ac:dyDescent="0.25">
      <c r="A12111" s="367" t="s">
        <v>23</v>
      </c>
      <c r="B12111" s="2">
        <v>44397</v>
      </c>
      <c r="C12111" s="4">
        <v>166</v>
      </c>
      <c r="D12111" s="39">
        <f t="shared" si="2225"/>
        <v>28965</v>
      </c>
      <c r="E12111" s="1">
        <v>9</v>
      </c>
      <c r="F12111" s="39">
        <f t="shared" si="2224"/>
        <v>500</v>
      </c>
      <c r="G12111" s="168">
        <f>SUM(C12111,C12087,C12063,C12039,C12015,C11991,C11967,C11943,C11919,C11895,C11871,C11847,C11823,C11799)/POBLA!$B$14*100000</f>
        <v>181.71814025913071</v>
      </c>
      <c r="H12111" s="256">
        <f t="shared" si="2229"/>
        <v>0.90664556962025311</v>
      </c>
      <c r="I12111" s="297">
        <f t="shared" si="2230"/>
        <v>164.75394678557259</v>
      </c>
      <c r="J12111" s="422">
        <f t="shared" si="2227"/>
        <v>175.57142857142858</v>
      </c>
      <c r="K12111" s="297">
        <f>J12111/POBLA!$B$14*100000</f>
        <v>13.919944800453232</v>
      </c>
      <c r="L12111" s="200">
        <f t="shared" si="2228"/>
        <v>0.15616180620884279</v>
      </c>
      <c r="M12111" s="401">
        <f>SUM(C12111,C12087,C12063,C12039,C12015,C11991,C11967)/POBLA!$B$14*100000</f>
        <v>97.439613603172617</v>
      </c>
      <c r="N12111" s="42" t="s">
        <v>23</v>
      </c>
      <c r="O12111" s="42">
        <v>5</v>
      </c>
      <c r="P12111" s="42">
        <v>4</v>
      </c>
      <c r="Q12111" s="42">
        <v>0</v>
      </c>
      <c r="R12111" s="42">
        <v>9</v>
      </c>
    </row>
    <row r="12112" spans="1:18" x14ac:dyDescent="0.25">
      <c r="A12112" s="367" t="s">
        <v>19</v>
      </c>
      <c r="B12112" s="2">
        <v>44397</v>
      </c>
      <c r="C12112" s="4">
        <v>208</v>
      </c>
      <c r="D12112" s="39">
        <f t="shared" si="2225"/>
        <v>105240</v>
      </c>
      <c r="E12112" s="1">
        <v>20</v>
      </c>
      <c r="F12112" s="39">
        <f t="shared" si="2224"/>
        <v>1988</v>
      </c>
      <c r="G12112" s="168">
        <f>SUM(C12112,C12088,C12064,C12040,C12016,C11992,C11968,C11944,C11920,C11896,C11872,C11848,C11824,C11800)/POBLA!$B$15*100000</f>
        <v>384.00318044987102</v>
      </c>
      <c r="H12112" s="256">
        <f t="shared" si="2229"/>
        <v>0.78365089121081744</v>
      </c>
      <c r="I12112" s="297">
        <f t="shared" si="2230"/>
        <v>300.92443458732976</v>
      </c>
      <c r="J12112" s="422">
        <f t="shared" si="2227"/>
        <v>192.71428571428572</v>
      </c>
      <c r="K12112" s="297">
        <f>J12112/POBLA!$B$15*100000</f>
        <v>29.020744561729753</v>
      </c>
      <c r="L12112" s="200">
        <f t="shared" si="2228"/>
        <v>0.12323064113238957</v>
      </c>
      <c r="M12112" s="401">
        <f>SUM(C12112,C12088,C12064,C12040,C12016,C11992,C11968)/POBLA!$B$15*100000</f>
        <v>203.14521193210825</v>
      </c>
      <c r="N12112" s="42" t="s">
        <v>19</v>
      </c>
      <c r="O12112" s="42">
        <v>8</v>
      </c>
      <c r="P12112" s="42">
        <v>12</v>
      </c>
      <c r="Q12112" s="42">
        <v>0</v>
      </c>
      <c r="R12112" s="42">
        <v>20</v>
      </c>
    </row>
    <row r="12113" spans="1:18" x14ac:dyDescent="0.25">
      <c r="A12113" s="367" t="s">
        <v>18</v>
      </c>
      <c r="B12113" s="2">
        <v>44397</v>
      </c>
      <c r="C12113" s="4">
        <v>291</v>
      </c>
      <c r="D12113" s="39">
        <f t="shared" si="2225"/>
        <v>88898</v>
      </c>
      <c r="E12113" s="1">
        <v>7</v>
      </c>
      <c r="F12113" s="39">
        <f t="shared" si="2224"/>
        <v>2034</v>
      </c>
      <c r="G12113" s="168">
        <f>SUM(C12113,C12089,C12065,C12041,C12017,C11993,C11969,C11945,C11921,C11897,C11873,C11849,C11825,C11801)/POBLA!$B$16*100000</f>
        <v>450.50226722488998</v>
      </c>
      <c r="H12113" s="256">
        <f t="shared" si="2229"/>
        <v>0.96531957580968764</v>
      </c>
      <c r="I12113" s="297">
        <f t="shared" si="2230"/>
        <v>434.87865749883332</v>
      </c>
      <c r="J12113" s="422">
        <f t="shared" si="2227"/>
        <v>263.57142857142856</v>
      </c>
      <c r="K12113" s="297">
        <f>J12113/POBLA!$B$16*100000</f>
        <v>35.255203725395397</v>
      </c>
      <c r="L12113" s="200">
        <f t="shared" si="2228"/>
        <v>0.21142481943532498</v>
      </c>
      <c r="M12113" s="401">
        <f>SUM(C12113,C12089,C12065,C12041,C12017,C11993,C11969)/POBLA!$B$16*100000</f>
        <v>246.78642607776783</v>
      </c>
      <c r="N12113" s="42" t="s">
        <v>18</v>
      </c>
      <c r="O12113" s="42">
        <v>5</v>
      </c>
      <c r="P12113" s="42">
        <v>2</v>
      </c>
      <c r="Q12113" s="42">
        <v>0</v>
      </c>
      <c r="R12113" s="42">
        <v>7</v>
      </c>
    </row>
    <row r="12114" spans="1:18" x14ac:dyDescent="0.25">
      <c r="A12114" s="367" t="s">
        <v>34</v>
      </c>
      <c r="B12114" s="2">
        <v>44397</v>
      </c>
      <c r="C12114" s="4">
        <v>446</v>
      </c>
      <c r="D12114" s="39">
        <f>C12114+D12090</f>
        <v>71300</v>
      </c>
      <c r="E12114" s="1">
        <v>20</v>
      </c>
      <c r="F12114" s="39">
        <f t="shared" si="2224"/>
        <v>1976</v>
      </c>
      <c r="G12114" s="168">
        <f>SUM(C12114,C12090,C12066,C12042,C12018,C11994,C11970,C11946,C11922,C11898,C11874,C11850,C11826,C11802)/POBLA!$B$17*100000</f>
        <v>491.92746123447324</v>
      </c>
      <c r="H12114" s="256">
        <f t="shared" si="2229"/>
        <v>0.94003219747786426</v>
      </c>
      <c r="I12114" s="297">
        <f t="shared" si="2230"/>
        <v>462.42765238394878</v>
      </c>
      <c r="J12114" s="422">
        <f t="shared" si="2227"/>
        <v>506.71428571428572</v>
      </c>
      <c r="K12114" s="297">
        <f>J12114/POBLA!$B$17*100000</f>
        <v>35.573950641168558</v>
      </c>
      <c r="L12114" s="200">
        <f t="shared" si="2228"/>
        <v>2.5144508670520205E-2</v>
      </c>
      <c r="M12114" s="401">
        <f>SUM(C12114,C12090,C12066,C12042,C12018,C11994,C11970)/POBLA!$B$17*100000</f>
        <v>249.01765448817991</v>
      </c>
      <c r="N12114" s="42" t="s">
        <v>34</v>
      </c>
      <c r="O12114" s="42">
        <v>7</v>
      </c>
      <c r="P12114" s="42">
        <v>13</v>
      </c>
      <c r="Q12114" s="42">
        <v>0</v>
      </c>
      <c r="R12114" s="42">
        <v>20</v>
      </c>
    </row>
    <row r="12115" spans="1:18" x14ac:dyDescent="0.25">
      <c r="A12115" s="367" t="s">
        <v>35</v>
      </c>
      <c r="B12115" s="2">
        <v>44397</v>
      </c>
      <c r="C12115" s="4">
        <v>554</v>
      </c>
      <c r="D12115" s="39">
        <f t="shared" ref="D12115:D12121" si="2231">C12115+D12091</f>
        <v>57462</v>
      </c>
      <c r="E12115" s="1">
        <v>4</v>
      </c>
      <c r="F12115" s="39">
        <f t="shared" si="2224"/>
        <v>905</v>
      </c>
      <c r="G12115" s="168">
        <f>SUM(C12115,C12091,C12067,C12043,C12019,C11995,C11971,C11947,C11923,C11899,C11875,C11851,C11827,C11803)/POBLA!$B$18*100000</f>
        <v>570.13608254812686</v>
      </c>
      <c r="H12115" s="256">
        <f t="shared" si="2229"/>
        <v>0.7643727475544877</v>
      </c>
      <c r="I12115" s="297">
        <f t="shared" si="2230"/>
        <v>435.79648389726395</v>
      </c>
      <c r="J12115" s="422">
        <f t="shared" si="2227"/>
        <v>318.57142857142856</v>
      </c>
      <c r="K12115" s="297">
        <f>J12115/POBLA!$B$18*100000</f>
        <v>40.778865356415515</v>
      </c>
      <c r="L12115" s="200">
        <f t="shared" si="2228"/>
        <v>2.6978417266187993E-3</v>
      </c>
      <c r="M12115" s="401">
        <f>SUM(C12115,C12091,C12067,C12043,C12019,C11995,C11971)/POBLA!$B$18*100000</f>
        <v>285.45205749490862</v>
      </c>
      <c r="N12115" s="42" t="s">
        <v>35</v>
      </c>
      <c r="O12115" s="42">
        <v>2</v>
      </c>
      <c r="P12115" s="42">
        <v>2</v>
      </c>
      <c r="Q12115" s="42">
        <v>0</v>
      </c>
      <c r="R12115" s="42">
        <v>4</v>
      </c>
    </row>
    <row r="12116" spans="1:18" x14ac:dyDescent="0.25">
      <c r="A12116" s="367" t="s">
        <v>36</v>
      </c>
      <c r="B12116" s="2">
        <v>44397</v>
      </c>
      <c r="C12116" s="4">
        <v>150</v>
      </c>
      <c r="D12116" s="39">
        <f t="shared" si="2231"/>
        <v>72036</v>
      </c>
      <c r="E12116" s="1">
        <v>5</v>
      </c>
      <c r="F12116" s="39">
        <f t="shared" si="2224"/>
        <v>1181</v>
      </c>
      <c r="G12116" s="168">
        <f>SUM(C12116,C12092,C12068,C12044,C12020,C11996,C11972,C11948,C11924,C11900,C11876,C11852,C11828,C11804)/POBLA!$B$19*100000</f>
        <v>836.46779244896993</v>
      </c>
      <c r="H12116" s="256">
        <f t="shared" si="2229"/>
        <v>0.82116647354190808</v>
      </c>
      <c r="I12116" s="297">
        <f t="shared" si="2230"/>
        <v>686.87930735670534</v>
      </c>
      <c r="J12116" s="422">
        <f t="shared" si="2227"/>
        <v>279.14285714285717</v>
      </c>
      <c r="K12116" s="297">
        <f>J12116/POBLA!$B$19*100000</f>
        <v>54.913925092235161</v>
      </c>
      <c r="L12116" s="200">
        <f t="shared" si="2228"/>
        <v>-0.14969538729329857</v>
      </c>
      <c r="M12116" s="401">
        <f>SUM(C12116,C12092,C12068,C12044,C12020,C11996,C11972)/POBLA!$B$19*100000</f>
        <v>384.39747564564613</v>
      </c>
      <c r="N12116" s="42" t="s">
        <v>36</v>
      </c>
      <c r="O12116" s="42">
        <v>3</v>
      </c>
      <c r="P12116" s="42">
        <v>2</v>
      </c>
      <c r="Q12116" s="42">
        <v>0</v>
      </c>
      <c r="R12116" s="42">
        <v>5</v>
      </c>
    </row>
    <row r="12117" spans="1:18" x14ac:dyDescent="0.25">
      <c r="A12117" s="367" t="s">
        <v>37</v>
      </c>
      <c r="B12117" s="2">
        <v>44397</v>
      </c>
      <c r="C12117" s="4">
        <v>56</v>
      </c>
      <c r="D12117" s="39">
        <f t="shared" si="2231"/>
        <v>57212</v>
      </c>
      <c r="E12117" s="1">
        <v>1</v>
      </c>
      <c r="F12117" s="39">
        <f>E12117+F12093</f>
        <v>923</v>
      </c>
      <c r="G12117" s="168">
        <f>SUM(C12117,C12093,C12070,C12045,C12021,C11997,C11973,C11949,C11925,C11901,C11877,C11853,C11829,C11805)/POBLA!$B$20*100000</f>
        <v>463.77065228685967</v>
      </c>
      <c r="H12117" s="256">
        <f t="shared" si="2229"/>
        <v>0.67665816326530615</v>
      </c>
      <c r="I12117" s="297">
        <f t="shared" si="2230"/>
        <v>313.81419775277942</v>
      </c>
      <c r="J12117" s="422">
        <f t="shared" si="2227"/>
        <v>78.857142857142861</v>
      </c>
      <c r="K12117" s="297">
        <f>J12117/POBLA!$B$20*100000</f>
        <v>21.56346024783916</v>
      </c>
      <c r="L12117" s="200">
        <f t="shared" si="2228"/>
        <v>8.4479371316306562E-2</v>
      </c>
      <c r="M12117" s="401">
        <f>SUM(C12117,C12093,C12069,C12045,C12021,C11997,C11973)/POBLA!$B$20*100000</f>
        <v>150.94422173487413</v>
      </c>
      <c r="N12117" s="42" t="s">
        <v>37</v>
      </c>
      <c r="O12117" s="42">
        <v>0</v>
      </c>
      <c r="P12117" s="42">
        <v>1</v>
      </c>
      <c r="Q12117" s="42">
        <v>0</v>
      </c>
      <c r="R12117" s="42">
        <v>1</v>
      </c>
    </row>
    <row r="12118" spans="1:18" x14ac:dyDescent="0.25">
      <c r="A12118" s="367" t="s">
        <v>22</v>
      </c>
      <c r="B12118" s="2">
        <v>44397</v>
      </c>
      <c r="C12118" s="4">
        <v>1524</v>
      </c>
      <c r="D12118" s="39">
        <f t="shared" si="2231"/>
        <v>434578</v>
      </c>
      <c r="E12118" s="1">
        <v>61</v>
      </c>
      <c r="F12118" s="39">
        <f>E12118+F12094</f>
        <v>7425</v>
      </c>
      <c r="G12118" s="168">
        <f>SUM(C12118,C12094,C12070,C12046,C12022,C11998,C11974,C11950,C11926,C11902,C11878,C11854,C11830,C11806)/POBLA!$B$21*100000</f>
        <v>551.65989993264373</v>
      </c>
      <c r="H12118" s="256">
        <f t="shared" si="2229"/>
        <v>0.83368232126832187</v>
      </c>
      <c r="I12118" s="297">
        <f t="shared" si="2230"/>
        <v>459.90910592649658</v>
      </c>
      <c r="J12118" s="422">
        <f t="shared" si="2227"/>
        <v>1314</v>
      </c>
      <c r="K12118" s="297">
        <f>J12118/POBLA!$B$21*100000</f>
        <v>37.156241145701664</v>
      </c>
      <c r="L12118" s="200">
        <f t="shared" si="2228"/>
        <v>-0.10794297352342164</v>
      </c>
      <c r="M12118" s="401">
        <f>SUM(C12118,C12094,C12070,C12046,C12022,C11998,C11974)/POBLA!$B$21*100000</f>
        <v>260.09368801991167</v>
      </c>
      <c r="N12118" s="42" t="s">
        <v>22</v>
      </c>
      <c r="O12118" s="42">
        <v>24</v>
      </c>
      <c r="P12118" s="42">
        <v>37</v>
      </c>
      <c r="Q12118" s="42">
        <v>0</v>
      </c>
      <c r="R12118" s="42">
        <v>61</v>
      </c>
    </row>
    <row r="12119" spans="1:18" x14ac:dyDescent="0.25">
      <c r="A12119" s="367" t="s">
        <v>38</v>
      </c>
      <c r="B12119" s="2">
        <v>44397</v>
      </c>
      <c r="C12119" s="4">
        <v>267</v>
      </c>
      <c r="D12119" s="39">
        <f t="shared" si="2231"/>
        <v>69607</v>
      </c>
      <c r="E12119" s="1">
        <v>10</v>
      </c>
      <c r="F12119" s="39">
        <f>E12119+F12095</f>
        <v>973</v>
      </c>
      <c r="G12119" s="168">
        <f>SUM(C12119,C12095,C12071,C12047,C12023,C11999,C11975,C11951,C11927,C11903,C11879,C11855,C11831,C11807)/POBLA!$B$22*100000</f>
        <v>729.41890785464363</v>
      </c>
      <c r="H12119" s="256">
        <f t="shared" si="2229"/>
        <v>0.97673145359978097</v>
      </c>
      <c r="I12119" s="297">
        <f t="shared" si="2230"/>
        <v>712.44639015203074</v>
      </c>
      <c r="J12119" s="422">
        <f t="shared" si="2227"/>
        <v>460</v>
      </c>
      <c r="K12119" s="297">
        <f>J12119/POBLA!$B$22*100000</f>
        <v>47.019716593769076</v>
      </c>
      <c r="L12119" s="200">
        <f t="shared" si="2228"/>
        <v>-0.17773237997957103</v>
      </c>
      <c r="M12119" s="401">
        <f>SUM(C12119,C12095,C12071,C12047,C12023,C11999,C11975)/POBLA!$B$22*100000</f>
        <v>329.13801615638346</v>
      </c>
      <c r="N12119" s="42" t="s">
        <v>38</v>
      </c>
      <c r="O12119" s="42">
        <v>8</v>
      </c>
      <c r="P12119" s="42">
        <v>2</v>
      </c>
      <c r="Q12119" s="42">
        <v>0</v>
      </c>
      <c r="R12119" s="42">
        <v>10</v>
      </c>
    </row>
    <row r="12120" spans="1:18" x14ac:dyDescent="0.25">
      <c r="A12120" s="367" t="s">
        <v>39</v>
      </c>
      <c r="B12120" s="2">
        <v>44397</v>
      </c>
      <c r="C12120" s="4">
        <v>35</v>
      </c>
      <c r="D12120" s="39">
        <f t="shared" si="2231"/>
        <v>30638</v>
      </c>
      <c r="E12120" s="1">
        <v>1</v>
      </c>
      <c r="F12120" s="39">
        <f>E12120+F12096</f>
        <v>463</v>
      </c>
      <c r="G12120" s="168">
        <f>SUM(C12120,C12096,C12072,C12048,C12024,C12000,C11976,C11952,C11928,C11904,C11880,C11856,C11832,C11808)/POBLA!$B$23*100000</f>
        <v>329.69518746818977</v>
      </c>
      <c r="H12120" s="256">
        <f t="shared" si="2229"/>
        <v>0.88736681887366819</v>
      </c>
      <c r="I12120" s="297">
        <f t="shared" si="2230"/>
        <v>292.56056970160523</v>
      </c>
      <c r="J12120" s="422">
        <f t="shared" si="2227"/>
        <v>45.857142857142854</v>
      </c>
      <c r="K12120" s="297">
        <f>J12120/POBLA!$B$23*100000</f>
        <v>25.932897617566507</v>
      </c>
      <c r="L12120" s="200">
        <f t="shared" si="2228"/>
        <v>0.22519083969465647</v>
      </c>
      <c r="M12120" s="401">
        <f>SUM(C12120,C12096,C12072,C12048,C12024,C12000,C11976)/POBLA!$B$23*100000</f>
        <v>181.53028332296557</v>
      </c>
      <c r="N12120" s="42" t="s">
        <v>39</v>
      </c>
      <c r="O12120" s="42">
        <v>0</v>
      </c>
      <c r="P12120" s="42">
        <v>1</v>
      </c>
      <c r="Q12120" s="42">
        <v>0</v>
      </c>
      <c r="R12120" s="42">
        <v>1</v>
      </c>
    </row>
    <row r="12121" spans="1:18" ht="15.75" thickBot="1" x14ac:dyDescent="0.3">
      <c r="A12121" s="368" t="s">
        <v>40</v>
      </c>
      <c r="B12121" s="34">
        <v>44397</v>
      </c>
      <c r="C12121" s="27">
        <v>904</v>
      </c>
      <c r="D12121" s="67">
        <f t="shared" si="2231"/>
        <v>173707</v>
      </c>
      <c r="E12121" s="232">
        <v>16</v>
      </c>
      <c r="F12121" s="67">
        <f>E12121+F12097</f>
        <v>2486</v>
      </c>
      <c r="G12121" s="255">
        <f>SUM(C12121,C12097,C12073,C12049,C12025,C12001,C11977,C11953,C11929,C11905,C11881,C11857,C11833,C11809)/POBLA!$B$24*100000</f>
        <v>579.99971675667507</v>
      </c>
      <c r="H12121" s="257">
        <f t="shared" si="2229"/>
        <v>0.58923325939691862</v>
      </c>
      <c r="I12121" s="299">
        <f t="shared" si="2230"/>
        <v>341.75512355382523</v>
      </c>
      <c r="J12121" s="428">
        <f t="shared" si="2227"/>
        <v>761.14285714285711</v>
      </c>
      <c r="K12121" s="299">
        <f>J12121/POBLA!$B$24*100000</f>
        <v>44.914298662551992</v>
      </c>
      <c r="L12121" s="260">
        <f t="shared" si="2228"/>
        <v>0.18373694734503454</v>
      </c>
      <c r="M12121" s="406">
        <f>SUM(C12121,C12097,C12073,C12049,C12025,C12001,C11977)/POBLA!$B$24*100000</f>
        <v>314.40009063786397</v>
      </c>
      <c r="N12121" s="42" t="s">
        <v>40</v>
      </c>
      <c r="O12121" s="42">
        <v>7</v>
      </c>
      <c r="P12121" s="42">
        <v>9</v>
      </c>
      <c r="Q12121" s="42">
        <v>0</v>
      </c>
      <c r="R12121" s="42">
        <v>16</v>
      </c>
    </row>
    <row r="12122" spans="1:18" x14ac:dyDescent="0.25">
      <c r="A12122" s="363" t="s">
        <v>16</v>
      </c>
      <c r="B12122" s="265">
        <v>44398</v>
      </c>
      <c r="C12122" s="356">
        <v>4118</v>
      </c>
      <c r="D12122" s="174">
        <f>C12122+D12098</f>
        <v>1939997</v>
      </c>
      <c r="E12122" s="43">
        <v>249</v>
      </c>
      <c r="F12122" s="174">
        <f t="shared" ref="F12122:F12140" si="2232">E12122+F12098</f>
        <v>51146</v>
      </c>
      <c r="G12122" s="175">
        <f>SUM(C12122,C12098,C12050,C12074,C12026,C12002,C11978,C11954,C11930,C11906,C11882,C11858,C11834,C11810)/POBLA!$B$1*100000</f>
        <v>335.7592302575984</v>
      </c>
      <c r="H12122" s="300">
        <f t="shared" si="2229"/>
        <v>0.68888239078308677</v>
      </c>
      <c r="I12122" s="301">
        <f>G12122*H12122</f>
        <v>231.29862126734332</v>
      </c>
      <c r="J12122" s="421">
        <f>AVERAGE(C12122,C12098,C12074,C12050,C12026,C12002,C11978)</f>
        <v>3969.4285714285716</v>
      </c>
      <c r="K12122" s="301">
        <f>J12122/POBLA!$B$1*100000</f>
        <v>22.629249553541424</v>
      </c>
      <c r="L12122" s="399">
        <f>(SUM(C12122,C12098,C12074,C12050,C12026,C12002,C11978)/SUM(C11954,C11930,C11906,C11882,C11858,C11834,C11810))-1</f>
        <v>-0.10684667309546769</v>
      </c>
      <c r="M12122" s="400">
        <f>SUM(C12122,C12098,C12074,C12050,C12026,C12002,C11978)/POBLA!$B$1*100000</f>
        <v>158.40474687478996</v>
      </c>
      <c r="N12122" s="42" t="s">
        <v>16</v>
      </c>
      <c r="O12122" s="42">
        <v>123</v>
      </c>
      <c r="P12122" s="42">
        <v>126</v>
      </c>
      <c r="Q12122" s="42">
        <v>0</v>
      </c>
      <c r="R12122" s="42">
        <v>249</v>
      </c>
    </row>
    <row r="12123" spans="1:18" x14ac:dyDescent="0.25">
      <c r="A12123" s="367" t="s">
        <v>43</v>
      </c>
      <c r="B12123" s="2">
        <v>44398</v>
      </c>
      <c r="C12123" s="4">
        <v>758</v>
      </c>
      <c r="D12123" s="39">
        <f t="shared" ref="D12123:D12137" si="2233">C12123+D12099</f>
        <v>484233</v>
      </c>
      <c r="E12123" s="1">
        <v>10</v>
      </c>
      <c r="F12123" s="39">
        <f t="shared" si="2232"/>
        <v>10757</v>
      </c>
      <c r="G12123" s="168">
        <f>SUM(C12123,C12099,C12075,C12051,C12027,C12003,C11979,C11955,C11931,C11907,C11883,C11859,C11835,C11811)/POBLA!$B$2*100000</f>
        <v>410.77549236810745</v>
      </c>
      <c r="H12123" s="256">
        <f t="shared" si="2229"/>
        <v>0.75820680549720942</v>
      </c>
      <c r="I12123" s="297">
        <f t="shared" ref="I12123:I12129" si="2234">G12123*H12123</f>
        <v>311.45277384496609</v>
      </c>
      <c r="J12123" s="422">
        <f>AVERAGE(C12123,C12099,C12075,C12051,C12027,C12003,C11979)</f>
        <v>850.28571428571433</v>
      </c>
      <c r="K12123" s="297">
        <f>J12123/POBLA!$B$2*100000</f>
        <v>27.645760087009826</v>
      </c>
      <c r="L12123" s="200">
        <f>(SUM(C12123,C12099,C12075,C12051,C12027,C12003,C11979)/SUM(C11955,C11931,C11907,C11883,C11859,C11835,C11811))-1</f>
        <v>-0.10924872792577067</v>
      </c>
      <c r="M12123" s="401">
        <f>SUM(C12123,C12099,C12075,C12051,C12027,C12003,C11979)/POBLA!$B$2*100000</f>
        <v>193.52032060906879</v>
      </c>
      <c r="N12123" s="42" t="s">
        <v>43</v>
      </c>
      <c r="O12123" s="42">
        <v>3</v>
      </c>
      <c r="P12123" s="42">
        <v>6</v>
      </c>
      <c r="Q12123" s="42">
        <v>1</v>
      </c>
      <c r="R12123" s="42">
        <v>10</v>
      </c>
    </row>
    <row r="12124" spans="1:18" x14ac:dyDescent="0.25">
      <c r="A12124" s="367" t="s">
        <v>28</v>
      </c>
      <c r="B12124" s="2">
        <v>44398</v>
      </c>
      <c r="C12124" s="4">
        <v>244</v>
      </c>
      <c r="D12124" s="39">
        <f t="shared" si="2233"/>
        <v>39702</v>
      </c>
      <c r="F12124" s="39">
        <f t="shared" si="2232"/>
        <v>417</v>
      </c>
      <c r="G12124" s="168">
        <f>SUM(C12124,C12100,C12076,C12052,C12028,C12004,C11980,C11956,C11932,C11908,C11884,C11860,C11836,C11812)/POBLA!$B$3*100000</f>
        <v>821.78327451990424</v>
      </c>
      <c r="H12124" s="256">
        <f t="shared" si="2229"/>
        <v>0.77696859353664083</v>
      </c>
      <c r="I12124" s="297">
        <f t="shared" si="2234"/>
        <v>638.49979499566518</v>
      </c>
      <c r="J12124" s="422">
        <f t="shared" ref="J12124:J12145" si="2235">AVERAGE(C12124,C12100,C12076,C12052,C12028,C12004,C11980)</f>
        <v>248</v>
      </c>
      <c r="K12124" s="297">
        <f>J12124/POBLA!$B$3*100000</f>
        <v>59.696031658153565</v>
      </c>
      <c r="L12124" s="200">
        <f t="shared" ref="L12124:L12145" si="2236">(SUM(C12124,C12100,C12076,C12052,C12028,C12004,C11980)/SUM(C11956,C11932,C11908,C11884,C11860,C11836,C11812))-1</f>
        <v>3.4564958283671121E-2</v>
      </c>
      <c r="M12124" s="401">
        <f>SUM(C12124,C12100,C12076,C12052,C12028,C12004,C11980)/POBLA!$B$3*100000</f>
        <v>417.87222160707489</v>
      </c>
    </row>
    <row r="12125" spans="1:18" x14ac:dyDescent="0.25">
      <c r="A12125" s="367" t="s">
        <v>15</v>
      </c>
      <c r="B12125" s="2">
        <v>44398</v>
      </c>
      <c r="C12125" s="4">
        <v>337</v>
      </c>
      <c r="D12125" s="39">
        <f t="shared" si="2233"/>
        <v>87117</v>
      </c>
      <c r="E12125" s="1">
        <v>11</v>
      </c>
      <c r="F12125" s="39">
        <f t="shared" si="2232"/>
        <v>1918</v>
      </c>
      <c r="G12125" s="168">
        <f>SUM(C12125,C12101,C12077,C12053,C12029,C12005,C11981,C11957,C11933,C11909,C11885,C11861,C11837,C11813)/POBLA!$B$4*100000</f>
        <v>520.19815016674397</v>
      </c>
      <c r="H12125" s="256">
        <f t="shared" si="2229"/>
        <v>0.80726616851326982</v>
      </c>
      <c r="I12125" s="297">
        <f t="shared" si="2234"/>
        <v>419.93836755279796</v>
      </c>
      <c r="J12125" s="422">
        <f t="shared" si="2235"/>
        <v>373.28571428571428</v>
      </c>
      <c r="K12125" s="297">
        <f>J12125/POBLA!$B$4*100000</f>
        <v>30.989872016453923</v>
      </c>
      <c r="L12125" s="200">
        <f t="shared" si="2236"/>
        <v>-0.28469750889679712</v>
      </c>
      <c r="M12125" s="401">
        <f>SUM(C12125,C12101,C12077,C12053,C12029,C12005,C11981)/POBLA!$B$4*100000</f>
        <v>216.92910411517749</v>
      </c>
      <c r="N12125" s="42" t="s">
        <v>15</v>
      </c>
      <c r="O12125" s="42">
        <v>4</v>
      </c>
      <c r="P12125" s="42">
        <v>7</v>
      </c>
      <c r="Q12125" s="42">
        <v>0</v>
      </c>
      <c r="R12125" s="42">
        <v>11</v>
      </c>
    </row>
    <row r="12126" spans="1:18" x14ac:dyDescent="0.25">
      <c r="A12126" s="367" t="s">
        <v>29</v>
      </c>
      <c r="B12126" s="2">
        <v>44398</v>
      </c>
      <c r="C12126" s="4">
        <v>246</v>
      </c>
      <c r="D12126" s="39">
        <f t="shared" si="2233"/>
        <v>74451</v>
      </c>
      <c r="E12126" s="1">
        <v>5</v>
      </c>
      <c r="F12126" s="39">
        <f t="shared" si="2232"/>
        <v>1287</v>
      </c>
      <c r="G12126" s="168">
        <f>SUM(C12126,C12102,C12078,C12054,C12030,C12006,C11982,C11958,C11934,C11910,C11886,C11862,C11838,C11814)/POBLA!$B$5*100000</f>
        <v>379.8098204506021</v>
      </c>
      <c r="H12126" s="256">
        <f t="shared" si="2229"/>
        <v>0.79158249158249161</v>
      </c>
      <c r="I12126" s="297">
        <f t="shared" si="2234"/>
        <v>300.65080399978638</v>
      </c>
      <c r="J12126" s="422">
        <f t="shared" si="2235"/>
        <v>164.57142857142858</v>
      </c>
      <c r="K12126" s="297">
        <f>J12126/POBLA!$B$5*100000</f>
        <v>26.586918220762819</v>
      </c>
      <c r="L12126" s="200">
        <f t="shared" si="2236"/>
        <v>-3.9199332777314466E-2</v>
      </c>
      <c r="M12126" s="401">
        <f>SUM(C12126,C12102,C12078,C12054,C12030,C12006,C11982)/POBLA!$B$5*100000</f>
        <v>186.10842754533968</v>
      </c>
      <c r="N12126" s="42" t="s">
        <v>29</v>
      </c>
      <c r="O12126" s="42">
        <v>2</v>
      </c>
      <c r="P12126" s="42">
        <v>3</v>
      </c>
      <c r="Q12126" s="42">
        <v>0</v>
      </c>
      <c r="R12126" s="42">
        <v>5</v>
      </c>
    </row>
    <row r="12127" spans="1:18" x14ac:dyDescent="0.25">
      <c r="A12127" s="367" t="s">
        <v>30</v>
      </c>
      <c r="B12127" s="2">
        <v>44398</v>
      </c>
      <c r="C12127" s="4">
        <v>502</v>
      </c>
      <c r="D12127" s="39">
        <f t="shared" si="2233"/>
        <v>444158</v>
      </c>
      <c r="F12127" s="39">
        <f t="shared" si="2232"/>
        <v>5815</v>
      </c>
      <c r="G12127" s="168">
        <f>SUM(C12127,C12103,C12079,C12055,C12031,C12007,C11983,C11959,C11935,C11911,C11887,C11863,C11839,C11815)/POBLA!$B$6*100000</f>
        <v>626.6054366475405</v>
      </c>
      <c r="H12127" s="256">
        <f t="shared" si="2229"/>
        <v>1.0399822301199466</v>
      </c>
      <c r="I12127" s="297">
        <f t="shared" si="2234"/>
        <v>651.6585194099921</v>
      </c>
      <c r="J12127" s="422">
        <f t="shared" si="2235"/>
        <v>509.57142857142856</v>
      </c>
      <c r="K12127" s="297">
        <f>J12127/POBLA!$B$6*100000</f>
        <v>45.464933433448806</v>
      </c>
      <c r="L12127" s="200">
        <f t="shared" si="2236"/>
        <v>3.211805555555558E-2</v>
      </c>
      <c r="M12127" s="401">
        <f>SUM(C12127,C12103,C12079,C12055,C12031,C12007,C11983)/POBLA!$B$6*100000</f>
        <v>318.25453403414167</v>
      </c>
    </row>
    <row r="12128" spans="1:18" x14ac:dyDescent="0.25">
      <c r="A12128" s="367" t="s">
        <v>20</v>
      </c>
      <c r="B12128" s="2">
        <v>44398</v>
      </c>
      <c r="C12128" s="4">
        <v>1935</v>
      </c>
      <c r="D12128" s="39">
        <f t="shared" si="2233"/>
        <v>81545</v>
      </c>
      <c r="E12128" s="1">
        <v>26</v>
      </c>
      <c r="F12128" s="39">
        <f t="shared" si="2232"/>
        <v>969</v>
      </c>
      <c r="G12128" s="168">
        <f>SUM(C12128,C12104,C12080,C12056,C12032,C12008,C11984,C11960,C11936,C11912,C11888,C11864,C11840,C11816)/POBLA!$B$7*100000</f>
        <v>633.00934728556422</v>
      </c>
      <c r="H12128" s="256">
        <f t="shared" si="2229"/>
        <v>0.72679531021006349</v>
      </c>
      <c r="I12128" s="297">
        <f t="shared" si="2234"/>
        <v>460.06822492628146</v>
      </c>
      <c r="J12128" s="422">
        <f t="shared" si="2235"/>
        <v>1469.2857142857142</v>
      </c>
      <c r="K12128" s="297">
        <f>J12128/POBLA!$B$7*100000</f>
        <v>39.072071541589821</v>
      </c>
      <c r="L12128" s="200">
        <f t="shared" si="2236"/>
        <v>-0.23921887713588286</v>
      </c>
      <c r="M12128" s="401">
        <f>SUM(C12128,C12104,C12080,C12056,C12032,C12008,C11984)/POBLA!$B$7*100000</f>
        <v>273.50450079112875</v>
      </c>
      <c r="N12128" s="42" t="s">
        <v>20</v>
      </c>
      <c r="O12128" s="42">
        <v>9</v>
      </c>
      <c r="P12128" s="42">
        <v>17</v>
      </c>
      <c r="Q12128" s="42">
        <v>0</v>
      </c>
      <c r="R12128" s="42">
        <v>26</v>
      </c>
    </row>
    <row r="12129" spans="1:18" x14ac:dyDescent="0.25">
      <c r="A12129" s="367" t="s">
        <v>31</v>
      </c>
      <c r="B12129" s="2">
        <v>44398</v>
      </c>
      <c r="C12129" s="4">
        <v>509</v>
      </c>
      <c r="D12129" s="39">
        <f t="shared" si="2233"/>
        <v>123721</v>
      </c>
      <c r="E12129" s="1">
        <v>11</v>
      </c>
      <c r="F12129" s="39">
        <f t="shared" si="2232"/>
        <v>2053</v>
      </c>
      <c r="G12129" s="168">
        <f>SUM(C12129,C12105,C12081,C12057,C12033,C12009,C11985,C11961,C11937,C11913,C11889,C11865,C11841,C11817)/POBLA!$B$8*100000</f>
        <v>608.963744290063</v>
      </c>
      <c r="H12129" s="256">
        <f t="shared" ref="H12129:H12152" si="2237">SUM(C12129,C12105,C12081,C12057,C12033,C12009,C11985,C11961,C11937,C11913,C11889,C11865,C11841,C11817,)/SUM(C11793,C11769,C11745,C11721,C11697,C11673,C11649,C11625,C11601,C11577,C11553,C11529,C11505,C11481)</f>
        <v>0.81420027011383367</v>
      </c>
      <c r="I12129" s="297">
        <f t="shared" si="2234"/>
        <v>495.81844509050086</v>
      </c>
      <c r="J12129" s="422">
        <f t="shared" si="2235"/>
        <v>535.85714285714289</v>
      </c>
      <c r="K12129" s="297">
        <f>J12129/POBLA!$B$8*100000</f>
        <v>38.663219445362671</v>
      </c>
      <c r="L12129" s="200">
        <f t="shared" si="2236"/>
        <v>-0.20004265301770097</v>
      </c>
      <c r="M12129" s="401">
        <f>SUM(C12129,C12105,C12081,C12057,C12033,C12009,C11985)/POBLA!$B$8*100000</f>
        <v>270.64253611753867</v>
      </c>
      <c r="N12129" s="42" t="s">
        <v>31</v>
      </c>
      <c r="O12129" s="42">
        <v>4</v>
      </c>
      <c r="P12129" s="42">
        <v>7</v>
      </c>
      <c r="Q12129" s="42">
        <v>0</v>
      </c>
      <c r="R12129" s="42">
        <v>11</v>
      </c>
    </row>
    <row r="12130" spans="1:18" x14ac:dyDescent="0.25">
      <c r="A12130" s="367" t="s">
        <v>41</v>
      </c>
      <c r="B12130" s="2">
        <v>44398</v>
      </c>
      <c r="C12130" s="4">
        <v>255</v>
      </c>
      <c r="D12130" s="39">
        <f t="shared" si="2233"/>
        <v>53553</v>
      </c>
      <c r="E12130" s="1">
        <v>3</v>
      </c>
      <c r="F12130" s="39">
        <f t="shared" si="2232"/>
        <v>956</v>
      </c>
      <c r="G12130" s="168">
        <f>SUM(C12130,C12106,C12082,C12058,C12034,C12010,C11986,C11962,C11938,C11914,C11890,C11866,C11842,C11818)/POBLA!$B$9*100000</f>
        <v>857.90813839552015</v>
      </c>
      <c r="H12130" s="256">
        <f t="shared" si="2237"/>
        <v>0.93904865255923309</v>
      </c>
      <c r="I12130" s="297">
        <f>G12130*H12130</f>
        <v>805.61748137991322</v>
      </c>
      <c r="J12130" s="422">
        <f t="shared" si="2235"/>
        <v>300.28571428571428</v>
      </c>
      <c r="K12130" s="297">
        <f>J12130/POBLA!$B$9*100000</f>
        <v>49.618173753780084</v>
      </c>
      <c r="L12130" s="200">
        <f t="shared" si="2236"/>
        <v>-0.31974110032362457</v>
      </c>
      <c r="M12130" s="401">
        <f>SUM(C12130,C12106,C12082,C12058,C12034,C12010,C11986)/POBLA!$B$9*100000</f>
        <v>347.32721627646055</v>
      </c>
      <c r="N12130" s="42" t="s">
        <v>41</v>
      </c>
      <c r="O12130" s="42">
        <v>3</v>
      </c>
      <c r="P12130" s="42">
        <v>0</v>
      </c>
      <c r="Q12130" s="42">
        <v>0</v>
      </c>
      <c r="R12130" s="42">
        <v>3</v>
      </c>
    </row>
    <row r="12131" spans="1:18" x14ac:dyDescent="0.25">
      <c r="A12131" s="367" t="s">
        <v>32</v>
      </c>
      <c r="B12131" s="2">
        <v>44398</v>
      </c>
      <c r="C12131" s="4">
        <v>296</v>
      </c>
      <c r="D12131" s="39">
        <f t="shared" si="2233"/>
        <v>41601</v>
      </c>
      <c r="E12131" s="1">
        <v>5</v>
      </c>
      <c r="F12131" s="39">
        <f t="shared" si="2232"/>
        <v>1272</v>
      </c>
      <c r="G12131" s="168">
        <f>SUM(C12131,C12107,C12083,C12059,C12035,C12011,C11987,C11963,C11939,C11915,C11891,C11867,C11843,C11819)/POBLA!$B$10*100000</f>
        <v>493.07221218320336</v>
      </c>
      <c r="H12131" s="256">
        <f t="shared" si="2237"/>
        <v>0.98344113842173353</v>
      </c>
      <c r="I12131" s="297">
        <f t="shared" ref="I12131:I12145" si="2238">G12131*H12131</f>
        <v>484.90749767357204</v>
      </c>
      <c r="J12131" s="422">
        <f t="shared" si="2235"/>
        <v>258.28571428571428</v>
      </c>
      <c r="K12131" s="297">
        <f>J12131/POBLA!$B$10*100000</f>
        <v>33.505264014253079</v>
      </c>
      <c r="L12131" s="200">
        <f t="shared" si="2236"/>
        <v>-9.2824887104867027E-2</v>
      </c>
      <c r="M12131" s="401">
        <f>SUM(C12131,C12107,C12083,C12059,C12035,C12011,C11987)/POBLA!$B$10*100000</f>
        <v>234.53684809977156</v>
      </c>
      <c r="N12131" s="42" t="s">
        <v>32</v>
      </c>
      <c r="O12131" s="42">
        <v>1</v>
      </c>
      <c r="P12131" s="42">
        <v>4</v>
      </c>
      <c r="Q12131" s="42">
        <v>0</v>
      </c>
      <c r="R12131" s="42">
        <v>5</v>
      </c>
    </row>
    <row r="12132" spans="1:18" x14ac:dyDescent="0.25">
      <c r="A12132" s="367" t="s">
        <v>33</v>
      </c>
      <c r="B12132" s="2">
        <v>44398</v>
      </c>
      <c r="C12132" s="4">
        <v>239</v>
      </c>
      <c r="D12132" s="39">
        <f t="shared" si="2233"/>
        <v>58616</v>
      </c>
      <c r="E12132" s="1">
        <v>4</v>
      </c>
      <c r="F12132" s="39">
        <f t="shared" si="2232"/>
        <v>807</v>
      </c>
      <c r="G12132" s="168">
        <f>SUM(C12132,C12108,C12084,C12060,C12036,C12012,C11988,C11964,C11940,C11916,C11892,C11868,C11844,C11820)/POBLA!$B$11*100000</f>
        <v>1025.8685147365718</v>
      </c>
      <c r="H12132" s="256">
        <f t="shared" si="2237"/>
        <v>0.75410172272354392</v>
      </c>
      <c r="I12132" s="297">
        <f t="shared" si="2238"/>
        <v>773.60921425069205</v>
      </c>
      <c r="J12132" s="422">
        <f t="shared" si="2235"/>
        <v>263.14285714285717</v>
      </c>
      <c r="K12132" s="297">
        <f>J12132/POBLA!$B$11*100000</f>
        <v>73.415820511471537</v>
      </c>
      <c r="L12132" s="200">
        <f t="shared" si="2236"/>
        <v>3.814713896457711E-3</v>
      </c>
      <c r="M12132" s="401">
        <f>SUM(C12132,C12108,C12084,C12060,C12036,C12012,C11988)/POBLA!$B$11*100000</f>
        <v>513.91074358030062</v>
      </c>
      <c r="N12132" s="42" t="s">
        <v>33</v>
      </c>
      <c r="O12132" s="42">
        <v>3</v>
      </c>
      <c r="P12132" s="42">
        <v>1</v>
      </c>
      <c r="Q12132" s="42">
        <v>0</v>
      </c>
      <c r="R12132" s="42">
        <v>4</v>
      </c>
    </row>
    <row r="12133" spans="1:18" x14ac:dyDescent="0.25">
      <c r="A12133" s="367" t="s">
        <v>21</v>
      </c>
      <c r="B12133" s="2">
        <v>44398</v>
      </c>
      <c r="C12133" s="4">
        <v>150</v>
      </c>
      <c r="D12133" s="39">
        <f t="shared" si="2233"/>
        <v>26139</v>
      </c>
      <c r="F12133" s="39">
        <f t="shared" si="2232"/>
        <v>761</v>
      </c>
      <c r="G12133" s="168">
        <f>SUM(C12133,C12109,C12085,C12061,C12037,C12013,C11989,C11965,C11941,C11917,C11893,C11869,C11845,C11821)/POBLA!$B$12*100000</f>
        <v>687.8746528227764</v>
      </c>
      <c r="H12133" s="256">
        <f t="shared" si="2237"/>
        <v>1.0937373737373737</v>
      </c>
      <c r="I12133" s="297">
        <f t="shared" si="2238"/>
        <v>752.35421623889113</v>
      </c>
      <c r="J12133" s="422">
        <f t="shared" si="2235"/>
        <v>185.28571428571428</v>
      </c>
      <c r="K12133" s="297">
        <f>J12133/POBLA!$B$12*100000</f>
        <v>47.082876389843314</v>
      </c>
      <c r="L12133" s="200">
        <f t="shared" si="2236"/>
        <v>-8.0141843971631155E-2</v>
      </c>
      <c r="M12133" s="401">
        <f>SUM(C12133,C12109,C12085,C12061,C12037,C12013,C11989)/POBLA!$B$12*100000</f>
        <v>329.5801347289032</v>
      </c>
    </row>
    <row r="12134" spans="1:18" x14ac:dyDescent="0.25">
      <c r="A12134" s="367" t="s">
        <v>17</v>
      </c>
      <c r="B12134" s="2">
        <v>44398</v>
      </c>
      <c r="C12134" s="4">
        <v>505</v>
      </c>
      <c r="D12134" s="39">
        <f t="shared" si="2233"/>
        <v>149836</v>
      </c>
      <c r="E12134" s="1">
        <v>11</v>
      </c>
      <c r="F12134" s="39">
        <f t="shared" si="2232"/>
        <v>3712</v>
      </c>
      <c r="G12134" s="168">
        <f>SUM(C12134,C12110,C12086,C12062,C12038,C12014,C11990,C11966,C11942,C11918,C11894,C11870,C11846,C11822)/POBLA!$B$13*100000</f>
        <v>309.84687023008155</v>
      </c>
      <c r="H12134" s="256">
        <f t="shared" si="2237"/>
        <v>0.77689594356261027</v>
      </c>
      <c r="I12134" s="297">
        <f t="shared" si="2238"/>
        <v>240.71877660732088</v>
      </c>
      <c r="J12134" s="422">
        <f t="shared" si="2235"/>
        <v>424.14285714285717</v>
      </c>
      <c r="K12134" s="297">
        <f>J12134/POBLA!$B$13*100000</f>
        <v>21.310091911165703</v>
      </c>
      <c r="L12134" s="200">
        <f t="shared" si="2236"/>
        <v>-7.1607254534083786E-2</v>
      </c>
      <c r="M12134" s="401">
        <f>SUM(C12134,C12110,C12086,C12062,C12038,C12014,C11990)/POBLA!$B$13*100000</f>
        <v>149.17064337815989</v>
      </c>
      <c r="N12134" s="42" t="s">
        <v>17</v>
      </c>
      <c r="O12134" s="42">
        <v>3</v>
      </c>
      <c r="P12134" s="42">
        <v>7</v>
      </c>
      <c r="Q12134" s="42">
        <v>1</v>
      </c>
      <c r="R12134" s="42">
        <v>11</v>
      </c>
    </row>
    <row r="12135" spans="1:18" x14ac:dyDescent="0.25">
      <c r="A12135" s="367" t="s">
        <v>23</v>
      </c>
      <c r="B12135" s="2">
        <v>44398</v>
      </c>
      <c r="C12135" s="4">
        <v>159</v>
      </c>
      <c r="D12135" s="39">
        <f t="shared" si="2233"/>
        <v>29124</v>
      </c>
      <c r="F12135" s="39">
        <f t="shared" si="2232"/>
        <v>500</v>
      </c>
      <c r="G12135" s="168">
        <f>SUM(C12135,C12111,C12087,C12063,C12039,C12015,C11991,C11967,C11943,C11919,C11895,C11871,C11847,C11823)/POBLA!$B$14*100000</f>
        <v>179.41891422618357</v>
      </c>
      <c r="H12135" s="256">
        <f t="shared" si="2237"/>
        <v>0.89270216962524651</v>
      </c>
      <c r="I12135" s="297">
        <f t="shared" si="2238"/>
        <v>160.16765400152008</v>
      </c>
      <c r="J12135" s="422">
        <f t="shared" si="2235"/>
        <v>171.28571428571428</v>
      </c>
      <c r="K12135" s="297">
        <f>J12135/POBLA!$B$14*100000</f>
        <v>13.58015770198814</v>
      </c>
      <c r="L12135" s="200">
        <f t="shared" si="2236"/>
        <v>0.12687969924812026</v>
      </c>
      <c r="M12135" s="401">
        <f>SUM(C12135,C12111,C12087,C12063,C12039,C12015,C11991)/POBLA!$B$14*100000</f>
        <v>95.06110391391698</v>
      </c>
    </row>
    <row r="12136" spans="1:18" x14ac:dyDescent="0.25">
      <c r="A12136" s="367" t="s">
        <v>19</v>
      </c>
      <c r="B12136" s="2">
        <v>44398</v>
      </c>
      <c r="C12136" s="4">
        <v>204</v>
      </c>
      <c r="D12136" s="39">
        <f t="shared" si="2233"/>
        <v>105444</v>
      </c>
      <c r="E12136" s="1">
        <v>6</v>
      </c>
      <c r="F12136" s="39">
        <f t="shared" si="2232"/>
        <v>1994</v>
      </c>
      <c r="G12136" s="168">
        <f>SUM(C12136,C12112,C12088,C12064,C12040,C12016,C11992,C11968,C11944,C11920,C11896,C11872,C11848,C11824)/POBLA!$B$15*100000</f>
        <v>381.29256976434255</v>
      </c>
      <c r="H12136" s="256">
        <f t="shared" si="2237"/>
        <v>0.81258023106546851</v>
      </c>
      <c r="I12136" s="297">
        <f t="shared" si="2238"/>
        <v>309.83080444265573</v>
      </c>
      <c r="J12136" s="422">
        <f t="shared" si="2235"/>
        <v>185.57142857142858</v>
      </c>
      <c r="K12136" s="297">
        <f>J12136/POBLA!$B$15*100000</f>
        <v>27.94510540080574</v>
      </c>
      <c r="L12136" s="200">
        <f t="shared" si="2236"/>
        <v>5.352798053527974E-2</v>
      </c>
      <c r="M12136" s="401">
        <f>SUM(C12136,C12112,C12088,C12064,C12040,C12016,C11992)/POBLA!$B$15*100000</f>
        <v>195.61573780564018</v>
      </c>
      <c r="N12136" s="42" t="s">
        <v>19</v>
      </c>
      <c r="O12136" s="42">
        <v>1</v>
      </c>
      <c r="P12136" s="42">
        <v>5</v>
      </c>
      <c r="Q12136" s="42">
        <v>0</v>
      </c>
      <c r="R12136" s="42">
        <v>6</v>
      </c>
    </row>
    <row r="12137" spans="1:18" x14ac:dyDescent="0.25">
      <c r="A12137" s="367" t="s">
        <v>18</v>
      </c>
      <c r="B12137" s="2">
        <v>44398</v>
      </c>
      <c r="C12137" s="4">
        <v>311</v>
      </c>
      <c r="D12137" s="39">
        <f t="shared" si="2233"/>
        <v>89209</v>
      </c>
      <c r="E12137" s="1">
        <v>2</v>
      </c>
      <c r="F12137" s="39">
        <f t="shared" si="2232"/>
        <v>2036</v>
      </c>
      <c r="G12137" s="168">
        <f>SUM(C12137,C12113,C12089,C12065,C12041,C12017,C11993,C11969,C11945,C11921,C11897,C11873,C11849,C11825)/POBLA!$B$16*100000</f>
        <v>456.12016960714806</v>
      </c>
      <c r="H12137" s="256">
        <f t="shared" si="2237"/>
        <v>0.99330032041945815</v>
      </c>
      <c r="I12137" s="297">
        <f t="shared" si="2238"/>
        <v>453.06431062055776</v>
      </c>
      <c r="J12137" s="422">
        <f t="shared" si="2235"/>
        <v>264.42857142857144</v>
      </c>
      <c r="K12137" s="297">
        <f>J12137/POBLA!$B$16*100000</f>
        <v>35.36985479442108</v>
      </c>
      <c r="L12137" s="200">
        <f t="shared" si="2236"/>
        <v>0.18729955099422702</v>
      </c>
      <c r="M12137" s="401">
        <f>SUM(C12137,C12113,C12089,C12065,C12041,C12017,C11993)/POBLA!$B$16*100000</f>
        <v>247.58898356094755</v>
      </c>
      <c r="N12137" s="42" t="s">
        <v>18</v>
      </c>
      <c r="O12137" s="42">
        <v>1</v>
      </c>
      <c r="P12137" s="42">
        <v>1</v>
      </c>
      <c r="Q12137" s="42">
        <v>0</v>
      </c>
      <c r="R12137" s="42">
        <v>2</v>
      </c>
    </row>
    <row r="12138" spans="1:18" x14ac:dyDescent="0.25">
      <c r="A12138" s="367" t="s">
        <v>34</v>
      </c>
      <c r="B12138" s="2">
        <v>44398</v>
      </c>
      <c r="C12138" s="4">
        <v>454</v>
      </c>
      <c r="D12138" s="39">
        <f>C12138+D12114</f>
        <v>71754</v>
      </c>
      <c r="E12138" s="1">
        <v>18</v>
      </c>
      <c r="F12138" s="39">
        <f t="shared" si="2232"/>
        <v>1994</v>
      </c>
      <c r="G12138" s="168">
        <f>SUM(C12138,C12114,C12090,C12066,C12042,C12018,C11994,C11970,C11946,C11922,C11898,C11874,C11850,C11826)/POBLA!$B$17*100000</f>
        <v>479.22032972549084</v>
      </c>
      <c r="H12138" s="256">
        <f t="shared" si="2237"/>
        <v>0.92443120260021672</v>
      </c>
      <c r="I12138" s="297">
        <f t="shared" si="2238"/>
        <v>443.00622571860788</v>
      </c>
      <c r="J12138" s="422">
        <f t="shared" si="2235"/>
        <v>468.14285714285717</v>
      </c>
      <c r="K12138" s="297">
        <f>J12138/POBLA!$B$17*100000</f>
        <v>32.866037849199145</v>
      </c>
      <c r="L12138" s="200">
        <f t="shared" si="2236"/>
        <v>-7.6641307410538206E-2</v>
      </c>
      <c r="M12138" s="401">
        <f>SUM(C12138,C12114,C12090,C12066,C12042,C12018,C11994)/POBLA!$B$17*100000</f>
        <v>230.062264944394</v>
      </c>
      <c r="N12138" s="42" t="s">
        <v>34</v>
      </c>
      <c r="O12138" s="42">
        <v>7</v>
      </c>
      <c r="P12138" s="42">
        <v>11</v>
      </c>
      <c r="Q12138" s="42">
        <v>0</v>
      </c>
      <c r="R12138" s="42">
        <v>18</v>
      </c>
    </row>
    <row r="12139" spans="1:18" x14ac:dyDescent="0.25">
      <c r="A12139" s="367" t="s">
        <v>35</v>
      </c>
      <c r="B12139" s="2">
        <v>44398</v>
      </c>
      <c r="C12139" s="4">
        <v>362</v>
      </c>
      <c r="D12139" s="39">
        <f t="shared" ref="D12139:D12145" si="2239">C12139+D12115</f>
        <v>57824</v>
      </c>
      <c r="E12139" s="1">
        <v>3</v>
      </c>
      <c r="F12139" s="39">
        <f t="shared" si="2232"/>
        <v>908</v>
      </c>
      <c r="G12139" s="168">
        <f>SUM(C12139,C12115,C12091,C12067,C12043,C12019,C11995,C11971,C11947,C11923,C11899,C11875,C11851,C11827)/POBLA!$B$18*100000</f>
        <v>574.48826638437208</v>
      </c>
      <c r="H12139" s="256">
        <f t="shared" si="2237"/>
        <v>0.82515168229453939</v>
      </c>
      <c r="I12139" s="297">
        <f t="shared" si="2238"/>
        <v>474.03995946553812</v>
      </c>
      <c r="J12139" s="422">
        <f t="shared" si="2235"/>
        <v>319.57142857142856</v>
      </c>
      <c r="K12139" s="297">
        <f>J12139/POBLA!$B$18*100000</f>
        <v>40.906870763363898</v>
      </c>
      <c r="L12139" s="200">
        <f t="shared" si="2236"/>
        <v>-6.2194580186584192E-3</v>
      </c>
      <c r="M12139" s="401">
        <f>SUM(C12139,C12115,C12091,C12067,C12043,C12019,C11995)/POBLA!$B$18*100000</f>
        <v>286.3480953435473</v>
      </c>
      <c r="N12139" s="42" t="s">
        <v>35</v>
      </c>
      <c r="O12139" s="42">
        <v>0</v>
      </c>
      <c r="P12139" s="42">
        <v>3</v>
      </c>
      <c r="Q12139" s="42">
        <v>0</v>
      </c>
      <c r="R12139" s="42">
        <v>3</v>
      </c>
    </row>
    <row r="12140" spans="1:18" x14ac:dyDescent="0.25">
      <c r="A12140" s="367" t="s">
        <v>36</v>
      </c>
      <c r="B12140" s="2">
        <v>44398</v>
      </c>
      <c r="C12140" s="4">
        <v>390</v>
      </c>
      <c r="D12140" s="39">
        <f t="shared" si="2239"/>
        <v>72426</v>
      </c>
      <c r="E12140" s="1">
        <v>7</v>
      </c>
      <c r="F12140" s="39">
        <f t="shared" si="2232"/>
        <v>1188</v>
      </c>
      <c r="G12140" s="168">
        <f>SUM(C12140,C12116,C12092,C12068,C12044,C12020,C11996,C11972,C11948,C11924,C11900,C11876,C11852,C11828)/POBLA!$B$19*100000</f>
        <v>833.51694181709445</v>
      </c>
      <c r="H12140" s="256">
        <f t="shared" si="2237"/>
        <v>0.81028877414419587</v>
      </c>
      <c r="I12140" s="297">
        <f t="shared" si="2238"/>
        <v>675.38942101339251</v>
      </c>
      <c r="J12140" s="422">
        <f t="shared" si="2235"/>
        <v>286.85714285714283</v>
      </c>
      <c r="K12140" s="297">
        <f>J12140/POBLA!$B$19*100000</f>
        <v>56.431505417199688</v>
      </c>
      <c r="L12140" s="200">
        <f t="shared" si="2236"/>
        <v>-9.9147599820547327E-2</v>
      </c>
      <c r="M12140" s="401">
        <f>SUM(C12140,C12116,C12092,C12068,C12044,C12020,C11996)/POBLA!$B$19*100000</f>
        <v>395.02053792039783</v>
      </c>
      <c r="N12140" s="42" t="s">
        <v>36</v>
      </c>
      <c r="O12140" s="42">
        <v>4</v>
      </c>
      <c r="P12140" s="42">
        <v>3</v>
      </c>
      <c r="Q12140" s="42">
        <v>0</v>
      </c>
      <c r="R12140" s="42">
        <v>7</v>
      </c>
    </row>
    <row r="12141" spans="1:18" x14ac:dyDescent="0.25">
      <c r="A12141" s="367" t="s">
        <v>37</v>
      </c>
      <c r="B12141" s="2">
        <v>44398</v>
      </c>
      <c r="C12141" s="4">
        <v>59</v>
      </c>
      <c r="D12141" s="39">
        <f t="shared" si="2239"/>
        <v>57271</v>
      </c>
      <c r="E12141" s="1">
        <v>3</v>
      </c>
      <c r="F12141" s="39">
        <f>E12141+F12117</f>
        <v>926</v>
      </c>
      <c r="G12141" s="168">
        <f>SUM(C12141,C12117,C12094,C12069,C12045,C12021,C11997,C11973,C11949,C11925,C11901,C11877,C11853,C11829)/POBLA!$B$20*100000</f>
        <v>525.8437289785561</v>
      </c>
      <c r="H12141" s="256">
        <f t="shared" si="2237"/>
        <v>0.64455891822279454</v>
      </c>
      <c r="I12141" s="297">
        <f t="shared" si="2238"/>
        <v>338.93726510465848</v>
      </c>
      <c r="J12141" s="422">
        <f t="shared" si="2235"/>
        <v>72</v>
      </c>
      <c r="K12141" s="297">
        <f>J12141/POBLA!$B$20*100000</f>
        <v>19.688376748027061</v>
      </c>
      <c r="L12141" s="200">
        <f t="shared" si="2236"/>
        <v>1.4084507042253502E-2</v>
      </c>
      <c r="M12141" s="401">
        <f>SUM(C12141,C12117,C12093,C12069,C12045,C12021,C11997)/POBLA!$B$20*100000</f>
        <v>137.8186372361894</v>
      </c>
      <c r="N12141" s="42" t="s">
        <v>37</v>
      </c>
      <c r="O12141" s="42">
        <v>0</v>
      </c>
      <c r="P12141" s="42">
        <v>3</v>
      </c>
      <c r="Q12141" s="42">
        <v>0</v>
      </c>
      <c r="R12141" s="42">
        <v>3</v>
      </c>
    </row>
    <row r="12142" spans="1:18" x14ac:dyDescent="0.25">
      <c r="A12142" s="367" t="s">
        <v>22</v>
      </c>
      <c r="B12142" s="2">
        <v>44398</v>
      </c>
      <c r="C12142" s="4">
        <v>1298</v>
      </c>
      <c r="D12142" s="39">
        <f t="shared" si="2239"/>
        <v>435876</v>
      </c>
      <c r="E12142" s="1">
        <v>47</v>
      </c>
      <c r="F12142" s="39">
        <f>E12142+F12118</f>
        <v>7472</v>
      </c>
      <c r="G12142" s="168">
        <f>SUM(C12142,C12118,C12094,C12070,C12046,C12022,C11998,C11974,C11950,C11926,C11902,C11878,C11854,C11830)/POBLA!$B$21*100000</f>
        <v>528.81192212006613</v>
      </c>
      <c r="H12142" s="256">
        <f t="shared" si="2237"/>
        <v>0.80531392644905697</v>
      </c>
      <c r="I12142" s="297">
        <f t="shared" si="2238"/>
        <v>425.85960535558337</v>
      </c>
      <c r="J12142" s="422">
        <f t="shared" si="2235"/>
        <v>1227</v>
      </c>
      <c r="K12142" s="297">
        <f>J12142/POBLA!$B$21*100000</f>
        <v>34.696124722812748</v>
      </c>
      <c r="L12142" s="200">
        <f t="shared" si="2236"/>
        <v>-0.15061313291139244</v>
      </c>
      <c r="M12142" s="401">
        <f>SUM(C12142,C12118,C12094,C12070,C12046,C12022,C11998)/POBLA!$B$21*100000</f>
        <v>242.87287305968923</v>
      </c>
      <c r="N12142" s="42" t="s">
        <v>22</v>
      </c>
      <c r="O12142" s="42">
        <v>17</v>
      </c>
      <c r="P12142" s="42">
        <v>30</v>
      </c>
      <c r="Q12142" s="42">
        <v>0</v>
      </c>
      <c r="R12142" s="42">
        <v>47</v>
      </c>
    </row>
    <row r="12143" spans="1:18" x14ac:dyDescent="0.25">
      <c r="A12143" s="367" t="s">
        <v>38</v>
      </c>
      <c r="B12143" s="2">
        <v>44398</v>
      </c>
      <c r="C12143" s="4">
        <v>562</v>
      </c>
      <c r="D12143" s="39">
        <f t="shared" si="2239"/>
        <v>70169</v>
      </c>
      <c r="E12143" s="1">
        <v>6</v>
      </c>
      <c r="F12143" s="39">
        <f>E12143+F12119</f>
        <v>979</v>
      </c>
      <c r="G12143" s="168">
        <f>SUM(C12143,C12119,C12095,C12071,C12047,C12023,C11999,C11975,C11951,C11927,C11903,C11879,C11855,C11831)/POBLA!$B$22*100000</f>
        <v>717.56176193099748</v>
      </c>
      <c r="H12143" s="256">
        <f t="shared" si="2237"/>
        <v>0.93762521704287427</v>
      </c>
      <c r="I12143" s="297">
        <f t="shared" si="2238"/>
        <v>672.80400277221884</v>
      </c>
      <c r="J12143" s="422">
        <f t="shared" si="2235"/>
        <v>442.71428571428572</v>
      </c>
      <c r="K12143" s="297">
        <f>J12143/POBLA!$B$22*100000</f>
        <v>45.252826622388305</v>
      </c>
      <c r="L12143" s="200">
        <f t="shared" si="2236"/>
        <v>-0.2096403978576894</v>
      </c>
      <c r="M12143" s="401">
        <f>SUM(C12143,C12119,C12095,C12071,C12047,C12023,C11999)/POBLA!$B$22*100000</f>
        <v>316.76978635671816</v>
      </c>
      <c r="N12143" s="42" t="s">
        <v>38</v>
      </c>
      <c r="O12143" s="42">
        <v>1</v>
      </c>
      <c r="P12143" s="42">
        <v>5</v>
      </c>
      <c r="Q12143" s="42">
        <v>0</v>
      </c>
      <c r="R12143" s="42">
        <v>6</v>
      </c>
    </row>
    <row r="12144" spans="1:18" x14ac:dyDescent="0.25">
      <c r="A12144" s="367" t="s">
        <v>39</v>
      </c>
      <c r="B12144" s="2">
        <v>44398</v>
      </c>
      <c r="C12144" s="4">
        <v>68</v>
      </c>
      <c r="D12144" s="39">
        <f t="shared" si="2239"/>
        <v>30706</v>
      </c>
      <c r="E12144" s="1">
        <v>1</v>
      </c>
      <c r="F12144" s="39">
        <f>E12144+F12120</f>
        <v>464</v>
      </c>
      <c r="G12144" s="168">
        <f>SUM(C12144,C12120,C12096,C12072,C12048,C12024,C12000,C11976,C11952,C11928,C11904,C11880,C11856,C11832)/POBLA!$B$23*100000</f>
        <v>352.31578352089576</v>
      </c>
      <c r="H12144" s="256">
        <f t="shared" si="2237"/>
        <v>0.98888888888888893</v>
      </c>
      <c r="I12144" s="297">
        <f t="shared" si="2238"/>
        <v>348.40116370399693</v>
      </c>
      <c r="J12144" s="422">
        <f t="shared" si="2235"/>
        <v>45.428571428571431</v>
      </c>
      <c r="K12144" s="297">
        <f>J12144/POBLA!$B$23*100000</f>
        <v>25.690534088430372</v>
      </c>
      <c r="L12144" s="200">
        <f t="shared" si="2236"/>
        <v>4.2622950819672045E-2</v>
      </c>
      <c r="M12144" s="401">
        <f>SUM(C12144,C12120,C12096,C12072,C12048,C12024,C12000)/POBLA!$B$23*100000</f>
        <v>179.83373861901262</v>
      </c>
      <c r="N12144" s="42" t="s">
        <v>39</v>
      </c>
      <c r="O12144" s="42">
        <v>1</v>
      </c>
      <c r="P12144" s="42">
        <v>0</v>
      </c>
      <c r="Q12144" s="42">
        <v>0</v>
      </c>
      <c r="R12144" s="42">
        <v>1</v>
      </c>
    </row>
    <row r="12145" spans="1:18" ht="15.75" thickBot="1" x14ac:dyDescent="0.3">
      <c r="A12145" s="369" t="s">
        <v>40</v>
      </c>
      <c r="B12145" s="266">
        <v>44398</v>
      </c>
      <c r="C12145" s="357">
        <v>671</v>
      </c>
      <c r="D12145" s="176">
        <f t="shared" si="2239"/>
        <v>174378</v>
      </c>
      <c r="E12145" s="44">
        <v>10</v>
      </c>
      <c r="F12145" s="176">
        <f>E12145+F12121</f>
        <v>2496</v>
      </c>
      <c r="G12145" s="177">
        <f>SUM(C12145,C12121,C12097,C12073,C12049,C12025,C12001,C11977,C11953,C11929,C11905,C11881,C11857,C11833)/POBLA!$B$24*100000</f>
        <v>567.37178518826238</v>
      </c>
      <c r="H12145" s="402">
        <f t="shared" si="2237"/>
        <v>0.6086984046594075</v>
      </c>
      <c r="I12145" s="403">
        <f t="shared" si="2238"/>
        <v>345.35830049285534</v>
      </c>
      <c r="J12145" s="423">
        <f t="shared" si="2235"/>
        <v>707.57142857142856</v>
      </c>
      <c r="K12145" s="403">
        <f>J12145/POBLA!$B$24*100000</f>
        <v>41.753100840018774</v>
      </c>
      <c r="L12145" s="404">
        <f t="shared" si="2236"/>
        <v>6.241956241956248E-2</v>
      </c>
      <c r="M12145" s="405">
        <f>SUM(C12145,C12121,C12097,C12073,C12049,C12025,C12001)/POBLA!$B$24*100000</f>
        <v>292.27170588013144</v>
      </c>
      <c r="N12145" s="42" t="s">
        <v>40</v>
      </c>
      <c r="O12145" s="42">
        <v>4</v>
      </c>
      <c r="P12145" s="42">
        <v>6</v>
      </c>
      <c r="Q12145" s="42">
        <v>0</v>
      </c>
      <c r="R12145" s="42">
        <v>10</v>
      </c>
    </row>
    <row r="12146" spans="1:18" x14ac:dyDescent="0.25">
      <c r="A12146" s="363" t="s">
        <v>16</v>
      </c>
      <c r="B12146" s="265">
        <v>44399</v>
      </c>
      <c r="C12146" s="356">
        <v>3847</v>
      </c>
      <c r="D12146" s="174">
        <f>C12146+D12122</f>
        <v>1943844</v>
      </c>
      <c r="E12146" s="43">
        <v>46</v>
      </c>
      <c r="F12146" s="174">
        <f t="shared" ref="F12146:F12164" si="2240">E12146+F12122</f>
        <v>51192</v>
      </c>
      <c r="G12146" s="175">
        <f>SUM(C12146,C12122,C12074,C12098,C12050,C12026,C12002,C11978,C11954,C11930,C11906,C11882,C11858,C11834)/POBLA!$B$1*100000</f>
        <v>326.13613903451318</v>
      </c>
      <c r="H12146" s="300">
        <f t="shared" si="2237"/>
        <v>0.69179515085555354</v>
      </c>
      <c r="I12146" s="301">
        <f>G12146*H12146</f>
        <v>225.61939950282883</v>
      </c>
      <c r="J12146" s="421">
        <f>AVERAGE(C12146,C12122,C12098,C12074,C12050,C12026,C12002)</f>
        <v>3794.5714285714284</v>
      </c>
      <c r="K12146" s="301">
        <f>J12146/POBLA!$B$1*100000</f>
        <v>21.632409365909709</v>
      </c>
      <c r="L12146" s="399">
        <f>(SUM(C12146,C12122,C12098,C12074,C12050,C12026,C12002)/SUM(C11978,C11954,C11930,C11906,C11882,C11858,C11834))-1</f>
        <v>-0.13326372120341967</v>
      </c>
      <c r="M12146" s="400">
        <f>SUM(C12146,C12122,C12098,C12074,C12050,C12026,C12002)/POBLA!$B$1*100000</f>
        <v>151.426865561368</v>
      </c>
      <c r="N12146" s="42" t="s">
        <v>319</v>
      </c>
      <c r="O12146" s="42">
        <v>19</v>
      </c>
      <c r="P12146" s="42">
        <v>27</v>
      </c>
      <c r="Q12146" s="42">
        <v>0</v>
      </c>
      <c r="R12146" s="42">
        <v>46</v>
      </c>
    </row>
    <row r="12147" spans="1:18" x14ac:dyDescent="0.25">
      <c r="A12147" s="367" t="s">
        <v>43</v>
      </c>
      <c r="B12147" s="2">
        <v>44399</v>
      </c>
      <c r="C12147" s="4">
        <v>695</v>
      </c>
      <c r="D12147" s="39">
        <f t="shared" ref="D12147:D12161" si="2241">C12147+D12123</f>
        <v>484928</v>
      </c>
      <c r="E12147" s="1">
        <v>15</v>
      </c>
      <c r="F12147" s="39">
        <f t="shared" si="2240"/>
        <v>10772</v>
      </c>
      <c r="G12147" s="168">
        <f>SUM(C12147,C12123,C12099,C12075,C12051,C12027,C12003,C11979,C11955,C11931,C11907,C11883,C11859,C11835)/POBLA!$B$2*100000</f>
        <v>402.35449723407697</v>
      </c>
      <c r="H12147" s="256">
        <f t="shared" si="2237"/>
        <v>0.76834719980131627</v>
      </c>
      <c r="I12147" s="297">
        <f t="shared" ref="I12147:I12153" si="2242">G12147*H12147</f>
        <v>309.1479512772695</v>
      </c>
      <c r="J12147" s="422">
        <f>AVERAGE(C12147,C12123,C12099,C12075,C12051,C12027,C12003)</f>
        <v>817</v>
      </c>
      <c r="K12147" s="297">
        <f>J12147/POBLA!$B$2*100000</f>
        <v>26.56352519113058</v>
      </c>
      <c r="L12147" s="200">
        <f>(SUM(C12147,C12123,C12099,C12075,C12051,C12027,C12003)/SUM(C11979,C11955,C11931,C11907,C11883,C11859,C11835))-1</f>
        <v>-0.14077524038461542</v>
      </c>
      <c r="M12147" s="401">
        <f>SUM(C12147,C12123,C12099,C12075,C12051,C12027,C12003)/POBLA!$B$2*100000</f>
        <v>185.94467633791405</v>
      </c>
      <c r="N12147" s="42" t="s">
        <v>43</v>
      </c>
      <c r="O12147" s="42">
        <v>6</v>
      </c>
      <c r="P12147" s="42">
        <v>9</v>
      </c>
      <c r="Q12147" s="42">
        <v>0</v>
      </c>
      <c r="R12147" s="42">
        <v>15</v>
      </c>
    </row>
    <row r="12148" spans="1:18" x14ac:dyDescent="0.25">
      <c r="A12148" s="367" t="s">
        <v>28</v>
      </c>
      <c r="B12148" s="2">
        <v>44399</v>
      </c>
      <c r="C12148" s="4">
        <v>288</v>
      </c>
      <c r="D12148" s="39">
        <f t="shared" si="2241"/>
        <v>39990</v>
      </c>
      <c r="E12148" s="1">
        <v>16</v>
      </c>
      <c r="F12148" s="39">
        <f t="shared" si="2240"/>
        <v>433</v>
      </c>
      <c r="G12148" s="168">
        <f>SUM(C12148,C12124,C12100,C12076,C12052,C12028,C12004,C11980,C11956,C11932,C11908,C11884,C11860,C11836)/POBLA!$B$3*100000</f>
        <v>827.56030984166114</v>
      </c>
      <c r="H12148" s="256">
        <f t="shared" si="2237"/>
        <v>0.80327102803738315</v>
      </c>
      <c r="I12148" s="297">
        <f t="shared" si="2242"/>
        <v>664.75522084944646</v>
      </c>
      <c r="J12148" s="422">
        <f t="shared" ref="J12148:J12169" si="2243">AVERAGE(C12148,C12124,C12100,C12076,C12052,C12028,C12004)</f>
        <v>243</v>
      </c>
      <c r="K12148" s="297">
        <f>J12148/POBLA!$B$3*100000</f>
        <v>58.492482632787564</v>
      </c>
      <c r="L12148" s="200">
        <f t="shared" ref="L12148:L12169" si="2244">(SUM(C12148,C12124,C12100,C12076,C12052,C12028,C12004)/SUM(C11980,C11956,C11932,C11908,C11884,C11860,C11836))-1</f>
        <v>-2.0725388601036232E-2</v>
      </c>
      <c r="M12148" s="401">
        <f>SUM(C12148,C12124,C12100,C12076,C12052,C12028,C12004)/POBLA!$B$3*100000</f>
        <v>409.44737842951292</v>
      </c>
      <c r="N12148" s="42" t="s">
        <v>28</v>
      </c>
      <c r="O12148" s="42">
        <v>5</v>
      </c>
      <c r="P12148" s="42">
        <v>11</v>
      </c>
      <c r="Q12148" s="42">
        <v>0</v>
      </c>
      <c r="R12148" s="42">
        <v>16</v>
      </c>
    </row>
    <row r="12149" spans="1:18" x14ac:dyDescent="0.25">
      <c r="A12149" s="367" t="s">
        <v>15</v>
      </c>
      <c r="B12149" s="2">
        <v>44399</v>
      </c>
      <c r="C12149" s="4">
        <v>277</v>
      </c>
      <c r="D12149" s="39">
        <f t="shared" si="2241"/>
        <v>87394</v>
      </c>
      <c r="E12149" s="1">
        <v>16</v>
      </c>
      <c r="F12149" s="39">
        <f t="shared" si="2240"/>
        <v>1934</v>
      </c>
      <c r="G12149" s="168">
        <f>SUM(C12149,C12125,C12101,C12077,C12053,C12029,C12005,C11981,C11957,C11933,C11909,C11885,C11861,C11837)/POBLA!$B$4*100000</f>
        <v>489.31501708949713</v>
      </c>
      <c r="H12149" s="256">
        <f t="shared" si="2237"/>
        <v>0.7543837194419557</v>
      </c>
      <c r="I12149" s="297">
        <f t="shared" si="2242"/>
        <v>369.13128257077898</v>
      </c>
      <c r="J12149" s="422">
        <f t="shared" si="2243"/>
        <v>334.57142857142856</v>
      </c>
      <c r="K12149" s="297">
        <f>J12149/POBLA!$B$4*100000</f>
        <v>27.775843958107572</v>
      </c>
      <c r="L12149" s="200">
        <f t="shared" si="2244"/>
        <v>-0.34065315315315314</v>
      </c>
      <c r="M12149" s="401">
        <f>SUM(C12149,C12125,C12101,C12077,C12053,C12029,C12005)/POBLA!$B$4*100000</f>
        <v>194.43090770675303</v>
      </c>
      <c r="N12149" s="42" t="s">
        <v>15</v>
      </c>
      <c r="O12149" s="42">
        <v>10</v>
      </c>
      <c r="P12149" s="42">
        <v>6</v>
      </c>
      <c r="Q12149" s="42">
        <v>0</v>
      </c>
      <c r="R12149" s="42">
        <v>16</v>
      </c>
    </row>
    <row r="12150" spans="1:18" x14ac:dyDescent="0.25">
      <c r="A12150" s="367" t="s">
        <v>29</v>
      </c>
      <c r="B12150" s="2">
        <v>44399</v>
      </c>
      <c r="C12150" s="4">
        <v>215</v>
      </c>
      <c r="D12150" s="39">
        <f t="shared" si="2241"/>
        <v>74666</v>
      </c>
      <c r="E12150" s="1">
        <v>2</v>
      </c>
      <c r="F12150" s="39">
        <f t="shared" si="2240"/>
        <v>1289</v>
      </c>
      <c r="G12150" s="168">
        <f>SUM(C12150,C12126,C12102,C12078,C12054,C12030,C12006,C11982,C11958,C11934,C11910,C11886,C11862,C11838)/POBLA!$B$5*100000</f>
        <v>377.70963854253836</v>
      </c>
      <c r="H12150" s="256">
        <f t="shared" si="2237"/>
        <v>0.80927656628591205</v>
      </c>
      <c r="I12150" s="297">
        <f t="shared" si="2242"/>
        <v>305.67155933279844</v>
      </c>
      <c r="J12150" s="422">
        <f t="shared" si="2243"/>
        <v>171</v>
      </c>
      <c r="K12150" s="297">
        <f>J12150/POBLA!$B$5*100000</f>
        <v>27.625469713761362</v>
      </c>
      <c r="L12150" s="200">
        <f t="shared" si="2244"/>
        <v>4.9079754601226933E-2</v>
      </c>
      <c r="M12150" s="401">
        <f>SUM(C12150,C12126,C12102,C12078,C12054,C12030,C12006)/POBLA!$B$5*100000</f>
        <v>193.37828799632953</v>
      </c>
      <c r="N12150" s="42" t="s">
        <v>29</v>
      </c>
      <c r="O12150" s="42">
        <v>1</v>
      </c>
      <c r="P12150" s="42">
        <v>1</v>
      </c>
      <c r="Q12150" s="42">
        <v>0</v>
      </c>
      <c r="R12150" s="42">
        <v>2</v>
      </c>
    </row>
    <row r="12151" spans="1:18" x14ac:dyDescent="0.25">
      <c r="A12151" s="367" t="s">
        <v>30</v>
      </c>
      <c r="B12151" s="2">
        <v>44399</v>
      </c>
      <c r="C12151" s="4">
        <v>25</v>
      </c>
      <c r="D12151" s="39">
        <f t="shared" si="2241"/>
        <v>444183</v>
      </c>
      <c r="E12151" s="1">
        <v>10</v>
      </c>
      <c r="F12151" s="39">
        <f t="shared" si="2240"/>
        <v>5825</v>
      </c>
      <c r="G12151" s="168">
        <f>SUM(C12151,C12127,C12103,C12079,C12055,C12031,C12007,C11983,C11959,C11935,C11911,C11887,C11863,C11839)/POBLA!$B$6*100000</f>
        <v>571.73396526234365</v>
      </c>
      <c r="H12151" s="256">
        <f t="shared" si="2237"/>
        <v>0.95499254843517134</v>
      </c>
      <c r="I12151" s="297">
        <f t="shared" si="2242"/>
        <v>546.0016765128313</v>
      </c>
      <c r="J12151" s="422">
        <f t="shared" si="2243"/>
        <v>421.85714285714283</v>
      </c>
      <c r="K12151" s="297">
        <f>J12151/POBLA!$B$6*100000</f>
        <v>37.6388977933766</v>
      </c>
      <c r="L12151" s="200">
        <f t="shared" si="2244"/>
        <v>-0.14529667149059333</v>
      </c>
      <c r="M12151" s="401">
        <f>SUM(C12151,C12127,C12103,C12079,C12055,C12031,C12007)/POBLA!$B$6*100000</f>
        <v>263.4722845536362</v>
      </c>
      <c r="N12151" s="42" t="s">
        <v>30</v>
      </c>
      <c r="O12151" s="42">
        <v>3</v>
      </c>
      <c r="P12151" s="42">
        <v>7</v>
      </c>
      <c r="Q12151" s="42">
        <v>0</v>
      </c>
      <c r="R12151" s="42">
        <v>10</v>
      </c>
    </row>
    <row r="12152" spans="1:18" x14ac:dyDescent="0.25">
      <c r="A12152" s="367" t="s">
        <v>20</v>
      </c>
      <c r="B12152" s="2">
        <v>44399</v>
      </c>
      <c r="C12152" s="4">
        <v>2217</v>
      </c>
      <c r="D12152" s="39">
        <f t="shared" si="2241"/>
        <v>83762</v>
      </c>
      <c r="E12152" s="1">
        <v>28</v>
      </c>
      <c r="F12152" s="39">
        <f t="shared" si="2240"/>
        <v>997</v>
      </c>
      <c r="G12152" s="168">
        <f>SUM(C12152,C12128,C12104,C12080,C12056,C12032,C12008,C11984,C11960,C11936,C11912,C11888,C11864,C11840)/POBLA!$B$7*100000</f>
        <v>626.46757701870786</v>
      </c>
      <c r="H12152" s="256">
        <f t="shared" si="2237"/>
        <v>0.73671701535478629</v>
      </c>
      <c r="I12152" s="297">
        <f t="shared" si="2242"/>
        <v>461.52932355776716</v>
      </c>
      <c r="J12152" s="422">
        <f t="shared" si="2243"/>
        <v>1504.8571428571429</v>
      </c>
      <c r="K12152" s="297">
        <f>J12152/POBLA!$B$7*100000</f>
        <v>40.018006963452322</v>
      </c>
      <c r="L12152" s="200">
        <f t="shared" si="2244"/>
        <v>-0.19118550368550369</v>
      </c>
      <c r="M12152" s="401">
        <f>SUM(C12152,C12128,C12104,C12080,C12056,C12032,C12008)/POBLA!$B$7*100000</f>
        <v>280.12604874416627</v>
      </c>
      <c r="N12152" s="42" t="s">
        <v>20</v>
      </c>
      <c r="O12152" s="42">
        <v>16</v>
      </c>
      <c r="P12152" s="42">
        <v>12</v>
      </c>
      <c r="Q12152" s="42">
        <v>0</v>
      </c>
      <c r="R12152" s="42">
        <v>28</v>
      </c>
    </row>
    <row r="12153" spans="1:18" x14ac:dyDescent="0.25">
      <c r="A12153" s="367" t="s">
        <v>31</v>
      </c>
      <c r="B12153" s="2">
        <v>44399</v>
      </c>
      <c r="C12153" s="4">
        <v>592</v>
      </c>
      <c r="D12153" s="39">
        <f t="shared" si="2241"/>
        <v>124313</v>
      </c>
      <c r="E12153" s="1">
        <v>7</v>
      </c>
      <c r="F12153" s="39">
        <f t="shared" si="2240"/>
        <v>2060</v>
      </c>
      <c r="G12153" s="168">
        <f>SUM(C12153,C12129,C12105,C12081,C12057,C12033,C12009,C11985,C11961,C11937,C11913,C11889,C11865,C11841)/POBLA!$B$8*100000</f>
        <v>587.46241777366038</v>
      </c>
      <c r="H12153" s="256">
        <f t="shared" ref="H12153:H12176" si="2245">SUM(C12153,C12129,C12105,C12081,C12057,C12033,C12009,C11985,C11961,C11937,C11913,C11889,C11865,C11841,)/SUM(C11817,C11793,C11769,C11745,C11721,C11697,C11673,C11649,C11625,C11601,C11577,C11553,C11529,C11505)</f>
        <v>0.78880062003487694</v>
      </c>
      <c r="I12153" s="297">
        <f t="shared" si="2242"/>
        <v>463.39071938705121</v>
      </c>
      <c r="J12153" s="422">
        <f t="shared" si="2243"/>
        <v>500.42857142857144</v>
      </c>
      <c r="K12153" s="297">
        <f>J12153/POBLA!$B$8*100000</f>
        <v>36.10697353161968</v>
      </c>
      <c r="L12153" s="200">
        <f t="shared" si="2244"/>
        <v>-0.24488036214701447</v>
      </c>
      <c r="M12153" s="401">
        <f>SUM(C12153,C12129,C12105,C12081,C12057,C12033,C12009)/POBLA!$B$8*100000</f>
        <v>252.74881472133774</v>
      </c>
      <c r="N12153" s="42" t="s">
        <v>31</v>
      </c>
      <c r="O12153" s="42">
        <v>4</v>
      </c>
      <c r="P12153" s="42">
        <v>3</v>
      </c>
      <c r="Q12153" s="42">
        <v>0</v>
      </c>
      <c r="R12153" s="42">
        <v>7</v>
      </c>
    </row>
    <row r="12154" spans="1:18" x14ac:dyDescent="0.25">
      <c r="A12154" s="367" t="s">
        <v>41</v>
      </c>
      <c r="B12154" s="2">
        <v>44399</v>
      </c>
      <c r="C12154" s="4">
        <v>302</v>
      </c>
      <c r="D12154" s="39">
        <f t="shared" si="2241"/>
        <v>53855</v>
      </c>
      <c r="E12154" s="1">
        <v>5</v>
      </c>
      <c r="F12154" s="39">
        <f t="shared" si="2240"/>
        <v>961</v>
      </c>
      <c r="G12154" s="168">
        <f>SUM(C12154,C12130,C12106,C12082,C12058,C12034,C12010,C11986,C11962,C11938,C11914,C11890,C11866,C11842)/POBLA!$B$9*100000</f>
        <v>812.13761560361729</v>
      </c>
      <c r="H12154" s="256">
        <f t="shared" si="2245"/>
        <v>0.86991150442477871</v>
      </c>
      <c r="I12154" s="297">
        <f>G12154*H12154</f>
        <v>706.48785498969539</v>
      </c>
      <c r="J12154" s="422">
        <f t="shared" si="2243"/>
        <v>280.42857142857144</v>
      </c>
      <c r="K12154" s="297">
        <f>J12154/POBLA!$B$9*100000</f>
        <v>46.337048086903096</v>
      </c>
      <c r="L12154" s="200">
        <f t="shared" si="2244"/>
        <v>-0.33502710027100269</v>
      </c>
      <c r="M12154" s="401">
        <f>SUM(C12154,C12130,C12106,C12082,C12058,C12034,C12010)/POBLA!$B$9*100000</f>
        <v>324.35933660832166</v>
      </c>
      <c r="N12154" s="42" t="s">
        <v>41</v>
      </c>
      <c r="O12154" s="42">
        <v>4</v>
      </c>
      <c r="P12154" s="42">
        <v>1</v>
      </c>
      <c r="Q12154" s="42">
        <v>0</v>
      </c>
      <c r="R12154" s="42">
        <v>5</v>
      </c>
    </row>
    <row r="12155" spans="1:18" x14ac:dyDescent="0.25">
      <c r="A12155" s="367" t="s">
        <v>32</v>
      </c>
      <c r="B12155" s="2">
        <v>44399</v>
      </c>
      <c r="C12155" s="4">
        <v>224</v>
      </c>
      <c r="D12155" s="39">
        <f t="shared" si="2241"/>
        <v>41825</v>
      </c>
      <c r="E12155" s="1">
        <v>7</v>
      </c>
      <c r="F12155" s="39">
        <f t="shared" si="2240"/>
        <v>1279</v>
      </c>
      <c r="G12155" s="168">
        <f>SUM(C12155,C12131,C12107,C12083,C12059,C12035,C12011,C11987,C11963,C11939,C11915,C11891,C11867,C11843)/POBLA!$B$10*100000</f>
        <v>483.47280578973925</v>
      </c>
      <c r="H12155" s="256">
        <f t="shared" si="2245"/>
        <v>0.96454451345755698</v>
      </c>
      <c r="I12155" s="297">
        <f t="shared" ref="I12155:I12169" si="2246">G12155*H12155</f>
        <v>466.33104223042398</v>
      </c>
      <c r="J12155" s="422">
        <f t="shared" si="2243"/>
        <v>249.14285714285714</v>
      </c>
      <c r="K12155" s="297">
        <f>J12155/POBLA!$B$10*100000</f>
        <v>32.319236969500757</v>
      </c>
      <c r="L12155" s="200">
        <f t="shared" si="2244"/>
        <v>-0.12052445789208266</v>
      </c>
      <c r="M12155" s="401">
        <f>SUM(C12155,C12131,C12107,C12083,C12059,C12035,C12011)/POBLA!$B$10*100000</f>
        <v>226.23465878650532</v>
      </c>
      <c r="N12155" s="42" t="s">
        <v>32</v>
      </c>
      <c r="O12155" s="42">
        <v>5</v>
      </c>
      <c r="P12155" s="42">
        <v>2</v>
      </c>
      <c r="Q12155" s="42">
        <v>0</v>
      </c>
      <c r="R12155" s="42">
        <v>7</v>
      </c>
    </row>
    <row r="12156" spans="1:18" x14ac:dyDescent="0.25">
      <c r="A12156" s="367" t="s">
        <v>33</v>
      </c>
      <c r="B12156" s="2">
        <v>44399</v>
      </c>
      <c r="C12156" s="4">
        <v>311</v>
      </c>
      <c r="D12156" s="39">
        <f t="shared" si="2241"/>
        <v>58927</v>
      </c>
      <c r="E12156" s="1">
        <v>3</v>
      </c>
      <c r="F12156" s="39">
        <f t="shared" si="2240"/>
        <v>810</v>
      </c>
      <c r="G12156" s="168">
        <f>SUM(C12156,C12132,C12108,C12084,C12060,C12036,C12012,C11988,C11964,C11940,C11916,C11892,C11868,C11844)/POBLA!$B$11*100000</f>
        <v>1021.6835738279376</v>
      </c>
      <c r="H12156" s="256">
        <f t="shared" si="2245"/>
        <v>0.77865192430363595</v>
      </c>
      <c r="I12156" s="297">
        <f t="shared" si="2246"/>
        <v>795.53588079053952</v>
      </c>
      <c r="J12156" s="422">
        <f t="shared" si="2243"/>
        <v>264.57142857142856</v>
      </c>
      <c r="K12156" s="297">
        <f>J12156/POBLA!$B$11*100000</f>
        <v>73.814386312293834</v>
      </c>
      <c r="L12156" s="200">
        <f t="shared" si="2244"/>
        <v>2.3204419889502725E-2</v>
      </c>
      <c r="M12156" s="401">
        <f>SUM(C12156,C12132,C12108,C12084,C12060,C12036,C12012)/POBLA!$B$11*100000</f>
        <v>516.7007041860569</v>
      </c>
      <c r="N12156" s="42" t="s">
        <v>33</v>
      </c>
      <c r="O12156" s="42">
        <v>1</v>
      </c>
      <c r="P12156" s="42">
        <v>2</v>
      </c>
      <c r="Q12156" s="42">
        <v>0</v>
      </c>
      <c r="R12156" s="42">
        <v>3</v>
      </c>
    </row>
    <row r="12157" spans="1:18" x14ac:dyDescent="0.25">
      <c r="A12157" s="367" t="s">
        <v>21</v>
      </c>
      <c r="B12157" s="2">
        <v>44399</v>
      </c>
      <c r="C12157" s="4">
        <v>121</v>
      </c>
      <c r="D12157" s="39">
        <f t="shared" si="2241"/>
        <v>26260</v>
      </c>
      <c r="F12157" s="39">
        <f t="shared" si="2240"/>
        <v>761</v>
      </c>
      <c r="G12157" s="168">
        <f>SUM(C12157,C12133,C12109,C12085,C12061,C12037,C12013,C11989,C11965,C11941,C11917,C11893,C11869,C11845)/POBLA!$B$12*100000</f>
        <v>653.56985853719277</v>
      </c>
      <c r="H12157" s="256">
        <f t="shared" si="2245"/>
        <v>1.0094191522762952</v>
      </c>
      <c r="I12157" s="297">
        <f t="shared" si="2246"/>
        <v>659.7259325579513</v>
      </c>
      <c r="J12157" s="422">
        <f t="shared" si="2243"/>
        <v>173.14285714285714</v>
      </c>
      <c r="K12157" s="297">
        <f>J12157/POBLA!$B$12*100000</f>
        <v>43.997259972621507</v>
      </c>
      <c r="L12157" s="200">
        <f t="shared" si="2244"/>
        <v>-0.10882352941176465</v>
      </c>
      <c r="M12157" s="401">
        <f>SUM(C12157,C12133,C12109,C12085,C12061,C12037,C12013)/POBLA!$B$12*100000</f>
        <v>307.98081980835059</v>
      </c>
    </row>
    <row r="12158" spans="1:18" x14ac:dyDescent="0.25">
      <c r="A12158" s="367" t="s">
        <v>17</v>
      </c>
      <c r="B12158" s="2">
        <v>44399</v>
      </c>
      <c r="C12158" s="4">
        <v>515</v>
      </c>
      <c r="D12158" s="39">
        <f t="shared" si="2241"/>
        <v>150351</v>
      </c>
      <c r="E12158" s="1">
        <v>27</v>
      </c>
      <c r="F12158" s="39">
        <f t="shared" si="2240"/>
        <v>3739</v>
      </c>
      <c r="G12158" s="168">
        <f>SUM(C12158,C12134,C12110,C12086,C12062,C12038,C12014,C11990,C11966,C11942,C11918,C11894,C11870,C11846)/POBLA!$B$13*100000</f>
        <v>305.37526791931822</v>
      </c>
      <c r="H12158" s="256">
        <f t="shared" si="2245"/>
        <v>0.77693979291831783</v>
      </c>
      <c r="I12158" s="297">
        <f t="shared" si="2246"/>
        <v>237.25819741961092</v>
      </c>
      <c r="J12158" s="422">
        <f t="shared" si="2243"/>
        <v>417.42857142857144</v>
      </c>
      <c r="K12158" s="297">
        <f>J12158/POBLA!$B$13*100000</f>
        <v>20.972747916613734</v>
      </c>
      <c r="L12158" s="200">
        <f t="shared" si="2244"/>
        <v>-7.4144486692015232E-2</v>
      </c>
      <c r="M12158" s="401">
        <f>SUM(C12158,C12134,C12110,C12086,C12062,C12038,C12014)/POBLA!$B$13*100000</f>
        <v>146.8092354162961</v>
      </c>
      <c r="N12158" s="42" t="s">
        <v>17</v>
      </c>
      <c r="O12158" s="42">
        <v>12</v>
      </c>
      <c r="P12158" s="42">
        <v>14</v>
      </c>
      <c r="Q12158" s="42">
        <v>1</v>
      </c>
      <c r="R12158" s="42">
        <v>27</v>
      </c>
    </row>
    <row r="12159" spans="1:18" x14ac:dyDescent="0.25">
      <c r="A12159" s="367" t="s">
        <v>23</v>
      </c>
      <c r="B12159" s="2">
        <v>44399</v>
      </c>
      <c r="C12159" s="4">
        <v>175</v>
      </c>
      <c r="D12159" s="39">
        <f t="shared" si="2241"/>
        <v>29299</v>
      </c>
      <c r="F12159" s="39">
        <f t="shared" si="2240"/>
        <v>500</v>
      </c>
      <c r="G12159" s="168">
        <f>SUM(C12159,C12135,C12111,C12087,C12063,C12039,C12015,C11991,C11967,C11943,C11919,C11895,C11871,C11847)/POBLA!$B$14*100000</f>
        <v>176.56470259907684</v>
      </c>
      <c r="H12159" s="256">
        <f t="shared" si="2245"/>
        <v>0.87504911591355594</v>
      </c>
      <c r="I12159" s="297">
        <f t="shared" si="2246"/>
        <v>154.50278691086211</v>
      </c>
      <c r="J12159" s="422">
        <f t="shared" si="2243"/>
        <v>170</v>
      </c>
      <c r="K12159" s="297">
        <f>J12159/POBLA!$B$14*100000</f>
        <v>13.478221572448611</v>
      </c>
      <c r="L12159" s="200">
        <f t="shared" si="2244"/>
        <v>0.14754098360655732</v>
      </c>
      <c r="M12159" s="401">
        <f>SUM(C12159,C12135,C12111,C12087,C12063,C12039,C12015)/POBLA!$B$14*100000</f>
        <v>94.347551007140297</v>
      </c>
    </row>
    <row r="12160" spans="1:18" x14ac:dyDescent="0.25">
      <c r="A12160" s="367" t="s">
        <v>19</v>
      </c>
      <c r="B12160" s="2">
        <v>44399</v>
      </c>
      <c r="C12160" s="4">
        <v>188</v>
      </c>
      <c r="D12160" s="39">
        <f t="shared" si="2241"/>
        <v>105632</v>
      </c>
      <c r="E12160" s="1">
        <v>2</v>
      </c>
      <c r="F12160" s="39">
        <f t="shared" si="2240"/>
        <v>1996</v>
      </c>
      <c r="G12160" s="168">
        <f>SUM(C12160,C12136,C12112,C12088,C12064,C12040,C12016,C11992,C11968,C11944,C11920,C11896,C11872,C11848)/POBLA!$B$15*100000</f>
        <v>380.38903286916639</v>
      </c>
      <c r="H12160" s="256">
        <f t="shared" si="2245"/>
        <v>0.84481605351170563</v>
      </c>
      <c r="I12160" s="297">
        <f t="shared" si="2246"/>
        <v>321.35876154766362</v>
      </c>
      <c r="J12160" s="422">
        <f t="shared" si="2243"/>
        <v>180.42857142857142</v>
      </c>
      <c r="K12160" s="297">
        <f>J12160/POBLA!$B$15*100000</f>
        <v>27.170645204940449</v>
      </c>
      <c r="L12160" s="200">
        <f t="shared" si="2244"/>
        <v>0</v>
      </c>
      <c r="M12160" s="401">
        <f>SUM(C12160,C12136,C12112,C12088,C12064,C12040,C12016)/POBLA!$B$15*100000</f>
        <v>190.19451643458319</v>
      </c>
      <c r="N12160" s="42" t="s">
        <v>19</v>
      </c>
      <c r="O12160" s="42">
        <v>2</v>
      </c>
      <c r="P12160" s="42">
        <v>0</v>
      </c>
      <c r="Q12160" s="42">
        <v>0</v>
      </c>
      <c r="R12160" s="42">
        <v>2</v>
      </c>
    </row>
    <row r="12161" spans="1:18" x14ac:dyDescent="0.25">
      <c r="A12161" s="367" t="s">
        <v>18</v>
      </c>
      <c r="B12161" s="2">
        <v>44399</v>
      </c>
      <c r="C12161" s="4">
        <v>257</v>
      </c>
      <c r="D12161" s="39">
        <f t="shared" si="2241"/>
        <v>89466</v>
      </c>
      <c r="E12161" s="1">
        <v>4</v>
      </c>
      <c r="F12161" s="39">
        <f t="shared" si="2240"/>
        <v>2040</v>
      </c>
      <c r="G12161" s="168">
        <f>SUM(C12161,C12137,C12113,C12089,C12065,C12041,C12017,C11993,C11969,C11945,C11921,C11897,C11873,C11849)/POBLA!$B$16*100000</f>
        <v>452.90993967442921</v>
      </c>
      <c r="H12161" s="256">
        <f t="shared" si="2245"/>
        <v>1.0089392133492252</v>
      </c>
      <c r="I12161" s="297">
        <f t="shared" si="2246"/>
        <v>456.95859825316364</v>
      </c>
      <c r="J12161" s="422">
        <f t="shared" si="2243"/>
        <v>266.28571428571428</v>
      </c>
      <c r="K12161" s="297">
        <f>J12161/POBLA!$B$16*100000</f>
        <v>35.618265443976711</v>
      </c>
      <c r="L12161" s="200">
        <f t="shared" si="2244"/>
        <v>0.22470433639947429</v>
      </c>
      <c r="M12161" s="401">
        <f>SUM(C12161,C12137,C12113,C12089,C12065,C12041,C12017)/POBLA!$B$16*100000</f>
        <v>249.32785810783696</v>
      </c>
      <c r="N12161" s="42" t="s">
        <v>18</v>
      </c>
      <c r="O12161" s="42">
        <v>2</v>
      </c>
      <c r="P12161" s="42">
        <v>2</v>
      </c>
      <c r="Q12161" s="42">
        <v>0</v>
      </c>
      <c r="R12161" s="42">
        <v>4</v>
      </c>
    </row>
    <row r="12162" spans="1:18" x14ac:dyDescent="0.25">
      <c r="A12162" s="367" t="s">
        <v>34</v>
      </c>
      <c r="B12162" s="2">
        <v>44399</v>
      </c>
      <c r="C12162" s="4">
        <v>421</v>
      </c>
      <c r="D12162" s="39">
        <f>C12162+D12138</f>
        <v>72175</v>
      </c>
      <c r="E12162" s="1">
        <v>6</v>
      </c>
      <c r="F12162" s="39">
        <f t="shared" si="2240"/>
        <v>2000</v>
      </c>
      <c r="G12162" s="168">
        <f>SUM(C12162,C12138,C12114,C12090,C12066,C12042,C12018,C11994,C11970,C11946,C11922,C11898,C11874,C11850)/POBLA!$B$17*100000</f>
        <v>465.53032616608994</v>
      </c>
      <c r="H12162" s="256">
        <f t="shared" si="2245"/>
        <v>0.89729364005412715</v>
      </c>
      <c r="I12162" s="297">
        <f t="shared" si="2246"/>
        <v>417.7174009211559</v>
      </c>
      <c r="J12162" s="422">
        <f t="shared" si="2243"/>
        <v>421.57142857142856</v>
      </c>
      <c r="K12162" s="297">
        <f>J12162/POBLA!$B$17*100000</f>
        <v>29.596483885562002</v>
      </c>
      <c r="L12162" s="200">
        <f t="shared" si="2244"/>
        <v>-0.19809782608695647</v>
      </c>
      <c r="M12162" s="401">
        <f>SUM(C12162,C12138,C12114,C12090,C12066,C12042,C12018)/POBLA!$B$17*100000</f>
        <v>207.175387198934</v>
      </c>
      <c r="N12162" s="42" t="s">
        <v>34</v>
      </c>
      <c r="O12162" s="42">
        <v>1</v>
      </c>
      <c r="P12162" s="42">
        <v>5</v>
      </c>
      <c r="Q12162" s="42">
        <v>0</v>
      </c>
      <c r="R12162" s="42">
        <v>6</v>
      </c>
    </row>
    <row r="12163" spans="1:18" x14ac:dyDescent="0.25">
      <c r="A12163" s="367" t="s">
        <v>35</v>
      </c>
      <c r="B12163" s="2">
        <v>44399</v>
      </c>
      <c r="C12163" s="4">
        <v>321</v>
      </c>
      <c r="D12163" s="39">
        <f t="shared" ref="D12163:D12169" si="2247">C12163+D12139</f>
        <v>58145</v>
      </c>
      <c r="E12163" s="1">
        <v>6</v>
      </c>
      <c r="F12163" s="39">
        <f t="shared" si="2240"/>
        <v>914</v>
      </c>
      <c r="G12163" s="168">
        <f>SUM(C12163,C12139,C12115,C12091,C12067,C12043,C12019,C11995,C11971,C11947,C11923,C11899,C11875,C11851)/POBLA!$B$18*100000</f>
        <v>541.33486598473917</v>
      </c>
      <c r="H12163" s="256">
        <f t="shared" si="2245"/>
        <v>0.75897343862167987</v>
      </c>
      <c r="I12163" s="297">
        <f t="shared" si="2246"/>
        <v>410.85878468224371</v>
      </c>
      <c r="J12163" s="422">
        <f t="shared" si="2243"/>
        <v>312.71428571428572</v>
      </c>
      <c r="K12163" s="297">
        <f>J12163/POBLA!$B$18*100000</f>
        <v>40.029119401432091</v>
      </c>
      <c r="L12163" s="200">
        <f t="shared" si="2244"/>
        <v>7.3039215686274472E-2</v>
      </c>
      <c r="M12163" s="401">
        <f>SUM(C12163,C12139,C12115,C12091,C12067,C12043,C12019)/POBLA!$B$18*100000</f>
        <v>280.2038358100246</v>
      </c>
      <c r="N12163" s="42" t="s">
        <v>35</v>
      </c>
      <c r="O12163" s="42">
        <v>1</v>
      </c>
      <c r="P12163" s="42">
        <v>5</v>
      </c>
      <c r="Q12163" s="42">
        <v>0</v>
      </c>
      <c r="R12163" s="42">
        <v>6</v>
      </c>
    </row>
    <row r="12164" spans="1:18" x14ac:dyDescent="0.25">
      <c r="A12164" s="367" t="s">
        <v>36</v>
      </c>
      <c r="B12164" s="2">
        <v>44399</v>
      </c>
      <c r="C12164" s="4">
        <v>211</v>
      </c>
      <c r="D12164" s="39">
        <f t="shared" si="2247"/>
        <v>72637</v>
      </c>
      <c r="E12164" s="1">
        <v>6</v>
      </c>
      <c r="F12164" s="39">
        <f t="shared" si="2240"/>
        <v>1194</v>
      </c>
      <c r="G12164" s="168">
        <f>SUM(C12164,C12140,C12116,C12092,C12068,C12044,C12020,C11996,C11972,C11948,C11924,C11900,C11876,C11852)/POBLA!$B$19*100000</f>
        <v>789.25418233896232</v>
      </c>
      <c r="H12164" s="256">
        <f t="shared" si="2245"/>
        <v>0.7625926629918266</v>
      </c>
      <c r="I12164" s="297">
        <f t="shared" si="2246"/>
        <v>601.87944868730597</v>
      </c>
      <c r="J12164" s="422">
        <f t="shared" si="2243"/>
        <v>272.14285714285717</v>
      </c>
      <c r="K12164" s="297">
        <f>J12164/POBLA!$B$19*100000</f>
        <v>53.5368614640266</v>
      </c>
      <c r="L12164" s="200">
        <f t="shared" si="2244"/>
        <v>-9.58709065021357E-2</v>
      </c>
      <c r="M12164" s="401">
        <f>SUM(C12164,C12140,C12116,C12092,C12068,C12044,C12020)/POBLA!$B$19*100000</f>
        <v>374.75803024818617</v>
      </c>
      <c r="N12164" s="42" t="s">
        <v>36</v>
      </c>
      <c r="O12164" s="42">
        <v>1</v>
      </c>
      <c r="P12164" s="42">
        <v>5</v>
      </c>
      <c r="Q12164" s="42">
        <v>0</v>
      </c>
      <c r="R12164" s="42">
        <v>6</v>
      </c>
    </row>
    <row r="12165" spans="1:18" x14ac:dyDescent="0.25">
      <c r="A12165" s="367" t="s">
        <v>37</v>
      </c>
      <c r="B12165" s="2">
        <v>44399</v>
      </c>
      <c r="C12165" s="4">
        <v>51</v>
      </c>
      <c r="D12165" s="39">
        <f t="shared" si="2247"/>
        <v>57322</v>
      </c>
      <c r="E12165" s="1">
        <v>1</v>
      </c>
      <c r="F12165" s="39">
        <f>E12165+F12141</f>
        <v>927</v>
      </c>
      <c r="G12165" s="168">
        <f>SUM(C12165,C12141,C12118,C12093,C12069,C12045,C12021,C11997,C11973,C11949,C11925,C11901,C11877,C11853)/POBLA!$B$20*100000</f>
        <v>664.48271524591325</v>
      </c>
      <c r="H12165" s="256">
        <f t="shared" si="2245"/>
        <v>0.63164806303348653</v>
      </c>
      <c r="I12165" s="297">
        <f t="shared" si="2246"/>
        <v>419.71922000431289</v>
      </c>
      <c r="J12165" s="422">
        <f t="shared" si="2243"/>
        <v>64</v>
      </c>
      <c r="K12165" s="297">
        <f>J12165/POBLA!$B$20*100000</f>
        <v>17.500779331579608</v>
      </c>
      <c r="L12165" s="200">
        <f t="shared" si="2244"/>
        <v>-0.12840466926070038</v>
      </c>
      <c r="M12165" s="401">
        <f>SUM(C12165,C12141,C12117,C12093,C12069,C12045,C12021)/POBLA!$B$20*100000</f>
        <v>122.50545532105725</v>
      </c>
      <c r="N12165" s="42" t="s">
        <v>37</v>
      </c>
      <c r="O12165" s="42">
        <v>0</v>
      </c>
      <c r="P12165" s="42">
        <v>1</v>
      </c>
      <c r="Q12165" s="42">
        <v>0</v>
      </c>
      <c r="R12165" s="42">
        <v>1</v>
      </c>
    </row>
    <row r="12166" spans="1:18" x14ac:dyDescent="0.25">
      <c r="A12166" s="367" t="s">
        <v>22</v>
      </c>
      <c r="B12166" s="2">
        <v>44399</v>
      </c>
      <c r="C12166" s="4">
        <v>1226</v>
      </c>
      <c r="D12166" s="39">
        <f t="shared" si="2247"/>
        <v>437102</v>
      </c>
      <c r="E12166" s="1">
        <v>33</v>
      </c>
      <c r="F12166" s="39">
        <f>E12166+F12142</f>
        <v>7505</v>
      </c>
      <c r="G12166" s="168">
        <f>SUM(C12166,C12142,C12118,C12094,C12070,C12046,C12022,C11998,C11974,C11950,C11926,C11902,C11878,C11854)/POBLA!$B$21*100000</f>
        <v>519.28250563140443</v>
      </c>
      <c r="H12166" s="256">
        <f t="shared" si="2245"/>
        <v>0.80859495398705472</v>
      </c>
      <c r="I12166" s="297">
        <f t="shared" si="2246"/>
        <v>419.88921374730796</v>
      </c>
      <c r="J12166" s="422">
        <f t="shared" si="2243"/>
        <v>1212.1428571428571</v>
      </c>
      <c r="K12166" s="297">
        <f>J12166/POBLA!$B$21*100000</f>
        <v>34.27600631890396</v>
      </c>
      <c r="L12166" s="200">
        <f t="shared" si="2244"/>
        <v>-0.1411073995343658</v>
      </c>
      <c r="M12166" s="401">
        <f>SUM(C12166,C12142,C12118,C12094,C12070,C12046,C12022)/POBLA!$B$21*100000</f>
        <v>239.93204423232774</v>
      </c>
      <c r="N12166" s="42" t="s">
        <v>22</v>
      </c>
      <c r="O12166" s="42">
        <v>12</v>
      </c>
      <c r="P12166" s="42">
        <v>21</v>
      </c>
      <c r="Q12166" s="42">
        <v>0</v>
      </c>
      <c r="R12166" s="42">
        <v>33</v>
      </c>
    </row>
    <row r="12167" spans="1:18" x14ac:dyDescent="0.25">
      <c r="A12167" s="367" t="s">
        <v>38</v>
      </c>
      <c r="B12167" s="2">
        <v>44399</v>
      </c>
      <c r="C12167" s="4">
        <v>305</v>
      </c>
      <c r="D12167" s="39">
        <f t="shared" si="2247"/>
        <v>70474</v>
      </c>
      <c r="E12167" s="1">
        <v>7</v>
      </c>
      <c r="F12167" s="39">
        <f>E12167+F12143</f>
        <v>986</v>
      </c>
      <c r="G12167" s="168">
        <f>SUM(C12167,C12143,C12119,C12095,C12071,C12047,C12023,C11999,C11975,C11951,C11927,C11903,C11879,C11855)/POBLA!$B$22*100000</f>
        <v>677.39056927588615</v>
      </c>
      <c r="H12167" s="256">
        <f t="shared" si="2245"/>
        <v>0.8747360084477297</v>
      </c>
      <c r="I12167" s="297">
        <f t="shared" si="2246"/>
        <v>592.53792272852399</v>
      </c>
      <c r="J12167" s="422">
        <f t="shared" si="2243"/>
        <v>383</v>
      </c>
      <c r="K12167" s="297">
        <f>J12167/POBLA!$B$22*100000</f>
        <v>39.149024903072942</v>
      </c>
      <c r="L12167" s="200">
        <f t="shared" si="2244"/>
        <v>-0.32057780030410543</v>
      </c>
      <c r="M12167" s="401">
        <f>SUM(C12167,C12143,C12119,C12095,C12071,C12047,C12023)/POBLA!$B$22*100000</f>
        <v>274.04317432151061</v>
      </c>
      <c r="N12167" s="42" t="s">
        <v>38</v>
      </c>
      <c r="O12167" s="42">
        <v>2</v>
      </c>
      <c r="P12167" s="42">
        <v>5</v>
      </c>
      <c r="Q12167" s="42">
        <v>0</v>
      </c>
      <c r="R12167" s="42">
        <v>7</v>
      </c>
    </row>
    <row r="12168" spans="1:18" x14ac:dyDescent="0.25">
      <c r="A12168" s="367" t="s">
        <v>39</v>
      </c>
      <c r="B12168" s="2">
        <v>44399</v>
      </c>
      <c r="C12168" s="4">
        <v>48</v>
      </c>
      <c r="D12168" s="39">
        <f t="shared" si="2247"/>
        <v>30754</v>
      </c>
      <c r="F12168" s="39">
        <f>E12168+F12144</f>
        <v>464</v>
      </c>
      <c r="G12168" s="168">
        <f>SUM(C12168,C12144,C12120,C12096,C12072,C12048,C12024,C12000,C11976,C11952,C11928,C11904,C11880,C11856)/POBLA!$B$23*100000</f>
        <v>346.09511960640162</v>
      </c>
      <c r="H12168" s="256">
        <f t="shared" si="2245"/>
        <v>0.94883720930232562</v>
      </c>
      <c r="I12168" s="297">
        <f t="shared" si="2246"/>
        <v>328.38792744049272</v>
      </c>
      <c r="J12168" s="422">
        <f t="shared" si="2243"/>
        <v>45.428571428571431</v>
      </c>
      <c r="K12168" s="297">
        <f>J12168/POBLA!$B$23*100000</f>
        <v>25.690534088430372</v>
      </c>
      <c r="L12168" s="200">
        <f t="shared" si="2244"/>
        <v>8.163265306122458E-2</v>
      </c>
      <c r="M12168" s="401">
        <f>SUM(C12168,C12144,C12120,C12096,C12072,C12048,C12024)/POBLA!$B$23*100000</f>
        <v>179.83373861901262</v>
      </c>
    </row>
    <row r="12169" spans="1:18" ht="15.75" thickBot="1" x14ac:dyDescent="0.3">
      <c r="A12169" s="369" t="s">
        <v>40</v>
      </c>
      <c r="B12169" s="2">
        <v>44399</v>
      </c>
      <c r="C12169" s="357">
        <v>668</v>
      </c>
      <c r="D12169" s="176">
        <f t="shared" si="2247"/>
        <v>175046</v>
      </c>
      <c r="E12169" s="44">
        <v>20</v>
      </c>
      <c r="F12169" s="176">
        <f>E12169+F12145</f>
        <v>2516</v>
      </c>
      <c r="G12169" s="177">
        <f>SUM(C12169,C12145,C12121,C12097,C12073,C12049,C12025,C12001,C11977,C11953,C11929,C11905,C11881,C11857)/POBLA!$B$24*100000</f>
        <v>557.10421466067453</v>
      </c>
      <c r="H12169" s="402">
        <f t="shared" si="2245"/>
        <v>0.60886108603121369</v>
      </c>
      <c r="I12169" s="403">
        <f t="shared" si="2246"/>
        <v>339.19907717086471</v>
      </c>
      <c r="J12169" s="423">
        <f t="shared" si="2243"/>
        <v>700.14285714285711</v>
      </c>
      <c r="K12169" s="403">
        <f>J12169/POBLA!$B$24*100000</f>
        <v>41.314748075294169</v>
      </c>
      <c r="L12169" s="404">
        <f t="shared" si="2244"/>
        <v>7.9515418502202673E-2</v>
      </c>
      <c r="M12169" s="405">
        <f>SUM(C12169,C12145,C12121,C12097,C12073,C12049,C12025)/POBLA!$B$24*100000</f>
        <v>289.20323652705918</v>
      </c>
      <c r="N12169" s="42" t="s">
        <v>40</v>
      </c>
      <c r="O12169" s="42">
        <v>11</v>
      </c>
      <c r="P12169" s="42">
        <v>9</v>
      </c>
      <c r="Q12169" s="42">
        <v>0</v>
      </c>
      <c r="R12169" s="42">
        <v>20</v>
      </c>
    </row>
    <row r="12170" spans="1:18" x14ac:dyDescent="0.25">
      <c r="A12170" s="363" t="s">
        <v>16</v>
      </c>
      <c r="B12170" s="265">
        <v>44400</v>
      </c>
      <c r="C12170" s="356">
        <v>4328</v>
      </c>
      <c r="D12170" s="174">
        <f>C12170+D12146</f>
        <v>1948172</v>
      </c>
      <c r="E12170" s="43">
        <v>105</v>
      </c>
      <c r="F12170" s="174">
        <f t="shared" ref="F12170:F12188" si="2248">E12170+F12146</f>
        <v>51297</v>
      </c>
      <c r="G12170" s="175">
        <f>SUM(C12170,C12146,C12098,C12122,C12074,C12050,C12026,C12002,C11978,C11954,C11930,C11906,C11882,C11858)/POBLA!$B$1*100000</f>
        <v>328.39368887120855</v>
      </c>
      <c r="H12170" s="300">
        <f t="shared" si="2245"/>
        <v>0.73339784070075376</v>
      </c>
      <c r="I12170" s="301">
        <f>G12170*H12170</f>
        <v>240.84322231789949</v>
      </c>
      <c r="J12170" s="421">
        <f>AVERAGE(C12170,C12146,C12122,C12098,C12074,C12050,C12026)</f>
        <v>3693.8571428571427</v>
      </c>
      <c r="K12170" s="301">
        <f>J12170/POBLA!$B$1*100000</f>
        <v>21.058248963719876</v>
      </c>
      <c r="L12170" s="399">
        <f>(SUM(C12170,C12146,C12122,C12098,C12074,C12050,C12026)/SUM(C12002,C11978,C11954,C11930,C11906,C11882,C11858))-1</f>
        <v>-0.18552934135508869</v>
      </c>
      <c r="M12170" s="400">
        <f>SUM(C12170,C12146,C12122,C12098,C12074,C12050,C12026)/POBLA!$B$1*100000</f>
        <v>147.40774274603916</v>
      </c>
      <c r="N12170" s="42" t="s">
        <v>16</v>
      </c>
      <c r="O12170" s="42">
        <v>48</v>
      </c>
      <c r="P12170" s="42">
        <v>53</v>
      </c>
      <c r="Q12170" s="42">
        <v>4</v>
      </c>
      <c r="R12170" s="42">
        <v>105</v>
      </c>
    </row>
    <row r="12171" spans="1:18" x14ac:dyDescent="0.25">
      <c r="A12171" s="367" t="s">
        <v>43</v>
      </c>
      <c r="B12171" s="2">
        <v>44400</v>
      </c>
      <c r="C12171" s="4">
        <v>925</v>
      </c>
      <c r="D12171" s="39">
        <f t="shared" ref="D12171:D12185" si="2249">C12171+D12147</f>
        <v>485853</v>
      </c>
      <c r="E12171" s="1">
        <v>16</v>
      </c>
      <c r="F12171" s="39">
        <f t="shared" si="2248"/>
        <v>10788</v>
      </c>
      <c r="G12171" s="168">
        <f>SUM(C12171,C12147,C12123,C12099,C12075,C12051,C12027,C12003,C11979,C11955,C11931,C11907,C11883,C11859)/POBLA!$B$2*100000</f>
        <v>398.25779689860281</v>
      </c>
      <c r="H12171" s="256">
        <f t="shared" si="2245"/>
        <v>0.78685681248795525</v>
      </c>
      <c r="I12171" s="297">
        <f t="shared" ref="I12171:I12177" si="2250">G12171*H12171</f>
        <v>313.3718606161101</v>
      </c>
      <c r="J12171" s="422">
        <f>AVERAGE(C12171,C12147,C12123,C12099,C12075,C12051,C12027)</f>
        <v>790.71428571428567</v>
      </c>
      <c r="K12171" s="297">
        <f>J12171/POBLA!$B$2*100000</f>
        <v>25.708884758333227</v>
      </c>
      <c r="L12171" s="200">
        <f>(SUM(C12171,C12147,C12123,C12099,C12075,C12051,C12027)/SUM(C12003,C11979,C11955,C11931,C11907,C11883,C11859))-1</f>
        <v>-0.17560321715817695</v>
      </c>
      <c r="M12171" s="401">
        <f>SUM(C12171,C12147,C12123,C12099,C12075,C12051,C12027)/POBLA!$B$2*100000</f>
        <v>179.96219330833262</v>
      </c>
      <c r="N12171" s="42" t="s">
        <v>43</v>
      </c>
      <c r="O12171" s="42">
        <v>6</v>
      </c>
      <c r="P12171" s="42">
        <v>10</v>
      </c>
      <c r="Q12171" s="42">
        <v>0</v>
      </c>
      <c r="R12171" s="42">
        <v>16</v>
      </c>
    </row>
    <row r="12172" spans="1:18" x14ac:dyDescent="0.25">
      <c r="A12172" s="367" t="s">
        <v>28</v>
      </c>
      <c r="B12172" s="2">
        <v>44400</v>
      </c>
      <c r="C12172" s="4">
        <v>368</v>
      </c>
      <c r="D12172" s="39">
        <f t="shared" si="2249"/>
        <v>40358</v>
      </c>
      <c r="E12172" s="1">
        <v>9</v>
      </c>
      <c r="F12172" s="39">
        <f t="shared" si="2248"/>
        <v>442</v>
      </c>
      <c r="G12172" s="168">
        <f>SUM(C12172,C12148,C12124,C12100,C12076,C12052,C12028,C12004,C11980,C11956,C11932,C11908,C11884,C11860)/POBLA!$B$3*100000</f>
        <v>842.96573736634593</v>
      </c>
      <c r="H12172" s="256">
        <f t="shared" si="2245"/>
        <v>0.83820009573958831</v>
      </c>
      <c r="I12172" s="297">
        <f t="shared" si="2250"/>
        <v>706.57396176566385</v>
      </c>
      <c r="J12172" s="422">
        <f t="shared" ref="J12172:J12193" si="2251">AVERAGE(C12172,C12148,C12124,C12100,C12076,C12052,C12028)</f>
        <v>245</v>
      </c>
      <c r="K12172" s="297">
        <f>J12172/POBLA!$B$3*100000</f>
        <v>58.973902242933967</v>
      </c>
      <c r="L12172" s="200">
        <f t="shared" ref="L12172:L12193" si="2252">(SUM(C12172,C12148,C12124,C12100,C12076,C12052,C12028)/SUM(C12004,C11980,C11956,C11932,C11908,C11884,C11860))-1</f>
        <v>-4.0290990486849476E-2</v>
      </c>
      <c r="M12172" s="401">
        <f>SUM(C12172,C12148,C12124,C12100,C12076,C12052,C12028)/POBLA!$B$3*100000</f>
        <v>412.81731570053773</v>
      </c>
      <c r="N12172" s="42" t="s">
        <v>28</v>
      </c>
      <c r="O12172" s="42">
        <v>2</v>
      </c>
      <c r="P12172" s="42">
        <v>7</v>
      </c>
      <c r="Q12172" s="42">
        <v>0</v>
      </c>
      <c r="R12172" s="42">
        <v>9</v>
      </c>
    </row>
    <row r="12173" spans="1:18" x14ac:dyDescent="0.25">
      <c r="A12173" s="367" t="s">
        <v>15</v>
      </c>
      <c r="B12173" s="2">
        <v>44400</v>
      </c>
      <c r="C12173" s="4">
        <v>653</v>
      </c>
      <c r="D12173" s="39">
        <f t="shared" si="2249"/>
        <v>88047</v>
      </c>
      <c r="E12173" s="1">
        <v>16</v>
      </c>
      <c r="F12173" s="39">
        <f t="shared" si="2248"/>
        <v>1950</v>
      </c>
      <c r="G12173" s="168">
        <f>SUM(C12173,C12149,C12125,C12101,C12077,C12053,C12029,C12005,C11981,C11957,C11933,C11909,C11885,C11861)/POBLA!$B$4*100000</f>
        <v>490.31124718876316</v>
      </c>
      <c r="H12173" s="256">
        <f t="shared" si="2245"/>
        <v>0.74825795008235141</v>
      </c>
      <c r="I12173" s="297">
        <f t="shared" si="2250"/>
        <v>366.87928872378501</v>
      </c>
      <c r="J12173" s="422">
        <f t="shared" si="2251"/>
        <v>363.57142857142856</v>
      </c>
      <c r="K12173" s="297">
        <f>J12173/POBLA!$B$4*100000</f>
        <v>30.183400031333807</v>
      </c>
      <c r="L12173" s="200">
        <f t="shared" si="2252"/>
        <v>-0.24278488545075871</v>
      </c>
      <c r="M12173" s="401">
        <f>SUM(C12173,C12149,C12125,C12101,C12077,C12053,C12029)/POBLA!$B$4*100000</f>
        <v>211.28380021933668</v>
      </c>
      <c r="N12173" s="42" t="s">
        <v>15</v>
      </c>
      <c r="O12173" s="42">
        <v>4</v>
      </c>
      <c r="P12173" s="42">
        <v>12</v>
      </c>
      <c r="Q12173" s="42">
        <v>0</v>
      </c>
      <c r="R12173" s="42">
        <v>16</v>
      </c>
    </row>
    <row r="12174" spans="1:18" x14ac:dyDescent="0.25">
      <c r="A12174" s="367" t="s">
        <v>29</v>
      </c>
      <c r="B12174" s="2">
        <v>44400</v>
      </c>
      <c r="C12174" s="4">
        <v>195</v>
      </c>
      <c r="D12174" s="39">
        <f t="shared" si="2249"/>
        <v>74861</v>
      </c>
      <c r="E12174" s="1">
        <v>2</v>
      </c>
      <c r="F12174" s="39">
        <f t="shared" si="2248"/>
        <v>1291</v>
      </c>
      <c r="G12174" s="168">
        <f>SUM(C12174,C12150,C12126,C12102,C12078,C12054,C12030,C12006,C11982,C11958,C11934,C11910,C11886,C11862)/POBLA!$B$5*100000</f>
        <v>386.27191862925974</v>
      </c>
      <c r="H12174" s="256">
        <f t="shared" si="2245"/>
        <v>0.87008733624454149</v>
      </c>
      <c r="I12174" s="297">
        <f t="shared" si="2250"/>
        <v>336.0903047462009</v>
      </c>
      <c r="J12174" s="422">
        <f t="shared" si="2251"/>
        <v>169.42857142857142</v>
      </c>
      <c r="K12174" s="297">
        <f>J12174/POBLA!$B$5*100000</f>
        <v>27.371601571028378</v>
      </c>
      <c r="L12174" s="200">
        <f t="shared" si="2252"/>
        <v>-1.5767634854771839E-2</v>
      </c>
      <c r="M12174" s="401">
        <f>SUM(C12174,C12150,C12126,C12102,C12078,C12054,C12030)/POBLA!$B$5*100000</f>
        <v>191.60121099719868</v>
      </c>
      <c r="N12174" s="42" t="s">
        <v>29</v>
      </c>
      <c r="O12174" s="42">
        <v>1</v>
      </c>
      <c r="P12174" s="42">
        <v>1</v>
      </c>
      <c r="Q12174" s="42">
        <v>0</v>
      </c>
      <c r="R12174" s="42">
        <v>2</v>
      </c>
    </row>
    <row r="12175" spans="1:18" x14ac:dyDescent="0.25">
      <c r="A12175" s="367" t="s">
        <v>30</v>
      </c>
      <c r="B12175" s="2">
        <v>44400</v>
      </c>
      <c r="C12175" s="4">
        <v>836</v>
      </c>
      <c r="D12175" s="39">
        <f t="shared" si="2249"/>
        <v>445019</v>
      </c>
      <c r="F12175" s="39">
        <f t="shared" si="2248"/>
        <v>5825</v>
      </c>
      <c r="G12175" s="168">
        <f>SUM(C12175,C12151,C12127,C12103,C12079,C12055,C12031,C12007,C11983,C11959,C11935,C11911,C11887,C11863)/POBLA!$B$6*100000</f>
        <v>613.57903856259941</v>
      </c>
      <c r="H12175" s="256">
        <f t="shared" si="2245"/>
        <v>1.072687568242084</v>
      </c>
      <c r="I12175" s="297">
        <f t="shared" si="2250"/>
        <v>658.17860680003059</v>
      </c>
      <c r="J12175" s="422">
        <f t="shared" si="2251"/>
        <v>453.85714285714283</v>
      </c>
      <c r="K12175" s="297">
        <f>J12175/POBLA!$B$6*100000</f>
        <v>40.493998743500661</v>
      </c>
      <c r="L12175" s="200">
        <f t="shared" si="2252"/>
        <v>-0.14135135135135135</v>
      </c>
      <c r="M12175" s="401">
        <f>SUM(C12175,C12151,C12127,C12103,C12079,C12055,C12031)/POBLA!$B$6*100000</f>
        <v>283.45799120450465</v>
      </c>
    </row>
    <row r="12176" spans="1:18" x14ac:dyDescent="0.25">
      <c r="A12176" s="367" t="s">
        <v>20</v>
      </c>
      <c r="B12176" s="2">
        <v>44400</v>
      </c>
      <c r="C12176" s="4">
        <v>2028</v>
      </c>
      <c r="D12176" s="39">
        <f t="shared" si="2249"/>
        <v>85790</v>
      </c>
      <c r="E12176" s="1">
        <v>19</v>
      </c>
      <c r="F12176" s="39">
        <f t="shared" si="2248"/>
        <v>1016</v>
      </c>
      <c r="G12176" s="168">
        <f>SUM(C12176,C12152,C12128,C12104,C12080,C12056,C12032,C12008,C11984,C11960,C11936,C11912,C11888,C11864)/POBLA!$B$7*100000</f>
        <v>633.4614208405909</v>
      </c>
      <c r="H12176" s="256">
        <f t="shared" si="2245"/>
        <v>0.77663667188315078</v>
      </c>
      <c r="I12176" s="297">
        <f t="shared" si="2250"/>
        <v>491.96936964800847</v>
      </c>
      <c r="J12176" s="422">
        <f t="shared" si="2251"/>
        <v>1483.4285714285713</v>
      </c>
      <c r="K12176" s="297">
        <f>J12176/POBLA!$B$7*100000</f>
        <v>39.448166347872501</v>
      </c>
      <c r="L12176" s="200">
        <f t="shared" si="2252"/>
        <v>-0.2272084542680658</v>
      </c>
      <c r="M12176" s="401">
        <f>SUM(C12176,C12152,C12128,C12104,C12080,C12056,C12032)/POBLA!$B$7*100000</f>
        <v>276.13716443510748</v>
      </c>
      <c r="N12176" s="42" t="s">
        <v>20</v>
      </c>
      <c r="O12176" s="42">
        <v>8</v>
      </c>
      <c r="P12176" s="42">
        <v>11</v>
      </c>
      <c r="Q12176" s="42">
        <v>0</v>
      </c>
      <c r="R12176" s="42">
        <v>19</v>
      </c>
    </row>
    <row r="12177" spans="1:18" x14ac:dyDescent="0.25">
      <c r="A12177" s="367" t="s">
        <v>31</v>
      </c>
      <c r="B12177" s="2">
        <v>44400</v>
      </c>
      <c r="C12177" s="4">
        <v>550</v>
      </c>
      <c r="D12177" s="39">
        <f t="shared" si="2249"/>
        <v>124863</v>
      </c>
      <c r="E12177" s="1">
        <v>1</v>
      </c>
      <c r="F12177" s="39">
        <f t="shared" si="2248"/>
        <v>2061</v>
      </c>
      <c r="G12177" s="168">
        <f>SUM(C12177,C12153,C12129,C12105,C12081,C12057,C12033,C12009,C11985,C11961,C11937,C11913,C11889,C11865)/POBLA!$B$8*100000</f>
        <v>584.43202947269083</v>
      </c>
      <c r="H12177" s="256">
        <f t="shared" ref="H12177:H12200" si="2253">SUM(C12177,C12153,C12129,C12105,C12081,C12057,C12033,C12009,C11985,C11961,C11937,C11913,C11889,C11865,)/SUM(C11841,C11817,C11793,C11769,C11745,C11721,C11697,C11673,C11649,C11625,C11601,C11577,C11553,C11529)</f>
        <v>0.81024307292187658</v>
      </c>
      <c r="I12177" s="297">
        <f t="shared" si="2250"/>
        <v>473.53200347392175</v>
      </c>
      <c r="J12177" s="422">
        <f t="shared" si="2251"/>
        <v>482.57142857142856</v>
      </c>
      <c r="K12177" s="297">
        <f>J12177/POBLA!$B$8*100000</f>
        <v>34.818543131547614</v>
      </c>
      <c r="L12177" s="200">
        <f t="shared" si="2252"/>
        <v>-0.28462515883100381</v>
      </c>
      <c r="M12177" s="401">
        <f>SUM(C12177,C12153,C12129,C12105,C12081,C12057,C12033)/POBLA!$B$8*100000</f>
        <v>243.7298019208333</v>
      </c>
      <c r="N12177" s="42" t="s">
        <v>31</v>
      </c>
      <c r="O12177" s="42">
        <v>0</v>
      </c>
      <c r="P12177" s="42">
        <v>1</v>
      </c>
      <c r="Q12177" s="42">
        <v>0</v>
      </c>
      <c r="R12177" s="42">
        <v>1</v>
      </c>
    </row>
    <row r="12178" spans="1:18" x14ac:dyDescent="0.25">
      <c r="A12178" s="367" t="s">
        <v>41</v>
      </c>
      <c r="B12178" s="2">
        <v>44400</v>
      </c>
      <c r="C12178" s="4">
        <v>252</v>
      </c>
      <c r="D12178" s="39">
        <f t="shared" si="2249"/>
        <v>54107</v>
      </c>
      <c r="E12178" s="1">
        <v>5</v>
      </c>
      <c r="F12178" s="39">
        <f t="shared" si="2248"/>
        <v>966</v>
      </c>
      <c r="G12178" s="168">
        <f>SUM(C12178,C12154,C12130,C12106,C12082,C12058,C12034,C12010,C11986,C11962,C11938,C11914,C11890,C11866)/POBLA!$B$9*100000</f>
        <v>783.71692997110006</v>
      </c>
      <c r="H12178" s="256">
        <f t="shared" si="2253"/>
        <v>0.84425062299750797</v>
      </c>
      <c r="I12178" s="297">
        <f>G12178*H12178</f>
        <v>661.65350638179552</v>
      </c>
      <c r="J12178" s="422">
        <f t="shared" si="2251"/>
        <v>271.28571428571428</v>
      </c>
      <c r="K12178" s="297">
        <f>J12178/POBLA!$B$9*100000</f>
        <v>44.826313966902177</v>
      </c>
      <c r="L12178" s="200">
        <f t="shared" si="2252"/>
        <v>-0.33227848101265822</v>
      </c>
      <c r="M12178" s="401">
        <f>SUM(C12178,C12154,C12130,C12106,C12082,C12058,C12034)/POBLA!$B$9*100000</f>
        <v>313.78419776831527</v>
      </c>
      <c r="N12178" s="42" t="s">
        <v>41</v>
      </c>
      <c r="O12178" s="42">
        <v>2</v>
      </c>
      <c r="P12178" s="42">
        <v>3</v>
      </c>
      <c r="Q12178" s="42">
        <v>0</v>
      </c>
      <c r="R12178" s="42">
        <v>5</v>
      </c>
    </row>
    <row r="12179" spans="1:18" x14ac:dyDescent="0.25">
      <c r="A12179" s="367" t="s">
        <v>32</v>
      </c>
      <c r="B12179" s="2">
        <v>44400</v>
      </c>
      <c r="C12179" s="4">
        <v>221</v>
      </c>
      <c r="D12179" s="39">
        <f t="shared" si="2249"/>
        <v>42046</v>
      </c>
      <c r="E12179" s="1">
        <v>6</v>
      </c>
      <c r="F12179" s="39">
        <f t="shared" si="2248"/>
        <v>1285</v>
      </c>
      <c r="G12179" s="168">
        <f>SUM(C12179,C12155,C12131,C12107,C12083,C12059,C12035,C12011,C11987,C11963,C11939,C11915,C11891,C11867)/POBLA!$B$10*100000</f>
        <v>478.9325460090468</v>
      </c>
      <c r="H12179" s="256">
        <f t="shared" si="2253"/>
        <v>0.96548117154811719</v>
      </c>
      <c r="I12179" s="297">
        <f t="shared" ref="I12179:I12193" si="2254">G12179*H12179</f>
        <v>462.40035561333707</v>
      </c>
      <c r="J12179" s="422">
        <f t="shared" si="2251"/>
        <v>245</v>
      </c>
      <c r="K12179" s="297">
        <f>J12179/POBLA!$B$10*100000</f>
        <v>31.781818464847362</v>
      </c>
      <c r="L12179" s="200">
        <f t="shared" si="2252"/>
        <v>-0.1325240263024785</v>
      </c>
      <c r="M12179" s="401">
        <f>SUM(C12179,C12155,C12131,C12107,C12083,C12059,C12035)/POBLA!$B$10*100000</f>
        <v>222.47272925393153</v>
      </c>
      <c r="N12179" s="42" t="s">
        <v>32</v>
      </c>
      <c r="O12179" s="42">
        <v>1</v>
      </c>
      <c r="P12179" s="42">
        <v>5</v>
      </c>
      <c r="Q12179" s="42">
        <v>0</v>
      </c>
      <c r="R12179" s="42">
        <v>6</v>
      </c>
    </row>
    <row r="12180" spans="1:18" x14ac:dyDescent="0.25">
      <c r="A12180" s="367" t="s">
        <v>33</v>
      </c>
      <c r="B12180" s="2">
        <v>44400</v>
      </c>
      <c r="C12180" s="4">
        <v>327</v>
      </c>
      <c r="D12180" s="39">
        <f t="shared" si="2249"/>
        <v>59254</v>
      </c>
      <c r="E12180" s="1">
        <v>4</v>
      </c>
      <c r="F12180" s="39">
        <f t="shared" si="2248"/>
        <v>814</v>
      </c>
      <c r="G12180" s="168">
        <f>SUM(C12180,C12156,C12132,C12108,C12084,C12060,C12036,C12012,C11988,C11964,C11940,C11916,C11892,C11868)/POBLA!$B$11*100000</f>
        <v>1048.1881995826218</v>
      </c>
      <c r="H12180" s="256">
        <f t="shared" si="2253"/>
        <v>0.81976871045166921</v>
      </c>
      <c r="I12180" s="297">
        <f t="shared" si="2254"/>
        <v>859.27188868250278</v>
      </c>
      <c r="J12180" s="422">
        <f t="shared" si="2251"/>
        <v>265.28571428571428</v>
      </c>
      <c r="K12180" s="297">
        <f>J12180/POBLA!$B$11*100000</f>
        <v>74.013669212704997</v>
      </c>
      <c r="L12180" s="200">
        <f t="shared" si="2252"/>
        <v>-2.2631578947368447E-2</v>
      </c>
      <c r="M12180" s="401">
        <f>SUM(C12180,C12156,C12132,C12108,C12084,C12060,C12036)/POBLA!$B$11*100000</f>
        <v>518.09568448893504</v>
      </c>
      <c r="N12180" s="42" t="s">
        <v>33</v>
      </c>
      <c r="O12180" s="42">
        <v>1</v>
      </c>
      <c r="P12180" s="42">
        <v>3</v>
      </c>
      <c r="Q12180" s="42">
        <v>0</v>
      </c>
      <c r="R12180" s="42">
        <v>4</v>
      </c>
    </row>
    <row r="12181" spans="1:18" x14ac:dyDescent="0.25">
      <c r="A12181" s="367" t="s">
        <v>21</v>
      </c>
      <c r="B12181" s="2">
        <v>44400</v>
      </c>
      <c r="C12181" s="4">
        <v>137</v>
      </c>
      <c r="D12181" s="39">
        <f t="shared" si="2249"/>
        <v>26397</v>
      </c>
      <c r="E12181" s="1">
        <v>2</v>
      </c>
      <c r="F12181" s="39">
        <f t="shared" si="2248"/>
        <v>763</v>
      </c>
      <c r="G12181" s="168">
        <f>SUM(C12181,C12157,C12133,C12109,C12085,C12061,C12037,C12013,C11989,C11965,C11941,C11917,C11893,C11869)/POBLA!$B$12*100000</f>
        <v>648.23355720387974</v>
      </c>
      <c r="H12181" s="256">
        <f t="shared" si="2253"/>
        <v>1.0035405192761606</v>
      </c>
      <c r="I12181" s="297">
        <f t="shared" si="2254"/>
        <v>650.5286406086143</v>
      </c>
      <c r="J12181" s="422">
        <f t="shared" si="2251"/>
        <v>151</v>
      </c>
      <c r="K12181" s="297">
        <f>J12181/POBLA!$B$12*100000</f>
        <v>38.370547682393507</v>
      </c>
      <c r="L12181" s="200">
        <f t="shared" si="2252"/>
        <v>-0.29250334672021416</v>
      </c>
      <c r="M12181" s="401">
        <f>SUM(C12181,C12157,C12133,C12109,C12085,C12061,C12037)/POBLA!$B$12*100000</f>
        <v>268.59383377675459</v>
      </c>
      <c r="N12181" s="42" t="s">
        <v>21</v>
      </c>
      <c r="O12181" s="42">
        <v>2</v>
      </c>
      <c r="P12181" s="42">
        <v>0</v>
      </c>
      <c r="Q12181" s="42">
        <v>0</v>
      </c>
      <c r="R12181" s="42">
        <v>2</v>
      </c>
    </row>
    <row r="12182" spans="1:18" x14ac:dyDescent="0.25">
      <c r="A12182" s="367" t="s">
        <v>17</v>
      </c>
      <c r="B12182" s="2">
        <v>44400</v>
      </c>
      <c r="C12182" s="4">
        <v>467</v>
      </c>
      <c r="D12182" s="39">
        <f t="shared" si="2249"/>
        <v>150818</v>
      </c>
      <c r="E12182" s="1">
        <v>21</v>
      </c>
      <c r="F12182" s="39">
        <f t="shared" si="2248"/>
        <v>3760</v>
      </c>
      <c r="G12182" s="168">
        <f>SUM(C12182,C12158,C12134,C12110,C12086,C12062,C12038,C12014,C11990,C11966,C11942,C11918,C11894,C11870)/POBLA!$B$13*100000</f>
        <v>312.55997725009524</v>
      </c>
      <c r="H12182" s="256">
        <f t="shared" si="2253"/>
        <v>0.8428397236146864</v>
      </c>
      <c r="I12182" s="297">
        <f t="shared" si="2254"/>
        <v>263.43796483848297</v>
      </c>
      <c r="J12182" s="422">
        <f t="shared" si="2251"/>
        <v>406.14285714285717</v>
      </c>
      <c r="K12182" s="297">
        <f>J12182/POBLA!$B$13*100000</f>
        <v>20.405722904494471</v>
      </c>
      <c r="L12182" s="200">
        <f t="shared" si="2252"/>
        <v>-0.15837773830669033</v>
      </c>
      <c r="M12182" s="401">
        <f>SUM(C12182,C12158,C12134,C12110,C12086,C12062,C12038)/POBLA!$B$13*100000</f>
        <v>142.8400603314613</v>
      </c>
      <c r="N12182" s="42" t="s">
        <v>17</v>
      </c>
      <c r="O12182" s="42">
        <v>7</v>
      </c>
      <c r="P12182" s="42">
        <v>13</v>
      </c>
      <c r="Q12182" s="42">
        <v>1</v>
      </c>
      <c r="R12182" s="42">
        <v>21</v>
      </c>
    </row>
    <row r="12183" spans="1:18" x14ac:dyDescent="0.25">
      <c r="A12183" s="367" t="s">
        <v>23</v>
      </c>
      <c r="B12183" s="2">
        <v>44400</v>
      </c>
      <c r="C12183" s="4">
        <v>169</v>
      </c>
      <c r="D12183" s="39">
        <f t="shared" si="2249"/>
        <v>29468</v>
      </c>
      <c r="F12183" s="39">
        <f t="shared" si="2248"/>
        <v>500</v>
      </c>
      <c r="G12183" s="168">
        <f>SUM(C12183,C12159,C12135,C12111,C12087,C12063,C12039,C12015,C11991,C11967,C11943,C11919,C11895,C11871)/POBLA!$B$14*100000</f>
        <v>176.48541894276829</v>
      </c>
      <c r="H12183" s="256">
        <f t="shared" si="2253"/>
        <v>0.88088642659279781</v>
      </c>
      <c r="I12183" s="297">
        <f t="shared" si="2254"/>
        <v>155.46361003822804</v>
      </c>
      <c r="J12183" s="422">
        <f t="shared" si="2251"/>
        <v>170.71428571428572</v>
      </c>
      <c r="K12183" s="297">
        <f>J12183/POBLA!$B$14*100000</f>
        <v>13.534852755526128</v>
      </c>
      <c r="L12183" s="200">
        <f t="shared" si="2252"/>
        <v>0.15906886517943741</v>
      </c>
      <c r="M12183" s="401">
        <f>SUM(C12183,C12159,C12135,C12111,C12087,C12063,C12039)/POBLA!$B$14*100000</f>
        <v>94.743969288682891</v>
      </c>
    </row>
    <row r="12184" spans="1:18" x14ac:dyDescent="0.25">
      <c r="A12184" s="367" t="s">
        <v>19</v>
      </c>
      <c r="B12184" s="2">
        <v>44400</v>
      </c>
      <c r="C12184" s="4">
        <v>225</v>
      </c>
      <c r="D12184" s="39">
        <f t="shared" si="2249"/>
        <v>105857</v>
      </c>
      <c r="F12184" s="39">
        <f t="shared" si="2248"/>
        <v>1996</v>
      </c>
      <c r="G12184" s="168">
        <f>SUM(C12184,C12160,C12136,C12112,C12088,C12064,C12040,C12016,C11992,C11968,C11944,C11920,C11896,C11872)/POBLA!$B$15*100000</f>
        <v>391.98442302392715</v>
      </c>
      <c r="H12184" s="256">
        <f t="shared" si="2253"/>
        <v>0.91719520789288234</v>
      </c>
      <c r="I12184" s="297">
        <f t="shared" si="2254"/>
        <v>359.5262343662024</v>
      </c>
      <c r="J12184" s="422">
        <f t="shared" si="2251"/>
        <v>179.85714285714286</v>
      </c>
      <c r="K12184" s="297">
        <f>J12184/POBLA!$B$15*100000</f>
        <v>27.084594072066533</v>
      </c>
      <c r="L12184" s="200">
        <f t="shared" si="2252"/>
        <v>-6.3244047619047672E-2</v>
      </c>
      <c r="M12184" s="401">
        <f>SUM(C12184,C12160,C12136,C12112,C12088,C12064,C12040)/POBLA!$B$15*100000</f>
        <v>189.59215850446574</v>
      </c>
    </row>
    <row r="12185" spans="1:18" x14ac:dyDescent="0.25">
      <c r="A12185" s="367" t="s">
        <v>18</v>
      </c>
      <c r="B12185" s="2">
        <v>44400</v>
      </c>
      <c r="C12185" s="4">
        <v>366</v>
      </c>
      <c r="D12185" s="39">
        <f t="shared" si="2249"/>
        <v>89832</v>
      </c>
      <c r="E12185" s="1">
        <v>3</v>
      </c>
      <c r="F12185" s="39">
        <f t="shared" si="2248"/>
        <v>2043</v>
      </c>
      <c r="G12185" s="168">
        <f>SUM(C12185,C12161,C12137,C12113,C12089,C12065,C12041,C12017,C11993,C11969,C11945,C11921,C11897,C11873)/POBLA!$B$16*100000</f>
        <v>485.14599858214842</v>
      </c>
      <c r="H12185" s="256">
        <f t="shared" si="2253"/>
        <v>1.1806640625</v>
      </c>
      <c r="I12185" s="297">
        <f t="shared" si="2254"/>
        <v>572.79444559161857</v>
      </c>
      <c r="J12185" s="422">
        <f t="shared" si="2251"/>
        <v>271.85714285714283</v>
      </c>
      <c r="K12185" s="297">
        <f>J12185/POBLA!$B$16*100000</f>
        <v>36.363497392643602</v>
      </c>
      <c r="L12185" s="200">
        <f t="shared" si="2252"/>
        <v>0.10382830626450112</v>
      </c>
      <c r="M12185" s="401">
        <f>SUM(C12185,C12161,C12137,C12113,C12089,C12065,C12041)/POBLA!$B$16*100000</f>
        <v>254.54448174850523</v>
      </c>
      <c r="N12185" s="42" t="s">
        <v>18</v>
      </c>
      <c r="O12185" s="42">
        <v>0</v>
      </c>
      <c r="P12185" s="42">
        <v>3</v>
      </c>
      <c r="Q12185" s="42">
        <v>0</v>
      </c>
      <c r="R12185" s="42">
        <v>3</v>
      </c>
    </row>
    <row r="12186" spans="1:18" x14ac:dyDescent="0.25">
      <c r="A12186" s="367" t="s">
        <v>34</v>
      </c>
      <c r="B12186" s="2">
        <v>44400</v>
      </c>
      <c r="C12186" s="4">
        <v>415</v>
      </c>
      <c r="D12186" s="39">
        <f>C12186+D12162</f>
        <v>72590</v>
      </c>
      <c r="E12186" s="1">
        <v>11</v>
      </c>
      <c r="F12186" s="39">
        <f t="shared" si="2248"/>
        <v>2011</v>
      </c>
      <c r="G12186" s="168">
        <f>SUM(C12186,C12162,C12138,C12114,C12090,C12066,C12042,C12018,C11994,C11970,C11946,C11922,C11898,C11874)/POBLA!$B$17*100000</f>
        <v>465.53032616608994</v>
      </c>
      <c r="H12186" s="256">
        <f t="shared" si="2253"/>
        <v>0.9288415744502031</v>
      </c>
      <c r="I12186" s="297">
        <f t="shared" si="2254"/>
        <v>432.40392111042758</v>
      </c>
      <c r="J12186" s="422">
        <f t="shared" si="2251"/>
        <v>391.42857142857144</v>
      </c>
      <c r="K12186" s="297">
        <f>J12186/POBLA!$B$17*100000</f>
        <v>27.480300185171089</v>
      </c>
      <c r="L12186" s="200">
        <f t="shared" si="2252"/>
        <v>-0.29581084554099202</v>
      </c>
      <c r="M12186" s="401">
        <f>SUM(C12186,C12162,C12138,C12114,C12090,C12066,C12042)/POBLA!$B$17*100000</f>
        <v>192.36210129619764</v>
      </c>
      <c r="N12186" s="42" t="s">
        <v>34</v>
      </c>
      <c r="O12186" s="42">
        <v>4</v>
      </c>
      <c r="P12186" s="42">
        <v>7</v>
      </c>
      <c r="Q12186" s="42">
        <v>0</v>
      </c>
      <c r="R12186" s="42">
        <v>11</v>
      </c>
    </row>
    <row r="12187" spans="1:18" x14ac:dyDescent="0.25">
      <c r="A12187" s="367" t="s">
        <v>35</v>
      </c>
      <c r="B12187" s="2">
        <v>44400</v>
      </c>
      <c r="C12187" s="4">
        <v>275</v>
      </c>
      <c r="D12187" s="39">
        <f t="shared" ref="D12187:D12193" si="2255">C12187+D12163</f>
        <v>58420</v>
      </c>
      <c r="E12187" s="1">
        <v>3</v>
      </c>
      <c r="F12187" s="39">
        <f t="shared" si="2248"/>
        <v>917</v>
      </c>
      <c r="G12187" s="168">
        <f>SUM(C12187,C12163,C12139,C12115,C12091,C12067,C12043,C12019,C11995,C11971,C11947,C11923,C11899,C11875)/POBLA!$B$18*100000</f>
        <v>551.06327691281683</v>
      </c>
      <c r="H12187" s="256">
        <f t="shared" si="2253"/>
        <v>0.80769230769230771</v>
      </c>
      <c r="I12187" s="297">
        <f t="shared" si="2254"/>
        <v>445.08956981419823</v>
      </c>
      <c r="J12187" s="422">
        <f t="shared" si="2251"/>
        <v>305.14285714285717</v>
      </c>
      <c r="K12187" s="297">
        <f>J12187/POBLA!$B$18*100000</f>
        <v>39.059935605965713</v>
      </c>
      <c r="L12187" s="200">
        <f t="shared" si="2252"/>
        <v>-1.5214384508990264E-2</v>
      </c>
      <c r="M12187" s="401">
        <f>SUM(C12187,C12163,C12139,C12115,C12091,C12067,C12043)/POBLA!$B$18*100000</f>
        <v>273.41954924175997</v>
      </c>
      <c r="N12187" s="42" t="s">
        <v>35</v>
      </c>
      <c r="O12187" s="42">
        <v>2</v>
      </c>
      <c r="P12187" s="42">
        <v>1</v>
      </c>
      <c r="Q12187" s="42">
        <v>0</v>
      </c>
      <c r="R12187" s="42">
        <v>3</v>
      </c>
    </row>
    <row r="12188" spans="1:18" x14ac:dyDescent="0.25">
      <c r="A12188" s="367" t="s">
        <v>36</v>
      </c>
      <c r="B12188" s="2">
        <v>44400</v>
      </c>
      <c r="C12188" s="4">
        <v>256</v>
      </c>
      <c r="D12188" s="39">
        <f t="shared" si="2255"/>
        <v>72893</v>
      </c>
      <c r="E12188" s="1">
        <v>5</v>
      </c>
      <c r="F12188" s="39">
        <f t="shared" si="2248"/>
        <v>1199</v>
      </c>
      <c r="G12188" s="168">
        <f>SUM(C12188,C12164,C12140,C12116,C12092,C12068,C12044,C12020,C11996,C11972,C11948,C11924,C11900,C11876)/POBLA!$B$19*100000</f>
        <v>771.35235517225101</v>
      </c>
      <c r="H12188" s="256">
        <f t="shared" si="2253"/>
        <v>0.76135922330097083</v>
      </c>
      <c r="I12188" s="297">
        <f t="shared" si="2254"/>
        <v>587.27623002531959</v>
      </c>
      <c r="J12188" s="422">
        <f t="shared" si="2251"/>
        <v>251.42857142857142</v>
      </c>
      <c r="K12188" s="297">
        <f>J12188/POBLA!$B$19*100000</f>
        <v>49.461877258103314</v>
      </c>
      <c r="L12188" s="200">
        <f t="shared" si="2252"/>
        <v>-0.18556223970384078</v>
      </c>
      <c r="M12188" s="401">
        <f>SUM(C12188,C12164,C12140,C12116,C12092,C12068,C12044)/POBLA!$B$19*100000</f>
        <v>346.23314080672321</v>
      </c>
      <c r="N12188" s="42" t="s">
        <v>36</v>
      </c>
      <c r="O12188" s="42">
        <v>3</v>
      </c>
      <c r="P12188" s="42">
        <v>2</v>
      </c>
      <c r="Q12188" s="42">
        <v>0</v>
      </c>
      <c r="R12188" s="42">
        <v>5</v>
      </c>
    </row>
    <row r="12189" spans="1:18" x14ac:dyDescent="0.25">
      <c r="A12189" s="367" t="s">
        <v>37</v>
      </c>
      <c r="B12189" s="2">
        <v>44400</v>
      </c>
      <c r="C12189" s="4">
        <v>57</v>
      </c>
      <c r="D12189" s="39">
        <f t="shared" si="2255"/>
        <v>57379</v>
      </c>
      <c r="E12189" s="1">
        <v>1</v>
      </c>
      <c r="F12189" s="39">
        <f>E12189+F12165</f>
        <v>928</v>
      </c>
      <c r="G12189" s="168">
        <f>SUM(C12189,C12165,C12142,C12117,C12093,C12069,C12045,C12021,C11997,C11973,C11949,C11925,C11901,C11877)/POBLA!$B$20*100000</f>
        <v>602.40963855421694</v>
      </c>
      <c r="H12189" s="256">
        <f t="shared" si="2253"/>
        <v>0.66345492085340674</v>
      </c>
      <c r="I12189" s="297">
        <f t="shared" si="2254"/>
        <v>399.67163906831735</v>
      </c>
      <c r="J12189" s="422">
        <f t="shared" si="2251"/>
        <v>58.285714285714285</v>
      </c>
      <c r="K12189" s="297">
        <f>J12189/POBLA!$B$20*100000</f>
        <v>15.93820974840286</v>
      </c>
      <c r="L12189" s="200">
        <f t="shared" si="2252"/>
        <v>-0.26618705035971224</v>
      </c>
      <c r="M12189" s="401">
        <f>SUM(C12189,C12165,C12141,C12117,C12093,C12069,C12045)/POBLA!$B$20*100000</f>
        <v>111.56746823882001</v>
      </c>
      <c r="N12189" s="42" t="s">
        <v>37</v>
      </c>
      <c r="O12189" s="42">
        <v>0</v>
      </c>
      <c r="P12189" s="42">
        <v>1</v>
      </c>
      <c r="Q12189" s="42">
        <v>0</v>
      </c>
      <c r="R12189" s="42">
        <v>1</v>
      </c>
    </row>
    <row r="12190" spans="1:18" x14ac:dyDescent="0.25">
      <c r="A12190" s="367" t="s">
        <v>22</v>
      </c>
      <c r="B12190" s="2">
        <v>44400</v>
      </c>
      <c r="C12190" s="4">
        <v>1348</v>
      </c>
      <c r="D12190" s="39">
        <f t="shared" si="2255"/>
        <v>438450</v>
      </c>
      <c r="E12190" s="1">
        <v>45</v>
      </c>
      <c r="F12190" s="39">
        <f>E12190+F12166</f>
        <v>7550</v>
      </c>
      <c r="G12190" s="168">
        <f>SUM(C12190,C12166,C12142,C12118,C12094,C12070,C12046,C12022,C11998,C11974,C11950,C11926,C11902,C11878)/POBLA!$B$21*100000</f>
        <v>511.28005795694963</v>
      </c>
      <c r="H12190" s="256">
        <f t="shared" si="2253"/>
        <v>0.81530414393290351</v>
      </c>
      <c r="I12190" s="297">
        <f t="shared" si="2254"/>
        <v>416.8487499625561</v>
      </c>
      <c r="J12190" s="422">
        <f t="shared" si="2251"/>
        <v>1193.4285714285713</v>
      </c>
      <c r="K12190" s="297">
        <f>J12190/POBLA!$B$21*100000</f>
        <v>33.746818713980396</v>
      </c>
      <c r="L12190" s="200">
        <f t="shared" si="2252"/>
        <v>-0.14115349028477431</v>
      </c>
      <c r="M12190" s="401">
        <f>SUM(C12190,C12166,C12142,C12118,C12094,C12070,C12046)/POBLA!$B$21*100000</f>
        <v>236.22773099786281</v>
      </c>
      <c r="N12190" s="42" t="s">
        <v>22</v>
      </c>
      <c r="O12190" s="42">
        <v>20</v>
      </c>
      <c r="P12190" s="42">
        <v>25</v>
      </c>
      <c r="Q12190" s="42">
        <v>0</v>
      </c>
      <c r="R12190" s="42">
        <v>45</v>
      </c>
    </row>
    <row r="12191" spans="1:18" x14ac:dyDescent="0.25">
      <c r="A12191" s="367" t="s">
        <v>38</v>
      </c>
      <c r="B12191" s="2">
        <v>44400</v>
      </c>
      <c r="C12191" s="4">
        <v>427</v>
      </c>
      <c r="D12191" s="39">
        <f t="shared" si="2255"/>
        <v>70901</v>
      </c>
      <c r="E12191" s="1">
        <v>10</v>
      </c>
      <c r="F12191" s="39">
        <f>E12191+F12167</f>
        <v>996</v>
      </c>
      <c r="G12191" s="168">
        <f>SUM(C12191,C12167,C12143,C12119,C12095,C12071,C12047,C12023,C11999,C11975,C11951,C11927,C11903,C11879)/POBLA!$B$22*100000</f>
        <v>646.62331993952864</v>
      </c>
      <c r="H12191" s="256">
        <f t="shared" si="2253"/>
        <v>0.82412714955706101</v>
      </c>
      <c r="I12191" s="297">
        <f t="shared" si="2254"/>
        <v>532.89983349888723</v>
      </c>
      <c r="J12191" s="422">
        <f t="shared" si="2251"/>
        <v>364.71428571428572</v>
      </c>
      <c r="K12191" s="297">
        <f>J12191/POBLA!$B$22*100000</f>
        <v>37.279918156488336</v>
      </c>
      <c r="L12191" s="200">
        <f t="shared" si="2252"/>
        <v>-0.32335011926848667</v>
      </c>
      <c r="M12191" s="401">
        <f>SUM(C12191,C12167,C12143,C12119,C12095,C12071,C12047)/POBLA!$B$22*100000</f>
        <v>260.95942709541833</v>
      </c>
      <c r="N12191" s="42" t="s">
        <v>38</v>
      </c>
      <c r="O12191" s="42">
        <v>3</v>
      </c>
      <c r="P12191" s="42">
        <v>7</v>
      </c>
      <c r="Q12191" s="42">
        <v>0</v>
      </c>
      <c r="R12191" s="42">
        <v>10</v>
      </c>
    </row>
    <row r="12192" spans="1:18" x14ac:dyDescent="0.25">
      <c r="A12192" s="367" t="s">
        <v>39</v>
      </c>
      <c r="B12192" s="2">
        <v>44400</v>
      </c>
      <c r="C12192" s="4">
        <v>75</v>
      </c>
      <c r="D12192" s="39">
        <f t="shared" si="2255"/>
        <v>30829</v>
      </c>
      <c r="F12192" s="39">
        <f>E12192+F12168</f>
        <v>464</v>
      </c>
      <c r="G12192" s="168">
        <f>SUM(C12192,C12168,C12144,C12120,C12096,C12072,C12048,C12024,C12000,C11976,C11952,C11928,C11904,C11880)/POBLA!$B$23*100000</f>
        <v>365.32262625120171</v>
      </c>
      <c r="H12192" s="256">
        <f t="shared" si="2253"/>
        <v>1.0253968253968253</v>
      </c>
      <c r="I12192" s="297">
        <f t="shared" si="2254"/>
        <v>374.60066120361313</v>
      </c>
      <c r="J12192" s="422">
        <f t="shared" si="2251"/>
        <v>48.571428571428569</v>
      </c>
      <c r="K12192" s="297">
        <f>J12192/POBLA!$B$23*100000</f>
        <v>27.467866635428699</v>
      </c>
      <c r="L12192" s="200">
        <f t="shared" si="2252"/>
        <v>0.11111111111111116</v>
      </c>
      <c r="M12192" s="401">
        <f>SUM(C12192,C12168,C12144,C12120,C12096,C12072,C12048)/POBLA!$B$23*100000</f>
        <v>192.2750664480009</v>
      </c>
    </row>
    <row r="12193" spans="1:18" ht="15.75" thickBot="1" x14ac:dyDescent="0.3">
      <c r="A12193" s="369" t="s">
        <v>40</v>
      </c>
      <c r="B12193" s="2">
        <v>44400</v>
      </c>
      <c r="C12193" s="357">
        <v>722</v>
      </c>
      <c r="D12193" s="176">
        <f t="shared" si="2255"/>
        <v>175768</v>
      </c>
      <c r="E12193" s="44">
        <v>2</v>
      </c>
      <c r="F12193" s="176">
        <f>E12193+F12169</f>
        <v>2518</v>
      </c>
      <c r="G12193" s="177">
        <f>SUM(C12193,C12169,C12145,C12121,C12097,C12073,C12049,C12025,C12001,C11977,C11953,C11929,C11905,C11881)/POBLA!$B$24*100000</f>
        <v>571.91548019185018</v>
      </c>
      <c r="H12193" s="402">
        <f t="shared" si="2253"/>
        <v>0.64613333333333334</v>
      </c>
      <c r="I12193" s="403">
        <f t="shared" si="2254"/>
        <v>369.53365560129413</v>
      </c>
      <c r="J12193" s="423">
        <f t="shared" si="2251"/>
        <v>709.14285714285711</v>
      </c>
      <c r="K12193" s="403">
        <f>J12193/POBLA!$B$24*100000</f>
        <v>41.845829309479747</v>
      </c>
      <c r="L12193" s="404">
        <f t="shared" si="2252"/>
        <v>4.9915397631133729E-2</v>
      </c>
      <c r="M12193" s="405">
        <f>SUM(C12193,C12169,C12145,C12121,C12097,C12073,C12049)/POBLA!$B$24*100000</f>
        <v>292.92080516635821</v>
      </c>
      <c r="N12193" s="42" t="s">
        <v>40</v>
      </c>
      <c r="O12193" s="42">
        <v>2</v>
      </c>
      <c r="P12193" s="42">
        <v>0</v>
      </c>
      <c r="Q12193" s="42">
        <v>0</v>
      </c>
      <c r="R12193" s="42">
        <v>2</v>
      </c>
    </row>
    <row r="12194" spans="1:18" x14ac:dyDescent="0.25">
      <c r="A12194" s="363" t="s">
        <v>16</v>
      </c>
      <c r="B12194" s="265">
        <v>44401</v>
      </c>
      <c r="C12194" s="356">
        <v>2834</v>
      </c>
      <c r="D12194" s="174">
        <f>C12194+D12170</f>
        <v>1951006</v>
      </c>
      <c r="E12194" s="43">
        <v>133</v>
      </c>
      <c r="F12194" s="174">
        <f t="shared" ref="F12194:F12212" si="2256">E12194+F12170</f>
        <v>51430</v>
      </c>
      <c r="G12194" s="175">
        <f>SUM(C12194,C12170,C12122,C12146,C12098,C12074,C12050,C12026,C12002,C11978,C11954,C11930,C11906,C11882)/POBLA!$B$1*100000</f>
        <v>325.74847896154529</v>
      </c>
      <c r="H12194" s="300">
        <f t="shared" si="2253"/>
        <v>0.75388553183629314</v>
      </c>
      <c r="I12194" s="301">
        <f>G12194*H12194</f>
        <v>245.57706530678811</v>
      </c>
      <c r="J12194" s="421">
        <f>AVERAGE(C12194,C12170,C12146,C12122,C12098,C12074,C12050)</f>
        <v>3616.8571428571427</v>
      </c>
      <c r="K12194" s="301">
        <f>J12194/POBLA!$B$1*100000</f>
        <v>20.619280939918006</v>
      </c>
      <c r="L12194" s="399">
        <f>(SUM(C12194,C12170,C12146,C12122,C12098,C12074,C12050)/SUM(C12026,C12002,C11978,C11954,C11930,C11906,C11882))-1</f>
        <v>-0.20438690214317135</v>
      </c>
      <c r="M12194" s="400">
        <f>SUM(C12194,C12170,C12146,C12122,C12098,C12074,C12050)/POBLA!$B$1*100000</f>
        <v>144.33496657942604</v>
      </c>
      <c r="N12194" s="42" t="s">
        <v>16</v>
      </c>
      <c r="O12194" s="42">
        <v>43</v>
      </c>
      <c r="P12194" s="42">
        <v>90</v>
      </c>
      <c r="Q12194" s="42">
        <v>0</v>
      </c>
      <c r="R12194" s="42">
        <v>133</v>
      </c>
    </row>
    <row r="12195" spans="1:18" x14ac:dyDescent="0.25">
      <c r="A12195" s="367" t="s">
        <v>43</v>
      </c>
      <c r="B12195" s="2">
        <v>44401</v>
      </c>
      <c r="C12195" s="4">
        <v>736</v>
      </c>
      <c r="D12195" s="39">
        <f t="shared" ref="D12195:D12209" si="2257">C12195+D12171</f>
        <v>486589</v>
      </c>
      <c r="E12195" s="1">
        <v>13</v>
      </c>
      <c r="F12195" s="39">
        <f t="shared" si="2256"/>
        <v>10801</v>
      </c>
      <c r="G12195" s="168">
        <f>SUM(C12195,C12171,C12147,C12123,C12099,C12075,C12051,C12027,C12003,C11979,C11955,C11931,C11907,C11883)/POBLA!$B$2*100000</f>
        <v>395.7217443099758</v>
      </c>
      <c r="H12195" s="256">
        <f t="shared" si="2253"/>
        <v>0.80934964755951588</v>
      </c>
      <c r="I12195" s="297">
        <f t="shared" ref="I12195:I12201" si="2258">G12195*H12195</f>
        <v>320.2772542889158</v>
      </c>
      <c r="J12195" s="422">
        <f>AVERAGE(C12195,C12171,C12147,C12123,C12099,C12075,C12051)</f>
        <v>775.85714285714289</v>
      </c>
      <c r="K12195" s="297">
        <f>J12195/POBLA!$B$2*100000</f>
        <v>25.225827122404301</v>
      </c>
      <c r="L12195" s="200">
        <f>(SUM(C12195,C12171,C12147,C12123,C12099,C12075,C12051)/SUM(C12027,C12003,C11979,C11955,C11931,C11907,C11883))-1</f>
        <v>-0.19421364985163203</v>
      </c>
      <c r="M12195" s="401">
        <f>SUM(C12195,C12171,C12147,C12123,C12099,C12075,C12051)/POBLA!$B$2*100000</f>
        <v>176.58078985683008</v>
      </c>
      <c r="N12195" s="42" t="s">
        <v>43</v>
      </c>
      <c r="O12195" s="42">
        <v>4</v>
      </c>
      <c r="P12195" s="42">
        <v>9</v>
      </c>
      <c r="Q12195" s="42">
        <v>0</v>
      </c>
      <c r="R12195" s="42">
        <v>13</v>
      </c>
    </row>
    <row r="12196" spans="1:18" x14ac:dyDescent="0.25">
      <c r="A12196" s="367" t="s">
        <v>28</v>
      </c>
      <c r="B12196" s="2">
        <v>44401</v>
      </c>
      <c r="C12196" s="4">
        <v>212</v>
      </c>
      <c r="D12196" s="39">
        <f t="shared" si="2257"/>
        <v>40570</v>
      </c>
      <c r="E12196" s="1">
        <v>2</v>
      </c>
      <c r="F12196" s="39">
        <f t="shared" si="2256"/>
        <v>444</v>
      </c>
      <c r="G12196" s="168">
        <f>SUM(C12196,C12172,C12148,C12124,C12100,C12076,C12052,C12028,C12004,C11980,C11956,C11932,C11908,C11884)/POBLA!$B$3*100000</f>
        <v>843.2064471714192</v>
      </c>
      <c r="H12196" s="256">
        <f t="shared" si="2253"/>
        <v>0.85501586526726869</v>
      </c>
      <c r="I12196" s="297">
        <f t="shared" si="2258"/>
        <v>720.95489002721047</v>
      </c>
      <c r="J12196" s="422">
        <f t="shared" ref="J12196:J12217" si="2259">AVERAGE(C12196,C12172,C12148,C12124,C12100,C12076,C12052)</f>
        <v>254</v>
      </c>
      <c r="K12196" s="297">
        <f>J12196/POBLA!$B$3*100000</f>
        <v>61.140290488592761</v>
      </c>
      <c r="L12196" s="200">
        <f t="shared" ref="L12196:L12217" si="2260">(SUM(C12196,C12172,C12148,C12124,C12100,C12076,C12052)/SUM(C12028,C12004,C11980,C11956,C11932,C11908,C11884))-1</f>
        <v>3.0724637681159406E-2</v>
      </c>
      <c r="M12196" s="401">
        <f>SUM(C12196,C12172,C12148,C12124,C12100,C12076,C12052)/POBLA!$B$3*100000</f>
        <v>427.98203342014932</v>
      </c>
      <c r="N12196" s="42" t="s">
        <v>28</v>
      </c>
      <c r="O12196" s="42">
        <v>1</v>
      </c>
      <c r="P12196" s="42">
        <v>1</v>
      </c>
      <c r="Q12196" s="42">
        <v>0</v>
      </c>
      <c r="R12196" s="42">
        <v>2</v>
      </c>
    </row>
    <row r="12197" spans="1:18" x14ac:dyDescent="0.25">
      <c r="A12197" s="367" t="s">
        <v>15</v>
      </c>
      <c r="B12197" s="2">
        <v>44401</v>
      </c>
      <c r="C12197" s="4">
        <v>393</v>
      </c>
      <c r="D12197" s="39">
        <f t="shared" si="2257"/>
        <v>88440</v>
      </c>
      <c r="E12197" s="1">
        <v>3</v>
      </c>
      <c r="F12197" s="39">
        <f t="shared" si="2256"/>
        <v>1953</v>
      </c>
      <c r="G12197" s="168">
        <f>SUM(C12197,C12173,C12149,C12125,C12101,C12077,C12053,C12029,C12005,C11981,C11957,C11933,C11909,C11885)/POBLA!$B$4*100000</f>
        <v>482.75650226932913</v>
      </c>
      <c r="H12197" s="256">
        <f t="shared" si="2253"/>
        <v>0.76392538097740414</v>
      </c>
      <c r="I12197" s="297">
        <f t="shared" si="2258"/>
        <v>368.7899449154163</v>
      </c>
      <c r="J12197" s="422">
        <f t="shared" si="2259"/>
        <v>376.42857142857144</v>
      </c>
      <c r="K12197" s="297">
        <f>J12197/POBLA!$B$4*100000</f>
        <v>31.250789423404555</v>
      </c>
      <c r="L12197" s="200">
        <f t="shared" si="2260"/>
        <v>-0.17138364779874216</v>
      </c>
      <c r="M12197" s="401">
        <f>SUM(C12197,C12173,C12149,C12125,C12101,C12077,C12053)/POBLA!$B$4*100000</f>
        <v>218.75552596383184</v>
      </c>
      <c r="N12197" s="42" t="s">
        <v>15</v>
      </c>
      <c r="O12197" s="42">
        <v>1</v>
      </c>
      <c r="P12197" s="42">
        <v>2</v>
      </c>
      <c r="Q12197" s="42">
        <v>0</v>
      </c>
      <c r="R12197" s="42">
        <v>3</v>
      </c>
    </row>
    <row r="12198" spans="1:18" x14ac:dyDescent="0.25">
      <c r="A12198" s="367" t="s">
        <v>29</v>
      </c>
      <c r="B12198" s="2">
        <v>44401</v>
      </c>
      <c r="C12198" s="4">
        <v>98</v>
      </c>
      <c r="D12198" s="39">
        <f t="shared" si="2257"/>
        <v>74959</v>
      </c>
      <c r="E12198" s="1">
        <v>3</v>
      </c>
      <c r="F12198" s="39">
        <f t="shared" si="2256"/>
        <v>1294</v>
      </c>
      <c r="G12198" s="168">
        <f>SUM(C12198,C12174,C12150,C12126,C12102,C12078,C12054,C12030,C12006,C11982,C11958,C11934,C11910,C11886)/POBLA!$B$5*100000</f>
        <v>387.40278581052485</v>
      </c>
      <c r="H12198" s="256">
        <f t="shared" si="2253"/>
        <v>0.90558912386706947</v>
      </c>
      <c r="I12198" s="297">
        <f t="shared" si="2258"/>
        <v>350.8277493858152</v>
      </c>
      <c r="J12198" s="422">
        <f t="shared" si="2259"/>
        <v>162.71428571428572</v>
      </c>
      <c r="K12198" s="297">
        <f>J12198/POBLA!$B$5*100000</f>
        <v>26.28689223389657</v>
      </c>
      <c r="L12198" s="200">
        <f t="shared" si="2260"/>
        <v>-9.5313741064336766E-2</v>
      </c>
      <c r="M12198" s="401">
        <f>SUM(C12198,C12174,C12150,C12126,C12102,C12078,C12054)/POBLA!$B$5*100000</f>
        <v>184.00824563727596</v>
      </c>
      <c r="N12198" s="42" t="s">
        <v>29</v>
      </c>
      <c r="O12198" s="42">
        <v>2</v>
      </c>
      <c r="P12198" s="42">
        <v>1</v>
      </c>
      <c r="Q12198" s="42">
        <v>0</v>
      </c>
      <c r="R12198" s="42">
        <v>3</v>
      </c>
    </row>
    <row r="12199" spans="1:18" x14ac:dyDescent="0.25">
      <c r="A12199" s="367" t="s">
        <v>30</v>
      </c>
      <c r="B12199" s="2">
        <v>44401</v>
      </c>
      <c r="C12199" s="4">
        <v>495</v>
      </c>
      <c r="D12199" s="39">
        <f t="shared" si="2257"/>
        <v>445514</v>
      </c>
      <c r="F12199" s="39">
        <f t="shared" si="2256"/>
        <v>5825</v>
      </c>
      <c r="G12199" s="168">
        <f>SUM(C12199,C12175,C12151,C12127,C12103,C12079,C12055,C12031,C12007,C11983,C11959,C11935,C11911,C11887)/POBLA!$B$6*100000</f>
        <v>621.07367855667508</v>
      </c>
      <c r="H12199" s="256">
        <f t="shared" si="2253"/>
        <v>1.1283838547576592</v>
      </c>
      <c r="I12199" s="297">
        <f t="shared" si="2258"/>
        <v>700.80951149830037</v>
      </c>
      <c r="J12199" s="422">
        <f t="shared" si="2259"/>
        <v>446.85714285714283</v>
      </c>
      <c r="K12199" s="297">
        <f>J12199/POBLA!$B$6*100000</f>
        <v>39.869445410661022</v>
      </c>
      <c r="L12199" s="200">
        <f t="shared" si="2260"/>
        <v>-0.18392903730759191</v>
      </c>
      <c r="M12199" s="401">
        <f>SUM(C12199,C12175,C12151,C12127,C12103,C12079,C12055)/POBLA!$B$6*100000</f>
        <v>279.08611787462718</v>
      </c>
    </row>
    <row r="12200" spans="1:18" x14ac:dyDescent="0.25">
      <c r="A12200" s="367" t="s">
        <v>20</v>
      </c>
      <c r="B12200" s="2">
        <v>44401</v>
      </c>
      <c r="C12200" s="4">
        <v>1596</v>
      </c>
      <c r="D12200" s="39">
        <f t="shared" si="2257"/>
        <v>87386</v>
      </c>
      <c r="E12200" s="1">
        <v>8</v>
      </c>
      <c r="F12200" s="39">
        <f t="shared" si="2256"/>
        <v>1024</v>
      </c>
      <c r="G12200" s="168">
        <f>SUM(C12200,C12176,C12152,C12128,C12104,C12080,C12056,C12032,C12008,C11984,C11960,C11936,C11912,C11888)/POBLA!$B$7*100000</f>
        <v>644.09844566474749</v>
      </c>
      <c r="H12200" s="256">
        <f t="shared" si="2253"/>
        <v>0.81478117536246508</v>
      </c>
      <c r="I12200" s="297">
        <f t="shared" si="2258"/>
        <v>524.79928860785981</v>
      </c>
      <c r="J12200" s="422">
        <f t="shared" si="2259"/>
        <v>1526.8571428571429</v>
      </c>
      <c r="K12200" s="297">
        <f>J12200/POBLA!$B$7*100000</f>
        <v>40.603043328780942</v>
      </c>
      <c r="L12200" s="200">
        <f t="shared" si="2260"/>
        <v>-0.21022685287814968</v>
      </c>
      <c r="M12200" s="401">
        <f>SUM(C12200,C12176,C12152,C12128,C12104,C12080,C12056)/POBLA!$B$7*100000</f>
        <v>284.22130330146661</v>
      </c>
      <c r="N12200" s="42" t="s">
        <v>20</v>
      </c>
      <c r="O12200" s="42">
        <v>3</v>
      </c>
      <c r="P12200" s="42">
        <v>5</v>
      </c>
      <c r="Q12200" s="42">
        <v>0</v>
      </c>
      <c r="R12200" s="42">
        <v>8</v>
      </c>
    </row>
    <row r="12201" spans="1:18" x14ac:dyDescent="0.25">
      <c r="A12201" s="367" t="s">
        <v>31</v>
      </c>
      <c r="B12201" s="2">
        <v>44401</v>
      </c>
      <c r="C12201" s="4">
        <v>328</v>
      </c>
      <c r="D12201" s="39">
        <f t="shared" si="2257"/>
        <v>125191</v>
      </c>
      <c r="E12201" s="1">
        <v>1</v>
      </c>
      <c r="F12201" s="39">
        <f t="shared" si="2256"/>
        <v>2062</v>
      </c>
      <c r="G12201" s="168">
        <f>SUM(C12201,C12177,C12153,C12129,C12105,C12081,C12057,C12033,C12009,C11985,C11961,C11937,C11913,C11889)/POBLA!$B$8*100000</f>
        <v>590.99787079145813</v>
      </c>
      <c r="H12201" s="256">
        <f t="shared" ref="H12201:H12224" si="2261">SUM(C12201,C12177,C12153,C12129,C12105,C12081,C12057,C12033,C12009,C11985,C11961,C11937,C11913,C11889,)/SUM(C11865,C11841,C11817,C11793,C11769,C11745,C11721,C11697,C11673,C11649,C11625,C11601,C11577,C11553)</f>
        <v>0.85065946619586663</v>
      </c>
      <c r="I12201" s="297">
        <f t="shared" si="2258"/>
        <v>502.73793329035556</v>
      </c>
      <c r="J12201" s="422">
        <f t="shared" si="2259"/>
        <v>462.71428571428572</v>
      </c>
      <c r="K12201" s="297">
        <f>J12201/POBLA!$B$8*100000</f>
        <v>33.385808526667475</v>
      </c>
      <c r="L12201" s="200">
        <f t="shared" si="2260"/>
        <v>-0.34592084006462032</v>
      </c>
      <c r="M12201" s="401">
        <f>SUM(C12201,C12177,C12153,C12129,C12105,C12081,C12057)/POBLA!$B$8*100000</f>
        <v>233.70065968667228</v>
      </c>
      <c r="N12201" s="42" t="s">
        <v>31</v>
      </c>
      <c r="O12201" s="42">
        <v>0</v>
      </c>
      <c r="P12201" s="42">
        <v>1</v>
      </c>
      <c r="Q12201" s="42">
        <v>0</v>
      </c>
      <c r="R12201" s="42">
        <v>1</v>
      </c>
    </row>
    <row r="12202" spans="1:18" x14ac:dyDescent="0.25">
      <c r="A12202" s="367" t="s">
        <v>41</v>
      </c>
      <c r="B12202" s="2">
        <v>44401</v>
      </c>
      <c r="C12202" s="4">
        <v>274</v>
      </c>
      <c r="D12202" s="39">
        <f t="shared" si="2257"/>
        <v>54381</v>
      </c>
      <c r="E12202" s="1">
        <v>10</v>
      </c>
      <c r="F12202" s="39">
        <f t="shared" si="2256"/>
        <v>976</v>
      </c>
      <c r="G12202" s="168">
        <f>SUM(C12202,C12178,C12154,C12130,C12106,C12082,C12058,C12034,C12010,C11986,C11962,C11938,C11914,C11890)/POBLA!$B$9*100000</f>
        <v>747.364890208578</v>
      </c>
      <c r="H12202" s="256">
        <f t="shared" si="2261"/>
        <v>0.79883433415754146</v>
      </c>
      <c r="I12202" s="297">
        <f>G12202*H12202</f>
        <v>597.02073444249345</v>
      </c>
      <c r="J12202" s="422">
        <f t="shared" si="2259"/>
        <v>262.71428571428572</v>
      </c>
      <c r="K12202" s="297">
        <f>J12202/POBLA!$B$9*100000</f>
        <v>43.410000729401318</v>
      </c>
      <c r="L12202" s="200">
        <f t="shared" si="2260"/>
        <v>-0.31482861400894191</v>
      </c>
      <c r="M12202" s="401">
        <f>SUM(C12202,C12178,C12154,C12130,C12106,C12082,C12058)/POBLA!$B$9*100000</f>
        <v>303.87000510580924</v>
      </c>
      <c r="N12202" s="42" t="s">
        <v>41</v>
      </c>
      <c r="O12202" s="42">
        <v>4</v>
      </c>
      <c r="P12202" s="42">
        <v>6</v>
      </c>
      <c r="Q12202" s="42">
        <v>0</v>
      </c>
      <c r="R12202" s="42">
        <v>10</v>
      </c>
    </row>
    <row r="12203" spans="1:18" x14ac:dyDescent="0.25">
      <c r="A12203" s="367" t="s">
        <v>32</v>
      </c>
      <c r="B12203" s="2">
        <v>44401</v>
      </c>
      <c r="C12203" s="4">
        <v>193</v>
      </c>
      <c r="D12203" s="39">
        <f t="shared" si="2257"/>
        <v>42239</v>
      </c>
      <c r="E12203" s="1">
        <v>6</v>
      </c>
      <c r="F12203" s="39">
        <f t="shared" si="2256"/>
        <v>1291</v>
      </c>
      <c r="G12203" s="168">
        <f>SUM(C12203,C12179,C12155,C12131,C12107,C12083,C12059,C12035,C12011,C11987,C11963,C11939,C11915,C11891)/POBLA!$B$10*100000</f>
        <v>464.53343641885067</v>
      </c>
      <c r="H12203" s="256">
        <f t="shared" si="2261"/>
        <v>0.90658227848101269</v>
      </c>
      <c r="I12203" s="297">
        <f t="shared" ref="I12203:I12217" si="2262">G12203*H12203</f>
        <v>421.13778121921627</v>
      </c>
      <c r="J12203" s="422">
        <f t="shared" si="2259"/>
        <v>236.85714285714286</v>
      </c>
      <c r="K12203" s="297">
        <f>J12203/POBLA!$B$10*100000</f>
        <v>30.725513128114827</v>
      </c>
      <c r="L12203" s="200">
        <f t="shared" si="2260"/>
        <v>-0.13780551222048887</v>
      </c>
      <c r="M12203" s="401">
        <f>SUM(C12203,C12179,C12155,C12131,C12107,C12083,C12059)/POBLA!$B$10*100000</f>
        <v>215.0785918968038</v>
      </c>
      <c r="N12203" s="42" t="s">
        <v>32</v>
      </c>
      <c r="O12203" s="42">
        <v>3</v>
      </c>
      <c r="P12203" s="42">
        <v>3</v>
      </c>
      <c r="Q12203" s="42">
        <v>0</v>
      </c>
      <c r="R12203" s="42">
        <v>6</v>
      </c>
    </row>
    <row r="12204" spans="1:18" x14ac:dyDescent="0.25">
      <c r="A12204" s="367" t="s">
        <v>33</v>
      </c>
      <c r="B12204" s="2">
        <v>44401</v>
      </c>
      <c r="C12204" s="4">
        <v>247</v>
      </c>
      <c r="D12204" s="39">
        <f t="shared" si="2257"/>
        <v>59501</v>
      </c>
      <c r="E12204" s="1">
        <v>1</v>
      </c>
      <c r="F12204" s="39">
        <f t="shared" si="2256"/>
        <v>815</v>
      </c>
      <c r="G12204" s="168">
        <f>SUM(C12204,C12180,C12156,C12132,C12108,C12084,C12060,C12036,C12012,C11988,C11964,C11940,C11916,C11892)/POBLA!$B$11*100000</f>
        <v>1059.3480420056469</v>
      </c>
      <c r="H12204" s="256">
        <f t="shared" si="2261"/>
        <v>0.86275846398545786</v>
      </c>
      <c r="I12204" s="297">
        <f t="shared" si="2262"/>
        <v>913.96148954679416</v>
      </c>
      <c r="J12204" s="422">
        <f t="shared" si="2259"/>
        <v>272.14285714285717</v>
      </c>
      <c r="K12204" s="297">
        <f>J12204/POBLA!$B$11*100000</f>
        <v>75.92678505665215</v>
      </c>
      <c r="L12204" s="200">
        <f t="shared" si="2260"/>
        <v>6.8710359408032939E-3</v>
      </c>
      <c r="M12204" s="401">
        <f>SUM(C12204,C12180,C12156,C12132,C12108,C12084,C12060)/POBLA!$B$11*100000</f>
        <v>531.48749539656501</v>
      </c>
      <c r="N12204" s="42" t="s">
        <v>33</v>
      </c>
      <c r="O12204" s="42">
        <v>1</v>
      </c>
      <c r="P12204" s="42">
        <v>0</v>
      </c>
      <c r="Q12204" s="42">
        <v>0</v>
      </c>
      <c r="R12204" s="42">
        <v>1</v>
      </c>
    </row>
    <row r="12205" spans="1:18" x14ac:dyDescent="0.25">
      <c r="A12205" s="367" t="s">
        <v>21</v>
      </c>
      <c r="B12205" s="2">
        <v>44401</v>
      </c>
      <c r="C12205" s="4">
        <v>180</v>
      </c>
      <c r="D12205" s="39">
        <f t="shared" si="2257"/>
        <v>26577</v>
      </c>
      <c r="F12205" s="39">
        <f t="shared" si="2256"/>
        <v>763</v>
      </c>
      <c r="G12205" s="168">
        <f>SUM(C12205,C12181,C12157,C12133,C12109,C12085,C12061,C12037,C12013,C11989,C11965,C11941,C11917,C11893)/POBLA!$B$12*100000</f>
        <v>634.25752990234571</v>
      </c>
      <c r="H12205" s="256">
        <f t="shared" si="2261"/>
        <v>0.96</v>
      </c>
      <c r="I12205" s="297">
        <f t="shared" si="2262"/>
        <v>608.8872287062519</v>
      </c>
      <c r="J12205" s="422">
        <f t="shared" si="2259"/>
        <v>138.85714285714286</v>
      </c>
      <c r="K12205" s="297">
        <f>J12205/POBLA!$B$12*100000</f>
        <v>35.284931265171707</v>
      </c>
      <c r="L12205" s="200">
        <f t="shared" si="2260"/>
        <v>-0.36220472440944884</v>
      </c>
      <c r="M12205" s="401">
        <f>SUM(C12205,C12181,C12157,C12133,C12109,C12085,C12061)/POBLA!$B$12*100000</f>
        <v>246.99451885620192</v>
      </c>
    </row>
    <row r="12206" spans="1:18" x14ac:dyDescent="0.25">
      <c r="A12206" s="367" t="s">
        <v>17</v>
      </c>
      <c r="B12206" s="2">
        <v>44401</v>
      </c>
      <c r="C12206" s="4">
        <v>314</v>
      </c>
      <c r="D12206" s="39">
        <f t="shared" si="2257"/>
        <v>151132</v>
      </c>
      <c r="E12206" s="1">
        <v>27</v>
      </c>
      <c r="F12206" s="39">
        <f t="shared" si="2256"/>
        <v>3787</v>
      </c>
      <c r="G12206" s="168">
        <f>SUM(C12206,C12182,C12158,C12134,C12110,C12086,C12062,C12038,C12014,C11990,C11966,C11942,C11918,C11894)/POBLA!$B$13*100000</f>
        <v>312.76094814046661</v>
      </c>
      <c r="H12206" s="256">
        <f t="shared" si="2261"/>
        <v>0.86147246055909221</v>
      </c>
      <c r="I12206" s="297">
        <f t="shared" si="2262"/>
        <v>269.43494356136239</v>
      </c>
      <c r="J12206" s="422">
        <f t="shared" si="2259"/>
        <v>403.85714285714283</v>
      </c>
      <c r="K12206" s="297">
        <f>J12206/POBLA!$B$13*100000</f>
        <v>20.29088239571082</v>
      </c>
      <c r="L12206" s="200">
        <f t="shared" si="2260"/>
        <v>-0.16804002354326075</v>
      </c>
      <c r="M12206" s="401">
        <f>SUM(C12206,C12182,C12158,C12134,C12110,C12086,C12062)/POBLA!$B$13*100000</f>
        <v>142.03617676997575</v>
      </c>
      <c r="N12206" s="42" t="s">
        <v>17</v>
      </c>
      <c r="O12206" s="42">
        <v>11</v>
      </c>
      <c r="P12206" s="42">
        <v>16</v>
      </c>
      <c r="Q12206" s="42">
        <v>0</v>
      </c>
      <c r="R12206" s="42">
        <v>27</v>
      </c>
    </row>
    <row r="12207" spans="1:18" x14ac:dyDescent="0.25">
      <c r="A12207" s="367" t="s">
        <v>23</v>
      </c>
      <c r="B12207" s="2">
        <v>44401</v>
      </c>
      <c r="C12207" s="4">
        <v>179</v>
      </c>
      <c r="D12207" s="39">
        <f t="shared" si="2257"/>
        <v>29647</v>
      </c>
      <c r="E12207" s="1">
        <v>2</v>
      </c>
      <c r="F12207" s="39">
        <f t="shared" si="2256"/>
        <v>502</v>
      </c>
      <c r="G12207" s="168">
        <f>SUM(C12207,C12183,C12159,C12135,C12111,C12087,C12063,C12039,C12015,C11991,C11967,C11943,C11919,C11895)/POBLA!$B$14*100000</f>
        <v>177.99180841263021</v>
      </c>
      <c r="H12207" s="256">
        <f t="shared" si="2261"/>
        <v>0.90633831247476782</v>
      </c>
      <c r="I12207" s="297">
        <f t="shared" si="2262"/>
        <v>161.32079527103545</v>
      </c>
      <c r="J12207" s="422">
        <f t="shared" si="2259"/>
        <v>165.28571428571428</v>
      </c>
      <c r="K12207" s="297">
        <f>J12207/POBLA!$B$14*100000</f>
        <v>13.104455764137011</v>
      </c>
      <c r="L12207" s="200">
        <f t="shared" si="2260"/>
        <v>6.3419117647058876E-2</v>
      </c>
      <c r="M12207" s="401">
        <f>SUM(C12207,C12183,C12159,C12135,C12111,C12087,C12063)/POBLA!$B$14*100000</f>
        <v>91.731190348959089</v>
      </c>
      <c r="N12207" s="42" t="s">
        <v>23</v>
      </c>
      <c r="O12207" s="42">
        <v>1</v>
      </c>
      <c r="P12207" s="42">
        <v>1</v>
      </c>
      <c r="Q12207" s="42">
        <v>0</v>
      </c>
      <c r="R12207" s="42">
        <v>2</v>
      </c>
    </row>
    <row r="12208" spans="1:18" x14ac:dyDescent="0.25">
      <c r="A12208" s="367" t="s">
        <v>19</v>
      </c>
      <c r="B12208" s="2">
        <v>44401</v>
      </c>
      <c r="C12208" s="4">
        <v>191</v>
      </c>
      <c r="D12208" s="39">
        <f t="shared" si="2257"/>
        <v>106048</v>
      </c>
      <c r="F12208" s="39">
        <f t="shared" si="2256"/>
        <v>1996</v>
      </c>
      <c r="G12208" s="168">
        <f>SUM(C12208,C12184,C12160,C12136,C12112,C12088,C12064,C12040,C12016,C11992,C11968,C11944,C11920,C11896)/POBLA!$B$15*100000</f>
        <v>398.00800232510159</v>
      </c>
      <c r="H12208" s="256">
        <f t="shared" si="2261"/>
        <v>0.94867193108399139</v>
      </c>
      <c r="I12208" s="297">
        <f t="shared" si="2262"/>
        <v>377.57902015263585</v>
      </c>
      <c r="J12208" s="422">
        <f t="shared" si="2259"/>
        <v>187.14285714285714</v>
      </c>
      <c r="K12208" s="297">
        <f>J12208/POBLA!$B$15*100000</f>
        <v>28.181746016209019</v>
      </c>
      <c r="L12208" s="200">
        <f t="shared" si="2260"/>
        <v>-1.7254313578394576E-2</v>
      </c>
      <c r="M12208" s="401">
        <f>SUM(C12208,C12184,C12160,C12136,C12112,C12088,C12064)/POBLA!$B$15*100000</f>
        <v>197.27222211346316</v>
      </c>
    </row>
    <row r="12209" spans="1:18" x14ac:dyDescent="0.25">
      <c r="A12209" s="367" t="s">
        <v>18</v>
      </c>
      <c r="B12209" s="2">
        <v>44401</v>
      </c>
      <c r="C12209" s="4">
        <v>242</v>
      </c>
      <c r="D12209" s="39">
        <f t="shared" si="2257"/>
        <v>90074</v>
      </c>
      <c r="E12209" s="1">
        <v>2</v>
      </c>
      <c r="F12209" s="39">
        <f t="shared" si="2256"/>
        <v>2045</v>
      </c>
      <c r="G12209" s="168">
        <f>SUM(C12209,C12185,C12161,C12137,C12113,C12089,C12065,C12041,C12017,C11993,C11969,C11945,C11921,C11897)/POBLA!$B$16*100000</f>
        <v>493.30533299447569</v>
      </c>
      <c r="H12209" s="256">
        <f t="shared" si="2261"/>
        <v>1.2256563642406115</v>
      </c>
      <c r="I12209" s="297">
        <f t="shared" si="2262"/>
        <v>604.62282089851328</v>
      </c>
      <c r="J12209" s="422">
        <f t="shared" si="2259"/>
        <v>281</v>
      </c>
      <c r="K12209" s="297">
        <f>J12209/POBLA!$B$16*100000</f>
        <v>37.586442128917483</v>
      </c>
      <c r="L12209" s="200">
        <f t="shared" si="2260"/>
        <v>0.14294015107495639</v>
      </c>
      <c r="M12209" s="401">
        <f>SUM(C12209,C12185,C12161,C12137,C12113,C12089,C12065)/POBLA!$B$16*100000</f>
        <v>263.10509490242242</v>
      </c>
      <c r="N12209" s="42" t="s">
        <v>18</v>
      </c>
      <c r="O12209" s="42">
        <v>1</v>
      </c>
      <c r="P12209" s="42">
        <v>1</v>
      </c>
      <c r="Q12209" s="42">
        <v>0</v>
      </c>
      <c r="R12209" s="42">
        <v>2</v>
      </c>
    </row>
    <row r="12210" spans="1:18" x14ac:dyDescent="0.25">
      <c r="A12210" s="367" t="s">
        <v>34</v>
      </c>
      <c r="B12210" s="2">
        <v>44401</v>
      </c>
      <c r="C12210" s="4">
        <v>318</v>
      </c>
      <c r="D12210" s="39">
        <f>C12210+D12186</f>
        <v>72908</v>
      </c>
      <c r="E12210" s="1">
        <v>4</v>
      </c>
      <c r="F12210" s="39">
        <f t="shared" si="2256"/>
        <v>2015</v>
      </c>
      <c r="G12210" s="168">
        <f>SUM(C12210,C12186,C12162,C12138,C12114,C12090,C12066,C12042,C12018,C11994,C11970,C11946,C11922,C11898)/POBLA!$B$17*100000</f>
        <v>463.91560779754519</v>
      </c>
      <c r="H12210" s="256">
        <f t="shared" si="2261"/>
        <v>0.9547753214853345</v>
      </c>
      <c r="I12210" s="297">
        <f t="shared" si="2262"/>
        <v>442.93517357696555</v>
      </c>
      <c r="J12210" s="422">
        <f t="shared" si="2259"/>
        <v>373.28571428571428</v>
      </c>
      <c r="K12210" s="297">
        <f>J12210/POBLA!$B$17*100000</f>
        <v>26.206578242281768</v>
      </c>
      <c r="L12210" s="200">
        <f t="shared" si="2260"/>
        <v>-0.34593241551939924</v>
      </c>
      <c r="M12210" s="401">
        <f>SUM(C12210,C12186,C12162,C12138,C12114,C12090,C12066)/POBLA!$B$17*100000</f>
        <v>183.4460476959724</v>
      </c>
      <c r="N12210" s="42" t="s">
        <v>34</v>
      </c>
      <c r="O12210" s="42">
        <v>2</v>
      </c>
      <c r="P12210" s="42">
        <v>2</v>
      </c>
      <c r="Q12210" s="42">
        <v>0</v>
      </c>
      <c r="R12210" s="42">
        <v>4</v>
      </c>
    </row>
    <row r="12211" spans="1:18" x14ac:dyDescent="0.25">
      <c r="A12211" s="367" t="s">
        <v>35</v>
      </c>
      <c r="B12211" s="2">
        <v>44401</v>
      </c>
      <c r="C12211" s="4">
        <v>7</v>
      </c>
      <c r="D12211" s="39">
        <f t="shared" ref="D12211:D12217" si="2263">C12211+D12187</f>
        <v>58427</v>
      </c>
      <c r="F12211" s="39">
        <f t="shared" si="2256"/>
        <v>917</v>
      </c>
      <c r="G12211" s="168">
        <f>SUM(C12211,C12187,C12163,C12139,C12115,C12091,C12067,C12043,C12019,C11995,C11971,C11947,C11923,C11899)/POBLA!$B$18*100000</f>
        <v>520.46998465215165</v>
      </c>
      <c r="H12211" s="256">
        <f t="shared" si="2261"/>
        <v>0.74825174825174823</v>
      </c>
      <c r="I12211" s="297">
        <f t="shared" si="2262"/>
        <v>389.44257592853302</v>
      </c>
      <c r="J12211" s="422">
        <f t="shared" si="2259"/>
        <v>257.71428571428572</v>
      </c>
      <c r="K12211" s="297">
        <f>J12211/POBLA!$B$18*100000</f>
        <v>32.988822019270664</v>
      </c>
      <c r="L12211" s="200">
        <f t="shared" si="2260"/>
        <v>-0.20247568523430592</v>
      </c>
      <c r="M12211" s="401">
        <f>SUM(C12211,C12187,C12163,C12139,C12115,C12091,C12067)/POBLA!$B$18*100000</f>
        <v>230.92175413489468</v>
      </c>
    </row>
    <row r="12212" spans="1:18" x14ac:dyDescent="0.25">
      <c r="A12212" s="367" t="s">
        <v>36</v>
      </c>
      <c r="B12212" s="2">
        <v>44401</v>
      </c>
      <c r="C12212" s="4">
        <v>274</v>
      </c>
      <c r="D12212" s="39">
        <f t="shared" si="2263"/>
        <v>73167</v>
      </c>
      <c r="F12212" s="39">
        <f t="shared" si="2256"/>
        <v>1199</v>
      </c>
      <c r="G12212" s="168">
        <f>SUM(C12212,C12188,C12164,C12140,C12116,C12092,C12068,C12044,C12020,C11996,C11972,C11948,C11924,C11900)/POBLA!$B$19*100000</f>
        <v>778.04094993783542</v>
      </c>
      <c r="H12212" s="256">
        <f t="shared" si="2261"/>
        <v>0.79609500805152977</v>
      </c>
      <c r="I12212" s="297">
        <f t="shared" si="2262"/>
        <v>619.39451630518101</v>
      </c>
      <c r="J12212" s="422">
        <f t="shared" si="2259"/>
        <v>244.42857142857142</v>
      </c>
      <c r="K12212" s="297">
        <f>J12212/POBLA!$B$19*100000</f>
        <v>48.084813629894761</v>
      </c>
      <c r="L12212" s="200">
        <f t="shared" si="2260"/>
        <v>-0.23752228163992872</v>
      </c>
      <c r="M12212" s="401">
        <f>SUM(C12212,C12188,C12164,C12140,C12116,C12092,C12068)/POBLA!$B$19*100000</f>
        <v>336.59369540926332</v>
      </c>
    </row>
    <row r="12213" spans="1:18" x14ac:dyDescent="0.25">
      <c r="A12213" s="367" t="s">
        <v>37</v>
      </c>
      <c r="B12213" s="2">
        <v>44401</v>
      </c>
      <c r="C12213" s="4">
        <v>25</v>
      </c>
      <c r="D12213" s="39">
        <f t="shared" si="2263"/>
        <v>57404</v>
      </c>
      <c r="F12213" s="39">
        <f>E12213+F12189</f>
        <v>928</v>
      </c>
      <c r="G12213" s="168">
        <f>SUM(C12213,C12189,C12166,C12141,C12117,C12093,C12069,C12045,C12021,C11997,C11973,C11949,C11925,C11901)/POBLA!$B$20*100000</f>
        <v>583.2681611603017</v>
      </c>
      <c r="H12213" s="256">
        <f t="shared" si="2261"/>
        <v>0.68088130774697941</v>
      </c>
      <c r="I12213" s="297">
        <f t="shared" si="2262"/>
        <v>397.13638833800218</v>
      </c>
      <c r="J12213" s="422">
        <f t="shared" si="2259"/>
        <v>51</v>
      </c>
      <c r="K12213" s="297">
        <f>J12213/POBLA!$B$20*100000</f>
        <v>13.945933529852502</v>
      </c>
      <c r="L12213" s="200">
        <f t="shared" si="2260"/>
        <v>-0.40599001663893508</v>
      </c>
      <c r="M12213" s="401">
        <f>SUM(C12213,C12189,C12165,C12141,C12117,C12093,C12069)/POBLA!$B$20*100000</f>
        <v>97.621534708967502</v>
      </c>
    </row>
    <row r="12214" spans="1:18" x14ac:dyDescent="0.25">
      <c r="A12214" s="367" t="s">
        <v>22</v>
      </c>
      <c r="B12214" s="2">
        <v>44401</v>
      </c>
      <c r="C12214" s="4">
        <v>1204</v>
      </c>
      <c r="D12214" s="39">
        <f t="shared" si="2263"/>
        <v>439654</v>
      </c>
      <c r="E12214" s="1">
        <v>10</v>
      </c>
      <c r="F12214" s="39">
        <f>E12214+F12190</f>
        <v>7560</v>
      </c>
      <c r="G12214" s="168">
        <f>SUM(C12214,C12190,C12166,C12142,C12118,C12094,C12070,C12046,C12022,C11998,C11974,C11950,C11926,C11902)/POBLA!$B$21*100000</f>
        <v>514.50365878694197</v>
      </c>
      <c r="H12214" s="256">
        <f t="shared" si="2261"/>
        <v>0.8486869723401278</v>
      </c>
      <c r="I12214" s="297">
        <f t="shared" si="2262"/>
        <v>436.65255243380795</v>
      </c>
      <c r="J12214" s="422">
        <f t="shared" si="2259"/>
        <v>1180.8571428571429</v>
      </c>
      <c r="K12214" s="297">
        <f>J12214/POBLA!$B$21*100000</f>
        <v>33.391333910672969</v>
      </c>
      <c r="L12214" s="200">
        <f t="shared" si="2260"/>
        <v>-0.16748917312921741</v>
      </c>
      <c r="M12214" s="401">
        <f>SUM(C12214,C12190,C12166,C12142,C12118,C12094,C12070)/POBLA!$B$21*100000</f>
        <v>233.7393373747108</v>
      </c>
      <c r="N12214" s="42" t="s">
        <v>22</v>
      </c>
      <c r="O12214" s="42">
        <v>7</v>
      </c>
      <c r="P12214" s="42">
        <v>3</v>
      </c>
      <c r="Q12214" s="42">
        <v>0</v>
      </c>
      <c r="R12214" s="42">
        <v>10</v>
      </c>
    </row>
    <row r="12215" spans="1:18" x14ac:dyDescent="0.25">
      <c r="A12215" s="367" t="s">
        <v>38</v>
      </c>
      <c r="B12215" s="2">
        <v>44401</v>
      </c>
      <c r="C12215" s="4">
        <v>333</v>
      </c>
      <c r="D12215" s="39">
        <f t="shared" si="2263"/>
        <v>71234</v>
      </c>
      <c r="F12215" s="39">
        <f>E12215+F12191</f>
        <v>996</v>
      </c>
      <c r="G12215" s="168">
        <f>SUM(C12215,C12191,C12167,C12143,C12119,C12095,C12071,C12047,C12023,C11999,C11975,C11951,C11927,C11903)/POBLA!$B$22*100000</f>
        <v>624.64671327070164</v>
      </c>
      <c r="H12215" s="256">
        <f t="shared" si="2261"/>
        <v>0.80705229793977817</v>
      </c>
      <c r="I12215" s="297">
        <f t="shared" si="2262"/>
        <v>504.12256534564949</v>
      </c>
      <c r="J12215" s="422">
        <f t="shared" si="2259"/>
        <v>355</v>
      </c>
      <c r="K12215" s="297">
        <f>J12215/POBLA!$B$22*100000</f>
        <v>36.286955197365259</v>
      </c>
      <c r="L12215" s="200">
        <f t="shared" si="2260"/>
        <v>-0.31467181467181471</v>
      </c>
      <c r="M12215" s="401">
        <f>SUM(C12215,C12191,C12167,C12143,C12119,C12095,C12071)/POBLA!$B$22*100000</f>
        <v>254.0086863815568</v>
      </c>
    </row>
    <row r="12216" spans="1:18" x14ac:dyDescent="0.25">
      <c r="A12216" s="367" t="s">
        <v>39</v>
      </c>
      <c r="B12216" s="2">
        <v>44401</v>
      </c>
      <c r="C12216" s="4">
        <v>38</v>
      </c>
      <c r="D12216" s="39">
        <f t="shared" si="2263"/>
        <v>30867</v>
      </c>
      <c r="F12216" s="39">
        <f>E12216+F12192</f>
        <v>464</v>
      </c>
      <c r="G12216" s="168">
        <f>SUM(C12216,C12192,C12168,C12144,C12120,C12096,C12072,C12048,C12024,C12000,C11976,C11952,C11928,C11904)/POBLA!$B$23*100000</f>
        <v>370.41226036306057</v>
      </c>
      <c r="H12216" s="256">
        <f t="shared" si="2261"/>
        <v>1.0446570972886762</v>
      </c>
      <c r="I12216" s="297">
        <f t="shared" si="2262"/>
        <v>386.95379671101222</v>
      </c>
      <c r="J12216" s="422">
        <f t="shared" si="2259"/>
        <v>47</v>
      </c>
      <c r="K12216" s="297">
        <f>J12216/POBLA!$B$23*100000</f>
        <v>26.579200361929541</v>
      </c>
      <c r="L12216" s="200">
        <f t="shared" si="2260"/>
        <v>9.2024539877300082E-3</v>
      </c>
      <c r="M12216" s="401">
        <f>SUM(C12216,C12192,C12168,C12144,C12120,C12096,C12072)/POBLA!$B$23*100000</f>
        <v>186.05440253350676</v>
      </c>
    </row>
    <row r="12217" spans="1:18" ht="15.75" thickBot="1" x14ac:dyDescent="0.3">
      <c r="A12217" s="369" t="s">
        <v>40</v>
      </c>
      <c r="B12217" s="2">
        <v>44401</v>
      </c>
      <c r="C12217" s="357">
        <v>425</v>
      </c>
      <c r="D12217" s="176">
        <f t="shared" si="2263"/>
        <v>176193</v>
      </c>
      <c r="E12217" s="44"/>
      <c r="F12217" s="176">
        <f>E12217+F12193</f>
        <v>2518</v>
      </c>
      <c r="G12217" s="177">
        <f>SUM(C12217,C12193,C12169,C12145,C12121,C12097,C12073,C12049,C12025,C12001,C11977,C11953,C11929,C11905)/POBLA!$B$24*100000</f>
        <v>582.12404169341744</v>
      </c>
      <c r="H12217" s="402">
        <f t="shared" si="2261"/>
        <v>0.6682246155930367</v>
      </c>
      <c r="I12217" s="403">
        <f t="shared" si="2262"/>
        <v>388.98961398804875</v>
      </c>
      <c r="J12217" s="423">
        <f t="shared" si="2259"/>
        <v>730</v>
      </c>
      <c r="K12217" s="403">
        <f>J12217/POBLA!$B$24*100000</f>
        <v>43.076588995052681</v>
      </c>
      <c r="L12217" s="404">
        <f t="shared" si="2260"/>
        <v>7.4658254468980001E-2</v>
      </c>
      <c r="M12217" s="405">
        <f>SUM(C12217,C12193,C12169,C12145,C12121,C12097,C12073)/POBLA!$B$24*100000</f>
        <v>301.5361229653688</v>
      </c>
    </row>
    <row r="12218" spans="1:18" x14ac:dyDescent="0.25">
      <c r="A12218" s="363" t="s">
        <v>16</v>
      </c>
      <c r="B12218" s="265">
        <v>44402</v>
      </c>
      <c r="C12218" s="356">
        <v>1663</v>
      </c>
      <c r="D12218" s="174">
        <f>C12218+D12194</f>
        <v>1952669</v>
      </c>
      <c r="E12218" s="43">
        <v>40</v>
      </c>
      <c r="F12218" s="174">
        <f t="shared" ref="F12218:F12236" si="2264">E12218+F12194</f>
        <v>51470</v>
      </c>
      <c r="G12218" s="175">
        <f>SUM(C12218,C12194,C12146,C12170,C12122,C12098,C12074,C12050,C12026,C12002,C11978,C11954,C11930,C11906)/POBLA!$B$1*100000</f>
        <v>322.72701074576622</v>
      </c>
      <c r="H12218" s="300">
        <f t="shared" si="2261"/>
        <v>0.7570509648688768</v>
      </c>
      <c r="I12218" s="301">
        <f>G12218*H12218</f>
        <v>244.32079487433069</v>
      </c>
      <c r="J12218" s="421">
        <f>AVERAGE(C12218,C12194,C12170,C12146,C12122,C12098,C12074)</f>
        <v>3610</v>
      </c>
      <c r="K12218" s="301">
        <f>J12218/POBLA!$B$1*100000</f>
        <v>20.580189167854016</v>
      </c>
      <c r="L12218" s="399">
        <f>(SUM(C12218,C12194,C12170,C12146,C12122,C12098,C12074)/SUM(C12050,C12026,C12002,C11978,C11954,C11930,C11906))-1</f>
        <v>-0.19368219527760056</v>
      </c>
      <c r="M12218" s="400">
        <f>SUM(C12218,C12194,C12170,C12146,C12122,C12098,C12074)/POBLA!$B$1*100000</f>
        <v>144.06132417497813</v>
      </c>
      <c r="N12218" s="42" t="s">
        <v>16</v>
      </c>
      <c r="O12218" s="42">
        <v>17</v>
      </c>
      <c r="P12218" s="42">
        <v>22</v>
      </c>
      <c r="Q12218" s="42">
        <v>1</v>
      </c>
      <c r="R12218" s="42">
        <v>40</v>
      </c>
    </row>
    <row r="12219" spans="1:18" x14ac:dyDescent="0.25">
      <c r="A12219" s="367" t="s">
        <v>43</v>
      </c>
      <c r="B12219" s="2">
        <v>44402</v>
      </c>
      <c r="C12219" s="4">
        <v>545</v>
      </c>
      <c r="D12219" s="39">
        <f t="shared" ref="D12219:D12233" si="2265">C12219+D12195</f>
        <v>487134</v>
      </c>
      <c r="E12219" s="1">
        <v>4</v>
      </c>
      <c r="F12219" s="39">
        <f t="shared" si="2264"/>
        <v>10805</v>
      </c>
      <c r="G12219" s="168">
        <f>SUM(C12219,C12195,C12171,C12147,C12123,C12099,C12075,C12051,C12027,C12003,C11979,C11955,C11931,C11907)/POBLA!$B$2*100000</f>
        <v>390.51958515381807</v>
      </c>
      <c r="H12219" s="256">
        <f t="shared" si="2261"/>
        <v>0.81138958319259613</v>
      </c>
      <c r="I12219" s="297">
        <f t="shared" ref="I12219:I12225" si="2266">G12219*H12219</f>
        <v>316.86352342650201</v>
      </c>
      <c r="J12219" s="422">
        <f>AVERAGE(C12219,C12195,C12171,C12147,C12123,C12099,C12075)</f>
        <v>755.85714285714289</v>
      </c>
      <c r="K12219" s="297">
        <f>J12219/POBLA!$B$2*100000</f>
        <v>24.57555722788458</v>
      </c>
      <c r="L12219" s="200">
        <f>(SUM(C12219,C12195,C12171,C12147,C12123,C12099,C12075)/SUM(C12051,C12027,C12003,C11979,C11955,C11931,C11907))-1</f>
        <v>-0.21264880952380949</v>
      </c>
      <c r="M12219" s="401">
        <f>SUM(C12219,C12195,C12171,C12147,C12123,C12099,C12075)/POBLA!$B$2*100000</f>
        <v>172.02890059519206</v>
      </c>
      <c r="N12219" s="42" t="s">
        <v>43</v>
      </c>
      <c r="O12219" s="42">
        <v>1</v>
      </c>
      <c r="P12219" s="42">
        <v>3</v>
      </c>
      <c r="Q12219" s="42">
        <v>0</v>
      </c>
      <c r="R12219" s="42">
        <v>4</v>
      </c>
    </row>
    <row r="12220" spans="1:18" x14ac:dyDescent="0.25">
      <c r="A12220" s="367" t="s">
        <v>28</v>
      </c>
      <c r="B12220" s="2">
        <v>44402</v>
      </c>
      <c r="C12220" s="4">
        <v>261</v>
      </c>
      <c r="D12220" s="39">
        <f t="shared" si="2265"/>
        <v>40831</v>
      </c>
      <c r="F12220" s="39">
        <f t="shared" si="2264"/>
        <v>444</v>
      </c>
      <c r="G12220" s="168">
        <f>SUM(C12220,C12196,C12172,C12148,C12124,C12100,C12076,C12052,C12028,C12004,C11980,C11956,C11932,C11908)/POBLA!$B$3*100000</f>
        <v>865.59245904322665</v>
      </c>
      <c r="H12220" s="256">
        <f t="shared" si="2261"/>
        <v>0.88921859545004944</v>
      </c>
      <c r="I12220" s="297">
        <f t="shared" si="2266"/>
        <v>769.70091066257248</v>
      </c>
      <c r="J12220" s="422">
        <f t="shared" ref="J12220:J12241" si="2267">AVERAGE(C12220,C12196,C12172,C12148,C12124,C12100,C12076)</f>
        <v>263.57142857142856</v>
      </c>
      <c r="K12220" s="297">
        <f>J12220/POBLA!$B$3*100000</f>
        <v>63.444227194293383</v>
      </c>
      <c r="L12220" s="200">
        <f t="shared" ref="L12220:L12241" si="2268">(SUM(C12220,C12196,C12172,C12148,C12124,C12100,C12076)/SUM(C12052,C12028,C12004,C11980,C11956,C11932,C11908))-1</f>
        <v>5.3683609366076634E-2</v>
      </c>
      <c r="M12220" s="401">
        <f>SUM(C12220,C12196,C12172,C12148,C12124,C12100,C12076)/POBLA!$B$3*100000</f>
        <v>444.10959036005374</v>
      </c>
    </row>
    <row r="12221" spans="1:18" x14ac:dyDescent="0.25">
      <c r="A12221" s="367" t="s">
        <v>15</v>
      </c>
      <c r="B12221" s="2">
        <v>44402</v>
      </c>
      <c r="C12221" s="4">
        <v>278</v>
      </c>
      <c r="D12221" s="39">
        <f t="shared" si="2265"/>
        <v>88718</v>
      </c>
      <c r="E12221" s="1">
        <v>8</v>
      </c>
      <c r="F12221" s="39">
        <f t="shared" si="2264"/>
        <v>1961</v>
      </c>
      <c r="G12221" s="168">
        <f>SUM(C12221,C12197,C12173,C12149,C12125,C12101,C12077,C12053,C12029,C12005,C11981,C11957,C11933,C11909)/POBLA!$B$4*100000</f>
        <v>481.34517629536896</v>
      </c>
      <c r="H12221" s="256">
        <f t="shared" si="2261"/>
        <v>0.76169206516027321</v>
      </c>
      <c r="I12221" s="297">
        <f t="shared" si="2266"/>
        <v>366.63680138735538</v>
      </c>
      <c r="J12221" s="422">
        <f t="shared" si="2267"/>
        <v>378.42857142857144</v>
      </c>
      <c r="K12221" s="297">
        <f>J12221/POBLA!$B$4*100000</f>
        <v>31.416827773282222</v>
      </c>
      <c r="L12221" s="200">
        <f t="shared" si="2268"/>
        <v>-0.15878056525881235</v>
      </c>
      <c r="M12221" s="401">
        <f>SUM(C12221,C12197,C12173,C12149,C12125,C12101,C12077)/POBLA!$B$4*100000</f>
        <v>219.91779441297558</v>
      </c>
      <c r="N12221" s="42" t="s">
        <v>15</v>
      </c>
      <c r="O12221" s="42">
        <v>4</v>
      </c>
      <c r="P12221" s="42">
        <v>4</v>
      </c>
      <c r="Q12221" s="42">
        <v>0</v>
      </c>
      <c r="R12221" s="42">
        <v>8</v>
      </c>
    </row>
    <row r="12222" spans="1:18" x14ac:dyDescent="0.25">
      <c r="A12222" s="367" t="s">
        <v>29</v>
      </c>
      <c r="B12222" s="2">
        <v>44402</v>
      </c>
      <c r="C12222" s="4">
        <v>41</v>
      </c>
      <c r="D12222" s="39">
        <f t="shared" si="2265"/>
        <v>75000</v>
      </c>
      <c r="E12222" s="1">
        <v>1</v>
      </c>
      <c r="F12222" s="39">
        <f t="shared" si="2264"/>
        <v>1295</v>
      </c>
      <c r="G12222" s="168">
        <f>SUM(C12222,C12198,C12174,C12150,C12126,C12102,C12078,C12054,C12030,C12006,C11982,C11958,C11934,C11910)/POBLA!$B$5*100000</f>
        <v>380.77913517740075</v>
      </c>
      <c r="H12222" s="256">
        <f t="shared" si="2261"/>
        <v>0.91676390509529371</v>
      </c>
      <c r="I12222" s="297">
        <f t="shared" si="2266"/>
        <v>349.08456694404265</v>
      </c>
      <c r="J12222" s="422">
        <f t="shared" si="2267"/>
        <v>157.42857142857142</v>
      </c>
      <c r="K12222" s="297">
        <f>J12222/POBLA!$B$5*100000</f>
        <v>25.432972117431095</v>
      </c>
      <c r="L12222" s="200">
        <f t="shared" si="2268"/>
        <v>-0.12191235059760952</v>
      </c>
      <c r="M12222" s="401">
        <f>SUM(C12222,C12198,C12174,C12150,C12126,C12102,C12078)/POBLA!$B$5*100000</f>
        <v>178.03080482201764</v>
      </c>
      <c r="N12222" s="42" t="s">
        <v>29</v>
      </c>
      <c r="O12222" s="42">
        <v>0</v>
      </c>
      <c r="P12222" s="42">
        <v>1</v>
      </c>
      <c r="Q12222" s="42">
        <v>0</v>
      </c>
      <c r="R12222" s="42">
        <v>1</v>
      </c>
    </row>
    <row r="12223" spans="1:18" x14ac:dyDescent="0.25">
      <c r="A12223" s="367" t="s">
        <v>30</v>
      </c>
      <c r="B12223" s="2">
        <v>44402</v>
      </c>
      <c r="C12223" s="4">
        <v>374</v>
      </c>
      <c r="D12223" s="39">
        <f t="shared" si="2265"/>
        <v>445888</v>
      </c>
      <c r="F12223" s="39">
        <f t="shared" si="2264"/>
        <v>5825</v>
      </c>
      <c r="G12223" s="168">
        <f>SUM(C12223,C12199,C12175,C12151,C12127,C12103,C12079,C12055,C12031,C12007,C11983,C11959,C11935,C11911)/POBLA!$B$6*100000</f>
        <v>611.79460046877193</v>
      </c>
      <c r="H12223" s="256">
        <f t="shared" si="2261"/>
        <v>1.1008187510033713</v>
      </c>
      <c r="I12223" s="297">
        <f t="shared" si="2266"/>
        <v>673.47496795864015</v>
      </c>
      <c r="J12223" s="422">
        <f t="shared" si="2267"/>
        <v>445</v>
      </c>
      <c r="K12223" s="297">
        <f>J12223/POBLA!$B$6*100000</f>
        <v>39.703747587662754</v>
      </c>
      <c r="L12223" s="200">
        <f t="shared" si="2268"/>
        <v>-0.16755745590593263</v>
      </c>
      <c r="M12223" s="401">
        <f>SUM(C12223,C12199,C12175,C12151,C12127,C12103,C12079)/POBLA!$B$6*100000</f>
        <v>277.92623311363928</v>
      </c>
    </row>
    <row r="12224" spans="1:18" x14ac:dyDescent="0.25">
      <c r="A12224" s="367" t="s">
        <v>20</v>
      </c>
      <c r="B12224" s="2">
        <v>44402</v>
      </c>
      <c r="C12224" s="4">
        <v>1046</v>
      </c>
      <c r="D12224" s="39">
        <f t="shared" si="2265"/>
        <v>88432</v>
      </c>
      <c r="E12224" s="1">
        <v>9</v>
      </c>
      <c r="F12224" s="39">
        <f t="shared" si="2264"/>
        <v>1033</v>
      </c>
      <c r="G12224" s="168">
        <f>SUM(C12224,C12200,C12176,C12152,C12128,C12104,C12080,C12056,C12032,C12008,C11984,C11960,C11936,C11912)/POBLA!$B$7*100000</f>
        <v>645.29511095746511</v>
      </c>
      <c r="H12224" s="256">
        <f t="shared" si="2261"/>
        <v>0.82093440238167736</v>
      </c>
      <c r="I12224" s="297">
        <f t="shared" si="2266"/>
        <v>529.74495627368481</v>
      </c>
      <c r="J12224" s="422">
        <f t="shared" si="2267"/>
        <v>1608.7142857142858</v>
      </c>
      <c r="K12224" s="297">
        <f>J12224/POBLA!$B$7*100000</f>
        <v>42.779834480295861</v>
      </c>
      <c r="L12224" s="200">
        <f t="shared" si="2268"/>
        <v>-0.13410226835832373</v>
      </c>
      <c r="M12224" s="401">
        <f>SUM(C12224,C12200,C12176,C12152,C12128,C12104,C12080)/POBLA!$B$7*100000</f>
        <v>299.45884136207104</v>
      </c>
      <c r="N12224" s="42" t="s">
        <v>20</v>
      </c>
      <c r="O12224" s="42">
        <v>5</v>
      </c>
      <c r="P12224" s="42">
        <v>4</v>
      </c>
      <c r="Q12224" s="42">
        <v>0</v>
      </c>
      <c r="R12224" s="42">
        <v>9</v>
      </c>
    </row>
    <row r="12225" spans="1:18" x14ac:dyDescent="0.25">
      <c r="A12225" s="367" t="s">
        <v>31</v>
      </c>
      <c r="B12225" s="2">
        <v>44402</v>
      </c>
      <c r="C12225" s="4">
        <v>210</v>
      </c>
      <c r="D12225" s="39">
        <f t="shared" si="2265"/>
        <v>125401</v>
      </c>
      <c r="E12225" s="1">
        <v>21</v>
      </c>
      <c r="F12225" s="39">
        <f t="shared" si="2264"/>
        <v>2083</v>
      </c>
      <c r="G12225" s="168">
        <f>SUM(C12225,C12201,C12177,C12153,C12129,C12105,C12081,C12057,C12033,C12009,C11985,C11961,C11937,C11913)/POBLA!$B$8*100000</f>
        <v>576.35099400343881</v>
      </c>
      <c r="H12225" s="256">
        <f t="shared" ref="H12225:H12248" si="2269">SUM(C12225,C12201,C12177,C12153,C12129,C12105,C12081,C12057,C12033,C12009,C11985,C11961,C11937,C11913,)/SUM(C11889,C11865,C11841,C11817,C11793,C11769,C11745,C11721,C11697,C11673,C11649,C11625,C11601,C11577)</f>
        <v>0.82983586120922503</v>
      </c>
      <c r="I12225" s="297">
        <f t="shared" si="2266"/>
        <v>478.27672346763654</v>
      </c>
      <c r="J12225" s="422">
        <f t="shared" si="2267"/>
        <v>463.28571428571428</v>
      </c>
      <c r="K12225" s="297">
        <f>J12225/POBLA!$B$8*100000</f>
        <v>33.427038299469778</v>
      </c>
      <c r="L12225" s="200">
        <f t="shared" si="2268"/>
        <v>-0.31654373024236038</v>
      </c>
      <c r="M12225" s="401">
        <f>SUM(C12225,C12201,C12177,C12153,C12129,C12105,C12081)/POBLA!$B$8*100000</f>
        <v>233.98926809628844</v>
      </c>
      <c r="N12225" s="42" t="s">
        <v>31</v>
      </c>
      <c r="O12225" s="42">
        <v>5</v>
      </c>
      <c r="P12225" s="42">
        <v>16</v>
      </c>
      <c r="Q12225" s="42">
        <v>0</v>
      </c>
      <c r="R12225" s="42">
        <v>21</v>
      </c>
    </row>
    <row r="12226" spans="1:18" x14ac:dyDescent="0.25">
      <c r="A12226" s="367" t="s">
        <v>41</v>
      </c>
      <c r="B12226" s="2">
        <v>44402</v>
      </c>
      <c r="C12226" s="4">
        <v>224</v>
      </c>
      <c r="D12226" s="39">
        <f t="shared" si="2265"/>
        <v>54605</v>
      </c>
      <c r="E12226" s="1">
        <v>7</v>
      </c>
      <c r="F12226" s="39">
        <f t="shared" si="2264"/>
        <v>983</v>
      </c>
      <c r="G12226" s="168">
        <f>SUM(C12226,C12202,C12178,C12154,C12130,C12106,C12082,C12058,C12034,C12010,C11986,C11962,C11938,C11914)/POBLA!$B$9*100000</f>
        <v>727.53650488356607</v>
      </c>
      <c r="H12226" s="256">
        <f t="shared" si="2269"/>
        <v>0.7830339676329362</v>
      </c>
      <c r="I12226" s="297">
        <f>G12226*H12226</f>
        <v>569.68579601677777</v>
      </c>
      <c r="J12226" s="422">
        <f t="shared" si="2267"/>
        <v>263.14285714285717</v>
      </c>
      <c r="K12226" s="297">
        <f>J12226/POBLA!$B$9*100000</f>
        <v>43.480816391276363</v>
      </c>
      <c r="L12226" s="200">
        <f t="shared" si="2268"/>
        <v>-0.28074970714564618</v>
      </c>
      <c r="M12226" s="401">
        <f>SUM(C12226,C12202,C12178,C12154,C12130,C12106,C12082)/POBLA!$B$9*100000</f>
        <v>304.36571473893451</v>
      </c>
      <c r="N12226" s="42" t="s">
        <v>41</v>
      </c>
      <c r="O12226" s="42">
        <v>1</v>
      </c>
      <c r="P12226" s="42">
        <v>6</v>
      </c>
      <c r="Q12226" s="42">
        <v>0</v>
      </c>
      <c r="R12226" s="42">
        <v>7</v>
      </c>
    </row>
    <row r="12227" spans="1:18" x14ac:dyDescent="0.25">
      <c r="A12227" s="367" t="s">
        <v>32</v>
      </c>
      <c r="B12227" s="2">
        <v>44402</v>
      </c>
      <c r="C12227" s="4">
        <v>144</v>
      </c>
      <c r="D12227" s="39">
        <f t="shared" si="2265"/>
        <v>42383</v>
      </c>
      <c r="F12227" s="39">
        <f t="shared" si="2264"/>
        <v>1291</v>
      </c>
      <c r="G12227" s="168">
        <f>SUM(C12227,C12203,C12179,C12155,C12131,C12107,C12083,C12059,C12035,C12011,C11987,C11963,C11939,C11915)/POBLA!$B$10*100000</f>
        <v>447.41017096023904</v>
      </c>
      <c r="H12227" s="256">
        <f t="shared" si="2269"/>
        <v>0.87250189729319505</v>
      </c>
      <c r="I12227" s="297">
        <f t="shared" ref="I12227:I12241" si="2270">G12227*H12227</f>
        <v>390.36622303108135</v>
      </c>
      <c r="J12227" s="422">
        <f t="shared" si="2267"/>
        <v>230.42857142857142</v>
      </c>
      <c r="K12227" s="297">
        <f>J12227/POBLA!$B$10*100000</f>
        <v>29.891587862273351</v>
      </c>
      <c r="L12227" s="200">
        <f t="shared" si="2268"/>
        <v>-0.1214596949891068</v>
      </c>
      <c r="M12227" s="401">
        <f>SUM(C12227,C12203,C12179,C12155,C12131,C12107,C12083)/POBLA!$B$10*100000</f>
        <v>209.24111503591345</v>
      </c>
    </row>
    <row r="12228" spans="1:18" x14ac:dyDescent="0.25">
      <c r="A12228" s="367" t="s">
        <v>33</v>
      </c>
      <c r="B12228" s="2">
        <v>44402</v>
      </c>
      <c r="C12228" s="4">
        <v>138</v>
      </c>
      <c r="D12228" s="39">
        <f t="shared" si="2265"/>
        <v>59639</v>
      </c>
      <c r="F12228" s="39">
        <f t="shared" si="2264"/>
        <v>815</v>
      </c>
      <c r="G12228" s="168">
        <f>SUM(C12228,C12204,C12180,C12156,C12132,C12108,C12084,C12060,C12036,C12012,C11988,C11964,C11940,C11916)/POBLA!$B$11*100000</f>
        <v>1044.5612507951387</v>
      </c>
      <c r="H12228" s="256">
        <f t="shared" si="2269"/>
        <v>0.88552507095553457</v>
      </c>
      <c r="I12228" s="297">
        <f t="shared" si="2270"/>
        <v>924.98517572776711</v>
      </c>
      <c r="J12228" s="422">
        <f t="shared" si="2267"/>
        <v>265.71428571428572</v>
      </c>
      <c r="K12228" s="297">
        <f>J12228/POBLA!$B$11*100000</f>
        <v>74.1332389529517</v>
      </c>
      <c r="L12228" s="200">
        <f t="shared" si="2268"/>
        <v>-1.2738853503184711E-2</v>
      </c>
      <c r="M12228" s="401">
        <f>SUM(C12228,C12204,C12180,C12156,C12132,C12108,C12084)/POBLA!$B$11*100000</f>
        <v>518.93267267066187</v>
      </c>
    </row>
    <row r="12229" spans="1:18" x14ac:dyDescent="0.25">
      <c r="A12229" s="367" t="s">
        <v>21</v>
      </c>
      <c r="B12229" s="2">
        <v>44402</v>
      </c>
      <c r="C12229" s="4">
        <v>336</v>
      </c>
      <c r="D12229" s="39">
        <f t="shared" si="2265"/>
        <v>26913</v>
      </c>
      <c r="F12229" s="39">
        <f t="shared" si="2264"/>
        <v>763</v>
      </c>
      <c r="G12229" s="168">
        <f>SUM(C12229,C12205,C12181,C12157,C12133,C12109,C12085,C12061,C12037,C12013,C11989,C11965,C11941,C11917)/POBLA!$B$12*100000</f>
        <v>681.77602272756144</v>
      </c>
      <c r="H12229" s="256">
        <f t="shared" si="2269"/>
        <v>1.0529827315541602</v>
      </c>
      <c r="I12229" s="297">
        <f t="shared" si="2270"/>
        <v>717.89837871979887</v>
      </c>
      <c r="J12229" s="422">
        <f t="shared" si="2267"/>
        <v>168.57142857142858</v>
      </c>
      <c r="K12229" s="297">
        <f>J12229/POBLA!$B$12*100000</f>
        <v>42.835616144961534</v>
      </c>
      <c r="L12229" s="200">
        <f t="shared" si="2268"/>
        <v>-0.21490352628077181</v>
      </c>
      <c r="M12229" s="401">
        <f>SUM(C12229,C12205,C12181,C12157,C12133,C12109,C12085)/POBLA!$B$12*100000</f>
        <v>299.84931301473074</v>
      </c>
    </row>
    <row r="12230" spans="1:18" x14ac:dyDescent="0.25">
      <c r="A12230" s="367" t="s">
        <v>17</v>
      </c>
      <c r="B12230" s="2">
        <v>44402</v>
      </c>
      <c r="C12230" s="4">
        <v>139</v>
      </c>
      <c r="D12230" s="39">
        <f t="shared" si="2265"/>
        <v>151271</v>
      </c>
      <c r="E12230" s="1">
        <v>25</v>
      </c>
      <c r="F12230" s="39">
        <f t="shared" si="2264"/>
        <v>3812</v>
      </c>
      <c r="G12230" s="168">
        <f>SUM(C12230,C12206,C12182,C12158,C12134,C12110,C12086,C12062,C12038,C12014,C11990,C11966,C11942,C11918)/POBLA!$B$13*100000</f>
        <v>312.61021997268801</v>
      </c>
      <c r="H12230" s="256">
        <f t="shared" si="2269"/>
        <v>0.86899441340782124</v>
      </c>
      <c r="I12230" s="297">
        <f t="shared" si="2270"/>
        <v>271.65653473045597</v>
      </c>
      <c r="J12230" s="422">
        <f t="shared" si="2267"/>
        <v>405.85714285714283</v>
      </c>
      <c r="K12230" s="297">
        <f>J12230/POBLA!$B$13*100000</f>
        <v>20.391367840896514</v>
      </c>
      <c r="L12230" s="200">
        <f t="shared" si="2268"/>
        <v>-0.15971606033717833</v>
      </c>
      <c r="M12230" s="401">
        <f>SUM(C12230,C12206,C12182,C12158,C12134,C12110,C12086)/POBLA!$B$13*100000</f>
        <v>142.73957488627559</v>
      </c>
      <c r="N12230" s="42" t="s">
        <v>17</v>
      </c>
      <c r="O12230" s="42">
        <v>12</v>
      </c>
      <c r="P12230" s="42">
        <v>13</v>
      </c>
      <c r="Q12230" s="42">
        <v>0</v>
      </c>
      <c r="R12230" s="42">
        <v>25</v>
      </c>
    </row>
    <row r="12231" spans="1:18" x14ac:dyDescent="0.25">
      <c r="A12231" s="367" t="s">
        <v>23</v>
      </c>
      <c r="B12231" s="2">
        <v>44402</v>
      </c>
      <c r="C12231" s="4">
        <v>107</v>
      </c>
      <c r="D12231" s="39">
        <f t="shared" si="2265"/>
        <v>29754</v>
      </c>
      <c r="F12231" s="39">
        <f t="shared" si="2264"/>
        <v>502</v>
      </c>
      <c r="G12231" s="168">
        <f>SUM(C12231,C12207,C12183,C12159,C12135,C12111,C12087,C12063,C12039,C12015,C11991,C11967,C11943,C11919)/POBLA!$B$14*100000</f>
        <v>174.42404387874674</v>
      </c>
      <c r="H12231" s="256">
        <f t="shared" si="2269"/>
        <v>0.91286307053941906</v>
      </c>
      <c r="I12231" s="297">
        <f t="shared" si="2270"/>
        <v>159.22526827105511</v>
      </c>
      <c r="J12231" s="422">
        <f t="shared" si="2267"/>
        <v>179.42857142857142</v>
      </c>
      <c r="K12231" s="297">
        <f>J12231/POBLA!$B$14*100000</f>
        <v>14.225753189071812</v>
      </c>
      <c r="L12231" s="200">
        <f t="shared" si="2268"/>
        <v>0.33050847457627119</v>
      </c>
      <c r="M12231" s="401">
        <f>SUM(C12231,C12207,C12183,C12159,C12135,C12111,C12087)/POBLA!$B$14*100000</f>
        <v>99.580272323502683</v>
      </c>
    </row>
    <row r="12232" spans="1:18" x14ac:dyDescent="0.25">
      <c r="A12232" s="367" t="s">
        <v>19</v>
      </c>
      <c r="B12232" s="2">
        <v>44402</v>
      </c>
      <c r="C12232" s="4">
        <v>113</v>
      </c>
      <c r="D12232" s="39">
        <f t="shared" si="2265"/>
        <v>106161</v>
      </c>
      <c r="F12232" s="39">
        <f t="shared" si="2264"/>
        <v>1996</v>
      </c>
      <c r="G12232" s="168">
        <f>SUM(C12232,C12208,C12184,C12160,C12136,C12112,C12088,C12064,C12040,C12016,C11992,C11968,C11944,C11920)/POBLA!$B$15*100000</f>
        <v>399.21271818533648</v>
      </c>
      <c r="H12232" s="256">
        <f t="shared" si="2269"/>
        <v>0.97534952170713762</v>
      </c>
      <c r="I12232" s="297">
        <f t="shared" si="2270"/>
        <v>389.37193374147427</v>
      </c>
      <c r="J12232" s="422">
        <f t="shared" si="2267"/>
        <v>185.28571428571428</v>
      </c>
      <c r="K12232" s="297">
        <f>J12232/POBLA!$B$15*100000</f>
        <v>27.902079834368777</v>
      </c>
      <c r="L12232" s="200">
        <f t="shared" si="2268"/>
        <v>-4.2097488921713389E-2</v>
      </c>
      <c r="M12232" s="401">
        <f>SUM(C12232,C12208,C12184,C12160,C12136,C12112,C12088)/POBLA!$B$15*100000</f>
        <v>195.31455884058144</v>
      </c>
    </row>
    <row r="12233" spans="1:18" x14ac:dyDescent="0.25">
      <c r="A12233" s="367" t="s">
        <v>18</v>
      </c>
      <c r="B12233" s="2">
        <v>44402</v>
      </c>
      <c r="C12233" s="4">
        <v>135</v>
      </c>
      <c r="D12233" s="39">
        <f t="shared" si="2265"/>
        <v>90209</v>
      </c>
      <c r="E12233" s="1">
        <v>3</v>
      </c>
      <c r="F12233" s="39">
        <f t="shared" si="2264"/>
        <v>2048</v>
      </c>
      <c r="G12233" s="168">
        <f>SUM(C12233,C12209,C12185,C12161,C12137,C12113,C12089,C12065,C12041,C12017,C11993,C11969,C11945,C11921)/POBLA!$B$16*100000</f>
        <v>499.72579285991355</v>
      </c>
      <c r="H12233" s="256">
        <f t="shared" si="2269"/>
        <v>1.2630155510480054</v>
      </c>
      <c r="I12233" s="297">
        <f t="shared" si="2270"/>
        <v>631.16144764186515</v>
      </c>
      <c r="J12233" s="422">
        <f t="shared" si="2267"/>
        <v>274.57142857142856</v>
      </c>
      <c r="K12233" s="297">
        <f>J12233/POBLA!$B$16*100000</f>
        <v>36.726559111224915</v>
      </c>
      <c r="L12233" s="200">
        <f t="shared" si="2268"/>
        <v>5.9536934950385811E-2</v>
      </c>
      <c r="M12233" s="401">
        <f>SUM(C12233,C12209,C12185,C12161,C12137,C12113,C12089)/POBLA!$B$16*100000</f>
        <v>257.08591377857437</v>
      </c>
      <c r="N12233" s="42" t="s">
        <v>18</v>
      </c>
      <c r="O12233" s="42">
        <v>0</v>
      </c>
      <c r="P12233" s="42">
        <v>3</v>
      </c>
      <c r="Q12233" s="42">
        <v>0</v>
      </c>
      <c r="R12233" s="42">
        <v>3</v>
      </c>
    </row>
    <row r="12234" spans="1:18" x14ac:dyDescent="0.25">
      <c r="A12234" s="367" t="s">
        <v>34</v>
      </c>
      <c r="B12234" s="2">
        <v>44402</v>
      </c>
      <c r="C12234" s="4">
        <v>201</v>
      </c>
      <c r="D12234" s="39">
        <f>C12234+D12210</f>
        <v>73109</v>
      </c>
      <c r="E12234" s="1">
        <v>4</v>
      </c>
      <c r="F12234" s="39">
        <f t="shared" si="2264"/>
        <v>2019</v>
      </c>
      <c r="G12234" s="168">
        <f>SUM(C12234,C12210,C12186,C12162,C12138,C12114,C12090,C12066,C12042,C12018,C11994,C11970,C11946,C11922)/POBLA!$B$17*100000</f>
        <v>463.49437691879439</v>
      </c>
      <c r="H12234" s="256">
        <f t="shared" si="2269"/>
        <v>0.97879911045218682</v>
      </c>
      <c r="I12234" s="297">
        <f t="shared" si="2270"/>
        <v>453.66788382770653</v>
      </c>
      <c r="J12234" s="422">
        <f t="shared" si="2267"/>
        <v>373.57142857142856</v>
      </c>
      <c r="K12234" s="297">
        <f>J12234/POBLA!$B$17*100000</f>
        <v>26.226636855555618</v>
      </c>
      <c r="L12234" s="200">
        <f t="shared" si="2268"/>
        <v>-0.34411838475043888</v>
      </c>
      <c r="M12234" s="401">
        <f>SUM(C12234,C12210,C12186,C12162,C12138,C12114,C12090)/POBLA!$B$17*100000</f>
        <v>183.58645798888935</v>
      </c>
      <c r="N12234" s="42" t="s">
        <v>34</v>
      </c>
      <c r="O12234" s="42">
        <v>2</v>
      </c>
      <c r="P12234" s="42">
        <v>2</v>
      </c>
      <c r="Q12234" s="42">
        <v>0</v>
      </c>
      <c r="R12234" s="42">
        <v>4</v>
      </c>
    </row>
    <row r="12235" spans="1:18" x14ac:dyDescent="0.25">
      <c r="A12235" s="367" t="s">
        <v>35</v>
      </c>
      <c r="B12235" s="2">
        <v>44402</v>
      </c>
      <c r="C12235" s="4">
        <v>273</v>
      </c>
      <c r="D12235" s="39">
        <f t="shared" ref="D12235:D12241" si="2271">C12235+D12211</f>
        <v>58700</v>
      </c>
      <c r="F12235" s="39">
        <f t="shared" si="2264"/>
        <v>917</v>
      </c>
      <c r="G12235" s="168">
        <f>SUM(C12235,C12211,C12187,C12163,C12139,C12115,C12091,C12067,C12043,C12019,C11995,C11971,C11947,C11923)/POBLA!$B$18*100000</f>
        <v>530.71041720802282</v>
      </c>
      <c r="H12235" s="256">
        <f t="shared" si="2269"/>
        <v>0.78079096045197738</v>
      </c>
      <c r="I12235" s="297">
        <f t="shared" si="2270"/>
        <v>414.37389637372178</v>
      </c>
      <c r="J12235" s="422">
        <f t="shared" si="2267"/>
        <v>287.85714285714283</v>
      </c>
      <c r="K12235" s="297">
        <f>J12235/POBLA!$B$18*100000</f>
        <v>36.847270714429264</v>
      </c>
      <c r="L12235" s="200">
        <f t="shared" si="2268"/>
        <v>-5.4434537775692182E-2</v>
      </c>
      <c r="M12235" s="401">
        <f>SUM(C12235,C12211,C12187,C12163,C12139,C12115,C12091)/POBLA!$B$18*100000</f>
        <v>257.93089500100484</v>
      </c>
    </row>
    <row r="12236" spans="1:18" x14ac:dyDescent="0.25">
      <c r="A12236" s="367" t="s">
        <v>36</v>
      </c>
      <c r="B12236" s="2">
        <v>44402</v>
      </c>
      <c r="C12236" s="4">
        <v>140</v>
      </c>
      <c r="D12236" s="39">
        <f t="shared" si="2271"/>
        <v>73307</v>
      </c>
      <c r="F12236" s="39">
        <f t="shared" si="2264"/>
        <v>1199</v>
      </c>
      <c r="G12236" s="168">
        <f>SUM(C12236,C12212,C12188,C12164,C12140,C12116,C12092,C12068,C12044,C12020,C11996,C11972,C11948,C11924)/POBLA!$B$19*100000</f>
        <v>759.35222926929077</v>
      </c>
      <c r="H12236" s="256">
        <f t="shared" si="2269"/>
        <v>0.79374871478511211</v>
      </c>
      <c r="I12236" s="297">
        <f t="shared" si="2270"/>
        <v>602.73485605170936</v>
      </c>
      <c r="J12236" s="422">
        <f t="shared" si="2267"/>
        <v>235.42857142857142</v>
      </c>
      <c r="K12236" s="297">
        <f>J12236/POBLA!$B$19*100000</f>
        <v>46.31430325076947</v>
      </c>
      <c r="L12236" s="200">
        <f t="shared" si="2268"/>
        <v>-0.25497287522603973</v>
      </c>
      <c r="M12236" s="401">
        <f>SUM(C12236,C12212,C12188,C12164,C12140,C12116,C12092)/POBLA!$B$19*100000</f>
        <v>324.2001227553863</v>
      </c>
    </row>
    <row r="12237" spans="1:18" x14ac:dyDescent="0.25">
      <c r="A12237" s="367" t="s">
        <v>37</v>
      </c>
      <c r="B12237" s="2">
        <v>44402</v>
      </c>
      <c r="C12237" s="4">
        <v>21</v>
      </c>
      <c r="D12237" s="39">
        <f t="shared" si="2271"/>
        <v>57425</v>
      </c>
      <c r="F12237" s="39">
        <f>E12237+F12213</f>
        <v>928</v>
      </c>
      <c r="G12237" s="168">
        <f>SUM(C12237,C12213,C12190,C12165,C12141,C12117,C12093,C12069,C12045,C12021,C11997,C11973,C11949,C11925)/POBLA!$B$20*100000</f>
        <v>610.61312886589485</v>
      </c>
      <c r="H12237" s="256">
        <f t="shared" si="2269"/>
        <v>0.6733380986418871</v>
      </c>
      <c r="I12237" s="297">
        <f t="shared" si="2270"/>
        <v>411.1490831963352</v>
      </c>
      <c r="J12237" s="422">
        <f t="shared" si="2267"/>
        <v>50</v>
      </c>
      <c r="K12237" s="297">
        <f>J12237/POBLA!$B$20*100000</f>
        <v>13.672483852796569</v>
      </c>
      <c r="L12237" s="200">
        <f t="shared" si="2268"/>
        <v>-0.40878378378378377</v>
      </c>
      <c r="M12237" s="401">
        <f>SUM(C12237,C12213,C12189,C12165,C12141,C12117,C12093)/POBLA!$B$20*100000</f>
        <v>95.707386969575992</v>
      </c>
    </row>
    <row r="12238" spans="1:18" x14ac:dyDescent="0.25">
      <c r="A12238" s="367" t="s">
        <v>22</v>
      </c>
      <c r="B12238" s="2">
        <v>44402</v>
      </c>
      <c r="C12238" s="4">
        <v>582</v>
      </c>
      <c r="D12238" s="39">
        <f t="shared" si="2271"/>
        <v>440236</v>
      </c>
      <c r="E12238" s="1">
        <v>4</v>
      </c>
      <c r="F12238" s="39">
        <f>E12238+F12214</f>
        <v>7564</v>
      </c>
      <c r="G12238" s="168">
        <f>SUM(C12238,C12214,C12190,C12166,C12142,C12118,C12094,C12070,C12046,C12022,C11998,C11974,C11950,C11926)/POBLA!$B$21*100000</f>
        <v>510.23380154721525</v>
      </c>
      <c r="H12238" s="256">
        <f t="shared" si="2269"/>
        <v>0.85887000809177017</v>
      </c>
      <c r="I12238" s="297">
        <f t="shared" si="2270"/>
        <v>438.2245092635514</v>
      </c>
      <c r="J12238" s="422">
        <f t="shared" si="2267"/>
        <v>1169.2857142857142</v>
      </c>
      <c r="K12238" s="297">
        <f>J12238/POBLA!$B$21*100000</f>
        <v>33.064126307628626</v>
      </c>
      <c r="L12238" s="200">
        <f t="shared" si="2268"/>
        <v>-0.16979409676437773</v>
      </c>
      <c r="M12238" s="401">
        <f>SUM(C12238,C12214,C12190,C12166,C12142,C12118,C12094)/POBLA!$B$21*100000</f>
        <v>231.44888415340043</v>
      </c>
      <c r="N12238" s="42" t="s">
        <v>22</v>
      </c>
      <c r="O12238" s="42">
        <v>0</v>
      </c>
      <c r="P12238" s="42">
        <v>4</v>
      </c>
      <c r="Q12238" s="42">
        <v>0</v>
      </c>
      <c r="R12238" s="42">
        <v>4</v>
      </c>
    </row>
    <row r="12239" spans="1:18" x14ac:dyDescent="0.25">
      <c r="A12239" s="367" t="s">
        <v>38</v>
      </c>
      <c r="B12239" s="2">
        <v>44402</v>
      </c>
      <c r="C12239" s="4">
        <v>309</v>
      </c>
      <c r="D12239" s="39">
        <f t="shared" si="2271"/>
        <v>71543</v>
      </c>
      <c r="E12239" s="1">
        <v>9</v>
      </c>
      <c r="F12239" s="39">
        <f>E12239+F12215</f>
        <v>1005</v>
      </c>
      <c r="G12239" s="168">
        <f>SUM(C12239,C12215,C12191,C12167,C12143,C12119,C12095,C12071,C12047,C12023,C11999,C11975,C11951,C11927)/POBLA!$B$22*100000</f>
        <v>611.97183314542485</v>
      </c>
      <c r="H12239" s="256">
        <f t="shared" si="2269"/>
        <v>0.80308517773306509</v>
      </c>
      <c r="I12239" s="297">
        <f t="shared" si="2270"/>
        <v>491.46550838922315</v>
      </c>
      <c r="J12239" s="422">
        <f t="shared" si="2267"/>
        <v>351.28571428571428</v>
      </c>
      <c r="K12239" s="297">
        <f>J12239/POBLA!$B$22*100000</f>
        <v>35.907292889465261</v>
      </c>
      <c r="L12239" s="200">
        <f t="shared" si="2268"/>
        <v>-0.30300453514739234</v>
      </c>
      <c r="M12239" s="401">
        <f>SUM(C12239,C12215,C12191,C12167,C12143,C12119,C12095)/POBLA!$B$22*100000</f>
        <v>251.35105022625683</v>
      </c>
      <c r="N12239" s="42" t="s">
        <v>38</v>
      </c>
      <c r="O12239" s="42">
        <v>6</v>
      </c>
      <c r="P12239" s="42">
        <v>2</v>
      </c>
      <c r="Q12239" s="42">
        <v>1</v>
      </c>
      <c r="R12239" s="42">
        <v>9</v>
      </c>
    </row>
    <row r="12240" spans="1:18" x14ac:dyDescent="0.25">
      <c r="A12240" s="367" t="s">
        <v>39</v>
      </c>
      <c r="B12240" s="2">
        <v>44402</v>
      </c>
      <c r="C12240" s="4">
        <v>9</v>
      </c>
      <c r="D12240" s="39">
        <f t="shared" si="2271"/>
        <v>30876</v>
      </c>
      <c r="E12240" s="1">
        <v>2</v>
      </c>
      <c r="F12240" s="39">
        <f>E12240+F12216</f>
        <v>466</v>
      </c>
      <c r="G12240" s="168">
        <f>SUM(C12240,C12216,C12192,C12168,C12144,C12120,C12096,C12072,C12048,C12024,C12000,C11976,C11952,C11928)/POBLA!$B$23*100000</f>
        <v>364.75711134988404</v>
      </c>
      <c r="H12240" s="256">
        <f t="shared" si="2269"/>
        <v>1.0591133004926108</v>
      </c>
      <c r="I12240" s="297">
        <f t="shared" si="2270"/>
        <v>386.31910807992642</v>
      </c>
      <c r="J12240" s="422">
        <f t="shared" si="2267"/>
        <v>46.142857142857146</v>
      </c>
      <c r="K12240" s="297">
        <f>J12240/POBLA!$B$23*100000</f>
        <v>26.094473303657267</v>
      </c>
      <c r="L12240" s="200">
        <f t="shared" si="2268"/>
        <v>3.1055900621117516E-3</v>
      </c>
      <c r="M12240" s="401">
        <f>SUM(C12240,C12216,C12192,C12168,C12144,C12120,C12096)/POBLA!$B$23*100000</f>
        <v>182.66131312560086</v>
      </c>
      <c r="N12240" s="42" t="s">
        <v>39</v>
      </c>
      <c r="O12240" s="42">
        <v>0</v>
      </c>
      <c r="P12240" s="42">
        <v>2</v>
      </c>
      <c r="Q12240" s="42">
        <v>0</v>
      </c>
      <c r="R12240" s="42">
        <v>2</v>
      </c>
    </row>
    <row r="12241" spans="1:18" ht="15.75" thickBot="1" x14ac:dyDescent="0.3">
      <c r="A12241" s="369" t="s">
        <v>40</v>
      </c>
      <c r="B12241" s="2">
        <v>44402</v>
      </c>
      <c r="C12241" s="357">
        <v>217</v>
      </c>
      <c r="D12241" s="176">
        <f t="shared" si="2271"/>
        <v>176410</v>
      </c>
      <c r="E12241" s="44"/>
      <c r="F12241" s="176">
        <f>E12241+F12217</f>
        <v>2518</v>
      </c>
      <c r="G12241" s="177">
        <f>SUM(C12241,C12217,C12193,C12169,C12145,C12121,C12097,C12073,C12049,C12025,C12001,C11977,C11953,C11929)/POBLA!$B$24*100000</f>
        <v>582.4190868235205</v>
      </c>
      <c r="H12241" s="402">
        <f t="shared" si="2269"/>
        <v>0.68106541540160093</v>
      </c>
      <c r="I12241" s="403">
        <f t="shared" si="2270"/>
        <v>396.66549730528209</v>
      </c>
      <c r="J12241" s="423">
        <f t="shared" si="2267"/>
        <v>722.14285714285711</v>
      </c>
      <c r="K12241" s="403">
        <f>J12241/POBLA!$B$24*100000</f>
        <v>42.612946647747812</v>
      </c>
      <c r="L12241" s="404">
        <f t="shared" si="2268"/>
        <v>4.9844236760124616E-2</v>
      </c>
      <c r="M12241" s="405">
        <f>SUM(C12241,C12217,C12193,C12169,C12145,C12121,C12097)/POBLA!$B$24*100000</f>
        <v>298.29062653423466</v>
      </c>
    </row>
    <row r="12242" spans="1:18" x14ac:dyDescent="0.25">
      <c r="A12242" s="363" t="s">
        <v>16</v>
      </c>
      <c r="B12242" s="265">
        <v>44403</v>
      </c>
      <c r="C12242" s="356">
        <v>3386</v>
      </c>
      <c r="D12242" s="174">
        <f>C12242+D12218</f>
        <v>1956055</v>
      </c>
      <c r="E12242" s="43">
        <v>115</v>
      </c>
      <c r="F12242" s="174">
        <f t="shared" ref="F12242:F12260" si="2272">E12242+F12218</f>
        <v>51585</v>
      </c>
      <c r="G12242" s="175">
        <f>SUM(C12242,C12218,C12170,C12194,C12146,C12122,C12098,C12074,C12050,C12026,C12002,C11978,C11954,C11930)/POBLA!$B$1*100000</f>
        <v>315.7263258986402</v>
      </c>
      <c r="H12242" s="300">
        <f t="shared" si="2269"/>
        <v>0.7548522516628503</v>
      </c>
      <c r="I12242" s="301">
        <f>G12242*H12242</f>
        <v>238.32672801382745</v>
      </c>
      <c r="J12242" s="421">
        <f>AVERAGE(C12242,C12218,C12194,C12170,C12146,C12122,C12098)</f>
        <v>3559</v>
      </c>
      <c r="K12242" s="301">
        <f>J12242/POBLA!$B$1*100000</f>
        <v>20.289444113128106</v>
      </c>
      <c r="L12242" s="399">
        <f>(SUM(C12242,C12218,C12194,C12170,C12146,C12122,C12098)/SUM(C12074,C12050,C12026,C12002,C11978,C11954,C11930))-1</f>
        <v>-0.18234927303160586</v>
      </c>
      <c r="M12242" s="400">
        <f>SUM(C12242,C12218,C12194,C12170,C12146,C12122,C12098)/POBLA!$B$1*100000</f>
        <v>142.02610879189672</v>
      </c>
      <c r="N12242" s="42" t="s">
        <v>16</v>
      </c>
      <c r="O12242" s="42">
        <v>53</v>
      </c>
      <c r="P12242" s="42">
        <v>62</v>
      </c>
      <c r="Q12242" s="42">
        <v>0</v>
      </c>
      <c r="R12242" s="42">
        <v>115</v>
      </c>
    </row>
    <row r="12243" spans="1:18" x14ac:dyDescent="0.25">
      <c r="A12243" s="367" t="s">
        <v>43</v>
      </c>
      <c r="B12243" s="2">
        <v>44403</v>
      </c>
      <c r="C12243" s="4">
        <v>724</v>
      </c>
      <c r="D12243" s="39">
        <f t="shared" ref="D12243:D12257" si="2273">C12243+D12219</f>
        <v>487858</v>
      </c>
      <c r="E12243" s="1">
        <v>23</v>
      </c>
      <c r="F12243" s="39">
        <f t="shared" si="2272"/>
        <v>10828</v>
      </c>
      <c r="G12243" s="168">
        <f>SUM(C12243,C12219,C12195,C12171,C12147,C12123,C12099,C12075,C12051,C12027,C12003,C11979,C11955,C11931)/POBLA!$B$2*100000</f>
        <v>381.22072566218611</v>
      </c>
      <c r="H12243" s="256">
        <f t="shared" si="2269"/>
        <v>0.79848815036774723</v>
      </c>
      <c r="I12243" s="297">
        <f t="shared" ref="I12243:I12249" si="2274">G12243*H12243</f>
        <v>304.40023211584941</v>
      </c>
      <c r="J12243" s="422">
        <f>AVERAGE(C12243,C12219,C12195,C12171,C12147,C12123,C12099)</f>
        <v>749.28571428571433</v>
      </c>
      <c r="K12243" s="297">
        <f>J12243/POBLA!$B$2*100000</f>
        <v>24.361897119685239</v>
      </c>
      <c r="L12243" s="200">
        <f>(SUM(C12243,C12219,C12195,C12171,C12147,C12123,C12099)/SUM(C12075,C12051,C12027,C12003,C11979,C11955,C11931))-1</f>
        <v>-0.19058641975308643</v>
      </c>
      <c r="M12243" s="401">
        <f>SUM(C12243,C12219,C12195,C12171,C12147,C12123,C12099)/POBLA!$B$2*100000</f>
        <v>170.53327983779667</v>
      </c>
      <c r="N12243" s="42" t="s">
        <v>43</v>
      </c>
      <c r="O12243" s="42">
        <v>9</v>
      </c>
      <c r="P12243" s="42">
        <v>14</v>
      </c>
      <c r="Q12243" s="42">
        <v>0</v>
      </c>
      <c r="R12243" s="42">
        <v>23</v>
      </c>
    </row>
    <row r="12244" spans="1:18" x14ac:dyDescent="0.25">
      <c r="A12244" s="367" t="s">
        <v>28</v>
      </c>
      <c r="B12244" s="2">
        <v>44403</v>
      </c>
      <c r="C12244" s="4">
        <v>231</v>
      </c>
      <c r="D12244" s="39">
        <f t="shared" si="2273"/>
        <v>41062</v>
      </c>
      <c r="F12244" s="39">
        <f t="shared" si="2272"/>
        <v>444</v>
      </c>
      <c r="G12244" s="168">
        <f>SUM(C12244,C12220,C12196,C12172,C12148,C12124,C12100,C12076,C12052,C12028,C12004,C11980,C11956,C11932)/POBLA!$B$3*100000</f>
        <v>875.46156105122782</v>
      </c>
      <c r="H12244" s="256">
        <f t="shared" si="2269"/>
        <v>0.95836627140974973</v>
      </c>
      <c r="I12244" s="297">
        <f t="shared" si="2274"/>
        <v>839.01283202722414</v>
      </c>
      <c r="J12244" s="422">
        <f t="shared" ref="J12244:J12265" si="2275">AVERAGE(C12244,C12220,C12196,C12172,C12148,C12124,C12100)</f>
        <v>264.14285714285717</v>
      </c>
      <c r="K12244" s="297">
        <f>J12244/POBLA!$B$3*100000</f>
        <v>63.581775654335225</v>
      </c>
      <c r="L12244" s="200">
        <f t="shared" ref="L12244:L12265" si="2276">(SUM(C12244,C12220,C12196,C12172,C12148,C12124,C12100)/SUM(C12076,C12052,C12028,C12004,C11980,C11956,C11932))-1</f>
        <v>3.4116331096196939E-2</v>
      </c>
      <c r="M12244" s="401">
        <f>SUM(C12244,C12220,C12196,C12172,C12148,C12124,C12100)/POBLA!$B$3*100000</f>
        <v>445.07242958034658</v>
      </c>
    </row>
    <row r="12245" spans="1:18" x14ac:dyDescent="0.25">
      <c r="A12245" s="367" t="s">
        <v>15</v>
      </c>
      <c r="B12245" s="2">
        <v>44403</v>
      </c>
      <c r="C12245" s="4">
        <v>425</v>
      </c>
      <c r="D12245" s="39">
        <f t="shared" si="2273"/>
        <v>89143</v>
      </c>
      <c r="E12245" s="1">
        <v>11</v>
      </c>
      <c r="F12245" s="39">
        <f t="shared" si="2272"/>
        <v>1972</v>
      </c>
      <c r="G12245" s="168">
        <f>SUM(C12245,C12221,C12197,C12173,C12149,C12125,C12101,C12077,C12053,C12029,C12005,C11981,C11957,C11933)/POBLA!$B$4*100000</f>
        <v>485.24707751749418</v>
      </c>
      <c r="H12245" s="256">
        <f t="shared" si="2269"/>
        <v>0.76515250687262726</v>
      </c>
      <c r="I12245" s="297">
        <f t="shared" si="2274"/>
        <v>371.28801781512675</v>
      </c>
      <c r="J12245" s="422">
        <f t="shared" si="2275"/>
        <v>390.14285714285717</v>
      </c>
      <c r="K12245" s="297">
        <f>J12245/POBLA!$B$4*100000</f>
        <v>32.389338108280015</v>
      </c>
      <c r="L12245" s="200">
        <f t="shared" si="2276"/>
        <v>-0.12299293513166343</v>
      </c>
      <c r="M12245" s="401">
        <f>SUM(C12245,C12221,C12197,C12173,C12149,C12125,C12101)/POBLA!$B$4*100000</f>
        <v>226.72536675796007</v>
      </c>
      <c r="N12245" s="42" t="s">
        <v>15</v>
      </c>
      <c r="O12245" s="42">
        <v>4</v>
      </c>
      <c r="P12245" s="42">
        <v>7</v>
      </c>
      <c r="Q12245" s="42">
        <v>0</v>
      </c>
      <c r="R12245" s="42">
        <v>11</v>
      </c>
    </row>
    <row r="12246" spans="1:18" x14ac:dyDescent="0.25">
      <c r="A12246" s="367" t="s">
        <v>29</v>
      </c>
      <c r="B12246" s="2">
        <v>44403</v>
      </c>
      <c r="C12246" s="4">
        <v>163</v>
      </c>
      <c r="D12246" s="39">
        <f t="shared" si="2273"/>
        <v>75163</v>
      </c>
      <c r="E12246" s="1">
        <v>1</v>
      </c>
      <c r="F12246" s="39">
        <f t="shared" si="2272"/>
        <v>1296</v>
      </c>
      <c r="G12246" s="168">
        <f>SUM(C12246,C12222,C12198,C12174,C12150,C12126,C12102,C12078,C12054,C12030,C12006,C11982,C11958,C11934)/POBLA!$B$5*100000</f>
        <v>374.64014190767602</v>
      </c>
      <c r="H12246" s="256">
        <f t="shared" si="2269"/>
        <v>0.92759999999999998</v>
      </c>
      <c r="I12246" s="297">
        <f t="shared" si="2274"/>
        <v>347.5161956335603</v>
      </c>
      <c r="J12246" s="422">
        <f t="shared" si="2275"/>
        <v>159.71428571428572</v>
      </c>
      <c r="K12246" s="297">
        <f>J12246/POBLA!$B$5*100000</f>
        <v>25.802234870497244</v>
      </c>
      <c r="L12246" s="200">
        <f t="shared" si="2276"/>
        <v>-6.9109075770191541E-2</v>
      </c>
      <c r="M12246" s="401">
        <f>SUM(C12246,C12222,C12198,C12174,C12150,C12126,C12102)/POBLA!$B$5*100000</f>
        <v>180.61564409348071</v>
      </c>
      <c r="N12246" s="42" t="s">
        <v>29</v>
      </c>
      <c r="O12246" s="42">
        <v>0</v>
      </c>
      <c r="P12246" s="42">
        <v>1</v>
      </c>
      <c r="Q12246" s="42">
        <v>0</v>
      </c>
      <c r="R12246" s="42">
        <v>1</v>
      </c>
    </row>
    <row r="12247" spans="1:18" x14ac:dyDescent="0.25">
      <c r="A12247" s="367" t="s">
        <v>30</v>
      </c>
      <c r="B12247" s="2">
        <v>44403</v>
      </c>
      <c r="C12247" s="4">
        <v>316</v>
      </c>
      <c r="D12247" s="39">
        <f t="shared" si="2273"/>
        <v>446204</v>
      </c>
      <c r="E12247" s="1">
        <v>15</v>
      </c>
      <c r="F12247" s="39">
        <f t="shared" si="2272"/>
        <v>5840</v>
      </c>
      <c r="G12247" s="168">
        <f>SUM(C12247,C12223,C12199,C12175,C12151,C12127,C12103,C12079,C12055,C12031,C12007,C11983,C11959,C11935)/POBLA!$B$6*100000</f>
        <v>612.24070999222874</v>
      </c>
      <c r="H12247" s="256">
        <f t="shared" si="2269"/>
        <v>1.0890334867481353</v>
      </c>
      <c r="I12247" s="297">
        <f t="shared" si="2274"/>
        <v>666.75063513199075</v>
      </c>
      <c r="J12247" s="422">
        <f t="shared" si="2275"/>
        <v>454.85714285714283</v>
      </c>
      <c r="K12247" s="297">
        <f>J12247/POBLA!$B$6*100000</f>
        <v>40.583220648192039</v>
      </c>
      <c r="L12247" s="200">
        <f t="shared" si="2276"/>
        <v>-0.13431212615551935</v>
      </c>
      <c r="M12247" s="401">
        <f>SUM(C12247,C12223,C12199,C12175,C12151,C12127,C12103)/POBLA!$B$6*100000</f>
        <v>284.08254453734429</v>
      </c>
      <c r="N12247" s="42" t="s">
        <v>30</v>
      </c>
      <c r="O12247" s="42">
        <v>3</v>
      </c>
      <c r="P12247" s="42">
        <v>12</v>
      </c>
      <c r="Q12247" s="42">
        <v>0</v>
      </c>
      <c r="R12247" s="42">
        <v>15</v>
      </c>
    </row>
    <row r="12248" spans="1:18" x14ac:dyDescent="0.25">
      <c r="A12248" s="367" t="s">
        <v>20</v>
      </c>
      <c r="B12248" s="2">
        <v>44403</v>
      </c>
      <c r="C12248" s="4">
        <v>1680</v>
      </c>
      <c r="D12248" s="39">
        <f t="shared" si="2273"/>
        <v>90112</v>
      </c>
      <c r="E12248" s="1">
        <v>34</v>
      </c>
      <c r="F12248" s="39">
        <f t="shared" si="2272"/>
        <v>1067</v>
      </c>
      <c r="G12248" s="168">
        <f>SUM(C12248,C12224,C12200,C12176,C12152,C12128,C12104,C12080,C12056,C12032,C12008,C11984,C11960,C11936)/POBLA!$B$7*100000</f>
        <v>642.87518780996947</v>
      </c>
      <c r="H12248" s="256">
        <f t="shared" si="2269"/>
        <v>0.8246631417363125</v>
      </c>
      <c r="I12248" s="297">
        <f t="shared" si="2274"/>
        <v>530.15547212369142</v>
      </c>
      <c r="J12248" s="422">
        <f t="shared" si="2275"/>
        <v>1692.4285714285713</v>
      </c>
      <c r="K12248" s="297">
        <f>J12248/POBLA!$B$7*100000</f>
        <v>45.006011818494365</v>
      </c>
      <c r="L12248" s="200">
        <f t="shared" si="2276"/>
        <v>-3.9016872160934413E-2</v>
      </c>
      <c r="M12248" s="401">
        <f>SUM(C12248,C12224,C12200,C12176,C12152,C12128,C12104)/POBLA!$B$7*100000</f>
        <v>315.04208272946056</v>
      </c>
      <c r="N12248" s="42" t="s">
        <v>20</v>
      </c>
      <c r="O12248" s="42">
        <v>15</v>
      </c>
      <c r="P12248" s="42">
        <v>19</v>
      </c>
      <c r="Q12248" s="42">
        <v>0</v>
      </c>
      <c r="R12248" s="42">
        <v>34</v>
      </c>
    </row>
    <row r="12249" spans="1:18" x14ac:dyDescent="0.25">
      <c r="A12249" s="367" t="s">
        <v>31</v>
      </c>
      <c r="B12249" s="2">
        <v>44403</v>
      </c>
      <c r="C12249" s="4">
        <v>334</v>
      </c>
      <c r="D12249" s="39">
        <f t="shared" si="2273"/>
        <v>125735</v>
      </c>
      <c r="E12249" s="1">
        <v>17</v>
      </c>
      <c r="F12249" s="39">
        <f t="shared" si="2272"/>
        <v>2100</v>
      </c>
      <c r="G12249" s="168">
        <f>SUM(C12249,C12225,C12201,C12177,C12153,C12129,C12105,C12081,C12057,C12033,C12009,C11985,C11961,C11937)/POBLA!$B$8*100000</f>
        <v>554.20029856539975</v>
      </c>
      <c r="H12249" s="256">
        <f t="shared" ref="H12249:H12272" si="2277">SUM(C12249,C12225,C12201,C12177,C12153,C12129,C12105,C12081,C12057,C12033,C12009,C11985,C11961,C11937,)/SUM(C11913,C11889,C11865,C11841,C11817,C11793,C11769,C11745,C11721,C11697,C11673,C11649,C11625,C11601)</f>
        <v>0.79455880831695458</v>
      </c>
      <c r="I12249" s="297">
        <f t="shared" si="2274"/>
        <v>440.34472879702446</v>
      </c>
      <c r="J12249" s="422">
        <f t="shared" si="2275"/>
        <v>461.28571428571428</v>
      </c>
      <c r="K12249" s="297">
        <f>J12249/POBLA!$B$8*100000</f>
        <v>33.282734094661706</v>
      </c>
      <c r="L12249" s="200">
        <f t="shared" si="2276"/>
        <v>-0.27470799640610966</v>
      </c>
      <c r="M12249" s="401">
        <f>SUM(C12249,C12225,C12201,C12177,C12153,C12129,C12105)/POBLA!$B$8*100000</f>
        <v>232.97913866263195</v>
      </c>
      <c r="N12249" s="42" t="s">
        <v>31</v>
      </c>
      <c r="O12249" s="42">
        <v>8</v>
      </c>
      <c r="P12249" s="42">
        <v>8</v>
      </c>
      <c r="Q12249" s="42">
        <v>1</v>
      </c>
      <c r="R12249" s="42">
        <v>17</v>
      </c>
    </row>
    <row r="12250" spans="1:18" x14ac:dyDescent="0.25">
      <c r="A12250" s="367" t="s">
        <v>41</v>
      </c>
      <c r="B12250" s="2">
        <v>44403</v>
      </c>
      <c r="C12250" s="4">
        <v>230</v>
      </c>
      <c r="D12250" s="39">
        <f t="shared" si="2273"/>
        <v>54835</v>
      </c>
      <c r="E12250" s="1">
        <v>15</v>
      </c>
      <c r="F12250" s="39">
        <f t="shared" si="2272"/>
        <v>998</v>
      </c>
      <c r="G12250" s="168">
        <f>SUM(C12250,C12226,C12202,C12178,C12154,C12130,C12106,C12082,C12058,C12034,C12010,C11986,C11962,C11938)/POBLA!$B$9*100000</f>
        <v>708.0385926473042</v>
      </c>
      <c r="H12250" s="256">
        <f t="shared" si="2277"/>
        <v>0.74847161572052401</v>
      </c>
      <c r="I12250" s="297">
        <f>G12250*H12250</f>
        <v>529.94678943121369</v>
      </c>
      <c r="J12250" s="422">
        <f t="shared" si="2275"/>
        <v>261.28571428571428</v>
      </c>
      <c r="K12250" s="297">
        <f>J12250/POBLA!$B$9*100000</f>
        <v>43.173948523151168</v>
      </c>
      <c r="L12250" s="200">
        <f t="shared" si="2276"/>
        <v>-0.25529315960912047</v>
      </c>
      <c r="M12250" s="401">
        <f>SUM(C12250,C12226,C12202,C12178,C12154,C12130,C12106)/POBLA!$B$9*100000</f>
        <v>302.21763966205822</v>
      </c>
      <c r="N12250" s="42" t="s">
        <v>41</v>
      </c>
      <c r="O12250" s="42">
        <v>3</v>
      </c>
      <c r="P12250" s="42">
        <v>12</v>
      </c>
      <c r="Q12250" s="42">
        <v>0</v>
      </c>
      <c r="R12250" s="42">
        <v>15</v>
      </c>
    </row>
    <row r="12251" spans="1:18" x14ac:dyDescent="0.25">
      <c r="A12251" s="367" t="s">
        <v>32</v>
      </c>
      <c r="B12251" s="2">
        <v>44403</v>
      </c>
      <c r="C12251" s="4">
        <v>157</v>
      </c>
      <c r="D12251" s="39">
        <f t="shared" si="2273"/>
        <v>42540</v>
      </c>
      <c r="E12251" s="1">
        <v>5</v>
      </c>
      <c r="F12251" s="39">
        <f t="shared" si="2272"/>
        <v>1296</v>
      </c>
      <c r="G12251" s="168">
        <f>SUM(C12251,C12227,C12203,C12179,C12155,C12131,C12107,C12083,C12059,C12035,C12011,C11987,C11963,C11939)/POBLA!$B$10*100000</f>
        <v>432.75161795400328</v>
      </c>
      <c r="H12251" s="256">
        <f t="shared" si="2277"/>
        <v>0.84284992420414351</v>
      </c>
      <c r="I12251" s="297">
        <f t="shared" ref="I12251:I12265" si="2278">G12251*H12251</f>
        <v>364.74466839175216</v>
      </c>
      <c r="J12251" s="422">
        <f t="shared" si="2275"/>
        <v>210.28571428571428</v>
      </c>
      <c r="K12251" s="297">
        <f>J12251/POBLA!$B$10*100000</f>
        <v>27.278622029303392</v>
      </c>
      <c r="L12251" s="200">
        <f t="shared" si="2276"/>
        <v>-0.21030042918454939</v>
      </c>
      <c r="M12251" s="401">
        <f>SUM(C12251,C12227,C12203,C12179,C12155,C12131,C12107)/POBLA!$B$10*100000</f>
        <v>190.95035420512374</v>
      </c>
      <c r="N12251" s="42" t="s">
        <v>32</v>
      </c>
      <c r="O12251" s="42">
        <v>3</v>
      </c>
      <c r="P12251" s="42">
        <v>1</v>
      </c>
      <c r="Q12251" s="42">
        <v>1</v>
      </c>
      <c r="R12251" s="42">
        <v>5</v>
      </c>
    </row>
    <row r="12252" spans="1:18" x14ac:dyDescent="0.25">
      <c r="A12252" s="367" t="s">
        <v>33</v>
      </c>
      <c r="B12252" s="2">
        <v>44403</v>
      </c>
      <c r="C12252" s="4">
        <v>291</v>
      </c>
      <c r="D12252" s="39">
        <f t="shared" si="2273"/>
        <v>59930</v>
      </c>
      <c r="F12252" s="39">
        <f t="shared" si="2272"/>
        <v>815</v>
      </c>
      <c r="G12252" s="168">
        <f>SUM(C12252,C12228,C12204,C12180,C12156,C12132,C12108,C12084,C12060,C12036,C12012,C11988,C11964,C11940)/POBLA!$B$11*100000</f>
        <v>1063.8119789748569</v>
      </c>
      <c r="H12252" s="256">
        <f t="shared" si="2277"/>
        <v>1.0247245364149422</v>
      </c>
      <c r="I12252" s="297">
        <f t="shared" si="2278"/>
        <v>1090.1142369876725</v>
      </c>
      <c r="J12252" s="422">
        <f t="shared" si="2275"/>
        <v>264.85714285714283</v>
      </c>
      <c r="K12252" s="297">
        <f>J12252/POBLA!$B$11*100000</f>
        <v>73.894099472458294</v>
      </c>
      <c r="L12252" s="200">
        <f t="shared" si="2276"/>
        <v>-5.3598774885145528E-2</v>
      </c>
      <c r="M12252" s="401">
        <f>SUM(C12252,C12228,C12204,C12180,C12156,C12132,C12108)/POBLA!$B$11*100000</f>
        <v>517.25869630720808</v>
      </c>
    </row>
    <row r="12253" spans="1:18" x14ac:dyDescent="0.25">
      <c r="A12253" s="367" t="s">
        <v>21</v>
      </c>
      <c r="B12253" s="2">
        <v>44403</v>
      </c>
      <c r="C12253" s="4">
        <v>189</v>
      </c>
      <c r="D12253" s="39">
        <f t="shared" si="2273"/>
        <v>27102</v>
      </c>
      <c r="F12253" s="39">
        <f t="shared" si="2272"/>
        <v>763</v>
      </c>
      <c r="G12253" s="168">
        <f>SUM(C12253,C12229,C12205,C12181,C12157,C12133,C12109,C12085,C12061,C12037,C12013,C11989,C11965,C11941)/POBLA!$B$12*100000</f>
        <v>679.48903644185589</v>
      </c>
      <c r="H12253" s="256">
        <f t="shared" si="2277"/>
        <v>1.0124952669443392</v>
      </c>
      <c r="I12253" s="297">
        <f t="shared" si="2278"/>
        <v>687.97943333794876</v>
      </c>
      <c r="J12253" s="422">
        <f t="shared" si="2275"/>
        <v>176.57142857142858</v>
      </c>
      <c r="K12253" s="297">
        <f>J12253/POBLA!$B$12*100000</f>
        <v>44.868492843366489</v>
      </c>
      <c r="L12253" s="200">
        <f t="shared" si="2276"/>
        <v>-0.14047287899860916</v>
      </c>
      <c r="M12253" s="401">
        <f>SUM(C12253,C12229,C12205,C12181,C12157,C12133,C12109)/POBLA!$B$12*100000</f>
        <v>314.07944990356543</v>
      </c>
    </row>
    <row r="12254" spans="1:18" x14ac:dyDescent="0.25">
      <c r="A12254" s="367" t="s">
        <v>17</v>
      </c>
      <c r="B12254" s="2">
        <v>44403</v>
      </c>
      <c r="C12254" s="4">
        <v>426</v>
      </c>
      <c r="D12254" s="39">
        <f t="shared" si="2273"/>
        <v>151697</v>
      </c>
      <c r="E12254" s="1">
        <v>21</v>
      </c>
      <c r="F12254" s="39">
        <f t="shared" si="2272"/>
        <v>3833</v>
      </c>
      <c r="G12254" s="168">
        <f>SUM(C12254,C12230,C12206,C12182,C12158,C12134,C12110,C12086,C12062,C12038,C12014,C11990,C11966,C11942)/POBLA!$B$13*100000</f>
        <v>310.85172468193844</v>
      </c>
      <c r="H12254" s="256">
        <f t="shared" si="2277"/>
        <v>0.88740676993689038</v>
      </c>
      <c r="I12254" s="297">
        <f t="shared" si="2278"/>
        <v>275.85192492931054</v>
      </c>
      <c r="J12254" s="422">
        <f t="shared" si="2275"/>
        <v>404.28571428571428</v>
      </c>
      <c r="K12254" s="297">
        <f>J12254/POBLA!$B$13*100000</f>
        <v>20.312414991107755</v>
      </c>
      <c r="L12254" s="200">
        <f t="shared" si="2276"/>
        <v>-0.15698540363419722</v>
      </c>
      <c r="M12254" s="401">
        <f>SUM(C12254,C12230,C12206,C12182,C12158,C12134,C12110)/POBLA!$B$13*100000</f>
        <v>142.18690493775429</v>
      </c>
      <c r="N12254" s="42" t="s">
        <v>17</v>
      </c>
      <c r="O12254" s="42">
        <v>9</v>
      </c>
      <c r="P12254" s="42">
        <v>12</v>
      </c>
      <c r="Q12254" s="42">
        <v>0</v>
      </c>
      <c r="R12254" s="42">
        <v>21</v>
      </c>
    </row>
    <row r="12255" spans="1:18" x14ac:dyDescent="0.25">
      <c r="A12255" s="367" t="s">
        <v>23</v>
      </c>
      <c r="B12255" s="2">
        <v>44403</v>
      </c>
      <c r="C12255" s="4">
        <v>154</v>
      </c>
      <c r="D12255" s="39">
        <f t="shared" si="2273"/>
        <v>29908</v>
      </c>
      <c r="E12255" s="1">
        <v>3</v>
      </c>
      <c r="F12255" s="39">
        <f t="shared" si="2272"/>
        <v>505</v>
      </c>
      <c r="G12255" s="168">
        <f>SUM(C12255,C12231,C12207,C12183,C12159,C12135,C12111,C12087,C12063,C12039,C12015,C11991,C11967,C11943)/POBLA!$B$14*100000</f>
        <v>179.73604885141765</v>
      </c>
      <c r="H12255" s="256">
        <f t="shared" si="2277"/>
        <v>0.97004706889174153</v>
      </c>
      <c r="I12255" s="297">
        <f t="shared" si="2278"/>
        <v>174.35242736250055</v>
      </c>
      <c r="J12255" s="422">
        <f t="shared" si="2275"/>
        <v>158.42857142857142</v>
      </c>
      <c r="K12255" s="297">
        <f>J12255/POBLA!$B$14*100000</f>
        <v>12.560796406592864</v>
      </c>
      <c r="L12255" s="200">
        <f t="shared" si="2276"/>
        <v>-4.2314335060449015E-2</v>
      </c>
      <c r="M12255" s="401">
        <f>SUM(C12255,C12231,C12207,C12183,C12159,C12135,C12111)/POBLA!$B$14*100000</f>
        <v>87.92557484615007</v>
      </c>
      <c r="N12255" s="42" t="s">
        <v>23</v>
      </c>
      <c r="O12255" s="42">
        <v>1</v>
      </c>
      <c r="P12255" s="42">
        <v>2</v>
      </c>
      <c r="Q12255" s="42">
        <v>0</v>
      </c>
      <c r="R12255" s="42">
        <v>3</v>
      </c>
    </row>
    <row r="12256" spans="1:18" x14ac:dyDescent="0.25">
      <c r="A12256" s="367" t="s">
        <v>19</v>
      </c>
      <c r="B12256" s="2">
        <v>44403</v>
      </c>
      <c r="C12256" s="4">
        <v>211</v>
      </c>
      <c r="D12256" s="39">
        <f t="shared" si="2273"/>
        <v>106372</v>
      </c>
      <c r="E12256" s="1">
        <v>4</v>
      </c>
      <c r="F12256" s="39">
        <f t="shared" si="2272"/>
        <v>2000</v>
      </c>
      <c r="G12256" s="168">
        <f>SUM(C12256,C12232,C12208,C12184,C12160,C12136,C12112,C12088,C12064,C12040,C12016,C11992,C11968,C11944)/POBLA!$B$15*100000</f>
        <v>409.00103454974499</v>
      </c>
      <c r="H12256" s="256">
        <f t="shared" si="2277"/>
        <v>1.0138111235535647</v>
      </c>
      <c r="I12256" s="297">
        <f t="shared" si="2278"/>
        <v>414.64979837144733</v>
      </c>
      <c r="J12256" s="422">
        <f t="shared" si="2275"/>
        <v>191.42857142857142</v>
      </c>
      <c r="K12256" s="297">
        <f>J12256/POBLA!$B$15*100000</f>
        <v>28.827129512763424</v>
      </c>
      <c r="L12256" s="200">
        <f t="shared" si="2276"/>
        <v>-2.6162790697674465E-2</v>
      </c>
      <c r="M12256" s="401">
        <f>SUM(C12256,C12232,C12208,C12184,C12160,C12136,C12112)/POBLA!$B$15*100000</f>
        <v>201.78990658934396</v>
      </c>
      <c r="N12256" s="42" t="s">
        <v>19</v>
      </c>
      <c r="O12256" s="42">
        <v>3</v>
      </c>
      <c r="P12256" s="42">
        <v>1</v>
      </c>
      <c r="Q12256" s="42">
        <v>0</v>
      </c>
      <c r="R12256" s="42">
        <v>4</v>
      </c>
    </row>
    <row r="12257" spans="1:18" x14ac:dyDescent="0.25">
      <c r="A12257" s="367" t="s">
        <v>18</v>
      </c>
      <c r="B12257" s="2">
        <v>44403</v>
      </c>
      <c r="C12257" s="4">
        <v>405</v>
      </c>
      <c r="D12257" s="39">
        <f t="shared" si="2273"/>
        <v>90614</v>
      </c>
      <c r="E12257" s="1">
        <v>2</v>
      </c>
      <c r="F12257" s="39">
        <f t="shared" si="2272"/>
        <v>2050</v>
      </c>
      <c r="G12257" s="168">
        <f>SUM(C12257,C12233,C12209,C12185,C12161,C12137,C12113,C12089,C12065,C12041,C12017,C11993,C11969,C11945)/POBLA!$B$16*100000</f>
        <v>514.57310629873871</v>
      </c>
      <c r="H12257" s="256">
        <f t="shared" si="2277"/>
        <v>1.2461937155814706</v>
      </c>
      <c r="I12257" s="297">
        <f t="shared" si="2278"/>
        <v>641.25777127672427</v>
      </c>
      <c r="J12257" s="422">
        <f t="shared" si="2275"/>
        <v>286.71428571428572</v>
      </c>
      <c r="K12257" s="297">
        <f>J12257/POBLA!$B$16*100000</f>
        <v>38.350782589088659</v>
      </c>
      <c r="L12257" s="200">
        <f t="shared" si="2276"/>
        <v>9.0760869565217339E-2</v>
      </c>
      <c r="M12257" s="401">
        <f>SUM(C12257,C12233,C12209,C12185,C12161,C12137,C12113)/POBLA!$B$16*100000</f>
        <v>268.45547812362059</v>
      </c>
      <c r="N12257" s="42" t="s">
        <v>18</v>
      </c>
      <c r="O12257" s="42">
        <v>2</v>
      </c>
      <c r="P12257" s="42">
        <v>0</v>
      </c>
      <c r="Q12257" s="42">
        <v>0</v>
      </c>
      <c r="R12257" s="42">
        <v>2</v>
      </c>
    </row>
    <row r="12258" spans="1:18" x14ac:dyDescent="0.25">
      <c r="A12258" s="367" t="s">
        <v>34</v>
      </c>
      <c r="B12258" s="2">
        <v>44403</v>
      </c>
      <c r="C12258" s="4">
        <v>298</v>
      </c>
      <c r="D12258" s="39">
        <f>C12258+D12234</f>
        <v>73407</v>
      </c>
      <c r="E12258" s="1">
        <v>27</v>
      </c>
      <c r="F12258" s="39">
        <f t="shared" si="2272"/>
        <v>2046</v>
      </c>
      <c r="G12258" s="168">
        <f>SUM(C12258,C12234,C12210,C12186,C12162,C12138,C12114,C12090,C12066,C12042,C12018,C11994,C11970,C11946)/POBLA!$B$17*100000</f>
        <v>448.40027043022417</v>
      </c>
      <c r="H12258" s="256">
        <f t="shared" si="2277"/>
        <v>0.92605480643758153</v>
      </c>
      <c r="I12258" s="297">
        <f t="shared" si="2278"/>
        <v>415.24322563982048</v>
      </c>
      <c r="J12258" s="422">
        <f t="shared" si="2275"/>
        <v>364.71428571428572</v>
      </c>
      <c r="K12258" s="297">
        <f>J12258/POBLA!$B$17*100000</f>
        <v>25.604819844066345</v>
      </c>
      <c r="L12258" s="200">
        <f t="shared" si="2276"/>
        <v>-0.33411580594679191</v>
      </c>
      <c r="M12258" s="401">
        <f>SUM(C12258,C12234,C12210,C12186,C12162,C12138,C12114)/POBLA!$B$17*100000</f>
        <v>179.23373890846443</v>
      </c>
      <c r="N12258" s="42" t="s">
        <v>34</v>
      </c>
      <c r="O12258" s="42">
        <v>10</v>
      </c>
      <c r="P12258" s="42">
        <v>17</v>
      </c>
      <c r="Q12258" s="42">
        <v>0</v>
      </c>
      <c r="R12258" s="42">
        <v>27</v>
      </c>
    </row>
    <row r="12259" spans="1:18" x14ac:dyDescent="0.25">
      <c r="A12259" s="367" t="s">
        <v>35</v>
      </c>
      <c r="B12259" s="2">
        <v>44403</v>
      </c>
      <c r="C12259" s="4">
        <v>381</v>
      </c>
      <c r="D12259" s="39">
        <f t="shared" ref="D12259:D12265" si="2279">C12259+D12235</f>
        <v>59081</v>
      </c>
      <c r="E12259" s="1">
        <v>10</v>
      </c>
      <c r="F12259" s="39">
        <f t="shared" si="2272"/>
        <v>927</v>
      </c>
      <c r="G12259" s="168">
        <f>SUM(C12259,C12235,C12211,C12187,C12163,C12139,C12115,C12091,C12067,C12043,C12019,C11995,C11971,C11947)/POBLA!$B$18*100000</f>
        <v>570.52009876897193</v>
      </c>
      <c r="H12259" s="256">
        <f t="shared" si="2277"/>
        <v>0.907924220818904</v>
      </c>
      <c r="I12259" s="297">
        <f t="shared" si="2278"/>
        <v>517.98901613634303</v>
      </c>
      <c r="J12259" s="422">
        <f t="shared" si="2275"/>
        <v>310.42857142857144</v>
      </c>
      <c r="K12259" s="297">
        <f>J12259/POBLA!$B$18*100000</f>
        <v>39.736535614121486</v>
      </c>
      <c r="L12259" s="200">
        <f t="shared" si="2276"/>
        <v>-4.8598949211908882E-2</v>
      </c>
      <c r="M12259" s="401">
        <f>SUM(C12259,C12235,C12211,C12187,C12163,C12139,C12115)/POBLA!$B$18*100000</f>
        <v>278.15574929885037</v>
      </c>
      <c r="N12259" s="42" t="s">
        <v>35</v>
      </c>
      <c r="O12259" s="42">
        <v>2</v>
      </c>
      <c r="P12259" s="42">
        <v>8</v>
      </c>
      <c r="Q12259" s="42">
        <v>0</v>
      </c>
      <c r="R12259" s="42">
        <v>10</v>
      </c>
    </row>
    <row r="12260" spans="1:18" x14ac:dyDescent="0.25">
      <c r="A12260" s="367" t="s">
        <v>36</v>
      </c>
      <c r="B12260" s="2">
        <v>44403</v>
      </c>
      <c r="C12260" s="4">
        <v>275</v>
      </c>
      <c r="D12260" s="39">
        <f t="shared" si="2279"/>
        <v>73582</v>
      </c>
      <c r="E12260" s="1">
        <v>11</v>
      </c>
      <c r="F12260" s="39">
        <f t="shared" si="2272"/>
        <v>1210</v>
      </c>
      <c r="G12260" s="168">
        <f>SUM(C12260,C12236,C12212,C12188,C12164,C12140,C12116,C12092,C12068,C12044,C12020,C11996,C11972,C11948)/POBLA!$B$19*100000</f>
        <v>747.54882674178884</v>
      </c>
      <c r="H12260" s="256">
        <f t="shared" si="2277"/>
        <v>0.78789135392908982</v>
      </c>
      <c r="I12260" s="297">
        <f t="shared" si="2278"/>
        <v>588.98725722969061</v>
      </c>
      <c r="J12260" s="422">
        <f t="shared" si="2275"/>
        <v>242.28571428571428</v>
      </c>
      <c r="K12260" s="297">
        <f>J12260/POBLA!$B$19*100000</f>
        <v>47.663263539626833</v>
      </c>
      <c r="L12260" s="200">
        <f t="shared" si="2276"/>
        <v>-0.19391634980988592</v>
      </c>
      <c r="M12260" s="401">
        <f>SUM(C12260,C12236,C12212,C12188,C12164,C12140,C12116)/POBLA!$B$19*100000</f>
        <v>333.64284477738784</v>
      </c>
      <c r="N12260" s="42" t="s">
        <v>36</v>
      </c>
      <c r="O12260" s="42">
        <v>4</v>
      </c>
      <c r="P12260" s="42">
        <v>7</v>
      </c>
      <c r="Q12260" s="42">
        <v>0</v>
      </c>
      <c r="R12260" s="42">
        <v>11</v>
      </c>
    </row>
    <row r="12261" spans="1:18" x14ac:dyDescent="0.25">
      <c r="A12261" s="367" t="s">
        <v>37</v>
      </c>
      <c r="B12261" s="2">
        <v>44403</v>
      </c>
      <c r="C12261" s="4">
        <v>88</v>
      </c>
      <c r="D12261" s="39">
        <f t="shared" si="2279"/>
        <v>57513</v>
      </c>
      <c r="F12261" s="39">
        <f>E12261+F12237</f>
        <v>928</v>
      </c>
      <c r="G12261" s="168">
        <f>SUM(C12261,C12237,C12214,C12189,C12165,C12141,C12117,C12093,C12069,C12045,C12021,C11997,C11973,C11949)/POBLA!$B$20*100000</f>
        <v>579.71331535857462</v>
      </c>
      <c r="H12261" s="256">
        <f t="shared" si="2277"/>
        <v>0.71450265755504938</v>
      </c>
      <c r="I12261" s="297">
        <f t="shared" si="2278"/>
        <v>414.20670444374997</v>
      </c>
      <c r="J12261" s="422">
        <f t="shared" si="2275"/>
        <v>51</v>
      </c>
      <c r="K12261" s="297">
        <f>J12261/POBLA!$B$20*100000</f>
        <v>13.945933529852502</v>
      </c>
      <c r="L12261" s="200">
        <f t="shared" si="2276"/>
        <v>-0.38869863013698636</v>
      </c>
      <c r="M12261" s="401">
        <f>SUM(C12261,C12237,C12213,C12189,C12165,C12141,C12117)/POBLA!$B$20*100000</f>
        <v>97.621534708967502</v>
      </c>
    </row>
    <row r="12262" spans="1:18" x14ac:dyDescent="0.25">
      <c r="A12262" s="367" t="s">
        <v>22</v>
      </c>
      <c r="B12262" s="2">
        <v>44403</v>
      </c>
      <c r="C12262" s="4">
        <v>938</v>
      </c>
      <c r="D12262" s="39">
        <f t="shared" si="2279"/>
        <v>441174</v>
      </c>
      <c r="E12262" s="1">
        <v>50</v>
      </c>
      <c r="F12262" s="39">
        <f>E12262+F12238</f>
        <v>7614</v>
      </c>
      <c r="G12262" s="168">
        <f>SUM(C12262,C12238,C12214,C12190,C12166,C12142,C12118,C12094,C12070,C12046,C12022,C11998,C11974,C11950)/POBLA!$B$21*100000</f>
        <v>500.56299905723813</v>
      </c>
      <c r="H12262" s="256">
        <f t="shared" si="2277"/>
        <v>0.84649961744452951</v>
      </c>
      <c r="I12262" s="297">
        <f t="shared" si="2278"/>
        <v>423.72638720883845</v>
      </c>
      <c r="J12262" s="422">
        <f t="shared" si="2275"/>
        <v>1160</v>
      </c>
      <c r="K12262" s="297">
        <f>J12262/POBLA!$B$21*100000</f>
        <v>32.801552305185638</v>
      </c>
      <c r="L12262" s="200">
        <f t="shared" si="2276"/>
        <v>-0.15257774994781881</v>
      </c>
      <c r="M12262" s="401">
        <f>SUM(C12262,C12238,C12214,C12190,C12166,C12142,C12118)/POBLA!$B$21*100000</f>
        <v>229.61086613629951</v>
      </c>
      <c r="N12262" s="42" t="s">
        <v>22</v>
      </c>
      <c r="O12262" s="42">
        <v>19</v>
      </c>
      <c r="P12262" s="42">
        <v>31</v>
      </c>
      <c r="Q12262" s="42">
        <v>0</v>
      </c>
      <c r="R12262" s="42">
        <v>50</v>
      </c>
    </row>
    <row r="12263" spans="1:18" x14ac:dyDescent="0.25">
      <c r="A12263" s="367" t="s">
        <v>38</v>
      </c>
      <c r="B12263" s="2">
        <v>44403</v>
      </c>
      <c r="C12263" s="4">
        <v>241</v>
      </c>
      <c r="D12263" s="39">
        <f t="shared" si="2279"/>
        <v>71784</v>
      </c>
      <c r="E12263" s="1">
        <v>5</v>
      </c>
      <c r="F12263" s="39">
        <f>E12263+F12239</f>
        <v>1010</v>
      </c>
      <c r="G12263" s="168">
        <f>SUM(C12263,C12239,C12215,C12191,C12167,C12143,C12119,C12095,C12071,C12047,C12023,C11999,C11975,C11951)/POBLA!$B$22*100000</f>
        <v>595.71936588801327</v>
      </c>
      <c r="H12263" s="256">
        <f t="shared" si="2277"/>
        <v>0.77831196581196582</v>
      </c>
      <c r="I12263" s="297">
        <f t="shared" si="2278"/>
        <v>463.65551073655735</v>
      </c>
      <c r="J12263" s="422">
        <f t="shared" si="2275"/>
        <v>349.14285714285717</v>
      </c>
      <c r="K12263" s="297">
        <f>J12263/POBLA!$B$22*100000</f>
        <v>35.688256942599878</v>
      </c>
      <c r="L12263" s="200">
        <f t="shared" si="2276"/>
        <v>-0.27777777777777779</v>
      </c>
      <c r="M12263" s="401">
        <f>SUM(C12263,C12239,C12215,C12191,C12167,C12143,C12119)/POBLA!$B$22*100000</f>
        <v>249.81779859819918</v>
      </c>
      <c r="N12263" s="42" t="s">
        <v>38</v>
      </c>
      <c r="O12263" s="42">
        <v>3</v>
      </c>
      <c r="P12263" s="42">
        <v>2</v>
      </c>
      <c r="Q12263" s="42">
        <v>0</v>
      </c>
      <c r="R12263" s="42">
        <v>5</v>
      </c>
    </row>
    <row r="12264" spans="1:18" x14ac:dyDescent="0.25">
      <c r="A12264" s="367" t="s">
        <v>39</v>
      </c>
      <c r="B12264" s="2">
        <v>44403</v>
      </c>
      <c r="C12264" s="4">
        <v>29</v>
      </c>
      <c r="D12264" s="39">
        <f t="shared" si="2279"/>
        <v>30905</v>
      </c>
      <c r="F12264" s="39">
        <f>E12264+F12240</f>
        <v>466</v>
      </c>
      <c r="G12264" s="168">
        <f>SUM(C12264,C12240,C12216,C12192,C12168,C12144,C12120,C12096,C12072,C12048,C12024,C12000,C11976,C11952)/POBLA!$B$23*100000</f>
        <v>363.62608154724876</v>
      </c>
      <c r="H12264" s="256">
        <f t="shared" si="2277"/>
        <v>1.066334991708126</v>
      </c>
      <c r="I12264" s="297">
        <f t="shared" si="2278"/>
        <v>387.74721465154386</v>
      </c>
      <c r="J12264" s="422">
        <f t="shared" si="2275"/>
        <v>43.142857142857146</v>
      </c>
      <c r="K12264" s="297">
        <f>J12264/POBLA!$B$23*100000</f>
        <v>24.397928599704318</v>
      </c>
      <c r="L12264" s="200">
        <f t="shared" si="2276"/>
        <v>-0.11436950146627567</v>
      </c>
      <c r="M12264" s="401">
        <f>SUM(C12264,C12240,C12216,C12192,C12168,C12144,C12120)/POBLA!$B$23*100000</f>
        <v>170.78550019793022</v>
      </c>
    </row>
    <row r="12265" spans="1:18" ht="15.75" thickBot="1" x14ac:dyDescent="0.3">
      <c r="A12265" s="369" t="s">
        <v>40</v>
      </c>
      <c r="B12265" s="2">
        <v>44403</v>
      </c>
      <c r="C12265" s="357">
        <v>983</v>
      </c>
      <c r="D12265" s="176">
        <f t="shared" si="2279"/>
        <v>177393</v>
      </c>
      <c r="E12265" s="44">
        <v>15</v>
      </c>
      <c r="F12265" s="176">
        <f>E12265+F12241</f>
        <v>2533</v>
      </c>
      <c r="G12265" s="177">
        <f>SUM(C12265,C12241,C12217,C12193,C12169,C12145,C12121,C12097,C12073,C12049,C12025,C12001,C11977,C11953)/POBLA!$B$24*100000</f>
        <v>573.80376902451007</v>
      </c>
      <c r="H12265" s="402">
        <f t="shared" si="2277"/>
        <v>0.69641194585690758</v>
      </c>
      <c r="I12265" s="403">
        <f t="shared" si="2278"/>
        <v>399.60379932638659</v>
      </c>
      <c r="J12265" s="423">
        <f t="shared" si="2275"/>
        <v>655.71428571428567</v>
      </c>
      <c r="K12265" s="403">
        <f>J12265/POBLA!$B$24*100000</f>
        <v>38.693061347806612</v>
      </c>
      <c r="L12265" s="404">
        <f t="shared" si="2276"/>
        <v>-0.10596026490066224</v>
      </c>
      <c r="M12265" s="405">
        <f>SUM(C12265,C12241,C12217,C12193,C12169,C12145,C12121)/POBLA!$B$24*100000</f>
        <v>270.85142943464632</v>
      </c>
      <c r="N12265" s="42" t="s">
        <v>40</v>
      </c>
      <c r="O12265" s="42">
        <v>8</v>
      </c>
      <c r="P12265" s="42">
        <v>7</v>
      </c>
      <c r="Q12265" s="42">
        <v>0</v>
      </c>
      <c r="R12265" s="42">
        <v>15</v>
      </c>
    </row>
    <row r="12266" spans="1:18" x14ac:dyDescent="0.25">
      <c r="A12266" s="363" t="s">
        <v>16</v>
      </c>
      <c r="B12266" s="265">
        <v>44404</v>
      </c>
      <c r="C12266" s="356">
        <v>4590</v>
      </c>
      <c r="D12266" s="174">
        <f>C12266+D12242</f>
        <v>1960645</v>
      </c>
      <c r="E12266" s="43">
        <v>46</v>
      </c>
      <c r="F12266" s="174">
        <f t="shared" ref="F12266:F12284" si="2280">E12266+F12242</f>
        <v>51631</v>
      </c>
      <c r="G12266" s="175">
        <f>SUM(C12266,C12242,C12194,C12218,C12170,C12146,C12122,C12098,C12074,C12050,C12026,C12002,C11978,C11954)/POBLA!$B$1*100000</f>
        <v>307.00967514028878</v>
      </c>
      <c r="H12266" s="300">
        <f t="shared" si="2277"/>
        <v>0.75771389979317039</v>
      </c>
      <c r="I12266" s="301">
        <f>G12266*H12266</f>
        <v>232.62549822478258</v>
      </c>
      <c r="J12266" s="421">
        <f>AVERAGE(C12266,C12242,C12218,C12194,C12170,C12146,C12122)</f>
        <v>3538</v>
      </c>
      <c r="K12266" s="301">
        <f>J12266/POBLA!$B$1*100000</f>
        <v>20.169725561182137</v>
      </c>
      <c r="L12266" s="399">
        <f>(SUM(C12266,C12242,C12218,C12194,C12170,C12146,C12122)/SUM(C12098,C12074,C12050,C12026,C12002,C11978,C11954))-1</f>
        <v>-0.14855433698903286</v>
      </c>
      <c r="M12266" s="400">
        <f>SUM(C12266,C12242,C12218,C12194,C12170,C12146,C12122)/POBLA!$B$1*100000</f>
        <v>141.18807892827496</v>
      </c>
      <c r="N12266" s="42" t="s">
        <v>16</v>
      </c>
      <c r="O12266" s="42">
        <v>19</v>
      </c>
      <c r="P12266" s="42">
        <v>27</v>
      </c>
      <c r="Q12266" s="42">
        <v>0</v>
      </c>
      <c r="R12266" s="42">
        <v>46</v>
      </c>
    </row>
    <row r="12267" spans="1:18" x14ac:dyDescent="0.25">
      <c r="A12267" s="367" t="s">
        <v>43</v>
      </c>
      <c r="B12267" s="2">
        <v>44404</v>
      </c>
      <c r="C12267" s="4">
        <v>896</v>
      </c>
      <c r="D12267" s="39">
        <f t="shared" ref="D12267:D12281" si="2281">C12267+D12243</f>
        <v>488754</v>
      </c>
      <c r="E12267" s="1">
        <v>8</v>
      </c>
      <c r="F12267" s="39">
        <f t="shared" si="2280"/>
        <v>10836</v>
      </c>
      <c r="G12267" s="168">
        <f>SUM(C12267,C12243,C12219,C12195,C12171,C12147,C12123,C12099,C12075,C12051,C12027,C12003,C11979,C11955)/POBLA!$B$2*100000</f>
        <v>373.93770284356521</v>
      </c>
      <c r="H12267" s="256">
        <f t="shared" si="2277"/>
        <v>0.80146341463414639</v>
      </c>
      <c r="I12267" s="297">
        <f t="shared" ref="I12267:I12273" si="2282">G12267*H12267</f>
        <v>299.69738818145254</v>
      </c>
      <c r="J12267" s="422">
        <f>AVERAGE(C12267,C12243,C12219,C12195,C12171,C12147,C12123)</f>
        <v>754.14285714285711</v>
      </c>
      <c r="K12267" s="297">
        <f>J12267/POBLA!$B$2*100000</f>
        <v>24.519819808354313</v>
      </c>
      <c r="L12267" s="200">
        <f>(SUM(C12267,C12243,C12219,C12195,C12171,C12147,C12123)/SUM(C12099,C12075,C12051,C12027,C12003,C11979,C11955))-1</f>
        <v>-0.15155898424943748</v>
      </c>
      <c r="M12267" s="401">
        <f>SUM(C12267,C12243,C12219,C12195,C12171,C12147,C12123)/POBLA!$B$2*100000</f>
        <v>171.63873865848018</v>
      </c>
      <c r="N12267" s="42" t="s">
        <v>43</v>
      </c>
      <c r="O12267" s="42">
        <v>1</v>
      </c>
      <c r="P12267" s="42">
        <v>7</v>
      </c>
      <c r="Q12267" s="42">
        <v>0</v>
      </c>
      <c r="R12267" s="42">
        <v>8</v>
      </c>
    </row>
    <row r="12268" spans="1:18" x14ac:dyDescent="0.25">
      <c r="A12268" s="367" t="s">
        <v>28</v>
      </c>
      <c r="B12268" s="2">
        <v>44404</v>
      </c>
      <c r="C12268" s="4">
        <v>268</v>
      </c>
      <c r="D12268" s="39">
        <f t="shared" si="2281"/>
        <v>41330</v>
      </c>
      <c r="E12268" s="1">
        <v>1</v>
      </c>
      <c r="F12268" s="39">
        <f t="shared" si="2280"/>
        <v>445</v>
      </c>
      <c r="G12268" s="168">
        <f>SUM(C12268,C12244,C12220,C12196,C12172,C12148,C12124,C12100,C12076,C12052,C12028,C12004,C11980,C11956)/POBLA!$B$3*100000</f>
        <v>876.66511007659392</v>
      </c>
      <c r="H12268" s="256">
        <f t="shared" si="2277"/>
        <v>0.95917829865683435</v>
      </c>
      <c r="I12268" s="297">
        <f t="shared" si="2282"/>
        <v>840.87814877507378</v>
      </c>
      <c r="J12268" s="422">
        <f t="shared" ref="J12268:J12289" si="2283">AVERAGE(C12268,C12244,C12220,C12196,C12172,C12148,C12124)</f>
        <v>267.42857142857144</v>
      </c>
      <c r="K12268" s="297">
        <f>J12268/POBLA!$B$3*100000</f>
        <v>64.372679299575736</v>
      </c>
      <c r="L12268" s="200">
        <f t="shared" ref="L12268:L12289" si="2284">(SUM(C12268,C12244,C12220,C12196,C12172,C12148,C12124)/SUM(C12100,C12076,C12052,C12028,C12004,C11980,C11956))-1</f>
        <v>5.7627118644067776E-2</v>
      </c>
      <c r="M12268" s="401">
        <f>SUM(C12268,C12244,C12220,C12196,C12172,C12148,C12124)/POBLA!$B$3*100000</f>
        <v>450.60875509703015</v>
      </c>
      <c r="N12268" s="42" t="s">
        <v>28</v>
      </c>
      <c r="O12268" s="42">
        <v>0</v>
      </c>
      <c r="P12268" s="42">
        <v>1</v>
      </c>
      <c r="Q12268" s="42">
        <v>0</v>
      </c>
      <c r="R12268" s="42">
        <v>1</v>
      </c>
    </row>
    <row r="12269" spans="1:18" x14ac:dyDescent="0.25">
      <c r="A12269" s="367" t="s">
        <v>15</v>
      </c>
      <c r="B12269" s="2">
        <v>44404</v>
      </c>
      <c r="C12269" s="4">
        <v>487</v>
      </c>
      <c r="D12269" s="39">
        <f t="shared" si="2281"/>
        <v>89630</v>
      </c>
      <c r="E12269" s="1">
        <v>8</v>
      </c>
      <c r="F12269" s="39">
        <f t="shared" si="2280"/>
        <v>1980</v>
      </c>
      <c r="G12269" s="168">
        <f>SUM(C12269,C12245,C12221,C12197,C12173,C12149,C12125,C12101,C12077,C12053,C12029,C12005,C11981,C11957)/POBLA!$B$4*100000</f>
        <v>474.28854642556797</v>
      </c>
      <c r="H12269" s="256">
        <f t="shared" si="2277"/>
        <v>0.7500328213207299</v>
      </c>
      <c r="I12269" s="297">
        <f t="shared" si="2282"/>
        <v>355.73197659567671</v>
      </c>
      <c r="J12269" s="422">
        <f t="shared" si="2283"/>
        <v>407.14285714285717</v>
      </c>
      <c r="K12269" s="297">
        <f>J12269/POBLA!$B$4*100000</f>
        <v>33.800664082240225</v>
      </c>
      <c r="L12269" s="200">
        <f t="shared" si="2284"/>
        <v>-4.5406915822563398E-3</v>
      </c>
      <c r="M12269" s="401">
        <f>SUM(C12269,C12245,C12221,C12197,C12173,C12149,C12125)/POBLA!$B$4*100000</f>
        <v>236.60464857568152</v>
      </c>
      <c r="N12269" s="42" t="s">
        <v>15</v>
      </c>
      <c r="O12269" s="42">
        <v>4</v>
      </c>
      <c r="P12269" s="42">
        <v>4</v>
      </c>
      <c r="Q12269" s="42">
        <v>0</v>
      </c>
      <c r="R12269" s="42">
        <v>8</v>
      </c>
    </row>
    <row r="12270" spans="1:18" x14ac:dyDescent="0.25">
      <c r="A12270" s="367" t="s">
        <v>29</v>
      </c>
      <c r="B12270" s="2">
        <v>44404</v>
      </c>
      <c r="C12270" s="4">
        <v>230</v>
      </c>
      <c r="D12270" s="39">
        <f t="shared" si="2281"/>
        <v>75393</v>
      </c>
      <c r="E12270" s="1">
        <v>2</v>
      </c>
      <c r="F12270" s="39">
        <f t="shared" si="2280"/>
        <v>1298</v>
      </c>
      <c r="G12270" s="168">
        <f>SUM(C12270,C12246,C12222,C12198,C12174,C12150,C12126,C12102,C12078,C12054,C12030,C12006,C11982,C11958)/POBLA!$B$5*100000</f>
        <v>380.45603026846788</v>
      </c>
      <c r="H12270" s="256">
        <f t="shared" si="2277"/>
        <v>0.96319018404907975</v>
      </c>
      <c r="I12270" s="297">
        <f t="shared" si="2282"/>
        <v>366.45151381686782</v>
      </c>
      <c r="J12270" s="422">
        <f t="shared" si="2283"/>
        <v>169.71428571428572</v>
      </c>
      <c r="K12270" s="297">
        <f>J12270/POBLA!$B$5*100000</f>
        <v>27.417759415161655</v>
      </c>
      <c r="L12270" s="200">
        <f t="shared" si="2284"/>
        <v>1.799485861182526E-2</v>
      </c>
      <c r="M12270" s="401">
        <f>SUM(C12270,C12246,C12222,C12198,C12174,C12150,C12126)/POBLA!$B$5*100000</f>
        <v>191.92431590613157</v>
      </c>
      <c r="N12270" s="42" t="s">
        <v>29</v>
      </c>
      <c r="O12270" s="42">
        <v>1</v>
      </c>
      <c r="P12270" s="42">
        <v>1</v>
      </c>
      <c r="Q12270" s="42">
        <v>0</v>
      </c>
      <c r="R12270" s="42">
        <v>2</v>
      </c>
    </row>
    <row r="12271" spans="1:18" x14ac:dyDescent="0.25">
      <c r="A12271" s="367" t="s">
        <v>30</v>
      </c>
      <c r="B12271" s="2">
        <v>44404</v>
      </c>
      <c r="C12271" s="4">
        <v>657</v>
      </c>
      <c r="D12271" s="39">
        <f t="shared" si="2281"/>
        <v>446861</v>
      </c>
      <c r="F12271" s="39">
        <f t="shared" si="2280"/>
        <v>5840</v>
      </c>
      <c r="G12271" s="168">
        <f>SUM(C12271,C12247,C12223,C12199,C12175,C12151,C12127,C12103,C12079,C12055,C12031,C12007,C11983,C11959)/POBLA!$B$6*100000</f>
        <v>617.68324617840278</v>
      </c>
      <c r="H12271" s="256">
        <f t="shared" si="2277"/>
        <v>1.1006359300476947</v>
      </c>
      <c r="I12271" s="297">
        <f t="shared" si="2282"/>
        <v>679.84437413244552</v>
      </c>
      <c r="J12271" s="422">
        <f t="shared" si="2283"/>
        <v>457.85714285714283</v>
      </c>
      <c r="K12271" s="297">
        <f>J12271/POBLA!$B$6*100000</f>
        <v>40.850886362266166</v>
      </c>
      <c r="L12271" s="200">
        <f t="shared" si="2284"/>
        <v>-0.13797740720817642</v>
      </c>
      <c r="M12271" s="401">
        <f>SUM(C12271,C12247,C12223,C12199,C12175,C12151,C12127)/POBLA!$B$6*100000</f>
        <v>285.95620453586315</v>
      </c>
    </row>
    <row r="12272" spans="1:18" x14ac:dyDescent="0.25">
      <c r="A12272" s="367" t="s">
        <v>20</v>
      </c>
      <c r="B12272" s="2">
        <v>44404</v>
      </c>
      <c r="C12272" s="4">
        <v>2637</v>
      </c>
      <c r="D12272" s="39">
        <f t="shared" si="2281"/>
        <v>92749</v>
      </c>
      <c r="E12272" s="1">
        <v>24</v>
      </c>
      <c r="F12272" s="39">
        <f t="shared" si="2280"/>
        <v>1091</v>
      </c>
      <c r="G12272" s="168">
        <f>SUM(C12272,C12248,C12224,C12200,C12176,C12152,C12128,C12104,C12080,C12056,C12032,C12008,C11984,C11960)/POBLA!$B$7*100000</f>
        <v>634.87082662979162</v>
      </c>
      <c r="H12272" s="256">
        <f t="shared" si="2277"/>
        <v>0.8170431211498973</v>
      </c>
      <c r="I12272" s="297">
        <f t="shared" si="2282"/>
        <v>518.71684171662025</v>
      </c>
      <c r="J12272" s="422">
        <f t="shared" si="2283"/>
        <v>1877</v>
      </c>
      <c r="K12272" s="297">
        <f>J12272/POBLA!$B$7*100000</f>
        <v>49.914238987355233</v>
      </c>
      <c r="L12272" s="200">
        <f t="shared" si="2284"/>
        <v>0.22394038192827193</v>
      </c>
      <c r="M12272" s="401">
        <f>SUM(C12272,C12248,C12224,C12200,C12176,C12152,C12128)/POBLA!$B$7*100000</f>
        <v>349.39967291148668</v>
      </c>
      <c r="N12272" s="42" t="s">
        <v>20</v>
      </c>
      <c r="O12272" s="42">
        <v>12</v>
      </c>
      <c r="P12272" s="42">
        <v>12</v>
      </c>
      <c r="Q12272" s="42">
        <v>0</v>
      </c>
      <c r="R12272" s="42">
        <v>24</v>
      </c>
    </row>
    <row r="12273" spans="1:18" x14ac:dyDescent="0.25">
      <c r="A12273" s="367" t="s">
        <v>31</v>
      </c>
      <c r="B12273" s="2">
        <v>44404</v>
      </c>
      <c r="C12273" s="4">
        <v>588</v>
      </c>
      <c r="D12273" s="39">
        <f t="shared" si="2281"/>
        <v>126323</v>
      </c>
      <c r="E12273" s="1">
        <v>12</v>
      </c>
      <c r="F12273" s="39">
        <f t="shared" si="2280"/>
        <v>2112</v>
      </c>
      <c r="G12273" s="168">
        <f>SUM(C12273,C12249,C12225,C12201,C12177,C12153,C12129,C12105,C12081,C12057,C12033,C12009,C11985,C11961)/POBLA!$B$8*100000</f>
        <v>531.83314682014861</v>
      </c>
      <c r="H12273" s="256">
        <f t="shared" ref="H12273:H12296" si="2285">SUM(C12273,C12249,C12225,C12201,C12177,C12153,C12129,C12105,C12081,C12057,C12033,C12009,C11985,C11961,)/SUM(C11937,C11913,C11889,C11865,C11841,C11817,C11793,C11769,C11745,C11721,C11697,C11673,C11649,C11625)</f>
        <v>0.77021943573667706</v>
      </c>
      <c r="I12273" s="297">
        <f t="shared" si="2282"/>
        <v>409.62822624987621</v>
      </c>
      <c r="J12273" s="422">
        <f t="shared" si="2283"/>
        <v>444.42857142857144</v>
      </c>
      <c r="K12273" s="297">
        <f>J12273/POBLA!$B$8*100000</f>
        <v>32.066455796993672</v>
      </c>
      <c r="L12273" s="200">
        <f t="shared" si="2284"/>
        <v>-0.2697183098591549</v>
      </c>
      <c r="M12273" s="401">
        <f>SUM(C12273,C12249,C12225,C12201,C12177,C12153,C12129)/POBLA!$B$8*100000</f>
        <v>224.46519057895568</v>
      </c>
      <c r="N12273" s="42" t="s">
        <v>31</v>
      </c>
      <c r="O12273" s="42">
        <v>5</v>
      </c>
      <c r="P12273" s="42">
        <v>7</v>
      </c>
      <c r="Q12273" s="42">
        <v>0</v>
      </c>
      <c r="R12273" s="42">
        <v>12</v>
      </c>
    </row>
    <row r="12274" spans="1:18" x14ac:dyDescent="0.25">
      <c r="A12274" s="367" t="s">
        <v>41</v>
      </c>
      <c r="B12274" s="2">
        <v>44404</v>
      </c>
      <c r="C12274" s="4">
        <v>246</v>
      </c>
      <c r="D12274" s="39">
        <f t="shared" si="2281"/>
        <v>55081</v>
      </c>
      <c r="E12274" s="1">
        <v>2</v>
      </c>
      <c r="F12274" s="39">
        <f t="shared" si="2280"/>
        <v>1000</v>
      </c>
      <c r="G12274" s="168">
        <f>SUM(C12274,C12250,C12226,C12202,C12178,C12154,C12130,C12106,C12082,C12058,C12034,C12010,C11986,C11962)/POBLA!$B$9*100000</f>
        <v>676.14793958291</v>
      </c>
      <c r="H12274" s="256">
        <f t="shared" si="2285"/>
        <v>0.70044505306401916</v>
      </c>
      <c r="I12274" s="297">
        <f>G12274*H12274</f>
        <v>473.60447942027861</v>
      </c>
      <c r="J12274" s="422">
        <f t="shared" si="2283"/>
        <v>254.71428571428572</v>
      </c>
      <c r="K12274" s="297">
        <f>J12274/POBLA!$B$9*100000</f>
        <v>42.08810837440052</v>
      </c>
      <c r="L12274" s="200">
        <f t="shared" si="2284"/>
        <v>-0.22780424426158508</v>
      </c>
      <c r="M12274" s="401">
        <f>SUM(C12274,C12250,C12226,C12202,C12178,C12154,C12130)/POBLA!$B$9*100000</f>
        <v>294.61675862080358</v>
      </c>
      <c r="N12274" s="42" t="s">
        <v>41</v>
      </c>
      <c r="O12274" s="42">
        <v>2</v>
      </c>
      <c r="P12274" s="42">
        <v>0</v>
      </c>
      <c r="Q12274" s="42">
        <v>0</v>
      </c>
      <c r="R12274" s="42">
        <v>2</v>
      </c>
    </row>
    <row r="12275" spans="1:18" x14ac:dyDescent="0.25">
      <c r="A12275" s="367" t="s">
        <v>32</v>
      </c>
      <c r="B12275" s="2">
        <v>44404</v>
      </c>
      <c r="C12275" s="4">
        <v>213</v>
      </c>
      <c r="D12275" s="39">
        <f t="shared" si="2281"/>
        <v>42753</v>
      </c>
      <c r="F12275" s="39">
        <f t="shared" si="2280"/>
        <v>1296</v>
      </c>
      <c r="G12275" s="168">
        <f>SUM(C12275,C12251,C12227,C12203,C12179,C12155,C12131,C12107,C12083,C12059,C12035,C12011,C11987,C11963)/POBLA!$B$10*100000</f>
        <v>423.93054180865789</v>
      </c>
      <c r="H12275" s="256">
        <f t="shared" si="2285"/>
        <v>0.83155216284987277</v>
      </c>
      <c r="I12275" s="297">
        <f t="shared" ref="I12275:I12289" si="2286">G12275*H12275</f>
        <v>352.52035893910789</v>
      </c>
      <c r="J12275" s="422">
        <f t="shared" si="2283"/>
        <v>206.85714285714286</v>
      </c>
      <c r="K12275" s="297">
        <f>J12275/POBLA!$B$10*100000</f>
        <v>26.83386188752127</v>
      </c>
      <c r="L12275" s="200">
        <f t="shared" si="2284"/>
        <v>-0.20439560439560445</v>
      </c>
      <c r="M12275" s="401">
        <f>SUM(C12275,C12251,C12227,C12203,C12179,C12155,C12131)/POBLA!$B$10*100000</f>
        <v>187.83703321264889</v>
      </c>
    </row>
    <row r="12276" spans="1:18" x14ac:dyDescent="0.25">
      <c r="A12276" s="367" t="s">
        <v>33</v>
      </c>
      <c r="B12276" s="2">
        <v>44404</v>
      </c>
      <c r="C12276" s="4">
        <v>413</v>
      </c>
      <c r="D12276" s="39">
        <f t="shared" si="2281"/>
        <v>60343</v>
      </c>
      <c r="E12276" s="1">
        <v>2</v>
      </c>
      <c r="F12276" s="39">
        <f t="shared" si="2280"/>
        <v>817</v>
      </c>
      <c r="G12276" s="168">
        <f>SUM(C12276,C12252,C12228,C12204,C12180,C12156,C12132,C12108,C12084,C12060,C12036,C12012,C11988,C11964)/POBLA!$B$11*100000</f>
        <v>1093.1065653352975</v>
      </c>
      <c r="H12276" s="256">
        <f t="shared" si="2285"/>
        <v>1.0719562243502052</v>
      </c>
      <c r="I12276" s="297">
        <f t="shared" si="2286"/>
        <v>1171.7623865892465</v>
      </c>
      <c r="J12276" s="422">
        <f t="shared" si="2283"/>
        <v>280.85714285714283</v>
      </c>
      <c r="K12276" s="297">
        <f>J12276/POBLA!$B$11*100000</f>
        <v>78.35803644166829</v>
      </c>
      <c r="L12276" s="200">
        <f t="shared" si="2284"/>
        <v>7.1721311475410054E-3</v>
      </c>
      <c r="M12276" s="401">
        <f>SUM(C12276,C12252,C12228,C12204,C12180,C12156,C12132)/POBLA!$B$11*100000</f>
        <v>548.5062550916781</v>
      </c>
      <c r="N12276" s="42" t="s">
        <v>33</v>
      </c>
      <c r="O12276" s="42">
        <v>0</v>
      </c>
      <c r="P12276" s="42">
        <v>2</v>
      </c>
      <c r="Q12276" s="42">
        <v>0</v>
      </c>
      <c r="R12276" s="42">
        <v>2</v>
      </c>
    </row>
    <row r="12277" spans="1:18" x14ac:dyDescent="0.25">
      <c r="A12277" s="367" t="s">
        <v>21</v>
      </c>
      <c r="B12277" s="2">
        <v>44404</v>
      </c>
      <c r="C12277" s="4">
        <v>214</v>
      </c>
      <c r="D12277" s="39">
        <f t="shared" si="2281"/>
        <v>27316</v>
      </c>
      <c r="E12277" s="1">
        <v>4</v>
      </c>
      <c r="F12277" s="39">
        <f t="shared" si="2280"/>
        <v>767</v>
      </c>
      <c r="G12277" s="168">
        <f>SUM(C12277,C12253,C12229,C12205,C12181,C12157,C12133,C12109,C12085,C12061,C12037,C12013,C11989,C11965)/POBLA!$B$12*100000</f>
        <v>684.3171186005676</v>
      </c>
      <c r="H12277" s="256">
        <f t="shared" si="2285"/>
        <v>1.0052258305337813</v>
      </c>
      <c r="I12277" s="297">
        <f t="shared" si="2286"/>
        <v>687.89324389373974</v>
      </c>
      <c r="J12277" s="422">
        <f t="shared" si="2283"/>
        <v>189.57142857142858</v>
      </c>
      <c r="K12277" s="297">
        <f>J12277/POBLA!$B$12*100000</f>
        <v>48.171917478274544</v>
      </c>
      <c r="L12277" s="200">
        <f t="shared" si="2284"/>
        <v>-2.8550512445095211E-2</v>
      </c>
      <c r="M12277" s="401">
        <f>SUM(C12277,C12253,C12229,C12205,C12181,C12157,C12133)/POBLA!$B$12*100000</f>
        <v>337.20342234792179</v>
      </c>
      <c r="N12277" s="42" t="s">
        <v>21</v>
      </c>
      <c r="O12277" s="42">
        <v>2</v>
      </c>
      <c r="P12277" s="42">
        <v>2</v>
      </c>
      <c r="Q12277" s="42">
        <v>0</v>
      </c>
      <c r="R12277" s="42">
        <v>4</v>
      </c>
    </row>
    <row r="12278" spans="1:18" x14ac:dyDescent="0.25">
      <c r="A12278" s="367" t="s">
        <v>17</v>
      </c>
      <c r="B12278" s="2">
        <v>44404</v>
      </c>
      <c r="C12278" s="4">
        <v>582</v>
      </c>
      <c r="D12278" s="39">
        <f t="shared" si="2281"/>
        <v>152279</v>
      </c>
      <c r="E12278" s="1">
        <v>33</v>
      </c>
      <c r="F12278" s="39">
        <f t="shared" si="2280"/>
        <v>3866</v>
      </c>
      <c r="G12278" s="168">
        <f>SUM(C12278,C12254,C12230,C12206,C12182,C12158,C12134,C12110,C12086,C12062,C12038,C12014,C11990,C11966)/POBLA!$B$13*100000</f>
        <v>309.74638478489584</v>
      </c>
      <c r="H12278" s="256">
        <f t="shared" si="2285"/>
        <v>0.89025270758122743</v>
      </c>
      <c r="I12278" s="297">
        <f t="shared" si="2286"/>
        <v>275.75255771825022</v>
      </c>
      <c r="J12278" s="422">
        <f t="shared" si="2283"/>
        <v>421.14285714285717</v>
      </c>
      <c r="K12278" s="297">
        <f>J12278/POBLA!$B$13*100000</f>
        <v>21.159363743387164</v>
      </c>
      <c r="L12278" s="200">
        <f t="shared" si="2284"/>
        <v>-8.3618277898663385E-2</v>
      </c>
      <c r="M12278" s="401">
        <f>SUM(C12278,C12254,C12230,C12206,C12182,C12158,C12134)/POBLA!$B$13*100000</f>
        <v>148.11554620371012</v>
      </c>
      <c r="N12278" s="42" t="s">
        <v>17</v>
      </c>
      <c r="O12278" s="42">
        <v>11</v>
      </c>
      <c r="P12278" s="42">
        <v>22</v>
      </c>
      <c r="Q12278" s="42">
        <v>0</v>
      </c>
      <c r="R12278" s="42">
        <v>33</v>
      </c>
    </row>
    <row r="12279" spans="1:18" x14ac:dyDescent="0.25">
      <c r="A12279" s="367" t="s">
        <v>23</v>
      </c>
      <c r="B12279" s="2">
        <v>44404</v>
      </c>
      <c r="C12279" s="4">
        <v>188</v>
      </c>
      <c r="D12279" s="39">
        <f t="shared" si="2281"/>
        <v>30096</v>
      </c>
      <c r="F12279" s="39">
        <f t="shared" si="2280"/>
        <v>505</v>
      </c>
      <c r="G12279" s="168">
        <f>SUM(C12279,C12255,C12231,C12207,C12183,C12159,C12135,C12111,C12087,C12063,C12039,C12015,C11991,C11967)/POBLA!$B$14*100000</f>
        <v>187.10942888811016</v>
      </c>
      <c r="H12279" s="256">
        <f t="shared" si="2285"/>
        <v>1.0526315789473684</v>
      </c>
      <c r="I12279" s="297">
        <f t="shared" si="2286"/>
        <v>196.95729356643173</v>
      </c>
      <c r="J12279" s="422">
        <f t="shared" si="2283"/>
        <v>161.57142857142858</v>
      </c>
      <c r="K12279" s="297">
        <f>J12279/POBLA!$B$14*100000</f>
        <v>12.809973612133934</v>
      </c>
      <c r="L12279" s="200">
        <f t="shared" si="2284"/>
        <v>-7.9739625711960915E-2</v>
      </c>
      <c r="M12279" s="401">
        <f>SUM(C12279,C12255,C12231,C12207,C12183,C12159,C12135)/POBLA!$B$14*100000</f>
        <v>89.669815284937528</v>
      </c>
    </row>
    <row r="12280" spans="1:18" x14ac:dyDescent="0.25">
      <c r="A12280" s="367" t="s">
        <v>19</v>
      </c>
      <c r="B12280" s="2">
        <v>44404</v>
      </c>
      <c r="C12280" s="4">
        <v>250</v>
      </c>
      <c r="D12280" s="39">
        <f t="shared" si="2281"/>
        <v>106622</v>
      </c>
      <c r="F12280" s="39">
        <f t="shared" si="2280"/>
        <v>2000</v>
      </c>
      <c r="G12280" s="168">
        <f>SUM(C12280,C12256,C12232,C12208,C12184,C12160,C12136,C12112,C12088,C12064,C12040,C12016,C11992,C11968)/POBLA!$B$15*100000</f>
        <v>411.25987678768536</v>
      </c>
      <c r="H12280" s="256">
        <f t="shared" si="2285"/>
        <v>1.0114814814814814</v>
      </c>
      <c r="I12280" s="297">
        <f t="shared" si="2286"/>
        <v>415.9817494470995</v>
      </c>
      <c r="J12280" s="422">
        <f t="shared" si="2283"/>
        <v>197.42857142857142</v>
      </c>
      <c r="K12280" s="297">
        <f>J12280/POBLA!$B$15*100000</f>
        <v>29.730666407939591</v>
      </c>
      <c r="L12280" s="200">
        <f t="shared" si="2284"/>
        <v>2.4462564862861358E-2</v>
      </c>
      <c r="M12280" s="401">
        <f>SUM(C12280,C12256,C12232,C12208,C12184,C12160,C12136)/POBLA!$B$15*100000</f>
        <v>208.11466485557713</v>
      </c>
    </row>
    <row r="12281" spans="1:18" x14ac:dyDescent="0.25">
      <c r="A12281" s="367" t="s">
        <v>18</v>
      </c>
      <c r="B12281" s="2">
        <v>44404</v>
      </c>
      <c r="C12281" s="4">
        <v>269</v>
      </c>
      <c r="D12281" s="39">
        <f t="shared" si="2281"/>
        <v>90883</v>
      </c>
      <c r="E12281" s="1">
        <v>5</v>
      </c>
      <c r="F12281" s="39">
        <f t="shared" si="2280"/>
        <v>2055</v>
      </c>
      <c r="G12281" s="168">
        <f>SUM(C12281,C12257,C12233,C12209,C12185,C12161,C12137,C12113,C12089,C12065,C12041,C12017,C11993,C11969)/POBLA!$B$16*100000</f>
        <v>512.29919342972948</v>
      </c>
      <c r="H12281" s="256">
        <f t="shared" si="2285"/>
        <v>1.2690523525513586</v>
      </c>
      <c r="I12281" s="297">
        <f t="shared" si="2286"/>
        <v>650.1344966321617</v>
      </c>
      <c r="J12281" s="422">
        <f t="shared" si="2283"/>
        <v>283.57142857142856</v>
      </c>
      <c r="K12281" s="297">
        <f>J12281/POBLA!$B$16*100000</f>
        <v>37.930395335994504</v>
      </c>
      <c r="L12281" s="200">
        <f t="shared" si="2284"/>
        <v>7.5880758807588045E-2</v>
      </c>
      <c r="M12281" s="401">
        <f>SUM(C12281,C12257,C12233,C12209,C12185,C12161,C12137)/POBLA!$B$16*100000</f>
        <v>265.51276735196154</v>
      </c>
      <c r="N12281" s="42" t="s">
        <v>18</v>
      </c>
      <c r="O12281" s="42">
        <v>1</v>
      </c>
      <c r="P12281" s="42">
        <v>4</v>
      </c>
      <c r="Q12281" s="42">
        <v>0</v>
      </c>
      <c r="R12281" s="42">
        <v>5</v>
      </c>
    </row>
    <row r="12282" spans="1:18" x14ac:dyDescent="0.25">
      <c r="A12282" s="367" t="s">
        <v>34</v>
      </c>
      <c r="B12282" s="2">
        <v>44404</v>
      </c>
      <c r="C12282" s="4">
        <v>417</v>
      </c>
      <c r="D12282" s="39">
        <f>C12282+D12258</f>
        <v>73824</v>
      </c>
      <c r="E12282" s="1">
        <v>13</v>
      </c>
      <c r="F12282" s="39">
        <f t="shared" si="2280"/>
        <v>2059</v>
      </c>
      <c r="G12282" s="168">
        <f>SUM(C12282,C12258,C12234,C12210,C12186,C12162,C12138,C12114,C12090,C12066,C12042,C12018,C11994,C11970)/POBLA!$B$17*100000</f>
        <v>426.2154441493488</v>
      </c>
      <c r="H12282" s="256">
        <f t="shared" si="2285"/>
        <v>0.85869872701555872</v>
      </c>
      <c r="I12282" s="297">
        <f t="shared" si="2286"/>
        <v>365.9906593254168</v>
      </c>
      <c r="J12282" s="422">
        <f t="shared" si="2283"/>
        <v>360.57142857142856</v>
      </c>
      <c r="K12282" s="297">
        <f>J12282/POBLA!$B$17*100000</f>
        <v>25.313969951595556</v>
      </c>
      <c r="L12282" s="200">
        <f t="shared" si="2284"/>
        <v>-0.28841274316323651</v>
      </c>
      <c r="M12282" s="401">
        <f>SUM(C12282,C12258,C12234,C12210,C12186,C12162,C12138)/POBLA!$B$17*100000</f>
        <v>177.19778966116891</v>
      </c>
      <c r="N12282" s="42" t="s">
        <v>34</v>
      </c>
      <c r="O12282" s="42">
        <v>6</v>
      </c>
      <c r="P12282" s="42">
        <v>7</v>
      </c>
      <c r="Q12282" s="42">
        <v>0</v>
      </c>
      <c r="R12282" s="42">
        <v>13</v>
      </c>
    </row>
    <row r="12283" spans="1:18" x14ac:dyDescent="0.25">
      <c r="A12283" s="367" t="s">
        <v>35</v>
      </c>
      <c r="B12283" s="2">
        <v>44404</v>
      </c>
      <c r="C12283" s="4">
        <v>448</v>
      </c>
      <c r="D12283" s="39">
        <f t="shared" ref="D12283:D12289" si="2287">C12283+D12259</f>
        <v>59529</v>
      </c>
      <c r="E12283" s="1">
        <v>6</v>
      </c>
      <c r="F12283" s="39">
        <f t="shared" si="2280"/>
        <v>933</v>
      </c>
      <c r="G12283" s="168">
        <f>SUM(C12283,C12259,C12235,C12211,C12187,C12163,C12139,C12115,C12091,C12067,C12043,C12019,C11995,C11971)/POBLA!$B$18*100000</f>
        <v>550.03923365722972</v>
      </c>
      <c r="H12283" s="256">
        <f t="shared" si="2285"/>
        <v>0.82412734944380517</v>
      </c>
      <c r="I12283" s="297">
        <f t="shared" si="2286"/>
        <v>453.30237572403456</v>
      </c>
      <c r="J12283" s="422">
        <f t="shared" si="2283"/>
        <v>295.28571428571428</v>
      </c>
      <c r="K12283" s="297">
        <f>J12283/POBLA!$B$18*100000</f>
        <v>37.798168023188722</v>
      </c>
      <c r="L12283" s="200">
        <f t="shared" si="2284"/>
        <v>-7.3094170403587455E-2</v>
      </c>
      <c r="M12283" s="401">
        <f>SUM(C12283,C12259,C12235,C12211,C12187,C12163,C12139)/POBLA!$B$18*100000</f>
        <v>264.5871761623211</v>
      </c>
      <c r="N12283" s="42" t="s">
        <v>35</v>
      </c>
      <c r="O12283" s="42">
        <v>3</v>
      </c>
      <c r="P12283" s="42">
        <v>3</v>
      </c>
      <c r="Q12283" s="42">
        <v>0</v>
      </c>
      <c r="R12283" s="42">
        <v>6</v>
      </c>
    </row>
    <row r="12284" spans="1:18" x14ac:dyDescent="0.25">
      <c r="A12284" s="367" t="s">
        <v>36</v>
      </c>
      <c r="B12284" s="2">
        <v>44404</v>
      </c>
      <c r="C12284" s="4">
        <v>231</v>
      </c>
      <c r="D12284" s="39">
        <f t="shared" si="2287"/>
        <v>73813</v>
      </c>
      <c r="E12284" s="1">
        <v>2</v>
      </c>
      <c r="F12284" s="39">
        <f t="shared" si="2280"/>
        <v>1212</v>
      </c>
      <c r="G12284" s="168">
        <f>SUM(C12284,C12260,C12236,C12212,C12188,C12164,C12140,C12116,C12092,C12068,C12044,C12020,C11996,C11972)/POBLA!$B$19*100000</f>
        <v>733.97491383516149</v>
      </c>
      <c r="H12284" s="256">
        <f t="shared" si="2285"/>
        <v>0.7807072609332496</v>
      </c>
      <c r="I12284" s="297">
        <f t="shared" si="2286"/>
        <v>573.01954457396687</v>
      </c>
      <c r="J12284" s="422">
        <f t="shared" si="2283"/>
        <v>253.85714285714286</v>
      </c>
      <c r="K12284" s="297">
        <f>J12284/POBLA!$B$19*100000</f>
        <v>49.93963402707363</v>
      </c>
      <c r="L12284" s="200">
        <f t="shared" si="2284"/>
        <v>-9.0583418628454426E-2</v>
      </c>
      <c r="M12284" s="401">
        <f>SUM(C12284,C12260,C12236,C12212,C12188,C12164,C12140)/POBLA!$B$19*100000</f>
        <v>349.57743818951548</v>
      </c>
      <c r="N12284" s="42" t="s">
        <v>36</v>
      </c>
      <c r="O12284" s="42">
        <v>0</v>
      </c>
      <c r="P12284" s="42">
        <v>2</v>
      </c>
      <c r="Q12284" s="42">
        <v>0</v>
      </c>
      <c r="R12284" s="42">
        <v>2</v>
      </c>
    </row>
    <row r="12285" spans="1:18" x14ac:dyDescent="0.25">
      <c r="A12285" s="367" t="s">
        <v>37</v>
      </c>
      <c r="B12285" s="2">
        <v>44404</v>
      </c>
      <c r="C12285" s="4">
        <v>74</v>
      </c>
      <c r="D12285" s="39">
        <f t="shared" si="2287"/>
        <v>57587</v>
      </c>
      <c r="E12285" s="1">
        <v>2</v>
      </c>
      <c r="F12285" s="39">
        <f>E12285+F12261</f>
        <v>930</v>
      </c>
      <c r="G12285" s="168">
        <f>SUM(C12285,C12261,C12238,C12213,C12189,C12165,C12141,C12117,C12093,C12069,C12045,C12021,C11997,C11973)/POBLA!$B$20*100000</f>
        <v>406.89311945922594</v>
      </c>
      <c r="H12285" s="256">
        <f t="shared" si="2285"/>
        <v>0.72934697088906375</v>
      </c>
      <c r="I12285" s="297">
        <f t="shared" si="2286"/>
        <v>296.76626415318839</v>
      </c>
      <c r="J12285" s="422">
        <f t="shared" si="2283"/>
        <v>53.571428571428569</v>
      </c>
      <c r="K12285" s="297">
        <f>J12285/POBLA!$B$20*100000</f>
        <v>14.64908984228204</v>
      </c>
      <c r="L12285" s="200">
        <f t="shared" si="2284"/>
        <v>-0.32065217391304346</v>
      </c>
      <c r="M12285" s="401">
        <f>SUM(C12285,C12261,C12237,C12213,C12189,C12165,C12141)/POBLA!$B$20*100000</f>
        <v>102.54362889597427</v>
      </c>
      <c r="N12285" s="42" t="s">
        <v>37</v>
      </c>
      <c r="O12285" s="42">
        <v>0</v>
      </c>
      <c r="P12285" s="42">
        <v>2</v>
      </c>
      <c r="Q12285" s="42">
        <v>0</v>
      </c>
      <c r="R12285" s="42">
        <v>2</v>
      </c>
    </row>
    <row r="12286" spans="1:18" x14ac:dyDescent="0.25">
      <c r="A12286" s="367" t="s">
        <v>22</v>
      </c>
      <c r="B12286" s="2">
        <v>44404</v>
      </c>
      <c r="C12286" s="4">
        <v>1568</v>
      </c>
      <c r="D12286" s="39">
        <f t="shared" si="2287"/>
        <v>442742</v>
      </c>
      <c r="E12286" s="1">
        <v>66</v>
      </c>
      <c r="F12286" s="39">
        <f>E12286+F12262</f>
        <v>7680</v>
      </c>
      <c r="G12286" s="168">
        <f>SUM(C12286,C12262,C12238,C12214,C12190,C12166,C12142,C12118,C12094,C12070,C12046,C12022,C11998,C11974)/POBLA!$B$21*100000</f>
        <v>490.94875096778719</v>
      </c>
      <c r="H12286" s="256">
        <f t="shared" si="2285"/>
        <v>0.83211119098969566</v>
      </c>
      <c r="I12286" s="297">
        <f t="shared" si="2286"/>
        <v>408.52394988270891</v>
      </c>
      <c r="J12286" s="422">
        <f t="shared" si="2283"/>
        <v>1166.2857142857142</v>
      </c>
      <c r="K12286" s="297">
        <f>J12286/POBLA!$B$21*100000</f>
        <v>32.979294706839354</v>
      </c>
      <c r="L12286" s="200">
        <f t="shared" si="2284"/>
        <v>-0.1124157425527289</v>
      </c>
      <c r="M12286" s="401">
        <f>SUM(C12286,C12262,C12238,C12214,C12190,C12166,C12142)/POBLA!$B$21*100000</f>
        <v>230.8550629478755</v>
      </c>
      <c r="N12286" s="42" t="s">
        <v>22</v>
      </c>
      <c r="O12286" s="42">
        <v>25</v>
      </c>
      <c r="P12286" s="42">
        <v>41</v>
      </c>
      <c r="Q12286" s="42">
        <v>0</v>
      </c>
      <c r="R12286" s="42">
        <v>66</v>
      </c>
    </row>
    <row r="12287" spans="1:18" x14ac:dyDescent="0.25">
      <c r="A12287" s="367" t="s">
        <v>38</v>
      </c>
      <c r="B12287" s="2">
        <v>44404</v>
      </c>
      <c r="C12287" s="4">
        <v>264</v>
      </c>
      <c r="D12287" s="39">
        <f t="shared" si="2287"/>
        <v>72048</v>
      </c>
      <c r="E12287" s="1">
        <v>6</v>
      </c>
      <c r="F12287" s="39">
        <f>E12287+F12263</f>
        <v>1016</v>
      </c>
      <c r="G12287" s="168">
        <f>SUM(C12287,C12263,C12239,C12215,C12191,C12167,C12143,C12119,C12095,C12071,C12047,C12023,C11999,C11975)/POBLA!$B$22*100000</f>
        <v>578.64916442897118</v>
      </c>
      <c r="H12287" s="256">
        <f t="shared" si="2285"/>
        <v>0.75419664268585129</v>
      </c>
      <c r="I12287" s="297">
        <f t="shared" si="2286"/>
        <v>436.41525710530317</v>
      </c>
      <c r="J12287" s="422">
        <f t="shared" si="2283"/>
        <v>348.71428571428572</v>
      </c>
      <c r="K12287" s="297">
        <f>J12287/POBLA!$B$22*100000</f>
        <v>35.644449753226802</v>
      </c>
      <c r="L12287" s="200">
        <f t="shared" si="2284"/>
        <v>-0.24192546583850927</v>
      </c>
      <c r="M12287" s="401">
        <f>SUM(C12287,C12263,C12239,C12215,C12191,C12167,C12143)/POBLA!$B$22*100000</f>
        <v>249.5111482725876</v>
      </c>
      <c r="N12287" s="42" t="s">
        <v>38</v>
      </c>
      <c r="O12287" s="42">
        <v>1</v>
      </c>
      <c r="P12287" s="42">
        <v>5</v>
      </c>
      <c r="Q12287" s="42">
        <v>0</v>
      </c>
      <c r="R12287" s="42">
        <v>6</v>
      </c>
    </row>
    <row r="12288" spans="1:18" x14ac:dyDescent="0.25">
      <c r="A12288" s="367" t="s">
        <v>39</v>
      </c>
      <c r="B12288" s="2">
        <v>44404</v>
      </c>
      <c r="C12288" s="4">
        <v>45</v>
      </c>
      <c r="D12288" s="39">
        <f t="shared" si="2287"/>
        <v>30950</v>
      </c>
      <c r="F12288" s="39">
        <f>E12288+F12264</f>
        <v>466</v>
      </c>
      <c r="G12288" s="168">
        <f>SUM(C12288,C12264,C12240,C12216,C12192,C12168,C12144,C12120,C12096,C12072,C12048,C12024,C12000,C11976)/POBLA!$B$23*100000</f>
        <v>357.97093253407223</v>
      </c>
      <c r="H12288" s="256">
        <f t="shared" si="2285"/>
        <v>1.0497512437810945</v>
      </c>
      <c r="I12288" s="297">
        <f t="shared" si="2286"/>
        <v>375.7804316651206</v>
      </c>
      <c r="J12288" s="422">
        <f t="shared" si="2283"/>
        <v>44.571428571428569</v>
      </c>
      <c r="K12288" s="297">
        <f>J12288/POBLA!$B$23*100000</f>
        <v>25.205807030158102</v>
      </c>
      <c r="L12288" s="200">
        <f t="shared" si="2284"/>
        <v>-2.8037383177570097E-2</v>
      </c>
      <c r="M12288" s="401">
        <f>SUM(C12288,C12264,C12240,C12216,C12192,C12168,C12144)/POBLA!$B$23*100000</f>
        <v>176.44064921110672</v>
      </c>
    </row>
    <row r="12289" spans="1:18" ht="15.75" thickBot="1" x14ac:dyDescent="0.3">
      <c r="A12289" s="369" t="s">
        <v>40</v>
      </c>
      <c r="B12289" s="2">
        <v>44404</v>
      </c>
      <c r="C12289" s="357">
        <v>982</v>
      </c>
      <c r="D12289" s="176">
        <f t="shared" si="2287"/>
        <v>178375</v>
      </c>
      <c r="E12289" s="44">
        <v>7</v>
      </c>
      <c r="F12289" s="176">
        <f>E12289+F12265</f>
        <v>2540</v>
      </c>
      <c r="G12289" s="177">
        <f>SUM(C12289,C12265,C12241,C12217,C12193,C12169,C12145,C12121,C12097,C12073,C12049,C12025,C12001,C11977)/POBLA!$B$24*100000</f>
        <v>589.85422410211856</v>
      </c>
      <c r="H12289" s="402">
        <f t="shared" si="2285"/>
        <v>0.79345927925067472</v>
      </c>
      <c r="I12289" s="403">
        <f t="shared" si="2286"/>
        <v>468.02530751903294</v>
      </c>
      <c r="J12289" s="423">
        <f t="shared" si="2283"/>
        <v>666.85714285714289</v>
      </c>
      <c r="K12289" s="403">
        <f>J12289/POBLA!$B$24*100000</f>
        <v>39.350590494893531</v>
      </c>
      <c r="L12289" s="404">
        <f t="shared" si="2284"/>
        <v>-0.12387387387387383</v>
      </c>
      <c r="M12289" s="405">
        <f>SUM(C12289,C12265,C12241,C12217,C12193,C12169,C12145)/POBLA!$B$24*100000</f>
        <v>275.45413346425471</v>
      </c>
      <c r="N12289" s="42" t="s">
        <v>40</v>
      </c>
      <c r="O12289" s="42">
        <v>2</v>
      </c>
      <c r="P12289" s="42">
        <v>5</v>
      </c>
      <c r="Q12289" s="42">
        <v>0</v>
      </c>
      <c r="R12289" s="42">
        <v>7</v>
      </c>
    </row>
    <row r="12290" spans="1:18" x14ac:dyDescent="0.25">
      <c r="A12290" s="363" t="s">
        <v>16</v>
      </c>
      <c r="B12290" s="265">
        <v>44405</v>
      </c>
      <c r="C12290" s="356">
        <v>4117</v>
      </c>
      <c r="D12290" s="174">
        <f>C12290+D12266</f>
        <v>1964762</v>
      </c>
      <c r="E12290" s="43">
        <v>226</v>
      </c>
      <c r="F12290" s="174">
        <f t="shared" ref="F12290:F12308" si="2288">E12290+F12266</f>
        <v>51857</v>
      </c>
      <c r="G12290" s="175">
        <f>SUM(C12290,C12266,C12218,C12242,C12194,C12170,C12146,C12122,C12098,C12074,C12050,C12026,C12002,C11978)/POBLA!$B$1*100000</f>
        <v>299.58712491963894</v>
      </c>
      <c r="H12290" s="300">
        <f t="shared" si="2285"/>
        <v>0.75792889594000146</v>
      </c>
      <c r="I12290" s="301">
        <f>G12290*H12290</f>
        <v>227.06573882818122</v>
      </c>
      <c r="J12290" s="421">
        <f>AVERAGE(C12290,C12266,C12242,C12218,C12194,C12170,C12146)</f>
        <v>3537.8571428571427</v>
      </c>
      <c r="K12290" s="301">
        <f>J12290/POBLA!$B$1*100000</f>
        <v>20.168911149264137</v>
      </c>
      <c r="L12290" s="399">
        <f>(SUM(C12290,C12266,C12242,C12218,C12194,C12170,C12146)/SUM(C12122,C12098,C12074,C12050,C12026,C12002,C11978))-1</f>
        <v>-0.10872381774994599</v>
      </c>
      <c r="M12290" s="400">
        <f>SUM(C12290,C12266,C12242,C12218,C12194,C12170,C12146)/POBLA!$B$1*100000</f>
        <v>141.18237804484897</v>
      </c>
      <c r="N12290" s="42" t="s">
        <v>16</v>
      </c>
      <c r="O12290" s="42">
        <v>89</v>
      </c>
      <c r="P12290" s="42">
        <v>137</v>
      </c>
      <c r="Q12290" s="42">
        <v>0</v>
      </c>
      <c r="R12290" s="42">
        <v>226</v>
      </c>
    </row>
    <row r="12291" spans="1:18" x14ac:dyDescent="0.25">
      <c r="A12291" s="367" t="s">
        <v>43</v>
      </c>
      <c r="B12291" s="2">
        <v>44405</v>
      </c>
      <c r="C12291" s="4">
        <v>798</v>
      </c>
      <c r="D12291" s="39">
        <f t="shared" ref="D12291:D12305" si="2289">C12291+D12267</f>
        <v>489552</v>
      </c>
      <c r="E12291" s="1">
        <v>29</v>
      </c>
      <c r="F12291" s="39">
        <f t="shared" si="2288"/>
        <v>10865</v>
      </c>
      <c r="G12291" s="168">
        <f>SUM(C12291,C12267,C12243,C12219,C12195,C12171,C12147,C12123,C12099,C12075,C12051,C12027,C12003,C11979)/POBLA!$B$2*100000</f>
        <v>366.45959905658844</v>
      </c>
      <c r="H12291" s="256">
        <f t="shared" si="2285"/>
        <v>0.78653175157013255</v>
      </c>
      <c r="I12291" s="297">
        <f t="shared" ref="I12291:I12297" si="2290">G12291*H12291</f>
        <v>288.23211032566701</v>
      </c>
      <c r="J12291" s="422">
        <f>AVERAGE(C12291,C12267,C12243,C12219,C12195,C12171,C12147)</f>
        <v>759.85714285714289</v>
      </c>
      <c r="K12291" s="297">
        <f>J12291/POBLA!$B$2*100000</f>
        <v>24.705611206788518</v>
      </c>
      <c r="L12291" s="200">
        <f>(SUM(C12291,C12267,C12243,C12219,C12195,C12171,C12147)/SUM(C12123,C12099,C12075,C12051,C12027,C12003,C11979))-1</f>
        <v>-0.10635080645161288</v>
      </c>
      <c r="M12291" s="401">
        <f>SUM(C12291,C12267,C12243,C12219,C12195,C12171,C12147)/POBLA!$B$2*100000</f>
        <v>172.93927844751963</v>
      </c>
      <c r="N12291" s="42" t="s">
        <v>43</v>
      </c>
      <c r="O12291" s="42">
        <v>6</v>
      </c>
      <c r="P12291" s="42">
        <v>23</v>
      </c>
      <c r="Q12291" s="42">
        <v>0</v>
      </c>
      <c r="R12291" s="42">
        <v>29</v>
      </c>
    </row>
    <row r="12292" spans="1:18" x14ac:dyDescent="0.25">
      <c r="A12292" s="367" t="s">
        <v>28</v>
      </c>
      <c r="B12292" s="2">
        <v>44405</v>
      </c>
      <c r="C12292" s="4">
        <v>248</v>
      </c>
      <c r="D12292" s="39">
        <f t="shared" si="2289"/>
        <v>41578</v>
      </c>
      <c r="E12292" s="1">
        <v>1</v>
      </c>
      <c r="F12292" s="39">
        <f t="shared" si="2288"/>
        <v>446</v>
      </c>
      <c r="G12292" s="168">
        <f>SUM(C12292,C12268,C12244,C12220,C12196,C12172,C12148,C12124,C12100,C12076,C12052,C12028,C12004,C11980)/POBLA!$B$3*100000</f>
        <v>869.44381592439777</v>
      </c>
      <c r="H12292" s="256">
        <f t="shared" si="2285"/>
        <v>0.97384739822054467</v>
      </c>
      <c r="I12292" s="297">
        <f t="shared" si="2290"/>
        <v>846.70559803691697</v>
      </c>
      <c r="J12292" s="422">
        <f t="shared" ref="J12292:J12313" si="2291">AVERAGE(C12292,C12268,C12244,C12220,C12196,C12172,C12148)</f>
        <v>268</v>
      </c>
      <c r="K12292" s="297">
        <f>J12292/POBLA!$B$3*100000</f>
        <v>64.510227759617564</v>
      </c>
      <c r="L12292" s="200">
        <f t="shared" ref="L12292:L12313" si="2292">(SUM(C12292,C12268,C12244,C12220,C12196,C12172,C12148)/SUM(C12124,C12100,C12076,C12052,C12028,C12004,C11980))-1</f>
        <v>8.0645161290322509E-2</v>
      </c>
      <c r="M12292" s="401">
        <f>SUM(C12292,C12268,C12244,C12220,C12196,C12172,C12148)/POBLA!$B$3*100000</f>
        <v>451.57159431732299</v>
      </c>
      <c r="N12292" s="42" t="s">
        <v>28</v>
      </c>
      <c r="O12292" s="42">
        <v>1</v>
      </c>
      <c r="P12292" s="42">
        <v>0</v>
      </c>
      <c r="Q12292" s="42">
        <v>0</v>
      </c>
      <c r="R12292" s="42">
        <v>1</v>
      </c>
    </row>
    <row r="12293" spans="1:18" x14ac:dyDescent="0.25">
      <c r="A12293" s="367" t="s">
        <v>15</v>
      </c>
      <c r="B12293" s="2">
        <v>44405</v>
      </c>
      <c r="C12293" s="4">
        <v>469</v>
      </c>
      <c r="D12293" s="39">
        <f t="shared" si="2289"/>
        <v>90099</v>
      </c>
      <c r="E12293" s="1">
        <v>11</v>
      </c>
      <c r="F12293" s="39">
        <f t="shared" si="2288"/>
        <v>1991</v>
      </c>
      <c r="G12293" s="168">
        <f>SUM(C12293,C12269,C12245,C12221,C12197,C12173,C12149,C12125,C12101,C12077,C12053,C12029,C12005,C11981)/POBLA!$B$4*100000</f>
        <v>464.49228378278531</v>
      </c>
      <c r="H12293" s="256">
        <f t="shared" si="2285"/>
        <v>0.75020112630732094</v>
      </c>
      <c r="I12293" s="297">
        <f t="shared" si="2290"/>
        <v>348.4626344549053</v>
      </c>
      <c r="J12293" s="422">
        <f t="shared" si="2291"/>
        <v>426</v>
      </c>
      <c r="K12293" s="297">
        <f>J12293/POBLA!$B$4*100000</f>
        <v>35.366168523943976</v>
      </c>
      <c r="L12293" s="200">
        <f t="shared" si="2292"/>
        <v>0.14121699196326065</v>
      </c>
      <c r="M12293" s="401">
        <f>SUM(C12293,C12269,C12245,C12221,C12197,C12173,C12149)/POBLA!$B$4*100000</f>
        <v>247.56317966760781</v>
      </c>
      <c r="N12293" s="42" t="s">
        <v>15</v>
      </c>
      <c r="O12293" s="42">
        <v>6</v>
      </c>
      <c r="P12293" s="42">
        <v>5</v>
      </c>
      <c r="Q12293" s="42">
        <v>0</v>
      </c>
      <c r="R12293" s="42">
        <v>11</v>
      </c>
    </row>
    <row r="12294" spans="1:18" x14ac:dyDescent="0.25">
      <c r="A12294" s="367" t="s">
        <v>29</v>
      </c>
      <c r="B12294" s="2">
        <v>44405</v>
      </c>
      <c r="C12294" s="4">
        <v>334</v>
      </c>
      <c r="D12294" s="39">
        <f t="shared" si="2289"/>
        <v>75727</v>
      </c>
      <c r="F12294" s="39">
        <f t="shared" si="2288"/>
        <v>1298</v>
      </c>
      <c r="G12294" s="168">
        <f>SUM(C12294,C12270,C12246,C12222,C12198,C12174,C12150,C12126,C12102,C12078,C12054,C12030,C12006,C11982)/POBLA!$B$5*100000</f>
        <v>392.24935944451806</v>
      </c>
      <c r="H12294" s="256">
        <f t="shared" si="2285"/>
        <v>0.96887470071827608</v>
      </c>
      <c r="I12294" s="297">
        <f t="shared" si="2290"/>
        <v>380.04048073874293</v>
      </c>
      <c r="J12294" s="422">
        <f t="shared" si="2291"/>
        <v>182.28571428571428</v>
      </c>
      <c r="K12294" s="297">
        <f>J12294/POBLA!$B$5*100000</f>
        <v>29.448704557025479</v>
      </c>
      <c r="L12294" s="200">
        <f t="shared" si="2292"/>
        <v>0.10763888888888884</v>
      </c>
      <c r="M12294" s="401">
        <f>SUM(C12294,C12270,C12246,C12222,C12198,C12174,C12150)/POBLA!$B$5*100000</f>
        <v>206.14093189917833</v>
      </c>
    </row>
    <row r="12295" spans="1:18" x14ac:dyDescent="0.25">
      <c r="A12295" s="367" t="s">
        <v>30</v>
      </c>
      <c r="B12295" s="2">
        <v>44405</v>
      </c>
      <c r="C12295" s="4">
        <v>525</v>
      </c>
      <c r="D12295" s="39">
        <f t="shared" si="2289"/>
        <v>447386</v>
      </c>
      <c r="E12295" s="1">
        <v>1</v>
      </c>
      <c r="F12295" s="39">
        <f t="shared" si="2288"/>
        <v>5841</v>
      </c>
      <c r="G12295" s="168">
        <f>SUM(C12295,C12271,C12247,C12223,C12199,C12175,C12151,C12127,C12103,C12079,C12055,C12031,C12007,C11983)/POBLA!$B$6*100000</f>
        <v>606.26284237790651</v>
      </c>
      <c r="H12295" s="256">
        <f t="shared" si="2285"/>
        <v>1.0692368214004722</v>
      </c>
      <c r="I12295" s="297">
        <f t="shared" si="2290"/>
        <v>648.23855451736824</v>
      </c>
      <c r="J12295" s="422">
        <f t="shared" si="2291"/>
        <v>461.14285714285717</v>
      </c>
      <c r="K12295" s="297">
        <f>J12295/POBLA!$B$6*100000</f>
        <v>41.144044049109269</v>
      </c>
      <c r="L12295" s="200">
        <f t="shared" si="2292"/>
        <v>-9.5037846930193459E-2</v>
      </c>
      <c r="M12295" s="401">
        <f>SUM(C12295,C12271,C12247,C12223,C12199,C12175,C12151)/POBLA!$B$6*100000</f>
        <v>288.00830834376484</v>
      </c>
      <c r="N12295" s="42" t="s">
        <v>30</v>
      </c>
      <c r="O12295" s="42">
        <v>0</v>
      </c>
      <c r="P12295" s="42">
        <v>1</v>
      </c>
      <c r="Q12295" s="42">
        <v>0</v>
      </c>
      <c r="R12295" s="42">
        <v>1</v>
      </c>
    </row>
    <row r="12296" spans="1:18" x14ac:dyDescent="0.25">
      <c r="A12296" s="367" t="s">
        <v>20</v>
      </c>
      <c r="B12296" s="2">
        <v>44405</v>
      </c>
      <c r="C12296" s="4">
        <v>2432</v>
      </c>
      <c r="D12296" s="39">
        <f t="shared" si="2289"/>
        <v>95181</v>
      </c>
      <c r="E12296" s="1">
        <v>19</v>
      </c>
      <c r="F12296" s="39">
        <f t="shared" si="2288"/>
        <v>1110</v>
      </c>
      <c r="G12296" s="168">
        <f>SUM(C12296,C12272,C12248,C12224,C12200,C12176,C12152,C12128,C12104,C12080,C12056,C12032,C12008,C11984)/POBLA!$B$7*100000</f>
        <v>636.12067704663002</v>
      </c>
      <c r="H12296" s="256">
        <f t="shared" si="2285"/>
        <v>0.83531794531550096</v>
      </c>
      <c r="I12296" s="297">
        <f t="shared" si="2290"/>
        <v>531.3630169232963</v>
      </c>
      <c r="J12296" s="422">
        <f t="shared" si="2291"/>
        <v>1948</v>
      </c>
      <c r="K12296" s="297">
        <f>J12296/POBLA!$B$7*100000</f>
        <v>51.802310893643046</v>
      </c>
      <c r="L12296" s="200">
        <f t="shared" si="2292"/>
        <v>0.32581429265921247</v>
      </c>
      <c r="M12296" s="401">
        <f>SUM(C12296,C12272,C12248,C12224,C12200,C12176,C12152)/POBLA!$B$7*100000</f>
        <v>362.61617625550133</v>
      </c>
      <c r="N12296" s="42" t="s">
        <v>20</v>
      </c>
      <c r="O12296" s="42">
        <v>5</v>
      </c>
      <c r="P12296" s="42">
        <v>14</v>
      </c>
      <c r="Q12296" s="42">
        <v>0</v>
      </c>
      <c r="R12296" s="42">
        <v>19</v>
      </c>
    </row>
    <row r="12297" spans="1:18" x14ac:dyDescent="0.25">
      <c r="A12297" s="367" t="s">
        <v>31</v>
      </c>
      <c r="B12297" s="2">
        <v>44405</v>
      </c>
      <c r="C12297" s="4">
        <v>524</v>
      </c>
      <c r="D12297" s="39">
        <f t="shared" si="2289"/>
        <v>126847</v>
      </c>
      <c r="E12297" s="1">
        <v>10</v>
      </c>
      <c r="F12297" s="39">
        <f t="shared" si="2288"/>
        <v>2122</v>
      </c>
      <c r="G12297" s="168">
        <f>SUM(C12297,C12273,C12249,C12225,C12201,C12177,C12153,C12129,C12105,C12081,C12057,C12033,C12009,C11985)/POBLA!$B$8*100000</f>
        <v>496.19000823255493</v>
      </c>
      <c r="H12297" s="256">
        <f t="shared" ref="H12297:H12320" si="2293">SUM(C12297,C12273,C12249,C12225,C12201,C12177,C12153,C12129,C12105,C12081,C12057,C12033,C12009,C11985,)/SUM(C11961,C11937,C11913,C11889,C11865,C11841,C11817,C11793,C11769,C11745,C11721,C11697,C11673,C11649)</f>
        <v>0.70999380549246338</v>
      </c>
      <c r="I12297" s="297">
        <f t="shared" si="2290"/>
        <v>352.29183219236842</v>
      </c>
      <c r="J12297" s="422">
        <f t="shared" si="2291"/>
        <v>446.57142857142856</v>
      </c>
      <c r="K12297" s="297">
        <f>J12297/POBLA!$B$8*100000</f>
        <v>32.221067445002312</v>
      </c>
      <c r="L12297" s="200">
        <f t="shared" si="2292"/>
        <v>-0.16662223407091448</v>
      </c>
      <c r="M12297" s="401">
        <f>SUM(C12297,C12273,C12249,C12225,C12201,C12177,C12153)/POBLA!$B$8*100000</f>
        <v>225.54747211501621</v>
      </c>
      <c r="N12297" s="42" t="s">
        <v>31</v>
      </c>
      <c r="O12297" s="42">
        <v>4</v>
      </c>
      <c r="P12297" s="42">
        <v>6</v>
      </c>
      <c r="Q12297" s="42">
        <v>0</v>
      </c>
      <c r="R12297" s="42">
        <v>10</v>
      </c>
    </row>
    <row r="12298" spans="1:18" x14ac:dyDescent="0.25">
      <c r="A12298" s="367" t="s">
        <v>41</v>
      </c>
      <c r="B12298" s="2">
        <v>44405</v>
      </c>
      <c r="C12298" s="4">
        <v>229</v>
      </c>
      <c r="D12298" s="39">
        <f t="shared" si="2289"/>
        <v>55310</v>
      </c>
      <c r="E12298" s="1">
        <v>3</v>
      </c>
      <c r="F12298" s="39">
        <f t="shared" si="2288"/>
        <v>1003</v>
      </c>
      <c r="G12298" s="168">
        <f>SUM(C12298,C12274,C12250,C12226,C12202,C12178,C12154,C12130,C12106,C12082,C12058,C12034,C12010,C11986)/POBLA!$B$9*100000</f>
        <v>637.64782474351159</v>
      </c>
      <c r="H12298" s="256">
        <f t="shared" si="2293"/>
        <v>0.65484473103682339</v>
      </c>
      <c r="I12298" s="297">
        <f>G12298*H12298</f>
        <v>417.56031829038034</v>
      </c>
      <c r="J12298" s="422">
        <f t="shared" si="2291"/>
        <v>251</v>
      </c>
      <c r="K12298" s="297">
        <f>J12298/POBLA!$B$9*100000</f>
        <v>41.474372638150143</v>
      </c>
      <c r="L12298" s="200">
        <f t="shared" si="2292"/>
        <v>-0.16412940057088488</v>
      </c>
      <c r="M12298" s="401">
        <f>SUM(C12298,C12274,C12250,C12226,C12202,C12178,C12154)/POBLA!$B$9*100000</f>
        <v>290.32060846705099</v>
      </c>
      <c r="N12298" s="42" t="s">
        <v>41</v>
      </c>
      <c r="O12298" s="42">
        <v>1</v>
      </c>
      <c r="P12298" s="42">
        <v>2</v>
      </c>
      <c r="Q12298" s="42">
        <v>0</v>
      </c>
      <c r="R12298" s="42">
        <v>3</v>
      </c>
    </row>
    <row r="12299" spans="1:18" x14ac:dyDescent="0.25">
      <c r="A12299" s="367" t="s">
        <v>32</v>
      </c>
      <c r="B12299" s="2">
        <v>44405</v>
      </c>
      <c r="C12299" s="4">
        <v>185</v>
      </c>
      <c r="D12299" s="39">
        <f t="shared" si="2289"/>
        <v>42938</v>
      </c>
      <c r="E12299" s="1">
        <v>5</v>
      </c>
      <c r="F12299" s="39">
        <f t="shared" si="2288"/>
        <v>1301</v>
      </c>
      <c r="G12299" s="168">
        <f>SUM(C12299,C12275,C12251,C12227,C12203,C12179,C12155,C12131,C12107,C12083,C12059,C12035,C12011,C11987)/POBLA!$B$10*100000</f>
        <v>407.97477172222432</v>
      </c>
      <c r="H12299" s="256">
        <f t="shared" si="2293"/>
        <v>0.79680770205219154</v>
      </c>
      <c r="I12299" s="297">
        <f t="shared" ref="I12299:I12313" si="2294">G12299*H12299</f>
        <v>325.07744035125296</v>
      </c>
      <c r="J12299" s="422">
        <f t="shared" si="2291"/>
        <v>191</v>
      </c>
      <c r="K12299" s="297">
        <f>J12299/POBLA!$B$10*100000</f>
        <v>24.776846231778968</v>
      </c>
      <c r="L12299" s="200">
        <f t="shared" si="2292"/>
        <v>-0.26050884955752207</v>
      </c>
      <c r="M12299" s="401">
        <f>SUM(C12299,C12275,C12251,C12227,C12203,C12179,C12155)/POBLA!$B$10*100000</f>
        <v>173.43792362245276</v>
      </c>
      <c r="N12299" s="42" t="s">
        <v>32</v>
      </c>
      <c r="O12299" s="42">
        <v>1</v>
      </c>
      <c r="P12299" s="42">
        <v>4</v>
      </c>
      <c r="Q12299" s="42">
        <v>0</v>
      </c>
      <c r="R12299" s="42">
        <v>5</v>
      </c>
    </row>
    <row r="12300" spans="1:18" x14ac:dyDescent="0.25">
      <c r="A12300" s="367" t="s">
        <v>33</v>
      </c>
      <c r="B12300" s="2">
        <v>44405</v>
      </c>
      <c r="C12300" s="4">
        <v>328</v>
      </c>
      <c r="D12300" s="39">
        <f t="shared" si="2289"/>
        <v>60671</v>
      </c>
      <c r="E12300" s="1">
        <v>8</v>
      </c>
      <c r="F12300" s="39">
        <f t="shared" si="2288"/>
        <v>825</v>
      </c>
      <c r="G12300" s="168">
        <f>SUM(C12300,C12276,C12252,C12228,C12204,C12180,C12156,C12132,C12108,C12084,C12060,C12036,C12012,C11988)/POBLA!$B$11*100000</f>
        <v>1087.2476480632095</v>
      </c>
      <c r="H12300" s="256">
        <f t="shared" si="2293"/>
        <v>1.0595432300163132</v>
      </c>
      <c r="I12300" s="297">
        <f t="shared" si="2294"/>
        <v>1151.9858848565327</v>
      </c>
      <c r="J12300" s="422">
        <f t="shared" si="2291"/>
        <v>293.57142857142856</v>
      </c>
      <c r="K12300" s="297">
        <f>J12300/POBLA!$B$11*100000</f>
        <v>81.90527206898696</v>
      </c>
      <c r="L12300" s="200">
        <f t="shared" si="2292"/>
        <v>0.11563517915309451</v>
      </c>
      <c r="M12300" s="401">
        <f>SUM(C12300,C12276,C12252,C12228,C12204,C12180,C12156)/POBLA!$B$11*100000</f>
        <v>573.33690448290872</v>
      </c>
      <c r="N12300" s="42" t="s">
        <v>33</v>
      </c>
      <c r="O12300" s="42">
        <v>3</v>
      </c>
      <c r="P12300" s="42">
        <v>5</v>
      </c>
      <c r="Q12300" s="42">
        <v>0</v>
      </c>
      <c r="R12300" s="42">
        <v>8</v>
      </c>
    </row>
    <row r="12301" spans="1:18" x14ac:dyDescent="0.25">
      <c r="A12301" s="367" t="s">
        <v>21</v>
      </c>
      <c r="B12301" s="2">
        <v>44405</v>
      </c>
      <c r="C12301" s="4">
        <v>280</v>
      </c>
      <c r="D12301" s="39">
        <f t="shared" si="2289"/>
        <v>27596</v>
      </c>
      <c r="F12301" s="39">
        <f t="shared" si="2288"/>
        <v>767</v>
      </c>
      <c r="G12301" s="168">
        <f>SUM(C12301,C12277,C12253,C12229,C12205,C12181,C12157,C12133,C12109,C12085,C12061,C12037,C12013,C11989)/POBLA!$B$12*100000</f>
        <v>699.81780342590548</v>
      </c>
      <c r="H12301" s="256">
        <f t="shared" si="2293"/>
        <v>1.0357277171869124</v>
      </c>
      <c r="I12301" s="297">
        <f t="shared" si="2294"/>
        <v>724.82069598907242</v>
      </c>
      <c r="J12301" s="422">
        <f t="shared" si="2291"/>
        <v>208.14285714285714</v>
      </c>
      <c r="K12301" s="297">
        <f>J12301/POBLA!$B$12*100000</f>
        <v>52.891095528143182</v>
      </c>
      <c r="L12301" s="200">
        <f t="shared" si="2292"/>
        <v>0.12336160370084803</v>
      </c>
      <c r="M12301" s="401">
        <f>SUM(C12301,C12277,C12253,C12229,C12205,C12181,C12157)/POBLA!$B$12*100000</f>
        <v>370.23766869700228</v>
      </c>
    </row>
    <row r="12302" spans="1:18" x14ac:dyDescent="0.25">
      <c r="A12302" s="367" t="s">
        <v>17</v>
      </c>
      <c r="B12302" s="2">
        <v>44405</v>
      </c>
      <c r="C12302" s="4">
        <v>540</v>
      </c>
      <c r="D12302" s="39">
        <f t="shared" si="2289"/>
        <v>152819</v>
      </c>
      <c r="E12302" s="1">
        <v>15</v>
      </c>
      <c r="F12302" s="39">
        <f t="shared" si="2288"/>
        <v>3881</v>
      </c>
      <c r="G12302" s="168">
        <f>SUM(C12302,C12278,C12254,C12230,C12206,C12182,C12158,C12134,C12110,C12086,C12062,C12038,C12014,C11990)/POBLA!$B$13*100000</f>
        <v>299.04468487261965</v>
      </c>
      <c r="H12302" s="256">
        <f t="shared" si="2293"/>
        <v>0.84509441999148094</v>
      </c>
      <c r="I12302" s="297">
        <f t="shared" si="2294"/>
        <v>252.7209945139617</v>
      </c>
      <c r="J12302" s="422">
        <f t="shared" si="2291"/>
        <v>426.14285714285717</v>
      </c>
      <c r="K12302" s="297">
        <f>J12302/POBLA!$B$13*100000</f>
        <v>21.410577356351393</v>
      </c>
      <c r="L12302" s="200">
        <f t="shared" si="2292"/>
        <v>4.7153923880094428E-3</v>
      </c>
      <c r="M12302" s="401">
        <f>SUM(C12302,C12278,C12254,C12230,C12206,C12182,C12158)/POBLA!$B$13*100000</f>
        <v>149.87404149445973</v>
      </c>
      <c r="N12302" s="42" t="s">
        <v>17</v>
      </c>
      <c r="O12302" s="42">
        <v>7</v>
      </c>
      <c r="P12302" s="42">
        <v>8</v>
      </c>
      <c r="Q12302" s="42">
        <v>0</v>
      </c>
      <c r="R12302" s="42">
        <v>15</v>
      </c>
    </row>
    <row r="12303" spans="1:18" x14ac:dyDescent="0.25">
      <c r="A12303" s="367" t="s">
        <v>23</v>
      </c>
      <c r="B12303" s="2">
        <v>44405</v>
      </c>
      <c r="C12303" s="4">
        <v>221</v>
      </c>
      <c r="D12303" s="39">
        <f t="shared" si="2289"/>
        <v>30317</v>
      </c>
      <c r="E12303" s="1">
        <v>16</v>
      </c>
      <c r="F12303" s="39">
        <f t="shared" si="2288"/>
        <v>521</v>
      </c>
      <c r="G12303" s="168">
        <f>SUM(C12303,C12279,C12255,C12231,C12207,C12183,C12159,C12135,C12111,C12087,C12063,C12039,C12015,C11991)/POBLA!$B$14*100000</f>
        <v>189.64650588998282</v>
      </c>
      <c r="H12303" s="256">
        <f t="shared" si="2293"/>
        <v>1.0612244897959184</v>
      </c>
      <c r="I12303" s="297">
        <f t="shared" si="2294"/>
        <v>201.25751645467565</v>
      </c>
      <c r="J12303" s="422">
        <f t="shared" si="2291"/>
        <v>170.42857142857142</v>
      </c>
      <c r="K12303" s="297">
        <f>J12303/POBLA!$B$14*100000</f>
        <v>13.512200282295121</v>
      </c>
      <c r="L12303" s="200">
        <f t="shared" si="2292"/>
        <v>-5.0041701417847806E-3</v>
      </c>
      <c r="M12303" s="401">
        <f>SUM(C12303,C12279,C12255,C12231,C12207,C12183,C12159)/POBLA!$B$14*100000</f>
        <v>94.585401976065853</v>
      </c>
      <c r="N12303" s="42" t="s">
        <v>23</v>
      </c>
      <c r="O12303" s="42">
        <v>6</v>
      </c>
      <c r="P12303" s="42">
        <v>10</v>
      </c>
      <c r="Q12303" s="42">
        <v>0</v>
      </c>
      <c r="R12303" s="42">
        <v>16</v>
      </c>
    </row>
    <row r="12304" spans="1:18" x14ac:dyDescent="0.25">
      <c r="A12304" s="367" t="s">
        <v>19</v>
      </c>
      <c r="B12304" s="2">
        <v>44405</v>
      </c>
      <c r="C12304" s="4">
        <v>263</v>
      </c>
      <c r="D12304" s="39">
        <f t="shared" si="2289"/>
        <v>106885</v>
      </c>
      <c r="E12304" s="1">
        <v>5</v>
      </c>
      <c r="F12304" s="39">
        <f t="shared" si="2288"/>
        <v>2005</v>
      </c>
      <c r="G12304" s="168">
        <f>SUM(C12304,C12280,C12256,C12232,C12208,C12184,C12160,C12136,C12112,C12088,C12064,C12040,C12016,C11992)/POBLA!$B$15*100000</f>
        <v>412.61518213044963</v>
      </c>
      <c r="H12304" s="256">
        <f t="shared" si="2293"/>
        <v>1.0084652189915349</v>
      </c>
      <c r="I12304" s="297">
        <f t="shared" si="2294"/>
        <v>416.10806000641594</v>
      </c>
      <c r="J12304" s="422">
        <f t="shared" si="2291"/>
        <v>205.85714285714286</v>
      </c>
      <c r="K12304" s="297">
        <f>J12304/POBLA!$B$15*100000</f>
        <v>30.999920617829925</v>
      </c>
      <c r="L12304" s="200">
        <f t="shared" si="2292"/>
        <v>0.10931485758275605</v>
      </c>
      <c r="M12304" s="401">
        <f>SUM(C12304,C12280,C12256,C12232,C12208,C12184,C12160)/POBLA!$B$15*100000</f>
        <v>216.99944432480947</v>
      </c>
      <c r="N12304" s="42" t="s">
        <v>19</v>
      </c>
      <c r="O12304" s="42">
        <v>4</v>
      </c>
      <c r="P12304" s="42">
        <v>1</v>
      </c>
      <c r="Q12304" s="42">
        <v>0</v>
      </c>
      <c r="R12304" s="42">
        <v>5</v>
      </c>
    </row>
    <row r="12305" spans="1:18" x14ac:dyDescent="0.25">
      <c r="A12305" s="367" t="s">
        <v>18</v>
      </c>
      <c r="B12305" s="2">
        <v>44405</v>
      </c>
      <c r="C12305" s="4">
        <v>506</v>
      </c>
      <c r="D12305" s="39">
        <f t="shared" si="2289"/>
        <v>91389</v>
      </c>
      <c r="E12305" s="1">
        <v>3</v>
      </c>
      <c r="F12305" s="39">
        <f t="shared" si="2288"/>
        <v>2058</v>
      </c>
      <c r="G12305" s="168">
        <f>SUM(C12305,C12281,C12257,C12233,C12209,C12185,C12161,C12137,C12113,C12089,C12065,C12041,C12017,C11993)/POBLA!$B$16*100000</f>
        <v>539.18486911625041</v>
      </c>
      <c r="H12305" s="256">
        <f t="shared" si="2293"/>
        <v>1.3091912958752843</v>
      </c>
      <c r="I12305" s="297">
        <f t="shared" si="2294"/>
        <v>705.89613751464947</v>
      </c>
      <c r="J12305" s="422">
        <f t="shared" si="2291"/>
        <v>311.42857142857144</v>
      </c>
      <c r="K12305" s="297">
        <f>J12305/POBLA!$B$16*100000</f>
        <v>41.656555079328989</v>
      </c>
      <c r="L12305" s="200">
        <f t="shared" si="2292"/>
        <v>0.17774176121015661</v>
      </c>
      <c r="M12305" s="401">
        <f>SUM(C12305,C12281,C12257,C12233,C12209,C12185,C12161)/POBLA!$B$16*100000</f>
        <v>291.59588555530286</v>
      </c>
      <c r="N12305" s="42" t="s">
        <v>18</v>
      </c>
      <c r="O12305" s="42">
        <v>1</v>
      </c>
      <c r="P12305" s="42">
        <v>1</v>
      </c>
      <c r="Q12305" s="42">
        <v>1</v>
      </c>
      <c r="R12305" s="42">
        <v>3</v>
      </c>
    </row>
    <row r="12306" spans="1:18" x14ac:dyDescent="0.25">
      <c r="A12306" s="367" t="s">
        <v>34</v>
      </c>
      <c r="B12306" s="2">
        <v>44405</v>
      </c>
      <c r="C12306" s="4">
        <v>384</v>
      </c>
      <c r="D12306" s="39">
        <f>C12306+D12282</f>
        <v>74208</v>
      </c>
      <c r="E12306" s="1">
        <v>12</v>
      </c>
      <c r="F12306" s="39">
        <f t="shared" si="2288"/>
        <v>2071</v>
      </c>
      <c r="G12306" s="168">
        <f>SUM(C12306,C12282,C12258,C12234,C12210,C12186,C12162,C12138,C12114,C12090,C12066,C12042,C12018,C11994)/POBLA!$B$17*100000</f>
        <v>402.34569435347026</v>
      </c>
      <c r="H12306" s="256">
        <f t="shared" si="2293"/>
        <v>0.79874564459930308</v>
      </c>
      <c r="I12306" s="297">
        <f t="shared" si="2294"/>
        <v>321.37187098811677</v>
      </c>
      <c r="J12306" s="422">
        <f t="shared" si="2291"/>
        <v>350.57142857142856</v>
      </c>
      <c r="K12306" s="297">
        <f>J12306/POBLA!$B$17*100000</f>
        <v>24.611918487010897</v>
      </c>
      <c r="L12306" s="200">
        <f t="shared" si="2292"/>
        <v>-0.25114433933475744</v>
      </c>
      <c r="M12306" s="401">
        <f>SUM(C12306,C12282,C12258,C12234,C12210,C12186,C12162)/POBLA!$B$17*100000</f>
        <v>172.28342940907626</v>
      </c>
      <c r="N12306" s="42" t="s">
        <v>34</v>
      </c>
      <c r="O12306" s="42">
        <v>7</v>
      </c>
      <c r="P12306" s="42">
        <v>5</v>
      </c>
      <c r="Q12306" s="42">
        <v>0</v>
      </c>
      <c r="R12306" s="42">
        <v>12</v>
      </c>
    </row>
    <row r="12307" spans="1:18" x14ac:dyDescent="0.25">
      <c r="A12307" s="367" t="s">
        <v>35</v>
      </c>
      <c r="B12307" s="2">
        <v>44405</v>
      </c>
      <c r="C12307" s="4">
        <v>372</v>
      </c>
      <c r="D12307" s="39">
        <f t="shared" ref="D12307:D12313" si="2295">C12307+D12283</f>
        <v>59901</v>
      </c>
      <c r="E12307" s="1">
        <v>1</v>
      </c>
      <c r="F12307" s="39">
        <f t="shared" si="2288"/>
        <v>934</v>
      </c>
      <c r="G12307" s="168">
        <f>SUM(C12307,C12283,C12259,C12235,C12211,C12187,C12163,C12139,C12115,C12091,C12067,C12043,C12019,C11995)/POBLA!$B$18*100000</f>
        <v>552.21532557535227</v>
      </c>
      <c r="H12307" s="256">
        <f t="shared" si="2293"/>
        <v>0.9200255918106206</v>
      </c>
      <c r="I12307" s="297">
        <f t="shared" si="2294"/>
        <v>508.05223171935802</v>
      </c>
      <c r="J12307" s="422">
        <f t="shared" si="2291"/>
        <v>296.71428571428572</v>
      </c>
      <c r="K12307" s="297">
        <f>J12307/POBLA!$B$18*100000</f>
        <v>37.981032890257858</v>
      </c>
      <c r="L12307" s="200">
        <f t="shared" si="2292"/>
        <v>-7.1524362986142176E-2</v>
      </c>
      <c r="M12307" s="401">
        <f>SUM(C12307,C12283,C12259,C12235,C12211,C12187,C12163)/POBLA!$B$18*100000</f>
        <v>265.86723023180497</v>
      </c>
      <c r="N12307" s="42" t="s">
        <v>35</v>
      </c>
      <c r="O12307" s="42">
        <v>1</v>
      </c>
      <c r="P12307" s="42">
        <v>0</v>
      </c>
      <c r="Q12307" s="42">
        <v>0</v>
      </c>
      <c r="R12307" s="42">
        <v>1</v>
      </c>
    </row>
    <row r="12308" spans="1:18" x14ac:dyDescent="0.25">
      <c r="A12308" s="367" t="s">
        <v>36</v>
      </c>
      <c r="B12308" s="2">
        <v>44405</v>
      </c>
      <c r="C12308" s="4">
        <v>276</v>
      </c>
      <c r="D12308" s="39">
        <f t="shared" si="2295"/>
        <v>74089</v>
      </c>
      <c r="E12308" s="1">
        <v>3</v>
      </c>
      <c r="F12308" s="39">
        <f t="shared" si="2288"/>
        <v>1215</v>
      </c>
      <c r="G12308" s="168">
        <f>SUM(C12308,C12284,C12260,C12236,C12212,C12188,C12164,C12140,C12116,C12092,C12068,C12044,C12020,C11996)/POBLA!$B$19*100000</f>
        <v>722.17151130765956</v>
      </c>
      <c r="H12308" s="256">
        <f t="shared" si="2293"/>
        <v>0.79201725997842498</v>
      </c>
      <c r="I12308" s="297">
        <f t="shared" si="2294"/>
        <v>571.97230162037067</v>
      </c>
      <c r="J12308" s="422">
        <f t="shared" si="2291"/>
        <v>237.57142857142858</v>
      </c>
      <c r="K12308" s="297">
        <f>J12308/POBLA!$B$19*100000</f>
        <v>46.735853341037398</v>
      </c>
      <c r="L12308" s="200">
        <f t="shared" si="2292"/>
        <v>-0.17181274900398402</v>
      </c>
      <c r="M12308" s="401">
        <f>SUM(C12308,C12284,C12260,C12236,C12212,C12188,C12164)/POBLA!$B$19*100000</f>
        <v>327.15097338726179</v>
      </c>
      <c r="N12308" s="42" t="s">
        <v>36</v>
      </c>
      <c r="O12308" s="42">
        <v>1</v>
      </c>
      <c r="P12308" s="42">
        <v>2</v>
      </c>
      <c r="Q12308" s="42">
        <v>0</v>
      </c>
      <c r="R12308" s="42">
        <v>3</v>
      </c>
    </row>
    <row r="12309" spans="1:18" x14ac:dyDescent="0.25">
      <c r="A12309" s="367" t="s">
        <v>37</v>
      </c>
      <c r="B12309" s="2">
        <v>44405</v>
      </c>
      <c r="C12309" s="4">
        <v>82</v>
      </c>
      <c r="D12309" s="39">
        <f t="shared" si="2295"/>
        <v>57669</v>
      </c>
      <c r="E12309" s="1">
        <v>3</v>
      </c>
      <c r="F12309" s="39">
        <f>E12309+F12285</f>
        <v>933</v>
      </c>
      <c r="G12309" s="168">
        <f>SUM(C12309,C12285,C12262,C12237,C12213,C12189,C12165,C12141,C12117,C12093,C12069,C12045,C12021,C11997)/POBLA!$B$20*100000</f>
        <v>479.08383420199181</v>
      </c>
      <c r="H12309" s="256">
        <f t="shared" si="2293"/>
        <v>0.71701112877583462</v>
      </c>
      <c r="I12309" s="297">
        <f t="shared" si="2294"/>
        <v>343.50844073942494</v>
      </c>
      <c r="J12309" s="422">
        <f t="shared" si="2291"/>
        <v>56.857142857142854</v>
      </c>
      <c r="K12309" s="297">
        <f>J12309/POBLA!$B$20*100000</f>
        <v>15.54756735260867</v>
      </c>
      <c r="L12309" s="200">
        <f t="shared" si="2292"/>
        <v>-0.21031746031746035</v>
      </c>
      <c r="M12309" s="401">
        <f>SUM(C12309,C12285,C12261,C12237,C12213,C12189,C12165)/POBLA!$B$20*100000</f>
        <v>108.83297146826069</v>
      </c>
      <c r="N12309" s="42" t="s">
        <v>37</v>
      </c>
      <c r="O12309" s="42">
        <v>2</v>
      </c>
      <c r="P12309" s="42">
        <v>1</v>
      </c>
      <c r="Q12309" s="42">
        <v>0</v>
      </c>
      <c r="R12309" s="42">
        <v>3</v>
      </c>
    </row>
    <row r="12310" spans="1:18" x14ac:dyDescent="0.25">
      <c r="A12310" s="367" t="s">
        <v>22</v>
      </c>
      <c r="B12310" s="2">
        <v>44405</v>
      </c>
      <c r="C12310" s="4">
        <v>1466</v>
      </c>
      <c r="D12310" s="39">
        <f t="shared" si="2295"/>
        <v>444208</v>
      </c>
      <c r="E12310" s="1">
        <v>70</v>
      </c>
      <c r="F12310" s="39">
        <f>E12310+F12286</f>
        <v>7750</v>
      </c>
      <c r="G12310" s="168">
        <f>SUM(C12310,C12286,C12262,C12238,C12214,C12190,C12166,C12142,C12118,C12094,C12070,C12046,C12022,C11998)/POBLA!$B$21*100000</f>
        <v>478.47850565176401</v>
      </c>
      <c r="H12310" s="256">
        <f t="shared" si="2293"/>
        <v>0.8014873057976506</v>
      </c>
      <c r="I12310" s="297">
        <f t="shared" si="2294"/>
        <v>383.49444837691829</v>
      </c>
      <c r="J12310" s="422">
        <f t="shared" si="2291"/>
        <v>1190.2857142857142</v>
      </c>
      <c r="K12310" s="297">
        <f>J12310/POBLA!$B$21*100000</f>
        <v>33.657947513153537</v>
      </c>
      <c r="L12310" s="200">
        <f t="shared" si="2292"/>
        <v>-2.9921993247176593E-2</v>
      </c>
      <c r="M12310" s="401">
        <f>SUM(C12310,C12286,C12262,C12238,C12214,C12190,C12166)/POBLA!$B$21*100000</f>
        <v>235.60563259207478</v>
      </c>
      <c r="N12310" s="42" t="s">
        <v>22</v>
      </c>
      <c r="O12310" s="42">
        <v>30</v>
      </c>
      <c r="P12310" s="42">
        <v>40</v>
      </c>
      <c r="Q12310" s="42">
        <v>0</v>
      </c>
      <c r="R12310" s="42">
        <v>70</v>
      </c>
    </row>
    <row r="12311" spans="1:18" x14ac:dyDescent="0.25">
      <c r="A12311" s="367" t="s">
        <v>38</v>
      </c>
      <c r="B12311" s="2">
        <v>44405</v>
      </c>
      <c r="C12311" s="4">
        <v>371</v>
      </c>
      <c r="D12311" s="39">
        <f t="shared" si="2295"/>
        <v>72419</v>
      </c>
      <c r="E12311" s="1">
        <v>12</v>
      </c>
      <c r="F12311" s="39">
        <f>E12311+F12287</f>
        <v>1028</v>
      </c>
      <c r="G12311" s="168">
        <f>SUM(C12311,C12287,C12263,C12239,C12215,C12191,C12167,C12143,C12119,C12095,C12071,C12047,C12023,C11999)/POBLA!$B$22*100000</f>
        <v>546.75753056537121</v>
      </c>
      <c r="H12311" s="256">
        <f t="shared" si="2293"/>
        <v>0.70150819672131148</v>
      </c>
      <c r="I12311" s="297">
        <f t="shared" si="2294"/>
        <v>383.55488931071091</v>
      </c>
      <c r="J12311" s="422">
        <f t="shared" si="2291"/>
        <v>321.42857142857144</v>
      </c>
      <c r="K12311" s="297">
        <f>J12311/POBLA!$B$22*100000</f>
        <v>32.855392029807582</v>
      </c>
      <c r="L12311" s="200">
        <f t="shared" si="2292"/>
        <v>-0.27395934172313652</v>
      </c>
      <c r="M12311" s="401">
        <f>SUM(C12311,C12287,C12263,C12239,C12215,C12191,C12167)/POBLA!$B$22*100000</f>
        <v>229.98774420865306</v>
      </c>
      <c r="N12311" s="42" t="s">
        <v>38</v>
      </c>
      <c r="O12311" s="42">
        <v>6</v>
      </c>
      <c r="P12311" s="42">
        <v>6</v>
      </c>
      <c r="Q12311" s="42">
        <v>0</v>
      </c>
      <c r="R12311" s="42">
        <v>12</v>
      </c>
    </row>
    <row r="12312" spans="1:18" x14ac:dyDescent="0.25">
      <c r="A12312" s="367" t="s">
        <v>39</v>
      </c>
      <c r="B12312" s="2">
        <v>44405</v>
      </c>
      <c r="C12312" s="4">
        <v>74</v>
      </c>
      <c r="D12312" s="39">
        <f t="shared" si="2295"/>
        <v>31024</v>
      </c>
      <c r="F12312" s="39">
        <f>E12312+F12288</f>
        <v>466</v>
      </c>
      <c r="G12312" s="168">
        <f>SUM(C12312,C12288,C12264,C12240,C12216,C12192,C12168,C12144,C12120,C12096,C12072,C12048,C12024,C12000)/POBLA!$B$23*100000</f>
        <v>359.66747723802524</v>
      </c>
      <c r="H12312" s="256">
        <f t="shared" si="2293"/>
        <v>1.0477759472817134</v>
      </c>
      <c r="I12312" s="297">
        <f t="shared" si="2294"/>
        <v>376.85093166949599</v>
      </c>
      <c r="J12312" s="422">
        <f t="shared" si="2291"/>
        <v>45.428571428571431</v>
      </c>
      <c r="K12312" s="297">
        <f>J12312/POBLA!$B$23*100000</f>
        <v>25.690534088430372</v>
      </c>
      <c r="L12312" s="200">
        <f t="shared" si="2292"/>
        <v>0</v>
      </c>
      <c r="M12312" s="401">
        <f>SUM(C12312,C12288,C12264,C12240,C12216,C12192,C12168)/POBLA!$B$23*100000</f>
        <v>179.83373861901262</v>
      </c>
    </row>
    <row r="12313" spans="1:18" ht="15.75" thickBot="1" x14ac:dyDescent="0.3">
      <c r="A12313" s="369" t="s">
        <v>40</v>
      </c>
      <c r="B12313" s="2">
        <v>44405</v>
      </c>
      <c r="C12313" s="357">
        <v>859</v>
      </c>
      <c r="D12313" s="176">
        <f t="shared" si="2295"/>
        <v>179234</v>
      </c>
      <c r="E12313" s="44">
        <v>18</v>
      </c>
      <c r="F12313" s="176">
        <f>E12313+F12289</f>
        <v>2558</v>
      </c>
      <c r="G12313" s="177">
        <f>SUM(C12313,C12289,C12265,C12241,C12217,C12193,C12169,C12145,C12121,C12097,C12073,C12049,C12025,C12001)/POBLA!$B$24*100000</f>
        <v>578.81953623626271</v>
      </c>
      <c r="H12313" s="402">
        <f t="shared" si="2293"/>
        <v>0.8245628782784129</v>
      </c>
      <c r="I12313" s="403">
        <f t="shared" si="2294"/>
        <v>477.27310280274889</v>
      </c>
      <c r="J12313" s="423">
        <f t="shared" si="2291"/>
        <v>693.71428571428567</v>
      </c>
      <c r="K12313" s="403">
        <f>J12313/POBLA!$B$24*100000</f>
        <v>40.935404336590182</v>
      </c>
      <c r="L12313" s="404">
        <f t="shared" si="2292"/>
        <v>-1.9584090450232128E-2</v>
      </c>
      <c r="M12313" s="405">
        <f>SUM(C12313,C12289,C12265,C12241,C12217,C12193,C12169)/POBLA!$B$24*100000</f>
        <v>286.54783035613127</v>
      </c>
      <c r="N12313" s="42" t="s">
        <v>40</v>
      </c>
      <c r="O12313" s="42">
        <v>8</v>
      </c>
      <c r="P12313" s="42">
        <v>10</v>
      </c>
      <c r="Q12313" s="42">
        <v>0</v>
      </c>
      <c r="R12313" s="42">
        <v>18</v>
      </c>
    </row>
    <row r="12314" spans="1:18" x14ac:dyDescent="0.25">
      <c r="A12314" s="363" t="s">
        <v>16</v>
      </c>
      <c r="B12314" s="265">
        <v>44406</v>
      </c>
      <c r="C12314" s="356">
        <v>3618</v>
      </c>
      <c r="D12314" s="174">
        <f>C12314+D12290</f>
        <v>1968380</v>
      </c>
      <c r="E12314" s="43">
        <v>73</v>
      </c>
      <c r="F12314" s="174">
        <f t="shared" ref="F12314:F12332" si="2296">E12314+F12290</f>
        <v>51930</v>
      </c>
      <c r="G12314" s="175">
        <f>SUM(C12314,C12290,C12242,C12266,C12218,C12194,C12170,C12146,C12122,C12098,C12074,C12050,C12026,C12002)/POBLA!$B$1*100000</f>
        <v>291.30374130166331</v>
      </c>
      <c r="H12314" s="300">
        <f t="shared" si="2293"/>
        <v>0.75320234076738257</v>
      </c>
      <c r="I12314" s="301">
        <f>G12314*H12314</f>
        <v>219.41065982270885</v>
      </c>
      <c r="J12314" s="421">
        <f>AVERAGE(C12314,C12290,C12266,C12242,C12218,C12194,C12170)</f>
        <v>3505.1428571428573</v>
      </c>
      <c r="K12314" s="301">
        <f>J12314/POBLA!$B$1*100000</f>
        <v>19.982410820042194</v>
      </c>
      <c r="L12314" s="399">
        <f>(SUM(C12314,C12290,C12266,C12242,C12218,C12194,C12170)/SUM(C12146,C12122,C12098,C12074,C12050,C12026,C12002))-1</f>
        <v>-7.6274376929448051E-2</v>
      </c>
      <c r="M12314" s="400">
        <f>SUM(C12314,C12290,C12266,C12242,C12218,C12194,C12170)/POBLA!$B$1*100000</f>
        <v>139.87687574029533</v>
      </c>
      <c r="N12314" s="42" t="s">
        <v>16</v>
      </c>
      <c r="O12314" s="42">
        <v>24</v>
      </c>
      <c r="P12314" s="42">
        <v>47</v>
      </c>
      <c r="Q12314" s="42">
        <v>2</v>
      </c>
      <c r="R12314" s="42">
        <v>73</v>
      </c>
    </row>
    <row r="12315" spans="1:18" x14ac:dyDescent="0.25">
      <c r="A12315" s="367" t="s">
        <v>43</v>
      </c>
      <c r="B12315" s="2">
        <v>44406</v>
      </c>
      <c r="C12315" s="4">
        <v>660</v>
      </c>
      <c r="D12315" s="39">
        <f t="shared" ref="D12315:D12329" si="2297">C12315+D12291</f>
        <v>490212</v>
      </c>
      <c r="E12315" s="1">
        <v>16</v>
      </c>
      <c r="F12315" s="39">
        <f t="shared" si="2296"/>
        <v>10881</v>
      </c>
      <c r="G12315" s="168">
        <f>SUM(C12315,C12291,C12267,C12243,C12219,C12195,C12171,C12147,C12123,C12099,C12075,C12051,C12027,C12003)/POBLA!$B$2*100000</f>
        <v>357.74598247002422</v>
      </c>
      <c r="H12315" s="256">
        <f t="shared" si="2293"/>
        <v>0.78880206466413361</v>
      </c>
      <c r="I12315" s="297">
        <f t="shared" ref="I12315:I12321" si="2298">G12315*H12315</f>
        <v>282.19076959765403</v>
      </c>
      <c r="J12315" s="422">
        <f>AVERAGE(C12315,C12291,C12267,C12243,C12219,C12195,C12171)</f>
        <v>754.85714285714289</v>
      </c>
      <c r="K12315" s="297">
        <f>J12315/POBLA!$B$2*100000</f>
        <v>24.543043733158591</v>
      </c>
      <c r="L12315" s="200">
        <f>(SUM(C12315,C12291,C12267,C12243,C12219,C12195,C12171)/SUM(C12147,C12123,C12099,C12075,C12051,C12027,C12003))-1</f>
        <v>-7.6062248644867991E-2</v>
      </c>
      <c r="M12315" s="401">
        <f>SUM(C12315,C12291,C12267,C12243,C12219,C12195,C12171)/POBLA!$B$2*100000</f>
        <v>171.80130613211014</v>
      </c>
      <c r="N12315" s="42" t="s">
        <v>43</v>
      </c>
      <c r="O12315" s="42">
        <v>8</v>
      </c>
      <c r="P12315" s="42">
        <v>8</v>
      </c>
      <c r="Q12315" s="42">
        <v>0</v>
      </c>
      <c r="R12315" s="42">
        <v>16</v>
      </c>
    </row>
    <row r="12316" spans="1:18" x14ac:dyDescent="0.25">
      <c r="A12316" s="367" t="s">
        <v>28</v>
      </c>
      <c r="B12316" s="2">
        <v>44406</v>
      </c>
      <c r="C12316" s="4">
        <v>342</v>
      </c>
      <c r="D12316" s="39">
        <f t="shared" si="2297"/>
        <v>41920</v>
      </c>
      <c r="E12316" s="1">
        <v>4</v>
      </c>
      <c r="F12316" s="39">
        <f t="shared" si="2296"/>
        <v>450</v>
      </c>
      <c r="G12316" s="168">
        <f>SUM(C12316,C12292,C12268,C12244,C12220,C12196,C12172,C12148,C12124,C12100,C12076,C12052,C12028,C12004)/POBLA!$B$3*100000</f>
        <v>874.01730222078868</v>
      </c>
      <c r="H12316" s="256">
        <f t="shared" si="2293"/>
        <v>0.97137506688068487</v>
      </c>
      <c r="I12316" s="297">
        <f t="shared" si="2298"/>
        <v>848.99861539959431</v>
      </c>
      <c r="J12316" s="422">
        <f t="shared" ref="J12316:J12337" si="2299">AVERAGE(C12316,C12292,C12268,C12244,C12220,C12196,C12172)</f>
        <v>275.71428571428572</v>
      </c>
      <c r="K12316" s="297">
        <f>J12316/POBLA!$B$3*100000</f>
        <v>66.367131970182243</v>
      </c>
      <c r="L12316" s="200">
        <f t="shared" ref="L12316:L12337" si="2300">(SUM(C12316,C12292,C12268,C12244,C12220,C12196,C12172)/SUM(C12148,C12124,C12100,C12076,C12052,C12028,C12004))-1</f>
        <v>0.13462669018224571</v>
      </c>
      <c r="M12316" s="401">
        <f>SUM(C12316,C12292,C12268,C12244,C12220,C12196,C12172)/POBLA!$B$3*100000</f>
        <v>464.5699237912757</v>
      </c>
      <c r="N12316" s="42" t="s">
        <v>28</v>
      </c>
      <c r="O12316" s="42">
        <v>2</v>
      </c>
      <c r="P12316" s="42">
        <v>2</v>
      </c>
      <c r="Q12316" s="42">
        <v>0</v>
      </c>
      <c r="R12316" s="42">
        <v>4</v>
      </c>
    </row>
    <row r="12317" spans="1:18" x14ac:dyDescent="0.25">
      <c r="A12317" s="367" t="s">
        <v>15</v>
      </c>
      <c r="B12317" s="2">
        <v>44406</v>
      </c>
      <c r="C12317" s="4">
        <v>519</v>
      </c>
      <c r="D12317" s="39">
        <f t="shared" si="2297"/>
        <v>90618</v>
      </c>
      <c r="E12317" s="1">
        <v>7</v>
      </c>
      <c r="F12317" s="39">
        <f t="shared" si="2296"/>
        <v>1998</v>
      </c>
      <c r="G12317" s="168">
        <f>SUM(C12317,C12293,C12269,C12245,C12221,C12197,C12173,C12149,C12125,C12101,C12077,C12053,C12029,C12005)/POBLA!$B$4*100000</f>
        <v>462.08472770955905</v>
      </c>
      <c r="H12317" s="256">
        <f t="shared" si="2293"/>
        <v>0.75175580767152894</v>
      </c>
      <c r="I12317" s="297">
        <f t="shared" si="2298"/>
        <v>347.3748776919781</v>
      </c>
      <c r="J12317" s="422">
        <f t="shared" si="2299"/>
        <v>460.57142857142856</v>
      </c>
      <c r="K12317" s="297">
        <f>J12317/POBLA!$B$4*100000</f>
        <v>38.236260000400861</v>
      </c>
      <c r="L12317" s="200">
        <f t="shared" si="2300"/>
        <v>0.3766011955593509</v>
      </c>
      <c r="M12317" s="401">
        <f>SUM(C12317,C12293,C12269,C12245,C12221,C12197,C12173)/POBLA!$B$4*100000</f>
        <v>267.65382000280607</v>
      </c>
      <c r="N12317" s="42" t="s">
        <v>15</v>
      </c>
      <c r="O12317" s="42">
        <v>5</v>
      </c>
      <c r="P12317" s="42">
        <v>2</v>
      </c>
      <c r="Q12317" s="42">
        <v>0</v>
      </c>
      <c r="R12317" s="42">
        <v>7</v>
      </c>
    </row>
    <row r="12318" spans="1:18" x14ac:dyDescent="0.25">
      <c r="A12318" s="367" t="s">
        <v>29</v>
      </c>
      <c r="B12318" s="2">
        <v>44406</v>
      </c>
      <c r="C12318" s="4">
        <v>197</v>
      </c>
      <c r="D12318" s="39">
        <f t="shared" si="2297"/>
        <v>75924</v>
      </c>
      <c r="E12318" s="1">
        <v>7</v>
      </c>
      <c r="F12318" s="39">
        <f t="shared" si="2296"/>
        <v>1305</v>
      </c>
      <c r="G12318" s="168">
        <f>SUM(C12318,C12294,C12270,C12246,C12222,C12198,C12174,C12150,C12126,C12102,C12078,C12054,C12030,C12006)/POBLA!$B$5*100000</f>
        <v>396.61127571511196</v>
      </c>
      <c r="H12318" s="256">
        <f t="shared" si="2293"/>
        <v>1.0053235053235052</v>
      </c>
      <c r="I12318" s="297">
        <f t="shared" si="2298"/>
        <v>398.72263795274358</v>
      </c>
      <c r="J12318" s="422">
        <f t="shared" si="2299"/>
        <v>179.71428571428572</v>
      </c>
      <c r="K12318" s="297">
        <f>J12318/POBLA!$B$5*100000</f>
        <v>29.033283959826061</v>
      </c>
      <c r="L12318" s="200">
        <f t="shared" si="2300"/>
        <v>5.096073517126154E-2</v>
      </c>
      <c r="M12318" s="401">
        <f>SUM(C12318,C12294,C12270,C12246,C12222,C12198,C12174)/POBLA!$B$5*100000</f>
        <v>203.2329877187824</v>
      </c>
      <c r="N12318" s="42" t="s">
        <v>29</v>
      </c>
      <c r="O12318" s="42">
        <v>3</v>
      </c>
      <c r="P12318" s="42">
        <v>4</v>
      </c>
      <c r="Q12318" s="42">
        <v>0</v>
      </c>
      <c r="R12318" s="42">
        <v>7</v>
      </c>
    </row>
    <row r="12319" spans="1:18" x14ac:dyDescent="0.25">
      <c r="A12319" s="367" t="s">
        <v>30</v>
      </c>
      <c r="B12319" s="2">
        <v>44406</v>
      </c>
      <c r="C12319" s="4">
        <v>504</v>
      </c>
      <c r="D12319" s="39">
        <f t="shared" si="2297"/>
        <v>447890</v>
      </c>
      <c r="E12319" s="1">
        <v>20</v>
      </c>
      <c r="F12319" s="39">
        <f t="shared" si="2296"/>
        <v>5861</v>
      </c>
      <c r="G12319" s="168">
        <f>SUM(C12319,C12295,C12271,C12247,C12223,C12199,C12175,C12151,C12127,C12103,C12079,C12055,C12031,C12007)/POBLA!$B$6*100000</f>
        <v>594.21788524457065</v>
      </c>
      <c r="H12319" s="256">
        <f t="shared" si="2293"/>
        <v>1.0367372353673723</v>
      </c>
      <c r="I12319" s="297">
        <f t="shared" si="2298"/>
        <v>616.04780755430261</v>
      </c>
      <c r="J12319" s="422">
        <f t="shared" si="2299"/>
        <v>529.57142857142856</v>
      </c>
      <c r="K12319" s="297">
        <f>J12319/POBLA!$B$6*100000</f>
        <v>47.249371527276345</v>
      </c>
      <c r="L12319" s="200">
        <f t="shared" si="2300"/>
        <v>0.25533355909244837</v>
      </c>
      <c r="M12319" s="401">
        <f>SUM(C12319,C12295,C12271,C12247,C12223,C12199,C12175)/POBLA!$B$6*100000</f>
        <v>330.74560069093445</v>
      </c>
      <c r="N12319" s="42" t="s">
        <v>30</v>
      </c>
      <c r="O12319" s="42">
        <v>11</v>
      </c>
      <c r="P12319" s="42">
        <v>9</v>
      </c>
      <c r="Q12319" s="42">
        <v>0</v>
      </c>
      <c r="R12319" s="42">
        <v>20</v>
      </c>
    </row>
    <row r="12320" spans="1:18" x14ac:dyDescent="0.25">
      <c r="A12320" s="367" t="s">
        <v>20</v>
      </c>
      <c r="B12320" s="2">
        <v>44406</v>
      </c>
      <c r="C12320" s="4">
        <v>2227</v>
      </c>
      <c r="D12320" s="39">
        <f t="shared" si="2297"/>
        <v>97408</v>
      </c>
      <c r="E12320" s="1">
        <v>24</v>
      </c>
      <c r="F12320" s="39">
        <f t="shared" si="2296"/>
        <v>1134</v>
      </c>
      <c r="G12320" s="168">
        <f>SUM(C12320,C12296,C12272,C12248,C12224,C12200,C12176,C12152,C12128,C12104,C12080,C12056,C12032,C12008)/POBLA!$B$7*100000</f>
        <v>643.00815062027152</v>
      </c>
      <c r="H12320" s="256">
        <f t="shared" si="2293"/>
        <v>0.86872170726449671</v>
      </c>
      <c r="I12320" s="297">
        <f t="shared" si="2298"/>
        <v>558.59513839182898</v>
      </c>
      <c r="J12320" s="422">
        <f t="shared" si="2299"/>
        <v>1949.4285714285713</v>
      </c>
      <c r="K12320" s="297">
        <f>J12320/POBLA!$B$7*100000</f>
        <v>51.840300268015035</v>
      </c>
      <c r="L12320" s="200">
        <f t="shared" si="2300"/>
        <v>0.295424340231631</v>
      </c>
      <c r="M12320" s="401">
        <f>SUM(C12320,C12296,C12272,C12248,C12224,C12200,C12176)/POBLA!$B$7*100000</f>
        <v>362.88210187610525</v>
      </c>
      <c r="N12320" s="42" t="s">
        <v>20</v>
      </c>
      <c r="O12320" s="42">
        <v>12</v>
      </c>
      <c r="P12320" s="42">
        <v>12</v>
      </c>
      <c r="Q12320" s="42">
        <v>0</v>
      </c>
      <c r="R12320" s="42">
        <v>24</v>
      </c>
    </row>
    <row r="12321" spans="1:18" x14ac:dyDescent="0.25">
      <c r="A12321" s="367" t="s">
        <v>31</v>
      </c>
      <c r="B12321" s="2">
        <v>44406</v>
      </c>
      <c r="C12321" s="4">
        <v>462</v>
      </c>
      <c r="D12321" s="39">
        <f t="shared" si="2297"/>
        <v>127309</v>
      </c>
      <c r="E12321" s="1">
        <v>6</v>
      </c>
      <c r="F12321" s="39">
        <f t="shared" si="2296"/>
        <v>2128</v>
      </c>
      <c r="G12321" s="168">
        <f>SUM(C12321,C12297,C12273,C12249,C12225,C12201,C12177,C12153,C12129,C12105,C12081,C12057,C12033,C12009)/POBLA!$B$8*100000</f>
        <v>468.91651352382934</v>
      </c>
      <c r="H12321" s="256">
        <f t="shared" ref="H12321:H12344" si="2301">SUM(C12321,C12297,C12273,C12249,C12225,C12201,C12177,C12153,C12129,C12105,C12081,C12057,C12033,C12009,)/SUM(C11985,C11961,C11937,C11913,C11889,C11865,C11841,C11817,C11793,C11769,C11745,C11721,C11697,C11673)</f>
        <v>0.67487019730010389</v>
      </c>
      <c r="I12321" s="297">
        <f t="shared" si="2298"/>
        <v>316.45777999910354</v>
      </c>
      <c r="J12321" s="422">
        <f t="shared" si="2299"/>
        <v>428</v>
      </c>
      <c r="K12321" s="297">
        <f>J12321/POBLA!$B$8*100000</f>
        <v>30.881099828927365</v>
      </c>
      <c r="L12321" s="200">
        <f t="shared" si="2300"/>
        <v>-0.14473308592634881</v>
      </c>
      <c r="M12321" s="401">
        <f>SUM(C12321,C12297,C12273,C12249,C12225,C12201,C12177)/POBLA!$B$8*100000</f>
        <v>216.16769880249157</v>
      </c>
      <c r="N12321" s="42" t="s">
        <v>31</v>
      </c>
      <c r="O12321" s="42">
        <v>4</v>
      </c>
      <c r="P12321" s="42">
        <v>2</v>
      </c>
      <c r="Q12321" s="42">
        <v>0</v>
      </c>
      <c r="R12321" s="42">
        <v>6</v>
      </c>
    </row>
    <row r="12322" spans="1:18" x14ac:dyDescent="0.25">
      <c r="A12322" s="367" t="s">
        <v>41</v>
      </c>
      <c r="B12322" s="2">
        <v>44406</v>
      </c>
      <c r="C12322" s="4">
        <v>289</v>
      </c>
      <c r="D12322" s="39">
        <f t="shared" si="2297"/>
        <v>55599</v>
      </c>
      <c r="E12322" s="1">
        <v>4</v>
      </c>
      <c r="F12322" s="39">
        <f t="shared" si="2296"/>
        <v>1007</v>
      </c>
      <c r="G12322" s="168">
        <f>SUM(C12322,C12298,C12274,C12250,C12226,C12202,C12178,C12154,C12130,C12106,C12082,C12058,C12034,C12010)/POBLA!$B$9*100000</f>
        <v>612.5318699984964</v>
      </c>
      <c r="H12322" s="256">
        <f t="shared" si="2301"/>
        <v>0.63248592390377067</v>
      </c>
      <c r="I12322" s="297">
        <f>G12322*H12322</f>
        <v>387.41778571650337</v>
      </c>
      <c r="J12322" s="422">
        <f t="shared" si="2299"/>
        <v>249.14285714285714</v>
      </c>
      <c r="K12322" s="297">
        <f>J12322/POBLA!$B$9*100000</f>
        <v>41.167504770024955</v>
      </c>
      <c r="L12322" s="200">
        <f t="shared" si="2300"/>
        <v>-0.11156393275598575</v>
      </c>
      <c r="M12322" s="401">
        <f>SUM(C12322,C12298,C12274,C12250,C12226,C12202,C12178)/POBLA!$B$9*100000</f>
        <v>288.17253339017469</v>
      </c>
      <c r="N12322" s="42" t="s">
        <v>41</v>
      </c>
      <c r="O12322" s="42">
        <v>2</v>
      </c>
      <c r="P12322" s="42">
        <v>2</v>
      </c>
      <c r="Q12322" s="42">
        <v>0</v>
      </c>
      <c r="R12322" s="42">
        <v>4</v>
      </c>
    </row>
    <row r="12323" spans="1:18" x14ac:dyDescent="0.25">
      <c r="A12323" s="367" t="s">
        <v>32</v>
      </c>
      <c r="B12323" s="2">
        <v>44406</v>
      </c>
      <c r="C12323" s="4">
        <v>193</v>
      </c>
      <c r="D12323" s="39">
        <f t="shared" si="2297"/>
        <v>43131</v>
      </c>
      <c r="E12323" s="1">
        <v>6</v>
      </c>
      <c r="F12323" s="39">
        <f t="shared" si="2296"/>
        <v>1307</v>
      </c>
      <c r="G12323" s="168">
        <f>SUM(C12323,C12299,C12275,C12251,C12227,C12203,C12179,C12155,C12131,C12107,C12083,C12059,C12035,C12011)/POBLA!$B$10*100000</f>
        <v>395.65120946034472</v>
      </c>
      <c r="H12323" s="256">
        <f t="shared" si="2301"/>
        <v>0.77078594895122565</v>
      </c>
      <c r="I12323" s="297">
        <f t="shared" ref="I12323:I12337" si="2302">G12323*H12323</f>
        <v>304.96239293759197</v>
      </c>
      <c r="J12323" s="422">
        <f t="shared" si="2299"/>
        <v>186.57142857142858</v>
      </c>
      <c r="K12323" s="297">
        <f>J12323/POBLA!$B$10*100000</f>
        <v>24.202364381977063</v>
      </c>
      <c r="L12323" s="200">
        <f t="shared" si="2300"/>
        <v>-0.25114678899082565</v>
      </c>
      <c r="M12323" s="401">
        <f>SUM(C12323,C12299,C12275,C12251,C12227,C12203,C12179)/POBLA!$B$10*100000</f>
        <v>169.41655067383942</v>
      </c>
      <c r="N12323" s="42" t="s">
        <v>32</v>
      </c>
      <c r="O12323" s="42">
        <v>1</v>
      </c>
      <c r="P12323" s="42">
        <v>5</v>
      </c>
      <c r="Q12323" s="42">
        <v>0</v>
      </c>
      <c r="R12323" s="42">
        <v>6</v>
      </c>
    </row>
    <row r="12324" spans="1:18" x14ac:dyDescent="0.25">
      <c r="A12324" s="367" t="s">
        <v>33</v>
      </c>
      <c r="B12324" s="2">
        <v>44406</v>
      </c>
      <c r="C12324" s="4">
        <v>312</v>
      </c>
      <c r="D12324" s="39">
        <f t="shared" si="2297"/>
        <v>60983</v>
      </c>
      <c r="E12324" s="1">
        <v>4</v>
      </c>
      <c r="F12324" s="39">
        <f t="shared" si="2296"/>
        <v>829</v>
      </c>
      <c r="G12324" s="168">
        <f>SUM(C12324,C12300,C12276,C12252,C12228,C12204,C12180,C12156,C12132,C12108,C12084,C12060,C12036,C12012)/POBLA!$B$11*100000</f>
        <v>1090.3166047295413</v>
      </c>
      <c r="H12324" s="256">
        <f t="shared" si="2301"/>
        <v>1.0485645291118861</v>
      </c>
      <c r="I12324" s="297">
        <f t="shared" si="2302"/>
        <v>1143.2673172211018</v>
      </c>
      <c r="J12324" s="422">
        <f t="shared" si="2299"/>
        <v>293.71428571428572</v>
      </c>
      <c r="K12324" s="297">
        <f>J12324/POBLA!$B$11*100000</f>
        <v>81.94512864906919</v>
      </c>
      <c r="L12324" s="200">
        <f t="shared" si="2300"/>
        <v>0.1101511879049677</v>
      </c>
      <c r="M12324" s="401">
        <f>SUM(C12324,C12300,C12276,C12252,C12228,C12204,C12180)/POBLA!$B$11*100000</f>
        <v>573.61590054348426</v>
      </c>
      <c r="N12324" s="42" t="s">
        <v>33</v>
      </c>
      <c r="O12324" s="42">
        <v>4</v>
      </c>
      <c r="P12324" s="42">
        <v>0</v>
      </c>
      <c r="Q12324" s="42">
        <v>0</v>
      </c>
      <c r="R12324" s="42">
        <v>4</v>
      </c>
    </row>
    <row r="12325" spans="1:18" x14ac:dyDescent="0.25">
      <c r="A12325" s="367" t="s">
        <v>21</v>
      </c>
      <c r="B12325" s="2">
        <v>44406</v>
      </c>
      <c r="C12325" s="4">
        <v>199</v>
      </c>
      <c r="D12325" s="39">
        <f t="shared" si="2297"/>
        <v>27795</v>
      </c>
      <c r="F12325" s="39">
        <f t="shared" si="2296"/>
        <v>767</v>
      </c>
      <c r="G12325" s="168">
        <f>SUM(C12325,C12301,C12277,C12253,C12229,C12205,C12181,C12157,C12133,C12109,C12085,C12061,C12037,C12013)/POBLA!$B$12*100000</f>
        <v>698.03903631480114</v>
      </c>
      <c r="H12325" s="256">
        <f t="shared" si="2301"/>
        <v>1.0397426192278576</v>
      </c>
      <c r="I12325" s="297">
        <f t="shared" si="2302"/>
        <v>725.78093594124095</v>
      </c>
      <c r="J12325" s="422">
        <f t="shared" si="2299"/>
        <v>219.28571428571428</v>
      </c>
      <c r="K12325" s="297">
        <f>J12325/POBLA!$B$12*100000</f>
        <v>55.722602358064371</v>
      </c>
      <c r="L12325" s="200">
        <f t="shared" si="2300"/>
        <v>0.26650165016501659</v>
      </c>
      <c r="M12325" s="401">
        <f>SUM(C12325,C12301,C12277,C12253,C12229,C12205,C12181)/POBLA!$B$12*100000</f>
        <v>390.05821650645055</v>
      </c>
    </row>
    <row r="12326" spans="1:18" x14ac:dyDescent="0.25">
      <c r="A12326" s="367" t="s">
        <v>17</v>
      </c>
      <c r="B12326" s="2">
        <v>44406</v>
      </c>
      <c r="C12326" s="4">
        <v>466</v>
      </c>
      <c r="D12326" s="39">
        <f t="shared" si="2297"/>
        <v>153285</v>
      </c>
      <c r="E12326" s="1">
        <v>5</v>
      </c>
      <c r="F12326" s="39">
        <f t="shared" si="2296"/>
        <v>3886</v>
      </c>
      <c r="G12326" s="168">
        <f>SUM(C12326,C12302,C12278,C12254,C12230,C12206,C12182,C12158,C12134,C12110,C12086,C12062,C12038,C12014)/POBLA!$B$13*100000</f>
        <v>294.22138350370642</v>
      </c>
      <c r="H12326" s="256">
        <f t="shared" si="2301"/>
        <v>0.85489051094890511</v>
      </c>
      <c r="I12326" s="297">
        <f t="shared" si="2302"/>
        <v>251.52706887557736</v>
      </c>
      <c r="J12326" s="422">
        <f t="shared" si="2299"/>
        <v>419.14285714285717</v>
      </c>
      <c r="K12326" s="297">
        <f>J12326/POBLA!$B$13*100000</f>
        <v>21.058878298201471</v>
      </c>
      <c r="L12326" s="200">
        <f t="shared" si="2300"/>
        <v>4.1067761806981018E-3</v>
      </c>
      <c r="M12326" s="401">
        <f>SUM(C12326,C12302,C12278,C12254,C12230,C12206,C12182)/POBLA!$B$13*100000</f>
        <v>147.41214808741029</v>
      </c>
      <c r="N12326" s="42" t="s">
        <v>17</v>
      </c>
      <c r="O12326" s="42">
        <v>2</v>
      </c>
      <c r="P12326" s="42">
        <v>3</v>
      </c>
      <c r="Q12326" s="42">
        <v>0</v>
      </c>
      <c r="R12326" s="42">
        <v>5</v>
      </c>
    </row>
    <row r="12327" spans="1:18" x14ac:dyDescent="0.25">
      <c r="A12327" s="367" t="s">
        <v>23</v>
      </c>
      <c r="B12327" s="2">
        <v>44406</v>
      </c>
      <c r="C12327" s="4">
        <v>207</v>
      </c>
      <c r="D12327" s="39">
        <f t="shared" si="2297"/>
        <v>30524</v>
      </c>
      <c r="E12327" s="1">
        <v>15</v>
      </c>
      <c r="F12327" s="39">
        <f t="shared" si="2296"/>
        <v>536</v>
      </c>
      <c r="G12327" s="168">
        <f>SUM(C12327,C12303,C12279,C12255,C12231,C12207,C12183,C12159,C12135,C12111,C12087,C12063,C12039,C12015)/POBLA!$B$14*100000</f>
        <v>191.47002998507881</v>
      </c>
      <c r="H12327" s="256">
        <f t="shared" si="2301"/>
        <v>1.0587461639631741</v>
      </c>
      <c r="I12327" s="297">
        <f t="shared" si="2302"/>
        <v>202.71815976061612</v>
      </c>
      <c r="J12327" s="422">
        <f t="shared" si="2299"/>
        <v>175</v>
      </c>
      <c r="K12327" s="297">
        <f>J12327/POBLA!$B$14*100000</f>
        <v>13.874639853991217</v>
      </c>
      <c r="L12327" s="200">
        <f t="shared" si="2300"/>
        <v>2.9411764705882248E-2</v>
      </c>
      <c r="M12327" s="401">
        <f>SUM(C12327,C12303,C12279,C12255,C12231,C12207,C12183)/POBLA!$B$14*100000</f>
        <v>97.122478977938528</v>
      </c>
      <c r="N12327" s="42" t="s">
        <v>23</v>
      </c>
      <c r="O12327" s="42">
        <v>5</v>
      </c>
      <c r="P12327" s="42">
        <v>10</v>
      </c>
      <c r="Q12327" s="42">
        <v>0</v>
      </c>
      <c r="R12327" s="42">
        <v>15</v>
      </c>
    </row>
    <row r="12328" spans="1:18" x14ac:dyDescent="0.25">
      <c r="A12328" s="367" t="s">
        <v>19</v>
      </c>
      <c r="B12328" s="2">
        <v>44406</v>
      </c>
      <c r="C12328" s="4">
        <v>193</v>
      </c>
      <c r="D12328" s="39">
        <f t="shared" si="2297"/>
        <v>107078</v>
      </c>
      <c r="E12328" s="1">
        <v>11</v>
      </c>
      <c r="F12328" s="39">
        <f t="shared" si="2296"/>
        <v>2016</v>
      </c>
      <c r="G12328" s="168">
        <f>SUM(C12328,C12304,C12280,C12256,C12232,C12208,C12184,C12160,C12136,C12112,C12088,C12064,C12040,C12016)/POBLA!$B$15*100000</f>
        <v>407.94690817203946</v>
      </c>
      <c r="H12328" s="256">
        <f t="shared" si="2301"/>
        <v>0.99376375641966253</v>
      </c>
      <c r="I12328" s="297">
        <f t="shared" si="2302"/>
        <v>405.40285188483307</v>
      </c>
      <c r="J12328" s="422">
        <f t="shared" si="2299"/>
        <v>206.57142857142858</v>
      </c>
      <c r="K12328" s="297">
        <f>J12328/POBLA!$B$15*100000</f>
        <v>31.107484533922324</v>
      </c>
      <c r="L12328" s="200">
        <f t="shared" si="2300"/>
        <v>0.14489311163895491</v>
      </c>
      <c r="M12328" s="401">
        <f>SUM(C12328,C12304,C12280,C12256,C12232,C12208,C12184)/POBLA!$B$15*100000</f>
        <v>217.75239173745629</v>
      </c>
      <c r="N12328" s="42" t="s">
        <v>19</v>
      </c>
      <c r="O12328" s="42">
        <v>2</v>
      </c>
      <c r="P12328" s="42">
        <v>9</v>
      </c>
      <c r="Q12328" s="42">
        <v>0</v>
      </c>
      <c r="R12328" s="42">
        <v>11</v>
      </c>
    </row>
    <row r="12329" spans="1:18" x14ac:dyDescent="0.25">
      <c r="A12329" s="367" t="s">
        <v>18</v>
      </c>
      <c r="B12329" s="2">
        <v>44406</v>
      </c>
      <c r="C12329" s="4">
        <v>357</v>
      </c>
      <c r="D12329" s="39">
        <f t="shared" si="2297"/>
        <v>91746</v>
      </c>
      <c r="E12329" s="1">
        <v>15</v>
      </c>
      <c r="F12329" s="39">
        <f t="shared" si="2296"/>
        <v>2073</v>
      </c>
      <c r="G12329" s="168">
        <f>SUM(C12329,C12305,C12281,C12257,C12233,C12209,C12185,C12161,C12137,C12113,C12089,C12065,C12041,C12017)/POBLA!$B$16*100000</f>
        <v>554.29970171613536</v>
      </c>
      <c r="H12329" s="256">
        <f t="shared" si="2301"/>
        <v>1.3672055427251733</v>
      </c>
      <c r="I12329" s="297">
        <f t="shared" si="2302"/>
        <v>757.84162451721045</v>
      </c>
      <c r="J12329" s="422">
        <f t="shared" si="2299"/>
        <v>325.71428571428572</v>
      </c>
      <c r="K12329" s="297">
        <f>J12329/POBLA!$B$16*100000</f>
        <v>43.567406229756919</v>
      </c>
      <c r="L12329" s="200">
        <f t="shared" si="2300"/>
        <v>0.22317596566523612</v>
      </c>
      <c r="M12329" s="401">
        <f>SUM(C12329,C12305,C12281,C12257,C12233,C12209,C12185)/POBLA!$B$16*100000</f>
        <v>304.9718436082984</v>
      </c>
      <c r="N12329" s="42" t="s">
        <v>18</v>
      </c>
      <c r="O12329" s="42">
        <v>4</v>
      </c>
      <c r="P12329" s="42">
        <v>11</v>
      </c>
      <c r="Q12329" s="42">
        <v>0</v>
      </c>
      <c r="R12329" s="42">
        <v>15</v>
      </c>
    </row>
    <row r="12330" spans="1:18" x14ac:dyDescent="0.25">
      <c r="A12330" s="367" t="s">
        <v>34</v>
      </c>
      <c r="B12330" s="2">
        <v>44406</v>
      </c>
      <c r="C12330" s="4">
        <v>430</v>
      </c>
      <c r="D12330" s="39">
        <f>C12330+D12306</f>
        <v>74638</v>
      </c>
      <c r="E12330" s="1">
        <v>6</v>
      </c>
      <c r="F12330" s="39">
        <f t="shared" si="2296"/>
        <v>2077</v>
      </c>
      <c r="G12330" s="168">
        <f>SUM(C12330,C12306,C12282,C12258,C12234,C12210,C12186,C12162,C12138,C12114,C12090,C12066,C12042,C12018)/POBLA!$B$17*100000</f>
        <v>380.09066292613647</v>
      </c>
      <c r="H12330" s="256">
        <f t="shared" si="2301"/>
        <v>0.7510056873352754</v>
      </c>
      <c r="I12330" s="297">
        <f t="shared" si="2302"/>
        <v>285.45024956056358</v>
      </c>
      <c r="J12330" s="422">
        <f t="shared" si="2299"/>
        <v>351.85714285714283</v>
      </c>
      <c r="K12330" s="297">
        <f>J12330/POBLA!$B$17*100000</f>
        <v>24.702182246743206</v>
      </c>
      <c r="L12330" s="200">
        <f t="shared" si="2300"/>
        <v>-0.16536767197560154</v>
      </c>
      <c r="M12330" s="401">
        <f>SUM(C12330,C12306,C12282,C12258,C12234,C12210,C12186)/POBLA!$B$17*100000</f>
        <v>172.91527572720247</v>
      </c>
      <c r="N12330" s="42" t="s">
        <v>34</v>
      </c>
      <c r="O12330" s="42">
        <v>0</v>
      </c>
      <c r="P12330" s="42">
        <v>6</v>
      </c>
      <c r="Q12330" s="42">
        <v>0</v>
      </c>
      <c r="R12330" s="42">
        <v>6</v>
      </c>
    </row>
    <row r="12331" spans="1:18" x14ac:dyDescent="0.25">
      <c r="A12331" s="367" t="s">
        <v>35</v>
      </c>
      <c r="B12331" s="2">
        <v>44406</v>
      </c>
      <c r="C12331" s="4">
        <v>306</v>
      </c>
      <c r="D12331" s="39">
        <f t="shared" ref="D12331:D12337" si="2303">C12331+D12307</f>
        <v>60207</v>
      </c>
      <c r="E12331" s="1">
        <v>1</v>
      </c>
      <c r="F12331" s="39">
        <f t="shared" si="2296"/>
        <v>935</v>
      </c>
      <c r="G12331" s="168">
        <f>SUM(C12331,C12307,C12283,C12259,C12235,C12211,C12187,C12163,C12139,C12115,C12091,C12067,C12043,C12019)/POBLA!$B$18*100000</f>
        <v>544.15098493760377</v>
      </c>
      <c r="H12331" s="256">
        <f t="shared" si="2301"/>
        <v>0.87739938080495361</v>
      </c>
      <c r="I12331" s="297">
        <f t="shared" si="2302"/>
        <v>477.43773724865918</v>
      </c>
      <c r="J12331" s="422">
        <f t="shared" si="2299"/>
        <v>294.57142857142856</v>
      </c>
      <c r="K12331" s="297">
        <f>J12331/POBLA!$B$18*100000</f>
        <v>37.706735589654159</v>
      </c>
      <c r="L12331" s="200">
        <f t="shared" si="2300"/>
        <v>-5.8017359524897172E-2</v>
      </c>
      <c r="M12331" s="401">
        <f>SUM(C12331,C12307,C12283,C12259,C12235,C12211,C12187)/POBLA!$B$18*100000</f>
        <v>263.94714912757911</v>
      </c>
      <c r="N12331" s="42" t="s">
        <v>35</v>
      </c>
      <c r="O12331" s="42">
        <v>1</v>
      </c>
      <c r="P12331" s="42">
        <v>0</v>
      </c>
      <c r="Q12331" s="42">
        <v>0</v>
      </c>
      <c r="R12331" s="42">
        <v>1</v>
      </c>
    </row>
    <row r="12332" spans="1:18" x14ac:dyDescent="0.25">
      <c r="A12332" s="367" t="s">
        <v>36</v>
      </c>
      <c r="B12332" s="2">
        <v>44406</v>
      </c>
      <c r="C12332" s="4">
        <v>312</v>
      </c>
      <c r="D12332" s="39">
        <f t="shared" si="2303"/>
        <v>74401</v>
      </c>
      <c r="E12332" s="1">
        <v>5</v>
      </c>
      <c r="F12332" s="39">
        <f t="shared" si="2296"/>
        <v>1220</v>
      </c>
      <c r="G12332" s="168">
        <f>SUM(C12332,C12308,C12284,C12260,C12236,C12212,C12188,C12164,C12140,C12116,C12092,C12068,C12044,C12020)/POBLA!$B$19*100000</f>
        <v>721.77806455674283</v>
      </c>
      <c r="H12332" s="256">
        <f t="shared" si="2301"/>
        <v>0.7900516795865633</v>
      </c>
      <c r="I12332" s="297">
        <f t="shared" si="2302"/>
        <v>570.24197219179359</v>
      </c>
      <c r="J12332" s="422">
        <f t="shared" si="2299"/>
        <v>252</v>
      </c>
      <c r="K12332" s="297">
        <f>J12332/POBLA!$B$19*100000</f>
        <v>49.574290615508097</v>
      </c>
      <c r="L12332" s="200">
        <f t="shared" si="2300"/>
        <v>-7.401574803149602E-2</v>
      </c>
      <c r="M12332" s="401">
        <f>SUM(C12332,C12308,C12284,C12260,C12236,C12212,C12188)/POBLA!$B$19*100000</f>
        <v>347.02003430855672</v>
      </c>
      <c r="N12332" s="42" t="s">
        <v>36</v>
      </c>
      <c r="O12332" s="42">
        <v>3</v>
      </c>
      <c r="P12332" s="42">
        <v>2</v>
      </c>
      <c r="Q12332" s="42">
        <v>0</v>
      </c>
      <c r="R12332" s="42">
        <v>5</v>
      </c>
    </row>
    <row r="12333" spans="1:18" x14ac:dyDescent="0.25">
      <c r="A12333" s="367" t="s">
        <v>37</v>
      </c>
      <c r="B12333" s="2">
        <v>44406</v>
      </c>
      <c r="C12333" s="4">
        <v>80</v>
      </c>
      <c r="D12333" s="39">
        <f t="shared" si="2303"/>
        <v>57749</v>
      </c>
      <c r="E12333" s="1">
        <v>1</v>
      </c>
      <c r="F12333" s="39">
        <f>E12333+F12309</f>
        <v>934</v>
      </c>
      <c r="G12333" s="168">
        <f>SUM(C12333,C12309,C12286,C12261,C12237,C12213,C12189,C12165,C12141,C12117,C12093,C12069,C12045,C12021)/POBLA!$B$20*100000</f>
        <v>647.80228494550147</v>
      </c>
      <c r="H12333" s="256">
        <f t="shared" si="2301"/>
        <v>0.70168404170008014</v>
      </c>
      <c r="I12333" s="297">
        <f t="shared" si="2302"/>
        <v>454.55252552310645</v>
      </c>
      <c r="J12333" s="422">
        <f t="shared" si="2299"/>
        <v>61</v>
      </c>
      <c r="K12333" s="297">
        <f>J12333/POBLA!$B$20*100000</f>
        <v>16.680430300411818</v>
      </c>
      <c r="L12333" s="200">
        <f t="shared" si="2300"/>
        <v>-4.6875E-2</v>
      </c>
      <c r="M12333" s="401">
        <f>SUM(C12333,C12309,C12285,C12261,C12237,C12213,C12189)/POBLA!$B$20*100000</f>
        <v>116.76301210288271</v>
      </c>
      <c r="N12333" s="42" t="s">
        <v>37</v>
      </c>
      <c r="O12333" s="42">
        <v>1</v>
      </c>
      <c r="P12333" s="42">
        <v>0</v>
      </c>
      <c r="Q12333" s="42">
        <v>0</v>
      </c>
      <c r="R12333" s="42">
        <v>1</v>
      </c>
    </row>
    <row r="12334" spans="1:18" x14ac:dyDescent="0.25">
      <c r="A12334" s="367" t="s">
        <v>22</v>
      </c>
      <c r="B12334" s="2">
        <v>44406</v>
      </c>
      <c r="C12334" s="4">
        <v>1200</v>
      </c>
      <c r="D12334" s="39">
        <f t="shared" si="2303"/>
        <v>445408</v>
      </c>
      <c r="E12334" s="1">
        <v>46</v>
      </c>
      <c r="F12334" s="39">
        <f>E12334+F12310</f>
        <v>7796</v>
      </c>
      <c r="G12334" s="168">
        <f>SUM(C12334,C12310,C12286,C12262,C12238,C12214,C12190,C12166,C12142,C12118,C12094,C12070,C12046,C12022)/POBLA!$B$21*100000</f>
        <v>474.80246961756217</v>
      </c>
      <c r="H12334" s="256">
        <f t="shared" si="2301"/>
        <v>0.81104187798869731</v>
      </c>
      <c r="I12334" s="297">
        <f t="shared" si="2302"/>
        <v>385.084686632299</v>
      </c>
      <c r="J12334" s="422">
        <f t="shared" si="2299"/>
        <v>1186.5714285714287</v>
      </c>
      <c r="K12334" s="297">
        <f>J12334/POBLA!$B$21*100000</f>
        <v>33.552917912176355</v>
      </c>
      <c r="L12334" s="200">
        <f t="shared" si="2300"/>
        <v>-2.109605185621688E-2</v>
      </c>
      <c r="M12334" s="401">
        <f>SUM(C12334,C12310,C12286,C12262,C12238,C12214,C12190)/POBLA!$B$21*100000</f>
        <v>234.87042538523443</v>
      </c>
      <c r="N12334" s="42" t="s">
        <v>22</v>
      </c>
      <c r="O12334" s="42">
        <v>20</v>
      </c>
      <c r="P12334" s="42">
        <v>24</v>
      </c>
      <c r="Q12334" s="42">
        <v>2</v>
      </c>
      <c r="R12334" s="42">
        <v>46</v>
      </c>
    </row>
    <row r="12335" spans="1:18" x14ac:dyDescent="0.25">
      <c r="A12335" s="367" t="s">
        <v>38</v>
      </c>
      <c r="B12335" s="2">
        <v>44406</v>
      </c>
      <c r="C12335" s="4">
        <v>395</v>
      </c>
      <c r="D12335" s="39">
        <f t="shared" si="2303"/>
        <v>72814</v>
      </c>
      <c r="E12335" s="1">
        <v>11</v>
      </c>
      <c r="F12335" s="39">
        <f>E12335+F12311</f>
        <v>1039</v>
      </c>
      <c r="G12335" s="168">
        <f>SUM(C12335,C12311,C12287,C12263,C12239,C12215,C12191,C12167,C12143,C12119,C12095,C12071,C12047,C12023)/POBLA!$B$22*100000</f>
        <v>513.23042829850976</v>
      </c>
      <c r="H12335" s="256">
        <f t="shared" si="2301"/>
        <v>0.66205168776371304</v>
      </c>
      <c r="I12335" s="297">
        <f t="shared" si="2302"/>
        <v>339.78507126672167</v>
      </c>
      <c r="J12335" s="422">
        <f t="shared" si="2299"/>
        <v>334.28571428571428</v>
      </c>
      <c r="K12335" s="297">
        <f>J12335/POBLA!$B$22*100000</f>
        <v>34.169607710999884</v>
      </c>
      <c r="L12335" s="200">
        <f t="shared" si="2300"/>
        <v>-0.12719134651249531</v>
      </c>
      <c r="M12335" s="401">
        <f>SUM(C12335,C12311,C12287,C12263,C12239,C12215,C12191)/POBLA!$B$22*100000</f>
        <v>239.18725397699919</v>
      </c>
      <c r="N12335" s="42" t="s">
        <v>38</v>
      </c>
      <c r="O12335" s="42">
        <v>2</v>
      </c>
      <c r="P12335" s="42">
        <v>9</v>
      </c>
      <c r="Q12335" s="42">
        <v>0</v>
      </c>
      <c r="R12335" s="42">
        <v>11</v>
      </c>
    </row>
    <row r="12336" spans="1:18" x14ac:dyDescent="0.25">
      <c r="A12336" s="367" t="s">
        <v>39</v>
      </c>
      <c r="B12336" s="2">
        <v>44406</v>
      </c>
      <c r="C12336" s="4">
        <v>81</v>
      </c>
      <c r="D12336" s="39">
        <f t="shared" si="2303"/>
        <v>31105</v>
      </c>
      <c r="E12336" s="1">
        <v>1</v>
      </c>
      <c r="F12336" s="39">
        <f>E12336+F12312</f>
        <v>467</v>
      </c>
      <c r="G12336" s="168">
        <f>SUM(C12336,C12312,C12288,C12264,C12240,C12216,C12192,C12168,C12144,C12120,C12096,C12072,C12048,C12024)/POBLA!$B$23*100000</f>
        <v>378.32946898150766</v>
      </c>
      <c r="H12336" s="256">
        <f t="shared" si="2301"/>
        <v>1.0842787682333874</v>
      </c>
      <c r="I12336" s="297">
        <f t="shared" si="2302"/>
        <v>410.21461061366068</v>
      </c>
      <c r="J12336" s="422">
        <f t="shared" si="2299"/>
        <v>50.142857142857146</v>
      </c>
      <c r="K12336" s="297">
        <f>J12336/POBLA!$B$23*100000</f>
        <v>28.356532908927868</v>
      </c>
      <c r="L12336" s="200">
        <f t="shared" si="2300"/>
        <v>0.10377358490566047</v>
      </c>
      <c r="M12336" s="401">
        <f>SUM(C12336,C12312,C12288,C12264,C12240,C12216,C12192)/POBLA!$B$23*100000</f>
        <v>198.49573036249507</v>
      </c>
      <c r="N12336" s="42" t="s">
        <v>39</v>
      </c>
      <c r="O12336" s="42">
        <v>0</v>
      </c>
      <c r="P12336" s="42">
        <v>1</v>
      </c>
      <c r="Q12336" s="42">
        <v>0</v>
      </c>
      <c r="R12336" s="42">
        <v>1</v>
      </c>
    </row>
    <row r="12337" spans="1:18" ht="15.75" thickBot="1" x14ac:dyDescent="0.3">
      <c r="A12337" s="369" t="s">
        <v>40</v>
      </c>
      <c r="B12337" s="2">
        <v>44406</v>
      </c>
      <c r="C12337" s="357">
        <v>566</v>
      </c>
      <c r="D12337" s="176">
        <f t="shared" si="2303"/>
        <v>179800</v>
      </c>
      <c r="E12337" s="44">
        <v>3</v>
      </c>
      <c r="F12337" s="176">
        <f>E12337+F12313</f>
        <v>2561</v>
      </c>
      <c r="G12337" s="177">
        <f>SUM(C12337,C12313,C12289,C12265,C12241,C12217,C12193,C12169,C12145,C12121,C12097,C12073,C12049,C12025)/POBLA!$B$24*100000</f>
        <v>569.73214622908722</v>
      </c>
      <c r="H12337" s="402">
        <f t="shared" si="2301"/>
        <v>0.86090057958091837</v>
      </c>
      <c r="I12337" s="403">
        <f t="shared" si="2302"/>
        <v>490.48273489450173</v>
      </c>
      <c r="J12337" s="423">
        <f t="shared" si="2299"/>
        <v>679.14285714285711</v>
      </c>
      <c r="K12337" s="403">
        <f>J12337/POBLA!$B$24*100000</f>
        <v>40.075558528861144</v>
      </c>
      <c r="L12337" s="404">
        <f t="shared" si="2300"/>
        <v>-2.9993878800244844E-2</v>
      </c>
      <c r="M12337" s="405">
        <f>SUM(C12337,C12313,C12289,C12265,C12241,C12217,C12193)/POBLA!$B$24*100000</f>
        <v>280.52890970202799</v>
      </c>
      <c r="N12337" s="42" t="s">
        <v>40</v>
      </c>
      <c r="O12337" s="42">
        <v>1</v>
      </c>
      <c r="P12337" s="42">
        <v>2</v>
      </c>
      <c r="Q12337" s="42">
        <v>0</v>
      </c>
      <c r="R12337" s="42">
        <v>3</v>
      </c>
    </row>
    <row r="12338" spans="1:18" x14ac:dyDescent="0.25">
      <c r="A12338" s="363" t="s">
        <v>16</v>
      </c>
      <c r="B12338" s="265">
        <v>44407</v>
      </c>
      <c r="C12338" s="637">
        <v>3593</v>
      </c>
      <c r="D12338" s="174">
        <f>C12338+D12314</f>
        <v>1971973</v>
      </c>
      <c r="E12338" s="637">
        <v>246</v>
      </c>
      <c r="F12338" s="174">
        <f t="shared" ref="F12338:F12356" si="2304">E12338+F12314</f>
        <v>52176</v>
      </c>
      <c r="G12338" s="175">
        <f>SUM(C12338,C12314,C12266,C12290,C12242,C12218,C12194,C12170,C12146,C12122,C12098,C12074,C12050,C12026)/POBLA!$B$1*100000</f>
        <v>283.09446916822571</v>
      </c>
      <c r="H12338" s="300">
        <f t="shared" si="2301"/>
        <v>0.74592921949167823</v>
      </c>
      <c r="I12338" s="301">
        <f>G12338*H12338</f>
        <v>211.16843642906557</v>
      </c>
      <c r="J12338" s="421">
        <f>AVERAGE(C12338,C12314,C12290,C12266,C12242,C12218,C12194)</f>
        <v>3400.1428571428573</v>
      </c>
      <c r="K12338" s="301">
        <f>J12338/POBLA!$B$1*100000</f>
        <v>19.383818060312368</v>
      </c>
      <c r="L12338" s="399">
        <f>(SUM(C12338,C12314,C12290,C12266,C12242,C12218,C12194)/SUM(C12170,C12146,C12122,C12098,C12074,C12050,C12026))-1</f>
        <v>-7.9514251459952834E-2</v>
      </c>
      <c r="M12338" s="400">
        <f>SUM(C12338,C12314,C12290,C12266,C12242,C12218,C12194)/POBLA!$B$1*100000</f>
        <v>135.68672642218655</v>
      </c>
      <c r="N12338" s="42" t="s">
        <v>16</v>
      </c>
      <c r="O12338" s="42">
        <v>93</v>
      </c>
      <c r="P12338" s="42">
        <v>152</v>
      </c>
      <c r="Q12338" s="42">
        <v>1</v>
      </c>
      <c r="R12338" s="42">
        <v>246</v>
      </c>
    </row>
    <row r="12339" spans="1:18" x14ac:dyDescent="0.25">
      <c r="A12339" s="367" t="s">
        <v>43</v>
      </c>
      <c r="B12339" s="2">
        <v>44407</v>
      </c>
      <c r="C12339" s="637">
        <v>682</v>
      </c>
      <c r="D12339" s="39">
        <f t="shared" ref="D12339:D12353" si="2305">C12339+D12315</f>
        <v>490894</v>
      </c>
      <c r="E12339" s="637">
        <v>11</v>
      </c>
      <c r="F12339" s="39">
        <f t="shared" si="2304"/>
        <v>10892</v>
      </c>
      <c r="G12339" s="168">
        <f>SUM(C12339,C12315,C12291,C12267,C12243,C12219,C12195,C12171,C12147,C12123,C12099,C12075,C12051,C12027)/POBLA!$B$2*100000</f>
        <v>343.86272022202814</v>
      </c>
      <c r="H12339" s="256">
        <f t="shared" si="2301"/>
        <v>0.76955541002692285</v>
      </c>
      <c r="I12339" s="297">
        <f t="shared" ref="I12339:I12345" si="2306">G12339*H12339</f>
        <v>264.62141665343592</v>
      </c>
      <c r="J12339" s="422">
        <f>AVERAGE(C12339,C12315,C12291,C12267,C12243,C12219,C12195)</f>
        <v>720.14285714285711</v>
      </c>
      <c r="K12339" s="297">
        <f>J12339/POBLA!$B$2*100000</f>
        <v>23.41436098767079</v>
      </c>
      <c r="L12339" s="200">
        <f>(SUM(C12339,C12315,C12291,C12267,C12243,C12219,C12195)/SUM(C12171,C12147,C12123,C12099,C12075,C12051,C12027))-1</f>
        <v>-8.9250225835591723E-2</v>
      </c>
      <c r="M12339" s="401">
        <f>SUM(C12339,C12315,C12291,C12267,C12243,C12219,C12195)/POBLA!$B$2*100000</f>
        <v>163.90052691369553</v>
      </c>
      <c r="N12339" s="42" t="s">
        <v>43</v>
      </c>
      <c r="O12339" s="42">
        <v>3</v>
      </c>
      <c r="P12339" s="42">
        <v>8</v>
      </c>
      <c r="Q12339" s="42">
        <v>0</v>
      </c>
      <c r="R12339" s="42">
        <v>11</v>
      </c>
    </row>
    <row r="12340" spans="1:18" x14ac:dyDescent="0.25">
      <c r="A12340" s="367" t="s">
        <v>28</v>
      </c>
      <c r="B12340" s="2">
        <v>44407</v>
      </c>
      <c r="C12340" s="637">
        <v>229</v>
      </c>
      <c r="D12340" s="39">
        <f t="shared" si="2305"/>
        <v>42149</v>
      </c>
      <c r="E12340" s="637">
        <v>32</v>
      </c>
      <c r="F12340" s="39">
        <f t="shared" si="2304"/>
        <v>482</v>
      </c>
      <c r="G12340" s="168">
        <f>SUM(C12340,C12316,C12292,C12268,C12244,C12220,C12196,C12172,C12148,C12124,C12100,C12076,C12052,C12028)/POBLA!$B$3*100000</f>
        <v>843.92857658663877</v>
      </c>
      <c r="H12340" s="256">
        <f t="shared" si="2301"/>
        <v>0.9284957627118644</v>
      </c>
      <c r="I12340" s="297">
        <f t="shared" si="2306"/>
        <v>783.58410739214924</v>
      </c>
      <c r="J12340" s="422">
        <f t="shared" ref="J12340:J12361" si="2307">AVERAGE(C12340,C12316,C12292,C12268,C12244,C12220,C12196)</f>
        <v>255.85714285714286</v>
      </c>
      <c r="K12340" s="297">
        <f>J12340/POBLA!$B$3*100000</f>
        <v>61.587322983728711</v>
      </c>
      <c r="L12340" s="200">
        <f t="shared" ref="L12340:L12361" si="2308">(SUM(C12340,C12316,C12292,C12268,C12244,C12220,C12196)/SUM(C12172,C12148,C12124,C12100,C12076,C12052,C12028))-1</f>
        <v>4.431486880466462E-2</v>
      </c>
      <c r="M12340" s="401">
        <f>SUM(C12340,C12316,C12292,C12268,C12244,C12220,C12196)/POBLA!$B$3*100000</f>
        <v>431.11126088610092</v>
      </c>
      <c r="N12340" s="42" t="s">
        <v>28</v>
      </c>
      <c r="O12340" s="42">
        <v>16</v>
      </c>
      <c r="P12340" s="42">
        <v>16</v>
      </c>
      <c r="Q12340" s="42">
        <v>0</v>
      </c>
      <c r="R12340" s="42">
        <v>32</v>
      </c>
    </row>
    <row r="12341" spans="1:18" x14ac:dyDescent="0.25">
      <c r="A12341" s="367" t="s">
        <v>15</v>
      </c>
      <c r="B12341" s="2">
        <v>44407</v>
      </c>
      <c r="C12341" s="637">
        <v>444</v>
      </c>
      <c r="D12341" s="39">
        <f t="shared" si="2305"/>
        <v>91062</v>
      </c>
      <c r="E12341" s="637">
        <v>5</v>
      </c>
      <c r="F12341" s="39">
        <f t="shared" si="2304"/>
        <v>2003</v>
      </c>
      <c r="G12341" s="168">
        <f>SUM(C12341,C12317,C12293,C12269,C12245,C12221,C12197,C12173,C12149,C12125,C12101,C12077,C12053,C12029)/POBLA!$B$4*100000</f>
        <v>461.586612659926</v>
      </c>
      <c r="H12341" s="256">
        <f t="shared" si="2301"/>
        <v>0.76499724821133741</v>
      </c>
      <c r="I12341" s="297">
        <f t="shared" si="2306"/>
        <v>353.11248849603589</v>
      </c>
      <c r="J12341" s="422">
        <f t="shared" si="2307"/>
        <v>430.71428571428572</v>
      </c>
      <c r="K12341" s="297">
        <f>J12341/POBLA!$B$4*100000</f>
        <v>35.757544634369914</v>
      </c>
      <c r="L12341" s="200">
        <f t="shared" si="2308"/>
        <v>0.18467583497053042</v>
      </c>
      <c r="M12341" s="401">
        <f>SUM(C12341,C12317,C12293,C12269,C12245,C12221,C12197)/POBLA!$B$4*100000</f>
        <v>250.30281244058941</v>
      </c>
      <c r="N12341" s="42" t="s">
        <v>15</v>
      </c>
      <c r="O12341" s="42">
        <v>3</v>
      </c>
      <c r="P12341" s="42">
        <v>2</v>
      </c>
      <c r="Q12341" s="42">
        <v>0</v>
      </c>
      <c r="R12341" s="42">
        <v>5</v>
      </c>
    </row>
    <row r="12342" spans="1:18" x14ac:dyDescent="0.25">
      <c r="A12342" s="367" t="s">
        <v>29</v>
      </c>
      <c r="B12342" s="2">
        <v>44407</v>
      </c>
      <c r="C12342" s="637">
        <v>274</v>
      </c>
      <c r="D12342" s="39">
        <f t="shared" si="2305"/>
        <v>76198</v>
      </c>
      <c r="E12342" s="637">
        <v>2</v>
      </c>
      <c r="F12342" s="39">
        <f t="shared" si="2304"/>
        <v>1307</v>
      </c>
      <c r="G12342" s="168">
        <f>SUM(C12342,C12318,C12294,C12270,C12246,C12222,C12198,C12174,C12150,C12126,C12102,C12078,C12054,C12030)/POBLA!$B$5*100000</f>
        <v>407.5968426188299</v>
      </c>
      <c r="H12342" s="256">
        <f t="shared" si="2301"/>
        <v>1.060529634300126</v>
      </c>
      <c r="I12342" s="297">
        <f t="shared" si="2306"/>
        <v>432.26853044443368</v>
      </c>
      <c r="J12342" s="422">
        <f t="shared" si="2307"/>
        <v>191</v>
      </c>
      <c r="K12342" s="297">
        <f>J12342/POBLA!$B$5*100000</f>
        <v>30.856518803090172</v>
      </c>
      <c r="L12342" s="200">
        <f t="shared" si="2308"/>
        <v>0.12731871838111308</v>
      </c>
      <c r="M12342" s="401">
        <f>SUM(C12342,C12318,C12294,C12270,C12246,C12222,C12198)/POBLA!$B$5*100000</f>
        <v>215.99563162163125</v>
      </c>
      <c r="N12342" s="42" t="s">
        <v>29</v>
      </c>
      <c r="O12342" s="42">
        <v>0</v>
      </c>
      <c r="P12342" s="42">
        <v>1</v>
      </c>
      <c r="Q12342" s="42">
        <v>1</v>
      </c>
      <c r="R12342" s="42">
        <v>2</v>
      </c>
    </row>
    <row r="12343" spans="1:18" x14ac:dyDescent="0.25">
      <c r="A12343" s="367" t="s">
        <v>30</v>
      </c>
      <c r="B12343" s="2">
        <v>44407</v>
      </c>
      <c r="C12343" s="637">
        <v>453</v>
      </c>
      <c r="D12343" s="39">
        <f t="shared" si="2305"/>
        <v>448343</v>
      </c>
      <c r="E12343" s="637">
        <v>1</v>
      </c>
      <c r="F12343" s="39">
        <f t="shared" si="2304"/>
        <v>5862</v>
      </c>
      <c r="G12343" s="168">
        <f>SUM(C12343,C12319,C12295,C12271,C12247,C12223,C12199,C12175,C12151,C12127,C12103,C12079,C12055,C12031)/POBLA!$B$6*100000</f>
        <v>580.03160239864167</v>
      </c>
      <c r="H12343" s="256">
        <f t="shared" si="2301"/>
        <v>1.0220091180631976</v>
      </c>
      <c r="I12343" s="297">
        <f t="shared" si="2306"/>
        <v>592.79758641621902</v>
      </c>
      <c r="J12343" s="422">
        <f t="shared" si="2307"/>
        <v>474.85714285714283</v>
      </c>
      <c r="K12343" s="297">
        <f>J12343/POBLA!$B$6*100000</f>
        <v>42.367658742019579</v>
      </c>
      <c r="L12343" s="200">
        <f t="shared" si="2308"/>
        <v>4.627006610009432E-2</v>
      </c>
      <c r="M12343" s="401">
        <f>SUM(C12343,C12319,C12295,C12271,C12247,C12223,C12199)/POBLA!$B$6*100000</f>
        <v>296.57361119413702</v>
      </c>
      <c r="N12343" s="42" t="s">
        <v>30</v>
      </c>
      <c r="O12343" s="42">
        <v>0</v>
      </c>
      <c r="P12343" s="42">
        <v>1</v>
      </c>
      <c r="Q12343" s="42">
        <v>0</v>
      </c>
      <c r="R12343" s="42">
        <v>1</v>
      </c>
    </row>
    <row r="12344" spans="1:18" x14ac:dyDescent="0.25">
      <c r="A12344" s="367" t="s">
        <v>20</v>
      </c>
      <c r="B12344" s="2">
        <v>44407</v>
      </c>
      <c r="C12344" s="637">
        <v>1885</v>
      </c>
      <c r="D12344" s="39">
        <f t="shared" si="2305"/>
        <v>99293</v>
      </c>
      <c r="E12344" s="637">
        <v>15</v>
      </c>
      <c r="F12344" s="39">
        <f t="shared" si="2304"/>
        <v>1149</v>
      </c>
      <c r="G12344" s="168">
        <f>SUM(C12344,C12320,C12296,C12272,C12248,C12224,C12200,C12176,C12152,C12128,C12104,C12080,C12056,C12032)/POBLA!$B$7*100000</f>
        <v>635.21652993657676</v>
      </c>
      <c r="H12344" s="256">
        <f t="shared" si="2301"/>
        <v>0.86371854208851606</v>
      </c>
      <c r="I12344" s="297">
        <f t="shared" si="2306"/>
        <v>548.64829514734629</v>
      </c>
      <c r="J12344" s="422">
        <f t="shared" si="2307"/>
        <v>1929</v>
      </c>
      <c r="K12344" s="297">
        <f>J12344/POBLA!$B$7*100000</f>
        <v>51.297052214495601</v>
      </c>
      <c r="L12344" s="200">
        <f t="shared" si="2308"/>
        <v>0.30036594761171043</v>
      </c>
      <c r="M12344" s="401">
        <f>SUM(C12344,C12320,C12296,C12272,C12248,C12224,C12200)/POBLA!$B$7*100000</f>
        <v>359.07936550146923</v>
      </c>
      <c r="N12344" s="42" t="s">
        <v>20</v>
      </c>
      <c r="O12344" s="42">
        <v>2</v>
      </c>
      <c r="P12344" s="42">
        <v>13</v>
      </c>
      <c r="Q12344" s="42">
        <v>0</v>
      </c>
      <c r="R12344" s="42">
        <v>15</v>
      </c>
    </row>
    <row r="12345" spans="1:18" x14ac:dyDescent="0.25">
      <c r="A12345" s="367" t="s">
        <v>31</v>
      </c>
      <c r="B12345" s="2">
        <v>44407</v>
      </c>
      <c r="C12345" s="637">
        <v>358</v>
      </c>
      <c r="D12345" s="39">
        <f t="shared" si="2305"/>
        <v>127667</v>
      </c>
      <c r="E12345" s="637">
        <v>8</v>
      </c>
      <c r="F12345" s="39">
        <f t="shared" si="2304"/>
        <v>2136</v>
      </c>
      <c r="G12345" s="168">
        <f>SUM(C12345,C12321,C12297,C12273,C12249,C12225,C12201,C12177,C12153,C12129,C12105,C12081,C12057,C12033)/POBLA!$B$8*100000</f>
        <v>446.04429706174989</v>
      </c>
      <c r="H12345" s="256">
        <f t="shared" ref="H12345:H12368" si="2309">SUM(C12345,C12321,C12297,C12273,C12249,C12225,C12201,C12177,C12153,C12129,C12105,C12081,C12057,C12033,)/SUM(C12009,C11985,C11961,C11937,C11913,C11889,C11865,C11841,C11817,C11793,C11769,C11745,C11721,C11697)</f>
        <v>0.65626326963906578</v>
      </c>
      <c r="I12345" s="297">
        <f t="shared" si="2306"/>
        <v>292.72248879360274</v>
      </c>
      <c r="J12345" s="422">
        <f t="shared" si="2307"/>
        <v>400.57142857142856</v>
      </c>
      <c r="K12345" s="297">
        <f>J12345/POBLA!$B$8*100000</f>
        <v>28.902070734416665</v>
      </c>
      <c r="L12345" s="200">
        <f t="shared" si="2308"/>
        <v>-0.16992303137951448</v>
      </c>
      <c r="M12345" s="401">
        <f>SUM(C12345,C12321,C12297,C12273,C12249,C12225,C12201)/POBLA!$B$8*100000</f>
        <v>202.31449514091665</v>
      </c>
      <c r="N12345" s="42" t="s">
        <v>31</v>
      </c>
      <c r="O12345" s="42">
        <v>3</v>
      </c>
      <c r="P12345" s="42">
        <v>4</v>
      </c>
      <c r="Q12345" s="42">
        <v>1</v>
      </c>
      <c r="R12345" s="42">
        <v>8</v>
      </c>
    </row>
    <row r="12346" spans="1:18" x14ac:dyDescent="0.25">
      <c r="A12346" s="367" t="s">
        <v>41</v>
      </c>
      <c r="B12346" s="2">
        <v>44407</v>
      </c>
      <c r="C12346" s="637">
        <v>227</v>
      </c>
      <c r="D12346" s="39">
        <f t="shared" si="2305"/>
        <v>55826</v>
      </c>
      <c r="E12346" s="637">
        <v>4</v>
      </c>
      <c r="F12346" s="39">
        <f t="shared" si="2304"/>
        <v>1011</v>
      </c>
      <c r="G12346" s="168">
        <f>SUM(C12346,C12322,C12298,C12274,C12250,C12226,C12202,C12178,C12154,C12130,C12106,C12082,C12058,C12034)/POBLA!$B$9*100000</f>
        <v>597.82581754911246</v>
      </c>
      <c r="H12346" s="256">
        <f t="shared" si="2309"/>
        <v>0.62998432874804111</v>
      </c>
      <c r="I12346" s="297">
        <f>G12346*H12346</f>
        <v>376.62089637692651</v>
      </c>
      <c r="J12346" s="422">
        <f t="shared" si="2307"/>
        <v>245.57142857142858</v>
      </c>
      <c r="K12346" s="297">
        <f>J12346/POBLA!$B$9*100000</f>
        <v>40.577374254399601</v>
      </c>
      <c r="L12346" s="200">
        <f t="shared" si="2308"/>
        <v>-9.4786729857819885E-2</v>
      </c>
      <c r="M12346" s="401">
        <f>SUM(C12346,C12322,C12298,C12274,C12250,C12226,C12202)/POBLA!$B$9*100000</f>
        <v>284.04161978079719</v>
      </c>
      <c r="N12346" s="42" t="s">
        <v>41</v>
      </c>
      <c r="O12346" s="42">
        <v>0</v>
      </c>
      <c r="P12346" s="42">
        <v>4</v>
      </c>
      <c r="Q12346" s="42">
        <v>0</v>
      </c>
      <c r="R12346" s="42">
        <v>4</v>
      </c>
    </row>
    <row r="12347" spans="1:18" x14ac:dyDescent="0.25">
      <c r="A12347" s="367" t="s">
        <v>32</v>
      </c>
      <c r="B12347" s="2">
        <v>44407</v>
      </c>
      <c r="C12347" s="637">
        <v>226</v>
      </c>
      <c r="D12347" s="39">
        <f t="shared" si="2305"/>
        <v>43357</v>
      </c>
      <c r="E12347" s="637">
        <v>6</v>
      </c>
      <c r="F12347" s="39">
        <f t="shared" si="2304"/>
        <v>1313</v>
      </c>
      <c r="G12347" s="168">
        <f>SUM(C12347,C12323,C12299,C12275,C12251,C12227,C12203,C12179,C12155,C12131,C12107,C12083,C12059,C12035)/POBLA!$B$10*100000</f>
        <v>392.53788846786983</v>
      </c>
      <c r="H12347" s="256">
        <f t="shared" si="2309"/>
        <v>0.77252999744702577</v>
      </c>
      <c r="I12347" s="297">
        <f t="shared" ref="I12347:I12361" si="2310">G12347*H12347</f>
        <v>303.24729397594439</v>
      </c>
      <c r="J12347" s="422">
        <f t="shared" si="2307"/>
        <v>187.28571428571428</v>
      </c>
      <c r="K12347" s="297">
        <f>J12347/POBLA!$B$10*100000</f>
        <v>24.295022744848332</v>
      </c>
      <c r="L12347" s="200">
        <f t="shared" si="2308"/>
        <v>-0.23556851311953353</v>
      </c>
      <c r="M12347" s="401">
        <f>SUM(C12347,C12323,C12299,C12275,C12251,C12227,C12203)/POBLA!$B$10*100000</f>
        <v>170.06515921393833</v>
      </c>
      <c r="N12347" s="42" t="s">
        <v>32</v>
      </c>
      <c r="O12347" s="42">
        <v>4</v>
      </c>
      <c r="P12347" s="42">
        <v>2</v>
      </c>
      <c r="Q12347" s="42">
        <v>0</v>
      </c>
      <c r="R12347" s="42">
        <v>6</v>
      </c>
    </row>
    <row r="12348" spans="1:18" x14ac:dyDescent="0.25">
      <c r="A12348" s="367" t="s">
        <v>33</v>
      </c>
      <c r="B12348" s="2">
        <v>44407</v>
      </c>
      <c r="C12348" s="637">
        <v>289</v>
      </c>
      <c r="D12348" s="39">
        <f t="shared" si="2305"/>
        <v>61272</v>
      </c>
      <c r="E12348" s="637">
        <v>9</v>
      </c>
      <c r="F12348" s="39">
        <f t="shared" si="2304"/>
        <v>838</v>
      </c>
      <c r="G12348" s="168">
        <f>SUM(C12348,C12324,C12300,C12276,C12252,C12228,C12204,C12180,C12156,C12132,C12108,C12084,C12060,C12036)/POBLA!$B$11*100000</f>
        <v>1081.1097347305456</v>
      </c>
      <c r="H12348" s="256">
        <f t="shared" si="2309"/>
        <v>1.0202738283307005</v>
      </c>
      <c r="I12348" s="297">
        <f t="shared" si="2310"/>
        <v>1103.0279678991219</v>
      </c>
      <c r="J12348" s="422">
        <f t="shared" si="2307"/>
        <v>288.28571428571428</v>
      </c>
      <c r="K12348" s="297">
        <f>J12348/POBLA!$B$11*100000</f>
        <v>80.430578605944376</v>
      </c>
      <c r="L12348" s="200">
        <f t="shared" si="2308"/>
        <v>8.6698976844372666E-2</v>
      </c>
      <c r="M12348" s="401">
        <f>SUM(C12348,C12324,C12300,C12276,C12252,C12228,C12204)/POBLA!$B$11*100000</f>
        <v>563.01405024161056</v>
      </c>
      <c r="N12348" s="42" t="s">
        <v>33</v>
      </c>
      <c r="O12348" s="42">
        <v>4</v>
      </c>
      <c r="P12348" s="42">
        <v>5</v>
      </c>
      <c r="Q12348" s="42">
        <v>0</v>
      </c>
      <c r="R12348" s="42">
        <v>9</v>
      </c>
    </row>
    <row r="12349" spans="1:18" x14ac:dyDescent="0.25">
      <c r="A12349" s="367" t="s">
        <v>21</v>
      </c>
      <c r="B12349" s="2">
        <v>44407</v>
      </c>
      <c r="C12349" s="637">
        <v>346</v>
      </c>
      <c r="D12349" s="39">
        <f t="shared" si="2305"/>
        <v>28141</v>
      </c>
      <c r="E12349" s="637">
        <v>6</v>
      </c>
      <c r="F12349" s="39">
        <f t="shared" si="2304"/>
        <v>773</v>
      </c>
      <c r="G12349" s="168">
        <f>SUM(C12349,C12325,C12301,C12277,C12253,C12229,C12205,C12181,C12157,C12133,C12109,C12085,C12061,C12037)/POBLA!$B$12*100000</f>
        <v>711.76095402903456</v>
      </c>
      <c r="H12349" s="256">
        <f t="shared" si="2309"/>
        <v>1.0126536514822848</v>
      </c>
      <c r="I12349" s="297">
        <f t="shared" si="2310"/>
        <v>720.76732908001657</v>
      </c>
      <c r="J12349" s="422">
        <f t="shared" si="2307"/>
        <v>249.14285714285714</v>
      </c>
      <c r="K12349" s="297">
        <f>J12349/POBLA!$B$12*100000</f>
        <v>63.309588607468569</v>
      </c>
      <c r="L12349" s="200">
        <f t="shared" si="2308"/>
        <v>0.64995269631031216</v>
      </c>
      <c r="M12349" s="401">
        <f>SUM(C12349,C12325,C12301,C12277,C12253,C12229,C12205)/POBLA!$B$12*100000</f>
        <v>443.16712025227997</v>
      </c>
      <c r="N12349" s="42" t="s">
        <v>21</v>
      </c>
      <c r="O12349" s="42">
        <v>3</v>
      </c>
      <c r="P12349" s="42">
        <v>3</v>
      </c>
      <c r="Q12349" s="42">
        <v>0</v>
      </c>
      <c r="R12349" s="42">
        <v>6</v>
      </c>
    </row>
    <row r="12350" spans="1:18" x14ac:dyDescent="0.25">
      <c r="A12350" s="367" t="s">
        <v>17</v>
      </c>
      <c r="B12350" s="2">
        <v>44407</v>
      </c>
      <c r="C12350" s="637">
        <v>533</v>
      </c>
      <c r="D12350" s="39">
        <f t="shared" si="2305"/>
        <v>153818</v>
      </c>
      <c r="E12350" s="637">
        <v>17</v>
      </c>
      <c r="F12350" s="39">
        <f t="shared" si="2304"/>
        <v>3903</v>
      </c>
      <c r="G12350" s="168">
        <f>SUM(C12350,C12326,C12302,C12278,C12254,C12230,C12206,C12182,C12158,C12134,C12110,C12086,C12062,C12038)/POBLA!$B$13*100000</f>
        <v>293.56822810999944</v>
      </c>
      <c r="H12350" s="256">
        <f t="shared" si="2309"/>
        <v>0.88583990297149784</v>
      </c>
      <c r="I12350" s="297">
        <f t="shared" si="2310"/>
        <v>260.05445070447644</v>
      </c>
      <c r="J12350" s="422">
        <f t="shared" si="2307"/>
        <v>428.57142857142856</v>
      </c>
      <c r="K12350" s="297">
        <f>J12350/POBLA!$B$13*100000</f>
        <v>21.532595396934017</v>
      </c>
      <c r="L12350" s="200">
        <f t="shared" si="2308"/>
        <v>5.5223355610270808E-2</v>
      </c>
      <c r="M12350" s="401">
        <f>SUM(C12350,C12326,C12302,C12278,C12254,C12230,C12206)/POBLA!$B$13*100000</f>
        <v>150.72816777853814</v>
      </c>
      <c r="N12350" s="42" t="s">
        <v>17</v>
      </c>
      <c r="O12350" s="42">
        <v>6</v>
      </c>
      <c r="P12350" s="42">
        <v>11</v>
      </c>
      <c r="Q12350" s="42">
        <v>0</v>
      </c>
      <c r="R12350" s="42">
        <v>17</v>
      </c>
    </row>
    <row r="12351" spans="1:18" x14ac:dyDescent="0.25">
      <c r="A12351" s="367" t="s">
        <v>23</v>
      </c>
      <c r="B12351" s="2">
        <v>44407</v>
      </c>
      <c r="C12351" s="637">
        <v>175</v>
      </c>
      <c r="D12351" s="39">
        <f t="shared" si="2305"/>
        <v>30699</v>
      </c>
      <c r="E12351" s="637">
        <v>11</v>
      </c>
      <c r="F12351" s="39">
        <f t="shared" si="2304"/>
        <v>547</v>
      </c>
      <c r="G12351" s="168">
        <f>SUM(C12351,C12327,C12303,C12279,C12255,C12231,C12207,C12183,C12159,C12135,C12111,C12087,C12063,C12039)/POBLA!$B$14*100000</f>
        <v>192.34215020447255</v>
      </c>
      <c r="H12351" s="256">
        <f t="shared" si="2309"/>
        <v>1.053866203301477</v>
      </c>
      <c r="I12351" s="297">
        <f t="shared" si="2310"/>
        <v>202.70289157082988</v>
      </c>
      <c r="J12351" s="422">
        <f t="shared" si="2307"/>
        <v>175.85714285714286</v>
      </c>
      <c r="K12351" s="297">
        <f>J12351/POBLA!$B$14*100000</f>
        <v>13.942597273684237</v>
      </c>
      <c r="L12351" s="200">
        <f t="shared" si="2308"/>
        <v>3.0125523012552335E-2</v>
      </c>
      <c r="M12351" s="401">
        <f>SUM(C12351,C12327,C12303,C12279,C12255,C12231,C12207)/POBLA!$B$14*100000</f>
        <v>97.598180915789655</v>
      </c>
      <c r="N12351" s="42" t="s">
        <v>23</v>
      </c>
      <c r="O12351" s="42">
        <v>2</v>
      </c>
      <c r="P12351" s="42">
        <v>9</v>
      </c>
      <c r="Q12351" s="42">
        <v>0</v>
      </c>
      <c r="R12351" s="42">
        <v>11</v>
      </c>
    </row>
    <row r="12352" spans="1:18" x14ac:dyDescent="0.25">
      <c r="A12352" s="367" t="s">
        <v>19</v>
      </c>
      <c r="B12352" s="2">
        <v>44407</v>
      </c>
      <c r="C12352" s="637">
        <v>249</v>
      </c>
      <c r="D12352" s="39">
        <f t="shared" si="2305"/>
        <v>107327</v>
      </c>
      <c r="E12352" s="637"/>
      <c r="F12352" s="39">
        <f t="shared" si="2304"/>
        <v>2016</v>
      </c>
      <c r="G12352" s="168">
        <f>SUM(C12352,C12328,C12304,C12280,C12256,C12232,C12208,C12184,C12160,C12136,C12112,C12088,C12064,C12040)/POBLA!$B$15*100000</f>
        <v>410.95869782262668</v>
      </c>
      <c r="H12352" s="256">
        <f t="shared" si="2309"/>
        <v>1.0062684365781711</v>
      </c>
      <c r="I12352" s="297">
        <f t="shared" si="2310"/>
        <v>413.53476635617562</v>
      </c>
      <c r="J12352" s="422">
        <f t="shared" si="2307"/>
        <v>210</v>
      </c>
      <c r="K12352" s="297">
        <f>J12352/POBLA!$B$15*100000</f>
        <v>31.623791331165847</v>
      </c>
      <c r="L12352" s="200">
        <f t="shared" si="2308"/>
        <v>0.16759332803812543</v>
      </c>
      <c r="M12352" s="401">
        <f>SUM(C12352,C12328,C12304,C12280,C12256,C12232,C12208)/POBLA!$B$15*100000</f>
        <v>221.36653931816093</v>
      </c>
    </row>
    <row r="12353" spans="1:18" x14ac:dyDescent="0.25">
      <c r="A12353" s="367" t="s">
        <v>18</v>
      </c>
      <c r="B12353" s="2">
        <v>44407</v>
      </c>
      <c r="C12353" s="637">
        <v>349</v>
      </c>
      <c r="D12353" s="39">
        <f t="shared" si="2305"/>
        <v>92095</v>
      </c>
      <c r="E12353" s="637">
        <v>7</v>
      </c>
      <c r="F12353" s="39">
        <f t="shared" si="2304"/>
        <v>2080</v>
      </c>
      <c r="G12353" s="168">
        <f>SUM(C12353,C12329,C12305,C12281,C12257,C12233,C12209,C12185,C12161,C12137,C12113,C12089,C12065,C12041)/POBLA!$B$16*100000</f>
        <v>557.24241248779447</v>
      </c>
      <c r="H12353" s="256">
        <f t="shared" si="2309"/>
        <v>1.3344010249839846</v>
      </c>
      <c r="I12353" s="297">
        <f t="shared" si="2310"/>
        <v>743.58484638826133</v>
      </c>
      <c r="J12353" s="422">
        <f t="shared" si="2307"/>
        <v>323.28571428571428</v>
      </c>
      <c r="K12353" s="297">
        <f>J12353/POBLA!$B$16*100000</f>
        <v>43.242561534184169</v>
      </c>
      <c r="L12353" s="200">
        <f t="shared" si="2308"/>
        <v>0.18917498686284806</v>
      </c>
      <c r="M12353" s="401">
        <f>SUM(C12353,C12329,C12305,C12281,C12257,C12233,C12209)/POBLA!$B$16*100000</f>
        <v>302.69793073928918</v>
      </c>
      <c r="N12353" s="42" t="s">
        <v>18</v>
      </c>
      <c r="O12353" s="42">
        <v>4</v>
      </c>
      <c r="P12353" s="42">
        <v>3</v>
      </c>
      <c r="Q12353" s="42">
        <v>0</v>
      </c>
      <c r="R12353" s="42">
        <v>7</v>
      </c>
    </row>
    <row r="12354" spans="1:18" x14ac:dyDescent="0.25">
      <c r="A12354" s="367" t="s">
        <v>34</v>
      </c>
      <c r="B12354" s="2">
        <v>44407</v>
      </c>
      <c r="C12354" s="637">
        <v>370</v>
      </c>
      <c r="D12354" s="39">
        <f>C12354+D12330</f>
        <v>75008</v>
      </c>
      <c r="E12354" s="637">
        <v>13</v>
      </c>
      <c r="F12354" s="39">
        <f t="shared" si="2304"/>
        <v>2090</v>
      </c>
      <c r="G12354" s="168">
        <f>SUM(C12354,C12330,C12306,C12282,C12258,C12234,C12210,C12186,C12162,C12138,C12114,C12090,C12066,C12042)/POBLA!$B$17*100000</f>
        <v>362.1181454327691</v>
      </c>
      <c r="H12354" s="256">
        <f t="shared" si="2309"/>
        <v>0.70929592959295928</v>
      </c>
      <c r="I12354" s="297">
        <f t="shared" si="2310"/>
        <v>256.84892658721441</v>
      </c>
      <c r="J12354" s="422">
        <f t="shared" si="2307"/>
        <v>345.42857142857144</v>
      </c>
      <c r="K12354" s="297">
        <f>J12354/POBLA!$B$17*100000</f>
        <v>24.250863448081642</v>
      </c>
      <c r="L12354" s="200">
        <f t="shared" si="2308"/>
        <v>-0.11751824817518253</v>
      </c>
      <c r="M12354" s="401">
        <f>SUM(C12354,C12330,C12306,C12282,C12258,C12234,C12210)/POBLA!$B$17*100000</f>
        <v>169.75604413657146</v>
      </c>
      <c r="N12354" s="42" t="s">
        <v>34</v>
      </c>
      <c r="O12354" s="42">
        <v>5</v>
      </c>
      <c r="P12354" s="42">
        <v>8</v>
      </c>
      <c r="Q12354" s="42">
        <v>0</v>
      </c>
      <c r="R12354" s="42">
        <v>13</v>
      </c>
    </row>
    <row r="12355" spans="1:18" x14ac:dyDescent="0.25">
      <c r="A12355" s="367" t="s">
        <v>35</v>
      </c>
      <c r="B12355" s="2">
        <v>44407</v>
      </c>
      <c r="C12355" s="637">
        <v>337</v>
      </c>
      <c r="D12355" s="39">
        <f t="shared" ref="D12355:D12361" si="2311">C12355+D12331</f>
        <v>60544</v>
      </c>
      <c r="E12355" s="637">
        <v>9</v>
      </c>
      <c r="F12355" s="39">
        <f t="shared" si="2304"/>
        <v>944</v>
      </c>
      <c r="G12355" s="168">
        <f>SUM(C12355,C12331,C12307,C12283,C12259,C12235,C12211,C12187,C12163,C12139,C12115,C12091,C12067,C12043)/POBLA!$B$18*100000</f>
        <v>545.30303360013932</v>
      </c>
      <c r="H12355" s="256">
        <f t="shared" si="2309"/>
        <v>0.95665843251740401</v>
      </c>
      <c r="I12355" s="297">
        <f t="shared" si="2310"/>
        <v>521.66874537089461</v>
      </c>
      <c r="J12355" s="422">
        <f t="shared" si="2307"/>
        <v>303.42857142857144</v>
      </c>
      <c r="K12355" s="297">
        <f>J12355/POBLA!$B$18*100000</f>
        <v>38.840497765482759</v>
      </c>
      <c r="L12355" s="200">
        <f t="shared" si="2308"/>
        <v>-5.6179775280899014E-3</v>
      </c>
      <c r="M12355" s="401">
        <f>SUM(C12355,C12331,C12307,C12283,C12259,C12235,C12211)/POBLA!$B$18*100000</f>
        <v>271.88348435837929</v>
      </c>
      <c r="N12355" s="42" t="s">
        <v>35</v>
      </c>
      <c r="O12355" s="42">
        <v>5</v>
      </c>
      <c r="P12355" s="42">
        <v>4</v>
      </c>
      <c r="Q12355" s="42">
        <v>0</v>
      </c>
      <c r="R12355" s="42">
        <v>9</v>
      </c>
    </row>
    <row r="12356" spans="1:18" x14ac:dyDescent="0.25">
      <c r="A12356" s="367" t="s">
        <v>36</v>
      </c>
      <c r="B12356" s="2">
        <v>44407</v>
      </c>
      <c r="C12356" s="637">
        <v>268</v>
      </c>
      <c r="D12356" s="39">
        <f t="shared" si="2311"/>
        <v>74669</v>
      </c>
      <c r="E12356" s="637">
        <v>5</v>
      </c>
      <c r="F12356" s="39">
        <f t="shared" si="2304"/>
        <v>1225</v>
      </c>
      <c r="G12356" s="168">
        <f>SUM(C12356,C12332,C12308,C12284,C12260,C12236,C12212,C12188,C12164,C12140,C12116,C12092,C12068,C12044)/POBLA!$B$19*100000</f>
        <v>695.61385562078021</v>
      </c>
      <c r="H12356" s="256">
        <f t="shared" si="2309"/>
        <v>0.77577885037297056</v>
      </c>
      <c r="I12356" s="297">
        <f t="shared" si="2310"/>
        <v>539.64251721699839</v>
      </c>
      <c r="J12356" s="422">
        <f t="shared" si="2307"/>
        <v>253.71428571428572</v>
      </c>
      <c r="K12356" s="297">
        <f>J12356/POBLA!$B$19*100000</f>
        <v>49.91153068772244</v>
      </c>
      <c r="L12356" s="200">
        <f t="shared" si="2308"/>
        <v>9.0909090909090384E-3</v>
      </c>
      <c r="M12356" s="401">
        <f>SUM(C12356,C12332,C12308,C12284,C12260,C12236,C12212)/POBLA!$B$19*100000</f>
        <v>349.38071481405706</v>
      </c>
      <c r="N12356" s="42" t="s">
        <v>36</v>
      </c>
      <c r="O12356" s="42">
        <v>3</v>
      </c>
      <c r="P12356" s="42">
        <v>2</v>
      </c>
      <c r="Q12356" s="42">
        <v>0</v>
      </c>
      <c r="R12356" s="42">
        <v>5</v>
      </c>
    </row>
    <row r="12357" spans="1:18" x14ac:dyDescent="0.25">
      <c r="A12357" s="367" t="s">
        <v>37</v>
      </c>
      <c r="B12357" s="2">
        <v>44407</v>
      </c>
      <c r="C12357" s="637">
        <v>79</v>
      </c>
      <c r="D12357" s="39">
        <f t="shared" si="2311"/>
        <v>57828</v>
      </c>
      <c r="E12357" s="637"/>
      <c r="F12357" s="39">
        <f>E12357+F12333</f>
        <v>934</v>
      </c>
      <c r="G12357" s="168">
        <f>SUM(C12357,C12333,C12310,C12285,C12261,C12237,C12213,C12189,C12165,C12141,C12117,C12093,C12069,C12045)/POBLA!$B$20*100000</f>
        <v>612.80072628234223</v>
      </c>
      <c r="H12357" s="256">
        <f t="shared" si="2309"/>
        <v>0.73122866894197958</v>
      </c>
      <c r="I12357" s="297">
        <f t="shared" si="2310"/>
        <v>448.09745940611549</v>
      </c>
      <c r="J12357" s="422">
        <f t="shared" si="2307"/>
        <v>64.142857142857139</v>
      </c>
      <c r="K12357" s="297">
        <f>J12357/POBLA!$B$20*100000</f>
        <v>17.539843571159025</v>
      </c>
      <c r="L12357" s="200">
        <f t="shared" si="2308"/>
        <v>0.10049019607843146</v>
      </c>
      <c r="M12357" s="401">
        <f>SUM(C12357,C12333,C12309,C12285,C12261,C12237,C12213)/POBLA!$B$20*100000</f>
        <v>122.77890499811321</v>
      </c>
    </row>
    <row r="12358" spans="1:18" x14ac:dyDescent="0.25">
      <c r="A12358" s="367" t="s">
        <v>22</v>
      </c>
      <c r="B12358" s="2">
        <v>44407</v>
      </c>
      <c r="C12358" s="637">
        <v>1076</v>
      </c>
      <c r="D12358" s="39">
        <f t="shared" si="2311"/>
        <v>446484</v>
      </c>
      <c r="E12358" s="637">
        <v>57</v>
      </c>
      <c r="F12358" s="39">
        <f>E12358+F12334</f>
        <v>7853</v>
      </c>
      <c r="G12358" s="168">
        <f>SUM(C12358,C12334,C12310,C12286,C12262,C12238,C12214,C12190,C12166,C12142,C12118,C12094,C12070,C12046)/POBLA!$B$21*100000</f>
        <v>463.40675791153643</v>
      </c>
      <c r="H12358" s="256">
        <f t="shared" si="2309"/>
        <v>0.80152597085004407</v>
      </c>
      <c r="I12358" s="297">
        <f t="shared" si="2310"/>
        <v>371.43255153351555</v>
      </c>
      <c r="J12358" s="422">
        <f t="shared" si="2307"/>
        <v>1147.7142857142858</v>
      </c>
      <c r="K12358" s="297">
        <f>J12358/POBLA!$B$21*100000</f>
        <v>32.454146701953384</v>
      </c>
      <c r="L12358" s="200">
        <f t="shared" si="2308"/>
        <v>-3.8305003591094122E-2</v>
      </c>
      <c r="M12358" s="401">
        <f>SUM(C12358,C12334,C12310,C12286,C12262,C12238,C12214)/POBLA!$B$21*100000</f>
        <v>227.17902691367368</v>
      </c>
      <c r="N12358" s="42" t="s">
        <v>22</v>
      </c>
      <c r="O12358" s="42">
        <v>23</v>
      </c>
      <c r="P12358" s="42">
        <v>33</v>
      </c>
      <c r="Q12358" s="42">
        <v>1</v>
      </c>
      <c r="R12358" s="42">
        <v>57</v>
      </c>
    </row>
    <row r="12359" spans="1:18" x14ac:dyDescent="0.25">
      <c r="A12359" s="367" t="s">
        <v>38</v>
      </c>
      <c r="B12359" s="2">
        <v>44407</v>
      </c>
      <c r="C12359" s="637">
        <v>395</v>
      </c>
      <c r="D12359" s="39">
        <f t="shared" si="2311"/>
        <v>73209</v>
      </c>
      <c r="E12359" s="637">
        <v>4</v>
      </c>
      <c r="F12359" s="39">
        <f>E12359+F12335</f>
        <v>1043</v>
      </c>
      <c r="G12359" s="168">
        <f>SUM(C12359,C12335,C12311,C12287,C12263,C12239,C12215,C12191,C12167,C12143,C12119,C12095,C12071,C12047)/POBLA!$B$22*100000</f>
        <v>496.87574426589447</v>
      </c>
      <c r="H12359" s="256">
        <f t="shared" si="2309"/>
        <v>0.64520838863817365</v>
      </c>
      <c r="I12359" s="297">
        <f t="shared" si="2310"/>
        <v>320.58839831119104</v>
      </c>
      <c r="J12359" s="422">
        <f t="shared" si="2307"/>
        <v>329.71428571428572</v>
      </c>
      <c r="K12359" s="297">
        <f>J12359/POBLA!$B$22*100000</f>
        <v>33.702331024353732</v>
      </c>
      <c r="L12359" s="200">
        <f t="shared" si="2308"/>
        <v>-9.5965530748139405E-2</v>
      </c>
      <c r="M12359" s="401">
        <f>SUM(C12359,C12335,C12311,C12287,C12263,C12239,C12215)/POBLA!$B$22*100000</f>
        <v>235.91631717047611</v>
      </c>
      <c r="N12359" s="42" t="s">
        <v>38</v>
      </c>
      <c r="O12359" s="42">
        <v>1</v>
      </c>
      <c r="P12359" s="42">
        <v>3</v>
      </c>
      <c r="Q12359" s="42">
        <v>0</v>
      </c>
      <c r="R12359" s="42">
        <v>4</v>
      </c>
    </row>
    <row r="12360" spans="1:18" x14ac:dyDescent="0.25">
      <c r="A12360" s="367" t="s">
        <v>39</v>
      </c>
      <c r="B12360" s="2">
        <v>44407</v>
      </c>
      <c r="C12360" s="637">
        <v>45</v>
      </c>
      <c r="D12360" s="39">
        <f t="shared" si="2311"/>
        <v>31150</v>
      </c>
      <c r="E12360" s="637"/>
      <c r="F12360" s="39">
        <f>E12360+F12336</f>
        <v>467</v>
      </c>
      <c r="G12360" s="168">
        <f>SUM(C12360,C12336,C12312,C12288,C12264,C12240,C12216,C12192,C12168,C12144,C12120,C12096,C12072,C12048)/POBLA!$B$23*100000</f>
        <v>373.80534977096647</v>
      </c>
      <c r="H12360" s="256">
        <f t="shared" si="2309"/>
        <v>1.1396551724137931</v>
      </c>
      <c r="I12360" s="297">
        <f t="shared" si="2310"/>
        <v>426.00920034242904</v>
      </c>
      <c r="J12360" s="422">
        <f t="shared" si="2307"/>
        <v>45.857142857142854</v>
      </c>
      <c r="K12360" s="297">
        <f>J12360/POBLA!$B$23*100000</f>
        <v>25.932897617566507</v>
      </c>
      <c r="L12360" s="200">
        <f t="shared" si="2308"/>
        <v>-5.5882352941176494E-2</v>
      </c>
      <c r="M12360" s="401">
        <f>SUM(C12360,C12336,C12312,C12288,C12264,C12240,C12216)/POBLA!$B$23*100000</f>
        <v>181.53028332296557</v>
      </c>
    </row>
    <row r="12361" spans="1:18" ht="15.75" thickBot="1" x14ac:dyDescent="0.3">
      <c r="A12361" s="369" t="s">
        <v>40</v>
      </c>
      <c r="B12361" s="2">
        <v>44407</v>
      </c>
      <c r="C12361" s="637">
        <v>601</v>
      </c>
      <c r="D12361" s="176">
        <f t="shared" si="2311"/>
        <v>180401</v>
      </c>
      <c r="E12361" s="637">
        <v>6</v>
      </c>
      <c r="F12361" s="176">
        <f>E12361+F12337</f>
        <v>2567</v>
      </c>
      <c r="G12361" s="177">
        <f>SUM(C12361,C12337,C12313,C12289,C12265,C12241,C12217,C12193,C12169,C12145,C12121,C12097,C12073,C12049)/POBLA!$B$24*100000</f>
        <v>566.30962271989131</v>
      </c>
      <c r="H12361" s="402">
        <f t="shared" si="2309"/>
        <v>0.90299209634926614</v>
      </c>
      <c r="I12361" s="403">
        <f t="shared" si="2310"/>
        <v>511.37311340259663</v>
      </c>
      <c r="J12361" s="423">
        <f t="shared" si="2307"/>
        <v>661.85714285714289</v>
      </c>
      <c r="K12361" s="403">
        <f>J12361/POBLA!$B$24*100000</f>
        <v>39.055545364790426</v>
      </c>
      <c r="L12361" s="404">
        <f t="shared" si="2308"/>
        <v>-6.6680096696212776E-2</v>
      </c>
      <c r="M12361" s="405">
        <f>SUM(C12361,C12337,C12313,C12289,C12265,C12241,C12217)/POBLA!$B$24*100000</f>
        <v>273.38881755353299</v>
      </c>
      <c r="N12361" s="42" t="s">
        <v>40</v>
      </c>
      <c r="O12361" s="42">
        <v>4</v>
      </c>
      <c r="P12361" s="42">
        <v>2</v>
      </c>
      <c r="Q12361" s="42">
        <v>0</v>
      </c>
      <c r="R12361" s="42">
        <v>6</v>
      </c>
    </row>
    <row r="12362" spans="1:18" x14ac:dyDescent="0.25">
      <c r="A12362" s="363" t="s">
        <v>16</v>
      </c>
      <c r="B12362" s="2">
        <v>44408</v>
      </c>
      <c r="C12362" s="637">
        <v>2539</v>
      </c>
      <c r="D12362" s="174">
        <f>C12362+D12338</f>
        <v>1974512</v>
      </c>
      <c r="E12362" s="637">
        <v>32</v>
      </c>
      <c r="F12362" s="174">
        <f t="shared" ref="F12362:F12380" si="2312">E12362+F12338</f>
        <v>52208</v>
      </c>
      <c r="G12362" s="175">
        <f>SUM(C12362,C12338,C12290,C12314,C12266,C12242,C12218,C12194,C12170,C12146,C12122,C12098,C12074,C12050)/POBLA!$B$1*100000</f>
        <v>278.33993239094309</v>
      </c>
      <c r="H12362" s="300">
        <f t="shared" si="2309"/>
        <v>0.74954711535509222</v>
      </c>
      <c r="I12362" s="301">
        <f>G12362*H12362</f>
        <v>208.62889341176279</v>
      </c>
      <c r="J12362" s="421">
        <f>AVERAGE(C12362,C12338,C12314,C12290,C12266,C12242,C12218)</f>
        <v>3358</v>
      </c>
      <c r="K12362" s="301">
        <f>J12362/POBLA!$B$1*100000</f>
        <v>19.143566544502438</v>
      </c>
      <c r="L12362" s="399">
        <f>(SUM(C12362,C12338,C12314,C12290,C12266,C12242,C12218)/SUM(C12194,C12170,C12146,C12122,C12098,C12074,C12050))-1</f>
        <v>-7.1569634252310554E-2</v>
      </c>
      <c r="M12362" s="400">
        <f>SUM(C12362,C12338,C12314,C12290,C12266,C12242,C12218)/POBLA!$B$1*100000</f>
        <v>134.00496581151705</v>
      </c>
      <c r="N12362" t="s">
        <v>319</v>
      </c>
      <c r="O12362" s="42">
        <v>12</v>
      </c>
      <c r="P12362" s="42">
        <v>19</v>
      </c>
      <c r="Q12362" s="42">
        <v>1</v>
      </c>
      <c r="R12362" s="42">
        <v>32</v>
      </c>
    </row>
    <row r="12363" spans="1:18" x14ac:dyDescent="0.25">
      <c r="A12363" s="367" t="s">
        <v>43</v>
      </c>
      <c r="B12363" s="2">
        <v>44408</v>
      </c>
      <c r="C12363" s="637">
        <v>677</v>
      </c>
      <c r="D12363" s="39">
        <f t="shared" ref="D12363:D12377" si="2313">C12363+D12339</f>
        <v>491571</v>
      </c>
      <c r="E12363" s="637">
        <v>14</v>
      </c>
      <c r="F12363" s="39">
        <f t="shared" si="2312"/>
        <v>10906</v>
      </c>
      <c r="G12363" s="168">
        <f>SUM(C12363,C12339,C12315,C12291,C12267,C12243,C12219,C12195,C12171,C12147,C12123,C12099,C12075,C12051)/POBLA!$B$2*100000</f>
        <v>338.56302058169246</v>
      </c>
      <c r="H12363" s="256">
        <f t="shared" si="2309"/>
        <v>0.76040601723382506</v>
      </c>
      <c r="I12363" s="297">
        <f t="shared" ref="I12363:I12369" si="2314">G12363*H12363</f>
        <v>257.44535806317828</v>
      </c>
      <c r="J12363" s="422">
        <f>AVERAGE(C12363,C12339,C12315,C12291,C12267,C12243,C12219)</f>
        <v>711.71428571428567</v>
      </c>
      <c r="K12363" s="297">
        <f>J12363/POBLA!$B$2*100000</f>
        <v>23.140318674980335</v>
      </c>
      <c r="L12363" s="200">
        <f>(SUM(C12363,C12339,C12315,C12291,C12267,C12243,C12219)/SUM(C12195,C12171,C12147,C12123,C12099,C12075,C12051))-1</f>
        <v>-8.2673540784385935E-2</v>
      </c>
      <c r="M12363" s="401">
        <f>SUM(C12363,C12339,C12315,C12291,C12267,C12243,C12219)/POBLA!$B$2*100000</f>
        <v>161.98223072486235</v>
      </c>
      <c r="N12363" t="s">
        <v>43</v>
      </c>
      <c r="O12363" s="42">
        <v>8</v>
      </c>
      <c r="P12363" s="42">
        <v>6</v>
      </c>
      <c r="Q12363" s="42">
        <v>0</v>
      </c>
      <c r="R12363" s="42">
        <v>14</v>
      </c>
    </row>
    <row r="12364" spans="1:18" x14ac:dyDescent="0.25">
      <c r="A12364" s="367" t="s">
        <v>28</v>
      </c>
      <c r="B12364" s="2">
        <v>44408</v>
      </c>
      <c r="C12364" s="637">
        <v>242</v>
      </c>
      <c r="D12364" s="39">
        <f t="shared" si="2313"/>
        <v>42391</v>
      </c>
      <c r="E12364" s="637"/>
      <c r="F12364" s="39">
        <f t="shared" si="2312"/>
        <v>482</v>
      </c>
      <c r="G12364" s="168">
        <f>SUM(C12364,C12340,C12316,C12292,C12268,C12244,C12220,C12196,C12172,C12148,C12124,C12100,C12076,C12052)/POBLA!$B$3*100000</f>
        <v>866.31458845844622</v>
      </c>
      <c r="H12364" s="256">
        <f t="shared" si="2309"/>
        <v>0.98199181446111872</v>
      </c>
      <c r="I12364" s="297">
        <f t="shared" si="2314"/>
        <v>850.71383461444691</v>
      </c>
      <c r="J12364" s="422">
        <f t="shared" ref="J12364:J12385" si="2315">AVERAGE(C12364,C12340,C12316,C12292,C12268,C12244,C12220)</f>
        <v>260.14285714285717</v>
      </c>
      <c r="K12364" s="297">
        <f>J12364/POBLA!$B$3*100000</f>
        <v>62.618936434042425</v>
      </c>
      <c r="L12364" s="200">
        <f t="shared" ref="L12364:L12385" si="2316">(SUM(C12364,C12340,C12316,C12292,C12268,C12244,C12220)/SUM(C12196,C12172,C12148,C12124,C12100,C12076,C12052))-1</f>
        <v>2.4184476940382504E-2</v>
      </c>
      <c r="M12364" s="401">
        <f>SUM(C12364,C12340,C12316,C12292,C12268,C12244,C12220)/POBLA!$B$3*100000</f>
        <v>438.33255503829696</v>
      </c>
    </row>
    <row r="12365" spans="1:18" x14ac:dyDescent="0.25">
      <c r="A12365" s="367" t="s">
        <v>15</v>
      </c>
      <c r="B12365" s="2">
        <v>44408</v>
      </c>
      <c r="C12365" s="637">
        <v>304</v>
      </c>
      <c r="D12365" s="39">
        <f t="shared" si="2313"/>
        <v>91366</v>
      </c>
      <c r="E12365" s="637">
        <v>9</v>
      </c>
      <c r="F12365" s="39">
        <f t="shared" si="2312"/>
        <v>2012</v>
      </c>
      <c r="G12365" s="168">
        <f>SUM(C12365,C12341,C12317,C12293,C12269,C12245,C12221,C12197,C12173,C12149,C12125,C12101,C12077,C12053)/POBLA!$B$4*100000</f>
        <v>461.66963183486484</v>
      </c>
      <c r="H12365" s="256">
        <f t="shared" si="2309"/>
        <v>0.78456546275395034</v>
      </c>
      <c r="I12365" s="297">
        <f t="shared" si="2314"/>
        <v>362.21004833996665</v>
      </c>
      <c r="J12365" s="422">
        <f t="shared" si="2315"/>
        <v>418</v>
      </c>
      <c r="K12365" s="297">
        <f>J12365/POBLA!$B$4*100000</f>
        <v>34.702015124433288</v>
      </c>
      <c r="L12365" s="200">
        <f t="shared" si="2316"/>
        <v>0.11043643263757108</v>
      </c>
      <c r="M12365" s="401">
        <f>SUM(C12365,C12341,C12317,C12293,C12269,C12245,C12221)/POBLA!$B$4*100000</f>
        <v>242.914105871033</v>
      </c>
      <c r="N12365" t="s">
        <v>15</v>
      </c>
      <c r="O12365" s="42">
        <v>2</v>
      </c>
      <c r="P12365" s="42">
        <v>7</v>
      </c>
      <c r="Q12365" s="42">
        <v>0</v>
      </c>
      <c r="R12365" s="42">
        <v>9</v>
      </c>
    </row>
    <row r="12366" spans="1:18" x14ac:dyDescent="0.25">
      <c r="A12366" s="367" t="s">
        <v>29</v>
      </c>
      <c r="B12366" s="2">
        <v>44408</v>
      </c>
      <c r="C12366" s="637">
        <v>262</v>
      </c>
      <c r="D12366" s="39">
        <f t="shared" si="2313"/>
        <v>76460</v>
      </c>
      <c r="E12366" s="637">
        <v>6</v>
      </c>
      <c r="F12366" s="39">
        <f t="shared" si="2312"/>
        <v>1313</v>
      </c>
      <c r="G12366" s="168">
        <f>SUM(C12366,C12342,C12318,C12294,C12270,C12246,C12222,C12198,C12174,C12150,C12126,C12102,C12078,C12054)/POBLA!$B$5*100000</f>
        <v>426.49847979140344</v>
      </c>
      <c r="H12366" s="256">
        <f t="shared" si="2309"/>
        <v>1.1134542387178405</v>
      </c>
      <c r="I12366" s="297">
        <f t="shared" si="2314"/>
        <v>474.8865401304534</v>
      </c>
      <c r="J12366" s="422">
        <f t="shared" si="2315"/>
        <v>214.42857142857142</v>
      </c>
      <c r="K12366" s="297">
        <f>J12366/POBLA!$B$5*100000</f>
        <v>34.641462022018217</v>
      </c>
      <c r="L12366" s="200">
        <f t="shared" si="2316"/>
        <v>0.31782265144863908</v>
      </c>
      <c r="M12366" s="401">
        <f>SUM(C12366,C12342,C12318,C12294,C12270,C12246,C12222)/POBLA!$B$5*100000</f>
        <v>242.49023415412748</v>
      </c>
      <c r="N12366" t="s">
        <v>20</v>
      </c>
      <c r="O12366" s="42">
        <v>5</v>
      </c>
      <c r="P12366" s="42">
        <v>1</v>
      </c>
      <c r="Q12366" s="42">
        <v>0</v>
      </c>
      <c r="R12366" s="42">
        <v>6</v>
      </c>
    </row>
    <row r="12367" spans="1:18" x14ac:dyDescent="0.25">
      <c r="A12367" s="367" t="s">
        <v>30</v>
      </c>
      <c r="B12367" s="2">
        <v>44408</v>
      </c>
      <c r="C12367" s="637">
        <v>457</v>
      </c>
      <c r="D12367" s="39">
        <f t="shared" si="2313"/>
        <v>448800</v>
      </c>
      <c r="E12367" s="637"/>
      <c r="F12367" s="39">
        <f t="shared" si="2312"/>
        <v>5862</v>
      </c>
      <c r="G12367" s="168">
        <f>SUM(C12367,C12343,C12319,C12295,C12271,C12247,C12223,C12199,C12175,C12151,C12127,C12103,C12079,C12055)/POBLA!$B$6*100000</f>
        <v>572.26929669049184</v>
      </c>
      <c r="H12367" s="256">
        <f t="shared" si="2309"/>
        <v>0.93118466898954699</v>
      </c>
      <c r="I12367" s="297">
        <f t="shared" si="2314"/>
        <v>532.88839561161649</v>
      </c>
      <c r="J12367" s="422">
        <f t="shared" si="2315"/>
        <v>469.42857142857144</v>
      </c>
      <c r="K12367" s="297">
        <f>J12367/POBLA!$B$6*100000</f>
        <v>41.883311259409247</v>
      </c>
      <c r="L12367" s="200">
        <f t="shared" si="2316"/>
        <v>5.0511508951406547E-2</v>
      </c>
      <c r="M12367" s="401">
        <f>SUM(C12367,C12343,C12319,C12295,C12271,C12247,C12223)/POBLA!$B$6*100000</f>
        <v>293.18317881586472</v>
      </c>
    </row>
    <row r="12368" spans="1:18" x14ac:dyDescent="0.25">
      <c r="A12368" s="367" t="s">
        <v>20</v>
      </c>
      <c r="B12368" s="2">
        <v>44408</v>
      </c>
      <c r="C12368" s="637">
        <v>1188</v>
      </c>
      <c r="D12368" s="39">
        <f t="shared" si="2313"/>
        <v>100481</v>
      </c>
      <c r="E12368" s="637"/>
      <c r="F12368" s="39">
        <f t="shared" si="2312"/>
        <v>1149</v>
      </c>
      <c r="G12368" s="168">
        <f>SUM(C12368,C12344,C12320,C12296,C12272,C12248,C12224,C12200,C12176,C12152,C12128,C12104,C12080,C12056)/POBLA!$B$7*100000</f>
        <v>632.45090348229598</v>
      </c>
      <c r="H12368" s="256">
        <f t="shared" si="2309"/>
        <v>0.87213054638797216</v>
      </c>
      <c r="I12368" s="297">
        <f t="shared" si="2314"/>
        <v>551.57975201758143</v>
      </c>
      <c r="J12368" s="422">
        <f t="shared" si="2315"/>
        <v>1870.7142857142858</v>
      </c>
      <c r="K12368" s="297">
        <f>J12368/POBLA!$B$7*100000</f>
        <v>49.747085740118493</v>
      </c>
      <c r="L12368" s="200">
        <f t="shared" si="2316"/>
        <v>0.22520583832335328</v>
      </c>
      <c r="M12368" s="401">
        <f>SUM(C12368,C12344,C12320,C12296,C12272,C12248,C12224)/POBLA!$B$7*100000</f>
        <v>348.22960018082944</v>
      </c>
    </row>
    <row r="12369" spans="1:18" x14ac:dyDescent="0.25">
      <c r="A12369" s="367" t="s">
        <v>31</v>
      </c>
      <c r="B12369" s="2">
        <v>44408</v>
      </c>
      <c r="C12369" s="637">
        <v>351</v>
      </c>
      <c r="D12369" s="39">
        <f t="shared" si="2313"/>
        <v>128018</v>
      </c>
      <c r="E12369" s="637">
        <v>4</v>
      </c>
      <c r="F12369" s="39">
        <f t="shared" si="2312"/>
        <v>2140</v>
      </c>
      <c r="G12369" s="168">
        <f>SUM(C12369,C12345,C12321,C12297,C12273,C12249,C12225,C12201,C12177,C12153,C12129,C12105,C12081,C12057)/POBLA!$B$8*100000</f>
        <v>437.6746531828818</v>
      </c>
      <c r="H12369" s="256">
        <f t="shared" ref="H12369:H12392" si="2317">SUM(C12369,C12345,C12321,C12297,C12273,C12249,C12225,C12201,C12177,C12153,C12129,C12105,C12081,C12057,)/SUM(C12033,C12009,C11985,C11961,C11937,C11913,C11889,C11865,C11841,C11817,C11793,C11769,C11745,C11721)</f>
        <v>0.6463505594033031</v>
      </c>
      <c r="I12369" s="297">
        <f t="shared" si="2314"/>
        <v>282.89125692140232</v>
      </c>
      <c r="J12369" s="422">
        <f t="shared" si="2315"/>
        <v>403.85714285714283</v>
      </c>
      <c r="K12369" s="297">
        <f>J12369/POBLA!$B$8*100000</f>
        <v>29.139141928029922</v>
      </c>
      <c r="L12369" s="200">
        <f t="shared" si="2316"/>
        <v>-0.12719975301018838</v>
      </c>
      <c r="M12369" s="401">
        <f>SUM(C12369,C12345,C12321,C12297,C12273,C12249,C12225)/POBLA!$B$8*100000</f>
        <v>203.97399349620949</v>
      </c>
      <c r="N12369" t="s">
        <v>31</v>
      </c>
      <c r="O12369" s="42">
        <v>0</v>
      </c>
      <c r="P12369" s="42">
        <v>4</v>
      </c>
      <c r="Q12369" s="42">
        <v>0</v>
      </c>
      <c r="R12369" s="42">
        <v>4</v>
      </c>
    </row>
    <row r="12370" spans="1:18" x14ac:dyDescent="0.25">
      <c r="A12370" s="367" t="s">
        <v>41</v>
      </c>
      <c r="B12370" s="2">
        <v>44408</v>
      </c>
      <c r="C12370" s="637">
        <v>265</v>
      </c>
      <c r="D12370" s="39">
        <f t="shared" si="2313"/>
        <v>56091</v>
      </c>
      <c r="E12370" s="637">
        <v>4</v>
      </c>
      <c r="F12370" s="39">
        <f t="shared" si="2312"/>
        <v>1015</v>
      </c>
      <c r="G12370" s="168">
        <f>SUM(C12370,C12346,C12322,C12298,C12274,C12250,C12226,C12202,C12178,C12154,C12130,C12106,C12082,C12058)/POBLA!$B$9*100000</f>
        <v>586.42449598723056</v>
      </c>
      <c r="H12370" s="256">
        <f t="shared" si="2317"/>
        <v>0.61850819100731957</v>
      </c>
      <c r="I12370" s="297">
        <f>G12370*H12370</f>
        <v>362.70835417544112</v>
      </c>
      <c r="J12370" s="422">
        <f t="shared" si="2315"/>
        <v>244.28571428571428</v>
      </c>
      <c r="K12370" s="297">
        <f>J12370/POBLA!$B$9*100000</f>
        <v>40.364927268774466</v>
      </c>
      <c r="L12370" s="200">
        <f t="shared" si="2316"/>
        <v>-7.0146818923327858E-2</v>
      </c>
      <c r="M12370" s="401">
        <f>SUM(C12370,C12346,C12322,C12298,C12274,C12250,C12226)/POBLA!$B$9*100000</f>
        <v>282.55449088142126</v>
      </c>
      <c r="N12370" s="42" t="s">
        <v>41</v>
      </c>
      <c r="O12370" s="42">
        <v>1</v>
      </c>
      <c r="P12370" s="42">
        <v>3</v>
      </c>
      <c r="Q12370" s="42">
        <v>0</v>
      </c>
      <c r="R12370" s="42">
        <v>4</v>
      </c>
    </row>
    <row r="12371" spans="1:18" x14ac:dyDescent="0.25">
      <c r="A12371" s="367" t="s">
        <v>32</v>
      </c>
      <c r="B12371" s="2">
        <v>44408</v>
      </c>
      <c r="C12371" s="637">
        <v>159</v>
      </c>
      <c r="D12371" s="39">
        <f t="shared" si="2313"/>
        <v>43516</v>
      </c>
      <c r="E12371" s="637">
        <v>5</v>
      </c>
      <c r="F12371" s="39">
        <f t="shared" si="2312"/>
        <v>1318</v>
      </c>
      <c r="G12371" s="168">
        <f>SUM(C12371,C12347,C12323,C12299,C12275,C12251,C12227,C12203,C12179,C12155,C12131,C12107,C12083,C12059)/POBLA!$B$10*100000</f>
        <v>380.73321303806944</v>
      </c>
      <c r="H12371" s="256">
        <f t="shared" si="2317"/>
        <v>0.74700941715449221</v>
      </c>
      <c r="I12371" s="297">
        <f t="shared" ref="I12371:I12385" si="2318">G12371*H12371</f>
        <v>284.41129556292537</v>
      </c>
      <c r="J12371" s="422">
        <f t="shared" si="2315"/>
        <v>182.42857142857142</v>
      </c>
      <c r="K12371" s="297">
        <f>J12371/POBLA!$B$10*100000</f>
        <v>23.664945877323664</v>
      </c>
      <c r="L12371" s="200">
        <f t="shared" si="2316"/>
        <v>-0.22979493365500603</v>
      </c>
      <c r="M12371" s="401">
        <f>SUM(C12371,C12347,C12323,C12299,C12275,C12251,C12227)/POBLA!$B$10*100000</f>
        <v>165.65462114126564</v>
      </c>
      <c r="N12371" s="42" t="s">
        <v>32</v>
      </c>
      <c r="O12371" s="42">
        <v>1</v>
      </c>
      <c r="P12371" s="42">
        <v>4</v>
      </c>
      <c r="Q12371" s="42">
        <v>0</v>
      </c>
      <c r="R12371" s="42">
        <v>5</v>
      </c>
    </row>
    <row r="12372" spans="1:18" x14ac:dyDescent="0.25">
      <c r="A12372" s="367" t="s">
        <v>33</v>
      </c>
      <c r="B12372" s="2">
        <v>44408</v>
      </c>
      <c r="C12372" s="637">
        <v>185</v>
      </c>
      <c r="D12372" s="39">
        <f t="shared" si="2313"/>
        <v>61457</v>
      </c>
      <c r="E12372" s="637"/>
      <c r="F12372" s="39">
        <f t="shared" si="2312"/>
        <v>838</v>
      </c>
      <c r="G12372" s="168">
        <f>SUM(C12372,C12348,C12324,C12300,C12276,C12252,C12228,C12204,C12180,C12156,C12132,C12108,C12084,C12060)/POBLA!$B$11*100000</f>
        <v>1077.2037898824869</v>
      </c>
      <c r="H12372" s="256">
        <f t="shared" si="2317"/>
        <v>1.0179277616662272</v>
      </c>
      <c r="I12372" s="297">
        <f t="shared" si="2318"/>
        <v>1096.5156426934568</v>
      </c>
      <c r="J12372" s="422">
        <f t="shared" si="2315"/>
        <v>279.42857142857144</v>
      </c>
      <c r="K12372" s="297">
        <f>J12372/POBLA!$B$11*100000</f>
        <v>77.959470640845979</v>
      </c>
      <c r="L12372" s="200">
        <f t="shared" si="2316"/>
        <v>2.6771653543307128E-2</v>
      </c>
      <c r="M12372" s="401">
        <f>SUM(C12372,C12348,C12324,C12300,C12276,C12252,C12228)/POBLA!$B$11*100000</f>
        <v>545.71629448592182</v>
      </c>
    </row>
    <row r="12373" spans="1:18" x14ac:dyDescent="0.25">
      <c r="A12373" s="367" t="s">
        <v>21</v>
      </c>
      <c r="B12373" s="2">
        <v>44408</v>
      </c>
      <c r="C12373" s="637">
        <v>227</v>
      </c>
      <c r="D12373" s="39">
        <f t="shared" si="2313"/>
        <v>28368</v>
      </c>
      <c r="E12373" s="637">
        <v>13</v>
      </c>
      <c r="F12373" s="39">
        <f t="shared" si="2312"/>
        <v>786</v>
      </c>
      <c r="G12373" s="168">
        <f>SUM(C12373,C12349,C12325,C12301,C12277,C12253,C12229,C12205,C12181,C12157,C12133,C12109,C12085,C12061)/POBLA!$B$12*100000</f>
        <v>702.10478971161103</v>
      </c>
      <c r="H12373" s="256">
        <f t="shared" si="2317"/>
        <v>0.95970823202500866</v>
      </c>
      <c r="I12373" s="297">
        <f t="shared" si="2318"/>
        <v>673.81574643042075</v>
      </c>
      <c r="J12373" s="422">
        <f t="shared" si="2315"/>
        <v>255.85714285714286</v>
      </c>
      <c r="K12373" s="297">
        <f>J12373/POBLA!$B$12*100000</f>
        <v>65.015752979344157</v>
      </c>
      <c r="L12373" s="200">
        <f t="shared" si="2316"/>
        <v>0.84259259259259256</v>
      </c>
      <c r="M12373" s="401">
        <f>SUM(C12373,C12349,C12325,C12301,C12277,C12253,C12229)/POBLA!$B$12*100000</f>
        <v>455.11027085540911</v>
      </c>
      <c r="N12373" s="42" t="s">
        <v>21</v>
      </c>
      <c r="O12373" s="42">
        <v>5</v>
      </c>
      <c r="P12373" s="42">
        <v>8</v>
      </c>
      <c r="Q12373" s="42">
        <v>0</v>
      </c>
      <c r="R12373" s="42">
        <v>13</v>
      </c>
    </row>
    <row r="12374" spans="1:18" x14ac:dyDescent="0.25">
      <c r="A12374" s="367" t="s">
        <v>17</v>
      </c>
      <c r="B12374" s="2">
        <v>44408</v>
      </c>
      <c r="C12374" s="637">
        <v>375</v>
      </c>
      <c r="D12374" s="39">
        <f t="shared" si="2313"/>
        <v>154193</v>
      </c>
      <c r="E12374" s="637">
        <v>24</v>
      </c>
      <c r="F12374" s="39">
        <f t="shared" si="2312"/>
        <v>3927</v>
      </c>
      <c r="G12374" s="168">
        <f>SUM(C12374,C12350,C12326,C12302,C12278,C12254,C12230,C12206,C12182,C12158,C12134,C12110,C12086,C12062)/POBLA!$B$13*100000</f>
        <v>295.82915062667746</v>
      </c>
      <c r="H12374" s="256">
        <f t="shared" si="2317"/>
        <v>0.90237547892720305</v>
      </c>
      <c r="I12374" s="297">
        <f t="shared" si="2318"/>
        <v>266.94897147737578</v>
      </c>
      <c r="J12374" s="422">
        <f t="shared" si="2315"/>
        <v>437.28571428571428</v>
      </c>
      <c r="K12374" s="297">
        <f>J12374/POBLA!$B$13*100000</f>
        <v>21.970424836671675</v>
      </c>
      <c r="L12374" s="200">
        <f t="shared" si="2316"/>
        <v>8.2773257870534245E-2</v>
      </c>
      <c r="M12374" s="401">
        <f>SUM(C12374,C12350,C12326,C12302,C12278,C12254,C12230)/POBLA!$B$13*100000</f>
        <v>153.79297385670171</v>
      </c>
      <c r="N12374" s="42" t="s">
        <v>17</v>
      </c>
      <c r="O12374" s="42">
        <v>6</v>
      </c>
      <c r="P12374" s="42">
        <v>17</v>
      </c>
      <c r="Q12374" s="42">
        <v>1</v>
      </c>
      <c r="R12374" s="42">
        <v>24</v>
      </c>
    </row>
    <row r="12375" spans="1:18" x14ac:dyDescent="0.25">
      <c r="A12375" s="367" t="s">
        <v>23</v>
      </c>
      <c r="B12375" s="2">
        <v>44408</v>
      </c>
      <c r="C12375" s="637">
        <v>185</v>
      </c>
      <c r="D12375" s="39">
        <f t="shared" si="2313"/>
        <v>30884</v>
      </c>
      <c r="E12375" s="637">
        <v>9</v>
      </c>
      <c r="F12375" s="39">
        <f t="shared" si="2312"/>
        <v>556</v>
      </c>
      <c r="G12375" s="168">
        <f>SUM(C12375,C12351,C12327,C12303,C12279,C12255,C12231,C12207,C12183,C12159,C12135,C12111,C12087,C12063)/POBLA!$B$14*100000</f>
        <v>189.80507320259989</v>
      </c>
      <c r="H12375" s="256">
        <f t="shared" si="2317"/>
        <v>1.0336787564766838</v>
      </c>
      <c r="I12375" s="297">
        <f t="shared" si="2318"/>
        <v>196.19747204102939</v>
      </c>
      <c r="J12375" s="422">
        <f t="shared" si="2315"/>
        <v>176.71428571428572</v>
      </c>
      <c r="K12375" s="297">
        <f>J12375/POBLA!$B$14*100000</f>
        <v>14.010554693377257</v>
      </c>
      <c r="L12375" s="200">
        <f t="shared" si="2316"/>
        <v>6.9144338807260119E-2</v>
      </c>
      <c r="M12375" s="401">
        <f>SUM(C12375,C12351,C12327,C12303,C12279,C12255,C12231)/POBLA!$B$14*100000</f>
        <v>98.073882853640782</v>
      </c>
      <c r="N12375" s="42" t="s">
        <v>23</v>
      </c>
      <c r="O12375" s="42">
        <v>2</v>
      </c>
      <c r="P12375" s="42">
        <v>7</v>
      </c>
      <c r="Q12375" s="42">
        <v>0</v>
      </c>
      <c r="R12375" s="42">
        <v>9</v>
      </c>
    </row>
    <row r="12376" spans="1:18" x14ac:dyDescent="0.25">
      <c r="A12376" s="367" t="s">
        <v>19</v>
      </c>
      <c r="B12376" s="2">
        <v>44408</v>
      </c>
      <c r="C12376" s="637">
        <v>187</v>
      </c>
      <c r="D12376" s="39">
        <f t="shared" si="2313"/>
        <v>107514</v>
      </c>
      <c r="E12376" s="637"/>
      <c r="F12376" s="39">
        <f t="shared" si="2312"/>
        <v>2016</v>
      </c>
      <c r="G12376" s="168">
        <f>SUM(C12376,C12352,C12328,C12304,C12280,C12256,C12232,C12208,C12184,C12160,C12136,C12112,C12088,C12064)/POBLA!$B$15*100000</f>
        <v>418.03640350150664</v>
      </c>
      <c r="H12376" s="256">
        <f t="shared" si="2317"/>
        <v>1.0432168357760241</v>
      </c>
      <c r="I12376" s="297">
        <f t="shared" si="2318"/>
        <v>436.10261410003102</v>
      </c>
      <c r="J12376" s="422">
        <f t="shared" si="2315"/>
        <v>209.42857142857142</v>
      </c>
      <c r="K12376" s="297">
        <f>J12376/POBLA!$B$15*100000</f>
        <v>31.537740198291928</v>
      </c>
      <c r="L12376" s="200">
        <f t="shared" si="2316"/>
        <v>0.11908396946564892</v>
      </c>
      <c r="M12376" s="401">
        <f>SUM(C12376,C12352,C12328,C12304,C12280,C12256,C12232)/POBLA!$B$15*100000</f>
        <v>220.76418138804351</v>
      </c>
    </row>
    <row r="12377" spans="1:18" x14ac:dyDescent="0.25">
      <c r="A12377" s="367" t="s">
        <v>18</v>
      </c>
      <c r="B12377" s="2">
        <v>44408</v>
      </c>
      <c r="C12377" s="637">
        <v>237</v>
      </c>
      <c r="D12377" s="39">
        <f t="shared" si="2313"/>
        <v>92332</v>
      </c>
      <c r="E12377" s="637">
        <v>5</v>
      </c>
      <c r="F12377" s="39">
        <f t="shared" si="2312"/>
        <v>2085</v>
      </c>
      <c r="G12377" s="168">
        <f>SUM(C12377,C12353,C12329,C12305,C12281,C12257,C12233,C12209,C12185,C12161,C12137,C12113,C12089,C12065)/POBLA!$B$16*100000</f>
        <v>565.13422773906188</v>
      </c>
      <c r="H12377" s="256">
        <f t="shared" si="2317"/>
        <v>1.3366023410313193</v>
      </c>
      <c r="I12377" s="297">
        <f t="shared" si="2318"/>
        <v>755.35973179295684</v>
      </c>
      <c r="J12377" s="422">
        <f t="shared" si="2315"/>
        <v>322.57142857142856</v>
      </c>
      <c r="K12377" s="297">
        <f>J12377/POBLA!$B$16*100000</f>
        <v>43.147018976662771</v>
      </c>
      <c r="L12377" s="200">
        <f t="shared" si="2316"/>
        <v>0.14794102694458577</v>
      </c>
      <c r="M12377" s="401">
        <f>SUM(C12377,C12353,C12329,C12305,C12281,C12257,C12233)/POBLA!$B$16*100000</f>
        <v>302.02913283663946</v>
      </c>
      <c r="N12377" s="42" t="s">
        <v>18</v>
      </c>
      <c r="O12377" s="42">
        <v>2</v>
      </c>
      <c r="P12377" s="42">
        <v>3</v>
      </c>
      <c r="Q12377" s="42">
        <v>0</v>
      </c>
      <c r="R12377" s="42">
        <v>5</v>
      </c>
    </row>
    <row r="12378" spans="1:18" x14ac:dyDescent="0.25">
      <c r="A12378" s="367" t="s">
        <v>34</v>
      </c>
      <c r="B12378" s="2">
        <v>44408</v>
      </c>
      <c r="C12378" s="637">
        <v>240</v>
      </c>
      <c r="D12378" s="39">
        <f>C12378+D12354</f>
        <v>75248</v>
      </c>
      <c r="E12378" s="637">
        <v>2</v>
      </c>
      <c r="F12378" s="39">
        <f t="shared" si="2312"/>
        <v>2092</v>
      </c>
      <c r="G12378" s="168">
        <f>SUM(C12378,C12354,C12330,C12306,C12282,C12258,C12234,C12210,C12186,C12162,C12138,C12114,C12090,C12066)/POBLA!$B$17*100000</f>
        <v>347.72609040878353</v>
      </c>
      <c r="H12378" s="256">
        <f t="shared" si="2317"/>
        <v>0.67700929469655546</v>
      </c>
      <c r="I12378" s="297">
        <f t="shared" si="2318"/>
        <v>235.41379521524121</v>
      </c>
      <c r="J12378" s="422">
        <f t="shared" si="2315"/>
        <v>334.28571428571428</v>
      </c>
      <c r="K12378" s="297">
        <f>J12378/POBLA!$B$17*100000</f>
        <v>23.468577530401586</v>
      </c>
      <c r="L12378" s="200">
        <f t="shared" si="2316"/>
        <v>-0.10447761194029848</v>
      </c>
      <c r="M12378" s="401">
        <f>SUM(C12378,C12354,C12330,C12306,C12282,C12258,C12234)/POBLA!$B$17*100000</f>
        <v>164.28004271281111</v>
      </c>
      <c r="N12378" s="42" t="s">
        <v>34</v>
      </c>
      <c r="O12378" s="42">
        <v>1</v>
      </c>
      <c r="P12378" s="42">
        <v>1</v>
      </c>
      <c r="Q12378" s="42">
        <v>0</v>
      </c>
      <c r="R12378" s="42">
        <v>2</v>
      </c>
    </row>
    <row r="12379" spans="1:18" x14ac:dyDescent="0.25">
      <c r="A12379" s="367" t="s">
        <v>35</v>
      </c>
      <c r="B12379" s="2">
        <v>44408</v>
      </c>
      <c r="C12379" s="637">
        <v>363</v>
      </c>
      <c r="D12379" s="39">
        <f t="shared" ref="D12379:D12385" si="2319">C12379+D12355</f>
        <v>60907</v>
      </c>
      <c r="E12379" s="637"/>
      <c r="F12379" s="39">
        <f t="shared" si="2312"/>
        <v>944</v>
      </c>
      <c r="G12379" s="168">
        <f>SUM(C12379,C12355,C12331,C12307,C12283,C12259,C12235,C12211,C12187,C12163,C12139,C12115,C12091,C12067)/POBLA!$B$18*100000</f>
        <v>548.37516336690067</v>
      </c>
      <c r="H12379" s="256">
        <f t="shared" si="2317"/>
        <v>0.96617050067658994</v>
      </c>
      <c r="I12379" s="297">
        <f t="shared" si="2318"/>
        <v>529.82390614880524</v>
      </c>
      <c r="J12379" s="422">
        <f t="shared" si="2315"/>
        <v>354.28571428571428</v>
      </c>
      <c r="K12379" s="297">
        <f>J12379/POBLA!$B$18*100000</f>
        <v>45.350487033143708</v>
      </c>
      <c r="L12379" s="200">
        <f t="shared" si="2316"/>
        <v>0.37472283813747231</v>
      </c>
      <c r="M12379" s="401">
        <f>SUM(C12379,C12355,C12331,C12307,C12283,C12259,C12235)/POBLA!$B$18*100000</f>
        <v>317.45340923200598</v>
      </c>
    </row>
    <row r="12380" spans="1:18" x14ac:dyDescent="0.25">
      <c r="A12380" s="367" t="s">
        <v>36</v>
      </c>
      <c r="B12380" s="2">
        <v>44408</v>
      </c>
      <c r="C12380" s="637">
        <v>288</v>
      </c>
      <c r="D12380" s="39">
        <f t="shared" si="2319"/>
        <v>74957</v>
      </c>
      <c r="E12380" s="637"/>
      <c r="F12380" s="39">
        <f t="shared" si="2312"/>
        <v>1225</v>
      </c>
      <c r="G12380" s="168">
        <f>SUM(C12380,C12356,C12332,C12308,C12284,C12260,C12236,C12212,C12188,C12164,C12140,C12116,C12092,C12068)/POBLA!$B$19*100000</f>
        <v>688.7285374797375</v>
      </c>
      <c r="H12380" s="256">
        <f t="shared" si="2317"/>
        <v>0.76224689745264529</v>
      </c>
      <c r="I12380" s="297">
        <f t="shared" si="2318"/>
        <v>524.98119088102783</v>
      </c>
      <c r="J12380" s="422">
        <f t="shared" si="2315"/>
        <v>255.71428571428572</v>
      </c>
      <c r="K12380" s="297">
        <f>J12380/POBLA!$B$19*100000</f>
        <v>50.30497743863917</v>
      </c>
      <c r="L12380" s="200">
        <f t="shared" si="2316"/>
        <v>4.6171829339567427E-2</v>
      </c>
      <c r="M12380" s="401">
        <f>SUM(C12380,C12356,C12332,C12308,C12284,C12260,C12236)/POBLA!$B$19*100000</f>
        <v>352.13484207047418</v>
      </c>
    </row>
    <row r="12381" spans="1:18" x14ac:dyDescent="0.25">
      <c r="A12381" s="367" t="s">
        <v>37</v>
      </c>
      <c r="B12381" s="2">
        <v>44408</v>
      </c>
      <c r="C12381" s="637">
        <v>43</v>
      </c>
      <c r="D12381" s="39">
        <f t="shared" si="2319"/>
        <v>57871</v>
      </c>
      <c r="E12381" s="637">
        <v>1</v>
      </c>
      <c r="F12381" s="39">
        <f>E12381+F12357</f>
        <v>935</v>
      </c>
      <c r="G12381" s="168">
        <f>SUM(C12381,C12357,C12334,C12309,C12285,C12261,C12237,C12213,C12189,C12165,C12141,C12117,C12093,C12069)/POBLA!$B$20*100000</f>
        <v>531.58617219673056</v>
      </c>
      <c r="H12381" s="256">
        <f t="shared" si="2317"/>
        <v>0.68552412645590677</v>
      </c>
      <c r="I12381" s="297">
        <f t="shared" si="2318"/>
        <v>364.41514633120295</v>
      </c>
      <c r="J12381" s="422">
        <f t="shared" si="2315"/>
        <v>66.714285714285708</v>
      </c>
      <c r="K12381" s="297">
        <f>J12381/POBLA!$B$20*100000</f>
        <v>18.242999883588563</v>
      </c>
      <c r="L12381" s="200">
        <f t="shared" si="2316"/>
        <v>0.3081232492997199</v>
      </c>
      <c r="M12381" s="401">
        <f>SUM(C12381,C12357,C12333,C12309,C12285,C12261,C12237)/POBLA!$B$20*100000</f>
        <v>127.70099918511997</v>
      </c>
      <c r="N12381" s="42" t="s">
        <v>37</v>
      </c>
      <c r="O12381" s="42">
        <v>0</v>
      </c>
      <c r="P12381" s="42">
        <v>1</v>
      </c>
      <c r="Q12381" s="42">
        <v>0</v>
      </c>
      <c r="R12381" s="42">
        <v>1</v>
      </c>
    </row>
    <row r="12382" spans="1:18" x14ac:dyDescent="0.25">
      <c r="A12382" s="367" t="s">
        <v>22</v>
      </c>
      <c r="B12382" s="2">
        <v>44408</v>
      </c>
      <c r="C12382" s="637">
        <v>890</v>
      </c>
      <c r="D12382" s="39">
        <f t="shared" si="2319"/>
        <v>447374</v>
      </c>
      <c r="E12382" s="637"/>
      <c r="F12382" s="39">
        <f>E12382+F12358</f>
        <v>7853</v>
      </c>
      <c r="G12382" s="168">
        <f>SUM(C12382,C12358,C12334,C12310,C12286,C12262,C12238,C12214,C12190,C12166,C12142,C12118,C12094,C12070)/POBLA!$B$21*100000</f>
        <v>452.03932340577387</v>
      </c>
      <c r="H12382" s="256">
        <f t="shared" si="2317"/>
        <v>0.78752647913690332</v>
      </c>
      <c r="I12382" s="297">
        <f t="shared" si="2318"/>
        <v>355.99293679317708</v>
      </c>
      <c r="J12382" s="422">
        <f t="shared" si="2315"/>
        <v>1102.8571428571429</v>
      </c>
      <c r="K12382" s="297">
        <f>J12382/POBLA!$B$21*100000</f>
        <v>31.185712290151869</v>
      </c>
      <c r="L12382" s="200">
        <f t="shared" si="2316"/>
        <v>-6.6053714009194242E-2</v>
      </c>
      <c r="M12382" s="401">
        <f>SUM(C12382,C12358,C12334,C12310,C12286,C12262,C12238)/POBLA!$B$21*100000</f>
        <v>218.29998603106307</v>
      </c>
    </row>
    <row r="12383" spans="1:18" x14ac:dyDescent="0.25">
      <c r="A12383" s="367" t="s">
        <v>38</v>
      </c>
      <c r="B12383" s="2">
        <v>44408</v>
      </c>
      <c r="C12383" s="637">
        <v>284</v>
      </c>
      <c r="D12383" s="39">
        <f t="shared" si="2319"/>
        <v>73493</v>
      </c>
      <c r="E12383" s="637">
        <v>4</v>
      </c>
      <c r="F12383" s="39">
        <f>E12383+F12359</f>
        <v>1047</v>
      </c>
      <c r="G12383" s="168">
        <f>SUM(C12383,C12359,C12335,C12311,C12287,C12263,C12239,C12215,C12191,C12167,C12143,C12119,C12095,C12071)/POBLA!$B$22*100000</f>
        <v>484.91638156704454</v>
      </c>
      <c r="H12383" s="256">
        <f t="shared" si="2317"/>
        <v>0.63490364025695933</v>
      </c>
      <c r="I12383" s="297">
        <f t="shared" si="2318"/>
        <v>307.87517587714927</v>
      </c>
      <c r="J12383" s="422">
        <f t="shared" si="2315"/>
        <v>322.71428571428572</v>
      </c>
      <c r="K12383" s="297">
        <f>J12383/POBLA!$B$22*100000</f>
        <v>32.986813597926812</v>
      </c>
      <c r="L12383" s="200">
        <f t="shared" si="2316"/>
        <v>-9.0945674044265568E-2</v>
      </c>
      <c r="M12383" s="401">
        <f>SUM(C12383,C12359,C12335,C12311,C12287,C12263,C12239)/POBLA!$B$22*100000</f>
        <v>230.90769518548768</v>
      </c>
      <c r="N12383" s="42" t="s">
        <v>38</v>
      </c>
      <c r="O12383" s="42">
        <v>2</v>
      </c>
      <c r="P12383" s="42">
        <v>1</v>
      </c>
      <c r="Q12383" s="42">
        <v>1</v>
      </c>
      <c r="R12383" s="42">
        <v>4</v>
      </c>
    </row>
    <row r="12384" spans="1:18" x14ac:dyDescent="0.25">
      <c r="A12384" s="367" t="s">
        <v>39</v>
      </c>
      <c r="B12384" s="2">
        <v>44408</v>
      </c>
      <c r="C12384" s="637">
        <v>20</v>
      </c>
      <c r="D12384" s="39">
        <f t="shared" si="2319"/>
        <v>31170</v>
      </c>
      <c r="E12384" s="637"/>
      <c r="F12384" s="39">
        <f>E12384+F12360</f>
        <v>467</v>
      </c>
      <c r="G12384" s="168">
        <f>SUM(C12384,C12360,C12336,C12312,C12288,C12264,C12240,C12216,C12192,C12168,C12144,C12120,C12096,C12072)/POBLA!$B$23*100000</f>
        <v>357.40541763275462</v>
      </c>
      <c r="H12384" s="256">
        <f t="shared" si="2317"/>
        <v>1.0112000000000001</v>
      </c>
      <c r="I12384" s="297">
        <f t="shared" si="2318"/>
        <v>361.40835831024151</v>
      </c>
      <c r="J12384" s="422">
        <f t="shared" si="2315"/>
        <v>43.285714285714285</v>
      </c>
      <c r="K12384" s="297">
        <f>J12384/POBLA!$B$23*100000</f>
        <v>24.478716442749697</v>
      </c>
      <c r="L12384" s="200">
        <f t="shared" si="2316"/>
        <v>-7.9027355623100259E-2</v>
      </c>
      <c r="M12384" s="401">
        <f>SUM(C12384,C12360,C12336,C12312,C12288,C12264,C12240)/POBLA!$B$23*100000</f>
        <v>171.35101509924786</v>
      </c>
    </row>
    <row r="12385" spans="1:18" ht="15.75" thickBot="1" x14ac:dyDescent="0.3">
      <c r="A12385" s="369" t="s">
        <v>40</v>
      </c>
      <c r="B12385" s="2">
        <v>44408</v>
      </c>
      <c r="C12385" s="637">
        <v>388</v>
      </c>
      <c r="D12385" s="176">
        <f t="shared" si="2319"/>
        <v>180789</v>
      </c>
      <c r="E12385" s="637">
        <v>3</v>
      </c>
      <c r="F12385" s="176">
        <f>E12385+F12361</f>
        <v>2570</v>
      </c>
      <c r="G12385" s="177">
        <f>SUM(C12385,C12361,C12337,C12313,C12289,C12265,C12241,C12217,C12193,C12169,C12145,C12121,C12097,C12073)/POBLA!$B$24*100000</f>
        <v>572.74160655613878</v>
      </c>
      <c r="H12385" s="402">
        <f t="shared" si="2317"/>
        <v>0.92192249240121582</v>
      </c>
      <c r="I12385" s="403">
        <f t="shared" si="2318"/>
        <v>528.023369418112</v>
      </c>
      <c r="J12385" s="423">
        <f t="shared" si="2315"/>
        <v>656.57142857142856</v>
      </c>
      <c r="K12385" s="403">
        <f>J12385/POBLA!$B$24*100000</f>
        <v>38.743640512967147</v>
      </c>
      <c r="L12385" s="404">
        <f t="shared" si="2316"/>
        <v>-0.10058708414872797</v>
      </c>
      <c r="M12385" s="405">
        <f>SUM(C12385,C12361,C12337,C12313,C12289,C12265,C12241)/POBLA!$B$24*100000</f>
        <v>271.20548359077003</v>
      </c>
      <c r="N12385" s="42" t="s">
        <v>40</v>
      </c>
      <c r="O12385" s="42">
        <v>0</v>
      </c>
      <c r="P12385" s="42">
        <v>3</v>
      </c>
      <c r="Q12385" s="42">
        <v>0</v>
      </c>
      <c r="R12385" s="42">
        <v>3</v>
      </c>
    </row>
    <row r="12386" spans="1:18" x14ac:dyDescent="0.25">
      <c r="A12386" s="363" t="s">
        <v>16</v>
      </c>
      <c r="B12386" s="2">
        <v>44409</v>
      </c>
      <c r="C12386" s="637">
        <v>1435</v>
      </c>
      <c r="D12386" s="174">
        <f>C12386+D12362</f>
        <v>1975947</v>
      </c>
      <c r="E12386" s="637">
        <v>5</v>
      </c>
      <c r="F12386" s="174">
        <f t="shared" ref="F12386:F12404" si="2320">E12386+F12362</f>
        <v>52213</v>
      </c>
      <c r="G12386" s="175">
        <f>SUM(C12386,C12362,C12314,C12338,C12290,C12266,C12242,C12218,C12194,C12170,C12146,C12122,C12098,C12074)/POBLA!$B$1*100000</f>
        <v>276.76648856536752</v>
      </c>
      <c r="H12386" s="300">
        <f t="shared" si="2317"/>
        <v>0.75430773294386355</v>
      </c>
      <c r="I12386" s="301">
        <f>G12386*H12386</f>
        <v>208.76710254457612</v>
      </c>
      <c r="J12386" s="421">
        <f>AVERAGE(C12386,C12362,C12338,C12314,C12290,C12266,C12242)</f>
        <v>3325.4285714285716</v>
      </c>
      <c r="K12386" s="301">
        <f>J12386/POBLA!$B$1*100000</f>
        <v>18.957880627198488</v>
      </c>
      <c r="L12386" s="399">
        <f>(SUM(C12386,C12362,C12338,C12314,C12290,C12266,C12242)/SUM(C12218,C12194,C12170,C12146,C12122,C12098,C12074))-1</f>
        <v>-7.882865057380295E-2</v>
      </c>
      <c r="M12386" s="400">
        <f>SUM(C12386,C12362,C12338,C12314,C12290,C12266,C12242)/POBLA!$B$1*100000</f>
        <v>132.70516439038943</v>
      </c>
      <c r="N12386" s="42" t="s">
        <v>327</v>
      </c>
      <c r="O12386" s="42">
        <v>1435</v>
      </c>
      <c r="P12386" s="42">
        <v>1975947</v>
      </c>
    </row>
    <row r="12387" spans="1:18" x14ac:dyDescent="0.25">
      <c r="A12387" s="367" t="s">
        <v>43</v>
      </c>
      <c r="B12387" s="2">
        <v>44409</v>
      </c>
      <c r="C12387" s="637">
        <v>484</v>
      </c>
      <c r="D12387" s="39">
        <f t="shared" ref="D12387:D12401" si="2321">C12387+D12363</f>
        <v>492055</v>
      </c>
      <c r="E12387" s="637">
        <v>4</v>
      </c>
      <c r="F12387" s="39">
        <f t="shared" si="2320"/>
        <v>10910</v>
      </c>
      <c r="G12387" s="168">
        <f>SUM(C12387,C12363,C12339,C12315,C12291,C12267,C12243,C12219,C12195,C12171,C12147,C12123,C12099,C12075)/POBLA!$B$2*100000</f>
        <v>332.02780814176924</v>
      </c>
      <c r="H12387" s="256">
        <f t="shared" si="2317"/>
        <v>0.75099279305780264</v>
      </c>
      <c r="I12387" s="297">
        <f t="shared" ref="I12387:I12393" si="2322">G12387*H12387</f>
        <v>249.35049100924752</v>
      </c>
      <c r="J12387" s="422">
        <f>AVERAGE(C12387,C12363,C12339,C12315,C12291,C12267,C12243)</f>
        <v>703</v>
      </c>
      <c r="K12387" s="297">
        <f>J12387/POBLA!$B$2*100000</f>
        <v>22.856986792368172</v>
      </c>
      <c r="L12387" s="200">
        <f>(SUM(C12387,C12363,C12339,C12315,C12291,C12267,C12243)/SUM(C12219,C12195,C12171,C12147,C12123,C12099,C12075))-1</f>
        <v>-6.9930069930069894E-2</v>
      </c>
      <c r="M12387" s="401">
        <f>SUM(C12387,C12363,C12339,C12315,C12291,C12267,C12243)/POBLA!$B$2*100000</f>
        <v>159.99890754657721</v>
      </c>
      <c r="N12387" s="42" t="s">
        <v>43</v>
      </c>
      <c r="O12387" s="42">
        <v>484</v>
      </c>
      <c r="P12387" s="42">
        <v>492055</v>
      </c>
    </row>
    <row r="12388" spans="1:18" x14ac:dyDescent="0.25">
      <c r="A12388" s="367" t="s">
        <v>28</v>
      </c>
      <c r="B12388" s="2">
        <v>44409</v>
      </c>
      <c r="C12388" s="637">
        <v>155</v>
      </c>
      <c r="D12388" s="39">
        <f t="shared" si="2321"/>
        <v>42546</v>
      </c>
      <c r="E12388" s="637"/>
      <c r="F12388" s="39">
        <f t="shared" si="2320"/>
        <v>482</v>
      </c>
      <c r="G12388" s="168">
        <f>SUM(C12388,C12364,C12340,C12316,C12292,C12268,C12244,C12220,C12196,C12172,C12148,C12124,C12100,C12076)/POBLA!$B$3*100000</f>
        <v>856.92690606059148</v>
      </c>
      <c r="H12388" s="256">
        <f t="shared" si="2317"/>
        <v>0.96712849769084486</v>
      </c>
      <c r="I12388" s="297">
        <f t="shared" si="2322"/>
        <v>828.75843128924362</v>
      </c>
      <c r="J12388" s="422">
        <f t="shared" ref="J12388:J12409" si="2323">AVERAGE(C12388,C12364,C12340,C12316,C12292,C12268,C12244)</f>
        <v>245</v>
      </c>
      <c r="K12388" s="297">
        <f>J12388/POBLA!$B$3*100000</f>
        <v>58.973902242933967</v>
      </c>
      <c r="L12388" s="200">
        <f t="shared" ref="L12388:L12409" si="2324">(SUM(C12388,C12364,C12340,C12316,C12292,C12268,C12244)/SUM(C12220,C12196,C12172,C12148,C12124,C12100,C12076))-1</f>
        <v>-7.0460704607046121E-2</v>
      </c>
      <c r="M12388" s="401">
        <f>SUM(C12388,C12364,C12340,C12316,C12292,C12268,C12244)/POBLA!$B$3*100000</f>
        <v>412.81731570053773</v>
      </c>
      <c r="N12388" s="42" t="s">
        <v>28</v>
      </c>
      <c r="O12388" s="42">
        <v>155</v>
      </c>
      <c r="P12388" s="42">
        <v>42546</v>
      </c>
    </row>
    <row r="12389" spans="1:18" x14ac:dyDescent="0.25">
      <c r="A12389" s="367" t="s">
        <v>15</v>
      </c>
      <c r="B12389" s="2">
        <v>44409</v>
      </c>
      <c r="C12389" s="637">
        <v>206</v>
      </c>
      <c r="D12389" s="39">
        <f t="shared" si="2321"/>
        <v>91572</v>
      </c>
      <c r="E12389" s="637">
        <v>8</v>
      </c>
      <c r="F12389" s="39">
        <f t="shared" si="2320"/>
        <v>2020</v>
      </c>
      <c r="G12389" s="168">
        <f>SUM(C12389,C12365,C12341,C12317,C12293,C12269,C12245,C12221,C12197,C12173,C12149,C12125,C12101,C12077)/POBLA!$B$4*100000</f>
        <v>456.85451968841249</v>
      </c>
      <c r="H12389" s="256">
        <f t="shared" si="2317"/>
        <v>0.77868968444884679</v>
      </c>
      <c r="I12389" s="297">
        <f t="shared" si="2322"/>
        <v>355.74790177519941</v>
      </c>
      <c r="J12389" s="422">
        <f t="shared" si="2323"/>
        <v>407.71428571428572</v>
      </c>
      <c r="K12389" s="297">
        <f>J12389/POBLA!$B$4*100000</f>
        <v>33.848103610776697</v>
      </c>
      <c r="L12389" s="200">
        <f t="shared" si="2324"/>
        <v>7.7387693469233687E-2</v>
      </c>
      <c r="M12389" s="401">
        <f>SUM(C12389,C12365,C12341,C12317,C12293,C12269,C12245)/POBLA!$B$4*100000</f>
        <v>236.93672527543686</v>
      </c>
      <c r="N12389" s="42" t="s">
        <v>15</v>
      </c>
      <c r="O12389" s="42">
        <v>206</v>
      </c>
      <c r="P12389" s="42">
        <v>91572</v>
      </c>
    </row>
    <row r="12390" spans="1:18" x14ac:dyDescent="0.25">
      <c r="A12390" s="367" t="s">
        <v>29</v>
      </c>
      <c r="B12390" s="2">
        <v>44409</v>
      </c>
      <c r="C12390" s="637">
        <v>44</v>
      </c>
      <c r="D12390" s="39">
        <f t="shared" si="2321"/>
        <v>76504</v>
      </c>
      <c r="E12390" s="637">
        <v>1</v>
      </c>
      <c r="F12390" s="39">
        <f t="shared" si="2320"/>
        <v>1314</v>
      </c>
      <c r="G12390" s="168">
        <f>SUM(C12390,C12366,C12342,C12318,C12294,C12270,C12246,C12222,C12198,C12174,C12150,C12126,C12102,C12078)/POBLA!$B$5*100000</f>
        <v>421.0056963395445</v>
      </c>
      <c r="H12390" s="256">
        <f t="shared" si="2317"/>
        <v>1.0871923237380059</v>
      </c>
      <c r="I12390" s="297">
        <f t="shared" si="2322"/>
        <v>457.71416131032669</v>
      </c>
      <c r="J12390" s="422">
        <f t="shared" si="2323"/>
        <v>214.85714285714286</v>
      </c>
      <c r="K12390" s="297">
        <f>J12390/POBLA!$B$5*100000</f>
        <v>34.710698788218117</v>
      </c>
      <c r="L12390" s="200">
        <f t="shared" si="2324"/>
        <v>0.36479128856624321</v>
      </c>
      <c r="M12390" s="401">
        <f>SUM(C12390,C12366,C12342,C12318,C12294,C12270,C12246)/POBLA!$B$5*100000</f>
        <v>242.97489151752683</v>
      </c>
      <c r="N12390" s="42" t="s">
        <v>29</v>
      </c>
      <c r="O12390" s="42">
        <v>44</v>
      </c>
      <c r="P12390" s="42">
        <v>76504</v>
      </c>
    </row>
    <row r="12391" spans="1:18" x14ac:dyDescent="0.25">
      <c r="A12391" s="367" t="s">
        <v>30</v>
      </c>
      <c r="B12391" s="2">
        <v>44409</v>
      </c>
      <c r="C12391" s="637">
        <v>376</v>
      </c>
      <c r="D12391" s="39">
        <f t="shared" si="2321"/>
        <v>449176</v>
      </c>
      <c r="E12391" s="637"/>
      <c r="F12391" s="39">
        <f t="shared" si="2320"/>
        <v>5862</v>
      </c>
      <c r="G12391" s="168">
        <f>SUM(C12391,C12367,C12343,C12319,C12295,C12271,C12247,C12223,C12199,C12175,C12151,C12127,C12103,C12079)/POBLA!$B$6*100000</f>
        <v>571.28785573888672</v>
      </c>
      <c r="H12391" s="256">
        <f t="shared" si="2317"/>
        <v>0.94397759103641454</v>
      </c>
      <c r="I12391" s="297">
        <f t="shared" si="2322"/>
        <v>539.28293384875303</v>
      </c>
      <c r="J12391" s="422">
        <f t="shared" si="2323"/>
        <v>469.71428571428572</v>
      </c>
      <c r="K12391" s="297">
        <f>J12391/POBLA!$B$6*100000</f>
        <v>41.908803232178208</v>
      </c>
      <c r="L12391" s="200">
        <f t="shared" si="2324"/>
        <v>5.5537720706259952E-2</v>
      </c>
      <c r="M12391" s="401">
        <f>SUM(C12391,C12367,C12343,C12319,C12295,C12271,C12247)/POBLA!$B$6*100000</f>
        <v>293.36162262524749</v>
      </c>
      <c r="N12391" s="42" t="s">
        <v>30</v>
      </c>
      <c r="O12391" s="42">
        <v>376</v>
      </c>
      <c r="P12391" s="42">
        <v>81174</v>
      </c>
    </row>
    <row r="12392" spans="1:18" x14ac:dyDescent="0.25">
      <c r="A12392" s="367" t="s">
        <v>20</v>
      </c>
      <c r="B12392" s="2">
        <v>44409</v>
      </c>
      <c r="C12392" s="637">
        <v>696</v>
      </c>
      <c r="D12392" s="39">
        <f t="shared" si="2321"/>
        <v>101177</v>
      </c>
      <c r="E12392" s="637">
        <v>5</v>
      </c>
      <c r="F12392" s="39">
        <f t="shared" si="2320"/>
        <v>1154</v>
      </c>
      <c r="G12392" s="168">
        <f>SUM(C12392,C12368,C12344,C12320,C12296,C12272,C12248,C12224,C12200,C12176,C12152,C12128,C12104,C12080)/POBLA!$B$7*100000</f>
        <v>638.38104482176334</v>
      </c>
      <c r="H12392" s="256">
        <f t="shared" si="2317"/>
        <v>0.89248271246932853</v>
      </c>
      <c r="I12392" s="297">
        <f t="shared" si="2322"/>
        <v>569.74404647153131</v>
      </c>
      <c r="J12392" s="422">
        <f t="shared" si="2323"/>
        <v>1820.7142857142858</v>
      </c>
      <c r="K12392" s="297">
        <f>J12392/POBLA!$B$7*100000</f>
        <v>48.417457637098906</v>
      </c>
      <c r="L12392" s="200">
        <f t="shared" si="2324"/>
        <v>0.13178225734837046</v>
      </c>
      <c r="M12392" s="401">
        <f>SUM(C12392,C12368,C12344,C12320,C12296,C12272,C12248)/POBLA!$B$7*100000</f>
        <v>338.92220345969235</v>
      </c>
      <c r="N12392" s="42" t="s">
        <v>20</v>
      </c>
      <c r="O12392" s="42">
        <v>696</v>
      </c>
      <c r="P12392" s="42">
        <v>469180</v>
      </c>
    </row>
    <row r="12393" spans="1:18" x14ac:dyDescent="0.25">
      <c r="A12393" s="367" t="s">
        <v>31</v>
      </c>
      <c r="B12393" s="2">
        <v>44409</v>
      </c>
      <c r="C12393" s="637">
        <v>142</v>
      </c>
      <c r="D12393" s="39">
        <f t="shared" si="2321"/>
        <v>128160</v>
      </c>
      <c r="E12393" s="637"/>
      <c r="F12393" s="39">
        <f t="shared" si="2320"/>
        <v>2140</v>
      </c>
      <c r="G12393" s="168">
        <f>SUM(C12393,C12369,C12345,C12321,C12297,C12273,C12249,C12225,C12201,C12177,C12153,C12129,C12105,C12081)/POBLA!$B$8*100000</f>
        <v>433.05691862902341</v>
      </c>
      <c r="H12393" s="256">
        <f t="shared" ref="H12393:H12416" si="2325">SUM(C12393,C12369,C12345,C12321,C12297,C12273,C12249,C12225,C12201,C12177,C12153,C12129,C12105,C12081,)/SUM(C12057,C12033,C12009,C11985,C11961,C11937,C11913,C11889,C11865,C11841,C11817,C11793,C11769,C11745)</f>
        <v>0.64851431658562941</v>
      </c>
      <c r="I12393" s="297">
        <f t="shared" si="2322"/>
        <v>280.84361162737963</v>
      </c>
      <c r="J12393" s="422">
        <f t="shared" si="2323"/>
        <v>394.14285714285717</v>
      </c>
      <c r="K12393" s="297">
        <f>J12393/POBLA!$B$8*100000</f>
        <v>28.438235790390721</v>
      </c>
      <c r="L12393" s="200">
        <f t="shared" si="2324"/>
        <v>-0.14924452667283383</v>
      </c>
      <c r="M12393" s="401">
        <f>SUM(C12393,C12369,C12345,C12321,C12297,C12273,C12249)/POBLA!$B$8*100000</f>
        <v>199.06765053273506</v>
      </c>
      <c r="N12393" s="42" t="s">
        <v>31</v>
      </c>
      <c r="O12393" s="42">
        <v>142</v>
      </c>
      <c r="P12393" s="42">
        <v>128160</v>
      </c>
    </row>
    <row r="12394" spans="1:18" x14ac:dyDescent="0.25">
      <c r="A12394" s="367" t="s">
        <v>41</v>
      </c>
      <c r="B12394" s="2">
        <v>44409</v>
      </c>
      <c r="C12394" s="637">
        <v>148</v>
      </c>
      <c r="D12394" s="39">
        <f t="shared" si="2321"/>
        <v>56239</v>
      </c>
      <c r="E12394" s="637"/>
      <c r="F12394" s="39">
        <f t="shared" si="2320"/>
        <v>1015</v>
      </c>
      <c r="G12394" s="168">
        <f>SUM(C12394,C12370,C12346,C12322,C12298,C12274,C12250,C12226,C12202,C12178,C12154,C12130,C12106,C12082)/POBLA!$B$9*100000</f>
        <v>574.36222824784818</v>
      </c>
      <c r="H12394" s="256">
        <f t="shared" si="2325"/>
        <v>0.61642135130342257</v>
      </c>
      <c r="I12394" s="297">
        <f>G12394*H12394</f>
        <v>354.04914087418342</v>
      </c>
      <c r="J12394" s="422">
        <f t="shared" si="2323"/>
        <v>233.42857142857142</v>
      </c>
      <c r="K12394" s="297">
        <f>J12394/POBLA!$B$9*100000</f>
        <v>38.570930501273381</v>
      </c>
      <c r="L12394" s="200">
        <f t="shared" si="2324"/>
        <v>-0.1129207383279045</v>
      </c>
      <c r="M12394" s="401">
        <f>SUM(C12394,C12370,C12346,C12322,C12298,C12274,C12250)/POBLA!$B$9*100000</f>
        <v>269.99651350891367</v>
      </c>
      <c r="N12394" s="42" t="s">
        <v>41</v>
      </c>
      <c r="O12394" s="42">
        <v>148</v>
      </c>
      <c r="P12394" s="42">
        <v>56239</v>
      </c>
    </row>
    <row r="12395" spans="1:18" x14ac:dyDescent="0.25">
      <c r="A12395" s="367" t="s">
        <v>32</v>
      </c>
      <c r="B12395" s="2">
        <v>44409</v>
      </c>
      <c r="C12395" s="637">
        <v>160</v>
      </c>
      <c r="D12395" s="39">
        <f t="shared" si="2321"/>
        <v>43676</v>
      </c>
      <c r="E12395" s="637">
        <v>5</v>
      </c>
      <c r="F12395" s="39">
        <f t="shared" si="2320"/>
        <v>1323</v>
      </c>
      <c r="G12395" s="168">
        <f>SUM(C12395,C12371,C12347,C12323,C12299,C12275,C12251,C12227,C12203,C12179,C12155,C12131,C12107,C12083)/POBLA!$B$10*100000</f>
        <v>376.97128350549565</v>
      </c>
      <c r="H12395" s="256">
        <f t="shared" si="2325"/>
        <v>0.75304483026690849</v>
      </c>
      <c r="I12395" s="297">
        <f t="shared" ref="I12395:I12409" si="2326">G12395*H12395</f>
        <v>283.87627620289459</v>
      </c>
      <c r="J12395" s="422">
        <f t="shared" si="2323"/>
        <v>184.71428571428572</v>
      </c>
      <c r="K12395" s="297">
        <f>J12395/POBLA!$B$10*100000</f>
        <v>23.961452638511744</v>
      </c>
      <c r="L12395" s="200">
        <f t="shared" si="2324"/>
        <v>-0.1983880967141971</v>
      </c>
      <c r="M12395" s="401">
        <f>SUM(C12395,C12371,C12347,C12323,C12299,C12275,C12251)/POBLA!$B$10*100000</f>
        <v>167.73016846958222</v>
      </c>
      <c r="N12395" s="42" t="s">
        <v>32</v>
      </c>
      <c r="O12395" s="42">
        <v>160</v>
      </c>
      <c r="P12395" s="42">
        <v>43676</v>
      </c>
    </row>
    <row r="12396" spans="1:18" x14ac:dyDescent="0.25">
      <c r="A12396" s="367" t="s">
        <v>33</v>
      </c>
      <c r="B12396" s="2">
        <v>44409</v>
      </c>
      <c r="C12396" s="637">
        <v>190</v>
      </c>
      <c r="D12396" s="39">
        <f t="shared" si="2321"/>
        <v>61647</v>
      </c>
      <c r="E12396" s="637"/>
      <c r="F12396" s="39">
        <f t="shared" si="2320"/>
        <v>838</v>
      </c>
      <c r="G12396" s="168">
        <f>SUM(C12396,C12372,C12348,C12324,C12300,C12276,C12252,C12228,C12204,C12180,C12156,C12132,C12108,C12084)/POBLA!$B$11*100000</f>
        <v>1079.1567623065162</v>
      </c>
      <c r="H12396" s="256">
        <f t="shared" si="2325"/>
        <v>1.0235512040222281</v>
      </c>
      <c r="I12396" s="297">
        <f t="shared" si="2326"/>
        <v>1104.5722033875641</v>
      </c>
      <c r="J12396" s="422">
        <f t="shared" si="2323"/>
        <v>286.85714285714283</v>
      </c>
      <c r="K12396" s="297">
        <f>J12396/POBLA!$B$11*100000</f>
        <v>80.032012805122037</v>
      </c>
      <c r="L12396" s="200">
        <f t="shared" si="2324"/>
        <v>7.9569892473118298E-2</v>
      </c>
      <c r="M12396" s="401">
        <f>SUM(C12396,C12372,C12348,C12324,C12300,C12276,C12252)/POBLA!$B$11*100000</f>
        <v>560.2240896358544</v>
      </c>
      <c r="N12396" s="42" t="s">
        <v>33</v>
      </c>
      <c r="O12396" s="42">
        <v>190</v>
      </c>
      <c r="P12396" s="42">
        <v>61647</v>
      </c>
    </row>
    <row r="12397" spans="1:18" x14ac:dyDescent="0.25">
      <c r="A12397" s="367" t="s">
        <v>21</v>
      </c>
      <c r="B12397" s="2">
        <v>44409</v>
      </c>
      <c r="C12397" s="637">
        <v>192</v>
      </c>
      <c r="D12397" s="39">
        <f t="shared" si="2321"/>
        <v>28560</v>
      </c>
      <c r="E12397" s="637"/>
      <c r="F12397" s="39">
        <f t="shared" si="2320"/>
        <v>786</v>
      </c>
      <c r="G12397" s="168">
        <f>SUM(C12397,C12373,C12349,C12325,C12301,C12277,C12253,C12229,C12205,C12181,C12157,C12133,C12109,C12085)/POBLA!$B$12*100000</f>
        <v>718.36780329885062</v>
      </c>
      <c r="H12397" s="256">
        <f t="shared" si="2325"/>
        <v>0.98467432950191569</v>
      </c>
      <c r="I12397" s="297">
        <f t="shared" si="2326"/>
        <v>707.35833504905975</v>
      </c>
      <c r="J12397" s="422">
        <f t="shared" si="2323"/>
        <v>235.28571428571428</v>
      </c>
      <c r="K12397" s="297">
        <f>J12397/POBLA!$B$12*100000</f>
        <v>59.788355754874274</v>
      </c>
      <c r="L12397" s="200">
        <f t="shared" si="2324"/>
        <v>0.3957627118644067</v>
      </c>
      <c r="M12397" s="401">
        <f>SUM(C12397,C12373,C12349,C12325,C12301,C12277,C12253)/POBLA!$B$12*100000</f>
        <v>418.51849028411993</v>
      </c>
      <c r="N12397" s="42" t="s">
        <v>21</v>
      </c>
      <c r="O12397" s="42">
        <v>192</v>
      </c>
      <c r="P12397" s="42">
        <v>28560</v>
      </c>
    </row>
    <row r="12398" spans="1:18" x14ac:dyDescent="0.25">
      <c r="A12398" s="367" t="s">
        <v>17</v>
      </c>
      <c r="B12398" s="2">
        <v>44409</v>
      </c>
      <c r="C12398" s="637">
        <v>155</v>
      </c>
      <c r="D12398" s="39">
        <f t="shared" si="2321"/>
        <v>154348</v>
      </c>
      <c r="E12398" s="637">
        <v>8</v>
      </c>
      <c r="F12398" s="39">
        <f t="shared" si="2320"/>
        <v>3935</v>
      </c>
      <c r="G12398" s="168">
        <f>SUM(C12398,C12374,C12350,C12326,C12302,C12278,C12254,C12230,C12206,C12182,C12158,C12134,C12110,C12086)/POBLA!$B$13*100000</f>
        <v>297.33643230446285</v>
      </c>
      <c r="H12398" s="256">
        <f t="shared" si="2325"/>
        <v>0.91808873720136519</v>
      </c>
      <c r="I12398" s="297">
        <f t="shared" si="2326"/>
        <v>272.98122965836347</v>
      </c>
      <c r="J12398" s="422">
        <f t="shared" si="2323"/>
        <v>439.57142857142856</v>
      </c>
      <c r="K12398" s="297">
        <f>J12398/POBLA!$B$13*100000</f>
        <v>22.085265345455323</v>
      </c>
      <c r="L12398" s="200">
        <f t="shared" si="2324"/>
        <v>8.3069341781063066E-2</v>
      </c>
      <c r="M12398" s="401">
        <f>SUM(C12398,C12374,C12350,C12326,C12302,C12278,C12254)/POBLA!$B$13*100000</f>
        <v>154.59685741818726</v>
      </c>
      <c r="N12398" s="42" t="s">
        <v>17</v>
      </c>
      <c r="O12398" s="42">
        <v>155</v>
      </c>
      <c r="P12398" s="42">
        <v>154348</v>
      </c>
    </row>
    <row r="12399" spans="1:18" x14ac:dyDescent="0.25">
      <c r="A12399" s="367" t="s">
        <v>23</v>
      </c>
      <c r="B12399" s="2">
        <v>44409</v>
      </c>
      <c r="C12399" s="637">
        <v>172</v>
      </c>
      <c r="D12399" s="39">
        <f t="shared" si="2321"/>
        <v>31056</v>
      </c>
      <c r="E12399" s="637">
        <v>2</v>
      </c>
      <c r="F12399" s="39">
        <f t="shared" si="2320"/>
        <v>558</v>
      </c>
      <c r="G12399" s="168">
        <f>SUM(C12399,C12375,C12351,C12327,C12303,C12279,C12255,C12231,C12207,C12183,C12159,C12135,C12111,C12087)/POBLA!$B$14*100000</f>
        <v>202.80759283719738</v>
      </c>
      <c r="H12399" s="256">
        <f t="shared" si="2325"/>
        <v>1.2020676691729324</v>
      </c>
      <c r="I12399" s="297">
        <f t="shared" si="2326"/>
        <v>243.78845041238296</v>
      </c>
      <c r="J12399" s="422">
        <f t="shared" si="2323"/>
        <v>186</v>
      </c>
      <c r="K12399" s="297">
        <f>J12399/POBLA!$B$14*100000</f>
        <v>14.746760073384952</v>
      </c>
      <c r="L12399" s="200">
        <f t="shared" si="2324"/>
        <v>3.6624203821655987E-2</v>
      </c>
      <c r="M12399" s="401">
        <f>SUM(C12399,C12375,C12351,C12327,C12303,C12279,C12255)/POBLA!$B$14*100000</f>
        <v>103.22732051369466</v>
      </c>
      <c r="N12399" s="42" t="s">
        <v>23</v>
      </c>
      <c r="O12399" s="42">
        <v>172</v>
      </c>
      <c r="P12399" s="42">
        <v>31056</v>
      </c>
    </row>
    <row r="12400" spans="1:18" x14ac:dyDescent="0.25">
      <c r="A12400" s="367" t="s">
        <v>19</v>
      </c>
      <c r="B12400" s="2">
        <v>44409</v>
      </c>
      <c r="C12400" s="637">
        <v>152</v>
      </c>
      <c r="D12400" s="39">
        <f t="shared" si="2321"/>
        <v>107666</v>
      </c>
      <c r="E12400" s="637"/>
      <c r="F12400" s="39">
        <f t="shared" si="2320"/>
        <v>2016</v>
      </c>
      <c r="G12400" s="168">
        <f>SUM(C12400,C12376,C12352,C12328,C12304,C12280,C12256,C12232,C12208,C12184,C12160,C12136,C12112,C12088)/POBLA!$B$15*100000</f>
        <v>421.95173004727002</v>
      </c>
      <c r="H12400" s="256">
        <f t="shared" si="2325"/>
        <v>1.0617658203865101</v>
      </c>
      <c r="I12400" s="297">
        <f t="shared" si="2326"/>
        <v>448.01392481714691</v>
      </c>
      <c r="J12400" s="422">
        <f t="shared" si="2323"/>
        <v>215</v>
      </c>
      <c r="K12400" s="297">
        <f>J12400/POBLA!$B$15*100000</f>
        <v>32.376738743812652</v>
      </c>
      <c r="L12400" s="200">
        <f t="shared" si="2324"/>
        <v>0.16037008481110249</v>
      </c>
      <c r="M12400" s="401">
        <f>SUM(C12400,C12376,C12352,C12328,C12304,C12280,C12256)/POBLA!$B$15*100000</f>
        <v>226.63717120668861</v>
      </c>
      <c r="N12400" s="42" t="s">
        <v>19</v>
      </c>
      <c r="O12400" s="42">
        <v>152</v>
      </c>
      <c r="P12400" s="42">
        <v>107666</v>
      </c>
    </row>
    <row r="12401" spans="1:18" x14ac:dyDescent="0.25">
      <c r="A12401" s="367" t="s">
        <v>18</v>
      </c>
      <c r="B12401" s="2">
        <v>44409</v>
      </c>
      <c r="C12401" s="637">
        <v>146</v>
      </c>
      <c r="D12401" s="39">
        <f t="shared" si="2321"/>
        <v>92478</v>
      </c>
      <c r="E12401" s="637">
        <v>3</v>
      </c>
      <c r="F12401" s="39">
        <f t="shared" si="2320"/>
        <v>2088</v>
      </c>
      <c r="G12401" s="168">
        <f>SUM(C12401,C12377,C12353,C12329,C12305,C12281,C12257,C12233,C12209,C12185,C12161,C12137,C12113,C12089)/POBLA!$B$16*100000</f>
        <v>560.58640200104333</v>
      </c>
      <c r="H12401" s="256">
        <f t="shared" si="2325"/>
        <v>1.2824357405140758</v>
      </c>
      <c r="I12401" s="297">
        <f t="shared" si="2326"/>
        <v>718.9160375723294</v>
      </c>
      <c r="J12401" s="422">
        <f t="shared" si="2323"/>
        <v>324.14285714285717</v>
      </c>
      <c r="K12401" s="297">
        <f>J12401/POBLA!$B$16*100000</f>
        <v>43.357212603209852</v>
      </c>
      <c r="L12401" s="200">
        <f t="shared" si="2324"/>
        <v>0.18054110301769</v>
      </c>
      <c r="M12401" s="401">
        <f>SUM(C12401,C12377,C12353,C12329,C12305,C12281,C12257)/POBLA!$B$16*100000</f>
        <v>303.5004882224689</v>
      </c>
      <c r="N12401" s="42" t="s">
        <v>18</v>
      </c>
      <c r="O12401" s="42">
        <v>146</v>
      </c>
      <c r="P12401" s="42">
        <v>92478</v>
      </c>
    </row>
    <row r="12402" spans="1:18" x14ac:dyDescent="0.25">
      <c r="A12402" s="367" t="s">
        <v>34</v>
      </c>
      <c r="B12402" s="2">
        <v>44409</v>
      </c>
      <c r="C12402" s="637">
        <v>155</v>
      </c>
      <c r="D12402" s="39">
        <f>C12402+D12378</f>
        <v>75403</v>
      </c>
      <c r="E12402" s="637">
        <v>1</v>
      </c>
      <c r="F12402" s="39">
        <f t="shared" si="2320"/>
        <v>2093</v>
      </c>
      <c r="G12402" s="168">
        <f>SUM(C12402,C12378,C12354,C12330,C12306,C12282,C12258,C12234,C12210,C12186,C12162,C12138,C12114,C12090)/POBLA!$B$17*100000</f>
        <v>344.637063964611</v>
      </c>
      <c r="H12402" s="256">
        <f t="shared" si="2325"/>
        <v>0.67897648686030432</v>
      </c>
      <c r="I12402" s="297">
        <f t="shared" si="2326"/>
        <v>234.00046293254155</v>
      </c>
      <c r="J12402" s="422">
        <f t="shared" si="2323"/>
        <v>327.71428571428572</v>
      </c>
      <c r="K12402" s="297">
        <f>J12402/POBLA!$B$17*100000</f>
        <v>23.007229425103095</v>
      </c>
      <c r="L12402" s="200">
        <f t="shared" si="2324"/>
        <v>-0.12275334608030597</v>
      </c>
      <c r="M12402" s="401">
        <f>SUM(C12402,C12378,C12354,C12330,C12306,C12282,C12258)/POBLA!$B$17*100000</f>
        <v>161.05060597572165</v>
      </c>
      <c r="N12402" s="42" t="s">
        <v>34</v>
      </c>
      <c r="O12402" s="42">
        <v>155</v>
      </c>
      <c r="P12402" s="42">
        <v>75403</v>
      </c>
    </row>
    <row r="12403" spans="1:18" x14ac:dyDescent="0.25">
      <c r="A12403" s="367" t="s">
        <v>35</v>
      </c>
      <c r="B12403" s="2">
        <v>44409</v>
      </c>
      <c r="C12403" s="637">
        <v>17</v>
      </c>
      <c r="D12403" s="39">
        <f t="shared" ref="D12403:D12409" si="2327">C12403+D12379</f>
        <v>60924</v>
      </c>
      <c r="E12403" s="637">
        <v>3</v>
      </c>
      <c r="F12403" s="39">
        <f t="shared" si="2320"/>
        <v>947</v>
      </c>
      <c r="G12403" s="168">
        <f>SUM(C12403,C12379,C12355,C12331,C12307,C12283,C12259,C12235,C12211,C12187,C12163,C12139,C12115,C12091)/POBLA!$B$18*100000</f>
        <v>542.61492005422315</v>
      </c>
      <c r="H12403" s="256">
        <f t="shared" si="2325"/>
        <v>0.95087483176312249</v>
      </c>
      <c r="I12403" s="297">
        <f t="shared" si="2326"/>
        <v>515.95887081871956</v>
      </c>
      <c r="J12403" s="422">
        <f t="shared" si="2323"/>
        <v>317.71428571428572</v>
      </c>
      <c r="K12403" s="297">
        <f>J12403/POBLA!$B$18*100000</f>
        <v>40.669146436174032</v>
      </c>
      <c r="L12403" s="200">
        <f t="shared" si="2324"/>
        <v>0.10372208436724573</v>
      </c>
      <c r="M12403" s="401">
        <f>SUM(C12403,C12379,C12355,C12331,C12307,C12283,C12259)/POBLA!$B$18*100000</f>
        <v>284.68402505321825</v>
      </c>
      <c r="N12403" s="42" t="s">
        <v>35</v>
      </c>
      <c r="O12403" s="42">
        <v>17</v>
      </c>
      <c r="P12403" s="42">
        <v>60924</v>
      </c>
    </row>
    <row r="12404" spans="1:18" x14ac:dyDescent="0.25">
      <c r="A12404" s="367" t="s">
        <v>36</v>
      </c>
      <c r="B12404" s="2">
        <v>44409</v>
      </c>
      <c r="C12404" s="637">
        <v>195</v>
      </c>
      <c r="D12404" s="39">
        <f t="shared" si="2327"/>
        <v>75152</v>
      </c>
      <c r="E12404" s="637"/>
      <c r="F12404" s="39">
        <f t="shared" si="2320"/>
        <v>1225</v>
      </c>
      <c r="G12404" s="168">
        <f>SUM(C12404,C12380,C12356,C12332,C12308,C12284,C12260,C12236,C12212,C12188,C12164,C12140,C12116,C12092)/POBLA!$B$19*100000</f>
        <v>687.1547504760706</v>
      </c>
      <c r="H12404" s="256">
        <f t="shared" si="2325"/>
        <v>0.77674004892150328</v>
      </c>
      <c r="I12404" s="297">
        <f t="shared" si="2326"/>
        <v>533.74061450142642</v>
      </c>
      <c r="J12404" s="422">
        <f t="shared" si="2323"/>
        <v>263.57142857142856</v>
      </c>
      <c r="K12404" s="297">
        <f>J12404/POBLA!$B$19*100000</f>
        <v>51.850661102954895</v>
      </c>
      <c r="L12404" s="200">
        <f t="shared" si="2324"/>
        <v>0.11953883495145634</v>
      </c>
      <c r="M12404" s="401">
        <f>SUM(C12404,C12380,C12356,C12332,C12308,C12284,C12260)/POBLA!$B$19*100000</f>
        <v>362.9546277206843</v>
      </c>
      <c r="N12404" s="42" t="s">
        <v>36</v>
      </c>
      <c r="O12404" s="42">
        <v>195</v>
      </c>
      <c r="P12404" s="42">
        <v>75152</v>
      </c>
    </row>
    <row r="12405" spans="1:18" x14ac:dyDescent="0.25">
      <c r="A12405" s="367" t="s">
        <v>37</v>
      </c>
      <c r="B12405" s="2">
        <v>44409</v>
      </c>
      <c r="C12405" s="637">
        <v>6</v>
      </c>
      <c r="D12405" s="39">
        <f t="shared" si="2327"/>
        <v>57877</v>
      </c>
      <c r="E12405" s="637"/>
      <c r="F12405" s="39">
        <f>E12405+F12381</f>
        <v>935</v>
      </c>
      <c r="G12405" s="168">
        <f>SUM(C12405,C12381,C12358,C12333,C12309,C12285,C12261,C12237,C12213,C12189,C12165,C12141,C12117,C12093)/POBLA!$B$20*100000</f>
        <v>491.9359690236206</v>
      </c>
      <c r="H12405" s="256">
        <f t="shared" si="2325"/>
        <v>0.69497400346620453</v>
      </c>
      <c r="I12405" s="297">
        <f t="shared" si="2326"/>
        <v>341.88270984137239</v>
      </c>
      <c r="J12405" s="422">
        <f t="shared" si="2323"/>
        <v>64.571428571428569</v>
      </c>
      <c r="K12405" s="297">
        <f>J12405/POBLA!$B$20*100000</f>
        <v>17.657036289897285</v>
      </c>
      <c r="L12405" s="200">
        <f t="shared" si="2324"/>
        <v>0.29142857142857137</v>
      </c>
      <c r="M12405" s="401">
        <f>SUM(C12405,C12381,C12357,C12333,C12309,C12285,C12261)/POBLA!$B$20*100000</f>
        <v>123.59925402928098</v>
      </c>
      <c r="N12405" s="42" t="s">
        <v>37</v>
      </c>
      <c r="O12405" s="42">
        <v>6</v>
      </c>
      <c r="P12405" s="42">
        <v>57877</v>
      </c>
    </row>
    <row r="12406" spans="1:18" x14ac:dyDescent="0.25">
      <c r="A12406" s="367" t="s">
        <v>22</v>
      </c>
      <c r="B12406" s="2">
        <v>44409</v>
      </c>
      <c r="C12406" s="637">
        <v>450</v>
      </c>
      <c r="D12406" s="39">
        <f t="shared" si="2327"/>
        <v>447824</v>
      </c>
      <c r="E12406" s="637">
        <v>2</v>
      </c>
      <c r="F12406" s="39">
        <f>E12406+F12382</f>
        <v>7855</v>
      </c>
      <c r="G12406" s="168">
        <f>SUM(C12406,C12382,C12358,C12334,C12310,C12286,C12262,C12238,C12214,C12190,C12166,C12142,C12118,C12094)/POBLA!$B$21*100000</f>
        <v>446.01627974973547</v>
      </c>
      <c r="H12406" s="256">
        <f t="shared" si="2325"/>
        <v>0.77292105650022047</v>
      </c>
      <c r="I12406" s="297">
        <f t="shared" si="2326"/>
        <v>344.73537416046344</v>
      </c>
      <c r="J12406" s="422">
        <f t="shared" si="2323"/>
        <v>1084</v>
      </c>
      <c r="K12406" s="297">
        <f>J12406/POBLA!$B$21*100000</f>
        <v>30.652485085190722</v>
      </c>
      <c r="L12406" s="200">
        <f t="shared" si="2324"/>
        <v>-7.2938301771533265E-2</v>
      </c>
      <c r="M12406" s="401">
        <f>SUM(C12406,C12382,C12358,C12334,C12310,C12286,C12262)/POBLA!$B$21*100000</f>
        <v>214.56739559633505</v>
      </c>
      <c r="N12406" s="42" t="s">
        <v>22</v>
      </c>
      <c r="O12406" s="42">
        <v>450</v>
      </c>
      <c r="P12406" s="42">
        <v>447824</v>
      </c>
    </row>
    <row r="12407" spans="1:18" x14ac:dyDescent="0.25">
      <c r="A12407" s="367" t="s">
        <v>38</v>
      </c>
      <c r="B12407" s="2">
        <v>44409</v>
      </c>
      <c r="C12407" s="637">
        <v>245</v>
      </c>
      <c r="D12407" s="39">
        <f t="shared" si="2327"/>
        <v>73738</v>
      </c>
      <c r="E12407" s="637">
        <v>4</v>
      </c>
      <c r="F12407" s="39">
        <f>E12407+F12383</f>
        <v>1051</v>
      </c>
      <c r="G12407" s="168">
        <f>SUM(C12407,C12383,C12359,C12335,C12311,C12287,C12263,C12239,C12215,C12191,C12167,C12143,C12119,C12095)/POBLA!$B$22*100000</f>
        <v>475.71687179869843</v>
      </c>
      <c r="H12407" s="256">
        <f t="shared" si="2325"/>
        <v>0.63336962438758848</v>
      </c>
      <c r="I12407" s="297">
        <f t="shared" si="2326"/>
        <v>301.3046164059802</v>
      </c>
      <c r="J12407" s="422">
        <f t="shared" si="2323"/>
        <v>313.57142857142856</v>
      </c>
      <c r="K12407" s="297">
        <f>J12407/POBLA!$B$22*100000</f>
        <v>32.052260224634502</v>
      </c>
      <c r="L12407" s="200">
        <f t="shared" si="2324"/>
        <v>-0.10736071573810491</v>
      </c>
      <c r="M12407" s="401">
        <f>SUM(C12407,C12383,C12359,C12335,C12311,C12287,C12263)/POBLA!$B$22*100000</f>
        <v>224.36582157244152</v>
      </c>
      <c r="N12407" s="42" t="s">
        <v>38</v>
      </c>
      <c r="O12407" s="42">
        <v>245</v>
      </c>
      <c r="P12407" s="42">
        <v>73738</v>
      </c>
    </row>
    <row r="12408" spans="1:18" x14ac:dyDescent="0.25">
      <c r="A12408" s="367" t="s">
        <v>39</v>
      </c>
      <c r="B12408" s="2">
        <v>44409</v>
      </c>
      <c r="C12408" s="637">
        <v>38</v>
      </c>
      <c r="D12408" s="39">
        <f t="shared" si="2327"/>
        <v>31208</v>
      </c>
      <c r="E12408" s="637"/>
      <c r="F12408" s="39">
        <f>E12408+F12384</f>
        <v>467</v>
      </c>
      <c r="G12408" s="168">
        <f>SUM(C12408,C12384,C12360,C12336,C12312,C12288,C12264,C12240,C12216,C12192,C12168,C12144,C12120,C12096)/POBLA!$B$23*100000</f>
        <v>370.41226036306057</v>
      </c>
      <c r="H12408" s="256">
        <f t="shared" si="2325"/>
        <v>1.0880398671096345</v>
      </c>
      <c r="I12408" s="297">
        <f t="shared" si="2326"/>
        <v>403.02330654120374</v>
      </c>
      <c r="J12408" s="422">
        <f t="shared" si="2323"/>
        <v>47.428571428571431</v>
      </c>
      <c r="K12408" s="297">
        <f>J12408/POBLA!$B$23*100000</f>
        <v>26.821563891065672</v>
      </c>
      <c r="L12408" s="200">
        <f t="shared" si="2324"/>
        <v>2.7863777089783381E-2</v>
      </c>
      <c r="M12408" s="401">
        <f>SUM(C12408,C12384,C12360,C12336,C12312,C12288,C12264)/POBLA!$B$23*100000</f>
        <v>187.75094723745971</v>
      </c>
      <c r="N12408" s="42" t="s">
        <v>39</v>
      </c>
      <c r="O12408" s="42">
        <v>38</v>
      </c>
      <c r="P12408" s="42">
        <v>31208</v>
      </c>
    </row>
    <row r="12409" spans="1:18" ht="15.75" thickBot="1" x14ac:dyDescent="0.3">
      <c r="A12409" s="369" t="s">
        <v>40</v>
      </c>
      <c r="B12409" s="2">
        <v>44409</v>
      </c>
      <c r="C12409" s="637">
        <v>124</v>
      </c>
      <c r="D12409" s="176">
        <f t="shared" si="2327"/>
        <v>180913</v>
      </c>
      <c r="E12409" s="637"/>
      <c r="F12409" s="176">
        <f>E12409+F12385</f>
        <v>2570</v>
      </c>
      <c r="G12409" s="177">
        <f>SUM(C12409,C12385,C12361,C12337,C12313,C12289,C12265,C12241,C12217,C12193,C12169,C12145,C12121,C12097)/POBLA!$B$24*100000</f>
        <v>564.00827070508706</v>
      </c>
      <c r="H12409" s="402">
        <f t="shared" si="2325"/>
        <v>0.90683111954459206</v>
      </c>
      <c r="I12409" s="403">
        <f t="shared" si="2326"/>
        <v>511.46025155590343</v>
      </c>
      <c r="J12409" s="423">
        <f t="shared" si="2323"/>
        <v>643.28571428571433</v>
      </c>
      <c r="K12409" s="403">
        <f>J12409/POBLA!$B$24*100000</f>
        <v>37.959663452978909</v>
      </c>
      <c r="L12409" s="404">
        <f t="shared" si="2324"/>
        <v>-0.1091988130563798</v>
      </c>
      <c r="M12409" s="405">
        <f>SUM(C12409,C12385,C12361,C12337,C12313,C12289,C12265)/POBLA!$B$24*100000</f>
        <v>265.7176441708524</v>
      </c>
      <c r="N12409" s="42" t="s">
        <v>40</v>
      </c>
      <c r="O12409" s="42">
        <v>124</v>
      </c>
      <c r="P12409" s="42">
        <v>180913</v>
      </c>
    </row>
    <row r="12410" spans="1:18" x14ac:dyDescent="0.25">
      <c r="A12410" s="363" t="s">
        <v>16</v>
      </c>
      <c r="B12410" s="2">
        <v>44410</v>
      </c>
      <c r="C12410" s="637">
        <v>3087</v>
      </c>
      <c r="D12410" s="174">
        <f>C12410+D12386</f>
        <v>1979034</v>
      </c>
      <c r="E12410" s="637">
        <v>38</v>
      </c>
      <c r="F12410" s="174">
        <f t="shared" ref="F12410:F12428" si="2328">E12410+F12386</f>
        <v>52251</v>
      </c>
      <c r="G12410" s="175">
        <f>SUM(C12410,C12386,C12338,C12362,C12314,C12290,C12266,C12242,C12218,C12194,C12170,C12146,C12122,C12098)/POBLA!$B$1*100000</f>
        <v>273.02670903791261</v>
      </c>
      <c r="H12410" s="300">
        <f t="shared" si="2325"/>
        <v>0.76207752530074468</v>
      </c>
      <c r="I12410" s="301">
        <f>G12410*H12410</f>
        <v>208.06751876461891</v>
      </c>
      <c r="J12410" s="421">
        <f>AVERAGE(C12410,C12386,C12362,C12338,C12314,C12290,C12266)</f>
        <v>3282.7142857142858</v>
      </c>
      <c r="K12410" s="301">
        <f>J12410/POBLA!$B$1*100000</f>
        <v>18.71437146371656</v>
      </c>
      <c r="L12410" s="399">
        <f>(SUM(C12410,C12386,C12362,C12338,C12314,C12290,C12266)/SUM(C12242,C12218,C12194,C12170,C12146,C12122,C12098))-1</f>
        <v>-7.76301529322041E-2</v>
      </c>
      <c r="M12410" s="400">
        <f>SUM(C12410,C12386,C12362,C12338,C12314,C12290,C12266)/POBLA!$B$1*100000</f>
        <v>131.00060024601592</v>
      </c>
      <c r="N12410" s="42" t="s">
        <v>319</v>
      </c>
      <c r="O12410" s="42">
        <v>15</v>
      </c>
      <c r="P12410" s="42">
        <v>23</v>
      </c>
      <c r="Q12410" s="42">
        <v>0</v>
      </c>
      <c r="R12410" s="42">
        <v>38</v>
      </c>
    </row>
    <row r="12411" spans="1:18" x14ac:dyDescent="0.25">
      <c r="A12411" s="367" t="s">
        <v>43</v>
      </c>
      <c r="B12411" s="2">
        <v>44410</v>
      </c>
      <c r="C12411" s="637">
        <v>682</v>
      </c>
      <c r="D12411" s="39">
        <f t="shared" ref="D12411:D12425" si="2329">C12411+D12387</f>
        <v>492737</v>
      </c>
      <c r="E12411" s="637">
        <v>26</v>
      </c>
      <c r="F12411" s="39">
        <f t="shared" si="2328"/>
        <v>10936</v>
      </c>
      <c r="G12411" s="168">
        <f>SUM(C12411,C12387,C12363,C12339,C12315,C12291,C12267,C12243,C12219,C12195,C12171,C12147,C12123,C12099)/POBLA!$B$2*100000</f>
        <v>329.16662060588249</v>
      </c>
      <c r="H12411" s="256">
        <f t="shared" si="2325"/>
        <v>0.76257909008737568</v>
      </c>
      <c r="I12411" s="297">
        <f t="shared" ref="I12411:I12417" si="2330">G12411*H12411</f>
        <v>251.01558202877027</v>
      </c>
      <c r="J12411" s="422">
        <f>AVERAGE(C12411,C12387,C12363,C12339,C12315,C12291,C12267)</f>
        <v>697</v>
      </c>
      <c r="K12411" s="297">
        <f>J12411/POBLA!$B$2*100000</f>
        <v>22.661905824012255</v>
      </c>
      <c r="L12411" s="200">
        <f>(SUM(C12411,C12387,C12363,C12339,C12315,C12291,C12267)/SUM(C12243,C12219,C12195,C12171,C12147,C12123,C12099))-1</f>
        <v>-6.9780743565300285E-2</v>
      </c>
      <c r="M12411" s="401">
        <f>SUM(C12411,C12387,C12363,C12339,C12315,C12291,C12267)/POBLA!$B$2*100000</f>
        <v>158.63334076808579</v>
      </c>
      <c r="N12411" s="42" t="s">
        <v>43</v>
      </c>
      <c r="O12411" s="42">
        <v>10</v>
      </c>
      <c r="P12411" s="42">
        <v>16</v>
      </c>
      <c r="Q12411" s="42">
        <v>0</v>
      </c>
      <c r="R12411" s="42">
        <v>26</v>
      </c>
    </row>
    <row r="12412" spans="1:18" x14ac:dyDescent="0.25">
      <c r="A12412" s="367" t="s">
        <v>28</v>
      </c>
      <c r="B12412" s="2">
        <v>44410</v>
      </c>
      <c r="C12412" s="637">
        <v>241</v>
      </c>
      <c r="D12412" s="39">
        <f t="shared" si="2329"/>
        <v>42787</v>
      </c>
      <c r="E12412" s="637"/>
      <c r="F12412" s="39">
        <f t="shared" si="2328"/>
        <v>482</v>
      </c>
      <c r="G12412" s="168">
        <f>SUM(C12412,C12388,C12364,C12340,C12316,C12292,C12268,C12244,C12220,C12196,C12172,C12148,C12124,C12100)/POBLA!$B$3*100000</f>
        <v>860.29684333161629</v>
      </c>
      <c r="H12412" s="256">
        <f t="shared" si="2325"/>
        <v>0.98484430972719761</v>
      </c>
      <c r="I12412" s="297">
        <f t="shared" si="2330"/>
        <v>847.25845083141269</v>
      </c>
      <c r="J12412" s="422">
        <f t="shared" ref="J12412:J12433" si="2331">AVERAGE(C12412,C12388,C12364,C12340,C12316,C12292,C12268)</f>
        <v>246.42857142857142</v>
      </c>
      <c r="K12412" s="297">
        <f>J12412/POBLA!$B$3*100000</f>
        <v>59.317773393038529</v>
      </c>
      <c r="L12412" s="200">
        <f t="shared" ref="L12412:L12433" si="2332">(SUM(C12412,C12388,C12364,C12340,C12316,C12292,C12268)/SUM(C12244,C12220,C12196,C12172,C12148,C12124,C12100))-1</f>
        <v>-6.706327744726881E-2</v>
      </c>
      <c r="M12412" s="401">
        <f>SUM(C12412,C12388,C12364,C12340,C12316,C12292,C12268)/POBLA!$B$3*100000</f>
        <v>415.22441375126976</v>
      </c>
    </row>
    <row r="12413" spans="1:18" x14ac:dyDescent="0.25">
      <c r="A12413" s="367" t="s">
        <v>15</v>
      </c>
      <c r="B12413" s="2">
        <v>44410</v>
      </c>
      <c r="C12413" s="637">
        <v>483</v>
      </c>
      <c r="D12413" s="39">
        <f t="shared" si="2329"/>
        <v>92055</v>
      </c>
      <c r="E12413" s="637">
        <v>15</v>
      </c>
      <c r="F12413" s="39">
        <f t="shared" si="2328"/>
        <v>2035</v>
      </c>
      <c r="G12413" s="168">
        <f>SUM(C12413,C12389,C12365,C12341,C12317,C12293,C12269,C12245,C12221,C12197,C12173,C12149,C12125,C12101)/POBLA!$B$4*100000</f>
        <v>468.47720417984948</v>
      </c>
      <c r="H12413" s="256">
        <f t="shared" si="2325"/>
        <v>0.80729613733905581</v>
      </c>
      <c r="I12413" s="297">
        <f t="shared" si="2330"/>
        <v>378.19983736579263</v>
      </c>
      <c r="J12413" s="422">
        <f t="shared" si="2331"/>
        <v>416</v>
      </c>
      <c r="K12413" s="297">
        <f>J12413/POBLA!$B$4*100000</f>
        <v>34.535976774555621</v>
      </c>
      <c r="L12413" s="200">
        <f t="shared" si="2332"/>
        <v>6.6276089344562417E-2</v>
      </c>
      <c r="M12413" s="401">
        <f>SUM(C12413,C12389,C12365,C12341,C12317,C12293,C12269)/POBLA!$B$4*100000</f>
        <v>241.75183742188932</v>
      </c>
      <c r="N12413" s="42" t="s">
        <v>15</v>
      </c>
      <c r="O12413" s="42">
        <v>8</v>
      </c>
      <c r="P12413" s="42">
        <v>7</v>
      </c>
      <c r="Q12413" s="42">
        <v>0</v>
      </c>
      <c r="R12413" s="42">
        <v>15</v>
      </c>
    </row>
    <row r="12414" spans="1:18" x14ac:dyDescent="0.25">
      <c r="A12414" s="367" t="s">
        <v>29</v>
      </c>
      <c r="B12414" s="2">
        <v>44410</v>
      </c>
      <c r="C12414" s="637">
        <v>105</v>
      </c>
      <c r="D12414" s="39">
        <f t="shared" si="2329"/>
        <v>76609</v>
      </c>
      <c r="E12414" s="637"/>
      <c r="F12414" s="39">
        <f t="shared" si="2328"/>
        <v>1314</v>
      </c>
      <c r="G12414" s="168">
        <f>SUM(C12414,C12390,C12366,C12342,C12318,C12294,C12270,C12246,C12222,C12198,C12174,C12150,C12126,C12102)/POBLA!$B$5*100000</f>
        <v>414.220493251954</v>
      </c>
      <c r="H12414" s="256">
        <f t="shared" si="2325"/>
        <v>1.0714584203928124</v>
      </c>
      <c r="I12414" s="297">
        <f t="shared" si="2330"/>
        <v>443.8200353940702</v>
      </c>
      <c r="J12414" s="422">
        <f t="shared" si="2331"/>
        <v>206.57142857142858</v>
      </c>
      <c r="K12414" s="297">
        <f>J12414/POBLA!$B$5*100000</f>
        <v>33.372121308353329</v>
      </c>
      <c r="L12414" s="200">
        <f t="shared" si="2332"/>
        <v>0.293381037567084</v>
      </c>
      <c r="M12414" s="401">
        <f>SUM(C12414,C12390,C12366,C12342,C12318,C12294,C12270)/POBLA!$B$5*100000</f>
        <v>233.60484915847329</v>
      </c>
    </row>
    <row r="12415" spans="1:18" x14ac:dyDescent="0.25">
      <c r="A12415" s="367" t="s">
        <v>30</v>
      </c>
      <c r="B12415" s="2">
        <v>44410</v>
      </c>
      <c r="C12415" s="637">
        <v>230</v>
      </c>
      <c r="D12415" s="39">
        <f t="shared" si="2329"/>
        <v>449406</v>
      </c>
      <c r="E12415" s="637"/>
      <c r="F12415" s="39">
        <f t="shared" si="2328"/>
        <v>5862</v>
      </c>
      <c r="G12415" s="168">
        <f>SUM(C12415,C12391,C12367,C12343,C12319,C12295,C12271,C12247,C12223,C12199,C12175,C12151,C12127,C12103)/POBLA!$B$6*100000</f>
        <v>569.77108335913329</v>
      </c>
      <c r="H12415" s="256">
        <f t="shared" si="2325"/>
        <v>0.95128854461492629</v>
      </c>
      <c r="I12415" s="297">
        <f t="shared" si="2330"/>
        <v>542.01670465237976</v>
      </c>
      <c r="J12415" s="422">
        <f t="shared" si="2331"/>
        <v>457.42857142857144</v>
      </c>
      <c r="K12415" s="297">
        <f>J12415/POBLA!$B$6*100000</f>
        <v>40.812648403112725</v>
      </c>
      <c r="L12415" s="200">
        <f t="shared" si="2332"/>
        <v>5.653266331658191E-3</v>
      </c>
      <c r="M12415" s="401">
        <f>SUM(C12415,C12391,C12367,C12343,C12319,C12295,C12271)/POBLA!$B$6*100000</f>
        <v>285.68853882178905</v>
      </c>
    </row>
    <row r="12416" spans="1:18" x14ac:dyDescent="0.25">
      <c r="A12416" s="367" t="s">
        <v>20</v>
      </c>
      <c r="B12416" s="2">
        <v>44410</v>
      </c>
      <c r="C12416" s="637">
        <v>1276</v>
      </c>
      <c r="D12416" s="39">
        <f t="shared" si="2329"/>
        <v>102453</v>
      </c>
      <c r="E12416" s="637">
        <v>23</v>
      </c>
      <c r="F12416" s="39">
        <f t="shared" si="2328"/>
        <v>1177</v>
      </c>
      <c r="G12416" s="168">
        <f>SUM(C12416,C12392,C12368,C12344,C12320,C12296,C12272,C12248,C12224,C12200,C12176,C12152,C12128,C12104)/POBLA!$B$7*100000</f>
        <v>643.22089111675473</v>
      </c>
      <c r="H12416" s="256">
        <f t="shared" si="2325"/>
        <v>0.93426033217458482</v>
      </c>
      <c r="I12416" s="297">
        <f t="shared" si="2330"/>
        <v>600.93576339637173</v>
      </c>
      <c r="J12416" s="422">
        <f t="shared" si="2331"/>
        <v>1763</v>
      </c>
      <c r="K12416" s="297">
        <f>J12416/POBLA!$B$7*100000</f>
        <v>46.882686912470582</v>
      </c>
      <c r="L12416" s="200">
        <f t="shared" si="2332"/>
        <v>4.1698320249852205E-2</v>
      </c>
      <c r="M12416" s="401">
        <f>SUM(C12416,C12392,C12368,C12344,C12320,C12296,C12272)/POBLA!$B$7*100000</f>
        <v>328.17880838729405</v>
      </c>
      <c r="N12416" s="42" t="s">
        <v>20</v>
      </c>
      <c r="O12416" s="42">
        <v>9</v>
      </c>
      <c r="P12416" s="42">
        <v>14</v>
      </c>
      <c r="Q12416" s="42">
        <v>0</v>
      </c>
      <c r="R12416" s="42">
        <v>23</v>
      </c>
    </row>
    <row r="12417" spans="1:18" x14ac:dyDescent="0.25">
      <c r="A12417" s="367" t="s">
        <v>31</v>
      </c>
      <c r="B12417" s="2">
        <v>44410</v>
      </c>
      <c r="C12417" s="637">
        <v>266</v>
      </c>
      <c r="D12417" s="39">
        <f t="shared" si="2329"/>
        <v>128426</v>
      </c>
      <c r="E12417" s="637">
        <v>9</v>
      </c>
      <c r="F12417" s="39">
        <f t="shared" si="2328"/>
        <v>2149</v>
      </c>
      <c r="G12417" s="168">
        <f>SUM(C12417,C12393,C12369,C12345,C12321,C12297,C12273,C12249,C12225,C12201,C12177,C12153,C12129,C12105)/POBLA!$B$8*100000</f>
        <v>427.14044623189255</v>
      </c>
      <c r="H12417" s="256">
        <f t="shared" ref="H12417:H12440" si="2333">SUM(C12417,C12393,C12369,C12345,C12321,C12297,C12273,C12249,C12225,C12201,C12177,C12153,C12129,C12105,)/SUM(C12081,C12057,C12033,C12009,C11985,C11961,C11937,C11913,C11889,C11865,C11841,C11817,C11793,C11769)</f>
        <v>0.65624653586076931</v>
      </c>
      <c r="I12417" s="297">
        <f t="shared" si="2330"/>
        <v>280.30943816570266</v>
      </c>
      <c r="J12417" s="422">
        <f t="shared" si="2331"/>
        <v>384.42857142857144</v>
      </c>
      <c r="K12417" s="297">
        <f>J12417/POBLA!$B$8*100000</f>
        <v>27.737329652751519</v>
      </c>
      <c r="L12417" s="200">
        <f t="shared" si="2332"/>
        <v>-0.16661505109941155</v>
      </c>
      <c r="M12417" s="401">
        <f>SUM(C12417,C12393,C12369,C12345,C12321,C12297,C12273)/POBLA!$B$8*100000</f>
        <v>194.1613075692606</v>
      </c>
      <c r="N12417" s="42" t="s">
        <v>31</v>
      </c>
      <c r="O12417" s="42">
        <v>5</v>
      </c>
      <c r="P12417" s="42">
        <v>4</v>
      </c>
      <c r="Q12417" s="42">
        <v>0</v>
      </c>
      <c r="R12417" s="42">
        <v>9</v>
      </c>
    </row>
    <row r="12418" spans="1:18" x14ac:dyDescent="0.25">
      <c r="A12418" s="367" t="s">
        <v>41</v>
      </c>
      <c r="B12418" s="2">
        <v>44410</v>
      </c>
      <c r="C12418" s="637">
        <v>157</v>
      </c>
      <c r="D12418" s="39">
        <f t="shared" si="2329"/>
        <v>56396</v>
      </c>
      <c r="E12418" s="637">
        <v>5</v>
      </c>
      <c r="F12418" s="39">
        <f t="shared" si="2328"/>
        <v>1020</v>
      </c>
      <c r="G12418" s="168">
        <f>SUM(C12418,C12394,C12370,C12346,C12322,C12298,C12274,C12250,C12226,C12202,C12178,C12154,C12130,C12106)/POBLA!$B$9*100000</f>
        <v>560.15188543158956</v>
      </c>
      <c r="H12418" s="256">
        <f t="shared" si="2333"/>
        <v>0.6066571224051539</v>
      </c>
      <c r="I12418" s="297">
        <f>G12418*H12418</f>
        <v>339.8201309257496</v>
      </c>
      <c r="J12418" s="422">
        <f t="shared" si="2331"/>
        <v>223</v>
      </c>
      <c r="K12418" s="297">
        <f>J12418/POBLA!$B$9*100000</f>
        <v>36.847749395647341</v>
      </c>
      <c r="L12418" s="200">
        <f t="shared" si="2332"/>
        <v>-0.14652815746309455</v>
      </c>
      <c r="M12418" s="401">
        <f>SUM(C12418,C12394,C12370,C12346,C12322,C12298,C12274)/POBLA!$B$9*100000</f>
        <v>257.93424576953134</v>
      </c>
      <c r="N12418" s="42" t="s">
        <v>41</v>
      </c>
      <c r="O12418" s="42">
        <v>2</v>
      </c>
      <c r="P12418" s="42">
        <v>3</v>
      </c>
      <c r="Q12418" s="42">
        <v>0</v>
      </c>
      <c r="R12418" s="42">
        <v>5</v>
      </c>
    </row>
    <row r="12419" spans="1:18" x14ac:dyDescent="0.25">
      <c r="A12419" s="367" t="s">
        <v>32</v>
      </c>
      <c r="B12419" s="2">
        <v>44410</v>
      </c>
      <c r="C12419" s="637">
        <v>123</v>
      </c>
      <c r="D12419" s="39">
        <f t="shared" si="2329"/>
        <v>43799</v>
      </c>
      <c r="E12419" s="637">
        <v>5</v>
      </c>
      <c r="F12419" s="39">
        <f t="shared" si="2328"/>
        <v>1328</v>
      </c>
      <c r="G12419" s="168">
        <f>SUM(C12419,C12395,C12371,C12347,C12323,C12299,C12275,C12251,C12227,C12203,C12179,C12155,C12131,C12107)/POBLA!$B$10*100000</f>
        <v>354.26998460203328</v>
      </c>
      <c r="H12419" s="256">
        <f t="shared" si="2333"/>
        <v>0.70422898401237755</v>
      </c>
      <c r="I12419" s="297">
        <f t="shared" ref="I12419:I12433" si="2334">G12419*H12419</f>
        <v>249.48719132237053</v>
      </c>
      <c r="J12419" s="422">
        <f t="shared" si="2331"/>
        <v>179.85714285714286</v>
      </c>
      <c r="K12419" s="297">
        <f>J12419/POBLA!$B$10*100000</f>
        <v>23.331375770987073</v>
      </c>
      <c r="L12419" s="200">
        <f t="shared" si="2332"/>
        <v>-0.14470108695652173</v>
      </c>
      <c r="M12419" s="401">
        <f>SUM(C12419,C12395,C12371,C12347,C12323,C12299,C12275)/POBLA!$B$10*100000</f>
        <v>163.3196303969095</v>
      </c>
      <c r="N12419" s="42" t="s">
        <v>32</v>
      </c>
      <c r="O12419" s="42">
        <v>3</v>
      </c>
      <c r="P12419" s="42">
        <v>2</v>
      </c>
      <c r="Q12419" s="42">
        <v>0</v>
      </c>
      <c r="R12419" s="42">
        <v>5</v>
      </c>
    </row>
    <row r="12420" spans="1:18" x14ac:dyDescent="0.25">
      <c r="A12420" s="367" t="s">
        <v>33</v>
      </c>
      <c r="B12420" s="2">
        <v>44410</v>
      </c>
      <c r="C12420" s="637">
        <v>252</v>
      </c>
      <c r="D12420" s="39">
        <f t="shared" si="2329"/>
        <v>61899</v>
      </c>
      <c r="E12420" s="637">
        <v>9</v>
      </c>
      <c r="F12420" s="39">
        <f t="shared" si="2328"/>
        <v>847</v>
      </c>
      <c r="G12420" s="168">
        <f>SUM(C12420,C12396,C12372,C12348,C12324,C12300,C12276,C12252,C12228,C12204,C12180,C12156,C12132,C12108)/POBLA!$B$11*100000</f>
        <v>1066.6019395806131</v>
      </c>
      <c r="H12420" s="256">
        <f t="shared" si="2333"/>
        <v>1.0186517452704502</v>
      </c>
      <c r="I12420" s="297">
        <f t="shared" si="2334"/>
        <v>1086.4959272626388</v>
      </c>
      <c r="J12420" s="422">
        <f t="shared" si="2331"/>
        <v>281.28571428571428</v>
      </c>
      <c r="K12420" s="297">
        <f>J12420/POBLA!$B$11*100000</f>
        <v>78.477606181914993</v>
      </c>
      <c r="L12420" s="200">
        <f t="shared" si="2332"/>
        <v>6.2028047464940617E-2</v>
      </c>
      <c r="M12420" s="401">
        <f>SUM(C12420,C12396,C12372,C12348,C12324,C12300,C12276)/POBLA!$B$11*100000</f>
        <v>549.34324327340494</v>
      </c>
      <c r="N12420" s="42" t="s">
        <v>33</v>
      </c>
      <c r="O12420" s="42">
        <v>4</v>
      </c>
      <c r="P12420" s="42">
        <v>5</v>
      </c>
      <c r="Q12420" s="42">
        <v>0</v>
      </c>
      <c r="R12420" s="42">
        <v>9</v>
      </c>
    </row>
    <row r="12421" spans="1:18" x14ac:dyDescent="0.25">
      <c r="A12421" s="367" t="s">
        <v>21</v>
      </c>
      <c r="B12421" s="2">
        <v>44410</v>
      </c>
      <c r="C12421" s="637">
        <v>219</v>
      </c>
      <c r="D12421" s="39">
        <f t="shared" si="2329"/>
        <v>28779</v>
      </c>
      <c r="E12421" s="637"/>
      <c r="F12421" s="39">
        <f t="shared" si="2328"/>
        <v>786</v>
      </c>
      <c r="G12421" s="168">
        <f>SUM(C12421,C12397,C12373,C12349,C12325,C12301,C12277,C12253,C12229,C12205,C12181,C12157,C12133,C12109)/POBLA!$B$12*100000</f>
        <v>740.22122780670395</v>
      </c>
      <c r="H12421" s="256">
        <f t="shared" si="2333"/>
        <v>1.0531453362255965</v>
      </c>
      <c r="I12421" s="297">
        <f t="shared" si="2334"/>
        <v>779.56053383981509</v>
      </c>
      <c r="J12421" s="422">
        <f t="shared" si="2331"/>
        <v>239.57142857142858</v>
      </c>
      <c r="K12421" s="297">
        <f>J12421/POBLA!$B$12*100000</f>
        <v>60.877396843305505</v>
      </c>
      <c r="L12421" s="200">
        <f t="shared" si="2332"/>
        <v>0.35679611650485432</v>
      </c>
      <c r="M12421" s="401">
        <f>SUM(C12421,C12397,C12373,C12349,C12325,C12301,C12277)/POBLA!$B$12*100000</f>
        <v>426.14177790313852</v>
      </c>
    </row>
    <row r="12422" spans="1:18" x14ac:dyDescent="0.25">
      <c r="A12422" s="367" t="s">
        <v>17</v>
      </c>
      <c r="B12422" s="2">
        <v>44410</v>
      </c>
      <c r="C12422" s="637">
        <v>437</v>
      </c>
      <c r="D12422" s="39">
        <f t="shared" si="2329"/>
        <v>154785</v>
      </c>
      <c r="E12422" s="637">
        <v>30</v>
      </c>
      <c r="F12422" s="39">
        <f t="shared" si="2328"/>
        <v>3965</v>
      </c>
      <c r="G12422" s="168">
        <f>SUM(C12422,C12398,C12374,C12350,C12326,C12302,C12278,C12254,C12230,C12206,C12182,C12158,C12134,C12110)/POBLA!$B$13*100000</f>
        <v>297.33643230446285</v>
      </c>
      <c r="H12422" s="256">
        <f t="shared" si="2333"/>
        <v>0.93624426514791959</v>
      </c>
      <c r="I12422" s="297">
        <f t="shared" si="2334"/>
        <v>278.37952956459594</v>
      </c>
      <c r="J12422" s="422">
        <f t="shared" si="2331"/>
        <v>441.14285714285717</v>
      </c>
      <c r="K12422" s="297">
        <f>J12422/POBLA!$B$13*100000</f>
        <v>22.164218195244082</v>
      </c>
      <c r="L12422" s="200">
        <f t="shared" si="2332"/>
        <v>9.1166077738515927E-2</v>
      </c>
      <c r="M12422" s="401">
        <f>SUM(C12422,C12398,C12374,C12350,C12326,C12302,C12278)/POBLA!$B$13*100000</f>
        <v>155.14952736670858</v>
      </c>
      <c r="N12422" s="42" t="s">
        <v>17</v>
      </c>
      <c r="O12422" s="42">
        <v>17</v>
      </c>
      <c r="P12422" s="42">
        <v>13</v>
      </c>
      <c r="Q12422" s="42">
        <v>0</v>
      </c>
      <c r="R12422" s="42">
        <v>30</v>
      </c>
    </row>
    <row r="12423" spans="1:18" x14ac:dyDescent="0.25">
      <c r="A12423" s="367" t="s">
        <v>23</v>
      </c>
      <c r="B12423" s="2">
        <v>44410</v>
      </c>
      <c r="C12423" s="637">
        <v>123</v>
      </c>
      <c r="D12423" s="39">
        <f t="shared" si="2329"/>
        <v>31179</v>
      </c>
      <c r="E12423" s="637">
        <v>11</v>
      </c>
      <c r="F12423" s="39">
        <f t="shared" si="2328"/>
        <v>569</v>
      </c>
      <c r="G12423" s="168">
        <f>SUM(C12423,C12399,C12375,C12351,C12327,C12303,C12279,C12255,C12231,C12207,C12183,C12159,C12135,C12111)/POBLA!$B$14*100000</f>
        <v>188.69510201428059</v>
      </c>
      <c r="H12423" s="256">
        <f t="shared" si="2333"/>
        <v>1.0456942003514937</v>
      </c>
      <c r="I12423" s="297">
        <f t="shared" si="2334"/>
        <v>197.31737381106669</v>
      </c>
      <c r="J12423" s="422">
        <f t="shared" si="2331"/>
        <v>181.57142857142858</v>
      </c>
      <c r="K12423" s="297">
        <f>J12423/POBLA!$B$14*100000</f>
        <v>14.395646738304357</v>
      </c>
      <c r="L12423" s="200">
        <f t="shared" si="2332"/>
        <v>0.14607754733994582</v>
      </c>
      <c r="M12423" s="401">
        <f>SUM(C12423,C12399,C12375,C12351,C12327,C12303,C12279)/POBLA!$B$14*100000</f>
        <v>100.76952716813051</v>
      </c>
      <c r="N12423" s="42" t="s">
        <v>23</v>
      </c>
      <c r="O12423" s="42">
        <v>5</v>
      </c>
      <c r="P12423" s="42">
        <v>6</v>
      </c>
      <c r="Q12423" s="42">
        <v>0</v>
      </c>
      <c r="R12423" s="42">
        <v>11</v>
      </c>
    </row>
    <row r="12424" spans="1:18" x14ac:dyDescent="0.25">
      <c r="A12424" s="367" t="s">
        <v>19</v>
      </c>
      <c r="B12424" s="2">
        <v>44410</v>
      </c>
      <c r="C12424" s="637">
        <v>245</v>
      </c>
      <c r="D12424" s="39">
        <f t="shared" si="2329"/>
        <v>107911</v>
      </c>
      <c r="E12424" s="637"/>
      <c r="F12424" s="39">
        <f t="shared" si="2328"/>
        <v>2016</v>
      </c>
      <c r="G12424" s="168">
        <f>SUM(C12424,C12400,C12376,C12352,C12328,C12304,C12280,C12256,C12232,C12208,C12184,C12160,C12136,C12112)/POBLA!$B$15*100000</f>
        <v>433.5471202020309</v>
      </c>
      <c r="H12424" s="256">
        <f t="shared" si="2333"/>
        <v>1.1145954316686024</v>
      </c>
      <c r="I12424" s="297">
        <f t="shared" si="2334"/>
        <v>483.22963959026208</v>
      </c>
      <c r="J12424" s="422">
        <f t="shared" si="2331"/>
        <v>219.85714285714286</v>
      </c>
      <c r="K12424" s="297">
        <f>J12424/POBLA!$B$15*100000</f>
        <v>33.10817337324098</v>
      </c>
      <c r="L12424" s="200">
        <f t="shared" si="2332"/>
        <v>0.14850746268656723</v>
      </c>
      <c r="M12424" s="401">
        <f>SUM(C12424,C12400,C12376,C12352,C12328,C12304,C12280)/POBLA!$B$15*100000</f>
        <v>231.75721361268688</v>
      </c>
    </row>
    <row r="12425" spans="1:18" x14ac:dyDescent="0.25">
      <c r="A12425" s="367" t="s">
        <v>18</v>
      </c>
      <c r="B12425" s="2">
        <v>44410</v>
      </c>
      <c r="C12425" s="637">
        <v>321</v>
      </c>
      <c r="D12425" s="39">
        <f t="shared" si="2329"/>
        <v>92799</v>
      </c>
      <c r="E12425" s="637">
        <v>3</v>
      </c>
      <c r="F12425" s="39">
        <f t="shared" si="2328"/>
        <v>2091</v>
      </c>
      <c r="G12425" s="168">
        <f>SUM(C12425,C12401,C12377,C12353,C12329,C12305,C12281,C12257,C12233,C12209,C12185,C12161,C12137,C12113)/POBLA!$B$16*100000</f>
        <v>560.72016158157328</v>
      </c>
      <c r="H12425" s="256">
        <f t="shared" si="2333"/>
        <v>1.2513432835820895</v>
      </c>
      <c r="I12425" s="297">
        <f t="shared" si="2334"/>
        <v>701.65340816416563</v>
      </c>
      <c r="J12425" s="422">
        <f t="shared" si="2331"/>
        <v>312.14285714285717</v>
      </c>
      <c r="K12425" s="297">
        <f>J12425/POBLA!$B$16*100000</f>
        <v>41.752097636850387</v>
      </c>
      <c r="L12425" s="200">
        <f t="shared" si="2332"/>
        <v>8.8689586447433966E-2</v>
      </c>
      <c r="M12425" s="401">
        <f>SUM(C12425,C12401,C12377,C12353,C12329,C12305,C12281)/POBLA!$B$16*100000</f>
        <v>292.26468345795269</v>
      </c>
      <c r="N12425" s="42" t="s">
        <v>18</v>
      </c>
      <c r="O12425" s="42">
        <v>2</v>
      </c>
      <c r="P12425" s="42">
        <v>1</v>
      </c>
      <c r="Q12425" s="42">
        <v>0</v>
      </c>
      <c r="R12425" s="42">
        <v>3</v>
      </c>
    </row>
    <row r="12426" spans="1:18" x14ac:dyDescent="0.25">
      <c r="A12426" s="367" t="s">
        <v>34</v>
      </c>
      <c r="B12426" s="2">
        <v>44410</v>
      </c>
      <c r="C12426" s="637">
        <v>309</v>
      </c>
      <c r="D12426" s="39">
        <f>C12426+D12402</f>
        <v>75712</v>
      </c>
      <c r="E12426" s="637">
        <v>13</v>
      </c>
      <c r="F12426" s="39">
        <f t="shared" si="2328"/>
        <v>2106</v>
      </c>
      <c r="G12426" s="168">
        <f>SUM(C12426,C12402,C12378,C12354,C12330,C12306,C12282,C12258,C12234,C12210,C12186,C12162,C12138,C12114)/POBLA!$B$17*100000</f>
        <v>341.05660149522924</v>
      </c>
      <c r="H12426" s="256">
        <f t="shared" si="2333"/>
        <v>0.6810598626104023</v>
      </c>
      <c r="I12426" s="297">
        <f t="shared" si="2334"/>
        <v>232.27996215671155</v>
      </c>
      <c r="J12426" s="422">
        <f t="shared" si="2331"/>
        <v>329.28571428571428</v>
      </c>
      <c r="K12426" s="297">
        <f>J12426/POBLA!$B$17*100000</f>
        <v>23.117551798109254</v>
      </c>
      <c r="L12426" s="200">
        <f t="shared" si="2332"/>
        <v>-9.7140618879749341E-2</v>
      </c>
      <c r="M12426" s="401">
        <f>SUM(C12426,C12402,C12378,C12354,C12330,C12306,C12282)/POBLA!$B$17*100000</f>
        <v>161.82286258676478</v>
      </c>
      <c r="N12426" s="42" t="s">
        <v>34</v>
      </c>
      <c r="O12426" s="42">
        <v>8</v>
      </c>
      <c r="P12426" s="42">
        <v>5</v>
      </c>
      <c r="Q12426" s="42">
        <v>0</v>
      </c>
      <c r="R12426" s="42">
        <v>13</v>
      </c>
    </row>
    <row r="12427" spans="1:18" x14ac:dyDescent="0.25">
      <c r="A12427" s="367" t="s">
        <v>35</v>
      </c>
      <c r="B12427" s="2">
        <v>44410</v>
      </c>
      <c r="C12427" s="637">
        <v>153</v>
      </c>
      <c r="D12427" s="39">
        <f t="shared" ref="D12427:D12433" si="2335">C12427+D12403</f>
        <v>61077</v>
      </c>
      <c r="E12427" s="637">
        <v>4</v>
      </c>
      <c r="F12427" s="39">
        <f t="shared" si="2328"/>
        <v>951</v>
      </c>
      <c r="G12427" s="168">
        <f>SUM(C12427,C12403,C12379,C12355,C12331,C12307,C12283,C12259,C12235,C12211,C12187,C12163,C12139,C12115)/POBLA!$B$18*100000</f>
        <v>533.65454156783574</v>
      </c>
      <c r="H12427" s="256">
        <f t="shared" si="2333"/>
        <v>0.97634660421545671</v>
      </c>
      <c r="I12427" s="297">
        <f t="shared" si="2334"/>
        <v>521.03179948391266</v>
      </c>
      <c r="J12427" s="422">
        <f t="shared" si="2331"/>
        <v>285.14285714285717</v>
      </c>
      <c r="K12427" s="297">
        <f>J12427/POBLA!$B$18*100000</f>
        <v>36.499827466997928</v>
      </c>
      <c r="L12427" s="200">
        <f t="shared" si="2332"/>
        <v>-8.1454210768522772E-2</v>
      </c>
      <c r="M12427" s="401">
        <f>SUM(C12427,C12403,C12379,C12355,C12331,C12307,C12283)/POBLA!$B$18*100000</f>
        <v>255.49879226898545</v>
      </c>
      <c r="N12427" s="42" t="s">
        <v>35</v>
      </c>
      <c r="O12427" s="42">
        <v>1</v>
      </c>
      <c r="P12427" s="42">
        <v>3</v>
      </c>
      <c r="Q12427" s="42">
        <v>0</v>
      </c>
      <c r="R12427" s="42">
        <v>4</v>
      </c>
    </row>
    <row r="12428" spans="1:18" x14ac:dyDescent="0.25">
      <c r="A12428" s="367" t="s">
        <v>36</v>
      </c>
      <c r="B12428" s="2">
        <v>44410</v>
      </c>
      <c r="C12428" s="637">
        <v>218</v>
      </c>
      <c r="D12428" s="39">
        <f t="shared" si="2335"/>
        <v>75370</v>
      </c>
      <c r="E12428" s="637">
        <v>8</v>
      </c>
      <c r="F12428" s="39">
        <f t="shared" si="2328"/>
        <v>1233</v>
      </c>
      <c r="G12428" s="168">
        <f>SUM(C12428,C12404,C12380,C12356,C12332,C12308,C12284,C12260,C12236,C12212,C12188,C12164,C12140,C12116)/POBLA!$B$19*100000</f>
        <v>685.38424009694529</v>
      </c>
      <c r="H12428" s="256">
        <f t="shared" si="2333"/>
        <v>0.78046594982078854</v>
      </c>
      <c r="I12428" s="297">
        <f t="shared" si="2334"/>
        <v>534.91906193946181</v>
      </c>
      <c r="J12428" s="422">
        <f t="shared" si="2331"/>
        <v>255.42857142857142</v>
      </c>
      <c r="K12428" s="297">
        <f>J12428/POBLA!$B$19*100000</f>
        <v>50.248770759936782</v>
      </c>
      <c r="L12428" s="200">
        <f t="shared" si="2332"/>
        <v>5.4245283018867996E-2</v>
      </c>
      <c r="M12428" s="401">
        <f>SUM(C12428,C12404,C12380,C12356,C12332,C12308,C12284)/POBLA!$B$19*100000</f>
        <v>351.74139531955745</v>
      </c>
      <c r="N12428" s="42" t="s">
        <v>36</v>
      </c>
      <c r="O12428" s="42">
        <v>3</v>
      </c>
      <c r="P12428" s="42">
        <v>5</v>
      </c>
      <c r="Q12428" s="42">
        <v>0</v>
      </c>
      <c r="R12428" s="42">
        <v>8</v>
      </c>
    </row>
    <row r="12429" spans="1:18" x14ac:dyDescent="0.25">
      <c r="A12429" s="367" t="s">
        <v>37</v>
      </c>
      <c r="B12429" s="2">
        <v>44410</v>
      </c>
      <c r="C12429" s="637">
        <v>41</v>
      </c>
      <c r="D12429" s="39">
        <f t="shared" si="2335"/>
        <v>57918</v>
      </c>
      <c r="E12429" s="637">
        <v>2</v>
      </c>
      <c r="F12429" s="39">
        <f>E12429+F12405</f>
        <v>937</v>
      </c>
      <c r="G12429" s="168">
        <f>SUM(C12429,C12405,C12382,C12357,C12333,C12309,C12285,C12261,C12237,C12213,C12189,C12165,C12141,C12117)/POBLA!$B$20*100000</f>
        <v>439.98053038299366</v>
      </c>
      <c r="H12429" s="256">
        <f t="shared" si="2333"/>
        <v>0.66959578207381376</v>
      </c>
      <c r="I12429" s="297">
        <f t="shared" si="2334"/>
        <v>294.609107339052</v>
      </c>
      <c r="J12429" s="422">
        <f t="shared" si="2331"/>
        <v>57.857142857142854</v>
      </c>
      <c r="K12429" s="297">
        <f>J12429/POBLA!$B$20*100000</f>
        <v>15.821017029664603</v>
      </c>
      <c r="L12429" s="200">
        <f t="shared" si="2332"/>
        <v>0.13445378151260501</v>
      </c>
      <c r="M12429" s="401">
        <f>SUM(C12429,C12405,C12381,C12357,C12333,C12309,C12285)/POBLA!$B$20*100000</f>
        <v>110.7471192076522</v>
      </c>
      <c r="N12429" s="42" t="s">
        <v>37</v>
      </c>
      <c r="O12429" s="42">
        <v>2</v>
      </c>
      <c r="P12429" s="42">
        <v>0</v>
      </c>
      <c r="Q12429" s="42">
        <v>0</v>
      </c>
      <c r="R12429" s="42">
        <v>2</v>
      </c>
    </row>
    <row r="12430" spans="1:18" x14ac:dyDescent="0.25">
      <c r="A12430" s="367" t="s">
        <v>22</v>
      </c>
      <c r="B12430" s="2">
        <v>44410</v>
      </c>
      <c r="C12430" s="637">
        <v>923</v>
      </c>
      <c r="D12430" s="39">
        <f t="shared" si="2335"/>
        <v>448747</v>
      </c>
      <c r="E12430" s="637">
        <v>57</v>
      </c>
      <c r="F12430" s="39">
        <f>E12430+F12406</f>
        <v>7912</v>
      </c>
      <c r="G12430" s="168">
        <f>SUM(C12430,C12406,C12382,C12358,C12334,C12310,C12286,C12262,C12238,C12214,C12190,C12166,C12142,C12118)/POBLA!$B$21*100000</f>
        <v>443.75410372868816</v>
      </c>
      <c r="H12430" s="256">
        <f t="shared" si="2333"/>
        <v>0.78035803083043265</v>
      </c>
      <c r="I12430" s="297">
        <f t="shared" si="2334"/>
        <v>346.28707855864263</v>
      </c>
      <c r="J12430" s="422">
        <f t="shared" si="2331"/>
        <v>1081.8571428571429</v>
      </c>
      <c r="K12430" s="297">
        <f>J12430/POBLA!$B$21*100000</f>
        <v>30.591891084626958</v>
      </c>
      <c r="L12430" s="200">
        <f t="shared" si="2332"/>
        <v>-6.7364532019704382E-2</v>
      </c>
      <c r="M12430" s="401">
        <f>SUM(C12430,C12406,C12382,C12358,C12334,C12310,C12286)/POBLA!$B$21*100000</f>
        <v>214.14323759238872</v>
      </c>
      <c r="N12430" s="42" t="s">
        <v>22</v>
      </c>
      <c r="O12430" s="42">
        <v>21</v>
      </c>
      <c r="P12430" s="42">
        <v>36</v>
      </c>
      <c r="Q12430" s="42">
        <v>0</v>
      </c>
      <c r="R12430" s="42">
        <v>57</v>
      </c>
    </row>
    <row r="12431" spans="1:18" x14ac:dyDescent="0.25">
      <c r="A12431" s="367" t="s">
        <v>38</v>
      </c>
      <c r="B12431" s="2">
        <v>44410</v>
      </c>
      <c r="C12431" s="637">
        <v>266</v>
      </c>
      <c r="D12431" s="39">
        <f t="shared" si="2335"/>
        <v>74004</v>
      </c>
      <c r="E12431" s="637">
        <v>4</v>
      </c>
      <c r="F12431" s="39">
        <f>E12431+F12407</f>
        <v>1055</v>
      </c>
      <c r="G12431" s="168">
        <f>SUM(C12431,C12407,C12383,C12359,C12335,C12311,C12287,C12263,C12239,C12215,C12191,C12167,C12143,C12119)/POBLA!$B$22*100000</f>
        <v>476.73903955073678</v>
      </c>
      <c r="H12431" s="256">
        <f t="shared" si="2333"/>
        <v>0.64795776604612387</v>
      </c>
      <c r="I12431" s="297">
        <f t="shared" si="2334"/>
        <v>308.90676305427007</v>
      </c>
      <c r="J12431" s="422">
        <f t="shared" si="2331"/>
        <v>317.14285714285717</v>
      </c>
      <c r="K12431" s="297">
        <f>J12431/POBLA!$B$22*100000</f>
        <v>32.417320136076818</v>
      </c>
      <c r="L12431" s="200">
        <f t="shared" si="2332"/>
        <v>-9.1653027823240585E-2</v>
      </c>
      <c r="M12431" s="401">
        <f>SUM(C12431,C12407,C12383,C12359,C12335,C12311,C12287)/POBLA!$B$22*100000</f>
        <v>226.92124095253769</v>
      </c>
      <c r="N12431" s="42" t="s">
        <v>38</v>
      </c>
      <c r="O12431" s="42">
        <v>2</v>
      </c>
      <c r="P12431" s="42">
        <v>2</v>
      </c>
      <c r="Q12431" s="42">
        <v>0</v>
      </c>
      <c r="R12431" s="42">
        <v>4</v>
      </c>
    </row>
    <row r="12432" spans="1:18" x14ac:dyDescent="0.25">
      <c r="A12432" s="367" t="s">
        <v>39</v>
      </c>
      <c r="B12432" s="2">
        <v>44410</v>
      </c>
      <c r="C12432" s="637">
        <v>50</v>
      </c>
      <c r="D12432" s="39">
        <f t="shared" si="2335"/>
        <v>31258</v>
      </c>
      <c r="E12432" s="637">
        <v>2</v>
      </c>
      <c r="F12432" s="39">
        <f>E12432+F12408</f>
        <v>469</v>
      </c>
      <c r="G12432" s="168">
        <f>SUM(C12432,C12408,C12384,C12360,C12336,C12312,C12288,C12264,C12240,C12216,C12192,C12168,C12144,C12120)/POBLA!$B$23*100000</f>
        <v>370.41226036306057</v>
      </c>
      <c r="H12432" s="256">
        <f t="shared" si="2333"/>
        <v>1.0755336617405582</v>
      </c>
      <c r="I12432" s="297">
        <f t="shared" si="2334"/>
        <v>398.39085474187954</v>
      </c>
      <c r="J12432" s="422">
        <f t="shared" si="2331"/>
        <v>50.428571428571431</v>
      </c>
      <c r="K12432" s="297">
        <f>J12432/POBLA!$B$23*100000</f>
        <v>28.518108595018621</v>
      </c>
      <c r="L12432" s="200">
        <f t="shared" si="2332"/>
        <v>0.16887417218543055</v>
      </c>
      <c r="M12432" s="401">
        <f>SUM(C12432,C12408,C12384,C12360,C12336,C12312,C12288)/POBLA!$B$23*100000</f>
        <v>199.62676016513032</v>
      </c>
      <c r="N12432" s="42" t="s">
        <v>39</v>
      </c>
      <c r="O12432" s="42">
        <v>1</v>
      </c>
      <c r="P12432" s="42">
        <v>1</v>
      </c>
      <c r="Q12432" s="42">
        <v>0</v>
      </c>
      <c r="R12432" s="42">
        <v>2</v>
      </c>
    </row>
    <row r="12433" spans="1:18" ht="15.75" thickBot="1" x14ac:dyDescent="0.3">
      <c r="A12433" s="369" t="s">
        <v>40</v>
      </c>
      <c r="B12433" s="2">
        <v>44410</v>
      </c>
      <c r="C12433" s="637">
        <v>976</v>
      </c>
      <c r="D12433" s="176">
        <f t="shared" si="2335"/>
        <v>181889</v>
      </c>
      <c r="E12433" s="637">
        <v>10</v>
      </c>
      <c r="F12433" s="176">
        <f>E12433+F12409</f>
        <v>2580</v>
      </c>
      <c r="G12433" s="177">
        <f>SUM(C12433,C12409,C12385,C12361,C12337,C12313,C12289,C12265,C12241,C12217,C12193,C12169,C12145,C12121)/POBLA!$B$24*100000</f>
        <v>536.15601042335436</v>
      </c>
      <c r="H12433" s="402">
        <f t="shared" si="2333"/>
        <v>0.8908716540837337</v>
      </c>
      <c r="I12433" s="403">
        <f t="shared" si="2334"/>
        <v>477.64619185278929</v>
      </c>
      <c r="J12433" s="423">
        <f t="shared" si="2331"/>
        <v>642.28571428571433</v>
      </c>
      <c r="K12433" s="403">
        <f>J12433/POBLA!$B$24*100000</f>
        <v>37.900654426958297</v>
      </c>
      <c r="L12433" s="404">
        <f t="shared" si="2332"/>
        <v>-2.0479302832243973E-2</v>
      </c>
      <c r="M12433" s="405">
        <f>SUM(C12433,C12409,C12385,C12361,C12337,C12313,C12289)/POBLA!$B$24*100000</f>
        <v>265.30458098870804</v>
      </c>
      <c r="N12433" s="42" t="s">
        <v>40</v>
      </c>
      <c r="O12433" s="42">
        <v>3</v>
      </c>
      <c r="P12433" s="42">
        <v>7</v>
      </c>
      <c r="Q12433" s="42">
        <v>0</v>
      </c>
      <c r="R12433" s="42">
        <v>10</v>
      </c>
    </row>
    <row r="12434" spans="1:18" x14ac:dyDescent="0.25">
      <c r="A12434" s="363" t="s">
        <v>16</v>
      </c>
      <c r="B12434" s="2">
        <v>44411</v>
      </c>
      <c r="C12434" s="637">
        <v>4179</v>
      </c>
      <c r="D12434" s="174">
        <f>C12434+D12410</f>
        <v>1983213</v>
      </c>
      <c r="E12434" s="637">
        <v>144</v>
      </c>
      <c r="F12434" s="174">
        <f t="shared" ref="F12434:F12452" si="2336">E12434+F12410</f>
        <v>52395</v>
      </c>
      <c r="G12434" s="175">
        <f>SUM(C12434,C12410,C12362,C12386,C12338,C12314,C12290,C12266,C12242,C12218,C12194,C12170,C12146,C12122)/POBLA!$B$1*100000</f>
        <v>269.84561608620555</v>
      </c>
      <c r="H12434" s="300">
        <f t="shared" si="2333"/>
        <v>0.77899379556638082</v>
      </c>
      <c r="I12434" s="301">
        <f>G12434*H12434</f>
        <v>210.20806069194168</v>
      </c>
      <c r="J12434" s="421">
        <f>AVERAGE(C12434,C12410,C12386,C12362,C12338,C12314,C12290)</f>
        <v>3224</v>
      </c>
      <c r="K12434" s="301">
        <f>J12434/POBLA!$B$1*100000</f>
        <v>18.379648165418658</v>
      </c>
      <c r="L12434" s="399">
        <f>(SUM(C12434,C12410,C12386,C12362,C12338,C12314,C12290)/SUM(C12266,C12242,C12218,C12194,C12170,C12146,C12122))-1</f>
        <v>-8.8750706613906161E-2</v>
      </c>
      <c r="M12434" s="400">
        <f>SUM(C12434,C12410,C12386,C12362,C12338,C12314,C12290)/POBLA!$B$1*100000</f>
        <v>128.65753715793059</v>
      </c>
      <c r="N12434" s="42" t="s">
        <v>16</v>
      </c>
      <c r="O12434" s="42">
        <v>62</v>
      </c>
      <c r="P12434" s="42">
        <v>81</v>
      </c>
      <c r="Q12434" s="42">
        <v>1</v>
      </c>
      <c r="R12434" s="42">
        <v>144</v>
      </c>
    </row>
    <row r="12435" spans="1:18" x14ac:dyDescent="0.25">
      <c r="A12435" s="367" t="s">
        <v>43</v>
      </c>
      <c r="B12435" s="2">
        <v>44411</v>
      </c>
      <c r="C12435" s="637">
        <v>883</v>
      </c>
      <c r="D12435" s="39">
        <f t="shared" ref="D12435:D12449" si="2337">C12435+D12411</f>
        <v>493620</v>
      </c>
      <c r="E12435" s="637">
        <v>8</v>
      </c>
      <c r="F12435" s="39">
        <f t="shared" si="2336"/>
        <v>10944</v>
      </c>
      <c r="G12435" s="168">
        <f>SUM(C12435,C12411,C12387,C12363,C12339,C12315,C12291,C12267,C12243,C12219,C12195,C12171,C12147,C12123)/POBLA!$B$2*100000</f>
        <v>329.84940399512817</v>
      </c>
      <c r="H12435" s="256">
        <f t="shared" si="2333"/>
        <v>0.78231030228254161</v>
      </c>
      <c r="I12435" s="297">
        <f t="shared" ref="I12435:I12441" si="2338">G12435*H12435</f>
        <v>258.04458694714492</v>
      </c>
      <c r="J12435" s="422">
        <f>AVERAGE(C12435,C12411,C12387,C12363,C12339,C12315,C12291)</f>
        <v>695.14285714285711</v>
      </c>
      <c r="K12435" s="297">
        <f>J12435/POBLA!$B$2*100000</f>
        <v>22.601523619521139</v>
      </c>
      <c r="L12435" s="200">
        <f>(SUM(C12435,C12411,C12387,C12363,C12339,C12315,C12291)/SUM(C12267,C12243,C12219,C12195,C12171,C12147,C12123))-1</f>
        <v>-7.8234514112521358E-2</v>
      </c>
      <c r="M12435" s="401">
        <f>SUM(C12435,C12411,C12387,C12363,C12339,C12315,C12291)/POBLA!$B$2*100000</f>
        <v>158.21066533664799</v>
      </c>
      <c r="N12435" s="42" t="s">
        <v>43</v>
      </c>
      <c r="O12435" s="42">
        <v>3</v>
      </c>
      <c r="P12435" s="42">
        <v>5</v>
      </c>
      <c r="Q12435" s="42">
        <v>0</v>
      </c>
      <c r="R12435" s="42">
        <v>8</v>
      </c>
    </row>
    <row r="12436" spans="1:18" x14ac:dyDescent="0.25">
      <c r="A12436" s="367" t="s">
        <v>28</v>
      </c>
      <c r="B12436" s="2">
        <v>44411</v>
      </c>
      <c r="C12436" s="637">
        <v>253</v>
      </c>
      <c r="D12436" s="39">
        <f t="shared" si="2337"/>
        <v>43040</v>
      </c>
      <c r="E12436" s="637">
        <v>9</v>
      </c>
      <c r="F12436" s="39">
        <f t="shared" si="2336"/>
        <v>491</v>
      </c>
      <c r="G12436" s="168">
        <f>SUM(C12436,C12412,C12388,C12364,C12340,C12316,C12292,C12268,C12244,C12220,C12196,C12172,C12148,C12124)/POBLA!$B$3*100000</f>
        <v>862.22252177220184</v>
      </c>
      <c r="H12436" s="256">
        <f t="shared" si="2333"/>
        <v>1.012150324950551</v>
      </c>
      <c r="I12436" s="297">
        <f t="shared" si="2338"/>
        <v>872.69880559141768</v>
      </c>
      <c r="J12436" s="422">
        <f t="shared" ref="J12436:J12457" si="2339">AVERAGE(C12436,C12412,C12388,C12364,C12340,C12316,C12292)</f>
        <v>244.28571428571428</v>
      </c>
      <c r="K12436" s="297">
        <f>J12436/POBLA!$B$3*100000</f>
        <v>58.801966667881672</v>
      </c>
      <c r="L12436" s="200">
        <f t="shared" ref="L12436:L12457" si="2340">(SUM(C12436,C12412,C12388,C12364,C12340,C12316,C12292)/SUM(C12268,C12244,C12220,C12196,C12172,C12148,C12124))-1</f>
        <v>-8.6538461538461564E-2</v>
      </c>
      <c r="M12436" s="401">
        <f>SUM(C12436,C12412,C12388,C12364,C12340,C12316,C12292)/POBLA!$B$3*100000</f>
        <v>411.6137666751718</v>
      </c>
      <c r="N12436" s="42" t="s">
        <v>28</v>
      </c>
      <c r="O12436" s="42">
        <v>3</v>
      </c>
      <c r="P12436" s="42">
        <v>6</v>
      </c>
      <c r="Q12436" s="42">
        <v>0</v>
      </c>
      <c r="R12436" s="42">
        <v>9</v>
      </c>
    </row>
    <row r="12437" spans="1:18" x14ac:dyDescent="0.25">
      <c r="A12437" s="367" t="s">
        <v>15</v>
      </c>
      <c r="B12437" s="2">
        <v>44411</v>
      </c>
      <c r="C12437" s="637">
        <v>429</v>
      </c>
      <c r="D12437" s="39">
        <f t="shared" si="2337"/>
        <v>92484</v>
      </c>
      <c r="E12437" s="637">
        <v>21</v>
      </c>
      <c r="F12437" s="39">
        <f t="shared" si="2336"/>
        <v>2056</v>
      </c>
      <c r="G12437" s="168">
        <f>SUM(C12437,C12413,C12389,C12365,C12341,C12317,C12293,C12269,C12245,C12221,C12197,C12173,C12149,C12125)/POBLA!$B$4*100000</f>
        <v>473.54137385111835</v>
      </c>
      <c r="H12437" s="256">
        <f t="shared" si="2333"/>
        <v>0.8613711869525823</v>
      </c>
      <c r="I12437" s="297">
        <f t="shared" si="2338"/>
        <v>407.89489526529434</v>
      </c>
      <c r="J12437" s="422">
        <f t="shared" si="2339"/>
        <v>407.71428571428572</v>
      </c>
      <c r="K12437" s="297">
        <f>J12437/POBLA!$B$4*100000</f>
        <v>33.848103610776697</v>
      </c>
      <c r="L12437" s="200">
        <f t="shared" si="2340"/>
        <v>1.4035087719297401E-3</v>
      </c>
      <c r="M12437" s="401">
        <f>SUM(C12437,C12413,C12389,C12365,C12341,C12317,C12293)/POBLA!$B$4*100000</f>
        <v>236.93672527543686</v>
      </c>
      <c r="N12437" s="42" t="s">
        <v>15</v>
      </c>
      <c r="O12437" s="42">
        <v>7</v>
      </c>
      <c r="P12437" s="42">
        <v>14</v>
      </c>
      <c r="Q12437" s="42">
        <v>0</v>
      </c>
      <c r="R12437" s="42">
        <v>21</v>
      </c>
    </row>
    <row r="12438" spans="1:18" x14ac:dyDescent="0.25">
      <c r="A12438" s="367" t="s">
        <v>29</v>
      </c>
      <c r="B12438" s="2">
        <v>44411</v>
      </c>
      <c r="C12438" s="637">
        <v>247</v>
      </c>
      <c r="D12438" s="39">
        <f t="shared" si="2337"/>
        <v>76856</v>
      </c>
      <c r="E12438" s="637">
        <v>6</v>
      </c>
      <c r="F12438" s="39">
        <f t="shared" si="2336"/>
        <v>1320</v>
      </c>
      <c r="G12438" s="168">
        <f>SUM(C12438,C12414,C12390,C12366,C12342,C12318,C12294,C12270,C12246,C12222,C12198,C12174,C12150,C12126)/POBLA!$B$5*100000</f>
        <v>428.27555679053432</v>
      </c>
      <c r="H12438" s="256">
        <f t="shared" si="2333"/>
        <v>1.1382567625590383</v>
      </c>
      <c r="I12438" s="297">
        <f t="shared" si="2338"/>
        <v>487.48754875556313</v>
      </c>
      <c r="J12438" s="422">
        <f t="shared" si="2339"/>
        <v>209</v>
      </c>
      <c r="K12438" s="297">
        <f>J12438/POBLA!$B$5*100000</f>
        <v>33.764462983486112</v>
      </c>
      <c r="L12438" s="200">
        <f t="shared" si="2340"/>
        <v>0.2314814814814814</v>
      </c>
      <c r="M12438" s="401">
        <f>SUM(C12438,C12414,C12390,C12366,C12342,C12318,C12294)/POBLA!$B$5*100000</f>
        <v>236.35124088440276</v>
      </c>
      <c r="N12438" s="42" t="s">
        <v>29</v>
      </c>
      <c r="O12438" s="42">
        <v>3</v>
      </c>
      <c r="P12438" s="42">
        <v>3</v>
      </c>
      <c r="Q12438" s="42">
        <v>0</v>
      </c>
      <c r="R12438" s="42">
        <v>6</v>
      </c>
    </row>
    <row r="12439" spans="1:18" x14ac:dyDescent="0.25">
      <c r="A12439" s="367" t="s">
        <v>30</v>
      </c>
      <c r="B12439" s="2">
        <v>44411</v>
      </c>
      <c r="C12439" s="637">
        <v>126</v>
      </c>
      <c r="D12439" s="39">
        <f t="shared" si="2337"/>
        <v>449532</v>
      </c>
      <c r="E12439" s="637">
        <v>13</v>
      </c>
      <c r="F12439" s="39">
        <f t="shared" si="2336"/>
        <v>5875</v>
      </c>
      <c r="G12439" s="168">
        <f>SUM(C12439,C12415,C12391,C12367,C12343,C12319,C12295,C12271,C12247,C12223,C12199,C12175,C12151,C12127)/POBLA!$B$6*100000</f>
        <v>524.26791196653107</v>
      </c>
      <c r="H12439" s="256">
        <f t="shared" si="2333"/>
        <v>0.89792176039119809</v>
      </c>
      <c r="I12439" s="297">
        <f t="shared" si="2338"/>
        <v>470.75156642960525</v>
      </c>
      <c r="J12439" s="422">
        <f t="shared" si="2339"/>
        <v>381.57142857142856</v>
      </c>
      <c r="K12439" s="297">
        <f>J12439/POBLA!$B$6*100000</f>
        <v>34.044529632952553</v>
      </c>
      <c r="L12439" s="200">
        <f t="shared" si="2340"/>
        <v>-0.16661466458658347</v>
      </c>
      <c r="M12439" s="401">
        <f>SUM(C12439,C12415,C12391,C12367,C12343,C12319,C12295)/POBLA!$B$6*100000</f>
        <v>238.31170743066789</v>
      </c>
      <c r="N12439" s="42" t="s">
        <v>30</v>
      </c>
      <c r="O12439" s="42">
        <v>4</v>
      </c>
      <c r="P12439" s="42">
        <v>9</v>
      </c>
      <c r="Q12439" s="42">
        <v>0</v>
      </c>
      <c r="R12439" s="42">
        <v>13</v>
      </c>
    </row>
    <row r="12440" spans="1:18" x14ac:dyDescent="0.25">
      <c r="A12440" s="367" t="s">
        <v>20</v>
      </c>
      <c r="B12440" s="2">
        <v>44411</v>
      </c>
      <c r="C12440" s="637">
        <v>2734</v>
      </c>
      <c r="D12440" s="39">
        <f t="shared" si="2337"/>
        <v>105187</v>
      </c>
      <c r="E12440" s="637">
        <v>24</v>
      </c>
      <c r="F12440" s="39">
        <f t="shared" si="2336"/>
        <v>1201</v>
      </c>
      <c r="G12440" s="168">
        <f>SUM(C12440,C12416,C12392,C12368,C12344,C12320,C12296,C12272,C12248,C12224,C12200,C12176,C12152,C12128)/POBLA!$B$7*100000</f>
        <v>680.15795981863869</v>
      </c>
      <c r="H12440" s="256">
        <f t="shared" si="2333"/>
        <v>1.0431076672104405</v>
      </c>
      <c r="I12440" s="297">
        <f t="shared" si="2338"/>
        <v>709.47798280103268</v>
      </c>
      <c r="J12440" s="422">
        <f t="shared" si="2339"/>
        <v>1776.8571428571429</v>
      </c>
      <c r="K12440" s="297">
        <f>J12440/POBLA!$B$7*100000</f>
        <v>47.25118384387887</v>
      </c>
      <c r="L12440" s="200">
        <f t="shared" si="2340"/>
        <v>-5.335261435421268E-2</v>
      </c>
      <c r="M12440" s="401">
        <f>SUM(C12440,C12416,C12392,C12368,C12344,C12320,C12296)/POBLA!$B$7*100000</f>
        <v>330.75828690715207</v>
      </c>
      <c r="N12440" s="42" t="s">
        <v>20</v>
      </c>
      <c r="O12440" s="42">
        <v>12</v>
      </c>
      <c r="P12440" s="42">
        <v>12</v>
      </c>
      <c r="Q12440" s="42">
        <v>0</v>
      </c>
      <c r="R12440" s="42">
        <v>24</v>
      </c>
    </row>
    <row r="12441" spans="1:18" x14ac:dyDescent="0.25">
      <c r="A12441" s="367" t="s">
        <v>31</v>
      </c>
      <c r="B12441" s="2">
        <v>44411</v>
      </c>
      <c r="C12441" s="637">
        <v>400</v>
      </c>
      <c r="D12441" s="39">
        <f t="shared" si="2337"/>
        <v>128826</v>
      </c>
      <c r="E12441" s="637">
        <v>12</v>
      </c>
      <c r="F12441" s="39">
        <f t="shared" si="2336"/>
        <v>2161</v>
      </c>
      <c r="G12441" s="168">
        <f>SUM(C12441,C12417,C12393,C12369,C12345,C12321,C12297,C12273,C12249,C12225,C12201,C12177,C12153,C12129)/POBLA!$B$8*100000</f>
        <v>405.06190289625755</v>
      </c>
      <c r="H12441" s="256">
        <f t="shared" ref="H12441:H12464" si="2341">SUM(C12441,C12417,C12393,C12369,C12345,C12321,C12297,C12273,C12249,C12225,C12201,C12177,C12153,C12129,)/SUM(C12105,C12081,C12057,C12033,C12009,C11985,C11961,C11937,C11913,C11889,C11865,C11841,C11817,C11793)</f>
        <v>0.64499080882352944</v>
      </c>
      <c r="I12441" s="297">
        <f t="shared" si="2338"/>
        <v>261.26120437265507</v>
      </c>
      <c r="J12441" s="422">
        <f t="shared" si="2339"/>
        <v>357.57142857142856</v>
      </c>
      <c r="K12441" s="297">
        <f>J12441/POBLA!$B$8*100000</f>
        <v>25.799530331043119</v>
      </c>
      <c r="L12441" s="200">
        <f t="shared" si="2340"/>
        <v>-0.19543555126968826</v>
      </c>
      <c r="M12441" s="401">
        <f>SUM(C12441,C12417,C12393,C12369,C12345,C12321,C12297)/POBLA!$B$8*100000</f>
        <v>180.59671231730186</v>
      </c>
      <c r="N12441" s="42" t="s">
        <v>31</v>
      </c>
      <c r="O12441" s="42">
        <v>5</v>
      </c>
      <c r="P12441" s="42">
        <v>7</v>
      </c>
      <c r="Q12441" s="42">
        <v>0</v>
      </c>
      <c r="R12441" s="42">
        <v>12</v>
      </c>
    </row>
    <row r="12442" spans="1:18" x14ac:dyDescent="0.25">
      <c r="A12442" s="367" t="s">
        <v>41</v>
      </c>
      <c r="B12442" s="2">
        <v>44411</v>
      </c>
      <c r="C12442" s="637">
        <v>216</v>
      </c>
      <c r="D12442" s="39">
        <f t="shared" si="2337"/>
        <v>56612</v>
      </c>
      <c r="E12442" s="637">
        <v>12</v>
      </c>
      <c r="F12442" s="39">
        <f t="shared" si="2336"/>
        <v>1032</v>
      </c>
      <c r="G12442" s="168">
        <f>SUM(C12442,C12418,C12394,C12370,C12346,C12322,C12298,C12274,C12250,C12226,C12202,C12178,C12154,C12130)/POBLA!$B$9*100000</f>
        <v>547.59390805908197</v>
      </c>
      <c r="H12442" s="256">
        <f t="shared" si="2341"/>
        <v>0.6135900759118682</v>
      </c>
      <c r="I12442" s="297">
        <f>G12442*H12442</f>
        <v>335.99818761484869</v>
      </c>
      <c r="J12442" s="422">
        <f t="shared" si="2339"/>
        <v>218.71428571428572</v>
      </c>
      <c r="K12442" s="297">
        <f>J12442/POBLA!$B$9*100000</f>
        <v>36.139592776896912</v>
      </c>
      <c r="L12442" s="200">
        <f t="shared" si="2340"/>
        <v>-0.14133482893998883</v>
      </c>
      <c r="M12442" s="401">
        <f>SUM(C12442,C12418,C12394,C12370,C12346,C12322,C12298)/POBLA!$B$9*100000</f>
        <v>252.97714943827836</v>
      </c>
      <c r="N12442" s="42" t="s">
        <v>41</v>
      </c>
      <c r="O12442" s="42">
        <v>7</v>
      </c>
      <c r="P12442" s="42">
        <v>5</v>
      </c>
      <c r="Q12442" s="42">
        <v>0</v>
      </c>
      <c r="R12442" s="42">
        <v>12</v>
      </c>
    </row>
    <row r="12443" spans="1:18" x14ac:dyDescent="0.25">
      <c r="A12443" s="367" t="s">
        <v>32</v>
      </c>
      <c r="B12443" s="2">
        <v>44411</v>
      </c>
      <c r="C12443" s="637">
        <v>218</v>
      </c>
      <c r="D12443" s="39">
        <f t="shared" si="2337"/>
        <v>44017</v>
      </c>
      <c r="E12443" s="637">
        <v>4</v>
      </c>
      <c r="F12443" s="39">
        <f t="shared" si="2336"/>
        <v>1332</v>
      </c>
      <c r="G12443" s="168">
        <f>SUM(C12443,C12419,C12395,C12371,C12347,C12323,C12299,C12275,C12251,C12227,C12203,C12179,C12155,C12131)/POBLA!$B$10*100000</f>
        <v>351.8052721496573</v>
      </c>
      <c r="H12443" s="256">
        <f t="shared" si="2341"/>
        <v>0.71349644830307812</v>
      </c>
      <c r="I12443" s="297">
        <f t="shared" ref="I12443:I12457" si="2342">G12443*H12443</f>
        <v>251.01181217307828</v>
      </c>
      <c r="J12443" s="422">
        <f t="shared" si="2339"/>
        <v>180.57142857142858</v>
      </c>
      <c r="K12443" s="297">
        <f>J12443/POBLA!$B$10*100000</f>
        <v>23.424034133858349</v>
      </c>
      <c r="L12443" s="200">
        <f t="shared" si="2340"/>
        <v>-0.1270718232044199</v>
      </c>
      <c r="M12443" s="401">
        <f>SUM(C12443,C12419,C12395,C12371,C12347,C12323,C12299)/POBLA!$B$10*100000</f>
        <v>163.96823893700844</v>
      </c>
      <c r="N12443" s="42" t="s">
        <v>32</v>
      </c>
      <c r="O12443" s="42">
        <v>2</v>
      </c>
      <c r="P12443" s="42">
        <v>2</v>
      </c>
      <c r="Q12443" s="42">
        <v>0</v>
      </c>
      <c r="R12443" s="42">
        <v>4</v>
      </c>
    </row>
    <row r="12444" spans="1:18" x14ac:dyDescent="0.25">
      <c r="A12444" s="367" t="s">
        <v>33</v>
      </c>
      <c r="B12444" s="2">
        <v>44411</v>
      </c>
      <c r="C12444" s="637">
        <v>289</v>
      </c>
      <c r="D12444" s="39">
        <f t="shared" si="2337"/>
        <v>62188</v>
      </c>
      <c r="E12444" s="637">
        <v>12</v>
      </c>
      <c r="F12444" s="39">
        <f t="shared" si="2336"/>
        <v>859</v>
      </c>
      <c r="G12444" s="168">
        <f>SUM(C12444,C12420,C12396,C12372,C12348,C12324,C12300,C12276,C12252,C12228,C12204,C12180,C12156,C12132)/POBLA!$B$11*100000</f>
        <v>1063.2539868537056</v>
      </c>
      <c r="H12444" s="256">
        <f t="shared" si="2341"/>
        <v>1.0195291599785983</v>
      </c>
      <c r="I12444" s="297">
        <f t="shared" si="2342"/>
        <v>1084.0184440608541</v>
      </c>
      <c r="J12444" s="422">
        <f t="shared" si="2339"/>
        <v>263.57142857142856</v>
      </c>
      <c r="K12444" s="297">
        <f>J12444/POBLA!$B$11*100000</f>
        <v>73.535390251718212</v>
      </c>
      <c r="L12444" s="200">
        <f t="shared" si="2340"/>
        <v>-6.1546286876907441E-2</v>
      </c>
      <c r="M12444" s="401">
        <f>SUM(C12444,C12420,C12396,C12372,C12348,C12324,C12300)/POBLA!$B$11*100000</f>
        <v>514.74773176202746</v>
      </c>
      <c r="N12444" s="42" t="s">
        <v>33</v>
      </c>
      <c r="O12444" s="42">
        <v>3</v>
      </c>
      <c r="P12444" s="42">
        <v>9</v>
      </c>
      <c r="Q12444" s="42">
        <v>0</v>
      </c>
      <c r="R12444" s="42">
        <v>12</v>
      </c>
    </row>
    <row r="12445" spans="1:18" x14ac:dyDescent="0.25">
      <c r="A12445" s="367" t="s">
        <v>21</v>
      </c>
      <c r="B12445" s="2">
        <v>44411</v>
      </c>
      <c r="C12445" s="637">
        <v>211</v>
      </c>
      <c r="D12445" s="39">
        <f t="shared" si="2337"/>
        <v>28990</v>
      </c>
      <c r="E12445" s="637">
        <v>10</v>
      </c>
      <c r="F12445" s="39">
        <f t="shared" si="2336"/>
        <v>796</v>
      </c>
      <c r="G12445" s="168">
        <f>SUM(C12445,C12421,C12397,C12373,C12349,C12325,C12301,C12277,C12253,C12229,C12205,C12181,C12157,C12133)/POBLA!$B$12*100000</f>
        <v>762.58287148915838</v>
      </c>
      <c r="H12445" s="256">
        <f t="shared" si="2341"/>
        <v>1.1098372781065089</v>
      </c>
      <c r="I12445" s="297">
        <f t="shared" si="2342"/>
        <v>846.3428984241732</v>
      </c>
      <c r="J12445" s="422">
        <f t="shared" si="2339"/>
        <v>239.14285714285714</v>
      </c>
      <c r="K12445" s="297">
        <f>J12445/POBLA!$B$12*100000</f>
        <v>60.768492734462377</v>
      </c>
      <c r="L12445" s="200">
        <f t="shared" si="2340"/>
        <v>0.26149208741522223</v>
      </c>
      <c r="M12445" s="401">
        <f>SUM(C12445,C12421,C12397,C12373,C12349,C12325,C12301)/POBLA!$B$12*100000</f>
        <v>425.37944914123665</v>
      </c>
      <c r="N12445" s="42" t="s">
        <v>21</v>
      </c>
      <c r="O12445" s="42">
        <v>5</v>
      </c>
      <c r="P12445" s="42">
        <v>5</v>
      </c>
      <c r="Q12445" s="42">
        <v>0</v>
      </c>
      <c r="R12445" s="42">
        <v>10</v>
      </c>
    </row>
    <row r="12446" spans="1:18" x14ac:dyDescent="0.25">
      <c r="A12446" s="367" t="s">
        <v>17</v>
      </c>
      <c r="B12446" s="2">
        <v>44411</v>
      </c>
      <c r="C12446" s="637">
        <v>497</v>
      </c>
      <c r="D12446" s="39">
        <f t="shared" si="2337"/>
        <v>155282</v>
      </c>
      <c r="E12446" s="637">
        <v>6</v>
      </c>
      <c r="F12446" s="39">
        <f t="shared" si="2336"/>
        <v>3971</v>
      </c>
      <c r="G12446" s="168">
        <f>SUM(C12446,C12422,C12398,C12374,C12350,C12326,C12302,C12278,C12254,C12230,C12206,C12182,C12158,C12134)/POBLA!$B$13*100000</f>
        <v>298.99444215002677</v>
      </c>
      <c r="H12446" s="256">
        <f t="shared" si="2341"/>
        <v>0.95906526994359387</v>
      </c>
      <c r="I12446" s="297">
        <f t="shared" si="2342"/>
        <v>286.75518537224968</v>
      </c>
      <c r="J12446" s="422">
        <f t="shared" si="2339"/>
        <v>429</v>
      </c>
      <c r="K12446" s="297">
        <f>J12446/POBLA!$B$13*100000</f>
        <v>21.554127992330951</v>
      </c>
      <c r="L12446" s="200">
        <f t="shared" si="2340"/>
        <v>1.8656716417910557E-2</v>
      </c>
      <c r="M12446" s="401">
        <f>SUM(C12446,C12422,C12398,C12374,C12350,C12326,C12302)/POBLA!$B$13*100000</f>
        <v>150.87889594631665</v>
      </c>
      <c r="N12446" s="42" t="s">
        <v>17</v>
      </c>
      <c r="O12446" s="42">
        <v>2</v>
      </c>
      <c r="P12446" s="42">
        <v>4</v>
      </c>
      <c r="Q12446" s="42">
        <v>0</v>
      </c>
      <c r="R12446" s="42">
        <v>6</v>
      </c>
    </row>
    <row r="12447" spans="1:18" x14ac:dyDescent="0.25">
      <c r="A12447" s="367" t="s">
        <v>23</v>
      </c>
      <c r="B12447" s="2">
        <v>44411</v>
      </c>
      <c r="C12447" s="637">
        <v>122</v>
      </c>
      <c r="D12447" s="39">
        <f t="shared" si="2337"/>
        <v>31301</v>
      </c>
      <c r="E12447" s="637">
        <v>8</v>
      </c>
      <c r="F12447" s="39">
        <f t="shared" si="2336"/>
        <v>577</v>
      </c>
      <c r="G12447" s="168">
        <f>SUM(C12447,C12423,C12399,C12375,C12351,C12327,C12303,C12279,C12255,C12231,C12207,C12183,C12159,C12135)/POBLA!$B$14*100000</f>
        <v>185.20662113670562</v>
      </c>
      <c r="H12447" s="256">
        <f t="shared" si="2341"/>
        <v>1.0191972076788831</v>
      </c>
      <c r="I12447" s="297">
        <f t="shared" si="2342"/>
        <v>188.76207110617119</v>
      </c>
      <c r="J12447" s="422">
        <f t="shared" si="2339"/>
        <v>172.14285714285714</v>
      </c>
      <c r="K12447" s="297">
        <f>J12447/POBLA!$B$14*100000</f>
        <v>13.648115121681156</v>
      </c>
      <c r="L12447" s="200">
        <f t="shared" si="2340"/>
        <v>6.5428824049513779E-2</v>
      </c>
      <c r="M12447" s="401">
        <f>SUM(C12447,C12423,C12399,C12375,C12351,C12327,C12303)/POBLA!$B$14*100000</f>
        <v>95.536805851768094</v>
      </c>
      <c r="N12447" s="42" t="s">
        <v>23</v>
      </c>
      <c r="O12447" s="42">
        <v>3</v>
      </c>
      <c r="P12447" s="42">
        <v>5</v>
      </c>
      <c r="Q12447" s="42">
        <v>0</v>
      </c>
      <c r="R12447" s="42">
        <v>8</v>
      </c>
    </row>
    <row r="12448" spans="1:18" x14ac:dyDescent="0.25">
      <c r="A12448" s="367" t="s">
        <v>19</v>
      </c>
      <c r="B12448" s="2">
        <v>44411</v>
      </c>
      <c r="C12448" s="637">
        <v>259</v>
      </c>
      <c r="D12448" s="39">
        <f t="shared" si="2337"/>
        <v>108170</v>
      </c>
      <c r="E12448" s="637">
        <v>3</v>
      </c>
      <c r="F12448" s="39">
        <f t="shared" si="2336"/>
        <v>2019</v>
      </c>
      <c r="G12448" s="168">
        <f>SUM(C12448,C12424,C12400,C12376,C12352,C12328,C12304,C12280,C12256,C12232,C12208,C12184,C12160,C12136)/POBLA!$B$15*100000</f>
        <v>441.22718381102823</v>
      </c>
      <c r="H12448" s="256">
        <f t="shared" si="2341"/>
        <v>1.1490196078431372</v>
      </c>
      <c r="I12448" s="297">
        <f t="shared" si="2342"/>
        <v>506.97868571227946</v>
      </c>
      <c r="J12448" s="422">
        <f t="shared" si="2339"/>
        <v>221.14285714285714</v>
      </c>
      <c r="K12448" s="297">
        <f>J12448/POBLA!$B$15*100000</f>
        <v>33.301788422207302</v>
      </c>
      <c r="L12448" s="200">
        <f t="shared" si="2340"/>
        <v>0.12011577424023145</v>
      </c>
      <c r="M12448" s="401">
        <f>SUM(C12448,C12424,C12400,C12376,C12352,C12328,C12304)/POBLA!$B$15*100000</f>
        <v>233.11251895545112</v>
      </c>
      <c r="N12448" s="42" t="s">
        <v>19</v>
      </c>
      <c r="O12448" s="42">
        <v>3</v>
      </c>
      <c r="P12448" s="42">
        <v>0</v>
      </c>
      <c r="Q12448" s="42">
        <v>0</v>
      </c>
      <c r="R12448" s="42">
        <v>3</v>
      </c>
    </row>
    <row r="12449" spans="1:18" x14ac:dyDescent="0.25">
      <c r="A12449" s="367" t="s">
        <v>18</v>
      </c>
      <c r="B12449" s="2">
        <v>44411</v>
      </c>
      <c r="C12449" s="637">
        <v>315</v>
      </c>
      <c r="D12449" s="39">
        <f t="shared" si="2337"/>
        <v>93114</v>
      </c>
      <c r="E12449" s="637">
        <v>12</v>
      </c>
      <c r="F12449" s="39">
        <f t="shared" si="2336"/>
        <v>2103</v>
      </c>
      <c r="G12449" s="168">
        <f>SUM(C12449,C12425,C12401,C12377,C12353,C12329,C12305,C12281,C12257,C12233,C12209,C12185,C12161,C12137)/POBLA!$B$16*100000</f>
        <v>563.9303915142923</v>
      </c>
      <c r="H12449" s="256">
        <f t="shared" si="2341"/>
        <v>1.2517814726840855</v>
      </c>
      <c r="I12449" s="297">
        <f t="shared" si="2342"/>
        <v>705.91761598107371</v>
      </c>
      <c r="J12449" s="422">
        <f t="shared" si="2339"/>
        <v>318.71428571428572</v>
      </c>
      <c r="K12449" s="297">
        <f>J12449/POBLA!$B$16*100000</f>
        <v>42.631089166047232</v>
      </c>
      <c r="L12449" s="200">
        <f t="shared" si="2340"/>
        <v>0.12392947103274565</v>
      </c>
      <c r="M12449" s="401">
        <f>SUM(C12449,C12425,C12401,C12377,C12353,C12329,C12305)/POBLA!$B$16*100000</f>
        <v>298.41762416233064</v>
      </c>
      <c r="N12449" s="42" t="s">
        <v>18</v>
      </c>
      <c r="O12449" s="42">
        <v>6</v>
      </c>
      <c r="P12449" s="42">
        <v>6</v>
      </c>
      <c r="Q12449" s="42">
        <v>0</v>
      </c>
      <c r="R12449" s="42">
        <v>12</v>
      </c>
    </row>
    <row r="12450" spans="1:18" x14ac:dyDescent="0.25">
      <c r="A12450" s="367" t="s">
        <v>34</v>
      </c>
      <c r="B12450" s="2">
        <v>44411</v>
      </c>
      <c r="C12450" s="637">
        <v>344</v>
      </c>
      <c r="D12450" s="39">
        <f>C12450+D12426</f>
        <v>76056</v>
      </c>
      <c r="E12450" s="637">
        <v>7</v>
      </c>
      <c r="F12450" s="39">
        <f t="shared" si="2336"/>
        <v>2113</v>
      </c>
      <c r="G12450" s="168">
        <f>SUM(C12450,C12426,C12402,C12378,C12354,C12330,C12306,C12282,C12258,C12234,C12210,C12186,C12162,C12138)/POBLA!$B$17*100000</f>
        <v>333.89567655646567</v>
      </c>
      <c r="H12450" s="256">
        <f t="shared" si="2341"/>
        <v>0.67874982160696451</v>
      </c>
      <c r="I12450" s="297">
        <f t="shared" si="2342"/>
        <v>226.6316308980378</v>
      </c>
      <c r="J12450" s="422">
        <f t="shared" si="2339"/>
        <v>318.85714285714283</v>
      </c>
      <c r="K12450" s="297">
        <f>J12450/POBLA!$B$17*100000</f>
        <v>22.385412413613818</v>
      </c>
      <c r="L12450" s="200">
        <f t="shared" si="2340"/>
        <v>-0.11568938193343903</v>
      </c>
      <c r="M12450" s="401">
        <f>SUM(C12450,C12426,C12402,C12378,C12354,C12330,C12306)/POBLA!$B$17*100000</f>
        <v>156.69788689529673</v>
      </c>
      <c r="N12450" s="42" t="s">
        <v>34</v>
      </c>
      <c r="O12450" s="42">
        <v>4</v>
      </c>
      <c r="P12450" s="42">
        <v>3</v>
      </c>
      <c r="Q12450" s="42">
        <v>0</v>
      </c>
      <c r="R12450" s="42">
        <v>7</v>
      </c>
    </row>
    <row r="12451" spans="1:18" x14ac:dyDescent="0.25">
      <c r="A12451" s="367" t="s">
        <v>35</v>
      </c>
      <c r="B12451" s="2">
        <v>44411</v>
      </c>
      <c r="C12451" s="637">
        <v>393</v>
      </c>
      <c r="D12451" s="39">
        <f t="shared" ref="D12451:D12457" si="2343">C12451+D12427</f>
        <v>61470</v>
      </c>
      <c r="E12451" s="637">
        <v>10</v>
      </c>
      <c r="F12451" s="39">
        <f t="shared" si="2336"/>
        <v>961</v>
      </c>
      <c r="G12451" s="168">
        <f>SUM(C12451,C12427,C12403,C12379,C12355,C12331,C12307,C12283,C12259,C12235,C12211,C12187,C12163,C12139)/POBLA!$B$18*100000</f>
        <v>513.0456710491452</v>
      </c>
      <c r="H12451" s="256">
        <f t="shared" si="2341"/>
        <v>0.89986528962730128</v>
      </c>
      <c r="I12451" s="297">
        <f t="shared" si="2342"/>
        <v>461.67199137067217</v>
      </c>
      <c r="J12451" s="422">
        <f t="shared" si="2339"/>
        <v>277.28571428571428</v>
      </c>
      <c r="K12451" s="297">
        <f>J12451/POBLA!$B$18*100000</f>
        <v>35.494070698117717</v>
      </c>
      <c r="L12451" s="200">
        <f t="shared" si="2340"/>
        <v>-6.0957910014513783E-2</v>
      </c>
      <c r="M12451" s="401">
        <f>SUM(C12451,C12427,C12403,C12379,C12355,C12331,C12307)/POBLA!$B$18*100000</f>
        <v>248.45849488682401</v>
      </c>
      <c r="N12451" s="42" t="s">
        <v>35</v>
      </c>
      <c r="O12451" s="42">
        <v>4</v>
      </c>
      <c r="P12451" s="42">
        <v>6</v>
      </c>
      <c r="Q12451" s="42">
        <v>0</v>
      </c>
      <c r="R12451" s="42">
        <v>10</v>
      </c>
    </row>
    <row r="12452" spans="1:18" x14ac:dyDescent="0.25">
      <c r="A12452" s="367" t="s">
        <v>36</v>
      </c>
      <c r="B12452" s="2">
        <v>44411</v>
      </c>
      <c r="C12452" s="637">
        <v>227</v>
      </c>
      <c r="D12452" s="39">
        <f t="shared" si="2343"/>
        <v>75597</v>
      </c>
      <c r="E12452" s="637">
        <v>10</v>
      </c>
      <c r="F12452" s="39">
        <f t="shared" si="2336"/>
        <v>1243</v>
      </c>
      <c r="G12452" s="168">
        <f>SUM(C12452,C12428,C12404,C12380,C12356,C12332,C12308,C12284,C12260,C12236,C12212,C12188,C12164,C12140)/POBLA!$B$19*100000</f>
        <v>700.53194000723943</v>
      </c>
      <c r="H12452" s="256">
        <f t="shared" si="2341"/>
        <v>0.83748824082784568</v>
      </c>
      <c r="I12452" s="297">
        <f t="shared" si="2342"/>
        <v>586.68726208038083</v>
      </c>
      <c r="J12452" s="422">
        <f t="shared" si="2339"/>
        <v>254.85714285714286</v>
      </c>
      <c r="K12452" s="297">
        <f>J12452/POBLA!$B$19*100000</f>
        <v>50.136357402531999</v>
      </c>
      <c r="L12452" s="200">
        <f t="shared" si="2340"/>
        <v>3.9392234102419987E-3</v>
      </c>
      <c r="M12452" s="401">
        <f>SUM(C12452,C12428,C12404,C12380,C12356,C12332,C12308)/POBLA!$B$19*100000</f>
        <v>350.95450181772401</v>
      </c>
      <c r="N12452" s="42" t="s">
        <v>36</v>
      </c>
      <c r="O12452" s="42">
        <v>3</v>
      </c>
      <c r="P12452" s="42">
        <v>7</v>
      </c>
      <c r="Q12452" s="42">
        <v>0</v>
      </c>
      <c r="R12452" s="42">
        <v>10</v>
      </c>
    </row>
    <row r="12453" spans="1:18" x14ac:dyDescent="0.25">
      <c r="A12453" s="367" t="s">
        <v>37</v>
      </c>
      <c r="B12453" s="2">
        <v>44411</v>
      </c>
      <c r="C12453" s="637">
        <v>86</v>
      </c>
      <c r="D12453" s="39">
        <f t="shared" si="2343"/>
        <v>58004</v>
      </c>
      <c r="E12453" s="637">
        <v>9</v>
      </c>
      <c r="F12453" s="39">
        <f>E12453+F12429</f>
        <v>946</v>
      </c>
      <c r="G12453" s="168">
        <f>SUM(C12453,C12429,C12406,C12381,C12357,C12333,C12309,C12285,C12261,C12237,C12213,C12189,C12165,C12141)/POBLA!$B$20*100000</f>
        <v>337.9838008411312</v>
      </c>
      <c r="H12453" s="256">
        <f t="shared" si="2341"/>
        <v>0.74646559849198868</v>
      </c>
      <c r="I12453" s="297">
        <f t="shared" si="2342"/>
        <v>252.29328017547212</v>
      </c>
      <c r="J12453" s="422">
        <f t="shared" si="2339"/>
        <v>59.571428571428569</v>
      </c>
      <c r="K12453" s="297">
        <f>J12453/POBLA!$B$20*100000</f>
        <v>16.289787904617626</v>
      </c>
      <c r="L12453" s="200">
        <f t="shared" si="2340"/>
        <v>0.1120000000000001</v>
      </c>
      <c r="M12453" s="401">
        <f>SUM(C12453,C12429,C12405,C12381,C12357,C12333,C12309)/POBLA!$B$20*100000</f>
        <v>114.02851533232339</v>
      </c>
      <c r="N12453" s="42" t="s">
        <v>37</v>
      </c>
      <c r="O12453" s="42">
        <v>1</v>
      </c>
      <c r="P12453" s="42">
        <v>8</v>
      </c>
      <c r="Q12453" s="42">
        <v>0</v>
      </c>
      <c r="R12453" s="42">
        <v>9</v>
      </c>
    </row>
    <row r="12454" spans="1:18" x14ac:dyDescent="0.25">
      <c r="A12454" s="367" t="s">
        <v>22</v>
      </c>
      <c r="B12454" s="2">
        <v>44411</v>
      </c>
      <c r="C12454" s="637">
        <v>1240</v>
      </c>
      <c r="D12454" s="39">
        <f t="shared" si="2343"/>
        <v>449987</v>
      </c>
      <c r="E12454" s="637">
        <v>34</v>
      </c>
      <c r="F12454" s="39">
        <f>E12454+F12430</f>
        <v>7946</v>
      </c>
      <c r="G12454" s="168">
        <f>SUM(C12454,C12430,C12406,C12382,C12358,C12334,C12310,C12286,C12262,C12238,C12214,C12190,C12166,C12142)/POBLA!$B$21*100000</f>
        <v>435.72337885397036</v>
      </c>
      <c r="H12454" s="256">
        <f t="shared" si="2341"/>
        <v>0.78984058639602239</v>
      </c>
      <c r="I12454" s="297">
        <f t="shared" si="2342"/>
        <v>344.15200906047619</v>
      </c>
      <c r="J12454" s="422">
        <f t="shared" si="2339"/>
        <v>1035</v>
      </c>
      <c r="K12454" s="297">
        <f>J12454/POBLA!$B$21*100000</f>
        <v>29.266902272299262</v>
      </c>
      <c r="L12454" s="200">
        <f t="shared" si="2340"/>
        <v>-0.11256736893679564</v>
      </c>
      <c r="M12454" s="401">
        <f>SUM(C12454,C12430,C12406,C12382,C12358,C12334,C12310)/POBLA!$B$21*100000</f>
        <v>204.86831590609481</v>
      </c>
      <c r="N12454" s="42" t="s">
        <v>22</v>
      </c>
      <c r="O12454" s="42">
        <v>14</v>
      </c>
      <c r="P12454" s="42">
        <v>20</v>
      </c>
      <c r="Q12454" s="42">
        <v>0</v>
      </c>
      <c r="R12454" s="42">
        <v>34</v>
      </c>
    </row>
    <row r="12455" spans="1:18" x14ac:dyDescent="0.25">
      <c r="A12455" s="367" t="s">
        <v>38</v>
      </c>
      <c r="B12455" s="2">
        <v>44411</v>
      </c>
      <c r="C12455" s="637">
        <v>273</v>
      </c>
      <c r="D12455" s="39">
        <f t="shared" si="2343"/>
        <v>74277</v>
      </c>
      <c r="E12455" s="637">
        <v>12</v>
      </c>
      <c r="F12455" s="39">
        <f>E12455+F12431</f>
        <v>1067</v>
      </c>
      <c r="G12455" s="168">
        <f>SUM(C12455,C12431,C12407,C12383,C12359,C12335,C12311,C12287,C12263,C12239,C12215,C12191,C12167,C12143)/POBLA!$B$22*100000</f>
        <v>477.35234020195992</v>
      </c>
      <c r="H12455" s="256">
        <f t="shared" si="2341"/>
        <v>0.65442825112107628</v>
      </c>
      <c r="I12455" s="297">
        <f t="shared" si="2342"/>
        <v>312.39285716692166</v>
      </c>
      <c r="J12455" s="422">
        <f t="shared" si="2339"/>
        <v>318.42857142857144</v>
      </c>
      <c r="K12455" s="297">
        <f>J12455/POBLA!$B$22*100000</f>
        <v>32.548741704196047</v>
      </c>
      <c r="L12455" s="200">
        <f t="shared" si="2340"/>
        <v>-8.6849651782056503E-2</v>
      </c>
      <c r="M12455" s="401">
        <f>SUM(C12455,C12431,C12407,C12383,C12359,C12335,C12311)/POBLA!$B$22*100000</f>
        <v>227.84119192937229</v>
      </c>
      <c r="N12455" s="42" t="s">
        <v>38</v>
      </c>
      <c r="O12455" s="42">
        <v>4</v>
      </c>
      <c r="P12455" s="42">
        <v>8</v>
      </c>
      <c r="Q12455" s="42">
        <v>0</v>
      </c>
      <c r="R12455" s="42">
        <v>12</v>
      </c>
    </row>
    <row r="12456" spans="1:18" x14ac:dyDescent="0.25">
      <c r="A12456" s="367" t="s">
        <v>39</v>
      </c>
      <c r="B12456" s="2">
        <v>44411</v>
      </c>
      <c r="C12456" s="637">
        <v>88</v>
      </c>
      <c r="D12456" s="39">
        <f t="shared" si="2343"/>
        <v>31346</v>
      </c>
      <c r="E12456" s="637">
        <v>2</v>
      </c>
      <c r="F12456" s="39">
        <f>E12456+F12432</f>
        <v>471</v>
      </c>
      <c r="G12456" s="168">
        <f>SUM(C12456,C12432,C12408,C12384,C12360,C12336,C12312,C12288,C12264,C12240,C12216,C12192,C12168,C12144)/POBLA!$B$23*100000</f>
        <v>400.38455013289598</v>
      </c>
      <c r="H12456" s="256">
        <f t="shared" si="2341"/>
        <v>1.2144082332761579</v>
      </c>
      <c r="I12456" s="297">
        <f t="shared" si="2342"/>
        <v>486.23029415795946</v>
      </c>
      <c r="J12456" s="422">
        <f t="shared" si="2339"/>
        <v>56.571428571428569</v>
      </c>
      <c r="K12456" s="297">
        <f>J12456/POBLA!$B$23*100000</f>
        <v>31.9919858459699</v>
      </c>
      <c r="L12456" s="200">
        <f t="shared" si="2340"/>
        <v>0.26923076923076916</v>
      </c>
      <c r="M12456" s="401">
        <f>SUM(C12456,C12432,C12408,C12384,C12360,C12336,C12312)/POBLA!$B$23*100000</f>
        <v>223.94390092178926</v>
      </c>
      <c r="N12456" s="42" t="s">
        <v>39</v>
      </c>
      <c r="O12456" s="42">
        <v>1</v>
      </c>
      <c r="P12456" s="42">
        <v>1</v>
      </c>
      <c r="Q12456" s="42">
        <v>0</v>
      </c>
      <c r="R12456" s="42">
        <v>2</v>
      </c>
    </row>
    <row r="12457" spans="1:18" ht="15.75" thickBot="1" x14ac:dyDescent="0.3">
      <c r="A12457" s="369" t="s">
        <v>40</v>
      </c>
      <c r="B12457" s="2">
        <v>44411</v>
      </c>
      <c r="C12457" s="637">
        <v>821</v>
      </c>
      <c r="D12457" s="176">
        <f t="shared" si="2343"/>
        <v>182710</v>
      </c>
      <c r="E12457" s="637">
        <v>17</v>
      </c>
      <c r="F12457" s="176">
        <f>E12457+F12433</f>
        <v>2597</v>
      </c>
      <c r="G12457" s="177">
        <f>SUM(C12457,C12433,C12409,C12385,C12361,C12337,C12313,C12289,C12265,C12241,C12217,C12193,C12169,C12145)/POBLA!$B$24*100000</f>
        <v>531.25826126364291</v>
      </c>
      <c r="H12457" s="402">
        <f t="shared" si="2341"/>
        <v>0.91596296673110189</v>
      </c>
      <c r="I12457" s="403">
        <f t="shared" si="2342"/>
        <v>486.61289308745319</v>
      </c>
      <c r="J12457" s="423">
        <f t="shared" si="2339"/>
        <v>619.28571428571433</v>
      </c>
      <c r="K12457" s="403">
        <f>J12457/POBLA!$B$24*100000</f>
        <v>36.543446828484029</v>
      </c>
      <c r="L12457" s="404">
        <f t="shared" si="2340"/>
        <v>-7.1336760925449827E-2</v>
      </c>
      <c r="M12457" s="405">
        <f>SUM(C12457,C12433,C12409,C12385,C12361,C12337,C12313)/POBLA!$B$24*100000</f>
        <v>255.8041277993882</v>
      </c>
      <c r="N12457" s="42" t="s">
        <v>40</v>
      </c>
      <c r="O12457" s="42">
        <v>8</v>
      </c>
      <c r="P12457" s="42">
        <v>9</v>
      </c>
      <c r="Q12457" s="42">
        <v>0</v>
      </c>
      <c r="R12457" s="42">
        <v>17</v>
      </c>
    </row>
    <row r="12458" spans="1:18" x14ac:dyDescent="0.25">
      <c r="A12458" s="363" t="s">
        <v>16</v>
      </c>
      <c r="B12458" s="2">
        <v>44412</v>
      </c>
      <c r="C12458" s="637">
        <v>3520</v>
      </c>
      <c r="D12458" s="174">
        <f>C12458+D12434</f>
        <v>1986733</v>
      </c>
      <c r="E12458" s="637">
        <v>100</v>
      </c>
      <c r="F12458" s="174">
        <f t="shared" ref="F12458:F12476" si="2344">E12458+F12434</f>
        <v>52495</v>
      </c>
      <c r="G12458" s="175">
        <f>SUM(C12458,C12434,C12386,C12410,C12362,C12338,C12314,C12290,C12266,C12242,C12218,C12194,C12170,C12146)/POBLA!$B$1*100000</f>
        <v>266.43648779745854</v>
      </c>
      <c r="H12458" s="300">
        <f t="shared" si="2341"/>
        <v>0.79353436566150504</v>
      </c>
      <c r="I12458" s="301">
        <f>G12458*H12458</f>
        <v>211.42650933343558</v>
      </c>
      <c r="J12458" s="421">
        <f>AVERAGE(C12458,C12434,C12410,C12386,C12362,C12338,C12314)</f>
        <v>3138.7142857142858</v>
      </c>
      <c r="K12458" s="301">
        <f>J12458/POBLA!$B$1*100000</f>
        <v>17.893444250372799</v>
      </c>
      <c r="L12458" s="399">
        <f>(SUM(C12458,C12434,C12410,C12386,C12362,C12338,C12314)/SUM(C12290,C12266,C12242,C12218,C12194,C12170,C12146))-1</f>
        <v>-0.11282051282051286</v>
      </c>
      <c r="M12458" s="400">
        <f>SUM(C12458,C12434,C12410,C12386,C12362,C12338,C12314)/POBLA!$B$1*100000</f>
        <v>125.25410975260959</v>
      </c>
      <c r="N12458" s="42" t="s">
        <v>319</v>
      </c>
      <c r="O12458" s="42">
        <v>35</v>
      </c>
      <c r="P12458" s="42">
        <v>64</v>
      </c>
      <c r="Q12458" s="42">
        <v>1</v>
      </c>
      <c r="R12458" s="42">
        <v>100</v>
      </c>
    </row>
    <row r="12459" spans="1:18" x14ac:dyDescent="0.25">
      <c r="A12459" s="367" t="s">
        <v>43</v>
      </c>
      <c r="B12459" s="2">
        <v>44412</v>
      </c>
      <c r="C12459" s="637">
        <v>844</v>
      </c>
      <c r="D12459" s="39">
        <f t="shared" ref="D12459:D12473" si="2345">C12459+D12435</f>
        <v>494464</v>
      </c>
      <c r="E12459" s="637">
        <v>11</v>
      </c>
      <c r="F12459" s="39">
        <f t="shared" si="2344"/>
        <v>10955</v>
      </c>
      <c r="G12459" s="168">
        <f>SUM(C12459,C12435,C12411,C12387,C12363,C12339,C12315,C12291,C12267,C12243,C12219,C12195,C12171,C12147)/POBLA!$B$2*100000</f>
        <v>332.64556454156298</v>
      </c>
      <c r="H12459" s="256">
        <f t="shared" si="2341"/>
        <v>0.80979895520025325</v>
      </c>
      <c r="I12459" s="297">
        <f t="shared" ref="I12459:I12465" si="2346">G12459*H12459</f>
        <v>269.3760306177561</v>
      </c>
      <c r="J12459" s="422">
        <f>AVERAGE(C12459,C12435,C12411,C12387,C12363,C12339,C12315)</f>
        <v>701.71428571428567</v>
      </c>
      <c r="K12459" s="297">
        <f>J12459/POBLA!$B$2*100000</f>
        <v>22.815183727720473</v>
      </c>
      <c r="L12459" s="200">
        <f>(SUM(C12459,C12435,C12411,C12387,C12363,C12339,C12315)/SUM(C12291,C12267,C12243,C12219,C12195,C12171,C12147))-1</f>
        <v>-7.6518142507990272E-2</v>
      </c>
      <c r="M12459" s="401">
        <f>SUM(C12459,C12435,C12411,C12387,C12363,C12339,C12315)/POBLA!$B$2*100000</f>
        <v>159.70628609404332</v>
      </c>
      <c r="N12459" s="42" t="s">
        <v>43</v>
      </c>
      <c r="O12459" s="42">
        <v>5</v>
      </c>
      <c r="P12459" s="42">
        <v>6</v>
      </c>
      <c r="Q12459" s="42">
        <v>0</v>
      </c>
      <c r="R12459" s="42">
        <v>11</v>
      </c>
    </row>
    <row r="12460" spans="1:18" x14ac:dyDescent="0.25">
      <c r="A12460" s="367" t="s">
        <v>28</v>
      </c>
      <c r="B12460" s="2">
        <v>44412</v>
      </c>
      <c r="C12460" s="637">
        <v>243</v>
      </c>
      <c r="D12460" s="39">
        <f t="shared" si="2345"/>
        <v>43283</v>
      </c>
      <c r="E12460" s="637"/>
      <c r="F12460" s="39">
        <f t="shared" si="2344"/>
        <v>491</v>
      </c>
      <c r="G12460" s="168">
        <f>SUM(C12460,C12436,C12412,C12388,C12364,C12340,C12316,C12292,C12268,C12244,C12220,C12196,C12172,C12148)/POBLA!$B$3*100000</f>
        <v>861.98181196712858</v>
      </c>
      <c r="H12460" s="256">
        <f t="shared" si="2341"/>
        <v>1.0489162272993555</v>
      </c>
      <c r="I12460" s="297">
        <f t="shared" si="2346"/>
        <v>904.14671020922299</v>
      </c>
      <c r="J12460" s="422">
        <f t="shared" ref="J12460:J12481" si="2347">AVERAGE(C12460,C12436,C12412,C12388,C12364,C12340,C12316)</f>
        <v>243.57142857142858</v>
      </c>
      <c r="K12460" s="297">
        <f>J12460/POBLA!$B$3*100000</f>
        <v>58.630031092829398</v>
      </c>
      <c r="L12460" s="200">
        <f t="shared" ref="L12460:L12481" si="2348">(SUM(C12460,C12436,C12412,C12388,C12364,C12340,C12316)/SUM(C12292,C12268,C12244,C12220,C12196,C12172,C12148))-1</f>
        <v>-9.1151385927505379E-2</v>
      </c>
      <c r="M12460" s="401">
        <f>SUM(C12460,C12436,C12412,C12388,C12364,C12340,C12316)/POBLA!$B$3*100000</f>
        <v>410.41021764980576</v>
      </c>
    </row>
    <row r="12461" spans="1:18" x14ac:dyDescent="0.25">
      <c r="A12461" s="367" t="s">
        <v>15</v>
      </c>
      <c r="B12461" s="2">
        <v>44412</v>
      </c>
      <c r="C12461" s="637">
        <v>443</v>
      </c>
      <c r="D12461" s="39">
        <f t="shared" si="2345"/>
        <v>92927</v>
      </c>
      <c r="E12461" s="637">
        <v>6</v>
      </c>
      <c r="F12461" s="39">
        <f t="shared" si="2344"/>
        <v>2062</v>
      </c>
      <c r="G12461" s="168">
        <f>SUM(C12461,C12437,C12413,C12389,C12365,C12341,C12317,C12293,C12269,C12245,C12221,C12197,C12173,C12149)/POBLA!$B$4*100000</f>
        <v>482.34140639463499</v>
      </c>
      <c r="H12461" s="256">
        <f t="shared" si="2341"/>
        <v>0.92722630067028411</v>
      </c>
      <c r="I12461" s="297">
        <f t="shared" si="2346"/>
        <v>447.23963791139954</v>
      </c>
      <c r="J12461" s="422">
        <f t="shared" si="2347"/>
        <v>404</v>
      </c>
      <c r="K12461" s="297">
        <f>J12461/POBLA!$B$4*100000</f>
        <v>33.539746675289592</v>
      </c>
      <c r="L12461" s="200">
        <f t="shared" si="2348"/>
        <v>-5.1643192488262879E-2</v>
      </c>
      <c r="M12461" s="401">
        <f>SUM(C12461,C12437,C12413,C12389,C12365,C12341,C12317)/POBLA!$B$4*100000</f>
        <v>234.77822672702715</v>
      </c>
      <c r="N12461" s="42" t="s">
        <v>15</v>
      </c>
      <c r="O12461" s="42">
        <v>1</v>
      </c>
      <c r="P12461" s="42">
        <v>5</v>
      </c>
      <c r="Q12461" s="42">
        <v>0</v>
      </c>
      <c r="R12461" s="42">
        <v>6</v>
      </c>
    </row>
    <row r="12462" spans="1:18" x14ac:dyDescent="0.25">
      <c r="A12462" s="367" t="s">
        <v>29</v>
      </c>
      <c r="B12462" s="2">
        <v>44412</v>
      </c>
      <c r="C12462" s="637">
        <v>247</v>
      </c>
      <c r="D12462" s="39">
        <f t="shared" si="2345"/>
        <v>77103</v>
      </c>
      <c r="E12462" s="637">
        <v>4</v>
      </c>
      <c r="F12462" s="39">
        <f t="shared" si="2344"/>
        <v>1324</v>
      </c>
      <c r="G12462" s="168">
        <f>SUM(C12462,C12438,C12414,C12390,C12366,C12342,C12318,C12294,C12270,C12246,C12222,C12198,C12174,C12150)/POBLA!$B$5*100000</f>
        <v>428.43710924500073</v>
      </c>
      <c r="H12462" s="256">
        <f t="shared" si="2341"/>
        <v>1.1280306252658443</v>
      </c>
      <c r="I12462" s="297">
        <f t="shared" si="2346"/>
        <v>483.29018022872901</v>
      </c>
      <c r="J12462" s="422">
        <f t="shared" si="2347"/>
        <v>196.57142857142858</v>
      </c>
      <c r="K12462" s="297">
        <f>J12462/POBLA!$B$5*100000</f>
        <v>31.756596763688918</v>
      </c>
      <c r="L12462" s="200">
        <f t="shared" si="2348"/>
        <v>7.8369905956112929E-2</v>
      </c>
      <c r="M12462" s="401">
        <f>SUM(C12462,C12438,C12414,C12390,C12366,C12342,C12318)/POBLA!$B$5*100000</f>
        <v>222.2961773458224</v>
      </c>
      <c r="N12462" s="42" t="s">
        <v>29</v>
      </c>
      <c r="O12462" s="42">
        <v>3</v>
      </c>
      <c r="P12462" s="42">
        <v>1</v>
      </c>
      <c r="Q12462" s="42">
        <v>0</v>
      </c>
      <c r="R12462" s="42">
        <v>4</v>
      </c>
    </row>
    <row r="12463" spans="1:18" x14ac:dyDescent="0.25">
      <c r="A12463" s="367" t="s">
        <v>30</v>
      </c>
      <c r="B12463" s="2">
        <v>44412</v>
      </c>
      <c r="C12463" s="637">
        <v>40</v>
      </c>
      <c r="D12463" s="39">
        <f t="shared" si="2345"/>
        <v>449572</v>
      </c>
      <c r="E12463" s="637">
        <v>13</v>
      </c>
      <c r="F12463" s="39">
        <f t="shared" si="2344"/>
        <v>5888</v>
      </c>
      <c r="G12463" s="168">
        <f>SUM(C12463,C12439,C12415,C12391,C12367,C12343,C12319,C12295,C12271,C12247,C12223,C12199,C12175,C12151)/POBLA!$B$6*100000</f>
        <v>483.04739199911495</v>
      </c>
      <c r="H12463" s="256">
        <f t="shared" si="2341"/>
        <v>0.77089562864872563</v>
      </c>
      <c r="I12463" s="297">
        <f t="shared" si="2346"/>
        <v>372.37912292228509</v>
      </c>
      <c r="J12463" s="422">
        <f t="shared" si="2347"/>
        <v>312.28571428571428</v>
      </c>
      <c r="K12463" s="297">
        <f>J12463/POBLA!$B$6*100000</f>
        <v>27.862726236478579</v>
      </c>
      <c r="L12463" s="200">
        <f t="shared" si="2348"/>
        <v>-0.32280049566294922</v>
      </c>
      <c r="M12463" s="401">
        <f>SUM(C12463,C12439,C12415,C12391,C12367,C12343,C12319)/POBLA!$B$6*100000</f>
        <v>195.03908365535005</v>
      </c>
      <c r="N12463" s="42" t="s">
        <v>30</v>
      </c>
      <c r="O12463" s="42">
        <v>11</v>
      </c>
      <c r="P12463" s="42">
        <v>2</v>
      </c>
      <c r="Q12463" s="42">
        <v>0</v>
      </c>
      <c r="R12463" s="42">
        <v>13</v>
      </c>
    </row>
    <row r="12464" spans="1:18" x14ac:dyDescent="0.25">
      <c r="A12464" s="367" t="s">
        <v>20</v>
      </c>
      <c r="B12464" s="2">
        <v>44412</v>
      </c>
      <c r="C12464" s="637">
        <v>2380</v>
      </c>
      <c r="D12464" s="39">
        <f t="shared" si="2345"/>
        <v>107567</v>
      </c>
      <c r="E12464" s="637">
        <v>33</v>
      </c>
      <c r="F12464" s="39">
        <f t="shared" si="2344"/>
        <v>1234</v>
      </c>
      <c r="G12464" s="168">
        <f>SUM(C12464,C12440,C12416,C12392,C12368,C12344,C12320,C12296,C12272,C12248,C12224,C12200,C12176,C12152)/POBLA!$B$7*100000</f>
        <v>691.99164993551301</v>
      </c>
      <c r="H12464" s="256">
        <f t="shared" si="2341"/>
        <v>1.0931776172071921</v>
      </c>
      <c r="I12464" s="297">
        <f t="shared" si="2346"/>
        <v>756.46978300377748</v>
      </c>
      <c r="J12464" s="422">
        <f t="shared" si="2347"/>
        <v>1769.4285714285713</v>
      </c>
      <c r="K12464" s="297">
        <f>J12464/POBLA!$B$7*100000</f>
        <v>47.053639097144526</v>
      </c>
      <c r="L12464" s="200">
        <f t="shared" si="2348"/>
        <v>-9.1669111176298057E-2</v>
      </c>
      <c r="M12464" s="401">
        <f>SUM(C12464,C12440,C12416,C12392,C12368,C12344,C12320)/POBLA!$B$7*100000</f>
        <v>329.37547368001168</v>
      </c>
      <c r="N12464" s="42" t="s">
        <v>20</v>
      </c>
      <c r="O12464" s="42">
        <v>15</v>
      </c>
      <c r="P12464" s="42">
        <v>18</v>
      </c>
      <c r="Q12464" s="42">
        <v>0</v>
      </c>
      <c r="R12464" s="42">
        <v>33</v>
      </c>
    </row>
    <row r="12465" spans="1:18" x14ac:dyDescent="0.25">
      <c r="A12465" s="367" t="s">
        <v>31</v>
      </c>
      <c r="B12465" s="2">
        <v>44412</v>
      </c>
      <c r="C12465" s="637">
        <v>394</v>
      </c>
      <c r="D12465" s="39">
        <f t="shared" si="2345"/>
        <v>129220</v>
      </c>
      <c r="E12465" s="637">
        <v>14</v>
      </c>
      <c r="F12465" s="39">
        <f t="shared" si="2344"/>
        <v>2175</v>
      </c>
      <c r="G12465" s="168">
        <f>SUM(C12465,C12441,C12417,C12393,C12369,C12345,C12321,C12297,C12273,C12249,C12225,C12201,C12177,C12153)/POBLA!$B$8*100000</f>
        <v>396.76441111979341</v>
      </c>
      <c r="H12465" s="256">
        <f t="shared" ref="H12465:H12488" si="2349">SUM(C12465,C12441,C12417,C12393,C12369,C12345,C12321,C12297,C12273,C12249,C12225,C12201,C12177,C12153,)/SUM(C12129,C12105,C12081,C12057,C12033,C12009,C11985,C11961,C11937,C11913,C11889,C11865,C11841,C11817)</f>
        <v>0.65154028436018963</v>
      </c>
      <c r="I12465" s="297">
        <f t="shared" si="2346"/>
        <v>258.50799724499336</v>
      </c>
      <c r="J12465" s="422">
        <f t="shared" si="2347"/>
        <v>339</v>
      </c>
      <c r="K12465" s="297">
        <f>J12465/POBLA!$B$8*100000</f>
        <v>24.459562714968168</v>
      </c>
      <c r="L12465" s="200">
        <f t="shared" si="2348"/>
        <v>-0.24088291746641077</v>
      </c>
      <c r="M12465" s="401">
        <f>SUM(C12465,C12441,C12417,C12393,C12369,C12345,C12321)/POBLA!$B$8*100000</f>
        <v>171.2169390047772</v>
      </c>
      <c r="N12465" s="42" t="s">
        <v>31</v>
      </c>
      <c r="O12465" s="42">
        <v>3</v>
      </c>
      <c r="P12465" s="42">
        <v>11</v>
      </c>
      <c r="Q12465" s="42">
        <v>0</v>
      </c>
      <c r="R12465" s="42">
        <v>14</v>
      </c>
    </row>
    <row r="12466" spans="1:18" x14ac:dyDescent="0.25">
      <c r="A12466" s="367" t="s">
        <v>41</v>
      </c>
      <c r="B12466" s="2">
        <v>44412</v>
      </c>
      <c r="C12466" s="637">
        <v>234</v>
      </c>
      <c r="D12466" s="39">
        <f t="shared" si="2345"/>
        <v>56846</v>
      </c>
      <c r="E12466" s="637">
        <v>5</v>
      </c>
      <c r="F12466" s="39">
        <f t="shared" si="2344"/>
        <v>1037</v>
      </c>
      <c r="G12466" s="168">
        <f>SUM(C12466,C12442,C12418,C12394,C12370,C12346,C12322,C12298,C12274,C12250,C12226,C12202,C12178,C12154)/POBLA!$B$9*100000</f>
        <v>544.12394062720489</v>
      </c>
      <c r="H12466" s="256">
        <f t="shared" si="2349"/>
        <v>0.63424499229583975</v>
      </c>
      <c r="I12466" s="297">
        <f>G12466*H12466</f>
        <v>345.10788453108353</v>
      </c>
      <c r="J12466" s="422">
        <f t="shared" si="2347"/>
        <v>219.42857142857142</v>
      </c>
      <c r="K12466" s="297">
        <f>J12466/POBLA!$B$9*100000</f>
        <v>36.25761888002198</v>
      </c>
      <c r="L12466" s="200">
        <f t="shared" si="2348"/>
        <v>-0.12578258394991459</v>
      </c>
      <c r="M12466" s="401">
        <f>SUM(C12466,C12442,C12418,C12394,C12370,C12346,C12322)/POBLA!$B$9*100000</f>
        <v>253.80333216015387</v>
      </c>
      <c r="N12466" s="42" t="s">
        <v>41</v>
      </c>
      <c r="O12466" s="42">
        <v>0</v>
      </c>
      <c r="P12466" s="42">
        <v>5</v>
      </c>
      <c r="Q12466" s="42">
        <v>0</v>
      </c>
      <c r="R12466" s="42">
        <v>5</v>
      </c>
    </row>
    <row r="12467" spans="1:18" x14ac:dyDescent="0.25">
      <c r="A12467" s="367" t="s">
        <v>32</v>
      </c>
      <c r="B12467" s="2">
        <v>44412</v>
      </c>
      <c r="C12467" s="637">
        <v>215</v>
      </c>
      <c r="D12467" s="39">
        <f t="shared" si="2345"/>
        <v>44232</v>
      </c>
      <c r="E12467" s="637">
        <v>5</v>
      </c>
      <c r="F12467" s="39">
        <f t="shared" si="2344"/>
        <v>1337</v>
      </c>
      <c r="G12467" s="168">
        <f>SUM(C12467,C12443,C12419,C12395,C12371,C12347,C12323,C12299,C12275,C12251,C12227,C12203,C12179,C12155)/POBLA!$B$10*100000</f>
        <v>341.29781380005471</v>
      </c>
      <c r="H12467" s="256">
        <f t="shared" si="2349"/>
        <v>0.69218626677190209</v>
      </c>
      <c r="I12467" s="297">
        <f t="shared" ref="I12467:I12481" si="2350">G12467*H12467</f>
        <v>236.24165959167163</v>
      </c>
      <c r="J12467" s="422">
        <f t="shared" si="2347"/>
        <v>184.85714285714286</v>
      </c>
      <c r="K12467" s="297">
        <f>J12467/POBLA!$B$10*100000</f>
        <v>23.979984311086</v>
      </c>
      <c r="L12467" s="200">
        <f t="shared" si="2348"/>
        <v>-3.2161555721765156E-2</v>
      </c>
      <c r="M12467" s="401">
        <f>SUM(C12467,C12443,C12419,C12395,C12371,C12347,C12323)/POBLA!$B$10*100000</f>
        <v>167.85989017760198</v>
      </c>
      <c r="N12467" s="42" t="s">
        <v>32</v>
      </c>
      <c r="O12467" s="42">
        <v>1</v>
      </c>
      <c r="P12467" s="42">
        <v>4</v>
      </c>
      <c r="Q12467" s="42">
        <v>0</v>
      </c>
      <c r="R12467" s="42">
        <v>5</v>
      </c>
    </row>
    <row r="12468" spans="1:18" x14ac:dyDescent="0.25">
      <c r="A12468" s="367" t="s">
        <v>33</v>
      </c>
      <c r="B12468" s="2">
        <v>44412</v>
      </c>
      <c r="C12468" s="637">
        <v>348</v>
      </c>
      <c r="D12468" s="39">
        <f t="shared" si="2345"/>
        <v>62536</v>
      </c>
      <c r="E12468" s="637">
        <v>1</v>
      </c>
      <c r="F12468" s="39">
        <f t="shared" si="2344"/>
        <v>860</v>
      </c>
      <c r="G12468" s="168">
        <f>SUM(C12468,C12444,C12420,C12396,C12372,C12348,C12324,C12300,C12276,C12252,C12228,C12204,C12180,C12156)/POBLA!$B$11*100000</f>
        <v>1093.6645574564486</v>
      </c>
      <c r="H12468" s="256">
        <f t="shared" si="2349"/>
        <v>1.0660864835463693</v>
      </c>
      <c r="I12468" s="297">
        <f t="shared" si="2350"/>
        <v>1165.9410022380414</v>
      </c>
      <c r="J12468" s="422">
        <f t="shared" si="2347"/>
        <v>266.42857142857144</v>
      </c>
      <c r="K12468" s="297">
        <f>J12468/POBLA!$B$11*100000</f>
        <v>74.332521853362863</v>
      </c>
      <c r="L12468" s="200">
        <f t="shared" si="2348"/>
        <v>-9.2457420924574207E-2</v>
      </c>
      <c r="M12468" s="401">
        <f>SUM(C12468,C12444,C12420,C12396,C12372,C12348,C12324)/POBLA!$B$11*100000</f>
        <v>520.32765297354001</v>
      </c>
      <c r="N12468" s="42" t="s">
        <v>33</v>
      </c>
      <c r="O12468" s="42">
        <v>1</v>
      </c>
      <c r="P12468" s="42">
        <v>0</v>
      </c>
      <c r="Q12468" s="42">
        <v>0</v>
      </c>
      <c r="R12468" s="42">
        <v>1</v>
      </c>
    </row>
    <row r="12469" spans="1:18" x14ac:dyDescent="0.25">
      <c r="A12469" s="367" t="s">
        <v>21</v>
      </c>
      <c r="B12469" s="2">
        <v>44412</v>
      </c>
      <c r="C12469" s="637">
        <v>189</v>
      </c>
      <c r="D12469" s="39">
        <f t="shared" si="2345"/>
        <v>29179</v>
      </c>
      <c r="E12469" s="637"/>
      <c r="F12469" s="39">
        <f t="shared" si="2344"/>
        <v>796</v>
      </c>
      <c r="G12469" s="168">
        <f>SUM(C12469,C12445,C12421,C12397,C12373,C12349,C12325,C12301,C12277,C12253,C12229,C12205,C12181,C12157)/POBLA!$B$12*100000</f>
        <v>772.49314539388263</v>
      </c>
      <c r="H12469" s="256">
        <f t="shared" si="2349"/>
        <v>1.1230144070927226</v>
      </c>
      <c r="I12469" s="297">
        <f t="shared" si="2350"/>
        <v>867.5209316577035</v>
      </c>
      <c r="J12469" s="422">
        <f t="shared" si="2347"/>
        <v>226.14285714285714</v>
      </c>
      <c r="K12469" s="297">
        <f>J12469/POBLA!$B$12*100000</f>
        <v>57.46506809955433</v>
      </c>
      <c r="L12469" s="200">
        <f t="shared" si="2348"/>
        <v>8.6479066575154473E-2</v>
      </c>
      <c r="M12469" s="401">
        <f>SUM(C12469,C12445,C12421,C12397,C12373,C12349,C12325)/POBLA!$B$12*100000</f>
        <v>402.25547669688029</v>
      </c>
    </row>
    <row r="12470" spans="1:18" x14ac:dyDescent="0.25">
      <c r="A12470" s="367" t="s">
        <v>17</v>
      </c>
      <c r="B12470" s="2">
        <v>44412</v>
      </c>
      <c r="C12470" s="637">
        <v>502</v>
      </c>
      <c r="D12470" s="39">
        <f t="shared" si="2345"/>
        <v>155784</v>
      </c>
      <c r="E12470" s="637">
        <v>14</v>
      </c>
      <c r="F12470" s="39">
        <f t="shared" si="2344"/>
        <v>3985</v>
      </c>
      <c r="G12470" s="168">
        <f>SUM(C12470,C12446,C12422,C12398,C12374,C12350,C12326,C12302,C12278,C12254,C12230,C12206,C12182,C12158)/POBLA!$B$13*100000</f>
        <v>298.84371398224829</v>
      </c>
      <c r="H12470" s="256">
        <f t="shared" si="2349"/>
        <v>0.96448840603210639</v>
      </c>
      <c r="I12470" s="297">
        <f t="shared" si="2350"/>
        <v>288.23129735145335</v>
      </c>
      <c r="J12470" s="422">
        <f t="shared" si="2347"/>
        <v>423.57142857142856</v>
      </c>
      <c r="K12470" s="297">
        <f>J12470/POBLA!$B$13*100000</f>
        <v>21.281381783969785</v>
      </c>
      <c r="L12470" s="200">
        <f t="shared" si="2348"/>
        <v>-6.0341937646664068E-3</v>
      </c>
      <c r="M12470" s="401">
        <f>SUM(C12470,C12446,C12422,C12398,C12374,C12350,C12326)/POBLA!$B$13*100000</f>
        <v>148.9696724877885</v>
      </c>
      <c r="N12470" s="42" t="s">
        <v>17</v>
      </c>
      <c r="O12470" s="42">
        <v>7</v>
      </c>
      <c r="P12470" s="42">
        <v>7</v>
      </c>
      <c r="Q12470" s="42">
        <v>0</v>
      </c>
      <c r="R12470" s="42">
        <v>14</v>
      </c>
    </row>
    <row r="12471" spans="1:18" x14ac:dyDescent="0.25">
      <c r="A12471" s="367" t="s">
        <v>23</v>
      </c>
      <c r="B12471" s="2">
        <v>44412</v>
      </c>
      <c r="C12471" s="637">
        <v>153</v>
      </c>
      <c r="D12471" s="39">
        <f t="shared" si="2345"/>
        <v>31454</v>
      </c>
      <c r="E12471" s="637">
        <v>12</v>
      </c>
      <c r="F12471" s="39">
        <f t="shared" si="2344"/>
        <v>589</v>
      </c>
      <c r="G12471" s="168">
        <f>SUM(C12471,C12447,C12423,C12399,C12375,C12351,C12327,C12303,C12279,C12255,C12231,C12207,C12183,C12159)/POBLA!$B$14*100000</f>
        <v>184.73091919885451</v>
      </c>
      <c r="H12471" s="256">
        <f t="shared" si="2349"/>
        <v>1.0296067167476801</v>
      </c>
      <c r="I12471" s="297">
        <f t="shared" si="2350"/>
        <v>190.20019519811359</v>
      </c>
      <c r="J12471" s="422">
        <f t="shared" si="2347"/>
        <v>162.42857142857142</v>
      </c>
      <c r="K12471" s="297">
        <f>J12471/POBLA!$B$14*100000</f>
        <v>12.877931031826952</v>
      </c>
      <c r="L12471" s="200">
        <f t="shared" si="2348"/>
        <v>-4.6940486169321005E-2</v>
      </c>
      <c r="M12471" s="401">
        <f>SUM(C12471,C12447,C12423,C12399,C12375,C12351,C12327)/POBLA!$B$14*100000</f>
        <v>90.145517222788655</v>
      </c>
      <c r="N12471" s="42" t="s">
        <v>23</v>
      </c>
      <c r="O12471" s="42">
        <v>4</v>
      </c>
      <c r="P12471" s="42">
        <v>8</v>
      </c>
      <c r="Q12471" s="42">
        <v>0</v>
      </c>
      <c r="R12471" s="42">
        <v>12</v>
      </c>
    </row>
    <row r="12472" spans="1:18" x14ac:dyDescent="0.25">
      <c r="A12472" s="367" t="s">
        <v>19</v>
      </c>
      <c r="B12472" s="2">
        <v>44412</v>
      </c>
      <c r="C12472" s="637">
        <v>236</v>
      </c>
      <c r="D12472" s="39">
        <f t="shared" si="2345"/>
        <v>108406</v>
      </c>
      <c r="E12472" s="637"/>
      <c r="F12472" s="39">
        <f t="shared" si="2344"/>
        <v>2019</v>
      </c>
      <c r="G12472" s="168">
        <f>SUM(C12472,C12448,C12424,C12400,C12376,C12352,C12328,C12304,C12280,C12256,C12232,C12208,C12184,C12160)/POBLA!$B$15*100000</f>
        <v>446.04604725196782</v>
      </c>
      <c r="H12472" s="256">
        <f t="shared" si="2349"/>
        <v>1.169826224328594</v>
      </c>
      <c r="I12472" s="297">
        <f t="shared" si="2350"/>
        <v>521.79636333346309</v>
      </c>
      <c r="J12472" s="422">
        <f t="shared" si="2347"/>
        <v>217.28571428571428</v>
      </c>
      <c r="K12472" s="297">
        <f>J12472/POBLA!$B$15*100000</f>
        <v>32.720943275308336</v>
      </c>
      <c r="L12472" s="200">
        <f t="shared" si="2348"/>
        <v>5.551700208188759E-2</v>
      </c>
      <c r="M12472" s="401">
        <f>SUM(C12472,C12448,C12424,C12400,C12376,C12352,C12328)/POBLA!$B$15*100000</f>
        <v>229.04660292715835</v>
      </c>
    </row>
    <row r="12473" spans="1:18" x14ac:dyDescent="0.25">
      <c r="A12473" s="367" t="s">
        <v>18</v>
      </c>
      <c r="B12473" s="2">
        <v>44412</v>
      </c>
      <c r="C12473" s="637">
        <v>348</v>
      </c>
      <c r="D12473" s="39">
        <f t="shared" si="2345"/>
        <v>93462</v>
      </c>
      <c r="E12473" s="637">
        <v>9</v>
      </c>
      <c r="F12473" s="39">
        <f t="shared" si="2344"/>
        <v>2112</v>
      </c>
      <c r="G12473" s="168">
        <f>SUM(C12473,C12449,C12425,C12401,C12377,C12353,C12329,C12305,C12281,C12257,C12233,C12209,C12185,C12161)/POBLA!$B$16*100000</f>
        <v>568.8794959939006</v>
      </c>
      <c r="H12473" s="256">
        <f t="shared" si="2349"/>
        <v>1.2472140762463344</v>
      </c>
      <c r="I12473" s="297">
        <f t="shared" si="2350"/>
        <v>709.51451509151309</v>
      </c>
      <c r="J12473" s="422">
        <f t="shared" si="2347"/>
        <v>296.14285714285717</v>
      </c>
      <c r="K12473" s="297">
        <f>J12473/POBLA!$B$16*100000</f>
        <v>39.611944348371097</v>
      </c>
      <c r="L12473" s="200">
        <f t="shared" si="2348"/>
        <v>-4.9082568807339411E-2</v>
      </c>
      <c r="M12473" s="401">
        <f>SUM(C12473,C12449,C12425,C12401,C12377,C12353,C12329)/POBLA!$B$16*100000</f>
        <v>277.28361043859769</v>
      </c>
      <c r="N12473" s="42" t="s">
        <v>18</v>
      </c>
      <c r="O12473" s="42">
        <v>5</v>
      </c>
      <c r="P12473" s="42">
        <v>3</v>
      </c>
      <c r="Q12473" s="42">
        <v>1</v>
      </c>
      <c r="R12473" s="42">
        <v>9</v>
      </c>
    </row>
    <row r="12474" spans="1:18" x14ac:dyDescent="0.25">
      <c r="A12474" s="367" t="s">
        <v>34</v>
      </c>
      <c r="B12474" s="2">
        <v>44412</v>
      </c>
      <c r="C12474" s="637">
        <v>372</v>
      </c>
      <c r="D12474" s="39">
        <f>C12474+D12450</f>
        <v>76428</v>
      </c>
      <c r="E12474" s="637">
        <v>10</v>
      </c>
      <c r="F12474" s="39">
        <f t="shared" si="2344"/>
        <v>2123</v>
      </c>
      <c r="G12474" s="168">
        <f>SUM(C12474,C12450,C12426,C12402,C12378,C12354,C12330,C12306,C12282,C12258,C12234,C12210,C12186,C12162)/POBLA!$B$17*100000</f>
        <v>328.13885454687141</v>
      </c>
      <c r="H12474" s="256">
        <f t="shared" si="2349"/>
        <v>0.68473483738646357</v>
      </c>
      <c r="I12474" s="297">
        <f t="shared" si="2350"/>
        <v>224.68810520833242</v>
      </c>
      <c r="J12474" s="422">
        <f t="shared" si="2347"/>
        <v>317.14285714285717</v>
      </c>
      <c r="K12474" s="297">
        <f>J12474/POBLA!$B$17*100000</f>
        <v>22.265060733970738</v>
      </c>
      <c r="L12474" s="200">
        <f t="shared" si="2348"/>
        <v>-9.5354523227383914E-2</v>
      </c>
      <c r="M12474" s="401">
        <f>SUM(C12474,C12450,C12426,C12402,C12378,C12354,C12330)/POBLA!$B$17*100000</f>
        <v>155.85542513779515</v>
      </c>
      <c r="N12474" s="42" t="s">
        <v>34</v>
      </c>
      <c r="O12474" s="42">
        <v>3</v>
      </c>
      <c r="P12474" s="42">
        <v>7</v>
      </c>
      <c r="Q12474" s="42">
        <v>0</v>
      </c>
      <c r="R12474" s="42">
        <v>10</v>
      </c>
    </row>
    <row r="12475" spans="1:18" x14ac:dyDescent="0.25">
      <c r="A12475" s="367" t="s">
        <v>35</v>
      </c>
      <c r="B12475" s="2">
        <v>44412</v>
      </c>
      <c r="C12475" s="637">
        <v>262</v>
      </c>
      <c r="D12475" s="39">
        <f t="shared" ref="D12475:D12481" si="2351">C12475+D12451</f>
        <v>61732</v>
      </c>
      <c r="E12475" s="637">
        <v>4</v>
      </c>
      <c r="F12475" s="39">
        <f t="shared" si="2344"/>
        <v>965</v>
      </c>
      <c r="G12475" s="168">
        <f>SUM(C12475,C12451,C12427,C12403,C12379,C12355,C12331,C12307,C12283,C12259,C12235,C12211,C12187,C12163)/POBLA!$B$18*100000</f>
        <v>500.24513035430618</v>
      </c>
      <c r="H12475" s="256">
        <f t="shared" si="2349"/>
        <v>0.8707664884135472</v>
      </c>
      <c r="I12475" s="297">
        <f t="shared" si="2350"/>
        <v>435.59669550459637</v>
      </c>
      <c r="J12475" s="422">
        <f t="shared" si="2347"/>
        <v>261.57142857142856</v>
      </c>
      <c r="K12475" s="297">
        <f>J12475/POBLA!$B$18*100000</f>
        <v>33.48255716035731</v>
      </c>
      <c r="L12475" s="200">
        <f t="shared" si="2348"/>
        <v>-0.11844005777563793</v>
      </c>
      <c r="M12475" s="401">
        <f>SUM(C12475,C12451,C12427,C12403,C12379,C12355,C12331)/POBLA!$B$18*100000</f>
        <v>234.37790012250116</v>
      </c>
      <c r="N12475" s="42" t="s">
        <v>35</v>
      </c>
      <c r="O12475" s="42">
        <v>3</v>
      </c>
      <c r="P12475" s="42">
        <v>1</v>
      </c>
      <c r="Q12475" s="42">
        <v>0</v>
      </c>
      <c r="R12475" s="42">
        <v>4</v>
      </c>
    </row>
    <row r="12476" spans="1:18" x14ac:dyDescent="0.25">
      <c r="A12476" s="367" t="s">
        <v>36</v>
      </c>
      <c r="B12476" s="2">
        <v>44412</v>
      </c>
      <c r="C12476" s="637">
        <v>279</v>
      </c>
      <c r="D12476" s="39">
        <f t="shared" si="2351"/>
        <v>75876</v>
      </c>
      <c r="E12476" s="637">
        <v>10</v>
      </c>
      <c r="F12476" s="39">
        <f t="shared" si="2344"/>
        <v>1253</v>
      </c>
      <c r="G12476" s="168">
        <f>SUM(C12476,C12452,C12428,C12404,C12380,C12356,C12332,C12308,C12284,C12260,C12236,C12212,C12188,C12164)/POBLA!$B$19*100000</f>
        <v>678.69564533136088</v>
      </c>
      <c r="H12476" s="256">
        <f t="shared" si="2349"/>
        <v>0.81425536936511678</v>
      </c>
      <c r="I12476" s="297">
        <f t="shared" si="2350"/>
        <v>552.63157337578355</v>
      </c>
      <c r="J12476" s="422">
        <f t="shared" si="2347"/>
        <v>255.28571428571428</v>
      </c>
      <c r="K12476" s="297">
        <f>J12476/POBLA!$B$19*100000</f>
        <v>50.220667420585578</v>
      </c>
      <c r="L12476" s="200">
        <f t="shared" si="2348"/>
        <v>7.4564040889957939E-2</v>
      </c>
      <c r="M12476" s="401">
        <f>SUM(C12476,C12452,C12428,C12404,C12380,C12356,C12332)/POBLA!$B$19*100000</f>
        <v>351.54467194409909</v>
      </c>
      <c r="N12476" s="42" t="s">
        <v>36</v>
      </c>
      <c r="O12476" s="42">
        <v>5</v>
      </c>
      <c r="P12476" s="42">
        <v>5</v>
      </c>
      <c r="Q12476" s="42">
        <v>0</v>
      </c>
      <c r="R12476" s="42">
        <v>10</v>
      </c>
    </row>
    <row r="12477" spans="1:18" x14ac:dyDescent="0.25">
      <c r="A12477" s="367" t="s">
        <v>37</v>
      </c>
      <c r="B12477" s="2">
        <v>44412</v>
      </c>
      <c r="C12477" s="637">
        <v>107</v>
      </c>
      <c r="D12477" s="39">
        <f t="shared" si="2351"/>
        <v>58111</v>
      </c>
      <c r="E12477" s="637">
        <v>4</v>
      </c>
      <c r="F12477" s="39">
        <f>E12477+F12453</f>
        <v>950</v>
      </c>
      <c r="G12477" s="168">
        <f>SUM(C12477,C12453,C12430,C12405,C12381,C12357,C12333,C12309,C12285,C12261,C12237,C12213,C12189,C12165)/POBLA!$B$20*100000</f>
        <v>470.8803438903139</v>
      </c>
      <c r="H12477" s="256">
        <f t="shared" si="2349"/>
        <v>0.83916083916083917</v>
      </c>
      <c r="I12477" s="297">
        <f t="shared" si="2350"/>
        <v>395.14434452334035</v>
      </c>
      <c r="J12477" s="422">
        <f t="shared" si="2347"/>
        <v>63.142857142857146</v>
      </c>
      <c r="K12477" s="297">
        <f>J12477/POBLA!$B$20*100000</f>
        <v>17.266393894103096</v>
      </c>
      <c r="L12477" s="200">
        <f t="shared" si="2348"/>
        <v>0.11055276381909551</v>
      </c>
      <c r="M12477" s="401">
        <f>SUM(C12477,C12453,C12429,C12405,C12381,C12357,C12333)/POBLA!$B$20*100000</f>
        <v>120.86475725872168</v>
      </c>
      <c r="N12477" s="42" t="s">
        <v>37</v>
      </c>
      <c r="O12477" s="42">
        <v>1</v>
      </c>
      <c r="P12477" s="42">
        <v>3</v>
      </c>
      <c r="Q12477" s="42">
        <v>0</v>
      </c>
      <c r="R12477" s="42">
        <v>4</v>
      </c>
    </row>
    <row r="12478" spans="1:18" x14ac:dyDescent="0.25">
      <c r="A12478" s="367" t="s">
        <v>22</v>
      </c>
      <c r="B12478" s="2">
        <v>44412</v>
      </c>
      <c r="C12478" s="637">
        <v>1182</v>
      </c>
      <c r="D12478" s="39">
        <f t="shared" si="2351"/>
        <v>451169</v>
      </c>
      <c r="E12478" s="637">
        <v>28</v>
      </c>
      <c r="F12478" s="39">
        <f>E12478+F12454</f>
        <v>7974</v>
      </c>
      <c r="G12478" s="168">
        <f>SUM(C12478,C12454,C12430,C12406,C12382,C12358,C12334,C12310,C12286,C12262,C12238,C12214,C12190,C12166)/POBLA!$B$21*100000</f>
        <v>432.44322362345179</v>
      </c>
      <c r="H12478" s="256">
        <f t="shared" si="2349"/>
        <v>0.81776375594887973</v>
      </c>
      <c r="I12478" s="297">
        <f t="shared" si="2350"/>
        <v>353.63639478495526</v>
      </c>
      <c r="J12478" s="422">
        <f t="shared" si="2347"/>
        <v>994.42857142857144</v>
      </c>
      <c r="K12478" s="297">
        <f>J12478/POBLA!$B$21*100000</f>
        <v>28.119655861625279</v>
      </c>
      <c r="L12478" s="200">
        <f t="shared" si="2348"/>
        <v>-0.16454632741238595</v>
      </c>
      <c r="M12478" s="401">
        <f>SUM(C12478,C12454,C12430,C12406,C12382,C12358,C12334)/POBLA!$B$21*100000</f>
        <v>196.83759103137695</v>
      </c>
      <c r="N12478" s="42" t="s">
        <v>22</v>
      </c>
      <c r="O12478" s="42">
        <v>8</v>
      </c>
      <c r="P12478" s="42">
        <v>20</v>
      </c>
      <c r="Q12478" s="42">
        <v>0</v>
      </c>
      <c r="R12478" s="42">
        <v>28</v>
      </c>
    </row>
    <row r="12479" spans="1:18" x14ac:dyDescent="0.25">
      <c r="A12479" s="367" t="s">
        <v>38</v>
      </c>
      <c r="B12479" s="2">
        <v>44412</v>
      </c>
      <c r="C12479" s="637">
        <v>459</v>
      </c>
      <c r="D12479" s="39">
        <f t="shared" si="2351"/>
        <v>74736</v>
      </c>
      <c r="E12479" s="637">
        <v>4</v>
      </c>
      <c r="F12479" s="39">
        <f>E12479+F12455</f>
        <v>1071</v>
      </c>
      <c r="G12479" s="168">
        <f>SUM(C12479,C12455,C12431,C12407,C12383,C12359,C12335,C12311,C12287,C12263,C12239,C12215,C12191,C12167)/POBLA!$B$22*100000</f>
        <v>466.82401235596382</v>
      </c>
      <c r="H12479" s="256">
        <f t="shared" si="2349"/>
        <v>0.65056980056980052</v>
      </c>
      <c r="I12479" s="297">
        <f t="shared" si="2350"/>
        <v>303.70160461961348</v>
      </c>
      <c r="J12479" s="422">
        <f t="shared" si="2347"/>
        <v>331</v>
      </c>
      <c r="K12479" s="297">
        <f>J12479/POBLA!$B$22*100000</f>
        <v>33.833752592472962</v>
      </c>
      <c r="L12479" s="200">
        <f t="shared" si="2348"/>
        <v>2.9777777777777681E-2</v>
      </c>
      <c r="M12479" s="401">
        <f>SUM(C12479,C12455,C12431,C12407,C12383,C12359,C12335)/POBLA!$B$22*100000</f>
        <v>236.83626814731073</v>
      </c>
      <c r="N12479" s="42" t="s">
        <v>38</v>
      </c>
      <c r="O12479" s="42">
        <v>2</v>
      </c>
      <c r="P12479" s="42">
        <v>2</v>
      </c>
      <c r="Q12479" s="42">
        <v>0</v>
      </c>
      <c r="R12479" s="42">
        <v>4</v>
      </c>
    </row>
    <row r="12480" spans="1:18" x14ac:dyDescent="0.25">
      <c r="A12480" s="367" t="s">
        <v>39</v>
      </c>
      <c r="B12480" s="2">
        <v>44412</v>
      </c>
      <c r="C12480" s="637">
        <v>60</v>
      </c>
      <c r="D12480" s="39">
        <f t="shared" si="2351"/>
        <v>31406</v>
      </c>
      <c r="E12480" s="637"/>
      <c r="F12480" s="39">
        <f>E12480+F12456</f>
        <v>471</v>
      </c>
      <c r="G12480" s="168">
        <f>SUM(C12480,C12456,C12432,C12408,C12384,C12360,C12336,C12312,C12288,C12264,C12240,C12216,C12192,C12168)/POBLA!$B$23*100000</f>
        <v>395.86043092235479</v>
      </c>
      <c r="H12480" s="256">
        <f t="shared" si="2349"/>
        <v>1.1235955056179776</v>
      </c>
      <c r="I12480" s="297">
        <f t="shared" si="2350"/>
        <v>444.78700103635373</v>
      </c>
      <c r="J12480" s="422">
        <f t="shared" si="2347"/>
        <v>54.571428571428569</v>
      </c>
      <c r="K12480" s="297">
        <f>J12480/POBLA!$B$23*100000</f>
        <v>30.8609560433346</v>
      </c>
      <c r="L12480" s="200">
        <f t="shared" si="2348"/>
        <v>0.20125786163522008</v>
      </c>
      <c r="M12480" s="401">
        <f>SUM(C12480,C12456,C12432,C12408,C12384,C12360,C12336)/POBLA!$B$23*100000</f>
        <v>216.0266923033422</v>
      </c>
    </row>
    <row r="12481" spans="1:18" ht="15.75" thickBot="1" x14ac:dyDescent="0.3">
      <c r="A12481" s="369" t="s">
        <v>40</v>
      </c>
      <c r="B12481" s="2">
        <v>44412</v>
      </c>
      <c r="C12481" s="637">
        <v>679</v>
      </c>
      <c r="D12481" s="176">
        <f t="shared" si="2351"/>
        <v>183389</v>
      </c>
      <c r="E12481" s="637">
        <v>24</v>
      </c>
      <c r="F12481" s="176">
        <f>E12481+F12457</f>
        <v>2621</v>
      </c>
      <c r="G12481" s="177">
        <f>SUM(C12481,C12457,C12433,C12409,C12385,C12361,C12337,C12313,C12289,C12265,C12241,C12217,C12193,C12169)/POBLA!$B$24*100000</f>
        <v>531.73033347180785</v>
      </c>
      <c r="H12481" s="402">
        <f t="shared" si="2349"/>
        <v>0.93718148725949035</v>
      </c>
      <c r="I12481" s="403">
        <f t="shared" si="2350"/>
        <v>498.32782474409368</v>
      </c>
      <c r="J12481" s="423">
        <f t="shared" si="2347"/>
        <v>593.57142857142856</v>
      </c>
      <c r="K12481" s="403">
        <f>J12481/POBLA!$B$24*100000</f>
        <v>35.02607187366808</v>
      </c>
      <c r="L12481" s="404">
        <f t="shared" si="2348"/>
        <v>-0.1443574958813838</v>
      </c>
      <c r="M12481" s="405">
        <f>SUM(C12481,C12457,C12433,C12409,C12385,C12361,C12337)/POBLA!$B$24*100000</f>
        <v>245.18250311567658</v>
      </c>
      <c r="N12481" s="42" t="s">
        <v>40</v>
      </c>
      <c r="O12481" s="42">
        <v>4</v>
      </c>
      <c r="P12481" s="42">
        <v>9</v>
      </c>
      <c r="Q12481" s="42">
        <v>0</v>
      </c>
      <c r="R12481" s="42">
        <v>13</v>
      </c>
    </row>
    <row r="12482" spans="1:18" x14ac:dyDescent="0.25">
      <c r="A12482" s="363" t="s">
        <v>16</v>
      </c>
      <c r="B12482" s="2">
        <v>44413</v>
      </c>
      <c r="C12482" s="637">
        <v>3559</v>
      </c>
      <c r="D12482" s="174">
        <f>C12482+D12458</f>
        <v>1990292</v>
      </c>
      <c r="E12482" s="637">
        <v>7</v>
      </c>
      <c r="F12482" s="174">
        <f t="shared" ref="F12482:F12500" si="2352">E12482+F12458</f>
        <v>52502</v>
      </c>
      <c r="G12482" s="175">
        <f>SUM(C12482,C12458,C12410,C12434,C12386,C12362,C12338,C12314,C12290,C12266,C12242,C12218,C12194,C12170)/POBLA!$B$1*100000</f>
        <v>264.79463337077101</v>
      </c>
      <c r="H12482" s="300">
        <f t="shared" si="2349"/>
        <v>0.81191441756397709</v>
      </c>
      <c r="I12482" s="301">
        <f>G12482*H12482</f>
        <v>214.9905805272964</v>
      </c>
      <c r="J12482" s="421">
        <f>AVERAGE(C12482,C12458,C12434,C12410,C12386,C12362,C12338)</f>
        <v>3130.2857142857142</v>
      </c>
      <c r="K12482" s="301">
        <f>J12482/POBLA!$B$1*100000</f>
        <v>17.845393947210813</v>
      </c>
      <c r="L12482" s="399">
        <f>(SUM(C12482,C12458,C12434,C12410,C12386,C12362,C12338)/SUM(C12314,C12290,C12266,C12242,C12218,C12194,C12170))-1</f>
        <v>-0.10694489729377243</v>
      </c>
      <c r="M12482" s="400">
        <f>SUM(C12482,C12458,C12434,C12410,C12386,C12362,C12338)/POBLA!$B$1*100000</f>
        <v>124.91775763047569</v>
      </c>
      <c r="N12482" s="42" t="s">
        <v>16</v>
      </c>
      <c r="O12482" s="42">
        <v>12</v>
      </c>
      <c r="P12482" s="42">
        <v>11</v>
      </c>
      <c r="Q12482" s="42">
        <v>1</v>
      </c>
      <c r="R12482" s="42">
        <v>24</v>
      </c>
    </row>
    <row r="12483" spans="1:18" x14ac:dyDescent="0.25">
      <c r="A12483" s="367" t="s">
        <v>43</v>
      </c>
      <c r="B12483" s="2">
        <v>44413</v>
      </c>
      <c r="C12483" s="637">
        <v>711</v>
      </c>
      <c r="D12483" s="39">
        <f t="shared" ref="D12483:D12497" si="2353">C12483+D12459</f>
        <v>495175</v>
      </c>
      <c r="E12483" s="637">
        <v>1</v>
      </c>
      <c r="F12483" s="39">
        <f t="shared" si="2352"/>
        <v>10956</v>
      </c>
      <c r="G12483" s="168">
        <f>SUM(C12483,C12459,C12435,C12411,C12387,C12363,C12339,C12315,C12291,C12267,C12243,C12219,C12195,C12171)/POBLA!$B$2*100000</f>
        <v>333.16578045717876</v>
      </c>
      <c r="H12483" s="256">
        <f t="shared" si="2349"/>
        <v>0.82804040404040402</v>
      </c>
      <c r="I12483" s="297">
        <f t="shared" ref="I12483:I12489" si="2354">G12483*H12483</f>
        <v>275.87472746219885</v>
      </c>
      <c r="J12483" s="422">
        <f>AVERAGE(C12483,C12459,C12435,C12411,C12387,C12363,C12339)</f>
        <v>709</v>
      </c>
      <c r="K12483" s="297">
        <f>J12483/POBLA!$B$2*100000</f>
        <v>23.052067760724089</v>
      </c>
      <c r="L12483" s="200">
        <f>(SUM(C12483,C12459,C12435,C12411,C12387,C12363,C12339)/SUM(C12315,C12291,C12267,C12243,C12219,C12195,C12171))-1</f>
        <v>-6.0749432248296764E-2</v>
      </c>
      <c r="M12483" s="401">
        <f>SUM(C12483,C12459,C12435,C12411,C12387,C12363,C12339)/POBLA!$B$2*100000</f>
        <v>161.36447432506861</v>
      </c>
      <c r="N12483" s="42" t="s">
        <v>43</v>
      </c>
      <c r="O12483" s="42">
        <v>1</v>
      </c>
      <c r="P12483" s="42">
        <v>6</v>
      </c>
      <c r="Q12483" s="42">
        <v>0</v>
      </c>
      <c r="R12483" s="42">
        <v>7</v>
      </c>
    </row>
    <row r="12484" spans="1:18" x14ac:dyDescent="0.25">
      <c r="A12484" s="367" t="s">
        <v>28</v>
      </c>
      <c r="B12484" s="2">
        <v>44413</v>
      </c>
      <c r="C12484" s="637">
        <v>318</v>
      </c>
      <c r="D12484" s="39">
        <f t="shared" si="2353"/>
        <v>43601</v>
      </c>
      <c r="E12484" s="637">
        <v>13</v>
      </c>
      <c r="F12484" s="39">
        <f t="shared" si="2352"/>
        <v>504</v>
      </c>
      <c r="G12484" s="168">
        <f>SUM(C12484,C12460,C12436,C12412,C12388,C12364,C12340,C12316,C12292,C12268,C12244,C12220,C12196,C12172)/POBLA!$B$3*100000</f>
        <v>869.20310611932462</v>
      </c>
      <c r="H12484" s="256">
        <f t="shared" si="2349"/>
        <v>1.0503199534613148</v>
      </c>
      <c r="I12484" s="297">
        <f t="shared" si="2354"/>
        <v>912.9413659676793</v>
      </c>
      <c r="J12484" s="422">
        <f t="shared" ref="J12484:J12505" si="2355">AVERAGE(C12484,C12460,C12436,C12412,C12388,C12364,C12340)</f>
        <v>240.14285714285714</v>
      </c>
      <c r="K12484" s="297">
        <f>J12484/POBLA!$B$3*100000</f>
        <v>57.804740332578419</v>
      </c>
      <c r="L12484" s="200">
        <f t="shared" ref="L12484:L12505" si="2356">(SUM(C12484,C12460,C12436,C12412,C12388,C12364,C12340)/SUM(C12316,C12292,C12268,C12244,C12220,C12196,C12172))-1</f>
        <v>-0.12901554404145077</v>
      </c>
      <c r="M12484" s="401">
        <f>SUM(C12484,C12460,C12436,C12412,C12388,C12364,C12340)/POBLA!$B$3*100000</f>
        <v>404.63318232804892</v>
      </c>
      <c r="N12484" s="42" t="s">
        <v>28</v>
      </c>
      <c r="O12484" s="42">
        <v>1</v>
      </c>
      <c r="P12484" s="42">
        <v>0</v>
      </c>
      <c r="Q12484" s="42">
        <v>0</v>
      </c>
      <c r="R12484" s="42">
        <v>1</v>
      </c>
    </row>
    <row r="12485" spans="1:18" x14ac:dyDescent="0.25">
      <c r="A12485" s="367" t="s">
        <v>15</v>
      </c>
      <c r="B12485" s="2">
        <v>44413</v>
      </c>
      <c r="C12485" s="637">
        <v>406</v>
      </c>
      <c r="D12485" s="39">
        <f t="shared" si="2353"/>
        <v>93333</v>
      </c>
      <c r="E12485" s="637">
        <v>1</v>
      </c>
      <c r="F12485" s="39">
        <f t="shared" si="2352"/>
        <v>2063</v>
      </c>
      <c r="G12485" s="168">
        <f>SUM(C12485,C12461,C12437,C12413,C12389,C12365,C12341,C12317,C12293,C12269,C12245,C12221,C12197,C12173)/POBLA!$B$4*100000</f>
        <v>493.05087996174478</v>
      </c>
      <c r="H12485" s="256">
        <f t="shared" si="2349"/>
        <v>1.0076348829317952</v>
      </c>
      <c r="I12485" s="297">
        <f t="shared" si="2354"/>
        <v>496.81526570967128</v>
      </c>
      <c r="J12485" s="422">
        <f t="shared" si="2355"/>
        <v>387.85714285714283</v>
      </c>
      <c r="K12485" s="297">
        <f>J12485/POBLA!$B$4*100000</f>
        <v>32.199579994134105</v>
      </c>
      <c r="L12485" s="200">
        <f t="shared" si="2356"/>
        <v>-0.15787841191066998</v>
      </c>
      <c r="M12485" s="401">
        <f>SUM(C12485,C12461,C12437,C12413,C12389,C12365,C12341)/POBLA!$B$4*100000</f>
        <v>225.39705995893874</v>
      </c>
      <c r="N12485" s="42" t="s">
        <v>15</v>
      </c>
      <c r="O12485" s="42">
        <v>7</v>
      </c>
      <c r="P12485" s="42">
        <v>6</v>
      </c>
      <c r="Q12485" s="42">
        <v>0</v>
      </c>
      <c r="R12485" s="42">
        <v>13</v>
      </c>
    </row>
    <row r="12486" spans="1:18" x14ac:dyDescent="0.25">
      <c r="A12486" s="367" t="s">
        <v>29</v>
      </c>
      <c r="B12486" s="2">
        <v>44413</v>
      </c>
      <c r="C12486" s="637">
        <v>224</v>
      </c>
      <c r="D12486" s="39">
        <f t="shared" si="2353"/>
        <v>77327</v>
      </c>
      <c r="E12486" s="637">
        <v>31</v>
      </c>
      <c r="F12486" s="39">
        <f t="shared" si="2352"/>
        <v>1355</v>
      </c>
      <c r="G12486" s="168">
        <f>SUM(C12486,C12462,C12438,C12414,C12390,C12366,C12342,C12318,C12294,C12270,C12246,C12222,C12198,C12174)/POBLA!$B$5*100000</f>
        <v>429.89108133519869</v>
      </c>
      <c r="H12486" s="256">
        <f t="shared" si="2349"/>
        <v>1.1381522668947819</v>
      </c>
      <c r="I12486" s="297">
        <f t="shared" si="2354"/>
        <v>489.28150873950545</v>
      </c>
      <c r="J12486" s="422">
        <f t="shared" si="2355"/>
        <v>200.42857142857142</v>
      </c>
      <c r="K12486" s="297">
        <f>J12486/POBLA!$B$5*100000</f>
        <v>32.37972765948804</v>
      </c>
      <c r="L12486" s="200">
        <f t="shared" si="2356"/>
        <v>0.11526232114467416</v>
      </c>
      <c r="M12486" s="401">
        <f>SUM(C12486,C12462,C12438,C12414,C12390,C12366,C12342)/POBLA!$B$5*100000</f>
        <v>226.65809361641629</v>
      </c>
      <c r="N12486" s="42" t="s">
        <v>29</v>
      </c>
      <c r="O12486" s="42">
        <v>0</v>
      </c>
      <c r="P12486" s="42">
        <v>1</v>
      </c>
      <c r="Q12486" s="42">
        <v>0</v>
      </c>
      <c r="R12486" s="42">
        <v>1</v>
      </c>
    </row>
    <row r="12487" spans="1:18" x14ac:dyDescent="0.25">
      <c r="A12487" s="367" t="s">
        <v>30</v>
      </c>
      <c r="B12487" s="2">
        <v>44413</v>
      </c>
      <c r="C12487" s="637">
        <v>42</v>
      </c>
      <c r="D12487" s="39">
        <f t="shared" si="2353"/>
        <v>449614</v>
      </c>
      <c r="E12487" s="637">
        <v>11</v>
      </c>
      <c r="F12487" s="39">
        <f t="shared" si="2352"/>
        <v>5899</v>
      </c>
      <c r="G12487" s="168">
        <f>SUM(C12487,C12463,C12439,C12415,C12391,C12367,C12343,C12319,C12295,C12271,C12247,C12223,C12199,C12175)/POBLA!$B$6*100000</f>
        <v>484.56416437886833</v>
      </c>
      <c r="H12487" s="256">
        <f t="shared" si="2349"/>
        <v>0.84753433208489393</v>
      </c>
      <c r="I12487" s="297">
        <f t="shared" si="2354"/>
        <v>410.68476540911894</v>
      </c>
      <c r="J12487" s="422">
        <f t="shared" si="2355"/>
        <v>246.28571428571428</v>
      </c>
      <c r="K12487" s="297">
        <f>J12487/POBLA!$B$6*100000</f>
        <v>21.9740805268477</v>
      </c>
      <c r="L12487" s="200">
        <f t="shared" si="2356"/>
        <v>-0.53493390882114911</v>
      </c>
      <c r="M12487" s="401">
        <f>SUM(C12487,C12463,C12439,C12415,C12391,C12367,C12343)/POBLA!$B$6*100000</f>
        <v>153.8185636879339</v>
      </c>
      <c r="N12487" s="42" t="s">
        <v>30</v>
      </c>
      <c r="O12487" s="42">
        <v>19</v>
      </c>
      <c r="P12487" s="42">
        <v>12</v>
      </c>
      <c r="Q12487" s="42">
        <v>0</v>
      </c>
      <c r="R12487" s="42">
        <v>31</v>
      </c>
    </row>
    <row r="12488" spans="1:18" x14ac:dyDescent="0.25">
      <c r="A12488" s="367" t="s">
        <v>20</v>
      </c>
      <c r="B12488" s="2">
        <v>44413</v>
      </c>
      <c r="C12488" s="637">
        <v>2130</v>
      </c>
      <c r="D12488" s="39">
        <f t="shared" si="2353"/>
        <v>109697</v>
      </c>
      <c r="E12488" s="637">
        <v>8</v>
      </c>
      <c r="F12488" s="39">
        <f t="shared" si="2352"/>
        <v>1242</v>
      </c>
      <c r="G12488" s="168">
        <f>SUM(C12488,C12464,C12440,C12416,C12392,C12368,C12344,C12320,C12296,C12272,C12248,C12224,C12200,C12176)/POBLA!$B$7*100000</f>
        <v>689.67809703625892</v>
      </c>
      <c r="H12488" s="256">
        <f t="shared" si="2349"/>
        <v>1.1008999066134646</v>
      </c>
      <c r="I12488" s="297">
        <f t="shared" si="2354"/>
        <v>759.26655262056943</v>
      </c>
      <c r="J12488" s="422">
        <f t="shared" si="2355"/>
        <v>1755.5714285714287</v>
      </c>
      <c r="K12488" s="297">
        <f>J12488/POBLA!$B$7*100000</f>
        <v>46.685142165736245</v>
      </c>
      <c r="L12488" s="200">
        <f t="shared" si="2356"/>
        <v>-9.9443060237432213E-2</v>
      </c>
      <c r="M12488" s="401">
        <f>SUM(C12488,C12464,C12440,C12416,C12392,C12368,C12344)/POBLA!$B$7*100000</f>
        <v>326.79599516015372</v>
      </c>
      <c r="N12488" s="42" t="s">
        <v>20</v>
      </c>
      <c r="O12488" s="42">
        <v>3</v>
      </c>
      <c r="P12488" s="42">
        <v>7</v>
      </c>
      <c r="Q12488" s="42">
        <v>1</v>
      </c>
      <c r="R12488" s="42">
        <v>11</v>
      </c>
    </row>
    <row r="12489" spans="1:18" x14ac:dyDescent="0.25">
      <c r="A12489" s="367" t="s">
        <v>31</v>
      </c>
      <c r="B12489" s="2">
        <v>44413</v>
      </c>
      <c r="C12489" s="637">
        <v>397</v>
      </c>
      <c r="D12489" s="39">
        <f t="shared" si="2353"/>
        <v>129617</v>
      </c>
      <c r="E12489" s="637">
        <v>6</v>
      </c>
      <c r="F12489" s="39">
        <f t="shared" si="2352"/>
        <v>2181</v>
      </c>
      <c r="G12489" s="168">
        <f>SUM(C12489,C12465,C12441,C12417,C12393,C12369,C12345,C12321,C12297,C12273,C12249,C12225,C12201,C12177)/POBLA!$B$8*100000</f>
        <v>382.69475115100641</v>
      </c>
      <c r="H12489" s="256">
        <f t="shared" ref="H12489:H12512" si="2357">SUM(C12489,C12465,C12441,C12417,C12393,C12369,C12345,C12321,C12297,C12273,C12249,C12225,C12201,C12177,)/SUM(C12153,C12129,C12105,C12081,C12057,C12033,C12009,C11985,C11961,C11937,C11913,C11889,C11865,C11841)</f>
        <v>0.65143699336772287</v>
      </c>
      <c r="I12489" s="297">
        <f t="shared" si="2354"/>
        <v>249.30151806742052</v>
      </c>
      <c r="J12489" s="422">
        <f t="shared" si="2355"/>
        <v>329.71428571428572</v>
      </c>
      <c r="K12489" s="297">
        <f>J12489/POBLA!$B$8*100000</f>
        <v>23.789578906930696</v>
      </c>
      <c r="L12489" s="200">
        <f t="shared" si="2356"/>
        <v>-0.22963951935914551</v>
      </c>
      <c r="M12489" s="401">
        <f>SUM(C12489,C12465,C12441,C12417,C12393,C12369,C12345)/POBLA!$B$8*100000</f>
        <v>166.52705234851487</v>
      </c>
      <c r="N12489" s="42" t="s">
        <v>31</v>
      </c>
      <c r="O12489" s="42">
        <v>0</v>
      </c>
      <c r="P12489" s="42">
        <v>8</v>
      </c>
      <c r="Q12489" s="42">
        <v>0</v>
      </c>
      <c r="R12489" s="42">
        <v>8</v>
      </c>
    </row>
    <row r="12490" spans="1:18" x14ac:dyDescent="0.25">
      <c r="A12490" s="367" t="s">
        <v>41</v>
      </c>
      <c r="B12490" s="2">
        <v>44413</v>
      </c>
      <c r="C12490" s="637">
        <v>243</v>
      </c>
      <c r="D12490" s="39">
        <f t="shared" si="2353"/>
        <v>57089</v>
      </c>
      <c r="E12490" s="637">
        <v>5</v>
      </c>
      <c r="F12490" s="39">
        <f t="shared" si="2352"/>
        <v>1042</v>
      </c>
      <c r="G12490" s="168">
        <f>SUM(C12490,C12466,C12442,C12418,C12394,C12370,C12346,C12322,C12298,C12274,C12250,C12226,C12202,C12178)/POBLA!$B$9*100000</f>
        <v>534.37498450907401</v>
      </c>
      <c r="H12490" s="256">
        <f t="shared" si="2357"/>
        <v>0.65798575788402847</v>
      </c>
      <c r="I12490" s="297">
        <f>G12490*H12490</f>
        <v>351.61112917646903</v>
      </c>
      <c r="J12490" s="422">
        <f t="shared" si="2355"/>
        <v>212.85714285714286</v>
      </c>
      <c r="K12490" s="297">
        <f>J12490/POBLA!$B$9*100000</f>
        <v>35.171778731271324</v>
      </c>
      <c r="L12490" s="200">
        <f t="shared" si="2356"/>
        <v>-0.14564220183486243</v>
      </c>
      <c r="M12490" s="401">
        <f>SUM(C12490,C12466,C12442,C12418,C12394,C12370,C12346)/POBLA!$B$9*100000</f>
        <v>246.20245111889929</v>
      </c>
      <c r="N12490" s="42" t="s">
        <v>41</v>
      </c>
      <c r="O12490" s="42">
        <v>0</v>
      </c>
      <c r="P12490" s="42">
        <v>6</v>
      </c>
      <c r="Q12490" s="42">
        <v>0</v>
      </c>
      <c r="R12490" s="42">
        <v>6</v>
      </c>
    </row>
    <row r="12491" spans="1:18" x14ac:dyDescent="0.25">
      <c r="A12491" s="367" t="s">
        <v>32</v>
      </c>
      <c r="B12491" s="2">
        <v>44413</v>
      </c>
      <c r="C12491" s="637">
        <v>193</v>
      </c>
      <c r="D12491" s="39">
        <f t="shared" si="2353"/>
        <v>44425</v>
      </c>
      <c r="E12491" s="637">
        <v>5</v>
      </c>
      <c r="F12491" s="39">
        <f t="shared" si="2352"/>
        <v>1342</v>
      </c>
      <c r="G12491" s="168">
        <f>SUM(C12491,C12467,C12443,C12419,C12395,C12371,C12347,C12323,C12299,C12275,C12251,C12227,C12203,C12179)/POBLA!$B$10*100000</f>
        <v>337.27644085144141</v>
      </c>
      <c r="H12491" s="256">
        <f t="shared" si="2357"/>
        <v>0.69761202039173598</v>
      </c>
      <c r="I12491" s="297">
        <f t="shared" ref="I12491:I12505" si="2358">G12491*H12491</f>
        <v>235.28809933290788</v>
      </c>
      <c r="J12491" s="422">
        <f t="shared" si="2355"/>
        <v>184.85714285714286</v>
      </c>
      <c r="K12491" s="297">
        <f>J12491/POBLA!$B$10*100000</f>
        <v>23.979984311086</v>
      </c>
      <c r="L12491" s="200">
        <f t="shared" si="2356"/>
        <v>-9.1883614088821286E-3</v>
      </c>
      <c r="M12491" s="401">
        <f>SUM(C12491,C12467,C12443,C12419,C12395,C12371,C12347)/POBLA!$B$10*100000</f>
        <v>167.85989017760198</v>
      </c>
      <c r="N12491" s="42" t="s">
        <v>32</v>
      </c>
      <c r="O12491" s="42">
        <v>3</v>
      </c>
      <c r="P12491" s="42">
        <v>2</v>
      </c>
      <c r="Q12491" s="42">
        <v>0</v>
      </c>
      <c r="R12491" s="42">
        <v>5</v>
      </c>
    </row>
    <row r="12492" spans="1:18" x14ac:dyDescent="0.25">
      <c r="A12492" s="367" t="s">
        <v>33</v>
      </c>
      <c r="B12492" s="2">
        <v>44413</v>
      </c>
      <c r="C12492" s="637">
        <v>283</v>
      </c>
      <c r="D12492" s="39">
        <f t="shared" si="2353"/>
        <v>62819</v>
      </c>
      <c r="E12492" s="637"/>
      <c r="F12492" s="39">
        <f t="shared" si="2352"/>
        <v>860</v>
      </c>
      <c r="G12492" s="168">
        <f>SUM(C12492,C12468,C12444,C12420,C12396,C12372,C12348,C12324,C12300,C12276,C12252,C12228,C12204,C12180)/POBLA!$B$11*100000</f>
        <v>1085.8526677603313</v>
      </c>
      <c r="H12492" s="256">
        <f t="shared" si="2357"/>
        <v>1.062807209175314</v>
      </c>
      <c r="I12492" s="297">
        <f t="shared" si="2358"/>
        <v>1154.0520433979273</v>
      </c>
      <c r="J12492" s="422">
        <f t="shared" si="2355"/>
        <v>262.28571428571428</v>
      </c>
      <c r="K12492" s="297">
        <f>J12492/POBLA!$B$11*100000</f>
        <v>73.176681030978131</v>
      </c>
      <c r="L12492" s="200">
        <f t="shared" si="2356"/>
        <v>-0.10700389105058361</v>
      </c>
      <c r="M12492" s="401">
        <f>SUM(C12492,C12468,C12444,C12420,C12396,C12372,C12348)/POBLA!$B$11*100000</f>
        <v>512.23676721684694</v>
      </c>
      <c r="N12492" s="42" t="s">
        <v>33</v>
      </c>
      <c r="O12492" s="42">
        <v>4</v>
      </c>
      <c r="P12492" s="42">
        <v>1</v>
      </c>
      <c r="Q12492" s="42">
        <v>0</v>
      </c>
      <c r="R12492" s="42">
        <v>5</v>
      </c>
    </row>
    <row r="12493" spans="1:18" x14ac:dyDescent="0.25">
      <c r="A12493" s="367" t="s">
        <v>21</v>
      </c>
      <c r="B12493" s="2">
        <v>44413</v>
      </c>
      <c r="C12493" s="637">
        <v>296</v>
      </c>
      <c r="D12493" s="39">
        <f t="shared" si="2353"/>
        <v>29475</v>
      </c>
      <c r="E12493" s="637">
        <v>18</v>
      </c>
      <c r="F12493" s="39">
        <f t="shared" si="2352"/>
        <v>814</v>
      </c>
      <c r="G12493" s="168">
        <f>SUM(C12493,C12469,C12445,C12421,C12397,C12373,C12349,C12325,C12301,C12277,C12253,C12229,C12205,C12181)/POBLA!$B$12*100000</f>
        <v>816.96232317149088</v>
      </c>
      <c r="H12493" s="256">
        <f t="shared" si="2357"/>
        <v>1.25</v>
      </c>
      <c r="I12493" s="297">
        <f t="shared" si="2358"/>
        <v>1021.2029039643636</v>
      </c>
      <c r="J12493" s="422">
        <f t="shared" si="2355"/>
        <v>240</v>
      </c>
      <c r="K12493" s="297">
        <f>J12493/POBLA!$B$12*100000</f>
        <v>60.986300952148625</v>
      </c>
      <c r="L12493" s="200">
        <f t="shared" si="2356"/>
        <v>9.446254071661242E-2</v>
      </c>
      <c r="M12493" s="401">
        <f>SUM(C12493,C12469,C12445,C12421,C12397,C12373,C12349)/POBLA!$B$12*100000</f>
        <v>426.90410666504033</v>
      </c>
    </row>
    <row r="12494" spans="1:18" x14ac:dyDescent="0.25">
      <c r="A12494" s="367" t="s">
        <v>17</v>
      </c>
      <c r="B12494" s="2">
        <v>44413</v>
      </c>
      <c r="C12494" s="637">
        <v>431</v>
      </c>
      <c r="D12494" s="39">
        <f t="shared" si="2353"/>
        <v>156215</v>
      </c>
      <c r="E12494" s="637">
        <v>8</v>
      </c>
      <c r="F12494" s="39">
        <f t="shared" si="2352"/>
        <v>3993</v>
      </c>
      <c r="G12494" s="168">
        <f>SUM(C12494,C12470,C12446,C12422,C12398,C12374,C12350,C12326,C12302,C12278,C12254,C12230,C12206,C12182)/POBLA!$B$13*100000</f>
        <v>294.62332528444915</v>
      </c>
      <c r="H12494" s="256">
        <f t="shared" si="2357"/>
        <v>0.96479104968739715</v>
      </c>
      <c r="I12494" s="297">
        <f t="shared" si="2358"/>
        <v>284.24994726357517</v>
      </c>
      <c r="J12494" s="422">
        <f t="shared" si="2355"/>
        <v>418.57142857142856</v>
      </c>
      <c r="K12494" s="297">
        <f>J12494/POBLA!$B$13*100000</f>
        <v>21.030168171005553</v>
      </c>
      <c r="L12494" s="200">
        <f t="shared" si="2356"/>
        <v>-1.3633265167007913E-3</v>
      </c>
      <c r="M12494" s="401">
        <f>SUM(C12494,C12470,C12446,C12422,C12398,C12374,C12350)/POBLA!$B$13*100000</f>
        <v>147.21117719703889</v>
      </c>
      <c r="N12494" s="42" t="s">
        <v>17</v>
      </c>
      <c r="O12494" s="42">
        <v>7</v>
      </c>
      <c r="P12494" s="42">
        <v>11</v>
      </c>
      <c r="Q12494" s="42">
        <v>0</v>
      </c>
      <c r="R12494" s="42">
        <v>18</v>
      </c>
    </row>
    <row r="12495" spans="1:18" x14ac:dyDescent="0.25">
      <c r="A12495" s="367" t="s">
        <v>23</v>
      </c>
      <c r="B12495" s="2">
        <v>44413</v>
      </c>
      <c r="C12495" s="637">
        <v>182</v>
      </c>
      <c r="D12495" s="39">
        <f t="shared" si="2353"/>
        <v>31636</v>
      </c>
      <c r="E12495" s="637">
        <v>11</v>
      </c>
      <c r="F12495" s="39">
        <f t="shared" si="2352"/>
        <v>600</v>
      </c>
      <c r="G12495" s="168">
        <f>SUM(C12495,C12471,C12447,C12423,C12399,C12375,C12351,C12327,C12303,C12279,C12255,C12231,C12207,C12183)/POBLA!$B$14*100000</f>
        <v>185.28590479301414</v>
      </c>
      <c r="H12495" s="256">
        <f t="shared" si="2357"/>
        <v>1.0493938033228558</v>
      </c>
      <c r="I12495" s="297">
        <f t="shared" si="2358"/>
        <v>194.43788033285767</v>
      </c>
      <c r="J12495" s="422">
        <f t="shared" si="2355"/>
        <v>158.85714285714286</v>
      </c>
      <c r="K12495" s="297">
        <f>J12495/POBLA!$B$14*100000</f>
        <v>12.594775116439378</v>
      </c>
      <c r="L12495" s="200">
        <f t="shared" si="2356"/>
        <v>-9.2244897959183669E-2</v>
      </c>
      <c r="M12495" s="401">
        <f>SUM(C12495,C12471,C12447,C12423,C12399,C12375,C12351)/POBLA!$B$14*100000</f>
        <v>88.163425815075627</v>
      </c>
      <c r="N12495" s="42" t="s">
        <v>23</v>
      </c>
      <c r="O12495" s="42">
        <v>4</v>
      </c>
      <c r="P12495" s="42">
        <v>4</v>
      </c>
      <c r="Q12495" s="42">
        <v>0</v>
      </c>
      <c r="R12495" s="42">
        <v>8</v>
      </c>
    </row>
    <row r="12496" spans="1:18" x14ac:dyDescent="0.25">
      <c r="A12496" s="367" t="s">
        <v>19</v>
      </c>
      <c r="B12496" s="2">
        <v>44413</v>
      </c>
      <c r="C12496" s="637">
        <v>238</v>
      </c>
      <c r="D12496" s="39">
        <f t="shared" si="2353"/>
        <v>108644</v>
      </c>
      <c r="E12496" s="637">
        <v>51</v>
      </c>
      <c r="F12496" s="39">
        <f t="shared" si="2352"/>
        <v>2070</v>
      </c>
      <c r="G12496" s="168">
        <f>SUM(C12496,C12472,C12448,C12424,C12400,C12376,C12352,C12328,C12304,C12280,C12256,C12232,C12208,C12184)/POBLA!$B$15*100000</f>
        <v>453.57552137843589</v>
      </c>
      <c r="H12496" s="256">
        <f t="shared" si="2357"/>
        <v>1.1923990498812351</v>
      </c>
      <c r="I12496" s="297">
        <f t="shared" si="2358"/>
        <v>540.84302074103277</v>
      </c>
      <c r="J12496" s="422">
        <f t="shared" si="2355"/>
        <v>223.71428571428572</v>
      </c>
      <c r="K12496" s="297">
        <f>J12496/POBLA!$B$15*100000</f>
        <v>33.689018520139946</v>
      </c>
      <c r="L12496" s="200">
        <f t="shared" si="2356"/>
        <v>8.2987551867219844E-2</v>
      </c>
      <c r="M12496" s="401">
        <f>SUM(C12496,C12472,C12448,C12424,C12400,C12376,C12352)/POBLA!$B$15*100000</f>
        <v>235.8231296409796</v>
      </c>
      <c r="N12496" s="42" t="s">
        <v>19</v>
      </c>
      <c r="O12496" s="42">
        <v>6</v>
      </c>
      <c r="P12496" s="42">
        <v>5</v>
      </c>
      <c r="Q12496" s="42">
        <v>0</v>
      </c>
      <c r="R12496" s="42">
        <v>11</v>
      </c>
    </row>
    <row r="12497" spans="1:18" x14ac:dyDescent="0.25">
      <c r="A12497" s="367" t="s">
        <v>18</v>
      </c>
      <c r="B12497" s="2">
        <v>44413</v>
      </c>
      <c r="C12497" s="637">
        <v>319</v>
      </c>
      <c r="D12497" s="39">
        <f t="shared" si="2353"/>
        <v>93781</v>
      </c>
      <c r="E12497" s="637">
        <v>11</v>
      </c>
      <c r="F12497" s="39">
        <f t="shared" si="2352"/>
        <v>2123</v>
      </c>
      <c r="G12497" s="168">
        <f>SUM(C12497,C12473,C12449,C12425,C12401,C12377,C12353,C12329,C12305,C12281,C12257,C12233,C12209,C12185)/POBLA!$B$16*100000</f>
        <v>577.17258998675777</v>
      </c>
      <c r="H12497" s="256">
        <f t="shared" si="2357"/>
        <v>1.27436503248671</v>
      </c>
      <c r="I12497" s="297">
        <f t="shared" si="2358"/>
        <v>735.52856638891308</v>
      </c>
      <c r="J12497" s="422">
        <f t="shared" si="2355"/>
        <v>290.71428571428572</v>
      </c>
      <c r="K12497" s="297">
        <f>J12497/POBLA!$B$16*100000</f>
        <v>38.885820911208484</v>
      </c>
      <c r="L12497" s="200">
        <f t="shared" si="2356"/>
        <v>-0.10745614035087714</v>
      </c>
      <c r="M12497" s="401">
        <f>SUM(C12497,C12473,C12449,C12425,C12401,C12377,C12353)/POBLA!$B$16*100000</f>
        <v>272.20074637845937</v>
      </c>
      <c r="N12497" s="42" t="s">
        <v>18</v>
      </c>
      <c r="O12497" s="42">
        <v>24</v>
      </c>
      <c r="P12497" s="42">
        <v>26</v>
      </c>
      <c r="Q12497" s="42">
        <v>1</v>
      </c>
      <c r="R12497" s="42">
        <v>51</v>
      </c>
    </row>
    <row r="12498" spans="1:18" x14ac:dyDescent="0.25">
      <c r="A12498" s="367" t="s">
        <v>34</v>
      </c>
      <c r="B12498" s="2">
        <v>44413</v>
      </c>
      <c r="C12498" s="637">
        <v>398</v>
      </c>
      <c r="D12498" s="39">
        <f>C12498+D12474</f>
        <v>76826</v>
      </c>
      <c r="E12498" s="637">
        <v>5</v>
      </c>
      <c r="F12498" s="39">
        <f t="shared" si="2352"/>
        <v>2128</v>
      </c>
      <c r="G12498" s="168">
        <f>SUM(C12498,C12474,C12450,C12426,C12402,C12378,C12354,C12330,C12306,C12282,C12258,C12234,C12210,C12186)/POBLA!$B$17*100000</f>
        <v>326.52413617832667</v>
      </c>
      <c r="H12498" s="256">
        <f t="shared" si="2357"/>
        <v>0.70140250339315335</v>
      </c>
      <c r="I12498" s="297">
        <f t="shared" si="2358"/>
        <v>229.02484653376524</v>
      </c>
      <c r="J12498" s="422">
        <f t="shared" si="2355"/>
        <v>312.57142857142856</v>
      </c>
      <c r="K12498" s="297">
        <f>J12498/POBLA!$B$17*100000</f>
        <v>21.944122921589177</v>
      </c>
      <c r="L12498" s="200">
        <f t="shared" si="2356"/>
        <v>-0.11165245635403975</v>
      </c>
      <c r="M12498" s="401">
        <f>SUM(C12498,C12474,C12450,C12426,C12402,C12378,C12354)/POBLA!$B$17*100000</f>
        <v>153.60886045112423</v>
      </c>
      <c r="N12498" s="42" t="s">
        <v>34</v>
      </c>
      <c r="O12498" s="42">
        <v>4</v>
      </c>
      <c r="P12498" s="42">
        <v>7</v>
      </c>
      <c r="Q12498" s="42">
        <v>0</v>
      </c>
      <c r="R12498" s="42">
        <v>11</v>
      </c>
    </row>
    <row r="12499" spans="1:18" x14ac:dyDescent="0.25">
      <c r="A12499" s="367" t="s">
        <v>35</v>
      </c>
      <c r="B12499" s="2">
        <v>44413</v>
      </c>
      <c r="C12499" s="637">
        <v>316</v>
      </c>
      <c r="D12499" s="39">
        <f t="shared" ref="D12499:D12505" si="2359">C12499+D12475</f>
        <v>62048</v>
      </c>
      <c r="E12499" s="637">
        <v>1</v>
      </c>
      <c r="F12499" s="39">
        <f t="shared" si="2352"/>
        <v>966</v>
      </c>
      <c r="G12499" s="168">
        <f>SUM(C12499,C12475,C12451,C12427,C12403,C12379,C12355,C12331,C12307,C12283,C12259,C12235,C12211,C12187)/POBLA!$B$18*100000</f>
        <v>499.60510331956419</v>
      </c>
      <c r="H12499" s="256">
        <f t="shared" si="2357"/>
        <v>0.92291321825490658</v>
      </c>
      <c r="I12499" s="297">
        <f t="shared" si="2358"/>
        <v>461.0921537612341</v>
      </c>
      <c r="J12499" s="422">
        <f t="shared" si="2355"/>
        <v>263</v>
      </c>
      <c r="K12499" s="297">
        <f>J12499/POBLA!$B$18*100000</f>
        <v>33.665422027426445</v>
      </c>
      <c r="L12499" s="200">
        <f t="shared" si="2356"/>
        <v>-0.1071774975751697</v>
      </c>
      <c r="M12499" s="401">
        <f>SUM(C12499,C12475,C12451,C12427,C12403,C12379,C12355)/POBLA!$B$18*100000</f>
        <v>235.65795419198508</v>
      </c>
      <c r="N12499" s="42" t="s">
        <v>35</v>
      </c>
      <c r="O12499" s="42">
        <v>5</v>
      </c>
      <c r="P12499" s="42">
        <v>0</v>
      </c>
      <c r="Q12499" s="42">
        <v>0</v>
      </c>
      <c r="R12499" s="42">
        <v>5</v>
      </c>
    </row>
    <row r="12500" spans="1:18" x14ac:dyDescent="0.25">
      <c r="A12500" s="367" t="s">
        <v>36</v>
      </c>
      <c r="B12500" s="2">
        <v>44413</v>
      </c>
      <c r="C12500" s="637">
        <v>332</v>
      </c>
      <c r="D12500" s="39">
        <f t="shared" si="2359"/>
        <v>76208</v>
      </c>
      <c r="E12500" s="637">
        <v>1</v>
      </c>
      <c r="F12500" s="39">
        <f t="shared" si="2352"/>
        <v>1254</v>
      </c>
      <c r="G12500" s="168">
        <f>SUM(C12500,C12476,C12452,C12428,C12404,C12380,C12356,C12332,C12308,C12284,C12260,C12236,C12212,C12188)/POBLA!$B$19*100000</f>
        <v>702.49917376182304</v>
      </c>
      <c r="H12500" s="256">
        <f t="shared" si="2357"/>
        <v>0.89007976071784645</v>
      </c>
      <c r="I12500" s="297">
        <f t="shared" si="2358"/>
        <v>625.28029648640825</v>
      </c>
      <c r="J12500" s="422">
        <f t="shared" si="2355"/>
        <v>258.14285714285717</v>
      </c>
      <c r="K12500" s="297">
        <f>J12500/POBLA!$B$19*100000</f>
        <v>50.782734207609487</v>
      </c>
      <c r="L12500" s="200">
        <f t="shared" si="2356"/>
        <v>2.4376417233560099E-2</v>
      </c>
      <c r="M12500" s="401">
        <f>SUM(C12500,C12476,C12452,C12428,C12404,C12380,C12356)/POBLA!$B$19*100000</f>
        <v>355.47913945326638</v>
      </c>
      <c r="N12500" s="42" t="s">
        <v>36</v>
      </c>
      <c r="O12500" s="42">
        <v>1</v>
      </c>
      <c r="P12500" s="42">
        <v>0</v>
      </c>
      <c r="Q12500" s="42">
        <v>0</v>
      </c>
      <c r="R12500" s="42">
        <v>1</v>
      </c>
    </row>
    <row r="12501" spans="1:18" x14ac:dyDescent="0.25">
      <c r="A12501" s="367" t="s">
        <v>37</v>
      </c>
      <c r="B12501" s="2">
        <v>44413</v>
      </c>
      <c r="C12501" s="637">
        <v>70</v>
      </c>
      <c r="D12501" s="39">
        <f t="shared" si="2359"/>
        <v>58181</v>
      </c>
      <c r="E12501" s="637">
        <v>20</v>
      </c>
      <c r="F12501" s="39">
        <f>E12501+F12477</f>
        <v>970</v>
      </c>
      <c r="G12501" s="168">
        <f>SUM(C12501,C12477,C12454,C12429,C12405,C12381,C12357,C12333,C12309,C12285,C12261,C12237,C12213,C12189)/POBLA!$B$20*100000</f>
        <v>550.45419991358995</v>
      </c>
      <c r="H12501" s="256">
        <f t="shared" si="2357"/>
        <v>0.8929313929313929</v>
      </c>
      <c r="I12501" s="297">
        <f t="shared" si="2358"/>
        <v>491.51783547377727</v>
      </c>
      <c r="J12501" s="422">
        <f t="shared" si="2355"/>
        <v>61.714285714285715</v>
      </c>
      <c r="K12501" s="297">
        <f>J12501/POBLA!$B$20*100000</f>
        <v>16.875751498308908</v>
      </c>
      <c r="L12501" s="200">
        <f t="shared" si="2356"/>
        <v>1.1709601873536313E-2</v>
      </c>
      <c r="M12501" s="401">
        <f>SUM(C12501,C12477,C12453,C12429,C12405,C12381,C12357)/POBLA!$B$20*100000</f>
        <v>118.13026048816236</v>
      </c>
      <c r="N12501" s="42" t="s">
        <v>37</v>
      </c>
      <c r="O12501" s="42">
        <v>0</v>
      </c>
      <c r="P12501" s="42">
        <v>1</v>
      </c>
      <c r="Q12501" s="42">
        <v>0</v>
      </c>
      <c r="R12501" s="42">
        <v>1</v>
      </c>
    </row>
    <row r="12502" spans="1:18" x14ac:dyDescent="0.25">
      <c r="A12502" s="367" t="s">
        <v>22</v>
      </c>
      <c r="B12502" s="2">
        <v>44413</v>
      </c>
      <c r="C12502" s="637">
        <v>1077</v>
      </c>
      <c r="D12502" s="39">
        <f t="shared" si="2359"/>
        <v>452246</v>
      </c>
      <c r="E12502" s="637">
        <v>10</v>
      </c>
      <c r="F12502" s="39">
        <f>E12502+F12478</f>
        <v>7984</v>
      </c>
      <c r="G12502" s="168">
        <f>SUM(C12502,C12478,C12454,C12430,C12406,C12382,C12358,C12334,C12310,C12286,C12262,C12238,C12214,C12190)/POBLA!$B$21*100000</f>
        <v>428.22992078425119</v>
      </c>
      <c r="H12502" s="256">
        <f t="shared" si="2357"/>
        <v>0.82465693748638635</v>
      </c>
      <c r="I12502" s="297">
        <f t="shared" si="2358"/>
        <v>353.14277501397839</v>
      </c>
      <c r="J12502" s="422">
        <f t="shared" si="2355"/>
        <v>976.85714285714289</v>
      </c>
      <c r="K12502" s="297">
        <f>J12502/POBLA!$B$21*100000</f>
        <v>27.622785057002396</v>
      </c>
      <c r="L12502" s="200">
        <f t="shared" si="2356"/>
        <v>-0.17673970623645563</v>
      </c>
      <c r="M12502" s="401">
        <f>SUM(C12502,C12478,C12454,C12430,C12406,C12382,C12358)/POBLA!$B$21*100000</f>
        <v>193.35949539901677</v>
      </c>
      <c r="N12502" s="42" t="s">
        <v>22</v>
      </c>
      <c r="O12502" s="42">
        <v>10</v>
      </c>
      <c r="P12502" s="42">
        <v>10</v>
      </c>
      <c r="Q12502" s="42">
        <v>0</v>
      </c>
      <c r="R12502" s="42">
        <v>20</v>
      </c>
    </row>
    <row r="12503" spans="1:18" x14ac:dyDescent="0.25">
      <c r="A12503" s="367" t="s">
        <v>38</v>
      </c>
      <c r="B12503" s="2">
        <v>44413</v>
      </c>
      <c r="C12503" s="637">
        <v>529</v>
      </c>
      <c r="D12503" s="39">
        <f t="shared" si="2359"/>
        <v>75265</v>
      </c>
      <c r="E12503" s="637">
        <v>1</v>
      </c>
      <c r="F12503" s="39">
        <f>E12503+F12479</f>
        <v>1072</v>
      </c>
      <c r="G12503" s="168">
        <f>SUM(C12503,C12479,C12455,C12431,C12407,C12383,C12359,C12335,C12311,C12287,C12263,C12239,C12215,C12191)/POBLA!$B$22*100000</f>
        <v>489.72057000162522</v>
      </c>
      <c r="H12503" s="256">
        <f t="shared" si="2357"/>
        <v>0.7229515617926664</v>
      </c>
      <c r="I12503" s="297">
        <f t="shared" si="2358"/>
        <v>354.04425092466977</v>
      </c>
      <c r="J12503" s="422">
        <f t="shared" si="2355"/>
        <v>350.14285714285717</v>
      </c>
      <c r="K12503" s="297">
        <f>J12503/POBLA!$B$22*100000</f>
        <v>35.790473717803721</v>
      </c>
      <c r="L12503" s="200">
        <f t="shared" si="2356"/>
        <v>4.7435897435897489E-2</v>
      </c>
      <c r="M12503" s="401">
        <f>SUM(C12503,C12479,C12455,C12431,C12407,C12383,C12359)/POBLA!$B$22*100000</f>
        <v>250.53331602462606</v>
      </c>
      <c r="N12503" s="42" t="s">
        <v>38</v>
      </c>
      <c r="O12503" s="42">
        <v>5</v>
      </c>
      <c r="P12503" s="42">
        <v>5</v>
      </c>
      <c r="Q12503" s="42">
        <v>0</v>
      </c>
      <c r="R12503" s="42">
        <v>10</v>
      </c>
    </row>
    <row r="12504" spans="1:18" x14ac:dyDescent="0.25">
      <c r="A12504" s="367" t="s">
        <v>39</v>
      </c>
      <c r="B12504" s="2">
        <v>44413</v>
      </c>
      <c r="C12504" s="637">
        <v>36</v>
      </c>
      <c r="D12504" s="39">
        <f t="shared" si="2359"/>
        <v>31442</v>
      </c>
      <c r="E12504" s="637">
        <v>27</v>
      </c>
      <c r="F12504" s="39">
        <f>E12504+F12480</f>
        <v>498</v>
      </c>
      <c r="G12504" s="168">
        <f>SUM(C12504,C12480,C12456,C12432,C12408,C12384,C12360,C12336,C12312,C12288,C12264,C12240,C12216,C12192)/POBLA!$B$23*100000</f>
        <v>389.07425210654299</v>
      </c>
      <c r="H12504" s="256">
        <f t="shared" si="2357"/>
        <v>1.1241830065359477</v>
      </c>
      <c r="I12504" s="297">
        <f t="shared" si="2358"/>
        <v>437.39066249885877</v>
      </c>
      <c r="J12504" s="422">
        <f t="shared" si="2355"/>
        <v>48.142857142857146</v>
      </c>
      <c r="K12504" s="297">
        <f>J12504/POBLA!$B$23*100000</f>
        <v>27.225503106292567</v>
      </c>
      <c r="L12504" s="200">
        <f t="shared" si="2356"/>
        <v>-3.9886039886039892E-2</v>
      </c>
      <c r="M12504" s="401">
        <f>SUM(C12504,C12480,C12456,C12432,C12408,C12384,C12360)/POBLA!$B$23*100000</f>
        <v>190.57852174404795</v>
      </c>
      <c r="N12504" s="42" t="s">
        <v>39</v>
      </c>
      <c r="O12504" s="42">
        <v>1</v>
      </c>
      <c r="P12504" s="42">
        <v>0</v>
      </c>
      <c r="Q12504" s="42">
        <v>0</v>
      </c>
      <c r="R12504" s="42">
        <v>1</v>
      </c>
    </row>
    <row r="12505" spans="1:18" ht="15.75" thickBot="1" x14ac:dyDescent="0.3">
      <c r="A12505" s="369" t="s">
        <v>40</v>
      </c>
      <c r="B12505" s="2">
        <v>44413</v>
      </c>
      <c r="C12505" s="637">
        <v>1056</v>
      </c>
      <c r="D12505" s="176">
        <f t="shared" si="2359"/>
        <v>184445</v>
      </c>
      <c r="E12505" s="637"/>
      <c r="F12505" s="176">
        <f>E12505+F12481</f>
        <v>2621</v>
      </c>
      <c r="G12505" s="177">
        <f>SUM(C12505,C12481,C12457,C12433,C12409,C12385,C12361,C12337,C12313,C12289,C12265,C12241,C12217,C12193)/POBLA!$B$24*100000</f>
        <v>554.62583556780839</v>
      </c>
      <c r="H12505" s="402">
        <f t="shared" si="2357"/>
        <v>0.9955513187162377</v>
      </c>
      <c r="I12505" s="403">
        <f t="shared" si="2358"/>
        <v>552.15848199362688</v>
      </c>
      <c r="J12505" s="423">
        <f t="shared" si="2355"/>
        <v>663.57142857142856</v>
      </c>
      <c r="K12505" s="403">
        <f>J12505/POBLA!$B$24*100000</f>
        <v>39.156703695111489</v>
      </c>
      <c r="L12505" s="404">
        <f t="shared" si="2356"/>
        <v>-2.2928060580563736E-2</v>
      </c>
      <c r="M12505" s="405">
        <f>SUM(C12505,C12481,C12457,C12433,C12409,C12385,C12361)/POBLA!$B$24*100000</f>
        <v>274.09692586578041</v>
      </c>
      <c r="N12505" s="42" t="s">
        <v>40</v>
      </c>
      <c r="O12505" s="42">
        <v>9</v>
      </c>
      <c r="P12505" s="42">
        <v>18</v>
      </c>
      <c r="Q12505" s="42">
        <v>0</v>
      </c>
      <c r="R12505" s="42">
        <v>27</v>
      </c>
    </row>
    <row r="12506" spans="1:18" x14ac:dyDescent="0.25">
      <c r="A12506" s="363" t="s">
        <v>16</v>
      </c>
      <c r="B12506" s="2">
        <v>44414</v>
      </c>
      <c r="C12506" s="637">
        <v>3430</v>
      </c>
      <c r="D12506" s="174">
        <f>C12506+D12482</f>
        <v>1993722</v>
      </c>
      <c r="E12506" s="637">
        <v>28</v>
      </c>
      <c r="F12506" s="174">
        <f t="shared" ref="F12506:F12524" si="2360">E12506+F12482</f>
        <v>52530</v>
      </c>
      <c r="G12506" s="175">
        <f>SUM(C12506,C12482,C12434,C12458,C12410,C12386,C12362,C12338,C12314,C12290,C12266,C12242,C12218,C12194)/POBLA!$B$1*100000</f>
        <v>259.6752400542245</v>
      </c>
      <c r="H12506" s="300">
        <f t="shared" si="2357"/>
        <v>0.79074369835428093</v>
      </c>
      <c r="I12506" s="301">
        <f>G12506*H12506</f>
        <v>205.3365596915132</v>
      </c>
      <c r="J12506" s="421">
        <f>AVERAGE(C12506,C12482,C12458,C12434,C12410,C12386,C12362)</f>
        <v>3107</v>
      </c>
      <c r="K12506" s="301">
        <f>J12506/POBLA!$B$1*100000</f>
        <v>17.712644804576851</v>
      </c>
      <c r="L12506" s="399">
        <f>(SUM(C12506,C12482,C12458,C12434,C12410,C12386,C12362)/SUM(C12338,C12314,C12290,C12266,C12242,C12218,C12194))-1</f>
        <v>-8.6214864921641987E-2</v>
      </c>
      <c r="M12506" s="400">
        <f>SUM(C12506,C12482,C12458,C12434,C12410,C12386,C12362)/POBLA!$B$1*100000</f>
        <v>123.98851363203796</v>
      </c>
      <c r="N12506" s="42" t="s">
        <v>16</v>
      </c>
      <c r="O12506" s="42">
        <v>13</v>
      </c>
      <c r="P12506" s="42">
        <v>15</v>
      </c>
      <c r="Q12506" s="42">
        <v>0</v>
      </c>
      <c r="R12506" s="42">
        <v>28</v>
      </c>
    </row>
    <row r="12507" spans="1:18" x14ac:dyDescent="0.25">
      <c r="A12507" s="367" t="s">
        <v>43</v>
      </c>
      <c r="B12507" s="2">
        <v>44414</v>
      </c>
      <c r="C12507" s="637">
        <v>803</v>
      </c>
      <c r="D12507" s="39">
        <f t="shared" ref="D12507:D12521" si="2361">C12507+D12483</f>
        <v>495978</v>
      </c>
      <c r="E12507" s="637">
        <v>8</v>
      </c>
      <c r="F12507" s="39">
        <f t="shared" si="2360"/>
        <v>10964</v>
      </c>
      <c r="G12507" s="168">
        <f>SUM(C12507,C12483,C12459,C12435,C12411,C12387,C12363,C12339,C12315,C12291,C12267,C12243,C12219,C12195)/POBLA!$B$2*100000</f>
        <v>329.19913410060849</v>
      </c>
      <c r="H12507" s="256">
        <f t="shared" si="2357"/>
        <v>0.82659808963997061</v>
      </c>
      <c r="I12507" s="297">
        <f t="shared" ref="I12507:I12513" si="2362">G12507*H12507</f>
        <v>272.11537535869547</v>
      </c>
      <c r="J12507" s="422">
        <f>AVERAGE(C12507,C12483,C12459,C12435,C12411,C12387,C12363)</f>
        <v>726.28571428571433</v>
      </c>
      <c r="K12507" s="297">
        <f>J12507/POBLA!$B$2*100000</f>
        <v>23.614086740987563</v>
      </c>
      <c r="L12507" s="200">
        <f>(SUM(C12507,C12483,C12459,C12435,C12411,C12387,C12363)/SUM(C12339,C12315,C12291,C12267,C12243,C12219,C12195))-1</f>
        <v>8.5300535608014982E-3</v>
      </c>
      <c r="M12507" s="401">
        <f>SUM(C12507,C12483,C12459,C12435,C12411,C12387,C12363)/POBLA!$B$2*100000</f>
        <v>165.29860718691293</v>
      </c>
      <c r="N12507" s="42" t="s">
        <v>43</v>
      </c>
      <c r="O12507" s="42">
        <v>1</v>
      </c>
      <c r="P12507" s="42">
        <v>7</v>
      </c>
      <c r="Q12507" s="42">
        <v>0</v>
      </c>
      <c r="R12507" s="42">
        <v>8</v>
      </c>
    </row>
    <row r="12508" spans="1:18" x14ac:dyDescent="0.25">
      <c r="A12508" s="367" t="s">
        <v>28</v>
      </c>
      <c r="B12508" s="2">
        <v>44414</v>
      </c>
      <c r="C12508" s="637">
        <v>245</v>
      </c>
      <c r="D12508" s="39">
        <f t="shared" si="2361"/>
        <v>43846</v>
      </c>
      <c r="E12508" s="637">
        <v>2</v>
      </c>
      <c r="F12508" s="39">
        <f t="shared" si="2360"/>
        <v>506</v>
      </c>
      <c r="G12508" s="168">
        <f>SUM(C12508,C12484,C12460,C12436,C12412,C12388,C12364,C12340,C12316,C12292,C12268,C12244,C12220,C12196)/POBLA!$B$3*100000</f>
        <v>839.59580009532101</v>
      </c>
      <c r="H12508" s="256">
        <f t="shared" si="2357"/>
        <v>0.99600228440890914</v>
      </c>
      <c r="I12508" s="297">
        <f t="shared" si="2362"/>
        <v>836.23933487506554</v>
      </c>
      <c r="J12508" s="422">
        <f t="shared" ref="J12508:J12529" si="2363">AVERAGE(C12508,C12484,C12460,C12436,C12412,C12388,C12364)</f>
        <v>242.42857142857142</v>
      </c>
      <c r="K12508" s="297">
        <f>J12508/POBLA!$B$3*100000</f>
        <v>58.354934172745736</v>
      </c>
      <c r="L12508" s="200">
        <f t="shared" ref="L12508:L12529" si="2364">(SUM(C12508,C12484,C12460,C12436,C12412,C12388,C12364)/SUM(C12340,C12316,C12292,C12268,C12244,C12220,C12196))-1</f>
        <v>-5.2484645449469625E-2</v>
      </c>
      <c r="M12508" s="401">
        <f>SUM(C12508,C12484,C12460,C12436,C12412,C12388,C12364)/POBLA!$B$3*100000</f>
        <v>408.48453920922015</v>
      </c>
      <c r="N12508" s="42" t="s">
        <v>28</v>
      </c>
      <c r="O12508" s="42">
        <v>1</v>
      </c>
      <c r="P12508" s="42">
        <v>1</v>
      </c>
      <c r="Q12508" s="42">
        <v>0</v>
      </c>
      <c r="R12508" s="42">
        <v>2</v>
      </c>
    </row>
    <row r="12509" spans="1:18" x14ac:dyDescent="0.25">
      <c r="A12509" s="367" t="s">
        <v>15</v>
      </c>
      <c r="B12509" s="2">
        <v>44414</v>
      </c>
      <c r="C12509" s="637">
        <v>535</v>
      </c>
      <c r="D12509" s="39">
        <f t="shared" si="2361"/>
        <v>93868</v>
      </c>
      <c r="E12509" s="637">
        <v>7</v>
      </c>
      <c r="F12509" s="39">
        <f t="shared" si="2360"/>
        <v>2070</v>
      </c>
      <c r="G12509" s="168">
        <f>SUM(C12509,C12485,C12461,C12437,C12413,C12389,C12365,C12341,C12317,C12293,C12269,C12245,C12221,C12197)/POBLA!$B$4*100000</f>
        <v>483.25461731896218</v>
      </c>
      <c r="H12509" s="256">
        <f t="shared" si="2357"/>
        <v>0.98560785641720283</v>
      </c>
      <c r="I12509" s="297">
        <f t="shared" si="2362"/>
        <v>476.299547479458</v>
      </c>
      <c r="J12509" s="422">
        <f t="shared" si="2363"/>
        <v>400.85714285714283</v>
      </c>
      <c r="K12509" s="297">
        <f>J12509/POBLA!$B$4*100000</f>
        <v>33.27882926833896</v>
      </c>
      <c r="L12509" s="200">
        <f t="shared" si="2364"/>
        <v>-6.9320066334991659E-2</v>
      </c>
      <c r="M12509" s="401">
        <f>SUM(C12509,C12485,C12461,C12437,C12413,C12389,C12365)/POBLA!$B$4*100000</f>
        <v>232.95180487837274</v>
      </c>
      <c r="N12509" s="42" t="s">
        <v>15</v>
      </c>
      <c r="O12509" s="42">
        <v>4</v>
      </c>
      <c r="P12509" s="42">
        <v>3</v>
      </c>
      <c r="Q12509" s="42">
        <v>0</v>
      </c>
      <c r="R12509" s="42">
        <v>7</v>
      </c>
    </row>
    <row r="12510" spans="1:18" x14ac:dyDescent="0.25">
      <c r="A12510" s="367" t="s">
        <v>29</v>
      </c>
      <c r="B12510" s="2">
        <v>44414</v>
      </c>
      <c r="C12510" s="637">
        <v>149</v>
      </c>
      <c r="D12510" s="39">
        <f t="shared" si="2361"/>
        <v>77476</v>
      </c>
      <c r="E12510" s="637">
        <v>1</v>
      </c>
      <c r="F12510" s="39">
        <f t="shared" si="2360"/>
        <v>1356</v>
      </c>
      <c r="G12510" s="168">
        <f>SUM(C12510,C12486,C12462,C12438,C12414,C12390,C12366,C12342,C12318,C12294,C12270,C12246,C12222,C12198)/POBLA!$B$5*100000</f>
        <v>422.45966842974246</v>
      </c>
      <c r="H12510" s="256">
        <f t="shared" si="2357"/>
        <v>1.0936846507737348</v>
      </c>
      <c r="I12510" s="297">
        <f t="shared" si="2362"/>
        <v>462.03765493257066</v>
      </c>
      <c r="J12510" s="422">
        <f t="shared" si="2363"/>
        <v>182.57142857142858</v>
      </c>
      <c r="K12510" s="297">
        <f>J12510/POBLA!$B$5*100000</f>
        <v>29.494862401158748</v>
      </c>
      <c r="L12510" s="200">
        <f t="shared" si="2364"/>
        <v>-4.4128646222887036E-2</v>
      </c>
      <c r="M12510" s="401">
        <f>SUM(C12510,C12486,C12462,C12438,C12414,C12390,C12366)/POBLA!$B$5*100000</f>
        <v>206.46403680811125</v>
      </c>
      <c r="N12510" s="42" t="s">
        <v>29</v>
      </c>
      <c r="O12510" s="42">
        <v>0</v>
      </c>
      <c r="P12510" s="42">
        <v>1</v>
      </c>
      <c r="Q12510" s="42">
        <v>0</v>
      </c>
      <c r="R12510" s="42">
        <v>1</v>
      </c>
    </row>
    <row r="12511" spans="1:18" x14ac:dyDescent="0.25">
      <c r="A12511" s="367" t="s">
        <v>30</v>
      </c>
      <c r="B12511" s="2">
        <v>44414</v>
      </c>
      <c r="C12511" s="637">
        <v>1326</v>
      </c>
      <c r="D12511" s="39">
        <f t="shared" si="2361"/>
        <v>450940</v>
      </c>
      <c r="E12511" s="637">
        <v>19</v>
      </c>
      <c r="F12511" s="39">
        <f t="shared" si="2360"/>
        <v>5918</v>
      </c>
      <c r="G12511" s="168">
        <f>SUM(C12511,C12487,C12463,C12439,C12415,C12391,C12367,C12343,C12319,C12295,C12271,C12247,C12223,C12199)/POBLA!$B$6*100000</f>
        <v>528.28289767764306</v>
      </c>
      <c r="H12511" s="256">
        <f t="shared" si="2357"/>
        <v>0.86098589501236</v>
      </c>
      <c r="I12511" s="297">
        <f t="shared" si="2362"/>
        <v>454.84412347670849</v>
      </c>
      <c r="J12511" s="422">
        <f t="shared" si="2363"/>
        <v>371</v>
      </c>
      <c r="K12511" s="297">
        <f>J12511/POBLA!$B$6*100000</f>
        <v>33.101326640500858</v>
      </c>
      <c r="L12511" s="200">
        <f t="shared" si="2364"/>
        <v>-0.21871239470517445</v>
      </c>
      <c r="M12511" s="401">
        <f>SUM(C12511,C12487,C12463,C12439,C12415,C12391,C12367)/POBLA!$B$6*100000</f>
        <v>231.70928648350602</v>
      </c>
      <c r="N12511" s="42" t="s">
        <v>30</v>
      </c>
      <c r="O12511" s="42">
        <v>16</v>
      </c>
      <c r="P12511" s="42">
        <v>3</v>
      </c>
      <c r="Q12511" s="42">
        <v>0</v>
      </c>
      <c r="R12511" s="42">
        <v>19</v>
      </c>
    </row>
    <row r="12512" spans="1:18" x14ac:dyDescent="0.25">
      <c r="A12512" s="367" t="s">
        <v>20</v>
      </c>
      <c r="B12512" s="2">
        <v>44414</v>
      </c>
      <c r="C12512" s="637">
        <v>1845</v>
      </c>
      <c r="D12512" s="39">
        <f t="shared" si="2361"/>
        <v>111542</v>
      </c>
      <c r="E12512" s="637">
        <v>23</v>
      </c>
      <c r="F12512" s="39">
        <f t="shared" si="2360"/>
        <v>1265</v>
      </c>
      <c r="G12512" s="168">
        <f>SUM(C12512,C12488,C12464,C12440,C12416,C12392,C12368,C12344,C12320,C12296,C12272,C12248,C12224,C12200)/POBLA!$B$7*100000</f>
        <v>684.81165817920726</v>
      </c>
      <c r="H12512" s="256">
        <f t="shared" si="2357"/>
        <v>1.0810629276688637</v>
      </c>
      <c r="I12512" s="297">
        <f t="shared" si="2362"/>
        <v>740.32449609298294</v>
      </c>
      <c r="J12512" s="422">
        <f t="shared" si="2363"/>
        <v>1749.8571428571429</v>
      </c>
      <c r="K12512" s="297">
        <f>J12512/POBLA!$B$7*100000</f>
        <v>46.533184668248289</v>
      </c>
      <c r="L12512" s="200">
        <f t="shared" si="2364"/>
        <v>-9.286825149966671E-2</v>
      </c>
      <c r="M12512" s="401">
        <f>SUM(C12512,C12488,C12464,C12440,C12416,C12392,C12368)/POBLA!$B$7*100000</f>
        <v>325.73229267773803</v>
      </c>
      <c r="N12512" s="42" t="s">
        <v>20</v>
      </c>
      <c r="O12512" s="42">
        <v>10</v>
      </c>
      <c r="P12512" s="42">
        <v>13</v>
      </c>
      <c r="Q12512" s="42">
        <v>0</v>
      </c>
      <c r="R12512" s="42">
        <v>23</v>
      </c>
    </row>
    <row r="12513" spans="1:18" x14ac:dyDescent="0.25">
      <c r="A12513" s="367" t="s">
        <v>31</v>
      </c>
      <c r="B12513" s="2">
        <v>44414</v>
      </c>
      <c r="C12513" s="637">
        <v>415</v>
      </c>
      <c r="D12513" s="39">
        <f t="shared" si="2361"/>
        <v>130032</v>
      </c>
      <c r="E12513" s="637">
        <v>16</v>
      </c>
      <c r="F12513" s="39">
        <f t="shared" si="2360"/>
        <v>2197</v>
      </c>
      <c r="G12513" s="168">
        <f>SUM(C12513,C12489,C12465,C12441,C12417,C12393,C12369,C12345,C12321,C12297,C12273,C12249,C12225,C12201)/POBLA!$B$8*100000</f>
        <v>372.95421732646156</v>
      </c>
      <c r="H12513" s="256">
        <f t="shared" ref="H12513:H12536" si="2365">SUM(C12513,C12489,C12465,C12441,C12417,C12393,C12369,C12345,C12321,C12297,C12273,C12249,C12225,C12201,)/SUM(C12177,C12153,C12129,C12105,C12081,C12057,C12033,C12009,C11985,C11961,C11937,C11913,C11889,C11865)</f>
        <v>0.63814814814814813</v>
      </c>
      <c r="I12513" s="297">
        <f t="shared" si="2362"/>
        <v>238.00004313092342</v>
      </c>
      <c r="J12513" s="422">
        <f t="shared" si="2363"/>
        <v>337.85714285714283</v>
      </c>
      <c r="K12513" s="297">
        <f>J12513/POBLA!$B$8*100000</f>
        <v>24.377103169363554</v>
      </c>
      <c r="L12513" s="200">
        <f t="shared" si="2364"/>
        <v>-0.15656205420827385</v>
      </c>
      <c r="M12513" s="401">
        <f>SUM(C12513,C12489,C12465,C12441,C12417,C12393,C12369)/POBLA!$B$8*100000</f>
        <v>170.63972218554491</v>
      </c>
      <c r="N12513" s="42" t="s">
        <v>31</v>
      </c>
      <c r="O12513" s="42">
        <v>2</v>
      </c>
      <c r="P12513" s="42">
        <v>14</v>
      </c>
      <c r="Q12513" s="42">
        <v>0</v>
      </c>
      <c r="R12513" s="42">
        <v>16</v>
      </c>
    </row>
    <row r="12514" spans="1:18" x14ac:dyDescent="0.25">
      <c r="A12514" s="367" t="s">
        <v>41</v>
      </c>
      <c r="B12514" s="2">
        <v>44414</v>
      </c>
      <c r="C12514" s="637">
        <v>238</v>
      </c>
      <c r="D12514" s="39">
        <f t="shared" si="2361"/>
        <v>57327</v>
      </c>
      <c r="E12514" s="637">
        <v>5</v>
      </c>
      <c r="F12514" s="39">
        <f t="shared" si="2360"/>
        <v>1047</v>
      </c>
      <c r="G12514" s="168">
        <f>SUM(C12514,C12490,C12466,C12442,C12418,C12394,C12370,C12346,C12322,C12298,C12274,C12250,C12226,C12202)/POBLA!$B$9*100000</f>
        <v>532.06167288782251</v>
      </c>
      <c r="H12514" s="256">
        <f t="shared" si="2365"/>
        <v>0.67889521399957831</v>
      </c>
      <c r="I12514" s="297">
        <f>G12514*H12514</f>
        <v>361.21412327615189</v>
      </c>
      <c r="J12514" s="422">
        <f t="shared" si="2363"/>
        <v>214.42857142857142</v>
      </c>
      <c r="K12514" s="297">
        <f>J12514/POBLA!$B$9*100000</f>
        <v>35.431436158146482</v>
      </c>
      <c r="L12514" s="200">
        <f t="shared" si="2364"/>
        <v>-0.12681791739383363</v>
      </c>
      <c r="M12514" s="401">
        <f>SUM(C12514,C12490,C12466,C12442,C12418,C12394,C12370)/POBLA!$B$9*100000</f>
        <v>248.02005310702535</v>
      </c>
      <c r="N12514" s="42" t="s">
        <v>41</v>
      </c>
      <c r="O12514" s="42">
        <v>1</v>
      </c>
      <c r="P12514" s="42">
        <v>4</v>
      </c>
      <c r="Q12514" s="42">
        <v>0</v>
      </c>
      <c r="R12514" s="42">
        <v>5</v>
      </c>
    </row>
    <row r="12515" spans="1:18" x14ac:dyDescent="0.25">
      <c r="A12515" s="367" t="s">
        <v>32</v>
      </c>
      <c r="B12515" s="2">
        <v>44414</v>
      </c>
      <c r="C12515" s="637">
        <v>157</v>
      </c>
      <c r="D12515" s="39">
        <f t="shared" si="2361"/>
        <v>44582</v>
      </c>
      <c r="E12515" s="637">
        <v>4</v>
      </c>
      <c r="F12515" s="39">
        <f t="shared" si="2360"/>
        <v>1346</v>
      </c>
      <c r="G12515" s="168">
        <f>SUM(C12515,C12491,C12467,C12443,C12419,C12395,C12371,C12347,C12323,C12299,C12275,C12251,C12227,C12203)/POBLA!$B$10*100000</f>
        <v>328.97425153817517</v>
      </c>
      <c r="H12515" s="256">
        <f t="shared" si="2365"/>
        <v>0.68689057421451782</v>
      </c>
      <c r="I12515" s="297">
        <f t="shared" ref="I12515:I12529" si="2366">G12515*H12515</f>
        <v>225.96931254084836</v>
      </c>
      <c r="J12515" s="422">
        <f t="shared" si="2363"/>
        <v>175</v>
      </c>
      <c r="K12515" s="297">
        <f>J12515/POBLA!$B$10*100000</f>
        <v>22.701298903462401</v>
      </c>
      <c r="L12515" s="200">
        <f t="shared" si="2364"/>
        <v>-6.5598779557589637E-2</v>
      </c>
      <c r="M12515" s="401">
        <f>SUM(C12515,C12491,C12467,C12443,C12419,C12395,C12371)/POBLA!$B$10*100000</f>
        <v>158.90909232423681</v>
      </c>
      <c r="N12515" s="42" t="s">
        <v>32</v>
      </c>
      <c r="O12515" s="42">
        <v>2</v>
      </c>
      <c r="P12515" s="42">
        <v>2</v>
      </c>
      <c r="Q12515" s="42">
        <v>0</v>
      </c>
      <c r="R12515" s="42">
        <v>4</v>
      </c>
    </row>
    <row r="12516" spans="1:18" x14ac:dyDescent="0.25">
      <c r="A12516" s="367" t="s">
        <v>33</v>
      </c>
      <c r="B12516" s="2">
        <v>44414</v>
      </c>
      <c r="C12516" s="637">
        <v>279</v>
      </c>
      <c r="D12516" s="39">
        <f t="shared" si="2361"/>
        <v>63098</v>
      </c>
      <c r="E12516" s="637">
        <v>2</v>
      </c>
      <c r="F12516" s="39">
        <f t="shared" si="2360"/>
        <v>862</v>
      </c>
      <c r="G12516" s="168">
        <f>SUM(C12516,C12492,C12468,C12444,C12420,C12396,C12372,C12348,C12324,C12300,C12276,C12252,C12228,C12204)/POBLA!$B$11*100000</f>
        <v>1072.4608568527012</v>
      </c>
      <c r="H12516" s="256">
        <f t="shared" si="2365"/>
        <v>1.0231567740218259</v>
      </c>
      <c r="I12516" s="297">
        <f t="shared" si="2366"/>
        <v>1097.2955905620931</v>
      </c>
      <c r="J12516" s="422">
        <f t="shared" si="2363"/>
        <v>260.85714285714283</v>
      </c>
      <c r="K12516" s="297">
        <f>J12516/POBLA!$B$11*100000</f>
        <v>72.778115230155805</v>
      </c>
      <c r="L12516" s="200">
        <f t="shared" si="2364"/>
        <v>-9.5143706640237857E-2</v>
      </c>
      <c r="M12516" s="401">
        <f>SUM(C12516,C12492,C12468,C12444,C12420,C12396,C12372)/POBLA!$B$11*100000</f>
        <v>509.44680661109061</v>
      </c>
      <c r="N12516" s="42" t="s">
        <v>33</v>
      </c>
      <c r="O12516" s="42">
        <v>2</v>
      </c>
      <c r="P12516" s="42">
        <v>0</v>
      </c>
      <c r="Q12516" s="42">
        <v>0</v>
      </c>
      <c r="R12516" s="42">
        <v>2</v>
      </c>
    </row>
    <row r="12517" spans="1:18" x14ac:dyDescent="0.25">
      <c r="A12517" s="367" t="s">
        <v>21</v>
      </c>
      <c r="B12517" s="2">
        <v>44414</v>
      </c>
      <c r="C12517" s="637">
        <v>263</v>
      </c>
      <c r="D12517" s="39">
        <f t="shared" si="2361"/>
        <v>29738</v>
      </c>
      <c r="E12517" s="637"/>
      <c r="F12517" s="39">
        <f t="shared" si="2360"/>
        <v>814</v>
      </c>
      <c r="G12517" s="168">
        <f>SUM(C12517,C12493,C12469,C12445,C12421,C12397,C12373,C12349,C12325,C12301,C12277,C12253,C12229,C12205)/POBLA!$B$12*100000</f>
        <v>848.98013117136895</v>
      </c>
      <c r="H12517" s="256">
        <f t="shared" si="2365"/>
        <v>1.3096824774598197</v>
      </c>
      <c r="I12517" s="297">
        <f t="shared" si="2366"/>
        <v>1111.8944015066811</v>
      </c>
      <c r="J12517" s="422">
        <f t="shared" si="2363"/>
        <v>228.14285714285714</v>
      </c>
      <c r="K12517" s="297">
        <f>J12517/POBLA!$B$12*100000</f>
        <v>57.973287274155567</v>
      </c>
      <c r="L12517" s="200">
        <f t="shared" si="2364"/>
        <v>-8.4288990825688082E-2</v>
      </c>
      <c r="M12517" s="401">
        <f>SUM(C12517,C12493,C12469,C12445,C12421,C12397,C12373)/POBLA!$B$12*100000</f>
        <v>405.81301091908898</v>
      </c>
    </row>
    <row r="12518" spans="1:18" x14ac:dyDescent="0.25">
      <c r="A12518" s="367" t="s">
        <v>17</v>
      </c>
      <c r="B12518" s="2">
        <v>44414</v>
      </c>
      <c r="C12518" s="637">
        <v>385</v>
      </c>
      <c r="D12518" s="39">
        <f t="shared" si="2361"/>
        <v>156600</v>
      </c>
      <c r="E12518" s="637">
        <v>13</v>
      </c>
      <c r="F12518" s="39">
        <f t="shared" si="2360"/>
        <v>4006</v>
      </c>
      <c r="G12518" s="168">
        <f>SUM(C12518,C12494,C12470,C12446,C12422,C12398,C12374,C12350,C12326,C12302,C12278,C12254,C12230,C12206)/POBLA!$B$13*100000</f>
        <v>290.50342203183578</v>
      </c>
      <c r="H12518" s="256">
        <f t="shared" si="2365"/>
        <v>0.92943256711139688</v>
      </c>
      <c r="I12518" s="297">
        <f t="shared" si="2366"/>
        <v>270.00334129369469</v>
      </c>
      <c r="J12518" s="422">
        <f t="shared" si="2363"/>
        <v>397.42857142857144</v>
      </c>
      <c r="K12518" s="297">
        <f>J12518/POBLA!$B$13*100000</f>
        <v>19.967893464756813</v>
      </c>
      <c r="L12518" s="200">
        <f t="shared" si="2364"/>
        <v>-7.2666666666666657E-2</v>
      </c>
      <c r="M12518" s="401">
        <f>SUM(C12518,C12494,C12470,C12446,C12422,C12398,C12374)/POBLA!$B$13*100000</f>
        <v>139.77525425329767</v>
      </c>
      <c r="N12518" s="42" t="s">
        <v>17</v>
      </c>
      <c r="O12518" s="42">
        <v>6</v>
      </c>
      <c r="P12518" s="42">
        <v>7</v>
      </c>
      <c r="Q12518" s="42">
        <v>0</v>
      </c>
      <c r="R12518" s="42">
        <v>13</v>
      </c>
    </row>
    <row r="12519" spans="1:18" x14ac:dyDescent="0.25">
      <c r="A12519" s="367" t="s">
        <v>23</v>
      </c>
      <c r="B12519" s="2">
        <v>44414</v>
      </c>
      <c r="C12519" s="637">
        <v>224</v>
      </c>
      <c r="D12519" s="39">
        <f t="shared" si="2361"/>
        <v>31860</v>
      </c>
      <c r="E12519" s="637">
        <v>9</v>
      </c>
      <c r="F12519" s="39">
        <f t="shared" si="2360"/>
        <v>609</v>
      </c>
      <c r="G12519" s="168">
        <f>SUM(C12519,C12495,C12471,C12447,C12423,C12399,C12375,C12351,C12327,C12303,C12279,C12255,C12231,C12207)/POBLA!$B$14*100000</f>
        <v>189.64650588998282</v>
      </c>
      <c r="H12519" s="256">
        <f t="shared" si="2365"/>
        <v>1.0745732255166218</v>
      </c>
      <c r="I12519" s="297">
        <f t="shared" si="2366"/>
        <v>203.78905754215586</v>
      </c>
      <c r="J12519" s="422">
        <f t="shared" si="2363"/>
        <v>165.85714285714286</v>
      </c>
      <c r="K12519" s="297">
        <f>J12519/POBLA!$B$14*100000</f>
        <v>13.149760710599024</v>
      </c>
      <c r="L12519" s="200">
        <f t="shared" si="2364"/>
        <v>-5.6864337936636922E-2</v>
      </c>
      <c r="M12519" s="401">
        <f>SUM(C12519,C12495,C12471,C12447,C12423,C12399,C12375)/POBLA!$B$14*100000</f>
        <v>92.048324974193164</v>
      </c>
      <c r="N12519" s="42" t="s">
        <v>23</v>
      </c>
      <c r="O12519" s="42">
        <v>1</v>
      </c>
      <c r="P12519" s="42">
        <v>8</v>
      </c>
      <c r="Q12519" s="42">
        <v>0</v>
      </c>
      <c r="R12519" s="42">
        <v>9</v>
      </c>
    </row>
    <row r="12520" spans="1:18" x14ac:dyDescent="0.25">
      <c r="A12520" s="367" t="s">
        <v>19</v>
      </c>
      <c r="B12520" s="2">
        <v>44414</v>
      </c>
      <c r="C12520" s="637">
        <v>226</v>
      </c>
      <c r="D12520" s="39">
        <f t="shared" si="2361"/>
        <v>108870</v>
      </c>
      <c r="E12520" s="637"/>
      <c r="F12520" s="39">
        <f t="shared" si="2360"/>
        <v>2070</v>
      </c>
      <c r="G12520" s="168">
        <f>SUM(C12520,C12496,C12472,C12448,C12424,C12400,C12376,C12352,C12328,C12304,C12280,C12256,C12232,C12208)/POBLA!$B$15*100000</f>
        <v>453.72611086096526</v>
      </c>
      <c r="H12520" s="256">
        <f t="shared" si="2365"/>
        <v>1.1575105647330004</v>
      </c>
      <c r="I12520" s="297">
        <f t="shared" si="2366"/>
        <v>525.19276681678389</v>
      </c>
      <c r="J12520" s="422">
        <f t="shared" si="2363"/>
        <v>220.42857142857142</v>
      </c>
      <c r="K12520" s="297">
        <f>J12520/POBLA!$B$15*100000</f>
        <v>33.194224506114899</v>
      </c>
      <c r="L12520" s="200">
        <f t="shared" si="2364"/>
        <v>4.9659863945578309E-2</v>
      </c>
      <c r="M12520" s="401">
        <f>SUM(C12520,C12496,C12472,C12448,C12424,C12400,C12376)/POBLA!$B$15*100000</f>
        <v>232.3595715428043</v>
      </c>
    </row>
    <row r="12521" spans="1:18" x14ac:dyDescent="0.25">
      <c r="A12521" s="367" t="s">
        <v>18</v>
      </c>
      <c r="B12521" s="2">
        <v>44414</v>
      </c>
      <c r="C12521" s="637">
        <v>234</v>
      </c>
      <c r="D12521" s="39">
        <f t="shared" si="2361"/>
        <v>94015</v>
      </c>
      <c r="E12521" s="637">
        <v>10</v>
      </c>
      <c r="F12521" s="39">
        <f t="shared" si="2360"/>
        <v>2133</v>
      </c>
      <c r="G12521" s="168">
        <f>SUM(C12521,C12497,C12473,C12449,C12425,C12401,C12377,C12353,C12329,C12305,C12281,C12257,C12233,C12209)/POBLA!$B$16*100000</f>
        <v>559.51632535680369</v>
      </c>
      <c r="H12521" s="256">
        <f t="shared" si="2365"/>
        <v>1.1532947339398951</v>
      </c>
      <c r="I12521" s="297">
        <f t="shared" si="2366"/>
        <v>645.28723158740274</v>
      </c>
      <c r="J12521" s="422">
        <f t="shared" si="2363"/>
        <v>274.28571428571428</v>
      </c>
      <c r="K12521" s="297">
        <f>J12521/POBLA!$B$16*100000</f>
        <v>36.688342088216352</v>
      </c>
      <c r="L12521" s="200">
        <f t="shared" si="2364"/>
        <v>-0.15156871409633232</v>
      </c>
      <c r="M12521" s="401">
        <f>SUM(C12521,C12497,C12473,C12449,C12425,C12401,C12377)/POBLA!$B$16*100000</f>
        <v>256.81839461751446</v>
      </c>
      <c r="N12521" s="42" t="s">
        <v>18</v>
      </c>
      <c r="O12521" s="42">
        <v>5</v>
      </c>
      <c r="P12521" s="42">
        <v>5</v>
      </c>
      <c r="Q12521" s="42">
        <v>0</v>
      </c>
      <c r="R12521" s="42">
        <v>10</v>
      </c>
    </row>
    <row r="12522" spans="1:18" x14ac:dyDescent="0.25">
      <c r="A12522" s="367" t="s">
        <v>34</v>
      </c>
      <c r="B12522" s="2">
        <v>44414</v>
      </c>
      <c r="C12522" s="637">
        <v>324</v>
      </c>
      <c r="D12522" s="39">
        <f>C12522+D12498</f>
        <v>77150</v>
      </c>
      <c r="E12522" s="637">
        <v>9</v>
      </c>
      <c r="F12522" s="39">
        <f t="shared" si="2360"/>
        <v>2137</v>
      </c>
      <c r="G12522" s="168">
        <f>SUM(C12522,C12498,C12474,C12450,C12426,C12402,C12378,C12354,C12330,C12306,C12282,C12258,C12234,C12210)/POBLA!$B$17*100000</f>
        <v>320.13546785060623</v>
      </c>
      <c r="H12522" s="256">
        <f t="shared" si="2365"/>
        <v>0.68767908309455583</v>
      </c>
      <c r="I12522" s="297">
        <f t="shared" si="2366"/>
        <v>220.15046499755155</v>
      </c>
      <c r="J12522" s="422">
        <f t="shared" si="2363"/>
        <v>306</v>
      </c>
      <c r="K12522" s="297">
        <f>J12522/POBLA!$B$17*100000</f>
        <v>21.482774816290682</v>
      </c>
      <c r="L12522" s="200">
        <f t="shared" si="2364"/>
        <v>-0.11414392059553347</v>
      </c>
      <c r="M12522" s="401">
        <f>SUM(C12522,C12498,C12474,C12450,C12426,C12402,C12378)/POBLA!$B$17*100000</f>
        <v>150.3794237140348</v>
      </c>
      <c r="N12522" s="42" t="s">
        <v>34</v>
      </c>
      <c r="O12522" s="42">
        <v>4</v>
      </c>
      <c r="P12522" s="42">
        <v>5</v>
      </c>
      <c r="Q12522" s="42">
        <v>0</v>
      </c>
      <c r="R12522" s="42">
        <v>9</v>
      </c>
    </row>
    <row r="12523" spans="1:18" x14ac:dyDescent="0.25">
      <c r="A12523" s="367" t="s">
        <v>35</v>
      </c>
      <c r="B12523" s="2">
        <v>44414</v>
      </c>
      <c r="C12523" s="637">
        <v>92</v>
      </c>
      <c r="D12523" s="39">
        <f t="shared" ref="D12523:D12529" si="2367">C12523+D12499</f>
        <v>62140</v>
      </c>
      <c r="E12523" s="637">
        <v>3</v>
      </c>
      <c r="F12523" s="39">
        <f t="shared" si="2360"/>
        <v>969</v>
      </c>
      <c r="G12523" s="168">
        <f>SUM(C12523,C12499,C12475,C12451,C12427,C12403,C12379,C12355,C12331,C12307,C12283,C12259,C12235,C12211)/POBLA!$B$18*100000</f>
        <v>476.180113848009</v>
      </c>
      <c r="H12523" s="256">
        <f t="shared" si="2365"/>
        <v>0.86411149825783973</v>
      </c>
      <c r="I12523" s="297">
        <f t="shared" si="2366"/>
        <v>411.47271161779173</v>
      </c>
      <c r="J12523" s="422">
        <f t="shared" si="2363"/>
        <v>228</v>
      </c>
      <c r="K12523" s="297">
        <f>J12523/POBLA!$B$18*100000</f>
        <v>29.185232784232806</v>
      </c>
      <c r="L12523" s="200">
        <f t="shared" si="2364"/>
        <v>-0.24858757062146897</v>
      </c>
      <c r="M12523" s="401">
        <f>SUM(C12523,C12499,C12475,C12451,C12427,C12403,C12379)/POBLA!$B$18*100000</f>
        <v>204.29662948962965</v>
      </c>
      <c r="N12523" s="42" t="s">
        <v>35</v>
      </c>
      <c r="O12523" s="42">
        <v>1</v>
      </c>
      <c r="P12523" s="42">
        <v>2</v>
      </c>
      <c r="Q12523" s="42">
        <v>0</v>
      </c>
      <c r="R12523" s="42">
        <v>3</v>
      </c>
    </row>
    <row r="12524" spans="1:18" x14ac:dyDescent="0.25">
      <c r="A12524" s="367" t="s">
        <v>36</v>
      </c>
      <c r="B12524" s="2">
        <v>44414</v>
      </c>
      <c r="C12524" s="637">
        <v>235</v>
      </c>
      <c r="D12524" s="39">
        <f t="shared" si="2367"/>
        <v>76443</v>
      </c>
      <c r="E12524" s="637">
        <v>3</v>
      </c>
      <c r="F12524" s="39">
        <f t="shared" si="2360"/>
        <v>1257</v>
      </c>
      <c r="G12524" s="168">
        <f>SUM(C12524,C12500,C12476,C12452,C12428,C12404,C12380,C12356,C12332,C12308,C12284,C12260,C12236,C12212)/POBLA!$B$19*100000</f>
        <v>698.36798287719739</v>
      </c>
      <c r="H12524" s="256">
        <f t="shared" si="2365"/>
        <v>0.90538128028564147</v>
      </c>
      <c r="I12524" s="297">
        <f t="shared" si="2366"/>
        <v>632.28929844785796</v>
      </c>
      <c r="J12524" s="422">
        <f t="shared" si="2363"/>
        <v>253.42857142857142</v>
      </c>
      <c r="K12524" s="297">
        <f>J12524/POBLA!$B$19*100000</f>
        <v>49.855324009020045</v>
      </c>
      <c r="L12524" s="200">
        <f t="shared" si="2364"/>
        <v>-1.1261261261261701E-3</v>
      </c>
      <c r="M12524" s="401">
        <f>SUM(C12524,C12500,C12476,C12452,C12428,C12404,C12380)/POBLA!$B$19*100000</f>
        <v>348.98726806314033</v>
      </c>
      <c r="N12524" s="42" t="s">
        <v>36</v>
      </c>
      <c r="O12524" s="42">
        <v>2</v>
      </c>
      <c r="P12524" s="42">
        <v>1</v>
      </c>
      <c r="Q12524" s="42">
        <v>0</v>
      </c>
      <c r="R12524" s="42">
        <v>3</v>
      </c>
    </row>
    <row r="12525" spans="1:18" x14ac:dyDescent="0.25">
      <c r="A12525" s="367" t="s">
        <v>37</v>
      </c>
      <c r="B12525" s="2">
        <v>44414</v>
      </c>
      <c r="C12525" s="637">
        <v>46</v>
      </c>
      <c r="D12525" s="39">
        <f t="shared" si="2367"/>
        <v>58227</v>
      </c>
      <c r="E12525" s="637"/>
      <c r="F12525" s="39">
        <f>E12525+F12501</f>
        <v>970</v>
      </c>
      <c r="G12525" s="168">
        <f>SUM(C12525,C12501,C12478,C12453,C12429,C12405,C12381,C12357,C12333,C12309,C12285,C12261,C12237,C12213)/POBLA!$B$20*100000</f>
        <v>525.8437289785561</v>
      </c>
      <c r="H12525" s="256">
        <f t="shared" si="2365"/>
        <v>0.8796680497925311</v>
      </c>
      <c r="I12525" s="297">
        <f t="shared" si="2366"/>
        <v>462.5679275661987</v>
      </c>
      <c r="J12525" s="422">
        <f t="shared" si="2363"/>
        <v>57</v>
      </c>
      <c r="K12525" s="297">
        <f>J12525/POBLA!$B$20*100000</f>
        <v>15.586631592188089</v>
      </c>
      <c r="L12525" s="200">
        <f t="shared" si="2364"/>
        <v>-0.11135857461024501</v>
      </c>
      <c r="M12525" s="401">
        <f>SUM(C12525,C12501,C12477,C12453,C12429,C12405,C12381)/POBLA!$B$20*100000</f>
        <v>109.10642114531663</v>
      </c>
    </row>
    <row r="12526" spans="1:18" x14ac:dyDescent="0.25">
      <c r="A12526" s="367" t="s">
        <v>22</v>
      </c>
      <c r="B12526" s="2">
        <v>44414</v>
      </c>
      <c r="C12526" s="637">
        <v>961</v>
      </c>
      <c r="D12526" s="39">
        <f t="shared" si="2367"/>
        <v>453207</v>
      </c>
      <c r="E12526" s="637">
        <v>22</v>
      </c>
      <c r="F12526" s="39">
        <f>E12526+F12502</f>
        <v>8006</v>
      </c>
      <c r="G12526" s="168">
        <f>SUM(C12526,C12502,C12478,C12454,C12430,C12406,C12382,C12358,C12334,C12310,C12286,C12262,C12238,C12214)/POBLA!$B$21*100000</f>
        <v>417.28664428243491</v>
      </c>
      <c r="H12526" s="256">
        <f t="shared" si="2365"/>
        <v>0.81616061058569767</v>
      </c>
      <c r="I12526" s="297">
        <f t="shared" si="2366"/>
        <v>340.5729223868089</v>
      </c>
      <c r="J12526" s="422">
        <f t="shared" si="2363"/>
        <v>960.42857142857144</v>
      </c>
      <c r="K12526" s="297">
        <f>J12526/POBLA!$B$21*100000</f>
        <v>27.158231052680183</v>
      </c>
      <c r="L12526" s="200">
        <f t="shared" si="2364"/>
        <v>-0.16318147871545929</v>
      </c>
      <c r="M12526" s="401">
        <f>SUM(C12526,C12502,C12478,C12454,C12430,C12406,C12382)/POBLA!$B$21*100000</f>
        <v>190.10761736876128</v>
      </c>
      <c r="N12526" s="42" t="s">
        <v>22</v>
      </c>
      <c r="O12526" s="42">
        <v>12</v>
      </c>
      <c r="P12526" s="42">
        <v>10</v>
      </c>
      <c r="Q12526" s="42">
        <v>0</v>
      </c>
      <c r="R12526" s="42">
        <v>22</v>
      </c>
    </row>
    <row r="12527" spans="1:18" x14ac:dyDescent="0.25">
      <c r="A12527" s="367" t="s">
        <v>38</v>
      </c>
      <c r="B12527" s="2">
        <v>44414</v>
      </c>
      <c r="C12527" s="637">
        <v>276</v>
      </c>
      <c r="D12527" s="39">
        <f t="shared" si="2367"/>
        <v>75541</v>
      </c>
      <c r="E12527" s="637">
        <v>4</v>
      </c>
      <c r="F12527" s="39">
        <f>E12527+F12503</f>
        <v>1076</v>
      </c>
      <c r="G12527" s="168">
        <f>SUM(C12527,C12503,C12479,C12455,C12431,C12407,C12383,C12359,C12335,C12311,C12287,C12263,C12239,C12215)/POBLA!$B$22*100000</f>
        <v>474.28583694584455</v>
      </c>
      <c r="H12527" s="256">
        <f t="shared" si="2365"/>
        <v>0.73348087258931394</v>
      </c>
      <c r="I12527" s="297">
        <f t="shared" si="2366"/>
        <v>347.87958953979114</v>
      </c>
      <c r="J12527" s="422">
        <f t="shared" si="2363"/>
        <v>333.14285714285717</v>
      </c>
      <c r="K12527" s="297">
        <f>J12527/POBLA!$B$22*100000</f>
        <v>34.052788539338344</v>
      </c>
      <c r="L12527" s="200">
        <f t="shared" si="2364"/>
        <v>1.0398613518197486E-2</v>
      </c>
      <c r="M12527" s="401">
        <f>SUM(C12527,C12503,C12479,C12455,C12431,C12407,C12383)/POBLA!$B$22*100000</f>
        <v>238.36951977536839</v>
      </c>
      <c r="N12527" s="42" t="s">
        <v>38</v>
      </c>
      <c r="O12527" s="42">
        <v>2</v>
      </c>
      <c r="P12527" s="42">
        <v>2</v>
      </c>
      <c r="Q12527" s="42">
        <v>0</v>
      </c>
      <c r="R12527" s="42">
        <v>4</v>
      </c>
    </row>
    <row r="12528" spans="1:18" x14ac:dyDescent="0.25">
      <c r="A12528" s="367" t="s">
        <v>39</v>
      </c>
      <c r="B12528" s="2">
        <v>44414</v>
      </c>
      <c r="C12528" s="637">
        <v>33</v>
      </c>
      <c r="D12528" s="39">
        <f t="shared" si="2367"/>
        <v>31475</v>
      </c>
      <c r="E12528" s="637"/>
      <c r="F12528" s="39">
        <f>E12528+F12504</f>
        <v>498</v>
      </c>
      <c r="G12528" s="168">
        <f>SUM(C12528,C12504,C12480,C12456,C12432,C12408,C12384,C12360,C12336,C12312,C12288,C12264,C12240,C12216)/POBLA!$B$23*100000</f>
        <v>365.32262625120171</v>
      </c>
      <c r="H12528" s="256">
        <f t="shared" si="2365"/>
        <v>1</v>
      </c>
      <c r="I12528" s="297">
        <f t="shared" si="2366"/>
        <v>365.32262625120171</v>
      </c>
      <c r="J12528" s="422">
        <f t="shared" si="2363"/>
        <v>46.428571428571431</v>
      </c>
      <c r="K12528" s="297">
        <f>J12528/POBLA!$B$23*100000</f>
        <v>26.256048989748024</v>
      </c>
      <c r="L12528" s="200">
        <f t="shared" si="2364"/>
        <v>1.2461059190031154E-2</v>
      </c>
      <c r="M12528" s="401">
        <f>SUM(C12528,C12504,C12480,C12456,C12432,C12408,C12384)/POBLA!$B$23*100000</f>
        <v>183.79234292823617</v>
      </c>
    </row>
    <row r="12529" spans="1:18" ht="15.75" thickBot="1" x14ac:dyDescent="0.3">
      <c r="A12529" s="369" t="s">
        <v>40</v>
      </c>
      <c r="B12529" s="2">
        <v>44414</v>
      </c>
      <c r="C12529" s="637">
        <v>828</v>
      </c>
      <c r="D12529" s="176">
        <f t="shared" si="2367"/>
        <v>185273</v>
      </c>
      <c r="E12529" s="637">
        <v>2</v>
      </c>
      <c r="F12529" s="176">
        <f>E12529+F12505</f>
        <v>2623</v>
      </c>
      <c r="G12529" s="177">
        <f>SUM(C12529,C12505,C12481,C12457,C12433,C12409,C12385,C12361,C12337,C12313,C12289,C12265,C12241,C12217)/POBLA!$B$24*100000</f>
        <v>560.88079232599421</v>
      </c>
      <c r="H12529" s="402">
        <f t="shared" si="2365"/>
        <v>0.98070573669005368</v>
      </c>
      <c r="I12529" s="403">
        <f t="shared" si="2366"/>
        <v>550.05901063336512</v>
      </c>
      <c r="J12529" s="423">
        <f t="shared" si="2363"/>
        <v>696</v>
      </c>
      <c r="K12529" s="403">
        <f>J12529/POBLA!$B$24*100000</f>
        <v>41.070282110351599</v>
      </c>
      <c r="L12529" s="404">
        <f t="shared" si="2364"/>
        <v>5.1586445067990594E-2</v>
      </c>
      <c r="M12529" s="405">
        <f>SUM(C12529,C12505,C12481,C12457,C12433,C12409,C12385)/POBLA!$B$24*100000</f>
        <v>287.49197477246122</v>
      </c>
      <c r="N12529" s="42" t="s">
        <v>40</v>
      </c>
      <c r="O12529" s="42">
        <v>1</v>
      </c>
      <c r="P12529" s="42">
        <v>1</v>
      </c>
      <c r="Q12529" s="42">
        <v>0</v>
      </c>
      <c r="R12529" s="42">
        <v>2</v>
      </c>
    </row>
    <row r="12530" spans="1:18" x14ac:dyDescent="0.25">
      <c r="A12530" s="363" t="s">
        <v>16</v>
      </c>
      <c r="B12530" s="2">
        <v>44415</v>
      </c>
      <c r="C12530" s="637">
        <v>2343</v>
      </c>
      <c r="D12530" s="174">
        <f>C12530+D12506</f>
        <v>1996065</v>
      </c>
      <c r="E12530" s="637">
        <v>5</v>
      </c>
      <c r="F12530" s="174">
        <f t="shared" ref="F12530:F12548" si="2368">E12530+F12506</f>
        <v>52535</v>
      </c>
      <c r="G12530" s="175">
        <f>SUM(C12530,C12506,C12458,C12482,C12434,C12410,C12386,C12362,C12338,C12314,C12290,C12266,C12242,C12218)/POBLA!$B$1*100000</f>
        <v>256.87610629205932</v>
      </c>
      <c r="H12530" s="300">
        <f t="shared" si="2365"/>
        <v>0.78857192859642977</v>
      </c>
      <c r="I12530" s="301">
        <f>G12530*H12530</f>
        <v>202.56528654907072</v>
      </c>
      <c r="J12530" s="421">
        <f>AVERAGE(C12530,C12506,C12482,C12458,C12434,C12410,C12386)</f>
        <v>3079</v>
      </c>
      <c r="K12530" s="301">
        <f>J12530/POBLA!$B$1*100000</f>
        <v>17.553020068648898</v>
      </c>
      <c r="L12530" s="399">
        <f>(SUM(C12530,C12506,C12482,C12458,C12434,C12410,C12386)/SUM(C12362,C12338,C12314,C12290,C12266,C12242,C12218))-1</f>
        <v>-8.3085169743895126E-2</v>
      </c>
      <c r="M12530" s="400">
        <f>SUM(C12530,C12506,C12482,C12458,C12434,C12410,C12386)/POBLA!$B$1*100000</f>
        <v>122.87114048054228</v>
      </c>
      <c r="N12530" s="42" t="s">
        <v>16</v>
      </c>
      <c r="O12530" s="42">
        <v>1</v>
      </c>
      <c r="P12530" s="42">
        <v>4</v>
      </c>
      <c r="Q12530" s="42">
        <v>0</v>
      </c>
      <c r="R12530" s="42">
        <v>5</v>
      </c>
    </row>
    <row r="12531" spans="1:18" x14ac:dyDescent="0.25">
      <c r="A12531" s="367" t="s">
        <v>43</v>
      </c>
      <c r="B12531" s="2">
        <v>44415</v>
      </c>
      <c r="C12531" s="637">
        <v>642</v>
      </c>
      <c r="D12531" s="39">
        <f t="shared" ref="D12531:D12545" si="2369">C12531+D12507</f>
        <v>496620</v>
      </c>
      <c r="E12531" s="637">
        <v>5</v>
      </c>
      <c r="F12531" s="39">
        <f t="shared" si="2368"/>
        <v>10969</v>
      </c>
      <c r="G12531" s="168">
        <f>SUM(C12531,C12507,C12483,C12459,C12435,C12411,C12387,C12363,C12339,C12315,C12291,C12267,C12243,C12219)/POBLA!$B$2*100000</f>
        <v>326.14286559636577</v>
      </c>
      <c r="H12531" s="256">
        <f t="shared" si="2365"/>
        <v>0.82417221263659524</v>
      </c>
      <c r="I12531" s="297">
        <f t="shared" ref="I12531:I12537" si="2370">G12531*H12531</f>
        <v>268.79788717419649</v>
      </c>
      <c r="J12531" s="422">
        <f>AVERAGE(C12531,C12507,C12483,C12459,C12435,C12411,C12387)</f>
        <v>721.28571428571433</v>
      </c>
      <c r="K12531" s="297">
        <f>J12531/POBLA!$B$2*100000</f>
        <v>23.451519267357632</v>
      </c>
      <c r="L12531" s="200">
        <f>(SUM(C12531,C12507,C12483,C12459,C12435,C12411,C12387)/SUM(C12363,C12339,C12315,C12291,C12267,C12243,C12219))-1</f>
        <v>1.3448414291449273E-2</v>
      </c>
      <c r="M12531" s="401">
        <f>SUM(C12531,C12507,C12483,C12459,C12435,C12411,C12387)/POBLA!$B$2*100000</f>
        <v>164.16063487150342</v>
      </c>
      <c r="N12531" s="42" t="s">
        <v>43</v>
      </c>
      <c r="O12531" s="42">
        <v>3</v>
      </c>
      <c r="P12531" s="42">
        <v>2</v>
      </c>
      <c r="Q12531" s="42">
        <v>0</v>
      </c>
      <c r="R12531" s="42">
        <v>5</v>
      </c>
    </row>
    <row r="12532" spans="1:18" x14ac:dyDescent="0.25">
      <c r="A12532" s="367" t="s">
        <v>28</v>
      </c>
      <c r="B12532" s="2">
        <v>44415</v>
      </c>
      <c r="C12532" s="637">
        <v>204</v>
      </c>
      <c r="D12532" s="39">
        <f t="shared" si="2369"/>
        <v>44050</v>
      </c>
      <c r="E12532" s="637"/>
      <c r="F12532" s="39">
        <f t="shared" si="2368"/>
        <v>506</v>
      </c>
      <c r="G12532" s="168">
        <f>SUM(C12532,C12508,C12484,C12460,C12436,C12412,C12388,C12364,C12340,C12316,C12292,C12268,C12244,C12220)/POBLA!$B$3*100000</f>
        <v>837.67012165473545</v>
      </c>
      <c r="H12532" s="256">
        <f t="shared" si="2365"/>
        <v>0.99343419925777909</v>
      </c>
      <c r="I12532" s="297">
        <f t="shared" si="2370"/>
        <v>832.17014654823856</v>
      </c>
      <c r="J12532" s="422">
        <f t="shared" ref="J12532:J12553" si="2371">AVERAGE(C12532,C12508,C12484,C12460,C12436,C12412,C12388)</f>
        <v>237</v>
      </c>
      <c r="K12532" s="297">
        <f>J12532/POBLA!$B$3*100000</f>
        <v>57.04822380234836</v>
      </c>
      <c r="L12532" s="200">
        <f t="shared" ref="L12532:L12553" si="2372">(SUM(C12532,C12508,C12484,C12460,C12436,C12412,C12388)/SUM(C12364,C12340,C12316,C12292,C12268,C12244,C12220))-1</f>
        <v>-8.8962108731466261E-2</v>
      </c>
      <c r="M12532" s="401">
        <f>SUM(C12532,C12508,C12484,C12460,C12436,C12412,C12388)/POBLA!$B$3*100000</f>
        <v>399.33756661643855</v>
      </c>
    </row>
    <row r="12533" spans="1:18" x14ac:dyDescent="0.25">
      <c r="A12533" s="367" t="s">
        <v>15</v>
      </c>
      <c r="B12533" s="2">
        <v>44415</v>
      </c>
      <c r="C12533" s="637">
        <v>276</v>
      </c>
      <c r="D12533" s="39">
        <f t="shared" si="2369"/>
        <v>94144</v>
      </c>
      <c r="E12533" s="637">
        <v>6</v>
      </c>
      <c r="F12533" s="39">
        <f t="shared" si="2368"/>
        <v>2076</v>
      </c>
      <c r="G12533" s="168">
        <f>SUM(C12533,C12509,C12485,C12461,C12437,C12413,C12389,C12365,C12341,C12317,C12293,C12269,C12245,C12221)/POBLA!$B$4*100000</f>
        <v>473.54137385111835</v>
      </c>
      <c r="H12533" s="256">
        <f t="shared" si="2365"/>
        <v>0.98091143594153052</v>
      </c>
      <c r="I12533" s="297">
        <f t="shared" si="2370"/>
        <v>464.50214900202565</v>
      </c>
      <c r="J12533" s="422">
        <f t="shared" si="2371"/>
        <v>396.85714285714283</v>
      </c>
      <c r="K12533" s="297">
        <f>J12533/POBLA!$B$4*100000</f>
        <v>32.946752568583626</v>
      </c>
      <c r="L12533" s="200">
        <f t="shared" si="2372"/>
        <v>-5.0580997949418949E-2</v>
      </c>
      <c r="M12533" s="401">
        <f>SUM(C12533,C12509,C12485,C12461,C12437,C12413,C12389)/POBLA!$B$4*100000</f>
        <v>230.62726798008535</v>
      </c>
      <c r="N12533" s="42" t="s">
        <v>15</v>
      </c>
      <c r="O12533" s="42">
        <v>2</v>
      </c>
      <c r="P12533" s="42">
        <v>4</v>
      </c>
      <c r="Q12533" s="42">
        <v>0</v>
      </c>
      <c r="R12533" s="42">
        <v>6</v>
      </c>
    </row>
    <row r="12534" spans="1:18" x14ac:dyDescent="0.25">
      <c r="A12534" s="367" t="s">
        <v>29</v>
      </c>
      <c r="B12534" s="2">
        <v>44415</v>
      </c>
      <c r="C12534" s="637">
        <v>187</v>
      </c>
      <c r="D12534" s="39">
        <f t="shared" si="2369"/>
        <v>77663</v>
      </c>
      <c r="E12534" s="637">
        <v>5</v>
      </c>
      <c r="F12534" s="39">
        <f t="shared" si="2368"/>
        <v>1361</v>
      </c>
      <c r="G12534" s="168">
        <f>SUM(C12534,C12510,C12486,C12462,C12438,C12414,C12390,C12366,C12342,C12318,C12294,C12270,C12246,C12222)/POBLA!$B$5*100000</f>
        <v>436.83783687725565</v>
      </c>
      <c r="H12534" s="256">
        <f t="shared" si="2365"/>
        <v>1.1276063386155128</v>
      </c>
      <c r="I12534" s="297">
        <f t="shared" si="2370"/>
        <v>492.58111380988288</v>
      </c>
      <c r="J12534" s="422">
        <f t="shared" si="2371"/>
        <v>171.85714285714286</v>
      </c>
      <c r="K12534" s="297">
        <f>J12534/POBLA!$B$5*100000</f>
        <v>27.763943246161169</v>
      </c>
      <c r="L12534" s="200">
        <f t="shared" si="2372"/>
        <v>-0.1985343104596935</v>
      </c>
      <c r="M12534" s="401">
        <f>SUM(C12534,C12510,C12486,C12462,C12438,C12414,C12390)/POBLA!$B$5*100000</f>
        <v>194.34760272312818</v>
      </c>
      <c r="N12534" s="42" t="s">
        <v>29</v>
      </c>
      <c r="O12534" s="42">
        <v>1</v>
      </c>
      <c r="P12534" s="42">
        <v>4</v>
      </c>
      <c r="Q12534" s="42">
        <v>0</v>
      </c>
      <c r="R12534" s="42">
        <v>5</v>
      </c>
    </row>
    <row r="12535" spans="1:18" x14ac:dyDescent="0.25">
      <c r="A12535" s="367" t="s">
        <v>30</v>
      </c>
      <c r="B12535" s="2">
        <v>44415</v>
      </c>
      <c r="C12535" s="637">
        <v>1089</v>
      </c>
      <c r="D12535" s="39">
        <f t="shared" si="2369"/>
        <v>452029</v>
      </c>
      <c r="E12535" s="637">
        <v>6</v>
      </c>
      <c r="F12535" s="39">
        <f t="shared" si="2368"/>
        <v>5924</v>
      </c>
      <c r="G12535" s="168">
        <f>SUM(C12535,C12511,C12487,C12463,C12439,C12415,C12391,C12367,C12343,C12319,C12295,C12271,C12247,C12223)/POBLA!$B$6*100000</f>
        <v>581.28070906432094</v>
      </c>
      <c r="H12535" s="256">
        <f t="shared" si="2365"/>
        <v>0.93592874586984631</v>
      </c>
      <c r="I12535" s="297">
        <f t="shared" si="2370"/>
        <v>544.03732503290496</v>
      </c>
      <c r="J12535" s="422">
        <f t="shared" si="2371"/>
        <v>461.28571428571428</v>
      </c>
      <c r="K12535" s="297">
        <f>J12535/POBLA!$B$6*100000</f>
        <v>41.156790035493749</v>
      </c>
      <c r="L12535" s="200">
        <f t="shared" si="2372"/>
        <v>-1.7346317711503301E-2</v>
      </c>
      <c r="M12535" s="401">
        <f>SUM(C12535,C12511,C12487,C12463,C12439,C12415,C12391)/POBLA!$B$6*100000</f>
        <v>288.09753024845622</v>
      </c>
      <c r="N12535" s="42" t="s">
        <v>30</v>
      </c>
      <c r="O12535" s="42">
        <v>2</v>
      </c>
      <c r="P12535" s="42">
        <v>4</v>
      </c>
      <c r="Q12535" s="42">
        <v>0</v>
      </c>
      <c r="R12535" s="42">
        <v>6</v>
      </c>
    </row>
    <row r="12536" spans="1:18" x14ac:dyDescent="0.25">
      <c r="A12536" s="367" t="s">
        <v>20</v>
      </c>
      <c r="B12536" s="2">
        <v>44415</v>
      </c>
      <c r="C12536" s="637">
        <v>1075</v>
      </c>
      <c r="D12536" s="39">
        <f t="shared" si="2369"/>
        <v>112617</v>
      </c>
      <c r="E12536" s="637">
        <v>7</v>
      </c>
      <c r="F12536" s="39">
        <f t="shared" si="2368"/>
        <v>1272</v>
      </c>
      <c r="G12536" s="168">
        <f>SUM(C12536,C12512,C12488,C12464,C12440,C12416,C12392,C12368,C12344,C12320,C12296,C12272,C12248,C12224)/POBLA!$B$7*100000</f>
        <v>670.95693334574321</v>
      </c>
      <c r="H12536" s="256">
        <f t="shared" si="2365"/>
        <v>1.0416993518021551</v>
      </c>
      <c r="I12536" s="297">
        <f t="shared" si="2370"/>
        <v>698.93540255342248</v>
      </c>
      <c r="J12536" s="422">
        <f t="shared" si="2371"/>
        <v>1733.7142857142858</v>
      </c>
      <c r="K12536" s="297">
        <f>J12536/POBLA!$B$7*100000</f>
        <v>46.103904737844829</v>
      </c>
      <c r="L12536" s="200">
        <f t="shared" si="2372"/>
        <v>-7.3234058801069146E-2</v>
      </c>
      <c r="M12536" s="401">
        <f>SUM(C12536,C12512,C12488,C12464,C12440,C12416,C12392)/POBLA!$B$7*100000</f>
        <v>322.72733316491377</v>
      </c>
      <c r="N12536" s="42" t="s">
        <v>20</v>
      </c>
      <c r="O12536" s="42">
        <v>2</v>
      </c>
      <c r="P12536" s="42">
        <v>5</v>
      </c>
      <c r="Q12536" s="42">
        <v>0</v>
      </c>
      <c r="R12536" s="42">
        <v>7</v>
      </c>
    </row>
    <row r="12537" spans="1:18" x14ac:dyDescent="0.25">
      <c r="A12537" s="367" t="s">
        <v>31</v>
      </c>
      <c r="B12537" s="2">
        <v>44415</v>
      </c>
      <c r="C12537" s="637">
        <v>243</v>
      </c>
      <c r="D12537" s="39">
        <f t="shared" si="2369"/>
        <v>130275</v>
      </c>
      <c r="E12537" s="637"/>
      <c r="F12537" s="39">
        <f t="shared" si="2368"/>
        <v>2197</v>
      </c>
      <c r="G12537" s="168">
        <f>SUM(C12537,C12513,C12489,C12465,C12441,C12417,C12393,C12369,C12345,C12321,C12297,C12273,C12249,C12225)/POBLA!$B$8*100000</f>
        <v>366.82128862211852</v>
      </c>
      <c r="H12537" s="256">
        <f t="shared" ref="H12537:H12560" si="2373">SUM(C12537,C12513,C12489,C12465,C12441,C12417,C12393,C12369,C12345,C12321,C12297,C12273,C12249,C12225,)/SUM(C12201,C12177,C12153,C12129,C12105,C12081,C12057,C12033,C12009,C11985,C11961,C11937,C11913,C11889)</f>
        <v>0.62068123550238063</v>
      </c>
      <c r="I12537" s="297">
        <f t="shared" si="2370"/>
        <v>227.67909063055188</v>
      </c>
      <c r="J12537" s="422">
        <f t="shared" si="2371"/>
        <v>322.42857142857144</v>
      </c>
      <c r="K12537" s="297">
        <f>J12537/POBLA!$B$8*100000</f>
        <v>23.26389930370129</v>
      </c>
      <c r="L12537" s="200">
        <f t="shared" si="2372"/>
        <v>-0.20162716660771141</v>
      </c>
      <c r="M12537" s="401">
        <f>SUM(C12537,C12513,C12489,C12465,C12441,C12417,C12393)/POBLA!$B$8*100000</f>
        <v>162.84729512590903</v>
      </c>
    </row>
    <row r="12538" spans="1:18" x14ac:dyDescent="0.25">
      <c r="A12538" s="367" t="s">
        <v>41</v>
      </c>
      <c r="B12538" s="2">
        <v>44415</v>
      </c>
      <c r="C12538" s="637">
        <v>254</v>
      </c>
      <c r="D12538" s="39">
        <f t="shared" si="2369"/>
        <v>57581</v>
      </c>
      <c r="E12538" s="637"/>
      <c r="F12538" s="39">
        <f t="shared" si="2368"/>
        <v>1047</v>
      </c>
      <c r="G12538" s="168">
        <f>SUM(C12538,C12514,C12490,C12466,C12442,C12418,C12394,C12370,C12346,C12322,C12298,C12274,C12250,C12226)/POBLA!$B$9*100000</f>
        <v>528.75694200032058</v>
      </c>
      <c r="H12538" s="256">
        <f t="shared" si="2373"/>
        <v>0.7074950254256025</v>
      </c>
      <c r="I12538" s="297">
        <f>G12538*H12538</f>
        <v>374.09290612448063</v>
      </c>
      <c r="J12538" s="422">
        <f t="shared" si="2371"/>
        <v>212.85714285714286</v>
      </c>
      <c r="K12538" s="297">
        <f>J12538/POBLA!$B$9*100000</f>
        <v>35.171778731271324</v>
      </c>
      <c r="L12538" s="200">
        <f t="shared" si="2372"/>
        <v>-0.12865497076023391</v>
      </c>
      <c r="M12538" s="401">
        <f>SUM(C12538,C12514,C12490,C12466,C12442,C12418,C12394)/POBLA!$B$9*100000</f>
        <v>246.20245111889929</v>
      </c>
    </row>
    <row r="12539" spans="1:18" x14ac:dyDescent="0.25">
      <c r="A12539" s="367" t="s">
        <v>32</v>
      </c>
      <c r="B12539" s="2">
        <v>44415</v>
      </c>
      <c r="C12539" s="637">
        <v>122</v>
      </c>
      <c r="D12539" s="39">
        <f t="shared" si="2369"/>
        <v>44704</v>
      </c>
      <c r="E12539" s="637">
        <v>5</v>
      </c>
      <c r="F12539" s="39">
        <f t="shared" si="2368"/>
        <v>1351</v>
      </c>
      <c r="G12539" s="168">
        <f>SUM(C12539,C12515,C12491,C12467,C12443,C12419,C12395,C12371,C12347,C12323,C12299,C12275,C12251,C12227)/POBLA!$B$10*100000</f>
        <v>319.76401026877039</v>
      </c>
      <c r="H12539" s="256">
        <f t="shared" si="2373"/>
        <v>0.68835520804244621</v>
      </c>
      <c r="I12539" s="297">
        <f t="shared" ref="I12539:I12553" si="2374">G12539*H12539</f>
        <v>220.11122181304634</v>
      </c>
      <c r="J12539" s="422">
        <f t="shared" si="2371"/>
        <v>169.71428571428572</v>
      </c>
      <c r="K12539" s="297">
        <f>J12539/POBLA!$B$10*100000</f>
        <v>22.015627018214968</v>
      </c>
      <c r="L12539" s="200">
        <f t="shared" si="2372"/>
        <v>-6.9694596711041501E-2</v>
      </c>
      <c r="M12539" s="401">
        <f>SUM(C12539,C12515,C12491,C12467,C12443,C12419,C12395)/POBLA!$B$10*100000</f>
        <v>154.10938912750476</v>
      </c>
      <c r="N12539" s="42" t="s">
        <v>32</v>
      </c>
      <c r="O12539" s="42">
        <v>0</v>
      </c>
      <c r="P12539" s="42">
        <v>5</v>
      </c>
      <c r="Q12539" s="42">
        <v>0</v>
      </c>
      <c r="R12539" s="42">
        <v>5</v>
      </c>
    </row>
    <row r="12540" spans="1:18" x14ac:dyDescent="0.25">
      <c r="A12540" s="367" t="s">
        <v>33</v>
      </c>
      <c r="B12540" s="2">
        <v>44415</v>
      </c>
      <c r="C12540" s="637">
        <v>145</v>
      </c>
      <c r="D12540" s="39">
        <f t="shared" si="2369"/>
        <v>63243</v>
      </c>
      <c r="E12540" s="637"/>
      <c r="F12540" s="39">
        <f t="shared" si="2368"/>
        <v>862</v>
      </c>
      <c r="G12540" s="168">
        <f>SUM(C12540,C12516,C12492,C12468,C12444,C12420,C12396,C12372,C12348,C12324,C12300,C12276,C12252,C12228)/POBLA!$B$11*100000</f>
        <v>1044.0032586739876</v>
      </c>
      <c r="H12540" s="256">
        <f t="shared" si="2373"/>
        <v>0.98551488016855415</v>
      </c>
      <c r="I12540" s="297">
        <f t="shared" si="2374"/>
        <v>1028.8807463676749</v>
      </c>
      <c r="J12540" s="422">
        <f t="shared" si="2371"/>
        <v>255.14285714285714</v>
      </c>
      <c r="K12540" s="297">
        <f>J12540/POBLA!$B$11*100000</f>
        <v>71.183852026866518</v>
      </c>
      <c r="L12540" s="200">
        <f t="shared" si="2372"/>
        <v>-8.6912065439672781E-2</v>
      </c>
      <c r="M12540" s="401">
        <f>SUM(C12540,C12516,C12492,C12468,C12444,C12420,C12396)/POBLA!$B$11*100000</f>
        <v>498.28696418806561</v>
      </c>
    </row>
    <row r="12541" spans="1:18" x14ac:dyDescent="0.25">
      <c r="A12541" s="367" t="s">
        <v>21</v>
      </c>
      <c r="B12541" s="2">
        <v>44415</v>
      </c>
      <c r="C12541" s="637">
        <v>253</v>
      </c>
      <c r="D12541" s="39">
        <f t="shared" si="2369"/>
        <v>29991</v>
      </c>
      <c r="E12541" s="637">
        <v>12</v>
      </c>
      <c r="F12541" s="39">
        <f t="shared" si="2368"/>
        <v>826</v>
      </c>
      <c r="G12541" s="168">
        <f>SUM(C12541,C12517,C12493,C12469,C12445,C12421,C12397,C12373,C12349,C12325,C12301,C12277,C12253,C12229)/POBLA!$B$12*100000</f>
        <v>867.5301310443142</v>
      </c>
      <c r="H12541" s="256">
        <f t="shared" si="2373"/>
        <v>1.3677884615384615</v>
      </c>
      <c r="I12541" s="297">
        <f t="shared" si="2374"/>
        <v>1186.5977032793623</v>
      </c>
      <c r="J12541" s="422">
        <f t="shared" si="2371"/>
        <v>231.85714285714286</v>
      </c>
      <c r="K12541" s="297">
        <f>J12541/POBLA!$B$12*100000</f>
        <v>58.917122884129299</v>
      </c>
      <c r="L12541" s="200">
        <f t="shared" si="2372"/>
        <v>-9.3802345058626502E-2</v>
      </c>
      <c r="M12541" s="401">
        <f>SUM(C12541,C12517,C12493,C12469,C12445,C12421,C12397)/POBLA!$B$12*100000</f>
        <v>412.41986018890509</v>
      </c>
      <c r="N12541" s="42" t="s">
        <v>21</v>
      </c>
      <c r="O12541" s="42">
        <v>6</v>
      </c>
      <c r="P12541" s="42">
        <v>6</v>
      </c>
      <c r="Q12541" s="42">
        <v>0</v>
      </c>
      <c r="R12541" s="42">
        <v>12</v>
      </c>
    </row>
    <row r="12542" spans="1:18" x14ac:dyDescent="0.25">
      <c r="A12542" s="367" t="s">
        <v>17</v>
      </c>
      <c r="B12542" s="2">
        <v>44415</v>
      </c>
      <c r="C12542" s="637">
        <v>253</v>
      </c>
      <c r="D12542" s="39">
        <f t="shared" si="2369"/>
        <v>156853</v>
      </c>
      <c r="E12542" s="637">
        <v>13</v>
      </c>
      <c r="F12542" s="39">
        <f t="shared" si="2368"/>
        <v>4019</v>
      </c>
      <c r="G12542" s="168">
        <f>SUM(C12542,C12518,C12494,C12470,C12446,C12422,C12398,C12374,C12350,C12326,C12302,C12278,C12254,C12230)/POBLA!$B$13*100000</f>
        <v>287.43861595367218</v>
      </c>
      <c r="H12542" s="256">
        <f t="shared" si="2373"/>
        <v>0.91903614457831329</v>
      </c>
      <c r="I12542" s="297">
        <f t="shared" si="2374"/>
        <v>264.16647740898935</v>
      </c>
      <c r="J12542" s="422">
        <f t="shared" si="2371"/>
        <v>380</v>
      </c>
      <c r="K12542" s="297">
        <f>J12542/POBLA!$B$13*100000</f>
        <v>19.092234585281496</v>
      </c>
      <c r="L12542" s="200">
        <f t="shared" si="2372"/>
        <v>-0.13100294021561576</v>
      </c>
      <c r="M12542" s="401">
        <f>SUM(C12542,C12518,C12494,C12470,C12446,C12422,C12398)/POBLA!$B$13*100000</f>
        <v>133.64564209697045</v>
      </c>
      <c r="N12542" s="42" t="s">
        <v>17</v>
      </c>
      <c r="O12542" s="42">
        <v>5</v>
      </c>
      <c r="P12542" s="42">
        <v>8</v>
      </c>
      <c r="Q12542" s="42">
        <v>0</v>
      </c>
      <c r="R12542" s="42">
        <v>13</v>
      </c>
    </row>
    <row r="12543" spans="1:18" x14ac:dyDescent="0.25">
      <c r="A12543" s="367" t="s">
        <v>23</v>
      </c>
      <c r="B12543" s="2">
        <v>44415</v>
      </c>
      <c r="C12543" s="637">
        <v>171</v>
      </c>
      <c r="D12543" s="39">
        <f t="shared" si="2369"/>
        <v>32031</v>
      </c>
      <c r="E12543" s="637">
        <v>9</v>
      </c>
      <c r="F12543" s="39">
        <f t="shared" si="2368"/>
        <v>618</v>
      </c>
      <c r="G12543" s="168">
        <f>SUM(C12543,C12519,C12495,C12471,C12447,C12423,C12399,C12375,C12351,C12327,C12303,C12279,C12255,C12231)/POBLA!$B$14*100000</f>
        <v>189.01223663951467</v>
      </c>
      <c r="H12543" s="256">
        <f t="shared" si="2373"/>
        <v>1.0619153674832962</v>
      </c>
      <c r="I12543" s="297">
        <f t="shared" si="2374"/>
        <v>200.71499872988997</v>
      </c>
      <c r="J12543" s="422">
        <f t="shared" si="2371"/>
        <v>163.85714285714286</v>
      </c>
      <c r="K12543" s="297">
        <f>J12543/POBLA!$B$14*100000</f>
        <v>12.991193397981982</v>
      </c>
      <c r="L12543" s="200">
        <f t="shared" si="2372"/>
        <v>-7.2756669361358162E-2</v>
      </c>
      <c r="M12543" s="401">
        <f>SUM(C12543,C12519,C12495,C12471,C12447,C12423,C12399)/POBLA!$B$14*100000</f>
        <v>90.938353785873872</v>
      </c>
      <c r="N12543" s="42" t="s">
        <v>23</v>
      </c>
      <c r="O12543" s="42">
        <v>3</v>
      </c>
      <c r="P12543" s="42">
        <v>6</v>
      </c>
      <c r="Q12543" s="42">
        <v>0</v>
      </c>
      <c r="R12543" s="42">
        <v>9</v>
      </c>
    </row>
    <row r="12544" spans="1:18" x14ac:dyDescent="0.25">
      <c r="A12544" s="367" t="s">
        <v>19</v>
      </c>
      <c r="B12544" s="2">
        <v>44415</v>
      </c>
      <c r="C12544" s="637">
        <v>144</v>
      </c>
      <c r="D12544" s="39">
        <f t="shared" si="2369"/>
        <v>109014</v>
      </c>
      <c r="E12544" s="637">
        <v>2</v>
      </c>
      <c r="F12544" s="39">
        <f t="shared" si="2368"/>
        <v>2072</v>
      </c>
      <c r="G12544" s="168">
        <f>SUM(C12544,C12520,C12496,C12472,C12448,C12424,C12400,C12376,C12352,C12328,C12304,C12280,C12256,C12232)/POBLA!$B$15*100000</f>
        <v>446.6484051820853</v>
      </c>
      <c r="H12544" s="256">
        <f t="shared" si="2373"/>
        <v>1.1222096102913357</v>
      </c>
      <c r="I12544" s="297">
        <f t="shared" si="2374"/>
        <v>501.23313271663454</v>
      </c>
      <c r="J12544" s="422">
        <f t="shared" si="2371"/>
        <v>214.28571428571428</v>
      </c>
      <c r="K12544" s="297">
        <f>J12544/POBLA!$B$15*100000</f>
        <v>32.269174827720249</v>
      </c>
      <c r="L12544" s="200">
        <f t="shared" si="2372"/>
        <v>2.3192360163710735E-2</v>
      </c>
      <c r="M12544" s="401">
        <f>SUM(C12544,C12520,C12496,C12472,C12448,C12424,C12400)/POBLA!$B$15*100000</f>
        <v>225.88422379404179</v>
      </c>
      <c r="N12544" s="42" t="s">
        <v>19</v>
      </c>
      <c r="O12544" s="42">
        <v>0</v>
      </c>
      <c r="P12544" s="42">
        <v>2</v>
      </c>
      <c r="Q12544" s="42">
        <v>0</v>
      </c>
      <c r="R12544" s="42">
        <v>2</v>
      </c>
    </row>
    <row r="12545" spans="1:19" x14ac:dyDescent="0.25">
      <c r="A12545" s="367" t="s">
        <v>18</v>
      </c>
      <c r="B12545" s="2">
        <v>44415</v>
      </c>
      <c r="C12545" s="637">
        <v>188</v>
      </c>
      <c r="D12545" s="39">
        <f t="shared" si="2369"/>
        <v>94203</v>
      </c>
      <c r="E12545" s="637">
        <v>2</v>
      </c>
      <c r="F12545" s="39">
        <f t="shared" si="2368"/>
        <v>2135</v>
      </c>
      <c r="G12545" s="168">
        <f>SUM(C12545,C12521,C12497,C12473,C12449,C12425,C12401,C12377,C12353,C12329,C12305,C12281,C12257,C12233)/POBLA!$B$16*100000</f>
        <v>552.29330800818616</v>
      </c>
      <c r="H12545" s="256">
        <f t="shared" si="2373"/>
        <v>1.1195770065075923</v>
      </c>
      <c r="I12545" s="297">
        <f t="shared" si="2374"/>
        <v>618.33488849398066</v>
      </c>
      <c r="J12545" s="422">
        <f t="shared" si="2371"/>
        <v>267.28571428571428</v>
      </c>
      <c r="K12545" s="297">
        <f>J12545/POBLA!$B$16*100000</f>
        <v>35.752025024506665</v>
      </c>
      <c r="L12545" s="200">
        <f t="shared" si="2372"/>
        <v>-0.17139061116031884</v>
      </c>
      <c r="M12545" s="401">
        <f>SUM(C12545,C12521,C12497,C12473,C12449,C12425,C12401)/POBLA!$B$16*100000</f>
        <v>250.26417517154667</v>
      </c>
      <c r="N12545" s="42" t="s">
        <v>18</v>
      </c>
      <c r="O12545" s="42">
        <v>0</v>
      </c>
      <c r="P12545" s="42">
        <v>2</v>
      </c>
      <c r="Q12545" s="42">
        <v>0</v>
      </c>
      <c r="R12545" s="42">
        <v>2</v>
      </c>
    </row>
    <row r="12546" spans="1:19" x14ac:dyDescent="0.25">
      <c r="A12546" s="367" t="s">
        <v>34</v>
      </c>
      <c r="B12546" s="2">
        <v>44415</v>
      </c>
      <c r="C12546" s="637">
        <v>248</v>
      </c>
      <c r="D12546" s="39">
        <f>C12546+D12522</f>
        <v>77398</v>
      </c>
      <c r="E12546" s="637">
        <v>3</v>
      </c>
      <c r="F12546" s="39">
        <f t="shared" si="2368"/>
        <v>2140</v>
      </c>
      <c r="G12546" s="168">
        <f>SUM(C12546,C12522,C12498,C12474,C12450,C12426,C12402,C12378,C12354,C12330,C12306,C12282,C12258,C12234)/POBLA!$B$17*100000</f>
        <v>315.22110759851358</v>
      </c>
      <c r="H12546" s="256">
        <f t="shared" si="2373"/>
        <v>0.67947941888619856</v>
      </c>
      <c r="I12546" s="297">
        <f t="shared" si="2374"/>
        <v>214.18625501170189</v>
      </c>
      <c r="J12546" s="422">
        <f t="shared" si="2371"/>
        <v>307.14285714285717</v>
      </c>
      <c r="K12546" s="297">
        <f>J12546/POBLA!$B$17*100000</f>
        <v>21.563009269386075</v>
      </c>
      <c r="L12546" s="200">
        <f t="shared" si="2372"/>
        <v>-8.1196581196581241E-2</v>
      </c>
      <c r="M12546" s="401">
        <f>SUM(C12546,C12522,C12498,C12474,C12450,C12426,C12402)/POBLA!$B$17*100000</f>
        <v>150.9410648857025</v>
      </c>
      <c r="N12546" s="42" t="s">
        <v>34</v>
      </c>
      <c r="O12546" s="42">
        <v>2</v>
      </c>
      <c r="P12546" s="42">
        <v>1</v>
      </c>
      <c r="Q12546" s="42">
        <v>0</v>
      </c>
      <c r="R12546" s="42">
        <v>3</v>
      </c>
    </row>
    <row r="12547" spans="1:19" x14ac:dyDescent="0.25">
      <c r="A12547" s="367" t="s">
        <v>35</v>
      </c>
      <c r="B12547" s="2">
        <v>44415</v>
      </c>
      <c r="C12547" s="637">
        <v>227</v>
      </c>
      <c r="D12547" s="39">
        <f t="shared" ref="D12547:D12553" si="2375">C12547+D12523</f>
        <v>62367</v>
      </c>
      <c r="E12547" s="637">
        <v>2</v>
      </c>
      <c r="F12547" s="39">
        <f t="shared" si="2368"/>
        <v>971</v>
      </c>
      <c r="G12547" s="168">
        <f>SUM(C12547,C12523,C12499,C12475,C12451,C12427,C12403,C12379,C12355,C12331,C12307,C12283,C12259,C12235)/POBLA!$B$18*100000</f>
        <v>504.34130337665459</v>
      </c>
      <c r="H12547" s="256">
        <f t="shared" si="2373"/>
        <v>0.96901131333005408</v>
      </c>
      <c r="I12547" s="297">
        <f t="shared" si="2374"/>
        <v>488.71242875160328</v>
      </c>
      <c r="J12547" s="422">
        <f t="shared" si="2371"/>
        <v>208.57142857142858</v>
      </c>
      <c r="K12547" s="297">
        <f>J12547/POBLA!$B$18*100000</f>
        <v>26.698270592092666</v>
      </c>
      <c r="L12547" s="200">
        <f t="shared" si="2372"/>
        <v>-0.41129032258064513</v>
      </c>
      <c r="M12547" s="401">
        <f>SUM(C12547,C12523,C12499,C12475,C12451,C12427,C12403)/POBLA!$B$18*100000</f>
        <v>186.88789414464867</v>
      </c>
      <c r="N12547" s="42" t="s">
        <v>35</v>
      </c>
      <c r="O12547" s="42">
        <v>1</v>
      </c>
      <c r="P12547" s="42">
        <v>1</v>
      </c>
      <c r="Q12547" s="42">
        <v>0</v>
      </c>
      <c r="R12547" s="42">
        <v>2</v>
      </c>
    </row>
    <row r="12548" spans="1:19" x14ac:dyDescent="0.25">
      <c r="A12548" s="367" t="s">
        <v>36</v>
      </c>
      <c r="B12548" s="2">
        <v>44415</v>
      </c>
      <c r="C12548" s="637">
        <v>241</v>
      </c>
      <c r="D12548" s="39">
        <f t="shared" si="2375"/>
        <v>76684</v>
      </c>
      <c r="E12548" s="637">
        <v>1</v>
      </c>
      <c r="F12548" s="39">
        <f t="shared" si="2368"/>
        <v>1258</v>
      </c>
      <c r="G12548" s="168">
        <f>SUM(C12548,C12524,C12500,C12476,C12452,C12428,C12404,C12380,C12356,C12332,C12308,C12284,C12260,C12236)/POBLA!$B$19*100000</f>
        <v>691.8761114870714</v>
      </c>
      <c r="H12548" s="256">
        <f t="shared" si="2373"/>
        <v>0.88925410872313526</v>
      </c>
      <c r="I12548" s="297">
        <f t="shared" si="2374"/>
        <v>615.25367486726429</v>
      </c>
      <c r="J12548" s="422">
        <f t="shared" si="2371"/>
        <v>246.71428571428572</v>
      </c>
      <c r="K12548" s="297">
        <f>J12548/POBLA!$B$19*100000</f>
        <v>48.534467059513879</v>
      </c>
      <c r="L12548" s="200">
        <f t="shared" si="2372"/>
        <v>-3.5195530726257029E-2</v>
      </c>
      <c r="M12548" s="401">
        <f>SUM(C12548,C12524,C12500,C12476,C12452,C12428,C12404)/POBLA!$B$19*100000</f>
        <v>339.74126941659716</v>
      </c>
      <c r="N12548" s="42" t="s">
        <v>36</v>
      </c>
      <c r="O12548" s="42">
        <v>0</v>
      </c>
      <c r="P12548" s="42">
        <v>1</v>
      </c>
      <c r="Q12548" s="42">
        <v>0</v>
      </c>
      <c r="R12548" s="42">
        <v>1</v>
      </c>
    </row>
    <row r="12549" spans="1:19" x14ac:dyDescent="0.25">
      <c r="A12549" s="367" t="s">
        <v>37</v>
      </c>
      <c r="B12549" s="2">
        <v>44415</v>
      </c>
      <c r="C12549" s="637">
        <v>21</v>
      </c>
      <c r="D12549" s="39">
        <f t="shared" si="2375"/>
        <v>58248</v>
      </c>
      <c r="E12549" s="637"/>
      <c r="F12549" s="39">
        <f>E12549+F12525</f>
        <v>970</v>
      </c>
      <c r="G12549" s="168">
        <f>SUM(C12549,C12525,C12502,C12477,C12453,C12429,C12405,C12381,C12357,C12333,C12309,C12285,C12261,C12237)/POBLA!$B$20*100000</f>
        <v>506.15535223052899</v>
      </c>
      <c r="H12549" s="256">
        <f t="shared" si="2373"/>
        <v>0.88100208768267219</v>
      </c>
      <c r="I12549" s="297">
        <f t="shared" si="2374"/>
        <v>445.92392200685435</v>
      </c>
      <c r="J12549" s="422">
        <f t="shared" si="2371"/>
        <v>53.857142857142854</v>
      </c>
      <c r="K12549" s="297">
        <f>J12549/POBLA!$B$20*100000</f>
        <v>14.727218321440876</v>
      </c>
      <c r="L12549" s="200">
        <f t="shared" si="2372"/>
        <v>-0.19271948608137046</v>
      </c>
      <c r="M12549" s="401">
        <f>SUM(C12549,C12525,C12501,C12477,C12453,C12429,C12405)/POBLA!$B$20*100000</f>
        <v>103.09052825008614</v>
      </c>
    </row>
    <row r="12550" spans="1:19" x14ac:dyDescent="0.25">
      <c r="A12550" s="367" t="s">
        <v>22</v>
      </c>
      <c r="B12550" s="2">
        <v>44415</v>
      </c>
      <c r="C12550" s="637">
        <v>775</v>
      </c>
      <c r="D12550" s="39">
        <f t="shared" si="2375"/>
        <v>453982</v>
      </c>
      <c r="E12550" s="637">
        <v>1</v>
      </c>
      <c r="F12550" s="39">
        <f>E12550+F12526</f>
        <v>8007</v>
      </c>
      <c r="G12550" s="168">
        <f>SUM(C12550,C12526,C12502,C12478,C12454,C12430,C12406,C12382,C12358,C12334,C12310,C12286,C12262,C12238)/POBLA!$B$21*100000</f>
        <v>405.15572536956887</v>
      </c>
      <c r="H12550" s="256">
        <f t="shared" si="2373"/>
        <v>0.78746908491343781</v>
      </c>
      <c r="I12550" s="297">
        <f t="shared" si="2374"/>
        <v>319.04760830421452</v>
      </c>
      <c r="J12550" s="422">
        <f t="shared" si="2371"/>
        <v>944</v>
      </c>
      <c r="K12550" s="297">
        <f>J12550/POBLA!$B$21*100000</f>
        <v>26.693677048357973</v>
      </c>
      <c r="L12550" s="200">
        <f t="shared" si="2372"/>
        <v>-0.1440414507772021</v>
      </c>
      <c r="M12550" s="401">
        <f>SUM(C12550,C12526,C12502,C12478,C12454,C12430,C12406)/POBLA!$B$21*100000</f>
        <v>186.8557393385058</v>
      </c>
      <c r="N12550" s="42" t="s">
        <v>22</v>
      </c>
      <c r="O12550" s="42">
        <v>0</v>
      </c>
      <c r="P12550" s="42">
        <v>1</v>
      </c>
      <c r="Q12550" s="42">
        <v>0</v>
      </c>
      <c r="R12550" s="42">
        <v>1</v>
      </c>
    </row>
    <row r="12551" spans="1:19" x14ac:dyDescent="0.25">
      <c r="A12551" s="367" t="s">
        <v>38</v>
      </c>
      <c r="B12551" s="2">
        <v>44415</v>
      </c>
      <c r="C12551" s="637">
        <v>258</v>
      </c>
      <c r="D12551" s="39">
        <f t="shared" si="2375"/>
        <v>75799</v>
      </c>
      <c r="E12551" s="637">
        <v>4</v>
      </c>
      <c r="F12551" s="39">
        <f>E12551+F12527</f>
        <v>1080</v>
      </c>
      <c r="G12551" s="168">
        <f>SUM(C12551,C12527,C12503,C12479,C12455,C12431,C12407,C12383,C12359,C12335,C12311,C12287,C12263,C12239)/POBLA!$B$22*100000</f>
        <v>466.61957880555605</v>
      </c>
      <c r="H12551" s="256">
        <f t="shared" si="2373"/>
        <v>0.74701358206512847</v>
      </c>
      <c r="I12551" s="297">
        <f t="shared" si="2374"/>
        <v>348.57116302525992</v>
      </c>
      <c r="J12551" s="422">
        <f t="shared" si="2371"/>
        <v>329.42857142857144</v>
      </c>
      <c r="K12551" s="297">
        <f>J12551/POBLA!$B$22*100000</f>
        <v>33.673126231438346</v>
      </c>
      <c r="L12551" s="200">
        <f t="shared" si="2372"/>
        <v>2.0805666223992825E-2</v>
      </c>
      <c r="M12551" s="401">
        <f>SUM(C12551,C12527,C12503,C12479,C12455,C12431,C12407)/POBLA!$B$22*100000</f>
        <v>235.71188362006842</v>
      </c>
      <c r="N12551" s="42" t="s">
        <v>38</v>
      </c>
      <c r="O12551" s="42">
        <v>2</v>
      </c>
      <c r="P12551" s="42">
        <v>2</v>
      </c>
      <c r="Q12551" s="42">
        <v>0</v>
      </c>
      <c r="R12551" s="42">
        <v>4</v>
      </c>
    </row>
    <row r="12552" spans="1:19" x14ac:dyDescent="0.25">
      <c r="A12552" s="367" t="s">
        <v>39</v>
      </c>
      <c r="B12552" s="2">
        <v>44415</v>
      </c>
      <c r="C12552" s="637">
        <v>25</v>
      </c>
      <c r="D12552" s="39">
        <f t="shared" si="2375"/>
        <v>31500</v>
      </c>
      <c r="E12552" s="637"/>
      <c r="F12552" s="39">
        <f>E12552+F12528</f>
        <v>498</v>
      </c>
      <c r="G12552" s="168">
        <f>SUM(C12552,C12528,C12504,C12480,C12456,C12432,C12408,C12384,C12360,C12336,C12312,C12288,C12264,C12240)/POBLA!$B$23*100000</f>
        <v>357.97093253407223</v>
      </c>
      <c r="H12552" s="256">
        <f t="shared" si="2373"/>
        <v>0.96641221374045805</v>
      </c>
      <c r="I12552" s="297">
        <f t="shared" si="2374"/>
        <v>345.9474813649889</v>
      </c>
      <c r="J12552" s="422">
        <f t="shared" si="2371"/>
        <v>47.142857142857146</v>
      </c>
      <c r="K12552" s="297">
        <f>J12552/POBLA!$B$23*100000</f>
        <v>26.659988204974916</v>
      </c>
      <c r="L12552" s="200">
        <f t="shared" si="2372"/>
        <v>8.9108910891089188E-2</v>
      </c>
      <c r="M12552" s="401">
        <f>SUM(C12552,C12528,C12504,C12480,C12456,C12432,C12408)/POBLA!$B$23*100000</f>
        <v>186.6199174348244</v>
      </c>
    </row>
    <row r="12553" spans="1:19" ht="15.75" thickBot="1" x14ac:dyDescent="0.3">
      <c r="A12553" s="369" t="s">
        <v>40</v>
      </c>
      <c r="B12553" s="2">
        <v>44415</v>
      </c>
      <c r="C12553" s="637">
        <v>419</v>
      </c>
      <c r="D12553" s="176">
        <f t="shared" si="2375"/>
        <v>185692</v>
      </c>
      <c r="E12553" s="637">
        <v>1</v>
      </c>
      <c r="F12553" s="176">
        <f>E12553+F12529</f>
        <v>2624</v>
      </c>
      <c r="G12553" s="177">
        <f>SUM(C12553,C12529,C12505,C12481,C12457,C12433,C12409,C12385,C12361,C12337,C12313,C12289,C12265,C12241)/POBLA!$B$24*100000</f>
        <v>560.52673816987044</v>
      </c>
      <c r="H12553" s="402">
        <f t="shared" si="2373"/>
        <v>0.96289913836796759</v>
      </c>
      <c r="I12553" s="403">
        <f t="shared" si="2374"/>
        <v>539.73071321597558</v>
      </c>
      <c r="J12553" s="423">
        <f t="shared" si="2371"/>
        <v>700.42857142857144</v>
      </c>
      <c r="K12553" s="403">
        <f>J12553/POBLA!$B$24*100000</f>
        <v>41.33160779701435</v>
      </c>
      <c r="L12553" s="404">
        <f t="shared" si="2372"/>
        <v>6.6797214969538832E-2</v>
      </c>
      <c r="M12553" s="405">
        <f>SUM(C12553,C12529,C12505,C12481,C12457,C12433,C12409)/POBLA!$B$24*100000</f>
        <v>289.32125457910041</v>
      </c>
      <c r="N12553" s="42" t="s">
        <v>40</v>
      </c>
      <c r="O12553" s="42">
        <v>1</v>
      </c>
      <c r="P12553" s="42">
        <v>0</v>
      </c>
      <c r="Q12553" s="42">
        <v>0</v>
      </c>
      <c r="R12553" s="42">
        <v>1</v>
      </c>
    </row>
    <row r="12554" spans="1:19" x14ac:dyDescent="0.25">
      <c r="A12554" s="363" t="s">
        <v>16</v>
      </c>
      <c r="B12554" s="2">
        <v>44416</v>
      </c>
      <c r="C12554" s="637">
        <v>1231</v>
      </c>
      <c r="D12554" s="174">
        <f>C12554+D12530</f>
        <v>1997296</v>
      </c>
      <c r="E12554" s="637">
        <v>76</v>
      </c>
      <c r="F12554" s="174">
        <f t="shared" ref="F12554:F12572" si="2376">E12554+F12530</f>
        <v>52611</v>
      </c>
      <c r="G12554" s="175">
        <f>SUM(C12554,C12530,C12482,C12506,C12458,C12434,C12410,C12386,C12362,C12338,C12314,C12290,C12266,C12242)/POBLA!$B$1*100000</f>
        <v>254.41332465202805</v>
      </c>
      <c r="H12554" s="300">
        <f t="shared" si="2373"/>
        <v>0.7883236177353824</v>
      </c>
      <c r="I12554" s="301">
        <f>G12554*H12554</f>
        <v>200.56003248977311</v>
      </c>
      <c r="J12554" s="421">
        <f>AVERAGE(C12554,C12530,C12506,C12482,C12458,C12434,C12410)</f>
        <v>3049.8571428571427</v>
      </c>
      <c r="K12554" s="301">
        <f>J12554/POBLA!$B$1*100000</f>
        <v>17.386880037376944</v>
      </c>
      <c r="L12554" s="399">
        <f>(SUM(C12554,C12530,C12506,C12482,C12458,C12434,C12410)/SUM(C12386,C12362,C12338,C12314,C12290,C12266,C12242))-1</f>
        <v>-8.2867943981441705E-2</v>
      </c>
      <c r="M12554" s="400">
        <f>SUM(C12554,C12530,C12506,C12482,C12458,C12434,C12410)/POBLA!$B$1*100000</f>
        <v>121.70816026163864</v>
      </c>
      <c r="N12554" s="42" t="s">
        <v>319</v>
      </c>
      <c r="O12554" s="42">
        <v>36</v>
      </c>
      <c r="P12554" s="42">
        <v>40</v>
      </c>
      <c r="Q12554" s="42">
        <v>0</v>
      </c>
      <c r="R12554" s="42">
        <v>76</v>
      </c>
      <c r="S12554" s="637" t="b">
        <f>EXACT(A12554,N12554)</f>
        <v>0</v>
      </c>
    </row>
    <row r="12555" spans="1:19" x14ac:dyDescent="0.25">
      <c r="A12555" s="367" t="s">
        <v>43</v>
      </c>
      <c r="B12555" s="2">
        <v>44416</v>
      </c>
      <c r="C12555" s="637">
        <v>494</v>
      </c>
      <c r="D12555" s="39">
        <f t="shared" ref="D12555:D12569" si="2377">C12555+D12531</f>
        <v>497114</v>
      </c>
      <c r="E12555" s="637">
        <v>2</v>
      </c>
      <c r="F12555" s="39">
        <f t="shared" si="2376"/>
        <v>10971</v>
      </c>
      <c r="G12555" s="168">
        <f>SUM(C12555,C12531,C12507,C12483,C12459,C12435,C12411,C12387,C12363,C12339,C12315,C12291,C12267,C12243)/POBLA!$B$2*100000</f>
        <v>324.48467736534047</v>
      </c>
      <c r="H12555" s="256">
        <f t="shared" si="2373"/>
        <v>0.83090500374656562</v>
      </c>
      <c r="I12555" s="297">
        <f t="shared" ref="I12555:I12561" si="2378">G12555*H12555</f>
        <v>269.61594206195139</v>
      </c>
      <c r="J12555" s="422">
        <f>AVERAGE(C12555,C12531,C12507,C12483,C12459,C12435,C12411)</f>
        <v>722.71428571428567</v>
      </c>
      <c r="K12555" s="297">
        <f>J12555/POBLA!$B$2*100000</f>
        <v>23.49796711696618</v>
      </c>
      <c r="L12555" s="200">
        <f>(SUM(C12555,C12531,C12507,C12483,C12459,C12435,C12411)/SUM(C12387,C12363,C12339,C12315,C12291,C12267,C12243))-1</f>
        <v>2.8043080674659659E-2</v>
      </c>
      <c r="M12555" s="401">
        <f>SUM(C12555,C12531,C12507,C12483,C12459,C12435,C12411)/POBLA!$B$2*100000</f>
        <v>164.48576981876326</v>
      </c>
      <c r="N12555" s="42" t="s">
        <v>43</v>
      </c>
      <c r="O12555" s="42">
        <v>1</v>
      </c>
      <c r="P12555" s="42">
        <v>1</v>
      </c>
      <c r="Q12555" s="42">
        <v>0</v>
      </c>
      <c r="R12555" s="42">
        <v>2</v>
      </c>
      <c r="S12555" s="42" t="b">
        <f>EXACT(A12555,N12555)</f>
        <v>1</v>
      </c>
    </row>
    <row r="12556" spans="1:19" x14ac:dyDescent="0.25">
      <c r="A12556" s="367" t="s">
        <v>28</v>
      </c>
      <c r="B12556" s="2">
        <v>44416</v>
      </c>
      <c r="C12556" s="637">
        <v>146</v>
      </c>
      <c r="D12556" s="39">
        <f t="shared" si="2377"/>
        <v>44196</v>
      </c>
      <c r="E12556" s="637"/>
      <c r="F12556" s="39">
        <f t="shared" si="2376"/>
        <v>506</v>
      </c>
      <c r="G12556" s="168">
        <f>SUM(C12556,C12532,C12508,C12484,C12460,C12436,C12412,C12388,C12364,C12340,C12316,C12292,C12268,C12244)/POBLA!$B$3*100000</f>
        <v>809.98849407131752</v>
      </c>
      <c r="H12556" s="256">
        <f t="shared" si="2373"/>
        <v>0.93576195773081206</v>
      </c>
      <c r="I12556" s="297">
        <f t="shared" si="2378"/>
        <v>757.95641895160838</v>
      </c>
      <c r="J12556" s="422">
        <f t="shared" ref="J12556:J12577" si="2379">AVERAGE(C12556,C12532,C12508,C12484,C12460,C12436,C12412)</f>
        <v>235.71428571428572</v>
      </c>
      <c r="K12556" s="297">
        <f>J12556/POBLA!$B$3*100000</f>
        <v>56.738739767254252</v>
      </c>
      <c r="L12556" s="200">
        <f t="shared" ref="L12556:L12577" si="2380">(SUM(C12556,C12532,C12508,C12484,C12460,C12436,C12412)/SUM(C12388,C12364,C12340,C12316,C12292,C12268,C12244))-1</f>
        <v>-3.790087463556846E-2</v>
      </c>
      <c r="M12556" s="401">
        <f>SUM(C12556,C12532,C12508,C12484,C12460,C12436,C12412)/POBLA!$B$3*100000</f>
        <v>397.17117837077978</v>
      </c>
      <c r="S12556" s="637" t="b">
        <f t="shared" ref="S12556:S12577" si="2381">EXACT(A12556,N12556)</f>
        <v>0</v>
      </c>
    </row>
    <row r="12557" spans="1:19" x14ac:dyDescent="0.25">
      <c r="A12557" s="367" t="s">
        <v>15</v>
      </c>
      <c r="B12557" s="2">
        <v>44416</v>
      </c>
      <c r="C12557" s="637">
        <v>207</v>
      </c>
      <c r="D12557" s="39">
        <f t="shared" si="2377"/>
        <v>94351</v>
      </c>
      <c r="E12557" s="637">
        <v>1</v>
      </c>
      <c r="F12557" s="39">
        <f t="shared" si="2376"/>
        <v>2077</v>
      </c>
      <c r="G12557" s="168">
        <f>SUM(C12557,C12533,C12509,C12485,C12461,C12437,C12413,C12389,C12365,C12341,C12317,C12293,C12269,C12245)/POBLA!$B$4*100000</f>
        <v>467.64701243046102</v>
      </c>
      <c r="H12557" s="256">
        <f t="shared" si="2373"/>
        <v>0.97154191100379439</v>
      </c>
      <c r="I12557" s="297">
        <f t="shared" si="2378"/>
        <v>454.3386721319053</v>
      </c>
      <c r="J12557" s="422">
        <f t="shared" si="2379"/>
        <v>397</v>
      </c>
      <c r="K12557" s="297">
        <f>J12557/POBLA!$B$4*100000</f>
        <v>32.958612450717744</v>
      </c>
      <c r="L12557" s="200">
        <f t="shared" si="2380"/>
        <v>-2.6278906797477242E-2</v>
      </c>
      <c r="M12557" s="401">
        <f>SUM(C12557,C12533,C12509,C12485,C12461,C12437,C12413)/POBLA!$B$4*100000</f>
        <v>230.71028715502419</v>
      </c>
      <c r="N12557" s="42" t="s">
        <v>15</v>
      </c>
      <c r="O12557" s="42">
        <v>1</v>
      </c>
      <c r="P12557" s="42">
        <v>0</v>
      </c>
      <c r="Q12557" s="42">
        <v>0</v>
      </c>
      <c r="R12557" s="42">
        <v>1</v>
      </c>
      <c r="S12557" s="637" t="b">
        <f t="shared" si="2381"/>
        <v>1</v>
      </c>
    </row>
    <row r="12558" spans="1:19" x14ac:dyDescent="0.25">
      <c r="A12558" s="367" t="s">
        <v>29</v>
      </c>
      <c r="B12558" s="2">
        <v>44416</v>
      </c>
      <c r="C12558" s="637">
        <v>104</v>
      </c>
      <c r="D12558" s="39">
        <f t="shared" si="2377"/>
        <v>77767</v>
      </c>
      <c r="E12558" s="637">
        <v>2</v>
      </c>
      <c r="F12558" s="39">
        <f t="shared" si="2376"/>
        <v>1363</v>
      </c>
      <c r="G12558" s="168">
        <f>SUM(C12558,C12534,C12510,C12486,C12462,C12438,C12414,C12390,C12366,C12342,C12318,C12294,C12270,C12246)/POBLA!$B$5*100000</f>
        <v>447.01564150864141</v>
      </c>
      <c r="H12558" s="256">
        <f t="shared" si="2373"/>
        <v>1.1739499363597794</v>
      </c>
      <c r="I12558" s="297">
        <f t="shared" si="2378"/>
        <v>524.77398390089559</v>
      </c>
      <c r="J12558" s="422">
        <f t="shared" si="2379"/>
        <v>180.42857142857142</v>
      </c>
      <c r="K12558" s="297">
        <f>J12558/POBLA!$B$5*100000</f>
        <v>29.14867857015923</v>
      </c>
      <c r="L12558" s="200">
        <f t="shared" si="2380"/>
        <v>-0.16023936170212771</v>
      </c>
      <c r="M12558" s="401">
        <f>SUM(C12558,C12534,C12510,C12486,C12462,C12438,C12414)/POBLA!$B$5*100000</f>
        <v>204.04074999111461</v>
      </c>
      <c r="N12558" s="42" t="s">
        <v>29</v>
      </c>
      <c r="O12558" s="42">
        <v>1</v>
      </c>
      <c r="P12558" s="42">
        <v>1</v>
      </c>
      <c r="Q12558" s="42">
        <v>0</v>
      </c>
      <c r="R12558" s="42">
        <v>2</v>
      </c>
      <c r="S12558" s="637" t="b">
        <f t="shared" si="2381"/>
        <v>1</v>
      </c>
    </row>
    <row r="12559" spans="1:19" x14ac:dyDescent="0.25">
      <c r="A12559" s="367" t="s">
        <v>30</v>
      </c>
      <c r="B12559" s="2">
        <v>44416</v>
      </c>
      <c r="C12559" s="637">
        <v>991</v>
      </c>
      <c r="D12559" s="39">
        <f t="shared" si="2377"/>
        <v>453020</v>
      </c>
      <c r="E12559" s="637">
        <v>1</v>
      </c>
      <c r="F12559" s="39">
        <f t="shared" si="2376"/>
        <v>5925</v>
      </c>
      <c r="G12559" s="168">
        <f>SUM(C12559,C12535,C12511,C12487,C12463,C12439,C12415,C12391,C12367,C12343,C12319,C12295,C12271,C12247)/POBLA!$B$6*100000</f>
        <v>636.33062425890057</v>
      </c>
      <c r="H12559" s="256">
        <f t="shared" si="2373"/>
        <v>1.0401050021875455</v>
      </c>
      <c r="I12559" s="297">
        <f t="shared" si="2378"/>
        <v>661.85066533680595</v>
      </c>
      <c r="J12559" s="422">
        <f t="shared" si="2379"/>
        <v>549.14285714285711</v>
      </c>
      <c r="K12559" s="297">
        <f>J12559/POBLA!$B$6*100000</f>
        <v>48.995571661950436</v>
      </c>
      <c r="L12559" s="200">
        <f t="shared" si="2380"/>
        <v>0.16909975669099753</v>
      </c>
      <c r="M12559" s="401">
        <f>SUM(C12559,C12535,C12511,C12487,C12463,C12439,C12415)/POBLA!$B$6*100000</f>
        <v>342.96900163365308</v>
      </c>
      <c r="N12559" s="42" t="s">
        <v>30</v>
      </c>
      <c r="O12559" s="42">
        <v>0</v>
      </c>
      <c r="P12559" s="42">
        <v>1</v>
      </c>
      <c r="Q12559" s="42">
        <v>0</v>
      </c>
      <c r="R12559" s="42">
        <v>1</v>
      </c>
      <c r="S12559" s="637" t="b">
        <f t="shared" si="2381"/>
        <v>1</v>
      </c>
    </row>
    <row r="12560" spans="1:19" x14ac:dyDescent="0.25">
      <c r="A12560" s="367" t="s">
        <v>20</v>
      </c>
      <c r="B12560" s="2">
        <v>44416</v>
      </c>
      <c r="C12560" s="637">
        <v>698</v>
      </c>
      <c r="D12560" s="39">
        <f t="shared" si="2377"/>
        <v>113315</v>
      </c>
      <c r="E12560" s="637">
        <v>4</v>
      </c>
      <c r="F12560" s="39">
        <f t="shared" si="2376"/>
        <v>1276</v>
      </c>
      <c r="G12560" s="168">
        <f>SUM(C12560,C12536,C12512,C12488,C12464,C12440,C12416,C12392,C12368,C12344,C12320,C12296,C12272,C12248)/POBLA!$B$7*100000</f>
        <v>661.70272174872684</v>
      </c>
      <c r="H12560" s="256">
        <f t="shared" si="2373"/>
        <v>1.0254265227066677</v>
      </c>
      <c r="I12560" s="297">
        <f t="shared" si="2378"/>
        <v>678.5275210283346</v>
      </c>
      <c r="J12560" s="422">
        <f t="shared" si="2379"/>
        <v>1734</v>
      </c>
      <c r="K12560" s="297">
        <f>J12560/POBLA!$B$7*100000</f>
        <v>46.111502612719221</v>
      </c>
      <c r="L12560" s="200">
        <f t="shared" si="2380"/>
        <v>-4.7626520204001599E-2</v>
      </c>
      <c r="M12560" s="401">
        <f>SUM(C12560,C12536,C12512,C12488,C12464,C12440,C12416)/POBLA!$B$7*100000</f>
        <v>322.78051828903455</v>
      </c>
      <c r="N12560" s="42" t="s">
        <v>20</v>
      </c>
      <c r="O12560" s="42">
        <v>1</v>
      </c>
      <c r="P12560" s="42">
        <v>3</v>
      </c>
      <c r="Q12560" s="42">
        <v>0</v>
      </c>
      <c r="R12560" s="42">
        <v>4</v>
      </c>
      <c r="S12560" s="637" t="b">
        <f t="shared" si="2381"/>
        <v>1</v>
      </c>
    </row>
    <row r="12561" spans="1:19" x14ac:dyDescent="0.25">
      <c r="A12561" s="367" t="s">
        <v>31</v>
      </c>
      <c r="B12561" s="2">
        <v>44416</v>
      </c>
      <c r="C12561" s="637">
        <v>142</v>
      </c>
      <c r="D12561" s="39">
        <f t="shared" si="2377"/>
        <v>130417</v>
      </c>
      <c r="E12561" s="637">
        <v>3</v>
      </c>
      <c r="F12561" s="39">
        <f t="shared" si="2376"/>
        <v>2200</v>
      </c>
      <c r="G12561" s="168">
        <f>SUM(C12561,C12537,C12513,C12489,C12465,C12441,C12417,C12393,C12369,C12345,C12321,C12297,C12273,C12249)/POBLA!$B$8*100000</f>
        <v>361.91494565864406</v>
      </c>
      <c r="H12561" s="256">
        <f t="shared" ref="H12561:H12584" si="2382">SUM(C12561,C12537,C12513,C12489,C12465,C12441,C12417,C12393,C12369,C12345,C12321,C12297,C12273,C12249,)/SUM(C12225,C12201,C12177,C12153,C12129,C12105,C12081,C12057,C12033,C12009,C11985,C11961,C11937,C11913)</f>
        <v>0.62794191286930401</v>
      </c>
      <c r="I12561" s="297">
        <f t="shared" si="2378"/>
        <v>227.26156327287916</v>
      </c>
      <c r="J12561" s="422">
        <f t="shared" si="2379"/>
        <v>322.42857142857144</v>
      </c>
      <c r="K12561" s="297">
        <f>J12561/POBLA!$B$8*100000</f>
        <v>23.26389930370129</v>
      </c>
      <c r="L12561" s="200">
        <f t="shared" si="2380"/>
        <v>-0.1819499818774919</v>
      </c>
      <c r="M12561" s="401">
        <f>SUM(C12561,C12537,C12513,C12489,C12465,C12441,C12417)/POBLA!$B$8*100000</f>
        <v>162.84729512590903</v>
      </c>
      <c r="N12561" s="42" t="s">
        <v>31</v>
      </c>
      <c r="O12561" s="42">
        <v>1</v>
      </c>
      <c r="P12561" s="42">
        <v>2</v>
      </c>
      <c r="Q12561" s="42">
        <v>0</v>
      </c>
      <c r="R12561" s="42">
        <v>3</v>
      </c>
      <c r="S12561" s="637" t="b">
        <f t="shared" si="2381"/>
        <v>1</v>
      </c>
    </row>
    <row r="12562" spans="1:19" x14ac:dyDescent="0.25">
      <c r="A12562" s="367" t="s">
        <v>41</v>
      </c>
      <c r="B12562" s="2">
        <v>44416</v>
      </c>
      <c r="C12562" s="637">
        <v>186</v>
      </c>
      <c r="D12562" s="39">
        <f t="shared" si="2377"/>
        <v>57767</v>
      </c>
      <c r="E12562" s="637">
        <v>5</v>
      </c>
      <c r="F12562" s="39">
        <f t="shared" si="2376"/>
        <v>1052</v>
      </c>
      <c r="G12562" s="168">
        <f>SUM(C12562,C12538,C12514,C12490,C12466,C12442,C12418,C12394,C12370,C12346,C12322,C12298,C12274,C12250)/POBLA!$B$9*100000</f>
        <v>522.47795331406678</v>
      </c>
      <c r="H12562" s="256">
        <f t="shared" si="2382"/>
        <v>0.71814671814671815</v>
      </c>
      <c r="I12562" s="297">
        <f>G12562*H12562</f>
        <v>375.21582747651127</v>
      </c>
      <c r="J12562" s="422">
        <f t="shared" si="2379"/>
        <v>218.28571428571428</v>
      </c>
      <c r="K12562" s="297">
        <f>J12562/POBLA!$B$9*100000</f>
        <v>36.068777115021867</v>
      </c>
      <c r="L12562" s="200">
        <f t="shared" si="2380"/>
        <v>-6.4871481028151767E-2</v>
      </c>
      <c r="M12562" s="401">
        <f>SUM(C12562,C12538,C12514,C12490,C12466,C12442,C12418)/POBLA!$B$9*100000</f>
        <v>252.48143980515309</v>
      </c>
      <c r="N12562" s="42" t="s">
        <v>41</v>
      </c>
      <c r="O12562" s="42">
        <v>2</v>
      </c>
      <c r="P12562" s="42">
        <v>3</v>
      </c>
      <c r="Q12562" s="42">
        <v>0</v>
      </c>
      <c r="R12562" s="42">
        <v>5</v>
      </c>
      <c r="S12562" s="637" t="b">
        <f t="shared" si="2381"/>
        <v>1</v>
      </c>
    </row>
    <row r="12563" spans="1:19" x14ac:dyDescent="0.25">
      <c r="A12563" s="367" t="s">
        <v>32</v>
      </c>
      <c r="B12563" s="2">
        <v>44416</v>
      </c>
      <c r="C12563" s="637">
        <v>113</v>
      </c>
      <c r="D12563" s="39">
        <f t="shared" si="2377"/>
        <v>44817</v>
      </c>
      <c r="E12563" s="637"/>
      <c r="F12563" s="39">
        <f t="shared" si="2376"/>
        <v>1351</v>
      </c>
      <c r="G12563" s="168">
        <f>SUM(C12563,C12539,C12515,C12491,C12467,C12443,C12419,C12395,C12371,C12347,C12323,C12299,C12275,C12251)/POBLA!$B$10*100000</f>
        <v>315.74263732015709</v>
      </c>
      <c r="H12563" s="256">
        <f t="shared" si="2382"/>
        <v>0.70571180052189042</v>
      </c>
      <c r="I12563" s="297">
        <f t="shared" ref="I12563:I12577" si="2383">G12563*H12563</f>
        <v>222.82330508473828</v>
      </c>
      <c r="J12563" s="422">
        <f t="shared" si="2379"/>
        <v>163</v>
      </c>
      <c r="K12563" s="297">
        <f>J12563/POBLA!$B$10*100000</f>
        <v>21.144638407224981</v>
      </c>
      <c r="L12563" s="200">
        <f t="shared" si="2380"/>
        <v>-0.11755607115235889</v>
      </c>
      <c r="M12563" s="401">
        <f>SUM(C12563,C12539,C12515,C12491,C12467,C12443,C12419)/POBLA!$B$10*100000</f>
        <v>148.01246885057486</v>
      </c>
      <c r="S12563" s="637" t="b">
        <f t="shared" si="2381"/>
        <v>0</v>
      </c>
    </row>
    <row r="12564" spans="1:19" x14ac:dyDescent="0.25">
      <c r="A12564" s="367" t="s">
        <v>33</v>
      </c>
      <c r="B12564" s="2">
        <v>44416</v>
      </c>
      <c r="C12564" s="637">
        <v>94</v>
      </c>
      <c r="D12564" s="39">
        <f t="shared" si="2377"/>
        <v>63337</v>
      </c>
      <c r="E12564" s="637"/>
      <c r="F12564" s="39">
        <f t="shared" si="2376"/>
        <v>862</v>
      </c>
      <c r="G12564" s="168">
        <f>SUM(C12564,C12540,C12516,C12492,C12468,C12444,C12420,C12396,C12372,C12348,C12324,C12300,C12276,C12252)/POBLA!$B$11*100000</f>
        <v>1031.7274320086601</v>
      </c>
      <c r="H12564" s="256">
        <f t="shared" si="2382"/>
        <v>0.98771367521367526</v>
      </c>
      <c r="I12564" s="297">
        <f t="shared" si="2383"/>
        <v>1019.0512936880409</v>
      </c>
      <c r="J12564" s="422">
        <f t="shared" si="2379"/>
        <v>241.42857142857142</v>
      </c>
      <c r="K12564" s="297">
        <f>J12564/POBLA!$B$11*100000</f>
        <v>67.357620338972239</v>
      </c>
      <c r="L12564" s="200">
        <f t="shared" si="2380"/>
        <v>-0.1583665338645418</v>
      </c>
      <c r="M12564" s="401">
        <f>SUM(C12564,C12540,C12516,C12492,C12468,C12444,C12420)/POBLA!$B$11*100000</f>
        <v>471.50334237280566</v>
      </c>
      <c r="S12564" s="637" t="b">
        <f t="shared" si="2381"/>
        <v>0</v>
      </c>
    </row>
    <row r="12565" spans="1:19" x14ac:dyDescent="0.25">
      <c r="A12565" s="367" t="s">
        <v>21</v>
      </c>
      <c r="B12565" s="2">
        <v>44416</v>
      </c>
      <c r="C12565" s="637">
        <v>64</v>
      </c>
      <c r="D12565" s="39">
        <f t="shared" si="2377"/>
        <v>30055</v>
      </c>
      <c r="E12565" s="637">
        <v>39</v>
      </c>
      <c r="F12565" s="39">
        <f t="shared" si="2376"/>
        <v>865</v>
      </c>
      <c r="G12565" s="168">
        <f>SUM(C12565,C12541,C12517,C12493,C12469,C12445,C12421,C12397,C12373,C12349,C12325,C12301,C12277,C12253)/POBLA!$B$12*100000</f>
        <v>798.41232329854563</v>
      </c>
      <c r="H12565" s="256">
        <f t="shared" si="2382"/>
        <v>1.1710771524412971</v>
      </c>
      <c r="I12565" s="297">
        <f t="shared" si="2383"/>
        <v>935.00243004250103</v>
      </c>
      <c r="J12565" s="422">
        <f t="shared" si="2379"/>
        <v>213.57142857142858</v>
      </c>
      <c r="K12565" s="297">
        <f>J12565/POBLA!$B$12*100000</f>
        <v>54.270547573489409</v>
      </c>
      <c r="L12565" s="200">
        <f t="shared" si="2380"/>
        <v>-9.228901032179726E-2</v>
      </c>
      <c r="M12565" s="401">
        <f>SUM(C12565,C12541,C12517,C12493,C12469,C12445,C12421)/POBLA!$B$12*100000</f>
        <v>379.89383301442581</v>
      </c>
      <c r="N12565" s="42" t="s">
        <v>21</v>
      </c>
      <c r="O12565" s="42">
        <v>11</v>
      </c>
      <c r="P12565" s="42">
        <v>28</v>
      </c>
      <c r="Q12565" s="42">
        <v>0</v>
      </c>
      <c r="R12565" s="42">
        <v>39</v>
      </c>
      <c r="S12565" s="637" t="b">
        <f t="shared" si="2381"/>
        <v>1</v>
      </c>
    </row>
    <row r="12566" spans="1:19" x14ac:dyDescent="0.25">
      <c r="A12566" s="367" t="s">
        <v>17</v>
      </c>
      <c r="B12566" s="2">
        <v>44416</v>
      </c>
      <c r="C12566" s="637">
        <v>112</v>
      </c>
      <c r="D12566" s="39">
        <f t="shared" si="2377"/>
        <v>156965</v>
      </c>
      <c r="E12566" s="637">
        <v>5</v>
      </c>
      <c r="F12566" s="39">
        <f t="shared" si="2376"/>
        <v>4024</v>
      </c>
      <c r="G12566" s="168">
        <f>SUM(C12566,C12542,C12518,C12494,C12470,C12446,C12422,C12398,C12374,C12350,C12326,C12302,C12278,C12254)/POBLA!$B$13*100000</f>
        <v>286.08206244366534</v>
      </c>
      <c r="H12566" s="256">
        <f t="shared" si="2382"/>
        <v>0.91513982642237224</v>
      </c>
      <c r="I12566" s="297">
        <f t="shared" si="2383"/>
        <v>261.80508896725013</v>
      </c>
      <c r="J12566" s="422">
        <f t="shared" si="2379"/>
        <v>373.85714285714283</v>
      </c>
      <c r="K12566" s="297">
        <f>J12566/POBLA!$B$13*100000</f>
        <v>18.783600717925442</v>
      </c>
      <c r="L12566" s="200">
        <f t="shared" si="2380"/>
        <v>-0.14949626259343518</v>
      </c>
      <c r="M12566" s="401">
        <f>SUM(C12566,C12542,C12518,C12494,C12470,C12446,C12422)/POBLA!$B$13*100000</f>
        <v>131.48520502547808</v>
      </c>
      <c r="N12566" s="42" t="s">
        <v>17</v>
      </c>
      <c r="O12566" s="42">
        <v>2</v>
      </c>
      <c r="P12566" s="42">
        <v>3</v>
      </c>
      <c r="Q12566" s="42">
        <v>0</v>
      </c>
      <c r="R12566" s="42">
        <v>5</v>
      </c>
      <c r="S12566" s="637" t="b">
        <f t="shared" si="2381"/>
        <v>1</v>
      </c>
    </row>
    <row r="12567" spans="1:19" x14ac:dyDescent="0.25">
      <c r="A12567" s="367" t="s">
        <v>23</v>
      </c>
      <c r="B12567" s="2">
        <v>44416</v>
      </c>
      <c r="C12567" s="637">
        <v>179</v>
      </c>
      <c r="D12567" s="39">
        <f t="shared" si="2377"/>
        <v>32210</v>
      </c>
      <c r="E12567" s="637">
        <v>1</v>
      </c>
      <c r="F12567" s="39">
        <f t="shared" si="2376"/>
        <v>619</v>
      </c>
      <c r="G12567" s="168">
        <f>SUM(C12567,C12543,C12519,C12495,C12471,C12447,C12423,C12399,C12375,C12351,C12327,C12303,C12279,C12255)/POBLA!$B$14*100000</f>
        <v>194.7206598937282</v>
      </c>
      <c r="H12567" s="256">
        <f t="shared" si="2382"/>
        <v>1.1163636363636364</v>
      </c>
      <c r="I12567" s="297">
        <f t="shared" si="2383"/>
        <v>217.3790639540893</v>
      </c>
      <c r="J12567" s="422">
        <f t="shared" si="2379"/>
        <v>164.85714285714286</v>
      </c>
      <c r="K12567" s="297">
        <f>J12567/POBLA!$B$14*100000</f>
        <v>13.070477054290503</v>
      </c>
      <c r="L12567" s="200">
        <f t="shared" si="2380"/>
        <v>-0.11367127496159757</v>
      </c>
      <c r="M12567" s="401">
        <f>SUM(C12567,C12543,C12519,C12495,C12471,C12447,C12423)/POBLA!$B$14*100000</f>
        <v>91.493339380033518</v>
      </c>
      <c r="N12567" s="42" t="s">
        <v>23</v>
      </c>
      <c r="O12567" s="42">
        <v>1</v>
      </c>
      <c r="P12567" s="42">
        <v>0</v>
      </c>
      <c r="Q12567" s="42">
        <v>0</v>
      </c>
      <c r="R12567" s="42">
        <v>1</v>
      </c>
      <c r="S12567" s="637" t="b">
        <f t="shared" si="2381"/>
        <v>1</v>
      </c>
    </row>
    <row r="12568" spans="1:19" x14ac:dyDescent="0.25">
      <c r="A12568" s="367" t="s">
        <v>19</v>
      </c>
      <c r="B12568" s="2">
        <v>44416</v>
      </c>
      <c r="C12568" s="637">
        <v>126</v>
      </c>
      <c r="D12568" s="39">
        <f t="shared" si="2377"/>
        <v>109140</v>
      </c>
      <c r="E12568" s="637">
        <v>6</v>
      </c>
      <c r="F12568" s="39">
        <f t="shared" si="2376"/>
        <v>2078</v>
      </c>
      <c r="G12568" s="168">
        <f>SUM(C12568,C12544,C12520,C12496,C12472,C12448,C12424,C12400,C12376,C12352,C12328,C12304,C12280,C12256)/POBLA!$B$15*100000</f>
        <v>448.60606845496699</v>
      </c>
      <c r="H12568" s="256">
        <f t="shared" si="2382"/>
        <v>1.1237268955111279</v>
      </c>
      <c r="I12568" s="297">
        <f t="shared" si="2383"/>
        <v>504.11070461235261</v>
      </c>
      <c r="J12568" s="422">
        <f t="shared" si="2379"/>
        <v>210.57142857142858</v>
      </c>
      <c r="K12568" s="297">
        <f>J12568/POBLA!$B$15*100000</f>
        <v>31.70984246403977</v>
      </c>
      <c r="L12568" s="200">
        <f t="shared" si="2380"/>
        <v>-2.0598006644518274E-2</v>
      </c>
      <c r="M12568" s="401">
        <f>SUM(C12568,C12544,C12520,C12496,C12472,C12448,C12424)/POBLA!$B$15*100000</f>
        <v>221.96889724827841</v>
      </c>
      <c r="N12568" s="42" t="s">
        <v>19</v>
      </c>
      <c r="O12568" s="42">
        <v>1</v>
      </c>
      <c r="P12568" s="42">
        <v>5</v>
      </c>
      <c r="Q12568" s="42">
        <v>0</v>
      </c>
      <c r="R12568" s="42">
        <v>6</v>
      </c>
      <c r="S12568" s="637" t="b">
        <f t="shared" si="2381"/>
        <v>1</v>
      </c>
    </row>
    <row r="12569" spans="1:19" x14ac:dyDescent="0.25">
      <c r="A12569" s="367" t="s">
        <v>18</v>
      </c>
      <c r="B12569" s="2">
        <v>44416</v>
      </c>
      <c r="C12569" s="637">
        <v>121</v>
      </c>
      <c r="D12569" s="39">
        <f t="shared" si="2377"/>
        <v>94324</v>
      </c>
      <c r="E12569" s="637">
        <v>2</v>
      </c>
      <c r="F12569" s="39">
        <f t="shared" si="2376"/>
        <v>2137</v>
      </c>
      <c r="G12569" s="168">
        <f>SUM(C12569,C12545,C12521,C12497,C12473,C12449,C12425,C12401,C12377,C12353,C12329,C12305,C12281,C12257)/POBLA!$B$16*100000</f>
        <v>550.42067388076669</v>
      </c>
      <c r="H12569" s="256">
        <f t="shared" si="2382"/>
        <v>1.1014453961456103</v>
      </c>
      <c r="I12569" s="297">
        <f t="shared" si="2383"/>
        <v>606.25831718933489</v>
      </c>
      <c r="J12569" s="422">
        <f t="shared" si="2379"/>
        <v>263.71428571428572</v>
      </c>
      <c r="K12569" s="297">
        <f>J12569/POBLA!$B$16*100000</f>
        <v>35.274312236899689</v>
      </c>
      <c r="L12569" s="200">
        <f t="shared" si="2380"/>
        <v>-0.18642573821066544</v>
      </c>
      <c r="M12569" s="401">
        <f>SUM(C12569,C12545,C12521,C12497,C12473,C12449,C12425)/POBLA!$B$16*100000</f>
        <v>246.92018565829775</v>
      </c>
      <c r="N12569" s="42" t="s">
        <v>18</v>
      </c>
      <c r="O12569" s="42">
        <v>1</v>
      </c>
      <c r="P12569" s="42">
        <v>1</v>
      </c>
      <c r="Q12569" s="42">
        <v>0</v>
      </c>
      <c r="R12569" s="42">
        <v>2</v>
      </c>
      <c r="S12569" s="637" t="b">
        <f t="shared" si="2381"/>
        <v>1</v>
      </c>
    </row>
    <row r="12570" spans="1:19" x14ac:dyDescent="0.25">
      <c r="A12570" s="367" t="s">
        <v>34</v>
      </c>
      <c r="B12570" s="2">
        <v>44416</v>
      </c>
      <c r="C12570" s="637">
        <v>134</v>
      </c>
      <c r="D12570" s="39">
        <f>C12570+D12546</f>
        <v>77532</v>
      </c>
      <c r="E12570" s="637">
        <v>4</v>
      </c>
      <c r="F12570" s="39">
        <f t="shared" si="2376"/>
        <v>2144</v>
      </c>
      <c r="G12570" s="168">
        <f>SUM(C12570,C12546,C12522,C12498,C12474,C12450,C12426,C12402,C12378,C12354,C12330,C12306,C12282,C12258)/POBLA!$B$17*100000</f>
        <v>310.51736278579637</v>
      </c>
      <c r="H12570" s="256">
        <f t="shared" si="2382"/>
        <v>0.66994850045440779</v>
      </c>
      <c r="I12570" s="297">
        <f t="shared" si="2383"/>
        <v>208.03064156340162</v>
      </c>
      <c r="J12570" s="422">
        <f t="shared" si="2379"/>
        <v>304.14285714285717</v>
      </c>
      <c r="K12570" s="297">
        <f>J12570/POBLA!$B$17*100000</f>
        <v>21.352393830010676</v>
      </c>
      <c r="L12570" s="200">
        <f t="shared" si="2380"/>
        <v>-7.1926765475152532E-2</v>
      </c>
      <c r="M12570" s="401">
        <f>SUM(C12570,C12546,C12522,C12498,C12474,C12450,C12426)/POBLA!$B$17*100000</f>
        <v>149.46675681007471</v>
      </c>
      <c r="N12570" s="42" t="s">
        <v>34</v>
      </c>
      <c r="O12570" s="42">
        <v>2</v>
      </c>
      <c r="P12570" s="42">
        <v>2</v>
      </c>
      <c r="Q12570" s="42">
        <v>0</v>
      </c>
      <c r="R12570" s="42">
        <v>4</v>
      </c>
      <c r="S12570" s="637" t="b">
        <f t="shared" si="2381"/>
        <v>1</v>
      </c>
    </row>
    <row r="12571" spans="1:19" x14ac:dyDescent="0.25">
      <c r="A12571" s="367" t="s">
        <v>35</v>
      </c>
      <c r="B12571" s="2">
        <v>44416</v>
      </c>
      <c r="C12571" s="637">
        <v>39</v>
      </c>
      <c r="D12571" s="39">
        <f t="shared" ref="D12571:D12577" si="2384">C12571+D12547</f>
        <v>62406</v>
      </c>
      <c r="E12571" s="637">
        <v>4</v>
      </c>
      <c r="F12571" s="39">
        <f t="shared" si="2376"/>
        <v>975</v>
      </c>
      <c r="G12571" s="168">
        <f>SUM(C12571,C12547,C12523,C12499,C12475,C12451,C12427,C12403,C12379,C12355,C12331,C12307,C12283,C12259)/POBLA!$B$18*100000</f>
        <v>474.38803815073152</v>
      </c>
      <c r="H12571" s="256">
        <f t="shared" si="2382"/>
        <v>0.8938736131210806</v>
      </c>
      <c r="I12571" s="297">
        <f t="shared" si="2383"/>
        <v>424.0429496832154</v>
      </c>
      <c r="J12571" s="422">
        <f t="shared" si="2379"/>
        <v>211.71428571428572</v>
      </c>
      <c r="K12571" s="297">
        <f>J12571/POBLA!$B$18*100000</f>
        <v>27.100573299644751</v>
      </c>
      <c r="L12571" s="200">
        <f t="shared" si="2380"/>
        <v>-0.33363309352517989</v>
      </c>
      <c r="M12571" s="401">
        <f>SUM(C12571,C12547,C12523,C12499,C12475,C12451,C12427)/POBLA!$B$18*100000</f>
        <v>189.70401309751324</v>
      </c>
      <c r="N12571" s="42" t="s">
        <v>35</v>
      </c>
      <c r="O12571" s="42">
        <v>2</v>
      </c>
      <c r="P12571" s="42">
        <v>2</v>
      </c>
      <c r="Q12571" s="42">
        <v>0</v>
      </c>
      <c r="R12571" s="42">
        <v>4</v>
      </c>
      <c r="S12571" s="637" t="b">
        <f t="shared" si="2381"/>
        <v>1</v>
      </c>
    </row>
    <row r="12572" spans="1:19" x14ac:dyDescent="0.25">
      <c r="A12572" s="367" t="s">
        <v>36</v>
      </c>
      <c r="B12572" s="2">
        <v>44416</v>
      </c>
      <c r="C12572" s="637">
        <v>180</v>
      </c>
      <c r="D12572" s="39">
        <f t="shared" si="2384"/>
        <v>76864</v>
      </c>
      <c r="E12572" s="637"/>
      <c r="F12572" s="39">
        <f t="shared" si="2376"/>
        <v>1258</v>
      </c>
      <c r="G12572" s="168">
        <f>SUM(C12572,C12548,C12524,C12500,C12476,C12452,C12428,C12404,C12380,C12356,C12332,C12308,C12284,C12260)/POBLA!$B$19*100000</f>
        <v>699.74504650540587</v>
      </c>
      <c r="H12572" s="256">
        <f t="shared" si="2382"/>
        <v>0.92150259067357509</v>
      </c>
      <c r="I12572" s="297">
        <f t="shared" si="2383"/>
        <v>644.81687316573277</v>
      </c>
      <c r="J12572" s="422">
        <f t="shared" si="2379"/>
        <v>244.57142857142858</v>
      </c>
      <c r="K12572" s="297">
        <f>J12572/POBLA!$B$19*100000</f>
        <v>48.112916969245958</v>
      </c>
      <c r="L12572" s="200">
        <f t="shared" si="2380"/>
        <v>-7.2086720867208687E-2</v>
      </c>
      <c r="M12572" s="401">
        <f>SUM(C12572,C12548,C12524,C12500,C12476,C12452,C12428)/POBLA!$B$19*100000</f>
        <v>336.79041878472168</v>
      </c>
      <c r="S12572" s="637" t="b">
        <f t="shared" si="2381"/>
        <v>0</v>
      </c>
    </row>
    <row r="12573" spans="1:19" x14ac:dyDescent="0.25">
      <c r="A12573" s="367" t="s">
        <v>37</v>
      </c>
      <c r="B12573" s="2">
        <v>44416</v>
      </c>
      <c r="C12573" s="637">
        <v>24</v>
      </c>
      <c r="D12573" s="39">
        <f t="shared" si="2384"/>
        <v>58272</v>
      </c>
      <c r="E12573" s="637"/>
      <c r="F12573" s="39">
        <f>E12573+F12549</f>
        <v>970</v>
      </c>
      <c r="G12573" s="168">
        <f>SUM(C12573,C12549,C12526,C12501,C12477,C12453,C12429,C12405,C12381,C12357,C12333,C12309,C12285,C12261)/POBLA!$B$20*100000</f>
        <v>481.81833097255111</v>
      </c>
      <c r="H12573" s="256">
        <f t="shared" si="2382"/>
        <v>0.89915074309978771</v>
      </c>
      <c r="I12573" s="297">
        <f t="shared" si="2383"/>
        <v>433.22731033306877</v>
      </c>
      <c r="J12573" s="422">
        <f t="shared" si="2379"/>
        <v>56.428571428571431</v>
      </c>
      <c r="K12573" s="297">
        <f>J12573/POBLA!$B$20*100000</f>
        <v>15.430374633870414</v>
      </c>
      <c r="L12573" s="200">
        <f t="shared" si="2380"/>
        <v>-0.12610619469026552</v>
      </c>
      <c r="M12573" s="401">
        <f>SUM(C12573,C12549,C12525,C12501,C12477,C12453,C12429)/POBLA!$B$20*100000</f>
        <v>108.0126224370929</v>
      </c>
      <c r="S12573" s="637" t="b">
        <f t="shared" si="2381"/>
        <v>0</v>
      </c>
    </row>
    <row r="12574" spans="1:19" x14ac:dyDescent="0.25">
      <c r="A12574" s="367" t="s">
        <v>22</v>
      </c>
      <c r="B12574" s="2">
        <v>44416</v>
      </c>
      <c r="C12574" s="637">
        <v>385</v>
      </c>
      <c r="D12574" s="39">
        <f t="shared" si="2384"/>
        <v>454367</v>
      </c>
      <c r="E12574" s="637">
        <v>1</v>
      </c>
      <c r="F12574" s="39">
        <f>E12574+F12550</f>
        <v>8008</v>
      </c>
      <c r="G12574" s="168">
        <f>SUM(C12574,C12550,C12526,C12502,C12478,C12454,C12430,C12406,C12382,C12358,C12334,C12310,C12286,C12262)/POBLA!$B$21*100000</f>
        <v>399.58511691773992</v>
      </c>
      <c r="H12574" s="256">
        <f t="shared" si="2382"/>
        <v>0.7831412103746398</v>
      </c>
      <c r="I12574" s="297">
        <f t="shared" si="2383"/>
        <v>312.93157211065079</v>
      </c>
      <c r="J12574" s="422">
        <f t="shared" si="2379"/>
        <v>934.71428571428567</v>
      </c>
      <c r="K12574" s="297">
        <f>J12574/POBLA!$B$21*100000</f>
        <v>26.431103045914984</v>
      </c>
      <c r="L12574" s="200">
        <f t="shared" si="2380"/>
        <v>-0.13771744860305746</v>
      </c>
      <c r="M12574" s="401">
        <f>SUM(C12574,C12550,C12526,C12502,C12478,C12454,C12430)/POBLA!$B$21*100000</f>
        <v>185.01772132140488</v>
      </c>
      <c r="N12574" s="42" t="s">
        <v>22</v>
      </c>
      <c r="O12574" s="42">
        <v>0</v>
      </c>
      <c r="P12574" s="42">
        <v>1</v>
      </c>
      <c r="Q12574" s="42">
        <v>0</v>
      </c>
      <c r="R12574" s="42">
        <v>1</v>
      </c>
      <c r="S12574" s="637" t="b">
        <f t="shared" si="2381"/>
        <v>1</v>
      </c>
    </row>
    <row r="12575" spans="1:19" x14ac:dyDescent="0.25">
      <c r="A12575" s="367" t="s">
        <v>38</v>
      </c>
      <c r="B12575" s="2">
        <v>44416</v>
      </c>
      <c r="C12575" s="637">
        <v>201</v>
      </c>
      <c r="D12575" s="39">
        <f t="shared" si="2384"/>
        <v>76000</v>
      </c>
      <c r="E12575" s="637">
        <v>2</v>
      </c>
      <c r="F12575" s="39">
        <f>E12575+F12551</f>
        <v>1082</v>
      </c>
      <c r="G12575" s="168">
        <f>SUM(C12575,C12551,C12527,C12503,C12479,C12455,C12431,C12407,C12383,C12359,C12335,C12311,C12287,C12263)/POBLA!$B$22*100000</f>
        <v>455.58016708354069</v>
      </c>
      <c r="H12575" s="256">
        <f t="shared" si="2382"/>
        <v>0.74444630031735426</v>
      </c>
      <c r="I12575" s="297">
        <f t="shared" si="2383"/>
        <v>339.15496988330398</v>
      </c>
      <c r="J12575" s="422">
        <f t="shared" si="2379"/>
        <v>323.14285714285717</v>
      </c>
      <c r="K12575" s="297">
        <f>J12575/POBLA!$B$22*100000</f>
        <v>33.030620787299888</v>
      </c>
      <c r="L12575" s="200">
        <f t="shared" si="2380"/>
        <v>3.0523917995444183E-2</v>
      </c>
      <c r="M12575" s="401">
        <f>SUM(C12575,C12551,C12527,C12503,C12479,C12455,C12431)/POBLA!$B$22*100000</f>
        <v>231.2143455110992</v>
      </c>
      <c r="S12575" s="637" t="b">
        <f t="shared" si="2381"/>
        <v>0</v>
      </c>
    </row>
    <row r="12576" spans="1:19" x14ac:dyDescent="0.25">
      <c r="A12576" s="367" t="s">
        <v>39</v>
      </c>
      <c r="B12576" s="2">
        <v>44416</v>
      </c>
      <c r="C12576" s="637">
        <v>19</v>
      </c>
      <c r="D12576" s="39">
        <f t="shared" si="2384"/>
        <v>31519</v>
      </c>
      <c r="E12576" s="637"/>
      <c r="F12576" s="39">
        <f>E12576+F12552</f>
        <v>498</v>
      </c>
      <c r="G12576" s="168">
        <f>SUM(C12576,C12552,C12528,C12504,C12480,C12456,C12432,C12408,C12384,C12360,C12336,C12312,C12288,C12264)/POBLA!$B$23*100000</f>
        <v>363.62608154724876</v>
      </c>
      <c r="H12576" s="256">
        <f t="shared" si="2382"/>
        <v>0.99689922480620152</v>
      </c>
      <c r="I12576" s="297">
        <f t="shared" si="2383"/>
        <v>362.49855881376891</v>
      </c>
      <c r="J12576" s="422">
        <f t="shared" si="2379"/>
        <v>44.428571428571431</v>
      </c>
      <c r="K12576" s="297">
        <f>J12576/POBLA!$B$23*100000</f>
        <v>25.125019187112724</v>
      </c>
      <c r="L12576" s="200">
        <f t="shared" si="2380"/>
        <v>-6.325301204819278E-2</v>
      </c>
      <c r="M12576" s="401">
        <f>SUM(C12576,C12552,C12528,C12504,C12480,C12456,C12432)/POBLA!$B$23*100000</f>
        <v>175.87513430978908</v>
      </c>
      <c r="S12576" s="637" t="b">
        <f t="shared" si="2381"/>
        <v>0</v>
      </c>
    </row>
    <row r="12577" spans="1:19" ht="15.75" thickBot="1" x14ac:dyDescent="0.3">
      <c r="A12577" s="369" t="s">
        <v>40</v>
      </c>
      <c r="B12577" s="2">
        <v>44416</v>
      </c>
      <c r="C12577" s="637">
        <v>151</v>
      </c>
      <c r="D12577" s="176">
        <f t="shared" si="2384"/>
        <v>185843</v>
      </c>
      <c r="E12577" s="637"/>
      <c r="F12577" s="176">
        <f>E12577+F12553</f>
        <v>2624</v>
      </c>
      <c r="G12577" s="177">
        <f>SUM(C12577,C12553,C12529,C12505,C12481,C12457,C12433,C12409,C12385,C12361,C12337,C12313,C12289,C12265)/POBLA!$B$24*100000</f>
        <v>556.63214245250958</v>
      </c>
      <c r="H12577" s="402">
        <f t="shared" si="2382"/>
        <v>0.95572441742654513</v>
      </c>
      <c r="I12577" s="403">
        <f t="shared" si="2383"/>
        <v>531.98693006631436</v>
      </c>
      <c r="J12577" s="423">
        <f t="shared" si="2379"/>
        <v>704.28571428571433</v>
      </c>
      <c r="K12577" s="403">
        <f>J12577/POBLA!$B$24*100000</f>
        <v>41.559214040236739</v>
      </c>
      <c r="L12577" s="404">
        <f t="shared" si="2380"/>
        <v>9.4825671774372733E-2</v>
      </c>
      <c r="M12577" s="405">
        <f>SUM(C12577,C12553,C12529,C12505,C12481,C12457,C12433)/POBLA!$B$24*100000</f>
        <v>290.91449828165713</v>
      </c>
      <c r="S12577" s="637" t="b">
        <f t="shared" si="2381"/>
        <v>0</v>
      </c>
    </row>
    <row r="12578" spans="1:19" x14ac:dyDescent="0.25">
      <c r="A12578" s="363" t="s">
        <v>16</v>
      </c>
      <c r="B12578" s="2">
        <v>44417</v>
      </c>
      <c r="C12578" s="637">
        <v>2631</v>
      </c>
      <c r="D12578" s="174">
        <f>C12578+D12554</f>
        <v>1999927</v>
      </c>
      <c r="E12578" s="637">
        <v>272</v>
      </c>
      <c r="F12578" s="174">
        <f t="shared" ref="F12578:F12596" si="2385">E12578+F12554</f>
        <v>52883</v>
      </c>
      <c r="G12578" s="175">
        <f>SUM(C12578,C12554,C12506,C12530,C12482,C12458,C12434,C12410,C12386,C12362,C12338,C12314,C12290,C12266)/POBLA!$B$1*100000</f>
        <v>250.10915766539932</v>
      </c>
      <c r="H12578" s="300">
        <f t="shared" si="2382"/>
        <v>0.79217074139612154</v>
      </c>
      <c r="I12578" s="301">
        <f>G12578*H12578</f>
        <v>198.12915685775883</v>
      </c>
      <c r="J12578" s="421">
        <f>AVERAGE(C12578,C12554,C12530,C12506,C12482,C12458,C12434)</f>
        <v>2984.7142857142858</v>
      </c>
      <c r="K12578" s="301">
        <f>J12578/POBLA!$B$1*100000</f>
        <v>17.015508202769052</v>
      </c>
      <c r="L12578" s="399">
        <f>(SUM(C12578,C12554,C12530,C12506,C12482,C12458,C12434)/SUM(C12410,C12386,C12362,C12338,C12314,C12290,C12266))-1</f>
        <v>-9.0778536925018471E-2</v>
      </c>
      <c r="M12578" s="400">
        <f>SUM(C12578,C12554,C12530,C12506,C12482,C12458,C12434)/POBLA!$B$1*100000</f>
        <v>119.10855741938339</v>
      </c>
      <c r="N12578" s="42" t="s">
        <v>16</v>
      </c>
      <c r="O12578" s="42">
        <v>118</v>
      </c>
      <c r="P12578" s="42">
        <v>154</v>
      </c>
      <c r="Q12578" s="42">
        <v>0</v>
      </c>
      <c r="R12578" s="42">
        <v>272</v>
      </c>
    </row>
    <row r="12579" spans="1:19" x14ac:dyDescent="0.25">
      <c r="A12579" s="367" t="s">
        <v>43</v>
      </c>
      <c r="B12579" s="2">
        <v>44417</v>
      </c>
      <c r="C12579" s="637">
        <v>601</v>
      </c>
      <c r="D12579" s="39">
        <f t="shared" ref="D12579:D12593" si="2386">C12579+D12555</f>
        <v>497715</v>
      </c>
      <c r="E12579" s="637">
        <v>19</v>
      </c>
      <c r="F12579" s="39">
        <f t="shared" si="2385"/>
        <v>10990</v>
      </c>
      <c r="G12579" s="168">
        <f>SUM(C12579,C12555,C12531,C12507,C12483,C12459,C12435,C12411,C12387,C12363,C12339,C12315,C12291,C12267)/POBLA!$B$2*100000</f>
        <v>320.4855175140442</v>
      </c>
      <c r="H12579" s="256">
        <f t="shared" si="2382"/>
        <v>0.84068230277185496</v>
      </c>
      <c r="I12579" s="297">
        <f t="shared" ref="I12579:I12585" si="2387">G12579*H12579</f>
        <v>269.42650286873635</v>
      </c>
      <c r="J12579" s="422">
        <f>AVERAGE(C12579,C12555,C12531,C12507,C12483,C12459,C12435)</f>
        <v>711.14285714285711</v>
      </c>
      <c r="K12579" s="297">
        <f>J12579/POBLA!$B$2*100000</f>
        <v>23.121739535136914</v>
      </c>
      <c r="L12579" s="200">
        <f>(SUM(C12579,C12555,C12531,C12507,C12483,C12459,C12435)/SUM(C12411,C12387,C12363,C12339,C12315,C12291,C12267))-1</f>
        <v>2.0291043246566831E-2</v>
      </c>
      <c r="M12579" s="401">
        <f>SUM(C12579,C12555,C12531,C12507,C12483,C12459,C12435)/POBLA!$B$2*100000</f>
        <v>161.85217674595842</v>
      </c>
      <c r="N12579" s="42" t="s">
        <v>43</v>
      </c>
      <c r="O12579" s="42">
        <v>8</v>
      </c>
      <c r="P12579" s="42">
        <v>11</v>
      </c>
      <c r="Q12579" s="42">
        <v>0</v>
      </c>
      <c r="R12579" s="42">
        <v>19</v>
      </c>
    </row>
    <row r="12580" spans="1:19" x14ac:dyDescent="0.25">
      <c r="A12580" s="367" t="s">
        <v>28</v>
      </c>
      <c r="B12580" s="2">
        <v>44417</v>
      </c>
      <c r="C12580" s="637">
        <v>168</v>
      </c>
      <c r="D12580" s="39">
        <f t="shared" si="2386"/>
        <v>44364</v>
      </c>
      <c r="E12580" s="637">
        <v>7</v>
      </c>
      <c r="F12580" s="39">
        <f t="shared" si="2385"/>
        <v>513</v>
      </c>
      <c r="G12580" s="168">
        <f>SUM(C12580,C12556,C12532,C12508,C12484,C12460,C12436,C12412,C12388,C12364,C12340,C12316,C12292,C12268)/POBLA!$B$3*100000</f>
        <v>794.82377635170587</v>
      </c>
      <c r="H12580" s="256">
        <f t="shared" si="2382"/>
        <v>0.90789111905416553</v>
      </c>
      <c r="I12580" s="297">
        <f t="shared" si="2387"/>
        <v>721.61344776280805</v>
      </c>
      <c r="J12580" s="422">
        <f t="shared" ref="J12580:J12601" si="2388">AVERAGE(C12580,C12556,C12532,C12508,C12484,C12460,C12436)</f>
        <v>225.28571428571428</v>
      </c>
      <c r="K12580" s="297">
        <f>J12580/POBLA!$B$3*100000</f>
        <v>54.228480371490882</v>
      </c>
      <c r="L12580" s="200">
        <f t="shared" ref="L12580:L12601" si="2389">(SUM(C12580,C12556,C12532,C12508,C12484,C12460,C12436)/SUM(C12412,C12388,C12364,C12340,C12316,C12292,C12268))-1</f>
        <v>-8.5797101449275326E-2</v>
      </c>
      <c r="M12580" s="401">
        <f>SUM(C12580,C12556,C12532,C12508,C12484,C12460,C12436)/POBLA!$B$3*100000</f>
        <v>379.59936260043617</v>
      </c>
      <c r="N12580" s="42" t="s">
        <v>28</v>
      </c>
      <c r="O12580" s="42">
        <v>2</v>
      </c>
      <c r="P12580" s="42">
        <v>5</v>
      </c>
      <c r="Q12580" s="42">
        <v>0</v>
      </c>
      <c r="R12580" s="42">
        <v>7</v>
      </c>
    </row>
    <row r="12581" spans="1:19" x14ac:dyDescent="0.25">
      <c r="A12581" s="367" t="s">
        <v>15</v>
      </c>
      <c r="B12581" s="2">
        <v>44417</v>
      </c>
      <c r="C12581" s="637">
        <v>377</v>
      </c>
      <c r="D12581" s="39">
        <f t="shared" si="2386"/>
        <v>94728</v>
      </c>
      <c r="E12581" s="637">
        <v>11</v>
      </c>
      <c r="F12581" s="39">
        <f t="shared" si="2385"/>
        <v>2088</v>
      </c>
      <c r="G12581" s="168">
        <f>SUM(C12581,C12557,C12533,C12509,C12485,C12461,C12437,C12413,C12389,C12365,C12341,C12317,C12293,C12269)/POBLA!$B$4*100000</f>
        <v>463.66209203339696</v>
      </c>
      <c r="H12581" s="256">
        <f t="shared" si="2382"/>
        <v>0.95551753635585968</v>
      </c>
      <c r="I12581" s="297">
        <f t="shared" si="2387"/>
        <v>443.03725988135534</v>
      </c>
      <c r="J12581" s="422">
        <f t="shared" si="2388"/>
        <v>381.85714285714283</v>
      </c>
      <c r="K12581" s="297">
        <f>J12581/POBLA!$B$4*100000</f>
        <v>31.701464944501087</v>
      </c>
      <c r="L12581" s="200">
        <f t="shared" si="2389"/>
        <v>-8.2074175824175866E-2</v>
      </c>
      <c r="M12581" s="401">
        <f>SUM(C12581,C12557,C12533,C12509,C12485,C12461,C12437)/POBLA!$B$4*100000</f>
        <v>221.91025461150761</v>
      </c>
      <c r="N12581" s="42" t="s">
        <v>15</v>
      </c>
      <c r="O12581" s="42">
        <v>3</v>
      </c>
      <c r="P12581" s="42">
        <v>8</v>
      </c>
      <c r="Q12581" s="42">
        <v>0</v>
      </c>
      <c r="R12581" s="42">
        <v>11</v>
      </c>
    </row>
    <row r="12582" spans="1:19" x14ac:dyDescent="0.25">
      <c r="A12582" s="367" t="s">
        <v>29</v>
      </c>
      <c r="B12582" s="2">
        <v>44417</v>
      </c>
      <c r="C12582" s="637">
        <v>208</v>
      </c>
      <c r="D12582" s="39">
        <f t="shared" si="2386"/>
        <v>77975</v>
      </c>
      <c r="E12582" s="637">
        <v>2</v>
      </c>
      <c r="F12582" s="39">
        <f t="shared" si="2385"/>
        <v>1365</v>
      </c>
      <c r="G12582" s="168">
        <f>SUM(C12582,C12558,C12534,C12510,C12486,C12462,C12438,C12414,C12390,C12366,C12342,C12318,C12294,C12270)/POBLA!$B$5*100000</f>
        <v>454.28550195963123</v>
      </c>
      <c r="H12582" s="256">
        <f t="shared" si="2382"/>
        <v>1.2125916343251402</v>
      </c>
      <c r="I12582" s="297">
        <f t="shared" si="2387"/>
        <v>550.86279927144585</v>
      </c>
      <c r="J12582" s="422">
        <f t="shared" si="2388"/>
        <v>195.14285714285714</v>
      </c>
      <c r="K12582" s="297">
        <f>J12582/POBLA!$B$5*100000</f>
        <v>31.525807543022573</v>
      </c>
      <c r="L12582" s="200">
        <f t="shared" si="2389"/>
        <v>-5.5325034578146637E-2</v>
      </c>
      <c r="M12582" s="401">
        <f>SUM(C12582,C12558,C12534,C12510,C12486,C12462,C12438)/POBLA!$B$5*100000</f>
        <v>220.680652801158</v>
      </c>
      <c r="N12582" s="42" t="s">
        <v>29</v>
      </c>
      <c r="O12582" s="42">
        <v>1</v>
      </c>
      <c r="P12582" s="42">
        <v>1</v>
      </c>
      <c r="Q12582" s="42">
        <v>0</v>
      </c>
      <c r="R12582" s="42">
        <v>2</v>
      </c>
    </row>
    <row r="12583" spans="1:19" x14ac:dyDescent="0.25">
      <c r="A12583" s="367" t="s">
        <v>30</v>
      </c>
      <c r="B12583" s="2">
        <v>44417</v>
      </c>
      <c r="C12583" s="637">
        <v>246</v>
      </c>
      <c r="D12583" s="39">
        <f t="shared" si="2386"/>
        <v>453266</v>
      </c>
      <c r="E12583" s="637">
        <v>13</v>
      </c>
      <c r="F12583" s="39">
        <f t="shared" si="2385"/>
        <v>5938</v>
      </c>
      <c r="G12583" s="168">
        <f>SUM(C12583,C12559,C12535,C12511,C12487,C12463,C12439,C12415,C12391,C12367,C12343,C12319,C12295,C12271)/POBLA!$B$6*100000</f>
        <v>630.08509093050418</v>
      </c>
      <c r="H12583" s="256">
        <f t="shared" si="2382"/>
        <v>1.0291460215680559</v>
      </c>
      <c r="I12583" s="297">
        <f t="shared" si="2387"/>
        <v>648.44956458047511</v>
      </c>
      <c r="J12583" s="422">
        <f t="shared" si="2388"/>
        <v>551.42857142857144</v>
      </c>
      <c r="K12583" s="297">
        <f>J12583/POBLA!$B$6*100000</f>
        <v>49.199507444102153</v>
      </c>
      <c r="L12583" s="200">
        <f t="shared" si="2389"/>
        <v>0.20549656464709565</v>
      </c>
      <c r="M12583" s="401">
        <f>SUM(C12583,C12559,C12535,C12511,C12487,C12463,C12439)/POBLA!$B$6*100000</f>
        <v>344.39655210871513</v>
      </c>
      <c r="N12583" s="42" t="s">
        <v>30</v>
      </c>
      <c r="O12583" s="42">
        <v>8</v>
      </c>
      <c r="P12583" s="42">
        <v>5</v>
      </c>
      <c r="Q12583" s="42">
        <v>0</v>
      </c>
      <c r="R12583" s="42">
        <v>13</v>
      </c>
    </row>
    <row r="12584" spans="1:19" x14ac:dyDescent="0.25">
      <c r="A12584" s="367" t="s">
        <v>20</v>
      </c>
      <c r="B12584" s="2">
        <v>44417</v>
      </c>
      <c r="C12584" s="637">
        <v>1571</v>
      </c>
      <c r="D12584" s="39">
        <f t="shared" si="2386"/>
        <v>114886</v>
      </c>
      <c r="E12584" s="637">
        <v>29</v>
      </c>
      <c r="F12584" s="39">
        <f t="shared" si="2385"/>
        <v>1305</v>
      </c>
      <c r="G12584" s="168">
        <f>SUM(C12584,C12560,C12536,C12512,C12488,C12464,C12440,C12416,C12392,C12368,C12344,C12320,C12296,C12272)/POBLA!$B$7*100000</f>
        <v>658.80413248414425</v>
      </c>
      <c r="H12584" s="256">
        <f t="shared" si="2382"/>
        <v>1.0247776628748708</v>
      </c>
      <c r="I12584" s="297">
        <f t="shared" si="2387"/>
        <v>675.12775917940814</v>
      </c>
      <c r="J12584" s="422">
        <f t="shared" si="2388"/>
        <v>1776.1428571428571</v>
      </c>
      <c r="K12584" s="297">
        <f>J12584/POBLA!$B$7*100000</f>
        <v>47.232189156692876</v>
      </c>
      <c r="L12584" s="200">
        <f t="shared" si="2389"/>
        <v>7.4548253788184748E-3</v>
      </c>
      <c r="M12584" s="401">
        <f>SUM(C12584,C12560,C12536,C12512,C12488,C12464,C12440)/POBLA!$B$7*100000</f>
        <v>330.62532409685014</v>
      </c>
      <c r="N12584" s="42" t="s">
        <v>20</v>
      </c>
      <c r="O12584" s="42">
        <v>9</v>
      </c>
      <c r="P12584" s="42">
        <v>20</v>
      </c>
      <c r="Q12584" s="42">
        <v>0</v>
      </c>
      <c r="R12584" s="42">
        <v>29</v>
      </c>
    </row>
    <row r="12585" spans="1:19" x14ac:dyDescent="0.25">
      <c r="A12585" s="367" t="s">
        <v>31</v>
      </c>
      <c r="B12585" s="2">
        <v>44417</v>
      </c>
      <c r="C12585" s="637">
        <v>226</v>
      </c>
      <c r="D12585" s="39">
        <f t="shared" si="2386"/>
        <v>130643</v>
      </c>
      <c r="E12585" s="637">
        <v>20</v>
      </c>
      <c r="F12585" s="39">
        <f t="shared" si="2385"/>
        <v>2220</v>
      </c>
      <c r="G12585" s="168">
        <f>SUM(C12585,C12561,C12537,C12513,C12489,C12465,C12441,C12417,C12393,C12369,C12345,C12321,C12297,C12273)/POBLA!$B$8*100000</f>
        <v>354.12251859900823</v>
      </c>
      <c r="H12585" s="256">
        <f t="shared" ref="H12585:H12608" si="2390">SUM(C12585,C12561,C12537,C12513,C12489,C12465,C12441,C12417,C12393,C12369,C12345,C12321,C12297,C12273,)/SUM(C12249,C12225,C12201,C12177,C12153,C12129,C12105,C12081,C12057,C12033,C12009,C11985,C11961,C11937)</f>
        <v>0.63897929957036848</v>
      </c>
      <c r="I12585" s="297">
        <f t="shared" si="2387"/>
        <v>226.27695889648905</v>
      </c>
      <c r="J12585" s="422">
        <f t="shared" si="2388"/>
        <v>316.71428571428572</v>
      </c>
      <c r="K12585" s="297">
        <f>J12585/POBLA!$B$8*100000</f>
        <v>22.851601575678227</v>
      </c>
      <c r="L12585" s="200">
        <f t="shared" si="2389"/>
        <v>-0.17614269788182835</v>
      </c>
      <c r="M12585" s="401">
        <f>SUM(C12585,C12561,C12537,C12513,C12489,C12465,C12441)/POBLA!$B$8*100000</f>
        <v>159.96121102974757</v>
      </c>
      <c r="N12585" s="42" t="s">
        <v>31</v>
      </c>
      <c r="O12585" s="42">
        <v>12</v>
      </c>
      <c r="P12585" s="42">
        <v>8</v>
      </c>
      <c r="Q12585" s="42">
        <v>0</v>
      </c>
      <c r="R12585" s="42">
        <v>20</v>
      </c>
    </row>
    <row r="12586" spans="1:19" x14ac:dyDescent="0.25">
      <c r="A12586" s="367" t="s">
        <v>41</v>
      </c>
      <c r="B12586" s="2">
        <v>44417</v>
      </c>
      <c r="C12586" s="637">
        <v>209</v>
      </c>
      <c r="D12586" s="39">
        <f t="shared" si="2386"/>
        <v>57976</v>
      </c>
      <c r="E12586" s="637">
        <v>7</v>
      </c>
      <c r="F12586" s="39">
        <f t="shared" si="2385"/>
        <v>1059</v>
      </c>
      <c r="G12586" s="168">
        <f>SUM(C12586,C12562,C12538,C12514,C12490,C12466,C12442,C12418,C12394,C12370,C12346,C12322,C12298,C12274)/POBLA!$B$9*100000</f>
        <v>519.0079858821897</v>
      </c>
      <c r="H12586" s="256">
        <f t="shared" si="2390"/>
        <v>0.7330221703617269</v>
      </c>
      <c r="I12586" s="297">
        <f>G12586*H12586</f>
        <v>380.44436024643119</v>
      </c>
      <c r="J12586" s="422">
        <f t="shared" si="2388"/>
        <v>225.71428571428572</v>
      </c>
      <c r="K12586" s="297">
        <f>J12586/POBLA!$B$9*100000</f>
        <v>37.296248587522612</v>
      </c>
      <c r="L12586" s="200">
        <f t="shared" si="2389"/>
        <v>1.2171684817424699E-2</v>
      </c>
      <c r="M12586" s="401">
        <f>SUM(C12586,C12562,C12538,C12514,C12490,C12466,C12442)/POBLA!$B$9*100000</f>
        <v>261.07374011265824</v>
      </c>
      <c r="N12586" s="42" t="s">
        <v>41</v>
      </c>
      <c r="O12586" s="42">
        <v>3</v>
      </c>
      <c r="P12586" s="42">
        <v>4</v>
      </c>
      <c r="Q12586" s="42">
        <v>0</v>
      </c>
      <c r="R12586" s="42">
        <v>7</v>
      </c>
    </row>
    <row r="12587" spans="1:19" x14ac:dyDescent="0.25">
      <c r="A12587" s="367" t="s">
        <v>32</v>
      </c>
      <c r="B12587" s="2">
        <v>44417</v>
      </c>
      <c r="C12587" s="637">
        <v>104</v>
      </c>
      <c r="D12587" s="39">
        <f t="shared" si="2386"/>
        <v>44921</v>
      </c>
      <c r="E12587" s="637">
        <v>8</v>
      </c>
      <c r="F12587" s="39">
        <f t="shared" si="2385"/>
        <v>1359</v>
      </c>
      <c r="G12587" s="168">
        <f>SUM(C12587,C12563,C12539,C12515,C12491,C12467,C12443,C12419,C12395,C12371,C12347,C12323,C12299,C12275)/POBLA!$B$10*100000</f>
        <v>308.86738679510842</v>
      </c>
      <c r="H12587" s="256">
        <f t="shared" si="2390"/>
        <v>0.71372901678657075</v>
      </c>
      <c r="I12587" s="297">
        <f t="shared" ref="I12587:I12601" si="2391">G12587*H12587</f>
        <v>220.44761629471017</v>
      </c>
      <c r="J12587" s="422">
        <f t="shared" si="2388"/>
        <v>160.28571428571428</v>
      </c>
      <c r="K12587" s="297">
        <f>J12587/POBLA!$B$10*100000</f>
        <v>20.792536628314135</v>
      </c>
      <c r="L12587" s="200">
        <f t="shared" si="2389"/>
        <v>-0.10881652104845119</v>
      </c>
      <c r="M12587" s="401">
        <f>SUM(C12587,C12563,C12539,C12515,C12491,C12467,C12443)/POBLA!$B$10*100000</f>
        <v>145.54775639819894</v>
      </c>
      <c r="N12587" s="42" t="s">
        <v>32</v>
      </c>
      <c r="O12587" s="42">
        <v>1</v>
      </c>
      <c r="P12587" s="42">
        <v>7</v>
      </c>
      <c r="Q12587" s="42">
        <v>0</v>
      </c>
      <c r="R12587" s="42">
        <v>8</v>
      </c>
    </row>
    <row r="12588" spans="1:19" x14ac:dyDescent="0.25">
      <c r="A12588" s="367" t="s">
        <v>33</v>
      </c>
      <c r="B12588" s="2">
        <v>44417</v>
      </c>
      <c r="C12588" s="637">
        <v>306</v>
      </c>
      <c r="D12588" s="39">
        <f t="shared" si="2386"/>
        <v>63643</v>
      </c>
      <c r="E12588" s="637">
        <v>7</v>
      </c>
      <c r="F12588" s="39">
        <f t="shared" si="2385"/>
        <v>869</v>
      </c>
      <c r="G12588" s="168">
        <f>SUM(C12588,C12564,C12540,C12516,C12492,C12468,C12444,C12420,C12396,C12372,C12348,C12324,C12300,C12276)/POBLA!$B$11*100000</f>
        <v>1035.9123729172943</v>
      </c>
      <c r="H12588" s="256">
        <f t="shared" si="2390"/>
        <v>0.97377393128769996</v>
      </c>
      <c r="I12588" s="297">
        <f t="shared" si="2391"/>
        <v>1008.7444638452436</v>
      </c>
      <c r="J12588" s="422">
        <f t="shared" si="2388"/>
        <v>249.14285714285714</v>
      </c>
      <c r="K12588" s="297">
        <f>J12588/POBLA!$B$11*100000</f>
        <v>69.509875663412771</v>
      </c>
      <c r="L12588" s="200">
        <f t="shared" si="2389"/>
        <v>-0.11427120365667853</v>
      </c>
      <c r="M12588" s="401">
        <f>SUM(C12588,C12564,C12540,C12516,C12492,C12468,C12444)/POBLA!$B$11*100000</f>
        <v>486.56912964388943</v>
      </c>
      <c r="N12588" s="42" t="s">
        <v>33</v>
      </c>
      <c r="O12588" s="42">
        <v>4</v>
      </c>
      <c r="P12588" s="42">
        <v>2</v>
      </c>
      <c r="Q12588" s="42">
        <v>1</v>
      </c>
      <c r="R12588" s="42">
        <v>7</v>
      </c>
    </row>
    <row r="12589" spans="1:19" x14ac:dyDescent="0.25">
      <c r="A12589" s="367" t="s">
        <v>21</v>
      </c>
      <c r="B12589" s="2">
        <v>44417</v>
      </c>
      <c r="C12589" s="637">
        <v>84</v>
      </c>
      <c r="D12589" s="39">
        <f t="shared" si="2386"/>
        <v>30139</v>
      </c>
      <c r="E12589" s="637"/>
      <c r="F12589" s="39">
        <f t="shared" si="2385"/>
        <v>865</v>
      </c>
      <c r="G12589" s="168">
        <f>SUM(C12589,C12565,C12541,C12517,C12493,C12469,C12445,C12421,C12397,C12373,C12349,C12325,C12301,C12277)/POBLA!$B$12*100000</f>
        <v>771.7308166319807</v>
      </c>
      <c r="H12589" s="256">
        <f t="shared" si="2390"/>
        <v>1.1357516828721017</v>
      </c>
      <c r="I12589" s="297">
        <f t="shared" si="2391"/>
        <v>876.49457371403344</v>
      </c>
      <c r="J12589" s="422">
        <f t="shared" si="2388"/>
        <v>194.28571428571428</v>
      </c>
      <c r="K12589" s="297">
        <f>J12589/POBLA!$B$12*100000</f>
        <v>49.369862675548887</v>
      </c>
      <c r="L12589" s="200">
        <f t="shared" si="2389"/>
        <v>-0.18902802623732862</v>
      </c>
      <c r="M12589" s="401">
        <f>SUM(C12589,C12565,C12541,C12517,C12493,C12469,C12445)/POBLA!$B$12*100000</f>
        <v>345.58903872884218</v>
      </c>
    </row>
    <row r="12590" spans="1:19" x14ac:dyDescent="0.25">
      <c r="A12590" s="367" t="s">
        <v>17</v>
      </c>
      <c r="B12590" s="2">
        <v>44417</v>
      </c>
      <c r="C12590" s="637">
        <v>311</v>
      </c>
      <c r="D12590" s="39">
        <f t="shared" si="2386"/>
        <v>157276</v>
      </c>
      <c r="E12590" s="637">
        <v>15</v>
      </c>
      <c r="F12590" s="39">
        <f t="shared" si="2385"/>
        <v>4039</v>
      </c>
      <c r="G12590" s="168">
        <f>SUM(C12590,C12566,C12542,C12518,C12494,C12470,C12446,C12422,C12398,C12374,C12350,C12326,C12302,C12278)/POBLA!$B$13*100000</f>
        <v>280.3041493454881</v>
      </c>
      <c r="H12590" s="256">
        <f t="shared" si="2390"/>
        <v>0.9017294326814288</v>
      </c>
      <c r="I12590" s="297">
        <f t="shared" si="2391"/>
        <v>252.75850156755749</v>
      </c>
      <c r="J12590" s="422">
        <f t="shared" si="2388"/>
        <v>355.85714285714283</v>
      </c>
      <c r="K12590" s="297">
        <f>J12590/POBLA!$B$13*100000</f>
        <v>17.87923171125421</v>
      </c>
      <c r="L12590" s="200">
        <f t="shared" si="2389"/>
        <v>-0.19332901554404147</v>
      </c>
      <c r="M12590" s="401">
        <f>SUM(C12590,C12566,C12542,C12518,C12494,C12470,C12446)/POBLA!$B$13*100000</f>
        <v>125.15462197877949</v>
      </c>
      <c r="N12590" s="42" t="s">
        <v>17</v>
      </c>
      <c r="O12590" s="42">
        <v>5</v>
      </c>
      <c r="P12590" s="42">
        <v>10</v>
      </c>
      <c r="Q12590" s="42">
        <v>0</v>
      </c>
      <c r="R12590" s="42">
        <v>15</v>
      </c>
    </row>
    <row r="12591" spans="1:19" x14ac:dyDescent="0.25">
      <c r="A12591" s="367" t="s">
        <v>23</v>
      </c>
      <c r="B12591" s="2">
        <v>44417</v>
      </c>
      <c r="C12591" s="637">
        <v>118</v>
      </c>
      <c r="D12591" s="39">
        <f t="shared" si="2386"/>
        <v>32328</v>
      </c>
      <c r="E12591" s="637">
        <v>1</v>
      </c>
      <c r="F12591" s="39">
        <f t="shared" si="2385"/>
        <v>620</v>
      </c>
      <c r="G12591" s="168">
        <f>SUM(C12591,C12567,C12543,C12519,C12495,C12471,C12447,C12423,C12399,C12375,C12351,C12327,C12303,C12279)/POBLA!$B$14*100000</f>
        <v>191.8664482666214</v>
      </c>
      <c r="H12591" s="256">
        <f t="shared" si="2390"/>
        <v>1.0674900749889722</v>
      </c>
      <c r="I12591" s="297">
        <f t="shared" si="2391"/>
        <v>204.81552924800343</v>
      </c>
      <c r="J12591" s="422">
        <f t="shared" si="2388"/>
        <v>164.14285714285714</v>
      </c>
      <c r="K12591" s="297">
        <f>J12591/POBLA!$B$14*100000</f>
        <v>13.013845871212988</v>
      </c>
      <c r="L12591" s="200">
        <f t="shared" si="2389"/>
        <v>-9.5987411487018059E-2</v>
      </c>
      <c r="M12591" s="401">
        <f>SUM(C12591,C12567,C12543,C12519,C12495,C12471,C12447)/POBLA!$B$14*100000</f>
        <v>91.096921098490924</v>
      </c>
      <c r="N12591" s="42" t="s">
        <v>23</v>
      </c>
      <c r="O12591" s="42">
        <v>0</v>
      </c>
      <c r="P12591" s="42">
        <v>1</v>
      </c>
      <c r="Q12591" s="42">
        <v>0</v>
      </c>
      <c r="R12591" s="42">
        <v>1</v>
      </c>
    </row>
    <row r="12592" spans="1:19" x14ac:dyDescent="0.25">
      <c r="A12592" s="367" t="s">
        <v>19</v>
      </c>
      <c r="B12592" s="2">
        <v>44417</v>
      </c>
      <c r="C12592" s="637">
        <v>193</v>
      </c>
      <c r="D12592" s="39">
        <f t="shared" si="2386"/>
        <v>109333</v>
      </c>
      <c r="E12592" s="637">
        <v>3</v>
      </c>
      <c r="F12592" s="39">
        <f t="shared" si="2385"/>
        <v>2081</v>
      </c>
      <c r="G12592" s="168">
        <f>SUM(C12592,C12568,C12544,C12520,C12496,C12472,C12448,C12424,C12400,C12376,C12352,C12328,C12304,C12280)/POBLA!$B$15*100000</f>
        <v>445.89545776943845</v>
      </c>
      <c r="H12592" s="256">
        <f t="shared" si="2390"/>
        <v>1.0902061855670102</v>
      </c>
      <c r="I12592" s="297">
        <f t="shared" si="2391"/>
        <v>486.11798617647537</v>
      </c>
      <c r="J12592" s="422">
        <f t="shared" si="2388"/>
        <v>203.14285714285714</v>
      </c>
      <c r="K12592" s="297">
        <f>J12592/POBLA!$B$15*100000</f>
        <v>30.591177736678798</v>
      </c>
      <c r="L12592" s="200">
        <f t="shared" si="2389"/>
        <v>-7.6023391812865548E-2</v>
      </c>
      <c r="M12592" s="401">
        <f>SUM(C12592,C12568,C12544,C12520,C12496,C12472,C12448)/POBLA!$B$15*100000</f>
        <v>214.1382441567516</v>
      </c>
      <c r="N12592" s="42" t="s">
        <v>19</v>
      </c>
      <c r="O12592" s="42">
        <v>2</v>
      </c>
      <c r="P12592" s="42">
        <v>1</v>
      </c>
      <c r="Q12592" s="42">
        <v>0</v>
      </c>
      <c r="R12592" s="42">
        <v>3</v>
      </c>
    </row>
    <row r="12593" spans="1:18" x14ac:dyDescent="0.25">
      <c r="A12593" s="367" t="s">
        <v>18</v>
      </c>
      <c r="B12593" s="2">
        <v>44417</v>
      </c>
      <c r="C12593" s="637">
        <v>185</v>
      </c>
      <c r="D12593" s="39">
        <f t="shared" si="2386"/>
        <v>94509</v>
      </c>
      <c r="E12593" s="637">
        <v>1</v>
      </c>
      <c r="F12593" s="39">
        <f t="shared" si="2385"/>
        <v>2138</v>
      </c>
      <c r="G12593" s="168">
        <f>SUM(C12593,C12569,C12545,C12521,C12497,C12473,C12449,C12425,C12401,C12377,C12353,C12329,C12305,C12281)/POBLA!$B$16*100000</f>
        <v>520.99356616417651</v>
      </c>
      <c r="H12593" s="256">
        <f t="shared" si="2390"/>
        <v>1.0124772550038992</v>
      </c>
      <c r="I12593" s="297">
        <f t="shared" si="2391"/>
        <v>527.49413574459777</v>
      </c>
      <c r="J12593" s="422">
        <f t="shared" si="2388"/>
        <v>244.28571428571428</v>
      </c>
      <c r="K12593" s="297">
        <f>J12593/POBLA!$B$16*100000</f>
        <v>32.675554672317688</v>
      </c>
      <c r="L12593" s="200">
        <f t="shared" si="2389"/>
        <v>-0.21739130434782605</v>
      </c>
      <c r="M12593" s="401">
        <f>SUM(C12593,C12569,C12545,C12521,C12497,C12473,C12449)/POBLA!$B$16*100000</f>
        <v>228.72888270622383</v>
      </c>
      <c r="N12593" s="42" t="s">
        <v>18</v>
      </c>
      <c r="O12593" s="42">
        <v>0</v>
      </c>
      <c r="P12593" s="42">
        <v>1</v>
      </c>
      <c r="Q12593" s="42">
        <v>0</v>
      </c>
      <c r="R12593" s="42">
        <v>1</v>
      </c>
    </row>
    <row r="12594" spans="1:18" x14ac:dyDescent="0.25">
      <c r="A12594" s="367" t="s">
        <v>34</v>
      </c>
      <c r="B12594" s="2">
        <v>44417</v>
      </c>
      <c r="C12594" s="637">
        <v>240</v>
      </c>
      <c r="D12594" s="39">
        <f>C12594+D12570</f>
        <v>77772</v>
      </c>
      <c r="E12594" s="637">
        <v>19</v>
      </c>
      <c r="F12594" s="39">
        <f t="shared" si="2385"/>
        <v>2163</v>
      </c>
      <c r="G12594" s="168">
        <f>SUM(C12594,C12570,C12546,C12522,C12498,C12474,C12450,C12426,C12402,C12378,C12354,C12330,C12306,C12282)/POBLA!$B$17*100000</f>
        <v>306.44546429120533</v>
      </c>
      <c r="H12594" s="256">
        <f t="shared" si="2390"/>
        <v>0.68341944574917801</v>
      </c>
      <c r="I12594" s="297">
        <f t="shared" si="2391"/>
        <v>209.43078935824508</v>
      </c>
      <c r="J12594" s="422">
        <f t="shared" si="2388"/>
        <v>294.28571428571428</v>
      </c>
      <c r="K12594" s="297">
        <f>J12594/POBLA!$B$17*100000</f>
        <v>20.660371672062936</v>
      </c>
      <c r="L12594" s="200">
        <f t="shared" si="2389"/>
        <v>-0.10629067245119306</v>
      </c>
      <c r="M12594" s="401">
        <f>SUM(C12594,C12570,C12546,C12522,C12498,C12474,C12450)/POBLA!$B$17*100000</f>
        <v>144.62260170444054</v>
      </c>
      <c r="N12594" s="42" t="s">
        <v>34</v>
      </c>
      <c r="O12594" s="42">
        <v>7</v>
      </c>
      <c r="P12594" s="42">
        <v>11</v>
      </c>
      <c r="Q12594" s="42">
        <v>1</v>
      </c>
      <c r="R12594" s="42">
        <v>19</v>
      </c>
    </row>
    <row r="12595" spans="1:18" x14ac:dyDescent="0.25">
      <c r="A12595" s="367" t="s">
        <v>35</v>
      </c>
      <c r="B12595" s="2">
        <v>44417</v>
      </c>
      <c r="C12595" s="637">
        <v>238</v>
      </c>
      <c r="D12595" s="39">
        <f t="shared" ref="D12595:D12601" si="2392">C12595+D12571</f>
        <v>62644</v>
      </c>
      <c r="E12595" s="637">
        <v>5</v>
      </c>
      <c r="F12595" s="39">
        <f t="shared" si="2385"/>
        <v>980</v>
      </c>
      <c r="G12595" s="168">
        <f>SUM(C12595,C12571,C12547,C12523,C12499,C12475,C12451,C12427,C12403,C12379,C12355,C12331,C12307,C12283)/POBLA!$B$18*100000</f>
        <v>456.08326495711179</v>
      </c>
      <c r="H12595" s="256">
        <f t="shared" si="2390"/>
        <v>0.79941664796948619</v>
      </c>
      <c r="I12595" s="297">
        <f t="shared" si="2391"/>
        <v>364.60055486699332</v>
      </c>
      <c r="J12595" s="422">
        <f t="shared" si="2388"/>
        <v>223.85714285714286</v>
      </c>
      <c r="K12595" s="297">
        <f>J12595/POBLA!$B$18*100000</f>
        <v>28.654924669732335</v>
      </c>
      <c r="L12595" s="200">
        <f t="shared" si="2389"/>
        <v>-0.2149298597194389</v>
      </c>
      <c r="M12595" s="401">
        <f>SUM(C12595,C12571,C12547,C12523,C12499,C12475,C12451)/POBLA!$B$18*100000</f>
        <v>200.58447268812637</v>
      </c>
      <c r="N12595" s="42" t="s">
        <v>35</v>
      </c>
      <c r="O12595" s="42">
        <v>1</v>
      </c>
      <c r="P12595" s="42">
        <v>4</v>
      </c>
      <c r="Q12595" s="42">
        <v>0</v>
      </c>
      <c r="R12595" s="42">
        <v>5</v>
      </c>
    </row>
    <row r="12596" spans="1:18" x14ac:dyDescent="0.25">
      <c r="A12596" s="367" t="s">
        <v>36</v>
      </c>
      <c r="B12596" s="2">
        <v>44417</v>
      </c>
      <c r="C12596" s="637">
        <v>190</v>
      </c>
      <c r="D12596" s="39">
        <f t="shared" si="2392"/>
        <v>77054</v>
      </c>
      <c r="E12596" s="637">
        <v>12</v>
      </c>
      <c r="F12596" s="39">
        <f t="shared" si="2385"/>
        <v>1270</v>
      </c>
      <c r="G12596" s="168">
        <f>SUM(C12596,C12572,C12548,C12524,C12500,C12476,C12452,C12428,C12404,C12380,C12356,C12332,C12308,C12284)/POBLA!$B$19*100000</f>
        <v>683.02355959144495</v>
      </c>
      <c r="H12596" s="256">
        <f t="shared" si="2390"/>
        <v>0.91368421052631577</v>
      </c>
      <c r="I12596" s="297">
        <f t="shared" si="2391"/>
        <v>624.06784181618332</v>
      </c>
      <c r="J12596" s="422">
        <f t="shared" si="2388"/>
        <v>240.57142857142858</v>
      </c>
      <c r="K12596" s="297">
        <f>J12596/POBLA!$B$19*100000</f>
        <v>47.326023467412497</v>
      </c>
      <c r="L12596" s="200">
        <f t="shared" si="2389"/>
        <v>-5.8165548098433995E-2</v>
      </c>
      <c r="M12596" s="401">
        <f>SUM(C12596,C12572,C12548,C12524,C12500,C12476,C12452)/POBLA!$B$19*100000</f>
        <v>331.28216427188744</v>
      </c>
      <c r="N12596" s="42" t="s">
        <v>36</v>
      </c>
      <c r="O12596" s="42">
        <v>7</v>
      </c>
      <c r="P12596" s="42">
        <v>5</v>
      </c>
      <c r="Q12596" s="42">
        <v>0</v>
      </c>
      <c r="R12596" s="42">
        <v>12</v>
      </c>
    </row>
    <row r="12597" spans="1:18" x14ac:dyDescent="0.25">
      <c r="A12597" s="367" t="s">
        <v>37</v>
      </c>
      <c r="B12597" s="2">
        <v>44417</v>
      </c>
      <c r="C12597" s="637">
        <v>55</v>
      </c>
      <c r="D12597" s="39">
        <f t="shared" si="2392"/>
        <v>58327</v>
      </c>
      <c r="E12597" s="637">
        <v>1</v>
      </c>
      <c r="F12597" s="39">
        <f>E12597+F12573</f>
        <v>971</v>
      </c>
      <c r="G12597" s="168">
        <f>SUM(C12597,C12573,C12550,C12525,C12501,C12477,C12453,C12429,C12405,C12381,C12357,C12333,C12309,C12285)/POBLA!$B$20*100000</f>
        <v>428.76909362370037</v>
      </c>
      <c r="H12597" s="256">
        <f t="shared" si="2390"/>
        <v>0.86503719447396388</v>
      </c>
      <c r="I12597" s="297">
        <f t="shared" si="2391"/>
        <v>370.90121382539013</v>
      </c>
      <c r="J12597" s="422">
        <f t="shared" si="2388"/>
        <v>58.428571428571431</v>
      </c>
      <c r="K12597" s="297">
        <f>J12597/POBLA!$B$20*100000</f>
        <v>15.977273987982278</v>
      </c>
      <c r="L12597" s="200">
        <f t="shared" si="2389"/>
        <v>9.8765432098766315E-3</v>
      </c>
      <c r="M12597" s="401">
        <f>SUM(C12597,C12573,C12549,C12525,C12501,C12477,C12453)/POBLA!$B$20*100000</f>
        <v>111.84091791587593</v>
      </c>
      <c r="N12597" s="42" t="s">
        <v>37</v>
      </c>
      <c r="O12597" s="42">
        <v>1</v>
      </c>
      <c r="P12597" s="42">
        <v>0</v>
      </c>
      <c r="Q12597" s="42">
        <v>0</v>
      </c>
      <c r="R12597" s="42">
        <v>1</v>
      </c>
    </row>
    <row r="12598" spans="1:18" x14ac:dyDescent="0.25">
      <c r="A12598" s="367" t="s">
        <v>22</v>
      </c>
      <c r="B12598" s="2">
        <v>44417</v>
      </c>
      <c r="C12598" s="637">
        <v>781</v>
      </c>
      <c r="D12598" s="39">
        <f t="shared" si="2392"/>
        <v>455148</v>
      </c>
      <c r="E12598" s="637">
        <v>24</v>
      </c>
      <c r="F12598" s="39">
        <f>E12598+F12574</f>
        <v>8032</v>
      </c>
      <c r="G12598" s="168">
        <f>SUM(C12598,C12574,C12550,C12526,C12502,C12478,C12454,C12430,C12406,C12382,C12358,C12334,C12310,C12286)/POBLA!$B$21*100000</f>
        <v>395.1455964764346</v>
      </c>
      <c r="H12598" s="256">
        <f t="shared" si="2390"/>
        <v>0.78940232742063043</v>
      </c>
      <c r="I12598" s="297">
        <f t="shared" si="2391"/>
        <v>311.92885352851073</v>
      </c>
      <c r="J12598" s="422">
        <f t="shared" si="2388"/>
        <v>914.42857142857144</v>
      </c>
      <c r="K12598" s="297">
        <f>J12598/POBLA!$B$21*100000</f>
        <v>25.857479840577994</v>
      </c>
      <c r="L12598" s="200">
        <f t="shared" si="2389"/>
        <v>-0.154760332761125</v>
      </c>
      <c r="M12598" s="401">
        <f>SUM(C12598,C12574,C12550,C12526,C12502,C12478,C12454)/POBLA!$B$21*100000</f>
        <v>181.00235888404595</v>
      </c>
      <c r="N12598" s="42" t="s">
        <v>22</v>
      </c>
      <c r="O12598" s="42">
        <v>5</v>
      </c>
      <c r="P12598" s="42">
        <v>19</v>
      </c>
      <c r="Q12598" s="42">
        <v>0</v>
      </c>
      <c r="R12598" s="42">
        <v>24</v>
      </c>
    </row>
    <row r="12599" spans="1:18" x14ac:dyDescent="0.25">
      <c r="A12599" s="367" t="s">
        <v>38</v>
      </c>
      <c r="B12599" s="2">
        <v>44417</v>
      </c>
      <c r="C12599" s="637">
        <v>292</v>
      </c>
      <c r="D12599" s="39">
        <f t="shared" si="2392"/>
        <v>76292</v>
      </c>
      <c r="E12599" s="637">
        <v>13</v>
      </c>
      <c r="F12599" s="39">
        <f>E12599+F12575</f>
        <v>1095</v>
      </c>
      <c r="G12599" s="168">
        <f>SUM(C12599,C12575,C12551,C12527,C12503,C12479,C12455,C12431,C12407,C12383,C12359,C12335,C12311,C12287)/POBLA!$B$22*100000</f>
        <v>460.79322261893685</v>
      </c>
      <c r="H12599" s="256">
        <f t="shared" si="2390"/>
        <v>0.77350720658888128</v>
      </c>
      <c r="I12599" s="297">
        <f t="shared" si="2391"/>
        <v>356.42687844306238</v>
      </c>
      <c r="J12599" s="422">
        <f t="shared" si="2388"/>
        <v>326.85714285714283</v>
      </c>
      <c r="K12599" s="297">
        <f>J12599/POBLA!$B$22*100000</f>
        <v>33.410283095199887</v>
      </c>
      <c r="L12599" s="200">
        <f t="shared" si="2389"/>
        <v>3.063063063063054E-2</v>
      </c>
      <c r="M12599" s="401">
        <f>SUM(C12599,C12575,C12551,C12527,C12503,C12479,C12455)/POBLA!$B$22*100000</f>
        <v>233.87198166639919</v>
      </c>
      <c r="N12599" s="42" t="s">
        <v>38</v>
      </c>
      <c r="O12599" s="42">
        <v>4</v>
      </c>
      <c r="P12599" s="42">
        <v>9</v>
      </c>
      <c r="Q12599" s="42">
        <v>0</v>
      </c>
      <c r="R12599" s="42">
        <v>13</v>
      </c>
    </row>
    <row r="12600" spans="1:18" x14ac:dyDescent="0.25">
      <c r="A12600" s="367" t="s">
        <v>39</v>
      </c>
      <c r="B12600" s="2">
        <v>44417</v>
      </c>
      <c r="C12600" s="637">
        <v>24</v>
      </c>
      <c r="D12600" s="39">
        <f t="shared" si="2392"/>
        <v>31543</v>
      </c>
      <c r="E12600" s="637"/>
      <c r="F12600" s="39">
        <f>E12600+F12576</f>
        <v>498</v>
      </c>
      <c r="G12600" s="168">
        <f>SUM(C12600,C12576,C12552,C12528,C12504,C12480,C12456,C12432,C12408,C12384,C12360,C12336,C12312,C12288)/POBLA!$B$23*100000</f>
        <v>360.79850704066052</v>
      </c>
      <c r="H12600" s="256">
        <f t="shared" si="2390"/>
        <v>0.99222395023328147</v>
      </c>
      <c r="I12600" s="297">
        <f t="shared" si="2391"/>
        <v>357.99291989415462</v>
      </c>
      <c r="J12600" s="422">
        <f t="shared" si="2388"/>
        <v>40.714285714285715</v>
      </c>
      <c r="K12600" s="297">
        <f>J12600/POBLA!$B$23*100000</f>
        <v>23.024535267932883</v>
      </c>
      <c r="L12600" s="200">
        <f t="shared" si="2389"/>
        <v>-0.19263456090651554</v>
      </c>
      <c r="M12600" s="401">
        <f>SUM(C12600,C12576,C12552,C12528,C12504,C12480,C12456)/POBLA!$B$23*100000</f>
        <v>161.17174687553018</v>
      </c>
    </row>
    <row r="12601" spans="1:18" ht="15.75" thickBot="1" x14ac:dyDescent="0.3">
      <c r="A12601" s="369" t="s">
        <v>40</v>
      </c>
      <c r="B12601" s="2">
        <v>44417</v>
      </c>
      <c r="C12601" s="637">
        <v>822</v>
      </c>
      <c r="D12601" s="176">
        <f t="shared" si="2392"/>
        <v>186665</v>
      </c>
      <c r="E12601" s="637">
        <v>14</v>
      </c>
      <c r="F12601" s="176">
        <f>E12601+F12577</f>
        <v>2638</v>
      </c>
      <c r="G12601" s="177">
        <f>SUM(C12601,C12577,C12553,C12529,C12505,C12481,C12457,C12433,C12409,C12385,C12361,C12337,C12313,C12289)/POBLA!$B$24*100000</f>
        <v>547.13168926318963</v>
      </c>
      <c r="H12601" s="402">
        <f t="shared" si="2390"/>
        <v>0.95351707116412998</v>
      </c>
      <c r="I12601" s="403">
        <f t="shared" si="2391"/>
        <v>521.69940588731947</v>
      </c>
      <c r="J12601" s="423">
        <f t="shared" si="2388"/>
        <v>682.28571428571433</v>
      </c>
      <c r="K12601" s="403">
        <f>J12601/POBLA!$B$24*100000</f>
        <v>40.261015467783103</v>
      </c>
      <c r="L12601" s="404">
        <f t="shared" si="2389"/>
        <v>6.2277580071174343E-2</v>
      </c>
      <c r="M12601" s="405">
        <f>SUM(C12601,C12577,C12553,C12529,C12505,C12481,C12457)/POBLA!$B$24*100000</f>
        <v>281.82710827448165</v>
      </c>
      <c r="N12601" s="42" t="s">
        <v>40</v>
      </c>
      <c r="O12601" s="42">
        <v>6</v>
      </c>
      <c r="P12601" s="42">
        <v>7</v>
      </c>
      <c r="Q12601" s="42">
        <v>1</v>
      </c>
      <c r="R12601" s="42">
        <v>14</v>
      </c>
    </row>
    <row r="12602" spans="1:18" x14ac:dyDescent="0.25">
      <c r="A12602" s="363" t="s">
        <v>16</v>
      </c>
      <c r="B12602" s="2">
        <v>44418</v>
      </c>
      <c r="C12602" s="637">
        <v>3071</v>
      </c>
      <c r="D12602" s="174">
        <f>C12602+D12578</f>
        <v>2002998</v>
      </c>
      <c r="E12602" s="637">
        <v>37</v>
      </c>
      <c r="F12602" s="174">
        <f t="shared" ref="F12602:F12620" si="2393">E12602+F12578</f>
        <v>52920</v>
      </c>
      <c r="G12602" s="175">
        <f>SUM(C12602,C12578,C12530,C12554,C12506,C12482,C12458,C12434,C12410,C12386,C12362,C12338,C12314,C12290)/POBLA!$B$1*100000</f>
        <v>241.44951574130783</v>
      </c>
      <c r="H12602" s="300">
        <f t="shared" si="2390"/>
        <v>0.78645572205819547</v>
      </c>
      <c r="I12602" s="301">
        <f>G12602*H12602</f>
        <v>189.88935324293189</v>
      </c>
      <c r="J12602" s="421">
        <f>AVERAGE(C12602,C12578,C12554,C12530,C12506,C12482,C12458)</f>
        <v>2826.4285714285716</v>
      </c>
      <c r="K12602" s="301">
        <f>J12602/POBLA!$B$1*100000</f>
        <v>16.113139797625319</v>
      </c>
      <c r="L12602" s="399">
        <f>(SUM(C12602,C12578,C12554,C12530,C12506,C12482,C12458)/SUM(C12434,C12410,C12386,C12362,C12338,C12314,C12290))-1</f>
        <v>-0.12331619992910314</v>
      </c>
      <c r="M12602" s="400">
        <f>SUM(C12602,C12578,C12554,C12530,C12506,C12482,C12458)/POBLA!$B$1*100000</f>
        <v>112.79197858337722</v>
      </c>
      <c r="N12602" s="42" t="s">
        <v>16</v>
      </c>
      <c r="O12602" s="42">
        <v>17</v>
      </c>
      <c r="P12602" s="42">
        <v>19</v>
      </c>
      <c r="Q12602" s="42">
        <v>1</v>
      </c>
      <c r="R12602" s="42">
        <v>37</v>
      </c>
    </row>
    <row r="12603" spans="1:18" x14ac:dyDescent="0.25">
      <c r="A12603" s="367" t="s">
        <v>43</v>
      </c>
      <c r="B12603" s="2">
        <v>44418</v>
      </c>
      <c r="C12603" s="637">
        <v>466</v>
      </c>
      <c r="D12603" s="39">
        <f t="shared" ref="D12603:D12617" si="2394">C12603+D12579</f>
        <v>498181</v>
      </c>
      <c r="E12603" s="637">
        <v>5</v>
      </c>
      <c r="F12603" s="39">
        <f t="shared" si="2393"/>
        <v>10995</v>
      </c>
      <c r="G12603" s="168">
        <f>SUM(C12603,C12579,C12555,C12531,C12507,C12483,C12459,C12435,C12411,C12387,C12363,C12339,C12315,C12291)/POBLA!$B$2*100000</f>
        <v>306.50471478187023</v>
      </c>
      <c r="H12603" s="256">
        <f t="shared" si="2390"/>
        <v>0.81966785496913308</v>
      </c>
      <c r="I12603" s="297">
        <f t="shared" ref="I12603:I12609" si="2395">G12603*H12603</f>
        <v>251.23206210318151</v>
      </c>
      <c r="J12603" s="422">
        <f>AVERAGE(C12603,C12579,C12555,C12531,C12507,C12483,C12459)</f>
        <v>651.57142857142856</v>
      </c>
      <c r="K12603" s="297">
        <f>J12603/POBLA!$B$2*100000</f>
        <v>21.184864206460318</v>
      </c>
      <c r="L12603" s="200">
        <f>(SUM(C12603,C12579,C12555,C12531,C12507,C12483,C12459)/SUM(C12435,C12411,C12387,C12363,C12339,C12315,C12291))-1</f>
        <v>-6.2679819153308669E-2</v>
      </c>
      <c r="M12603" s="401">
        <f>SUM(C12603,C12579,C12555,C12531,C12507,C12483,C12459)/POBLA!$B$2*100000</f>
        <v>148.29404944522224</v>
      </c>
      <c r="N12603" s="42" t="s">
        <v>43</v>
      </c>
      <c r="O12603" s="42">
        <v>3</v>
      </c>
      <c r="P12603" s="42">
        <v>2</v>
      </c>
      <c r="Q12603" s="42">
        <v>0</v>
      </c>
      <c r="R12603" s="42">
        <v>5</v>
      </c>
    </row>
    <row r="12604" spans="1:18" x14ac:dyDescent="0.25">
      <c r="A12604" s="367" t="s">
        <v>28</v>
      </c>
      <c r="B12604" s="2">
        <v>44418</v>
      </c>
      <c r="C12604" s="637">
        <v>215</v>
      </c>
      <c r="D12604" s="39">
        <f t="shared" si="2394"/>
        <v>44579</v>
      </c>
      <c r="E12604" s="637"/>
      <c r="F12604" s="39">
        <f t="shared" si="2393"/>
        <v>513</v>
      </c>
      <c r="G12604" s="168">
        <f>SUM(C12604,C12580,C12556,C12532,C12508,C12484,C12460,C12436,C12412,C12388,C12364,C12340,C12316,C12292)/POBLA!$B$3*100000</f>
        <v>782.06615668282632</v>
      </c>
      <c r="H12604" s="256">
        <f t="shared" si="2390"/>
        <v>0.8920922570016474</v>
      </c>
      <c r="I12604" s="297">
        <f t="shared" si="2395"/>
        <v>697.67516283978659</v>
      </c>
      <c r="J12604" s="422">
        <f t="shared" ref="J12604:J12625" si="2396">AVERAGE(C12604,C12580,C12556,C12532,C12508,C12484,C12460)</f>
        <v>219.85714285714286</v>
      </c>
      <c r="K12604" s="297">
        <f>J12604/POBLA!$B$3*100000</f>
        <v>52.921770001093506</v>
      </c>
      <c r="L12604" s="200">
        <f t="shared" ref="L12604:L12625" si="2397">(SUM(C12604,C12580,C12556,C12532,C12508,C12484,C12460)/SUM(C12436,C12412,C12388,C12364,C12340,C12316,C12292))-1</f>
        <v>-9.9999999999999978E-2</v>
      </c>
      <c r="M12604" s="401">
        <f>SUM(C12604,C12580,C12556,C12532,C12508,C12484,C12460)/POBLA!$B$3*100000</f>
        <v>370.45239000765457</v>
      </c>
    </row>
    <row r="12605" spans="1:18" x14ac:dyDescent="0.25">
      <c r="A12605" s="367" t="s">
        <v>15</v>
      </c>
      <c r="B12605" s="2">
        <v>44418</v>
      </c>
      <c r="C12605" s="637">
        <v>338</v>
      </c>
      <c r="D12605" s="39">
        <f t="shared" si="2394"/>
        <v>95066</v>
      </c>
      <c r="E12605" s="637">
        <v>6</v>
      </c>
      <c r="F12605" s="39">
        <f t="shared" si="2393"/>
        <v>2094</v>
      </c>
      <c r="G12605" s="168">
        <f>SUM(C12605,C12581,C12557,C12533,C12509,C12485,C12461,C12437,C12413,C12389,C12365,C12341,C12317,C12293)/POBLA!$B$4*100000</f>
        <v>451.29223496751047</v>
      </c>
      <c r="H12605" s="256">
        <f t="shared" si="2390"/>
        <v>0.95151409067040083</v>
      </c>
      <c r="I12605" s="297">
        <f t="shared" si="2395"/>
        <v>429.41092058172359</v>
      </c>
      <c r="J12605" s="422">
        <f t="shared" si="2396"/>
        <v>368.85714285714283</v>
      </c>
      <c r="K12605" s="297">
        <f>J12605/POBLA!$B$4*100000</f>
        <v>30.622215670296221</v>
      </c>
      <c r="L12605" s="200">
        <f t="shared" si="2397"/>
        <v>-9.53048353188507E-2</v>
      </c>
      <c r="M12605" s="401">
        <f>SUM(C12605,C12581,C12557,C12533,C12509,C12485,C12461)/POBLA!$B$4*100000</f>
        <v>214.35550969207358</v>
      </c>
      <c r="N12605" s="42" t="s">
        <v>15</v>
      </c>
      <c r="O12605" s="42">
        <v>2</v>
      </c>
      <c r="P12605" s="42">
        <v>4</v>
      </c>
      <c r="Q12605" s="42">
        <v>0</v>
      </c>
      <c r="R12605" s="42">
        <v>6</v>
      </c>
    </row>
    <row r="12606" spans="1:18" x14ac:dyDescent="0.25">
      <c r="A12606" s="367" t="s">
        <v>29</v>
      </c>
      <c r="B12606" s="2">
        <v>44418</v>
      </c>
      <c r="C12606" s="637">
        <v>212</v>
      </c>
      <c r="D12606" s="39">
        <f t="shared" si="2394"/>
        <v>78187</v>
      </c>
      <c r="E12606" s="637">
        <v>1</v>
      </c>
      <c r="F12606" s="39">
        <f t="shared" si="2393"/>
        <v>1366</v>
      </c>
      <c r="G12606" s="168">
        <f>SUM(C12606,C12582,C12558,C12534,C12510,C12486,C12462,C12438,C12414,C12390,C12366,C12342,C12318,C12294)/POBLA!$B$5*100000</f>
        <v>451.3775577792353</v>
      </c>
      <c r="H12606" s="256">
        <f t="shared" si="2390"/>
        <v>1.1864118895966029</v>
      </c>
      <c r="I12606" s="297">
        <f t="shared" si="2395"/>
        <v>535.51970124636239</v>
      </c>
      <c r="J12606" s="422">
        <f t="shared" si="2396"/>
        <v>190.14285714285714</v>
      </c>
      <c r="K12606" s="297">
        <f>J12606/POBLA!$B$5*100000</f>
        <v>30.718045270690371</v>
      </c>
      <c r="L12606" s="200">
        <f t="shared" si="2397"/>
        <v>-9.0225563909774431E-2</v>
      </c>
      <c r="M12606" s="401">
        <f>SUM(C12606,C12582,C12558,C12534,C12510,C12486,C12462)/POBLA!$B$5*100000</f>
        <v>215.02631689483258</v>
      </c>
      <c r="N12606" s="42" t="s">
        <v>29</v>
      </c>
      <c r="O12606" s="42">
        <v>1</v>
      </c>
      <c r="P12606" s="42">
        <v>0</v>
      </c>
      <c r="Q12606" s="42">
        <v>0</v>
      </c>
      <c r="R12606" s="42">
        <v>1</v>
      </c>
    </row>
    <row r="12607" spans="1:18" x14ac:dyDescent="0.25">
      <c r="A12607" s="367" t="s">
        <v>30</v>
      </c>
      <c r="B12607" s="2">
        <v>44418</v>
      </c>
      <c r="C12607" s="637">
        <v>619</v>
      </c>
      <c r="D12607" s="39">
        <f t="shared" si="2394"/>
        <v>453885</v>
      </c>
      <c r="E12607" s="637">
        <v>16</v>
      </c>
      <c r="F12607" s="39">
        <f t="shared" si="2393"/>
        <v>5954</v>
      </c>
      <c r="G12607" s="168">
        <f>SUM(C12607,C12583,C12559,C12535,C12511,C12487,C12463,C12439,C12415,C12391,C12367,C12343,C12319,C12295)/POBLA!$B$6*100000</f>
        <v>626.69465855223189</v>
      </c>
      <c r="H12607" s="256">
        <f t="shared" si="2390"/>
        <v>1.0145890509894555</v>
      </c>
      <c r="I12607" s="297">
        <f t="shared" si="2395"/>
        <v>635.83753888066985</v>
      </c>
      <c r="J12607" s="422">
        <f t="shared" si="2396"/>
        <v>621.85714285714289</v>
      </c>
      <c r="K12607" s="297">
        <f>J12607/POBLA!$B$6*100000</f>
        <v>55.483278731651993</v>
      </c>
      <c r="L12607" s="200">
        <f t="shared" si="2397"/>
        <v>0.62972669412205162</v>
      </c>
      <c r="M12607" s="401">
        <f>SUM(C12607,C12583,C12559,C12535,C12511,C12487,C12463)/POBLA!$B$6*100000</f>
        <v>388.38295112156396</v>
      </c>
      <c r="N12607" s="42" t="s">
        <v>30</v>
      </c>
      <c r="O12607" s="42">
        <v>7</v>
      </c>
      <c r="P12607" s="42">
        <v>9</v>
      </c>
      <c r="Q12607" s="42">
        <v>0</v>
      </c>
      <c r="R12607" s="42">
        <v>16</v>
      </c>
    </row>
    <row r="12608" spans="1:18" x14ac:dyDescent="0.25">
      <c r="A12608" s="367" t="s">
        <v>20</v>
      </c>
      <c r="B12608" s="2">
        <v>44418</v>
      </c>
      <c r="C12608" s="637">
        <v>2146</v>
      </c>
      <c r="D12608" s="39">
        <f t="shared" si="2394"/>
        <v>117032</v>
      </c>
      <c r="E12608" s="637">
        <v>12</v>
      </c>
      <c r="F12608" s="39">
        <f t="shared" si="2393"/>
        <v>1317</v>
      </c>
      <c r="G12608" s="168">
        <f>SUM(C12608,C12584,C12560,C12536,C12512,C12488,C12464,C12440,C12416,C12392,C12368,C12344,C12320,C12296)/POBLA!$B$7*100000</f>
        <v>645.7471845124918</v>
      </c>
      <c r="H12608" s="256">
        <f t="shared" si="2390"/>
        <v>1.0171316076066013</v>
      </c>
      <c r="I12608" s="297">
        <f t="shared" si="2395"/>
        <v>656.80987189062739</v>
      </c>
      <c r="J12608" s="422">
        <f t="shared" si="2396"/>
        <v>1692.1428571428571</v>
      </c>
      <c r="K12608" s="297">
        <f>J12608/POBLA!$B$7*100000</f>
        <v>44.998413943619965</v>
      </c>
      <c r="L12608" s="200">
        <f t="shared" si="2397"/>
        <v>-4.7676475317575129E-2</v>
      </c>
      <c r="M12608" s="401">
        <f>SUM(C12608,C12584,C12560,C12536,C12512,C12488,C12464)/POBLA!$B$7*100000</f>
        <v>314.98889760533979</v>
      </c>
      <c r="N12608" s="42" t="s">
        <v>20</v>
      </c>
      <c r="O12608" s="42">
        <v>6</v>
      </c>
      <c r="P12608" s="42">
        <v>6</v>
      </c>
      <c r="Q12608" s="42">
        <v>0</v>
      </c>
      <c r="R12608" s="42">
        <v>12</v>
      </c>
    </row>
    <row r="12609" spans="1:18" x14ac:dyDescent="0.25">
      <c r="A12609" s="367" t="s">
        <v>31</v>
      </c>
      <c r="B12609" s="2">
        <v>44418</v>
      </c>
      <c r="C12609" s="637">
        <v>389</v>
      </c>
      <c r="D12609" s="39">
        <f t="shared" si="2394"/>
        <v>131032</v>
      </c>
      <c r="E12609" s="637">
        <v>14</v>
      </c>
      <c r="F12609" s="39">
        <f t="shared" si="2393"/>
        <v>2234</v>
      </c>
      <c r="G12609" s="168">
        <f>SUM(C12609,C12585,C12561,C12537,C12513,C12489,C12465,C12441,C12417,C12393,C12369,C12345,C12321,C12297)/POBLA!$B$8*100000</f>
        <v>339.76425022060505</v>
      </c>
      <c r="H12609" s="256">
        <f t="shared" ref="H12609:H12632" si="2398">SUM(C12609,C12585,C12561,C12537,C12513,C12489,C12465,C12441,C12417,C12393,C12369,C12345,C12321,C12297,)/SUM(C12273,C12249,C12225,C12201,C12177,C12153,C12129,C12105,C12081,C12057,C12033,C12009,C11985,C11961)</f>
        <v>0.63885497218830556</v>
      </c>
      <c r="I12609" s="297">
        <f t="shared" si="2395"/>
        <v>217.06008062526513</v>
      </c>
      <c r="J12609" s="422">
        <f t="shared" si="2396"/>
        <v>315.14285714285717</v>
      </c>
      <c r="K12609" s="297">
        <f>J12609/POBLA!$B$8*100000</f>
        <v>22.738219700471888</v>
      </c>
      <c r="L12609" s="200">
        <f t="shared" si="2397"/>
        <v>-0.1186576108669597</v>
      </c>
      <c r="M12609" s="401">
        <f>SUM(C12609,C12585,C12561,C12537,C12513,C12489,C12465)/POBLA!$B$8*100000</f>
        <v>159.16753790330321</v>
      </c>
      <c r="N12609" s="42" t="s">
        <v>31</v>
      </c>
      <c r="O12609" s="42">
        <v>4</v>
      </c>
      <c r="P12609" s="42">
        <v>10</v>
      </c>
      <c r="Q12609" s="42">
        <v>0</v>
      </c>
      <c r="R12609" s="42">
        <v>14</v>
      </c>
    </row>
    <row r="12610" spans="1:18" x14ac:dyDescent="0.25">
      <c r="A12610" s="367" t="s">
        <v>41</v>
      </c>
      <c r="B12610" s="2">
        <v>44418</v>
      </c>
      <c r="C12610" s="637">
        <v>230</v>
      </c>
      <c r="D12610" s="39">
        <f t="shared" si="2394"/>
        <v>58206</v>
      </c>
      <c r="E12610" s="637">
        <v>3</v>
      </c>
      <c r="F12610" s="39">
        <f t="shared" si="2393"/>
        <v>1062</v>
      </c>
      <c r="G12610" s="168">
        <f>SUM(C12610,C12586,C12562,C12538,C12514,C12490,C12466,C12442,C12418,C12394,C12370,C12346,C12322,C12298)/POBLA!$B$9*100000</f>
        <v>516.36420117218813</v>
      </c>
      <c r="H12610" s="256">
        <f t="shared" si="2398"/>
        <v>0.76368523949169109</v>
      </c>
      <c r="I12610" s="297">
        <f>G12610*H12610</f>
        <v>394.33971863711827</v>
      </c>
      <c r="J12610" s="422">
        <f t="shared" si="2396"/>
        <v>227.71428571428572</v>
      </c>
      <c r="K12610" s="297">
        <f>J12610/POBLA!$B$9*100000</f>
        <v>37.626721676272808</v>
      </c>
      <c r="L12610" s="200">
        <f t="shared" si="2397"/>
        <v>4.1149575440888375E-2</v>
      </c>
      <c r="M12610" s="401">
        <f>SUM(C12610,C12586,C12562,C12538,C12514,C12490,C12466)/POBLA!$B$9*100000</f>
        <v>263.38705173390969</v>
      </c>
      <c r="N12610" s="42" t="s">
        <v>41</v>
      </c>
      <c r="O12610" s="42">
        <v>1</v>
      </c>
      <c r="P12610" s="42">
        <v>2</v>
      </c>
      <c r="Q12610" s="42">
        <v>0</v>
      </c>
      <c r="R12610" s="42">
        <v>3</v>
      </c>
    </row>
    <row r="12611" spans="1:18" x14ac:dyDescent="0.25">
      <c r="A12611" s="367" t="s">
        <v>32</v>
      </c>
      <c r="B12611" s="2">
        <v>44418</v>
      </c>
      <c r="C12611" s="637">
        <v>165</v>
      </c>
      <c r="D12611" s="39">
        <f t="shared" si="2394"/>
        <v>45086</v>
      </c>
      <c r="E12611" s="637">
        <v>4</v>
      </c>
      <c r="F12611" s="39">
        <f t="shared" si="2393"/>
        <v>1363</v>
      </c>
      <c r="G12611" s="168">
        <f>SUM(C12611,C12587,C12563,C12539,C12515,C12491,C12467,C12443,C12419,C12395,C12371,C12347,C12323,C12299)/POBLA!$B$10*100000</f>
        <v>302.64074481015876</v>
      </c>
      <c r="H12611" s="256">
        <f t="shared" si="2398"/>
        <v>0.71389228886168909</v>
      </c>
      <c r="I12611" s="297">
        <f t="shared" ref="I12611:I12625" si="2399">G12611*H12611</f>
        <v>216.05289401533059</v>
      </c>
      <c r="J12611" s="422">
        <f t="shared" si="2396"/>
        <v>152.71428571428572</v>
      </c>
      <c r="K12611" s="297">
        <f>J12611/POBLA!$B$10*100000</f>
        <v>19.810357981878621</v>
      </c>
      <c r="L12611" s="200">
        <f t="shared" si="2397"/>
        <v>-0.15427215189873422</v>
      </c>
      <c r="M12611" s="401">
        <f>SUM(C12611,C12587,C12563,C12539,C12515,C12491,C12467)/POBLA!$B$10*100000</f>
        <v>138.67250587315033</v>
      </c>
      <c r="N12611" s="42" t="s">
        <v>32</v>
      </c>
      <c r="O12611" s="42">
        <v>3</v>
      </c>
      <c r="P12611" s="42">
        <v>0</v>
      </c>
      <c r="Q12611" s="42">
        <v>1</v>
      </c>
      <c r="R12611" s="42">
        <v>4</v>
      </c>
    </row>
    <row r="12612" spans="1:18" x14ac:dyDescent="0.25">
      <c r="A12612" s="367" t="s">
        <v>33</v>
      </c>
      <c r="B12612" s="2">
        <v>44418</v>
      </c>
      <c r="C12612" s="637">
        <v>301</v>
      </c>
      <c r="D12612" s="39">
        <f t="shared" si="2394"/>
        <v>63944</v>
      </c>
      <c r="E12612" s="637">
        <v>3</v>
      </c>
      <c r="F12612" s="39">
        <f t="shared" si="2393"/>
        <v>872</v>
      </c>
      <c r="G12612" s="168">
        <f>SUM(C12612,C12588,C12564,C12540,C12516,C12492,C12468,C12444,C12420,C12396,C12372,C12348,C12324,C12300)/POBLA!$B$11*100000</f>
        <v>1004.6648141328244</v>
      </c>
      <c r="H12612" s="256">
        <f t="shared" si="2398"/>
        <v>0.91909137314956613</v>
      </c>
      <c r="I12612" s="297">
        <f t="shared" si="2399"/>
        <v>923.37876357639118</v>
      </c>
      <c r="J12612" s="422">
        <f t="shared" si="2396"/>
        <v>250.85714285714286</v>
      </c>
      <c r="K12612" s="297">
        <f>J12612/POBLA!$B$11*100000</f>
        <v>69.98815462439957</v>
      </c>
      <c r="L12612" s="200">
        <f t="shared" si="2397"/>
        <v>-4.8238482384823866E-2</v>
      </c>
      <c r="M12612" s="401">
        <f>SUM(C12612,C12588,C12564,C12540,C12516,C12492,C12468)/POBLA!$B$11*100000</f>
        <v>489.91708237079695</v>
      </c>
      <c r="N12612" s="42" t="s">
        <v>33</v>
      </c>
      <c r="O12612" s="42">
        <v>1</v>
      </c>
      <c r="P12612" s="42">
        <v>2</v>
      </c>
      <c r="Q12612" s="42">
        <v>0</v>
      </c>
      <c r="R12612" s="42">
        <v>3</v>
      </c>
    </row>
    <row r="12613" spans="1:18" x14ac:dyDescent="0.25">
      <c r="A12613" s="367" t="s">
        <v>21</v>
      </c>
      <c r="B12613" s="2">
        <v>44418</v>
      </c>
      <c r="C12613" s="637">
        <v>144</v>
      </c>
      <c r="D12613" s="39">
        <f t="shared" si="2394"/>
        <v>30283</v>
      </c>
      <c r="E12613" s="637"/>
      <c r="F12613" s="39">
        <f t="shared" si="2393"/>
        <v>865</v>
      </c>
      <c r="G12613" s="168">
        <f>SUM(C12613,C12589,C12565,C12541,C12517,C12493,C12469,C12445,C12421,C12397,C12373,C12349,C12325,C12301)/POBLA!$B$12*100000</f>
        <v>753.94314552093738</v>
      </c>
      <c r="H12613" s="256">
        <f t="shared" si="2398"/>
        <v>1.1017452655031563</v>
      </c>
      <c r="I12613" s="297">
        <f t="shared" si="2399"/>
        <v>830.65329103624993</v>
      </c>
      <c r="J12613" s="422">
        <f t="shared" si="2396"/>
        <v>184.71428571428572</v>
      </c>
      <c r="K12613" s="297">
        <f>J12613/POBLA!$B$12*100000</f>
        <v>46.937670911385815</v>
      </c>
      <c r="L12613" s="200">
        <f t="shared" si="2397"/>
        <v>-0.22759856630824371</v>
      </c>
      <c r="M12613" s="401">
        <f>SUM(C12613,C12589,C12565,C12541,C12517,C12493,C12469)/POBLA!$B$12*100000</f>
        <v>328.56369637970073</v>
      </c>
    </row>
    <row r="12614" spans="1:18" x14ac:dyDescent="0.25">
      <c r="A12614" s="367" t="s">
        <v>17</v>
      </c>
      <c r="B12614" s="2">
        <v>44418</v>
      </c>
      <c r="C12614" s="637">
        <v>357</v>
      </c>
      <c r="D12614" s="39">
        <f t="shared" si="2394"/>
        <v>157633</v>
      </c>
      <c r="E12614" s="637">
        <v>15</v>
      </c>
      <c r="F12614" s="39">
        <f t="shared" si="2393"/>
        <v>4054</v>
      </c>
      <c r="G12614" s="168">
        <f>SUM(C12614,C12590,C12566,C12542,C12518,C12494,C12470,C12446,C12422,C12398,C12374,C12350,C12326,C12302)/POBLA!$B$13*100000</f>
        <v>268.9995367620977</v>
      </c>
      <c r="H12614" s="256">
        <f t="shared" si="2398"/>
        <v>0.86845093268450935</v>
      </c>
      <c r="I12614" s="297">
        <f t="shared" si="2399"/>
        <v>233.6128985927447</v>
      </c>
      <c r="J12614" s="422">
        <f t="shared" si="2396"/>
        <v>335.85714285714283</v>
      </c>
      <c r="K12614" s="297">
        <f>J12614/POBLA!$B$13*100000</f>
        <v>16.874377259397292</v>
      </c>
      <c r="L12614" s="200">
        <f t="shared" si="2397"/>
        <v>-0.21711621711621709</v>
      </c>
      <c r="M12614" s="401">
        <f>SUM(C12614,C12590,C12566,C12542,C12518,C12494,C12470)/POBLA!$B$13*100000</f>
        <v>118.12064081578104</v>
      </c>
      <c r="N12614" s="42" t="s">
        <v>17</v>
      </c>
      <c r="O12614" s="42">
        <v>7</v>
      </c>
      <c r="P12614" s="42">
        <v>8</v>
      </c>
      <c r="Q12614" s="42">
        <v>0</v>
      </c>
      <c r="R12614" s="42">
        <v>15</v>
      </c>
    </row>
    <row r="12615" spans="1:18" x14ac:dyDescent="0.25">
      <c r="A12615" s="367" t="s">
        <v>23</v>
      </c>
      <c r="B12615" s="2">
        <v>44418</v>
      </c>
      <c r="C12615" s="637">
        <v>186</v>
      </c>
      <c r="D12615" s="39">
        <f t="shared" si="2394"/>
        <v>32514</v>
      </c>
      <c r="E12615" s="637">
        <v>1</v>
      </c>
      <c r="F12615" s="39">
        <f t="shared" si="2393"/>
        <v>621</v>
      </c>
      <c r="G12615" s="168">
        <f>SUM(C12615,C12591,C12567,C12543,C12519,C12495,C12471,C12447,C12423,C12399,C12375,C12351,C12327,C12303)/POBLA!$B$14*100000</f>
        <v>191.70788095400437</v>
      </c>
      <c r="H12615" s="256">
        <f t="shared" si="2398"/>
        <v>1.0245762711864406</v>
      </c>
      <c r="I12615" s="297">
        <f t="shared" si="2399"/>
        <v>196.41934582490785</v>
      </c>
      <c r="J12615" s="422">
        <f t="shared" si="2396"/>
        <v>173.28571428571428</v>
      </c>
      <c r="K12615" s="297">
        <f>J12615/POBLA!$B$14*100000</f>
        <v>13.738725014605182</v>
      </c>
      <c r="L12615" s="200">
        <f t="shared" si="2397"/>
        <v>6.6390041493775698E-3</v>
      </c>
      <c r="M12615" s="401">
        <f>SUM(C12615,C12591,C12567,C12543,C12519,C12495,C12471)/POBLA!$B$14*100000</f>
        <v>96.171075102236273</v>
      </c>
      <c r="N12615" s="42" t="s">
        <v>23</v>
      </c>
      <c r="O12615" s="42">
        <v>1</v>
      </c>
      <c r="P12615" s="42">
        <v>0</v>
      </c>
      <c r="Q12615" s="42">
        <v>0</v>
      </c>
      <c r="R12615" s="42">
        <v>1</v>
      </c>
    </row>
    <row r="12616" spans="1:18" x14ac:dyDescent="0.25">
      <c r="A12616" s="367" t="s">
        <v>19</v>
      </c>
      <c r="B12616" s="2">
        <v>44418</v>
      </c>
      <c r="C12616" s="637">
        <v>253</v>
      </c>
      <c r="D12616" s="39">
        <f t="shared" si="2394"/>
        <v>109586</v>
      </c>
      <c r="E12616" s="637">
        <v>8</v>
      </c>
      <c r="F12616" s="39">
        <f t="shared" si="2393"/>
        <v>2089</v>
      </c>
      <c r="G12616" s="168">
        <f>SUM(C12616,C12592,C12568,C12544,C12520,C12496,C12472,C12448,C12424,C12400,C12376,C12352,C12328,C12304)/POBLA!$B$15*100000</f>
        <v>446.3472262170265</v>
      </c>
      <c r="H12616" s="256">
        <f t="shared" si="2398"/>
        <v>1.0853167337971439</v>
      </c>
      <c r="I12616" s="297">
        <f t="shared" si="2399"/>
        <v>484.42811369727809</v>
      </c>
      <c r="J12616" s="422">
        <f t="shared" si="2396"/>
        <v>202.28571428571428</v>
      </c>
      <c r="K12616" s="297">
        <f>J12616/POBLA!$B$15*100000</f>
        <v>30.462101037367916</v>
      </c>
      <c r="L12616" s="200">
        <f t="shared" si="2397"/>
        <v>-8.5271317829457405E-2</v>
      </c>
      <c r="M12616" s="401">
        <f>SUM(C12616,C12592,C12568,C12544,C12520,C12496,C12472)/POBLA!$B$15*100000</f>
        <v>213.23470726157544</v>
      </c>
      <c r="N12616" s="42" t="s">
        <v>19</v>
      </c>
      <c r="O12616" s="42">
        <v>1</v>
      </c>
      <c r="P12616" s="42">
        <v>7</v>
      </c>
      <c r="Q12616" s="42">
        <v>0</v>
      </c>
      <c r="R12616" s="42">
        <v>8</v>
      </c>
    </row>
    <row r="12617" spans="1:18" x14ac:dyDescent="0.25">
      <c r="A12617" s="367" t="s">
        <v>18</v>
      </c>
      <c r="B12617" s="2">
        <v>44418</v>
      </c>
      <c r="C12617" s="637">
        <v>269</v>
      </c>
      <c r="D12617" s="39">
        <f t="shared" si="2394"/>
        <v>94778</v>
      </c>
      <c r="E12617" s="637">
        <v>12</v>
      </c>
      <c r="F12617" s="39">
        <f t="shared" si="2393"/>
        <v>2150</v>
      </c>
      <c r="G12617" s="168">
        <f>SUM(C12617,C12593,C12569,C12545,C12521,C12497,C12473,C12449,C12425,C12401,C12377,C12353,C12329,C12305)/POBLA!$B$16*100000</f>
        <v>520.99356616417651</v>
      </c>
      <c r="H12617" s="256">
        <f t="shared" si="2398"/>
        <v>1.0169712793733681</v>
      </c>
      <c r="I12617" s="297">
        <f t="shared" si="2399"/>
        <v>529.83549352727607</v>
      </c>
      <c r="J12617" s="422">
        <f t="shared" si="2396"/>
        <v>237.71428571428572</v>
      </c>
      <c r="K12617" s="297">
        <f>J12617/POBLA!$B$16*100000</f>
        <v>31.796563143120839</v>
      </c>
      <c r="L12617" s="200">
        <f t="shared" si="2397"/>
        <v>-0.25414612281488125</v>
      </c>
      <c r="M12617" s="401">
        <f>SUM(C12617,C12593,C12569,C12545,C12521,C12497,C12473)/POBLA!$B$16*100000</f>
        <v>222.57594200184587</v>
      </c>
      <c r="N12617" s="42" t="s">
        <v>18</v>
      </c>
      <c r="O12617" s="42">
        <v>6</v>
      </c>
      <c r="P12617" s="42">
        <v>6</v>
      </c>
      <c r="Q12617" s="42">
        <v>0</v>
      </c>
      <c r="R12617" s="42">
        <v>12</v>
      </c>
    </row>
    <row r="12618" spans="1:18" x14ac:dyDescent="0.25">
      <c r="A12618" s="367" t="s">
        <v>34</v>
      </c>
      <c r="B12618" s="2">
        <v>44418</v>
      </c>
      <c r="C12618" s="637">
        <v>344</v>
      </c>
      <c r="D12618" s="39">
        <f>C12618+D12594</f>
        <v>78116</v>
      </c>
      <c r="E12618" s="637">
        <v>11</v>
      </c>
      <c r="F12618" s="39">
        <f t="shared" si="2393"/>
        <v>2174</v>
      </c>
      <c r="G12618" s="168">
        <f>SUM(C12618,C12594,C12570,C12546,C12522,C12498,C12474,C12450,C12426,C12402,C12378,C12354,C12330,C12306)/POBLA!$B$17*100000</f>
        <v>301.3204885997373</v>
      </c>
      <c r="H12618" s="256">
        <f t="shared" si="2398"/>
        <v>0.70696755065063421</v>
      </c>
      <c r="I12618" s="297">
        <f t="shared" si="2399"/>
        <v>213.02380778620864</v>
      </c>
      <c r="J12618" s="422">
        <f t="shared" si="2396"/>
        <v>294.28571428571428</v>
      </c>
      <c r="K12618" s="297">
        <f>J12618/POBLA!$B$17*100000</f>
        <v>20.660371672062936</v>
      </c>
      <c r="L12618" s="200">
        <f t="shared" si="2397"/>
        <v>-7.7060931899641583E-2</v>
      </c>
      <c r="M12618" s="401">
        <f>SUM(C12618,C12594,C12570,C12546,C12522,C12498,C12474)/POBLA!$B$17*100000</f>
        <v>144.62260170444054</v>
      </c>
      <c r="N12618" s="42" t="s">
        <v>34</v>
      </c>
      <c r="O12618" s="42">
        <v>6</v>
      </c>
      <c r="P12618" s="42">
        <v>5</v>
      </c>
      <c r="Q12618" s="42">
        <v>0</v>
      </c>
      <c r="R12618" s="42">
        <v>11</v>
      </c>
    </row>
    <row r="12619" spans="1:18" x14ac:dyDescent="0.25">
      <c r="A12619" s="367" t="s">
        <v>35</v>
      </c>
      <c r="B12619" s="2">
        <v>44418</v>
      </c>
      <c r="C12619" s="637">
        <v>334</v>
      </c>
      <c r="D12619" s="39">
        <f t="shared" ref="D12619:D12625" si="2400">C12619+D12595</f>
        <v>62978</v>
      </c>
      <c r="E12619" s="637">
        <v>6</v>
      </c>
      <c r="F12619" s="39">
        <f t="shared" si="2393"/>
        <v>986</v>
      </c>
      <c r="G12619" s="168">
        <f>SUM(C12619,C12595,C12571,C12547,C12523,C12499,C12475,C12451,C12427,C12403,C12379,C12355,C12331,C12307)/POBLA!$B$18*100000</f>
        <v>441.49064856499541</v>
      </c>
      <c r="H12619" s="256">
        <f t="shared" si="2398"/>
        <v>0.80265301373050968</v>
      </c>
      <c r="I12619" s="297">
        <f t="shared" si="2399"/>
        <v>354.36379960453087</v>
      </c>
      <c r="J12619" s="422">
        <f t="shared" si="2396"/>
        <v>215.42857142857142</v>
      </c>
      <c r="K12619" s="297">
        <f>J12619/POBLA!$B$18*100000</f>
        <v>27.576021954024483</v>
      </c>
      <c r="L12619" s="200">
        <f t="shared" si="2397"/>
        <v>-0.22308088614116439</v>
      </c>
      <c r="M12619" s="401">
        <f>SUM(C12619,C12595,C12571,C12547,C12523,C12499,C12475)/POBLA!$B$18*100000</f>
        <v>193.03215367817137</v>
      </c>
      <c r="N12619" s="42" t="s">
        <v>35</v>
      </c>
      <c r="O12619" s="42">
        <v>2</v>
      </c>
      <c r="P12619" s="42">
        <v>4</v>
      </c>
      <c r="Q12619" s="42">
        <v>0</v>
      </c>
      <c r="R12619" s="42">
        <v>6</v>
      </c>
    </row>
    <row r="12620" spans="1:18" x14ac:dyDescent="0.25">
      <c r="A12620" s="367" t="s">
        <v>36</v>
      </c>
      <c r="B12620" s="2">
        <v>44418</v>
      </c>
      <c r="C12620" s="637">
        <v>214</v>
      </c>
      <c r="D12620" s="39">
        <f t="shared" si="2400"/>
        <v>77268</v>
      </c>
      <c r="E12620" s="637">
        <v>15</v>
      </c>
      <c r="F12620" s="39">
        <f t="shared" si="2393"/>
        <v>1285</v>
      </c>
      <c r="G12620" s="168">
        <f>SUM(C12620,C12596,C12572,C12548,C12524,C12500,C12476,C12452,C12428,C12404,C12380,C12356,C12332,C12308)/POBLA!$B$19*100000</f>
        <v>679.67926220865263</v>
      </c>
      <c r="H12620" s="256">
        <f t="shared" si="2398"/>
        <v>0.92602519431787722</v>
      </c>
      <c r="I12620" s="297">
        <f t="shared" si="2399"/>
        <v>629.40012086059903</v>
      </c>
      <c r="J12620" s="422">
        <f t="shared" si="2396"/>
        <v>238.71428571428572</v>
      </c>
      <c r="K12620" s="297">
        <f>J12620/POBLA!$B$19*100000</f>
        <v>46.960680055846957</v>
      </c>
      <c r="L12620" s="200">
        <f t="shared" si="2397"/>
        <v>-6.3340807174887881E-2</v>
      </c>
      <c r="M12620" s="401">
        <f>SUM(C12620,C12596,C12572,C12548,C12524,C12500,C12476)/POBLA!$B$19*100000</f>
        <v>328.72476039092868</v>
      </c>
      <c r="N12620" s="42" t="s">
        <v>36</v>
      </c>
      <c r="O12620" s="42">
        <v>7</v>
      </c>
      <c r="P12620" s="42">
        <v>8</v>
      </c>
      <c r="Q12620" s="42">
        <v>0</v>
      </c>
      <c r="R12620" s="42">
        <v>15</v>
      </c>
    </row>
    <row r="12621" spans="1:18" x14ac:dyDescent="0.25">
      <c r="A12621" s="367" t="s">
        <v>37</v>
      </c>
      <c r="B12621" s="2">
        <v>44418</v>
      </c>
      <c r="C12621" s="637">
        <v>98</v>
      </c>
      <c r="D12621" s="39">
        <f t="shared" si="2400"/>
        <v>58425</v>
      </c>
      <c r="E12621" s="637">
        <v>1</v>
      </c>
      <c r="F12621" s="39">
        <f>E12621+F12597</f>
        <v>972</v>
      </c>
      <c r="G12621" s="168">
        <f>SUM(C12621,C12597,C12574,C12549,C12525,C12501,C12477,C12453,C12429,C12405,C12381,C12357,C12333,C12309)/POBLA!$B$20*100000</f>
        <v>327.86616279006171</v>
      </c>
      <c r="H12621" s="256">
        <f t="shared" si="2398"/>
        <v>0.90399137001078744</v>
      </c>
      <c r="I12621" s="297">
        <f t="shared" si="2399"/>
        <v>296.38818168076773</v>
      </c>
      <c r="J12621" s="422">
        <f t="shared" si="2396"/>
        <v>60.142857142857146</v>
      </c>
      <c r="K12621" s="297">
        <f>J12621/POBLA!$B$20*100000</f>
        <v>16.446044862935302</v>
      </c>
      <c r="L12621" s="200">
        <f t="shared" si="2397"/>
        <v>9.5923261390886694E-3</v>
      </c>
      <c r="M12621" s="401">
        <f>SUM(C12621,C12597,C12573,C12549,C12525,C12501,C12477)/POBLA!$B$20*100000</f>
        <v>115.12231404054711</v>
      </c>
      <c r="N12621" s="42" t="s">
        <v>37</v>
      </c>
      <c r="O12621" s="42">
        <v>1</v>
      </c>
      <c r="P12621" s="42">
        <v>0</v>
      </c>
      <c r="Q12621" s="42">
        <v>0</v>
      </c>
      <c r="R12621" s="42">
        <v>1</v>
      </c>
    </row>
    <row r="12622" spans="1:18" x14ac:dyDescent="0.25">
      <c r="A12622" s="367" t="s">
        <v>22</v>
      </c>
      <c r="B12622" s="2">
        <v>44418</v>
      </c>
      <c r="C12622" s="637">
        <v>963</v>
      </c>
      <c r="D12622" s="39">
        <f t="shared" si="2400"/>
        <v>456111</v>
      </c>
      <c r="E12622" s="637">
        <v>20</v>
      </c>
      <c r="F12622" s="39">
        <f>E12622+F12598</f>
        <v>8052</v>
      </c>
      <c r="G12622" s="168">
        <f>SUM(C12622,C12598,C12574,C12550,C12526,C12502,C12478,C12454,C12430,C12406,C12382,C12358,C12334,C12310)/POBLA!$B$21*100000</f>
        <v>378.0378903172645</v>
      </c>
      <c r="H12622" s="256">
        <f t="shared" si="2398"/>
        <v>0.77001497523326801</v>
      </c>
      <c r="I12622" s="297">
        <f t="shared" si="2399"/>
        <v>291.0948367498853</v>
      </c>
      <c r="J12622" s="422">
        <f t="shared" si="2396"/>
        <v>874.85714285714289</v>
      </c>
      <c r="K12622" s="297">
        <f>J12622/POBLA!$B$21*100000</f>
        <v>24.738510630167106</v>
      </c>
      <c r="L12622" s="200">
        <f t="shared" si="2397"/>
        <v>-0.15472739820565906</v>
      </c>
      <c r="M12622" s="401">
        <f>SUM(C12622,C12598,C12574,C12550,C12526,C12502,C12478)/POBLA!$B$21*100000</f>
        <v>173.16957441116972</v>
      </c>
      <c r="N12622" s="42" t="s">
        <v>22</v>
      </c>
      <c r="O12622" s="42">
        <v>9</v>
      </c>
      <c r="P12622" s="42">
        <v>11</v>
      </c>
      <c r="Q12622" s="42">
        <v>0</v>
      </c>
      <c r="R12622" s="42">
        <v>20</v>
      </c>
    </row>
    <row r="12623" spans="1:18" x14ac:dyDescent="0.25">
      <c r="A12623" s="367" t="s">
        <v>38</v>
      </c>
      <c r="B12623" s="2">
        <v>44418</v>
      </c>
      <c r="C12623" s="637">
        <v>191</v>
      </c>
      <c r="D12623" s="39">
        <f t="shared" si="2400"/>
        <v>76483</v>
      </c>
      <c r="E12623" s="637">
        <v>5</v>
      </c>
      <c r="F12623" s="39">
        <f>E12623+F12599</f>
        <v>1100</v>
      </c>
      <c r="G12623" s="168">
        <f>SUM(C12623,C12599,C12575,C12551,C12527,C12503,C12479,C12455,C12431,C12407,C12383,C12359,C12335,C12311)/POBLA!$B$22*100000</f>
        <v>453.33139802905612</v>
      </c>
      <c r="H12623" s="256">
        <f t="shared" si="2398"/>
        <v>0.7834304893128422</v>
      </c>
      <c r="I12623" s="297">
        <f t="shared" si="2399"/>
        <v>355.15363897877825</v>
      </c>
      <c r="J12623" s="422">
        <f t="shared" si="2396"/>
        <v>315.14285714285717</v>
      </c>
      <c r="K12623" s="297">
        <f>J12623/POBLA!$B$22*100000</f>
        <v>32.212886585669125</v>
      </c>
      <c r="L12623" s="200">
        <f t="shared" si="2397"/>
        <v>-1.0318528488111212E-2</v>
      </c>
      <c r="M12623" s="401">
        <f>SUM(C12623,C12599,C12575,C12551,C12527,C12503,C12479)/POBLA!$B$22*100000</f>
        <v>225.49020609968383</v>
      </c>
      <c r="N12623" s="42" t="s">
        <v>38</v>
      </c>
      <c r="O12623" s="42">
        <v>2</v>
      </c>
      <c r="P12623" s="42">
        <v>3</v>
      </c>
      <c r="Q12623" s="42">
        <v>0</v>
      </c>
      <c r="R12623" s="42">
        <v>5</v>
      </c>
    </row>
    <row r="12624" spans="1:18" x14ac:dyDescent="0.25">
      <c r="A12624" s="367" t="s">
        <v>39</v>
      </c>
      <c r="B12624" s="2">
        <v>44418</v>
      </c>
      <c r="C12624" s="637">
        <v>45</v>
      </c>
      <c r="D12624" s="39">
        <f t="shared" si="2400"/>
        <v>31588</v>
      </c>
      <c r="E12624" s="637"/>
      <c r="F12624" s="39">
        <f>E12624+F12600</f>
        <v>498</v>
      </c>
      <c r="G12624" s="168">
        <f>SUM(C12624,C12600,C12576,C12552,C12528,C12504,C12480,C12456,C12432,C12408,C12384,C12360,C12336,C12312)/POBLA!$B$23*100000</f>
        <v>360.79850704066052</v>
      </c>
      <c r="H12624" s="256">
        <f t="shared" si="2398"/>
        <v>1.0078988941548184</v>
      </c>
      <c r="I12624" s="297">
        <f t="shared" si="2399"/>
        <v>363.64841625899118</v>
      </c>
      <c r="J12624" s="422">
        <f t="shared" si="2396"/>
        <v>34.571428571428569</v>
      </c>
      <c r="K12624" s="297">
        <f>J12624/POBLA!$B$23*100000</f>
        <v>19.550658016981604</v>
      </c>
      <c r="L12624" s="200">
        <f t="shared" si="2397"/>
        <v>-0.38888888888888884</v>
      </c>
      <c r="M12624" s="401">
        <f>SUM(C12624,C12600,C12576,C12552,C12528,C12504,C12480)/POBLA!$B$23*100000</f>
        <v>136.85460611887123</v>
      </c>
    </row>
    <row r="12625" spans="1:19" ht="15.75" thickBot="1" x14ac:dyDescent="0.3">
      <c r="A12625" s="369" t="s">
        <v>40</v>
      </c>
      <c r="B12625" s="2">
        <v>44418</v>
      </c>
      <c r="C12625" s="637">
        <v>862</v>
      </c>
      <c r="D12625" s="176">
        <f t="shared" si="2400"/>
        <v>187527</v>
      </c>
      <c r="E12625" s="637">
        <v>11</v>
      </c>
      <c r="F12625" s="176">
        <f>E12625+F12601</f>
        <v>2649</v>
      </c>
      <c r="G12625" s="177">
        <f>SUM(C12625,C12601,C12577,C12553,C12529,C12505,C12481,C12457,C12433,C12409,C12385,C12361,C12337,C12313)/POBLA!$B$24*100000</f>
        <v>540.05060614071533</v>
      </c>
      <c r="H12625" s="402">
        <f t="shared" si="2398"/>
        <v>0.91556622649059627</v>
      </c>
      <c r="I12625" s="403">
        <f t="shared" si="2399"/>
        <v>494.45209557821397</v>
      </c>
      <c r="J12625" s="423">
        <f t="shared" si="2396"/>
        <v>688.14285714285711</v>
      </c>
      <c r="K12625" s="403">
        <f>J12625/POBLA!$B$24*100000</f>
        <v>40.606639763046722</v>
      </c>
      <c r="L12625" s="404">
        <f t="shared" si="2397"/>
        <v>0.11118800461361023</v>
      </c>
      <c r="M12625" s="405">
        <f>SUM(C12625,C12601,C12577,C12553,C12529,C12505,C12481)/POBLA!$B$24*100000</f>
        <v>284.24647834132708</v>
      </c>
      <c r="N12625" s="42" t="s">
        <v>40</v>
      </c>
      <c r="O12625" s="42">
        <v>5</v>
      </c>
      <c r="P12625" s="42">
        <v>6</v>
      </c>
      <c r="Q12625" s="42">
        <v>0</v>
      </c>
      <c r="R12625" s="42">
        <v>11</v>
      </c>
    </row>
    <row r="12626" spans="1:19" x14ac:dyDescent="0.25">
      <c r="A12626" s="363" t="s">
        <v>16</v>
      </c>
      <c r="B12626" s="2">
        <v>44419</v>
      </c>
      <c r="C12626" s="662">
        <v>2807</v>
      </c>
      <c r="D12626" s="174">
        <f>C12626+D12602</f>
        <v>2005805</v>
      </c>
      <c r="E12626" s="662">
        <v>68</v>
      </c>
      <c r="F12626" s="174">
        <f t="shared" ref="F12626:F12644" si="2401">E12626+F12602</f>
        <v>52988</v>
      </c>
      <c r="G12626" s="175">
        <f>SUM(C12626,C12602,C12554,C12578,C12530,C12506,C12482,C12458,C12434,C12410,C12386,C12362,C12338,C12314)/POBLA!$B$1*100000</f>
        <v>233.98135845324998</v>
      </c>
      <c r="H12626" s="300">
        <f t="shared" si="2398"/>
        <v>0.78101273049038078</v>
      </c>
      <c r="I12626" s="301">
        <f>G12626*H12626</f>
        <v>182.74241964942129</v>
      </c>
      <c r="J12626" s="421">
        <f>AVERAGE(C12626,C12602,C12578,C12554,C12530,C12506,C12482)</f>
        <v>2724.5714285714284</v>
      </c>
      <c r="K12626" s="301">
        <f>J12626/POBLA!$B$1*100000</f>
        <v>15.532464100091484</v>
      </c>
      <c r="L12626" s="399">
        <f>(SUM(C12626,C12602,C12578,C12554,C12530,C12506,C12482)/SUM(C12458,C12434,C12410,C12386,C12362,C12338,C12314))-1</f>
        <v>-0.13194665695689778</v>
      </c>
      <c r="M12626" s="567">
        <f>SUM(C12626,C12602,C12578,C12554,C12530,C12506,C12482)/POBLA!$B$1*100000</f>
        <v>108.7272487006404</v>
      </c>
      <c r="N12626" s="499"/>
      <c r="O12626" s="499"/>
      <c r="P12626" s="499"/>
      <c r="Q12626" s="499"/>
      <c r="R12626" s="499"/>
      <c r="S12626" s="412"/>
    </row>
    <row r="12627" spans="1:19" x14ac:dyDescent="0.25">
      <c r="A12627" s="367" t="s">
        <v>43</v>
      </c>
      <c r="B12627" s="2">
        <v>44419</v>
      </c>
      <c r="C12627" s="662">
        <v>773</v>
      </c>
      <c r="D12627" s="39">
        <f t="shared" ref="D12627:D12641" si="2402">C12627+D12603</f>
        <v>498954</v>
      </c>
      <c r="E12627" s="662">
        <v>9</v>
      </c>
      <c r="F12627" s="39">
        <f t="shared" si="2401"/>
        <v>11004</v>
      </c>
      <c r="G12627" s="168">
        <f>SUM(C12627,C12603,C12579,C12555,C12531,C12507,C12483,C12459,C12435,C12411,C12387,C12363,C12339,C12315)/POBLA!$B$2*100000</f>
        <v>305.69187741372059</v>
      </c>
      <c r="H12627" s="256">
        <f t="shared" si="2398"/>
        <v>0.834176204418419</v>
      </c>
      <c r="I12627" s="297">
        <f t="shared" ref="I12627:I12633" si="2403">G12627*H12627</f>
        <v>255.00089002251806</v>
      </c>
      <c r="J12627" s="422">
        <f>AVERAGE(C12627,C12603,C12579,C12555,C12531,C12507,C12483)</f>
        <v>641.42857142857144</v>
      </c>
      <c r="K12627" s="297">
        <f>J12627/POBLA!$B$2*100000</f>
        <v>20.855084474239604</v>
      </c>
      <c r="L12627" s="200">
        <f>(SUM(C12627,C12603,C12579,C12555,C12531,C12507,C12483)/SUM(C12459,C12435,C12411,C12387,C12363,C12339,C12315))-1</f>
        <v>-8.5912052117263826E-2</v>
      </c>
      <c r="M12627" s="70">
        <f>SUM(C12627,C12603,C12579,C12555,C12531,C12507,C12483)/POBLA!$B$2*100000</f>
        <v>145.98559131967721</v>
      </c>
      <c r="N12627" s="499"/>
      <c r="O12627" s="499"/>
      <c r="P12627" s="499"/>
      <c r="Q12627" s="499"/>
      <c r="R12627" s="499"/>
      <c r="S12627" s="412"/>
    </row>
    <row r="12628" spans="1:19" x14ac:dyDescent="0.25">
      <c r="A12628" s="367" t="s">
        <v>28</v>
      </c>
      <c r="B12628" s="2">
        <v>44419</v>
      </c>
      <c r="C12628" s="662">
        <v>172</v>
      </c>
      <c r="D12628" s="39">
        <f t="shared" si="2402"/>
        <v>44751</v>
      </c>
      <c r="E12628" s="662">
        <v>3</v>
      </c>
      <c r="F12628" s="39">
        <f t="shared" si="2401"/>
        <v>516</v>
      </c>
      <c r="G12628" s="168">
        <f>SUM(C12628,C12604,C12580,C12556,C12532,C12508,C12484,C12460,C12436,C12412,C12388,C12364,C12340,C12316)/POBLA!$B$3*100000</f>
        <v>763.77221149726313</v>
      </c>
      <c r="H12628" s="256">
        <f t="shared" si="2398"/>
        <v>0.87846068660022147</v>
      </c>
      <c r="I12628" s="297">
        <f t="shared" si="2403"/>
        <v>670.94386131805538</v>
      </c>
      <c r="J12628" s="422">
        <f t="shared" ref="J12628:J12649" si="2404">AVERAGE(C12628,C12604,C12580,C12556,C12532,C12508,C12484)</f>
        <v>209.71428571428572</v>
      </c>
      <c r="K12628" s="297">
        <f>J12628/POBLA!$B$3*100000</f>
        <v>50.480284835351057</v>
      </c>
      <c r="L12628" s="200">
        <f t="shared" ref="L12628:L12649" si="2405">(SUM(C12628,C12604,C12580,C12556,C12532,C12508,C12484)/SUM(C12460,C12436,C12412,C12388,C12364,C12340,C12316))-1</f>
        <v>-0.13900293255131968</v>
      </c>
      <c r="M12628" s="70">
        <f>SUM(C12628,C12604,C12580,C12556,C12532,C12508,C12484)/POBLA!$B$3*100000</f>
        <v>353.36199384745737</v>
      </c>
      <c r="N12628" s="499"/>
      <c r="O12628" s="499"/>
      <c r="P12628" s="499"/>
      <c r="Q12628" s="499"/>
      <c r="R12628" s="499"/>
      <c r="S12628" s="412"/>
    </row>
    <row r="12629" spans="1:19" x14ac:dyDescent="0.25">
      <c r="A12629" s="367" t="s">
        <v>15</v>
      </c>
      <c r="B12629" s="2">
        <v>44419</v>
      </c>
      <c r="C12629" s="662">
        <v>349</v>
      </c>
      <c r="D12629" s="39">
        <f t="shared" si="2402"/>
        <v>95415</v>
      </c>
      <c r="E12629" s="662">
        <v>14</v>
      </c>
      <c r="F12629" s="39">
        <f t="shared" si="2401"/>
        <v>2108</v>
      </c>
      <c r="G12629" s="168">
        <f>SUM(C12629,C12605,C12581,C12557,C12533,C12509,C12485,C12461,C12437,C12413,C12389,C12365,C12341,C12317)/POBLA!$B$4*100000</f>
        <v>441.32993397485018</v>
      </c>
      <c r="H12629" s="256">
        <f t="shared" si="2398"/>
        <v>0.95013404825737269</v>
      </c>
      <c r="I12629" s="297">
        <f t="shared" si="2403"/>
        <v>419.32259678468341</v>
      </c>
      <c r="J12629" s="422">
        <f t="shared" si="2404"/>
        <v>355.42857142857144</v>
      </c>
      <c r="K12629" s="297">
        <f>J12629/POBLA!$B$4*100000</f>
        <v>29.507386749689005</v>
      </c>
      <c r="L12629" s="200">
        <f t="shared" si="2405"/>
        <v>-0.12022630834512027</v>
      </c>
      <c r="M12629" s="70">
        <f>SUM(C12629,C12605,C12581,C12557,C12533,C12509,C12485)/POBLA!$B$4*100000</f>
        <v>206.55170724782303</v>
      </c>
      <c r="N12629" s="499"/>
      <c r="O12629" s="499"/>
      <c r="P12629" s="499"/>
      <c r="Q12629" s="499"/>
      <c r="R12629" s="499"/>
      <c r="S12629" s="412"/>
    </row>
    <row r="12630" spans="1:19" x14ac:dyDescent="0.25">
      <c r="A12630" s="367" t="s">
        <v>29</v>
      </c>
      <c r="B12630" s="2">
        <v>44419</v>
      </c>
      <c r="C12630" s="662">
        <v>213</v>
      </c>
      <c r="D12630" s="39">
        <f t="shared" si="2402"/>
        <v>78400</v>
      </c>
      <c r="E12630" s="662">
        <v>3</v>
      </c>
      <c r="F12630" s="39">
        <f t="shared" si="2401"/>
        <v>1369</v>
      </c>
      <c r="G12630" s="168">
        <f>SUM(C12630,C12606,C12582,C12558,C12534,C12510,C12486,C12462,C12438,C12414,C12390,C12366,C12342,C12318)/POBLA!$B$5*100000</f>
        <v>431.82971078879604</v>
      </c>
      <c r="H12630" s="256">
        <f t="shared" si="2398"/>
        <v>1.1009060955518946</v>
      </c>
      <c r="I12630" s="297">
        <f t="shared" si="2403"/>
        <v>475.40396084779729</v>
      </c>
      <c r="J12630" s="422">
        <f t="shared" si="2404"/>
        <v>185.28571428571428</v>
      </c>
      <c r="K12630" s="297">
        <f>J12630/POBLA!$B$5*100000</f>
        <v>29.933361920424797</v>
      </c>
      <c r="L12630" s="200">
        <f t="shared" si="2405"/>
        <v>-5.7412790697674465E-2</v>
      </c>
      <c r="M12630" s="70">
        <f>SUM(C12630,C12606,C12582,C12558,C12534,C12510,C12486)/POBLA!$B$5*100000</f>
        <v>209.53353344297358</v>
      </c>
      <c r="N12630" s="499"/>
      <c r="O12630" s="499"/>
      <c r="P12630" s="499"/>
      <c r="Q12630" s="499"/>
      <c r="R12630" s="499"/>
      <c r="S12630" s="412"/>
    </row>
    <row r="12631" spans="1:19" x14ac:dyDescent="0.25">
      <c r="A12631" s="367" t="s">
        <v>30</v>
      </c>
      <c r="B12631" s="2">
        <v>44419</v>
      </c>
      <c r="C12631" s="662">
        <v>521</v>
      </c>
      <c r="D12631" s="39">
        <f t="shared" si="2402"/>
        <v>454406</v>
      </c>
      <c r="E12631" s="662">
        <v>18</v>
      </c>
      <c r="F12631" s="39">
        <f t="shared" si="2401"/>
        <v>5972</v>
      </c>
      <c r="G12631" s="168">
        <f>SUM(C12631,C12607,C12583,C12559,C12535,C12511,C12487,C12463,C12439,C12415,C12391,C12367,C12343,C12319)/POBLA!$B$6*100000</f>
        <v>626.33777093346635</v>
      </c>
      <c r="H12631" s="256">
        <f t="shared" si="2398"/>
        <v>1.0331125827814569</v>
      </c>
      <c r="I12631" s="297">
        <f t="shared" si="2403"/>
        <v>647.0774322226539</v>
      </c>
      <c r="J12631" s="422">
        <f t="shared" si="2404"/>
        <v>690.57142857142856</v>
      </c>
      <c r="K12631" s="297">
        <f>J12631/POBLA!$B$6*100000</f>
        <v>61.614098182588044</v>
      </c>
      <c r="L12631" s="200">
        <f t="shared" si="2405"/>
        <v>1.2113449222323878</v>
      </c>
      <c r="M12631" s="70">
        <f>SUM(C12631,C12607,C12583,C12559,C12535,C12511,C12487)/POBLA!$B$6*100000</f>
        <v>431.29868727811629</v>
      </c>
      <c r="N12631" s="499"/>
      <c r="O12631" s="499"/>
      <c r="P12631" s="499"/>
      <c r="Q12631" s="499"/>
      <c r="R12631" s="499"/>
      <c r="S12631" s="412"/>
    </row>
    <row r="12632" spans="1:19" x14ac:dyDescent="0.25">
      <c r="A12632" s="367" t="s">
        <v>20</v>
      </c>
      <c r="B12632" s="2">
        <v>44419</v>
      </c>
      <c r="C12632" s="662">
        <v>1787</v>
      </c>
      <c r="D12632" s="39">
        <f t="shared" si="2402"/>
        <v>118819</v>
      </c>
      <c r="E12632" s="662">
        <v>18</v>
      </c>
      <c r="F12632" s="39">
        <f t="shared" si="2401"/>
        <v>1335</v>
      </c>
      <c r="G12632" s="168">
        <f>SUM(C12632,C12608,C12584,C12560,C12536,C12512,C12488,C12464,C12440,C12416,C12392,C12368,C12344,C12320)/POBLA!$B$7*100000</f>
        <v>628.59498198353924</v>
      </c>
      <c r="H12632" s="256">
        <f t="shared" si="2398"/>
        <v>0.98816939091175116</v>
      </c>
      <c r="I12632" s="297">
        <f t="shared" si="2403"/>
        <v>621.15832047685717</v>
      </c>
      <c r="J12632" s="422">
        <f t="shared" si="2404"/>
        <v>1607.4285714285713</v>
      </c>
      <c r="K12632" s="297">
        <f>J12632/POBLA!$B$7*100000</f>
        <v>42.745644043361068</v>
      </c>
      <c r="L12632" s="200">
        <f t="shared" si="2405"/>
        <v>-9.1554981430647553E-2</v>
      </c>
      <c r="M12632" s="70">
        <f>SUM(C12632,C12608,C12584,C12560,C12536,C12512,C12488)/POBLA!$B$7*100000</f>
        <v>299.2195083035275</v>
      </c>
      <c r="N12632" s="499"/>
      <c r="O12632" s="499"/>
      <c r="P12632" s="499"/>
      <c r="Q12632" s="499"/>
      <c r="R12632" s="499"/>
      <c r="S12632" s="412"/>
    </row>
    <row r="12633" spans="1:19" x14ac:dyDescent="0.25">
      <c r="A12633" s="367" t="s">
        <v>31</v>
      </c>
      <c r="B12633" s="2">
        <v>44419</v>
      </c>
      <c r="C12633" s="662">
        <v>325</v>
      </c>
      <c r="D12633" s="39">
        <f t="shared" si="2402"/>
        <v>131357</v>
      </c>
      <c r="E12633" s="662">
        <v>7</v>
      </c>
      <c r="F12633" s="39">
        <f t="shared" si="2401"/>
        <v>2241</v>
      </c>
      <c r="G12633" s="168">
        <f>SUM(C12633,C12609,C12585,C12561,C12537,C12513,C12489,C12465,C12441,C12417,C12393,C12369,C12345,C12321)/POBLA!$B$8*100000</f>
        <v>325.40598184220192</v>
      </c>
      <c r="H12633" s="256">
        <f t="shared" ref="H12633:H12656" si="2406">SUM(C12633,C12609,C12585,C12561,C12537,C12513,C12489,C12465,C12441,C12417,C12393,C12369,C12345,C12321,)/SUM(C12297,C12273,C12249,C12225,C12201,C12177,C12153,C12129,C12105,C12081,C12057,C12033,C12009,C11985)</f>
        <v>0.65580921913625123</v>
      </c>
      <c r="I12633" s="297">
        <f t="shared" si="2403"/>
        <v>213.40424285419959</v>
      </c>
      <c r="J12633" s="422">
        <f t="shared" si="2404"/>
        <v>305.28571428571428</v>
      </c>
      <c r="K12633" s="297">
        <f>J12633/POBLA!$B$8*100000</f>
        <v>22.027006119632102</v>
      </c>
      <c r="L12633" s="200">
        <f t="shared" si="2405"/>
        <v>-9.94521702486304E-2</v>
      </c>
      <c r="M12633" s="70">
        <f>SUM(C12633,C12609,C12585,C12561,C12537,C12513,C12489)/POBLA!$B$8*100000</f>
        <v>154.18904283742472</v>
      </c>
      <c r="N12633" s="499"/>
      <c r="O12633" s="499"/>
      <c r="P12633" s="499"/>
      <c r="Q12633" s="499"/>
      <c r="R12633" s="499"/>
      <c r="S12633" s="412"/>
    </row>
    <row r="12634" spans="1:19" x14ac:dyDescent="0.25">
      <c r="A12634" s="367" t="s">
        <v>41</v>
      </c>
      <c r="B12634" s="2">
        <v>44419</v>
      </c>
      <c r="C12634" s="662">
        <v>180</v>
      </c>
      <c r="D12634" s="39">
        <f t="shared" si="2402"/>
        <v>58386</v>
      </c>
      <c r="E12634" s="662">
        <v>4</v>
      </c>
      <c r="F12634" s="39">
        <f t="shared" si="2401"/>
        <v>1066</v>
      </c>
      <c r="G12634" s="168">
        <f>SUM(C12634,C12610,C12586,C12562,C12538,C12514,C12490,C12466,C12442,C12418,C12394,C12370,C12346,C12322)/POBLA!$B$9*100000</f>
        <v>508.26761049780811</v>
      </c>
      <c r="H12634" s="256">
        <f t="shared" si="2406"/>
        <v>0.79709769370303185</v>
      </c>
      <c r="I12634" s="297">
        <f>G12634*H12634</f>
        <v>405.13894011175375</v>
      </c>
      <c r="J12634" s="422">
        <f t="shared" si="2404"/>
        <v>220</v>
      </c>
      <c r="K12634" s="297">
        <f>J12634/POBLA!$B$9*100000</f>
        <v>36.35203976252204</v>
      </c>
      <c r="L12634" s="200">
        <f t="shared" si="2405"/>
        <v>2.6041666666667407E-3</v>
      </c>
      <c r="M12634" s="70">
        <f>SUM(C12634,C12610,C12586,C12562,C12538,C12514,C12490)/POBLA!$B$9*100000</f>
        <v>254.46427833765426</v>
      </c>
      <c r="N12634" s="499"/>
      <c r="O12634" s="499"/>
      <c r="P12634" s="499"/>
      <c r="Q12634" s="499"/>
      <c r="R12634" s="499"/>
      <c r="S12634" s="412"/>
    </row>
    <row r="12635" spans="1:19" x14ac:dyDescent="0.25">
      <c r="A12635" s="367" t="s">
        <v>32</v>
      </c>
      <c r="B12635" s="2">
        <v>44419</v>
      </c>
      <c r="C12635" s="662">
        <v>157</v>
      </c>
      <c r="D12635" s="39">
        <f t="shared" si="2402"/>
        <v>45243</v>
      </c>
      <c r="E12635" s="662">
        <v>4</v>
      </c>
      <c r="F12635" s="39">
        <f t="shared" si="2401"/>
        <v>1367</v>
      </c>
      <c r="G12635" s="168">
        <f>SUM(C12635,C12611,C12587,C12563,C12539,C12515,C12491,C12467,C12443,C12419,C12395,C12371,C12347,C12323)/POBLA!$B$10*100000</f>
        <v>299.00853698560479</v>
      </c>
      <c r="H12635" s="256">
        <f t="shared" si="2406"/>
        <v>0.73290937996820349</v>
      </c>
      <c r="I12635" s="297">
        <f t="shared" ref="I12635:I12649" si="2407">G12635*H12635</f>
        <v>219.14616144731926</v>
      </c>
      <c r="J12635" s="422">
        <f t="shared" si="2404"/>
        <v>144.42857142857142</v>
      </c>
      <c r="K12635" s="297">
        <f>J12635/POBLA!$B$10*100000</f>
        <v>18.735520972571827</v>
      </c>
      <c r="L12635" s="200">
        <f t="shared" si="2405"/>
        <v>-0.21870170015455948</v>
      </c>
      <c r="M12635" s="70">
        <f>SUM(C12635,C12611,C12587,C12563,C12539,C12515,C12491)/POBLA!$B$10*100000</f>
        <v>131.14864680800278</v>
      </c>
      <c r="N12635" s="499"/>
      <c r="O12635" s="499"/>
      <c r="P12635" s="499"/>
      <c r="Q12635" s="499"/>
      <c r="R12635" s="499"/>
      <c r="S12635" s="412"/>
    </row>
    <row r="12636" spans="1:19" x14ac:dyDescent="0.25">
      <c r="A12636" s="367" t="s">
        <v>33</v>
      </c>
      <c r="B12636" s="2">
        <v>44419</v>
      </c>
      <c r="C12636" s="662">
        <v>213</v>
      </c>
      <c r="D12636" s="39">
        <f t="shared" si="2402"/>
        <v>64157</v>
      </c>
      <c r="E12636" s="662">
        <v>3</v>
      </c>
      <c r="F12636" s="39">
        <f t="shared" si="2401"/>
        <v>875</v>
      </c>
      <c r="G12636" s="168">
        <f>SUM(C12636,C12612,C12588,C12564,C12540,C12516,C12492,C12468,C12444,C12420,C12396,C12372,C12348,C12324)/POBLA!$B$11*100000</f>
        <v>972.58026716662766</v>
      </c>
      <c r="H12636" s="256">
        <f t="shared" si="2406"/>
        <v>0.89453425712086221</v>
      </c>
      <c r="I12636" s="297">
        <f t="shared" si="2407"/>
        <v>870.00636678030901</v>
      </c>
      <c r="J12636" s="422">
        <f t="shared" si="2404"/>
        <v>231.57142857142858</v>
      </c>
      <c r="K12636" s="297">
        <f>J12636/POBLA!$B$11*100000</f>
        <v>64.607516313298234</v>
      </c>
      <c r="L12636" s="200">
        <f t="shared" si="2405"/>
        <v>-0.13083109919571045</v>
      </c>
      <c r="M12636" s="70">
        <f>SUM(C12636,C12612,C12588,C12564,C12540,C12516,C12492)/POBLA!$B$11*100000</f>
        <v>452.2526141930876</v>
      </c>
      <c r="N12636" s="499"/>
      <c r="O12636" s="499"/>
      <c r="P12636" s="499"/>
      <c r="Q12636" s="499"/>
      <c r="R12636" s="499"/>
      <c r="S12636" s="412"/>
    </row>
    <row r="12637" spans="1:19" x14ac:dyDescent="0.25">
      <c r="A12637" s="367" t="s">
        <v>21</v>
      </c>
      <c r="B12637" s="2">
        <v>44419</v>
      </c>
      <c r="C12637" s="662">
        <v>165</v>
      </c>
      <c r="D12637" s="39">
        <f t="shared" si="2402"/>
        <v>30448</v>
      </c>
      <c r="E12637" s="662"/>
      <c r="F12637" s="39">
        <f t="shared" si="2401"/>
        <v>865</v>
      </c>
      <c r="G12637" s="168">
        <f>SUM(C12637,C12613,C12589,C12565,C12541,C12517,C12493,C12469,C12445,C12421,C12397,C12373,C12349,C12325)/POBLA!$B$12*100000</f>
        <v>724.72054298136618</v>
      </c>
      <c r="H12637" s="256">
        <f t="shared" si="2406"/>
        <v>1.0355846042120551</v>
      </c>
      <c r="I12637" s="297">
        <f t="shared" si="2407"/>
        <v>750.50943666770377</v>
      </c>
      <c r="J12637" s="422">
        <f t="shared" si="2404"/>
        <v>181.28571428571428</v>
      </c>
      <c r="K12637" s="297">
        <f>J12637/POBLA!$B$12*100000</f>
        <v>46.066438040640833</v>
      </c>
      <c r="L12637" s="200">
        <f t="shared" si="2405"/>
        <v>-0.19835754895767532</v>
      </c>
      <c r="M12637" s="70">
        <f>SUM(C12637,C12613,C12589,C12565,C12541,C12517,C12493)/POBLA!$B$12*100000</f>
        <v>322.46506628448583</v>
      </c>
      <c r="N12637" s="412"/>
      <c r="O12637" s="412"/>
      <c r="P12637" s="412"/>
      <c r="Q12637" s="412"/>
      <c r="R12637" s="412"/>
      <c r="S12637" s="412"/>
    </row>
    <row r="12638" spans="1:19" x14ac:dyDescent="0.25">
      <c r="A12638" s="367" t="s">
        <v>17</v>
      </c>
      <c r="B12638" s="2">
        <v>44419</v>
      </c>
      <c r="C12638" s="662">
        <v>413</v>
      </c>
      <c r="D12638" s="39">
        <f t="shared" si="2402"/>
        <v>158046</v>
      </c>
      <c r="E12638" s="662">
        <v>17</v>
      </c>
      <c r="F12638" s="39">
        <f t="shared" si="2401"/>
        <v>4071</v>
      </c>
      <c r="G12638" s="168">
        <f>SUM(C12638,C12614,C12590,C12566,C12542,C12518,C12494,C12470,C12446,C12422,C12398,C12374,C12350,C12326)/POBLA!$B$13*100000</f>
        <v>262.61871099280626</v>
      </c>
      <c r="H12638" s="256">
        <f t="shared" si="2406"/>
        <v>0.87819220430107525</v>
      </c>
      <c r="I12638" s="297">
        <f t="shared" si="2407"/>
        <v>230.62970469747955</v>
      </c>
      <c r="J12638" s="422">
        <f t="shared" si="2404"/>
        <v>323.14285714285717</v>
      </c>
      <c r="K12638" s="297">
        <f>J12638/POBLA!$B$13*100000</f>
        <v>16.23557692928825</v>
      </c>
      <c r="L12638" s="200">
        <f t="shared" si="2405"/>
        <v>-0.23709949409780773</v>
      </c>
      <c r="M12638" s="70">
        <f>SUM(C12638,C12614,C12590,C12566,C12542,C12518,C12494)/POBLA!$B$13*100000</f>
        <v>113.64903850501774</v>
      </c>
      <c r="N12638" s="499"/>
      <c r="O12638" s="499"/>
      <c r="P12638" s="499"/>
      <c r="Q12638" s="499"/>
      <c r="R12638" s="499"/>
      <c r="S12638" s="412"/>
    </row>
    <row r="12639" spans="1:19" x14ac:dyDescent="0.25">
      <c r="A12639" s="367" t="s">
        <v>23</v>
      </c>
      <c r="B12639" s="2">
        <v>44419</v>
      </c>
      <c r="C12639" s="662">
        <v>171</v>
      </c>
      <c r="D12639" s="39">
        <f t="shared" si="2402"/>
        <v>32685</v>
      </c>
      <c r="E12639" s="662">
        <v>1</v>
      </c>
      <c r="F12639" s="39">
        <f t="shared" si="2401"/>
        <v>622</v>
      </c>
      <c r="G12639" s="168">
        <f>SUM(C12639,C12615,C12591,C12567,C12543,C12519,C12495,C12471,C12447,C12423,C12399,C12375,C12351,C12327)/POBLA!$B$14*100000</f>
        <v>187.74369813857831</v>
      </c>
      <c r="H12639" s="256">
        <f t="shared" si="2406"/>
        <v>0.98996655518394649</v>
      </c>
      <c r="I12639" s="297">
        <f t="shared" si="2407"/>
        <v>185.85998210374308</v>
      </c>
      <c r="J12639" s="422">
        <f t="shared" si="2404"/>
        <v>175.85714285714286</v>
      </c>
      <c r="K12639" s="297">
        <f>J12639/POBLA!$B$14*100000</f>
        <v>13.942597273684237</v>
      </c>
      <c r="L12639" s="200">
        <f t="shared" si="2405"/>
        <v>8.267370272647323E-2</v>
      </c>
      <c r="M12639" s="70">
        <f>SUM(C12639,C12615,C12591,C12567,C12543,C12519,C12495)/POBLA!$B$14*100000</f>
        <v>97.598180915789655</v>
      </c>
      <c r="N12639" s="499"/>
      <c r="O12639" s="499"/>
      <c r="P12639" s="499"/>
      <c r="Q12639" s="499"/>
      <c r="R12639" s="499"/>
      <c r="S12639" s="412"/>
    </row>
    <row r="12640" spans="1:19" x14ac:dyDescent="0.25">
      <c r="A12640" s="367" t="s">
        <v>19</v>
      </c>
      <c r="B12640" s="2">
        <v>44419</v>
      </c>
      <c r="C12640" s="662">
        <v>245</v>
      </c>
      <c r="D12640" s="39">
        <f t="shared" si="2402"/>
        <v>109831</v>
      </c>
      <c r="E12640" s="662">
        <v>1</v>
      </c>
      <c r="F12640" s="39">
        <f t="shared" si="2401"/>
        <v>2090</v>
      </c>
      <c r="G12640" s="168">
        <f>SUM(C12640,C12616,C12592,C12568,C12544,C12520,C12496,C12472,C12448,C12424,C12400,C12376,C12352,C12328)/POBLA!$B$15*100000</f>
        <v>443.63661553149802</v>
      </c>
      <c r="H12640" s="256">
        <f t="shared" si="2406"/>
        <v>1.0751824817518247</v>
      </c>
      <c r="I12640" s="297">
        <f t="shared" si="2407"/>
        <v>476.99031728313616</v>
      </c>
      <c r="J12640" s="422">
        <f t="shared" si="2404"/>
        <v>203.57142857142858</v>
      </c>
      <c r="K12640" s="297">
        <f>J12640/POBLA!$B$15*100000</f>
        <v>30.655716086334245</v>
      </c>
      <c r="L12640" s="200">
        <f t="shared" si="2405"/>
        <v>-6.311637080867849E-2</v>
      </c>
      <c r="M12640" s="70">
        <f>SUM(C12640,C12616,C12592,C12568,C12544,C12520,C12496)/POBLA!$B$15*100000</f>
        <v>214.59001260433968</v>
      </c>
      <c r="N12640" s="499"/>
      <c r="O12640" s="499"/>
      <c r="P12640" s="499"/>
      <c r="Q12640" s="499"/>
      <c r="R12640" s="499"/>
      <c r="S12640" s="412"/>
    </row>
    <row r="12641" spans="1:19" x14ac:dyDescent="0.25">
      <c r="A12641" s="367" t="s">
        <v>18</v>
      </c>
      <c r="B12641" s="2">
        <v>44419</v>
      </c>
      <c r="C12641" s="662">
        <v>316</v>
      </c>
      <c r="D12641" s="39">
        <f t="shared" si="2402"/>
        <v>95094</v>
      </c>
      <c r="E12641" s="662">
        <v>6</v>
      </c>
      <c r="F12641" s="39">
        <f t="shared" si="2401"/>
        <v>2156</v>
      </c>
      <c r="G12641" s="168">
        <f>SUM(C12641,C12617,C12593,C12569,C12545,C12521,C12497,C12473,C12449,C12425,C12401,C12377,C12353,C12329)/POBLA!$B$16*100000</f>
        <v>495.57924586348491</v>
      </c>
      <c r="H12641" s="256">
        <f t="shared" si="2406"/>
        <v>0.91912676755147604</v>
      </c>
      <c r="I12641" s="297">
        <f t="shared" si="2407"/>
        <v>455.50015031610309</v>
      </c>
      <c r="J12641" s="422">
        <f t="shared" si="2404"/>
        <v>233.14285714285714</v>
      </c>
      <c r="K12641" s="297">
        <f>J12641/POBLA!$B$16*100000</f>
        <v>31.185090774983902</v>
      </c>
      <c r="L12641" s="200">
        <f t="shared" si="2405"/>
        <v>-0.2127351664254703</v>
      </c>
      <c r="M12641" s="70">
        <f>SUM(C12641,C12617,C12593,C12569,C12545,C12521,C12497)/POBLA!$B$16*100000</f>
        <v>218.29563542488731</v>
      </c>
      <c r="N12641" s="499"/>
      <c r="O12641" s="499"/>
      <c r="P12641" s="499"/>
      <c r="Q12641" s="499"/>
      <c r="R12641" s="499"/>
      <c r="S12641" s="412"/>
    </row>
    <row r="12642" spans="1:19" x14ac:dyDescent="0.25">
      <c r="A12642" s="367" t="s">
        <v>34</v>
      </c>
      <c r="B12642" s="2">
        <v>44419</v>
      </c>
      <c r="C12642" s="662">
        <v>300</v>
      </c>
      <c r="D12642" s="39">
        <f>C12642+D12618</f>
        <v>78416</v>
      </c>
      <c r="E12642" s="662">
        <v>7</v>
      </c>
      <c r="F12642" s="39">
        <f t="shared" si="2401"/>
        <v>2181</v>
      </c>
      <c r="G12642" s="168">
        <f>SUM(C12642,C12618,C12594,C12570,C12546,C12522,C12498,C12474,C12450,C12426,C12402,C12378,C12354,C12330)/POBLA!$B$17*100000</f>
        <v>295.42325629722609</v>
      </c>
      <c r="H12642" s="256">
        <f t="shared" si="2406"/>
        <v>0.73425231198743679</v>
      </c>
      <c r="I12642" s="297">
        <f t="shared" si="2407"/>
        <v>216.91520895109534</v>
      </c>
      <c r="J12642" s="422">
        <f t="shared" si="2404"/>
        <v>284</v>
      </c>
      <c r="K12642" s="297">
        <f>J12642/POBLA!$B$17*100000</f>
        <v>19.938261594204427</v>
      </c>
      <c r="L12642" s="200">
        <f t="shared" si="2405"/>
        <v>-0.10450450450450455</v>
      </c>
      <c r="M12642" s="70">
        <f>SUM(C12642,C12618,C12594,C12570,C12546,C12522,C12498)/POBLA!$B$17*100000</f>
        <v>139.56783115943099</v>
      </c>
      <c r="N12642" s="499"/>
      <c r="O12642" s="499"/>
      <c r="P12642" s="499"/>
      <c r="Q12642" s="499"/>
      <c r="R12642" s="499"/>
      <c r="S12642" s="412"/>
    </row>
    <row r="12643" spans="1:19" x14ac:dyDescent="0.25">
      <c r="A12643" s="367" t="s">
        <v>35</v>
      </c>
      <c r="B12643" s="2">
        <v>44419</v>
      </c>
      <c r="C12643" s="662">
        <v>204</v>
      </c>
      <c r="D12643" s="39">
        <f t="shared" ref="D12643:D12649" si="2408">C12643+D12619</f>
        <v>63182</v>
      </c>
      <c r="E12643" s="662">
        <v>5</v>
      </c>
      <c r="F12643" s="39">
        <f t="shared" si="2401"/>
        <v>991</v>
      </c>
      <c r="G12643" s="168">
        <f>SUM(C12643,C12619,C12595,C12571,C12547,C12523,C12499,C12475,C12451,C12427,C12403,C12379,C12355,C12331)/POBLA!$B$18*100000</f>
        <v>419.98574019766596</v>
      </c>
      <c r="H12643" s="256">
        <f t="shared" si="2406"/>
        <v>0.76054705609643025</v>
      </c>
      <c r="I12643" s="297">
        <f t="shared" si="2407"/>
        <v>319.41891830981501</v>
      </c>
      <c r="J12643" s="422">
        <f t="shared" si="2404"/>
        <v>207.14285714285714</v>
      </c>
      <c r="K12643" s="297">
        <f>J12643/POBLA!$B$18*100000</f>
        <v>26.515405725023541</v>
      </c>
      <c r="L12643" s="200">
        <f t="shared" si="2405"/>
        <v>-0.20808301474604041</v>
      </c>
      <c r="M12643" s="70">
        <f>SUM(C12643,C12619,C12595,C12571,C12547,C12523,C12499)/POBLA!$B$18*100000</f>
        <v>185.60784007516477</v>
      </c>
      <c r="N12643" s="499"/>
      <c r="O12643" s="499"/>
      <c r="P12643" s="499"/>
      <c r="Q12643" s="499"/>
      <c r="R12643" s="499"/>
      <c r="S12643" s="412"/>
    </row>
    <row r="12644" spans="1:19" x14ac:dyDescent="0.25">
      <c r="A12644" s="367" t="s">
        <v>36</v>
      </c>
      <c r="B12644" s="2">
        <v>44419</v>
      </c>
      <c r="C12644" s="662">
        <v>180</v>
      </c>
      <c r="D12644" s="39">
        <f t="shared" si="2408"/>
        <v>77448</v>
      </c>
      <c r="E12644" s="662">
        <v>7</v>
      </c>
      <c r="F12644" s="39">
        <f t="shared" si="2401"/>
        <v>1292</v>
      </c>
      <c r="G12644" s="168">
        <f>SUM(C12644,C12620,C12596,C12572,C12548,C12524,C12500,C12476,C12452,C12428,C12404,C12380,C12356,C12332)/POBLA!$B$19*100000</f>
        <v>660.79381816464968</v>
      </c>
      <c r="H12644" s="256">
        <f t="shared" si="2406"/>
        <v>0.91500953418687003</v>
      </c>
      <c r="I12644" s="297">
        <f t="shared" si="2407"/>
        <v>604.63264375239942</v>
      </c>
      <c r="J12644" s="422">
        <f t="shared" si="2404"/>
        <v>224.57142857142858</v>
      </c>
      <c r="K12644" s="297">
        <f>J12644/POBLA!$B$19*100000</f>
        <v>44.178449460078646</v>
      </c>
      <c r="L12644" s="200">
        <f t="shared" si="2405"/>
        <v>-0.12031337437045331</v>
      </c>
      <c r="M12644" s="70">
        <f>SUM(C12644,C12620,C12596,C12572,C12548,C12524,C12500)/POBLA!$B$19*100000</f>
        <v>309.24914622055047</v>
      </c>
      <c r="N12644" s="499"/>
      <c r="O12644" s="499"/>
      <c r="P12644" s="499"/>
      <c r="Q12644" s="499"/>
      <c r="R12644" s="499"/>
      <c r="S12644" s="412"/>
    </row>
    <row r="12645" spans="1:19" x14ac:dyDescent="0.25">
      <c r="A12645" s="367" t="s">
        <v>37</v>
      </c>
      <c r="B12645" s="2">
        <v>44419</v>
      </c>
      <c r="C12645" s="662">
        <v>63</v>
      </c>
      <c r="D12645" s="39">
        <f t="shared" si="2408"/>
        <v>58488</v>
      </c>
      <c r="E12645" s="662">
        <v>2</v>
      </c>
      <c r="F12645" s="39">
        <f>E12645+F12621</f>
        <v>974</v>
      </c>
      <c r="G12645" s="168">
        <f>SUM(C12645,C12621,C12598,C12573,C12549,C12525,C12501,C12477,C12453,C12429,C12405,C12381,C12357,C12333)/POBLA!$B$20*100000</f>
        <v>422.47975105141404</v>
      </c>
      <c r="H12645" s="256">
        <f t="shared" si="2406"/>
        <v>0.9079822616407982</v>
      </c>
      <c r="I12645" s="297">
        <f t="shared" si="2407"/>
        <v>383.60411985710431</v>
      </c>
      <c r="J12645" s="422">
        <f t="shared" si="2404"/>
        <v>53.857142857142854</v>
      </c>
      <c r="K12645" s="297">
        <f>J12645/POBLA!$B$20*100000</f>
        <v>14.727218321440876</v>
      </c>
      <c r="L12645" s="200">
        <f t="shared" si="2405"/>
        <v>-0.1470588235294118</v>
      </c>
      <c r="M12645" s="70">
        <f>SUM(C12645,C12621,C12597,C12573,C12549,C12525,C12501)/POBLA!$B$20*100000</f>
        <v>103.09052825008614</v>
      </c>
      <c r="N12645" s="499"/>
      <c r="O12645" s="499"/>
      <c r="P12645" s="499"/>
      <c r="Q12645" s="499"/>
      <c r="R12645" s="499"/>
      <c r="S12645" s="412"/>
    </row>
    <row r="12646" spans="1:19" x14ac:dyDescent="0.25">
      <c r="A12646" s="367" t="s">
        <v>22</v>
      </c>
      <c r="B12646" s="2">
        <v>44419</v>
      </c>
      <c r="C12646" s="662">
        <v>818</v>
      </c>
      <c r="D12646" s="39">
        <f t="shared" si="2408"/>
        <v>456929</v>
      </c>
      <c r="E12646" s="662">
        <v>9</v>
      </c>
      <c r="F12646" s="39">
        <f>E12646+F12622</f>
        <v>8061</v>
      </c>
      <c r="G12646" s="168">
        <f>SUM(C12646,C12622,C12598,C12574,C12550,C12526,C12502,C12478,C12454,C12430,C12406,C12382,C12358,C12334)/POBLA!$B$21*100000</f>
        <v>359.71426454678152</v>
      </c>
      <c r="H12646" s="256">
        <f t="shared" si="2406"/>
        <v>0.75178771940192657</v>
      </c>
      <c r="I12646" s="297">
        <f t="shared" si="2407"/>
        <v>270.42876657996618</v>
      </c>
      <c r="J12646" s="422">
        <f t="shared" si="2404"/>
        <v>822.85714285714289</v>
      </c>
      <c r="K12646" s="297">
        <f>J12646/POBLA!$B$21*100000</f>
        <v>23.268096216486367</v>
      </c>
      <c r="L12646" s="200">
        <f t="shared" si="2405"/>
        <v>-0.17253268208590722</v>
      </c>
      <c r="M12646" s="70">
        <f>SUM(C12646,C12622,C12598,C12574,C12550,C12526,C12502)/POBLA!$B$21*100000</f>
        <v>162.87667351540458</v>
      </c>
      <c r="N12646" s="499"/>
      <c r="O12646" s="499"/>
      <c r="P12646" s="499"/>
      <c r="Q12646" s="499"/>
      <c r="R12646" s="499"/>
      <c r="S12646" s="412"/>
    </row>
    <row r="12647" spans="1:19" x14ac:dyDescent="0.25">
      <c r="A12647" s="367" t="s">
        <v>38</v>
      </c>
      <c r="B12647" s="2">
        <v>44419</v>
      </c>
      <c r="C12647" s="662">
        <v>317</v>
      </c>
      <c r="D12647" s="39">
        <f t="shared" si="2408"/>
        <v>76800</v>
      </c>
      <c r="E12647" s="662">
        <v>1</v>
      </c>
      <c r="F12647" s="39">
        <f>E12647+F12623</f>
        <v>1101</v>
      </c>
      <c r="G12647" s="168">
        <f>SUM(C12647,C12623,C12599,C12575,C12551,C12527,C12503,C12479,C12455,C12431,C12407,C12383,C12359,C12335)/POBLA!$B$22*100000</f>
        <v>447.81169216804847</v>
      </c>
      <c r="H12647" s="256">
        <f t="shared" si="2406"/>
        <v>0.81903159469059639</v>
      </c>
      <c r="I12647" s="297">
        <f t="shared" si="2407"/>
        <v>366.77192435749117</v>
      </c>
      <c r="J12647" s="422">
        <f t="shared" si="2404"/>
        <v>294.85714285714283</v>
      </c>
      <c r="K12647" s="297">
        <f>J12647/POBLA!$B$22*100000</f>
        <v>30.139346288676819</v>
      </c>
      <c r="L12647" s="200">
        <f t="shared" si="2405"/>
        <v>-0.10919292188174368</v>
      </c>
      <c r="M12647" s="70">
        <f>SUM(C12647,C12623,C12599,C12575,C12551,C12527,C12503)/POBLA!$B$22*100000</f>
        <v>210.97542402073776</v>
      </c>
      <c r="N12647" s="499"/>
      <c r="O12647" s="499"/>
      <c r="P12647" s="499"/>
      <c r="Q12647" s="499"/>
      <c r="R12647" s="499"/>
      <c r="S12647" s="412"/>
    </row>
    <row r="12648" spans="1:19" x14ac:dyDescent="0.25">
      <c r="A12648" s="367" t="s">
        <v>39</v>
      </c>
      <c r="B12648" s="2">
        <v>44419</v>
      </c>
      <c r="C12648" s="662">
        <v>51</v>
      </c>
      <c r="D12648" s="39">
        <f t="shared" si="2408"/>
        <v>31639</v>
      </c>
      <c r="E12648" s="662">
        <v>1</v>
      </c>
      <c r="F12648" s="39">
        <f>E12648+F12624</f>
        <v>499</v>
      </c>
      <c r="G12648" s="168">
        <f>SUM(C12648,C12624,C12600,C12576,C12552,C12528,C12504,C12480,C12456,C12432,C12408,C12384,C12360,C12336)/POBLA!$B$23*100000</f>
        <v>347.79166431035458</v>
      </c>
      <c r="H12648" s="256">
        <f t="shared" si="2406"/>
        <v>0.96698113207547165</v>
      </c>
      <c r="I12648" s="297">
        <f t="shared" si="2407"/>
        <v>336.30797728123906</v>
      </c>
      <c r="J12648" s="422">
        <f t="shared" si="2404"/>
        <v>33.285714285714285</v>
      </c>
      <c r="K12648" s="297">
        <f>J12648/POBLA!$B$23*100000</f>
        <v>18.823567429573195</v>
      </c>
      <c r="L12648" s="200">
        <f t="shared" si="2405"/>
        <v>-0.39005235602094246</v>
      </c>
      <c r="M12648" s="70">
        <f>SUM(C12648,C12624,C12600,C12576,C12552,C12528,C12504)/POBLA!$B$23*100000</f>
        <v>131.7649720070124</v>
      </c>
      <c r="N12648" s="499"/>
      <c r="O12648" s="499"/>
      <c r="P12648" s="499"/>
      <c r="Q12648" s="499"/>
      <c r="R12648" s="499"/>
      <c r="S12648" s="412"/>
    </row>
    <row r="12649" spans="1:19" ht="15.75" thickBot="1" x14ac:dyDescent="0.3">
      <c r="A12649" s="369" t="s">
        <v>40</v>
      </c>
      <c r="B12649" s="2">
        <v>44419</v>
      </c>
      <c r="C12649" s="662">
        <v>657</v>
      </c>
      <c r="D12649" s="176">
        <f t="shared" si="2408"/>
        <v>188184</v>
      </c>
      <c r="E12649" s="662">
        <v>15</v>
      </c>
      <c r="F12649" s="176">
        <f>E12649+F12625</f>
        <v>2664</v>
      </c>
      <c r="G12649" s="177">
        <f>SUM(C12649,C12625,C12601,C12577,C12553,C12529,C12505,C12481,C12457,C12433,C12409,C12385,C12361,C12337)/POBLA!$B$24*100000</f>
        <v>528.13078288454994</v>
      </c>
      <c r="H12649" s="402">
        <f t="shared" si="2406"/>
        <v>0.91242736262615964</v>
      </c>
      <c r="I12649" s="403">
        <f t="shared" si="2407"/>
        <v>481.88097734903886</v>
      </c>
      <c r="J12649" s="423">
        <f t="shared" si="2404"/>
        <v>685</v>
      </c>
      <c r="K12649" s="403">
        <f>J12649/POBLA!$B$24*100000</f>
        <v>40.421182824124777</v>
      </c>
      <c r="L12649" s="404">
        <f t="shared" si="2405"/>
        <v>0.15403128760529472</v>
      </c>
      <c r="M12649" s="704">
        <f>SUM(C12649,C12625,C12601,C12577,C12553,C12529,C12505)/POBLA!$B$24*100000</f>
        <v>282.94827976887342</v>
      </c>
      <c r="N12649" s="499"/>
      <c r="O12649" s="499"/>
      <c r="P12649" s="499"/>
      <c r="Q12649" s="499"/>
      <c r="R12649" s="499"/>
      <c r="S12649" s="412"/>
    </row>
    <row r="12650" spans="1:19" x14ac:dyDescent="0.25">
      <c r="A12650" s="363" t="s">
        <v>16</v>
      </c>
      <c r="B12650" s="2">
        <v>44420</v>
      </c>
      <c r="C12650" s="412">
        <v>2964</v>
      </c>
      <c r="D12650" s="174">
        <f>C12650+D12626</f>
        <v>2008769</v>
      </c>
      <c r="E12650" s="662">
        <v>23</v>
      </c>
      <c r="F12650" s="174">
        <f t="shared" ref="F12650:F12668" si="2409">E12650+F12626</f>
        <v>53011</v>
      </c>
      <c r="G12650" s="175">
        <f>SUM(C12650,C12626,C12578,C12602,C12554,C12530,C12506,C12482,C12458,C12434,C12410,C12386,C12362,C12338)/POBLA!$B$1*100000</f>
        <v>230.25298069264707</v>
      </c>
      <c r="H12650" s="300">
        <f t="shared" si="2406"/>
        <v>0.7904223257270343</v>
      </c>
      <c r="I12650" s="301">
        <f>G12650*H12650</f>
        <v>181.99709650466403</v>
      </c>
      <c r="J12650" s="421">
        <f>AVERAGE(C12650,C12626,C12602,C12578,C12554,C12530,C12506)</f>
        <v>2639.5714285714284</v>
      </c>
      <c r="K12650" s="301">
        <f>J12650/POBLA!$B$1*100000</f>
        <v>15.047889008881624</v>
      </c>
      <c r="L12650" s="399">
        <f>(SUM(C12650,C12626,C12602,C12578,C12554,C12530,C12506)/SUM(C12482,C12458,C12434,C12410,C12386,C12362,C12338))-1</f>
        <v>-0.15676341730558596</v>
      </c>
      <c r="M12650" s="567">
        <f>SUM(C12650,C12626,C12602,C12578,C12554,C12530,C12506)/POBLA!$B$1*100000</f>
        <v>105.33522306217138</v>
      </c>
      <c r="N12650" s="712" t="s">
        <v>319</v>
      </c>
      <c r="O12650" s="712">
        <v>10</v>
      </c>
      <c r="P12650" s="712">
        <v>12</v>
      </c>
      <c r="Q12650" s="712">
        <v>1</v>
      </c>
      <c r="R12650" s="712">
        <v>23</v>
      </c>
      <c r="S12650" s="412"/>
    </row>
    <row r="12651" spans="1:19" x14ac:dyDescent="0.25">
      <c r="A12651" s="367" t="s">
        <v>43</v>
      </c>
      <c r="B12651" s="2">
        <v>44420</v>
      </c>
      <c r="C12651" s="412">
        <v>830</v>
      </c>
      <c r="D12651" s="39">
        <f t="shared" ref="D12651:D12665" si="2410">C12651+D12627</f>
        <v>499784</v>
      </c>
      <c r="E12651" s="662">
        <v>3</v>
      </c>
      <c r="F12651" s="39">
        <f t="shared" si="2409"/>
        <v>11007</v>
      </c>
      <c r="G12651" s="168">
        <f>SUM(C12651,C12627,C12603,C12579,C12555,C12531,C12507,C12483,C12459,C12435,C12411,C12387,C12363,C12339)/POBLA!$B$2*100000</f>
        <v>311.21917151713819</v>
      </c>
      <c r="H12651" s="256">
        <f t="shared" si="2406"/>
        <v>0.86994456057438885</v>
      </c>
      <c r="I12651" s="297">
        <f t="shared" ref="I12651:I12657" si="2411">G12651*H12651</f>
        <v>270.74342540780214</v>
      </c>
      <c r="J12651" s="422">
        <f>AVERAGE(C12651,C12627,C12603,C12579,C12555,C12531,C12507)</f>
        <v>658.42857142857144</v>
      </c>
      <c r="K12651" s="297">
        <f>J12651/POBLA!$B$2*100000</f>
        <v>21.407813884581369</v>
      </c>
      <c r="L12651" s="200">
        <f>(SUM(C12651,C12627,C12603,C12579,C12555,C12531,C12507)/SUM(C12483,C12459,C12435,C12411,C12387,C12363,C12339))-1</f>
        <v>-7.1327825911746912E-2</v>
      </c>
      <c r="M12651" s="70">
        <f>SUM(C12651,C12627,C12603,C12579,C12555,C12531,C12507)/POBLA!$B$2*100000</f>
        <v>149.85469719206958</v>
      </c>
      <c r="N12651" s="712" t="s">
        <v>43</v>
      </c>
      <c r="O12651" s="712">
        <v>2</v>
      </c>
      <c r="P12651" s="712">
        <v>1</v>
      </c>
      <c r="Q12651" s="712">
        <v>0</v>
      </c>
      <c r="R12651" s="712">
        <v>3</v>
      </c>
      <c r="S12651" s="412"/>
    </row>
    <row r="12652" spans="1:19" x14ac:dyDescent="0.25">
      <c r="A12652" s="367" t="s">
        <v>28</v>
      </c>
      <c r="B12652" s="2">
        <v>44420</v>
      </c>
      <c r="C12652" s="412">
        <v>339</v>
      </c>
      <c r="D12652" s="39">
        <f t="shared" si="2410"/>
        <v>45090</v>
      </c>
      <c r="E12652" s="662"/>
      <c r="F12652" s="39">
        <f t="shared" si="2409"/>
        <v>516</v>
      </c>
      <c r="G12652" s="168">
        <f>SUM(C12652,C12628,C12604,C12580,C12556,C12532,C12508,C12484,C12460,C12436,C12412,C12388,C12364,C12340)/POBLA!$B$3*100000</f>
        <v>763.05008208204356</v>
      </c>
      <c r="H12652" s="256">
        <f t="shared" si="2406"/>
        <v>0.87303773065271273</v>
      </c>
      <c r="I12652" s="297">
        <f t="shared" si="2411"/>
        <v>666.17151203527351</v>
      </c>
      <c r="J12652" s="422">
        <f t="shared" ref="J12652:J12673" si="2412">AVERAGE(C12652,C12628,C12604,C12580,C12556,C12532,C12508)</f>
        <v>212.71428571428572</v>
      </c>
      <c r="K12652" s="297">
        <f>J12652/POBLA!$B$3*100000</f>
        <v>51.202414250570662</v>
      </c>
      <c r="L12652" s="200">
        <f t="shared" ref="L12652:L12673" si="2413">(SUM(C12652,C12628,C12604,C12580,C12556,C12532,C12508)/SUM(C12484,C12460,C12436,C12412,C12388,C12364,C12340))-1</f>
        <v>-0.11421772754312909</v>
      </c>
      <c r="M12652" s="70">
        <f>SUM(C12652,C12628,C12604,C12580,C12556,C12532,C12508)/POBLA!$B$3*100000</f>
        <v>358.41689975399458</v>
      </c>
      <c r="S12652" s="412"/>
    </row>
    <row r="12653" spans="1:19" x14ac:dyDescent="0.25">
      <c r="A12653" s="367" t="s">
        <v>15</v>
      </c>
      <c r="B12653" s="2">
        <v>44420</v>
      </c>
      <c r="C12653" s="412">
        <v>328</v>
      </c>
      <c r="D12653" s="39">
        <f t="shared" si="2410"/>
        <v>95743</v>
      </c>
      <c r="E12653" s="662">
        <v>3</v>
      </c>
      <c r="F12653" s="39">
        <f t="shared" si="2409"/>
        <v>2111</v>
      </c>
      <c r="G12653" s="168">
        <f>SUM(C12653,C12629,C12605,C12581,C12557,C12533,C12509,C12485,C12461,C12437,C12413,C12389,C12365,C12341)/POBLA!$B$4*100000</f>
        <v>425.47327156153256</v>
      </c>
      <c r="H12653" s="256">
        <f t="shared" si="2406"/>
        <v>0.92076895436579231</v>
      </c>
      <c r="I12653" s="297">
        <f t="shared" si="2411"/>
        <v>391.76257936630515</v>
      </c>
      <c r="J12653" s="422">
        <f t="shared" si="2412"/>
        <v>344.28571428571428</v>
      </c>
      <c r="K12653" s="297">
        <f>J12653/POBLA!$B$4*100000</f>
        <v>28.582315943227695</v>
      </c>
      <c r="L12653" s="200">
        <f t="shared" si="2413"/>
        <v>-0.11233885819521183</v>
      </c>
      <c r="M12653" s="70">
        <f>SUM(C12653,C12629,C12605,C12581,C12557,C12533,C12509)/POBLA!$B$4*100000</f>
        <v>200.07621160259384</v>
      </c>
      <c r="N12653" s="712" t="s">
        <v>15</v>
      </c>
      <c r="O12653" s="712">
        <v>0</v>
      </c>
      <c r="P12653" s="712">
        <v>3</v>
      </c>
      <c r="Q12653" s="712">
        <v>0</v>
      </c>
      <c r="R12653" s="712">
        <v>3</v>
      </c>
      <c r="S12653" s="412"/>
    </row>
    <row r="12654" spans="1:19" x14ac:dyDescent="0.25">
      <c r="A12654" s="367" t="s">
        <v>29</v>
      </c>
      <c r="B12654" s="2">
        <v>44420</v>
      </c>
      <c r="C12654" s="412">
        <v>256</v>
      </c>
      <c r="D12654" s="39">
        <f t="shared" si="2410"/>
        <v>78656</v>
      </c>
      <c r="E12654" s="662"/>
      <c r="F12654" s="39">
        <f t="shared" si="2409"/>
        <v>1369</v>
      </c>
      <c r="G12654" s="168">
        <f>SUM(C12654,C12630,C12606,C12582,C12558,C12534,C12510,C12486,C12462,C12438,C12414,C12390,C12366,C12342)/POBLA!$B$5*100000</f>
        <v>441.36130560231601</v>
      </c>
      <c r="H12654" s="256">
        <f t="shared" si="2406"/>
        <v>1.1128309572301425</v>
      </c>
      <c r="I12654" s="297">
        <f t="shared" si="2411"/>
        <v>491.16052419777077</v>
      </c>
      <c r="J12654" s="422">
        <f t="shared" si="2412"/>
        <v>189.85714285714286</v>
      </c>
      <c r="K12654" s="297">
        <f>J12654/POBLA!$B$5*100000</f>
        <v>30.671887426557099</v>
      </c>
      <c r="L12654" s="200">
        <f t="shared" si="2413"/>
        <v>-5.2744119743406981E-2</v>
      </c>
      <c r="M12654" s="70">
        <f>SUM(C12654,C12630,C12606,C12582,C12558,C12534,C12510)/POBLA!$B$5*100000</f>
        <v>214.70321198589969</v>
      </c>
      <c r="S12654" s="412"/>
    </row>
    <row r="12655" spans="1:19" x14ac:dyDescent="0.25">
      <c r="A12655" s="367" t="s">
        <v>30</v>
      </c>
      <c r="B12655" s="2">
        <v>44420</v>
      </c>
      <c r="C12655" s="412">
        <v>1390</v>
      </c>
      <c r="D12655" s="39">
        <f t="shared" si="2410"/>
        <v>455796</v>
      </c>
      <c r="E12655" s="662">
        <v>24</v>
      </c>
      <c r="F12655" s="39">
        <f t="shared" si="2409"/>
        <v>5996</v>
      </c>
      <c r="G12655" s="168">
        <f>SUM(C12655,C12631,C12607,C12583,C12559,C12535,C12511,C12487,C12463,C12439,C12415,C12391,C12367,C12343)/POBLA!$B$6*100000</f>
        <v>705.3883784900263</v>
      </c>
      <c r="H12655" s="256">
        <f t="shared" si="2406"/>
        <v>1.1870870870870871</v>
      </c>
      <c r="I12655" s="297">
        <f t="shared" si="2411"/>
        <v>837.35743548680898</v>
      </c>
      <c r="J12655" s="422">
        <f t="shared" si="2412"/>
        <v>883.14285714285711</v>
      </c>
      <c r="K12655" s="297">
        <f>J12655/POBLA!$B$6*100000</f>
        <v>78.795687828870342</v>
      </c>
      <c r="L12655" s="200">
        <f t="shared" si="2413"/>
        <v>2.58584686774942</v>
      </c>
      <c r="M12655" s="70">
        <f>SUM(C12655,C12631,C12607,C12583,C12559,C12535,C12511)/POBLA!$B$6*100000</f>
        <v>551.56981480209242</v>
      </c>
      <c r="N12655" s="712" t="s">
        <v>30</v>
      </c>
      <c r="O12655" s="712">
        <v>19</v>
      </c>
      <c r="P12655" s="712">
        <v>4</v>
      </c>
      <c r="Q12655" s="712">
        <v>1</v>
      </c>
      <c r="R12655" s="712">
        <v>24</v>
      </c>
      <c r="S12655" s="412"/>
    </row>
    <row r="12656" spans="1:19" x14ac:dyDescent="0.25">
      <c r="A12656" s="367" t="s">
        <v>20</v>
      </c>
      <c r="B12656" s="2">
        <v>44420</v>
      </c>
      <c r="C12656" s="662">
        <v>1822</v>
      </c>
      <c r="D12656" s="39">
        <f t="shared" si="2410"/>
        <v>120641</v>
      </c>
      <c r="E12656" s="662">
        <v>22</v>
      </c>
      <c r="F12656" s="39">
        <f t="shared" si="2409"/>
        <v>1357</v>
      </c>
      <c r="G12656" s="168">
        <f>SUM(C12656,C12632,C12608,C12584,C12560,C12536,C12512,C12488,C12464,C12440,C12416,C12392,C12368,C12344)/POBLA!$B$7*100000</f>
        <v>617.82499434908061</v>
      </c>
      <c r="H12656" s="256">
        <f t="shared" si="2406"/>
        <v>0.96083540115798183</v>
      </c>
      <c r="I12656" s="297">
        <f t="shared" si="2411"/>
        <v>593.62812629082669</v>
      </c>
      <c r="J12656" s="422">
        <f t="shared" si="2412"/>
        <v>1563.4285714285713</v>
      </c>
      <c r="K12656" s="297">
        <f>J12656/POBLA!$B$7*100000</f>
        <v>41.575571312703836</v>
      </c>
      <c r="L12656" s="200">
        <f t="shared" si="2413"/>
        <v>-0.10944747335015059</v>
      </c>
      <c r="M12656" s="70">
        <f>SUM(C12656,C12632,C12608,C12584,C12560,C12536,C12512)/POBLA!$B$7*100000</f>
        <v>291.02899918892683</v>
      </c>
      <c r="N12656" s="712" t="s">
        <v>20</v>
      </c>
      <c r="O12656" s="712">
        <v>14</v>
      </c>
      <c r="P12656" s="712">
        <v>8</v>
      </c>
      <c r="Q12656" s="712">
        <v>0</v>
      </c>
      <c r="R12656" s="712">
        <v>22</v>
      </c>
    </row>
    <row r="12657" spans="1:18" x14ac:dyDescent="0.25">
      <c r="A12657" s="367" t="s">
        <v>31</v>
      </c>
      <c r="B12657" s="2">
        <v>44420</v>
      </c>
      <c r="C12657" s="662">
        <v>298</v>
      </c>
      <c r="D12657" s="39">
        <f t="shared" si="2410"/>
        <v>131655</v>
      </c>
      <c r="E12657" s="662">
        <v>2</v>
      </c>
      <c r="F12657" s="39">
        <f t="shared" si="2409"/>
        <v>2243</v>
      </c>
      <c r="G12657" s="168">
        <f>SUM(C12657,C12633,C12609,C12585,C12561,C12537,C12513,C12489,C12465,C12441,C12417,C12393,C12369,C12345)/POBLA!$B$8*100000</f>
        <v>313.57303704794003</v>
      </c>
      <c r="H12657" s="256">
        <f t="shared" ref="H12657:H12680" si="2414">SUM(C12657,C12633,C12609,C12585,C12561,C12537,C12513,C12489,C12465,C12441,C12417,C12393,C12369,C12345,)/SUM(C12321,C12297,C12273,C12249,C12225,C12201,C12177,C12153,C12129,C12105,C12081,C12057,C12033,C12009)</f>
        <v>0.66871826434836124</v>
      </c>
      <c r="I12657" s="297">
        <f t="shared" si="2411"/>
        <v>209.69201708114284</v>
      </c>
      <c r="J12657" s="422">
        <f t="shared" si="2412"/>
        <v>291.14285714285717</v>
      </c>
      <c r="K12657" s="297">
        <f>J12657/POBLA!$B$8*100000</f>
        <v>21.006569242775026</v>
      </c>
      <c r="L12657" s="200">
        <f t="shared" si="2413"/>
        <v>-0.11698440207972272</v>
      </c>
      <c r="M12657" s="70">
        <f>SUM(C12657,C12633,C12609,C12585,C12561,C12537,C12513)/POBLA!$B$8*100000</f>
        <v>147.04598469942516</v>
      </c>
      <c r="N12657" s="712" t="s">
        <v>31</v>
      </c>
      <c r="O12657" s="712">
        <v>0</v>
      </c>
      <c r="P12657" s="712">
        <v>2</v>
      </c>
      <c r="Q12657" s="712">
        <v>0</v>
      </c>
      <c r="R12657" s="712">
        <v>2</v>
      </c>
    </row>
    <row r="12658" spans="1:18" x14ac:dyDescent="0.25">
      <c r="A12658" s="367" t="s">
        <v>41</v>
      </c>
      <c r="B12658" s="2">
        <v>44420</v>
      </c>
      <c r="C12658" s="662">
        <v>235</v>
      </c>
      <c r="D12658" s="39">
        <f t="shared" si="2410"/>
        <v>58621</v>
      </c>
      <c r="E12658" s="662">
        <v>3</v>
      </c>
      <c r="F12658" s="39">
        <f t="shared" si="2409"/>
        <v>1069</v>
      </c>
      <c r="G12658" s="168">
        <f>SUM(C12658,C12634,C12610,C12586,C12562,C12538,C12514,C12490,C12466,C12442,C12418,C12394,C12370,C12346)/POBLA!$B$9*100000</f>
        <v>499.34483710155274</v>
      </c>
      <c r="H12658" s="256">
        <f t="shared" si="2414"/>
        <v>0.81521445913137303</v>
      </c>
      <c r="I12658" s="297">
        <f>G12658*H12658</f>
        <v>407.07313129778589</v>
      </c>
      <c r="J12658" s="422">
        <f t="shared" si="2412"/>
        <v>218.85714285714286</v>
      </c>
      <c r="K12658" s="297">
        <f>J12658/POBLA!$B$9*100000</f>
        <v>36.163197997521927</v>
      </c>
      <c r="L12658" s="200">
        <f t="shared" si="2413"/>
        <v>2.8187919463087185E-2</v>
      </c>
      <c r="M12658" s="70">
        <f>SUM(C12658,C12634,C12610,C12586,C12562,C12538,C12514)/POBLA!$B$9*100000</f>
        <v>253.14238598265348</v>
      </c>
      <c r="N12658" s="712" t="s">
        <v>41</v>
      </c>
      <c r="O12658" s="712">
        <v>3</v>
      </c>
      <c r="P12658" s="712">
        <v>0</v>
      </c>
      <c r="Q12658" s="712">
        <v>0</v>
      </c>
      <c r="R12658" s="712">
        <v>3</v>
      </c>
    </row>
    <row r="12659" spans="1:18" x14ac:dyDescent="0.25">
      <c r="A12659" s="367" t="s">
        <v>32</v>
      </c>
      <c r="B12659" s="2">
        <v>44420</v>
      </c>
      <c r="C12659" s="662">
        <v>134</v>
      </c>
      <c r="D12659" s="39">
        <f t="shared" si="2410"/>
        <v>45377</v>
      </c>
      <c r="E12659" s="662">
        <v>4</v>
      </c>
      <c r="F12659" s="39">
        <f t="shared" si="2409"/>
        <v>1371</v>
      </c>
      <c r="G12659" s="168">
        <f>SUM(C12659,C12635,C12611,C12587,C12563,C12539,C12515,C12491,C12467,C12443,C12419,C12395,C12371,C12347)/POBLA!$B$10*100000</f>
        <v>291.35495621243746</v>
      </c>
      <c r="H12659" s="256">
        <f t="shared" si="2414"/>
        <v>0.73639344262295081</v>
      </c>
      <c r="I12659" s="297">
        <f t="shared" ref="I12659:I12673" si="2415">G12659*H12659</f>
        <v>214.55187923053592</v>
      </c>
      <c r="J12659" s="422">
        <f t="shared" si="2412"/>
        <v>136</v>
      </c>
      <c r="K12659" s="297">
        <f>J12659/POBLA!$B$10*100000</f>
        <v>17.642152290690781</v>
      </c>
      <c r="L12659" s="200">
        <f t="shared" si="2413"/>
        <v>-0.26429675425038635</v>
      </c>
      <c r="M12659" s="70">
        <f>SUM(C12659,C12635,C12611,C12587,C12563,C12539,C12515)/POBLA!$B$10*100000</f>
        <v>123.49506603483546</v>
      </c>
      <c r="N12659" s="712" t="s">
        <v>32</v>
      </c>
      <c r="O12659" s="712">
        <v>1</v>
      </c>
      <c r="P12659" s="712">
        <v>3</v>
      </c>
      <c r="Q12659" s="712">
        <v>0</v>
      </c>
      <c r="R12659" s="712">
        <v>4</v>
      </c>
    </row>
    <row r="12660" spans="1:18" x14ac:dyDescent="0.25">
      <c r="A12660" s="367" t="s">
        <v>33</v>
      </c>
      <c r="B12660" s="2">
        <v>44420</v>
      </c>
      <c r="C12660" s="662">
        <v>261</v>
      </c>
      <c r="D12660" s="39">
        <f t="shared" si="2410"/>
        <v>64418</v>
      </c>
      <c r="E12660" s="662">
        <v>1</v>
      </c>
      <c r="F12660" s="39">
        <f t="shared" si="2409"/>
        <v>876</v>
      </c>
      <c r="G12660" s="168">
        <f>SUM(C12660,C12636,C12612,C12588,C12564,C12540,C12516,C12492,C12468,C12444,C12420,C12396,C12372,C12348)/POBLA!$B$11*100000</f>
        <v>958.35146807727074</v>
      </c>
      <c r="H12660" s="256">
        <f t="shared" si="2414"/>
        <v>0.87896622313203687</v>
      </c>
      <c r="I12660" s="297">
        <f t="shared" si="2415"/>
        <v>842.35857032892147</v>
      </c>
      <c r="J12660" s="422">
        <f t="shared" si="2412"/>
        <v>228.42857142857142</v>
      </c>
      <c r="K12660" s="297">
        <f>J12660/POBLA!$B$11*100000</f>
        <v>63.730671551489117</v>
      </c>
      <c r="L12660" s="200">
        <f t="shared" si="2413"/>
        <v>-0.12908496732026142</v>
      </c>
      <c r="M12660" s="70">
        <f>SUM(C12660,C12636,C12612,C12588,C12564,C12540,C12516)/POBLA!$B$11*100000</f>
        <v>446.11470086042385</v>
      </c>
      <c r="N12660" s="712" t="s">
        <v>33</v>
      </c>
      <c r="O12660" s="712">
        <v>1</v>
      </c>
      <c r="P12660" s="712">
        <v>0</v>
      </c>
      <c r="Q12660" s="712">
        <v>0</v>
      </c>
      <c r="R12660" s="712">
        <v>1</v>
      </c>
    </row>
    <row r="12661" spans="1:18" x14ac:dyDescent="0.25">
      <c r="A12661" s="367" t="s">
        <v>21</v>
      </c>
      <c r="B12661" s="2">
        <v>44420</v>
      </c>
      <c r="C12661" s="662">
        <v>196</v>
      </c>
      <c r="D12661" s="39">
        <f t="shared" si="2410"/>
        <v>30644</v>
      </c>
      <c r="E12661" s="662"/>
      <c r="F12661" s="39">
        <f t="shared" si="2409"/>
        <v>865</v>
      </c>
      <c r="G12661" s="168">
        <f>SUM(C12661,C12637,C12613,C12589,C12565,C12541,C12517,C12493,C12469,C12445,C12421,C12397,C12373,C12349)/POBLA!$B$12*100000</f>
        <v>723.95821421946425</v>
      </c>
      <c r="H12661" s="256">
        <f t="shared" si="2414"/>
        <v>1.0371314160902803</v>
      </c>
      <c r="I12661" s="297">
        <f t="shared" si="2415"/>
        <v>750.83980790362341</v>
      </c>
      <c r="J12661" s="422">
        <f t="shared" si="2412"/>
        <v>167</v>
      </c>
      <c r="K12661" s="297">
        <f>J12661/POBLA!$B$12*100000</f>
        <v>42.436301079203417</v>
      </c>
      <c r="L12661" s="200">
        <f t="shared" si="2413"/>
        <v>-0.3041666666666667</v>
      </c>
      <c r="M12661" s="70">
        <f>SUM(C12661,C12637,C12613,C12589,C12565,C12541,C12517)/POBLA!$B$12*100000</f>
        <v>297.05410755442392</v>
      </c>
    </row>
    <row r="12662" spans="1:18" x14ac:dyDescent="0.25">
      <c r="A12662" s="367" t="s">
        <v>17</v>
      </c>
      <c r="B12662" s="2">
        <v>44420</v>
      </c>
      <c r="C12662" s="662">
        <v>371</v>
      </c>
      <c r="D12662" s="39">
        <f t="shared" si="2410"/>
        <v>158417</v>
      </c>
      <c r="E12662" s="662">
        <v>18</v>
      </c>
      <c r="F12662" s="39">
        <f t="shared" si="2409"/>
        <v>4089</v>
      </c>
      <c r="G12662" s="168">
        <f>SUM(C12662,C12638,C12614,C12590,C12566,C12542,C12518,C12494,C12470,C12446,C12422,C12398,C12374,C12350)/POBLA!$B$13*100000</f>
        <v>257.84565234648591</v>
      </c>
      <c r="H12662" s="256">
        <f t="shared" si="2414"/>
        <v>0.87636612021857918</v>
      </c>
      <c r="I12662" s="297">
        <f t="shared" si="2415"/>
        <v>225.96719396211844</v>
      </c>
      <c r="J12662" s="422">
        <f t="shared" si="2412"/>
        <v>314.57142857142856</v>
      </c>
      <c r="K12662" s="297">
        <f>J12662/POBLA!$B$13*100000</f>
        <v>15.804925021349568</v>
      </c>
      <c r="L12662" s="200">
        <f t="shared" si="2413"/>
        <v>-0.24846416382252556</v>
      </c>
      <c r="M12662" s="70">
        <f>SUM(C12662,C12638,C12614,C12590,C12566,C12542,C12518)/POBLA!$B$13*100000</f>
        <v>110.63447514944697</v>
      </c>
      <c r="N12662" s="712" t="s">
        <v>17</v>
      </c>
      <c r="O12662" s="712">
        <v>5</v>
      </c>
      <c r="P12662" s="712">
        <v>13</v>
      </c>
      <c r="Q12662" s="712">
        <v>0</v>
      </c>
      <c r="R12662" s="712">
        <v>18</v>
      </c>
    </row>
    <row r="12663" spans="1:18" x14ac:dyDescent="0.25">
      <c r="A12663" s="367" t="s">
        <v>23</v>
      </c>
      <c r="B12663" s="2">
        <v>44420</v>
      </c>
      <c r="C12663" s="662">
        <v>154</v>
      </c>
      <c r="D12663" s="39">
        <f t="shared" si="2410"/>
        <v>32839</v>
      </c>
      <c r="E12663" s="662">
        <v>3</v>
      </c>
      <c r="F12663" s="39">
        <f t="shared" si="2409"/>
        <v>625</v>
      </c>
      <c r="G12663" s="168">
        <f>SUM(C12663,C12639,C12615,C12591,C12567,C12543,C12519,C12495,C12471,C12447,C12423,C12399,C12375,C12351)/POBLA!$B$14*100000</f>
        <v>183.5416643542267</v>
      </c>
      <c r="H12663" s="256">
        <f t="shared" si="2414"/>
        <v>0.95859213250517594</v>
      </c>
      <c r="I12663" s="297">
        <f t="shared" si="2415"/>
        <v>175.9415954368674</v>
      </c>
      <c r="J12663" s="422">
        <f t="shared" si="2412"/>
        <v>171.85714285714286</v>
      </c>
      <c r="K12663" s="297">
        <f>J12663/POBLA!$B$14*100000</f>
        <v>13.625462648450153</v>
      </c>
      <c r="L12663" s="200">
        <f t="shared" si="2413"/>
        <v>8.1834532374100766E-2</v>
      </c>
      <c r="M12663" s="70">
        <f>SUM(C12663,C12639,C12615,C12591,C12567,C12543,C12519)/POBLA!$B$14*100000</f>
        <v>95.378238539151056</v>
      </c>
      <c r="N12663" s="712" t="s">
        <v>23</v>
      </c>
      <c r="O12663" s="712">
        <v>0</v>
      </c>
      <c r="P12663" s="712">
        <v>3</v>
      </c>
      <c r="Q12663" s="712">
        <v>0</v>
      </c>
      <c r="R12663" s="712">
        <v>3</v>
      </c>
    </row>
    <row r="12664" spans="1:18" x14ac:dyDescent="0.25">
      <c r="A12664" s="367" t="s">
        <v>19</v>
      </c>
      <c r="B12664" s="2">
        <v>44420</v>
      </c>
      <c r="C12664" s="662">
        <v>237</v>
      </c>
      <c r="D12664" s="39">
        <f t="shared" si="2410"/>
        <v>110068</v>
      </c>
      <c r="E12664" s="662">
        <v>2</v>
      </c>
      <c r="F12664" s="39">
        <f t="shared" si="2409"/>
        <v>2092</v>
      </c>
      <c r="G12664" s="168">
        <f>SUM(C12664,C12640,C12616,C12592,C12568,C12544,C12520,C12496,C12472,C12448,C12424,C12400,C12376,C12352)/POBLA!$B$15*100000</f>
        <v>450.26255276278994</v>
      </c>
      <c r="H12664" s="256">
        <f t="shared" si="2414"/>
        <v>1.1037283130306386</v>
      </c>
      <c r="I12664" s="297">
        <f t="shared" si="2415"/>
        <v>496.967527781743</v>
      </c>
      <c r="J12664" s="422">
        <f t="shared" si="2412"/>
        <v>203.42857142857142</v>
      </c>
      <c r="K12664" s="297">
        <f>J12664/POBLA!$B$15*100000</f>
        <v>30.634203303115758</v>
      </c>
      <c r="L12664" s="200">
        <f t="shared" si="2413"/>
        <v>-9.0676883780332007E-2</v>
      </c>
      <c r="M12664" s="70">
        <f>SUM(C12664,C12640,C12616,C12592,C12568,C12544,C12520)/POBLA!$B$15*100000</f>
        <v>214.43942312181034</v>
      </c>
      <c r="N12664" s="712" t="s">
        <v>19</v>
      </c>
      <c r="O12664" s="712">
        <v>0</v>
      </c>
      <c r="P12664" s="712">
        <v>2</v>
      </c>
      <c r="Q12664" s="712">
        <v>0</v>
      </c>
      <c r="R12664" s="712">
        <v>2</v>
      </c>
    </row>
    <row r="12665" spans="1:18" x14ac:dyDescent="0.25">
      <c r="A12665" s="367" t="s">
        <v>18</v>
      </c>
      <c r="B12665" s="2">
        <v>44420</v>
      </c>
      <c r="C12665" s="662">
        <v>370</v>
      </c>
      <c r="D12665" s="39">
        <f t="shared" si="2410"/>
        <v>95464</v>
      </c>
      <c r="E12665" s="662">
        <v>6</v>
      </c>
      <c r="F12665" s="39">
        <f t="shared" si="2409"/>
        <v>2162</v>
      </c>
      <c r="G12665" s="168">
        <f>SUM(C12665,C12641,C12617,C12593,C12569,C12545,C12521,C12497,C12473,C12449,C12425,C12401,C12377,C12353)/POBLA!$B$16*100000</f>
        <v>497.31812041037438</v>
      </c>
      <c r="H12665" s="256">
        <f t="shared" si="2414"/>
        <v>0.89720077220077221</v>
      </c>
      <c r="I12665" s="297">
        <f t="shared" si="2415"/>
        <v>446.1942016616245</v>
      </c>
      <c r="J12665" s="422">
        <f t="shared" si="2412"/>
        <v>240.42857142857142</v>
      </c>
      <c r="K12665" s="297">
        <f>J12665/POBLA!$B$16*100000</f>
        <v>32.159624861702142</v>
      </c>
      <c r="L12665" s="200">
        <f t="shared" si="2413"/>
        <v>-0.17297297297297298</v>
      </c>
      <c r="M12665" s="70">
        <f>SUM(C12665,C12641,C12617,C12593,C12569,C12545,C12521)/POBLA!$B$16*100000</f>
        <v>225.11737403191501</v>
      </c>
      <c r="N12665" s="712" t="s">
        <v>18</v>
      </c>
      <c r="O12665" s="712">
        <v>2</v>
      </c>
      <c r="P12665" s="712">
        <v>4</v>
      </c>
      <c r="Q12665" s="712">
        <v>0</v>
      </c>
      <c r="R12665" s="712">
        <v>6</v>
      </c>
    </row>
    <row r="12666" spans="1:18" x14ac:dyDescent="0.25">
      <c r="A12666" s="367" t="s">
        <v>34</v>
      </c>
      <c r="B12666" s="2">
        <v>44420</v>
      </c>
      <c r="C12666" s="662">
        <v>341</v>
      </c>
      <c r="D12666" s="39">
        <f>C12666+D12642</f>
        <v>78757</v>
      </c>
      <c r="E12666" s="662">
        <v>13</v>
      </c>
      <c r="F12666" s="39">
        <f t="shared" si="2409"/>
        <v>2194</v>
      </c>
      <c r="G12666" s="168">
        <f>SUM(C12666,C12642,C12618,C12594,C12570,C12546,C12522,C12498,C12474,C12450,C12426,C12402,C12378,C12354)/POBLA!$B$17*100000</f>
        <v>289.1749982624226</v>
      </c>
      <c r="H12666" s="256">
        <f t="shared" si="2414"/>
        <v>0.76080531954192832</v>
      </c>
      <c r="I12666" s="297">
        <f t="shared" si="2415"/>
        <v>220.00587695657899</v>
      </c>
      <c r="J12666" s="422">
        <f t="shared" si="2412"/>
        <v>275.85714285714283</v>
      </c>
      <c r="K12666" s="297">
        <f>J12666/POBLA!$B$17*100000</f>
        <v>19.366591115899769</v>
      </c>
      <c r="L12666" s="200">
        <f t="shared" si="2413"/>
        <v>-0.11745886654478976</v>
      </c>
      <c r="M12666" s="70">
        <f>SUM(C12666,C12642,C12618,C12594,C12570,C12546,C12522)/POBLA!$B$17*100000</f>
        <v>135.5661378112984</v>
      </c>
      <c r="N12666" s="712" t="s">
        <v>34</v>
      </c>
      <c r="O12666" s="712">
        <v>7</v>
      </c>
      <c r="P12666" s="712">
        <v>6</v>
      </c>
      <c r="Q12666" s="712">
        <v>0</v>
      </c>
      <c r="R12666" s="712">
        <v>13</v>
      </c>
    </row>
    <row r="12667" spans="1:18" x14ac:dyDescent="0.25">
      <c r="A12667" s="367" t="s">
        <v>35</v>
      </c>
      <c r="B12667" s="2">
        <v>44420</v>
      </c>
      <c r="C12667" s="662">
        <v>325</v>
      </c>
      <c r="D12667" s="39">
        <f t="shared" ref="D12667:D12673" si="2416">C12667+D12643</f>
        <v>63507</v>
      </c>
      <c r="E12667" s="662">
        <v>6</v>
      </c>
      <c r="F12667" s="39">
        <f t="shared" si="2409"/>
        <v>997</v>
      </c>
      <c r="G12667" s="168">
        <f>SUM(C12667,C12643,C12619,C12595,C12571,C12547,C12523,C12499,C12475,C12451,C12427,C12403,C12379,C12355)/POBLA!$B$18*100000</f>
        <v>422.41784292968538</v>
      </c>
      <c r="H12667" s="256">
        <f t="shared" si="2414"/>
        <v>0.77628793225123505</v>
      </c>
      <c r="I12667" s="297">
        <f t="shared" si="2415"/>
        <v>327.91787383391244</v>
      </c>
      <c r="J12667" s="422">
        <f t="shared" si="2412"/>
        <v>208.42857142857142</v>
      </c>
      <c r="K12667" s="297">
        <f>J12667/POBLA!$B$18*100000</f>
        <v>26.679984105385756</v>
      </c>
      <c r="L12667" s="200">
        <f t="shared" si="2413"/>
        <v>-0.20749592612710488</v>
      </c>
      <c r="M12667" s="70">
        <f>SUM(C12667,C12643,C12619,C12595,C12571,C12547,C12523)/POBLA!$B$18*100000</f>
        <v>186.75988873770029</v>
      </c>
      <c r="N12667" s="712" t="s">
        <v>35</v>
      </c>
      <c r="O12667" s="712">
        <v>3</v>
      </c>
      <c r="P12667" s="712">
        <v>3</v>
      </c>
      <c r="Q12667" s="712">
        <v>0</v>
      </c>
      <c r="R12667" s="712">
        <v>6</v>
      </c>
    </row>
    <row r="12668" spans="1:18" x14ac:dyDescent="0.25">
      <c r="A12668" s="367" t="s">
        <v>36</v>
      </c>
      <c r="B12668" s="2">
        <v>44420</v>
      </c>
      <c r="C12668" s="662">
        <v>249</v>
      </c>
      <c r="D12668" s="39">
        <f t="shared" si="2416"/>
        <v>77697</v>
      </c>
      <c r="E12668" s="662">
        <v>8</v>
      </c>
      <c r="F12668" s="39">
        <f t="shared" si="2409"/>
        <v>1300</v>
      </c>
      <c r="G12668" s="168">
        <f>SUM(C12668,C12644,C12620,C12596,C12572,C12548,C12524,C12500,C12476,C12452,C12428,C12404,C12380,C12356)/POBLA!$B$19*100000</f>
        <v>648.40024551077261</v>
      </c>
      <c r="H12668" s="256">
        <f t="shared" si="2414"/>
        <v>0.89833742164077401</v>
      </c>
      <c r="I12668" s="297">
        <f t="shared" si="2415"/>
        <v>582.48220474339234</v>
      </c>
      <c r="J12668" s="422">
        <f t="shared" si="2412"/>
        <v>212.71428571428572</v>
      </c>
      <c r="K12668" s="297">
        <f>J12668/POBLA!$B$19*100000</f>
        <v>41.845872293929453</v>
      </c>
      <c r="L12668" s="200">
        <f t="shared" si="2413"/>
        <v>-0.1759822910902048</v>
      </c>
      <c r="M12668" s="70">
        <f>SUM(C12668,C12644,C12620,C12596,C12572,C12548,C12524)/POBLA!$B$19*100000</f>
        <v>292.92110605750617</v>
      </c>
      <c r="N12668" s="712" t="s">
        <v>36</v>
      </c>
      <c r="O12668" s="712">
        <v>3</v>
      </c>
      <c r="P12668" s="712">
        <v>5</v>
      </c>
      <c r="Q12668" s="712">
        <v>0</v>
      </c>
      <c r="R12668" s="712">
        <v>8</v>
      </c>
    </row>
    <row r="12669" spans="1:18" x14ac:dyDescent="0.25">
      <c r="A12669" s="367" t="s">
        <v>37</v>
      </c>
      <c r="B12669" s="2">
        <v>44420</v>
      </c>
      <c r="C12669" s="662">
        <v>79</v>
      </c>
      <c r="D12669" s="39">
        <f t="shared" si="2416"/>
        <v>58567</v>
      </c>
      <c r="E12669" s="662">
        <v>1</v>
      </c>
      <c r="F12669" s="39">
        <f>E12669+F12645</f>
        <v>975</v>
      </c>
      <c r="G12669" s="168">
        <f>SUM(C12669,C12645,C12622,C12597,C12573,C12549,C12525,C12501,C12477,C12453,C12429,C12405,C12381,C12357)/POBLA!$B$20*100000</f>
        <v>460.21580648513253</v>
      </c>
      <c r="H12669" s="256">
        <f t="shared" si="2414"/>
        <v>0.93485714285714283</v>
      </c>
      <c r="I12669" s="297">
        <f t="shared" si="2415"/>
        <v>430.23603394838676</v>
      </c>
      <c r="J12669" s="422">
        <f t="shared" si="2412"/>
        <v>55.142857142857146</v>
      </c>
      <c r="K12669" s="297">
        <f>J12669/POBLA!$B$20*100000</f>
        <v>15.078796477655645</v>
      </c>
      <c r="L12669" s="200">
        <f t="shared" si="2413"/>
        <v>-0.10648148148148151</v>
      </c>
      <c r="M12669" s="70">
        <f>SUM(C12669,C12645,C12621,C12597,C12573,C12549,C12525)/POBLA!$B$20*100000</f>
        <v>105.55157534358952</v>
      </c>
      <c r="N12669" s="712" t="s">
        <v>37</v>
      </c>
      <c r="O12669" s="712">
        <v>1</v>
      </c>
      <c r="P12669" s="712">
        <v>0</v>
      </c>
      <c r="Q12669" s="712">
        <v>0</v>
      </c>
      <c r="R12669" s="712">
        <v>1</v>
      </c>
    </row>
    <row r="12670" spans="1:18" x14ac:dyDescent="0.25">
      <c r="A12670" s="367" t="s">
        <v>22</v>
      </c>
      <c r="B12670" s="2">
        <v>44420</v>
      </c>
      <c r="C12670" s="662">
        <v>900</v>
      </c>
      <c r="D12670" s="39">
        <f t="shared" si="2416"/>
        <v>457829</v>
      </c>
      <c r="E12670" s="662">
        <v>25</v>
      </c>
      <c r="F12670" s="39">
        <f>E12670+F12646</f>
        <v>8086</v>
      </c>
      <c r="G12670" s="168">
        <f>SUM(C12670,C12646,C12622,C12598,C12574,C12550,C12526,C12502,C12478,C12454,C12430,C12406,C12382,C12358)/POBLA!$B$21*100000</f>
        <v>351.23110446785421</v>
      </c>
      <c r="H12670" s="256">
        <f t="shared" si="2414"/>
        <v>0.73974152819963079</v>
      </c>
      <c r="I12670" s="297">
        <f t="shared" si="2415"/>
        <v>259.82023397029462</v>
      </c>
      <c r="J12670" s="422">
        <f t="shared" si="2412"/>
        <v>797.57142857142856</v>
      </c>
      <c r="K12670" s="297">
        <f>J12670/POBLA!$B$21*100000</f>
        <v>22.55308700983392</v>
      </c>
      <c r="L12670" s="200">
        <f t="shared" si="2413"/>
        <v>-0.18353319684118163</v>
      </c>
      <c r="M12670" s="70">
        <f>SUM(C12670,C12646,C12622,C12598,C12574,C12550,C12526)/POBLA!$B$21*100000</f>
        <v>157.87160906883744</v>
      </c>
      <c r="N12670" s="712" t="s">
        <v>22</v>
      </c>
      <c r="O12670" s="712">
        <v>10</v>
      </c>
      <c r="P12670" s="712">
        <v>15</v>
      </c>
      <c r="Q12670" s="712">
        <v>0</v>
      </c>
      <c r="R12670" s="712">
        <v>25</v>
      </c>
    </row>
    <row r="12671" spans="1:18" x14ac:dyDescent="0.25">
      <c r="A12671" s="367" t="s">
        <v>38</v>
      </c>
      <c r="B12671" s="2">
        <v>44420</v>
      </c>
      <c r="C12671" s="662">
        <v>249</v>
      </c>
      <c r="D12671" s="39">
        <f t="shared" si="2416"/>
        <v>77049</v>
      </c>
      <c r="E12671" s="662">
        <v>3</v>
      </c>
      <c r="F12671" s="39">
        <f>E12671+F12647</f>
        <v>1104</v>
      </c>
      <c r="G12671" s="168">
        <f>SUM(C12671,C12647,C12623,C12599,C12575,C12551,C12527,C12503,C12479,C12455,C12431,C12407,C12383,C12359)/POBLA!$B$22*100000</f>
        <v>432.888042988287</v>
      </c>
      <c r="H12671" s="256">
        <f t="shared" si="2414"/>
        <v>0.84345747858992237</v>
      </c>
      <c r="I12671" s="297">
        <f t="shared" si="2415"/>
        <v>365.1226572506265</v>
      </c>
      <c r="J12671" s="422">
        <f t="shared" si="2412"/>
        <v>254.85714285714286</v>
      </c>
      <c r="K12671" s="297">
        <f>J12671/POBLA!$B$22*100000</f>
        <v>26.050675280522984</v>
      </c>
      <c r="L12671" s="200">
        <f t="shared" si="2413"/>
        <v>-0.27213382292941657</v>
      </c>
      <c r="M12671" s="70">
        <f>SUM(C12671,C12647,C12623,C12599,C12575,C12551,C12527)/POBLA!$B$22*100000</f>
        <v>182.35472696366091</v>
      </c>
      <c r="N12671" s="712" t="s">
        <v>38</v>
      </c>
      <c r="O12671" s="712">
        <v>1</v>
      </c>
      <c r="P12671" s="712">
        <v>2</v>
      </c>
      <c r="Q12671" s="712">
        <v>0</v>
      </c>
      <c r="R12671" s="712">
        <v>3</v>
      </c>
    </row>
    <row r="12672" spans="1:18" x14ac:dyDescent="0.25">
      <c r="A12672" s="367" t="s">
        <v>39</v>
      </c>
      <c r="B12672" s="2">
        <v>44420</v>
      </c>
      <c r="C12672" s="662">
        <v>47</v>
      </c>
      <c r="D12672" s="39">
        <f t="shared" si="2416"/>
        <v>31686</v>
      </c>
      <c r="E12672" s="662"/>
      <c r="F12672" s="39">
        <f>E12672+F12648</f>
        <v>499</v>
      </c>
      <c r="G12672" s="168">
        <f>SUM(C12672,C12648,C12624,C12600,C12576,C12552,C12528,C12504,C12480,C12456,C12432,C12408,C12384,C12360)/POBLA!$B$23*100000</f>
        <v>328.56415766555449</v>
      </c>
      <c r="H12672" s="256">
        <f t="shared" si="2414"/>
        <v>0.86846038863976083</v>
      </c>
      <c r="I12672" s="297">
        <f t="shared" si="2415"/>
        <v>285.34495605932312</v>
      </c>
      <c r="J12672" s="422">
        <f t="shared" si="2412"/>
        <v>34.857142857142854</v>
      </c>
      <c r="K12672" s="297">
        <f>J12672/POBLA!$B$23*100000</f>
        <v>19.712233703072361</v>
      </c>
      <c r="L12672" s="200">
        <f t="shared" si="2413"/>
        <v>-0.27596439169139464</v>
      </c>
      <c r="M12672" s="70">
        <f>SUM(C12672,C12648,C12624,C12600,C12576,C12552,C12528)/POBLA!$B$23*100000</f>
        <v>137.98563592150654</v>
      </c>
    </row>
    <row r="12673" spans="1:18" ht="15.75" thickBot="1" x14ac:dyDescent="0.3">
      <c r="A12673" s="369" t="s">
        <v>40</v>
      </c>
      <c r="B12673" s="2">
        <v>44420</v>
      </c>
      <c r="C12673" s="662">
        <v>994</v>
      </c>
      <c r="D12673" s="176">
        <f t="shared" si="2416"/>
        <v>189178</v>
      </c>
      <c r="E12673" s="662">
        <v>12</v>
      </c>
      <c r="F12673" s="176">
        <f>E12673+F12649</f>
        <v>2676</v>
      </c>
      <c r="G12673" s="177">
        <f>SUM(C12673,C12649,C12625,C12601,C12577,C12553,C12529,C12505,C12481,C12457,C12433,C12409,C12385,C12361)/POBLA!$B$24*100000</f>
        <v>553.38664602137544</v>
      </c>
      <c r="H12673" s="402">
        <f t="shared" si="2414"/>
        <v>0.97131020196789231</v>
      </c>
      <c r="I12673" s="403">
        <f t="shared" si="2415"/>
        <v>537.51009491335674</v>
      </c>
      <c r="J12673" s="423">
        <f t="shared" si="2412"/>
        <v>676.14285714285711</v>
      </c>
      <c r="K12673" s="403">
        <f>J12673/POBLA!$B$24*100000</f>
        <v>39.898531450799283</v>
      </c>
      <c r="L12673" s="404">
        <f t="shared" si="2413"/>
        <v>1.8945102260495172E-2</v>
      </c>
      <c r="M12673" s="704">
        <f>SUM(C12673,C12649,C12625,C12601,C12577,C12553,C12529)/POBLA!$B$24*100000</f>
        <v>279.28972015559498</v>
      </c>
      <c r="N12673" s="712" t="s">
        <v>40</v>
      </c>
      <c r="O12673" s="712">
        <v>6</v>
      </c>
      <c r="P12673" s="712">
        <v>6</v>
      </c>
      <c r="Q12673" s="712">
        <v>0</v>
      </c>
      <c r="R12673" s="712">
        <v>12</v>
      </c>
    </row>
    <row r="12674" spans="1:18" x14ac:dyDescent="0.25">
      <c r="A12674" s="363" t="s">
        <v>16</v>
      </c>
      <c r="B12674" s="2">
        <v>44421</v>
      </c>
      <c r="C12674" s="662">
        <v>1999</v>
      </c>
      <c r="D12674" s="174">
        <f>C12674+D12650</f>
        <v>2010768</v>
      </c>
      <c r="E12674" s="662">
        <v>74</v>
      </c>
      <c r="F12674" s="174">
        <f t="shared" ref="F12674:F12692" si="2417">E12674+F12650</f>
        <v>53085</v>
      </c>
      <c r="G12674" s="175">
        <f>SUM(C12674,C12650,C12602,C12626,C12578,C12554,C12530,C12506,C12482,C12458,C12434,C12410,C12386,C12362)/POBLA!$B$1*100000</f>
        <v>221.16577251160572</v>
      </c>
      <c r="H12674" s="300">
        <f t="shared" si="2414"/>
        <v>0.7812437069555761</v>
      </c>
      <c r="I12674" s="301">
        <f>G12674*H12674</f>
        <v>172.78436796866052</v>
      </c>
      <c r="J12674" s="421">
        <f>AVERAGE(C12674,C12650,C12626,C12602,C12578,C12554,C12530)</f>
        <v>2435.1428571428573</v>
      </c>
      <c r="K12674" s="301">
        <f>J12674/POBLA!$B$1*100000</f>
        <v>13.882465554223968</v>
      </c>
      <c r="L12674" s="399">
        <f>(SUM(C12674,C12650,C12626,C12602,C12578,C12554,C12530)/SUM(C12506,C12482,C12458,C12434,C12410,C12386,C12362))-1</f>
        <v>-0.21623982711848821</v>
      </c>
      <c r="M12674" s="567">
        <f>SUM(C12674,C12650,C12626,C12602,C12578,C12554,C12530)/POBLA!$B$1*100000</f>
        <v>97.177258879567759</v>
      </c>
      <c r="N12674" s="42" t="s">
        <v>319</v>
      </c>
      <c r="O12674" s="42">
        <v>34</v>
      </c>
      <c r="P12674" s="42">
        <v>40</v>
      </c>
      <c r="Q12674" s="42">
        <v>0</v>
      </c>
      <c r="R12674" s="42">
        <v>74</v>
      </c>
    </row>
    <row r="12675" spans="1:18" x14ac:dyDescent="0.25">
      <c r="A12675" s="367" t="s">
        <v>43</v>
      </c>
      <c r="B12675" s="2">
        <v>44421</v>
      </c>
      <c r="C12675" s="662">
        <v>458</v>
      </c>
      <c r="D12675" s="39">
        <f t="shared" ref="D12675:D12689" si="2418">C12675+D12651</f>
        <v>500242</v>
      </c>
      <c r="E12675" s="662">
        <v>10</v>
      </c>
      <c r="F12675" s="39">
        <f t="shared" si="2417"/>
        <v>11017</v>
      </c>
      <c r="G12675" s="168">
        <f>SUM(C12675,C12651,C12627,C12603,C12579,C12555,C12531,C12507,C12483,C12459,C12435,C12411,C12387,C12363)/POBLA!$B$2*100000</f>
        <v>303.93614869851729</v>
      </c>
      <c r="H12675" s="256">
        <f t="shared" si="2414"/>
        <v>0.88388804841149771</v>
      </c>
      <c r="I12675" s="297">
        <f t="shared" ref="I12675:I12681" si="2419">G12675*H12675</f>
        <v>268.64552931483922</v>
      </c>
      <c r="J12675" s="422">
        <f>AVERAGE(C12675,C12651,C12627,C12603,C12579,C12555,C12531)</f>
        <v>609.14285714285711</v>
      </c>
      <c r="K12675" s="297">
        <f>J12675/POBLA!$B$2*100000</f>
        <v>19.80536307308634</v>
      </c>
      <c r="L12675" s="200">
        <f>(SUM(C12675,C12651,C12627,C12603,C12579,C12555,C12531)/SUM(C12507,C12483,C12459,C12435,C12411,C12387,C12363))-1</f>
        <v>-0.16129032258064513</v>
      </c>
      <c r="M12675" s="70">
        <f>SUM(C12675,C12651,C12627,C12603,C12579,C12555,C12531)/POBLA!$B$2*100000</f>
        <v>138.63754151160441</v>
      </c>
      <c r="N12675" s="42" t="s">
        <v>43</v>
      </c>
      <c r="O12675" s="42">
        <v>7</v>
      </c>
      <c r="P12675" s="42">
        <v>3</v>
      </c>
      <c r="Q12675" s="42">
        <v>0</v>
      </c>
      <c r="R12675" s="42">
        <v>10</v>
      </c>
    </row>
    <row r="12676" spans="1:18" x14ac:dyDescent="0.25">
      <c r="A12676" s="367" t="s">
        <v>28</v>
      </c>
      <c r="B12676" s="2">
        <v>44421</v>
      </c>
      <c r="C12676" s="662">
        <v>243</v>
      </c>
      <c r="D12676" s="39">
        <f t="shared" si="2418"/>
        <v>45333</v>
      </c>
      <c r="E12676" s="662"/>
      <c r="F12676" s="39">
        <f t="shared" si="2417"/>
        <v>516</v>
      </c>
      <c r="G12676" s="168">
        <f>SUM(C12676,C12652,C12628,C12604,C12580,C12556,C12532,C12508,C12484,C12460,C12436,C12412,C12388,C12364)/POBLA!$B$3*100000</f>
        <v>766.42001935306837</v>
      </c>
      <c r="H12676" s="256">
        <f t="shared" si="2414"/>
        <v>0.90815744438106105</v>
      </c>
      <c r="I12676" s="297">
        <f t="shared" si="2419"/>
        <v>696.03004609816594</v>
      </c>
      <c r="J12676" s="422">
        <f t="shared" ref="J12676:J12697" si="2420">AVERAGE(C12676,C12652,C12628,C12604,C12580,C12556,C12532)</f>
        <v>212.42857142857142</v>
      </c>
      <c r="K12676" s="297">
        <f>J12676/POBLA!$B$3*100000</f>
        <v>51.133640020549734</v>
      </c>
      <c r="L12676" s="200">
        <f t="shared" ref="L12676:L12697" si="2421">(SUM(C12676,C12652,C12628,C12604,C12580,C12556,C12532)/SUM(C12508,C12484,C12460,C12436,C12412,C12388,C12364))-1</f>
        <v>-0.12374779021803184</v>
      </c>
      <c r="M12676" s="70">
        <f>SUM(C12676,C12652,C12628,C12604,C12580,C12556,C12532)/POBLA!$B$3*100000</f>
        <v>357.93548014384817</v>
      </c>
    </row>
    <row r="12677" spans="1:18" x14ac:dyDescent="0.25">
      <c r="A12677" s="367" t="s">
        <v>15</v>
      </c>
      <c r="B12677" s="2">
        <v>44421</v>
      </c>
      <c r="C12677" s="662">
        <v>190</v>
      </c>
      <c r="D12677" s="39">
        <f t="shared" si="2418"/>
        <v>95933</v>
      </c>
      <c r="E12677" s="662">
        <v>9</v>
      </c>
      <c r="F12677" s="39">
        <f t="shared" si="2417"/>
        <v>2120</v>
      </c>
      <c r="G12677" s="168">
        <f>SUM(C12677,C12653,C12629,C12605,C12581,C12557,C12533,C12509,C12485,C12461,C12437,C12413,C12389,C12365)/POBLA!$B$4*100000</f>
        <v>404.38640112706832</v>
      </c>
      <c r="H12677" s="256">
        <f t="shared" si="2414"/>
        <v>0.87607913669064752</v>
      </c>
      <c r="I12677" s="297">
        <f t="shared" si="2419"/>
        <v>354.27448918883994</v>
      </c>
      <c r="J12677" s="422">
        <f t="shared" si="2420"/>
        <v>295</v>
      </c>
      <c r="K12677" s="297">
        <f>J12677/POBLA!$B$4*100000</f>
        <v>24.490656606956513</v>
      </c>
      <c r="L12677" s="200">
        <f t="shared" si="2421"/>
        <v>-0.26407697790449036</v>
      </c>
      <c r="M12677" s="70">
        <f>SUM(C12677,C12653,C12629,C12605,C12581,C12557,C12533)/POBLA!$B$4*100000</f>
        <v>171.43459624869556</v>
      </c>
      <c r="N12677" s="42" t="s">
        <v>15</v>
      </c>
      <c r="O12677" s="42">
        <v>4</v>
      </c>
      <c r="P12677" s="42">
        <v>5</v>
      </c>
      <c r="Q12677" s="42">
        <v>0</v>
      </c>
      <c r="R12677" s="42">
        <v>9</v>
      </c>
    </row>
    <row r="12678" spans="1:18" x14ac:dyDescent="0.25">
      <c r="A12678" s="367" t="s">
        <v>29</v>
      </c>
      <c r="B12678" s="2">
        <v>44421</v>
      </c>
      <c r="C12678" s="662">
        <v>124</v>
      </c>
      <c r="D12678" s="39">
        <f t="shared" si="2418"/>
        <v>78780</v>
      </c>
      <c r="E12678" s="662">
        <v>1</v>
      </c>
      <c r="F12678" s="39">
        <f t="shared" si="2417"/>
        <v>1370</v>
      </c>
      <c r="G12678" s="168">
        <f>SUM(C12678,C12654,C12630,C12606,C12582,C12558,C12534,C12510,C12486,C12462,C12438,C12414,C12390,C12366)/POBLA!$B$5*100000</f>
        <v>417.12843743234993</v>
      </c>
      <c r="H12678" s="256">
        <f t="shared" si="2414"/>
        <v>1.0233848592944907</v>
      </c>
      <c r="I12678" s="297">
        <f t="shared" si="2419"/>
        <v>426.88292724943619</v>
      </c>
      <c r="J12678" s="422">
        <f t="shared" si="2420"/>
        <v>186.28571428571428</v>
      </c>
      <c r="K12678" s="297">
        <f>J12678/POBLA!$B$5*100000</f>
        <v>30.094914374891243</v>
      </c>
      <c r="L12678" s="200">
        <f t="shared" si="2421"/>
        <v>2.0344287949921824E-2</v>
      </c>
      <c r="M12678" s="70">
        <f>SUM(C12678,C12654,C12630,C12606,C12582,C12558,C12534)/POBLA!$B$5*100000</f>
        <v>210.66440062423868</v>
      </c>
      <c r="N12678" s="42" t="s">
        <v>29</v>
      </c>
      <c r="O12678" s="42">
        <v>1</v>
      </c>
      <c r="P12678" s="42">
        <v>0</v>
      </c>
      <c r="Q12678" s="42">
        <v>0</v>
      </c>
      <c r="R12678" s="42">
        <v>1</v>
      </c>
    </row>
    <row r="12679" spans="1:18" x14ac:dyDescent="0.25">
      <c r="A12679" s="367" t="s">
        <v>30</v>
      </c>
      <c r="B12679" s="2">
        <v>44421</v>
      </c>
      <c r="C12679" s="662">
        <v>726</v>
      </c>
      <c r="D12679" s="39">
        <f t="shared" si="2418"/>
        <v>456522</v>
      </c>
      <c r="E12679" s="662">
        <v>9</v>
      </c>
      <c r="F12679" s="39">
        <f t="shared" si="2417"/>
        <v>6005</v>
      </c>
      <c r="G12679" s="168">
        <f>SUM(C12679,C12655,C12631,C12607,C12583,C12559,C12535,C12511,C12487,C12463,C12439,C12415,C12391,C12367)/POBLA!$B$6*100000</f>
        <v>729.74595847077228</v>
      </c>
      <c r="H12679" s="256">
        <f t="shared" si="2414"/>
        <v>1.2581141362867252</v>
      </c>
      <c r="I12679" s="297">
        <f t="shared" si="2419"/>
        <v>918.10370625018413</v>
      </c>
      <c r="J12679" s="422">
        <f t="shared" si="2420"/>
        <v>797.42857142857144</v>
      </c>
      <c r="K12679" s="297">
        <f>J12679/POBLA!$B$6*100000</f>
        <v>71.148095998180892</v>
      </c>
      <c r="L12679" s="200">
        <f t="shared" si="2421"/>
        <v>1.1494031574894108</v>
      </c>
      <c r="M12679" s="70">
        <f>SUM(C12679,C12655,C12631,C12607,C12583,C12559,C12535)/POBLA!$B$6*100000</f>
        <v>498.03667198726623</v>
      </c>
      <c r="N12679" s="42" t="s">
        <v>30</v>
      </c>
      <c r="O12679" s="42">
        <v>5</v>
      </c>
      <c r="P12679" s="42">
        <v>4</v>
      </c>
      <c r="Q12679" s="42">
        <v>0</v>
      </c>
      <c r="R12679" s="42">
        <v>9</v>
      </c>
    </row>
    <row r="12680" spans="1:18" x14ac:dyDescent="0.25">
      <c r="A12680" s="367" t="s">
        <v>20</v>
      </c>
      <c r="B12680" s="2">
        <v>44421</v>
      </c>
      <c r="C12680" s="662">
        <v>1371</v>
      </c>
      <c r="D12680" s="39">
        <f t="shared" si="2418"/>
        <v>122012</v>
      </c>
      <c r="E12680" s="662">
        <v>9</v>
      </c>
      <c r="F12680" s="39">
        <f t="shared" si="2417"/>
        <v>1366</v>
      </c>
      <c r="G12680" s="168">
        <f>SUM(C12680,C12656,C12632,C12608,C12584,C12560,C12536,C12512,C12488,C12464,C12440,C12416,C12392,C12368)/POBLA!$B$7*100000</f>
        <v>604.15641745003927</v>
      </c>
      <c r="H12680" s="256">
        <f t="shared" si="2414"/>
        <v>0.95110311047850293</v>
      </c>
      <c r="I12680" s="297">
        <f t="shared" si="2419"/>
        <v>574.61504785228124</v>
      </c>
      <c r="J12680" s="422">
        <f t="shared" si="2420"/>
        <v>1495.7142857142858</v>
      </c>
      <c r="K12680" s="297">
        <f>J12680/POBLA!$B$7*100000</f>
        <v>39.774874967471597</v>
      </c>
      <c r="L12680" s="200">
        <f t="shared" si="2421"/>
        <v>-0.1452363458241489</v>
      </c>
      <c r="M12680" s="70">
        <f>SUM(C12680,C12656,C12632,C12608,C12584,C12560,C12536)/POBLA!$B$7*100000</f>
        <v>278.42412477230118</v>
      </c>
      <c r="N12680" s="42" t="s">
        <v>20</v>
      </c>
      <c r="O12680" s="42">
        <v>2</v>
      </c>
      <c r="P12680" s="42">
        <v>7</v>
      </c>
      <c r="Q12680" s="42">
        <v>0</v>
      </c>
      <c r="R12680" s="42">
        <v>9</v>
      </c>
    </row>
    <row r="12681" spans="1:18" x14ac:dyDescent="0.25">
      <c r="A12681" s="367" t="s">
        <v>31</v>
      </c>
      <c r="B12681" s="2">
        <v>44421</v>
      </c>
      <c r="C12681" s="662">
        <v>268</v>
      </c>
      <c r="D12681" s="39">
        <f t="shared" si="2418"/>
        <v>131923</v>
      </c>
      <c r="E12681" s="662">
        <v>4</v>
      </c>
      <c r="F12681" s="39">
        <f t="shared" si="2417"/>
        <v>2247</v>
      </c>
      <c r="G12681" s="168">
        <f>SUM(C12681,C12657,C12633,C12609,C12585,C12561,C12537,C12513,C12489,C12465,C12441,C12417,C12393,C12369)/POBLA!$B$8*100000</f>
        <v>307.0793478315768</v>
      </c>
      <c r="H12681" s="256">
        <f t="shared" ref="H12681:H12704" si="2422">SUM(C12681,C12657,C12633,C12609,C12585,C12561,C12537,C12513,C12489,C12465,C12441,C12417,C12393,C12369,)/SUM(C12345,C12321,C12297,C12273,C12249,C12225,C12201,C12177,C12153,C12129,C12105,C12081,C12057,C12033)</f>
        <v>0.68845033969589131</v>
      </c>
      <c r="I12681" s="297">
        <f t="shared" si="2419"/>
        <v>211.40888132824182</v>
      </c>
      <c r="J12681" s="422">
        <f t="shared" si="2420"/>
        <v>270.14285714285717</v>
      </c>
      <c r="K12681" s="297">
        <f>J12681/POBLA!$B$8*100000</f>
        <v>19.491375092290273</v>
      </c>
      <c r="L12681" s="200">
        <f t="shared" si="2421"/>
        <v>-0.20042283298097252</v>
      </c>
      <c r="M12681" s="70">
        <f>SUM(C12681,C12657,C12633,C12609,C12585,C12561,C12537)/POBLA!$B$8*100000</f>
        <v>136.43962564603189</v>
      </c>
      <c r="N12681" s="42" t="s">
        <v>31</v>
      </c>
      <c r="O12681" s="42">
        <v>2</v>
      </c>
      <c r="P12681" s="42">
        <v>1</v>
      </c>
      <c r="Q12681" s="42">
        <v>1</v>
      </c>
      <c r="R12681" s="42">
        <v>4</v>
      </c>
    </row>
    <row r="12682" spans="1:18" x14ac:dyDescent="0.25">
      <c r="A12682" s="367" t="s">
        <v>41</v>
      </c>
      <c r="B12682" s="2">
        <v>44421</v>
      </c>
      <c r="C12682" s="662">
        <v>126</v>
      </c>
      <c r="D12682" s="39">
        <f t="shared" si="2418"/>
        <v>58747</v>
      </c>
      <c r="E12682" s="662">
        <v>8</v>
      </c>
      <c r="F12682" s="39">
        <f t="shared" si="2417"/>
        <v>1077</v>
      </c>
      <c r="G12682" s="168">
        <f>SUM(C12682,C12658,C12634,C12610,C12586,C12562,C12538,C12514,C12490,C12466,C12442,C12418,C12394,C12370)/POBLA!$B$9*100000</f>
        <v>482.65594611966759</v>
      </c>
      <c r="H12682" s="256">
        <f t="shared" si="2422"/>
        <v>0.80735212824765068</v>
      </c>
      <c r="I12682" s="297">
        <f>G12682*H12682</f>
        <v>389.67330531109707</v>
      </c>
      <c r="J12682" s="422">
        <f t="shared" si="2420"/>
        <v>202.85714285714286</v>
      </c>
      <c r="K12682" s="297">
        <f>J12682/POBLA!$B$9*100000</f>
        <v>33.519413287520322</v>
      </c>
      <c r="L12682" s="200">
        <f t="shared" si="2421"/>
        <v>-5.3964023984010678E-2</v>
      </c>
      <c r="M12682" s="70">
        <f>SUM(C12682,C12658,C12634,C12610,C12586,C12562,C12538)/POBLA!$B$9*100000</f>
        <v>234.63589301264221</v>
      </c>
      <c r="N12682" s="42" t="s">
        <v>41</v>
      </c>
      <c r="O12682" s="42">
        <v>0</v>
      </c>
      <c r="P12682" s="42">
        <v>8</v>
      </c>
      <c r="Q12682" s="42">
        <v>0</v>
      </c>
      <c r="R12682" s="42">
        <v>8</v>
      </c>
    </row>
    <row r="12683" spans="1:18" x14ac:dyDescent="0.25">
      <c r="A12683" s="367" t="s">
        <v>32</v>
      </c>
      <c r="B12683" s="2">
        <v>44421</v>
      </c>
      <c r="C12683" s="662">
        <v>117</v>
      </c>
      <c r="D12683" s="39">
        <f t="shared" si="2418"/>
        <v>45494</v>
      </c>
      <c r="E12683" s="662">
        <v>4</v>
      </c>
      <c r="F12683" s="39">
        <f t="shared" si="2417"/>
        <v>1375</v>
      </c>
      <c r="G12683" s="168">
        <f>SUM(C12683,C12659,C12635,C12611,C12587,C12563,C12539,C12515,C12491,C12467,C12443,C12419,C12395,C12371)/POBLA!$B$10*100000</f>
        <v>277.21529003828084</v>
      </c>
      <c r="H12683" s="256">
        <f t="shared" si="2422"/>
        <v>0.70621282220753467</v>
      </c>
      <c r="I12683" s="297">
        <f t="shared" ref="I12683:I12697" si="2423">G12683*H12683</f>
        <v>195.77299233701459</v>
      </c>
      <c r="J12683" s="422">
        <f t="shared" si="2420"/>
        <v>130.28571428571428</v>
      </c>
      <c r="K12683" s="297">
        <f>J12683/POBLA!$B$10*100000</f>
        <v>16.900885387720578</v>
      </c>
      <c r="L12683" s="200">
        <f t="shared" si="2421"/>
        <v>-0.25551020408163261</v>
      </c>
      <c r="M12683" s="70">
        <f>SUM(C12683,C12659,C12635,C12611,C12587,C12563,C12539)/POBLA!$B$10*100000</f>
        <v>118.30619771404406</v>
      </c>
      <c r="N12683" s="42" t="s">
        <v>32</v>
      </c>
      <c r="O12683" s="42">
        <v>1</v>
      </c>
      <c r="P12683" s="42">
        <v>3</v>
      </c>
      <c r="Q12683" s="42">
        <v>0</v>
      </c>
      <c r="R12683" s="42">
        <v>4</v>
      </c>
    </row>
    <row r="12684" spans="1:18" x14ac:dyDescent="0.25">
      <c r="A12684" s="367" t="s">
        <v>33</v>
      </c>
      <c r="B12684" s="2">
        <v>44421</v>
      </c>
      <c r="C12684" s="662">
        <v>150</v>
      </c>
      <c r="D12684" s="39">
        <f t="shared" si="2418"/>
        <v>64568</v>
      </c>
      <c r="E12684" s="662">
        <v>1</v>
      </c>
      <c r="F12684" s="39">
        <f t="shared" si="2417"/>
        <v>877</v>
      </c>
      <c r="G12684" s="168">
        <f>SUM(C12684,C12660,C12636,C12612,C12588,C12564,C12540,C12516,C12492,C12468,C12444,C12420,C12396,C12372)/POBLA!$B$11*100000</f>
        <v>919.57101565725895</v>
      </c>
      <c r="H12684" s="256">
        <f t="shared" si="2422"/>
        <v>0.85058064516129028</v>
      </c>
      <c r="I12684" s="297">
        <f t="shared" si="2423"/>
        <v>782.16930776937431</v>
      </c>
      <c r="J12684" s="422">
        <f t="shared" si="2420"/>
        <v>210</v>
      </c>
      <c r="K12684" s="297">
        <f>J12684/POBLA!$B$11*100000</f>
        <v>58.58917272088118</v>
      </c>
      <c r="L12684" s="200">
        <f t="shared" si="2421"/>
        <v>-0.19496166484118294</v>
      </c>
      <c r="M12684" s="70">
        <f>SUM(C12684,C12660,C12636,C12612,C12588,C12564,C12540)/POBLA!$B$11*100000</f>
        <v>410.12420904616829</v>
      </c>
      <c r="N12684" s="42" t="s">
        <v>33</v>
      </c>
      <c r="O12684" s="42">
        <v>0</v>
      </c>
      <c r="P12684" s="42">
        <v>1</v>
      </c>
      <c r="Q12684" s="42">
        <v>0</v>
      </c>
      <c r="R12684" s="42">
        <v>1</v>
      </c>
    </row>
    <row r="12685" spans="1:18" x14ac:dyDescent="0.25">
      <c r="A12685" s="367" t="s">
        <v>21</v>
      </c>
      <c r="B12685" s="2">
        <v>44421</v>
      </c>
      <c r="C12685" s="662">
        <v>144</v>
      </c>
      <c r="D12685" s="39">
        <f t="shared" si="2418"/>
        <v>30788</v>
      </c>
      <c r="E12685" s="662">
        <v>1</v>
      </c>
      <c r="F12685" s="39">
        <f t="shared" si="2417"/>
        <v>866</v>
      </c>
      <c r="G12685" s="168">
        <f>SUM(C12685,C12661,C12637,C12613,C12589,C12565,C12541,C12517,C12493,C12469,C12445,C12421,C12397,C12373)/POBLA!$B$12*100000</f>
        <v>672.62807758473923</v>
      </c>
      <c r="H12685" s="256">
        <f t="shared" si="2422"/>
        <v>0.94501963584434134</v>
      </c>
      <c r="I12685" s="297">
        <f t="shared" si="2423"/>
        <v>635.64674093780968</v>
      </c>
      <c r="J12685" s="422">
        <f t="shared" si="2420"/>
        <v>150</v>
      </c>
      <c r="K12685" s="297">
        <f>J12685/POBLA!$B$12*100000</f>
        <v>38.116438095092889</v>
      </c>
      <c r="L12685" s="200">
        <f t="shared" si="2421"/>
        <v>-0.34251721978710081</v>
      </c>
      <c r="M12685" s="70">
        <f>SUM(C12685,C12661,C12637,C12613,C12589,C12565,C12541)/POBLA!$B$12*100000</f>
        <v>266.81506666565025</v>
      </c>
      <c r="N12685" s="42" t="s">
        <v>21</v>
      </c>
      <c r="O12685" s="42">
        <v>1</v>
      </c>
      <c r="P12685" s="42">
        <v>0</v>
      </c>
      <c r="Q12685" s="42">
        <v>0</v>
      </c>
      <c r="R12685" s="42">
        <v>1</v>
      </c>
    </row>
    <row r="12686" spans="1:18" x14ac:dyDescent="0.25">
      <c r="A12686" s="367" t="s">
        <v>17</v>
      </c>
      <c r="B12686" s="2">
        <v>44421</v>
      </c>
      <c r="C12686" s="662">
        <v>250</v>
      </c>
      <c r="D12686" s="39">
        <f t="shared" si="2418"/>
        <v>158667</v>
      </c>
      <c r="E12686" s="662">
        <v>15</v>
      </c>
      <c r="F12686" s="39">
        <f t="shared" si="2417"/>
        <v>4104</v>
      </c>
      <c r="G12686" s="168">
        <f>SUM(C12686,C12662,C12638,C12614,C12590,C12566,C12542,C12518,C12494,C12470,C12446,C12422,C12398,C12374)/POBLA!$B$13*100000</f>
        <v>243.62696185271045</v>
      </c>
      <c r="H12686" s="256">
        <f t="shared" si="2422"/>
        <v>0.82988190997775113</v>
      </c>
      <c r="I12686" s="297">
        <f t="shared" si="2423"/>
        <v>202.18160842440406</v>
      </c>
      <c r="J12686" s="422">
        <f t="shared" si="2420"/>
        <v>295.28571428571428</v>
      </c>
      <c r="K12686" s="297">
        <f>J12686/POBLA!$B$13*100000</f>
        <v>14.835958228487538</v>
      </c>
      <c r="L12686" s="200">
        <f t="shared" si="2421"/>
        <v>-0.2570093457943925</v>
      </c>
      <c r="M12686" s="70">
        <f>SUM(C12686,C12662,C12638,C12614,C12590,C12566,C12542)/POBLA!$B$13*100000</f>
        <v>103.85170759941275</v>
      </c>
      <c r="N12686" s="42" t="s">
        <v>17</v>
      </c>
      <c r="O12686" s="42">
        <v>5</v>
      </c>
      <c r="P12686" s="42">
        <v>10</v>
      </c>
      <c r="Q12686" s="42">
        <v>0</v>
      </c>
      <c r="R12686" s="42">
        <v>15</v>
      </c>
    </row>
    <row r="12687" spans="1:18" x14ac:dyDescent="0.25">
      <c r="A12687" s="367" t="s">
        <v>23</v>
      </c>
      <c r="B12687" s="2">
        <v>44421</v>
      </c>
      <c r="C12687" s="662">
        <v>163</v>
      </c>
      <c r="D12687" s="39">
        <f t="shared" si="2418"/>
        <v>33002</v>
      </c>
      <c r="E12687" s="662">
        <v>2</v>
      </c>
      <c r="F12687" s="39">
        <f t="shared" si="2417"/>
        <v>627</v>
      </c>
      <c r="G12687" s="168">
        <f>SUM(C12687,C12663,C12639,C12615,C12591,C12567,C12543,C12519,C12495,C12471,C12447,C12423,C12399,C12375)/POBLA!$B$14*100000</f>
        <v>182.59026047852444</v>
      </c>
      <c r="H12687" s="256">
        <f t="shared" si="2422"/>
        <v>0.94929925803792248</v>
      </c>
      <c r="I12687" s="297">
        <f t="shared" si="2423"/>
        <v>173.33279879721425</v>
      </c>
      <c r="J12687" s="422">
        <f t="shared" si="2420"/>
        <v>163.14285714285714</v>
      </c>
      <c r="K12687" s="297">
        <f>J12687/POBLA!$B$14*100000</f>
        <v>12.934562214904465</v>
      </c>
      <c r="L12687" s="200">
        <f t="shared" si="2421"/>
        <v>-1.6365202411714019E-2</v>
      </c>
      <c r="M12687" s="70">
        <f>SUM(C12687,C12663,C12639,C12615,C12591,C12567,C12543)/POBLA!$B$14*100000</f>
        <v>90.541935504331263</v>
      </c>
      <c r="N12687" s="42" t="s">
        <v>23</v>
      </c>
      <c r="O12687" s="42">
        <v>2</v>
      </c>
      <c r="P12687" s="42">
        <v>0</v>
      </c>
      <c r="Q12687" s="42">
        <v>0</v>
      </c>
      <c r="R12687" s="42">
        <v>2</v>
      </c>
    </row>
    <row r="12688" spans="1:18" x14ac:dyDescent="0.25">
      <c r="A12688" s="367" t="s">
        <v>19</v>
      </c>
      <c r="B12688" s="2">
        <v>44421</v>
      </c>
      <c r="C12688" s="662">
        <v>93</v>
      </c>
      <c r="D12688" s="39">
        <f t="shared" si="2418"/>
        <v>110161</v>
      </c>
      <c r="E12688" s="662">
        <v>3</v>
      </c>
      <c r="F12688" s="39">
        <f t="shared" si="2417"/>
        <v>2095</v>
      </c>
      <c r="G12688" s="168">
        <f>SUM(C12688,C12664,C12640,C12616,C12592,C12568,C12544,C12520,C12496,C12472,C12448,C12424,C12400,C12376)/POBLA!$B$15*100000</f>
        <v>426.77059348820961</v>
      </c>
      <c r="H12688" s="256">
        <f t="shared" si="2422"/>
        <v>1.0384756320996702</v>
      </c>
      <c r="I12688" s="297">
        <f t="shared" si="2423"/>
        <v>443.19086183421985</v>
      </c>
      <c r="J12688" s="422">
        <f t="shared" si="2420"/>
        <v>184.42857142857142</v>
      </c>
      <c r="K12688" s="297">
        <f>J12688/POBLA!$B$15*100000</f>
        <v>27.773003135057898</v>
      </c>
      <c r="L12688" s="200">
        <f t="shared" si="2421"/>
        <v>-0.16331821127673363</v>
      </c>
      <c r="M12688" s="70">
        <f>SUM(C12688,C12664,C12640,C12616,C12592,C12568,C12544)/POBLA!$B$15*100000</f>
        <v>194.41102194540528</v>
      </c>
      <c r="N12688" s="42" t="s">
        <v>19</v>
      </c>
      <c r="O12688" s="42">
        <v>1</v>
      </c>
      <c r="P12688" s="42">
        <v>2</v>
      </c>
      <c r="Q12688" s="42">
        <v>0</v>
      </c>
      <c r="R12688" s="42">
        <v>3</v>
      </c>
    </row>
    <row r="12689" spans="1:18" x14ac:dyDescent="0.25">
      <c r="A12689" s="367" t="s">
        <v>18</v>
      </c>
      <c r="B12689" s="2">
        <v>44421</v>
      </c>
      <c r="C12689" s="662">
        <v>311</v>
      </c>
      <c r="D12689" s="39">
        <f t="shared" si="2418"/>
        <v>95775</v>
      </c>
      <c r="E12689" s="662">
        <v>3</v>
      </c>
      <c r="F12689" s="39">
        <f t="shared" si="2417"/>
        <v>2165</v>
      </c>
      <c r="G12689" s="168">
        <f>SUM(C12689,C12665,C12641,C12617,C12593,C12569,C12545,C12521,C12497,C12473,C12449,C12425,C12401,C12377)/POBLA!$B$16*100000</f>
        <v>492.23525635023606</v>
      </c>
      <c r="H12689" s="256">
        <f t="shared" si="2422"/>
        <v>0.88334133461353814</v>
      </c>
      <c r="I12689" s="297">
        <f t="shared" si="2423"/>
        <v>434.81174828825459</v>
      </c>
      <c r="J12689" s="422">
        <f t="shared" si="2420"/>
        <v>251.42857142857142</v>
      </c>
      <c r="K12689" s="297">
        <f>J12689/POBLA!$B$16*100000</f>
        <v>33.63098024753166</v>
      </c>
      <c r="L12689" s="200">
        <f t="shared" si="2421"/>
        <v>-8.333333333333337E-2</v>
      </c>
      <c r="M12689" s="70">
        <f>SUM(C12689,C12665,C12641,C12617,C12593,C12569,C12545)/POBLA!$B$16*100000</f>
        <v>235.4168617327216</v>
      </c>
      <c r="N12689" s="42" t="s">
        <v>18</v>
      </c>
      <c r="O12689" s="42">
        <v>1</v>
      </c>
      <c r="P12689" s="42">
        <v>1</v>
      </c>
      <c r="Q12689" s="42">
        <v>1</v>
      </c>
      <c r="R12689" s="42">
        <v>3</v>
      </c>
    </row>
    <row r="12690" spans="1:18" x14ac:dyDescent="0.25">
      <c r="A12690" s="367" t="s">
        <v>34</v>
      </c>
      <c r="B12690" s="2">
        <v>44421</v>
      </c>
      <c r="C12690" s="662">
        <v>246</v>
      </c>
      <c r="D12690" s="39">
        <f>C12690+D12666</f>
        <v>79003</v>
      </c>
      <c r="E12690" s="662">
        <v>13</v>
      </c>
      <c r="F12690" s="39">
        <f t="shared" si="2417"/>
        <v>2207</v>
      </c>
      <c r="G12690" s="168">
        <f>SUM(C12690,C12666,C12642,C12618,C12594,C12570,C12546,C12522,C12498,C12474,C12450,C12426,C12402,C12378)/POBLA!$B$17*100000</f>
        <v>280.46956010157277</v>
      </c>
      <c r="H12690" s="256">
        <f t="shared" si="2422"/>
        <v>0.77452500969367977</v>
      </c>
      <c r="I12690" s="297">
        <f t="shared" si="2423"/>
        <v>217.23068875645274</v>
      </c>
      <c r="J12690" s="422">
        <f t="shared" si="2420"/>
        <v>264.71428571428572</v>
      </c>
      <c r="K12690" s="297">
        <f>J12690/POBLA!$B$17*100000</f>
        <v>18.584305198219717</v>
      </c>
      <c r="L12690" s="200">
        <f t="shared" si="2421"/>
        <v>-0.13492063492063489</v>
      </c>
      <c r="M12690" s="70">
        <f>SUM(C12690,C12666,C12642,C12618,C12594,C12570,C12546)/POBLA!$B$17*100000</f>
        <v>130.09013638753802</v>
      </c>
      <c r="N12690" s="42" t="s">
        <v>34</v>
      </c>
      <c r="O12690" s="42">
        <v>3</v>
      </c>
      <c r="P12690" s="42">
        <v>10</v>
      </c>
      <c r="Q12690" s="42">
        <v>0</v>
      </c>
      <c r="R12690" s="42">
        <v>13</v>
      </c>
    </row>
    <row r="12691" spans="1:18" x14ac:dyDescent="0.25">
      <c r="A12691" s="367" t="s">
        <v>35</v>
      </c>
      <c r="B12691" s="2">
        <v>44421</v>
      </c>
      <c r="C12691" s="662">
        <v>150</v>
      </c>
      <c r="D12691" s="39">
        <f t="shared" ref="D12691:D12697" si="2424">C12691+D12667</f>
        <v>63657</v>
      </c>
      <c r="E12691" s="662">
        <v>4</v>
      </c>
      <c r="F12691" s="39">
        <f t="shared" si="2417"/>
        <v>1001</v>
      </c>
      <c r="G12691" s="168">
        <f>SUM(C12691,C12667,C12643,C12619,C12595,C12571,C12547,C12523,C12499,C12475,C12451,C12427,C12403,C12379)/POBLA!$B$18*100000</f>
        <v>398.48083183033646</v>
      </c>
      <c r="H12691" s="256">
        <f t="shared" si="2422"/>
        <v>0.73075117370892018</v>
      </c>
      <c r="I12691" s="297">
        <f t="shared" si="2423"/>
        <v>291.19033556052523</v>
      </c>
      <c r="J12691" s="422">
        <f t="shared" si="2420"/>
        <v>216.71428571428572</v>
      </c>
      <c r="K12691" s="297">
        <f>J12691/POBLA!$B$18*100000</f>
        <v>27.740600334386695</v>
      </c>
      <c r="L12691" s="200">
        <f t="shared" si="2421"/>
        <v>-4.9498746867167931E-2</v>
      </c>
      <c r="M12691" s="70">
        <f>SUM(C12691,C12667,C12643,C12619,C12595,C12571,C12547)/POBLA!$B$18*100000</f>
        <v>194.18420234070686</v>
      </c>
      <c r="N12691" s="42" t="s">
        <v>35</v>
      </c>
      <c r="O12691" s="42">
        <v>3</v>
      </c>
      <c r="P12691" s="42">
        <v>1</v>
      </c>
      <c r="Q12691" s="42">
        <v>0</v>
      </c>
      <c r="R12691" s="42">
        <v>4</v>
      </c>
    </row>
    <row r="12692" spans="1:18" x14ac:dyDescent="0.25">
      <c r="A12692" s="367" t="s">
        <v>36</v>
      </c>
      <c r="B12692" s="2">
        <v>44421</v>
      </c>
      <c r="C12692" s="662">
        <v>79</v>
      </c>
      <c r="D12692" s="39">
        <f t="shared" si="2424"/>
        <v>77776</v>
      </c>
      <c r="E12692" s="662">
        <v>4</v>
      </c>
      <c r="F12692" s="39">
        <f t="shared" si="2417"/>
        <v>1304</v>
      </c>
      <c r="G12692" s="168">
        <f>SUM(C12692,C12668,C12644,C12620,C12596,C12572,C12548,C12524,C12500,C12476,C12452,C12428,C12404,C12380)/POBLA!$B$19*100000</f>
        <v>611.2195275491415</v>
      </c>
      <c r="H12692" s="256">
        <f t="shared" si="2422"/>
        <v>0.87867647058823528</v>
      </c>
      <c r="I12692" s="297">
        <f t="shared" si="2423"/>
        <v>537.06421722148832</v>
      </c>
      <c r="J12692" s="422">
        <f t="shared" si="2420"/>
        <v>190.42857142857142</v>
      </c>
      <c r="K12692" s="297">
        <f>J12692/POBLA!$B$19*100000</f>
        <v>37.461751355143022</v>
      </c>
      <c r="L12692" s="200">
        <f t="shared" si="2421"/>
        <v>-0.24859075535512964</v>
      </c>
      <c r="M12692" s="70">
        <f>SUM(C12692,C12668,C12644,C12620,C12596,C12572,C12548)/POBLA!$B$19*100000</f>
        <v>262.23225948600117</v>
      </c>
      <c r="N12692" s="42" t="s">
        <v>36</v>
      </c>
      <c r="O12692" s="42">
        <v>1</v>
      </c>
      <c r="P12692" s="42">
        <v>3</v>
      </c>
      <c r="Q12692" s="42">
        <v>0</v>
      </c>
      <c r="R12692" s="42">
        <v>4</v>
      </c>
    </row>
    <row r="12693" spans="1:18" x14ac:dyDescent="0.25">
      <c r="A12693" s="367" t="s">
        <v>37</v>
      </c>
      <c r="B12693" s="2">
        <v>44421</v>
      </c>
      <c r="C12693" s="662">
        <v>49</v>
      </c>
      <c r="D12693" s="39">
        <f t="shared" si="2424"/>
        <v>58616</v>
      </c>
      <c r="E12693" s="662">
        <v>2</v>
      </c>
      <c r="F12693" s="39">
        <f>E12693+F12669</f>
        <v>977</v>
      </c>
      <c r="G12693" s="168">
        <f>SUM(C12693,C12669,C12646,C12621,C12597,C12573,C12549,C12525,C12501,C12477,C12453,C12429,C12405,C12381)/POBLA!$B$20*100000</f>
        <v>421.93285169730211</v>
      </c>
      <c r="H12693" s="256">
        <f t="shared" si="2422"/>
        <v>0.91948658109684944</v>
      </c>
      <c r="I12693" s="297">
        <f t="shared" si="2423"/>
        <v>387.96159525959632</v>
      </c>
      <c r="J12693" s="422">
        <f t="shared" si="2420"/>
        <v>55.571428571428569</v>
      </c>
      <c r="K12693" s="297">
        <f>J12693/POBLA!$B$20*100000</f>
        <v>15.195989196393899</v>
      </c>
      <c r="L12693" s="200">
        <f t="shared" si="2421"/>
        <v>-2.5062656641604009E-2</v>
      </c>
      <c r="M12693" s="70">
        <f>SUM(C12693,C12669,C12645,C12621,C12597,C12573,C12549)/POBLA!$B$20*100000</f>
        <v>106.37192437475733</v>
      </c>
      <c r="N12693" s="42" t="s">
        <v>37</v>
      </c>
      <c r="O12693" s="42">
        <v>2</v>
      </c>
      <c r="P12693" s="42">
        <v>0</v>
      </c>
      <c r="Q12693" s="42">
        <v>0</v>
      </c>
      <c r="R12693" s="42">
        <v>2</v>
      </c>
    </row>
    <row r="12694" spans="1:18" x14ac:dyDescent="0.25">
      <c r="A12694" s="367" t="s">
        <v>22</v>
      </c>
      <c r="B12694" s="2">
        <v>44421</v>
      </c>
      <c r="C12694" s="662">
        <v>624</v>
      </c>
      <c r="D12694" s="39">
        <f t="shared" si="2424"/>
        <v>458453</v>
      </c>
      <c r="E12694" s="662">
        <v>40</v>
      </c>
      <c r="F12694" s="39">
        <f>E12694+F12670</f>
        <v>8126</v>
      </c>
      <c r="G12694" s="168">
        <f>SUM(C12694,C12670,C12646,C12622,C12598,C12574,C12550,C12526,C12502,C12478,C12454,C12430,C12406,C12382)/POBLA!$B$21*100000</f>
        <v>338.44980994893706</v>
      </c>
      <c r="H12694" s="256">
        <f t="shared" si="2422"/>
        <v>0.73035147669026113</v>
      </c>
      <c r="I12694" s="297">
        <f t="shared" si="2423"/>
        <v>247.1873184817444</v>
      </c>
      <c r="J12694" s="422">
        <f t="shared" si="2420"/>
        <v>749.42857142857144</v>
      </c>
      <c r="K12694" s="297">
        <f>J12694/POBLA!$B$21*100000</f>
        <v>21.191741797167968</v>
      </c>
      <c r="L12694" s="200">
        <f t="shared" si="2421"/>
        <v>-0.21969358917150084</v>
      </c>
      <c r="M12694" s="70">
        <f>SUM(C12694,C12670,C12646,C12622,C12598,C12574,C12550)/POBLA!$B$21*100000</f>
        <v>148.34219258017578</v>
      </c>
      <c r="N12694" s="42" t="s">
        <v>22</v>
      </c>
      <c r="O12694" s="42">
        <v>19</v>
      </c>
      <c r="P12694" s="42">
        <v>21</v>
      </c>
      <c r="Q12694" s="42">
        <v>0</v>
      </c>
      <c r="R12694" s="42">
        <v>40</v>
      </c>
    </row>
    <row r="12695" spans="1:18" x14ac:dyDescent="0.25">
      <c r="A12695" s="367" t="s">
        <v>38</v>
      </c>
      <c r="B12695" s="2">
        <v>44421</v>
      </c>
      <c r="C12695" s="662">
        <v>182</v>
      </c>
      <c r="D12695" s="39">
        <f t="shared" si="2424"/>
        <v>77231</v>
      </c>
      <c r="E12695" s="662">
        <v>5</v>
      </c>
      <c r="F12695" s="39">
        <f>E12695+F12671</f>
        <v>1109</v>
      </c>
      <c r="G12695" s="168">
        <f>SUM(C12695,C12671,C12647,C12623,C12599,C12575,C12551,C12527,C12503,C12479,C12455,C12431,C12407,C12383)/POBLA!$B$22*100000</f>
        <v>411.11586986986782</v>
      </c>
      <c r="H12695" s="256">
        <f t="shared" si="2422"/>
        <v>0.82740176918329567</v>
      </c>
      <c r="I12695" s="297">
        <f t="shared" si="2423"/>
        <v>340.15799806965822</v>
      </c>
      <c r="J12695" s="422">
        <f t="shared" si="2420"/>
        <v>241.42857142857142</v>
      </c>
      <c r="K12695" s="297">
        <f>J12695/POBLA!$B$22*100000</f>
        <v>24.678050013499917</v>
      </c>
      <c r="L12695" s="200">
        <f t="shared" si="2421"/>
        <v>-0.27530017152658659</v>
      </c>
      <c r="M12695" s="70">
        <f>SUM(C12695,C12671,C12647,C12623,C12599,C12575,C12551)/POBLA!$B$22*100000</f>
        <v>172.74635009449941</v>
      </c>
      <c r="N12695" s="42" t="s">
        <v>38</v>
      </c>
      <c r="O12695" s="42">
        <v>2</v>
      </c>
      <c r="P12695" s="42">
        <v>3</v>
      </c>
      <c r="Q12695" s="42">
        <v>0</v>
      </c>
      <c r="R12695" s="42">
        <v>5</v>
      </c>
    </row>
    <row r="12696" spans="1:18" x14ac:dyDescent="0.25">
      <c r="A12696" s="367" t="s">
        <v>39</v>
      </c>
      <c r="B12696" s="2">
        <v>44421</v>
      </c>
      <c r="C12696" s="662">
        <v>25</v>
      </c>
      <c r="D12696" s="39">
        <f t="shared" si="2424"/>
        <v>31711</v>
      </c>
      <c r="E12696" s="662">
        <v>1</v>
      </c>
      <c r="F12696" s="39">
        <f>E12696+F12672</f>
        <v>500</v>
      </c>
      <c r="G12696" s="168">
        <f>SUM(C12696,C12672,C12648,C12624,C12600,C12576,C12552,C12528,C12504,C12480,C12456,C12432,C12408,C12384)/POBLA!$B$23*100000</f>
        <v>317.25385963920149</v>
      </c>
      <c r="H12696" s="256">
        <f t="shared" si="2422"/>
        <v>0.84871406959152795</v>
      </c>
      <c r="I12696" s="297">
        <f t="shared" si="2423"/>
        <v>269.25781430800612</v>
      </c>
      <c r="J12696" s="422">
        <f t="shared" si="2420"/>
        <v>33.714285714285715</v>
      </c>
      <c r="K12696" s="297">
        <f>J12696/POBLA!$B$23*100000</f>
        <v>19.065930958709334</v>
      </c>
      <c r="L12696" s="200">
        <f t="shared" si="2421"/>
        <v>-0.27384615384615385</v>
      </c>
      <c r="M12696" s="70">
        <f>SUM(C12696,C12672,C12648,C12624,C12600,C12576,C12552)/POBLA!$B$23*100000</f>
        <v>133.46151671096533</v>
      </c>
      <c r="N12696" s="42" t="s">
        <v>39</v>
      </c>
      <c r="O12696" s="42">
        <v>0</v>
      </c>
      <c r="P12696" s="42">
        <v>1</v>
      </c>
      <c r="Q12696" s="42">
        <v>0</v>
      </c>
      <c r="R12696" s="42">
        <v>1</v>
      </c>
    </row>
    <row r="12697" spans="1:18" ht="15.75" thickBot="1" x14ac:dyDescent="0.3">
      <c r="A12697" s="369" t="s">
        <v>40</v>
      </c>
      <c r="B12697" s="2">
        <v>44421</v>
      </c>
      <c r="C12697" s="662">
        <v>384</v>
      </c>
      <c r="D12697" s="176">
        <f t="shared" si="2424"/>
        <v>189562</v>
      </c>
      <c r="E12697" s="662">
        <v>24</v>
      </c>
      <c r="F12697" s="176">
        <f>E12697+F12673</f>
        <v>2700</v>
      </c>
      <c r="G12697" s="177">
        <f>SUM(C12697,C12673,C12649,C12625,C12601,C12577,C12553,C12529,C12505,C12481,C12457,C12433,C12409,C12385)/POBLA!$B$24*100000</f>
        <v>540.58168737490087</v>
      </c>
      <c r="H12697" s="402">
        <f t="shared" si="2422"/>
        <v>0.95456913618839223</v>
      </c>
      <c r="I12697" s="403">
        <f t="shared" si="2423"/>
        <v>516.02259435672261</v>
      </c>
      <c r="J12697" s="423">
        <f t="shared" si="2420"/>
        <v>612.71428571428567</v>
      </c>
      <c r="K12697" s="403">
        <f>J12697/POBLA!$B$24*100000</f>
        <v>36.155673228919952</v>
      </c>
      <c r="L12697" s="404">
        <f t="shared" si="2421"/>
        <v>-0.11966338259441711</v>
      </c>
      <c r="M12697" s="704">
        <f>SUM(C12697,C12673,C12649,C12625,C12601,C12577,C12553)/POBLA!$B$24*100000</f>
        <v>253.08971260243965</v>
      </c>
      <c r="N12697" s="42" t="s">
        <v>40</v>
      </c>
      <c r="O12697" s="42">
        <v>9</v>
      </c>
      <c r="P12697" s="42">
        <v>15</v>
      </c>
      <c r="Q12697" s="42">
        <v>0</v>
      </c>
      <c r="R12697" s="42">
        <v>24</v>
      </c>
    </row>
    <row r="12698" spans="1:18" ht="15.75" thickBot="1" x14ac:dyDescent="0.3">
      <c r="A12698" s="363" t="s">
        <v>16</v>
      </c>
      <c r="B12698" s="2">
        <v>44422</v>
      </c>
      <c r="C12698" s="717">
        <v>1437</v>
      </c>
      <c r="D12698" s="174">
        <f>C12698+D12674</f>
        <v>2012205</v>
      </c>
      <c r="E12698" s="662">
        <v>48</v>
      </c>
      <c r="F12698" s="174">
        <f t="shared" ref="F12698:F12716" si="2425">E12698+F12674</f>
        <v>53133</v>
      </c>
      <c r="G12698" s="175">
        <f>SUM(C12698,C12674,C12626,C12650,C12602,C12578,C12554,C12530,C12506,C12482,C12458,C12434,C12410,C12386)/POBLA!$B$1*100000</f>
        <v>214.88339897615555</v>
      </c>
      <c r="H12698" s="300">
        <f t="shared" si="2422"/>
        <v>0.77201786006881856</v>
      </c>
      <c r="I12698" s="301">
        <f>G12698*H12698</f>
        <v>165.89382184188577</v>
      </c>
      <c r="J12698" s="421">
        <f>AVERAGE(C12698,C12674,C12650,C12626,C12602,C12578,C12554)</f>
        <v>2305.7142857142858</v>
      </c>
      <c r="K12698" s="301">
        <f>J12698/POBLA!$B$1*100000</f>
        <v>13.14460835651618</v>
      </c>
      <c r="L12698" s="399">
        <f>(SUM(C12698,C12674,C12650,C12626,C12602,C12578,C12554)/SUM(C12530,C12506,C12482,C12458,C12434,C12410,C12386))-1</f>
        <v>-0.25114833201874454</v>
      </c>
      <c r="M12698" s="567">
        <f>SUM(C12698,C12674,C12650,C12626,C12602,C12578,C12554)/POBLA!$B$1*100000</f>
        <v>92.012258495613253</v>
      </c>
      <c r="N12698" s="702" t="s">
        <v>319</v>
      </c>
      <c r="O12698" s="702">
        <v>18</v>
      </c>
      <c r="P12698" s="702">
        <v>30</v>
      </c>
      <c r="Q12698" s="702">
        <v>0</v>
      </c>
      <c r="R12698" s="703">
        <v>48</v>
      </c>
    </row>
    <row r="12699" spans="1:18" ht="16.5" thickTop="1" thickBot="1" x14ac:dyDescent="0.3">
      <c r="A12699" s="367" t="s">
        <v>43</v>
      </c>
      <c r="B12699" s="2">
        <v>44422</v>
      </c>
      <c r="C12699" s="717">
        <v>446</v>
      </c>
      <c r="D12699" s="39">
        <f t="shared" ref="D12699:D12713" si="2426">C12699+D12675</f>
        <v>500688</v>
      </c>
      <c r="E12699" s="662">
        <v>6</v>
      </c>
      <c r="F12699" s="39">
        <f t="shared" si="2425"/>
        <v>11023</v>
      </c>
      <c r="G12699" s="168">
        <f>SUM(C12699,C12675,C12651,C12627,C12603,C12579,C12555,C12531,C12507,C12483,C12459,C12435,C12411,C12387)/POBLA!$B$2*100000</f>
        <v>296.42553141681452</v>
      </c>
      <c r="H12699" s="256">
        <f t="shared" si="2422"/>
        <v>0.87554019014693174</v>
      </c>
      <c r="I12699" s="297">
        <f t="shared" ref="I12699:I12705" si="2427">G12699*H12699</f>
        <v>259.53246614108309</v>
      </c>
      <c r="J12699" s="422">
        <f>AVERAGE(C12699,C12675,C12651,C12627,C12603,C12579,C12555)</f>
        <v>581.14285714285711</v>
      </c>
      <c r="K12699" s="297">
        <f>J12699/POBLA!$B$2*100000</f>
        <v>18.894985220758731</v>
      </c>
      <c r="L12699" s="200">
        <f>(SUM(C12699,C12675,C12651,C12627,C12603,C12579,C12555)/SUM(C12531,C12507,C12483,C12459,C12435,C12411,C12387))-1</f>
        <v>-0.19429590017825316</v>
      </c>
      <c r="M12699" s="70">
        <f>SUM(C12699,C12675,C12651,C12627,C12603,C12579,C12555)/POBLA!$B$2*100000</f>
        <v>132.26489654531113</v>
      </c>
      <c r="N12699" s="702" t="s">
        <v>43</v>
      </c>
      <c r="O12699" s="702">
        <v>2</v>
      </c>
      <c r="P12699" s="702">
        <v>3</v>
      </c>
      <c r="Q12699" s="702">
        <v>1</v>
      </c>
      <c r="R12699" s="703">
        <v>6</v>
      </c>
    </row>
    <row r="12700" spans="1:18" ht="16.5" thickTop="1" thickBot="1" x14ac:dyDescent="0.3">
      <c r="A12700" s="367" t="s">
        <v>28</v>
      </c>
      <c r="B12700" s="2">
        <v>44422</v>
      </c>
      <c r="C12700" s="717">
        <v>120</v>
      </c>
      <c r="D12700" s="39">
        <f t="shared" si="2426"/>
        <v>45453</v>
      </c>
      <c r="E12700" s="662"/>
      <c r="F12700" s="39">
        <f t="shared" si="2425"/>
        <v>516</v>
      </c>
      <c r="G12700" s="168">
        <f>SUM(C12700,C12676,C12652,C12628,C12604,C12580,C12556,C12532,C12508,C12484,C12460,C12436,C12412,C12388)/POBLA!$B$3*100000</f>
        <v>737.05342313413803</v>
      </c>
      <c r="H12700" s="256">
        <f t="shared" si="2422"/>
        <v>0.85079188663517646</v>
      </c>
      <c r="I12700" s="297">
        <f t="shared" si="2427"/>
        <v>627.07907241920827</v>
      </c>
      <c r="J12700" s="422">
        <f t="shared" ref="J12700:J12721" si="2428">AVERAGE(C12700,C12676,C12652,C12628,C12604,C12580,C12556)</f>
        <v>200.42857142857142</v>
      </c>
      <c r="K12700" s="297">
        <f>J12700/POBLA!$B$3*100000</f>
        <v>48.245122359671335</v>
      </c>
      <c r="L12700" s="200">
        <f t="shared" ref="L12700:L12721" si="2429">(SUM(C12700,C12676,C12652,C12628,C12604,C12580,C12556)/SUM(C12532,C12508,C12484,C12460,C12436,C12412,C12388))-1</f>
        <v>-0.1543098251959012</v>
      </c>
      <c r="M12700" s="70">
        <f>SUM(C12700,C12676,C12652,C12628,C12604,C12580,C12556)/POBLA!$B$3*100000</f>
        <v>337.71585651769942</v>
      </c>
    </row>
    <row r="12701" spans="1:18" ht="16.5" thickTop="1" thickBot="1" x14ac:dyDescent="0.3">
      <c r="A12701" s="367" t="s">
        <v>15</v>
      </c>
      <c r="B12701" s="2">
        <v>44422</v>
      </c>
      <c r="C12701" s="717">
        <v>204</v>
      </c>
      <c r="D12701" s="39">
        <f t="shared" si="2426"/>
        <v>96137</v>
      </c>
      <c r="E12701" s="662">
        <v>5</v>
      </c>
      <c r="F12701" s="39">
        <f t="shared" si="2425"/>
        <v>2125</v>
      </c>
      <c r="G12701" s="168">
        <f>SUM(C12701,C12677,C12653,C12629,C12605,C12581,C12557,C12533,C12509,C12485,C12461,C12437,C12413,C12389)/POBLA!$B$4*100000</f>
        <v>396.08448363318473</v>
      </c>
      <c r="H12701" s="256">
        <f t="shared" si="2422"/>
        <v>0.85793921956482644</v>
      </c>
      <c r="I12701" s="297">
        <f t="shared" si="2427"/>
        <v>339.81641276999176</v>
      </c>
      <c r="J12701" s="422">
        <f t="shared" si="2428"/>
        <v>284.71428571428572</v>
      </c>
      <c r="K12701" s="297">
        <f>J12701/POBLA!$B$4*100000</f>
        <v>23.636745093299915</v>
      </c>
      <c r="L12701" s="200">
        <f t="shared" si="2429"/>
        <v>-0.28257739380849534</v>
      </c>
      <c r="M12701" s="70">
        <f>SUM(C12701,C12677,C12653,C12629,C12605,C12581,C12557)/POBLA!$B$4*100000</f>
        <v>165.45721565309938</v>
      </c>
      <c r="N12701" s="702" t="s">
        <v>15</v>
      </c>
      <c r="O12701" s="702">
        <v>4</v>
      </c>
      <c r="P12701" s="702">
        <v>1</v>
      </c>
      <c r="Q12701" s="702">
        <v>0</v>
      </c>
      <c r="R12701" s="703">
        <v>5</v>
      </c>
    </row>
    <row r="12702" spans="1:18" ht="16.5" thickTop="1" thickBot="1" x14ac:dyDescent="0.3">
      <c r="A12702" s="367" t="s">
        <v>29</v>
      </c>
      <c r="B12702" s="2">
        <v>44422</v>
      </c>
      <c r="C12702" s="717">
        <v>180</v>
      </c>
      <c r="D12702" s="39">
        <f t="shared" si="2426"/>
        <v>78960</v>
      </c>
      <c r="E12702" s="662">
        <v>2</v>
      </c>
      <c r="F12702" s="39">
        <f t="shared" si="2425"/>
        <v>1372</v>
      </c>
      <c r="G12702" s="168">
        <f>SUM(C12702,C12678,C12654,C12630,C12606,C12582,C12558,C12534,C12510,C12486,C12462,C12438,C12414,C12390)/POBLA!$B$5*100000</f>
        <v>403.88113616610178</v>
      </c>
      <c r="H12702" s="256">
        <f t="shared" si="2422"/>
        <v>0.94696969696969702</v>
      </c>
      <c r="I12702" s="297">
        <f t="shared" si="2427"/>
        <v>382.46319712699034</v>
      </c>
      <c r="J12702" s="422">
        <f t="shared" si="2428"/>
        <v>185.28571428571428</v>
      </c>
      <c r="K12702" s="297">
        <f>J12702/POBLA!$B$5*100000</f>
        <v>29.933361920424797</v>
      </c>
      <c r="L12702" s="200">
        <f t="shared" si="2429"/>
        <v>7.8137988362427357E-2</v>
      </c>
      <c r="M12702" s="70">
        <f>SUM(C12702,C12678,C12654,C12630,C12606,C12582,C12558)/POBLA!$B$5*100000</f>
        <v>209.53353344297358</v>
      </c>
      <c r="N12702" s="702" t="s">
        <v>29</v>
      </c>
      <c r="O12702" s="702">
        <v>2</v>
      </c>
      <c r="P12702" s="702">
        <v>0</v>
      </c>
      <c r="Q12702" s="702">
        <v>0</v>
      </c>
      <c r="R12702" s="703">
        <v>2</v>
      </c>
    </row>
    <row r="12703" spans="1:18" ht="16.5" thickTop="1" thickBot="1" x14ac:dyDescent="0.3">
      <c r="A12703" s="367" t="s">
        <v>30</v>
      </c>
      <c r="B12703" s="2">
        <v>44422</v>
      </c>
      <c r="C12703" s="720">
        <v>11</v>
      </c>
      <c r="D12703" s="39">
        <f t="shared" si="2426"/>
        <v>456533</v>
      </c>
      <c r="E12703" s="662">
        <v>7</v>
      </c>
      <c r="F12703" s="39">
        <f t="shared" si="2425"/>
        <v>6012</v>
      </c>
      <c r="G12703" s="168">
        <f>SUM(C12703,C12679,C12655,C12631,C12607,C12583,C12559,C12535,C12511,C12487,C12463,C12439,C12415,C12391)/POBLA!$B$6*100000</f>
        <v>689.95298897841815</v>
      </c>
      <c r="H12703" s="256">
        <f t="shared" si="2422"/>
        <v>1.2056439039600872</v>
      </c>
      <c r="I12703" s="297">
        <f t="shared" si="2427"/>
        <v>831.83761518087113</v>
      </c>
      <c r="J12703" s="422">
        <f t="shared" si="2428"/>
        <v>643.42857142857144</v>
      </c>
      <c r="K12703" s="297">
        <f>J12703/POBLA!$B$6*100000</f>
        <v>57.407922675708839</v>
      </c>
      <c r="L12703" s="200">
        <f t="shared" si="2429"/>
        <v>0.3948590895013937</v>
      </c>
      <c r="M12703" s="70">
        <f>SUM(C12703,C12679,C12655,C12631,C12607,C12583,C12559)/POBLA!$B$6*100000</f>
        <v>401.85545872996181</v>
      </c>
      <c r="N12703" s="702" t="s">
        <v>30</v>
      </c>
      <c r="O12703" s="702">
        <v>3</v>
      </c>
      <c r="P12703" s="702">
        <v>4</v>
      </c>
      <c r="Q12703" s="702">
        <v>0</v>
      </c>
      <c r="R12703" s="703">
        <v>7</v>
      </c>
    </row>
    <row r="12704" spans="1:18" ht="16.5" thickTop="1" thickBot="1" x14ac:dyDescent="0.3">
      <c r="A12704" s="367" t="s">
        <v>20</v>
      </c>
      <c r="B12704" s="2">
        <v>44422</v>
      </c>
      <c r="C12704" s="717">
        <v>919</v>
      </c>
      <c r="D12704" s="39">
        <f t="shared" si="2426"/>
        <v>122931</v>
      </c>
      <c r="E12704" s="662">
        <v>10</v>
      </c>
      <c r="F12704" s="39">
        <f t="shared" si="2425"/>
        <v>1376</v>
      </c>
      <c r="G12704" s="168">
        <f>SUM(C12704,C12680,C12656,C12632,C12608,C12584,C12560,C12536,C12512,C12488,C12464,C12440,C12416,C12392)/POBLA!$B$7*100000</f>
        <v>597.0030182557939</v>
      </c>
      <c r="H12704" s="256">
        <f t="shared" si="2422"/>
        <v>0.94395156204011266</v>
      </c>
      <c r="I12704" s="297">
        <f t="shared" si="2427"/>
        <v>563.54193162521858</v>
      </c>
      <c r="J12704" s="422">
        <f t="shared" si="2428"/>
        <v>1473.4285714285713</v>
      </c>
      <c r="K12704" s="297">
        <f>J12704/POBLA!$B$7*100000</f>
        <v>39.182240727268578</v>
      </c>
      <c r="L12704" s="200">
        <f t="shared" si="2429"/>
        <v>-0.15013183915622941</v>
      </c>
      <c r="M12704" s="70">
        <f>SUM(C12704,C12680,C12656,C12632,C12608,C12584,C12560)/POBLA!$B$7*100000</f>
        <v>274.27568509088007</v>
      </c>
      <c r="N12704" s="702" t="s">
        <v>20</v>
      </c>
      <c r="O12704" s="702">
        <v>2</v>
      </c>
      <c r="P12704" s="702">
        <v>8</v>
      </c>
      <c r="Q12704" s="702">
        <v>0</v>
      </c>
      <c r="R12704" s="703">
        <v>10</v>
      </c>
    </row>
    <row r="12705" spans="1:18" ht="16.5" thickTop="1" thickBot="1" x14ac:dyDescent="0.3">
      <c r="A12705" s="367" t="s">
        <v>31</v>
      </c>
      <c r="B12705" s="2">
        <v>44422</v>
      </c>
      <c r="C12705" s="717">
        <v>168</v>
      </c>
      <c r="D12705" s="39">
        <f t="shared" si="2426"/>
        <v>132091</v>
      </c>
      <c r="E12705" s="662">
        <v>2</v>
      </c>
      <c r="F12705" s="39">
        <f t="shared" si="2425"/>
        <v>2249</v>
      </c>
      <c r="G12705" s="168">
        <f>SUM(C12705,C12681,C12657,C12633,C12609,C12585,C12561,C12537,C12513,C12489,C12465,C12441,C12417,C12393)/POBLA!$B$8*100000</f>
        <v>293.87551309163825</v>
      </c>
      <c r="H12705" s="256">
        <f t="shared" ref="H12705:H12728" si="2430">SUM(C12705,C12681,C12657,C12633,C12609,C12585,C12561,C12537,C12513,C12489,C12465,C12441,C12417,C12393,)/SUM(C12369,C12345,C12321,C12297,C12273,C12249,C12225,C12201,C12177,C12153,C12129,C12105,C12081,C12057)</f>
        <v>0.67144741180349488</v>
      </c>
      <c r="I12705" s="297">
        <f t="shared" si="2427"/>
        <v>197.32195265780459</v>
      </c>
      <c r="J12705" s="422">
        <f t="shared" si="2428"/>
        <v>259.42857142857144</v>
      </c>
      <c r="K12705" s="297">
        <f>J12705/POBLA!$B$8*100000</f>
        <v>18.718316852247028</v>
      </c>
      <c r="L12705" s="200">
        <f t="shared" si="2429"/>
        <v>-0.19539211342490026</v>
      </c>
      <c r="M12705" s="70">
        <f>SUM(C12705,C12681,C12657,C12633,C12609,C12585,C12561)/POBLA!$B$8*100000</f>
        <v>131.0282179657292</v>
      </c>
      <c r="N12705" s="702" t="s">
        <v>31</v>
      </c>
      <c r="O12705" s="702">
        <v>2</v>
      </c>
      <c r="P12705" s="702">
        <v>0</v>
      </c>
      <c r="Q12705" s="702">
        <v>0</v>
      </c>
      <c r="R12705" s="703">
        <v>2</v>
      </c>
    </row>
    <row r="12706" spans="1:18" ht="16.5" thickTop="1" thickBot="1" x14ac:dyDescent="0.3">
      <c r="A12706" s="367" t="s">
        <v>41</v>
      </c>
      <c r="B12706" s="2">
        <v>44422</v>
      </c>
      <c r="C12706" s="717">
        <v>165</v>
      </c>
      <c r="D12706" s="39">
        <f t="shared" si="2426"/>
        <v>58912</v>
      </c>
      <c r="E12706" s="662">
        <v>1</v>
      </c>
      <c r="F12706" s="39">
        <f t="shared" si="2425"/>
        <v>1078</v>
      </c>
      <c r="G12706" s="168">
        <f>SUM(C12706,C12682,C12658,C12634,C12610,C12586,C12562,C12538,C12514,C12490,C12466,C12442,C12418,C12394)/POBLA!$B$9*100000</f>
        <v>466.13229168215759</v>
      </c>
      <c r="H12706" s="256">
        <f t="shared" si="2430"/>
        <v>0.79487179487179482</v>
      </c>
      <c r="I12706" s="297">
        <f>G12706*H12706</f>
        <v>370.51541133709958</v>
      </c>
      <c r="J12706" s="422">
        <f t="shared" si="2428"/>
        <v>190.14285714285714</v>
      </c>
      <c r="K12706" s="297">
        <f>J12706/POBLA!$B$9*100000</f>
        <v>31.418548651894046</v>
      </c>
      <c r="L12706" s="200">
        <f t="shared" si="2429"/>
        <v>-0.10671140939597312</v>
      </c>
      <c r="M12706" s="70">
        <f>SUM(C12706,C12682,C12658,C12634,C12610,C12586,C12562)/POBLA!$B$9*100000</f>
        <v>219.92984056325832</v>
      </c>
      <c r="N12706" s="702" t="s">
        <v>41</v>
      </c>
      <c r="O12706" s="702">
        <v>1</v>
      </c>
      <c r="P12706" s="702">
        <v>0</v>
      </c>
      <c r="Q12706" s="702">
        <v>0</v>
      </c>
      <c r="R12706" s="703">
        <v>1</v>
      </c>
    </row>
    <row r="12707" spans="1:18" ht="16.5" thickTop="1" thickBot="1" x14ac:dyDescent="0.3">
      <c r="A12707" s="367" t="s">
        <v>32</v>
      </c>
      <c r="B12707" s="2">
        <v>44422</v>
      </c>
      <c r="C12707" s="717">
        <v>112</v>
      </c>
      <c r="D12707" s="39">
        <f t="shared" si="2426"/>
        <v>45606</v>
      </c>
      <c r="E12707" s="662">
        <v>3</v>
      </c>
      <c r="F12707" s="39">
        <f t="shared" si="2425"/>
        <v>1378</v>
      </c>
      <c r="G12707" s="168">
        <f>SUM(C12707,C12683,C12659,C12635,C12611,C12587,C12563,C12539,C12515,C12491,C12467,C12443,C12419,C12395)/POBLA!$B$10*100000</f>
        <v>271.11836976135095</v>
      </c>
      <c r="H12707" s="256">
        <f t="shared" si="2430"/>
        <v>0.7120954003407155</v>
      </c>
      <c r="I12707" s="297">
        <f t="shared" ref="I12707:I12721" si="2431">G12707*H12707</f>
        <v>193.06214405493134</v>
      </c>
      <c r="J12707" s="422">
        <f t="shared" si="2428"/>
        <v>128.85714285714286</v>
      </c>
      <c r="K12707" s="297">
        <f>J12707/POBLA!$B$10*100000</f>
        <v>16.715568661978033</v>
      </c>
      <c r="L12707" s="200">
        <f t="shared" si="2429"/>
        <v>-0.2407407407407407</v>
      </c>
      <c r="M12707" s="70">
        <f>SUM(C12707,C12683,C12659,C12635,C12611,C12587,C12563)/POBLA!$B$10*100000</f>
        <v>117.00898063384622</v>
      </c>
      <c r="N12707" s="702" t="s">
        <v>32</v>
      </c>
      <c r="O12707" s="702">
        <v>2</v>
      </c>
      <c r="P12707" s="702">
        <v>1</v>
      </c>
      <c r="Q12707" s="702">
        <v>0</v>
      </c>
      <c r="R12707" s="703">
        <v>3</v>
      </c>
    </row>
    <row r="12708" spans="1:18" ht="16.5" thickTop="1" thickBot="1" x14ac:dyDescent="0.3">
      <c r="A12708" s="367" t="s">
        <v>33</v>
      </c>
      <c r="B12708" s="2">
        <v>44422</v>
      </c>
      <c r="C12708" s="717">
        <v>176</v>
      </c>
      <c r="D12708" s="39">
        <f t="shared" si="2426"/>
        <v>64744</v>
      </c>
      <c r="E12708" s="662"/>
      <c r="F12708" s="39">
        <f t="shared" si="2425"/>
        <v>877</v>
      </c>
      <c r="G12708" s="168">
        <f>SUM(C12708,C12684,C12660,C12636,C12612,C12588,C12564,C12540,C12516,C12492,C12468,C12444,C12420,C12396)/POBLA!$B$11*100000</f>
        <v>917.06005111207833</v>
      </c>
      <c r="H12708" s="256">
        <f t="shared" si="2430"/>
        <v>0.85133385133385131</v>
      </c>
      <c r="I12708" s="297">
        <f t="shared" si="2431"/>
        <v>780.7242652176642</v>
      </c>
      <c r="J12708" s="422">
        <f t="shared" si="2428"/>
        <v>214.42857142857142</v>
      </c>
      <c r="K12708" s="297">
        <f>J12708/POBLA!$B$11*100000</f>
        <v>59.824726703430372</v>
      </c>
      <c r="L12708" s="200">
        <f t="shared" si="2429"/>
        <v>-0.15957446808510634</v>
      </c>
      <c r="M12708" s="70">
        <f>SUM(C12708,C12684,C12660,C12636,C12612,C12588,C12564)/POBLA!$B$11*100000</f>
        <v>418.77308692401266</v>
      </c>
    </row>
    <row r="12709" spans="1:18" ht="16.5" thickTop="1" thickBot="1" x14ac:dyDescent="0.3">
      <c r="A12709" s="367" t="s">
        <v>21</v>
      </c>
      <c r="B12709" s="2">
        <v>44422</v>
      </c>
      <c r="C12709" s="721">
        <v>57</v>
      </c>
      <c r="D12709" s="39">
        <f t="shared" si="2426"/>
        <v>30845</v>
      </c>
      <c r="E12709" s="662"/>
      <c r="F12709" s="39">
        <f t="shared" si="2425"/>
        <v>866</v>
      </c>
      <c r="G12709" s="168">
        <f>SUM(C12709,C12685,C12661,C12637,C12613,C12589,C12565,C12541,C12517,C12493,C12469,C12445,C12421,C12397)/POBLA!$B$12*100000</f>
        <v>629.42944774363389</v>
      </c>
      <c r="H12709" s="256">
        <f t="shared" si="2430"/>
        <v>0.89648932319942087</v>
      </c>
      <c r="I12709" s="297">
        <f t="shared" si="2431"/>
        <v>564.27677960947562</v>
      </c>
      <c r="J12709" s="422">
        <f t="shared" si="2428"/>
        <v>122</v>
      </c>
      <c r="K12709" s="297">
        <f>J12709/POBLA!$B$12*100000</f>
        <v>31.001369650675553</v>
      </c>
      <c r="L12709" s="200">
        <f t="shared" si="2429"/>
        <v>-0.47381392483056073</v>
      </c>
      <c r="M12709" s="70">
        <f>SUM(C12709,C12685,C12661,C12637,C12613,C12589,C12565)/POBLA!$B$12*100000</f>
        <v>217.00958755472888</v>
      </c>
    </row>
    <row r="12710" spans="1:18" ht="16.5" thickTop="1" thickBot="1" x14ac:dyDescent="0.3">
      <c r="A12710" s="367" t="s">
        <v>17</v>
      </c>
      <c r="B12710" s="2">
        <v>44422</v>
      </c>
      <c r="C12710" s="717">
        <v>208</v>
      </c>
      <c r="D12710" s="39">
        <f t="shared" si="2426"/>
        <v>158875</v>
      </c>
      <c r="E12710" s="662">
        <v>16</v>
      </c>
      <c r="F12710" s="39">
        <f t="shared" si="2425"/>
        <v>4120</v>
      </c>
      <c r="G12710" s="168">
        <f>SUM(C12710,C12686,C12662,C12638,C12614,C12590,C12566,C12542,C12518,C12494,C12470,C12446,C12422,C12398)/POBLA!$B$13*100000</f>
        <v>235.23642717970515</v>
      </c>
      <c r="H12710" s="256">
        <f t="shared" si="2430"/>
        <v>0.79517663043478259</v>
      </c>
      <c r="I12710" s="297">
        <f t="shared" si="2431"/>
        <v>187.05450952027505</v>
      </c>
      <c r="J12710" s="422">
        <f t="shared" si="2428"/>
        <v>288.85714285714283</v>
      </c>
      <c r="K12710" s="297">
        <f>J12710/POBLA!$B$13*100000</f>
        <v>14.512969297533527</v>
      </c>
      <c r="L12710" s="200">
        <f t="shared" si="2429"/>
        <v>-0.23984962406015042</v>
      </c>
      <c r="M12710" s="70">
        <f>SUM(C12710,C12686,C12662,C12638,C12614,C12590,C12566)/POBLA!$B$13*100000</f>
        <v>101.59078508273468</v>
      </c>
      <c r="N12710" s="702" t="s">
        <v>17</v>
      </c>
      <c r="O12710" s="702">
        <v>4</v>
      </c>
      <c r="P12710" s="702">
        <v>12</v>
      </c>
      <c r="Q12710" s="702">
        <v>0</v>
      </c>
      <c r="R12710" s="703">
        <v>16</v>
      </c>
    </row>
    <row r="12711" spans="1:18" ht="16.5" thickTop="1" thickBot="1" x14ac:dyDescent="0.3">
      <c r="A12711" s="367" t="s">
        <v>23</v>
      </c>
      <c r="B12711" s="2">
        <v>44422</v>
      </c>
      <c r="C12711" s="717">
        <v>231</v>
      </c>
      <c r="D12711" s="39">
        <f t="shared" si="2426"/>
        <v>33233</v>
      </c>
      <c r="E12711" s="662">
        <v>1</v>
      </c>
      <c r="F12711" s="39">
        <f t="shared" si="2425"/>
        <v>628</v>
      </c>
      <c r="G12711" s="168">
        <f>SUM(C12711,C12687,C12663,C12639,C12615,C12591,C12567,C12543,C12519,C12495,C12471,C12447,C12423,C12399)/POBLA!$B$14*100000</f>
        <v>186.23730866871642</v>
      </c>
      <c r="H12711" s="256">
        <f t="shared" si="2430"/>
        <v>0.98120300751879697</v>
      </c>
      <c r="I12711" s="297">
        <f t="shared" si="2431"/>
        <v>182.73660737795106</v>
      </c>
      <c r="J12711" s="422">
        <f t="shared" si="2428"/>
        <v>171.71428571428572</v>
      </c>
      <c r="K12711" s="297">
        <f>J12711/POBLA!$B$14*100000</f>
        <v>13.61413641183465</v>
      </c>
      <c r="L12711" s="200">
        <f t="shared" si="2429"/>
        <v>4.7951176983435095E-2</v>
      </c>
      <c r="M12711" s="70">
        <f>SUM(C12711,C12687,C12663,C12639,C12615,C12591,C12567)/POBLA!$B$14*100000</f>
        <v>95.298954882842537</v>
      </c>
      <c r="N12711" s="702" t="s">
        <v>23</v>
      </c>
      <c r="O12711" s="702">
        <v>0</v>
      </c>
      <c r="P12711" s="702">
        <v>1</v>
      </c>
      <c r="Q12711" s="702">
        <v>0</v>
      </c>
      <c r="R12711" s="703">
        <v>1</v>
      </c>
    </row>
    <row r="12712" spans="1:18" ht="16.5" thickTop="1" thickBot="1" x14ac:dyDescent="0.3">
      <c r="A12712" s="367" t="s">
        <v>19</v>
      </c>
      <c r="B12712" s="2">
        <v>44422</v>
      </c>
      <c r="C12712" s="717">
        <v>150</v>
      </c>
      <c r="D12712" s="39">
        <f t="shared" si="2426"/>
        <v>110311</v>
      </c>
      <c r="E12712" s="662"/>
      <c r="F12712" s="39">
        <f t="shared" si="2425"/>
        <v>2095</v>
      </c>
      <c r="G12712" s="168">
        <f>SUM(C12712,C12688,C12664,C12640,C12616,C12592,C12568,C12544,C12520,C12496,C12472,C12448,C12424,C12400)/POBLA!$B$15*100000</f>
        <v>421.19878263462323</v>
      </c>
      <c r="H12712" s="256">
        <f t="shared" si="2430"/>
        <v>1.0075648414985592</v>
      </c>
      <c r="I12712" s="297">
        <f t="shared" si="2431"/>
        <v>424.38508466464026</v>
      </c>
      <c r="J12712" s="422">
        <f t="shared" si="2428"/>
        <v>185.28571428571428</v>
      </c>
      <c r="K12712" s="297">
        <f>J12712/POBLA!$B$15*100000</f>
        <v>27.902079834368777</v>
      </c>
      <c r="L12712" s="200">
        <f t="shared" si="2429"/>
        <v>-0.13533333333333331</v>
      </c>
      <c r="M12712" s="70">
        <f>SUM(C12712,C12688,C12664,C12640,C12616,C12592,C12568)/POBLA!$B$15*100000</f>
        <v>195.31455884058144</v>
      </c>
    </row>
    <row r="12713" spans="1:18" ht="16.5" thickTop="1" thickBot="1" x14ac:dyDescent="0.3">
      <c r="A12713" s="367" t="s">
        <v>18</v>
      </c>
      <c r="B12713" s="2">
        <v>44422</v>
      </c>
      <c r="C12713" s="717">
        <v>121</v>
      </c>
      <c r="D12713" s="39">
        <f t="shared" si="2426"/>
        <v>95896</v>
      </c>
      <c r="E12713" s="662">
        <v>3</v>
      </c>
      <c r="F12713" s="39">
        <f t="shared" si="2425"/>
        <v>2168</v>
      </c>
      <c r="G12713" s="168">
        <f>SUM(C12713,C12689,C12665,C12641,C12617,C12593,C12569,C12545,C12521,C12497,C12473,C12449,C12425,C12401)/POBLA!$B$16*100000</f>
        <v>476.71914500876125</v>
      </c>
      <c r="H12713" s="256">
        <f t="shared" si="2430"/>
        <v>0.84355029585798813</v>
      </c>
      <c r="I12713" s="297">
        <f t="shared" si="2431"/>
        <v>402.13657581330767</v>
      </c>
      <c r="J12713" s="422">
        <f t="shared" si="2428"/>
        <v>241.85714285714286</v>
      </c>
      <c r="K12713" s="297">
        <f>J12713/POBLA!$B$16*100000</f>
        <v>32.350709976744938</v>
      </c>
      <c r="L12713" s="200">
        <f t="shared" si="2429"/>
        <v>-9.5136290753607744E-2</v>
      </c>
      <c r="M12713" s="70">
        <f>SUM(C12713,C12689,C12665,C12641,C12617,C12593,C12569)/POBLA!$B$16*100000</f>
        <v>226.45496983721461</v>
      </c>
      <c r="N12713" s="702" t="s">
        <v>18</v>
      </c>
      <c r="O12713" s="702">
        <v>2</v>
      </c>
      <c r="P12713" s="702">
        <v>1</v>
      </c>
      <c r="Q12713" s="702">
        <v>0</v>
      </c>
      <c r="R12713" s="703">
        <v>3</v>
      </c>
    </row>
    <row r="12714" spans="1:18" ht="16.5" thickTop="1" thickBot="1" x14ac:dyDescent="0.3">
      <c r="A12714" s="367" t="s">
        <v>34</v>
      </c>
      <c r="B12714" s="2">
        <v>44422</v>
      </c>
      <c r="C12714" s="717">
        <v>164</v>
      </c>
      <c r="D12714" s="39">
        <f>C12714+D12690</f>
        <v>79167</v>
      </c>
      <c r="E12714" s="662">
        <v>7</v>
      </c>
      <c r="F12714" s="39">
        <f t="shared" si="2425"/>
        <v>2214</v>
      </c>
      <c r="G12714" s="168">
        <f>SUM(C12714,C12690,C12666,C12642,C12618,C12594,C12570,C12546,C12522,C12498,C12474,C12450,C12426,C12402)/POBLA!$B$17*100000</f>
        <v>275.13396897072937</v>
      </c>
      <c r="H12714" s="256">
        <f t="shared" si="2430"/>
        <v>0.79123763375731881</v>
      </c>
      <c r="I12714" s="297">
        <f t="shared" si="2431"/>
        <v>217.69635057465948</v>
      </c>
      <c r="J12714" s="422">
        <f t="shared" si="2428"/>
        <v>252.71428571428572</v>
      </c>
      <c r="K12714" s="297">
        <f>J12714/POBLA!$B$17*100000</f>
        <v>17.741843440718121</v>
      </c>
      <c r="L12714" s="200">
        <f t="shared" si="2429"/>
        <v>-0.17720930232558141</v>
      </c>
      <c r="M12714" s="70">
        <f>SUM(C12714,C12690,C12666,C12642,C12618,C12594,C12570)/POBLA!$B$17*100000</f>
        <v>124.19290408502685</v>
      </c>
      <c r="N12714" s="702" t="s">
        <v>34</v>
      </c>
      <c r="O12714" s="702">
        <v>5</v>
      </c>
      <c r="P12714" s="702">
        <v>2</v>
      </c>
      <c r="Q12714" s="702">
        <v>0</v>
      </c>
      <c r="R12714" s="703">
        <v>7</v>
      </c>
    </row>
    <row r="12715" spans="1:18" ht="16.5" thickTop="1" thickBot="1" x14ac:dyDescent="0.3">
      <c r="A12715" s="367" t="s">
        <v>35</v>
      </c>
      <c r="B12715" s="2">
        <v>44422</v>
      </c>
      <c r="C12715" s="717">
        <v>165</v>
      </c>
      <c r="D12715" s="39">
        <f t="shared" ref="D12715:D12721" si="2432">C12715+D12691</f>
        <v>63822</v>
      </c>
      <c r="E12715" s="662">
        <v>2</v>
      </c>
      <c r="F12715" s="39">
        <f t="shared" si="2425"/>
        <v>1003</v>
      </c>
      <c r="G12715" s="168">
        <f>SUM(C12715,C12691,C12667,C12643,C12619,C12595,C12571,C12547,C12523,C12499,C12475,C12451,C12427,C12403)/POBLA!$B$18*100000</f>
        <v>373.1357612545554</v>
      </c>
      <c r="H12715" s="256">
        <f t="shared" si="2430"/>
        <v>0.68043884220354811</v>
      </c>
      <c r="I12715" s="297">
        <f t="shared" si="2431"/>
        <v>253.89606537278922</v>
      </c>
      <c r="J12715" s="422">
        <f t="shared" si="2428"/>
        <v>207.85714285714286</v>
      </c>
      <c r="K12715" s="297">
        <f>J12715/POBLA!$B$18*100000</f>
        <v>26.606838158558105</v>
      </c>
      <c r="L12715" s="200">
        <f t="shared" si="2429"/>
        <v>-3.424657534246589E-3</v>
      </c>
      <c r="M12715" s="70">
        <f>SUM(C12715,C12691,C12667,C12643,C12619,C12595,C12571)/POBLA!$B$18*100000</f>
        <v>186.24786710990674</v>
      </c>
      <c r="N12715" s="702" t="s">
        <v>35</v>
      </c>
      <c r="O12715" s="702">
        <v>2</v>
      </c>
      <c r="P12715" s="702">
        <v>0</v>
      </c>
      <c r="Q12715" s="702">
        <v>0</v>
      </c>
      <c r="R12715" s="703">
        <v>2</v>
      </c>
    </row>
    <row r="12716" spans="1:18" ht="16.5" thickTop="1" thickBot="1" x14ac:dyDescent="0.3">
      <c r="A12716" s="367" t="s">
        <v>36</v>
      </c>
      <c r="B12716" s="2">
        <v>44422</v>
      </c>
      <c r="C12716" s="717">
        <v>191</v>
      </c>
      <c r="D12716" s="39">
        <f t="shared" si="2432"/>
        <v>77967</v>
      </c>
      <c r="E12716" s="662">
        <v>2</v>
      </c>
      <c r="F12716" s="39">
        <f t="shared" si="2425"/>
        <v>1306</v>
      </c>
      <c r="G12716" s="168">
        <f>SUM(C12716,C12692,C12668,C12644,C12620,C12596,C12572,C12548,C12524,C12500,C12476,C12452,C12428,C12404)/POBLA!$B$19*100000</f>
        <v>592.13736012968002</v>
      </c>
      <c r="H12716" s="256">
        <f t="shared" si="2430"/>
        <v>0.85975435589831473</v>
      </c>
      <c r="I12716" s="297">
        <f t="shared" si="2431"/>
        <v>509.09267466162146</v>
      </c>
      <c r="J12716" s="422">
        <f t="shared" si="2428"/>
        <v>183.28571428571428</v>
      </c>
      <c r="K12716" s="297">
        <f>J12716/POBLA!$B$19*100000</f>
        <v>36.056584387583271</v>
      </c>
      <c r="L12716" s="200">
        <f t="shared" si="2429"/>
        <v>-0.25709322524609146</v>
      </c>
      <c r="M12716" s="70">
        <f>SUM(C12716,C12692,C12668,C12644,C12620,C12596,C12572)/POBLA!$B$19*100000</f>
        <v>252.39609071308288</v>
      </c>
      <c r="N12716" s="702" t="s">
        <v>36</v>
      </c>
      <c r="O12716" s="702">
        <v>0</v>
      </c>
      <c r="P12716" s="702">
        <v>2</v>
      </c>
      <c r="Q12716" s="702">
        <v>0</v>
      </c>
      <c r="R12716" s="703">
        <v>2</v>
      </c>
    </row>
    <row r="12717" spans="1:18" ht="16.5" thickTop="1" thickBot="1" x14ac:dyDescent="0.3">
      <c r="A12717" s="367" t="s">
        <v>37</v>
      </c>
      <c r="B12717" s="2">
        <v>44422</v>
      </c>
      <c r="C12717" s="720">
        <v>25</v>
      </c>
      <c r="D12717" s="39">
        <f t="shared" si="2432"/>
        <v>58641</v>
      </c>
      <c r="E12717" s="662"/>
      <c r="F12717" s="39">
        <f>E12717+F12693</f>
        <v>977</v>
      </c>
      <c r="G12717" s="168">
        <f>SUM(C12717,C12693,C12670,C12645,C12621,C12597,C12573,C12549,C12525,C12501,C12477,C12453,C12429,C12405)/POBLA!$B$20*100000</f>
        <v>435.05843619598687</v>
      </c>
      <c r="H12717" s="256">
        <f t="shared" si="2430"/>
        <v>0.93446601941747576</v>
      </c>
      <c r="I12717" s="297">
        <f t="shared" si="2431"/>
        <v>406.54732508605571</v>
      </c>
      <c r="J12717" s="422">
        <f t="shared" si="2428"/>
        <v>56.142857142857146</v>
      </c>
      <c r="K12717" s="297">
        <f>J12717/POBLA!$B$20*100000</f>
        <v>15.352246154711578</v>
      </c>
      <c r="L12717" s="200">
        <f t="shared" si="2429"/>
        <v>4.244031830238737E-2</v>
      </c>
      <c r="M12717" s="70">
        <f>SUM(C12717,C12693,C12669,C12645,C12621,C12597,C12573)/POBLA!$B$20*100000</f>
        <v>107.46572308298104</v>
      </c>
    </row>
    <row r="12718" spans="1:18" ht="16.5" thickTop="1" thickBot="1" x14ac:dyDescent="0.3">
      <c r="A12718" s="367" t="s">
        <v>22</v>
      </c>
      <c r="B12718" s="2">
        <v>44422</v>
      </c>
      <c r="C12718" s="717">
        <v>545</v>
      </c>
      <c r="D12718" s="39">
        <f t="shared" si="2432"/>
        <v>458998</v>
      </c>
      <c r="E12718" s="662">
        <v>6</v>
      </c>
      <c r="F12718" s="39">
        <f>E12718+F12694</f>
        <v>8132</v>
      </c>
      <c r="G12718" s="168">
        <f>SUM(C12718,C12694,C12670,C12646,C12622,C12598,C12574,C12550,C12526,C12502,C12478,C12454,C12430,C12406)/POBLA!$B$21*100000</f>
        <v>328.69417585817058</v>
      </c>
      <c r="H12718" s="256">
        <f t="shared" si="2430"/>
        <v>0.72713624421368694</v>
      </c>
      <c r="I12718" s="297">
        <f t="shared" si="2431"/>
        <v>239.0054485284233</v>
      </c>
      <c r="J12718" s="422">
        <f t="shared" si="2428"/>
        <v>716.57142857142856</v>
      </c>
      <c r="K12718" s="297">
        <f>J12718/POBLA!$B$21*100000</f>
        <v>20.262633788523544</v>
      </c>
      <c r="L12718" s="200">
        <f t="shared" si="2429"/>
        <v>-0.2409200968523002</v>
      </c>
      <c r="M12718" s="70">
        <f>SUM(C12718,C12694,C12670,C12646,C12622,C12598,C12574)/POBLA!$B$21*100000</f>
        <v>141.83843651966481</v>
      </c>
      <c r="N12718" s="702" t="s">
        <v>22</v>
      </c>
      <c r="O12718" s="702">
        <v>5</v>
      </c>
      <c r="P12718" s="702">
        <v>1</v>
      </c>
      <c r="Q12718" s="702">
        <v>0</v>
      </c>
      <c r="R12718" s="703">
        <v>6</v>
      </c>
    </row>
    <row r="12719" spans="1:18" ht="16.5" thickTop="1" thickBot="1" x14ac:dyDescent="0.3">
      <c r="A12719" s="367" t="s">
        <v>38</v>
      </c>
      <c r="B12719" s="2">
        <v>44422</v>
      </c>
      <c r="C12719" s="717">
        <v>139</v>
      </c>
      <c r="D12719" s="39">
        <f t="shared" si="2432"/>
        <v>77370</v>
      </c>
      <c r="E12719" s="662"/>
      <c r="F12719" s="39">
        <f>E12719+F12695</f>
        <v>1109</v>
      </c>
      <c r="G12719" s="168">
        <f>SUM(C12719,C12695,C12671,C12647,C12623,C12599,C12575,C12551,C12527,C12503,C12479,C12455,C12431,C12407)/POBLA!$B$22*100000</f>
        <v>396.29443746531012</v>
      </c>
      <c r="H12719" s="256">
        <f t="shared" si="2430"/>
        <v>0.81724283305227652</v>
      </c>
      <c r="I12719" s="297">
        <f t="shared" si="2431"/>
        <v>323.86878879700828</v>
      </c>
      <c r="J12719" s="422">
        <f t="shared" si="2428"/>
        <v>224.42857142857142</v>
      </c>
      <c r="K12719" s="297">
        <f>J12719/POBLA!$B$22*100000</f>
        <v>22.940364835034536</v>
      </c>
      <c r="L12719" s="200">
        <f t="shared" si="2429"/>
        <v>-0.31873373807458805</v>
      </c>
      <c r="M12719" s="70">
        <f>SUM(C12719,C12695,C12671,C12647,C12623,C12599,C12575)/POBLA!$B$22*100000</f>
        <v>160.58255384524176</v>
      </c>
      <c r="N12719" s="716"/>
      <c r="O12719" s="717"/>
      <c r="P12719" s="718"/>
    </row>
    <row r="12720" spans="1:18" ht="16.5" thickTop="1" thickBot="1" x14ac:dyDescent="0.3">
      <c r="A12720" s="367" t="s">
        <v>39</v>
      </c>
      <c r="B12720" s="2">
        <v>44422</v>
      </c>
      <c r="C12720" s="720">
        <v>16</v>
      </c>
      <c r="D12720" s="39">
        <f t="shared" si="2432"/>
        <v>31727</v>
      </c>
      <c r="E12720" s="662"/>
      <c r="F12720" s="39">
        <f>E12720+F12696</f>
        <v>500</v>
      </c>
      <c r="G12720" s="168">
        <f>SUM(C12720,C12696,C12672,C12648,C12624,C12600,C12576,C12552,C12528,C12504,C12480,C12456,C12432,C12408)/POBLA!$B$23*100000</f>
        <v>314.99180003393093</v>
      </c>
      <c r="H12720" s="256">
        <f t="shared" si="2430"/>
        <v>0.88132911392405067</v>
      </c>
      <c r="I12720" s="297">
        <f t="shared" si="2431"/>
        <v>277.61144401724607</v>
      </c>
      <c r="J12720" s="422">
        <f t="shared" si="2428"/>
        <v>32.428571428571431</v>
      </c>
      <c r="K12720" s="297">
        <f>J12720/POBLA!$B$23*100000</f>
        <v>18.338840371300925</v>
      </c>
      <c r="L12720" s="200">
        <f t="shared" si="2429"/>
        <v>-0.31212121212121213</v>
      </c>
      <c r="M12720" s="70">
        <f>SUM(C12720,C12696,C12672,C12648,C12624,C12600,C12576)/POBLA!$B$23*100000</f>
        <v>128.3718825991065</v>
      </c>
      <c r="N12720" s="716"/>
      <c r="O12720" s="720"/>
      <c r="P12720" s="719"/>
    </row>
    <row r="12721" spans="1:18" ht="16.5" thickTop="1" thickBot="1" x14ac:dyDescent="0.3">
      <c r="A12721" s="369" t="s">
        <v>40</v>
      </c>
      <c r="B12721" s="2">
        <v>44422</v>
      </c>
      <c r="C12721" s="717">
        <v>233</v>
      </c>
      <c r="D12721" s="176">
        <f t="shared" si="2432"/>
        <v>189795</v>
      </c>
      <c r="F12721" s="176">
        <f>E12722+F12697</f>
        <v>2757</v>
      </c>
      <c r="G12721" s="177">
        <f>SUM(C12721,C12697,C12673,C12649,C12625,C12601,C12577,C12553,C12529,C12505,C12481,C12457,C12433,C12409)/POBLA!$B$24*100000</f>
        <v>531.43528834170479</v>
      </c>
      <c r="H12721" s="402">
        <f t="shared" si="2430"/>
        <v>0.92787966206470229</v>
      </c>
      <c r="I12721" s="403">
        <f t="shared" si="2431"/>
        <v>493.10799575575868</v>
      </c>
      <c r="J12721" s="423">
        <f t="shared" si="2428"/>
        <v>586.14285714285711</v>
      </c>
      <c r="K12721" s="403">
        <f>J12721/POBLA!$B$24*100000</f>
        <v>34.587719108943475</v>
      </c>
      <c r="L12721" s="404">
        <f t="shared" si="2429"/>
        <v>-0.16316540893330611</v>
      </c>
      <c r="M12721" s="704">
        <f>SUM(C12721,C12697,C12673,C12649,C12625,C12601,C12577)/POBLA!$B$24*100000</f>
        <v>242.11403376260435</v>
      </c>
      <c r="N12721" s="716"/>
      <c r="O12721" s="717"/>
      <c r="P12721" s="718"/>
    </row>
    <row r="12722" spans="1:18" x14ac:dyDescent="0.25">
      <c r="A12722" s="363" t="s">
        <v>16</v>
      </c>
      <c r="B12722" s="2">
        <v>44423</v>
      </c>
      <c r="C12722" s="662">
        <v>819</v>
      </c>
      <c r="D12722" s="174">
        <f>C12722+D12698</f>
        <v>2013024</v>
      </c>
      <c r="E12722" s="662">
        <v>57</v>
      </c>
      <c r="F12722" s="174">
        <f>E12723+F12698</f>
        <v>53135</v>
      </c>
      <c r="G12722" s="175">
        <f>SUM(C12722,C12698,C12650,C12674,C12626,C12602,C12578,C12554,C12530,C12506,C12482,C12458,C12434,C12410)/POBLA!$B$1*100000</f>
        <v>211.37165478574056</v>
      </c>
      <c r="H12722" s="300">
        <f t="shared" si="2430"/>
        <v>0.76371838180769547</v>
      </c>
      <c r="I12722" s="301">
        <f>G12722*H12722</f>
        <v>161.42841815298061</v>
      </c>
      <c r="J12722" s="421">
        <f>AVERAGE(C12722,C12698,C12674,C12650,C12626,C12602,C12578)</f>
        <v>2246.8571428571427</v>
      </c>
      <c r="K12722" s="301">
        <f>J12722/POBLA!$B$1*100000</f>
        <v>12.809070646300276</v>
      </c>
      <c r="L12722" s="399">
        <f>(SUM(C12722,C12698,C12674,C12650,C12626,C12602,C12578)/SUM(C12554,C12530,C12506,C12482,C12458,C12434,C12410))-1</f>
        <v>-0.26329102065670518</v>
      </c>
      <c r="M12722" s="567">
        <f>SUM(C12722,C12698,C12674,C12650,C12626,C12602,C12578)/POBLA!$B$1*100000</f>
        <v>89.663494524101935</v>
      </c>
      <c r="N12722" s="42" t="s">
        <v>327</v>
      </c>
      <c r="O12722" s="42">
        <v>24</v>
      </c>
      <c r="P12722" s="42">
        <v>33</v>
      </c>
      <c r="Q12722" s="42">
        <v>0</v>
      </c>
      <c r="R12722" s="42">
        <v>57</v>
      </c>
    </row>
    <row r="12723" spans="1:18" x14ac:dyDescent="0.25">
      <c r="A12723" s="367" t="s">
        <v>43</v>
      </c>
      <c r="B12723" s="2">
        <v>44423</v>
      </c>
      <c r="C12723" s="662">
        <v>364</v>
      </c>
      <c r="D12723" s="39">
        <f t="shared" ref="D12723:D12737" si="2433">C12723+D12699</f>
        <v>501052</v>
      </c>
      <c r="E12723" s="662">
        <v>2</v>
      </c>
      <c r="F12723" s="39">
        <f>E12724+F12699</f>
        <v>11023</v>
      </c>
      <c r="G12723" s="168">
        <f>SUM(C12723,C12699,C12675,C12651,C12627,C12603,C12579,C12555,C12531,C12507,C12483,C12459,C12435,C12411)/POBLA!$B$2*100000</f>
        <v>292.52391204969621</v>
      </c>
      <c r="H12723" s="256">
        <f t="shared" si="2430"/>
        <v>0.88102232667450053</v>
      </c>
      <c r="I12723" s="297">
        <f t="shared" ref="I12723:I12729" si="2434">G12723*H12723</f>
        <v>257.72009760195033</v>
      </c>
      <c r="J12723" s="422">
        <f>AVERAGE(C12723,C12699,C12675,C12651,C12627,C12603,C12579)</f>
        <v>562.57142857142856</v>
      </c>
      <c r="K12723" s="297">
        <f>J12723/POBLA!$B$2*100000</f>
        <v>18.291163175847561</v>
      </c>
      <c r="L12723" s="200">
        <f>(SUM(C12723,C12699,C12675,C12651,C12627,C12603,C12579)/SUM(C12555,C12531,C12507,C12483,C12459,C12435,C12411))-1</f>
        <v>-0.22158529353627199</v>
      </c>
      <c r="M12723" s="70">
        <f>SUM(C12723,C12699,C12675,C12651,C12627,C12603,C12579)/POBLA!$B$2*100000</f>
        <v>128.03814223093295</v>
      </c>
      <c r="N12723" s="42" t="s">
        <v>43</v>
      </c>
      <c r="O12723" s="42">
        <v>1</v>
      </c>
      <c r="P12723" s="42">
        <v>1</v>
      </c>
      <c r="Q12723" s="42">
        <v>0</v>
      </c>
      <c r="R12723" s="42">
        <v>2</v>
      </c>
    </row>
    <row r="12724" spans="1:18" x14ac:dyDescent="0.25">
      <c r="A12724" s="367" t="s">
        <v>28</v>
      </c>
      <c r="B12724" s="2">
        <v>44423</v>
      </c>
      <c r="C12724" s="662">
        <v>119</v>
      </c>
      <c r="D12724" s="39">
        <f t="shared" si="2433"/>
        <v>45572</v>
      </c>
      <c r="E12724" s="662"/>
      <c r="F12724" s="39">
        <f>E12725+F12700</f>
        <v>520</v>
      </c>
      <c r="G12724" s="168">
        <f>SUM(C12724,C12700,C12676,C12652,C12628,C12604,C12580,C12556,C12532,C12508,C12484,C12460,C12436,C12412)/POBLA!$B$3*100000</f>
        <v>728.38787015150274</v>
      </c>
      <c r="H12724" s="256">
        <f t="shared" si="2430"/>
        <v>0.85</v>
      </c>
      <c r="I12724" s="297">
        <f t="shared" si="2434"/>
        <v>619.12968962877733</v>
      </c>
      <c r="J12724" s="422">
        <f t="shared" ref="J12724:J12745" si="2435">AVERAGE(C12724,C12700,C12676,C12652,C12628,C12604,C12580)</f>
        <v>196.57142857142858</v>
      </c>
      <c r="K12724" s="297">
        <f>J12724/POBLA!$B$3*100000</f>
        <v>47.316670254389003</v>
      </c>
      <c r="L12724" s="200">
        <f t="shared" ref="L12724:L12745" si="2436">(SUM(C12724,C12700,C12676,C12652,C12628,C12604,C12580)/SUM(C12556,C12532,C12508,C12484,C12460,C12436,C12412))-1</f>
        <v>-0.16606060606060602</v>
      </c>
      <c r="M12724" s="70">
        <f>SUM(C12724,C12700,C12676,C12652,C12628,C12604,C12580)/POBLA!$B$3*100000</f>
        <v>331.21669178072301</v>
      </c>
    </row>
    <row r="12725" spans="1:18" x14ac:dyDescent="0.25">
      <c r="A12725" s="367" t="s">
        <v>15</v>
      </c>
      <c r="B12725" s="2">
        <v>44423</v>
      </c>
      <c r="C12725" s="662">
        <v>116</v>
      </c>
      <c r="D12725" s="39">
        <f t="shared" si="2433"/>
        <v>96253</v>
      </c>
      <c r="E12725" s="662">
        <v>4</v>
      </c>
      <c r="F12725" s="39">
        <f>E12726+F12701</f>
        <v>2130</v>
      </c>
      <c r="G12725" s="168">
        <f>SUM(C12725,C12701,C12677,C12653,C12629,C12605,C12581,C12557,C12533,C12509,C12485,C12461,C12437,C12413)/POBLA!$B$4*100000</f>
        <v>388.61275788868954</v>
      </c>
      <c r="H12725" s="256">
        <f t="shared" si="2430"/>
        <v>0.85062693076503726</v>
      </c>
      <c r="I12725" s="297">
        <f t="shared" si="2434"/>
        <v>330.56447749899252</v>
      </c>
      <c r="J12725" s="422">
        <f t="shared" si="2435"/>
        <v>271.71428571428572</v>
      </c>
      <c r="K12725" s="297">
        <f>J12725/POBLA!$B$4*100000</f>
        <v>22.557495819095053</v>
      </c>
      <c r="L12725" s="200">
        <f t="shared" si="2436"/>
        <v>-0.31558114429650952</v>
      </c>
      <c r="M12725" s="70">
        <f>SUM(C12725,C12701,C12677,C12653,C12629,C12605,C12581)/POBLA!$B$4*100000</f>
        <v>157.90247073366535</v>
      </c>
      <c r="N12725" s="42" t="s">
        <v>15</v>
      </c>
      <c r="O12725" s="42">
        <v>4</v>
      </c>
      <c r="P12725" s="42">
        <v>0</v>
      </c>
      <c r="Q12725" s="42">
        <v>0</v>
      </c>
      <c r="R12725" s="42">
        <v>4</v>
      </c>
    </row>
    <row r="12726" spans="1:18" x14ac:dyDescent="0.25">
      <c r="A12726" s="367" t="s">
        <v>29</v>
      </c>
      <c r="B12726" s="2">
        <v>44423</v>
      </c>
      <c r="C12726" s="662">
        <v>88</v>
      </c>
      <c r="D12726" s="39">
        <f t="shared" si="2433"/>
        <v>79048</v>
      </c>
      <c r="E12726" s="662">
        <v>5</v>
      </c>
      <c r="F12726" s="39">
        <f>E12727+F12702</f>
        <v>1372</v>
      </c>
      <c r="G12726" s="168">
        <f>SUM(C12726,C12702,C12678,C12654,C12630,C12606,C12582,C12558,C12534,C12510,C12486,C12462,C12438,C12414)/POBLA!$B$5*100000</f>
        <v>410.98944416262515</v>
      </c>
      <c r="H12726" s="256">
        <f t="shared" si="2430"/>
        <v>0.97620874904067534</v>
      </c>
      <c r="I12726" s="297">
        <f t="shared" si="2434"/>
        <v>401.2114911549188</v>
      </c>
      <c r="J12726" s="422">
        <f t="shared" si="2435"/>
        <v>183</v>
      </c>
      <c r="K12726" s="297">
        <f>J12726/POBLA!$B$5*100000</f>
        <v>29.564099167358652</v>
      </c>
      <c r="L12726" s="200">
        <f t="shared" si="2436"/>
        <v>1.4251781472684133E-2</v>
      </c>
      <c r="M12726" s="70">
        <f>SUM(C12726,C12702,C12678,C12654,C12630,C12606,C12582)/POBLA!$B$5*100000</f>
        <v>206.94869417151054</v>
      </c>
      <c r="N12726" s="42" t="s">
        <v>29</v>
      </c>
      <c r="O12726" s="42">
        <v>2</v>
      </c>
      <c r="P12726" s="42">
        <v>3</v>
      </c>
      <c r="Q12726" s="42">
        <v>0</v>
      </c>
      <c r="R12726" s="42">
        <v>5</v>
      </c>
    </row>
    <row r="12727" spans="1:18" x14ac:dyDescent="0.25">
      <c r="A12727" s="367" t="s">
        <v>30</v>
      </c>
      <c r="B12727" s="2">
        <v>44423</v>
      </c>
      <c r="C12727" s="662">
        <v>7</v>
      </c>
      <c r="D12727" s="39">
        <f t="shared" si="2433"/>
        <v>456540</v>
      </c>
      <c r="E12727" s="662"/>
      <c r="F12727" s="39">
        <f>E12728+F12703</f>
        <v>6019</v>
      </c>
      <c r="G12727" s="168">
        <f>SUM(C12727,C12703,C12679,C12655,C12631,C12607,C12583,C12559,C12535,C12511,C12487,C12463,C12439,C12415)/POBLA!$B$6*100000</f>
        <v>657.03010614729999</v>
      </c>
      <c r="H12727" s="256">
        <f t="shared" si="2430"/>
        <v>1.1500858972356707</v>
      </c>
      <c r="I12727" s="297">
        <f t="shared" si="2434"/>
        <v>755.64105913926539</v>
      </c>
      <c r="J12727" s="422">
        <f t="shared" si="2435"/>
        <v>502.85714285714283</v>
      </c>
      <c r="K12727" s="297">
        <f>J12727/POBLA!$B$6*100000</f>
        <v>44.865872073378128</v>
      </c>
      <c r="L12727" s="200">
        <f t="shared" si="2436"/>
        <v>-8.4287200832466214E-2</v>
      </c>
      <c r="M12727" s="70">
        <f>SUM(C12727,C12703,C12679,C12655,C12631,C12607,C12583)/POBLA!$B$6*100000</f>
        <v>314.06110451364697</v>
      </c>
    </row>
    <row r="12728" spans="1:18" x14ac:dyDescent="0.25">
      <c r="A12728" s="367" t="s">
        <v>20</v>
      </c>
      <c r="B12728" s="2">
        <v>44423</v>
      </c>
      <c r="C12728" s="662">
        <v>427</v>
      </c>
      <c r="D12728" s="39">
        <f t="shared" si="2433"/>
        <v>123358</v>
      </c>
      <c r="E12728" s="662">
        <v>7</v>
      </c>
      <c r="F12728" s="39">
        <f>E12729+F12704</f>
        <v>1376</v>
      </c>
      <c r="G12728" s="168">
        <f>SUM(C12728,C12704,C12680,C12656,C12632,C12608,C12584,C12560,C12536,C12512,C12488,C12464,C12440,C12416)/POBLA!$B$7*100000</f>
        <v>589.84961906154842</v>
      </c>
      <c r="H12728" s="256">
        <f t="shared" si="2430"/>
        <v>0.9239773389985837</v>
      </c>
      <c r="I12728" s="297">
        <f t="shared" si="2434"/>
        <v>545.00768142981781</v>
      </c>
      <c r="J12728" s="422">
        <f t="shared" si="2435"/>
        <v>1434.7142857142858</v>
      </c>
      <c r="K12728" s="297">
        <f>J12728/POBLA!$B$7*100000</f>
        <v>38.152728681787707</v>
      </c>
      <c r="L12728" s="200">
        <f t="shared" si="2436"/>
        <v>-0.17259845114516392</v>
      </c>
      <c r="M12728" s="70">
        <f>SUM(C12728,C12704,C12680,C12656,C12632,C12608,C12584)/POBLA!$B$7*100000</f>
        <v>267.06910077251393</v>
      </c>
      <c r="N12728" s="42" t="s">
        <v>20</v>
      </c>
      <c r="O12728" s="42">
        <v>2</v>
      </c>
      <c r="P12728" s="42">
        <v>5</v>
      </c>
      <c r="Q12728" s="42">
        <v>0</v>
      </c>
      <c r="R12728" s="42">
        <v>7</v>
      </c>
    </row>
    <row r="12729" spans="1:18" x14ac:dyDescent="0.25">
      <c r="A12729" s="367" t="s">
        <v>31</v>
      </c>
      <c r="B12729" s="2">
        <v>44423</v>
      </c>
      <c r="C12729" s="662">
        <v>89</v>
      </c>
      <c r="D12729" s="39">
        <f t="shared" si="2433"/>
        <v>132180</v>
      </c>
      <c r="E12729" s="662"/>
      <c r="F12729" s="39">
        <f>E12730+F12705</f>
        <v>2256</v>
      </c>
      <c r="G12729" s="168">
        <f>SUM(C12729,C12705,C12681,C12657,C12633,C12609,C12585,C12561,C12537,C12513,C12489,C12465,C12441,C12417)/POBLA!$B$8*100000</f>
        <v>290.05145166422432</v>
      </c>
      <c r="H12729" s="256">
        <f t="shared" ref="H12729:H12752" si="2437">SUM(C12729,C12705,C12681,C12657,C12633,C12609,C12585,C12561,C12537,C12513,C12489,C12465,C12441,C12417,)/SUM(C12393,C12369,C12345,C12321,C12297,C12273,C12249,C12225,C12201,C12177,C12153,C12129,C12105,C12081)</f>
        <v>0.66977674108630458</v>
      </c>
      <c r="I12729" s="297">
        <f t="shared" si="2434"/>
        <v>194.26971604301596</v>
      </c>
      <c r="J12729" s="422">
        <f t="shared" si="2435"/>
        <v>251.85714285714286</v>
      </c>
      <c r="K12729" s="297">
        <f>J12729/POBLA!$B$8*100000</f>
        <v>18.17202236261647</v>
      </c>
      <c r="L12729" s="200">
        <f t="shared" si="2436"/>
        <v>-0.21887461231723526</v>
      </c>
      <c r="M12729" s="70">
        <f>SUM(C12729,C12705,C12681,C12657,C12633,C12609,C12585)/POBLA!$B$8*100000</f>
        <v>127.20415653831529</v>
      </c>
    </row>
    <row r="12730" spans="1:18" x14ac:dyDescent="0.25">
      <c r="A12730" s="367" t="s">
        <v>41</v>
      </c>
      <c r="B12730" s="2">
        <v>44423</v>
      </c>
      <c r="C12730" s="662">
        <v>126</v>
      </c>
      <c r="D12730" s="39">
        <f t="shared" si="2433"/>
        <v>59038</v>
      </c>
      <c r="E12730" s="662">
        <v>7</v>
      </c>
      <c r="F12730" s="39">
        <f>E12731+F12706</f>
        <v>1081</v>
      </c>
      <c r="G12730" s="168">
        <f>SUM(C12730,C12706,C12682,C12658,C12634,C12610,C12586,C12562,C12538,C12514,C12490,C12466,C12442,C12418)/POBLA!$B$9*100000</f>
        <v>462.49708770590536</v>
      </c>
      <c r="H12730" s="256">
        <f t="shared" si="2437"/>
        <v>0.80523590333716921</v>
      </c>
      <c r="I12730" s="297">
        <f>G12730*H12730</f>
        <v>372.41926020967469</v>
      </c>
      <c r="J12730" s="422">
        <f t="shared" si="2435"/>
        <v>181.57142857142858</v>
      </c>
      <c r="K12730" s="297">
        <f>J12730/POBLA!$B$9*100000</f>
        <v>30.002235414393191</v>
      </c>
      <c r="L12730" s="200">
        <f t="shared" si="2436"/>
        <v>-0.16819371727748689</v>
      </c>
      <c r="M12730" s="70">
        <f>SUM(C12730,C12706,C12682,C12658,C12634,C12610,C12586)/POBLA!$B$9*100000</f>
        <v>210.0156479007523</v>
      </c>
      <c r="N12730" s="42" t="s">
        <v>41</v>
      </c>
      <c r="O12730" s="42">
        <v>5</v>
      </c>
      <c r="P12730" s="42">
        <v>2</v>
      </c>
      <c r="Q12730" s="42">
        <v>0</v>
      </c>
      <c r="R12730" s="42">
        <v>7</v>
      </c>
    </row>
    <row r="12731" spans="1:18" x14ac:dyDescent="0.25">
      <c r="A12731" s="367" t="s">
        <v>32</v>
      </c>
      <c r="B12731" s="2">
        <v>44423</v>
      </c>
      <c r="C12731" s="662">
        <v>64</v>
      </c>
      <c r="D12731" s="39">
        <f t="shared" si="2433"/>
        <v>45670</v>
      </c>
      <c r="E12731" s="662">
        <v>3</v>
      </c>
      <c r="F12731" s="39">
        <f>E12732+F12707</f>
        <v>1378</v>
      </c>
      <c r="G12731" s="168">
        <f>SUM(C12731,C12707,C12683,C12659,C12635,C12611,C12587,C12563,C12539,C12515,C12491,C12467,C12443,C12419)/POBLA!$B$10*100000</f>
        <v>258.66508579145159</v>
      </c>
      <c r="H12731" s="256">
        <f t="shared" si="2437"/>
        <v>0.68616655196145904</v>
      </c>
      <c r="I12731" s="297">
        <f t="shared" ref="I12731:I12745" si="2438">G12731*H12731</f>
        <v>177.48733003033533</v>
      </c>
      <c r="J12731" s="422">
        <f t="shared" si="2435"/>
        <v>121.85714285714286</v>
      </c>
      <c r="K12731" s="297">
        <f>J12731/POBLA!$B$10*100000</f>
        <v>15.807516705839534</v>
      </c>
      <c r="L12731" s="200">
        <f t="shared" si="2436"/>
        <v>-0.252410166520596</v>
      </c>
      <c r="M12731" s="70">
        <f>SUM(C12731,C12707,C12683,C12659,C12635,C12611,C12587)/POBLA!$B$10*100000</f>
        <v>110.65261694087674</v>
      </c>
      <c r="N12731" s="42" t="s">
        <v>32</v>
      </c>
      <c r="O12731" s="42">
        <v>1</v>
      </c>
      <c r="P12731" s="42">
        <v>2</v>
      </c>
      <c r="Q12731" s="42">
        <v>0</v>
      </c>
      <c r="R12731" s="42">
        <v>3</v>
      </c>
    </row>
    <row r="12732" spans="1:18" x14ac:dyDescent="0.25">
      <c r="A12732" s="367" t="s">
        <v>33</v>
      </c>
      <c r="B12732" s="2">
        <v>44423</v>
      </c>
      <c r="C12732" s="662">
        <v>97</v>
      </c>
      <c r="D12732" s="39">
        <f t="shared" si="2433"/>
        <v>64841</v>
      </c>
      <c r="E12732" s="662"/>
      <c r="F12732" s="39">
        <f>E12733+F12708</f>
        <v>877</v>
      </c>
      <c r="G12732" s="168">
        <f>SUM(C12732,C12708,C12684,C12660,C12636,C12612,C12588,C12564,C12540,C12516,C12492,C12468,C12444,C12420)/POBLA!$B$11*100000</f>
        <v>891.11341747854533</v>
      </c>
      <c r="H12732" s="256">
        <f t="shared" si="2437"/>
        <v>0.82574974146845914</v>
      </c>
      <c r="I12732" s="297">
        <f t="shared" si="2438"/>
        <v>735.83667410198393</v>
      </c>
      <c r="J12732" s="422">
        <f t="shared" si="2435"/>
        <v>214.85714285714286</v>
      </c>
      <c r="K12732" s="297">
        <f>J12732/POBLA!$B$11*100000</f>
        <v>59.944296443677075</v>
      </c>
      <c r="L12732" s="200">
        <f t="shared" si="2436"/>
        <v>-0.11005917159763312</v>
      </c>
      <c r="M12732" s="70">
        <f>SUM(C12732,C12708,C12684,C12660,C12636,C12612,C12588)/POBLA!$B$11*100000</f>
        <v>419.61007510573955</v>
      </c>
    </row>
    <row r="12733" spans="1:18" x14ac:dyDescent="0.25">
      <c r="A12733" s="367" t="s">
        <v>21</v>
      </c>
      <c r="B12733" s="2">
        <v>44423</v>
      </c>
      <c r="C12733" s="662">
        <v>124</v>
      </c>
      <c r="D12733" s="39">
        <f t="shared" si="2433"/>
        <v>30969</v>
      </c>
      <c r="E12733" s="662"/>
      <c r="F12733" s="39">
        <f>E12734+F12709</f>
        <v>877</v>
      </c>
      <c r="G12733" s="168">
        <f>SUM(C12733,C12709,C12685,C12661,C12637,C12613,C12589,C12565,C12541,C12517,C12493,C12469,C12445,C12421)/POBLA!$B$12*100000</f>
        <v>612.14999580719177</v>
      </c>
      <c r="H12733" s="256">
        <f t="shared" si="2437"/>
        <v>0.85214007782101164</v>
      </c>
      <c r="I12733" s="297">
        <f t="shared" si="2438"/>
        <v>521.63754506527232</v>
      </c>
      <c r="J12733" s="422">
        <f t="shared" si="2435"/>
        <v>130.57142857142858</v>
      </c>
      <c r="K12733" s="297">
        <f>J12733/POBLA!$B$12*100000</f>
        <v>33.179451827538003</v>
      </c>
      <c r="L12733" s="200">
        <f t="shared" si="2436"/>
        <v>-0.38862876254180601</v>
      </c>
      <c r="M12733" s="70">
        <f>SUM(C12733,C12709,C12685,C12661,C12637,C12613,C12589)/POBLA!$B$12*100000</f>
        <v>232.25616279276602</v>
      </c>
    </row>
    <row r="12734" spans="1:18" x14ac:dyDescent="0.25">
      <c r="A12734" s="367" t="s">
        <v>17</v>
      </c>
      <c r="B12734" s="2">
        <v>44423</v>
      </c>
      <c r="C12734" s="662">
        <v>115</v>
      </c>
      <c r="D12734" s="39">
        <f t="shared" si="2433"/>
        <v>158990</v>
      </c>
      <c r="E12734" s="662">
        <v>11</v>
      </c>
      <c r="F12734" s="39">
        <f>E12735+F12710</f>
        <v>4123</v>
      </c>
      <c r="G12734" s="168">
        <f>SUM(C12734,C12710,C12686,C12662,C12638,C12614,C12590,C12566,C12542,C12518,C12494,C12470,C12446,C12422)/POBLA!$B$13*100000</f>
        <v>233.22671827599129</v>
      </c>
      <c r="H12734" s="256">
        <f t="shared" si="2437"/>
        <v>0.78438661710037172</v>
      </c>
      <c r="I12734" s="297">
        <f t="shared" si="2438"/>
        <v>182.93991656592624</v>
      </c>
      <c r="J12734" s="422">
        <f t="shared" si="2435"/>
        <v>289.28571428571428</v>
      </c>
      <c r="K12734" s="297">
        <f>J12734/POBLA!$B$13*100000</f>
        <v>14.534501892930461</v>
      </c>
      <c r="L12734" s="200">
        <f t="shared" si="2436"/>
        <v>-0.2262132212457012</v>
      </c>
      <c r="M12734" s="70">
        <f>SUM(C12734,C12710,C12686,C12662,C12638,C12614,C12590)/POBLA!$B$13*100000</f>
        <v>101.74151325051324</v>
      </c>
      <c r="N12734" s="42" t="s">
        <v>17</v>
      </c>
      <c r="O12734" s="42">
        <v>5</v>
      </c>
      <c r="P12734" s="42">
        <v>5</v>
      </c>
      <c r="Q12734" s="42">
        <v>1</v>
      </c>
      <c r="R12734" s="42">
        <v>11</v>
      </c>
    </row>
    <row r="12735" spans="1:18" x14ac:dyDescent="0.25">
      <c r="A12735" s="367" t="s">
        <v>23</v>
      </c>
      <c r="B12735" s="2">
        <v>44423</v>
      </c>
      <c r="C12735" s="662">
        <v>160</v>
      </c>
      <c r="D12735" s="39">
        <f t="shared" si="2433"/>
        <v>33393</v>
      </c>
      <c r="E12735" s="662">
        <v>3</v>
      </c>
      <c r="F12735" s="39">
        <f>E12736+F12711</f>
        <v>628</v>
      </c>
      <c r="G12735" s="168">
        <f>SUM(C12735,C12711,C12687,C12663,C12639,C12615,C12591,C12567,C12543,C12519,C12495,C12471,C12447,C12423)/POBLA!$B$14*100000</f>
        <v>185.28590479301414</v>
      </c>
      <c r="H12735" s="256">
        <f t="shared" si="2437"/>
        <v>0.91360437842064113</v>
      </c>
      <c r="I12735" s="297">
        <f t="shared" si="2438"/>
        <v>169.27801387852779</v>
      </c>
      <c r="J12735" s="422">
        <f t="shared" si="2435"/>
        <v>169</v>
      </c>
      <c r="K12735" s="297">
        <f>J12735/POBLA!$B$14*100000</f>
        <v>13.398937916140092</v>
      </c>
      <c r="L12735" s="200">
        <f t="shared" si="2436"/>
        <v>2.512998266897748E-2</v>
      </c>
      <c r="M12735" s="70">
        <f>SUM(C12735,C12711,C12687,C12663,C12639,C12615,C12591)/POBLA!$B$14*100000</f>
        <v>93.792565412980636</v>
      </c>
      <c r="N12735" s="42" t="s">
        <v>23</v>
      </c>
      <c r="O12735" s="42">
        <v>1</v>
      </c>
      <c r="P12735" s="42">
        <v>2</v>
      </c>
      <c r="Q12735" s="42">
        <v>0</v>
      </c>
      <c r="R12735" s="42">
        <v>3</v>
      </c>
    </row>
    <row r="12736" spans="1:18" x14ac:dyDescent="0.25">
      <c r="A12736" s="367" t="s">
        <v>19</v>
      </c>
      <c r="B12736" s="2">
        <v>44423</v>
      </c>
      <c r="C12736" s="662">
        <v>68</v>
      </c>
      <c r="D12736" s="39">
        <f t="shared" si="2433"/>
        <v>110379</v>
      </c>
      <c r="E12736" s="662"/>
      <c r="F12736" s="39">
        <f>E12737+F12712</f>
        <v>2095</v>
      </c>
      <c r="G12736" s="168">
        <f>SUM(C12736,C12712,C12688,C12664,C12640,C12616,C12592,C12568,C12544,C12520,C12496,C12472,C12448,C12424)/POBLA!$B$15*100000</f>
        <v>408.54926610215688</v>
      </c>
      <c r="H12736" s="256">
        <f t="shared" si="2437"/>
        <v>0.96823697359029259</v>
      </c>
      <c r="I12736" s="297">
        <f t="shared" si="2438"/>
        <v>395.57250497328749</v>
      </c>
      <c r="J12736" s="422">
        <f t="shared" si="2435"/>
        <v>177</v>
      </c>
      <c r="K12736" s="297">
        <f>J12736/POBLA!$B$15*100000</f>
        <v>26.65433840769693</v>
      </c>
      <c r="L12736" s="200">
        <f t="shared" si="2436"/>
        <v>-0.15943012211668928</v>
      </c>
      <c r="M12736" s="70">
        <f>SUM(C12736,C12712,C12688,C12664,C12640,C12616,C12592)/POBLA!$B$15*100000</f>
        <v>186.5803688538785</v>
      </c>
    </row>
    <row r="12737" spans="1:18" x14ac:dyDescent="0.25">
      <c r="A12737" s="367" t="s">
        <v>18</v>
      </c>
      <c r="B12737" s="2">
        <v>44423</v>
      </c>
      <c r="C12737" s="662">
        <v>87</v>
      </c>
      <c r="D12737" s="39">
        <f t="shared" si="2433"/>
        <v>95983</v>
      </c>
      <c r="E12737" s="662"/>
      <c r="F12737" s="39">
        <f>E12738+F12713</f>
        <v>2168</v>
      </c>
      <c r="G12737" s="168">
        <f>SUM(C12737,C12713,C12689,C12665,C12641,C12617,C12593,C12569,C12545,C12521,C12497,C12473,C12449,C12425)/POBLA!$B$16*100000</f>
        <v>468.82732975749383</v>
      </c>
      <c r="H12737" s="256">
        <f t="shared" si="2437"/>
        <v>0.8363159150560725</v>
      </c>
      <c r="I12737" s="297">
        <f t="shared" si="2438"/>
        <v>392.08775728943351</v>
      </c>
      <c r="J12737" s="422">
        <f t="shared" si="2435"/>
        <v>237</v>
      </c>
      <c r="K12737" s="297">
        <f>J12737/POBLA!$B$16*100000</f>
        <v>31.701020585599441</v>
      </c>
      <c r="L12737" s="200">
        <f t="shared" si="2436"/>
        <v>-0.10130010834236192</v>
      </c>
      <c r="M12737" s="70">
        <f>SUM(C12737,C12713,C12689,C12665,C12641,C12617,C12593)/POBLA!$B$16*100000</f>
        <v>221.90714409919613</v>
      </c>
    </row>
    <row r="12738" spans="1:18" x14ac:dyDescent="0.25">
      <c r="A12738" s="367" t="s">
        <v>34</v>
      </c>
      <c r="B12738" s="2">
        <v>44423</v>
      </c>
      <c r="C12738" s="662">
        <v>107</v>
      </c>
      <c r="D12738" s="39">
        <f>C12738+D12714</f>
        <v>79274</v>
      </c>
      <c r="E12738" s="662"/>
      <c r="F12738" s="39">
        <f>E12739+F12714</f>
        <v>2217</v>
      </c>
      <c r="G12738" s="168">
        <f>SUM(C12738,C12714,C12690,C12666,C12642,C12618,C12594,C12570,C12546,C12522,C12498,C12474,C12450,C12426)/POBLA!$B$17*100000</f>
        <v>271.76412194072299</v>
      </c>
      <c r="H12738" s="256">
        <f t="shared" si="2437"/>
        <v>0.78855163984518228</v>
      </c>
      <c r="I12738" s="297">
        <f t="shared" si="2438"/>
        <v>214.3000440074432</v>
      </c>
      <c r="J12738" s="422">
        <f t="shared" si="2435"/>
        <v>248.85714285714286</v>
      </c>
      <c r="K12738" s="297">
        <f>J12738/POBLA!$B$17*100000</f>
        <v>17.471052161521182</v>
      </c>
      <c r="L12738" s="200">
        <f t="shared" si="2436"/>
        <v>-0.18177548144668854</v>
      </c>
      <c r="M12738" s="70">
        <f>SUM(C12738,C12714,C12690,C12666,C12642,C12618,C12594)/POBLA!$B$17*100000</f>
        <v>122.29736513064827</v>
      </c>
    </row>
    <row r="12739" spans="1:18" x14ac:dyDescent="0.25">
      <c r="A12739" s="367" t="s">
        <v>35</v>
      </c>
      <c r="B12739" s="2">
        <v>44423</v>
      </c>
      <c r="C12739" s="662">
        <v>34</v>
      </c>
      <c r="D12739" s="39">
        <f t="shared" ref="D12739:D12745" si="2439">C12739+D12715</f>
        <v>63856</v>
      </c>
      <c r="E12739" s="662">
        <v>3</v>
      </c>
      <c r="F12739" s="39">
        <f>E12740+F12715</f>
        <v>1004</v>
      </c>
      <c r="G12739" s="168">
        <f>SUM(C12739,C12715,C12691,C12667,C12643,C12619,C12595,C12571,C12547,C12523,C12499,C12475,C12451,C12427)/POBLA!$B$18*100000</f>
        <v>375.31185317267801</v>
      </c>
      <c r="H12739" s="256">
        <f t="shared" si="2437"/>
        <v>0.69167256428402923</v>
      </c>
      <c r="I12739" s="297">
        <f t="shared" si="2438"/>
        <v>259.59291189013726</v>
      </c>
      <c r="J12739" s="422">
        <f t="shared" si="2435"/>
        <v>207.14285714285714</v>
      </c>
      <c r="K12739" s="297">
        <f>J12739/POBLA!$B$18*100000</f>
        <v>26.515405725023541</v>
      </c>
      <c r="L12739" s="200">
        <f t="shared" si="2436"/>
        <v>-2.1592442645074206E-2</v>
      </c>
      <c r="M12739" s="70">
        <f>SUM(C12739,C12715,C12691,C12667,C12643,C12619,C12595)/POBLA!$B$18*100000</f>
        <v>185.60784007516477</v>
      </c>
      <c r="N12739" s="42" t="s">
        <v>35</v>
      </c>
      <c r="O12739" s="42">
        <v>2</v>
      </c>
      <c r="P12739" s="42">
        <v>1</v>
      </c>
      <c r="Q12739" s="42">
        <v>0</v>
      </c>
      <c r="R12739" s="42">
        <v>3</v>
      </c>
    </row>
    <row r="12740" spans="1:18" x14ac:dyDescent="0.25">
      <c r="A12740" s="367" t="s">
        <v>36</v>
      </c>
      <c r="B12740" s="2">
        <v>44423</v>
      </c>
      <c r="C12740" s="662">
        <v>148</v>
      </c>
      <c r="D12740" s="39">
        <f t="shared" si="2439"/>
        <v>78115</v>
      </c>
      <c r="E12740" s="662">
        <v>1</v>
      </c>
      <c r="F12740" s="39">
        <f>E12741+F12716</f>
        <v>1306</v>
      </c>
      <c r="G12740" s="168">
        <f>SUM(C12740,C12716,C12692,C12668,C12644,C12620,C12596,C12572,C12548,C12524,C12500,C12476,C12452,C12428)/POBLA!$B$19*100000</f>
        <v>582.89136148313685</v>
      </c>
      <c r="H12740" s="256">
        <f t="shared" si="2437"/>
        <v>0.84826796450042941</v>
      </c>
      <c r="I12740" s="297">
        <f t="shared" si="2438"/>
        <v>494.4480687301845</v>
      </c>
      <c r="J12740" s="422">
        <f t="shared" si="2435"/>
        <v>178.71428571428572</v>
      </c>
      <c r="K12740" s="297">
        <f>J12740/POBLA!$B$19*100000</f>
        <v>35.157277528345034</v>
      </c>
      <c r="L12740" s="200">
        <f t="shared" si="2436"/>
        <v>-0.26927570093457942</v>
      </c>
      <c r="M12740" s="70">
        <f>SUM(C12740,C12716,C12692,C12668,C12644,C12620,C12596)/POBLA!$B$19*100000</f>
        <v>246.10094269841522</v>
      </c>
      <c r="N12740" s="42" t="s">
        <v>37</v>
      </c>
      <c r="O12740" s="42">
        <v>0</v>
      </c>
      <c r="P12740" s="42">
        <v>1</v>
      </c>
      <c r="Q12740" s="42">
        <v>0</v>
      </c>
      <c r="R12740" s="42">
        <v>1</v>
      </c>
    </row>
    <row r="12741" spans="1:18" x14ac:dyDescent="0.25">
      <c r="A12741" s="367" t="s">
        <v>37</v>
      </c>
      <c r="B12741" s="2">
        <v>44423</v>
      </c>
      <c r="C12741" s="662">
        <v>21</v>
      </c>
      <c r="D12741" s="39">
        <f t="shared" si="2439"/>
        <v>58662</v>
      </c>
      <c r="E12741" s="662"/>
      <c r="F12741" s="39">
        <f>E12741+F12717</f>
        <v>977</v>
      </c>
      <c r="G12741" s="168">
        <f>SUM(C12741,C12717,C12694,C12669,C12645,C12621,C12597,C12573,C12549,C12525,C12501,C12477,C12453,C12429)/POBLA!$B$20*100000</f>
        <v>371.8915607960667</v>
      </c>
      <c r="H12741" s="256">
        <f t="shared" si="2437"/>
        <v>0.97880299251870329</v>
      </c>
      <c r="I12741" s="297">
        <f t="shared" si="2438"/>
        <v>364.00857259964135</v>
      </c>
      <c r="J12741" s="422">
        <f t="shared" si="2435"/>
        <v>55.714285714285715</v>
      </c>
      <c r="K12741" s="297">
        <f>J12741/POBLA!$B$20*100000</f>
        <v>15.23505343597332</v>
      </c>
      <c r="L12741" s="200">
        <f t="shared" si="2436"/>
        <v>-1.2658227848101222E-2</v>
      </c>
      <c r="M12741" s="70">
        <f>SUM(C12741,C12717,C12693,C12669,C12645,C12621,C12597)/POBLA!$B$20*100000</f>
        <v>106.64537405181325</v>
      </c>
    </row>
    <row r="12742" spans="1:18" x14ac:dyDescent="0.25">
      <c r="A12742" s="367" t="s">
        <v>22</v>
      </c>
      <c r="B12742" s="2">
        <v>44423</v>
      </c>
      <c r="C12742" s="662">
        <v>272</v>
      </c>
      <c r="D12742" s="39">
        <f t="shared" si="2439"/>
        <v>459270</v>
      </c>
      <c r="E12742" s="662"/>
      <c r="F12742" s="39">
        <f>E12742+F12718</f>
        <v>8132</v>
      </c>
      <c r="G12742" s="168">
        <f>SUM(C12742,C12718,C12694,C12670,C12646,C12622,C12598,C12574,C12550,C12526,C12502,C12478,C12454,C12430)/POBLA!$B$21*100000</f>
        <v>323.66083421134044</v>
      </c>
      <c r="H12742" s="256">
        <f t="shared" si="2437"/>
        <v>0.72567044950231407</v>
      </c>
      <c r="I12742" s="297">
        <f t="shared" si="2438"/>
        <v>234.87110304843736</v>
      </c>
      <c r="J12742" s="422">
        <f t="shared" si="2435"/>
        <v>700.42857142857144</v>
      </c>
      <c r="K12742" s="297">
        <f>J12742/POBLA!$B$21*100000</f>
        <v>19.806158984276504</v>
      </c>
      <c r="L12742" s="200">
        <f t="shared" si="2436"/>
        <v>-0.25064954913648174</v>
      </c>
      <c r="M12742" s="70">
        <f>SUM(C12742,C12718,C12694,C12670,C12646,C12622,C12598)/POBLA!$B$21*100000</f>
        <v>138.64311288993551</v>
      </c>
    </row>
    <row r="12743" spans="1:18" x14ac:dyDescent="0.25">
      <c r="A12743" s="367" t="s">
        <v>38</v>
      </c>
      <c r="B12743" s="2">
        <v>44423</v>
      </c>
      <c r="C12743" s="662">
        <v>150</v>
      </c>
      <c r="D12743" s="39">
        <f t="shared" si="2439"/>
        <v>77520</v>
      </c>
      <c r="E12743" s="662"/>
      <c r="F12743" s="39">
        <f>E12743+F12719</f>
        <v>1109</v>
      </c>
      <c r="G12743" s="168">
        <f>SUM(C12743,C12719,C12695,C12671,C12647,C12623,C12599,C12575,C12551,C12527,C12503,C12479,C12455,C12431)/POBLA!$B$22*100000</f>
        <v>386.58384382094482</v>
      </c>
      <c r="H12743" s="256">
        <f t="shared" si="2437"/>
        <v>0.81263429308122048</v>
      </c>
      <c r="I12743" s="297">
        <f t="shared" si="2438"/>
        <v>314.15128864005442</v>
      </c>
      <c r="J12743" s="422">
        <f t="shared" si="2435"/>
        <v>217.14285714285714</v>
      </c>
      <c r="K12743" s="297">
        <f>J12743/POBLA!$B$22*100000</f>
        <v>22.195642615692233</v>
      </c>
      <c r="L12743" s="200">
        <f t="shared" si="2436"/>
        <v>-0.32802829354553498</v>
      </c>
      <c r="M12743" s="70">
        <f>SUM(C12743,C12719,C12695,C12671,C12647,C12623,C12599)/POBLA!$B$22*100000</f>
        <v>155.36949830984562</v>
      </c>
    </row>
    <row r="12744" spans="1:18" x14ac:dyDescent="0.25">
      <c r="A12744" s="367" t="s">
        <v>39</v>
      </c>
      <c r="B12744" s="2">
        <v>44423</v>
      </c>
      <c r="C12744" s="662">
        <v>20</v>
      </c>
      <c r="D12744" s="39">
        <f t="shared" si="2439"/>
        <v>31747</v>
      </c>
      <c r="E12744" s="662"/>
      <c r="F12744" s="39">
        <f>E12744+F12720</f>
        <v>500</v>
      </c>
      <c r="G12744" s="168">
        <f>SUM(C12744,C12720,C12696,C12672,C12648,C12624,C12600,C12576,C12552,C12528,C12504,C12480,C12456,C12432)/POBLA!$B$23*100000</f>
        <v>304.81253181021322</v>
      </c>
      <c r="H12744" s="256">
        <f t="shared" si="2437"/>
        <v>0.8229007633587786</v>
      </c>
      <c r="I12744" s="297">
        <f t="shared" si="2438"/>
        <v>250.83046510794645</v>
      </c>
      <c r="J12744" s="422">
        <f t="shared" si="2435"/>
        <v>32.571428571428569</v>
      </c>
      <c r="K12744" s="297">
        <f>J12744/POBLA!$B$23*100000</f>
        <v>18.419628214346304</v>
      </c>
      <c r="L12744" s="200">
        <f t="shared" si="2436"/>
        <v>-0.26688102893890675</v>
      </c>
      <c r="M12744" s="70">
        <f>SUM(C12744,C12720,C12696,C12672,C12648,C12624,C12600)/POBLA!$B$23*100000</f>
        <v>128.93739750042414</v>
      </c>
    </row>
    <row r="12745" spans="1:18" ht="15.75" thickBot="1" x14ac:dyDescent="0.3">
      <c r="A12745" s="369" t="s">
        <v>40</v>
      </c>
      <c r="B12745" s="2">
        <v>44423</v>
      </c>
      <c r="C12745" s="662">
        <v>105</v>
      </c>
      <c r="D12745" s="176">
        <f t="shared" si="2439"/>
        <v>189900</v>
      </c>
      <c r="E12745" s="662"/>
      <c r="F12745" s="176">
        <f>E12745+F12721</f>
        <v>2757</v>
      </c>
      <c r="G12745" s="177">
        <f>SUM(C12745,C12721,C12697,C12673,C12649,C12625,C12601,C12577,C12553,C12529,C12505,C12481,C12457,C12433)/POBLA!$B$24*100000</f>
        <v>530.3141168473129</v>
      </c>
      <c r="H12745" s="402">
        <f t="shared" si="2437"/>
        <v>0.94025946850805608</v>
      </c>
      <c r="I12745" s="403">
        <f t="shared" si="2438"/>
        <v>498.63286964917359</v>
      </c>
      <c r="J12745" s="423">
        <f t="shared" si="2435"/>
        <v>579.57142857142856</v>
      </c>
      <c r="K12745" s="403">
        <f>J12745/POBLA!$B$24*100000</f>
        <v>34.199945509379397</v>
      </c>
      <c r="L12745" s="404">
        <f t="shared" si="2436"/>
        <v>-0.17707910750507094</v>
      </c>
      <c r="M12745" s="704">
        <f>SUM(C12745,C12721,C12697,C12673,C12649,C12625,C12601)/POBLA!$B$24*100000</f>
        <v>239.3996185656558</v>
      </c>
    </row>
    <row r="12746" spans="1:18" x14ac:dyDescent="0.25">
      <c r="A12746" s="363" t="s">
        <v>16</v>
      </c>
      <c r="B12746" s="2">
        <v>44424</v>
      </c>
      <c r="C12746" s="662">
        <v>711</v>
      </c>
      <c r="D12746" s="174">
        <f>C12746+D12722</f>
        <v>2013735</v>
      </c>
      <c r="E12746" s="1">
        <v>12</v>
      </c>
      <c r="F12746" s="174">
        <f>E12747+F12722</f>
        <v>53141</v>
      </c>
      <c r="G12746" s="175">
        <f>SUM(C12746,C12722,C12674,C12698,C12650,C12626,C12602,C12578,C12554,C12530,C12506,C12482,C12458,C12434)/POBLA!$B$1*100000</f>
        <v>197.82635576556851</v>
      </c>
      <c r="H12746" s="300">
        <f t="shared" si="2437"/>
        <v>0.72456777749937362</v>
      </c>
      <c r="I12746" s="301">
        <f>G12746*H12746</f>
        <v>143.33860292785837</v>
      </c>
      <c r="J12746" s="421">
        <f>AVERAGE(C12746,C12722,C12698,C12674,C12650,C12626,C12602)</f>
        <v>1972.5714285714287</v>
      </c>
      <c r="K12746" s="301">
        <f>J12746/POBLA!$B$1*100000</f>
        <v>11.245399763740732</v>
      </c>
      <c r="L12746" s="399">
        <f>(SUM(C12746,C12722,C12698,C12674,C12650,C12626,C12602)/SUM(C12578,C12554,C12530,C12506,C12482,C12458,C12434))-1</f>
        <v>-0.33910879241851333</v>
      </c>
      <c r="M12746" s="567">
        <f>SUM(C12746,C12722,C12698,C12674,C12650,C12626,C12602)/POBLA!$B$1*100000</f>
        <v>78.71779834618512</v>
      </c>
      <c r="N12746" s="42" t="s">
        <v>319</v>
      </c>
      <c r="O12746" s="42">
        <v>7</v>
      </c>
      <c r="P12746" s="42">
        <v>5</v>
      </c>
      <c r="Q12746" s="42">
        <v>0</v>
      </c>
      <c r="R12746" s="42">
        <v>12</v>
      </c>
    </row>
    <row r="12747" spans="1:18" x14ac:dyDescent="0.25">
      <c r="A12747" s="367" t="s">
        <v>43</v>
      </c>
      <c r="B12747" s="2">
        <v>44424</v>
      </c>
      <c r="C12747" s="662">
        <v>288</v>
      </c>
      <c r="D12747" s="39">
        <f t="shared" ref="D12747:D12761" si="2440">C12747+D12723</f>
        <v>501340</v>
      </c>
      <c r="E12747" s="1">
        <v>6</v>
      </c>
      <c r="F12747" s="39">
        <f>E12748+F12723</f>
        <v>11023</v>
      </c>
      <c r="G12747" s="168">
        <f>SUM(C12747,C12723,C12699,C12675,C12651,C12627,C12603,C12579,C12555,C12531,C12507,C12483,C12459,C12435)/POBLA!$B$2*100000</f>
        <v>279.71359512765775</v>
      </c>
      <c r="H12747" s="256">
        <f t="shared" si="2437"/>
        <v>0.84976293954958515</v>
      </c>
      <c r="I12747" s="297">
        <f t="shared" ref="I12747:I12753" si="2441">G12747*H12747</f>
        <v>237.69024682766099</v>
      </c>
      <c r="J12747" s="422">
        <f>AVERAGE(C12747,C12723,C12699,C12675,C12651,C12627,C12603)</f>
        <v>517.85714285714289</v>
      </c>
      <c r="K12747" s="297">
        <f>J12747/POBLA!$B$2*100000</f>
        <v>16.837345483099906</v>
      </c>
      <c r="L12747" s="200">
        <f>(SUM(C12747,C12723,C12699,C12675,C12651,C12627,C12603)/SUM(C12579,C12555,C12531,C12507,C12483,C12459,C12435))-1</f>
        <v>-0.2717959019686621</v>
      </c>
      <c r="M12747" s="70">
        <f>SUM(C12747,C12723,C12699,C12675,C12651,C12627,C12603)/POBLA!$B$2*100000</f>
        <v>117.86141838169932</v>
      </c>
      <c r="N12747" s="42" t="s">
        <v>43</v>
      </c>
      <c r="O12747" s="42">
        <v>2</v>
      </c>
      <c r="P12747" s="42">
        <v>3</v>
      </c>
      <c r="Q12747" s="42">
        <v>1</v>
      </c>
      <c r="R12747" s="42">
        <v>6</v>
      </c>
    </row>
    <row r="12748" spans="1:18" x14ac:dyDescent="0.25">
      <c r="A12748" s="367" t="s">
        <v>28</v>
      </c>
      <c r="B12748" s="2">
        <v>44424</v>
      </c>
      <c r="C12748" s="662">
        <v>80</v>
      </c>
      <c r="D12748" s="39">
        <f t="shared" si="2440"/>
        <v>45652</v>
      </c>
      <c r="F12748" s="39">
        <f>E12749+F12724</f>
        <v>523</v>
      </c>
      <c r="G12748" s="168">
        <f>SUM(C12748,C12724,C12700,C12676,C12652,C12628,C12604,C12580,C12556,C12532,C12508,C12484,C12460,C12436)/POBLA!$B$3*100000</f>
        <v>689.63359153471754</v>
      </c>
      <c r="H12748" s="256">
        <f t="shared" si="2437"/>
        <v>0.80162283156127589</v>
      </c>
      <c r="I12748" s="297">
        <f t="shared" si="2441"/>
        <v>552.8260323858326</v>
      </c>
      <c r="J12748" s="422">
        <f t="shared" ref="J12748:J12769" si="2442">AVERAGE(C12748,C12724,C12700,C12676,C12652,C12628,C12604)</f>
        <v>184</v>
      </c>
      <c r="K12748" s="297">
        <f>J12748/POBLA!$B$3*100000</f>
        <v>44.290604133468776</v>
      </c>
      <c r="L12748" s="200">
        <f t="shared" ref="L12748:L12769" si="2443">(SUM(C12748,C12724,C12700,C12676,C12652,C12628,C12604)/SUM(C12580,C12556,C12532,C12508,C12484,C12460,C12436))-1</f>
        <v>-0.18325935320228282</v>
      </c>
      <c r="M12748" s="70">
        <f>SUM(C12748,C12724,C12700,C12676,C12652,C12628,C12604)/POBLA!$B$3*100000</f>
        <v>310.03422893428137</v>
      </c>
    </row>
    <row r="12749" spans="1:18" x14ac:dyDescent="0.25">
      <c r="A12749" s="367" t="s">
        <v>15</v>
      </c>
      <c r="B12749" s="2">
        <v>44424</v>
      </c>
      <c r="C12749" s="662">
        <v>139</v>
      </c>
      <c r="D12749" s="39">
        <f t="shared" si="2440"/>
        <v>96392</v>
      </c>
      <c r="E12749" s="1">
        <v>3</v>
      </c>
      <c r="F12749" s="39">
        <f>E12750+F12725</f>
        <v>2131</v>
      </c>
      <c r="G12749" s="168">
        <f>SUM(C12749,C12725,C12701,C12677,C12653,C12629,C12605,C12581,C12557,C12533,C12509,C12485,C12461,C12437)/POBLA!$B$4*100000</f>
        <v>360.05416170973007</v>
      </c>
      <c r="H12749" s="256">
        <f t="shared" si="2437"/>
        <v>0.76856282119440011</v>
      </c>
      <c r="I12749" s="297">
        <f t="shared" si="2441"/>
        <v>276.72424230641491</v>
      </c>
      <c r="J12749" s="422">
        <f t="shared" si="2442"/>
        <v>237.71428571428572</v>
      </c>
      <c r="K12749" s="297">
        <f>J12749/POBLA!$B$4*100000</f>
        <v>19.73484387117464</v>
      </c>
      <c r="L12749" s="200">
        <f t="shared" si="2443"/>
        <v>-0.37747848858959965</v>
      </c>
      <c r="M12749" s="70">
        <f>SUM(C12749,C12725,C12701,C12677,C12653,C12629,C12605)/POBLA!$B$4*100000</f>
        <v>138.14390709822248</v>
      </c>
      <c r="N12749" s="42" t="s">
        <v>15</v>
      </c>
      <c r="O12749" s="42">
        <v>0</v>
      </c>
      <c r="P12749" s="42">
        <v>3</v>
      </c>
      <c r="Q12749" s="42">
        <v>0</v>
      </c>
      <c r="R12749" s="42">
        <v>3</v>
      </c>
    </row>
    <row r="12750" spans="1:18" x14ac:dyDescent="0.25">
      <c r="A12750" s="367" t="s">
        <v>29</v>
      </c>
      <c r="B12750" s="2">
        <v>44424</v>
      </c>
      <c r="C12750" s="662">
        <v>116</v>
      </c>
      <c r="D12750" s="39">
        <f t="shared" si="2440"/>
        <v>79164</v>
      </c>
      <c r="E12750" s="1">
        <v>1</v>
      </c>
      <c r="F12750" s="39">
        <f>E12751+F12726</f>
        <v>1378</v>
      </c>
      <c r="G12750" s="168">
        <f>SUM(C12750,C12726,C12702,C12678,C12654,C12630,C12606,C12582,C12558,C12534,C12510,C12486,C12462,C12438)/POBLA!$B$5*100000</f>
        <v>412.76652116175603</v>
      </c>
      <c r="H12750" s="256">
        <f t="shared" si="2437"/>
        <v>0.99648985959438374</v>
      </c>
      <c r="I12750" s="297">
        <f t="shared" si="2441"/>
        <v>411.31765271774049</v>
      </c>
      <c r="J12750" s="422">
        <f t="shared" si="2442"/>
        <v>169.85714285714286</v>
      </c>
      <c r="K12750" s="297">
        <f>J12750/POBLA!$B$5*100000</f>
        <v>27.440838337228289</v>
      </c>
      <c r="L12750" s="200">
        <f t="shared" si="2443"/>
        <v>-0.12957540263543188</v>
      </c>
      <c r="M12750" s="70">
        <f>SUM(C12750,C12726,C12702,C12678,C12654,C12630,C12606)/POBLA!$B$5*100000</f>
        <v>192.085868360598</v>
      </c>
      <c r="N12750" s="42" t="s">
        <v>29</v>
      </c>
      <c r="O12750" s="42">
        <v>0</v>
      </c>
      <c r="P12750" s="42">
        <v>1</v>
      </c>
      <c r="Q12750" s="42">
        <v>0</v>
      </c>
      <c r="R12750" s="42">
        <v>1</v>
      </c>
    </row>
    <row r="12751" spans="1:18" x14ac:dyDescent="0.25">
      <c r="A12751" s="367" t="s">
        <v>30</v>
      </c>
      <c r="B12751" s="2">
        <v>44424</v>
      </c>
      <c r="C12751" s="662">
        <v>6</v>
      </c>
      <c r="D12751" s="39">
        <f t="shared" si="2440"/>
        <v>456546</v>
      </c>
      <c r="E12751" s="1">
        <v>6</v>
      </c>
      <c r="F12751" s="39">
        <f>E12752+F12727</f>
        <v>6021</v>
      </c>
      <c r="G12751" s="168">
        <f>SUM(C12751,C12727,C12703,C12679,C12655,C12631,C12607,C12583,C12559,C12535,C12511,C12487,C12463,C12439)/POBLA!$B$6*100000</f>
        <v>637.04439949643154</v>
      </c>
      <c r="H12751" s="256">
        <f t="shared" si="2437"/>
        <v>1.11807077983088</v>
      </c>
      <c r="I12751" s="297">
        <f t="shared" si="2441"/>
        <v>712.26072853186986</v>
      </c>
      <c r="J12751" s="422">
        <f t="shared" si="2442"/>
        <v>468.57142857142856</v>
      </c>
      <c r="K12751" s="297">
        <f>J12751/POBLA!$B$6*100000</f>
        <v>41.806835341102349</v>
      </c>
      <c r="L12751" s="200">
        <f t="shared" si="2443"/>
        <v>-0.15025906735751293</v>
      </c>
      <c r="M12751" s="70">
        <f>SUM(C12751,C12727,C12703,C12679,C12655,C12631,C12607)/POBLA!$B$6*100000</f>
        <v>292.64784738771647</v>
      </c>
      <c r="N12751" s="42" t="s">
        <v>30</v>
      </c>
      <c r="O12751" s="42">
        <v>4</v>
      </c>
      <c r="P12751" s="42">
        <v>2</v>
      </c>
      <c r="Q12751" s="42">
        <v>0</v>
      </c>
      <c r="R12751" s="42">
        <v>6</v>
      </c>
    </row>
    <row r="12752" spans="1:18" x14ac:dyDescent="0.25">
      <c r="A12752" s="367" t="s">
        <v>20</v>
      </c>
      <c r="B12752" s="2">
        <v>44424</v>
      </c>
      <c r="C12752" s="662">
        <v>631</v>
      </c>
      <c r="D12752" s="39">
        <f t="shared" si="2440"/>
        <v>123989</v>
      </c>
      <c r="E12752" s="1">
        <v>2</v>
      </c>
      <c r="F12752" s="39">
        <f>E12753+F12728</f>
        <v>1377</v>
      </c>
      <c r="G12752" s="168">
        <f>SUM(C12752,C12728,C12704,C12680,C12656,C12632,C12608,C12584,C12560,C12536,C12512,C12488,C12464,C12440)/POBLA!$B$7*100000</f>
        <v>572.69741653259575</v>
      </c>
      <c r="H12752" s="256">
        <f t="shared" si="2437"/>
        <v>0.89035885563089134</v>
      </c>
      <c r="I12752" s="297">
        <f t="shared" si="2441"/>
        <v>509.90621640672987</v>
      </c>
      <c r="J12752" s="422">
        <f t="shared" si="2442"/>
        <v>1300.4285714285713</v>
      </c>
      <c r="K12752" s="297">
        <f>J12752/POBLA!$B$7*100000</f>
        <v>34.581727490820811</v>
      </c>
      <c r="L12752" s="200">
        <f t="shared" si="2443"/>
        <v>-0.2678355988096196</v>
      </c>
      <c r="M12752" s="70">
        <f>SUM(C12752,C12728,C12704,C12680,C12656,C12632,C12608)/POBLA!$B$7*100000</f>
        <v>242.07209243574573</v>
      </c>
      <c r="N12752" s="42" t="s">
        <v>20</v>
      </c>
      <c r="O12752" s="42">
        <v>0</v>
      </c>
      <c r="P12752" s="42">
        <v>2</v>
      </c>
      <c r="Q12752" s="42">
        <v>0</v>
      </c>
      <c r="R12752" s="42">
        <v>2</v>
      </c>
    </row>
    <row r="12753" spans="1:18" x14ac:dyDescent="0.25">
      <c r="A12753" s="367" t="s">
        <v>31</v>
      </c>
      <c r="B12753" s="2">
        <v>44424</v>
      </c>
      <c r="C12753" s="662">
        <v>66</v>
      </c>
      <c r="D12753" s="39">
        <f t="shared" si="2440"/>
        <v>132246</v>
      </c>
      <c r="E12753" s="1">
        <v>1</v>
      </c>
      <c r="F12753" s="39">
        <f>E12754+F12729</f>
        <v>2259</v>
      </c>
      <c r="G12753" s="168">
        <f>SUM(C12753,C12729,C12705,C12681,C12657,C12633,C12609,C12585,C12561,C12537,C12513,C12489,C12465,C12441)/POBLA!$B$8*100000</f>
        <v>275.62103118341713</v>
      </c>
      <c r="H12753" s="256">
        <f t="shared" ref="H12753:H12776" si="2444">SUM(C12753,C12729,C12705,C12681,C12657,C12633,C12609,C12585,C12561,C12537,C12513,C12489,C12465,C12441,)/SUM(C12417,C12393,C12369,C12345,C12321,C12297,C12273,C12249,C12225,C12201,C12177,C12153,C12129,C12105)</f>
        <v>0.64527027027027029</v>
      </c>
      <c r="I12753" s="297">
        <f t="shared" si="2441"/>
        <v>177.85005728389416</v>
      </c>
      <c r="J12753" s="422">
        <f t="shared" si="2442"/>
        <v>229</v>
      </c>
      <c r="K12753" s="297">
        <f>J12753/POBLA!$B$8*100000</f>
        <v>16.522831450524219</v>
      </c>
      <c r="L12753" s="200">
        <f t="shared" si="2443"/>
        <v>-0.27695083446098334</v>
      </c>
      <c r="M12753" s="70">
        <f>SUM(C12753,C12729,C12705,C12681,C12657,C12633,C12609)/POBLA!$B$8*100000</f>
        <v>115.65982015366956</v>
      </c>
      <c r="N12753" s="42" t="s">
        <v>31</v>
      </c>
      <c r="O12753" s="42">
        <v>1</v>
      </c>
      <c r="P12753" s="42">
        <v>0</v>
      </c>
      <c r="Q12753" s="42">
        <v>0</v>
      </c>
      <c r="R12753" s="42">
        <v>1</v>
      </c>
    </row>
    <row r="12754" spans="1:18" x14ac:dyDescent="0.25">
      <c r="A12754" s="367" t="s">
        <v>41</v>
      </c>
      <c r="B12754" s="2">
        <v>44424</v>
      </c>
      <c r="C12754" s="662">
        <v>111</v>
      </c>
      <c r="D12754" s="39">
        <f t="shared" si="2440"/>
        <v>59149</v>
      </c>
      <c r="E12754" s="1">
        <v>3</v>
      </c>
      <c r="F12754" s="39">
        <f>E12755+F12730</f>
        <v>1084</v>
      </c>
      <c r="G12754" s="168">
        <f>SUM(C12754,C12730,C12706,C12682,C12658,C12634,C12610,C12586,C12562,C12538,C12514,C12490,C12466,C12442)/POBLA!$B$9*100000</f>
        <v>454.89620666465078</v>
      </c>
      <c r="H12754" s="256">
        <f t="shared" si="2444"/>
        <v>0.81209439528023597</v>
      </c>
      <c r="I12754" s="297">
        <f>G12754*H12754</f>
        <v>369.41865986660281</v>
      </c>
      <c r="J12754" s="422">
        <f t="shared" si="2442"/>
        <v>167.57142857142858</v>
      </c>
      <c r="K12754" s="297">
        <f>J12754/POBLA!$B$9*100000</f>
        <v>27.68892379314179</v>
      </c>
      <c r="L12754" s="200">
        <f t="shared" si="2443"/>
        <v>-0.2575949367088608</v>
      </c>
      <c r="M12754" s="70">
        <f>SUM(C12754,C12730,C12706,C12682,C12658,C12634,C12610)/POBLA!$B$9*100000</f>
        <v>193.82246655199251</v>
      </c>
      <c r="N12754" s="42" t="s">
        <v>41</v>
      </c>
      <c r="O12754" s="42">
        <v>1</v>
      </c>
      <c r="P12754" s="42">
        <v>2</v>
      </c>
      <c r="Q12754" s="42">
        <v>0</v>
      </c>
      <c r="R12754" s="42">
        <v>3</v>
      </c>
    </row>
    <row r="12755" spans="1:18" x14ac:dyDescent="0.25">
      <c r="A12755" s="367" t="s">
        <v>32</v>
      </c>
      <c r="B12755" s="2">
        <v>44424</v>
      </c>
      <c r="C12755" s="662">
        <v>35</v>
      </c>
      <c r="D12755" s="39">
        <f t="shared" si="2440"/>
        <v>45705</v>
      </c>
      <c r="E12755" s="1">
        <v>3</v>
      </c>
      <c r="F12755" s="39">
        <f>E12756+F12731</f>
        <v>1378</v>
      </c>
      <c r="G12755" s="168">
        <f>SUM(C12755,C12731,C12707,C12683,C12659,C12635,C12611,C12587,C12563,C12539,C12515,C12491,C12467,C12443)/POBLA!$B$10*100000</f>
        <v>247.24957548571052</v>
      </c>
      <c r="H12755" s="256">
        <f t="shared" si="2444"/>
        <v>0.69791285243500545</v>
      </c>
      <c r="I12755" s="297">
        <f t="shared" ref="I12755:I12769" si="2445">G12755*H12755</f>
        <v>172.55865649057642</v>
      </c>
      <c r="J12755" s="422">
        <f t="shared" si="2442"/>
        <v>112</v>
      </c>
      <c r="K12755" s="297">
        <f>J12755/POBLA!$B$10*100000</f>
        <v>14.528831298215938</v>
      </c>
      <c r="L12755" s="200">
        <f t="shared" si="2443"/>
        <v>-0.30124777183600715</v>
      </c>
      <c r="M12755" s="70">
        <f>SUM(C12755,C12731,C12707,C12683,C12659,C12635,C12611)/POBLA!$B$10*100000</f>
        <v>101.70181908751155</v>
      </c>
      <c r="N12755" s="42" t="s">
        <v>32</v>
      </c>
      <c r="O12755" s="42">
        <v>1</v>
      </c>
      <c r="P12755" s="42">
        <v>2</v>
      </c>
      <c r="Q12755" s="42">
        <v>0</v>
      </c>
      <c r="R12755" s="42">
        <v>3</v>
      </c>
    </row>
    <row r="12756" spans="1:18" x14ac:dyDescent="0.25">
      <c r="A12756" s="367" t="s">
        <v>33</v>
      </c>
      <c r="B12756" s="2">
        <v>44424</v>
      </c>
      <c r="C12756" s="662">
        <v>138</v>
      </c>
      <c r="D12756" s="39">
        <f t="shared" si="2440"/>
        <v>64979</v>
      </c>
      <c r="F12756" s="39">
        <f>E12757+F12732</f>
        <v>878</v>
      </c>
      <c r="G12756" s="168">
        <f>SUM(C12756,C12732,C12708,C12684,C12660,C12636,C12612,C12588,C12564,C12540,C12516,C12492,C12468,C12444)/POBLA!$B$11*100000</f>
        <v>859.30786657292401</v>
      </c>
      <c r="H12756" s="256">
        <f t="shared" si="2444"/>
        <v>0.80565001307873396</v>
      </c>
      <c r="I12756" s="297">
        <f t="shared" si="2445"/>
        <v>692.30139394313517</v>
      </c>
      <c r="J12756" s="422">
        <f t="shared" si="2442"/>
        <v>190.85714285714286</v>
      </c>
      <c r="K12756" s="297">
        <f>J12756/POBLA!$B$11*100000</f>
        <v>53.248390989862081</v>
      </c>
      <c r="L12756" s="200">
        <f t="shared" si="2443"/>
        <v>-0.23394495412844041</v>
      </c>
      <c r="M12756" s="70">
        <f>SUM(C12756,C12732,C12708,C12684,C12660,C12636,C12612)/POBLA!$B$11*100000</f>
        <v>372.73873692903459</v>
      </c>
    </row>
    <row r="12757" spans="1:18" x14ac:dyDescent="0.25">
      <c r="A12757" s="367" t="s">
        <v>21</v>
      </c>
      <c r="B12757" s="2">
        <v>44424</v>
      </c>
      <c r="C12757" s="662">
        <v>208</v>
      </c>
      <c r="D12757" s="39">
        <f t="shared" si="2440"/>
        <v>31177</v>
      </c>
      <c r="E12757" s="1">
        <v>1</v>
      </c>
      <c r="F12757" s="39">
        <f>E12758+F12733</f>
        <v>886</v>
      </c>
      <c r="G12757" s="168">
        <f>SUM(C12757,C12733,C12709,C12685,C12661,C12637,C12613,C12589,C12565,C12541,C12517,C12493,C12469,C12445)/POBLA!$B$12*100000</f>
        <v>609.35479034688501</v>
      </c>
      <c r="H12757" s="256">
        <f t="shared" si="2444"/>
        <v>0.82320631651218679</v>
      </c>
      <c r="I12757" s="297">
        <f t="shared" si="2445"/>
        <v>501.62471241051503</v>
      </c>
      <c r="J12757" s="422">
        <f t="shared" si="2442"/>
        <v>148.28571428571428</v>
      </c>
      <c r="K12757" s="297">
        <f>J12757/POBLA!$B$12*100000</f>
        <v>37.680821659720401</v>
      </c>
      <c r="L12757" s="200">
        <f t="shared" si="2443"/>
        <v>-0.23676470588235299</v>
      </c>
      <c r="M12757" s="70">
        <f>SUM(C12757,C12733,C12709,C12685,C12661,C12637,C12613)/POBLA!$B$12*100000</f>
        <v>263.76575161804283</v>
      </c>
      <c r="N12757" s="42" t="s">
        <v>21</v>
      </c>
      <c r="O12757" s="42">
        <v>1</v>
      </c>
      <c r="P12757" s="42">
        <v>0</v>
      </c>
      <c r="Q12757" s="42">
        <v>0</v>
      </c>
      <c r="R12757" s="42">
        <v>1</v>
      </c>
    </row>
    <row r="12758" spans="1:18" x14ac:dyDescent="0.25">
      <c r="A12758" s="367" t="s">
        <v>17</v>
      </c>
      <c r="B12758" s="2">
        <v>44424</v>
      </c>
      <c r="C12758" s="662">
        <v>76</v>
      </c>
      <c r="D12758" s="39">
        <f t="shared" si="2440"/>
        <v>159066</v>
      </c>
      <c r="E12758" s="1">
        <v>9</v>
      </c>
      <c r="F12758" s="39">
        <f>E12759+F12734</f>
        <v>4126</v>
      </c>
      <c r="G12758" s="168">
        <f>SUM(C12758,C12734,C12710,C12686,C12662,C12638,C12614,C12590,C12566,C12542,C12518,C12494,C12470,C12446)/POBLA!$B$13*100000</f>
        <v>215.08909541997392</v>
      </c>
      <c r="H12758" s="256">
        <f t="shared" si="2444"/>
        <v>0.72338627914836096</v>
      </c>
      <c r="I12758" s="297">
        <f t="shared" si="2445"/>
        <v>155.59250042124171</v>
      </c>
      <c r="J12758" s="422">
        <f t="shared" si="2442"/>
        <v>255.71428571428572</v>
      </c>
      <c r="K12758" s="297">
        <f>J12758/POBLA!$B$13*100000</f>
        <v>12.847781920170631</v>
      </c>
      <c r="L12758" s="200">
        <f t="shared" si="2443"/>
        <v>-0.28141308711360902</v>
      </c>
      <c r="M12758" s="70">
        <f>SUM(C12758,C12734,C12710,C12686,C12662,C12638,C12614)/POBLA!$B$13*100000</f>
        <v>89.934473441194413</v>
      </c>
      <c r="N12758" s="42" t="s">
        <v>17</v>
      </c>
      <c r="O12758" s="42">
        <v>3</v>
      </c>
      <c r="P12758" s="42">
        <v>6</v>
      </c>
      <c r="Q12758" s="42">
        <v>0</v>
      </c>
      <c r="R12758" s="42">
        <v>9</v>
      </c>
    </row>
    <row r="12759" spans="1:18" x14ac:dyDescent="0.25">
      <c r="A12759" s="367" t="s">
        <v>23</v>
      </c>
      <c r="B12759" s="2">
        <v>44424</v>
      </c>
      <c r="C12759" s="662">
        <v>145</v>
      </c>
      <c r="D12759" s="39">
        <f t="shared" si="2440"/>
        <v>33538</v>
      </c>
      <c r="E12759" s="1">
        <v>3</v>
      </c>
      <c r="F12759" s="39">
        <f>E12760+F12735</f>
        <v>628</v>
      </c>
      <c r="G12759" s="168">
        <f>SUM(C12759,C12735,C12711,C12687,C12663,C12639,C12615,C12591,C12567,C12543,C12519,C12495,C12471,C12447)/POBLA!$B$14*100000</f>
        <v>187.03014523180161</v>
      </c>
      <c r="H12759" s="256">
        <f t="shared" si="2444"/>
        <v>0.99117647058823533</v>
      </c>
      <c r="I12759" s="297">
        <f t="shared" si="2445"/>
        <v>185.37987924446219</v>
      </c>
      <c r="J12759" s="422">
        <f t="shared" si="2442"/>
        <v>172.85714285714286</v>
      </c>
      <c r="K12759" s="297">
        <f>J12759/POBLA!$B$14*100000</f>
        <v>13.704746304758674</v>
      </c>
      <c r="L12759" s="200">
        <f t="shared" si="2443"/>
        <v>5.3089643167972156E-2</v>
      </c>
      <c r="M12759" s="70">
        <f>SUM(C12759,C12735,C12711,C12687,C12663,C12639,C12615)/POBLA!$B$14*100000</f>
        <v>95.933224133310702</v>
      </c>
      <c r="N12759" s="42" t="s">
        <v>23</v>
      </c>
      <c r="O12759" s="42">
        <v>2</v>
      </c>
      <c r="P12759" s="42">
        <v>1</v>
      </c>
      <c r="Q12759" s="42">
        <v>0</v>
      </c>
      <c r="R12759" s="42">
        <v>3</v>
      </c>
    </row>
    <row r="12760" spans="1:18" x14ac:dyDescent="0.25">
      <c r="A12760" s="367" t="s">
        <v>19</v>
      </c>
      <c r="B12760" s="2">
        <v>44424</v>
      </c>
      <c r="C12760" s="662">
        <v>76</v>
      </c>
      <c r="D12760" s="39">
        <f t="shared" si="2440"/>
        <v>110455</v>
      </c>
      <c r="F12760" s="39">
        <f>E12761+F12736</f>
        <v>2096</v>
      </c>
      <c r="G12760" s="168">
        <f>SUM(C12760,C12736,C12712,C12688,C12664,C12640,C12616,C12592,C12568,C12544,C12520,C12496,C12472,C12448)/POBLA!$B$15*100000</f>
        <v>383.09964355469486</v>
      </c>
      <c r="H12760" s="256">
        <f t="shared" si="2444"/>
        <v>0.88364015283084407</v>
      </c>
      <c r="I12760" s="297">
        <f t="shared" si="2445"/>
        <v>338.52222758011249</v>
      </c>
      <c r="J12760" s="422">
        <f t="shared" si="2442"/>
        <v>160.28571428571428</v>
      </c>
      <c r="K12760" s="297">
        <f>J12760/POBLA!$B$15*100000</f>
        <v>24.137342771134747</v>
      </c>
      <c r="L12760" s="200">
        <f t="shared" si="2443"/>
        <v>-0.21097046413502107</v>
      </c>
      <c r="M12760" s="70">
        <f>SUM(C12760,C12736,C12712,C12688,C12664,C12640,C12616)/POBLA!$B$15*100000</f>
        <v>168.96139939794327</v>
      </c>
    </row>
    <row r="12761" spans="1:18" x14ac:dyDescent="0.25">
      <c r="A12761" s="367" t="s">
        <v>18</v>
      </c>
      <c r="B12761" s="2">
        <v>44424</v>
      </c>
      <c r="C12761" s="662">
        <v>102</v>
      </c>
      <c r="D12761" s="39">
        <f t="shared" si="2440"/>
        <v>96085</v>
      </c>
      <c r="E12761" s="1">
        <v>1</v>
      </c>
      <c r="F12761" s="39">
        <f>E12762+F12737</f>
        <v>2169</v>
      </c>
      <c r="G12761" s="168">
        <f>SUM(C12761,C12737,C12713,C12689,C12665,C12641,C12617,C12593,C12569,C12545,C12521,C12497,C12473,C12449)/POBLA!$B$16*100000</f>
        <v>439.53398162143367</v>
      </c>
      <c r="H12761" s="256">
        <f t="shared" si="2444"/>
        <v>0.78387404580152675</v>
      </c>
      <c r="I12761" s="297">
        <f t="shared" si="2445"/>
        <v>344.53928044084711</v>
      </c>
      <c r="J12761" s="422">
        <f t="shared" si="2442"/>
        <v>225.14285714285714</v>
      </c>
      <c r="K12761" s="297">
        <f>J12761/POBLA!$B$16*100000</f>
        <v>30.115014130744257</v>
      </c>
      <c r="L12761" s="200">
        <f t="shared" si="2443"/>
        <v>-7.8362573099415189E-2</v>
      </c>
      <c r="M12761" s="70">
        <f>SUM(C12761,C12737,C12713,C12689,C12665,C12641,C12617)/POBLA!$B$16*100000</f>
        <v>210.80509891520981</v>
      </c>
      <c r="N12761" s="42" t="s">
        <v>18</v>
      </c>
      <c r="O12761" s="42">
        <v>0</v>
      </c>
      <c r="P12761" s="42">
        <v>1</v>
      </c>
      <c r="Q12761" s="42">
        <v>0</v>
      </c>
      <c r="R12761" s="42">
        <v>1</v>
      </c>
    </row>
    <row r="12762" spans="1:18" x14ac:dyDescent="0.25">
      <c r="A12762" s="367" t="s">
        <v>34</v>
      </c>
      <c r="B12762" s="2">
        <v>44424</v>
      </c>
      <c r="C12762" s="662">
        <v>62</v>
      </c>
      <c r="D12762" s="39">
        <f>C12762+D12738</f>
        <v>79336</v>
      </c>
      <c r="E12762" s="1">
        <v>1</v>
      </c>
      <c r="F12762" s="39">
        <f>E12763+F12738</f>
        <v>2221</v>
      </c>
      <c r="G12762" s="168">
        <f>SUM(C12762,C12738,C12714,C12690,C12666,C12642,C12618,C12594,C12570,C12546,C12522,C12498,C12474,C12450)/POBLA!$B$17*100000</f>
        <v>254.42345076548182</v>
      </c>
      <c r="H12762" s="256">
        <f t="shared" si="2444"/>
        <v>0.74598600247015234</v>
      </c>
      <c r="I12762" s="297">
        <f t="shared" si="2445"/>
        <v>189.79633297120341</v>
      </c>
      <c r="J12762" s="422">
        <f t="shared" si="2442"/>
        <v>223.42857142857142</v>
      </c>
      <c r="K12762" s="297">
        <f>J12762/POBLA!$B$17*100000</f>
        <v>15.685835580148751</v>
      </c>
      <c r="L12762" s="200">
        <f t="shared" si="2443"/>
        <v>-0.24077669902912624</v>
      </c>
      <c r="M12762" s="70">
        <f>SUM(C12762,C12738,C12714,C12690,C12666,C12642,C12618)/POBLA!$B$17*100000</f>
        <v>109.80084906104126</v>
      </c>
      <c r="N12762" s="42" t="s">
        <v>34</v>
      </c>
      <c r="O12762" s="42">
        <v>0</v>
      </c>
      <c r="P12762" s="42">
        <v>1</v>
      </c>
      <c r="Q12762" s="42">
        <v>0</v>
      </c>
      <c r="R12762" s="42">
        <v>1</v>
      </c>
    </row>
    <row r="12763" spans="1:18" x14ac:dyDescent="0.25">
      <c r="A12763" s="367" t="s">
        <v>35</v>
      </c>
      <c r="B12763" s="2">
        <v>44424</v>
      </c>
      <c r="C12763" s="662">
        <v>31</v>
      </c>
      <c r="D12763" s="39">
        <f t="shared" ref="D12763:D12769" si="2446">C12763+D12739</f>
        <v>63887</v>
      </c>
      <c r="E12763" s="1">
        <v>4</v>
      </c>
      <c r="F12763" s="39">
        <f>E12764+F12739</f>
        <v>1004</v>
      </c>
      <c r="G12763" s="168">
        <f>SUM(C12763,C12739,C12715,C12691,C12667,C12643,C12619,C12595,C12571,C12547,C12523,C12499,C12475,C12451)/POBLA!$B$18*100000</f>
        <v>359.69519352497451</v>
      </c>
      <c r="H12763" s="256">
        <f t="shared" si="2444"/>
        <v>0.67402254737347089</v>
      </c>
      <c r="I12763" s="297">
        <f t="shared" si="2445"/>
        <v>242.4426706176969</v>
      </c>
      <c r="J12763" s="422">
        <f t="shared" si="2442"/>
        <v>177.57142857142858</v>
      </c>
      <c r="K12763" s="297">
        <f>J12763/POBLA!$B$18*100000</f>
        <v>22.730102976692596</v>
      </c>
      <c r="L12763" s="200">
        <f t="shared" si="2443"/>
        <v>-0.20676451818761965</v>
      </c>
      <c r="M12763" s="70">
        <f>SUM(C12763,C12739,C12715,C12691,C12667,C12643,C12619)/POBLA!$B$18*100000</f>
        <v>159.11072083684815</v>
      </c>
      <c r="N12763" s="42" t="s">
        <v>35</v>
      </c>
      <c r="O12763" s="42">
        <v>1</v>
      </c>
      <c r="P12763" s="42">
        <v>3</v>
      </c>
      <c r="Q12763" s="42">
        <v>0</v>
      </c>
      <c r="R12763" s="42">
        <v>4</v>
      </c>
    </row>
    <row r="12764" spans="1:18" x14ac:dyDescent="0.25">
      <c r="A12764" s="367" t="s">
        <v>36</v>
      </c>
      <c r="B12764" s="2">
        <v>44424</v>
      </c>
      <c r="C12764" s="662">
        <v>138</v>
      </c>
      <c r="D12764" s="39">
        <f t="shared" si="2446"/>
        <v>78253</v>
      </c>
      <c r="F12764" s="39">
        <f>E12765+F12740</f>
        <v>1307</v>
      </c>
      <c r="G12764" s="168">
        <f>SUM(C12764,C12740,C12716,C12692,C12668,C12644,C12620,C12596,C12572,C12548,C12524,C12500,C12476,C12452)/POBLA!$B$19*100000</f>
        <v>567.15349144646768</v>
      </c>
      <c r="H12764" s="256">
        <f t="shared" si="2444"/>
        <v>0.8274971297359357</v>
      </c>
      <c r="I12764" s="297">
        <f t="shared" si="2445"/>
        <v>469.31788629166658</v>
      </c>
      <c r="J12764" s="422">
        <f t="shared" si="2442"/>
        <v>171.28571428571428</v>
      </c>
      <c r="K12764" s="297">
        <f>J12764/POBLA!$B$19*100000</f>
        <v>33.695903882082881</v>
      </c>
      <c r="L12764" s="200">
        <f t="shared" si="2443"/>
        <v>-0.28800475059382424</v>
      </c>
      <c r="M12764" s="70">
        <f>SUM(C12764,C12740,C12716,C12692,C12668,C12644,C12620)/POBLA!$B$19*100000</f>
        <v>235.87132717458019</v>
      </c>
    </row>
    <row r="12765" spans="1:18" x14ac:dyDescent="0.25">
      <c r="A12765" s="367" t="s">
        <v>37</v>
      </c>
      <c r="B12765" s="2">
        <v>44424</v>
      </c>
      <c r="C12765" s="662">
        <v>12</v>
      </c>
      <c r="D12765" s="39">
        <f t="shared" si="2446"/>
        <v>58674</v>
      </c>
      <c r="E12765" s="1">
        <v>1</v>
      </c>
      <c r="F12765" s="39">
        <f>E12765+F12741</f>
        <v>978</v>
      </c>
      <c r="G12765" s="168">
        <f>SUM(C12765,C12741,C12718,C12693,C12669,C12645,C12621,C12597,C12573,C12549,C12525,C12501,C12477,C12453)/POBLA!$B$20*100000</f>
        <v>348.92178792336847</v>
      </c>
      <c r="H12765" s="256">
        <f t="shared" si="2444"/>
        <v>0.99212598425196852</v>
      </c>
      <c r="I12765" s="297">
        <f t="shared" si="2445"/>
        <v>346.17437227042859</v>
      </c>
      <c r="J12765" s="422">
        <f t="shared" si="2442"/>
        <v>49.571428571428569</v>
      </c>
      <c r="K12765" s="297">
        <f>J12765/POBLA!$B$20*100000</f>
        <v>13.555291134058312</v>
      </c>
      <c r="L12765" s="200">
        <f t="shared" si="2443"/>
        <v>-0.15158924205378976</v>
      </c>
      <c r="M12765" s="70">
        <f>SUM(C12765,C12741,C12717,C12693,C12669,C12645,C12621)/POBLA!$B$20*100000</f>
        <v>94.887037938408199</v>
      </c>
      <c r="N12765" s="42" t="s">
        <v>37</v>
      </c>
      <c r="O12765" s="42">
        <v>1</v>
      </c>
      <c r="P12765" s="42">
        <v>0</v>
      </c>
      <c r="Q12765" s="42">
        <v>0</v>
      </c>
      <c r="R12765" s="42">
        <v>1</v>
      </c>
    </row>
    <row r="12766" spans="1:18" x14ac:dyDescent="0.25">
      <c r="A12766" s="367" t="s">
        <v>22</v>
      </c>
      <c r="B12766" s="2">
        <v>44424</v>
      </c>
      <c r="C12766" s="662">
        <v>269</v>
      </c>
      <c r="D12766" s="39">
        <f t="shared" si="2446"/>
        <v>459539</v>
      </c>
      <c r="F12766" s="39">
        <f>E12766+F12742</f>
        <v>8132</v>
      </c>
      <c r="G12766" s="168">
        <f>SUM(C12766,C12742,C12718,C12694,C12670,C12646,C12622,C12598,C12574,C12550,C12526,C12502,C12478,C12454)/POBLA!$B$21*100000</f>
        <v>305.16754523927887</v>
      </c>
      <c r="H12766" s="256">
        <f t="shared" si="2444"/>
        <v>0.68769515070413556</v>
      </c>
      <c r="I12766" s="297">
        <f t="shared" si="2445"/>
        <v>209.86224101333698</v>
      </c>
      <c r="J12766" s="422">
        <f t="shared" si="2442"/>
        <v>627.28571428571433</v>
      </c>
      <c r="K12766" s="297">
        <f>J12766/POBLA!$B$21*100000</f>
        <v>17.737883765033274</v>
      </c>
      <c r="L12766" s="200">
        <f t="shared" si="2443"/>
        <v>-0.31401343540071869</v>
      </c>
      <c r="M12766" s="70">
        <f>SUM(C12766,C12742,C12718,C12694,C12670,C12646,C12622)/POBLA!$B$21*100000</f>
        <v>124.16518635523289</v>
      </c>
    </row>
    <row r="12767" spans="1:18" x14ac:dyDescent="0.25">
      <c r="A12767" s="367" t="s">
        <v>38</v>
      </c>
      <c r="B12767" s="2">
        <v>44424</v>
      </c>
      <c r="C12767" s="662">
        <v>103</v>
      </c>
      <c r="D12767" s="39">
        <f t="shared" si="2446"/>
        <v>77623</v>
      </c>
      <c r="E12767" s="1">
        <v>7</v>
      </c>
      <c r="F12767" s="39">
        <f>E12767+F12743</f>
        <v>1116</v>
      </c>
      <c r="G12767" s="168">
        <f>SUM(C12767,C12743,C12719,C12695,C12671,C12647,C12623,C12599,C12575,C12551,C12527,C12503,C12479,C12455)/POBLA!$B$22*100000</f>
        <v>369.92250946271798</v>
      </c>
      <c r="H12767" s="256">
        <f t="shared" si="2444"/>
        <v>0.77594339622641506</v>
      </c>
      <c r="I12767" s="297">
        <f t="shared" si="2445"/>
        <v>287.03892833309953</v>
      </c>
      <c r="J12767" s="422">
        <f t="shared" si="2442"/>
        <v>190.14285714285714</v>
      </c>
      <c r="K12767" s="297">
        <f>J12767/POBLA!$B$22*100000</f>
        <v>19.435789685188393</v>
      </c>
      <c r="L12767" s="200">
        <f t="shared" si="2443"/>
        <v>-0.41826923076923073</v>
      </c>
      <c r="M12767" s="70">
        <f>SUM(C12767,C12743,C12719,C12695,C12671,C12647,C12623)/POBLA!$B$22*100000</f>
        <v>136.05052779631879</v>
      </c>
      <c r="N12767" s="42" t="s">
        <v>38</v>
      </c>
      <c r="O12767" s="42">
        <v>4</v>
      </c>
      <c r="P12767" s="42">
        <v>3</v>
      </c>
      <c r="Q12767" s="42">
        <v>0</v>
      </c>
      <c r="R12767" s="42">
        <v>7</v>
      </c>
    </row>
    <row r="12768" spans="1:18" x14ac:dyDescent="0.25">
      <c r="A12768" s="367" t="s">
        <v>39</v>
      </c>
      <c r="B12768" s="2">
        <v>44424</v>
      </c>
      <c r="C12768" s="662">
        <v>15</v>
      </c>
      <c r="D12768" s="39">
        <f t="shared" si="2446"/>
        <v>31762</v>
      </c>
      <c r="F12768" s="39">
        <f>E12768+F12744</f>
        <v>500</v>
      </c>
      <c r="G12768" s="168">
        <f>SUM(C12768,C12744,C12720,C12696,C12672,C12648,C12624,C12600,C12576,C12552,C12528,C12504,C12480,C12456)/POBLA!$B$23*100000</f>
        <v>285.01951026409546</v>
      </c>
      <c r="H12768" s="256">
        <f t="shared" si="2444"/>
        <v>0.76946564885496183</v>
      </c>
      <c r="I12768" s="297">
        <f t="shared" si="2445"/>
        <v>219.31272240168568</v>
      </c>
      <c r="J12768" s="422">
        <f t="shared" si="2442"/>
        <v>31.285714285714285</v>
      </c>
      <c r="K12768" s="297">
        <f>J12768/POBLA!$B$23*100000</f>
        <v>17.692537626937895</v>
      </c>
      <c r="L12768" s="200">
        <f t="shared" si="2443"/>
        <v>-0.23157894736842111</v>
      </c>
      <c r="M12768" s="70">
        <f>SUM(C12768,C12744,C12720,C12696,C12672,C12648,C12624)/POBLA!$B$23*100000</f>
        <v>123.8477633885653</v>
      </c>
    </row>
    <row r="12769" spans="1:18" ht="15.75" thickBot="1" x14ac:dyDescent="0.3">
      <c r="A12769" s="368" t="s">
        <v>40</v>
      </c>
      <c r="B12769" s="34">
        <v>44424</v>
      </c>
      <c r="C12769" s="662">
        <v>78</v>
      </c>
      <c r="D12769" s="67">
        <f t="shared" si="2446"/>
        <v>189978</v>
      </c>
      <c r="E12769" s="232"/>
      <c r="F12769" s="67">
        <f>E12769+F12745</f>
        <v>2757</v>
      </c>
      <c r="G12769" s="255">
        <f>SUM(C12769,C12745,C12721,C12697,C12673,C12649,C12625,C12601,C12577,C12553,C12529,C12505,C12481,C12457)/POBLA!$B$24*100000</f>
        <v>477.32401148079606</v>
      </c>
      <c r="H12769" s="257">
        <f t="shared" si="2444"/>
        <v>0.89027074620294955</v>
      </c>
      <c r="I12769" s="299">
        <f t="shared" si="2445"/>
        <v>424.94760388159358</v>
      </c>
      <c r="J12769" s="428">
        <f t="shared" si="2442"/>
        <v>473.28571428571428</v>
      </c>
      <c r="K12769" s="299">
        <f>J12769/POBLA!$B$24*100000</f>
        <v>27.928129029473489</v>
      </c>
      <c r="L12769" s="260">
        <f t="shared" si="2443"/>
        <v>-0.30632328308207701</v>
      </c>
      <c r="M12769" s="566">
        <f>SUM(C12769,C12745,C12721,C12697,C12673,C12649,C12625)/POBLA!$B$24*100000</f>
        <v>195.49690320631441</v>
      </c>
    </row>
    <row r="12770" spans="1:18" x14ac:dyDescent="0.25">
      <c r="A12770" s="363" t="s">
        <v>16</v>
      </c>
      <c r="B12770" s="265">
        <v>44425</v>
      </c>
      <c r="C12770" s="723">
        <v>2113</v>
      </c>
      <c r="D12770" s="174">
        <f>C12770+D12746</f>
        <v>2015848</v>
      </c>
      <c r="E12770" s="43">
        <v>85</v>
      </c>
      <c r="F12770" s="174">
        <f>E12771+F12746</f>
        <v>53151</v>
      </c>
      <c r="G12770" s="175">
        <f>SUM(C12770,C12746,C12698,C12722,C12674,C12650,C12626,C12602,C12578,C12554,C12530,C12506,C12482,C12458)/POBLA!$B$1*100000</f>
        <v>186.04833060745591</v>
      </c>
      <c r="H12770" s="300">
        <f t="shared" si="2444"/>
        <v>0.6894621202518274</v>
      </c>
      <c r="I12770" s="301">
        <f>G12770*H12770</f>
        <v>128.27327648992951</v>
      </c>
      <c r="J12770" s="421">
        <f>AVERAGE(C12770,C12746,C12722,C12698,C12674,C12650,C12626)</f>
        <v>1835.7142857142858</v>
      </c>
      <c r="K12770" s="301">
        <f>J12770/POBLA!$B$1*100000</f>
        <v>10.465193146296958</v>
      </c>
      <c r="L12770" s="399">
        <f>(SUM(C12770,C12746,C12722,C12698,C12674,C12650,C12626)/SUM(C12602,C12578,C12554,C12530,C12506,C12482,C12458))-1</f>
        <v>-0.35051806924437701</v>
      </c>
      <c r="M12770" s="400">
        <f>SUM(C12770,C12746,C12722,C12698,C12674,C12650,C12626)/POBLA!$B$1*100000</f>
        <v>73.256352024078708</v>
      </c>
      <c r="N12770" s="42" t="s">
        <v>319</v>
      </c>
      <c r="O12770" s="42">
        <v>43</v>
      </c>
      <c r="P12770" s="42">
        <v>42</v>
      </c>
      <c r="Q12770" s="42">
        <v>0</v>
      </c>
      <c r="R12770" s="42">
        <v>85</v>
      </c>
    </row>
    <row r="12771" spans="1:18" x14ac:dyDescent="0.25">
      <c r="A12771" s="367" t="s">
        <v>43</v>
      </c>
      <c r="B12771" s="2">
        <v>44425</v>
      </c>
      <c r="C12771" s="724">
        <v>496</v>
      </c>
      <c r="D12771" s="39">
        <f t="shared" ref="D12771:D12785" si="2447">C12771+D12747</f>
        <v>501836</v>
      </c>
      <c r="E12771" s="1">
        <v>10</v>
      </c>
      <c r="F12771" s="39">
        <f>E12772+F12747</f>
        <v>11023</v>
      </c>
      <c r="G12771" s="168">
        <f>SUM(C12771,C12747,C12723,C12699,C12675,C12651,C12627,C12603,C12579,C12555,C12531,C12507,C12483,C12459)/POBLA!$B$2*100000</f>
        <v>267.13087266870116</v>
      </c>
      <c r="H12771" s="256">
        <f t="shared" si="2444"/>
        <v>0.80985707244948246</v>
      </c>
      <c r="I12771" s="297">
        <f t="shared" ref="I12771:I12777" si="2448">G12771*H12771</f>
        <v>216.33782650034979</v>
      </c>
      <c r="J12771" s="422">
        <f>AVERAGE(C12771,C12747,C12723,C12699,C12675,C12651,C12627)</f>
        <v>522.14285714285711</v>
      </c>
      <c r="K12771" s="297">
        <f>J12771/POBLA!$B$2*100000</f>
        <v>16.976689031925556</v>
      </c>
      <c r="L12771" s="200">
        <f>(SUM(C12771,C12747,C12723,C12699,C12675,C12651,C12627)/SUM(C12603,C12579,C12555,C12531,C12507,C12483,C12459))-1</f>
        <v>-0.19864064898048672</v>
      </c>
      <c r="M12771" s="401">
        <f>SUM(C12771,C12747,C12723,C12699,C12675,C12651,C12627)/POBLA!$B$2*100000</f>
        <v>118.83682322347892</v>
      </c>
      <c r="N12771" s="42" t="s">
        <v>43</v>
      </c>
      <c r="O12771" s="42">
        <v>8</v>
      </c>
      <c r="P12771" s="42">
        <v>2</v>
      </c>
      <c r="Q12771" s="42">
        <v>0</v>
      </c>
      <c r="R12771" s="42">
        <v>10</v>
      </c>
    </row>
    <row r="12772" spans="1:18" x14ac:dyDescent="0.25">
      <c r="A12772" s="367" t="s">
        <v>28</v>
      </c>
      <c r="B12772" s="2">
        <v>44425</v>
      </c>
      <c r="C12772" s="724">
        <v>173</v>
      </c>
      <c r="D12772" s="39">
        <f t="shared" si="2447"/>
        <v>45825</v>
      </c>
      <c r="F12772" s="39">
        <f>E12773+F12748</f>
        <v>528</v>
      </c>
      <c r="G12772" s="168">
        <f>SUM(C12772,C12748,C12724,C12700,C12676,C12652,C12628,C12604,C12580,C12556,C12532,C12508,C12484,C12460)/POBLA!$B$3*100000</f>
        <v>670.37680712886163</v>
      </c>
      <c r="H12772" s="256">
        <f t="shared" si="2444"/>
        <v>0.77749860413176997</v>
      </c>
      <c r="I12772" s="297">
        <f t="shared" si="2448"/>
        <v>521.21703178500275</v>
      </c>
      <c r="J12772" s="422">
        <f t="shared" ref="J12772:J12793" si="2449">AVERAGE(C12772,C12748,C12724,C12700,C12676,C12652,C12628)</f>
        <v>178</v>
      </c>
      <c r="K12772" s="297">
        <f>J12772/POBLA!$B$3*100000</f>
        <v>42.846345303029572</v>
      </c>
      <c r="L12772" s="200">
        <f t="shared" ref="L12772:L12793" si="2450">(SUM(C12772,C12748,C12724,C12700,C12676,C12652,C12628)/SUM(C12604,C12580,C12556,C12532,C12508,C12484,C12460))-1</f>
        <v>-0.19038336582196236</v>
      </c>
      <c r="M12772" s="401">
        <f>SUM(C12772,C12748,C12724,C12700,C12676,C12652,C12628)/POBLA!$B$3*100000</f>
        <v>299.924417121207</v>
      </c>
    </row>
    <row r="12773" spans="1:18" x14ac:dyDescent="0.25">
      <c r="A12773" s="367" t="s">
        <v>15</v>
      </c>
      <c r="B12773" s="2">
        <v>44425</v>
      </c>
      <c r="C12773" s="724">
        <v>236</v>
      </c>
      <c r="D12773" s="39">
        <f t="shared" si="2447"/>
        <v>96628</v>
      </c>
      <c r="E12773" s="1">
        <v>5</v>
      </c>
      <c r="F12773" s="39">
        <f>E12774+F12749</f>
        <v>2135</v>
      </c>
      <c r="G12773" s="168">
        <f>SUM(C12773,C12749,C12725,C12701,C12677,C12653,C12629,C12605,C12581,C12557,C12533,C12509,C12485,C12461)/POBLA!$B$4*100000</f>
        <v>344.03146094653482</v>
      </c>
      <c r="H12773" s="256">
        <f t="shared" si="2444"/>
        <v>0.72650771388499302</v>
      </c>
      <c r="I12773" s="297">
        <f t="shared" si="2448"/>
        <v>249.94151019678128</v>
      </c>
      <c r="J12773" s="422">
        <f t="shared" si="2449"/>
        <v>223.14285714285714</v>
      </c>
      <c r="K12773" s="297">
        <f>J12773/POBLA!$B$4*100000</f>
        <v>18.525135893494465</v>
      </c>
      <c r="L12773" s="200">
        <f t="shared" si="2450"/>
        <v>-0.39504260263361735</v>
      </c>
      <c r="M12773" s="401">
        <f>SUM(C12773,C12749,C12725,C12701,C12677,C12653,C12629)/POBLA!$B$4*100000</f>
        <v>129.67595125446124</v>
      </c>
      <c r="N12773" s="42" t="s">
        <v>15</v>
      </c>
      <c r="O12773" s="42">
        <v>1</v>
      </c>
      <c r="P12773" s="42">
        <v>4</v>
      </c>
      <c r="Q12773" s="42">
        <v>0</v>
      </c>
      <c r="R12773" s="42">
        <v>5</v>
      </c>
    </row>
    <row r="12774" spans="1:18" x14ac:dyDescent="0.25">
      <c r="A12774" s="367" t="s">
        <v>29</v>
      </c>
      <c r="B12774" s="2">
        <v>44425</v>
      </c>
      <c r="C12774" s="724">
        <v>148</v>
      </c>
      <c r="D12774" s="39">
        <f t="shared" si="2447"/>
        <v>79312</v>
      </c>
      <c r="E12774" s="1">
        <v>4</v>
      </c>
      <c r="F12774" s="39">
        <f>E12775+F12750</f>
        <v>1395</v>
      </c>
      <c r="G12774" s="168">
        <f>SUM(C12774,C12750,C12726,C12702,C12678,C12654,C12630,C12606,C12582,C12558,C12534,C12510,C12486,C12462)/POBLA!$B$5*100000</f>
        <v>396.77282816957842</v>
      </c>
      <c r="H12774" s="256">
        <f t="shared" si="2444"/>
        <v>0.92644285175405505</v>
      </c>
      <c r="I12774" s="297">
        <f t="shared" si="2448"/>
        <v>367.58735042794592</v>
      </c>
      <c r="J12774" s="422">
        <f t="shared" si="2449"/>
        <v>160.71428571428572</v>
      </c>
      <c r="K12774" s="297">
        <f>J12774/POBLA!$B$5*100000</f>
        <v>25.96378732496369</v>
      </c>
      <c r="L12774" s="200">
        <f t="shared" si="2450"/>
        <v>-0.15477084898572502</v>
      </c>
      <c r="M12774" s="401">
        <f>SUM(C12774,C12750,C12726,C12702,C12678,C12654,C12630)/POBLA!$B$5*100000</f>
        <v>181.74651127474579</v>
      </c>
      <c r="N12774" s="42" t="s">
        <v>29</v>
      </c>
      <c r="O12774" s="42">
        <v>2</v>
      </c>
      <c r="P12774" s="42">
        <v>2</v>
      </c>
      <c r="Q12774" s="42">
        <v>0</v>
      </c>
      <c r="R12774" s="42">
        <v>4</v>
      </c>
    </row>
    <row r="12775" spans="1:18" x14ac:dyDescent="0.25">
      <c r="A12775" s="367" t="s">
        <v>30</v>
      </c>
      <c r="B12775" s="2">
        <v>44425</v>
      </c>
      <c r="C12775" s="724">
        <v>30</v>
      </c>
      <c r="D12775" s="39">
        <f t="shared" si="2447"/>
        <v>456576</v>
      </c>
      <c r="E12775" s="1">
        <v>17</v>
      </c>
      <c r="F12775" s="39">
        <f>E12776+F12751</f>
        <v>6041</v>
      </c>
      <c r="G12775" s="168">
        <f>SUM(C12775,C12751,C12727,C12703,C12679,C12655,C12631,C12607,C12583,C12559,C12535,C12511,C12487,C12463)/POBLA!$B$6*100000</f>
        <v>628.47909664605936</v>
      </c>
      <c r="H12775" s="256">
        <f t="shared" si="2444"/>
        <v>1.1987746766507827</v>
      </c>
      <c r="I12775" s="297">
        <f t="shared" si="2448"/>
        <v>753.4048258636559</v>
      </c>
      <c r="J12775" s="422">
        <f t="shared" si="2449"/>
        <v>384.42857142857144</v>
      </c>
      <c r="K12775" s="297">
        <f>J12775/POBLA!$B$6*100000</f>
        <v>34.299449360642207</v>
      </c>
      <c r="L12775" s="200">
        <f t="shared" si="2450"/>
        <v>-0.38180565127498278</v>
      </c>
      <c r="M12775" s="401">
        <f>SUM(C12775,C12751,C12727,C12703,C12679,C12655,C12631)/POBLA!$B$6*100000</f>
        <v>240.09614552449543</v>
      </c>
      <c r="N12775" s="42" t="s">
        <v>30</v>
      </c>
      <c r="O12775" s="42">
        <v>10</v>
      </c>
      <c r="P12775" s="42">
        <v>7</v>
      </c>
      <c r="Q12775" s="42">
        <v>0</v>
      </c>
      <c r="R12775" s="42">
        <v>17</v>
      </c>
    </row>
    <row r="12776" spans="1:18" x14ac:dyDescent="0.25">
      <c r="A12776" s="367" t="s">
        <v>20</v>
      </c>
      <c r="B12776" s="2">
        <v>44425</v>
      </c>
      <c r="C12776" s="724">
        <v>1383</v>
      </c>
      <c r="D12776" s="39">
        <f t="shared" si="2447"/>
        <v>125372</v>
      </c>
      <c r="E12776" s="1">
        <v>20</v>
      </c>
      <c r="F12776" s="39">
        <f>E12777+F12752</f>
        <v>1381</v>
      </c>
      <c r="G12776" s="168">
        <f>SUM(C12776,C12752,C12728,C12704,C12680,C12656,C12632,C12608,C12584,C12560,C12536,C12512,C12488,C12464)/POBLA!$B$7*100000</f>
        <v>536.77086518900671</v>
      </c>
      <c r="H12776" s="256">
        <f t="shared" si="2444"/>
        <v>0.78918559643429642</v>
      </c>
      <c r="I12776" s="297">
        <f t="shared" si="2448"/>
        <v>423.61183539273958</v>
      </c>
      <c r="J12776" s="422">
        <f t="shared" si="2449"/>
        <v>1191.4285714285713</v>
      </c>
      <c r="K12776" s="297">
        <f>J12776/POBLA!$B$7*100000</f>
        <v>31.683138226238121</v>
      </c>
      <c r="L12776" s="200">
        <f t="shared" si="2450"/>
        <v>-0.2959054453355846</v>
      </c>
      <c r="M12776" s="401">
        <f>SUM(C12776,C12752,C12728,C12704,C12680,C12656,C12632)/POBLA!$B$7*100000</f>
        <v>221.78196758366684</v>
      </c>
      <c r="N12776" s="42" t="s">
        <v>20</v>
      </c>
      <c r="O12776" s="42">
        <v>8</v>
      </c>
      <c r="P12776" s="42">
        <v>12</v>
      </c>
      <c r="Q12776" s="42">
        <v>0</v>
      </c>
      <c r="R12776" s="42">
        <v>20</v>
      </c>
    </row>
    <row r="12777" spans="1:18" x14ac:dyDescent="0.25">
      <c r="A12777" s="367" t="s">
        <v>31</v>
      </c>
      <c r="B12777" s="2">
        <v>44425</v>
      </c>
      <c r="C12777" s="724">
        <v>235</v>
      </c>
      <c r="D12777" s="39">
        <f t="shared" si="2447"/>
        <v>132481</v>
      </c>
      <c r="E12777" s="1">
        <v>4</v>
      </c>
      <c r="F12777" s="39">
        <f>E12778+F12753</f>
        <v>2262</v>
      </c>
      <c r="G12777" s="168">
        <f>SUM(C12777,C12753,C12729,C12705,C12681,C12657,C12633,C12609,C12585,C12561,C12537,C12513,C12489,C12465)/POBLA!$B$8*100000</f>
        <v>263.71593428675124</v>
      </c>
      <c r="H12777" s="256">
        <f t="shared" ref="H12777:H12793" si="2451">SUM(C12777,C12753,C12729,C12705,C12681,C12657,C12633,C12609,C12585,C12561,C12537,C12513,C12489,C12465,)/SUM(C12441,C12417,C12393,C12369,C12345,C12321,C12297,C12273,C12249,C12225,C12201,C12177,C12153,C12129)</f>
        <v>0.65105094406840047</v>
      </c>
      <c r="I12777" s="297">
        <f t="shared" si="2448"/>
        <v>171.69250798326965</v>
      </c>
      <c r="J12777" s="422">
        <f t="shared" si="2449"/>
        <v>207</v>
      </c>
      <c r="K12777" s="297">
        <f>J12777/POBLA!$B$8*100000</f>
        <v>14.93548519763543</v>
      </c>
      <c r="L12777" s="200">
        <f t="shared" si="2450"/>
        <v>-0.34315503173164097</v>
      </c>
      <c r="M12777" s="401">
        <f>SUM(C12777,C12753,C12729,C12705,C12681,C12657,C12633)/POBLA!$B$8*100000</f>
        <v>104.54839638344802</v>
      </c>
      <c r="N12777" s="42" t="s">
        <v>31</v>
      </c>
      <c r="O12777" s="42">
        <v>3</v>
      </c>
      <c r="P12777" s="42">
        <v>1</v>
      </c>
      <c r="Q12777" s="42">
        <v>0</v>
      </c>
      <c r="R12777" s="42">
        <v>4</v>
      </c>
    </row>
    <row r="12778" spans="1:18" x14ac:dyDescent="0.25">
      <c r="A12778" s="367" t="s">
        <v>41</v>
      </c>
      <c r="B12778" s="2">
        <v>44425</v>
      </c>
      <c r="C12778" s="724">
        <v>156</v>
      </c>
      <c r="D12778" s="39">
        <f t="shared" si="2447"/>
        <v>59305</v>
      </c>
      <c r="E12778" s="1">
        <v>3</v>
      </c>
      <c r="F12778" s="39">
        <f>E12779+F12754</f>
        <v>1086</v>
      </c>
      <c r="G12778" s="168">
        <f>SUM(C12778,C12754,C12730,C12706,C12682,C12658,C12634,C12610,C12586,C12562,C12538,C12514,C12490,C12466)/POBLA!$B$9*100000</f>
        <v>444.98201400214475</v>
      </c>
      <c r="H12778" s="256">
        <f t="shared" si="2451"/>
        <v>0.81261315630657815</v>
      </c>
      <c r="I12778" s="297">
        <f>G12778*H12778</f>
        <v>361.5982388979408</v>
      </c>
      <c r="J12778" s="422">
        <f t="shared" si="2449"/>
        <v>157</v>
      </c>
      <c r="K12778" s="297">
        <f>J12778/POBLA!$B$9*100000</f>
        <v>25.942137466890724</v>
      </c>
      <c r="L12778" s="200">
        <f t="shared" si="2450"/>
        <v>-0.31053952321204514</v>
      </c>
      <c r="M12778" s="401">
        <f>SUM(C12778,C12754,C12730,C12706,C12682,C12658,C12634)/POBLA!$B$9*100000</f>
        <v>181.59496226823509</v>
      </c>
      <c r="N12778" s="42" t="s">
        <v>41</v>
      </c>
      <c r="O12778" s="42">
        <v>1</v>
      </c>
      <c r="P12778" s="42">
        <v>2</v>
      </c>
      <c r="Q12778" s="42">
        <v>0</v>
      </c>
      <c r="R12778" s="42">
        <v>3</v>
      </c>
    </row>
    <row r="12779" spans="1:18" x14ac:dyDescent="0.25">
      <c r="A12779" s="367" t="s">
        <v>32</v>
      </c>
      <c r="B12779" s="2">
        <v>44425</v>
      </c>
      <c r="C12779" s="724">
        <v>87</v>
      </c>
      <c r="D12779" s="39">
        <f t="shared" si="2447"/>
        <v>45792</v>
      </c>
      <c r="E12779" s="1">
        <v>2</v>
      </c>
      <c r="F12779" s="39">
        <f>E12780+F12755</f>
        <v>1387</v>
      </c>
      <c r="G12779" s="168">
        <f>SUM(C12779,C12755,C12731,C12707,C12683,C12659,C12635,C12611,C12587,C12563,C12539,C12515,C12491,C12467)/POBLA!$B$10*100000</f>
        <v>230.25603173511865</v>
      </c>
      <c r="H12779" s="256">
        <f t="shared" si="2451"/>
        <v>0.65449852507374628</v>
      </c>
      <c r="I12779" s="297">
        <f t="shared" ref="I12779:I12793" si="2452">G12779*H12779</f>
        <v>150.70223315996887</v>
      </c>
      <c r="J12779" s="422">
        <f t="shared" si="2449"/>
        <v>100.85714285714286</v>
      </c>
      <c r="K12779" s="297">
        <f>J12779/POBLA!$B$10*100000</f>
        <v>13.083360837424046</v>
      </c>
      <c r="L12779" s="200">
        <f t="shared" si="2450"/>
        <v>-0.33956969130028059</v>
      </c>
      <c r="M12779" s="401">
        <f>SUM(C12779,C12755,C12731,C12707,C12683,C12659,C12635)/POBLA!$B$10*100000</f>
        <v>91.583525861968326</v>
      </c>
      <c r="N12779" s="42" t="s">
        <v>32</v>
      </c>
      <c r="O12779" s="42">
        <v>1</v>
      </c>
      <c r="P12779" s="42">
        <v>1</v>
      </c>
      <c r="Q12779" s="42">
        <v>0</v>
      </c>
      <c r="R12779" s="42">
        <v>2</v>
      </c>
    </row>
    <row r="12780" spans="1:18" x14ac:dyDescent="0.25">
      <c r="A12780" s="367" t="s">
        <v>33</v>
      </c>
      <c r="B12780" s="2">
        <v>44425</v>
      </c>
      <c r="C12780" s="724">
        <v>180</v>
      </c>
      <c r="D12780" s="39">
        <f t="shared" si="2447"/>
        <v>65159</v>
      </c>
      <c r="E12780" s="1">
        <v>9</v>
      </c>
      <c r="F12780" s="39">
        <f>E12781+F12756</f>
        <v>895</v>
      </c>
      <c r="G12780" s="168">
        <f>SUM(C12780,C12756,C12732,C12708,C12684,C12660,C12636,C12612,C12588,C12564,C12540,C12516,C12492,C12468)/POBLA!$B$11*100000</f>
        <v>828.89729597018095</v>
      </c>
      <c r="H12780" s="256">
        <f t="shared" si="2451"/>
        <v>0.77958541065337184</v>
      </c>
      <c r="I12780" s="297">
        <f t="shared" si="2452"/>
        <v>646.19623886838303</v>
      </c>
      <c r="J12780" s="422">
        <f t="shared" si="2449"/>
        <v>173.57142857142858</v>
      </c>
      <c r="K12780" s="297">
        <f>J12780/POBLA!$B$11*100000</f>
        <v>48.425744799911996</v>
      </c>
      <c r="L12780" s="200">
        <f t="shared" si="2450"/>
        <v>-0.30808656036446469</v>
      </c>
      <c r="M12780" s="401">
        <f>SUM(C12780,C12756,C12732,C12708,C12684,C12660,C12636)/POBLA!$B$11*100000</f>
        <v>338.980213599384</v>
      </c>
      <c r="N12780" s="42" t="s">
        <v>33</v>
      </c>
      <c r="O12780" s="42">
        <v>4</v>
      </c>
      <c r="P12780" s="42">
        <v>5</v>
      </c>
      <c r="Q12780" s="42">
        <v>0</v>
      </c>
      <c r="R12780" s="42">
        <v>9</v>
      </c>
    </row>
    <row r="12781" spans="1:18" x14ac:dyDescent="0.25">
      <c r="A12781" s="367" t="s">
        <v>21</v>
      </c>
      <c r="B12781" s="2">
        <v>44425</v>
      </c>
      <c r="C12781" s="724">
        <v>113</v>
      </c>
      <c r="D12781" s="39">
        <f t="shared" si="2447"/>
        <v>31290</v>
      </c>
      <c r="E12781" s="1">
        <v>17</v>
      </c>
      <c r="F12781" s="39">
        <f>E12782+F12757</f>
        <v>896</v>
      </c>
      <c r="G12781" s="168">
        <f>SUM(C12781,C12757,C12733,C12709,C12685,C12661,C12637,C12613,C12589,C12565,C12541,C12517,C12493,C12469)/POBLA!$B$12*100000</f>
        <v>584.45205079142431</v>
      </c>
      <c r="H12781" s="256">
        <f t="shared" si="2451"/>
        <v>0.76641119626791065</v>
      </c>
      <c r="I12781" s="297">
        <f t="shared" si="2452"/>
        <v>447.93059540828921</v>
      </c>
      <c r="J12781" s="422">
        <f t="shared" si="2449"/>
        <v>143.85714285714286</v>
      </c>
      <c r="K12781" s="297">
        <f>J12781/POBLA!$B$12*100000</f>
        <v>36.5554792016748</v>
      </c>
      <c r="L12781" s="200">
        <f t="shared" si="2450"/>
        <v>-0.22119102861562256</v>
      </c>
      <c r="M12781" s="401">
        <f>SUM(C12781,C12757,C12733,C12709,C12685,C12661,C12637)/POBLA!$B$12*100000</f>
        <v>255.88835441172361</v>
      </c>
      <c r="N12781" s="42" t="s">
        <v>21</v>
      </c>
      <c r="O12781" s="42">
        <v>5</v>
      </c>
      <c r="P12781" s="42">
        <v>12</v>
      </c>
      <c r="Q12781" s="42">
        <v>0</v>
      </c>
      <c r="R12781" s="42">
        <v>17</v>
      </c>
    </row>
    <row r="12782" spans="1:18" x14ac:dyDescent="0.25">
      <c r="A12782" s="367" t="s">
        <v>17</v>
      </c>
      <c r="B12782" s="2">
        <v>44425</v>
      </c>
      <c r="C12782" s="724">
        <v>309</v>
      </c>
      <c r="D12782" s="39">
        <f t="shared" si="2447"/>
        <v>159375</v>
      </c>
      <c r="E12782" s="1">
        <v>10</v>
      </c>
      <c r="F12782" s="39">
        <f>E12783+F12758</f>
        <v>4134</v>
      </c>
      <c r="G12782" s="168">
        <f>SUM(C12782,C12758,C12734,C12710,C12686,C12662,C12638,C12614,C12590,C12566,C12542,C12518,C12494,C12470)/POBLA!$B$13*100000</f>
        <v>205.64346357251884</v>
      </c>
      <c r="H12782" s="256">
        <f t="shared" si="2451"/>
        <v>0.68778356578726263</v>
      </c>
      <c r="I12782" s="297">
        <f t="shared" si="2452"/>
        <v>141.43819465675006</v>
      </c>
      <c r="J12782" s="422">
        <f t="shared" si="2449"/>
        <v>248.85714285714286</v>
      </c>
      <c r="K12782" s="297">
        <f>J12782/POBLA!$B$13*100000</f>
        <v>12.503260393819685</v>
      </c>
      <c r="L12782" s="200">
        <f t="shared" si="2450"/>
        <v>-0.25903870693321995</v>
      </c>
      <c r="M12782" s="401">
        <f>SUM(C12782,C12758,C12734,C12710,C12686,C12662,C12638)/POBLA!$B$13*100000</f>
        <v>87.522822756737796</v>
      </c>
      <c r="N12782" s="42" t="s">
        <v>17</v>
      </c>
      <c r="O12782" s="42">
        <v>5</v>
      </c>
      <c r="P12782" s="42">
        <v>5</v>
      </c>
      <c r="Q12782" s="42">
        <v>0</v>
      </c>
      <c r="R12782" s="42">
        <v>10</v>
      </c>
    </row>
    <row r="12783" spans="1:18" x14ac:dyDescent="0.25">
      <c r="A12783" s="367" t="s">
        <v>23</v>
      </c>
      <c r="B12783" s="2">
        <v>44425</v>
      </c>
      <c r="C12783" s="724">
        <v>80</v>
      </c>
      <c r="D12783" s="39">
        <f t="shared" si="2447"/>
        <v>33618</v>
      </c>
      <c r="E12783" s="1">
        <v>8</v>
      </c>
      <c r="F12783" s="39">
        <f>E12784+F12759</f>
        <v>629</v>
      </c>
      <c r="G12783" s="168">
        <f>SUM(C12783,C12759,C12735,C12711,C12687,C12663,C12639,C12615,C12591,C12567,C12543,C12519,C12495,C12471)/POBLA!$B$14*100000</f>
        <v>183.70023166684373</v>
      </c>
      <c r="H12783" s="256">
        <f t="shared" si="2451"/>
        <v>0.99186643835616439</v>
      </c>
      <c r="I12783" s="297">
        <f t="shared" si="2452"/>
        <v>182.20609450859459</v>
      </c>
      <c r="J12783" s="422">
        <f t="shared" si="2449"/>
        <v>157.71428571428572</v>
      </c>
      <c r="K12783" s="297">
        <f>J12783/POBLA!$B$14*100000</f>
        <v>12.504165223515352</v>
      </c>
      <c r="L12783" s="200">
        <f t="shared" si="2450"/>
        <v>-8.9859851607584473E-2</v>
      </c>
      <c r="M12783" s="401">
        <f>SUM(C12783,C12759,C12735,C12711,C12687,C12663,C12639)/POBLA!$B$14*100000</f>
        <v>87.529156564607462</v>
      </c>
      <c r="N12783" s="42" t="s">
        <v>23</v>
      </c>
      <c r="O12783" s="42">
        <v>3</v>
      </c>
      <c r="P12783" s="42">
        <v>4</v>
      </c>
      <c r="Q12783" s="42">
        <v>1</v>
      </c>
      <c r="R12783" s="42">
        <v>8</v>
      </c>
    </row>
    <row r="12784" spans="1:18" x14ac:dyDescent="0.25">
      <c r="A12784" s="367" t="s">
        <v>19</v>
      </c>
      <c r="B12784" s="2">
        <v>44425</v>
      </c>
      <c r="C12784" s="724">
        <v>161</v>
      </c>
      <c r="D12784" s="39">
        <f t="shared" si="2447"/>
        <v>110616</v>
      </c>
      <c r="E12784" s="1">
        <v>1</v>
      </c>
      <c r="F12784" s="39">
        <f>E12785+F12760</f>
        <v>2104</v>
      </c>
      <c r="G12784" s="168">
        <f>SUM(C12784,C12760,C12736,C12712,C12688,C12664,C12640,C12616,C12592,C12568,C12544,C12520,C12496,C12472)/POBLA!$B$15*100000</f>
        <v>368.34187426681746</v>
      </c>
      <c r="H12784" s="256">
        <f t="shared" si="2451"/>
        <v>0.83481228668941976</v>
      </c>
      <c r="I12784" s="297">
        <f t="shared" si="2452"/>
        <v>307.49632234014859</v>
      </c>
      <c r="J12784" s="422">
        <f t="shared" si="2449"/>
        <v>147.14285714285714</v>
      </c>
      <c r="K12784" s="297">
        <f>J12784/POBLA!$B$15*100000</f>
        <v>22.158166715034572</v>
      </c>
      <c r="L12784" s="200">
        <f t="shared" si="2450"/>
        <v>-0.27259887005649719</v>
      </c>
      <c r="M12784" s="401">
        <f>SUM(C12784,C12760,C12736,C12712,C12688,C12664,C12640)/POBLA!$B$15*100000</f>
        <v>155.10716700524202</v>
      </c>
      <c r="N12784" s="42" t="s">
        <v>19</v>
      </c>
      <c r="O12784" s="42">
        <v>0</v>
      </c>
      <c r="P12784" s="42">
        <v>1</v>
      </c>
      <c r="Q12784" s="42">
        <v>0</v>
      </c>
      <c r="R12784" s="42">
        <v>1</v>
      </c>
    </row>
    <row r="12785" spans="1:18" x14ac:dyDescent="0.25">
      <c r="A12785" s="367" t="s">
        <v>18</v>
      </c>
      <c r="B12785" s="2">
        <v>44425</v>
      </c>
      <c r="C12785" s="724">
        <v>310</v>
      </c>
      <c r="D12785" s="39">
        <f t="shared" si="2447"/>
        <v>96395</v>
      </c>
      <c r="E12785" s="1">
        <v>8</v>
      </c>
      <c r="F12785" s="39">
        <f>E12786+F12761</f>
        <v>2186</v>
      </c>
      <c r="G12785" s="168">
        <f>SUM(C12785,C12761,C12737,C12713,C12689,C12665,C12641,C12617,C12593,C12569,C12545,C12521,C12497,C12473)/POBLA!$B$16*100000</f>
        <v>438.86518371878384</v>
      </c>
      <c r="H12785" s="256">
        <f t="shared" si="2451"/>
        <v>0.77822580645161288</v>
      </c>
      <c r="I12785" s="297">
        <f t="shared" si="2452"/>
        <v>341.5362115230858</v>
      </c>
      <c r="J12785" s="422">
        <f t="shared" si="2449"/>
        <v>231</v>
      </c>
      <c r="K12785" s="297">
        <f>J12785/POBLA!$B$16*100000</f>
        <v>30.898463102419708</v>
      </c>
      <c r="L12785" s="200">
        <f t="shared" si="2450"/>
        <v>-2.8245192307692291E-2</v>
      </c>
      <c r="M12785" s="401">
        <f>SUM(C12785,C12761,C12737,C12713,C12689,C12665,C12641)/POBLA!$B$16*100000</f>
        <v>216.28924171693797</v>
      </c>
      <c r="N12785" s="42" t="s">
        <v>18</v>
      </c>
      <c r="O12785" s="42">
        <v>2</v>
      </c>
      <c r="P12785" s="42">
        <v>6</v>
      </c>
      <c r="Q12785" s="42">
        <v>0</v>
      </c>
      <c r="R12785" s="42">
        <v>8</v>
      </c>
    </row>
    <row r="12786" spans="1:18" x14ac:dyDescent="0.25">
      <c r="A12786" s="367" t="s">
        <v>34</v>
      </c>
      <c r="B12786" s="2">
        <v>44425</v>
      </c>
      <c r="C12786" s="724">
        <v>205</v>
      </c>
      <c r="D12786" s="39">
        <f>C12786+D12762</f>
        <v>79541</v>
      </c>
      <c r="E12786" s="1">
        <v>17</v>
      </c>
      <c r="F12786" s="39">
        <f>E12787+F12762</f>
        <v>2221</v>
      </c>
      <c r="G12786" s="168">
        <f>SUM(C12786,C12762,C12738,C12714,C12690,C12666,C12642,C12618,C12594,C12570,C12546,C12522,C12498,C12474)/POBLA!$B$17*100000</f>
        <v>244.66493540775502</v>
      </c>
      <c r="H12786" s="256">
        <f t="shared" si="2451"/>
        <v>0.73275862068965514</v>
      </c>
      <c r="I12786" s="297">
        <f t="shared" si="2452"/>
        <v>179.28034060051013</v>
      </c>
      <c r="J12786" s="422">
        <f t="shared" si="2449"/>
        <v>203.57142857142858</v>
      </c>
      <c r="K12786" s="297">
        <f>J12786/POBLA!$B$17*100000</f>
        <v>14.291761957616352</v>
      </c>
      <c r="L12786" s="200">
        <f t="shared" si="2450"/>
        <v>-0.30825242718446599</v>
      </c>
      <c r="M12786" s="401">
        <f>SUM(C12786,C12762,C12738,C12714,C12690,C12666,C12642)/POBLA!$B$17*100000</f>
        <v>100.04233370331445</v>
      </c>
      <c r="N12786" s="42" t="s">
        <v>34</v>
      </c>
      <c r="O12786" s="42">
        <v>9</v>
      </c>
      <c r="P12786" s="42">
        <v>8</v>
      </c>
      <c r="Q12786" s="42">
        <v>0</v>
      </c>
      <c r="R12786" s="42">
        <v>17</v>
      </c>
    </row>
    <row r="12787" spans="1:18" x14ac:dyDescent="0.25">
      <c r="A12787" s="367" t="s">
        <v>35</v>
      </c>
      <c r="B12787" s="2">
        <v>44425</v>
      </c>
      <c r="C12787" s="724">
        <v>57</v>
      </c>
      <c r="D12787" s="39">
        <f t="shared" ref="D12787:D12793" si="2453">C12787+D12763</f>
        <v>63944</v>
      </c>
      <c r="F12787" s="39">
        <f>E12788+F12763</f>
        <v>1018</v>
      </c>
      <c r="G12787" s="168">
        <f>SUM(C12787,C12763,C12739,C12715,C12691,C12667,C12643,C12619,C12595,C12571,C12547,C12523,C12499,C12475)/POBLA!$B$18*100000</f>
        <v>316.68537679031562</v>
      </c>
      <c r="H12787" s="256">
        <f t="shared" si="2451"/>
        <v>0.61726546906187629</v>
      </c>
      <c r="I12787" s="297">
        <f t="shared" si="2452"/>
        <v>195.47894764951121</v>
      </c>
      <c r="J12787" s="422">
        <f t="shared" si="2449"/>
        <v>138</v>
      </c>
      <c r="K12787" s="297">
        <f>J12787/POBLA!$B$18*100000</f>
        <v>17.664746158877751</v>
      </c>
      <c r="L12787" s="200">
        <f t="shared" si="2450"/>
        <v>-0.35941644562334218</v>
      </c>
      <c r="M12787" s="401">
        <f>SUM(C12787,C12763,C12739,C12715,C12691,C12667,C12643)/POBLA!$B$18*100000</f>
        <v>123.65322311214426</v>
      </c>
    </row>
    <row r="12788" spans="1:18" x14ac:dyDescent="0.25">
      <c r="A12788" s="367" t="s">
        <v>36</v>
      </c>
      <c r="B12788" s="2">
        <v>44425</v>
      </c>
      <c r="C12788" s="724">
        <v>148</v>
      </c>
      <c r="D12788" s="39">
        <f t="shared" si="2453"/>
        <v>78401</v>
      </c>
      <c r="E12788" s="1">
        <v>14</v>
      </c>
      <c r="F12788" s="39">
        <f>E12789+F12764</f>
        <v>1310</v>
      </c>
      <c r="G12788" s="168">
        <f>SUM(C12788,C12764,C12740,C12716,C12692,C12668,C12644,C12620,C12596,C12572,C12548,C12524,C12500,C12476)/POBLA!$B$19*100000</f>
        <v>551.61234478525682</v>
      </c>
      <c r="H12788" s="256">
        <f t="shared" si="2451"/>
        <v>0.78741926425161468</v>
      </c>
      <c r="I12788" s="297">
        <f t="shared" si="2452"/>
        <v>434.35018668291491</v>
      </c>
      <c r="J12788" s="422">
        <f t="shared" si="2449"/>
        <v>161.85714285714286</v>
      </c>
      <c r="K12788" s="297">
        <f>J12788/POBLA!$B$19*100000</f>
        <v>31.841083484904008</v>
      </c>
      <c r="L12788" s="200">
        <f t="shared" si="2450"/>
        <v>-0.32196289646918008</v>
      </c>
      <c r="M12788" s="401">
        <f>SUM(C12788,C12764,C12740,C12716,C12692,C12668,C12644)/POBLA!$B$19*100000</f>
        <v>222.88758439432806</v>
      </c>
      <c r="N12788" s="42" t="s">
        <v>36</v>
      </c>
      <c r="O12788" s="42">
        <v>9</v>
      </c>
      <c r="P12788" s="42">
        <v>5</v>
      </c>
      <c r="Q12788" s="42">
        <v>0</v>
      </c>
      <c r="R12788" s="42">
        <v>14</v>
      </c>
    </row>
    <row r="12789" spans="1:18" x14ac:dyDescent="0.25">
      <c r="A12789" s="367" t="s">
        <v>37</v>
      </c>
      <c r="B12789" s="2">
        <v>44425</v>
      </c>
      <c r="C12789" s="724">
        <v>48</v>
      </c>
      <c r="D12789" s="39">
        <f t="shared" si="2453"/>
        <v>58722</v>
      </c>
      <c r="E12789" s="1">
        <v>3</v>
      </c>
      <c r="F12789" s="39">
        <f>E12789+F12765</f>
        <v>981</v>
      </c>
      <c r="G12789" s="168">
        <f>SUM(C12789,C12765,C12742,C12717,C12693,C12669,C12645,C12621,C12597,C12573,C12549,C12525,C12501,C12477)/POBLA!$B$20*100000</f>
        <v>264.9727370671975</v>
      </c>
      <c r="H12789" s="256">
        <f t="shared" si="2451"/>
        <v>0.90656565656565657</v>
      </c>
      <c r="I12789" s="297">
        <f t="shared" si="2452"/>
        <v>240.21518335132299</v>
      </c>
      <c r="J12789" s="422">
        <f t="shared" si="2449"/>
        <v>42.428571428571431</v>
      </c>
      <c r="K12789" s="297">
        <f>J12789/POBLA!$B$20*100000</f>
        <v>11.602079155087376</v>
      </c>
      <c r="L12789" s="200">
        <f t="shared" si="2450"/>
        <v>-0.29453681710213775</v>
      </c>
      <c r="M12789" s="401">
        <f>SUM(C12789,C12765,C12741,C12717,C12693,C12669,C12645)/POBLA!$B$20*100000</f>
        <v>81.214554085611624</v>
      </c>
      <c r="N12789" s="42" t="s">
        <v>37</v>
      </c>
      <c r="O12789" s="42">
        <v>0</v>
      </c>
      <c r="P12789" s="42">
        <v>3</v>
      </c>
      <c r="Q12789" s="42">
        <v>0</v>
      </c>
      <c r="R12789" s="42">
        <v>3</v>
      </c>
    </row>
    <row r="12790" spans="1:18" x14ac:dyDescent="0.25">
      <c r="A12790" s="367" t="s">
        <v>22</v>
      </c>
      <c r="B12790" s="2">
        <v>44425</v>
      </c>
      <c r="C12790" s="724">
        <v>659</v>
      </c>
      <c r="D12790" s="39">
        <f t="shared" si="2453"/>
        <v>460198</v>
      </c>
      <c r="E12790" s="1">
        <v>31</v>
      </c>
      <c r="F12790" s="39">
        <f>E12790+F12766</f>
        <v>8163</v>
      </c>
      <c r="G12790" s="168">
        <f>SUM(C12790,C12766,C12742,C12718,C12694,C12670,C12646,C12622,C12598,C12574,C12550,C12526,C12502,C12478)/POBLA!$B$21*100000</f>
        <v>288.73849188642293</v>
      </c>
      <c r="H12790" s="256">
        <f t="shared" si="2451"/>
        <v>0.66266467648776683</v>
      </c>
      <c r="I12790" s="297">
        <f t="shared" si="2452"/>
        <v>191.33679931548215</v>
      </c>
      <c r="J12790" s="422">
        <f t="shared" si="2449"/>
        <v>583.85714285714289</v>
      </c>
      <c r="K12790" s="297">
        <f>J12790/POBLA!$B$21*100000</f>
        <v>16.509845353607602</v>
      </c>
      <c r="L12790" s="200">
        <f t="shared" si="2450"/>
        <v>-0.33262573481384716</v>
      </c>
      <c r="M12790" s="401">
        <f>SUM(C12790,C12766,C12742,C12718,C12694,C12670,C12646)/POBLA!$B$21*100000</f>
        <v>115.5689174752532</v>
      </c>
      <c r="N12790" s="42" t="s">
        <v>22</v>
      </c>
      <c r="O12790" s="42">
        <v>15</v>
      </c>
      <c r="P12790" s="42">
        <v>16</v>
      </c>
      <c r="Q12790" s="42">
        <v>0</v>
      </c>
      <c r="R12790" s="42">
        <v>31</v>
      </c>
    </row>
    <row r="12791" spans="1:18" x14ac:dyDescent="0.25">
      <c r="A12791" s="367" t="s">
        <v>38</v>
      </c>
      <c r="B12791" s="2">
        <v>44425</v>
      </c>
      <c r="C12791" s="724">
        <v>138</v>
      </c>
      <c r="D12791" s="39">
        <f t="shared" si="2453"/>
        <v>77761</v>
      </c>
      <c r="E12791" s="1">
        <v>6</v>
      </c>
      <c r="F12791" s="39">
        <f>E12791+F12767</f>
        <v>1122</v>
      </c>
      <c r="G12791" s="168">
        <f>SUM(C12791,C12767,C12743,C12719,C12695,C12671,C12647,C12623,C12599,C12575,C12551,C12527,C12503,C12479)/POBLA!$B$22*100000</f>
        <v>356.1232448101988</v>
      </c>
      <c r="H12791" s="256">
        <f t="shared" si="2451"/>
        <v>0.74603854389721624</v>
      </c>
      <c r="I12791" s="297">
        <f t="shared" si="2452"/>
        <v>265.68166700615257</v>
      </c>
      <c r="J12791" s="422">
        <f t="shared" si="2449"/>
        <v>182.57142857142858</v>
      </c>
      <c r="K12791" s="297">
        <f>J12791/POBLA!$B$22*100000</f>
        <v>18.661862672930706</v>
      </c>
      <c r="L12791" s="200">
        <f t="shared" si="2450"/>
        <v>-0.42067089755213061</v>
      </c>
      <c r="M12791" s="401">
        <f>SUM(C12791,C12767,C12743,C12719,C12695,C12671,C12647)/POBLA!$B$22*100000</f>
        <v>130.63303871051494</v>
      </c>
      <c r="N12791" s="42" t="s">
        <v>38</v>
      </c>
      <c r="O12791" s="42">
        <v>2</v>
      </c>
      <c r="P12791" s="42">
        <v>4</v>
      </c>
      <c r="Q12791" s="42">
        <v>0</v>
      </c>
      <c r="R12791" s="42">
        <v>6</v>
      </c>
    </row>
    <row r="12792" spans="1:18" x14ac:dyDescent="0.25">
      <c r="A12792" s="367" t="s">
        <v>39</v>
      </c>
      <c r="B12792" s="2">
        <v>44425</v>
      </c>
      <c r="C12792" s="724">
        <v>37</v>
      </c>
      <c r="D12792" s="39">
        <f t="shared" si="2453"/>
        <v>31799</v>
      </c>
      <c r="F12792" s="39">
        <f>E12792+F12768</f>
        <v>500</v>
      </c>
      <c r="G12792" s="168">
        <f>SUM(C12792,C12768,C12744,C12720,C12696,C12672,C12648,C12624,C12600,C12576,C12552,C12528,C12504,C12480)/POBLA!$B$23*100000</f>
        <v>256.17825029689533</v>
      </c>
      <c r="H12792" s="256">
        <f t="shared" si="2451"/>
        <v>0.63983050847457623</v>
      </c>
      <c r="I12792" s="297">
        <f t="shared" si="2452"/>
        <v>163.91066014758979</v>
      </c>
      <c r="J12792" s="422">
        <f t="shared" si="2449"/>
        <v>30.142857142857142</v>
      </c>
      <c r="K12792" s="297">
        <f>J12792/POBLA!$B$23*100000</f>
        <v>17.046234882574868</v>
      </c>
      <c r="L12792" s="200">
        <f t="shared" si="2450"/>
        <v>-0.12809917355371903</v>
      </c>
      <c r="M12792" s="401">
        <f>SUM(C12792,C12768,C12744,C12720,C12696,C12672,C12648)/POBLA!$B$23*100000</f>
        <v>119.3236441780241</v>
      </c>
    </row>
    <row r="12793" spans="1:18" ht="15.75" thickBot="1" x14ac:dyDescent="0.3">
      <c r="A12793" s="369" t="s">
        <v>40</v>
      </c>
      <c r="B12793" s="266">
        <v>44425</v>
      </c>
      <c r="C12793" s="725">
        <v>670</v>
      </c>
      <c r="D12793" s="176">
        <f t="shared" si="2453"/>
        <v>190648</v>
      </c>
      <c r="E12793" s="44">
        <v>26</v>
      </c>
      <c r="F12793" s="176">
        <f>E12793+F12769</f>
        <v>2783</v>
      </c>
      <c r="G12793" s="177">
        <f>SUM(C12793,C12769,C12745,C12721,C12697,C12673,C12649,C12625,C12601,C12577,C12553,C12529,C12505,C12481)/POBLA!$B$24*100000</f>
        <v>468.41364855168251</v>
      </c>
      <c r="H12793" s="402">
        <f t="shared" si="2451"/>
        <v>0.88170609796734423</v>
      </c>
      <c r="I12793" s="403">
        <f t="shared" si="2452"/>
        <v>413.00317029915095</v>
      </c>
      <c r="J12793" s="423">
        <f t="shared" si="2449"/>
        <v>445.85714285714283</v>
      </c>
      <c r="K12793" s="403">
        <f>J12793/POBLA!$B$24*100000</f>
        <v>26.30959574433648</v>
      </c>
      <c r="L12793" s="404">
        <f t="shared" si="2450"/>
        <v>-0.35208636080548061</v>
      </c>
      <c r="M12793" s="405">
        <f>SUM(C12793,C12769,C12745,C12721,C12697,C12673,C12649)/POBLA!$B$24*100000</f>
        <v>184.16717021035538</v>
      </c>
      <c r="N12793" s="42" t="s">
        <v>40</v>
      </c>
      <c r="O12793" s="42">
        <v>12</v>
      </c>
      <c r="P12793" s="42">
        <v>14</v>
      </c>
      <c r="Q12793" s="42">
        <v>0</v>
      </c>
      <c r="R12793" s="42">
        <v>26</v>
      </c>
    </row>
    <row r="12794" spans="1:18" x14ac:dyDescent="0.25">
      <c r="A12794" s="722"/>
      <c r="B12794" s="225"/>
      <c r="C12794" s="225"/>
      <c r="D12794" s="262"/>
      <c r="E12794" s="225"/>
    </row>
  </sheetData>
  <autoFilter ref="A1:H11809" xr:uid="{5FE24857-404C-485B-9226-DFEF87E52CC6}"/>
  <sortState xmlns:xlrd2="http://schemas.microsoft.com/office/spreadsheetml/2017/richdata2" ref="A2:E3889">
    <sortCondition ref="B2:B3889"/>
    <sortCondition ref="A2:A3889"/>
  </sortState>
  <conditionalFormatting sqref="C3893:E3913 C3890:E3891 D3891:D3913">
    <cfRule type="colorScale" priority="5807">
      <colorScale>
        <cfvo type="min"/>
        <cfvo type="percentile" val="50"/>
        <cfvo type="max"/>
        <color rgb="FFF8696B"/>
        <color rgb="FFFCFCFF"/>
        <color rgb="FF63BE7B"/>
      </colorScale>
    </cfRule>
  </conditionalFormatting>
  <conditionalFormatting sqref="A3890:A3913 C3893:E3913 C3890:E3891 D3891:D3913">
    <cfRule type="colorScale" priority="5806">
      <colorScale>
        <cfvo type="min"/>
        <cfvo type="percentile" val="50"/>
        <cfvo type="max"/>
        <color rgb="FF63BE7B"/>
        <color rgb="FFFFEB84"/>
        <color rgb="FFF8696B"/>
      </colorScale>
    </cfRule>
  </conditionalFormatting>
  <conditionalFormatting sqref="C3893:C3913 C3890:C3891">
    <cfRule type="colorScale" priority="5805">
      <colorScale>
        <cfvo type="min"/>
        <cfvo type="percentile" val="50"/>
        <cfvo type="max"/>
        <color rgb="FF63BE7B"/>
        <color rgb="FFFFEB84"/>
        <color rgb="FFF8696B"/>
      </colorScale>
    </cfRule>
  </conditionalFormatting>
  <conditionalFormatting sqref="D3890:D3913">
    <cfRule type="colorScale" priority="5804">
      <colorScale>
        <cfvo type="min"/>
        <cfvo type="percentile" val="50"/>
        <cfvo type="max"/>
        <color rgb="FF63BE7B"/>
        <color rgb="FFFFEB84"/>
        <color rgb="FFF8696B"/>
      </colorScale>
    </cfRule>
  </conditionalFormatting>
  <conditionalFormatting sqref="E3893:E3913 E3890:E3891">
    <cfRule type="colorScale" priority="5803">
      <colorScale>
        <cfvo type="min"/>
        <cfvo type="percentile" val="50"/>
        <cfvo type="max"/>
        <color rgb="FF63BE7B"/>
        <color rgb="FFFFEB84"/>
        <color rgb="FFF8696B"/>
      </colorScale>
    </cfRule>
  </conditionalFormatting>
  <conditionalFormatting sqref="A3914:A3937">
    <cfRule type="colorScale" priority="5802">
      <colorScale>
        <cfvo type="min"/>
        <cfvo type="percentile" val="50"/>
        <cfvo type="max"/>
        <color rgb="FF63BE7B"/>
        <color rgb="FFFFEB84"/>
        <color rgb="FFF8696B"/>
      </colorScale>
    </cfRule>
  </conditionalFormatting>
  <conditionalFormatting sqref="A3938:A3961">
    <cfRule type="colorScale" priority="5798">
      <colorScale>
        <cfvo type="min"/>
        <cfvo type="percentile" val="50"/>
        <cfvo type="max"/>
        <color rgb="FF63BE7B"/>
        <color rgb="FFFFEB84"/>
        <color rgb="FFF8696B"/>
      </colorScale>
    </cfRule>
  </conditionalFormatting>
  <conditionalFormatting sqref="A3962:A3985">
    <cfRule type="colorScale" priority="5794">
      <colorScale>
        <cfvo type="min"/>
        <cfvo type="percentile" val="50"/>
        <cfvo type="max"/>
        <color rgb="FF63BE7B"/>
        <color rgb="FFFFEB84"/>
        <color rgb="FFF8696B"/>
      </colorScale>
    </cfRule>
  </conditionalFormatting>
  <conditionalFormatting sqref="A3986:A4009">
    <cfRule type="colorScale" priority="5790">
      <colorScale>
        <cfvo type="min"/>
        <cfvo type="percentile" val="50"/>
        <cfvo type="max"/>
        <color rgb="FF63BE7B"/>
        <color rgb="FFFFEB84"/>
        <color rgb="FFF8696B"/>
      </colorScale>
    </cfRule>
  </conditionalFormatting>
  <conditionalFormatting sqref="D3986:D4009">
    <cfRule type="colorScale" priority="5789">
      <colorScale>
        <cfvo type="min"/>
        <cfvo type="percentile" val="50"/>
        <cfvo type="max"/>
        <color rgb="FFF8696B"/>
        <color rgb="FFFCFCFF"/>
        <color rgb="FF63BE7B"/>
      </colorScale>
    </cfRule>
  </conditionalFormatting>
  <conditionalFormatting sqref="D3986:D4009">
    <cfRule type="colorScale" priority="5788">
      <colorScale>
        <cfvo type="min"/>
        <cfvo type="percentile" val="50"/>
        <cfvo type="max"/>
        <color rgb="FF63BE7B"/>
        <color rgb="FFFFEB84"/>
        <color rgb="FFF8696B"/>
      </colorScale>
    </cfRule>
  </conditionalFormatting>
  <conditionalFormatting sqref="D3986:D4009">
    <cfRule type="colorScale" priority="5787">
      <colorScale>
        <cfvo type="min"/>
        <cfvo type="percentile" val="50"/>
        <cfvo type="max"/>
        <color rgb="FF63BE7B"/>
        <color rgb="FFFFEB84"/>
        <color rgb="FFF8696B"/>
      </colorScale>
    </cfRule>
  </conditionalFormatting>
  <conditionalFormatting sqref="D3962:D3985">
    <cfRule type="colorScale" priority="5786">
      <colorScale>
        <cfvo type="min"/>
        <cfvo type="percentile" val="50"/>
        <cfvo type="max"/>
        <color rgb="FFF8696B"/>
        <color rgb="FFFCFCFF"/>
        <color rgb="FF63BE7B"/>
      </colorScale>
    </cfRule>
  </conditionalFormatting>
  <conditionalFormatting sqref="D3962:D3985">
    <cfRule type="colorScale" priority="5785">
      <colorScale>
        <cfvo type="min"/>
        <cfvo type="percentile" val="50"/>
        <cfvo type="max"/>
        <color rgb="FF63BE7B"/>
        <color rgb="FFFFEB84"/>
        <color rgb="FFF8696B"/>
      </colorScale>
    </cfRule>
  </conditionalFormatting>
  <conditionalFormatting sqref="D3962:D3985">
    <cfRule type="colorScale" priority="5784">
      <colorScale>
        <cfvo type="min"/>
        <cfvo type="percentile" val="50"/>
        <cfvo type="max"/>
        <color rgb="FF63BE7B"/>
        <color rgb="FFFFEB84"/>
        <color rgb="FFF8696B"/>
      </colorScale>
    </cfRule>
  </conditionalFormatting>
  <conditionalFormatting sqref="D3938:D3961">
    <cfRule type="colorScale" priority="5783">
      <colorScale>
        <cfvo type="min"/>
        <cfvo type="percentile" val="50"/>
        <cfvo type="max"/>
        <color rgb="FFF8696B"/>
        <color rgb="FFFCFCFF"/>
        <color rgb="FF63BE7B"/>
      </colorScale>
    </cfRule>
  </conditionalFormatting>
  <conditionalFormatting sqref="D3938:D3961">
    <cfRule type="colorScale" priority="5782">
      <colorScale>
        <cfvo type="min"/>
        <cfvo type="percentile" val="50"/>
        <cfvo type="max"/>
        <color rgb="FF63BE7B"/>
        <color rgb="FFFFEB84"/>
        <color rgb="FFF8696B"/>
      </colorScale>
    </cfRule>
  </conditionalFormatting>
  <conditionalFormatting sqref="D3938:D3961">
    <cfRule type="colorScale" priority="5781">
      <colorScale>
        <cfvo type="min"/>
        <cfvo type="percentile" val="50"/>
        <cfvo type="max"/>
        <color rgb="FF63BE7B"/>
        <color rgb="FFFFEB84"/>
        <color rgb="FFF8696B"/>
      </colorScale>
    </cfRule>
  </conditionalFormatting>
  <conditionalFormatting sqref="D3914:D3937">
    <cfRule type="colorScale" priority="5780">
      <colorScale>
        <cfvo type="min"/>
        <cfvo type="percentile" val="50"/>
        <cfvo type="max"/>
        <color rgb="FFF8696B"/>
        <color rgb="FFFCFCFF"/>
        <color rgb="FF63BE7B"/>
      </colorScale>
    </cfRule>
  </conditionalFormatting>
  <conditionalFormatting sqref="D3914:D3937">
    <cfRule type="colorScale" priority="5779">
      <colorScale>
        <cfvo type="min"/>
        <cfvo type="percentile" val="50"/>
        <cfvo type="max"/>
        <color rgb="FF63BE7B"/>
        <color rgb="FFFFEB84"/>
        <color rgb="FFF8696B"/>
      </colorScale>
    </cfRule>
  </conditionalFormatting>
  <conditionalFormatting sqref="D3914:D3937">
    <cfRule type="colorScale" priority="5778">
      <colorScale>
        <cfvo type="min"/>
        <cfvo type="percentile" val="50"/>
        <cfvo type="max"/>
        <color rgb="FF63BE7B"/>
        <color rgb="FFFFEB84"/>
        <color rgb="FFF8696B"/>
      </colorScale>
    </cfRule>
  </conditionalFormatting>
  <conditionalFormatting sqref="A4010:A4033">
    <cfRule type="colorScale" priority="5777">
      <colorScale>
        <cfvo type="min"/>
        <cfvo type="percentile" val="50"/>
        <cfvo type="max"/>
        <color rgb="FF63BE7B"/>
        <color rgb="FFFFEB84"/>
        <color rgb="FFF8696B"/>
      </colorScale>
    </cfRule>
  </conditionalFormatting>
  <conditionalFormatting sqref="D4010:D4033">
    <cfRule type="colorScale" priority="5776">
      <colorScale>
        <cfvo type="min"/>
        <cfvo type="percentile" val="50"/>
        <cfvo type="max"/>
        <color rgb="FFF8696B"/>
        <color rgb="FFFCFCFF"/>
        <color rgb="FF63BE7B"/>
      </colorScale>
    </cfRule>
  </conditionalFormatting>
  <conditionalFormatting sqref="D4010:D4033">
    <cfRule type="colorScale" priority="5775">
      <colorScale>
        <cfvo type="min"/>
        <cfvo type="percentile" val="50"/>
        <cfvo type="max"/>
        <color rgb="FF63BE7B"/>
        <color rgb="FFFFEB84"/>
        <color rgb="FFF8696B"/>
      </colorScale>
    </cfRule>
  </conditionalFormatting>
  <conditionalFormatting sqref="D4010:D4033">
    <cfRule type="colorScale" priority="5774">
      <colorScale>
        <cfvo type="min"/>
        <cfvo type="percentile" val="50"/>
        <cfvo type="max"/>
        <color rgb="FF63BE7B"/>
        <color rgb="FFFFEB84"/>
        <color rgb="FFF8696B"/>
      </colorScale>
    </cfRule>
  </conditionalFormatting>
  <conditionalFormatting sqref="A4034:A4057">
    <cfRule type="colorScale" priority="5773">
      <colorScale>
        <cfvo type="min"/>
        <cfvo type="percentile" val="50"/>
        <cfvo type="max"/>
        <color rgb="FF63BE7B"/>
        <color rgb="FFFFEB84"/>
        <color rgb="FFF8696B"/>
      </colorScale>
    </cfRule>
  </conditionalFormatting>
  <conditionalFormatting sqref="D4034:D4057">
    <cfRule type="colorScale" priority="5772">
      <colorScale>
        <cfvo type="min"/>
        <cfvo type="percentile" val="50"/>
        <cfvo type="max"/>
        <color rgb="FFF8696B"/>
        <color rgb="FFFCFCFF"/>
        <color rgb="FF63BE7B"/>
      </colorScale>
    </cfRule>
  </conditionalFormatting>
  <conditionalFormatting sqref="D4034:D4057">
    <cfRule type="colorScale" priority="5771">
      <colorScale>
        <cfvo type="min"/>
        <cfvo type="percentile" val="50"/>
        <cfvo type="max"/>
        <color rgb="FF63BE7B"/>
        <color rgb="FFFFEB84"/>
        <color rgb="FFF8696B"/>
      </colorScale>
    </cfRule>
  </conditionalFormatting>
  <conditionalFormatting sqref="D4034:D4057">
    <cfRule type="colorScale" priority="5770">
      <colorScale>
        <cfvo type="min"/>
        <cfvo type="percentile" val="50"/>
        <cfvo type="max"/>
        <color rgb="FF63BE7B"/>
        <color rgb="FFFFEB84"/>
        <color rgb="FFF8696B"/>
      </colorScale>
    </cfRule>
  </conditionalFormatting>
  <conditionalFormatting sqref="A4058:A4081">
    <cfRule type="colorScale" priority="5769">
      <colorScale>
        <cfvo type="min"/>
        <cfvo type="percentile" val="50"/>
        <cfvo type="max"/>
        <color rgb="FF63BE7B"/>
        <color rgb="FFFFEB84"/>
        <color rgb="FFF8696B"/>
      </colorScale>
    </cfRule>
  </conditionalFormatting>
  <conditionalFormatting sqref="D4058:D4081">
    <cfRule type="colorScale" priority="5768">
      <colorScale>
        <cfvo type="min"/>
        <cfvo type="percentile" val="50"/>
        <cfvo type="max"/>
        <color rgb="FFF8696B"/>
        <color rgb="FFFCFCFF"/>
        <color rgb="FF63BE7B"/>
      </colorScale>
    </cfRule>
  </conditionalFormatting>
  <conditionalFormatting sqref="D4058:D4081">
    <cfRule type="colorScale" priority="5767">
      <colorScale>
        <cfvo type="min"/>
        <cfvo type="percentile" val="50"/>
        <cfvo type="max"/>
        <color rgb="FF63BE7B"/>
        <color rgb="FFFFEB84"/>
        <color rgb="FFF8696B"/>
      </colorScale>
    </cfRule>
  </conditionalFormatting>
  <conditionalFormatting sqref="D4058:D4081">
    <cfRule type="colorScale" priority="5766">
      <colorScale>
        <cfvo type="min"/>
        <cfvo type="percentile" val="50"/>
        <cfvo type="max"/>
        <color rgb="FF63BE7B"/>
        <color rgb="FFFFEB84"/>
        <color rgb="FFF8696B"/>
      </colorScale>
    </cfRule>
  </conditionalFormatting>
  <conditionalFormatting sqref="A4082:A4105">
    <cfRule type="colorScale" priority="5765">
      <colorScale>
        <cfvo type="min"/>
        <cfvo type="percentile" val="50"/>
        <cfvo type="max"/>
        <color rgb="FF63BE7B"/>
        <color rgb="FFFFEB84"/>
        <color rgb="FFF8696B"/>
      </colorScale>
    </cfRule>
  </conditionalFormatting>
  <conditionalFormatting sqref="D4082:D4105">
    <cfRule type="colorScale" priority="5764">
      <colorScale>
        <cfvo type="min"/>
        <cfvo type="percentile" val="50"/>
        <cfvo type="max"/>
        <color rgb="FFF8696B"/>
        <color rgb="FFFCFCFF"/>
        <color rgb="FF63BE7B"/>
      </colorScale>
    </cfRule>
  </conditionalFormatting>
  <conditionalFormatting sqref="D4082:D4105">
    <cfRule type="colorScale" priority="5763">
      <colorScale>
        <cfvo type="min"/>
        <cfvo type="percentile" val="50"/>
        <cfvo type="max"/>
        <color rgb="FF63BE7B"/>
        <color rgb="FFFFEB84"/>
        <color rgb="FFF8696B"/>
      </colorScale>
    </cfRule>
  </conditionalFormatting>
  <conditionalFormatting sqref="D4082:D4105">
    <cfRule type="colorScale" priority="5762">
      <colorScale>
        <cfvo type="min"/>
        <cfvo type="percentile" val="50"/>
        <cfvo type="max"/>
        <color rgb="FF63BE7B"/>
        <color rgb="FFFFEB84"/>
        <color rgb="FFF8696B"/>
      </colorScale>
    </cfRule>
  </conditionalFormatting>
  <conditionalFormatting sqref="C4082:C4105">
    <cfRule type="colorScale" priority="5761">
      <colorScale>
        <cfvo type="min"/>
        <cfvo type="percentile" val="50"/>
        <cfvo type="max"/>
        <color rgb="FF63BE7B"/>
        <color rgb="FFFFEB84"/>
        <color rgb="FFF8696B"/>
      </colorScale>
    </cfRule>
  </conditionalFormatting>
  <conditionalFormatting sqref="A4106:A4129">
    <cfRule type="colorScale" priority="5760">
      <colorScale>
        <cfvo type="min"/>
        <cfvo type="percentile" val="50"/>
        <cfvo type="max"/>
        <color rgb="FF63BE7B"/>
        <color rgb="FFFFEB84"/>
        <color rgb="FFF8696B"/>
      </colorScale>
    </cfRule>
  </conditionalFormatting>
  <conditionalFormatting sqref="D4106:D4129">
    <cfRule type="colorScale" priority="5759">
      <colorScale>
        <cfvo type="min"/>
        <cfvo type="percentile" val="50"/>
        <cfvo type="max"/>
        <color rgb="FFF8696B"/>
        <color rgb="FFFCFCFF"/>
        <color rgb="FF63BE7B"/>
      </colorScale>
    </cfRule>
  </conditionalFormatting>
  <conditionalFormatting sqref="D4106:D4129">
    <cfRule type="colorScale" priority="5758">
      <colorScale>
        <cfvo type="min"/>
        <cfvo type="percentile" val="50"/>
        <cfvo type="max"/>
        <color rgb="FF63BE7B"/>
        <color rgb="FFFFEB84"/>
        <color rgb="FFF8696B"/>
      </colorScale>
    </cfRule>
  </conditionalFormatting>
  <conditionalFormatting sqref="D4106:D4129">
    <cfRule type="colorScale" priority="5757">
      <colorScale>
        <cfvo type="min"/>
        <cfvo type="percentile" val="50"/>
        <cfvo type="max"/>
        <color rgb="FF63BE7B"/>
        <color rgb="FFFFEB84"/>
        <color rgb="FFF8696B"/>
      </colorScale>
    </cfRule>
  </conditionalFormatting>
  <conditionalFormatting sqref="A4130:A4153">
    <cfRule type="colorScale" priority="5756">
      <colorScale>
        <cfvo type="min"/>
        <cfvo type="percentile" val="50"/>
        <cfvo type="max"/>
        <color rgb="FF63BE7B"/>
        <color rgb="FFFFEB84"/>
        <color rgb="FFF8696B"/>
      </colorScale>
    </cfRule>
  </conditionalFormatting>
  <conditionalFormatting sqref="D4130:D4153">
    <cfRule type="colorScale" priority="5755">
      <colorScale>
        <cfvo type="min"/>
        <cfvo type="percentile" val="50"/>
        <cfvo type="max"/>
        <color rgb="FFF8696B"/>
        <color rgb="FFFCFCFF"/>
        <color rgb="FF63BE7B"/>
      </colorScale>
    </cfRule>
  </conditionalFormatting>
  <conditionalFormatting sqref="D4130:D4153">
    <cfRule type="colorScale" priority="5754">
      <colorScale>
        <cfvo type="min"/>
        <cfvo type="percentile" val="50"/>
        <cfvo type="max"/>
        <color rgb="FF63BE7B"/>
        <color rgb="FFFFEB84"/>
        <color rgb="FFF8696B"/>
      </colorScale>
    </cfRule>
  </conditionalFormatting>
  <conditionalFormatting sqref="D4130:D4153">
    <cfRule type="colorScale" priority="5753">
      <colorScale>
        <cfvo type="min"/>
        <cfvo type="percentile" val="50"/>
        <cfvo type="max"/>
        <color rgb="FF63BE7B"/>
        <color rgb="FFFFEB84"/>
        <color rgb="FFF8696B"/>
      </colorScale>
    </cfRule>
  </conditionalFormatting>
  <conditionalFormatting sqref="A4154:A4177">
    <cfRule type="colorScale" priority="5752">
      <colorScale>
        <cfvo type="min"/>
        <cfvo type="percentile" val="50"/>
        <cfvo type="max"/>
        <color rgb="FF63BE7B"/>
        <color rgb="FFFFEB84"/>
        <color rgb="FFF8696B"/>
      </colorScale>
    </cfRule>
  </conditionalFormatting>
  <conditionalFormatting sqref="D4154:D4177">
    <cfRule type="colorScale" priority="5751">
      <colorScale>
        <cfvo type="min"/>
        <cfvo type="percentile" val="50"/>
        <cfvo type="max"/>
        <color rgb="FFF8696B"/>
        <color rgb="FFFCFCFF"/>
        <color rgb="FF63BE7B"/>
      </colorScale>
    </cfRule>
  </conditionalFormatting>
  <conditionalFormatting sqref="D4154:D4177">
    <cfRule type="colorScale" priority="5750">
      <colorScale>
        <cfvo type="min"/>
        <cfvo type="percentile" val="50"/>
        <cfvo type="max"/>
        <color rgb="FF63BE7B"/>
        <color rgb="FFFFEB84"/>
        <color rgb="FFF8696B"/>
      </colorScale>
    </cfRule>
  </conditionalFormatting>
  <conditionalFormatting sqref="D4154:D4177">
    <cfRule type="colorScale" priority="5749">
      <colorScale>
        <cfvo type="min"/>
        <cfvo type="percentile" val="50"/>
        <cfvo type="max"/>
        <color rgb="FF63BE7B"/>
        <color rgb="FFFFEB84"/>
        <color rgb="FFF8696B"/>
      </colorScale>
    </cfRule>
  </conditionalFormatting>
  <conditionalFormatting sqref="A4178:A4201">
    <cfRule type="colorScale" priority="5748">
      <colorScale>
        <cfvo type="min"/>
        <cfvo type="percentile" val="50"/>
        <cfvo type="max"/>
        <color rgb="FF63BE7B"/>
        <color rgb="FFFFEB84"/>
        <color rgb="FFF8696B"/>
      </colorScale>
    </cfRule>
  </conditionalFormatting>
  <conditionalFormatting sqref="D4178:D4201">
    <cfRule type="colorScale" priority="5747">
      <colorScale>
        <cfvo type="min"/>
        <cfvo type="percentile" val="50"/>
        <cfvo type="max"/>
        <color rgb="FFF8696B"/>
        <color rgb="FFFCFCFF"/>
        <color rgb="FF63BE7B"/>
      </colorScale>
    </cfRule>
  </conditionalFormatting>
  <conditionalFormatting sqref="D4178:D4201">
    <cfRule type="colorScale" priority="5746">
      <colorScale>
        <cfvo type="min"/>
        <cfvo type="percentile" val="50"/>
        <cfvo type="max"/>
        <color rgb="FF63BE7B"/>
        <color rgb="FFFFEB84"/>
        <color rgb="FFF8696B"/>
      </colorScale>
    </cfRule>
  </conditionalFormatting>
  <conditionalFormatting sqref="D4178:D4201">
    <cfRule type="colorScale" priority="5745">
      <colorScale>
        <cfvo type="min"/>
        <cfvo type="percentile" val="50"/>
        <cfvo type="max"/>
        <color rgb="FF63BE7B"/>
        <color rgb="FFFFEB84"/>
        <color rgb="FFF8696B"/>
      </colorScale>
    </cfRule>
  </conditionalFormatting>
  <conditionalFormatting sqref="A4202:A4225">
    <cfRule type="colorScale" priority="5744">
      <colorScale>
        <cfvo type="min"/>
        <cfvo type="percentile" val="50"/>
        <cfvo type="max"/>
        <color rgb="FF63BE7B"/>
        <color rgb="FFFFEB84"/>
        <color rgb="FFF8696B"/>
      </colorScale>
    </cfRule>
  </conditionalFormatting>
  <conditionalFormatting sqref="D4202:D4225">
    <cfRule type="colorScale" priority="5743">
      <colorScale>
        <cfvo type="min"/>
        <cfvo type="percentile" val="50"/>
        <cfvo type="max"/>
        <color rgb="FFF8696B"/>
        <color rgb="FFFCFCFF"/>
        <color rgb="FF63BE7B"/>
      </colorScale>
    </cfRule>
  </conditionalFormatting>
  <conditionalFormatting sqref="D4202:D4225">
    <cfRule type="colorScale" priority="5742">
      <colorScale>
        <cfvo type="min"/>
        <cfvo type="percentile" val="50"/>
        <cfvo type="max"/>
        <color rgb="FF63BE7B"/>
        <color rgb="FFFFEB84"/>
        <color rgb="FFF8696B"/>
      </colorScale>
    </cfRule>
  </conditionalFormatting>
  <conditionalFormatting sqref="D4202:D4225">
    <cfRule type="colorScale" priority="5741">
      <colorScale>
        <cfvo type="min"/>
        <cfvo type="percentile" val="50"/>
        <cfvo type="max"/>
        <color rgb="FF63BE7B"/>
        <color rgb="FFFFEB84"/>
        <color rgb="FFF8696B"/>
      </colorScale>
    </cfRule>
  </conditionalFormatting>
  <conditionalFormatting sqref="A4226:A4249">
    <cfRule type="colorScale" priority="5740">
      <colorScale>
        <cfvo type="min"/>
        <cfvo type="percentile" val="50"/>
        <cfvo type="max"/>
        <color rgb="FF63BE7B"/>
        <color rgb="FFFFEB84"/>
        <color rgb="FFF8696B"/>
      </colorScale>
    </cfRule>
  </conditionalFormatting>
  <conditionalFormatting sqref="D4226:D4249">
    <cfRule type="colorScale" priority="5739">
      <colorScale>
        <cfvo type="min"/>
        <cfvo type="percentile" val="50"/>
        <cfvo type="max"/>
        <color rgb="FFF8696B"/>
        <color rgb="FFFCFCFF"/>
        <color rgb="FF63BE7B"/>
      </colorScale>
    </cfRule>
  </conditionalFormatting>
  <conditionalFormatting sqref="D4226:D4249">
    <cfRule type="colorScale" priority="5738">
      <colorScale>
        <cfvo type="min"/>
        <cfvo type="percentile" val="50"/>
        <cfvo type="max"/>
        <color rgb="FF63BE7B"/>
        <color rgb="FFFFEB84"/>
        <color rgb="FFF8696B"/>
      </colorScale>
    </cfRule>
  </conditionalFormatting>
  <conditionalFormatting sqref="D4226:D4249">
    <cfRule type="colorScale" priority="5737">
      <colorScale>
        <cfvo type="min"/>
        <cfvo type="percentile" val="50"/>
        <cfvo type="max"/>
        <color rgb="FF63BE7B"/>
        <color rgb="FFFFEB84"/>
        <color rgb="FFF8696B"/>
      </colorScale>
    </cfRule>
  </conditionalFormatting>
  <conditionalFormatting sqref="A4250:A4273">
    <cfRule type="colorScale" priority="5736">
      <colorScale>
        <cfvo type="min"/>
        <cfvo type="percentile" val="50"/>
        <cfvo type="max"/>
        <color rgb="FF63BE7B"/>
        <color rgb="FFFFEB84"/>
        <color rgb="FFF8696B"/>
      </colorScale>
    </cfRule>
  </conditionalFormatting>
  <conditionalFormatting sqref="D4250:D4273">
    <cfRule type="colorScale" priority="5735">
      <colorScale>
        <cfvo type="min"/>
        <cfvo type="percentile" val="50"/>
        <cfvo type="max"/>
        <color rgb="FFF8696B"/>
        <color rgb="FFFCFCFF"/>
        <color rgb="FF63BE7B"/>
      </colorScale>
    </cfRule>
  </conditionalFormatting>
  <conditionalFormatting sqref="D4250:D4273">
    <cfRule type="colorScale" priority="5734">
      <colorScale>
        <cfvo type="min"/>
        <cfvo type="percentile" val="50"/>
        <cfvo type="max"/>
        <color rgb="FF63BE7B"/>
        <color rgb="FFFFEB84"/>
        <color rgb="FFF8696B"/>
      </colorScale>
    </cfRule>
  </conditionalFormatting>
  <conditionalFormatting sqref="D4250:D4273">
    <cfRule type="colorScale" priority="5733">
      <colorScale>
        <cfvo type="min"/>
        <cfvo type="percentile" val="50"/>
        <cfvo type="max"/>
        <color rgb="FF63BE7B"/>
        <color rgb="FFFFEB84"/>
        <color rgb="FFF8696B"/>
      </colorScale>
    </cfRule>
  </conditionalFormatting>
  <conditionalFormatting sqref="A4274:A4297">
    <cfRule type="colorScale" priority="5732">
      <colorScale>
        <cfvo type="min"/>
        <cfvo type="percentile" val="50"/>
        <cfvo type="max"/>
        <color rgb="FF63BE7B"/>
        <color rgb="FFFFEB84"/>
        <color rgb="FFF8696B"/>
      </colorScale>
    </cfRule>
  </conditionalFormatting>
  <conditionalFormatting sqref="D4274:D4297">
    <cfRule type="colorScale" priority="5731">
      <colorScale>
        <cfvo type="min"/>
        <cfvo type="percentile" val="50"/>
        <cfvo type="max"/>
        <color rgb="FFF8696B"/>
        <color rgb="FFFCFCFF"/>
        <color rgb="FF63BE7B"/>
      </colorScale>
    </cfRule>
  </conditionalFormatting>
  <conditionalFormatting sqref="D4274:D4297">
    <cfRule type="colorScale" priority="5730">
      <colorScale>
        <cfvo type="min"/>
        <cfvo type="percentile" val="50"/>
        <cfvo type="max"/>
        <color rgb="FF63BE7B"/>
        <color rgb="FFFFEB84"/>
        <color rgb="FFF8696B"/>
      </colorScale>
    </cfRule>
  </conditionalFormatting>
  <conditionalFormatting sqref="D4274:D4297">
    <cfRule type="colorScale" priority="5729">
      <colorScale>
        <cfvo type="min"/>
        <cfvo type="percentile" val="50"/>
        <cfvo type="max"/>
        <color rgb="FF63BE7B"/>
        <color rgb="FFFFEB84"/>
        <color rgb="FFF8696B"/>
      </colorScale>
    </cfRule>
  </conditionalFormatting>
  <conditionalFormatting sqref="A4298:A4321">
    <cfRule type="colorScale" priority="5728">
      <colorScale>
        <cfvo type="min"/>
        <cfvo type="percentile" val="50"/>
        <cfvo type="max"/>
        <color rgb="FF63BE7B"/>
        <color rgb="FFFFEB84"/>
        <color rgb="FFF8696B"/>
      </colorScale>
    </cfRule>
  </conditionalFormatting>
  <conditionalFormatting sqref="D4298:D4321">
    <cfRule type="colorScale" priority="5727">
      <colorScale>
        <cfvo type="min"/>
        <cfvo type="percentile" val="50"/>
        <cfvo type="max"/>
        <color rgb="FFF8696B"/>
        <color rgb="FFFCFCFF"/>
        <color rgb="FF63BE7B"/>
      </colorScale>
    </cfRule>
  </conditionalFormatting>
  <conditionalFormatting sqref="D4298:D4321">
    <cfRule type="colorScale" priority="5726">
      <colorScale>
        <cfvo type="min"/>
        <cfvo type="percentile" val="50"/>
        <cfvo type="max"/>
        <color rgb="FF63BE7B"/>
        <color rgb="FFFFEB84"/>
        <color rgb="FFF8696B"/>
      </colorScale>
    </cfRule>
  </conditionalFormatting>
  <conditionalFormatting sqref="D4298:D4321">
    <cfRule type="colorScale" priority="5725">
      <colorScale>
        <cfvo type="min"/>
        <cfvo type="percentile" val="50"/>
        <cfvo type="max"/>
        <color rgb="FF63BE7B"/>
        <color rgb="FFFFEB84"/>
        <color rgb="FFF8696B"/>
      </colorScale>
    </cfRule>
  </conditionalFormatting>
  <conditionalFormatting sqref="A4322:A4345">
    <cfRule type="colorScale" priority="5724">
      <colorScale>
        <cfvo type="min"/>
        <cfvo type="percentile" val="50"/>
        <cfvo type="max"/>
        <color rgb="FF63BE7B"/>
        <color rgb="FFFFEB84"/>
        <color rgb="FFF8696B"/>
      </colorScale>
    </cfRule>
  </conditionalFormatting>
  <conditionalFormatting sqref="D4322:D4345">
    <cfRule type="colorScale" priority="5723">
      <colorScale>
        <cfvo type="min"/>
        <cfvo type="percentile" val="50"/>
        <cfvo type="max"/>
        <color rgb="FFF8696B"/>
        <color rgb="FFFCFCFF"/>
        <color rgb="FF63BE7B"/>
      </colorScale>
    </cfRule>
  </conditionalFormatting>
  <conditionalFormatting sqref="D4322:D4345">
    <cfRule type="colorScale" priority="5722">
      <colorScale>
        <cfvo type="min"/>
        <cfvo type="percentile" val="50"/>
        <cfvo type="max"/>
        <color rgb="FF63BE7B"/>
        <color rgb="FFFFEB84"/>
        <color rgb="FFF8696B"/>
      </colorScale>
    </cfRule>
  </conditionalFormatting>
  <conditionalFormatting sqref="D4322:D4345">
    <cfRule type="colorScale" priority="5721">
      <colorScale>
        <cfvo type="min"/>
        <cfvo type="percentile" val="50"/>
        <cfvo type="max"/>
        <color rgb="FF63BE7B"/>
        <color rgb="FFFFEB84"/>
        <color rgb="FFF8696B"/>
      </colorScale>
    </cfRule>
  </conditionalFormatting>
  <conditionalFormatting sqref="A4346:A4369">
    <cfRule type="colorScale" priority="5720">
      <colorScale>
        <cfvo type="min"/>
        <cfvo type="percentile" val="50"/>
        <cfvo type="max"/>
        <color rgb="FF63BE7B"/>
        <color rgb="FFFFEB84"/>
        <color rgb="FFF8696B"/>
      </colorScale>
    </cfRule>
  </conditionalFormatting>
  <conditionalFormatting sqref="D4346:D4369">
    <cfRule type="colorScale" priority="5719">
      <colorScale>
        <cfvo type="min"/>
        <cfvo type="percentile" val="50"/>
        <cfvo type="max"/>
        <color rgb="FFF8696B"/>
        <color rgb="FFFCFCFF"/>
        <color rgb="FF63BE7B"/>
      </colorScale>
    </cfRule>
  </conditionalFormatting>
  <conditionalFormatting sqref="D4346:D4369">
    <cfRule type="colorScale" priority="5718">
      <colorScale>
        <cfvo type="min"/>
        <cfvo type="percentile" val="50"/>
        <cfvo type="max"/>
        <color rgb="FF63BE7B"/>
        <color rgb="FFFFEB84"/>
        <color rgb="FFF8696B"/>
      </colorScale>
    </cfRule>
  </conditionalFormatting>
  <conditionalFormatting sqref="D4346:D4369">
    <cfRule type="colorScale" priority="5717">
      <colorScale>
        <cfvo type="min"/>
        <cfvo type="percentile" val="50"/>
        <cfvo type="max"/>
        <color rgb="FF63BE7B"/>
        <color rgb="FFFFEB84"/>
        <color rgb="FFF8696B"/>
      </colorScale>
    </cfRule>
  </conditionalFormatting>
  <conditionalFormatting sqref="A4370:A4393">
    <cfRule type="colorScale" priority="5716">
      <colorScale>
        <cfvo type="min"/>
        <cfvo type="percentile" val="50"/>
        <cfvo type="max"/>
        <color rgb="FF63BE7B"/>
        <color rgb="FFFFEB84"/>
        <color rgb="FFF8696B"/>
      </colorScale>
    </cfRule>
  </conditionalFormatting>
  <conditionalFormatting sqref="D4370:D4393">
    <cfRule type="colorScale" priority="5715">
      <colorScale>
        <cfvo type="min"/>
        <cfvo type="percentile" val="50"/>
        <cfvo type="max"/>
        <color rgb="FFF8696B"/>
        <color rgb="FFFCFCFF"/>
        <color rgb="FF63BE7B"/>
      </colorScale>
    </cfRule>
  </conditionalFormatting>
  <conditionalFormatting sqref="D4370:D4393">
    <cfRule type="colorScale" priority="5714">
      <colorScale>
        <cfvo type="min"/>
        <cfvo type="percentile" val="50"/>
        <cfvo type="max"/>
        <color rgb="FF63BE7B"/>
        <color rgb="FFFFEB84"/>
        <color rgb="FFF8696B"/>
      </colorScale>
    </cfRule>
  </conditionalFormatting>
  <conditionalFormatting sqref="D4370:D4393">
    <cfRule type="colorScale" priority="5713">
      <colorScale>
        <cfvo type="min"/>
        <cfvo type="percentile" val="50"/>
        <cfvo type="max"/>
        <color rgb="FF63BE7B"/>
        <color rgb="FFFFEB84"/>
        <color rgb="FFF8696B"/>
      </colorScale>
    </cfRule>
  </conditionalFormatting>
  <conditionalFormatting sqref="A4394:A4417">
    <cfRule type="colorScale" priority="5712">
      <colorScale>
        <cfvo type="min"/>
        <cfvo type="percentile" val="50"/>
        <cfvo type="max"/>
        <color rgb="FF63BE7B"/>
        <color rgb="FFFFEB84"/>
        <color rgb="FFF8696B"/>
      </colorScale>
    </cfRule>
  </conditionalFormatting>
  <conditionalFormatting sqref="D4394:D4417">
    <cfRule type="colorScale" priority="5711">
      <colorScale>
        <cfvo type="min"/>
        <cfvo type="percentile" val="50"/>
        <cfvo type="max"/>
        <color rgb="FFF8696B"/>
        <color rgb="FFFCFCFF"/>
        <color rgb="FF63BE7B"/>
      </colorScale>
    </cfRule>
  </conditionalFormatting>
  <conditionalFormatting sqref="D4394:D4417">
    <cfRule type="colorScale" priority="5710">
      <colorScale>
        <cfvo type="min"/>
        <cfvo type="percentile" val="50"/>
        <cfvo type="max"/>
        <color rgb="FF63BE7B"/>
        <color rgb="FFFFEB84"/>
        <color rgb="FFF8696B"/>
      </colorScale>
    </cfRule>
  </conditionalFormatting>
  <conditionalFormatting sqref="D4394:D4417">
    <cfRule type="colorScale" priority="5709">
      <colorScale>
        <cfvo type="min"/>
        <cfvo type="percentile" val="50"/>
        <cfvo type="max"/>
        <color rgb="FF63BE7B"/>
        <color rgb="FFFFEB84"/>
        <color rgb="FFF8696B"/>
      </colorScale>
    </cfRule>
  </conditionalFormatting>
  <conditionalFormatting sqref="A4418:A4441">
    <cfRule type="colorScale" priority="5641">
      <colorScale>
        <cfvo type="min"/>
        <cfvo type="percentile" val="50"/>
        <cfvo type="max"/>
        <color rgb="FF63BE7B"/>
        <color rgb="FFFFEB84"/>
        <color rgb="FFF8696B"/>
      </colorScale>
    </cfRule>
  </conditionalFormatting>
  <conditionalFormatting sqref="D4418:D4441">
    <cfRule type="colorScale" priority="5640">
      <colorScale>
        <cfvo type="min"/>
        <cfvo type="percentile" val="50"/>
        <cfvo type="max"/>
        <color rgb="FFF8696B"/>
        <color rgb="FFFCFCFF"/>
        <color rgb="FF63BE7B"/>
      </colorScale>
    </cfRule>
  </conditionalFormatting>
  <conditionalFormatting sqref="D4418:D4441">
    <cfRule type="colorScale" priority="5639">
      <colorScale>
        <cfvo type="min"/>
        <cfvo type="percentile" val="50"/>
        <cfvo type="max"/>
        <color rgb="FF63BE7B"/>
        <color rgb="FFFFEB84"/>
        <color rgb="FFF8696B"/>
      </colorScale>
    </cfRule>
  </conditionalFormatting>
  <conditionalFormatting sqref="D4418:D4441">
    <cfRule type="colorScale" priority="5638">
      <colorScale>
        <cfvo type="min"/>
        <cfvo type="percentile" val="50"/>
        <cfvo type="max"/>
        <color rgb="FF63BE7B"/>
        <color rgb="FFFFEB84"/>
        <color rgb="FFF8696B"/>
      </colorScale>
    </cfRule>
  </conditionalFormatting>
  <conditionalFormatting sqref="A4442:A4465">
    <cfRule type="colorScale" priority="5637">
      <colorScale>
        <cfvo type="min"/>
        <cfvo type="percentile" val="50"/>
        <cfvo type="max"/>
        <color rgb="FF63BE7B"/>
        <color rgb="FFFFEB84"/>
        <color rgb="FFF8696B"/>
      </colorScale>
    </cfRule>
  </conditionalFormatting>
  <conditionalFormatting sqref="D4442:D4465">
    <cfRule type="colorScale" priority="5636">
      <colorScale>
        <cfvo type="min"/>
        <cfvo type="percentile" val="50"/>
        <cfvo type="max"/>
        <color rgb="FFF8696B"/>
        <color rgb="FFFCFCFF"/>
        <color rgb="FF63BE7B"/>
      </colorScale>
    </cfRule>
  </conditionalFormatting>
  <conditionalFormatting sqref="D4442:D4465">
    <cfRule type="colorScale" priority="5635">
      <colorScale>
        <cfvo type="min"/>
        <cfvo type="percentile" val="50"/>
        <cfvo type="max"/>
        <color rgb="FF63BE7B"/>
        <color rgb="FFFFEB84"/>
        <color rgb="FFF8696B"/>
      </colorScale>
    </cfRule>
  </conditionalFormatting>
  <conditionalFormatting sqref="D4442:D4465">
    <cfRule type="colorScale" priority="5634">
      <colorScale>
        <cfvo type="min"/>
        <cfvo type="percentile" val="50"/>
        <cfvo type="max"/>
        <color rgb="FF63BE7B"/>
        <color rgb="FFFFEB84"/>
        <color rgb="FFF8696B"/>
      </colorScale>
    </cfRule>
  </conditionalFormatting>
  <conditionalFormatting sqref="A4466:A4489">
    <cfRule type="colorScale" priority="5633">
      <colorScale>
        <cfvo type="min"/>
        <cfvo type="percentile" val="50"/>
        <cfvo type="max"/>
        <color rgb="FF63BE7B"/>
        <color rgb="FFFFEB84"/>
        <color rgb="FFF8696B"/>
      </colorScale>
    </cfRule>
  </conditionalFormatting>
  <conditionalFormatting sqref="D4466:D4489">
    <cfRule type="colorScale" priority="5632">
      <colorScale>
        <cfvo type="min"/>
        <cfvo type="percentile" val="50"/>
        <cfvo type="max"/>
        <color rgb="FFF8696B"/>
        <color rgb="FFFCFCFF"/>
        <color rgb="FF63BE7B"/>
      </colorScale>
    </cfRule>
  </conditionalFormatting>
  <conditionalFormatting sqref="D4466:D4489">
    <cfRule type="colorScale" priority="5631">
      <colorScale>
        <cfvo type="min"/>
        <cfvo type="percentile" val="50"/>
        <cfvo type="max"/>
        <color rgb="FF63BE7B"/>
        <color rgb="FFFFEB84"/>
        <color rgb="FFF8696B"/>
      </colorScale>
    </cfRule>
  </conditionalFormatting>
  <conditionalFormatting sqref="D4466:D4489">
    <cfRule type="colorScale" priority="5630">
      <colorScale>
        <cfvo type="min"/>
        <cfvo type="percentile" val="50"/>
        <cfvo type="max"/>
        <color rgb="FF63BE7B"/>
        <color rgb="FFFFEB84"/>
        <color rgb="FFF8696B"/>
      </colorScale>
    </cfRule>
  </conditionalFormatting>
  <conditionalFormatting sqref="A4490:A4513">
    <cfRule type="colorScale" priority="5629">
      <colorScale>
        <cfvo type="min"/>
        <cfvo type="percentile" val="50"/>
        <cfvo type="max"/>
        <color rgb="FF63BE7B"/>
        <color rgb="FFFFEB84"/>
        <color rgb="FFF8696B"/>
      </colorScale>
    </cfRule>
  </conditionalFormatting>
  <conditionalFormatting sqref="D4490:D4513">
    <cfRule type="colorScale" priority="5628">
      <colorScale>
        <cfvo type="min"/>
        <cfvo type="percentile" val="50"/>
        <cfvo type="max"/>
        <color rgb="FFF8696B"/>
        <color rgb="FFFCFCFF"/>
        <color rgb="FF63BE7B"/>
      </colorScale>
    </cfRule>
  </conditionalFormatting>
  <conditionalFormatting sqref="D4490:D4513">
    <cfRule type="colorScale" priority="5627">
      <colorScale>
        <cfvo type="min"/>
        <cfvo type="percentile" val="50"/>
        <cfvo type="max"/>
        <color rgb="FF63BE7B"/>
        <color rgb="FFFFEB84"/>
        <color rgb="FFF8696B"/>
      </colorScale>
    </cfRule>
  </conditionalFormatting>
  <conditionalFormatting sqref="D4490:D4513">
    <cfRule type="colorScale" priority="5626">
      <colorScale>
        <cfvo type="min"/>
        <cfvo type="percentile" val="50"/>
        <cfvo type="max"/>
        <color rgb="FF63BE7B"/>
        <color rgb="FFFFEB84"/>
        <color rgb="FFF8696B"/>
      </colorScale>
    </cfRule>
  </conditionalFormatting>
  <conditionalFormatting sqref="A4514:A4537">
    <cfRule type="colorScale" priority="5625">
      <colorScale>
        <cfvo type="min"/>
        <cfvo type="percentile" val="50"/>
        <cfvo type="max"/>
        <color rgb="FF63BE7B"/>
        <color rgb="FFFFEB84"/>
        <color rgb="FFF8696B"/>
      </colorScale>
    </cfRule>
  </conditionalFormatting>
  <conditionalFormatting sqref="D4514:D4537">
    <cfRule type="colorScale" priority="5624">
      <colorScale>
        <cfvo type="min"/>
        <cfvo type="percentile" val="50"/>
        <cfvo type="max"/>
        <color rgb="FFF8696B"/>
        <color rgb="FFFCFCFF"/>
        <color rgb="FF63BE7B"/>
      </colorScale>
    </cfRule>
  </conditionalFormatting>
  <conditionalFormatting sqref="D4514:D4537">
    <cfRule type="colorScale" priority="5623">
      <colorScale>
        <cfvo type="min"/>
        <cfvo type="percentile" val="50"/>
        <cfvo type="max"/>
        <color rgb="FF63BE7B"/>
        <color rgb="FFFFEB84"/>
        <color rgb="FFF8696B"/>
      </colorScale>
    </cfRule>
  </conditionalFormatting>
  <conditionalFormatting sqref="D4514:D4537">
    <cfRule type="colorScale" priority="5622">
      <colorScale>
        <cfvo type="min"/>
        <cfvo type="percentile" val="50"/>
        <cfvo type="max"/>
        <color rgb="FF63BE7B"/>
        <color rgb="FFFFEB84"/>
        <color rgb="FFF8696B"/>
      </colorScale>
    </cfRule>
  </conditionalFormatting>
  <conditionalFormatting sqref="A4538:A4561">
    <cfRule type="colorScale" priority="5621">
      <colorScale>
        <cfvo type="min"/>
        <cfvo type="percentile" val="50"/>
        <cfvo type="max"/>
        <color rgb="FF63BE7B"/>
        <color rgb="FFFFEB84"/>
        <color rgb="FFF8696B"/>
      </colorScale>
    </cfRule>
  </conditionalFormatting>
  <conditionalFormatting sqref="D4538:D4561">
    <cfRule type="colorScale" priority="5620">
      <colorScale>
        <cfvo type="min"/>
        <cfvo type="percentile" val="50"/>
        <cfvo type="max"/>
        <color rgb="FFF8696B"/>
        <color rgb="FFFCFCFF"/>
        <color rgb="FF63BE7B"/>
      </colorScale>
    </cfRule>
  </conditionalFormatting>
  <conditionalFormatting sqref="D4538:D4561">
    <cfRule type="colorScale" priority="5619">
      <colorScale>
        <cfvo type="min"/>
        <cfvo type="percentile" val="50"/>
        <cfvo type="max"/>
        <color rgb="FF63BE7B"/>
        <color rgb="FFFFEB84"/>
        <color rgb="FFF8696B"/>
      </colorScale>
    </cfRule>
  </conditionalFormatting>
  <conditionalFormatting sqref="D4538:D4561">
    <cfRule type="colorScale" priority="5618">
      <colorScale>
        <cfvo type="min"/>
        <cfvo type="percentile" val="50"/>
        <cfvo type="max"/>
        <color rgb="FF63BE7B"/>
        <color rgb="FFFFEB84"/>
        <color rgb="FFF8696B"/>
      </colorScale>
    </cfRule>
  </conditionalFormatting>
  <conditionalFormatting sqref="A4562:A4585">
    <cfRule type="colorScale" priority="5617">
      <colorScale>
        <cfvo type="min"/>
        <cfvo type="percentile" val="50"/>
        <cfvo type="max"/>
        <color rgb="FF63BE7B"/>
        <color rgb="FFFFEB84"/>
        <color rgb="FFF8696B"/>
      </colorScale>
    </cfRule>
  </conditionalFormatting>
  <conditionalFormatting sqref="D4562:D4585">
    <cfRule type="colorScale" priority="5616">
      <colorScale>
        <cfvo type="min"/>
        <cfvo type="percentile" val="50"/>
        <cfvo type="max"/>
        <color rgb="FFF8696B"/>
        <color rgb="FFFCFCFF"/>
        <color rgb="FF63BE7B"/>
      </colorScale>
    </cfRule>
  </conditionalFormatting>
  <conditionalFormatting sqref="D4562:D4585">
    <cfRule type="colorScale" priority="5615">
      <colorScale>
        <cfvo type="min"/>
        <cfvo type="percentile" val="50"/>
        <cfvo type="max"/>
        <color rgb="FF63BE7B"/>
        <color rgb="FFFFEB84"/>
        <color rgb="FFF8696B"/>
      </colorScale>
    </cfRule>
  </conditionalFormatting>
  <conditionalFormatting sqref="D4562:D4585">
    <cfRule type="colorScale" priority="5614">
      <colorScale>
        <cfvo type="min"/>
        <cfvo type="percentile" val="50"/>
        <cfvo type="max"/>
        <color rgb="FF63BE7B"/>
        <color rgb="FFFFEB84"/>
        <color rgb="FFF8696B"/>
      </colorScale>
    </cfRule>
  </conditionalFormatting>
  <conditionalFormatting sqref="C1354:E1354">
    <cfRule type="colorScale" priority="5613">
      <colorScale>
        <cfvo type="min"/>
        <cfvo type="percentile" val="50"/>
        <cfvo type="max"/>
        <color rgb="FFF8696B"/>
        <color rgb="FFFCFCFF"/>
        <color rgb="FF63BE7B"/>
      </colorScale>
    </cfRule>
  </conditionalFormatting>
  <conditionalFormatting sqref="B1355:E3889 B2:E1353">
    <cfRule type="colorScale" priority="5810">
      <colorScale>
        <cfvo type="min"/>
        <cfvo type="percentile" val="50"/>
        <cfvo type="max"/>
        <color rgb="FFF8696B"/>
        <color rgb="FFFCFCFF"/>
        <color rgb="FF63BE7B"/>
      </colorScale>
    </cfRule>
  </conditionalFormatting>
  <conditionalFormatting sqref="B1354">
    <cfRule type="colorScale" priority="5611">
      <colorScale>
        <cfvo type="min"/>
        <cfvo type="percentile" val="50"/>
        <cfvo type="max"/>
        <color rgb="FFF8696B"/>
        <color rgb="FFFCFCFF"/>
        <color rgb="FF63BE7B"/>
      </colorScale>
    </cfRule>
  </conditionalFormatting>
  <conditionalFormatting sqref="F4563:F4569 F4571:F4578 F4580">
    <cfRule type="colorScale" priority="5610">
      <colorScale>
        <cfvo type="min"/>
        <cfvo type="percentile" val="50"/>
        <cfvo type="max"/>
        <color rgb="FF63BE7B"/>
        <color rgb="FFFFEB84"/>
        <color rgb="FFF8696B"/>
      </colorScale>
    </cfRule>
  </conditionalFormatting>
  <conditionalFormatting sqref="A4586:A4609">
    <cfRule type="colorScale" priority="5609">
      <colorScale>
        <cfvo type="min"/>
        <cfvo type="percentile" val="50"/>
        <cfvo type="max"/>
        <color rgb="FF63BE7B"/>
        <color rgb="FFFFEB84"/>
        <color rgb="FFF8696B"/>
      </colorScale>
    </cfRule>
  </conditionalFormatting>
  <conditionalFormatting sqref="C4586:C4609">
    <cfRule type="colorScale" priority="5605">
      <colorScale>
        <cfvo type="min"/>
        <cfvo type="percentile" val="50"/>
        <cfvo type="max"/>
        <color rgb="FF63BE7B"/>
        <color rgb="FFFFEB84"/>
        <color rgb="FFF8696B"/>
      </colorScale>
    </cfRule>
  </conditionalFormatting>
  <conditionalFormatting sqref="D4586:D4609">
    <cfRule type="colorScale" priority="5604">
      <colorScale>
        <cfvo type="min"/>
        <cfvo type="percentile" val="50"/>
        <cfvo type="max"/>
        <color rgb="FFF8696B"/>
        <color rgb="FFFCFCFF"/>
        <color rgb="FF63BE7B"/>
      </colorScale>
    </cfRule>
  </conditionalFormatting>
  <conditionalFormatting sqref="D4586:D4609">
    <cfRule type="colorScale" priority="5603">
      <colorScale>
        <cfvo type="min"/>
        <cfvo type="percentile" val="50"/>
        <cfvo type="max"/>
        <color rgb="FF63BE7B"/>
        <color rgb="FFFFEB84"/>
        <color rgb="FFF8696B"/>
      </colorScale>
    </cfRule>
  </conditionalFormatting>
  <conditionalFormatting sqref="D4586:D4609">
    <cfRule type="colorScale" priority="5602">
      <colorScale>
        <cfvo type="min"/>
        <cfvo type="percentile" val="50"/>
        <cfvo type="max"/>
        <color rgb="FF63BE7B"/>
        <color rgb="FFFFEB84"/>
        <color rgb="FFF8696B"/>
      </colorScale>
    </cfRule>
  </conditionalFormatting>
  <conditionalFormatting sqref="F4587:F4593 F4595:F4602 F4604">
    <cfRule type="colorScale" priority="5601">
      <colorScale>
        <cfvo type="min"/>
        <cfvo type="percentile" val="50"/>
        <cfvo type="max"/>
        <color rgb="FF63BE7B"/>
        <color rgb="FFFFEB84"/>
        <color rgb="FFF8696B"/>
      </colorScale>
    </cfRule>
  </conditionalFormatting>
  <conditionalFormatting sqref="A4610:A4633">
    <cfRule type="colorScale" priority="5600">
      <colorScale>
        <cfvo type="min"/>
        <cfvo type="percentile" val="50"/>
        <cfvo type="max"/>
        <color rgb="FF63BE7B"/>
        <color rgb="FFFFEB84"/>
        <color rgb="FFF8696B"/>
      </colorScale>
    </cfRule>
  </conditionalFormatting>
  <conditionalFormatting sqref="D4610:D4633">
    <cfRule type="colorScale" priority="5599">
      <colorScale>
        <cfvo type="min"/>
        <cfvo type="percentile" val="50"/>
        <cfvo type="max"/>
        <color rgb="FFF8696B"/>
        <color rgb="FFFCFCFF"/>
        <color rgb="FF63BE7B"/>
      </colorScale>
    </cfRule>
  </conditionalFormatting>
  <conditionalFormatting sqref="D4610:D4633">
    <cfRule type="colorScale" priority="5598">
      <colorScale>
        <cfvo type="min"/>
        <cfvo type="percentile" val="50"/>
        <cfvo type="max"/>
        <color rgb="FF63BE7B"/>
        <color rgb="FFFFEB84"/>
        <color rgb="FFF8696B"/>
      </colorScale>
    </cfRule>
  </conditionalFormatting>
  <conditionalFormatting sqref="D4610:D4633">
    <cfRule type="colorScale" priority="5585">
      <colorScale>
        <cfvo type="min"/>
        <cfvo type="percentile" val="50"/>
        <cfvo type="max"/>
        <color rgb="FF63BE7B"/>
        <color rgb="FFFFEB84"/>
        <color rgb="FFF8696B"/>
      </colorScale>
    </cfRule>
  </conditionalFormatting>
  <conditionalFormatting sqref="F4611:F4617 F4619:F4626 F4628 F4631:F4632">
    <cfRule type="colorScale" priority="5596">
      <colorScale>
        <cfvo type="min"/>
        <cfvo type="percentile" val="50"/>
        <cfvo type="max"/>
        <color rgb="FF63BE7B"/>
        <color rgb="FFFFEB84"/>
        <color rgb="FFF8696B"/>
      </colorScale>
    </cfRule>
  </conditionalFormatting>
  <conditionalFormatting sqref="A4634:A4657">
    <cfRule type="colorScale" priority="5595">
      <colorScale>
        <cfvo type="min"/>
        <cfvo type="percentile" val="50"/>
        <cfvo type="max"/>
        <color rgb="FF63BE7B"/>
        <color rgb="FFFFEB84"/>
        <color rgb="FFF8696B"/>
      </colorScale>
    </cfRule>
  </conditionalFormatting>
  <conditionalFormatting sqref="D4634:D4657">
    <cfRule type="colorScale" priority="5594">
      <colorScale>
        <cfvo type="min"/>
        <cfvo type="percentile" val="50"/>
        <cfvo type="max"/>
        <color rgb="FFF8696B"/>
        <color rgb="FFFCFCFF"/>
        <color rgb="FF63BE7B"/>
      </colorScale>
    </cfRule>
  </conditionalFormatting>
  <conditionalFormatting sqref="D4634:D4657">
    <cfRule type="colorScale" priority="5593">
      <colorScale>
        <cfvo type="min"/>
        <cfvo type="percentile" val="50"/>
        <cfvo type="max"/>
        <color rgb="FF63BE7B"/>
        <color rgb="FFFFEB84"/>
        <color rgb="FFF8696B"/>
      </colorScale>
    </cfRule>
  </conditionalFormatting>
  <conditionalFormatting sqref="D4634:D4657">
    <cfRule type="colorScale" priority="5592">
      <colorScale>
        <cfvo type="min"/>
        <cfvo type="percentile" val="50"/>
        <cfvo type="max"/>
        <color rgb="FF63BE7B"/>
        <color rgb="FFFFEB84"/>
        <color rgb="FFF8696B"/>
      </colorScale>
    </cfRule>
  </conditionalFormatting>
  <conditionalFormatting sqref="F4635:F4641 F4643:F4650 F4652 F4655:F4656">
    <cfRule type="colorScale" priority="5591">
      <colorScale>
        <cfvo type="min"/>
        <cfvo type="percentile" val="50"/>
        <cfvo type="max"/>
        <color rgb="FF63BE7B"/>
        <color rgb="FFFFEB84"/>
        <color rgb="FFF8696B"/>
      </colorScale>
    </cfRule>
  </conditionalFormatting>
  <conditionalFormatting sqref="F4634:F4657">
    <cfRule type="colorScale" priority="5590">
      <colorScale>
        <cfvo type="min"/>
        <cfvo type="percentile" val="50"/>
        <cfvo type="max"/>
        <color rgb="FF63BE7B"/>
        <color rgb="FFFFEB84"/>
        <color rgb="FFF8696B"/>
      </colorScale>
    </cfRule>
  </conditionalFormatting>
  <conditionalFormatting sqref="E4634:E4657">
    <cfRule type="colorScale" priority="5589">
      <colorScale>
        <cfvo type="min"/>
        <cfvo type="percentile" val="50"/>
        <cfvo type="max"/>
        <color rgb="FF63BE7B"/>
        <color rgb="FFFFEB84"/>
        <color rgb="FFF8696B"/>
      </colorScale>
    </cfRule>
  </conditionalFormatting>
  <conditionalFormatting sqref="E4610:E4633">
    <cfRule type="colorScale" priority="5588">
      <colorScale>
        <cfvo type="min"/>
        <cfvo type="percentile" val="50"/>
        <cfvo type="max"/>
        <color rgb="FF63BE7B"/>
        <color rgb="FFFFEB84"/>
        <color rgb="FFF8696B"/>
      </colorScale>
    </cfRule>
  </conditionalFormatting>
  <conditionalFormatting sqref="C4610:D4633">
    <cfRule type="colorScale" priority="5587">
      <colorScale>
        <cfvo type="min"/>
        <cfvo type="percentile" val="50"/>
        <cfvo type="max"/>
        <color rgb="FF63BE7B"/>
        <color rgb="FFFFEB84"/>
        <color rgb="FFF8696B"/>
      </colorScale>
    </cfRule>
  </conditionalFormatting>
  <conditionalFormatting sqref="C4610:C4633">
    <cfRule type="colorScale" priority="5586">
      <colorScale>
        <cfvo type="min"/>
        <cfvo type="percentile" val="50"/>
        <cfvo type="max"/>
        <color rgb="FF63BE7B"/>
        <color rgb="FFFFEB84"/>
        <color rgb="FFF8696B"/>
      </colorScale>
    </cfRule>
  </conditionalFormatting>
  <conditionalFormatting sqref="A4658:A4681">
    <cfRule type="colorScale" priority="5584">
      <colorScale>
        <cfvo type="min"/>
        <cfvo type="percentile" val="50"/>
        <cfvo type="max"/>
        <color rgb="FF63BE7B"/>
        <color rgb="FFFFEB84"/>
        <color rgb="FFF8696B"/>
      </colorScale>
    </cfRule>
  </conditionalFormatting>
  <conditionalFormatting sqref="D4658:D4681">
    <cfRule type="colorScale" priority="5583">
      <colorScale>
        <cfvo type="min"/>
        <cfvo type="percentile" val="50"/>
        <cfvo type="max"/>
        <color rgb="FFF8696B"/>
        <color rgb="FFFCFCFF"/>
        <color rgb="FF63BE7B"/>
      </colorScale>
    </cfRule>
  </conditionalFormatting>
  <conditionalFormatting sqref="D4658:D4681">
    <cfRule type="colorScale" priority="5582">
      <colorScale>
        <cfvo type="min"/>
        <cfvo type="percentile" val="50"/>
        <cfvo type="max"/>
        <color rgb="FF63BE7B"/>
        <color rgb="FFFFEB84"/>
        <color rgb="FFF8696B"/>
      </colorScale>
    </cfRule>
  </conditionalFormatting>
  <conditionalFormatting sqref="D4658:D4681">
    <cfRule type="colorScale" priority="5581">
      <colorScale>
        <cfvo type="min"/>
        <cfvo type="percentile" val="50"/>
        <cfvo type="max"/>
        <color rgb="FF63BE7B"/>
        <color rgb="FFFFEB84"/>
        <color rgb="FFF8696B"/>
      </colorScale>
    </cfRule>
  </conditionalFormatting>
  <conditionalFormatting sqref="F4659:F4665 F4667:F4674 F4676 F4679:F4680">
    <cfRule type="colorScale" priority="5580">
      <colorScale>
        <cfvo type="min"/>
        <cfvo type="percentile" val="50"/>
        <cfvo type="max"/>
        <color rgb="FF63BE7B"/>
        <color rgb="FFFFEB84"/>
        <color rgb="FFF8696B"/>
      </colorScale>
    </cfRule>
  </conditionalFormatting>
  <conditionalFormatting sqref="F4658:F4681">
    <cfRule type="colorScale" priority="5579">
      <colorScale>
        <cfvo type="min"/>
        <cfvo type="percentile" val="50"/>
        <cfvo type="max"/>
        <color rgb="FF63BE7B"/>
        <color rgb="FFFFEB84"/>
        <color rgb="FFF8696B"/>
      </colorScale>
    </cfRule>
  </conditionalFormatting>
  <conditionalFormatting sqref="A4682:A4705">
    <cfRule type="colorScale" priority="5578">
      <colorScale>
        <cfvo type="min"/>
        <cfvo type="percentile" val="50"/>
        <cfvo type="max"/>
        <color rgb="FF63BE7B"/>
        <color rgb="FFFFEB84"/>
        <color rgb="FFF8696B"/>
      </colorScale>
    </cfRule>
  </conditionalFormatting>
  <conditionalFormatting sqref="D4682:D4705">
    <cfRule type="colorScale" priority="5577">
      <colorScale>
        <cfvo type="min"/>
        <cfvo type="percentile" val="50"/>
        <cfvo type="max"/>
        <color rgb="FFF8696B"/>
        <color rgb="FFFCFCFF"/>
        <color rgb="FF63BE7B"/>
      </colorScale>
    </cfRule>
  </conditionalFormatting>
  <conditionalFormatting sqref="D4682:D4705">
    <cfRule type="colorScale" priority="5576">
      <colorScale>
        <cfvo type="min"/>
        <cfvo type="percentile" val="50"/>
        <cfvo type="max"/>
        <color rgb="FF63BE7B"/>
        <color rgb="FFFFEB84"/>
        <color rgb="FFF8696B"/>
      </colorScale>
    </cfRule>
  </conditionalFormatting>
  <conditionalFormatting sqref="D4682:D4705">
    <cfRule type="colorScale" priority="5575">
      <colorScale>
        <cfvo type="min"/>
        <cfvo type="percentile" val="50"/>
        <cfvo type="max"/>
        <color rgb="FF63BE7B"/>
        <color rgb="FFFFEB84"/>
        <color rgb="FFF8696B"/>
      </colorScale>
    </cfRule>
  </conditionalFormatting>
  <conditionalFormatting sqref="F4683:F4689 F4691:F4698 F4700 F4703:F4704">
    <cfRule type="colorScale" priority="5574">
      <colorScale>
        <cfvo type="min"/>
        <cfvo type="percentile" val="50"/>
        <cfvo type="max"/>
        <color rgb="FF63BE7B"/>
        <color rgb="FFFFEB84"/>
        <color rgb="FFF8696B"/>
      </colorScale>
    </cfRule>
  </conditionalFormatting>
  <conditionalFormatting sqref="F4682:F4705">
    <cfRule type="colorScale" priority="5573">
      <colorScale>
        <cfvo type="min"/>
        <cfvo type="percentile" val="50"/>
        <cfvo type="max"/>
        <color rgb="FF63BE7B"/>
        <color rgb="FFFFEB84"/>
        <color rgb="FFF8696B"/>
      </colorScale>
    </cfRule>
  </conditionalFormatting>
  <conditionalFormatting sqref="D4706:D4729">
    <cfRule type="colorScale" priority="5572">
      <colorScale>
        <cfvo type="min"/>
        <cfvo type="percentile" val="50"/>
        <cfvo type="max"/>
        <color rgb="FFF8696B"/>
        <color rgb="FFFCFCFF"/>
        <color rgb="FF63BE7B"/>
      </colorScale>
    </cfRule>
  </conditionalFormatting>
  <conditionalFormatting sqref="D4706:D4729">
    <cfRule type="colorScale" priority="5571">
      <colorScale>
        <cfvo type="min"/>
        <cfvo type="percentile" val="50"/>
        <cfvo type="max"/>
        <color rgb="FF63BE7B"/>
        <color rgb="FFFFEB84"/>
        <color rgb="FFF8696B"/>
      </colorScale>
    </cfRule>
  </conditionalFormatting>
  <conditionalFormatting sqref="D4706:D4729">
    <cfRule type="colorScale" priority="5570">
      <colorScale>
        <cfvo type="min"/>
        <cfvo type="percentile" val="50"/>
        <cfvo type="max"/>
        <color rgb="FF63BE7B"/>
        <color rgb="FFFFEB84"/>
        <color rgb="FFF8696B"/>
      </colorScale>
    </cfRule>
  </conditionalFormatting>
  <conditionalFormatting sqref="F4707:F4713 F4715:F4722 F4724 F4727:F4728">
    <cfRule type="colorScale" priority="5569">
      <colorScale>
        <cfvo type="min"/>
        <cfvo type="percentile" val="50"/>
        <cfvo type="max"/>
        <color rgb="FF63BE7B"/>
        <color rgb="FFFFEB84"/>
        <color rgb="FFF8696B"/>
      </colorScale>
    </cfRule>
  </conditionalFormatting>
  <conditionalFormatting sqref="F4706:F4729">
    <cfRule type="colorScale" priority="5568">
      <colorScale>
        <cfvo type="min"/>
        <cfvo type="percentile" val="50"/>
        <cfvo type="max"/>
        <color rgb="FF63BE7B"/>
        <color rgb="FFFFEB84"/>
        <color rgb="FFF8696B"/>
      </colorScale>
    </cfRule>
  </conditionalFormatting>
  <conditionalFormatting sqref="D4730:D4753">
    <cfRule type="colorScale" priority="5567">
      <colorScale>
        <cfvo type="min"/>
        <cfvo type="percentile" val="50"/>
        <cfvo type="max"/>
        <color rgb="FFF8696B"/>
        <color rgb="FFFCFCFF"/>
        <color rgb="FF63BE7B"/>
      </colorScale>
    </cfRule>
  </conditionalFormatting>
  <conditionalFormatting sqref="D4730:D4753">
    <cfRule type="colorScale" priority="5566">
      <colorScale>
        <cfvo type="min"/>
        <cfvo type="percentile" val="50"/>
        <cfvo type="max"/>
        <color rgb="FF63BE7B"/>
        <color rgb="FFFFEB84"/>
        <color rgb="FFF8696B"/>
      </colorScale>
    </cfRule>
  </conditionalFormatting>
  <conditionalFormatting sqref="D4730:D4753">
    <cfRule type="colorScale" priority="5565">
      <colorScale>
        <cfvo type="min"/>
        <cfvo type="percentile" val="50"/>
        <cfvo type="max"/>
        <color rgb="FF63BE7B"/>
        <color rgb="FFFFEB84"/>
        <color rgb="FFF8696B"/>
      </colorScale>
    </cfRule>
  </conditionalFormatting>
  <conditionalFormatting sqref="F4731:F4737 F4739:F4746 F4748 F4751:F4752">
    <cfRule type="colorScale" priority="5564">
      <colorScale>
        <cfvo type="min"/>
        <cfvo type="percentile" val="50"/>
        <cfvo type="max"/>
        <color rgb="FF63BE7B"/>
        <color rgb="FFFFEB84"/>
        <color rgb="FFF8696B"/>
      </colorScale>
    </cfRule>
  </conditionalFormatting>
  <conditionalFormatting sqref="F4730:F4753">
    <cfRule type="colorScale" priority="5563">
      <colorScale>
        <cfvo type="min"/>
        <cfvo type="percentile" val="50"/>
        <cfvo type="max"/>
        <color rgb="FF63BE7B"/>
        <color rgb="FFFFEB84"/>
        <color rgb="FFF8696B"/>
      </colorScale>
    </cfRule>
  </conditionalFormatting>
  <conditionalFormatting sqref="D4754:D4777">
    <cfRule type="colorScale" priority="5562">
      <colorScale>
        <cfvo type="min"/>
        <cfvo type="percentile" val="50"/>
        <cfvo type="max"/>
        <color rgb="FFF8696B"/>
        <color rgb="FFFCFCFF"/>
        <color rgb="FF63BE7B"/>
      </colorScale>
    </cfRule>
  </conditionalFormatting>
  <conditionalFormatting sqref="D4754:D4777">
    <cfRule type="colorScale" priority="5561">
      <colorScale>
        <cfvo type="min"/>
        <cfvo type="percentile" val="50"/>
        <cfvo type="max"/>
        <color rgb="FF63BE7B"/>
        <color rgb="FFFFEB84"/>
        <color rgb="FFF8696B"/>
      </colorScale>
    </cfRule>
  </conditionalFormatting>
  <conditionalFormatting sqref="D4754:D4777">
    <cfRule type="colorScale" priority="5560">
      <colorScale>
        <cfvo type="min"/>
        <cfvo type="percentile" val="50"/>
        <cfvo type="max"/>
        <color rgb="FF63BE7B"/>
        <color rgb="FFFFEB84"/>
        <color rgb="FFF8696B"/>
      </colorScale>
    </cfRule>
  </conditionalFormatting>
  <conditionalFormatting sqref="F4755:F4761 F4763:F4770 F4772 F4775:F4776">
    <cfRule type="colorScale" priority="5559">
      <colorScale>
        <cfvo type="min"/>
        <cfvo type="percentile" val="50"/>
        <cfvo type="max"/>
        <color rgb="FF63BE7B"/>
        <color rgb="FFFFEB84"/>
        <color rgb="FFF8696B"/>
      </colorScale>
    </cfRule>
  </conditionalFormatting>
  <conditionalFormatting sqref="F4754:F4777">
    <cfRule type="colorScale" priority="5558">
      <colorScale>
        <cfvo type="min"/>
        <cfvo type="percentile" val="50"/>
        <cfvo type="max"/>
        <color rgb="FF63BE7B"/>
        <color rgb="FFFFEB84"/>
        <color rgb="FFF8696B"/>
      </colorScale>
    </cfRule>
  </conditionalFormatting>
  <conditionalFormatting sqref="F4779:F4785 F4787:F4794 F4796 F4799:F4800">
    <cfRule type="colorScale" priority="5557">
      <colorScale>
        <cfvo type="min"/>
        <cfvo type="percentile" val="50"/>
        <cfvo type="max"/>
        <color rgb="FF63BE7B"/>
        <color rgb="FFFFEB84"/>
        <color rgb="FFF8696B"/>
      </colorScale>
    </cfRule>
  </conditionalFormatting>
  <conditionalFormatting sqref="F4778:F4801">
    <cfRule type="colorScale" priority="5556">
      <colorScale>
        <cfvo type="min"/>
        <cfvo type="percentile" val="50"/>
        <cfvo type="max"/>
        <color rgb="FF63BE7B"/>
        <color rgb="FFFFEB84"/>
        <color rgb="FFF8696B"/>
      </colorScale>
    </cfRule>
  </conditionalFormatting>
  <conditionalFormatting sqref="D4778:D4801">
    <cfRule type="colorScale" priority="5555">
      <colorScale>
        <cfvo type="min"/>
        <cfvo type="percentile" val="50"/>
        <cfvo type="max"/>
        <color rgb="FFF8696B"/>
        <color rgb="FFFCFCFF"/>
        <color rgb="FF63BE7B"/>
      </colorScale>
    </cfRule>
  </conditionalFormatting>
  <conditionalFormatting sqref="D4778:D4801">
    <cfRule type="colorScale" priority="5554">
      <colorScale>
        <cfvo type="min"/>
        <cfvo type="percentile" val="50"/>
        <cfvo type="max"/>
        <color rgb="FF63BE7B"/>
        <color rgb="FFFFEB84"/>
        <color rgb="FFF8696B"/>
      </colorScale>
    </cfRule>
  </conditionalFormatting>
  <conditionalFormatting sqref="D4778:D4801">
    <cfRule type="colorScale" priority="5553">
      <colorScale>
        <cfvo type="min"/>
        <cfvo type="percentile" val="50"/>
        <cfvo type="max"/>
        <color rgb="FF63BE7B"/>
        <color rgb="FFFFEB84"/>
        <color rgb="FFF8696B"/>
      </colorScale>
    </cfRule>
  </conditionalFormatting>
  <conditionalFormatting sqref="D4802:D4825">
    <cfRule type="colorScale" priority="5552">
      <colorScale>
        <cfvo type="min"/>
        <cfvo type="percentile" val="50"/>
        <cfvo type="max"/>
        <color rgb="FFF8696B"/>
        <color rgb="FFFCFCFF"/>
        <color rgb="FF63BE7B"/>
      </colorScale>
    </cfRule>
  </conditionalFormatting>
  <conditionalFormatting sqref="D4802:D4825">
    <cfRule type="colorScale" priority="5551">
      <colorScale>
        <cfvo type="min"/>
        <cfvo type="percentile" val="50"/>
        <cfvo type="max"/>
        <color rgb="FF63BE7B"/>
        <color rgb="FFFFEB84"/>
        <color rgb="FFF8696B"/>
      </colorScale>
    </cfRule>
  </conditionalFormatting>
  <conditionalFormatting sqref="D4802:D4825">
    <cfRule type="colorScale" priority="5550">
      <colorScale>
        <cfvo type="min"/>
        <cfvo type="percentile" val="50"/>
        <cfvo type="max"/>
        <color rgb="FF63BE7B"/>
        <color rgb="FFFFEB84"/>
        <color rgb="FFF8696B"/>
      </colorScale>
    </cfRule>
  </conditionalFormatting>
  <conditionalFormatting sqref="F4803:F4809 F4811:F4818 F4820 F4823:F4824">
    <cfRule type="colorScale" priority="5549">
      <colorScale>
        <cfvo type="min"/>
        <cfvo type="percentile" val="50"/>
        <cfvo type="max"/>
        <color rgb="FF63BE7B"/>
        <color rgb="FFFFEB84"/>
        <color rgb="FFF8696B"/>
      </colorScale>
    </cfRule>
  </conditionalFormatting>
  <conditionalFormatting sqref="F4802:F4825">
    <cfRule type="colorScale" priority="5548">
      <colorScale>
        <cfvo type="min"/>
        <cfvo type="percentile" val="50"/>
        <cfvo type="max"/>
        <color rgb="FF63BE7B"/>
        <color rgb="FFFFEB84"/>
        <color rgb="FFF8696B"/>
      </colorScale>
    </cfRule>
  </conditionalFormatting>
  <conditionalFormatting sqref="D4826:D4849">
    <cfRule type="colorScale" priority="5547">
      <colorScale>
        <cfvo type="min"/>
        <cfvo type="percentile" val="50"/>
        <cfvo type="max"/>
        <color rgb="FFF8696B"/>
        <color rgb="FFFCFCFF"/>
        <color rgb="FF63BE7B"/>
      </colorScale>
    </cfRule>
  </conditionalFormatting>
  <conditionalFormatting sqref="D4826:D4849">
    <cfRule type="colorScale" priority="5546">
      <colorScale>
        <cfvo type="min"/>
        <cfvo type="percentile" val="50"/>
        <cfvo type="max"/>
        <color rgb="FF63BE7B"/>
        <color rgb="FFFFEB84"/>
        <color rgb="FFF8696B"/>
      </colorScale>
    </cfRule>
  </conditionalFormatting>
  <conditionalFormatting sqref="D4826:D4849">
    <cfRule type="colorScale" priority="5545">
      <colorScale>
        <cfvo type="min"/>
        <cfvo type="percentile" val="50"/>
        <cfvo type="max"/>
        <color rgb="FF63BE7B"/>
        <color rgb="FFFFEB84"/>
        <color rgb="FFF8696B"/>
      </colorScale>
    </cfRule>
  </conditionalFormatting>
  <conditionalFormatting sqref="F4827:F4833 F4835:F4842 F4844 F4847:F4848">
    <cfRule type="colorScale" priority="5544">
      <colorScale>
        <cfvo type="min"/>
        <cfvo type="percentile" val="50"/>
        <cfvo type="max"/>
        <color rgb="FF63BE7B"/>
        <color rgb="FFFFEB84"/>
        <color rgb="FFF8696B"/>
      </colorScale>
    </cfRule>
  </conditionalFormatting>
  <conditionalFormatting sqref="F4826:F4849">
    <cfRule type="colorScale" priority="5543">
      <colorScale>
        <cfvo type="min"/>
        <cfvo type="percentile" val="50"/>
        <cfvo type="max"/>
        <color rgb="FF63BE7B"/>
        <color rgb="FFFFEB84"/>
        <color rgb="FFF8696B"/>
      </colorScale>
    </cfRule>
  </conditionalFormatting>
  <conditionalFormatting sqref="D4850:D4873">
    <cfRule type="colorScale" priority="5542">
      <colorScale>
        <cfvo type="min"/>
        <cfvo type="percentile" val="50"/>
        <cfvo type="max"/>
        <color rgb="FFF8696B"/>
        <color rgb="FFFCFCFF"/>
        <color rgb="FF63BE7B"/>
      </colorScale>
    </cfRule>
  </conditionalFormatting>
  <conditionalFormatting sqref="D4850:D4873">
    <cfRule type="colorScale" priority="5541">
      <colorScale>
        <cfvo type="min"/>
        <cfvo type="percentile" val="50"/>
        <cfvo type="max"/>
        <color rgb="FF63BE7B"/>
        <color rgb="FFFFEB84"/>
        <color rgb="FFF8696B"/>
      </colorScale>
    </cfRule>
  </conditionalFormatting>
  <conditionalFormatting sqref="D4850:D4873">
    <cfRule type="colorScale" priority="5540">
      <colorScale>
        <cfvo type="min"/>
        <cfvo type="percentile" val="50"/>
        <cfvo type="max"/>
        <color rgb="FF63BE7B"/>
        <color rgb="FFFFEB84"/>
        <color rgb="FFF8696B"/>
      </colorScale>
    </cfRule>
  </conditionalFormatting>
  <conditionalFormatting sqref="F4851:F4857 F4859:F4866 F4868 F4871:F4872">
    <cfRule type="colorScale" priority="5539">
      <colorScale>
        <cfvo type="min"/>
        <cfvo type="percentile" val="50"/>
        <cfvo type="max"/>
        <color rgb="FF63BE7B"/>
        <color rgb="FFFFEB84"/>
        <color rgb="FFF8696B"/>
      </colorScale>
    </cfRule>
  </conditionalFormatting>
  <conditionalFormatting sqref="F4850:F4873">
    <cfRule type="colorScale" priority="5538">
      <colorScale>
        <cfvo type="min"/>
        <cfvo type="percentile" val="50"/>
        <cfvo type="max"/>
        <color rgb="FF63BE7B"/>
        <color rgb="FFFFEB84"/>
        <color rgb="FFF8696B"/>
      </colorScale>
    </cfRule>
  </conditionalFormatting>
  <conditionalFormatting sqref="D4874:D4897">
    <cfRule type="colorScale" priority="5537">
      <colorScale>
        <cfvo type="min"/>
        <cfvo type="percentile" val="50"/>
        <cfvo type="max"/>
        <color rgb="FFF8696B"/>
        <color rgb="FFFCFCFF"/>
        <color rgb="FF63BE7B"/>
      </colorScale>
    </cfRule>
  </conditionalFormatting>
  <conditionalFormatting sqref="D4874:D4897">
    <cfRule type="colorScale" priority="5536">
      <colorScale>
        <cfvo type="min"/>
        <cfvo type="percentile" val="50"/>
        <cfvo type="max"/>
        <color rgb="FF63BE7B"/>
        <color rgb="FFFFEB84"/>
        <color rgb="FFF8696B"/>
      </colorScale>
    </cfRule>
  </conditionalFormatting>
  <conditionalFormatting sqref="D4874:D4897">
    <cfRule type="colorScale" priority="5535">
      <colorScale>
        <cfvo type="min"/>
        <cfvo type="percentile" val="50"/>
        <cfvo type="max"/>
        <color rgb="FF63BE7B"/>
        <color rgb="FFFFEB84"/>
        <color rgb="FFF8696B"/>
      </colorScale>
    </cfRule>
  </conditionalFormatting>
  <conditionalFormatting sqref="F4875:F4881 F4883:F4890 F4892 F4895:F4896">
    <cfRule type="colorScale" priority="5534">
      <colorScale>
        <cfvo type="min"/>
        <cfvo type="percentile" val="50"/>
        <cfvo type="max"/>
        <color rgb="FF63BE7B"/>
        <color rgb="FFFFEB84"/>
        <color rgb="FFF8696B"/>
      </colorScale>
    </cfRule>
  </conditionalFormatting>
  <conditionalFormatting sqref="F4874:F4897">
    <cfRule type="colorScale" priority="5533">
      <colorScale>
        <cfvo type="min"/>
        <cfvo type="percentile" val="50"/>
        <cfvo type="max"/>
        <color rgb="FF63BE7B"/>
        <color rgb="FFFFEB84"/>
        <color rgb="FFF8696B"/>
      </colorScale>
    </cfRule>
  </conditionalFormatting>
  <conditionalFormatting sqref="D4898:D4921">
    <cfRule type="colorScale" priority="5532">
      <colorScale>
        <cfvo type="min"/>
        <cfvo type="percentile" val="50"/>
        <cfvo type="max"/>
        <color rgb="FFF8696B"/>
        <color rgb="FFFCFCFF"/>
        <color rgb="FF63BE7B"/>
      </colorScale>
    </cfRule>
  </conditionalFormatting>
  <conditionalFormatting sqref="D4898:D4921">
    <cfRule type="colorScale" priority="5531">
      <colorScale>
        <cfvo type="min"/>
        <cfvo type="percentile" val="50"/>
        <cfvo type="max"/>
        <color rgb="FF63BE7B"/>
        <color rgb="FFFFEB84"/>
        <color rgb="FFF8696B"/>
      </colorScale>
    </cfRule>
  </conditionalFormatting>
  <conditionalFormatting sqref="D4898:D4921">
    <cfRule type="colorScale" priority="5530">
      <colorScale>
        <cfvo type="min"/>
        <cfvo type="percentile" val="50"/>
        <cfvo type="max"/>
        <color rgb="FF63BE7B"/>
        <color rgb="FFFFEB84"/>
        <color rgb="FFF8696B"/>
      </colorScale>
    </cfRule>
  </conditionalFormatting>
  <conditionalFormatting sqref="F4899:F4905 F4907:F4914 F4916 F4919:F4920">
    <cfRule type="colorScale" priority="5529">
      <colorScale>
        <cfvo type="min"/>
        <cfvo type="percentile" val="50"/>
        <cfvo type="max"/>
        <color rgb="FF63BE7B"/>
        <color rgb="FFFFEB84"/>
        <color rgb="FFF8696B"/>
      </colorScale>
    </cfRule>
  </conditionalFormatting>
  <conditionalFormatting sqref="F4898:F4921">
    <cfRule type="colorScale" priority="5528">
      <colorScale>
        <cfvo type="min"/>
        <cfvo type="percentile" val="50"/>
        <cfvo type="max"/>
        <color rgb="FF63BE7B"/>
        <color rgb="FFFFEB84"/>
        <color rgb="FFF8696B"/>
      </colorScale>
    </cfRule>
  </conditionalFormatting>
  <conditionalFormatting sqref="D4922:D4945">
    <cfRule type="colorScale" priority="5527">
      <colorScale>
        <cfvo type="min"/>
        <cfvo type="percentile" val="50"/>
        <cfvo type="max"/>
        <color rgb="FFF8696B"/>
        <color rgb="FFFCFCFF"/>
        <color rgb="FF63BE7B"/>
      </colorScale>
    </cfRule>
  </conditionalFormatting>
  <conditionalFormatting sqref="D4922:D4945">
    <cfRule type="colorScale" priority="5526">
      <colorScale>
        <cfvo type="min"/>
        <cfvo type="percentile" val="50"/>
        <cfvo type="max"/>
        <color rgb="FF63BE7B"/>
        <color rgb="FFFFEB84"/>
        <color rgb="FFF8696B"/>
      </colorScale>
    </cfRule>
  </conditionalFormatting>
  <conditionalFormatting sqref="D4922:D4945">
    <cfRule type="colorScale" priority="5525">
      <colorScale>
        <cfvo type="min"/>
        <cfvo type="percentile" val="50"/>
        <cfvo type="max"/>
        <color rgb="FF63BE7B"/>
        <color rgb="FFFFEB84"/>
        <color rgb="FFF8696B"/>
      </colorScale>
    </cfRule>
  </conditionalFormatting>
  <conditionalFormatting sqref="F4923:F4929 F4931:F4938 F4940 F4943:F4944">
    <cfRule type="colorScale" priority="5524">
      <colorScale>
        <cfvo type="min"/>
        <cfvo type="percentile" val="50"/>
        <cfvo type="max"/>
        <color rgb="FF63BE7B"/>
        <color rgb="FFFFEB84"/>
        <color rgb="FFF8696B"/>
      </colorScale>
    </cfRule>
  </conditionalFormatting>
  <conditionalFormatting sqref="F4922:F4945">
    <cfRule type="colorScale" priority="5523">
      <colorScale>
        <cfvo type="min"/>
        <cfvo type="percentile" val="50"/>
        <cfvo type="max"/>
        <color rgb="FF63BE7B"/>
        <color rgb="FFFFEB84"/>
        <color rgb="FFF8696B"/>
      </colorScale>
    </cfRule>
  </conditionalFormatting>
  <conditionalFormatting sqref="D4946:D4969">
    <cfRule type="colorScale" priority="5522">
      <colorScale>
        <cfvo type="min"/>
        <cfvo type="percentile" val="50"/>
        <cfvo type="max"/>
        <color rgb="FFF8696B"/>
        <color rgb="FFFCFCFF"/>
        <color rgb="FF63BE7B"/>
      </colorScale>
    </cfRule>
  </conditionalFormatting>
  <conditionalFormatting sqref="D4946:D4969">
    <cfRule type="colorScale" priority="5521">
      <colorScale>
        <cfvo type="min"/>
        <cfvo type="percentile" val="50"/>
        <cfvo type="max"/>
        <color rgb="FF63BE7B"/>
        <color rgb="FFFFEB84"/>
        <color rgb="FFF8696B"/>
      </colorScale>
    </cfRule>
  </conditionalFormatting>
  <conditionalFormatting sqref="D4946:D4969">
    <cfRule type="colorScale" priority="5520">
      <colorScale>
        <cfvo type="min"/>
        <cfvo type="percentile" val="50"/>
        <cfvo type="max"/>
        <color rgb="FF63BE7B"/>
        <color rgb="FFFFEB84"/>
        <color rgb="FFF8696B"/>
      </colorScale>
    </cfRule>
  </conditionalFormatting>
  <conditionalFormatting sqref="F4947:F4953 F4955:F4962 F4964 F4967:F4968">
    <cfRule type="colorScale" priority="5519">
      <colorScale>
        <cfvo type="min"/>
        <cfvo type="percentile" val="50"/>
        <cfvo type="max"/>
        <color rgb="FF63BE7B"/>
        <color rgb="FFFFEB84"/>
        <color rgb="FFF8696B"/>
      </colorScale>
    </cfRule>
  </conditionalFormatting>
  <conditionalFormatting sqref="F4946:F4969">
    <cfRule type="colorScale" priority="5518">
      <colorScale>
        <cfvo type="min"/>
        <cfvo type="percentile" val="50"/>
        <cfvo type="max"/>
        <color rgb="FF63BE7B"/>
        <color rgb="FFFFEB84"/>
        <color rgb="FFF8696B"/>
      </colorScale>
    </cfRule>
  </conditionalFormatting>
  <conditionalFormatting sqref="D4970:D4993">
    <cfRule type="colorScale" priority="5517">
      <colorScale>
        <cfvo type="min"/>
        <cfvo type="percentile" val="50"/>
        <cfvo type="max"/>
        <color rgb="FFF8696B"/>
        <color rgb="FFFCFCFF"/>
        <color rgb="FF63BE7B"/>
      </colorScale>
    </cfRule>
  </conditionalFormatting>
  <conditionalFormatting sqref="D4970:D4993">
    <cfRule type="colorScale" priority="5516">
      <colorScale>
        <cfvo type="min"/>
        <cfvo type="percentile" val="50"/>
        <cfvo type="max"/>
        <color rgb="FF63BE7B"/>
        <color rgb="FFFFEB84"/>
        <color rgb="FFF8696B"/>
      </colorScale>
    </cfRule>
  </conditionalFormatting>
  <conditionalFormatting sqref="D4970:D4993">
    <cfRule type="colorScale" priority="5515">
      <colorScale>
        <cfvo type="min"/>
        <cfvo type="percentile" val="50"/>
        <cfvo type="max"/>
        <color rgb="FF63BE7B"/>
        <color rgb="FFFFEB84"/>
        <color rgb="FFF8696B"/>
      </colorScale>
    </cfRule>
  </conditionalFormatting>
  <conditionalFormatting sqref="F4971:F4977 F4979:F4986 F4988 F4991:F4992">
    <cfRule type="colorScale" priority="5514">
      <colorScale>
        <cfvo type="min"/>
        <cfvo type="percentile" val="50"/>
        <cfvo type="max"/>
        <color rgb="FF63BE7B"/>
        <color rgb="FFFFEB84"/>
        <color rgb="FFF8696B"/>
      </colorScale>
    </cfRule>
  </conditionalFormatting>
  <conditionalFormatting sqref="F4970:F4993">
    <cfRule type="colorScale" priority="5513">
      <colorScale>
        <cfvo type="min"/>
        <cfvo type="percentile" val="50"/>
        <cfvo type="max"/>
        <color rgb="FF63BE7B"/>
        <color rgb="FFFFEB84"/>
        <color rgb="FFF8696B"/>
      </colorScale>
    </cfRule>
  </conditionalFormatting>
  <conditionalFormatting sqref="D4994:D5017">
    <cfRule type="colorScale" priority="5512">
      <colorScale>
        <cfvo type="min"/>
        <cfvo type="percentile" val="50"/>
        <cfvo type="max"/>
        <color rgb="FFF8696B"/>
        <color rgb="FFFCFCFF"/>
        <color rgb="FF63BE7B"/>
      </colorScale>
    </cfRule>
  </conditionalFormatting>
  <conditionalFormatting sqref="D4994:D5017">
    <cfRule type="colorScale" priority="5511">
      <colorScale>
        <cfvo type="min"/>
        <cfvo type="percentile" val="50"/>
        <cfvo type="max"/>
        <color rgb="FF63BE7B"/>
        <color rgb="FFFFEB84"/>
        <color rgb="FFF8696B"/>
      </colorScale>
    </cfRule>
  </conditionalFormatting>
  <conditionalFormatting sqref="D4994:D5017">
    <cfRule type="colorScale" priority="5510">
      <colorScale>
        <cfvo type="min"/>
        <cfvo type="percentile" val="50"/>
        <cfvo type="max"/>
        <color rgb="FF63BE7B"/>
        <color rgb="FFFFEB84"/>
        <color rgb="FFF8696B"/>
      </colorScale>
    </cfRule>
  </conditionalFormatting>
  <conditionalFormatting sqref="F4995:F5001 F5003:F5010 F5012 F5015:F5016">
    <cfRule type="colorScale" priority="5509">
      <colorScale>
        <cfvo type="min"/>
        <cfvo type="percentile" val="50"/>
        <cfvo type="max"/>
        <color rgb="FF63BE7B"/>
        <color rgb="FFFFEB84"/>
        <color rgb="FFF8696B"/>
      </colorScale>
    </cfRule>
  </conditionalFormatting>
  <conditionalFormatting sqref="F4994:F5017">
    <cfRule type="colorScale" priority="5508">
      <colorScale>
        <cfvo type="min"/>
        <cfvo type="percentile" val="50"/>
        <cfvo type="max"/>
        <color rgb="FF63BE7B"/>
        <color rgb="FFFFEB84"/>
        <color rgb="FFF8696B"/>
      </colorScale>
    </cfRule>
  </conditionalFormatting>
  <conditionalFormatting sqref="D5018:D5041">
    <cfRule type="colorScale" priority="5507">
      <colorScale>
        <cfvo type="min"/>
        <cfvo type="percentile" val="50"/>
        <cfvo type="max"/>
        <color rgb="FFF8696B"/>
        <color rgb="FFFCFCFF"/>
        <color rgb="FF63BE7B"/>
      </colorScale>
    </cfRule>
  </conditionalFormatting>
  <conditionalFormatting sqref="D5018:D5041">
    <cfRule type="colorScale" priority="5506">
      <colorScale>
        <cfvo type="min"/>
        <cfvo type="percentile" val="50"/>
        <cfvo type="max"/>
        <color rgb="FF63BE7B"/>
        <color rgb="FFFFEB84"/>
        <color rgb="FFF8696B"/>
      </colorScale>
    </cfRule>
  </conditionalFormatting>
  <conditionalFormatting sqref="D5018:D5041">
    <cfRule type="colorScale" priority="5505">
      <colorScale>
        <cfvo type="min"/>
        <cfvo type="percentile" val="50"/>
        <cfvo type="max"/>
        <color rgb="FF63BE7B"/>
        <color rgb="FFFFEB84"/>
        <color rgb="FFF8696B"/>
      </colorScale>
    </cfRule>
  </conditionalFormatting>
  <conditionalFormatting sqref="F5019:F5025 F5027:F5034 F5036 F5039:F5040">
    <cfRule type="colorScale" priority="5504">
      <colorScale>
        <cfvo type="min"/>
        <cfvo type="percentile" val="50"/>
        <cfvo type="max"/>
        <color rgb="FF63BE7B"/>
        <color rgb="FFFFEB84"/>
        <color rgb="FFF8696B"/>
      </colorScale>
    </cfRule>
  </conditionalFormatting>
  <conditionalFormatting sqref="F5018:F5041">
    <cfRule type="colorScale" priority="5503">
      <colorScale>
        <cfvo type="min"/>
        <cfvo type="percentile" val="50"/>
        <cfvo type="max"/>
        <color rgb="FF63BE7B"/>
        <color rgb="FFFFEB84"/>
        <color rgb="FFF8696B"/>
      </colorScale>
    </cfRule>
  </conditionalFormatting>
  <conditionalFormatting sqref="D5042:D5065">
    <cfRule type="colorScale" priority="5502">
      <colorScale>
        <cfvo type="min"/>
        <cfvo type="percentile" val="50"/>
        <cfvo type="max"/>
        <color rgb="FFF8696B"/>
        <color rgb="FFFCFCFF"/>
        <color rgb="FF63BE7B"/>
      </colorScale>
    </cfRule>
  </conditionalFormatting>
  <conditionalFormatting sqref="D5042:D5065">
    <cfRule type="colorScale" priority="5501">
      <colorScale>
        <cfvo type="min"/>
        <cfvo type="percentile" val="50"/>
        <cfvo type="max"/>
        <color rgb="FF63BE7B"/>
        <color rgb="FFFFEB84"/>
        <color rgb="FFF8696B"/>
      </colorScale>
    </cfRule>
  </conditionalFormatting>
  <conditionalFormatting sqref="D5042:D5065">
    <cfRule type="colorScale" priority="5500">
      <colorScale>
        <cfvo type="min"/>
        <cfvo type="percentile" val="50"/>
        <cfvo type="max"/>
        <color rgb="FF63BE7B"/>
        <color rgb="FFFFEB84"/>
        <color rgb="FFF8696B"/>
      </colorScale>
    </cfRule>
  </conditionalFormatting>
  <conditionalFormatting sqref="F5043:F5049 F5051:F5058 F5060 F5063:F5064">
    <cfRule type="colorScale" priority="5499">
      <colorScale>
        <cfvo type="min"/>
        <cfvo type="percentile" val="50"/>
        <cfvo type="max"/>
        <color rgb="FF63BE7B"/>
        <color rgb="FFFFEB84"/>
        <color rgb="FFF8696B"/>
      </colorScale>
    </cfRule>
  </conditionalFormatting>
  <conditionalFormatting sqref="F5042:F5065">
    <cfRule type="colorScale" priority="5498">
      <colorScale>
        <cfvo type="min"/>
        <cfvo type="percentile" val="50"/>
        <cfvo type="max"/>
        <color rgb="FF63BE7B"/>
        <color rgb="FFFFEB84"/>
        <color rgb="FFF8696B"/>
      </colorScale>
    </cfRule>
  </conditionalFormatting>
  <conditionalFormatting sqref="D5066:D5089">
    <cfRule type="colorScale" priority="5497">
      <colorScale>
        <cfvo type="min"/>
        <cfvo type="percentile" val="50"/>
        <cfvo type="max"/>
        <color rgb="FFF8696B"/>
        <color rgb="FFFCFCFF"/>
        <color rgb="FF63BE7B"/>
      </colorScale>
    </cfRule>
  </conditionalFormatting>
  <conditionalFormatting sqref="D5066:D5089">
    <cfRule type="colorScale" priority="5496">
      <colorScale>
        <cfvo type="min"/>
        <cfvo type="percentile" val="50"/>
        <cfvo type="max"/>
        <color rgb="FF63BE7B"/>
        <color rgb="FFFFEB84"/>
        <color rgb="FFF8696B"/>
      </colorScale>
    </cfRule>
  </conditionalFormatting>
  <conditionalFormatting sqref="D5066:D5089">
    <cfRule type="colorScale" priority="5495">
      <colorScale>
        <cfvo type="min"/>
        <cfvo type="percentile" val="50"/>
        <cfvo type="max"/>
        <color rgb="FF63BE7B"/>
        <color rgb="FFFFEB84"/>
        <color rgb="FFF8696B"/>
      </colorScale>
    </cfRule>
  </conditionalFormatting>
  <conditionalFormatting sqref="F5067:F5073 F5075:F5082 F5084 F5087:F5088">
    <cfRule type="colorScale" priority="5494">
      <colorScale>
        <cfvo type="min"/>
        <cfvo type="percentile" val="50"/>
        <cfvo type="max"/>
        <color rgb="FF63BE7B"/>
        <color rgb="FFFFEB84"/>
        <color rgb="FFF8696B"/>
      </colorScale>
    </cfRule>
  </conditionalFormatting>
  <conditionalFormatting sqref="F5066:F5089">
    <cfRule type="colorScale" priority="5493">
      <colorScale>
        <cfvo type="min"/>
        <cfvo type="percentile" val="50"/>
        <cfvo type="max"/>
        <color rgb="FF63BE7B"/>
        <color rgb="FFFFEB84"/>
        <color rgb="FFF8696B"/>
      </colorScale>
    </cfRule>
  </conditionalFormatting>
  <conditionalFormatting sqref="D5090:D5113">
    <cfRule type="colorScale" priority="5492">
      <colorScale>
        <cfvo type="min"/>
        <cfvo type="percentile" val="50"/>
        <cfvo type="max"/>
        <color rgb="FFF8696B"/>
        <color rgb="FFFCFCFF"/>
        <color rgb="FF63BE7B"/>
      </colorScale>
    </cfRule>
  </conditionalFormatting>
  <conditionalFormatting sqref="D5090:D5113">
    <cfRule type="colorScale" priority="5491">
      <colorScale>
        <cfvo type="min"/>
        <cfvo type="percentile" val="50"/>
        <cfvo type="max"/>
        <color rgb="FF63BE7B"/>
        <color rgb="FFFFEB84"/>
        <color rgb="FFF8696B"/>
      </colorScale>
    </cfRule>
  </conditionalFormatting>
  <conditionalFormatting sqref="D5090:D5113">
    <cfRule type="colorScale" priority="5490">
      <colorScale>
        <cfvo type="min"/>
        <cfvo type="percentile" val="50"/>
        <cfvo type="max"/>
        <color rgb="FF63BE7B"/>
        <color rgb="FFFFEB84"/>
        <color rgb="FFF8696B"/>
      </colorScale>
    </cfRule>
  </conditionalFormatting>
  <conditionalFormatting sqref="F5091:F5097 F5099:F5106 F5108 F5111:F5112">
    <cfRule type="colorScale" priority="5489">
      <colorScale>
        <cfvo type="min"/>
        <cfvo type="percentile" val="50"/>
        <cfvo type="max"/>
        <color rgb="FF63BE7B"/>
        <color rgb="FFFFEB84"/>
        <color rgb="FFF8696B"/>
      </colorScale>
    </cfRule>
  </conditionalFormatting>
  <conditionalFormatting sqref="F5090:F5113">
    <cfRule type="colorScale" priority="5488">
      <colorScale>
        <cfvo type="min"/>
        <cfvo type="percentile" val="50"/>
        <cfvo type="max"/>
        <color rgb="FF63BE7B"/>
        <color rgb="FFFFEB84"/>
        <color rgb="FFF8696B"/>
      </colorScale>
    </cfRule>
  </conditionalFormatting>
  <conditionalFormatting sqref="D5114:D5137">
    <cfRule type="colorScale" priority="5487">
      <colorScale>
        <cfvo type="min"/>
        <cfvo type="percentile" val="50"/>
        <cfvo type="max"/>
        <color rgb="FFF8696B"/>
        <color rgb="FFFCFCFF"/>
        <color rgb="FF63BE7B"/>
      </colorScale>
    </cfRule>
  </conditionalFormatting>
  <conditionalFormatting sqref="D5114:D5137">
    <cfRule type="colorScale" priority="5486">
      <colorScale>
        <cfvo type="min"/>
        <cfvo type="percentile" val="50"/>
        <cfvo type="max"/>
        <color rgb="FF63BE7B"/>
        <color rgb="FFFFEB84"/>
        <color rgb="FFF8696B"/>
      </colorScale>
    </cfRule>
  </conditionalFormatting>
  <conditionalFormatting sqref="D5114:D5137">
    <cfRule type="colorScale" priority="5485">
      <colorScale>
        <cfvo type="min"/>
        <cfvo type="percentile" val="50"/>
        <cfvo type="max"/>
        <color rgb="FF63BE7B"/>
        <color rgb="FFFFEB84"/>
        <color rgb="FFF8696B"/>
      </colorScale>
    </cfRule>
  </conditionalFormatting>
  <conditionalFormatting sqref="F5115:F5121 F5123:F5130 F5132 F5135:F5136">
    <cfRule type="colorScale" priority="5484">
      <colorScale>
        <cfvo type="min"/>
        <cfvo type="percentile" val="50"/>
        <cfvo type="max"/>
        <color rgb="FF63BE7B"/>
        <color rgb="FFFFEB84"/>
        <color rgb="FFF8696B"/>
      </colorScale>
    </cfRule>
  </conditionalFormatting>
  <conditionalFormatting sqref="F5114:F5137">
    <cfRule type="colorScale" priority="5483">
      <colorScale>
        <cfvo type="min"/>
        <cfvo type="percentile" val="50"/>
        <cfvo type="max"/>
        <color rgb="FF63BE7B"/>
        <color rgb="FFFFEB84"/>
        <color rgb="FFF8696B"/>
      </colorScale>
    </cfRule>
  </conditionalFormatting>
  <conditionalFormatting sqref="D5138:D5161">
    <cfRule type="colorScale" priority="5482">
      <colorScale>
        <cfvo type="min"/>
        <cfvo type="percentile" val="50"/>
        <cfvo type="max"/>
        <color rgb="FFF8696B"/>
        <color rgb="FFFCFCFF"/>
        <color rgb="FF63BE7B"/>
      </colorScale>
    </cfRule>
  </conditionalFormatting>
  <conditionalFormatting sqref="D5138:D5161">
    <cfRule type="colorScale" priority="5481">
      <colorScale>
        <cfvo type="min"/>
        <cfvo type="percentile" val="50"/>
        <cfvo type="max"/>
        <color rgb="FF63BE7B"/>
        <color rgb="FFFFEB84"/>
        <color rgb="FFF8696B"/>
      </colorScale>
    </cfRule>
  </conditionalFormatting>
  <conditionalFormatting sqref="D5138:D5161">
    <cfRule type="colorScale" priority="5480">
      <colorScale>
        <cfvo type="min"/>
        <cfvo type="percentile" val="50"/>
        <cfvo type="max"/>
        <color rgb="FF63BE7B"/>
        <color rgb="FFFFEB84"/>
        <color rgb="FFF8696B"/>
      </colorScale>
    </cfRule>
  </conditionalFormatting>
  <conditionalFormatting sqref="F5139:F5145 F5147:F5154 F5156 F5159:F5160">
    <cfRule type="colorScale" priority="5479">
      <colorScale>
        <cfvo type="min"/>
        <cfvo type="percentile" val="50"/>
        <cfvo type="max"/>
        <color rgb="FF63BE7B"/>
        <color rgb="FFFFEB84"/>
        <color rgb="FFF8696B"/>
      </colorScale>
    </cfRule>
  </conditionalFormatting>
  <conditionalFormatting sqref="F5138:F5161">
    <cfRule type="colorScale" priority="5478">
      <colorScale>
        <cfvo type="min"/>
        <cfvo type="percentile" val="50"/>
        <cfvo type="max"/>
        <color rgb="FF63BE7B"/>
        <color rgb="FFFFEB84"/>
        <color rgb="FFF8696B"/>
      </colorScale>
    </cfRule>
  </conditionalFormatting>
  <conditionalFormatting sqref="D5162:D5185">
    <cfRule type="colorScale" priority="5477">
      <colorScale>
        <cfvo type="min"/>
        <cfvo type="percentile" val="50"/>
        <cfvo type="max"/>
        <color rgb="FFF8696B"/>
        <color rgb="FFFCFCFF"/>
        <color rgb="FF63BE7B"/>
      </colorScale>
    </cfRule>
  </conditionalFormatting>
  <conditionalFormatting sqref="D5162:D5185">
    <cfRule type="colorScale" priority="5476">
      <colorScale>
        <cfvo type="min"/>
        <cfvo type="percentile" val="50"/>
        <cfvo type="max"/>
        <color rgb="FF63BE7B"/>
        <color rgb="FFFFEB84"/>
        <color rgb="FFF8696B"/>
      </colorScale>
    </cfRule>
  </conditionalFormatting>
  <conditionalFormatting sqref="D5162:D5185">
    <cfRule type="colorScale" priority="5475">
      <colorScale>
        <cfvo type="min"/>
        <cfvo type="percentile" val="50"/>
        <cfvo type="max"/>
        <color rgb="FF63BE7B"/>
        <color rgb="FFFFEB84"/>
        <color rgb="FFF8696B"/>
      </colorScale>
    </cfRule>
  </conditionalFormatting>
  <conditionalFormatting sqref="F5163:F5169 F5171:F5178 F5180 F5183:F5184">
    <cfRule type="colorScale" priority="5474">
      <colorScale>
        <cfvo type="min"/>
        <cfvo type="percentile" val="50"/>
        <cfvo type="max"/>
        <color rgb="FF63BE7B"/>
        <color rgb="FFFFEB84"/>
        <color rgb="FFF8696B"/>
      </colorScale>
    </cfRule>
  </conditionalFormatting>
  <conditionalFormatting sqref="F5162:F5185">
    <cfRule type="colorScale" priority="5473">
      <colorScale>
        <cfvo type="min"/>
        <cfvo type="percentile" val="50"/>
        <cfvo type="max"/>
        <color rgb="FF63BE7B"/>
        <color rgb="FFFFEB84"/>
        <color rgb="FFF8696B"/>
      </colorScale>
    </cfRule>
  </conditionalFormatting>
  <conditionalFormatting sqref="D5186:D5209">
    <cfRule type="colorScale" priority="5472">
      <colorScale>
        <cfvo type="min"/>
        <cfvo type="percentile" val="50"/>
        <cfvo type="max"/>
        <color rgb="FFF8696B"/>
        <color rgb="FFFCFCFF"/>
        <color rgb="FF63BE7B"/>
      </colorScale>
    </cfRule>
  </conditionalFormatting>
  <conditionalFormatting sqref="D5186:D5209">
    <cfRule type="colorScale" priority="5471">
      <colorScale>
        <cfvo type="min"/>
        <cfvo type="percentile" val="50"/>
        <cfvo type="max"/>
        <color rgb="FF63BE7B"/>
        <color rgb="FFFFEB84"/>
        <color rgb="FFF8696B"/>
      </colorScale>
    </cfRule>
  </conditionalFormatting>
  <conditionalFormatting sqref="D5186:D5209">
    <cfRule type="colorScale" priority="5470">
      <colorScale>
        <cfvo type="min"/>
        <cfvo type="percentile" val="50"/>
        <cfvo type="max"/>
        <color rgb="FF63BE7B"/>
        <color rgb="FFFFEB84"/>
        <color rgb="FFF8696B"/>
      </colorScale>
    </cfRule>
  </conditionalFormatting>
  <conditionalFormatting sqref="F5187:F5193 F5195:F5202 F5204 F5207:F5208">
    <cfRule type="colorScale" priority="5469">
      <colorScale>
        <cfvo type="min"/>
        <cfvo type="percentile" val="50"/>
        <cfvo type="max"/>
        <color rgb="FF63BE7B"/>
        <color rgb="FFFFEB84"/>
        <color rgb="FFF8696B"/>
      </colorScale>
    </cfRule>
  </conditionalFormatting>
  <conditionalFormatting sqref="F5186:F5209">
    <cfRule type="colorScale" priority="5468">
      <colorScale>
        <cfvo type="min"/>
        <cfvo type="percentile" val="50"/>
        <cfvo type="max"/>
        <color rgb="FF63BE7B"/>
        <color rgb="FFFFEB84"/>
        <color rgb="FFF8696B"/>
      </colorScale>
    </cfRule>
  </conditionalFormatting>
  <conditionalFormatting sqref="D5210:D5233">
    <cfRule type="colorScale" priority="5467">
      <colorScale>
        <cfvo type="min"/>
        <cfvo type="percentile" val="50"/>
        <cfvo type="max"/>
        <color rgb="FFF8696B"/>
        <color rgb="FFFCFCFF"/>
        <color rgb="FF63BE7B"/>
      </colorScale>
    </cfRule>
  </conditionalFormatting>
  <conditionalFormatting sqref="D5210:D5233">
    <cfRule type="colorScale" priority="5466">
      <colorScale>
        <cfvo type="min"/>
        <cfvo type="percentile" val="50"/>
        <cfvo type="max"/>
        <color rgb="FF63BE7B"/>
        <color rgb="FFFFEB84"/>
        <color rgb="FFF8696B"/>
      </colorScale>
    </cfRule>
  </conditionalFormatting>
  <conditionalFormatting sqref="D5210:D5233">
    <cfRule type="colorScale" priority="5465">
      <colorScale>
        <cfvo type="min"/>
        <cfvo type="percentile" val="50"/>
        <cfvo type="max"/>
        <color rgb="FF63BE7B"/>
        <color rgb="FFFFEB84"/>
        <color rgb="FFF8696B"/>
      </colorScale>
    </cfRule>
  </conditionalFormatting>
  <conditionalFormatting sqref="F5211:F5217 F5219:F5226 F5228 F5231:F5232">
    <cfRule type="colorScale" priority="5464">
      <colorScale>
        <cfvo type="min"/>
        <cfvo type="percentile" val="50"/>
        <cfvo type="max"/>
        <color rgb="FF63BE7B"/>
        <color rgb="FFFFEB84"/>
        <color rgb="FFF8696B"/>
      </colorScale>
    </cfRule>
  </conditionalFormatting>
  <conditionalFormatting sqref="F5210:F5233">
    <cfRule type="colorScale" priority="5463">
      <colorScale>
        <cfvo type="min"/>
        <cfvo type="percentile" val="50"/>
        <cfvo type="max"/>
        <color rgb="FF63BE7B"/>
        <color rgb="FFFFEB84"/>
        <color rgb="FFF8696B"/>
      </colorScale>
    </cfRule>
  </conditionalFormatting>
  <conditionalFormatting sqref="D5234:D5257">
    <cfRule type="colorScale" priority="5462">
      <colorScale>
        <cfvo type="min"/>
        <cfvo type="percentile" val="50"/>
        <cfvo type="max"/>
        <color rgb="FFF8696B"/>
        <color rgb="FFFCFCFF"/>
        <color rgb="FF63BE7B"/>
      </colorScale>
    </cfRule>
  </conditionalFormatting>
  <conditionalFormatting sqref="D5234:D5257">
    <cfRule type="colorScale" priority="5461">
      <colorScale>
        <cfvo type="min"/>
        <cfvo type="percentile" val="50"/>
        <cfvo type="max"/>
        <color rgb="FF63BE7B"/>
        <color rgb="FFFFEB84"/>
        <color rgb="FFF8696B"/>
      </colorScale>
    </cfRule>
  </conditionalFormatting>
  <conditionalFormatting sqref="D5234:D5257">
    <cfRule type="colorScale" priority="5460">
      <colorScale>
        <cfvo type="min"/>
        <cfvo type="percentile" val="50"/>
        <cfvo type="max"/>
        <color rgb="FF63BE7B"/>
        <color rgb="FFFFEB84"/>
        <color rgb="FFF8696B"/>
      </colorScale>
    </cfRule>
  </conditionalFormatting>
  <conditionalFormatting sqref="F5235:F5241 F5243:F5250 F5252 F5255:F5256">
    <cfRule type="colorScale" priority="5459">
      <colorScale>
        <cfvo type="min"/>
        <cfvo type="percentile" val="50"/>
        <cfvo type="max"/>
        <color rgb="FF63BE7B"/>
        <color rgb="FFFFEB84"/>
        <color rgb="FFF8696B"/>
      </colorScale>
    </cfRule>
  </conditionalFormatting>
  <conditionalFormatting sqref="F5234:F5257">
    <cfRule type="colorScale" priority="5458">
      <colorScale>
        <cfvo type="min"/>
        <cfvo type="percentile" val="50"/>
        <cfvo type="max"/>
        <color rgb="FF63BE7B"/>
        <color rgb="FFFFEB84"/>
        <color rgb="FFF8696B"/>
      </colorScale>
    </cfRule>
  </conditionalFormatting>
  <conditionalFormatting sqref="D5258:D5281">
    <cfRule type="colorScale" priority="5457">
      <colorScale>
        <cfvo type="min"/>
        <cfvo type="percentile" val="50"/>
        <cfvo type="max"/>
        <color rgb="FFF8696B"/>
        <color rgb="FFFCFCFF"/>
        <color rgb="FF63BE7B"/>
      </colorScale>
    </cfRule>
  </conditionalFormatting>
  <conditionalFormatting sqref="D5258:D5281">
    <cfRule type="colorScale" priority="5456">
      <colorScale>
        <cfvo type="min"/>
        <cfvo type="percentile" val="50"/>
        <cfvo type="max"/>
        <color rgb="FF63BE7B"/>
        <color rgb="FFFFEB84"/>
        <color rgb="FFF8696B"/>
      </colorScale>
    </cfRule>
  </conditionalFormatting>
  <conditionalFormatting sqref="D5258:D5281">
    <cfRule type="colorScale" priority="5455">
      <colorScale>
        <cfvo type="min"/>
        <cfvo type="percentile" val="50"/>
        <cfvo type="max"/>
        <color rgb="FF63BE7B"/>
        <color rgb="FFFFEB84"/>
        <color rgb="FFF8696B"/>
      </colorScale>
    </cfRule>
  </conditionalFormatting>
  <conditionalFormatting sqref="F5259:F5265 F5267:F5274 F5276 F5279:F5280">
    <cfRule type="colorScale" priority="5454">
      <colorScale>
        <cfvo type="min"/>
        <cfvo type="percentile" val="50"/>
        <cfvo type="max"/>
        <color rgb="FF63BE7B"/>
        <color rgb="FFFFEB84"/>
        <color rgb="FFF8696B"/>
      </colorScale>
    </cfRule>
  </conditionalFormatting>
  <conditionalFormatting sqref="F5258:F5281">
    <cfRule type="colorScale" priority="5453">
      <colorScale>
        <cfvo type="min"/>
        <cfvo type="percentile" val="50"/>
        <cfvo type="max"/>
        <color rgb="FF63BE7B"/>
        <color rgb="FFFFEB84"/>
        <color rgb="FFF8696B"/>
      </colorScale>
    </cfRule>
  </conditionalFormatting>
  <conditionalFormatting sqref="D5282:D5305">
    <cfRule type="colorScale" priority="5452">
      <colorScale>
        <cfvo type="min"/>
        <cfvo type="percentile" val="50"/>
        <cfvo type="max"/>
        <color rgb="FFF8696B"/>
        <color rgb="FFFCFCFF"/>
        <color rgb="FF63BE7B"/>
      </colorScale>
    </cfRule>
  </conditionalFormatting>
  <conditionalFormatting sqref="D5282:D5305">
    <cfRule type="colorScale" priority="5451">
      <colorScale>
        <cfvo type="min"/>
        <cfvo type="percentile" val="50"/>
        <cfvo type="max"/>
        <color rgb="FF63BE7B"/>
        <color rgb="FFFFEB84"/>
        <color rgb="FFF8696B"/>
      </colorScale>
    </cfRule>
  </conditionalFormatting>
  <conditionalFormatting sqref="D5282:D5305">
    <cfRule type="colorScale" priority="5450">
      <colorScale>
        <cfvo type="min"/>
        <cfvo type="percentile" val="50"/>
        <cfvo type="max"/>
        <color rgb="FF63BE7B"/>
        <color rgb="FFFFEB84"/>
        <color rgb="FFF8696B"/>
      </colorScale>
    </cfRule>
  </conditionalFormatting>
  <conditionalFormatting sqref="F5283:F5289 F5291:F5298 F5300 F5303:F5304">
    <cfRule type="colorScale" priority="5449">
      <colorScale>
        <cfvo type="min"/>
        <cfvo type="percentile" val="50"/>
        <cfvo type="max"/>
        <color rgb="FF63BE7B"/>
        <color rgb="FFFFEB84"/>
        <color rgb="FFF8696B"/>
      </colorScale>
    </cfRule>
  </conditionalFormatting>
  <conditionalFormatting sqref="F5282:F5305">
    <cfRule type="colorScale" priority="5448">
      <colorScale>
        <cfvo type="min"/>
        <cfvo type="percentile" val="50"/>
        <cfvo type="max"/>
        <color rgb="FF63BE7B"/>
        <color rgb="FFFFEB84"/>
        <color rgb="FFF8696B"/>
      </colorScale>
    </cfRule>
  </conditionalFormatting>
  <conditionalFormatting sqref="C5282:C5305">
    <cfRule type="colorScale" priority="5447">
      <colorScale>
        <cfvo type="min"/>
        <cfvo type="percentile" val="50"/>
        <cfvo type="max"/>
        <color rgb="FF63BE7B"/>
        <color rgb="FFFFEB84"/>
        <color rgb="FFF8696B"/>
      </colorScale>
    </cfRule>
  </conditionalFormatting>
  <conditionalFormatting sqref="D5306:D5329">
    <cfRule type="colorScale" priority="5446">
      <colorScale>
        <cfvo type="min"/>
        <cfvo type="percentile" val="50"/>
        <cfvo type="max"/>
        <color rgb="FFF8696B"/>
        <color rgb="FFFCFCFF"/>
        <color rgb="FF63BE7B"/>
      </colorScale>
    </cfRule>
  </conditionalFormatting>
  <conditionalFormatting sqref="D5306:D5329">
    <cfRule type="colorScale" priority="5445">
      <colorScale>
        <cfvo type="min"/>
        <cfvo type="percentile" val="50"/>
        <cfvo type="max"/>
        <color rgb="FF63BE7B"/>
        <color rgb="FFFFEB84"/>
        <color rgb="FFF8696B"/>
      </colorScale>
    </cfRule>
  </conditionalFormatting>
  <conditionalFormatting sqref="D5306:D5329">
    <cfRule type="colorScale" priority="5444">
      <colorScale>
        <cfvo type="min"/>
        <cfvo type="percentile" val="50"/>
        <cfvo type="max"/>
        <color rgb="FF63BE7B"/>
        <color rgb="FFFFEB84"/>
        <color rgb="FFF8696B"/>
      </colorScale>
    </cfRule>
  </conditionalFormatting>
  <conditionalFormatting sqref="F5307:F5313 F5315:F5322 F5324 F5327:F5328">
    <cfRule type="colorScale" priority="5443">
      <colorScale>
        <cfvo type="min"/>
        <cfvo type="percentile" val="50"/>
        <cfvo type="max"/>
        <color rgb="FF63BE7B"/>
        <color rgb="FFFFEB84"/>
        <color rgb="FFF8696B"/>
      </colorScale>
    </cfRule>
  </conditionalFormatting>
  <conditionalFormatting sqref="F5306:F5329">
    <cfRule type="colorScale" priority="5442">
      <colorScale>
        <cfvo type="min"/>
        <cfvo type="percentile" val="50"/>
        <cfvo type="max"/>
        <color rgb="FF63BE7B"/>
        <color rgb="FFFFEB84"/>
        <color rgb="FFF8696B"/>
      </colorScale>
    </cfRule>
  </conditionalFormatting>
  <conditionalFormatting sqref="D5330:D5353">
    <cfRule type="colorScale" priority="5441">
      <colorScale>
        <cfvo type="min"/>
        <cfvo type="percentile" val="50"/>
        <cfvo type="max"/>
        <color rgb="FFF8696B"/>
        <color rgb="FFFCFCFF"/>
        <color rgb="FF63BE7B"/>
      </colorScale>
    </cfRule>
  </conditionalFormatting>
  <conditionalFormatting sqref="D5330:D5353">
    <cfRule type="colorScale" priority="5440">
      <colorScale>
        <cfvo type="min"/>
        <cfvo type="percentile" val="50"/>
        <cfvo type="max"/>
        <color rgb="FF63BE7B"/>
        <color rgb="FFFFEB84"/>
        <color rgb="FFF8696B"/>
      </colorScale>
    </cfRule>
  </conditionalFormatting>
  <conditionalFormatting sqref="D5330:D5353">
    <cfRule type="colorScale" priority="5439">
      <colorScale>
        <cfvo type="min"/>
        <cfvo type="percentile" val="50"/>
        <cfvo type="max"/>
        <color rgb="FF63BE7B"/>
        <color rgb="FFFFEB84"/>
        <color rgb="FFF8696B"/>
      </colorScale>
    </cfRule>
  </conditionalFormatting>
  <conditionalFormatting sqref="F5331:F5337 F5339:F5346 F5348 F5351:F5352">
    <cfRule type="colorScale" priority="5438">
      <colorScale>
        <cfvo type="min"/>
        <cfvo type="percentile" val="50"/>
        <cfvo type="max"/>
        <color rgb="FF63BE7B"/>
        <color rgb="FFFFEB84"/>
        <color rgb="FFF8696B"/>
      </colorScale>
    </cfRule>
  </conditionalFormatting>
  <conditionalFormatting sqref="F5330:F5353">
    <cfRule type="colorScale" priority="5437">
      <colorScale>
        <cfvo type="min"/>
        <cfvo type="percentile" val="50"/>
        <cfvo type="max"/>
        <color rgb="FF63BE7B"/>
        <color rgb="FFFFEB84"/>
        <color rgb="FFF8696B"/>
      </colorScale>
    </cfRule>
  </conditionalFormatting>
  <conditionalFormatting sqref="D5354:D5377">
    <cfRule type="colorScale" priority="5436">
      <colorScale>
        <cfvo type="min"/>
        <cfvo type="percentile" val="50"/>
        <cfvo type="max"/>
        <color rgb="FFF8696B"/>
        <color rgb="FFFCFCFF"/>
        <color rgb="FF63BE7B"/>
      </colorScale>
    </cfRule>
  </conditionalFormatting>
  <conditionalFormatting sqref="D5354:D5377">
    <cfRule type="colorScale" priority="5435">
      <colorScale>
        <cfvo type="min"/>
        <cfvo type="percentile" val="50"/>
        <cfvo type="max"/>
        <color rgb="FF63BE7B"/>
        <color rgb="FFFFEB84"/>
        <color rgb="FFF8696B"/>
      </colorScale>
    </cfRule>
  </conditionalFormatting>
  <conditionalFormatting sqref="D5354:D5377">
    <cfRule type="colorScale" priority="5434">
      <colorScale>
        <cfvo type="min"/>
        <cfvo type="percentile" val="50"/>
        <cfvo type="max"/>
        <color rgb="FF63BE7B"/>
        <color rgb="FFFFEB84"/>
        <color rgb="FFF8696B"/>
      </colorScale>
    </cfRule>
  </conditionalFormatting>
  <conditionalFormatting sqref="F5355:F5361 F5363:F5370 F5372 F5375:F5376">
    <cfRule type="colorScale" priority="5433">
      <colorScale>
        <cfvo type="min"/>
        <cfvo type="percentile" val="50"/>
        <cfvo type="max"/>
        <color rgb="FF63BE7B"/>
        <color rgb="FFFFEB84"/>
        <color rgb="FFF8696B"/>
      </colorScale>
    </cfRule>
  </conditionalFormatting>
  <conditionalFormatting sqref="F5354:F5377">
    <cfRule type="colorScale" priority="5432">
      <colorScale>
        <cfvo type="min"/>
        <cfvo type="percentile" val="50"/>
        <cfvo type="max"/>
        <color rgb="FF63BE7B"/>
        <color rgb="FFFFEB84"/>
        <color rgb="FFF8696B"/>
      </colorScale>
    </cfRule>
  </conditionalFormatting>
  <conditionalFormatting sqref="D5378:D5401">
    <cfRule type="colorScale" priority="5431">
      <colorScale>
        <cfvo type="min"/>
        <cfvo type="percentile" val="50"/>
        <cfvo type="max"/>
        <color rgb="FFF8696B"/>
        <color rgb="FFFCFCFF"/>
        <color rgb="FF63BE7B"/>
      </colorScale>
    </cfRule>
  </conditionalFormatting>
  <conditionalFormatting sqref="D5378:D5401">
    <cfRule type="colorScale" priority="5430">
      <colorScale>
        <cfvo type="min"/>
        <cfvo type="percentile" val="50"/>
        <cfvo type="max"/>
        <color rgb="FF63BE7B"/>
        <color rgb="FFFFEB84"/>
        <color rgb="FFF8696B"/>
      </colorScale>
    </cfRule>
  </conditionalFormatting>
  <conditionalFormatting sqref="D5378:D5401">
    <cfRule type="colorScale" priority="5429">
      <colorScale>
        <cfvo type="min"/>
        <cfvo type="percentile" val="50"/>
        <cfvo type="max"/>
        <color rgb="FF63BE7B"/>
        <color rgb="FFFFEB84"/>
        <color rgb="FFF8696B"/>
      </colorScale>
    </cfRule>
  </conditionalFormatting>
  <conditionalFormatting sqref="F5379:F5385 F5387:F5394 F5396 F5399:F5400">
    <cfRule type="colorScale" priority="5428">
      <colorScale>
        <cfvo type="min"/>
        <cfvo type="percentile" val="50"/>
        <cfvo type="max"/>
        <color rgb="FF63BE7B"/>
        <color rgb="FFFFEB84"/>
        <color rgb="FFF8696B"/>
      </colorScale>
    </cfRule>
  </conditionalFormatting>
  <conditionalFormatting sqref="F5378:F5401">
    <cfRule type="colorScale" priority="5427">
      <colorScale>
        <cfvo type="min"/>
        <cfvo type="percentile" val="50"/>
        <cfvo type="max"/>
        <color rgb="FF63BE7B"/>
        <color rgb="FFFFEB84"/>
        <color rgb="FFF8696B"/>
      </colorScale>
    </cfRule>
  </conditionalFormatting>
  <conditionalFormatting sqref="D5402:D5425">
    <cfRule type="colorScale" priority="5426">
      <colorScale>
        <cfvo type="min"/>
        <cfvo type="percentile" val="50"/>
        <cfvo type="max"/>
        <color rgb="FFF8696B"/>
        <color rgb="FFFCFCFF"/>
        <color rgb="FF63BE7B"/>
      </colorScale>
    </cfRule>
  </conditionalFormatting>
  <conditionalFormatting sqref="D5402:D5425">
    <cfRule type="colorScale" priority="5425">
      <colorScale>
        <cfvo type="min"/>
        <cfvo type="percentile" val="50"/>
        <cfvo type="max"/>
        <color rgb="FF63BE7B"/>
        <color rgb="FFFFEB84"/>
        <color rgb="FFF8696B"/>
      </colorScale>
    </cfRule>
  </conditionalFormatting>
  <conditionalFormatting sqref="D5402:D5425">
    <cfRule type="colorScale" priority="5424">
      <colorScale>
        <cfvo type="min"/>
        <cfvo type="percentile" val="50"/>
        <cfvo type="max"/>
        <color rgb="FF63BE7B"/>
        <color rgb="FFFFEB84"/>
        <color rgb="FFF8696B"/>
      </colorScale>
    </cfRule>
  </conditionalFormatting>
  <conditionalFormatting sqref="F5403:F5409 F5411:F5418 F5420 F5423:F5424">
    <cfRule type="colorScale" priority="5423">
      <colorScale>
        <cfvo type="min"/>
        <cfvo type="percentile" val="50"/>
        <cfvo type="max"/>
        <color rgb="FF63BE7B"/>
        <color rgb="FFFFEB84"/>
        <color rgb="FFF8696B"/>
      </colorScale>
    </cfRule>
  </conditionalFormatting>
  <conditionalFormatting sqref="F5402:F5425">
    <cfRule type="colorScale" priority="5422">
      <colorScale>
        <cfvo type="min"/>
        <cfvo type="percentile" val="50"/>
        <cfvo type="max"/>
        <color rgb="FF63BE7B"/>
        <color rgb="FFFFEB84"/>
        <color rgb="FFF8696B"/>
      </colorScale>
    </cfRule>
  </conditionalFormatting>
  <conditionalFormatting sqref="D5426:D5449">
    <cfRule type="colorScale" priority="5421">
      <colorScale>
        <cfvo type="min"/>
        <cfvo type="percentile" val="50"/>
        <cfvo type="max"/>
        <color rgb="FFF8696B"/>
        <color rgb="FFFCFCFF"/>
        <color rgb="FF63BE7B"/>
      </colorScale>
    </cfRule>
  </conditionalFormatting>
  <conditionalFormatting sqref="D5426:D5449">
    <cfRule type="colorScale" priority="5420">
      <colorScale>
        <cfvo type="min"/>
        <cfvo type="percentile" val="50"/>
        <cfvo type="max"/>
        <color rgb="FF63BE7B"/>
        <color rgb="FFFFEB84"/>
        <color rgb="FFF8696B"/>
      </colorScale>
    </cfRule>
  </conditionalFormatting>
  <conditionalFormatting sqref="D5426:D5449">
    <cfRule type="colorScale" priority="5419">
      <colorScale>
        <cfvo type="min"/>
        <cfvo type="percentile" val="50"/>
        <cfvo type="max"/>
        <color rgb="FF63BE7B"/>
        <color rgb="FFFFEB84"/>
        <color rgb="FFF8696B"/>
      </colorScale>
    </cfRule>
  </conditionalFormatting>
  <conditionalFormatting sqref="F5427:F5433 F5435:F5442 F5444 F5447:F5448">
    <cfRule type="colorScale" priority="5418">
      <colorScale>
        <cfvo type="min"/>
        <cfvo type="percentile" val="50"/>
        <cfvo type="max"/>
        <color rgb="FF63BE7B"/>
        <color rgb="FFFFEB84"/>
        <color rgb="FFF8696B"/>
      </colorScale>
    </cfRule>
  </conditionalFormatting>
  <conditionalFormatting sqref="F5426:F5449">
    <cfRule type="colorScale" priority="5417">
      <colorScale>
        <cfvo type="min"/>
        <cfvo type="percentile" val="50"/>
        <cfvo type="max"/>
        <color rgb="FF63BE7B"/>
        <color rgb="FFFFEB84"/>
        <color rgb="FFF8696B"/>
      </colorScale>
    </cfRule>
  </conditionalFormatting>
  <conditionalFormatting sqref="D5450:D5473">
    <cfRule type="colorScale" priority="5416">
      <colorScale>
        <cfvo type="min"/>
        <cfvo type="percentile" val="50"/>
        <cfvo type="max"/>
        <color rgb="FFF8696B"/>
        <color rgb="FFFCFCFF"/>
        <color rgb="FF63BE7B"/>
      </colorScale>
    </cfRule>
  </conditionalFormatting>
  <conditionalFormatting sqref="D5450:D5473">
    <cfRule type="colorScale" priority="5415">
      <colorScale>
        <cfvo type="min"/>
        <cfvo type="percentile" val="50"/>
        <cfvo type="max"/>
        <color rgb="FF63BE7B"/>
        <color rgb="FFFFEB84"/>
        <color rgb="FFF8696B"/>
      </colorScale>
    </cfRule>
  </conditionalFormatting>
  <conditionalFormatting sqref="D5450:D5473">
    <cfRule type="colorScale" priority="5414">
      <colorScale>
        <cfvo type="min"/>
        <cfvo type="percentile" val="50"/>
        <cfvo type="max"/>
        <color rgb="FF63BE7B"/>
        <color rgb="FFFFEB84"/>
        <color rgb="FFF8696B"/>
      </colorScale>
    </cfRule>
  </conditionalFormatting>
  <conditionalFormatting sqref="F5451:F5457 F5459:F5466 F5468 F5471:F5472">
    <cfRule type="colorScale" priority="5413">
      <colorScale>
        <cfvo type="min"/>
        <cfvo type="percentile" val="50"/>
        <cfvo type="max"/>
        <color rgb="FF63BE7B"/>
        <color rgb="FFFFEB84"/>
        <color rgb="FFF8696B"/>
      </colorScale>
    </cfRule>
  </conditionalFormatting>
  <conditionalFormatting sqref="F5450:F5473">
    <cfRule type="colorScale" priority="5412">
      <colorScale>
        <cfvo type="min"/>
        <cfvo type="percentile" val="50"/>
        <cfvo type="max"/>
        <color rgb="FF63BE7B"/>
        <color rgb="FFFFEB84"/>
        <color rgb="FFF8696B"/>
      </colorScale>
    </cfRule>
  </conditionalFormatting>
  <conditionalFormatting sqref="F5475:F5481 F5483:F5490 F5492 F5495:F5496">
    <cfRule type="colorScale" priority="5408">
      <colorScale>
        <cfvo type="min"/>
        <cfvo type="percentile" val="50"/>
        <cfvo type="max"/>
        <color rgb="FF63BE7B"/>
        <color rgb="FFFFEB84"/>
        <color rgb="FFF8696B"/>
      </colorScale>
    </cfRule>
  </conditionalFormatting>
  <conditionalFormatting sqref="F5474:F5497">
    <cfRule type="colorScale" priority="5407">
      <colorScale>
        <cfvo type="min"/>
        <cfvo type="percentile" val="50"/>
        <cfvo type="max"/>
        <color rgb="FF63BE7B"/>
        <color rgb="FFFFEB84"/>
        <color rgb="FFF8696B"/>
      </colorScale>
    </cfRule>
  </conditionalFormatting>
  <conditionalFormatting sqref="F5499:F5505 F5507:F5514 F5516 F5519:F5520">
    <cfRule type="colorScale" priority="5403">
      <colorScale>
        <cfvo type="min"/>
        <cfvo type="percentile" val="50"/>
        <cfvo type="max"/>
        <color rgb="FF63BE7B"/>
        <color rgb="FFFFEB84"/>
        <color rgb="FFF8696B"/>
      </colorScale>
    </cfRule>
  </conditionalFormatting>
  <conditionalFormatting sqref="F5498:F5521">
    <cfRule type="colorScale" priority="5402">
      <colorScale>
        <cfvo type="min"/>
        <cfvo type="percentile" val="50"/>
        <cfvo type="max"/>
        <color rgb="FF63BE7B"/>
        <color rgb="FFFFEB84"/>
        <color rgb="FFF8696B"/>
      </colorScale>
    </cfRule>
  </conditionalFormatting>
  <conditionalFormatting sqref="F5522:F5545">
    <cfRule type="colorScale" priority="5400">
      <colorScale>
        <cfvo type="min"/>
        <cfvo type="percentile" val="50"/>
        <cfvo type="max"/>
        <color rgb="FF63BE7B"/>
        <color rgb="FFFFEB84"/>
        <color rgb="FFF8696B"/>
      </colorScale>
    </cfRule>
  </conditionalFormatting>
  <conditionalFormatting sqref="F5546:F5569">
    <cfRule type="colorScale" priority="5398">
      <colorScale>
        <cfvo type="min"/>
        <cfvo type="percentile" val="50"/>
        <cfvo type="max"/>
        <color rgb="FF63BE7B"/>
        <color rgb="FFFFEB84"/>
        <color rgb="FFF8696B"/>
      </colorScale>
    </cfRule>
  </conditionalFormatting>
  <conditionalFormatting sqref="E5690:E5713">
    <cfRule type="colorScale" priority="5385">
      <colorScale>
        <cfvo type="min"/>
        <cfvo type="percentile" val="50"/>
        <cfvo type="max"/>
        <color rgb="FF63BE7B"/>
        <color rgb="FFFFEB84"/>
        <color rgb="FFF8696B"/>
      </colorScale>
    </cfRule>
  </conditionalFormatting>
  <conditionalFormatting sqref="E5714:E5737">
    <cfRule type="colorScale" priority="5382">
      <colorScale>
        <cfvo type="min"/>
        <cfvo type="percentile" val="50"/>
        <cfvo type="max"/>
        <color rgb="FF63BE7B"/>
        <color rgb="FFFFEB84"/>
        <color rgb="FFF8696B"/>
      </colorScale>
    </cfRule>
  </conditionalFormatting>
  <conditionalFormatting sqref="D5738:D5761">
    <cfRule type="colorScale" priority="5381">
      <colorScale>
        <cfvo type="min"/>
        <cfvo type="percentile" val="50"/>
        <cfvo type="max"/>
        <color rgb="FF63BE7B"/>
        <color rgb="FFFFEB84"/>
        <color rgb="FFF8696B"/>
      </colorScale>
    </cfRule>
  </conditionalFormatting>
  <conditionalFormatting sqref="D5714:D5737">
    <cfRule type="colorScale" priority="5379">
      <colorScale>
        <cfvo type="min"/>
        <cfvo type="percentile" val="50"/>
        <cfvo type="max"/>
        <color rgb="FF63BE7B"/>
        <color rgb="FFFFEB84"/>
        <color rgb="FFF8696B"/>
      </colorScale>
    </cfRule>
  </conditionalFormatting>
  <conditionalFormatting sqref="D5690:D5713">
    <cfRule type="colorScale" priority="5378">
      <colorScale>
        <cfvo type="min"/>
        <cfvo type="percentile" val="50"/>
        <cfvo type="max"/>
        <color rgb="FF63BE7B"/>
        <color rgb="FFFFEB84"/>
        <color rgb="FFF8696B"/>
      </colorScale>
    </cfRule>
  </conditionalFormatting>
  <conditionalFormatting sqref="D5666:D5689">
    <cfRule type="colorScale" priority="5377">
      <colorScale>
        <cfvo type="min"/>
        <cfvo type="percentile" val="50"/>
        <cfvo type="max"/>
        <color rgb="FF63BE7B"/>
        <color rgb="FFFFEB84"/>
        <color rgb="FFF8696B"/>
      </colorScale>
    </cfRule>
  </conditionalFormatting>
  <conditionalFormatting sqref="D5642:D5665">
    <cfRule type="colorScale" priority="5376">
      <colorScale>
        <cfvo type="min"/>
        <cfvo type="percentile" val="50"/>
        <cfvo type="max"/>
        <color rgb="FF63BE7B"/>
        <color rgb="FFFFEB84"/>
        <color rgb="FFF8696B"/>
      </colorScale>
    </cfRule>
  </conditionalFormatting>
  <conditionalFormatting sqref="D5618:D5641">
    <cfRule type="colorScale" priority="5375">
      <colorScale>
        <cfvo type="min"/>
        <cfvo type="percentile" val="50"/>
        <cfvo type="max"/>
        <color rgb="FF63BE7B"/>
        <color rgb="FFFFEB84"/>
        <color rgb="FFF8696B"/>
      </colorScale>
    </cfRule>
  </conditionalFormatting>
  <conditionalFormatting sqref="D5594:D5617">
    <cfRule type="colorScale" priority="5374">
      <colorScale>
        <cfvo type="min"/>
        <cfvo type="percentile" val="50"/>
        <cfvo type="max"/>
        <color rgb="FF63BE7B"/>
        <color rgb="FFFFEB84"/>
        <color rgb="FFF8696B"/>
      </colorScale>
    </cfRule>
  </conditionalFormatting>
  <conditionalFormatting sqref="D5570:D5593">
    <cfRule type="colorScale" priority="5373">
      <colorScale>
        <cfvo type="min"/>
        <cfvo type="percentile" val="50"/>
        <cfvo type="max"/>
        <color rgb="FF63BE7B"/>
        <color rgb="FFFFEB84"/>
        <color rgb="FFF8696B"/>
      </colorScale>
    </cfRule>
  </conditionalFormatting>
  <conditionalFormatting sqref="D5546:D5569">
    <cfRule type="colorScale" priority="5372">
      <colorScale>
        <cfvo type="min"/>
        <cfvo type="percentile" val="50"/>
        <cfvo type="max"/>
        <color rgb="FF63BE7B"/>
        <color rgb="FFFFEB84"/>
        <color rgb="FFF8696B"/>
      </colorScale>
    </cfRule>
  </conditionalFormatting>
  <conditionalFormatting sqref="D5522:D5545">
    <cfRule type="colorScale" priority="5371">
      <colorScale>
        <cfvo type="min"/>
        <cfvo type="percentile" val="50"/>
        <cfvo type="max"/>
        <color rgb="FF63BE7B"/>
        <color rgb="FFFFEB84"/>
        <color rgb="FFF8696B"/>
      </colorScale>
    </cfRule>
  </conditionalFormatting>
  <conditionalFormatting sqref="D5498:D5521">
    <cfRule type="colorScale" priority="5370">
      <colorScale>
        <cfvo type="min"/>
        <cfvo type="percentile" val="50"/>
        <cfvo type="max"/>
        <color rgb="FF63BE7B"/>
        <color rgb="FFFFEB84"/>
        <color rgb="FFF8696B"/>
      </colorScale>
    </cfRule>
  </conditionalFormatting>
  <conditionalFormatting sqref="D5474:D5497">
    <cfRule type="colorScale" priority="5369">
      <colorScale>
        <cfvo type="min"/>
        <cfvo type="percentile" val="50"/>
        <cfvo type="max"/>
        <color rgb="FF63BE7B"/>
        <color rgb="FFFFEB84"/>
        <color rgb="FFF8696B"/>
      </colorScale>
    </cfRule>
  </conditionalFormatting>
  <conditionalFormatting sqref="D5762:D5785">
    <cfRule type="colorScale" priority="5368">
      <colorScale>
        <cfvo type="min"/>
        <cfvo type="percentile" val="50"/>
        <cfvo type="max"/>
        <color rgb="FF63BE7B"/>
        <color rgb="FFFFEB84"/>
        <color rgb="FFF8696B"/>
      </colorScale>
    </cfRule>
  </conditionalFormatting>
  <conditionalFormatting sqref="D5786:D5809">
    <cfRule type="colorScale" priority="5366">
      <colorScale>
        <cfvo type="min"/>
        <cfvo type="percentile" val="50"/>
        <cfvo type="max"/>
        <color rgb="FF63BE7B"/>
        <color rgb="FFFFEB84"/>
        <color rgb="FFF8696B"/>
      </colorScale>
    </cfRule>
  </conditionalFormatting>
  <conditionalFormatting sqref="D5810:D5833">
    <cfRule type="colorScale" priority="5364">
      <colorScale>
        <cfvo type="min"/>
        <cfvo type="percentile" val="50"/>
        <cfvo type="max"/>
        <color rgb="FF63BE7B"/>
        <color rgb="FFFFEB84"/>
        <color rgb="FFF8696B"/>
      </colorScale>
    </cfRule>
  </conditionalFormatting>
  <conditionalFormatting sqref="F5570:F5593">
    <cfRule type="colorScale" priority="5362">
      <colorScale>
        <cfvo type="min"/>
        <cfvo type="percentile" val="50"/>
        <cfvo type="max"/>
        <color rgb="FF63BE7B"/>
        <color rgb="FFFFEB84"/>
        <color rgb="FFF8696B"/>
      </colorScale>
    </cfRule>
  </conditionalFormatting>
  <conditionalFormatting sqref="F5594:F5617">
    <cfRule type="colorScale" priority="5361">
      <colorScale>
        <cfvo type="min"/>
        <cfvo type="percentile" val="50"/>
        <cfvo type="max"/>
        <color rgb="FF63BE7B"/>
        <color rgb="FFFFEB84"/>
        <color rgb="FFF8696B"/>
      </colorScale>
    </cfRule>
  </conditionalFormatting>
  <conditionalFormatting sqref="F5618:F5641">
    <cfRule type="colorScale" priority="5360">
      <colorScale>
        <cfvo type="min"/>
        <cfvo type="percentile" val="50"/>
        <cfvo type="max"/>
        <color rgb="FF63BE7B"/>
        <color rgb="FFFFEB84"/>
        <color rgb="FFF8696B"/>
      </colorScale>
    </cfRule>
  </conditionalFormatting>
  <conditionalFormatting sqref="F5642:F5665">
    <cfRule type="colorScale" priority="5359">
      <colorScale>
        <cfvo type="min"/>
        <cfvo type="percentile" val="50"/>
        <cfvo type="max"/>
        <color rgb="FF63BE7B"/>
        <color rgb="FFFFEB84"/>
        <color rgb="FFF8696B"/>
      </colorScale>
    </cfRule>
  </conditionalFormatting>
  <conditionalFormatting sqref="F5666:F5689">
    <cfRule type="colorScale" priority="5358">
      <colorScale>
        <cfvo type="min"/>
        <cfvo type="percentile" val="50"/>
        <cfvo type="max"/>
        <color rgb="FF63BE7B"/>
        <color rgb="FFFFEB84"/>
        <color rgb="FFF8696B"/>
      </colorScale>
    </cfRule>
  </conditionalFormatting>
  <conditionalFormatting sqref="F5690:F5713">
    <cfRule type="colorScale" priority="5357">
      <colorScale>
        <cfvo type="min"/>
        <cfvo type="percentile" val="50"/>
        <cfvo type="max"/>
        <color rgb="FF63BE7B"/>
        <color rgb="FFFFEB84"/>
        <color rgb="FFF8696B"/>
      </colorScale>
    </cfRule>
  </conditionalFormatting>
  <conditionalFormatting sqref="F5714:F5737">
    <cfRule type="colorScale" priority="5356">
      <colorScale>
        <cfvo type="min"/>
        <cfvo type="percentile" val="50"/>
        <cfvo type="max"/>
        <color rgb="FF63BE7B"/>
        <color rgb="FFFFEB84"/>
        <color rgb="FFF8696B"/>
      </colorScale>
    </cfRule>
  </conditionalFormatting>
  <conditionalFormatting sqref="F5738:F5761">
    <cfRule type="colorScale" priority="5355">
      <colorScale>
        <cfvo type="min"/>
        <cfvo type="percentile" val="50"/>
        <cfvo type="max"/>
        <color rgb="FF63BE7B"/>
        <color rgb="FFFFEB84"/>
        <color rgb="FFF8696B"/>
      </colorScale>
    </cfRule>
  </conditionalFormatting>
  <conditionalFormatting sqref="F5762:F5785">
    <cfRule type="colorScale" priority="5354">
      <colorScale>
        <cfvo type="min"/>
        <cfvo type="percentile" val="50"/>
        <cfvo type="max"/>
        <color rgb="FF63BE7B"/>
        <color rgb="FFFFEB84"/>
        <color rgb="FFF8696B"/>
      </colorScale>
    </cfRule>
  </conditionalFormatting>
  <conditionalFormatting sqref="F5786:F5809">
    <cfRule type="colorScale" priority="5353">
      <colorScale>
        <cfvo type="min"/>
        <cfvo type="percentile" val="50"/>
        <cfvo type="max"/>
        <color rgb="FF63BE7B"/>
        <color rgb="FFFFEB84"/>
        <color rgb="FFF8696B"/>
      </colorScale>
    </cfRule>
  </conditionalFormatting>
  <conditionalFormatting sqref="F5810:F5833">
    <cfRule type="colorScale" priority="5352">
      <colorScale>
        <cfvo type="min"/>
        <cfvo type="percentile" val="50"/>
        <cfvo type="max"/>
        <color rgb="FF63BE7B"/>
        <color rgb="FFFFEB84"/>
        <color rgb="FFF8696B"/>
      </colorScale>
    </cfRule>
  </conditionalFormatting>
  <conditionalFormatting sqref="D5834:D5857">
    <cfRule type="colorScale" priority="5351">
      <colorScale>
        <cfvo type="min"/>
        <cfvo type="percentile" val="50"/>
        <cfvo type="max"/>
        <color rgb="FF63BE7B"/>
        <color rgb="FFFFEB84"/>
        <color rgb="FFF8696B"/>
      </colorScale>
    </cfRule>
  </conditionalFormatting>
  <conditionalFormatting sqref="F5834:F5857">
    <cfRule type="colorScale" priority="5350">
      <colorScale>
        <cfvo type="min"/>
        <cfvo type="percentile" val="50"/>
        <cfvo type="max"/>
        <color rgb="FF63BE7B"/>
        <color rgb="FFFFEB84"/>
        <color rgb="FFF8696B"/>
      </colorScale>
    </cfRule>
  </conditionalFormatting>
  <conditionalFormatting sqref="D5858:D5881">
    <cfRule type="colorScale" priority="5349">
      <colorScale>
        <cfvo type="min"/>
        <cfvo type="percentile" val="50"/>
        <cfvo type="max"/>
        <color rgb="FF63BE7B"/>
        <color rgb="FFFFEB84"/>
        <color rgb="FFF8696B"/>
      </colorScale>
    </cfRule>
  </conditionalFormatting>
  <conditionalFormatting sqref="F5858:F5881">
    <cfRule type="colorScale" priority="5348">
      <colorScale>
        <cfvo type="min"/>
        <cfvo type="percentile" val="50"/>
        <cfvo type="max"/>
        <color rgb="FF63BE7B"/>
        <color rgb="FFFFEB84"/>
        <color rgb="FFF8696B"/>
      </colorScale>
    </cfRule>
  </conditionalFormatting>
  <conditionalFormatting sqref="D5882:D5905">
    <cfRule type="colorScale" priority="5347">
      <colorScale>
        <cfvo type="min"/>
        <cfvo type="percentile" val="50"/>
        <cfvo type="max"/>
        <color rgb="FF63BE7B"/>
        <color rgb="FFFFEB84"/>
        <color rgb="FFF8696B"/>
      </colorScale>
    </cfRule>
  </conditionalFormatting>
  <conditionalFormatting sqref="F5882:F5905">
    <cfRule type="colorScale" priority="5346">
      <colorScale>
        <cfvo type="min"/>
        <cfvo type="percentile" val="50"/>
        <cfvo type="max"/>
        <color rgb="FF63BE7B"/>
        <color rgb="FFFFEB84"/>
        <color rgb="FFF8696B"/>
      </colorScale>
    </cfRule>
  </conditionalFormatting>
  <conditionalFormatting sqref="D5906:D5929">
    <cfRule type="colorScale" priority="5345">
      <colorScale>
        <cfvo type="min"/>
        <cfvo type="percentile" val="50"/>
        <cfvo type="max"/>
        <color rgb="FF63BE7B"/>
        <color rgb="FFFFEB84"/>
        <color rgb="FFF8696B"/>
      </colorScale>
    </cfRule>
  </conditionalFormatting>
  <conditionalFormatting sqref="F5906:F5929">
    <cfRule type="colorScale" priority="5344">
      <colorScale>
        <cfvo type="min"/>
        <cfvo type="percentile" val="50"/>
        <cfvo type="max"/>
        <color rgb="FF63BE7B"/>
        <color rgb="FFFFEB84"/>
        <color rgb="FFF8696B"/>
      </colorScale>
    </cfRule>
  </conditionalFormatting>
  <conditionalFormatting sqref="D5930:D5953">
    <cfRule type="colorScale" priority="5343">
      <colorScale>
        <cfvo type="min"/>
        <cfvo type="percentile" val="50"/>
        <cfvo type="max"/>
        <color rgb="FF63BE7B"/>
        <color rgb="FFFFEB84"/>
        <color rgb="FFF8696B"/>
      </colorScale>
    </cfRule>
  </conditionalFormatting>
  <conditionalFormatting sqref="F5930:F5953">
    <cfRule type="colorScale" priority="5342">
      <colorScale>
        <cfvo type="min"/>
        <cfvo type="percentile" val="50"/>
        <cfvo type="max"/>
        <color rgb="FF63BE7B"/>
        <color rgb="FFFFEB84"/>
        <color rgb="FFF8696B"/>
      </colorScale>
    </cfRule>
  </conditionalFormatting>
  <conditionalFormatting sqref="D5954:D5977">
    <cfRule type="colorScale" priority="5341">
      <colorScale>
        <cfvo type="min"/>
        <cfvo type="percentile" val="50"/>
        <cfvo type="max"/>
        <color rgb="FF63BE7B"/>
        <color rgb="FFFFEB84"/>
        <color rgb="FFF8696B"/>
      </colorScale>
    </cfRule>
  </conditionalFormatting>
  <conditionalFormatting sqref="F5954:F5977">
    <cfRule type="colorScale" priority="5340">
      <colorScale>
        <cfvo type="min"/>
        <cfvo type="percentile" val="50"/>
        <cfvo type="max"/>
        <color rgb="FF63BE7B"/>
        <color rgb="FFFFEB84"/>
        <color rgb="FFF8696B"/>
      </colorScale>
    </cfRule>
  </conditionalFormatting>
  <conditionalFormatting sqref="D5978:D6001">
    <cfRule type="colorScale" priority="5339">
      <colorScale>
        <cfvo type="min"/>
        <cfvo type="percentile" val="50"/>
        <cfvo type="max"/>
        <color rgb="FF63BE7B"/>
        <color rgb="FFFFEB84"/>
        <color rgb="FFF8696B"/>
      </colorScale>
    </cfRule>
  </conditionalFormatting>
  <conditionalFormatting sqref="F5978:F6001">
    <cfRule type="colorScale" priority="5338">
      <colorScale>
        <cfvo type="min"/>
        <cfvo type="percentile" val="50"/>
        <cfvo type="max"/>
        <color rgb="FF63BE7B"/>
        <color rgb="FFFFEB84"/>
        <color rgb="FFF8696B"/>
      </colorScale>
    </cfRule>
  </conditionalFormatting>
  <conditionalFormatting sqref="D6002:D6025">
    <cfRule type="colorScale" priority="5337">
      <colorScale>
        <cfvo type="min"/>
        <cfvo type="percentile" val="50"/>
        <cfvo type="max"/>
        <color rgb="FF63BE7B"/>
        <color rgb="FFFFEB84"/>
        <color rgb="FFF8696B"/>
      </colorScale>
    </cfRule>
  </conditionalFormatting>
  <conditionalFormatting sqref="F6002:F6025">
    <cfRule type="colorScale" priority="5336">
      <colorScale>
        <cfvo type="min"/>
        <cfvo type="percentile" val="50"/>
        <cfvo type="max"/>
        <color rgb="FF63BE7B"/>
        <color rgb="FFFFEB84"/>
        <color rgb="FFF8696B"/>
      </colorScale>
    </cfRule>
  </conditionalFormatting>
  <conditionalFormatting sqref="D6026:D6049">
    <cfRule type="colorScale" priority="5335">
      <colorScale>
        <cfvo type="min"/>
        <cfvo type="percentile" val="50"/>
        <cfvo type="max"/>
        <color rgb="FF63BE7B"/>
        <color rgb="FFFFEB84"/>
        <color rgb="FFF8696B"/>
      </colorScale>
    </cfRule>
  </conditionalFormatting>
  <conditionalFormatting sqref="F6026:F6049">
    <cfRule type="colorScale" priority="5334">
      <colorScale>
        <cfvo type="min"/>
        <cfvo type="percentile" val="50"/>
        <cfvo type="max"/>
        <color rgb="FF63BE7B"/>
        <color rgb="FFFFEB84"/>
        <color rgb="FFF8696B"/>
      </colorScale>
    </cfRule>
  </conditionalFormatting>
  <conditionalFormatting sqref="D6050:D6073">
    <cfRule type="colorScale" priority="5333">
      <colorScale>
        <cfvo type="min"/>
        <cfvo type="percentile" val="50"/>
        <cfvo type="max"/>
        <color rgb="FF63BE7B"/>
        <color rgb="FFFFEB84"/>
        <color rgb="FFF8696B"/>
      </colorScale>
    </cfRule>
  </conditionalFormatting>
  <conditionalFormatting sqref="F6050:F6073">
    <cfRule type="colorScale" priority="5332">
      <colorScale>
        <cfvo type="min"/>
        <cfvo type="percentile" val="50"/>
        <cfvo type="max"/>
        <color rgb="FF63BE7B"/>
        <color rgb="FFFFEB84"/>
        <color rgb="FFF8696B"/>
      </colorScale>
    </cfRule>
  </conditionalFormatting>
  <conditionalFormatting sqref="D6074:D6097">
    <cfRule type="colorScale" priority="5331">
      <colorScale>
        <cfvo type="min"/>
        <cfvo type="percentile" val="50"/>
        <cfvo type="max"/>
        <color rgb="FF63BE7B"/>
        <color rgb="FFFFEB84"/>
        <color rgb="FFF8696B"/>
      </colorScale>
    </cfRule>
  </conditionalFormatting>
  <conditionalFormatting sqref="F6074:F6097">
    <cfRule type="colorScale" priority="5330">
      <colorScale>
        <cfvo type="min"/>
        <cfvo type="percentile" val="50"/>
        <cfvo type="max"/>
        <color rgb="FF63BE7B"/>
        <color rgb="FFFFEB84"/>
        <color rgb="FFF8696B"/>
      </colorScale>
    </cfRule>
  </conditionalFormatting>
  <conditionalFormatting sqref="D6098:D6121">
    <cfRule type="colorScale" priority="5329">
      <colorScale>
        <cfvo type="min"/>
        <cfvo type="percentile" val="50"/>
        <cfvo type="max"/>
        <color rgb="FF63BE7B"/>
        <color rgb="FFFFEB84"/>
        <color rgb="FFF8696B"/>
      </colorScale>
    </cfRule>
  </conditionalFormatting>
  <conditionalFormatting sqref="F6098:F6121">
    <cfRule type="colorScale" priority="5328">
      <colorScale>
        <cfvo type="min"/>
        <cfvo type="percentile" val="50"/>
        <cfvo type="max"/>
        <color rgb="FF63BE7B"/>
        <color rgb="FFFFEB84"/>
        <color rgb="FFF8696B"/>
      </colorScale>
    </cfRule>
  </conditionalFormatting>
  <conditionalFormatting sqref="D6122:D6145">
    <cfRule type="colorScale" priority="5327">
      <colorScale>
        <cfvo type="min"/>
        <cfvo type="percentile" val="50"/>
        <cfvo type="max"/>
        <color rgb="FF63BE7B"/>
        <color rgb="FFFFEB84"/>
        <color rgb="FFF8696B"/>
      </colorScale>
    </cfRule>
  </conditionalFormatting>
  <conditionalFormatting sqref="F6122:F6145">
    <cfRule type="colorScale" priority="5326">
      <colorScale>
        <cfvo type="min"/>
        <cfvo type="percentile" val="50"/>
        <cfvo type="max"/>
        <color rgb="FF63BE7B"/>
        <color rgb="FFFFEB84"/>
        <color rgb="FFF8696B"/>
      </colorScale>
    </cfRule>
  </conditionalFormatting>
  <conditionalFormatting sqref="D6146:D6169">
    <cfRule type="colorScale" priority="5325">
      <colorScale>
        <cfvo type="min"/>
        <cfvo type="percentile" val="50"/>
        <cfvo type="max"/>
        <color rgb="FF63BE7B"/>
        <color rgb="FFFFEB84"/>
        <color rgb="FFF8696B"/>
      </colorScale>
    </cfRule>
  </conditionalFormatting>
  <conditionalFormatting sqref="F6146:F6169">
    <cfRule type="colorScale" priority="5324">
      <colorScale>
        <cfvo type="min"/>
        <cfvo type="percentile" val="50"/>
        <cfvo type="max"/>
        <color rgb="FF63BE7B"/>
        <color rgb="FFFFEB84"/>
        <color rgb="FFF8696B"/>
      </colorScale>
    </cfRule>
  </conditionalFormatting>
  <conditionalFormatting sqref="D6170:D6193">
    <cfRule type="colorScale" priority="5323">
      <colorScale>
        <cfvo type="min"/>
        <cfvo type="percentile" val="50"/>
        <cfvo type="max"/>
        <color rgb="FF63BE7B"/>
        <color rgb="FFFFEB84"/>
        <color rgb="FFF8696B"/>
      </colorScale>
    </cfRule>
  </conditionalFormatting>
  <conditionalFormatting sqref="F6170:F6193">
    <cfRule type="colorScale" priority="5322">
      <colorScale>
        <cfvo type="min"/>
        <cfvo type="percentile" val="50"/>
        <cfvo type="max"/>
        <color rgb="FF63BE7B"/>
        <color rgb="FFFFEB84"/>
        <color rgb="FFF8696B"/>
      </colorScale>
    </cfRule>
  </conditionalFormatting>
  <conditionalFormatting sqref="D6194:D6217">
    <cfRule type="colorScale" priority="5321">
      <colorScale>
        <cfvo type="min"/>
        <cfvo type="percentile" val="50"/>
        <cfvo type="max"/>
        <color rgb="FF63BE7B"/>
        <color rgb="FFFFEB84"/>
        <color rgb="FFF8696B"/>
      </colorScale>
    </cfRule>
  </conditionalFormatting>
  <conditionalFormatting sqref="F6194:F6217">
    <cfRule type="colorScale" priority="5320">
      <colorScale>
        <cfvo type="min"/>
        <cfvo type="percentile" val="50"/>
        <cfvo type="max"/>
        <color rgb="FF63BE7B"/>
        <color rgb="FFFFEB84"/>
        <color rgb="FFF8696B"/>
      </colorScale>
    </cfRule>
  </conditionalFormatting>
  <conditionalFormatting sqref="D6218:D6241">
    <cfRule type="colorScale" priority="5319">
      <colorScale>
        <cfvo type="min"/>
        <cfvo type="percentile" val="50"/>
        <cfvo type="max"/>
        <color rgb="FF63BE7B"/>
        <color rgb="FFFFEB84"/>
        <color rgb="FFF8696B"/>
      </colorScale>
    </cfRule>
  </conditionalFormatting>
  <conditionalFormatting sqref="F6218:F6241">
    <cfRule type="colorScale" priority="5318">
      <colorScale>
        <cfvo type="min"/>
        <cfvo type="percentile" val="50"/>
        <cfvo type="max"/>
        <color rgb="FF63BE7B"/>
        <color rgb="FFFFEB84"/>
        <color rgb="FFF8696B"/>
      </colorScale>
    </cfRule>
  </conditionalFormatting>
  <conditionalFormatting sqref="D6242:D6265">
    <cfRule type="colorScale" priority="5317">
      <colorScale>
        <cfvo type="min"/>
        <cfvo type="percentile" val="50"/>
        <cfvo type="max"/>
        <color rgb="FF63BE7B"/>
        <color rgb="FFFFEB84"/>
        <color rgb="FFF8696B"/>
      </colorScale>
    </cfRule>
  </conditionalFormatting>
  <conditionalFormatting sqref="F6242:F6265">
    <cfRule type="colorScale" priority="5316">
      <colorScale>
        <cfvo type="min"/>
        <cfvo type="percentile" val="50"/>
        <cfvo type="max"/>
        <color rgb="FF63BE7B"/>
        <color rgb="FFFFEB84"/>
        <color rgb="FFF8696B"/>
      </colorScale>
    </cfRule>
  </conditionalFormatting>
  <conditionalFormatting sqref="D6266:D6289">
    <cfRule type="colorScale" priority="5315">
      <colorScale>
        <cfvo type="min"/>
        <cfvo type="percentile" val="50"/>
        <cfvo type="max"/>
        <color rgb="FF63BE7B"/>
        <color rgb="FFFFEB84"/>
        <color rgb="FFF8696B"/>
      </colorScale>
    </cfRule>
  </conditionalFormatting>
  <conditionalFormatting sqref="F6266:F6289">
    <cfRule type="colorScale" priority="5314">
      <colorScale>
        <cfvo type="min"/>
        <cfvo type="percentile" val="50"/>
        <cfvo type="max"/>
        <color rgb="FF63BE7B"/>
        <color rgb="FFFFEB84"/>
        <color rgb="FFF8696B"/>
      </colorScale>
    </cfRule>
  </conditionalFormatting>
  <conditionalFormatting sqref="D6290:D6313">
    <cfRule type="colorScale" priority="5313">
      <colorScale>
        <cfvo type="min"/>
        <cfvo type="percentile" val="50"/>
        <cfvo type="max"/>
        <color rgb="FF63BE7B"/>
        <color rgb="FFFFEB84"/>
        <color rgb="FFF8696B"/>
      </colorScale>
    </cfRule>
  </conditionalFormatting>
  <conditionalFormatting sqref="F6290:F6313">
    <cfRule type="colorScale" priority="5312">
      <colorScale>
        <cfvo type="min"/>
        <cfvo type="percentile" val="50"/>
        <cfvo type="max"/>
        <color rgb="FF63BE7B"/>
        <color rgb="FFFFEB84"/>
        <color rgb="FFF8696B"/>
      </colorScale>
    </cfRule>
  </conditionalFormatting>
  <conditionalFormatting sqref="D6314:D6337">
    <cfRule type="colorScale" priority="5311">
      <colorScale>
        <cfvo type="min"/>
        <cfvo type="percentile" val="50"/>
        <cfvo type="max"/>
        <color rgb="FF63BE7B"/>
        <color rgb="FFFFEB84"/>
        <color rgb="FFF8696B"/>
      </colorScale>
    </cfRule>
  </conditionalFormatting>
  <conditionalFormatting sqref="F6314:F6337">
    <cfRule type="colorScale" priority="5310">
      <colorScale>
        <cfvo type="min"/>
        <cfvo type="percentile" val="50"/>
        <cfvo type="max"/>
        <color rgb="FF63BE7B"/>
        <color rgb="FFFFEB84"/>
        <color rgb="FFF8696B"/>
      </colorScale>
    </cfRule>
  </conditionalFormatting>
  <conditionalFormatting sqref="D6338:D6361">
    <cfRule type="colorScale" priority="5309">
      <colorScale>
        <cfvo type="min"/>
        <cfvo type="percentile" val="50"/>
        <cfvo type="max"/>
        <color rgb="FF63BE7B"/>
        <color rgb="FFFFEB84"/>
        <color rgb="FFF8696B"/>
      </colorScale>
    </cfRule>
  </conditionalFormatting>
  <conditionalFormatting sqref="F6338:F6361">
    <cfRule type="colorScale" priority="5308">
      <colorScale>
        <cfvo type="min"/>
        <cfvo type="percentile" val="50"/>
        <cfvo type="max"/>
        <color rgb="FF63BE7B"/>
        <color rgb="FFFFEB84"/>
        <color rgb="FFF8696B"/>
      </colorScale>
    </cfRule>
  </conditionalFormatting>
  <conditionalFormatting sqref="D6362:D6385">
    <cfRule type="colorScale" priority="5307">
      <colorScale>
        <cfvo type="min"/>
        <cfvo type="percentile" val="50"/>
        <cfvo type="max"/>
        <color rgb="FF63BE7B"/>
        <color rgb="FFFFEB84"/>
        <color rgb="FFF8696B"/>
      </colorScale>
    </cfRule>
  </conditionalFormatting>
  <conditionalFormatting sqref="F6362:F6385">
    <cfRule type="colorScale" priority="5306">
      <colorScale>
        <cfvo type="min"/>
        <cfvo type="percentile" val="50"/>
        <cfvo type="max"/>
        <color rgb="FF63BE7B"/>
        <color rgb="FFFFEB84"/>
        <color rgb="FFF8696B"/>
      </colorScale>
    </cfRule>
  </conditionalFormatting>
  <conditionalFormatting sqref="D6386:D6409">
    <cfRule type="colorScale" priority="5305">
      <colorScale>
        <cfvo type="min"/>
        <cfvo type="percentile" val="50"/>
        <cfvo type="max"/>
        <color rgb="FF63BE7B"/>
        <color rgb="FFFFEB84"/>
        <color rgb="FFF8696B"/>
      </colorScale>
    </cfRule>
  </conditionalFormatting>
  <conditionalFormatting sqref="F6386:F6409">
    <cfRule type="colorScale" priority="5304">
      <colorScale>
        <cfvo type="min"/>
        <cfvo type="percentile" val="50"/>
        <cfvo type="max"/>
        <color rgb="FF63BE7B"/>
        <color rgb="FFFFEB84"/>
        <color rgb="FFF8696B"/>
      </colorScale>
    </cfRule>
  </conditionalFormatting>
  <conditionalFormatting sqref="D6410:D6433">
    <cfRule type="colorScale" priority="5303">
      <colorScale>
        <cfvo type="min"/>
        <cfvo type="percentile" val="50"/>
        <cfvo type="max"/>
        <color rgb="FF63BE7B"/>
        <color rgb="FFFFEB84"/>
        <color rgb="FFF8696B"/>
      </colorScale>
    </cfRule>
  </conditionalFormatting>
  <conditionalFormatting sqref="F6410:F6433">
    <cfRule type="colorScale" priority="5302">
      <colorScale>
        <cfvo type="min"/>
        <cfvo type="percentile" val="50"/>
        <cfvo type="max"/>
        <color rgb="FF63BE7B"/>
        <color rgb="FFFFEB84"/>
        <color rgb="FFF8696B"/>
      </colorScale>
    </cfRule>
  </conditionalFormatting>
  <conditionalFormatting sqref="D6434:D6457">
    <cfRule type="colorScale" priority="5301">
      <colorScale>
        <cfvo type="min"/>
        <cfvo type="percentile" val="50"/>
        <cfvo type="max"/>
        <color rgb="FF63BE7B"/>
        <color rgb="FFFFEB84"/>
        <color rgb="FFF8696B"/>
      </colorScale>
    </cfRule>
  </conditionalFormatting>
  <conditionalFormatting sqref="F6434:F6457">
    <cfRule type="colorScale" priority="5300">
      <colorScale>
        <cfvo type="min"/>
        <cfvo type="percentile" val="50"/>
        <cfvo type="max"/>
        <color rgb="FF63BE7B"/>
        <color rgb="FFFFEB84"/>
        <color rgb="FFF8696B"/>
      </colorScale>
    </cfRule>
  </conditionalFormatting>
  <conditionalFormatting sqref="D6458:D6481">
    <cfRule type="colorScale" priority="5299">
      <colorScale>
        <cfvo type="min"/>
        <cfvo type="percentile" val="50"/>
        <cfvo type="max"/>
        <color rgb="FF63BE7B"/>
        <color rgb="FFFFEB84"/>
        <color rgb="FFF8696B"/>
      </colorScale>
    </cfRule>
  </conditionalFormatting>
  <conditionalFormatting sqref="F6458:F6481">
    <cfRule type="colorScale" priority="5298">
      <colorScale>
        <cfvo type="min"/>
        <cfvo type="percentile" val="50"/>
        <cfvo type="max"/>
        <color rgb="FF63BE7B"/>
        <color rgb="FFFFEB84"/>
        <color rgb="FFF8696B"/>
      </colorScale>
    </cfRule>
  </conditionalFormatting>
  <conditionalFormatting sqref="D6482:D6505">
    <cfRule type="colorScale" priority="5297">
      <colorScale>
        <cfvo type="min"/>
        <cfvo type="percentile" val="50"/>
        <cfvo type="max"/>
        <color rgb="FF63BE7B"/>
        <color rgb="FFFFEB84"/>
        <color rgb="FFF8696B"/>
      </colorScale>
    </cfRule>
  </conditionalFormatting>
  <conditionalFormatting sqref="F6482:F6505">
    <cfRule type="colorScale" priority="5296">
      <colorScale>
        <cfvo type="min"/>
        <cfvo type="percentile" val="50"/>
        <cfvo type="max"/>
        <color rgb="FF63BE7B"/>
        <color rgb="FFFFEB84"/>
        <color rgb="FFF8696B"/>
      </colorScale>
    </cfRule>
  </conditionalFormatting>
  <conditionalFormatting sqref="D6506:D6529">
    <cfRule type="colorScale" priority="5295">
      <colorScale>
        <cfvo type="min"/>
        <cfvo type="percentile" val="50"/>
        <cfvo type="max"/>
        <color rgb="FF63BE7B"/>
        <color rgb="FFFFEB84"/>
        <color rgb="FFF8696B"/>
      </colorScale>
    </cfRule>
  </conditionalFormatting>
  <conditionalFormatting sqref="F6506:F6529">
    <cfRule type="colorScale" priority="5294">
      <colorScale>
        <cfvo type="min"/>
        <cfvo type="percentile" val="50"/>
        <cfvo type="max"/>
        <color rgb="FF63BE7B"/>
        <color rgb="FFFFEB84"/>
        <color rgb="FFF8696B"/>
      </colorScale>
    </cfRule>
  </conditionalFormatting>
  <conditionalFormatting sqref="D6530:D6553">
    <cfRule type="colorScale" priority="5293">
      <colorScale>
        <cfvo type="min"/>
        <cfvo type="percentile" val="50"/>
        <cfvo type="max"/>
        <color rgb="FF63BE7B"/>
        <color rgb="FFFFEB84"/>
        <color rgb="FFF8696B"/>
      </colorScale>
    </cfRule>
  </conditionalFormatting>
  <conditionalFormatting sqref="F6530:F6553">
    <cfRule type="colorScale" priority="5292">
      <colorScale>
        <cfvo type="min"/>
        <cfvo type="percentile" val="50"/>
        <cfvo type="max"/>
        <color rgb="FF63BE7B"/>
        <color rgb="FFFFEB84"/>
        <color rgb="FFF8696B"/>
      </colorScale>
    </cfRule>
  </conditionalFormatting>
  <conditionalFormatting sqref="D6554:D6577">
    <cfRule type="colorScale" priority="5291">
      <colorScale>
        <cfvo type="min"/>
        <cfvo type="percentile" val="50"/>
        <cfvo type="max"/>
        <color rgb="FF63BE7B"/>
        <color rgb="FFFFEB84"/>
        <color rgb="FFF8696B"/>
      </colorScale>
    </cfRule>
  </conditionalFormatting>
  <conditionalFormatting sqref="F6554:F6577">
    <cfRule type="colorScale" priority="5290">
      <colorScale>
        <cfvo type="min"/>
        <cfvo type="percentile" val="50"/>
        <cfvo type="max"/>
        <color rgb="FF63BE7B"/>
        <color rgb="FFFFEB84"/>
        <color rgb="FFF8696B"/>
      </colorScale>
    </cfRule>
  </conditionalFormatting>
  <conditionalFormatting sqref="D6578:D6601">
    <cfRule type="colorScale" priority="5289">
      <colorScale>
        <cfvo type="min"/>
        <cfvo type="percentile" val="50"/>
        <cfvo type="max"/>
        <color rgb="FF63BE7B"/>
        <color rgb="FFFFEB84"/>
        <color rgb="FFF8696B"/>
      </colorScale>
    </cfRule>
  </conditionalFormatting>
  <conditionalFormatting sqref="F6578:F6601">
    <cfRule type="colorScale" priority="5288">
      <colorScale>
        <cfvo type="min"/>
        <cfvo type="percentile" val="50"/>
        <cfvo type="max"/>
        <color rgb="FF63BE7B"/>
        <color rgb="FFFFEB84"/>
        <color rgb="FFF8696B"/>
      </colorScale>
    </cfRule>
  </conditionalFormatting>
  <conditionalFormatting sqref="D6602:D6625">
    <cfRule type="colorScale" priority="5287">
      <colorScale>
        <cfvo type="min"/>
        <cfvo type="percentile" val="50"/>
        <cfvo type="max"/>
        <color rgb="FF63BE7B"/>
        <color rgb="FFFFEB84"/>
        <color rgb="FFF8696B"/>
      </colorScale>
    </cfRule>
  </conditionalFormatting>
  <conditionalFormatting sqref="F6602:F6625">
    <cfRule type="colorScale" priority="5286">
      <colorScale>
        <cfvo type="min"/>
        <cfvo type="percentile" val="50"/>
        <cfvo type="max"/>
        <color rgb="FF63BE7B"/>
        <color rgb="FFFFEB84"/>
        <color rgb="FFF8696B"/>
      </colorScale>
    </cfRule>
  </conditionalFormatting>
  <conditionalFormatting sqref="D6626:D6649">
    <cfRule type="colorScale" priority="5285">
      <colorScale>
        <cfvo type="min"/>
        <cfvo type="percentile" val="50"/>
        <cfvo type="max"/>
        <color rgb="FF63BE7B"/>
        <color rgb="FFFFEB84"/>
        <color rgb="FFF8696B"/>
      </colorScale>
    </cfRule>
  </conditionalFormatting>
  <conditionalFormatting sqref="F6626:F6649">
    <cfRule type="colorScale" priority="5284">
      <colorScale>
        <cfvo type="min"/>
        <cfvo type="percentile" val="50"/>
        <cfvo type="max"/>
        <color rgb="FF63BE7B"/>
        <color rgb="FFFFEB84"/>
        <color rgb="FFF8696B"/>
      </colorScale>
    </cfRule>
  </conditionalFormatting>
  <conditionalFormatting sqref="D6650:D6673">
    <cfRule type="colorScale" priority="5283">
      <colorScale>
        <cfvo type="min"/>
        <cfvo type="percentile" val="50"/>
        <cfvo type="max"/>
        <color rgb="FF63BE7B"/>
        <color rgb="FFFFEB84"/>
        <color rgb="FFF8696B"/>
      </colorScale>
    </cfRule>
  </conditionalFormatting>
  <conditionalFormatting sqref="F6650:F6673">
    <cfRule type="colorScale" priority="5282">
      <colorScale>
        <cfvo type="min"/>
        <cfvo type="percentile" val="50"/>
        <cfvo type="max"/>
        <color rgb="FF63BE7B"/>
        <color rgb="FFFFEB84"/>
        <color rgb="FFF8696B"/>
      </colorScale>
    </cfRule>
  </conditionalFormatting>
  <conditionalFormatting sqref="D6674:D6697">
    <cfRule type="colorScale" priority="5281">
      <colorScale>
        <cfvo type="min"/>
        <cfvo type="percentile" val="50"/>
        <cfvo type="max"/>
        <color rgb="FF63BE7B"/>
        <color rgb="FFFFEB84"/>
        <color rgb="FFF8696B"/>
      </colorScale>
    </cfRule>
  </conditionalFormatting>
  <conditionalFormatting sqref="F6674:F6697">
    <cfRule type="colorScale" priority="5280">
      <colorScale>
        <cfvo type="min"/>
        <cfvo type="percentile" val="50"/>
        <cfvo type="max"/>
        <color rgb="FF63BE7B"/>
        <color rgb="FFFFEB84"/>
        <color rgb="FFF8696B"/>
      </colorScale>
    </cfRule>
  </conditionalFormatting>
  <conditionalFormatting sqref="D6698:D6721">
    <cfRule type="colorScale" priority="5279">
      <colorScale>
        <cfvo type="min"/>
        <cfvo type="percentile" val="50"/>
        <cfvo type="max"/>
        <color rgb="FF63BE7B"/>
        <color rgb="FFFFEB84"/>
        <color rgb="FFF8696B"/>
      </colorScale>
    </cfRule>
  </conditionalFormatting>
  <conditionalFormatting sqref="F6698:F6721">
    <cfRule type="colorScale" priority="5278">
      <colorScale>
        <cfvo type="min"/>
        <cfvo type="percentile" val="50"/>
        <cfvo type="max"/>
        <color rgb="FF63BE7B"/>
        <color rgb="FFFFEB84"/>
        <color rgb="FFF8696B"/>
      </colorScale>
    </cfRule>
  </conditionalFormatting>
  <conditionalFormatting sqref="D6722:D6745">
    <cfRule type="colorScale" priority="5277">
      <colorScale>
        <cfvo type="min"/>
        <cfvo type="percentile" val="50"/>
        <cfvo type="max"/>
        <color rgb="FF63BE7B"/>
        <color rgb="FFFFEB84"/>
        <color rgb="FFF8696B"/>
      </colorScale>
    </cfRule>
  </conditionalFormatting>
  <conditionalFormatting sqref="F6722:F6745">
    <cfRule type="colorScale" priority="5276">
      <colorScale>
        <cfvo type="min"/>
        <cfvo type="percentile" val="50"/>
        <cfvo type="max"/>
        <color rgb="FF63BE7B"/>
        <color rgb="FFFFEB84"/>
        <color rgb="FFF8696B"/>
      </colorScale>
    </cfRule>
  </conditionalFormatting>
  <conditionalFormatting sqref="D6746:D6769">
    <cfRule type="colorScale" priority="5275">
      <colorScale>
        <cfvo type="min"/>
        <cfvo type="percentile" val="50"/>
        <cfvo type="max"/>
        <color rgb="FF63BE7B"/>
        <color rgb="FFFFEB84"/>
        <color rgb="FFF8696B"/>
      </colorScale>
    </cfRule>
  </conditionalFormatting>
  <conditionalFormatting sqref="F6746:F6769">
    <cfRule type="colorScale" priority="5274">
      <colorScale>
        <cfvo type="min"/>
        <cfvo type="percentile" val="50"/>
        <cfvo type="max"/>
        <color rgb="FF63BE7B"/>
        <color rgb="FFFFEB84"/>
        <color rgb="FFF8696B"/>
      </colorScale>
    </cfRule>
  </conditionalFormatting>
  <conditionalFormatting sqref="D6770:D6793">
    <cfRule type="colorScale" priority="5273">
      <colorScale>
        <cfvo type="min"/>
        <cfvo type="percentile" val="50"/>
        <cfvo type="max"/>
        <color rgb="FF63BE7B"/>
        <color rgb="FFFFEB84"/>
        <color rgb="FFF8696B"/>
      </colorScale>
    </cfRule>
  </conditionalFormatting>
  <conditionalFormatting sqref="F6770:F6793">
    <cfRule type="colorScale" priority="5272">
      <colorScale>
        <cfvo type="min"/>
        <cfvo type="percentile" val="50"/>
        <cfvo type="max"/>
        <color rgb="FF63BE7B"/>
        <color rgb="FFFFEB84"/>
        <color rgb="FFF8696B"/>
      </colorScale>
    </cfRule>
  </conditionalFormatting>
  <conditionalFormatting sqref="D6794:D6817">
    <cfRule type="colorScale" priority="5271">
      <colorScale>
        <cfvo type="min"/>
        <cfvo type="percentile" val="50"/>
        <cfvo type="max"/>
        <color rgb="FF63BE7B"/>
        <color rgb="FFFFEB84"/>
        <color rgb="FFF8696B"/>
      </colorScale>
    </cfRule>
  </conditionalFormatting>
  <conditionalFormatting sqref="F6794:F6817">
    <cfRule type="colorScale" priority="5270">
      <colorScale>
        <cfvo type="min"/>
        <cfvo type="percentile" val="50"/>
        <cfvo type="max"/>
        <color rgb="FF63BE7B"/>
        <color rgb="FFFFEB84"/>
        <color rgb="FFF8696B"/>
      </colorScale>
    </cfRule>
  </conditionalFormatting>
  <conditionalFormatting sqref="D6818:D6841">
    <cfRule type="colorScale" priority="5269">
      <colorScale>
        <cfvo type="min"/>
        <cfvo type="percentile" val="50"/>
        <cfvo type="max"/>
        <color rgb="FF63BE7B"/>
        <color rgb="FFFFEB84"/>
        <color rgb="FFF8696B"/>
      </colorScale>
    </cfRule>
  </conditionalFormatting>
  <conditionalFormatting sqref="F6818:F6841">
    <cfRule type="colorScale" priority="5268">
      <colorScale>
        <cfvo type="min"/>
        <cfvo type="percentile" val="50"/>
        <cfvo type="max"/>
        <color rgb="FF63BE7B"/>
        <color rgb="FFFFEB84"/>
        <color rgb="FFF8696B"/>
      </colorScale>
    </cfRule>
  </conditionalFormatting>
  <conditionalFormatting sqref="D6842:D6865">
    <cfRule type="colorScale" priority="5267">
      <colorScale>
        <cfvo type="min"/>
        <cfvo type="percentile" val="50"/>
        <cfvo type="max"/>
        <color rgb="FF63BE7B"/>
        <color rgb="FFFFEB84"/>
        <color rgb="FFF8696B"/>
      </colorScale>
    </cfRule>
  </conditionalFormatting>
  <conditionalFormatting sqref="F6842:F6865">
    <cfRule type="colorScale" priority="5266">
      <colorScale>
        <cfvo type="min"/>
        <cfvo type="percentile" val="50"/>
        <cfvo type="max"/>
        <color rgb="FF63BE7B"/>
        <color rgb="FFFFEB84"/>
        <color rgb="FFF8696B"/>
      </colorScale>
    </cfRule>
  </conditionalFormatting>
  <conditionalFormatting sqref="D6866:D6889">
    <cfRule type="colorScale" priority="5265">
      <colorScale>
        <cfvo type="min"/>
        <cfvo type="percentile" val="50"/>
        <cfvo type="max"/>
        <color rgb="FF63BE7B"/>
        <color rgb="FFFFEB84"/>
        <color rgb="FFF8696B"/>
      </colorScale>
    </cfRule>
  </conditionalFormatting>
  <conditionalFormatting sqref="F6866:F6889">
    <cfRule type="colorScale" priority="5264">
      <colorScale>
        <cfvo type="min"/>
        <cfvo type="percentile" val="50"/>
        <cfvo type="max"/>
        <color rgb="FF63BE7B"/>
        <color rgb="FFFFEB84"/>
        <color rgb="FFF8696B"/>
      </colorScale>
    </cfRule>
  </conditionalFormatting>
  <conditionalFormatting sqref="D6890:D6913">
    <cfRule type="colorScale" priority="5263">
      <colorScale>
        <cfvo type="min"/>
        <cfvo type="percentile" val="50"/>
        <cfvo type="max"/>
        <color rgb="FF63BE7B"/>
        <color rgb="FFFFEB84"/>
        <color rgb="FFF8696B"/>
      </colorScale>
    </cfRule>
  </conditionalFormatting>
  <conditionalFormatting sqref="F6890:F6913">
    <cfRule type="colorScale" priority="5262">
      <colorScale>
        <cfvo type="min"/>
        <cfvo type="percentile" val="50"/>
        <cfvo type="max"/>
        <color rgb="FF63BE7B"/>
        <color rgb="FFFFEB84"/>
        <color rgb="FFF8696B"/>
      </colorScale>
    </cfRule>
  </conditionalFormatting>
  <conditionalFormatting sqref="D6914:D6937">
    <cfRule type="colorScale" priority="5261">
      <colorScale>
        <cfvo type="min"/>
        <cfvo type="percentile" val="50"/>
        <cfvo type="max"/>
        <color rgb="FF63BE7B"/>
        <color rgb="FFFFEB84"/>
        <color rgb="FFF8696B"/>
      </colorScale>
    </cfRule>
  </conditionalFormatting>
  <conditionalFormatting sqref="F6914:F6937">
    <cfRule type="colorScale" priority="5260">
      <colorScale>
        <cfvo type="min"/>
        <cfvo type="percentile" val="50"/>
        <cfvo type="max"/>
        <color rgb="FF63BE7B"/>
        <color rgb="FFFFEB84"/>
        <color rgb="FFF8696B"/>
      </colorScale>
    </cfRule>
  </conditionalFormatting>
  <conditionalFormatting sqref="D6938:D6961">
    <cfRule type="colorScale" priority="5259">
      <colorScale>
        <cfvo type="min"/>
        <cfvo type="percentile" val="50"/>
        <cfvo type="max"/>
        <color rgb="FF63BE7B"/>
        <color rgb="FFFFEB84"/>
        <color rgb="FFF8696B"/>
      </colorScale>
    </cfRule>
  </conditionalFormatting>
  <conditionalFormatting sqref="F6938:F6961">
    <cfRule type="colorScale" priority="5258">
      <colorScale>
        <cfvo type="min"/>
        <cfvo type="percentile" val="50"/>
        <cfvo type="max"/>
        <color rgb="FF63BE7B"/>
        <color rgb="FFFFEB84"/>
        <color rgb="FFF8696B"/>
      </colorScale>
    </cfRule>
  </conditionalFormatting>
  <conditionalFormatting sqref="D6962:D6985">
    <cfRule type="colorScale" priority="5257">
      <colorScale>
        <cfvo type="min"/>
        <cfvo type="percentile" val="50"/>
        <cfvo type="max"/>
        <color rgb="FF63BE7B"/>
        <color rgb="FFFFEB84"/>
        <color rgb="FFF8696B"/>
      </colorScale>
    </cfRule>
  </conditionalFormatting>
  <conditionalFormatting sqref="F6962:F6985">
    <cfRule type="colorScale" priority="5256">
      <colorScale>
        <cfvo type="min"/>
        <cfvo type="percentile" val="50"/>
        <cfvo type="max"/>
        <color rgb="FF63BE7B"/>
        <color rgb="FFFFEB84"/>
        <color rgb="FFF8696B"/>
      </colorScale>
    </cfRule>
  </conditionalFormatting>
  <conditionalFormatting sqref="D6986:D7009">
    <cfRule type="colorScale" priority="5255">
      <colorScale>
        <cfvo type="min"/>
        <cfvo type="percentile" val="50"/>
        <cfvo type="max"/>
        <color rgb="FF63BE7B"/>
        <color rgb="FFFFEB84"/>
        <color rgb="FFF8696B"/>
      </colorScale>
    </cfRule>
  </conditionalFormatting>
  <conditionalFormatting sqref="F6986:F7009">
    <cfRule type="colorScale" priority="5254">
      <colorScale>
        <cfvo type="min"/>
        <cfvo type="percentile" val="50"/>
        <cfvo type="max"/>
        <color rgb="FF63BE7B"/>
        <color rgb="FFFFEB84"/>
        <color rgb="FFF8696B"/>
      </colorScale>
    </cfRule>
  </conditionalFormatting>
  <conditionalFormatting sqref="D7010:D7033">
    <cfRule type="colorScale" priority="5253">
      <colorScale>
        <cfvo type="min"/>
        <cfvo type="percentile" val="50"/>
        <cfvo type="max"/>
        <color rgb="FF63BE7B"/>
        <color rgb="FFFFEB84"/>
        <color rgb="FFF8696B"/>
      </colorScale>
    </cfRule>
  </conditionalFormatting>
  <conditionalFormatting sqref="F7010:F7033">
    <cfRule type="colorScale" priority="5252">
      <colorScale>
        <cfvo type="min"/>
        <cfvo type="percentile" val="50"/>
        <cfvo type="max"/>
        <color rgb="FF63BE7B"/>
        <color rgb="FFFFEB84"/>
        <color rgb="FFF8696B"/>
      </colorScale>
    </cfRule>
  </conditionalFormatting>
  <conditionalFormatting sqref="D7034:D7057">
    <cfRule type="colorScale" priority="5251">
      <colorScale>
        <cfvo type="min"/>
        <cfvo type="percentile" val="50"/>
        <cfvo type="max"/>
        <color rgb="FF63BE7B"/>
        <color rgb="FFFFEB84"/>
        <color rgb="FFF8696B"/>
      </colorScale>
    </cfRule>
  </conditionalFormatting>
  <conditionalFormatting sqref="F7034:F7057">
    <cfRule type="colorScale" priority="5250">
      <colorScale>
        <cfvo type="min"/>
        <cfvo type="percentile" val="50"/>
        <cfvo type="max"/>
        <color rgb="FF63BE7B"/>
        <color rgb="FFFFEB84"/>
        <color rgb="FFF8696B"/>
      </colorScale>
    </cfRule>
  </conditionalFormatting>
  <conditionalFormatting sqref="D7058:D7081">
    <cfRule type="colorScale" priority="5249">
      <colorScale>
        <cfvo type="min"/>
        <cfvo type="percentile" val="50"/>
        <cfvo type="max"/>
        <color rgb="FF63BE7B"/>
        <color rgb="FFFFEB84"/>
        <color rgb="FFF8696B"/>
      </colorScale>
    </cfRule>
  </conditionalFormatting>
  <conditionalFormatting sqref="F7058:F7081">
    <cfRule type="colorScale" priority="5248">
      <colorScale>
        <cfvo type="min"/>
        <cfvo type="percentile" val="50"/>
        <cfvo type="max"/>
        <color rgb="FF63BE7B"/>
        <color rgb="FFFFEB84"/>
        <color rgb="FFF8696B"/>
      </colorScale>
    </cfRule>
  </conditionalFormatting>
  <conditionalFormatting sqref="D7082:D7105">
    <cfRule type="colorScale" priority="5247">
      <colorScale>
        <cfvo type="min"/>
        <cfvo type="percentile" val="50"/>
        <cfvo type="max"/>
        <color rgb="FF63BE7B"/>
        <color rgb="FFFFEB84"/>
        <color rgb="FFF8696B"/>
      </colorScale>
    </cfRule>
  </conditionalFormatting>
  <conditionalFormatting sqref="F7082:F7105">
    <cfRule type="colorScale" priority="5246">
      <colorScale>
        <cfvo type="min"/>
        <cfvo type="percentile" val="50"/>
        <cfvo type="max"/>
        <color rgb="FF63BE7B"/>
        <color rgb="FFFFEB84"/>
        <color rgb="FFF8696B"/>
      </colorScale>
    </cfRule>
  </conditionalFormatting>
  <conditionalFormatting sqref="D7106:D7129">
    <cfRule type="colorScale" priority="5245">
      <colorScale>
        <cfvo type="min"/>
        <cfvo type="percentile" val="50"/>
        <cfvo type="max"/>
        <color rgb="FF63BE7B"/>
        <color rgb="FFFFEB84"/>
        <color rgb="FFF8696B"/>
      </colorScale>
    </cfRule>
  </conditionalFormatting>
  <conditionalFormatting sqref="F7106:F7129">
    <cfRule type="colorScale" priority="5244">
      <colorScale>
        <cfvo type="min"/>
        <cfvo type="percentile" val="50"/>
        <cfvo type="max"/>
        <color rgb="FF63BE7B"/>
        <color rgb="FFFFEB84"/>
        <color rgb="FFF8696B"/>
      </colorScale>
    </cfRule>
  </conditionalFormatting>
  <conditionalFormatting sqref="D7130:D7153">
    <cfRule type="colorScale" priority="5243">
      <colorScale>
        <cfvo type="min"/>
        <cfvo type="percentile" val="50"/>
        <cfvo type="max"/>
        <color rgb="FF63BE7B"/>
        <color rgb="FFFFEB84"/>
        <color rgb="FFF8696B"/>
      </colorScale>
    </cfRule>
  </conditionalFormatting>
  <conditionalFormatting sqref="F7130:F7153">
    <cfRule type="colorScale" priority="5242">
      <colorScale>
        <cfvo type="min"/>
        <cfvo type="percentile" val="50"/>
        <cfvo type="max"/>
        <color rgb="FF63BE7B"/>
        <color rgb="FFFFEB84"/>
        <color rgb="FFF8696B"/>
      </colorScale>
    </cfRule>
  </conditionalFormatting>
  <conditionalFormatting sqref="D7154:D7177">
    <cfRule type="colorScale" priority="5241">
      <colorScale>
        <cfvo type="min"/>
        <cfvo type="percentile" val="50"/>
        <cfvo type="max"/>
        <color rgb="FF63BE7B"/>
        <color rgb="FFFFEB84"/>
        <color rgb="FFF8696B"/>
      </colorScale>
    </cfRule>
  </conditionalFormatting>
  <conditionalFormatting sqref="F7154:F7177">
    <cfRule type="colorScale" priority="5240">
      <colorScale>
        <cfvo type="min"/>
        <cfvo type="percentile" val="50"/>
        <cfvo type="max"/>
        <color rgb="FF63BE7B"/>
        <color rgb="FFFFEB84"/>
        <color rgb="FFF8696B"/>
      </colorScale>
    </cfRule>
  </conditionalFormatting>
  <conditionalFormatting sqref="D7178:D7201">
    <cfRule type="colorScale" priority="5239">
      <colorScale>
        <cfvo type="min"/>
        <cfvo type="percentile" val="50"/>
        <cfvo type="max"/>
        <color rgb="FF63BE7B"/>
        <color rgb="FFFFEB84"/>
        <color rgb="FFF8696B"/>
      </colorScale>
    </cfRule>
  </conditionalFormatting>
  <conditionalFormatting sqref="F7178:F7201">
    <cfRule type="colorScale" priority="5238">
      <colorScale>
        <cfvo type="min"/>
        <cfvo type="percentile" val="50"/>
        <cfvo type="max"/>
        <color rgb="FF63BE7B"/>
        <color rgb="FFFFEB84"/>
        <color rgb="FFF8696B"/>
      </colorScale>
    </cfRule>
  </conditionalFormatting>
  <conditionalFormatting sqref="D7202:D7225">
    <cfRule type="colorScale" priority="5237">
      <colorScale>
        <cfvo type="min"/>
        <cfvo type="percentile" val="50"/>
        <cfvo type="max"/>
        <color rgb="FF63BE7B"/>
        <color rgb="FFFFEB84"/>
        <color rgb="FFF8696B"/>
      </colorScale>
    </cfRule>
  </conditionalFormatting>
  <conditionalFormatting sqref="F7202:F7225">
    <cfRule type="colorScale" priority="5236">
      <colorScale>
        <cfvo type="min"/>
        <cfvo type="percentile" val="50"/>
        <cfvo type="max"/>
        <color rgb="FF63BE7B"/>
        <color rgb="FFFFEB84"/>
        <color rgb="FFF8696B"/>
      </colorScale>
    </cfRule>
  </conditionalFormatting>
  <conditionalFormatting sqref="D7226:D7249">
    <cfRule type="colorScale" priority="5235">
      <colorScale>
        <cfvo type="min"/>
        <cfvo type="percentile" val="50"/>
        <cfvo type="max"/>
        <color rgb="FF63BE7B"/>
        <color rgb="FFFFEB84"/>
        <color rgb="FFF8696B"/>
      </colorScale>
    </cfRule>
  </conditionalFormatting>
  <conditionalFormatting sqref="F7226:F7249">
    <cfRule type="colorScale" priority="5234">
      <colorScale>
        <cfvo type="min"/>
        <cfvo type="percentile" val="50"/>
        <cfvo type="max"/>
        <color rgb="FF63BE7B"/>
        <color rgb="FFFFEB84"/>
        <color rgb="FFF8696B"/>
      </colorScale>
    </cfRule>
  </conditionalFormatting>
  <conditionalFormatting sqref="D7250:D7273">
    <cfRule type="colorScale" priority="5233">
      <colorScale>
        <cfvo type="min"/>
        <cfvo type="percentile" val="50"/>
        <cfvo type="max"/>
        <color rgb="FF63BE7B"/>
        <color rgb="FFFFEB84"/>
        <color rgb="FFF8696B"/>
      </colorScale>
    </cfRule>
  </conditionalFormatting>
  <conditionalFormatting sqref="F7250:F7273">
    <cfRule type="colorScale" priority="5232">
      <colorScale>
        <cfvo type="min"/>
        <cfvo type="percentile" val="50"/>
        <cfvo type="max"/>
        <color rgb="FF63BE7B"/>
        <color rgb="FFFFEB84"/>
        <color rgb="FFF8696B"/>
      </colorScale>
    </cfRule>
  </conditionalFormatting>
  <conditionalFormatting sqref="D7274:D7297">
    <cfRule type="colorScale" priority="5231">
      <colorScale>
        <cfvo type="min"/>
        <cfvo type="percentile" val="50"/>
        <cfvo type="max"/>
        <color rgb="FF63BE7B"/>
        <color rgb="FFFFEB84"/>
        <color rgb="FFF8696B"/>
      </colorScale>
    </cfRule>
  </conditionalFormatting>
  <conditionalFormatting sqref="F7274:F7297">
    <cfRule type="colorScale" priority="5230">
      <colorScale>
        <cfvo type="min"/>
        <cfvo type="percentile" val="50"/>
        <cfvo type="max"/>
        <color rgb="FF63BE7B"/>
        <color rgb="FFFFEB84"/>
        <color rgb="FFF8696B"/>
      </colorScale>
    </cfRule>
  </conditionalFormatting>
  <conditionalFormatting sqref="D7298:D7321">
    <cfRule type="colorScale" priority="5229">
      <colorScale>
        <cfvo type="min"/>
        <cfvo type="percentile" val="50"/>
        <cfvo type="max"/>
        <color rgb="FF63BE7B"/>
        <color rgb="FFFFEB84"/>
        <color rgb="FFF8696B"/>
      </colorScale>
    </cfRule>
  </conditionalFormatting>
  <conditionalFormatting sqref="F7298:F7321">
    <cfRule type="colorScale" priority="5228">
      <colorScale>
        <cfvo type="min"/>
        <cfvo type="percentile" val="50"/>
        <cfvo type="max"/>
        <color rgb="FF63BE7B"/>
        <color rgb="FFFFEB84"/>
        <color rgb="FFF8696B"/>
      </colorScale>
    </cfRule>
  </conditionalFormatting>
  <conditionalFormatting sqref="D7322:D7345">
    <cfRule type="colorScale" priority="5227">
      <colorScale>
        <cfvo type="min"/>
        <cfvo type="percentile" val="50"/>
        <cfvo type="max"/>
        <color rgb="FF63BE7B"/>
        <color rgb="FFFFEB84"/>
        <color rgb="FFF8696B"/>
      </colorScale>
    </cfRule>
  </conditionalFormatting>
  <conditionalFormatting sqref="F7322:F7345">
    <cfRule type="colorScale" priority="5226">
      <colorScale>
        <cfvo type="min"/>
        <cfvo type="percentile" val="50"/>
        <cfvo type="max"/>
        <color rgb="FF63BE7B"/>
        <color rgb="FFFFEB84"/>
        <color rgb="FFF8696B"/>
      </colorScale>
    </cfRule>
  </conditionalFormatting>
  <conditionalFormatting sqref="D7346:D7369">
    <cfRule type="colorScale" priority="5225">
      <colorScale>
        <cfvo type="min"/>
        <cfvo type="percentile" val="50"/>
        <cfvo type="max"/>
        <color rgb="FF63BE7B"/>
        <color rgb="FFFFEB84"/>
        <color rgb="FFF8696B"/>
      </colorScale>
    </cfRule>
  </conditionalFormatting>
  <conditionalFormatting sqref="F7346:F7369">
    <cfRule type="colorScale" priority="5224">
      <colorScale>
        <cfvo type="min"/>
        <cfvo type="percentile" val="50"/>
        <cfvo type="max"/>
        <color rgb="FF63BE7B"/>
        <color rgb="FFFFEB84"/>
        <color rgb="FFF8696B"/>
      </colorScale>
    </cfRule>
  </conditionalFormatting>
  <conditionalFormatting sqref="D7370:D7393">
    <cfRule type="colorScale" priority="5223">
      <colorScale>
        <cfvo type="min"/>
        <cfvo type="percentile" val="50"/>
        <cfvo type="max"/>
        <color rgb="FF63BE7B"/>
        <color rgb="FFFFEB84"/>
        <color rgb="FFF8696B"/>
      </colorScale>
    </cfRule>
  </conditionalFormatting>
  <conditionalFormatting sqref="F7370:F7393">
    <cfRule type="colorScale" priority="5222">
      <colorScale>
        <cfvo type="min"/>
        <cfvo type="percentile" val="50"/>
        <cfvo type="max"/>
        <color rgb="FF63BE7B"/>
        <color rgb="FFFFEB84"/>
        <color rgb="FFF8696B"/>
      </colorScale>
    </cfRule>
  </conditionalFormatting>
  <conditionalFormatting sqref="D7394:D7417">
    <cfRule type="colorScale" priority="5221">
      <colorScale>
        <cfvo type="min"/>
        <cfvo type="percentile" val="50"/>
        <cfvo type="max"/>
        <color rgb="FF63BE7B"/>
        <color rgb="FFFFEB84"/>
        <color rgb="FFF8696B"/>
      </colorScale>
    </cfRule>
  </conditionalFormatting>
  <conditionalFormatting sqref="F7394:F7417">
    <cfRule type="colorScale" priority="5220">
      <colorScale>
        <cfvo type="min"/>
        <cfvo type="percentile" val="50"/>
        <cfvo type="max"/>
        <color rgb="FF63BE7B"/>
        <color rgb="FFFFEB84"/>
        <color rgb="FFF8696B"/>
      </colorScale>
    </cfRule>
  </conditionalFormatting>
  <conditionalFormatting sqref="D7418:D7441">
    <cfRule type="colorScale" priority="5219">
      <colorScale>
        <cfvo type="min"/>
        <cfvo type="percentile" val="50"/>
        <cfvo type="max"/>
        <color rgb="FF63BE7B"/>
        <color rgb="FFFFEB84"/>
        <color rgb="FFF8696B"/>
      </colorScale>
    </cfRule>
  </conditionalFormatting>
  <conditionalFormatting sqref="F7418:F7441">
    <cfRule type="colorScale" priority="5218">
      <colorScale>
        <cfvo type="min"/>
        <cfvo type="percentile" val="50"/>
        <cfvo type="max"/>
        <color rgb="FF63BE7B"/>
        <color rgb="FFFFEB84"/>
        <color rgb="FFF8696B"/>
      </colorScale>
    </cfRule>
  </conditionalFormatting>
  <conditionalFormatting sqref="D7442:D7465">
    <cfRule type="colorScale" priority="5217">
      <colorScale>
        <cfvo type="min"/>
        <cfvo type="percentile" val="50"/>
        <cfvo type="max"/>
        <color rgb="FF63BE7B"/>
        <color rgb="FFFFEB84"/>
        <color rgb="FFF8696B"/>
      </colorScale>
    </cfRule>
  </conditionalFormatting>
  <conditionalFormatting sqref="F7442:F7465">
    <cfRule type="colorScale" priority="5216">
      <colorScale>
        <cfvo type="min"/>
        <cfvo type="percentile" val="50"/>
        <cfvo type="max"/>
        <color rgb="FF63BE7B"/>
        <color rgb="FFFFEB84"/>
        <color rgb="FFF8696B"/>
      </colorScale>
    </cfRule>
  </conditionalFormatting>
  <conditionalFormatting sqref="D7466:D7489">
    <cfRule type="colorScale" priority="5215">
      <colorScale>
        <cfvo type="min"/>
        <cfvo type="percentile" val="50"/>
        <cfvo type="max"/>
        <color rgb="FF63BE7B"/>
        <color rgb="FFFFEB84"/>
        <color rgb="FFF8696B"/>
      </colorScale>
    </cfRule>
  </conditionalFormatting>
  <conditionalFormatting sqref="F7466:F7489">
    <cfRule type="colorScale" priority="5214">
      <colorScale>
        <cfvo type="min"/>
        <cfvo type="percentile" val="50"/>
        <cfvo type="max"/>
        <color rgb="FF63BE7B"/>
        <color rgb="FFFFEB84"/>
        <color rgb="FFF8696B"/>
      </colorScale>
    </cfRule>
  </conditionalFormatting>
  <conditionalFormatting sqref="D7490:D7513">
    <cfRule type="colorScale" priority="5213">
      <colorScale>
        <cfvo type="min"/>
        <cfvo type="percentile" val="50"/>
        <cfvo type="max"/>
        <color rgb="FF63BE7B"/>
        <color rgb="FFFFEB84"/>
        <color rgb="FFF8696B"/>
      </colorScale>
    </cfRule>
  </conditionalFormatting>
  <conditionalFormatting sqref="F7490:F7513">
    <cfRule type="colorScale" priority="5212">
      <colorScale>
        <cfvo type="min"/>
        <cfvo type="percentile" val="50"/>
        <cfvo type="max"/>
        <color rgb="FF63BE7B"/>
        <color rgb="FFFFEB84"/>
        <color rgb="FFF8696B"/>
      </colorScale>
    </cfRule>
  </conditionalFormatting>
  <conditionalFormatting sqref="D7514:D7537">
    <cfRule type="colorScale" priority="5211">
      <colorScale>
        <cfvo type="min"/>
        <cfvo type="percentile" val="50"/>
        <cfvo type="max"/>
        <color rgb="FF63BE7B"/>
        <color rgb="FFFFEB84"/>
        <color rgb="FFF8696B"/>
      </colorScale>
    </cfRule>
  </conditionalFormatting>
  <conditionalFormatting sqref="F7514:F7537">
    <cfRule type="colorScale" priority="5210">
      <colorScale>
        <cfvo type="min"/>
        <cfvo type="percentile" val="50"/>
        <cfvo type="max"/>
        <color rgb="FF63BE7B"/>
        <color rgb="FFFFEB84"/>
        <color rgb="FFF8696B"/>
      </colorScale>
    </cfRule>
  </conditionalFormatting>
  <conditionalFormatting sqref="D7538:D7561">
    <cfRule type="colorScale" priority="5209">
      <colorScale>
        <cfvo type="min"/>
        <cfvo type="percentile" val="50"/>
        <cfvo type="max"/>
        <color rgb="FF63BE7B"/>
        <color rgb="FFFFEB84"/>
        <color rgb="FFF8696B"/>
      </colorScale>
    </cfRule>
  </conditionalFormatting>
  <conditionalFormatting sqref="F7538:F7561">
    <cfRule type="colorScale" priority="5208">
      <colorScale>
        <cfvo type="min"/>
        <cfvo type="percentile" val="50"/>
        <cfvo type="max"/>
        <color rgb="FF63BE7B"/>
        <color rgb="FFFFEB84"/>
        <color rgb="FFF8696B"/>
      </colorScale>
    </cfRule>
  </conditionalFormatting>
  <conditionalFormatting sqref="D7562:D7585">
    <cfRule type="colorScale" priority="5207">
      <colorScale>
        <cfvo type="min"/>
        <cfvo type="percentile" val="50"/>
        <cfvo type="max"/>
        <color rgb="FF63BE7B"/>
        <color rgb="FFFFEB84"/>
        <color rgb="FFF8696B"/>
      </colorScale>
    </cfRule>
  </conditionalFormatting>
  <conditionalFormatting sqref="F7562:F7585">
    <cfRule type="colorScale" priority="5206">
      <colorScale>
        <cfvo type="min"/>
        <cfvo type="percentile" val="50"/>
        <cfvo type="max"/>
        <color rgb="FF63BE7B"/>
        <color rgb="FFFFEB84"/>
        <color rgb="FFF8696B"/>
      </colorScale>
    </cfRule>
  </conditionalFormatting>
  <conditionalFormatting sqref="D7586:D7609">
    <cfRule type="colorScale" priority="5205">
      <colorScale>
        <cfvo type="min"/>
        <cfvo type="percentile" val="50"/>
        <cfvo type="max"/>
        <color rgb="FF63BE7B"/>
        <color rgb="FFFFEB84"/>
        <color rgb="FFF8696B"/>
      </colorScale>
    </cfRule>
  </conditionalFormatting>
  <conditionalFormatting sqref="F7586:F7609">
    <cfRule type="colorScale" priority="5204">
      <colorScale>
        <cfvo type="min"/>
        <cfvo type="percentile" val="50"/>
        <cfvo type="max"/>
        <color rgb="FF63BE7B"/>
        <color rgb="FFFFEB84"/>
        <color rgb="FFF8696B"/>
      </colorScale>
    </cfRule>
  </conditionalFormatting>
  <conditionalFormatting sqref="D7610:D7633">
    <cfRule type="colorScale" priority="5203">
      <colorScale>
        <cfvo type="min"/>
        <cfvo type="percentile" val="50"/>
        <cfvo type="max"/>
        <color rgb="FF63BE7B"/>
        <color rgb="FFFFEB84"/>
        <color rgb="FFF8696B"/>
      </colorScale>
    </cfRule>
  </conditionalFormatting>
  <conditionalFormatting sqref="F7610:F7633">
    <cfRule type="colorScale" priority="5202">
      <colorScale>
        <cfvo type="min"/>
        <cfvo type="percentile" val="50"/>
        <cfvo type="max"/>
        <color rgb="FF63BE7B"/>
        <color rgb="FFFFEB84"/>
        <color rgb="FFF8696B"/>
      </colorScale>
    </cfRule>
  </conditionalFormatting>
  <conditionalFormatting sqref="D7634:D7657">
    <cfRule type="colorScale" priority="5201">
      <colorScale>
        <cfvo type="min"/>
        <cfvo type="percentile" val="50"/>
        <cfvo type="max"/>
        <color rgb="FF63BE7B"/>
        <color rgb="FFFFEB84"/>
        <color rgb="FFF8696B"/>
      </colorScale>
    </cfRule>
  </conditionalFormatting>
  <conditionalFormatting sqref="F7634:F7657">
    <cfRule type="colorScale" priority="5200">
      <colorScale>
        <cfvo type="min"/>
        <cfvo type="percentile" val="50"/>
        <cfvo type="max"/>
        <color rgb="FF63BE7B"/>
        <color rgb="FFFFEB84"/>
        <color rgb="FFF8696B"/>
      </colorScale>
    </cfRule>
  </conditionalFormatting>
  <conditionalFormatting sqref="D7658:D7681">
    <cfRule type="colorScale" priority="5199">
      <colorScale>
        <cfvo type="min"/>
        <cfvo type="percentile" val="50"/>
        <cfvo type="max"/>
        <color rgb="FF63BE7B"/>
        <color rgb="FFFFEB84"/>
        <color rgb="FFF8696B"/>
      </colorScale>
    </cfRule>
  </conditionalFormatting>
  <conditionalFormatting sqref="F7658:F7681">
    <cfRule type="colorScale" priority="5198">
      <colorScale>
        <cfvo type="min"/>
        <cfvo type="percentile" val="50"/>
        <cfvo type="max"/>
        <color rgb="FF63BE7B"/>
        <color rgb="FFFFEB84"/>
        <color rgb="FFF8696B"/>
      </colorScale>
    </cfRule>
  </conditionalFormatting>
  <conditionalFormatting sqref="D7682:D7705">
    <cfRule type="colorScale" priority="5197">
      <colorScale>
        <cfvo type="min"/>
        <cfvo type="percentile" val="50"/>
        <cfvo type="max"/>
        <color rgb="FF63BE7B"/>
        <color rgb="FFFFEB84"/>
        <color rgb="FFF8696B"/>
      </colorScale>
    </cfRule>
  </conditionalFormatting>
  <conditionalFormatting sqref="F7682:F7705">
    <cfRule type="colorScale" priority="5196">
      <colorScale>
        <cfvo type="min"/>
        <cfvo type="percentile" val="50"/>
        <cfvo type="max"/>
        <color rgb="FF63BE7B"/>
        <color rgb="FFFFEB84"/>
        <color rgb="FFF8696B"/>
      </colorScale>
    </cfRule>
  </conditionalFormatting>
  <conditionalFormatting sqref="D7706:D7729">
    <cfRule type="colorScale" priority="5195">
      <colorScale>
        <cfvo type="min"/>
        <cfvo type="percentile" val="50"/>
        <cfvo type="max"/>
        <color rgb="FF63BE7B"/>
        <color rgb="FFFFEB84"/>
        <color rgb="FFF8696B"/>
      </colorScale>
    </cfRule>
  </conditionalFormatting>
  <conditionalFormatting sqref="F7706:F7729">
    <cfRule type="colorScale" priority="5194">
      <colorScale>
        <cfvo type="min"/>
        <cfvo type="percentile" val="50"/>
        <cfvo type="max"/>
        <color rgb="FF63BE7B"/>
        <color rgb="FFFFEB84"/>
        <color rgb="FFF8696B"/>
      </colorScale>
    </cfRule>
  </conditionalFormatting>
  <conditionalFormatting sqref="D7730:D7753">
    <cfRule type="colorScale" priority="5193">
      <colorScale>
        <cfvo type="min"/>
        <cfvo type="percentile" val="50"/>
        <cfvo type="max"/>
        <color rgb="FF63BE7B"/>
        <color rgb="FFFFEB84"/>
        <color rgb="FFF8696B"/>
      </colorScale>
    </cfRule>
  </conditionalFormatting>
  <conditionalFormatting sqref="F7730:F7753">
    <cfRule type="colorScale" priority="5192">
      <colorScale>
        <cfvo type="min"/>
        <cfvo type="percentile" val="50"/>
        <cfvo type="max"/>
        <color rgb="FF63BE7B"/>
        <color rgb="FFFFEB84"/>
        <color rgb="FFF8696B"/>
      </colorScale>
    </cfRule>
  </conditionalFormatting>
  <conditionalFormatting sqref="D7754:D7777">
    <cfRule type="colorScale" priority="5191">
      <colorScale>
        <cfvo type="min"/>
        <cfvo type="percentile" val="50"/>
        <cfvo type="max"/>
        <color rgb="FF63BE7B"/>
        <color rgb="FFFFEB84"/>
        <color rgb="FFF8696B"/>
      </colorScale>
    </cfRule>
  </conditionalFormatting>
  <conditionalFormatting sqref="F7754:F7777">
    <cfRule type="colorScale" priority="5190">
      <colorScale>
        <cfvo type="min"/>
        <cfvo type="percentile" val="50"/>
        <cfvo type="max"/>
        <color rgb="FF63BE7B"/>
        <color rgb="FFFFEB84"/>
        <color rgb="FFF8696B"/>
      </colorScale>
    </cfRule>
  </conditionalFormatting>
  <conditionalFormatting sqref="D7778:D7801">
    <cfRule type="colorScale" priority="5189">
      <colorScale>
        <cfvo type="min"/>
        <cfvo type="percentile" val="50"/>
        <cfvo type="max"/>
        <color rgb="FF63BE7B"/>
        <color rgb="FFFFEB84"/>
        <color rgb="FFF8696B"/>
      </colorScale>
    </cfRule>
  </conditionalFormatting>
  <conditionalFormatting sqref="F7778:F7801">
    <cfRule type="colorScale" priority="5188">
      <colorScale>
        <cfvo type="min"/>
        <cfvo type="percentile" val="50"/>
        <cfvo type="max"/>
        <color rgb="FF63BE7B"/>
        <color rgb="FFFFEB84"/>
        <color rgb="FFF8696B"/>
      </colorScale>
    </cfRule>
  </conditionalFormatting>
  <conditionalFormatting sqref="D7802:D7825">
    <cfRule type="colorScale" priority="5187">
      <colorScale>
        <cfvo type="min"/>
        <cfvo type="percentile" val="50"/>
        <cfvo type="max"/>
        <color rgb="FF63BE7B"/>
        <color rgb="FFFFEB84"/>
        <color rgb="FFF8696B"/>
      </colorScale>
    </cfRule>
  </conditionalFormatting>
  <conditionalFormatting sqref="F7802:F7825">
    <cfRule type="colorScale" priority="5186">
      <colorScale>
        <cfvo type="min"/>
        <cfvo type="percentile" val="50"/>
        <cfvo type="max"/>
        <color rgb="FF63BE7B"/>
        <color rgb="FFFFEB84"/>
        <color rgb="FFF8696B"/>
      </colorScale>
    </cfRule>
  </conditionalFormatting>
  <conditionalFormatting sqref="D7826:D7849">
    <cfRule type="colorScale" priority="5185">
      <colorScale>
        <cfvo type="min"/>
        <cfvo type="percentile" val="50"/>
        <cfvo type="max"/>
        <color rgb="FF63BE7B"/>
        <color rgb="FFFFEB84"/>
        <color rgb="FFF8696B"/>
      </colorScale>
    </cfRule>
  </conditionalFormatting>
  <conditionalFormatting sqref="F7826:F7849">
    <cfRule type="colorScale" priority="5184">
      <colorScale>
        <cfvo type="min"/>
        <cfvo type="percentile" val="50"/>
        <cfvo type="max"/>
        <color rgb="FF63BE7B"/>
        <color rgb="FFFFEB84"/>
        <color rgb="FFF8696B"/>
      </colorScale>
    </cfRule>
  </conditionalFormatting>
  <conditionalFormatting sqref="D7850:D7873">
    <cfRule type="colorScale" priority="5183">
      <colorScale>
        <cfvo type="min"/>
        <cfvo type="percentile" val="50"/>
        <cfvo type="max"/>
        <color rgb="FF63BE7B"/>
        <color rgb="FFFFEB84"/>
        <color rgb="FFF8696B"/>
      </colorScale>
    </cfRule>
  </conditionalFormatting>
  <conditionalFormatting sqref="F7850:F7873">
    <cfRule type="colorScale" priority="5182">
      <colorScale>
        <cfvo type="min"/>
        <cfvo type="percentile" val="50"/>
        <cfvo type="max"/>
        <color rgb="FF63BE7B"/>
        <color rgb="FFFFEB84"/>
        <color rgb="FFF8696B"/>
      </colorScale>
    </cfRule>
  </conditionalFormatting>
  <conditionalFormatting sqref="D7874:D7897">
    <cfRule type="colorScale" priority="5175">
      <colorScale>
        <cfvo type="min"/>
        <cfvo type="percentile" val="50"/>
        <cfvo type="max"/>
        <color rgb="FF63BE7B"/>
        <color rgb="FFFFEB84"/>
        <color rgb="FFF8696B"/>
      </colorScale>
    </cfRule>
  </conditionalFormatting>
  <conditionalFormatting sqref="F7874:F7897">
    <cfRule type="colorScale" priority="5174">
      <colorScale>
        <cfvo type="min"/>
        <cfvo type="percentile" val="50"/>
        <cfvo type="max"/>
        <color rgb="FF63BE7B"/>
        <color rgb="FFFFEB84"/>
        <color rgb="FFF8696B"/>
      </colorScale>
    </cfRule>
  </conditionalFormatting>
  <conditionalFormatting sqref="D7898:D7921">
    <cfRule type="colorScale" priority="5165">
      <colorScale>
        <cfvo type="min"/>
        <cfvo type="percentile" val="50"/>
        <cfvo type="max"/>
        <color rgb="FF63BE7B"/>
        <color rgb="FFFFEB84"/>
        <color rgb="FFF8696B"/>
      </colorScale>
    </cfRule>
  </conditionalFormatting>
  <conditionalFormatting sqref="F7898:F7921">
    <cfRule type="colorScale" priority="5162">
      <colorScale>
        <cfvo type="min"/>
        <cfvo type="percentile" val="50"/>
        <cfvo type="max"/>
        <color rgb="FF63BE7B"/>
        <color rgb="FFFFEB84"/>
        <color rgb="FFF8696B"/>
      </colorScale>
    </cfRule>
  </conditionalFormatting>
  <conditionalFormatting sqref="D7922:D7945">
    <cfRule type="colorScale" priority="5157">
      <colorScale>
        <cfvo type="min"/>
        <cfvo type="percentile" val="50"/>
        <cfvo type="max"/>
        <color rgb="FF63BE7B"/>
        <color rgb="FFFFEB84"/>
        <color rgb="FFF8696B"/>
      </colorScale>
    </cfRule>
  </conditionalFormatting>
  <conditionalFormatting sqref="F7922:F7945">
    <cfRule type="colorScale" priority="5154">
      <colorScale>
        <cfvo type="min"/>
        <cfvo type="percentile" val="50"/>
        <cfvo type="max"/>
        <color rgb="FF63BE7B"/>
        <color rgb="FFFFEB84"/>
        <color rgb="FFF8696B"/>
      </colorScale>
    </cfRule>
  </conditionalFormatting>
  <conditionalFormatting sqref="F7946:F7969">
    <cfRule type="colorScale" priority="5147">
      <colorScale>
        <cfvo type="min"/>
        <cfvo type="percentile" val="50"/>
        <cfvo type="max"/>
        <color rgb="FF63BE7B"/>
        <color rgb="FFFFEB84"/>
        <color rgb="FFF8696B"/>
      </colorScale>
    </cfRule>
  </conditionalFormatting>
  <conditionalFormatting sqref="D7946:D7969">
    <cfRule type="colorScale" priority="5142">
      <colorScale>
        <cfvo type="min"/>
        <cfvo type="percentile" val="50"/>
        <cfvo type="max"/>
        <color rgb="FF63BE7B"/>
        <color rgb="FFFFEB84"/>
        <color rgb="FFF8696B"/>
      </colorScale>
    </cfRule>
  </conditionalFormatting>
  <conditionalFormatting sqref="D7970:D7993">
    <cfRule type="colorScale" priority="5141">
      <colorScale>
        <cfvo type="min"/>
        <cfvo type="percentile" val="50"/>
        <cfvo type="max"/>
        <color rgb="FF63BE7B"/>
        <color rgb="FFFFEB84"/>
        <color rgb="FFF8696B"/>
      </colorScale>
    </cfRule>
  </conditionalFormatting>
  <conditionalFormatting sqref="F7970:F7993">
    <cfRule type="colorScale" priority="5138">
      <colorScale>
        <cfvo type="min"/>
        <cfvo type="percentile" val="50"/>
        <cfvo type="max"/>
        <color rgb="FF63BE7B"/>
        <color rgb="FFFFEB84"/>
        <color rgb="FFF8696B"/>
      </colorScale>
    </cfRule>
  </conditionalFormatting>
  <conditionalFormatting sqref="D7994:D8017">
    <cfRule type="colorScale" priority="5133">
      <colorScale>
        <cfvo type="min"/>
        <cfvo type="percentile" val="50"/>
        <cfvo type="max"/>
        <color rgb="FF63BE7B"/>
        <color rgb="FFFFEB84"/>
        <color rgb="FFF8696B"/>
      </colorScale>
    </cfRule>
  </conditionalFormatting>
  <conditionalFormatting sqref="D8018:D8041">
    <cfRule type="colorScale" priority="5125">
      <colorScale>
        <cfvo type="min"/>
        <cfvo type="percentile" val="50"/>
        <cfvo type="max"/>
        <color rgb="FF63BE7B"/>
        <color rgb="FFFFEB84"/>
        <color rgb="FFF8696B"/>
      </colorScale>
    </cfRule>
  </conditionalFormatting>
  <conditionalFormatting sqref="F8018:F8041">
    <cfRule type="colorScale" priority="5122">
      <colorScale>
        <cfvo type="min"/>
        <cfvo type="percentile" val="50"/>
        <cfvo type="max"/>
        <color rgb="FF63BE7B"/>
        <color rgb="FFFFEB84"/>
        <color rgb="FFF8696B"/>
      </colorScale>
    </cfRule>
  </conditionalFormatting>
  <conditionalFormatting sqref="D8042:D8065">
    <cfRule type="colorScale" priority="5105">
      <colorScale>
        <cfvo type="min"/>
        <cfvo type="percentile" val="50"/>
        <cfvo type="max"/>
        <color rgb="FF63BE7B"/>
        <color rgb="FFFFEB84"/>
        <color rgb="FFF8696B"/>
      </colorScale>
    </cfRule>
  </conditionalFormatting>
  <conditionalFormatting sqref="F8042:F8065">
    <cfRule type="colorScale" priority="5102">
      <colorScale>
        <cfvo type="min"/>
        <cfvo type="percentile" val="50"/>
        <cfvo type="max"/>
        <color rgb="FF63BE7B"/>
        <color rgb="FFFFEB84"/>
        <color rgb="FFF8696B"/>
      </colorScale>
    </cfRule>
  </conditionalFormatting>
  <conditionalFormatting sqref="D8066:D8089">
    <cfRule type="colorScale" priority="5097">
      <colorScale>
        <cfvo type="min"/>
        <cfvo type="percentile" val="50"/>
        <cfvo type="max"/>
        <color rgb="FF63BE7B"/>
        <color rgb="FFFFEB84"/>
        <color rgb="FFF8696B"/>
      </colorScale>
    </cfRule>
  </conditionalFormatting>
  <conditionalFormatting sqref="F8066:F8089">
    <cfRule type="colorScale" priority="5094">
      <colorScale>
        <cfvo type="min"/>
        <cfvo type="percentile" val="50"/>
        <cfvo type="max"/>
        <color rgb="FF63BE7B"/>
        <color rgb="FFFFEB84"/>
        <color rgb="FFF8696B"/>
      </colorScale>
    </cfRule>
  </conditionalFormatting>
  <conditionalFormatting sqref="D8090:D8113">
    <cfRule type="colorScale" priority="5089">
      <colorScale>
        <cfvo type="min"/>
        <cfvo type="percentile" val="50"/>
        <cfvo type="max"/>
        <color rgb="FF63BE7B"/>
        <color rgb="FFFFEB84"/>
        <color rgb="FFF8696B"/>
      </colorScale>
    </cfRule>
  </conditionalFormatting>
  <conditionalFormatting sqref="F8090:F8113">
    <cfRule type="colorScale" priority="5086">
      <colorScale>
        <cfvo type="min"/>
        <cfvo type="percentile" val="50"/>
        <cfvo type="max"/>
        <color rgb="FF63BE7B"/>
        <color rgb="FFFFEB84"/>
        <color rgb="FFF8696B"/>
      </colorScale>
    </cfRule>
  </conditionalFormatting>
  <conditionalFormatting sqref="F7994:F8017">
    <cfRule type="colorScale" priority="5811">
      <colorScale>
        <cfvo type="min"/>
        <cfvo type="percentile" val="50"/>
        <cfvo type="max"/>
        <color rgb="FF63BE7B"/>
        <color rgb="FFFFEB84"/>
        <color rgb="FFF8696B"/>
      </colorScale>
    </cfRule>
  </conditionalFormatting>
  <conditionalFormatting sqref="D8114:D8137">
    <cfRule type="colorScale" priority="5081">
      <colorScale>
        <cfvo type="min"/>
        <cfvo type="percentile" val="50"/>
        <cfvo type="max"/>
        <color rgb="FF63BE7B"/>
        <color rgb="FFFFEB84"/>
        <color rgb="FFF8696B"/>
      </colorScale>
    </cfRule>
  </conditionalFormatting>
  <conditionalFormatting sqref="F8114:F8137">
    <cfRule type="colorScale" priority="5078">
      <colorScale>
        <cfvo type="min"/>
        <cfvo type="percentile" val="50"/>
        <cfvo type="max"/>
        <color rgb="FF63BE7B"/>
        <color rgb="FFFFEB84"/>
        <color rgb="FFF8696B"/>
      </colorScale>
    </cfRule>
  </conditionalFormatting>
  <conditionalFormatting sqref="D8138:D8161">
    <cfRule type="colorScale" priority="5019">
      <colorScale>
        <cfvo type="min"/>
        <cfvo type="percentile" val="50"/>
        <cfvo type="max"/>
        <color rgb="FF63BE7B"/>
        <color rgb="FFFFEB84"/>
        <color rgb="FFF8696B"/>
      </colorScale>
    </cfRule>
  </conditionalFormatting>
  <conditionalFormatting sqref="F8138:F8161">
    <cfRule type="colorScale" priority="5016">
      <colorScale>
        <cfvo type="min"/>
        <cfvo type="percentile" val="50"/>
        <cfvo type="max"/>
        <color rgb="FF63BE7B"/>
        <color rgb="FFFFEB84"/>
        <color rgb="FFF8696B"/>
      </colorScale>
    </cfRule>
  </conditionalFormatting>
  <conditionalFormatting sqref="D8162:D8185">
    <cfRule type="colorScale" priority="5011">
      <colorScale>
        <cfvo type="min"/>
        <cfvo type="percentile" val="50"/>
        <cfvo type="max"/>
        <color rgb="FF63BE7B"/>
        <color rgb="FFFFEB84"/>
        <color rgb="FFF8696B"/>
      </colorScale>
    </cfRule>
  </conditionalFormatting>
  <conditionalFormatting sqref="F8162:F8185">
    <cfRule type="colorScale" priority="5008">
      <colorScale>
        <cfvo type="min"/>
        <cfvo type="percentile" val="50"/>
        <cfvo type="max"/>
        <color rgb="FF63BE7B"/>
        <color rgb="FFFFEB84"/>
        <color rgb="FFF8696B"/>
      </colorScale>
    </cfRule>
  </conditionalFormatting>
  <conditionalFormatting sqref="D8186:D8209">
    <cfRule type="colorScale" priority="5003">
      <colorScale>
        <cfvo type="min"/>
        <cfvo type="percentile" val="50"/>
        <cfvo type="max"/>
        <color rgb="FF63BE7B"/>
        <color rgb="FFFFEB84"/>
        <color rgb="FFF8696B"/>
      </colorScale>
    </cfRule>
  </conditionalFormatting>
  <conditionalFormatting sqref="F8186:F8209">
    <cfRule type="colorScale" priority="5000">
      <colorScale>
        <cfvo type="min"/>
        <cfvo type="percentile" val="50"/>
        <cfvo type="max"/>
        <color rgb="FF63BE7B"/>
        <color rgb="FFFFEB84"/>
        <color rgb="FFF8696B"/>
      </colorScale>
    </cfRule>
  </conditionalFormatting>
  <conditionalFormatting sqref="D8210:D8233">
    <cfRule type="colorScale" priority="4995">
      <colorScale>
        <cfvo type="min"/>
        <cfvo type="percentile" val="50"/>
        <cfvo type="max"/>
        <color rgb="FF63BE7B"/>
        <color rgb="FFFFEB84"/>
        <color rgb="FFF8696B"/>
      </colorScale>
    </cfRule>
  </conditionalFormatting>
  <conditionalFormatting sqref="F8210:F8233">
    <cfRule type="colorScale" priority="4992">
      <colorScale>
        <cfvo type="min"/>
        <cfvo type="percentile" val="50"/>
        <cfvo type="max"/>
        <color rgb="FF63BE7B"/>
        <color rgb="FFFFEB84"/>
        <color rgb="FFF8696B"/>
      </colorScale>
    </cfRule>
  </conditionalFormatting>
  <conditionalFormatting sqref="D8234:D8257">
    <cfRule type="colorScale" priority="4987">
      <colorScale>
        <cfvo type="min"/>
        <cfvo type="percentile" val="50"/>
        <cfvo type="max"/>
        <color rgb="FF63BE7B"/>
        <color rgb="FFFFEB84"/>
        <color rgb="FFF8696B"/>
      </colorScale>
    </cfRule>
  </conditionalFormatting>
  <conditionalFormatting sqref="F8234:F8257">
    <cfRule type="colorScale" priority="4984">
      <colorScale>
        <cfvo type="min"/>
        <cfvo type="percentile" val="50"/>
        <cfvo type="max"/>
        <color rgb="FF63BE7B"/>
        <color rgb="FFFFEB84"/>
        <color rgb="FFF8696B"/>
      </colorScale>
    </cfRule>
  </conditionalFormatting>
  <conditionalFormatting sqref="D8258:D8281">
    <cfRule type="colorScale" priority="4979">
      <colorScale>
        <cfvo type="min"/>
        <cfvo type="percentile" val="50"/>
        <cfvo type="max"/>
        <color rgb="FF63BE7B"/>
        <color rgb="FFFFEB84"/>
        <color rgb="FFF8696B"/>
      </colorScale>
    </cfRule>
  </conditionalFormatting>
  <conditionalFormatting sqref="F8258:F8281">
    <cfRule type="colorScale" priority="4976">
      <colorScale>
        <cfvo type="min"/>
        <cfvo type="percentile" val="50"/>
        <cfvo type="max"/>
        <color rgb="FF63BE7B"/>
        <color rgb="FFFFEB84"/>
        <color rgb="FFF8696B"/>
      </colorScale>
    </cfRule>
  </conditionalFormatting>
  <conditionalFormatting sqref="D8282:D8305">
    <cfRule type="colorScale" priority="4971">
      <colorScale>
        <cfvo type="min"/>
        <cfvo type="percentile" val="50"/>
        <cfvo type="max"/>
        <color rgb="FF63BE7B"/>
        <color rgb="FFFFEB84"/>
        <color rgb="FFF8696B"/>
      </colorScale>
    </cfRule>
  </conditionalFormatting>
  <conditionalFormatting sqref="F8282:F8305">
    <cfRule type="colorScale" priority="4968">
      <colorScale>
        <cfvo type="min"/>
        <cfvo type="percentile" val="50"/>
        <cfvo type="max"/>
        <color rgb="FF63BE7B"/>
        <color rgb="FFFFEB84"/>
        <color rgb="FFF8696B"/>
      </colorScale>
    </cfRule>
  </conditionalFormatting>
  <conditionalFormatting sqref="D8306:D8329">
    <cfRule type="colorScale" priority="4963">
      <colorScale>
        <cfvo type="min"/>
        <cfvo type="percentile" val="50"/>
        <cfvo type="max"/>
        <color rgb="FF63BE7B"/>
        <color rgb="FFFFEB84"/>
        <color rgb="FFF8696B"/>
      </colorScale>
    </cfRule>
  </conditionalFormatting>
  <conditionalFormatting sqref="F8306:F8329">
    <cfRule type="colorScale" priority="4960">
      <colorScale>
        <cfvo type="min"/>
        <cfvo type="percentile" val="50"/>
        <cfvo type="max"/>
        <color rgb="FF63BE7B"/>
        <color rgb="FFFFEB84"/>
        <color rgb="FFF8696B"/>
      </colorScale>
    </cfRule>
  </conditionalFormatting>
  <conditionalFormatting sqref="D8330:D8353">
    <cfRule type="colorScale" priority="4955">
      <colorScale>
        <cfvo type="min"/>
        <cfvo type="percentile" val="50"/>
        <cfvo type="max"/>
        <color rgb="FF63BE7B"/>
        <color rgb="FFFFEB84"/>
        <color rgb="FFF8696B"/>
      </colorScale>
    </cfRule>
  </conditionalFormatting>
  <conditionalFormatting sqref="F8330:F8353">
    <cfRule type="colorScale" priority="4952">
      <colorScale>
        <cfvo type="min"/>
        <cfvo type="percentile" val="50"/>
        <cfvo type="max"/>
        <color rgb="FF63BE7B"/>
        <color rgb="FFFFEB84"/>
        <color rgb="FFF8696B"/>
      </colorScale>
    </cfRule>
  </conditionalFormatting>
  <conditionalFormatting sqref="D8354:D8377">
    <cfRule type="colorScale" priority="4947">
      <colorScale>
        <cfvo type="min"/>
        <cfvo type="percentile" val="50"/>
        <cfvo type="max"/>
        <color rgb="FF63BE7B"/>
        <color rgb="FFFFEB84"/>
        <color rgb="FFF8696B"/>
      </colorScale>
    </cfRule>
  </conditionalFormatting>
  <conditionalFormatting sqref="F8354:F8377">
    <cfRule type="colorScale" priority="4944">
      <colorScale>
        <cfvo type="min"/>
        <cfvo type="percentile" val="50"/>
        <cfvo type="max"/>
        <color rgb="FF63BE7B"/>
        <color rgb="FFFFEB84"/>
        <color rgb="FFF8696B"/>
      </colorScale>
    </cfRule>
  </conditionalFormatting>
  <conditionalFormatting sqref="D8378:D8401">
    <cfRule type="colorScale" priority="4939">
      <colorScale>
        <cfvo type="min"/>
        <cfvo type="percentile" val="50"/>
        <cfvo type="max"/>
        <color rgb="FF63BE7B"/>
        <color rgb="FFFFEB84"/>
        <color rgb="FFF8696B"/>
      </colorScale>
    </cfRule>
  </conditionalFormatting>
  <conditionalFormatting sqref="D8402:D8425">
    <cfRule type="colorScale" priority="4938">
      <colorScale>
        <cfvo type="min"/>
        <cfvo type="percentile" val="50"/>
        <cfvo type="max"/>
        <color rgb="FF63BE7B"/>
        <color rgb="FFFFEB84"/>
        <color rgb="FFF8696B"/>
      </colorScale>
    </cfRule>
  </conditionalFormatting>
  <conditionalFormatting sqref="F8378:F8401">
    <cfRule type="colorScale" priority="4935">
      <colorScale>
        <cfvo type="min"/>
        <cfvo type="percentile" val="50"/>
        <cfvo type="max"/>
        <color rgb="FF63BE7B"/>
        <color rgb="FFFFEB84"/>
        <color rgb="FFF8696B"/>
      </colorScale>
    </cfRule>
  </conditionalFormatting>
  <conditionalFormatting sqref="F8402:F8425">
    <cfRule type="colorScale" priority="4928">
      <colorScale>
        <cfvo type="min"/>
        <cfvo type="percentile" val="50"/>
        <cfvo type="max"/>
        <color rgb="FF63BE7B"/>
        <color rgb="FFFFEB84"/>
        <color rgb="FFF8696B"/>
      </colorScale>
    </cfRule>
  </conditionalFormatting>
  <conditionalFormatting sqref="D8426:D8449">
    <cfRule type="colorScale" priority="4751">
      <colorScale>
        <cfvo type="min"/>
        <cfvo type="percentile" val="50"/>
        <cfvo type="max"/>
        <color rgb="FF63BE7B"/>
        <color rgb="FFFFEB84"/>
        <color rgb="FFF8696B"/>
      </colorScale>
    </cfRule>
  </conditionalFormatting>
  <conditionalFormatting sqref="F8426:F8449">
    <cfRule type="colorScale" priority="4748">
      <colorScale>
        <cfvo type="min"/>
        <cfvo type="percentile" val="50"/>
        <cfvo type="max"/>
        <color rgb="FF63BE7B"/>
        <color rgb="FFFFEB84"/>
        <color rgb="FFF8696B"/>
      </colorScale>
    </cfRule>
  </conditionalFormatting>
  <conditionalFormatting sqref="D8450:D8473">
    <cfRule type="colorScale" priority="4743">
      <colorScale>
        <cfvo type="min"/>
        <cfvo type="percentile" val="50"/>
        <cfvo type="max"/>
        <color rgb="FF63BE7B"/>
        <color rgb="FFFFEB84"/>
        <color rgb="FFF8696B"/>
      </colorScale>
    </cfRule>
  </conditionalFormatting>
  <conditionalFormatting sqref="F8450:F8473">
    <cfRule type="colorScale" priority="4740">
      <colorScale>
        <cfvo type="min"/>
        <cfvo type="percentile" val="50"/>
        <cfvo type="max"/>
        <color rgb="FF63BE7B"/>
        <color rgb="FFFFEB84"/>
        <color rgb="FFF8696B"/>
      </colorScale>
    </cfRule>
  </conditionalFormatting>
  <conditionalFormatting sqref="D8474:D8497">
    <cfRule type="colorScale" priority="4735">
      <colorScale>
        <cfvo type="min"/>
        <cfvo type="percentile" val="50"/>
        <cfvo type="max"/>
        <color rgb="FF63BE7B"/>
        <color rgb="FFFFEB84"/>
        <color rgb="FFF8696B"/>
      </colorScale>
    </cfRule>
  </conditionalFormatting>
  <conditionalFormatting sqref="F8474:F8497">
    <cfRule type="colorScale" priority="4732">
      <colorScale>
        <cfvo type="min"/>
        <cfvo type="percentile" val="50"/>
        <cfvo type="max"/>
        <color rgb="FF63BE7B"/>
        <color rgb="FFFFEB84"/>
        <color rgb="FFF8696B"/>
      </colorScale>
    </cfRule>
  </conditionalFormatting>
  <conditionalFormatting sqref="D8498:D8521">
    <cfRule type="colorScale" priority="4727">
      <colorScale>
        <cfvo type="min"/>
        <cfvo type="percentile" val="50"/>
        <cfvo type="max"/>
        <color rgb="FF63BE7B"/>
        <color rgb="FFFFEB84"/>
        <color rgb="FFF8696B"/>
      </colorScale>
    </cfRule>
  </conditionalFormatting>
  <conditionalFormatting sqref="F8498:F8521">
    <cfRule type="colorScale" priority="4724">
      <colorScale>
        <cfvo type="min"/>
        <cfvo type="percentile" val="50"/>
        <cfvo type="max"/>
        <color rgb="FF63BE7B"/>
        <color rgb="FFFFEB84"/>
        <color rgb="FFF8696B"/>
      </colorScale>
    </cfRule>
  </conditionalFormatting>
  <conditionalFormatting sqref="D8522:D8545">
    <cfRule type="colorScale" priority="4719">
      <colorScale>
        <cfvo type="min"/>
        <cfvo type="percentile" val="50"/>
        <cfvo type="max"/>
        <color rgb="FF63BE7B"/>
        <color rgb="FFFFEB84"/>
        <color rgb="FFF8696B"/>
      </colorScale>
    </cfRule>
  </conditionalFormatting>
  <conditionalFormatting sqref="F8522:F8545">
    <cfRule type="colorScale" priority="4716">
      <colorScale>
        <cfvo type="min"/>
        <cfvo type="percentile" val="50"/>
        <cfvo type="max"/>
        <color rgb="FF63BE7B"/>
        <color rgb="FFFFEB84"/>
        <color rgb="FFF8696B"/>
      </colorScale>
    </cfRule>
  </conditionalFormatting>
  <conditionalFormatting sqref="D8546:D8569">
    <cfRule type="colorScale" priority="4711">
      <colorScale>
        <cfvo type="min"/>
        <cfvo type="percentile" val="50"/>
        <cfvo type="max"/>
        <color rgb="FF63BE7B"/>
        <color rgb="FFFFEB84"/>
        <color rgb="FFF8696B"/>
      </colorScale>
    </cfRule>
  </conditionalFormatting>
  <conditionalFormatting sqref="F8546:F8569">
    <cfRule type="colorScale" priority="4708">
      <colorScale>
        <cfvo type="min"/>
        <cfvo type="percentile" val="50"/>
        <cfvo type="max"/>
        <color rgb="FF63BE7B"/>
        <color rgb="FFFFEB84"/>
        <color rgb="FFF8696B"/>
      </colorScale>
    </cfRule>
  </conditionalFormatting>
  <conditionalFormatting sqref="D8570:D8593">
    <cfRule type="colorScale" priority="4703">
      <colorScale>
        <cfvo type="min"/>
        <cfvo type="percentile" val="50"/>
        <cfvo type="max"/>
        <color rgb="FF63BE7B"/>
        <color rgb="FFFFEB84"/>
        <color rgb="FFF8696B"/>
      </colorScale>
    </cfRule>
  </conditionalFormatting>
  <conditionalFormatting sqref="F8570:F8593">
    <cfRule type="colorScale" priority="4700">
      <colorScale>
        <cfvo type="min"/>
        <cfvo type="percentile" val="50"/>
        <cfvo type="max"/>
        <color rgb="FF63BE7B"/>
        <color rgb="FFFFEB84"/>
        <color rgb="FFF8696B"/>
      </colorScale>
    </cfRule>
  </conditionalFormatting>
  <conditionalFormatting sqref="D8594:D8617">
    <cfRule type="colorScale" priority="4631">
      <colorScale>
        <cfvo type="min"/>
        <cfvo type="percentile" val="50"/>
        <cfvo type="max"/>
        <color rgb="FF63BE7B"/>
        <color rgb="FFFFEB84"/>
        <color rgb="FFF8696B"/>
      </colorScale>
    </cfRule>
  </conditionalFormatting>
  <conditionalFormatting sqref="F8594:F8617">
    <cfRule type="colorScale" priority="4628">
      <colorScale>
        <cfvo type="min"/>
        <cfvo type="percentile" val="50"/>
        <cfvo type="max"/>
        <color rgb="FF63BE7B"/>
        <color rgb="FFFFEB84"/>
        <color rgb="FFF8696B"/>
      </colorScale>
    </cfRule>
  </conditionalFormatting>
  <conditionalFormatting sqref="D8618:D8641">
    <cfRule type="colorScale" priority="4623">
      <colorScale>
        <cfvo type="min"/>
        <cfvo type="percentile" val="50"/>
        <cfvo type="max"/>
        <color rgb="FF63BE7B"/>
        <color rgb="FFFFEB84"/>
        <color rgb="FFF8696B"/>
      </colorScale>
    </cfRule>
  </conditionalFormatting>
  <conditionalFormatting sqref="F8618:F8641">
    <cfRule type="colorScale" priority="4620">
      <colorScale>
        <cfvo type="min"/>
        <cfvo type="percentile" val="50"/>
        <cfvo type="max"/>
        <color rgb="FF63BE7B"/>
        <color rgb="FFFFEB84"/>
        <color rgb="FFF8696B"/>
      </colorScale>
    </cfRule>
  </conditionalFormatting>
  <conditionalFormatting sqref="D8642:D8665">
    <cfRule type="colorScale" priority="4615">
      <colorScale>
        <cfvo type="min"/>
        <cfvo type="percentile" val="50"/>
        <cfvo type="max"/>
        <color rgb="FF63BE7B"/>
        <color rgb="FFFFEB84"/>
        <color rgb="FFF8696B"/>
      </colorScale>
    </cfRule>
  </conditionalFormatting>
  <conditionalFormatting sqref="F8642:F8665">
    <cfRule type="colorScale" priority="4612">
      <colorScale>
        <cfvo type="min"/>
        <cfvo type="percentile" val="50"/>
        <cfvo type="max"/>
        <color rgb="FF63BE7B"/>
        <color rgb="FFFFEB84"/>
        <color rgb="FFF8696B"/>
      </colorScale>
    </cfRule>
  </conditionalFormatting>
  <conditionalFormatting sqref="D8666:D8689">
    <cfRule type="colorScale" priority="4607">
      <colorScale>
        <cfvo type="min"/>
        <cfvo type="percentile" val="50"/>
        <cfvo type="max"/>
        <color rgb="FF63BE7B"/>
        <color rgb="FFFFEB84"/>
        <color rgb="FFF8696B"/>
      </colorScale>
    </cfRule>
  </conditionalFormatting>
  <conditionalFormatting sqref="F8666:F8689">
    <cfRule type="colorScale" priority="4604">
      <colorScale>
        <cfvo type="min"/>
        <cfvo type="percentile" val="50"/>
        <cfvo type="max"/>
        <color rgb="FF63BE7B"/>
        <color rgb="FFFFEB84"/>
        <color rgb="FFF8696B"/>
      </colorScale>
    </cfRule>
  </conditionalFormatting>
  <conditionalFormatting sqref="D8690:D8713">
    <cfRule type="colorScale" priority="4599">
      <colorScale>
        <cfvo type="min"/>
        <cfvo type="percentile" val="50"/>
        <cfvo type="max"/>
        <color rgb="FF63BE7B"/>
        <color rgb="FFFFEB84"/>
        <color rgb="FFF8696B"/>
      </colorScale>
    </cfRule>
  </conditionalFormatting>
  <conditionalFormatting sqref="F8690:F8713">
    <cfRule type="colorScale" priority="4596">
      <colorScale>
        <cfvo type="min"/>
        <cfvo type="percentile" val="50"/>
        <cfvo type="max"/>
        <color rgb="FF63BE7B"/>
        <color rgb="FFFFEB84"/>
        <color rgb="FFF8696B"/>
      </colorScale>
    </cfRule>
  </conditionalFormatting>
  <conditionalFormatting sqref="D8714:D8737">
    <cfRule type="colorScale" priority="4591">
      <colorScale>
        <cfvo type="min"/>
        <cfvo type="percentile" val="50"/>
        <cfvo type="max"/>
        <color rgb="FF63BE7B"/>
        <color rgb="FFFFEB84"/>
        <color rgb="FFF8696B"/>
      </colorScale>
    </cfRule>
  </conditionalFormatting>
  <conditionalFormatting sqref="F8714:F8737">
    <cfRule type="colorScale" priority="4588">
      <colorScale>
        <cfvo type="min"/>
        <cfvo type="percentile" val="50"/>
        <cfvo type="max"/>
        <color rgb="FF63BE7B"/>
        <color rgb="FFFFEB84"/>
        <color rgb="FFF8696B"/>
      </colorScale>
    </cfRule>
  </conditionalFormatting>
  <conditionalFormatting sqref="D8738:D8761">
    <cfRule type="colorScale" priority="4583">
      <colorScale>
        <cfvo type="min"/>
        <cfvo type="percentile" val="50"/>
        <cfvo type="max"/>
        <color rgb="FF63BE7B"/>
        <color rgb="FFFFEB84"/>
        <color rgb="FFF8696B"/>
      </colorScale>
    </cfRule>
  </conditionalFormatting>
  <conditionalFormatting sqref="F8738:F8761">
    <cfRule type="colorScale" priority="4580">
      <colorScale>
        <cfvo type="min"/>
        <cfvo type="percentile" val="50"/>
        <cfvo type="max"/>
        <color rgb="FF63BE7B"/>
        <color rgb="FFFFEB84"/>
        <color rgb="FFF8696B"/>
      </colorScale>
    </cfRule>
  </conditionalFormatting>
  <conditionalFormatting sqref="D8762:D8785">
    <cfRule type="colorScale" priority="4575">
      <colorScale>
        <cfvo type="min"/>
        <cfvo type="percentile" val="50"/>
        <cfvo type="max"/>
        <color rgb="FF63BE7B"/>
        <color rgb="FFFFEB84"/>
        <color rgb="FFF8696B"/>
      </colorScale>
    </cfRule>
  </conditionalFormatting>
  <conditionalFormatting sqref="F8762:F8785">
    <cfRule type="colorScale" priority="4572">
      <colorScale>
        <cfvo type="min"/>
        <cfvo type="percentile" val="50"/>
        <cfvo type="max"/>
        <color rgb="FF63BE7B"/>
        <color rgb="FFFFEB84"/>
        <color rgb="FFF8696B"/>
      </colorScale>
    </cfRule>
  </conditionalFormatting>
  <conditionalFormatting sqref="D8786:D8809">
    <cfRule type="colorScale" priority="4567">
      <colorScale>
        <cfvo type="min"/>
        <cfvo type="percentile" val="50"/>
        <cfvo type="max"/>
        <color rgb="FF63BE7B"/>
        <color rgb="FFFFEB84"/>
        <color rgb="FFF8696B"/>
      </colorScale>
    </cfRule>
  </conditionalFormatting>
  <conditionalFormatting sqref="F8786:F8809">
    <cfRule type="colorScale" priority="4564">
      <colorScale>
        <cfvo type="min"/>
        <cfvo type="percentile" val="50"/>
        <cfvo type="max"/>
        <color rgb="FF63BE7B"/>
        <color rgb="FFFFEB84"/>
        <color rgb="FFF8696B"/>
      </colorScale>
    </cfRule>
  </conditionalFormatting>
  <conditionalFormatting sqref="D8810:D8833">
    <cfRule type="colorScale" priority="4559">
      <colorScale>
        <cfvo type="min"/>
        <cfvo type="percentile" val="50"/>
        <cfvo type="max"/>
        <color rgb="FF63BE7B"/>
        <color rgb="FFFFEB84"/>
        <color rgb="FFF8696B"/>
      </colorScale>
    </cfRule>
  </conditionalFormatting>
  <conditionalFormatting sqref="F8810:F8833">
    <cfRule type="colorScale" priority="4556">
      <colorScale>
        <cfvo type="min"/>
        <cfvo type="percentile" val="50"/>
        <cfvo type="max"/>
        <color rgb="FF63BE7B"/>
        <color rgb="FFFFEB84"/>
        <color rgb="FFF8696B"/>
      </colorScale>
    </cfRule>
  </conditionalFormatting>
  <conditionalFormatting sqref="D8834:D8857">
    <cfRule type="colorScale" priority="4551">
      <colorScale>
        <cfvo type="min"/>
        <cfvo type="percentile" val="50"/>
        <cfvo type="max"/>
        <color rgb="FF63BE7B"/>
        <color rgb="FFFFEB84"/>
        <color rgb="FFF8696B"/>
      </colorScale>
    </cfRule>
  </conditionalFormatting>
  <conditionalFormatting sqref="F8834:F8857">
    <cfRule type="colorScale" priority="4548">
      <colorScale>
        <cfvo type="min"/>
        <cfvo type="percentile" val="50"/>
        <cfvo type="max"/>
        <color rgb="FF63BE7B"/>
        <color rgb="FFFFEB84"/>
        <color rgb="FFF8696B"/>
      </colorScale>
    </cfRule>
  </conditionalFormatting>
  <conditionalFormatting sqref="D8858:D8881">
    <cfRule type="colorScale" priority="4543">
      <colorScale>
        <cfvo type="min"/>
        <cfvo type="percentile" val="50"/>
        <cfvo type="max"/>
        <color rgb="FF63BE7B"/>
        <color rgb="FFFFEB84"/>
        <color rgb="FFF8696B"/>
      </colorScale>
    </cfRule>
  </conditionalFormatting>
  <conditionalFormatting sqref="F8858:F8881">
    <cfRule type="colorScale" priority="4540">
      <colorScale>
        <cfvo type="min"/>
        <cfvo type="percentile" val="50"/>
        <cfvo type="max"/>
        <color rgb="FF63BE7B"/>
        <color rgb="FFFFEB84"/>
        <color rgb="FFF8696B"/>
      </colorScale>
    </cfRule>
  </conditionalFormatting>
  <conditionalFormatting sqref="D8882:D8905">
    <cfRule type="colorScale" priority="4535">
      <colorScale>
        <cfvo type="min"/>
        <cfvo type="percentile" val="50"/>
        <cfvo type="max"/>
        <color rgb="FF63BE7B"/>
        <color rgb="FFFFEB84"/>
        <color rgb="FFF8696B"/>
      </colorScale>
    </cfRule>
  </conditionalFormatting>
  <conditionalFormatting sqref="F8882:F8905">
    <cfRule type="colorScale" priority="4532">
      <colorScale>
        <cfvo type="min"/>
        <cfvo type="percentile" val="50"/>
        <cfvo type="max"/>
        <color rgb="FF63BE7B"/>
        <color rgb="FFFFEB84"/>
        <color rgb="FFF8696B"/>
      </colorScale>
    </cfRule>
  </conditionalFormatting>
  <conditionalFormatting sqref="D8906:D8929">
    <cfRule type="colorScale" priority="4527">
      <colorScale>
        <cfvo type="min"/>
        <cfvo type="percentile" val="50"/>
        <cfvo type="max"/>
        <color rgb="FF63BE7B"/>
        <color rgb="FFFFEB84"/>
        <color rgb="FFF8696B"/>
      </colorScale>
    </cfRule>
  </conditionalFormatting>
  <conditionalFormatting sqref="F8906:F8929">
    <cfRule type="colorScale" priority="4524">
      <colorScale>
        <cfvo type="min"/>
        <cfvo type="percentile" val="50"/>
        <cfvo type="max"/>
        <color rgb="FF63BE7B"/>
        <color rgb="FFFFEB84"/>
        <color rgb="FFF8696B"/>
      </colorScale>
    </cfRule>
  </conditionalFormatting>
  <conditionalFormatting sqref="D8930:D8953">
    <cfRule type="colorScale" priority="4519">
      <colorScale>
        <cfvo type="min"/>
        <cfvo type="percentile" val="50"/>
        <cfvo type="max"/>
        <color rgb="FF63BE7B"/>
        <color rgb="FFFFEB84"/>
        <color rgb="FFF8696B"/>
      </colorScale>
    </cfRule>
  </conditionalFormatting>
  <conditionalFormatting sqref="F8930:F8953">
    <cfRule type="colorScale" priority="4516">
      <colorScale>
        <cfvo type="min"/>
        <cfvo type="percentile" val="50"/>
        <cfvo type="max"/>
        <color rgb="FF63BE7B"/>
        <color rgb="FFFFEB84"/>
        <color rgb="FFF8696B"/>
      </colorScale>
    </cfRule>
  </conditionalFormatting>
  <conditionalFormatting sqref="D8954:D8977">
    <cfRule type="colorScale" priority="4511">
      <colorScale>
        <cfvo type="min"/>
        <cfvo type="percentile" val="50"/>
        <cfvo type="max"/>
        <color rgb="FF63BE7B"/>
        <color rgb="FFFFEB84"/>
        <color rgb="FFF8696B"/>
      </colorScale>
    </cfRule>
  </conditionalFormatting>
  <conditionalFormatting sqref="F8954:F8977">
    <cfRule type="colorScale" priority="4508">
      <colorScale>
        <cfvo type="min"/>
        <cfvo type="percentile" val="50"/>
        <cfvo type="max"/>
        <color rgb="FF63BE7B"/>
        <color rgb="FFFFEB84"/>
        <color rgb="FFF8696B"/>
      </colorScale>
    </cfRule>
  </conditionalFormatting>
  <conditionalFormatting sqref="D8978:D9001">
    <cfRule type="colorScale" priority="4503">
      <colorScale>
        <cfvo type="min"/>
        <cfvo type="percentile" val="50"/>
        <cfvo type="max"/>
        <color rgb="FF63BE7B"/>
        <color rgb="FFFFEB84"/>
        <color rgb="FFF8696B"/>
      </colorScale>
    </cfRule>
  </conditionalFormatting>
  <conditionalFormatting sqref="F8978:F9001">
    <cfRule type="colorScale" priority="4500">
      <colorScale>
        <cfvo type="min"/>
        <cfvo type="percentile" val="50"/>
        <cfvo type="max"/>
        <color rgb="FF63BE7B"/>
        <color rgb="FFFFEB84"/>
        <color rgb="FFF8696B"/>
      </colorScale>
    </cfRule>
  </conditionalFormatting>
  <conditionalFormatting sqref="D9002:D9025">
    <cfRule type="colorScale" priority="4495">
      <colorScale>
        <cfvo type="min"/>
        <cfvo type="percentile" val="50"/>
        <cfvo type="max"/>
        <color rgb="FF63BE7B"/>
        <color rgb="FFFFEB84"/>
        <color rgb="FFF8696B"/>
      </colorScale>
    </cfRule>
  </conditionalFormatting>
  <conditionalFormatting sqref="F9002:F9025">
    <cfRule type="colorScale" priority="4492">
      <colorScale>
        <cfvo type="min"/>
        <cfvo type="percentile" val="50"/>
        <cfvo type="max"/>
        <color rgb="FF63BE7B"/>
        <color rgb="FFFFEB84"/>
        <color rgb="FFF8696B"/>
      </colorScale>
    </cfRule>
  </conditionalFormatting>
  <conditionalFormatting sqref="D9026:D9049">
    <cfRule type="colorScale" priority="4487">
      <colorScale>
        <cfvo type="min"/>
        <cfvo type="percentile" val="50"/>
        <cfvo type="max"/>
        <color rgb="FF63BE7B"/>
        <color rgb="FFFFEB84"/>
        <color rgb="FFF8696B"/>
      </colorScale>
    </cfRule>
  </conditionalFormatting>
  <conditionalFormatting sqref="F9026:F9049">
    <cfRule type="colorScale" priority="4484">
      <colorScale>
        <cfvo type="min"/>
        <cfvo type="percentile" val="50"/>
        <cfvo type="max"/>
        <color rgb="FF63BE7B"/>
        <color rgb="FFFFEB84"/>
        <color rgb="FFF8696B"/>
      </colorScale>
    </cfRule>
  </conditionalFormatting>
  <conditionalFormatting sqref="D9050:D9073">
    <cfRule type="colorScale" priority="4479">
      <colorScale>
        <cfvo type="min"/>
        <cfvo type="percentile" val="50"/>
        <cfvo type="max"/>
        <color rgb="FF63BE7B"/>
        <color rgb="FFFFEB84"/>
        <color rgb="FFF8696B"/>
      </colorScale>
    </cfRule>
  </conditionalFormatting>
  <conditionalFormatting sqref="F9050:F9073">
    <cfRule type="colorScale" priority="4476">
      <colorScale>
        <cfvo type="min"/>
        <cfvo type="percentile" val="50"/>
        <cfvo type="max"/>
        <color rgb="FF63BE7B"/>
        <color rgb="FFFFEB84"/>
        <color rgb="FFF8696B"/>
      </colorScale>
    </cfRule>
  </conditionalFormatting>
  <conditionalFormatting sqref="D9074:D9097">
    <cfRule type="colorScale" priority="4471">
      <colorScale>
        <cfvo type="min"/>
        <cfvo type="percentile" val="50"/>
        <cfvo type="max"/>
        <color rgb="FF63BE7B"/>
        <color rgb="FFFFEB84"/>
        <color rgb="FFF8696B"/>
      </colorScale>
    </cfRule>
  </conditionalFormatting>
  <conditionalFormatting sqref="F9074:F9097">
    <cfRule type="colorScale" priority="4468">
      <colorScale>
        <cfvo type="min"/>
        <cfvo type="percentile" val="50"/>
        <cfvo type="max"/>
        <color rgb="FF63BE7B"/>
        <color rgb="FFFFEB84"/>
        <color rgb="FFF8696B"/>
      </colorScale>
    </cfRule>
  </conditionalFormatting>
  <conditionalFormatting sqref="D9098:D9121">
    <cfRule type="colorScale" priority="4463">
      <colorScale>
        <cfvo type="min"/>
        <cfvo type="percentile" val="50"/>
        <cfvo type="max"/>
        <color rgb="FF63BE7B"/>
        <color rgb="FFFFEB84"/>
        <color rgb="FFF8696B"/>
      </colorScale>
    </cfRule>
  </conditionalFormatting>
  <conditionalFormatting sqref="F9098:F9121">
    <cfRule type="colorScale" priority="4460">
      <colorScale>
        <cfvo type="min"/>
        <cfvo type="percentile" val="50"/>
        <cfvo type="max"/>
        <color rgb="FF63BE7B"/>
        <color rgb="FFFFEB84"/>
        <color rgb="FFF8696B"/>
      </colorScale>
    </cfRule>
  </conditionalFormatting>
  <conditionalFormatting sqref="D9122:D9145">
    <cfRule type="colorScale" priority="4455">
      <colorScale>
        <cfvo type="min"/>
        <cfvo type="percentile" val="50"/>
        <cfvo type="max"/>
        <color rgb="FF63BE7B"/>
        <color rgb="FFFFEB84"/>
        <color rgb="FFF8696B"/>
      </colorScale>
    </cfRule>
  </conditionalFormatting>
  <conditionalFormatting sqref="F9122:F9145">
    <cfRule type="colorScale" priority="4452">
      <colorScale>
        <cfvo type="min"/>
        <cfvo type="percentile" val="50"/>
        <cfvo type="max"/>
        <color rgb="FF63BE7B"/>
        <color rgb="FFFFEB84"/>
        <color rgb="FFF8696B"/>
      </colorScale>
    </cfRule>
  </conditionalFormatting>
  <conditionalFormatting sqref="D9146:D9169">
    <cfRule type="colorScale" priority="4447">
      <colorScale>
        <cfvo type="min"/>
        <cfvo type="percentile" val="50"/>
        <cfvo type="max"/>
        <color rgb="FF63BE7B"/>
        <color rgb="FFFFEB84"/>
        <color rgb="FFF8696B"/>
      </colorScale>
    </cfRule>
  </conditionalFormatting>
  <conditionalFormatting sqref="F9146:F9169">
    <cfRule type="colorScale" priority="4444">
      <colorScale>
        <cfvo type="min"/>
        <cfvo type="percentile" val="50"/>
        <cfvo type="max"/>
        <color rgb="FF63BE7B"/>
        <color rgb="FFFFEB84"/>
        <color rgb="FFF8696B"/>
      </colorScale>
    </cfRule>
  </conditionalFormatting>
  <conditionalFormatting sqref="D9170:D9193">
    <cfRule type="colorScale" priority="4425">
      <colorScale>
        <cfvo type="min"/>
        <cfvo type="percentile" val="50"/>
        <cfvo type="max"/>
        <color rgb="FF63BE7B"/>
        <color rgb="FFFFEB84"/>
        <color rgb="FFF8696B"/>
      </colorScale>
    </cfRule>
  </conditionalFormatting>
  <conditionalFormatting sqref="F9170:F9193">
    <cfRule type="colorScale" priority="4422">
      <colorScale>
        <cfvo type="min"/>
        <cfvo type="percentile" val="50"/>
        <cfvo type="max"/>
        <color rgb="FF63BE7B"/>
        <color rgb="FFFFEB84"/>
        <color rgb="FFF8696B"/>
      </colorScale>
    </cfRule>
  </conditionalFormatting>
  <conditionalFormatting sqref="D9194:D9217">
    <cfRule type="colorScale" priority="4417">
      <colorScale>
        <cfvo type="min"/>
        <cfvo type="percentile" val="50"/>
        <cfvo type="max"/>
        <color rgb="FF63BE7B"/>
        <color rgb="FFFFEB84"/>
        <color rgb="FFF8696B"/>
      </colorScale>
    </cfRule>
  </conditionalFormatting>
  <conditionalFormatting sqref="F9194:F9217">
    <cfRule type="colorScale" priority="4414">
      <colorScale>
        <cfvo type="min"/>
        <cfvo type="percentile" val="50"/>
        <cfvo type="max"/>
        <color rgb="FF63BE7B"/>
        <color rgb="FFFFEB84"/>
        <color rgb="FFF8696B"/>
      </colorScale>
    </cfRule>
  </conditionalFormatting>
  <conditionalFormatting sqref="D9218:D9241">
    <cfRule type="colorScale" priority="4409">
      <colorScale>
        <cfvo type="min"/>
        <cfvo type="percentile" val="50"/>
        <cfvo type="max"/>
        <color rgb="FF63BE7B"/>
        <color rgb="FFFFEB84"/>
        <color rgb="FFF8696B"/>
      </colorScale>
    </cfRule>
  </conditionalFormatting>
  <conditionalFormatting sqref="F9218:F9241">
    <cfRule type="colorScale" priority="4406">
      <colorScale>
        <cfvo type="min"/>
        <cfvo type="percentile" val="50"/>
        <cfvo type="max"/>
        <color rgb="FF63BE7B"/>
        <color rgb="FFFFEB84"/>
        <color rgb="FFF8696B"/>
      </colorScale>
    </cfRule>
  </conditionalFormatting>
  <conditionalFormatting sqref="D9242:D9265">
    <cfRule type="colorScale" priority="4401">
      <colorScale>
        <cfvo type="min"/>
        <cfvo type="percentile" val="50"/>
        <cfvo type="max"/>
        <color rgb="FF63BE7B"/>
        <color rgb="FFFFEB84"/>
        <color rgb="FFF8696B"/>
      </colorScale>
    </cfRule>
  </conditionalFormatting>
  <conditionalFormatting sqref="F9242:F9265">
    <cfRule type="colorScale" priority="4398">
      <colorScale>
        <cfvo type="min"/>
        <cfvo type="percentile" val="50"/>
        <cfvo type="max"/>
        <color rgb="FF63BE7B"/>
        <color rgb="FFFFEB84"/>
        <color rgb="FFF8696B"/>
      </colorScale>
    </cfRule>
  </conditionalFormatting>
  <conditionalFormatting sqref="D9266:D9289">
    <cfRule type="colorScale" priority="4393">
      <colorScale>
        <cfvo type="min"/>
        <cfvo type="percentile" val="50"/>
        <cfvo type="max"/>
        <color rgb="FF63BE7B"/>
        <color rgb="FFFFEB84"/>
        <color rgb="FFF8696B"/>
      </colorScale>
    </cfRule>
  </conditionalFormatting>
  <conditionalFormatting sqref="F9266:F9289">
    <cfRule type="colorScale" priority="4390">
      <colorScale>
        <cfvo type="min"/>
        <cfvo type="percentile" val="50"/>
        <cfvo type="max"/>
        <color rgb="FF63BE7B"/>
        <color rgb="FFFFEB84"/>
        <color rgb="FFF8696B"/>
      </colorScale>
    </cfRule>
  </conditionalFormatting>
  <conditionalFormatting sqref="F9290:F9313">
    <cfRule type="colorScale" priority="4383">
      <colorScale>
        <cfvo type="min"/>
        <cfvo type="percentile" val="50"/>
        <cfvo type="max"/>
        <color rgb="FF63BE7B"/>
        <color rgb="FFFFEB84"/>
        <color rgb="FFF8696B"/>
      </colorScale>
    </cfRule>
  </conditionalFormatting>
  <conditionalFormatting sqref="D9290:D9313">
    <cfRule type="colorScale" priority="4378">
      <colorScale>
        <cfvo type="min"/>
        <cfvo type="percentile" val="50"/>
        <cfvo type="max"/>
        <color rgb="FF63BE7B"/>
        <color rgb="FFFFEB84"/>
        <color rgb="FFF8696B"/>
      </colorScale>
    </cfRule>
  </conditionalFormatting>
  <conditionalFormatting sqref="D9314:D9337">
    <cfRule type="colorScale" priority="4377">
      <colorScale>
        <cfvo type="min"/>
        <cfvo type="percentile" val="50"/>
        <cfvo type="max"/>
        <color rgb="FF63BE7B"/>
        <color rgb="FFFFEB84"/>
        <color rgb="FFF8696B"/>
      </colorScale>
    </cfRule>
  </conditionalFormatting>
  <conditionalFormatting sqref="F9314:F9337">
    <cfRule type="colorScale" priority="4374">
      <colorScale>
        <cfvo type="min"/>
        <cfvo type="percentile" val="50"/>
        <cfvo type="max"/>
        <color rgb="FF63BE7B"/>
        <color rgb="FFFFEB84"/>
        <color rgb="FFF8696B"/>
      </colorScale>
    </cfRule>
  </conditionalFormatting>
  <conditionalFormatting sqref="D9338:D9361">
    <cfRule type="colorScale" priority="4369">
      <colorScale>
        <cfvo type="min"/>
        <cfvo type="percentile" val="50"/>
        <cfvo type="max"/>
        <color rgb="FF63BE7B"/>
        <color rgb="FFFFEB84"/>
        <color rgb="FFF8696B"/>
      </colorScale>
    </cfRule>
  </conditionalFormatting>
  <conditionalFormatting sqref="F9338:F9361">
    <cfRule type="colorScale" priority="4366">
      <colorScale>
        <cfvo type="min"/>
        <cfvo type="percentile" val="50"/>
        <cfvo type="max"/>
        <color rgb="FF63BE7B"/>
        <color rgb="FFFFEB84"/>
        <color rgb="FFF8696B"/>
      </colorScale>
    </cfRule>
  </conditionalFormatting>
  <conditionalFormatting sqref="D9362:D9385">
    <cfRule type="colorScale" priority="4361">
      <colorScale>
        <cfvo type="min"/>
        <cfvo type="percentile" val="50"/>
        <cfvo type="max"/>
        <color rgb="FF63BE7B"/>
        <color rgb="FFFFEB84"/>
        <color rgb="FFF8696B"/>
      </colorScale>
    </cfRule>
  </conditionalFormatting>
  <conditionalFormatting sqref="F9362:F9385">
    <cfRule type="colorScale" priority="4358">
      <colorScale>
        <cfvo type="min"/>
        <cfvo type="percentile" val="50"/>
        <cfvo type="max"/>
        <color rgb="FF63BE7B"/>
        <color rgb="FFFFEB84"/>
        <color rgb="FFF8696B"/>
      </colorScale>
    </cfRule>
  </conditionalFormatting>
  <conditionalFormatting sqref="D9386:D9409">
    <cfRule type="colorScale" priority="4353">
      <colorScale>
        <cfvo type="min"/>
        <cfvo type="percentile" val="50"/>
        <cfvo type="max"/>
        <color rgb="FF63BE7B"/>
        <color rgb="FFFFEB84"/>
        <color rgb="FFF8696B"/>
      </colorScale>
    </cfRule>
  </conditionalFormatting>
  <conditionalFormatting sqref="F9386:F9409">
    <cfRule type="colorScale" priority="4350">
      <colorScale>
        <cfvo type="min"/>
        <cfvo type="percentile" val="50"/>
        <cfvo type="max"/>
        <color rgb="FF63BE7B"/>
        <color rgb="FFFFEB84"/>
        <color rgb="FFF8696B"/>
      </colorScale>
    </cfRule>
  </conditionalFormatting>
  <conditionalFormatting sqref="D9410:D9433">
    <cfRule type="colorScale" priority="4345">
      <colorScale>
        <cfvo type="min"/>
        <cfvo type="percentile" val="50"/>
        <cfvo type="max"/>
        <color rgb="FF63BE7B"/>
        <color rgb="FFFFEB84"/>
        <color rgb="FFF8696B"/>
      </colorScale>
    </cfRule>
  </conditionalFormatting>
  <conditionalFormatting sqref="F9410:F9433">
    <cfRule type="colorScale" priority="4342">
      <colorScale>
        <cfvo type="min"/>
        <cfvo type="percentile" val="50"/>
        <cfvo type="max"/>
        <color rgb="FF63BE7B"/>
        <color rgb="FFFFEB84"/>
        <color rgb="FFF8696B"/>
      </colorScale>
    </cfRule>
  </conditionalFormatting>
  <conditionalFormatting sqref="D9434:D9457">
    <cfRule type="colorScale" priority="4337">
      <colorScale>
        <cfvo type="min"/>
        <cfvo type="percentile" val="50"/>
        <cfvo type="max"/>
        <color rgb="FF63BE7B"/>
        <color rgb="FFFFEB84"/>
        <color rgb="FFF8696B"/>
      </colorScale>
    </cfRule>
  </conditionalFormatting>
  <conditionalFormatting sqref="F9434:F9457">
    <cfRule type="colorScale" priority="4334">
      <colorScale>
        <cfvo type="min"/>
        <cfvo type="percentile" val="50"/>
        <cfvo type="max"/>
        <color rgb="FF63BE7B"/>
        <color rgb="FFFFEB84"/>
        <color rgb="FFF8696B"/>
      </colorScale>
    </cfRule>
  </conditionalFormatting>
  <conditionalFormatting sqref="D9458:D9481">
    <cfRule type="colorScale" priority="4329">
      <colorScale>
        <cfvo type="min"/>
        <cfvo type="percentile" val="50"/>
        <cfvo type="max"/>
        <color rgb="FF63BE7B"/>
        <color rgb="FFFFEB84"/>
        <color rgb="FFF8696B"/>
      </colorScale>
    </cfRule>
  </conditionalFormatting>
  <conditionalFormatting sqref="F9458:F9481">
    <cfRule type="colorScale" priority="4326">
      <colorScale>
        <cfvo type="min"/>
        <cfvo type="percentile" val="50"/>
        <cfvo type="max"/>
        <color rgb="FF63BE7B"/>
        <color rgb="FFFFEB84"/>
        <color rgb="FFF8696B"/>
      </colorScale>
    </cfRule>
  </conditionalFormatting>
  <conditionalFormatting sqref="D9482:D9505">
    <cfRule type="colorScale" priority="4321">
      <colorScale>
        <cfvo type="min"/>
        <cfvo type="percentile" val="50"/>
        <cfvo type="max"/>
        <color rgb="FF63BE7B"/>
        <color rgb="FFFFEB84"/>
        <color rgb="FFF8696B"/>
      </colorScale>
    </cfRule>
  </conditionalFormatting>
  <conditionalFormatting sqref="F9482:F9505">
    <cfRule type="colorScale" priority="4318">
      <colorScale>
        <cfvo type="min"/>
        <cfvo type="percentile" val="50"/>
        <cfvo type="max"/>
        <color rgb="FF63BE7B"/>
        <color rgb="FFFFEB84"/>
        <color rgb="FFF8696B"/>
      </colorScale>
    </cfRule>
  </conditionalFormatting>
  <conditionalFormatting sqref="D9506:D9529">
    <cfRule type="colorScale" priority="4313">
      <colorScale>
        <cfvo type="min"/>
        <cfvo type="percentile" val="50"/>
        <cfvo type="max"/>
        <color rgb="FF63BE7B"/>
        <color rgb="FFFFEB84"/>
        <color rgb="FFF8696B"/>
      </colorScale>
    </cfRule>
  </conditionalFormatting>
  <conditionalFormatting sqref="F9506:F9529">
    <cfRule type="colorScale" priority="4310">
      <colorScale>
        <cfvo type="min"/>
        <cfvo type="percentile" val="50"/>
        <cfvo type="max"/>
        <color rgb="FF63BE7B"/>
        <color rgb="FFFFEB84"/>
        <color rgb="FFF8696B"/>
      </colorScale>
    </cfRule>
  </conditionalFormatting>
  <conditionalFormatting sqref="D9530:D9553">
    <cfRule type="colorScale" priority="4305">
      <colorScale>
        <cfvo type="min"/>
        <cfvo type="percentile" val="50"/>
        <cfvo type="max"/>
        <color rgb="FF63BE7B"/>
        <color rgb="FFFFEB84"/>
        <color rgb="FFF8696B"/>
      </colorScale>
    </cfRule>
  </conditionalFormatting>
  <conditionalFormatting sqref="F9530:F9553">
    <cfRule type="colorScale" priority="4302">
      <colorScale>
        <cfvo type="min"/>
        <cfvo type="percentile" val="50"/>
        <cfvo type="max"/>
        <color rgb="FF63BE7B"/>
        <color rgb="FFFFEB84"/>
        <color rgb="FFF8696B"/>
      </colorScale>
    </cfRule>
  </conditionalFormatting>
  <conditionalFormatting sqref="D9554:D9577">
    <cfRule type="colorScale" priority="4297">
      <colorScale>
        <cfvo type="min"/>
        <cfvo type="percentile" val="50"/>
        <cfvo type="max"/>
        <color rgb="FF63BE7B"/>
        <color rgb="FFFFEB84"/>
        <color rgb="FFF8696B"/>
      </colorScale>
    </cfRule>
  </conditionalFormatting>
  <conditionalFormatting sqref="F9554:F9577">
    <cfRule type="colorScale" priority="4294">
      <colorScale>
        <cfvo type="min"/>
        <cfvo type="percentile" val="50"/>
        <cfvo type="max"/>
        <color rgb="FF63BE7B"/>
        <color rgb="FFFFEB84"/>
        <color rgb="FFF8696B"/>
      </colorScale>
    </cfRule>
  </conditionalFormatting>
  <conditionalFormatting sqref="D9578:D9601">
    <cfRule type="colorScale" priority="4289">
      <colorScale>
        <cfvo type="min"/>
        <cfvo type="percentile" val="50"/>
        <cfvo type="max"/>
        <color rgb="FF63BE7B"/>
        <color rgb="FFFFEB84"/>
        <color rgb="FFF8696B"/>
      </colorScale>
    </cfRule>
  </conditionalFormatting>
  <conditionalFormatting sqref="F9578:F9601">
    <cfRule type="colorScale" priority="4286">
      <colorScale>
        <cfvo type="min"/>
        <cfvo type="percentile" val="50"/>
        <cfvo type="max"/>
        <color rgb="FF63BE7B"/>
        <color rgb="FFFFEB84"/>
        <color rgb="FFF8696B"/>
      </colorScale>
    </cfRule>
  </conditionalFormatting>
  <conditionalFormatting sqref="D9602:D9625">
    <cfRule type="colorScale" priority="4279">
      <colorScale>
        <cfvo type="min"/>
        <cfvo type="percentile" val="50"/>
        <cfvo type="max"/>
        <color rgb="FF63BE7B"/>
        <color rgb="FFFFEB84"/>
        <color rgb="FFF8696B"/>
      </colorScale>
    </cfRule>
  </conditionalFormatting>
  <conditionalFormatting sqref="F9602:F9625">
    <cfRule type="colorScale" priority="4276">
      <colorScale>
        <cfvo type="min"/>
        <cfvo type="percentile" val="50"/>
        <cfvo type="max"/>
        <color rgb="FF63BE7B"/>
        <color rgb="FFFFEB84"/>
        <color rgb="FFF8696B"/>
      </colorScale>
    </cfRule>
  </conditionalFormatting>
  <conditionalFormatting sqref="D9626:D9649">
    <cfRule type="colorScale" priority="4271">
      <colorScale>
        <cfvo type="min"/>
        <cfvo type="percentile" val="50"/>
        <cfvo type="max"/>
        <color rgb="FF63BE7B"/>
        <color rgb="FFFFEB84"/>
        <color rgb="FFF8696B"/>
      </colorScale>
    </cfRule>
  </conditionalFormatting>
  <conditionalFormatting sqref="F9626:F9649">
    <cfRule type="colorScale" priority="4268">
      <colorScale>
        <cfvo type="min"/>
        <cfvo type="percentile" val="50"/>
        <cfvo type="max"/>
        <color rgb="FF63BE7B"/>
        <color rgb="FFFFEB84"/>
        <color rgb="FFF8696B"/>
      </colorScale>
    </cfRule>
  </conditionalFormatting>
  <conditionalFormatting sqref="D9650:D9673">
    <cfRule type="colorScale" priority="4263">
      <colorScale>
        <cfvo type="min"/>
        <cfvo type="percentile" val="50"/>
        <cfvo type="max"/>
        <color rgb="FF63BE7B"/>
        <color rgb="FFFFEB84"/>
        <color rgb="FFF8696B"/>
      </colorScale>
    </cfRule>
  </conditionalFormatting>
  <conditionalFormatting sqref="F9650:F9673">
    <cfRule type="colorScale" priority="4260">
      <colorScale>
        <cfvo type="min"/>
        <cfvo type="percentile" val="50"/>
        <cfvo type="max"/>
        <color rgb="FF63BE7B"/>
        <color rgb="FFFFEB84"/>
        <color rgb="FFF8696B"/>
      </colorScale>
    </cfRule>
  </conditionalFormatting>
  <conditionalFormatting sqref="D9674:D9697">
    <cfRule type="colorScale" priority="4255">
      <colorScale>
        <cfvo type="min"/>
        <cfvo type="percentile" val="50"/>
        <cfvo type="max"/>
        <color rgb="FF63BE7B"/>
        <color rgb="FFFFEB84"/>
        <color rgb="FFF8696B"/>
      </colorScale>
    </cfRule>
  </conditionalFormatting>
  <conditionalFormatting sqref="F9674:F9697">
    <cfRule type="colorScale" priority="4252">
      <colorScale>
        <cfvo type="min"/>
        <cfvo type="percentile" val="50"/>
        <cfvo type="max"/>
        <color rgb="FF63BE7B"/>
        <color rgb="FFFFEB84"/>
        <color rgb="FFF8696B"/>
      </colorScale>
    </cfRule>
  </conditionalFormatting>
  <conditionalFormatting sqref="D9698:D9721">
    <cfRule type="colorScale" priority="4247">
      <colorScale>
        <cfvo type="min"/>
        <cfvo type="percentile" val="50"/>
        <cfvo type="max"/>
        <color rgb="FF63BE7B"/>
        <color rgb="FFFFEB84"/>
        <color rgb="FFF8696B"/>
      </colorScale>
    </cfRule>
  </conditionalFormatting>
  <conditionalFormatting sqref="F9698:F9721">
    <cfRule type="colorScale" priority="4244">
      <colorScale>
        <cfvo type="min"/>
        <cfvo type="percentile" val="50"/>
        <cfvo type="max"/>
        <color rgb="FF63BE7B"/>
        <color rgb="FFFFEB84"/>
        <color rgb="FFF8696B"/>
      </colorScale>
    </cfRule>
  </conditionalFormatting>
  <conditionalFormatting sqref="D9722:D9745">
    <cfRule type="colorScale" priority="4239">
      <colorScale>
        <cfvo type="min"/>
        <cfvo type="percentile" val="50"/>
        <cfvo type="max"/>
        <color rgb="FF63BE7B"/>
        <color rgb="FFFFEB84"/>
        <color rgb="FFF8696B"/>
      </colorScale>
    </cfRule>
  </conditionalFormatting>
  <conditionalFormatting sqref="F9722:F9745">
    <cfRule type="colorScale" priority="4236">
      <colorScale>
        <cfvo type="min"/>
        <cfvo type="percentile" val="50"/>
        <cfvo type="max"/>
        <color rgb="FF63BE7B"/>
        <color rgb="FFFFEB84"/>
        <color rgb="FFF8696B"/>
      </colorScale>
    </cfRule>
  </conditionalFormatting>
  <conditionalFormatting sqref="D9746:D9769">
    <cfRule type="colorScale" priority="4231">
      <colorScale>
        <cfvo type="min"/>
        <cfvo type="percentile" val="50"/>
        <cfvo type="max"/>
        <color rgb="FF63BE7B"/>
        <color rgb="FFFFEB84"/>
        <color rgb="FFF8696B"/>
      </colorScale>
    </cfRule>
  </conditionalFormatting>
  <conditionalFormatting sqref="F9746:F9769">
    <cfRule type="colorScale" priority="4228">
      <colorScale>
        <cfvo type="min"/>
        <cfvo type="percentile" val="50"/>
        <cfvo type="max"/>
        <color rgb="FF63BE7B"/>
        <color rgb="FFFFEB84"/>
        <color rgb="FFF8696B"/>
      </colorScale>
    </cfRule>
  </conditionalFormatting>
  <conditionalFormatting sqref="D9770:D9793">
    <cfRule type="colorScale" priority="4223">
      <colorScale>
        <cfvo type="min"/>
        <cfvo type="percentile" val="50"/>
        <cfvo type="max"/>
        <color rgb="FF63BE7B"/>
        <color rgb="FFFFEB84"/>
        <color rgb="FFF8696B"/>
      </colorScale>
    </cfRule>
  </conditionalFormatting>
  <conditionalFormatting sqref="F9770:F9793">
    <cfRule type="colorScale" priority="4220">
      <colorScale>
        <cfvo type="min"/>
        <cfvo type="percentile" val="50"/>
        <cfvo type="max"/>
        <color rgb="FF63BE7B"/>
        <color rgb="FFFFEB84"/>
        <color rgb="FFF8696B"/>
      </colorScale>
    </cfRule>
  </conditionalFormatting>
  <conditionalFormatting sqref="D9794:D9817">
    <cfRule type="colorScale" priority="4215">
      <colorScale>
        <cfvo type="min"/>
        <cfvo type="percentile" val="50"/>
        <cfvo type="max"/>
        <color rgb="FF63BE7B"/>
        <color rgb="FFFFEB84"/>
        <color rgb="FFF8696B"/>
      </colorScale>
    </cfRule>
  </conditionalFormatting>
  <conditionalFormatting sqref="F9794:F9817">
    <cfRule type="colorScale" priority="4212">
      <colorScale>
        <cfvo type="min"/>
        <cfvo type="percentile" val="50"/>
        <cfvo type="max"/>
        <color rgb="FF63BE7B"/>
        <color rgb="FFFFEB84"/>
        <color rgb="FFF8696B"/>
      </colorScale>
    </cfRule>
  </conditionalFormatting>
  <conditionalFormatting sqref="D9818:D9841">
    <cfRule type="colorScale" priority="4207">
      <colorScale>
        <cfvo type="min"/>
        <cfvo type="percentile" val="50"/>
        <cfvo type="max"/>
        <color rgb="FF63BE7B"/>
        <color rgb="FFFFEB84"/>
        <color rgb="FFF8696B"/>
      </colorScale>
    </cfRule>
  </conditionalFormatting>
  <conditionalFormatting sqref="F9818:F9841">
    <cfRule type="colorScale" priority="4204">
      <colorScale>
        <cfvo type="min"/>
        <cfvo type="percentile" val="50"/>
        <cfvo type="max"/>
        <color rgb="FF63BE7B"/>
        <color rgb="FFFFEB84"/>
        <color rgb="FFF8696B"/>
      </colorScale>
    </cfRule>
  </conditionalFormatting>
  <conditionalFormatting sqref="D9842:D9865">
    <cfRule type="colorScale" priority="4199">
      <colorScale>
        <cfvo type="min"/>
        <cfvo type="percentile" val="50"/>
        <cfvo type="max"/>
        <color rgb="FF63BE7B"/>
        <color rgb="FFFFEB84"/>
        <color rgb="FFF8696B"/>
      </colorScale>
    </cfRule>
  </conditionalFormatting>
  <conditionalFormatting sqref="F9842:F9865">
    <cfRule type="colorScale" priority="4196">
      <colorScale>
        <cfvo type="min"/>
        <cfvo type="percentile" val="50"/>
        <cfvo type="max"/>
        <color rgb="FF63BE7B"/>
        <color rgb="FFFFEB84"/>
        <color rgb="FFF8696B"/>
      </colorScale>
    </cfRule>
  </conditionalFormatting>
  <conditionalFormatting sqref="D9866:D9889">
    <cfRule type="colorScale" priority="4191">
      <colorScale>
        <cfvo type="min"/>
        <cfvo type="percentile" val="50"/>
        <cfvo type="max"/>
        <color rgb="FF63BE7B"/>
        <color rgb="FFFFEB84"/>
        <color rgb="FFF8696B"/>
      </colorScale>
    </cfRule>
  </conditionalFormatting>
  <conditionalFormatting sqref="F9866:F9889">
    <cfRule type="colorScale" priority="4188">
      <colorScale>
        <cfvo type="min"/>
        <cfvo type="percentile" val="50"/>
        <cfvo type="max"/>
        <color rgb="FF63BE7B"/>
        <color rgb="FFFFEB84"/>
        <color rgb="FFF8696B"/>
      </colorScale>
    </cfRule>
  </conditionalFormatting>
  <conditionalFormatting sqref="D9890:D9913">
    <cfRule type="colorScale" priority="4183">
      <colorScale>
        <cfvo type="min"/>
        <cfvo type="percentile" val="50"/>
        <cfvo type="max"/>
        <color rgb="FF63BE7B"/>
        <color rgb="FFFFEB84"/>
        <color rgb="FFF8696B"/>
      </colorScale>
    </cfRule>
  </conditionalFormatting>
  <conditionalFormatting sqref="F9890:F9913">
    <cfRule type="colorScale" priority="4180">
      <colorScale>
        <cfvo type="min"/>
        <cfvo type="percentile" val="50"/>
        <cfvo type="max"/>
        <color rgb="FF63BE7B"/>
        <color rgb="FFFFEB84"/>
        <color rgb="FFF8696B"/>
      </colorScale>
    </cfRule>
  </conditionalFormatting>
  <conditionalFormatting sqref="D9914:D9937">
    <cfRule type="colorScale" priority="4175">
      <colorScale>
        <cfvo type="min"/>
        <cfvo type="percentile" val="50"/>
        <cfvo type="max"/>
        <color rgb="FF63BE7B"/>
        <color rgb="FFFFEB84"/>
        <color rgb="FFF8696B"/>
      </colorScale>
    </cfRule>
  </conditionalFormatting>
  <conditionalFormatting sqref="F9914:F9937">
    <cfRule type="colorScale" priority="4172">
      <colorScale>
        <cfvo type="min"/>
        <cfvo type="percentile" val="50"/>
        <cfvo type="max"/>
        <color rgb="FF63BE7B"/>
        <color rgb="FFFFEB84"/>
        <color rgb="FFF8696B"/>
      </colorScale>
    </cfRule>
  </conditionalFormatting>
  <conditionalFormatting sqref="D9938:D9961">
    <cfRule type="colorScale" priority="4167">
      <colorScale>
        <cfvo type="min"/>
        <cfvo type="percentile" val="50"/>
        <cfvo type="max"/>
        <color rgb="FF63BE7B"/>
        <color rgb="FFFFEB84"/>
        <color rgb="FFF8696B"/>
      </colorScale>
    </cfRule>
  </conditionalFormatting>
  <conditionalFormatting sqref="F9938:F9961">
    <cfRule type="colorScale" priority="4164">
      <colorScale>
        <cfvo type="min"/>
        <cfvo type="percentile" val="50"/>
        <cfvo type="max"/>
        <color rgb="FF63BE7B"/>
        <color rgb="FFFFEB84"/>
        <color rgb="FFF8696B"/>
      </colorScale>
    </cfRule>
  </conditionalFormatting>
  <conditionalFormatting sqref="D9962:D9985">
    <cfRule type="colorScale" priority="4159">
      <colorScale>
        <cfvo type="min"/>
        <cfvo type="percentile" val="50"/>
        <cfvo type="max"/>
        <color rgb="FF63BE7B"/>
        <color rgb="FFFFEB84"/>
        <color rgb="FFF8696B"/>
      </colorScale>
    </cfRule>
  </conditionalFormatting>
  <conditionalFormatting sqref="F9962:F9985">
    <cfRule type="colorScale" priority="4156">
      <colorScale>
        <cfvo type="min"/>
        <cfvo type="percentile" val="50"/>
        <cfvo type="max"/>
        <color rgb="FF63BE7B"/>
        <color rgb="FFFFEB84"/>
        <color rgb="FFF8696B"/>
      </colorScale>
    </cfRule>
  </conditionalFormatting>
  <conditionalFormatting sqref="D9986:D10009">
    <cfRule type="colorScale" priority="4150">
      <colorScale>
        <cfvo type="min"/>
        <cfvo type="percentile" val="50"/>
        <cfvo type="max"/>
        <color rgb="FF63BE7B"/>
        <color rgb="FFFFEB84"/>
        <color rgb="FFF8696B"/>
      </colorScale>
    </cfRule>
  </conditionalFormatting>
  <conditionalFormatting sqref="F9986:F10009">
    <cfRule type="colorScale" priority="4147">
      <colorScale>
        <cfvo type="min"/>
        <cfvo type="percentile" val="50"/>
        <cfvo type="max"/>
        <color rgb="FF63BE7B"/>
        <color rgb="FFFFEB84"/>
        <color rgb="FFF8696B"/>
      </colorScale>
    </cfRule>
  </conditionalFormatting>
  <conditionalFormatting sqref="D10010:D10033">
    <cfRule type="colorScale" priority="4142">
      <colorScale>
        <cfvo type="min"/>
        <cfvo type="percentile" val="50"/>
        <cfvo type="max"/>
        <color rgb="FF63BE7B"/>
        <color rgb="FFFFEB84"/>
        <color rgb="FFF8696B"/>
      </colorScale>
    </cfRule>
  </conditionalFormatting>
  <conditionalFormatting sqref="F10010:F10033">
    <cfRule type="colorScale" priority="4139">
      <colorScale>
        <cfvo type="min"/>
        <cfvo type="percentile" val="50"/>
        <cfvo type="max"/>
        <color rgb="FF63BE7B"/>
        <color rgb="FFFFEB84"/>
        <color rgb="FFF8696B"/>
      </colorScale>
    </cfRule>
  </conditionalFormatting>
  <conditionalFormatting sqref="D10034:D10057">
    <cfRule type="colorScale" priority="4134">
      <colorScale>
        <cfvo type="min"/>
        <cfvo type="percentile" val="50"/>
        <cfvo type="max"/>
        <color rgb="FF63BE7B"/>
        <color rgb="FFFFEB84"/>
        <color rgb="FFF8696B"/>
      </colorScale>
    </cfRule>
  </conditionalFormatting>
  <conditionalFormatting sqref="F10034:F10057">
    <cfRule type="colorScale" priority="4131">
      <colorScale>
        <cfvo type="min"/>
        <cfvo type="percentile" val="50"/>
        <cfvo type="max"/>
        <color rgb="FF63BE7B"/>
        <color rgb="FFFFEB84"/>
        <color rgb="FFF8696B"/>
      </colorScale>
    </cfRule>
  </conditionalFormatting>
  <conditionalFormatting sqref="D10058:D10081">
    <cfRule type="colorScale" priority="4123">
      <colorScale>
        <cfvo type="min"/>
        <cfvo type="percentile" val="50"/>
        <cfvo type="max"/>
        <color rgb="FF63BE7B"/>
        <color rgb="FFFFEB84"/>
        <color rgb="FFF8696B"/>
      </colorScale>
    </cfRule>
  </conditionalFormatting>
  <conditionalFormatting sqref="F10058:F10081">
    <cfRule type="colorScale" priority="4120">
      <colorScale>
        <cfvo type="min"/>
        <cfvo type="percentile" val="50"/>
        <cfvo type="max"/>
        <color rgb="FF63BE7B"/>
        <color rgb="FFFFEB84"/>
        <color rgb="FFF8696B"/>
      </colorScale>
    </cfRule>
  </conditionalFormatting>
  <conditionalFormatting sqref="D10082:D10105">
    <cfRule type="colorScale" priority="4112">
      <colorScale>
        <cfvo type="min"/>
        <cfvo type="percentile" val="50"/>
        <cfvo type="max"/>
        <color rgb="FF63BE7B"/>
        <color rgb="FFFFEB84"/>
        <color rgb="FFF8696B"/>
      </colorScale>
    </cfRule>
  </conditionalFormatting>
  <conditionalFormatting sqref="F10082:F10105">
    <cfRule type="colorScale" priority="4107">
      <colorScale>
        <cfvo type="min"/>
        <cfvo type="percentile" val="50"/>
        <cfvo type="max"/>
        <color rgb="FF63BE7B"/>
        <color rgb="FFFFEB84"/>
        <color rgb="FFF8696B"/>
      </colorScale>
    </cfRule>
  </conditionalFormatting>
  <conditionalFormatting sqref="D10106:D10129">
    <cfRule type="colorScale" priority="4010">
      <colorScale>
        <cfvo type="min"/>
        <cfvo type="percentile" val="50"/>
        <cfvo type="max"/>
        <color rgb="FF63BE7B"/>
        <color rgb="FFFFEB84"/>
        <color rgb="FFF8696B"/>
      </colorScale>
    </cfRule>
  </conditionalFormatting>
  <conditionalFormatting sqref="F10106:F10129">
    <cfRule type="colorScale" priority="4007">
      <colorScale>
        <cfvo type="min"/>
        <cfvo type="percentile" val="50"/>
        <cfvo type="max"/>
        <color rgb="FF63BE7B"/>
        <color rgb="FFFFEB84"/>
        <color rgb="FFF8696B"/>
      </colorScale>
    </cfRule>
  </conditionalFormatting>
  <conditionalFormatting sqref="D10130:D10153">
    <cfRule type="colorScale" priority="3999">
      <colorScale>
        <cfvo type="min"/>
        <cfvo type="percentile" val="50"/>
        <cfvo type="max"/>
        <color rgb="FF63BE7B"/>
        <color rgb="FFFFEB84"/>
        <color rgb="FFF8696B"/>
      </colorScale>
    </cfRule>
  </conditionalFormatting>
  <conditionalFormatting sqref="F10130:F10153">
    <cfRule type="colorScale" priority="3996">
      <colorScale>
        <cfvo type="min"/>
        <cfvo type="percentile" val="50"/>
        <cfvo type="max"/>
        <color rgb="FF63BE7B"/>
        <color rgb="FFFFEB84"/>
        <color rgb="FFF8696B"/>
      </colorScale>
    </cfRule>
  </conditionalFormatting>
  <conditionalFormatting sqref="D10154:D10177">
    <cfRule type="colorScale" priority="3988">
      <colorScale>
        <cfvo type="min"/>
        <cfvo type="percentile" val="50"/>
        <cfvo type="max"/>
        <color rgb="FF63BE7B"/>
        <color rgb="FFFFEB84"/>
        <color rgb="FFF8696B"/>
      </colorScale>
    </cfRule>
  </conditionalFormatting>
  <conditionalFormatting sqref="F10154:F10177">
    <cfRule type="colorScale" priority="3985">
      <colorScale>
        <cfvo type="min"/>
        <cfvo type="percentile" val="50"/>
        <cfvo type="max"/>
        <color rgb="FF63BE7B"/>
        <color rgb="FFFFEB84"/>
        <color rgb="FFF8696B"/>
      </colorScale>
    </cfRule>
  </conditionalFormatting>
  <conditionalFormatting sqref="D10178:D10201">
    <cfRule type="colorScale" priority="3977">
      <colorScale>
        <cfvo type="min"/>
        <cfvo type="percentile" val="50"/>
        <cfvo type="max"/>
        <color rgb="FF63BE7B"/>
        <color rgb="FFFFEB84"/>
        <color rgb="FFF8696B"/>
      </colorScale>
    </cfRule>
  </conditionalFormatting>
  <conditionalFormatting sqref="F10178:F10201">
    <cfRule type="colorScale" priority="3974">
      <colorScale>
        <cfvo type="min"/>
        <cfvo type="percentile" val="50"/>
        <cfvo type="max"/>
        <color rgb="FF63BE7B"/>
        <color rgb="FFFFEB84"/>
        <color rgb="FFF8696B"/>
      </colorScale>
    </cfRule>
  </conditionalFormatting>
  <conditionalFormatting sqref="D10202:D10225">
    <cfRule type="colorScale" priority="3966">
      <colorScale>
        <cfvo type="min"/>
        <cfvo type="percentile" val="50"/>
        <cfvo type="max"/>
        <color rgb="FF63BE7B"/>
        <color rgb="FFFFEB84"/>
        <color rgb="FFF8696B"/>
      </colorScale>
    </cfRule>
  </conditionalFormatting>
  <conditionalFormatting sqref="F10202:F10225">
    <cfRule type="colorScale" priority="3963">
      <colorScale>
        <cfvo type="min"/>
        <cfvo type="percentile" val="50"/>
        <cfvo type="max"/>
        <color rgb="FF63BE7B"/>
        <color rgb="FFFFEB84"/>
        <color rgb="FFF8696B"/>
      </colorScale>
    </cfRule>
  </conditionalFormatting>
  <conditionalFormatting sqref="D10226:D10249">
    <cfRule type="colorScale" priority="3955">
      <colorScale>
        <cfvo type="min"/>
        <cfvo type="percentile" val="50"/>
        <cfvo type="max"/>
        <color rgb="FF63BE7B"/>
        <color rgb="FFFFEB84"/>
        <color rgb="FFF8696B"/>
      </colorScale>
    </cfRule>
  </conditionalFormatting>
  <conditionalFormatting sqref="G10226:G10249">
    <cfRule type="cellIs" dxfId="2453" priority="3949" operator="between">
      <formula>49</formula>
      <formula>149</formula>
    </cfRule>
    <cfRule type="cellIs" dxfId="2452" priority="3953" operator="lessThan">
      <formula>49</formula>
    </cfRule>
    <cfRule type="cellIs" dxfId="2451" priority="3954" operator="greaterThanOrEqual">
      <formula>150</formula>
    </cfRule>
  </conditionalFormatting>
  <conditionalFormatting sqref="F10226:F10249">
    <cfRule type="colorScale" priority="3952">
      <colorScale>
        <cfvo type="min"/>
        <cfvo type="percentile" val="50"/>
        <cfvo type="max"/>
        <color rgb="FF63BE7B"/>
        <color rgb="FFFFEB84"/>
        <color rgb="FFF8696B"/>
      </colorScale>
    </cfRule>
  </conditionalFormatting>
  <conditionalFormatting sqref="H10226:H10249">
    <cfRule type="cellIs" dxfId="2450" priority="3948" operator="between">
      <formula>0.8</formula>
      <formula>1.2</formula>
    </cfRule>
    <cfRule type="cellIs" dxfId="2449" priority="3950" operator="lessThan">
      <formula>0.8</formula>
    </cfRule>
    <cfRule type="cellIs" dxfId="2448" priority="3951" operator="greaterThanOrEqual">
      <formula>1.2</formula>
    </cfRule>
  </conditionalFormatting>
  <conditionalFormatting sqref="I10226:I10249">
    <cfRule type="colorScale" priority="3947">
      <colorScale>
        <cfvo type="min"/>
        <cfvo type="percentile" val="50"/>
        <cfvo type="max"/>
        <color rgb="FF63BE7B"/>
        <color rgb="FFFFEB84"/>
        <color rgb="FFF8696B"/>
      </colorScale>
    </cfRule>
  </conditionalFormatting>
  <conditionalFormatting sqref="K10227:K10249">
    <cfRule type="colorScale" priority="3946">
      <colorScale>
        <cfvo type="min"/>
        <cfvo type="percentile" val="50"/>
        <cfvo type="max"/>
        <color rgb="FF63BE7B"/>
        <color rgb="FFFFEB84"/>
        <color rgb="FFF8696B"/>
      </colorScale>
    </cfRule>
  </conditionalFormatting>
  <conditionalFormatting sqref="K10226:K10249">
    <cfRule type="colorScale" priority="3945">
      <colorScale>
        <cfvo type="min"/>
        <cfvo type="percentile" val="50"/>
        <cfvo type="max"/>
        <color rgb="FF63BE7B"/>
        <color rgb="FFFFEB84"/>
        <color rgb="FFF8696B"/>
      </colorScale>
    </cfRule>
  </conditionalFormatting>
  <conditionalFormatting sqref="D10250:D10273">
    <cfRule type="colorScale" priority="3944">
      <colorScale>
        <cfvo type="min"/>
        <cfvo type="percentile" val="50"/>
        <cfvo type="max"/>
        <color rgb="FF63BE7B"/>
        <color rgb="FFFFEB84"/>
        <color rgb="FFF8696B"/>
      </colorScale>
    </cfRule>
  </conditionalFormatting>
  <conditionalFormatting sqref="G10250:G10273">
    <cfRule type="cellIs" dxfId="2447" priority="3938" operator="between">
      <formula>49</formula>
      <formula>149</formula>
    </cfRule>
    <cfRule type="cellIs" dxfId="2446" priority="3942" operator="lessThan">
      <formula>49</formula>
    </cfRule>
    <cfRule type="cellIs" dxfId="2445" priority="3943" operator="greaterThanOrEqual">
      <formula>150</formula>
    </cfRule>
  </conditionalFormatting>
  <conditionalFormatting sqref="F10250:F10273">
    <cfRule type="colorScale" priority="3941">
      <colorScale>
        <cfvo type="min"/>
        <cfvo type="percentile" val="50"/>
        <cfvo type="max"/>
        <color rgb="FF63BE7B"/>
        <color rgb="FFFFEB84"/>
        <color rgb="FFF8696B"/>
      </colorScale>
    </cfRule>
  </conditionalFormatting>
  <conditionalFormatting sqref="H10250:H10273">
    <cfRule type="cellIs" dxfId="2444" priority="3937" operator="between">
      <formula>0.8</formula>
      <formula>1.2</formula>
    </cfRule>
    <cfRule type="cellIs" dxfId="2443" priority="3939" operator="lessThan">
      <formula>0.8</formula>
    </cfRule>
    <cfRule type="cellIs" dxfId="2442" priority="3940" operator="greaterThanOrEqual">
      <formula>1.2</formula>
    </cfRule>
  </conditionalFormatting>
  <conditionalFormatting sqref="I10250:I10273">
    <cfRule type="colorScale" priority="3936">
      <colorScale>
        <cfvo type="min"/>
        <cfvo type="percentile" val="50"/>
        <cfvo type="max"/>
        <color rgb="FF63BE7B"/>
        <color rgb="FFFFEB84"/>
        <color rgb="FFF8696B"/>
      </colorScale>
    </cfRule>
  </conditionalFormatting>
  <conditionalFormatting sqref="K10251:K10273">
    <cfRule type="colorScale" priority="3935">
      <colorScale>
        <cfvo type="min"/>
        <cfvo type="percentile" val="50"/>
        <cfvo type="max"/>
        <color rgb="FF63BE7B"/>
        <color rgb="FFFFEB84"/>
        <color rgb="FFF8696B"/>
      </colorScale>
    </cfRule>
  </conditionalFormatting>
  <conditionalFormatting sqref="K10250:K10273">
    <cfRule type="colorScale" priority="3934">
      <colorScale>
        <cfvo type="min"/>
        <cfvo type="percentile" val="50"/>
        <cfvo type="max"/>
        <color rgb="FF63BE7B"/>
        <color rgb="FFFFEB84"/>
        <color rgb="FFF8696B"/>
      </colorScale>
    </cfRule>
  </conditionalFormatting>
  <conditionalFormatting sqref="D10274:D10297">
    <cfRule type="colorScale" priority="3933">
      <colorScale>
        <cfvo type="min"/>
        <cfvo type="percentile" val="50"/>
        <cfvo type="max"/>
        <color rgb="FF63BE7B"/>
        <color rgb="FFFFEB84"/>
        <color rgb="FFF8696B"/>
      </colorScale>
    </cfRule>
  </conditionalFormatting>
  <conditionalFormatting sqref="G10274:G10297">
    <cfRule type="cellIs" dxfId="2441" priority="3927" operator="between">
      <formula>49</formula>
      <formula>149</formula>
    </cfRule>
    <cfRule type="cellIs" dxfId="2440" priority="3931" operator="lessThan">
      <formula>49</formula>
    </cfRule>
    <cfRule type="cellIs" dxfId="2439" priority="3932" operator="greaterThanOrEqual">
      <formula>150</formula>
    </cfRule>
  </conditionalFormatting>
  <conditionalFormatting sqref="F10274:F10297">
    <cfRule type="colorScale" priority="3930">
      <colorScale>
        <cfvo type="min"/>
        <cfvo type="percentile" val="50"/>
        <cfvo type="max"/>
        <color rgb="FF63BE7B"/>
        <color rgb="FFFFEB84"/>
        <color rgb="FFF8696B"/>
      </colorScale>
    </cfRule>
  </conditionalFormatting>
  <conditionalFormatting sqref="H10274:H10297">
    <cfRule type="cellIs" dxfId="2438" priority="3926" operator="between">
      <formula>0.8</formula>
      <formula>1.2</formula>
    </cfRule>
    <cfRule type="cellIs" dxfId="2437" priority="3928" operator="lessThan">
      <formula>0.8</formula>
    </cfRule>
    <cfRule type="cellIs" dxfId="2436" priority="3929" operator="greaterThanOrEqual">
      <formula>1.2</formula>
    </cfRule>
  </conditionalFormatting>
  <conditionalFormatting sqref="I10274:I10297">
    <cfRule type="colorScale" priority="3925">
      <colorScale>
        <cfvo type="min"/>
        <cfvo type="percentile" val="50"/>
        <cfvo type="max"/>
        <color rgb="FF63BE7B"/>
        <color rgb="FFFFEB84"/>
        <color rgb="FFF8696B"/>
      </colorScale>
    </cfRule>
  </conditionalFormatting>
  <conditionalFormatting sqref="K10275:K10297">
    <cfRule type="colorScale" priority="3924">
      <colorScale>
        <cfvo type="min"/>
        <cfvo type="percentile" val="50"/>
        <cfvo type="max"/>
        <color rgb="FF63BE7B"/>
        <color rgb="FFFFEB84"/>
        <color rgb="FFF8696B"/>
      </colorScale>
    </cfRule>
  </conditionalFormatting>
  <conditionalFormatting sqref="K10274:K10297">
    <cfRule type="colorScale" priority="3923">
      <colorScale>
        <cfvo type="min"/>
        <cfvo type="percentile" val="50"/>
        <cfvo type="max"/>
        <color rgb="FF63BE7B"/>
        <color rgb="FFFFEB84"/>
        <color rgb="FFF8696B"/>
      </colorScale>
    </cfRule>
  </conditionalFormatting>
  <conditionalFormatting sqref="D10298:D10321">
    <cfRule type="colorScale" priority="3922">
      <colorScale>
        <cfvo type="min"/>
        <cfvo type="percentile" val="50"/>
        <cfvo type="max"/>
        <color rgb="FF63BE7B"/>
        <color rgb="FFFFEB84"/>
        <color rgb="FFF8696B"/>
      </colorScale>
    </cfRule>
  </conditionalFormatting>
  <conditionalFormatting sqref="G10298:G10321">
    <cfRule type="cellIs" dxfId="2435" priority="3916" operator="between">
      <formula>49</formula>
      <formula>149</formula>
    </cfRule>
    <cfRule type="cellIs" dxfId="2434" priority="3920" operator="lessThan">
      <formula>49</formula>
    </cfRule>
    <cfRule type="cellIs" dxfId="2433" priority="3921" operator="greaterThanOrEqual">
      <formula>150</formula>
    </cfRule>
  </conditionalFormatting>
  <conditionalFormatting sqref="F10298:F10321">
    <cfRule type="colorScale" priority="3919">
      <colorScale>
        <cfvo type="min"/>
        <cfvo type="percentile" val="50"/>
        <cfvo type="max"/>
        <color rgb="FF63BE7B"/>
        <color rgb="FFFFEB84"/>
        <color rgb="FFF8696B"/>
      </colorScale>
    </cfRule>
  </conditionalFormatting>
  <conditionalFormatting sqref="H10298:H10321">
    <cfRule type="cellIs" dxfId="2432" priority="3915" operator="between">
      <formula>0.8</formula>
      <formula>1.2</formula>
    </cfRule>
    <cfRule type="cellIs" dxfId="2431" priority="3917" operator="lessThan">
      <formula>0.8</formula>
    </cfRule>
    <cfRule type="cellIs" dxfId="2430" priority="3918" operator="greaterThanOrEqual">
      <formula>1.2</formula>
    </cfRule>
  </conditionalFormatting>
  <conditionalFormatting sqref="I10298:I10321">
    <cfRule type="colorScale" priority="3914">
      <colorScale>
        <cfvo type="min"/>
        <cfvo type="percentile" val="50"/>
        <cfvo type="max"/>
        <color rgb="FF63BE7B"/>
        <color rgb="FFFFEB84"/>
        <color rgb="FFF8696B"/>
      </colorScale>
    </cfRule>
  </conditionalFormatting>
  <conditionalFormatting sqref="K10299:K10321">
    <cfRule type="colorScale" priority="3913">
      <colorScale>
        <cfvo type="min"/>
        <cfvo type="percentile" val="50"/>
        <cfvo type="max"/>
        <color rgb="FF63BE7B"/>
        <color rgb="FFFFEB84"/>
        <color rgb="FFF8696B"/>
      </colorScale>
    </cfRule>
  </conditionalFormatting>
  <conditionalFormatting sqref="K10298:K10321">
    <cfRule type="colorScale" priority="3912">
      <colorScale>
        <cfvo type="min"/>
        <cfvo type="percentile" val="50"/>
        <cfvo type="max"/>
        <color rgb="FF63BE7B"/>
        <color rgb="FFFFEB84"/>
        <color rgb="FFF8696B"/>
      </colorScale>
    </cfRule>
  </conditionalFormatting>
  <conditionalFormatting sqref="D10322:D10345">
    <cfRule type="colorScale" priority="3911">
      <colorScale>
        <cfvo type="min"/>
        <cfvo type="percentile" val="50"/>
        <cfvo type="max"/>
        <color rgb="FF63BE7B"/>
        <color rgb="FFFFEB84"/>
        <color rgb="FFF8696B"/>
      </colorScale>
    </cfRule>
  </conditionalFormatting>
  <conditionalFormatting sqref="G10322:G10345">
    <cfRule type="cellIs" dxfId="2429" priority="3905" operator="between">
      <formula>49</formula>
      <formula>149</formula>
    </cfRule>
    <cfRule type="cellIs" dxfId="2428" priority="3909" operator="lessThan">
      <formula>49</formula>
    </cfRule>
    <cfRule type="cellIs" dxfId="2427" priority="3910" operator="greaterThanOrEqual">
      <formula>150</formula>
    </cfRule>
  </conditionalFormatting>
  <conditionalFormatting sqref="F10322:F10345">
    <cfRule type="colorScale" priority="3908">
      <colorScale>
        <cfvo type="min"/>
        <cfvo type="percentile" val="50"/>
        <cfvo type="max"/>
        <color rgb="FF63BE7B"/>
        <color rgb="FFFFEB84"/>
        <color rgb="FFF8696B"/>
      </colorScale>
    </cfRule>
  </conditionalFormatting>
  <conditionalFormatting sqref="H10322:H10345">
    <cfRule type="cellIs" dxfId="2426" priority="3904" operator="between">
      <formula>0.8</formula>
      <formula>1.2</formula>
    </cfRule>
    <cfRule type="cellIs" dxfId="2425" priority="3906" operator="lessThan">
      <formula>0.8</formula>
    </cfRule>
    <cfRule type="cellIs" dxfId="2424" priority="3907" operator="greaterThanOrEqual">
      <formula>1.2</formula>
    </cfRule>
  </conditionalFormatting>
  <conditionalFormatting sqref="I10322:I10345">
    <cfRule type="colorScale" priority="3903">
      <colorScale>
        <cfvo type="min"/>
        <cfvo type="percentile" val="50"/>
        <cfvo type="max"/>
        <color rgb="FF63BE7B"/>
        <color rgb="FFFFEB84"/>
        <color rgb="FFF8696B"/>
      </colorScale>
    </cfRule>
  </conditionalFormatting>
  <conditionalFormatting sqref="K10323:K10345">
    <cfRule type="colorScale" priority="3902">
      <colorScale>
        <cfvo type="min"/>
        <cfvo type="percentile" val="50"/>
        <cfvo type="max"/>
        <color rgb="FF63BE7B"/>
        <color rgb="FFFFEB84"/>
        <color rgb="FFF8696B"/>
      </colorScale>
    </cfRule>
  </conditionalFormatting>
  <conditionalFormatting sqref="K10322:K10345">
    <cfRule type="colorScale" priority="3901">
      <colorScale>
        <cfvo type="min"/>
        <cfvo type="percentile" val="50"/>
        <cfvo type="max"/>
        <color rgb="FF63BE7B"/>
        <color rgb="FFFFEB84"/>
        <color rgb="FFF8696B"/>
      </colorScale>
    </cfRule>
  </conditionalFormatting>
  <conditionalFormatting sqref="D10346:D10369">
    <cfRule type="colorScale" priority="3900">
      <colorScale>
        <cfvo type="min"/>
        <cfvo type="percentile" val="50"/>
        <cfvo type="max"/>
        <color rgb="FF63BE7B"/>
        <color rgb="FFFFEB84"/>
        <color rgb="FFF8696B"/>
      </colorScale>
    </cfRule>
  </conditionalFormatting>
  <conditionalFormatting sqref="G10346:G10369">
    <cfRule type="cellIs" dxfId="2423" priority="3894" operator="between">
      <formula>49</formula>
      <formula>149</formula>
    </cfRule>
    <cfRule type="cellIs" dxfId="2422" priority="3898" operator="lessThan">
      <formula>49</formula>
    </cfRule>
    <cfRule type="cellIs" dxfId="2421" priority="3899" operator="greaterThanOrEqual">
      <formula>150</formula>
    </cfRule>
  </conditionalFormatting>
  <conditionalFormatting sqref="F10346:F10369">
    <cfRule type="colorScale" priority="3897">
      <colorScale>
        <cfvo type="min"/>
        <cfvo type="percentile" val="50"/>
        <cfvo type="max"/>
        <color rgb="FF63BE7B"/>
        <color rgb="FFFFEB84"/>
        <color rgb="FFF8696B"/>
      </colorScale>
    </cfRule>
  </conditionalFormatting>
  <conditionalFormatting sqref="H10346:H10369">
    <cfRule type="cellIs" dxfId="2420" priority="3893" operator="between">
      <formula>0.8</formula>
      <formula>1.2</formula>
    </cfRule>
    <cfRule type="cellIs" dxfId="2419" priority="3895" operator="lessThan">
      <formula>0.8</formula>
    </cfRule>
    <cfRule type="cellIs" dxfId="2418" priority="3896" operator="greaterThanOrEqual">
      <formula>1.2</formula>
    </cfRule>
  </conditionalFormatting>
  <conditionalFormatting sqref="I10346:I10369">
    <cfRule type="colorScale" priority="3892">
      <colorScale>
        <cfvo type="min"/>
        <cfvo type="percentile" val="50"/>
        <cfvo type="max"/>
        <color rgb="FF63BE7B"/>
        <color rgb="FFFFEB84"/>
        <color rgb="FFF8696B"/>
      </colorScale>
    </cfRule>
  </conditionalFormatting>
  <conditionalFormatting sqref="K10347:K10369">
    <cfRule type="colorScale" priority="3891">
      <colorScale>
        <cfvo type="min"/>
        <cfvo type="percentile" val="50"/>
        <cfvo type="max"/>
        <color rgb="FF63BE7B"/>
        <color rgb="FFFFEB84"/>
        <color rgb="FFF8696B"/>
      </colorScale>
    </cfRule>
  </conditionalFormatting>
  <conditionalFormatting sqref="K10346:K10369">
    <cfRule type="colorScale" priority="3890">
      <colorScale>
        <cfvo type="min"/>
        <cfvo type="percentile" val="50"/>
        <cfvo type="max"/>
        <color rgb="FF63BE7B"/>
        <color rgb="FFFFEB84"/>
        <color rgb="FFF8696B"/>
      </colorScale>
    </cfRule>
  </conditionalFormatting>
  <conditionalFormatting sqref="D10370:D10393">
    <cfRule type="colorScale" priority="3889">
      <colorScale>
        <cfvo type="min"/>
        <cfvo type="percentile" val="50"/>
        <cfvo type="max"/>
        <color rgb="FF63BE7B"/>
        <color rgb="FFFFEB84"/>
        <color rgb="FFF8696B"/>
      </colorScale>
    </cfRule>
  </conditionalFormatting>
  <conditionalFormatting sqref="G10370:G10393">
    <cfRule type="cellIs" dxfId="2417" priority="3883" operator="between">
      <formula>49</formula>
      <formula>149</formula>
    </cfRule>
    <cfRule type="cellIs" dxfId="2416" priority="3887" operator="lessThan">
      <formula>49</formula>
    </cfRule>
    <cfRule type="cellIs" dxfId="2415" priority="3888" operator="greaterThanOrEqual">
      <formula>150</formula>
    </cfRule>
  </conditionalFormatting>
  <conditionalFormatting sqref="F10370:F10393">
    <cfRule type="colorScale" priority="3886">
      <colorScale>
        <cfvo type="min"/>
        <cfvo type="percentile" val="50"/>
        <cfvo type="max"/>
        <color rgb="FF63BE7B"/>
        <color rgb="FFFFEB84"/>
        <color rgb="FFF8696B"/>
      </colorScale>
    </cfRule>
  </conditionalFormatting>
  <conditionalFormatting sqref="H10370:H10393">
    <cfRule type="cellIs" dxfId="2414" priority="3882" operator="between">
      <formula>0.8</formula>
      <formula>1.2</formula>
    </cfRule>
    <cfRule type="cellIs" dxfId="2413" priority="3884" operator="lessThan">
      <formula>0.8</formula>
    </cfRule>
    <cfRule type="cellIs" dxfId="2412" priority="3885" operator="greaterThanOrEqual">
      <formula>1.2</formula>
    </cfRule>
  </conditionalFormatting>
  <conditionalFormatting sqref="I10370:I10393">
    <cfRule type="colorScale" priority="3881">
      <colorScale>
        <cfvo type="min"/>
        <cfvo type="percentile" val="50"/>
        <cfvo type="max"/>
        <color rgb="FF63BE7B"/>
        <color rgb="FFFFEB84"/>
        <color rgb="FFF8696B"/>
      </colorScale>
    </cfRule>
  </conditionalFormatting>
  <conditionalFormatting sqref="K10371:K10393">
    <cfRule type="colorScale" priority="3880">
      <colorScale>
        <cfvo type="min"/>
        <cfvo type="percentile" val="50"/>
        <cfvo type="max"/>
        <color rgb="FF63BE7B"/>
        <color rgb="FFFFEB84"/>
        <color rgb="FFF8696B"/>
      </colorScale>
    </cfRule>
  </conditionalFormatting>
  <conditionalFormatting sqref="K10370:K10393">
    <cfRule type="colorScale" priority="3879">
      <colorScale>
        <cfvo type="min"/>
        <cfvo type="percentile" val="50"/>
        <cfvo type="max"/>
        <color rgb="FF63BE7B"/>
        <color rgb="FFFFEB84"/>
        <color rgb="FFF8696B"/>
      </colorScale>
    </cfRule>
  </conditionalFormatting>
  <conditionalFormatting sqref="D10394:D10417">
    <cfRule type="colorScale" priority="3878">
      <colorScale>
        <cfvo type="min"/>
        <cfvo type="percentile" val="50"/>
        <cfvo type="max"/>
        <color rgb="FF63BE7B"/>
        <color rgb="FFFFEB84"/>
        <color rgb="FFF8696B"/>
      </colorScale>
    </cfRule>
  </conditionalFormatting>
  <conditionalFormatting sqref="G10394:G10417">
    <cfRule type="cellIs" dxfId="2411" priority="3872" operator="between">
      <formula>49</formula>
      <formula>149</formula>
    </cfRule>
    <cfRule type="cellIs" dxfId="2410" priority="3876" operator="lessThan">
      <formula>49</formula>
    </cfRule>
    <cfRule type="cellIs" dxfId="2409" priority="3877" operator="greaterThanOrEqual">
      <formula>150</formula>
    </cfRule>
  </conditionalFormatting>
  <conditionalFormatting sqref="F10394:F10417">
    <cfRule type="colorScale" priority="3875">
      <colorScale>
        <cfvo type="min"/>
        <cfvo type="percentile" val="50"/>
        <cfvo type="max"/>
        <color rgb="FF63BE7B"/>
        <color rgb="FFFFEB84"/>
        <color rgb="FFF8696B"/>
      </colorScale>
    </cfRule>
  </conditionalFormatting>
  <conditionalFormatting sqref="H10394:H10417">
    <cfRule type="cellIs" dxfId="2408" priority="3871" operator="between">
      <formula>0.8</formula>
      <formula>1.2</formula>
    </cfRule>
    <cfRule type="cellIs" dxfId="2407" priority="3873" operator="lessThan">
      <formula>0.8</formula>
    </cfRule>
    <cfRule type="cellIs" dxfId="2406" priority="3874" operator="greaterThanOrEqual">
      <formula>1.2</formula>
    </cfRule>
  </conditionalFormatting>
  <conditionalFormatting sqref="I10394:I10417">
    <cfRule type="colorScale" priority="3870">
      <colorScale>
        <cfvo type="min"/>
        <cfvo type="percentile" val="50"/>
        <cfvo type="max"/>
        <color rgb="FF63BE7B"/>
        <color rgb="FFFFEB84"/>
        <color rgb="FFF8696B"/>
      </colorScale>
    </cfRule>
  </conditionalFormatting>
  <conditionalFormatting sqref="K10395:K10417">
    <cfRule type="colorScale" priority="3869">
      <colorScale>
        <cfvo type="min"/>
        <cfvo type="percentile" val="50"/>
        <cfvo type="max"/>
        <color rgb="FF63BE7B"/>
        <color rgb="FFFFEB84"/>
        <color rgb="FFF8696B"/>
      </colorScale>
    </cfRule>
  </conditionalFormatting>
  <conditionalFormatting sqref="K10394:K10417">
    <cfRule type="colorScale" priority="3868">
      <colorScale>
        <cfvo type="min"/>
        <cfvo type="percentile" val="50"/>
        <cfvo type="max"/>
        <color rgb="FF63BE7B"/>
        <color rgb="FFFFEB84"/>
        <color rgb="FFF8696B"/>
      </colorScale>
    </cfRule>
  </conditionalFormatting>
  <conditionalFormatting sqref="M10394:M10417">
    <cfRule type="colorScale" priority="3865">
      <colorScale>
        <cfvo type="min"/>
        <cfvo type="percentile" val="50"/>
        <cfvo type="max"/>
        <color rgb="FF63BE7B"/>
        <color rgb="FFFFEB84"/>
        <color rgb="FFF8696B"/>
      </colorScale>
    </cfRule>
  </conditionalFormatting>
  <conditionalFormatting sqref="D10418:D10441">
    <cfRule type="colorScale" priority="3864">
      <colorScale>
        <cfvo type="min"/>
        <cfvo type="percentile" val="50"/>
        <cfvo type="max"/>
        <color rgb="FF63BE7B"/>
        <color rgb="FFFFEB84"/>
        <color rgb="FFF8696B"/>
      </colorScale>
    </cfRule>
  </conditionalFormatting>
  <conditionalFormatting sqref="G10418:G10441">
    <cfRule type="cellIs" dxfId="2405" priority="3858" operator="between">
      <formula>49</formula>
      <formula>149</formula>
    </cfRule>
    <cfRule type="cellIs" dxfId="2404" priority="3862" operator="lessThan">
      <formula>49</formula>
    </cfRule>
    <cfRule type="cellIs" dxfId="2403" priority="3863" operator="greaterThanOrEqual">
      <formula>150</formula>
    </cfRule>
  </conditionalFormatting>
  <conditionalFormatting sqref="F10418:F10441">
    <cfRule type="colorScale" priority="3861">
      <colorScale>
        <cfvo type="min"/>
        <cfvo type="percentile" val="50"/>
        <cfvo type="max"/>
        <color rgb="FF63BE7B"/>
        <color rgb="FFFFEB84"/>
        <color rgb="FFF8696B"/>
      </colorScale>
    </cfRule>
  </conditionalFormatting>
  <conditionalFormatting sqref="H10418:H10441">
    <cfRule type="cellIs" dxfId="2402" priority="3857" operator="between">
      <formula>0.8</formula>
      <formula>1.2</formula>
    </cfRule>
    <cfRule type="cellIs" dxfId="2401" priority="3859" operator="lessThan">
      <formula>0.8</formula>
    </cfRule>
    <cfRule type="cellIs" dxfId="2400" priority="3860" operator="greaterThanOrEqual">
      <formula>1.2</formula>
    </cfRule>
  </conditionalFormatting>
  <conditionalFormatting sqref="I10418:I10441">
    <cfRule type="colorScale" priority="3856">
      <colorScale>
        <cfvo type="min"/>
        <cfvo type="percentile" val="50"/>
        <cfvo type="max"/>
        <color rgb="FF63BE7B"/>
        <color rgb="FFFFEB84"/>
        <color rgb="FFF8696B"/>
      </colorScale>
    </cfRule>
  </conditionalFormatting>
  <conditionalFormatting sqref="K10419:K10441">
    <cfRule type="colorScale" priority="3855">
      <colorScale>
        <cfvo type="min"/>
        <cfvo type="percentile" val="50"/>
        <cfvo type="max"/>
        <color rgb="FF63BE7B"/>
        <color rgb="FFFFEB84"/>
        <color rgb="FFF8696B"/>
      </colorScale>
    </cfRule>
  </conditionalFormatting>
  <conditionalFormatting sqref="K10418:K10441">
    <cfRule type="colorScale" priority="3854">
      <colorScale>
        <cfvo type="min"/>
        <cfvo type="percentile" val="50"/>
        <cfvo type="max"/>
        <color rgb="FF63BE7B"/>
        <color rgb="FFFFEB84"/>
        <color rgb="FFF8696B"/>
      </colorScale>
    </cfRule>
  </conditionalFormatting>
  <conditionalFormatting sqref="M10418:M10441">
    <cfRule type="colorScale" priority="3851">
      <colorScale>
        <cfvo type="min"/>
        <cfvo type="percentile" val="50"/>
        <cfvo type="max"/>
        <color rgb="FF63BE7B"/>
        <color rgb="FFFFEB84"/>
        <color rgb="FFF8696B"/>
      </colorScale>
    </cfRule>
  </conditionalFormatting>
  <conditionalFormatting sqref="D10442:D10465">
    <cfRule type="colorScale" priority="3850">
      <colorScale>
        <cfvo type="min"/>
        <cfvo type="percentile" val="50"/>
        <cfvo type="max"/>
        <color rgb="FF63BE7B"/>
        <color rgb="FFFFEB84"/>
        <color rgb="FFF8696B"/>
      </colorScale>
    </cfRule>
  </conditionalFormatting>
  <conditionalFormatting sqref="G10442:G10465">
    <cfRule type="cellIs" dxfId="2399" priority="3844" operator="between">
      <formula>49</formula>
      <formula>149</formula>
    </cfRule>
    <cfRule type="cellIs" dxfId="2398" priority="3848" operator="lessThan">
      <formula>49</formula>
    </cfRule>
    <cfRule type="cellIs" dxfId="2397" priority="3849" operator="greaterThanOrEqual">
      <formula>150</formula>
    </cfRule>
  </conditionalFormatting>
  <conditionalFormatting sqref="F10442:F10465">
    <cfRule type="colorScale" priority="3847">
      <colorScale>
        <cfvo type="min"/>
        <cfvo type="percentile" val="50"/>
        <cfvo type="max"/>
        <color rgb="FF63BE7B"/>
        <color rgb="FFFFEB84"/>
        <color rgb="FFF8696B"/>
      </colorScale>
    </cfRule>
  </conditionalFormatting>
  <conditionalFormatting sqref="H10442:H10465">
    <cfRule type="cellIs" dxfId="2396" priority="3843" operator="between">
      <formula>0.8</formula>
      <formula>1.2</formula>
    </cfRule>
    <cfRule type="cellIs" dxfId="2395" priority="3845" operator="lessThan">
      <formula>0.8</formula>
    </cfRule>
    <cfRule type="cellIs" dxfId="2394" priority="3846" operator="greaterThanOrEqual">
      <formula>1.2</formula>
    </cfRule>
  </conditionalFormatting>
  <conditionalFormatting sqref="I10442:I10465">
    <cfRule type="colorScale" priority="3842">
      <colorScale>
        <cfvo type="min"/>
        <cfvo type="percentile" val="50"/>
        <cfvo type="max"/>
        <color rgb="FF63BE7B"/>
        <color rgb="FFFFEB84"/>
        <color rgb="FFF8696B"/>
      </colorScale>
    </cfRule>
  </conditionalFormatting>
  <conditionalFormatting sqref="K10443:K10465">
    <cfRule type="colorScale" priority="3841">
      <colorScale>
        <cfvo type="min"/>
        <cfvo type="percentile" val="50"/>
        <cfvo type="max"/>
        <color rgb="FF63BE7B"/>
        <color rgb="FFFFEB84"/>
        <color rgb="FFF8696B"/>
      </colorScale>
    </cfRule>
  </conditionalFormatting>
  <conditionalFormatting sqref="K10442:K10465">
    <cfRule type="colorScale" priority="3840">
      <colorScale>
        <cfvo type="min"/>
        <cfvo type="percentile" val="50"/>
        <cfvo type="max"/>
        <color rgb="FF63BE7B"/>
        <color rgb="FFFFEB84"/>
        <color rgb="FFF8696B"/>
      </colorScale>
    </cfRule>
  </conditionalFormatting>
  <conditionalFormatting sqref="M10442:M10465">
    <cfRule type="colorScale" priority="3837">
      <colorScale>
        <cfvo type="min"/>
        <cfvo type="percentile" val="50"/>
        <cfvo type="max"/>
        <color rgb="FF63BE7B"/>
        <color rgb="FFFFEB84"/>
        <color rgb="FFF8696B"/>
      </colorScale>
    </cfRule>
  </conditionalFormatting>
  <conditionalFormatting sqref="D10466:D10489">
    <cfRule type="colorScale" priority="3836">
      <colorScale>
        <cfvo type="min"/>
        <cfvo type="percentile" val="50"/>
        <cfvo type="max"/>
        <color rgb="FF63BE7B"/>
        <color rgb="FFFFEB84"/>
        <color rgb="FFF8696B"/>
      </colorScale>
    </cfRule>
  </conditionalFormatting>
  <conditionalFormatting sqref="G10466:G10489">
    <cfRule type="cellIs" dxfId="2393" priority="3830" operator="between">
      <formula>49</formula>
      <formula>149</formula>
    </cfRule>
    <cfRule type="cellIs" dxfId="2392" priority="3834" operator="lessThan">
      <formula>49</formula>
    </cfRule>
    <cfRule type="cellIs" dxfId="2391" priority="3835" operator="greaterThanOrEqual">
      <formula>150</formula>
    </cfRule>
  </conditionalFormatting>
  <conditionalFormatting sqref="F10466:F10489">
    <cfRule type="colorScale" priority="3833">
      <colorScale>
        <cfvo type="min"/>
        <cfvo type="percentile" val="50"/>
        <cfvo type="max"/>
        <color rgb="FF63BE7B"/>
        <color rgb="FFFFEB84"/>
        <color rgb="FFF8696B"/>
      </colorScale>
    </cfRule>
  </conditionalFormatting>
  <conditionalFormatting sqref="H10466:H10489">
    <cfRule type="cellIs" dxfId="2390" priority="3829" operator="between">
      <formula>0.8</formula>
      <formula>1.2</formula>
    </cfRule>
    <cfRule type="cellIs" dxfId="2389" priority="3831" operator="lessThan">
      <formula>0.8</formula>
    </cfRule>
    <cfRule type="cellIs" dxfId="2388" priority="3832" operator="greaterThanOrEqual">
      <formula>1.2</formula>
    </cfRule>
  </conditionalFormatting>
  <conditionalFormatting sqref="I10466:I10489">
    <cfRule type="colorScale" priority="3828">
      <colorScale>
        <cfvo type="min"/>
        <cfvo type="percentile" val="50"/>
        <cfvo type="max"/>
        <color rgb="FF63BE7B"/>
        <color rgb="FFFFEB84"/>
        <color rgb="FFF8696B"/>
      </colorScale>
    </cfRule>
  </conditionalFormatting>
  <conditionalFormatting sqref="K10467:K10489">
    <cfRule type="colorScale" priority="3827">
      <colorScale>
        <cfvo type="min"/>
        <cfvo type="percentile" val="50"/>
        <cfvo type="max"/>
        <color rgb="FF63BE7B"/>
        <color rgb="FFFFEB84"/>
        <color rgb="FFF8696B"/>
      </colorScale>
    </cfRule>
  </conditionalFormatting>
  <conditionalFormatting sqref="K10466:K10489">
    <cfRule type="colorScale" priority="3826">
      <colorScale>
        <cfvo type="min"/>
        <cfvo type="percentile" val="50"/>
        <cfvo type="max"/>
        <color rgb="FF63BE7B"/>
        <color rgb="FFFFEB84"/>
        <color rgb="FFF8696B"/>
      </colorScale>
    </cfRule>
  </conditionalFormatting>
  <conditionalFormatting sqref="M10466:M10489">
    <cfRule type="colorScale" priority="3823">
      <colorScale>
        <cfvo type="min"/>
        <cfvo type="percentile" val="50"/>
        <cfvo type="max"/>
        <color rgb="FF63BE7B"/>
        <color rgb="FFFFEB84"/>
        <color rgb="FFF8696B"/>
      </colorScale>
    </cfRule>
  </conditionalFormatting>
  <conditionalFormatting sqref="L10466:L10489">
    <cfRule type="colorScale" priority="3822">
      <colorScale>
        <cfvo type="min"/>
        <cfvo type="percentile" val="50"/>
        <cfvo type="max"/>
        <color rgb="FF63BE7B"/>
        <color rgb="FFFFEB84"/>
        <color rgb="FFF8696B"/>
      </colorScale>
    </cfRule>
  </conditionalFormatting>
  <conditionalFormatting sqref="D10490:D10513">
    <cfRule type="colorScale" priority="3821">
      <colorScale>
        <cfvo type="min"/>
        <cfvo type="percentile" val="50"/>
        <cfvo type="max"/>
        <color rgb="FF63BE7B"/>
        <color rgb="FFFFEB84"/>
        <color rgb="FFF8696B"/>
      </colorScale>
    </cfRule>
  </conditionalFormatting>
  <conditionalFormatting sqref="G10490:G10513">
    <cfRule type="cellIs" dxfId="2387" priority="3815" operator="between">
      <formula>49</formula>
      <formula>149</formula>
    </cfRule>
    <cfRule type="cellIs" dxfId="2386" priority="3819" operator="lessThan">
      <formula>49</formula>
    </cfRule>
    <cfRule type="cellIs" dxfId="2385" priority="3820" operator="greaterThanOrEqual">
      <formula>150</formula>
    </cfRule>
  </conditionalFormatting>
  <conditionalFormatting sqref="F10490:F10513">
    <cfRule type="colorScale" priority="3818">
      <colorScale>
        <cfvo type="min"/>
        <cfvo type="percentile" val="50"/>
        <cfvo type="max"/>
        <color rgb="FF63BE7B"/>
        <color rgb="FFFFEB84"/>
        <color rgb="FFF8696B"/>
      </colorScale>
    </cfRule>
  </conditionalFormatting>
  <conditionalFormatting sqref="H10490:H10513">
    <cfRule type="cellIs" dxfId="2384" priority="3814" operator="between">
      <formula>0.8</formula>
      <formula>1.2</formula>
    </cfRule>
    <cfRule type="cellIs" dxfId="2383" priority="3816" operator="lessThan">
      <formula>0.8</formula>
    </cfRule>
    <cfRule type="cellIs" dxfId="2382" priority="3817" operator="greaterThanOrEqual">
      <formula>1.2</formula>
    </cfRule>
  </conditionalFormatting>
  <conditionalFormatting sqref="I10490:I10513">
    <cfRule type="colorScale" priority="3813">
      <colorScale>
        <cfvo type="min"/>
        <cfvo type="percentile" val="50"/>
        <cfvo type="max"/>
        <color rgb="FF63BE7B"/>
        <color rgb="FFFFEB84"/>
        <color rgb="FFF8696B"/>
      </colorScale>
    </cfRule>
  </conditionalFormatting>
  <conditionalFormatting sqref="K10491:K10513">
    <cfRule type="colorScale" priority="3812">
      <colorScale>
        <cfvo type="min"/>
        <cfvo type="percentile" val="50"/>
        <cfvo type="max"/>
        <color rgb="FF63BE7B"/>
        <color rgb="FFFFEB84"/>
        <color rgb="FFF8696B"/>
      </colorScale>
    </cfRule>
  </conditionalFormatting>
  <conditionalFormatting sqref="K10490:K10513">
    <cfRule type="colorScale" priority="3811">
      <colorScale>
        <cfvo type="min"/>
        <cfvo type="percentile" val="50"/>
        <cfvo type="max"/>
        <color rgb="FF63BE7B"/>
        <color rgb="FFFFEB84"/>
        <color rgb="FFF8696B"/>
      </colorScale>
    </cfRule>
  </conditionalFormatting>
  <conditionalFormatting sqref="M10490:M10513">
    <cfRule type="colorScale" priority="3810">
      <colorScale>
        <cfvo type="min"/>
        <cfvo type="percentile" val="50"/>
        <cfvo type="max"/>
        <color rgb="FF63BE7B"/>
        <color rgb="FFFFEB84"/>
        <color rgb="FFF8696B"/>
      </colorScale>
    </cfRule>
  </conditionalFormatting>
  <conditionalFormatting sqref="L10490:L10513">
    <cfRule type="colorScale" priority="3809">
      <colorScale>
        <cfvo type="min"/>
        <cfvo type="percentile" val="50"/>
        <cfvo type="max"/>
        <color rgb="FF63BE7B"/>
        <color rgb="FFFFEB84"/>
        <color rgb="FFF8696B"/>
      </colorScale>
    </cfRule>
  </conditionalFormatting>
  <conditionalFormatting sqref="D10514:D10537">
    <cfRule type="colorScale" priority="3808">
      <colorScale>
        <cfvo type="min"/>
        <cfvo type="percentile" val="50"/>
        <cfvo type="max"/>
        <color rgb="FF63BE7B"/>
        <color rgb="FFFFEB84"/>
        <color rgb="FFF8696B"/>
      </colorScale>
    </cfRule>
  </conditionalFormatting>
  <conditionalFormatting sqref="G10514:G10537">
    <cfRule type="cellIs" dxfId="2381" priority="3802" operator="between">
      <formula>49</formula>
      <formula>149</formula>
    </cfRule>
    <cfRule type="cellIs" dxfId="2380" priority="3806" operator="lessThan">
      <formula>49</formula>
    </cfRule>
    <cfRule type="cellIs" dxfId="2379" priority="3807" operator="greaterThanOrEqual">
      <formula>150</formula>
    </cfRule>
  </conditionalFormatting>
  <conditionalFormatting sqref="F10514:F10537">
    <cfRule type="colorScale" priority="3805">
      <colorScale>
        <cfvo type="min"/>
        <cfvo type="percentile" val="50"/>
        <cfvo type="max"/>
        <color rgb="FF63BE7B"/>
        <color rgb="FFFFEB84"/>
        <color rgb="FFF8696B"/>
      </colorScale>
    </cfRule>
  </conditionalFormatting>
  <conditionalFormatting sqref="H10514:H10537">
    <cfRule type="cellIs" dxfId="2378" priority="3801" operator="between">
      <formula>0.8</formula>
      <formula>1.2</formula>
    </cfRule>
    <cfRule type="cellIs" dxfId="2377" priority="3803" operator="lessThan">
      <formula>0.8</formula>
    </cfRule>
    <cfRule type="cellIs" dxfId="2376" priority="3804" operator="greaterThanOrEqual">
      <formula>1.2</formula>
    </cfRule>
  </conditionalFormatting>
  <conditionalFormatting sqref="I10514:I10537">
    <cfRule type="colorScale" priority="3800">
      <colorScale>
        <cfvo type="min"/>
        <cfvo type="percentile" val="50"/>
        <cfvo type="max"/>
        <color rgb="FF63BE7B"/>
        <color rgb="FFFFEB84"/>
        <color rgb="FFF8696B"/>
      </colorScale>
    </cfRule>
  </conditionalFormatting>
  <conditionalFormatting sqref="K10515:K10537">
    <cfRule type="colorScale" priority="3799">
      <colorScale>
        <cfvo type="min"/>
        <cfvo type="percentile" val="50"/>
        <cfvo type="max"/>
        <color rgb="FF63BE7B"/>
        <color rgb="FFFFEB84"/>
        <color rgb="FFF8696B"/>
      </colorScale>
    </cfRule>
  </conditionalFormatting>
  <conditionalFormatting sqref="K10514:K10537">
    <cfRule type="colorScale" priority="3798">
      <colorScale>
        <cfvo type="min"/>
        <cfvo type="percentile" val="50"/>
        <cfvo type="max"/>
        <color rgb="FF63BE7B"/>
        <color rgb="FFFFEB84"/>
        <color rgb="FFF8696B"/>
      </colorScale>
    </cfRule>
  </conditionalFormatting>
  <conditionalFormatting sqref="M10514:M10537">
    <cfRule type="colorScale" priority="3797">
      <colorScale>
        <cfvo type="min"/>
        <cfvo type="percentile" val="50"/>
        <cfvo type="max"/>
        <color rgb="FF63BE7B"/>
        <color rgb="FFFFEB84"/>
        <color rgb="FFF8696B"/>
      </colorScale>
    </cfRule>
  </conditionalFormatting>
  <conditionalFormatting sqref="L10514:L10537">
    <cfRule type="colorScale" priority="3796">
      <colorScale>
        <cfvo type="min"/>
        <cfvo type="percentile" val="50"/>
        <cfvo type="max"/>
        <color rgb="FF63BE7B"/>
        <color rgb="FFFFEB84"/>
        <color rgb="FFF8696B"/>
      </colorScale>
    </cfRule>
  </conditionalFormatting>
  <conditionalFormatting sqref="D10538:D10561">
    <cfRule type="colorScale" priority="3795">
      <colorScale>
        <cfvo type="min"/>
        <cfvo type="percentile" val="50"/>
        <cfvo type="max"/>
        <color rgb="FF63BE7B"/>
        <color rgb="FFFFEB84"/>
        <color rgb="FFF8696B"/>
      </colorScale>
    </cfRule>
  </conditionalFormatting>
  <conditionalFormatting sqref="G10538:G10561">
    <cfRule type="cellIs" dxfId="2375" priority="3789" operator="between">
      <formula>49</formula>
      <formula>149</formula>
    </cfRule>
    <cfRule type="cellIs" dxfId="2374" priority="3793" operator="lessThan">
      <formula>49</formula>
    </cfRule>
    <cfRule type="cellIs" dxfId="2373" priority="3794" operator="greaterThanOrEqual">
      <formula>150</formula>
    </cfRule>
  </conditionalFormatting>
  <conditionalFormatting sqref="F10538:F10561">
    <cfRule type="colorScale" priority="3792">
      <colorScale>
        <cfvo type="min"/>
        <cfvo type="percentile" val="50"/>
        <cfvo type="max"/>
        <color rgb="FF63BE7B"/>
        <color rgb="FFFFEB84"/>
        <color rgb="FFF8696B"/>
      </colorScale>
    </cfRule>
  </conditionalFormatting>
  <conditionalFormatting sqref="H10538:H10561">
    <cfRule type="cellIs" dxfId="2372" priority="3788" operator="between">
      <formula>0.8</formula>
      <formula>1.2</formula>
    </cfRule>
    <cfRule type="cellIs" dxfId="2371" priority="3790" operator="lessThan">
      <formula>0.8</formula>
    </cfRule>
    <cfRule type="cellIs" dxfId="2370" priority="3791" operator="greaterThanOrEqual">
      <formula>1.2</formula>
    </cfRule>
  </conditionalFormatting>
  <conditionalFormatting sqref="I10538:I10561">
    <cfRule type="colorScale" priority="3787">
      <colorScale>
        <cfvo type="min"/>
        <cfvo type="percentile" val="50"/>
        <cfvo type="max"/>
        <color rgb="FF63BE7B"/>
        <color rgb="FFFFEB84"/>
        <color rgb="FFF8696B"/>
      </colorScale>
    </cfRule>
  </conditionalFormatting>
  <conditionalFormatting sqref="K10539:K10561">
    <cfRule type="colorScale" priority="3786">
      <colorScale>
        <cfvo type="min"/>
        <cfvo type="percentile" val="50"/>
        <cfvo type="max"/>
        <color rgb="FF63BE7B"/>
        <color rgb="FFFFEB84"/>
        <color rgb="FFF8696B"/>
      </colorScale>
    </cfRule>
  </conditionalFormatting>
  <conditionalFormatting sqref="K10538:K10561">
    <cfRule type="colorScale" priority="3785">
      <colorScale>
        <cfvo type="min"/>
        <cfvo type="percentile" val="50"/>
        <cfvo type="max"/>
        <color rgb="FF63BE7B"/>
        <color rgb="FFFFEB84"/>
        <color rgb="FFF8696B"/>
      </colorScale>
    </cfRule>
  </conditionalFormatting>
  <conditionalFormatting sqref="M10538:M10561">
    <cfRule type="colorScale" priority="3784">
      <colorScale>
        <cfvo type="min"/>
        <cfvo type="percentile" val="50"/>
        <cfvo type="max"/>
        <color rgb="FF63BE7B"/>
        <color rgb="FFFFEB84"/>
        <color rgb="FFF8696B"/>
      </colorScale>
    </cfRule>
  </conditionalFormatting>
  <conditionalFormatting sqref="L10538:L10561">
    <cfRule type="colorScale" priority="3783">
      <colorScale>
        <cfvo type="min"/>
        <cfvo type="percentile" val="50"/>
        <cfvo type="max"/>
        <color rgb="FF63BE7B"/>
        <color rgb="FFFFEB84"/>
        <color rgb="FFF8696B"/>
      </colorScale>
    </cfRule>
  </conditionalFormatting>
  <conditionalFormatting sqref="D10562:D10585">
    <cfRule type="colorScale" priority="3782">
      <colorScale>
        <cfvo type="min"/>
        <cfvo type="percentile" val="50"/>
        <cfvo type="max"/>
        <color rgb="FF63BE7B"/>
        <color rgb="FFFFEB84"/>
        <color rgb="FFF8696B"/>
      </colorScale>
    </cfRule>
  </conditionalFormatting>
  <conditionalFormatting sqref="G10562:G10585">
    <cfRule type="cellIs" dxfId="2369" priority="3776" operator="between">
      <formula>49</formula>
      <formula>149</formula>
    </cfRule>
    <cfRule type="cellIs" dxfId="2368" priority="3780" operator="lessThan">
      <formula>49</formula>
    </cfRule>
    <cfRule type="cellIs" dxfId="2367" priority="3781" operator="greaterThanOrEqual">
      <formula>150</formula>
    </cfRule>
  </conditionalFormatting>
  <conditionalFormatting sqref="F10562:F10585">
    <cfRule type="colorScale" priority="3779">
      <colorScale>
        <cfvo type="min"/>
        <cfvo type="percentile" val="50"/>
        <cfvo type="max"/>
        <color rgb="FF63BE7B"/>
        <color rgb="FFFFEB84"/>
        <color rgb="FFF8696B"/>
      </colorScale>
    </cfRule>
  </conditionalFormatting>
  <conditionalFormatting sqref="H10562:H10585">
    <cfRule type="cellIs" dxfId="2366" priority="3775" operator="between">
      <formula>0.8</formula>
      <formula>1.2</formula>
    </cfRule>
    <cfRule type="cellIs" dxfId="2365" priority="3777" operator="lessThan">
      <formula>0.8</formula>
    </cfRule>
    <cfRule type="cellIs" dxfId="2364" priority="3778" operator="greaterThanOrEqual">
      <formula>1.2</formula>
    </cfRule>
  </conditionalFormatting>
  <conditionalFormatting sqref="I10562:I10585">
    <cfRule type="colorScale" priority="3774">
      <colorScale>
        <cfvo type="min"/>
        <cfvo type="percentile" val="50"/>
        <cfvo type="max"/>
        <color rgb="FF63BE7B"/>
        <color rgb="FFFFEB84"/>
        <color rgb="FFF8696B"/>
      </colorScale>
    </cfRule>
  </conditionalFormatting>
  <conditionalFormatting sqref="K10563:K10585">
    <cfRule type="colorScale" priority="3773">
      <colorScale>
        <cfvo type="min"/>
        <cfvo type="percentile" val="50"/>
        <cfvo type="max"/>
        <color rgb="FF63BE7B"/>
        <color rgb="FFFFEB84"/>
        <color rgb="FFF8696B"/>
      </colorScale>
    </cfRule>
  </conditionalFormatting>
  <conditionalFormatting sqref="K10562:K10585">
    <cfRule type="colorScale" priority="3772">
      <colorScale>
        <cfvo type="min"/>
        <cfvo type="percentile" val="50"/>
        <cfvo type="max"/>
        <color rgb="FF63BE7B"/>
        <color rgb="FFFFEB84"/>
        <color rgb="FFF8696B"/>
      </colorScale>
    </cfRule>
  </conditionalFormatting>
  <conditionalFormatting sqref="M10562:M10585">
    <cfRule type="colorScale" priority="3771">
      <colorScale>
        <cfvo type="min"/>
        <cfvo type="percentile" val="50"/>
        <cfvo type="max"/>
        <color rgb="FF63BE7B"/>
        <color rgb="FFFFEB84"/>
        <color rgb="FFF8696B"/>
      </colorScale>
    </cfRule>
  </conditionalFormatting>
  <conditionalFormatting sqref="L10562:L10585">
    <cfRule type="colorScale" priority="3770">
      <colorScale>
        <cfvo type="min"/>
        <cfvo type="percentile" val="50"/>
        <cfvo type="max"/>
        <color rgb="FF63BE7B"/>
        <color rgb="FFFFEB84"/>
        <color rgb="FFF8696B"/>
      </colorScale>
    </cfRule>
  </conditionalFormatting>
  <conditionalFormatting sqref="D10586:D10609">
    <cfRule type="colorScale" priority="3769">
      <colorScale>
        <cfvo type="min"/>
        <cfvo type="percentile" val="50"/>
        <cfvo type="max"/>
        <color rgb="FF63BE7B"/>
        <color rgb="FFFFEB84"/>
        <color rgb="FFF8696B"/>
      </colorScale>
    </cfRule>
  </conditionalFormatting>
  <conditionalFormatting sqref="G10586:G10609">
    <cfRule type="cellIs" dxfId="2363" priority="3763" operator="between">
      <formula>49</formula>
      <formula>149</formula>
    </cfRule>
    <cfRule type="cellIs" dxfId="2362" priority="3767" operator="lessThan">
      <formula>49</formula>
    </cfRule>
    <cfRule type="cellIs" dxfId="2361" priority="3768" operator="greaterThanOrEqual">
      <formula>150</formula>
    </cfRule>
  </conditionalFormatting>
  <conditionalFormatting sqref="F10586:F10609">
    <cfRule type="colorScale" priority="3766">
      <colorScale>
        <cfvo type="min"/>
        <cfvo type="percentile" val="50"/>
        <cfvo type="max"/>
        <color rgb="FF63BE7B"/>
        <color rgb="FFFFEB84"/>
        <color rgb="FFF8696B"/>
      </colorScale>
    </cfRule>
  </conditionalFormatting>
  <conditionalFormatting sqref="H10586:H10609">
    <cfRule type="cellIs" dxfId="2360" priority="3762" operator="between">
      <formula>0.8</formula>
      <formula>1.2</formula>
    </cfRule>
    <cfRule type="cellIs" dxfId="2359" priority="3764" operator="lessThan">
      <formula>0.8</formula>
    </cfRule>
    <cfRule type="cellIs" dxfId="2358" priority="3765" operator="greaterThanOrEqual">
      <formula>1.2</formula>
    </cfRule>
  </conditionalFormatting>
  <conditionalFormatting sqref="I10586:I10609">
    <cfRule type="colorScale" priority="3761">
      <colorScale>
        <cfvo type="min"/>
        <cfvo type="percentile" val="50"/>
        <cfvo type="max"/>
        <color rgb="FF63BE7B"/>
        <color rgb="FFFFEB84"/>
        <color rgb="FFF8696B"/>
      </colorScale>
    </cfRule>
  </conditionalFormatting>
  <conditionalFormatting sqref="K10587:K10609">
    <cfRule type="colorScale" priority="3760">
      <colorScale>
        <cfvo type="min"/>
        <cfvo type="percentile" val="50"/>
        <cfvo type="max"/>
        <color rgb="FF63BE7B"/>
        <color rgb="FFFFEB84"/>
        <color rgb="FFF8696B"/>
      </colorScale>
    </cfRule>
  </conditionalFormatting>
  <conditionalFormatting sqref="K10586:K10609">
    <cfRule type="colorScale" priority="3759">
      <colorScale>
        <cfvo type="min"/>
        <cfvo type="percentile" val="50"/>
        <cfvo type="max"/>
        <color rgb="FF63BE7B"/>
        <color rgb="FFFFEB84"/>
        <color rgb="FFF8696B"/>
      </colorScale>
    </cfRule>
  </conditionalFormatting>
  <conditionalFormatting sqref="M10586:M10609">
    <cfRule type="colorScale" priority="3758">
      <colorScale>
        <cfvo type="min"/>
        <cfvo type="percentile" val="50"/>
        <cfvo type="max"/>
        <color rgb="FF63BE7B"/>
        <color rgb="FFFFEB84"/>
        <color rgb="FFF8696B"/>
      </colorScale>
    </cfRule>
  </conditionalFormatting>
  <conditionalFormatting sqref="L10586:L10609">
    <cfRule type="colorScale" priority="3757">
      <colorScale>
        <cfvo type="min"/>
        <cfvo type="percentile" val="50"/>
        <cfvo type="max"/>
        <color rgb="FF63BE7B"/>
        <color rgb="FFFFEB84"/>
        <color rgb="FFF8696B"/>
      </colorScale>
    </cfRule>
  </conditionalFormatting>
  <conditionalFormatting sqref="D10610:D10633">
    <cfRule type="colorScale" priority="3756">
      <colorScale>
        <cfvo type="min"/>
        <cfvo type="percentile" val="50"/>
        <cfvo type="max"/>
        <color rgb="FF63BE7B"/>
        <color rgb="FFFFEB84"/>
        <color rgb="FFF8696B"/>
      </colorScale>
    </cfRule>
  </conditionalFormatting>
  <conditionalFormatting sqref="G10610:G10633">
    <cfRule type="cellIs" dxfId="2357" priority="3750" operator="between">
      <formula>49</formula>
      <formula>149</formula>
    </cfRule>
    <cfRule type="cellIs" dxfId="2356" priority="3754" operator="lessThan">
      <formula>49</formula>
    </cfRule>
    <cfRule type="cellIs" dxfId="2355" priority="3755" operator="greaterThanOrEqual">
      <formula>150</formula>
    </cfRule>
  </conditionalFormatting>
  <conditionalFormatting sqref="F10610:F10633">
    <cfRule type="colorScale" priority="3753">
      <colorScale>
        <cfvo type="min"/>
        <cfvo type="percentile" val="50"/>
        <cfvo type="max"/>
        <color rgb="FF63BE7B"/>
        <color rgb="FFFFEB84"/>
        <color rgb="FFF8696B"/>
      </colorScale>
    </cfRule>
  </conditionalFormatting>
  <conditionalFormatting sqref="H10610:H10633">
    <cfRule type="cellIs" dxfId="2354" priority="3749" operator="between">
      <formula>0.8</formula>
      <formula>1.2</formula>
    </cfRule>
    <cfRule type="cellIs" dxfId="2353" priority="3751" operator="lessThan">
      <formula>0.8</formula>
    </cfRule>
    <cfRule type="cellIs" dxfId="2352" priority="3752" operator="greaterThanOrEqual">
      <formula>1.2</formula>
    </cfRule>
  </conditionalFormatting>
  <conditionalFormatting sqref="I10610:I10633">
    <cfRule type="colorScale" priority="3748">
      <colorScale>
        <cfvo type="min"/>
        <cfvo type="percentile" val="50"/>
        <cfvo type="max"/>
        <color rgb="FF63BE7B"/>
        <color rgb="FFFFEB84"/>
        <color rgb="FFF8696B"/>
      </colorScale>
    </cfRule>
  </conditionalFormatting>
  <conditionalFormatting sqref="K10611:K10633">
    <cfRule type="colorScale" priority="3747">
      <colorScale>
        <cfvo type="min"/>
        <cfvo type="percentile" val="50"/>
        <cfvo type="max"/>
        <color rgb="FF63BE7B"/>
        <color rgb="FFFFEB84"/>
        <color rgb="FFF8696B"/>
      </colorScale>
    </cfRule>
  </conditionalFormatting>
  <conditionalFormatting sqref="K10610:K10633">
    <cfRule type="colorScale" priority="3746">
      <colorScale>
        <cfvo type="min"/>
        <cfvo type="percentile" val="50"/>
        <cfvo type="max"/>
        <color rgb="FF63BE7B"/>
        <color rgb="FFFFEB84"/>
        <color rgb="FFF8696B"/>
      </colorScale>
    </cfRule>
  </conditionalFormatting>
  <conditionalFormatting sqref="M10610:M10633">
    <cfRule type="colorScale" priority="3745">
      <colorScale>
        <cfvo type="min"/>
        <cfvo type="percentile" val="50"/>
        <cfvo type="max"/>
        <color rgb="FF63BE7B"/>
        <color rgb="FFFFEB84"/>
        <color rgb="FFF8696B"/>
      </colorScale>
    </cfRule>
  </conditionalFormatting>
  <conditionalFormatting sqref="L10610:L10633">
    <cfRule type="colorScale" priority="3744">
      <colorScale>
        <cfvo type="min"/>
        <cfvo type="percentile" val="50"/>
        <cfvo type="max"/>
        <color rgb="FF63BE7B"/>
        <color rgb="FFFFEB84"/>
        <color rgb="FFF8696B"/>
      </colorScale>
    </cfRule>
  </conditionalFormatting>
  <conditionalFormatting sqref="D10634:D10657">
    <cfRule type="colorScale" priority="3743">
      <colorScale>
        <cfvo type="min"/>
        <cfvo type="percentile" val="50"/>
        <cfvo type="max"/>
        <color rgb="FF63BE7B"/>
        <color rgb="FFFFEB84"/>
        <color rgb="FFF8696B"/>
      </colorScale>
    </cfRule>
  </conditionalFormatting>
  <conditionalFormatting sqref="G10634:G10657">
    <cfRule type="cellIs" dxfId="2351" priority="3737" operator="between">
      <formula>49</formula>
      <formula>149</formula>
    </cfRule>
    <cfRule type="cellIs" dxfId="2350" priority="3741" operator="lessThan">
      <formula>49</formula>
    </cfRule>
    <cfRule type="cellIs" dxfId="2349" priority="3742" operator="greaterThanOrEqual">
      <formula>150</formula>
    </cfRule>
  </conditionalFormatting>
  <conditionalFormatting sqref="F10634:F10657">
    <cfRule type="colorScale" priority="3740">
      <colorScale>
        <cfvo type="min"/>
        <cfvo type="percentile" val="50"/>
        <cfvo type="max"/>
        <color rgb="FF63BE7B"/>
        <color rgb="FFFFEB84"/>
        <color rgb="FFF8696B"/>
      </colorScale>
    </cfRule>
  </conditionalFormatting>
  <conditionalFormatting sqref="H10634:H10657">
    <cfRule type="cellIs" dxfId="2348" priority="3736" operator="between">
      <formula>0.8</formula>
      <formula>1.2</formula>
    </cfRule>
    <cfRule type="cellIs" dxfId="2347" priority="3738" operator="lessThan">
      <formula>0.8</formula>
    </cfRule>
    <cfRule type="cellIs" dxfId="2346" priority="3739" operator="greaterThanOrEqual">
      <formula>1.2</formula>
    </cfRule>
  </conditionalFormatting>
  <conditionalFormatting sqref="I10634:I10657">
    <cfRule type="colorScale" priority="3735">
      <colorScale>
        <cfvo type="min"/>
        <cfvo type="percentile" val="50"/>
        <cfvo type="max"/>
        <color rgb="FF63BE7B"/>
        <color rgb="FFFFEB84"/>
        <color rgb="FFF8696B"/>
      </colorScale>
    </cfRule>
  </conditionalFormatting>
  <conditionalFormatting sqref="K10635:K10657">
    <cfRule type="colorScale" priority="3734">
      <colorScale>
        <cfvo type="min"/>
        <cfvo type="percentile" val="50"/>
        <cfvo type="max"/>
        <color rgb="FF63BE7B"/>
        <color rgb="FFFFEB84"/>
        <color rgb="FFF8696B"/>
      </colorScale>
    </cfRule>
  </conditionalFormatting>
  <conditionalFormatting sqref="K10634:K10657">
    <cfRule type="colorScale" priority="3733">
      <colorScale>
        <cfvo type="min"/>
        <cfvo type="percentile" val="50"/>
        <cfvo type="max"/>
        <color rgb="FF63BE7B"/>
        <color rgb="FFFFEB84"/>
        <color rgb="FFF8696B"/>
      </colorScale>
    </cfRule>
  </conditionalFormatting>
  <conditionalFormatting sqref="M10634:M10657">
    <cfRule type="colorScale" priority="3732">
      <colorScale>
        <cfvo type="min"/>
        <cfvo type="percentile" val="50"/>
        <cfvo type="max"/>
        <color rgb="FF63BE7B"/>
        <color rgb="FFFFEB84"/>
        <color rgb="FFF8696B"/>
      </colorScale>
    </cfRule>
  </conditionalFormatting>
  <conditionalFormatting sqref="L10634:L10657">
    <cfRule type="colorScale" priority="3731">
      <colorScale>
        <cfvo type="min"/>
        <cfvo type="percentile" val="50"/>
        <cfvo type="max"/>
        <color rgb="FF63BE7B"/>
        <color rgb="FFFFEB84"/>
        <color rgb="FFF8696B"/>
      </colorScale>
    </cfRule>
  </conditionalFormatting>
  <conditionalFormatting sqref="D10658:D10681">
    <cfRule type="colorScale" priority="3730">
      <colorScale>
        <cfvo type="min"/>
        <cfvo type="percentile" val="50"/>
        <cfvo type="max"/>
        <color rgb="FF63BE7B"/>
        <color rgb="FFFFEB84"/>
        <color rgb="FFF8696B"/>
      </colorScale>
    </cfRule>
  </conditionalFormatting>
  <conditionalFormatting sqref="G10658:G10681">
    <cfRule type="cellIs" dxfId="2345" priority="3724" operator="between">
      <formula>49</formula>
      <formula>149</formula>
    </cfRule>
    <cfRule type="cellIs" dxfId="2344" priority="3728" operator="lessThan">
      <formula>49</formula>
    </cfRule>
    <cfRule type="cellIs" dxfId="2343" priority="3729" operator="greaterThanOrEqual">
      <formula>150</formula>
    </cfRule>
  </conditionalFormatting>
  <conditionalFormatting sqref="F10658:F10681">
    <cfRule type="colorScale" priority="3727">
      <colorScale>
        <cfvo type="min"/>
        <cfvo type="percentile" val="50"/>
        <cfvo type="max"/>
        <color rgb="FF63BE7B"/>
        <color rgb="FFFFEB84"/>
        <color rgb="FFF8696B"/>
      </colorScale>
    </cfRule>
  </conditionalFormatting>
  <conditionalFormatting sqref="H10658:H10681">
    <cfRule type="cellIs" dxfId="2342" priority="3723" operator="between">
      <formula>0.8</formula>
      <formula>1.2</formula>
    </cfRule>
    <cfRule type="cellIs" dxfId="2341" priority="3725" operator="lessThan">
      <formula>0.8</formula>
    </cfRule>
    <cfRule type="cellIs" dxfId="2340" priority="3726" operator="greaterThanOrEqual">
      <formula>1.2</formula>
    </cfRule>
  </conditionalFormatting>
  <conditionalFormatting sqref="I10658:I10681">
    <cfRule type="colorScale" priority="3722">
      <colorScale>
        <cfvo type="min"/>
        <cfvo type="percentile" val="50"/>
        <cfvo type="max"/>
        <color rgb="FF63BE7B"/>
        <color rgb="FFFFEB84"/>
        <color rgb="FFF8696B"/>
      </colorScale>
    </cfRule>
  </conditionalFormatting>
  <conditionalFormatting sqref="K10659:K10681">
    <cfRule type="colorScale" priority="3721">
      <colorScale>
        <cfvo type="min"/>
        <cfvo type="percentile" val="50"/>
        <cfvo type="max"/>
        <color rgb="FF63BE7B"/>
        <color rgb="FFFFEB84"/>
        <color rgb="FFF8696B"/>
      </colorScale>
    </cfRule>
  </conditionalFormatting>
  <conditionalFormatting sqref="K10658:K10681">
    <cfRule type="colorScale" priority="3720">
      <colorScale>
        <cfvo type="min"/>
        <cfvo type="percentile" val="50"/>
        <cfvo type="max"/>
        <color rgb="FF63BE7B"/>
        <color rgb="FFFFEB84"/>
        <color rgb="FFF8696B"/>
      </colorScale>
    </cfRule>
  </conditionalFormatting>
  <conditionalFormatting sqref="M10658:M10681">
    <cfRule type="colorScale" priority="3719">
      <colorScale>
        <cfvo type="min"/>
        <cfvo type="percentile" val="50"/>
        <cfvo type="max"/>
        <color rgb="FF63BE7B"/>
        <color rgb="FFFFEB84"/>
        <color rgb="FFF8696B"/>
      </colorScale>
    </cfRule>
  </conditionalFormatting>
  <conditionalFormatting sqref="L10658:L10681">
    <cfRule type="colorScale" priority="3718">
      <colorScale>
        <cfvo type="min"/>
        <cfvo type="percentile" val="50"/>
        <cfvo type="max"/>
        <color rgb="FF63BE7B"/>
        <color rgb="FFFFEB84"/>
        <color rgb="FFF8696B"/>
      </colorScale>
    </cfRule>
  </conditionalFormatting>
  <conditionalFormatting sqref="D10682:D10705">
    <cfRule type="colorScale" priority="3717">
      <colorScale>
        <cfvo type="min"/>
        <cfvo type="percentile" val="50"/>
        <cfvo type="max"/>
        <color rgb="FF63BE7B"/>
        <color rgb="FFFFEB84"/>
        <color rgb="FFF8696B"/>
      </colorScale>
    </cfRule>
  </conditionalFormatting>
  <conditionalFormatting sqref="G10682:G10705">
    <cfRule type="cellIs" dxfId="2339" priority="3711" operator="between">
      <formula>49</formula>
      <formula>149</formula>
    </cfRule>
    <cfRule type="cellIs" dxfId="2338" priority="3715" operator="lessThan">
      <formula>49</formula>
    </cfRule>
    <cfRule type="cellIs" dxfId="2337" priority="3716" operator="greaterThanOrEqual">
      <formula>150</formula>
    </cfRule>
  </conditionalFormatting>
  <conditionalFormatting sqref="F10682:F10705">
    <cfRule type="colorScale" priority="3714">
      <colorScale>
        <cfvo type="min"/>
        <cfvo type="percentile" val="50"/>
        <cfvo type="max"/>
        <color rgb="FF63BE7B"/>
        <color rgb="FFFFEB84"/>
        <color rgb="FFF8696B"/>
      </colorScale>
    </cfRule>
  </conditionalFormatting>
  <conditionalFormatting sqref="H10682:H10705">
    <cfRule type="cellIs" dxfId="2336" priority="3710" operator="between">
      <formula>0.8</formula>
      <formula>1.2</formula>
    </cfRule>
    <cfRule type="cellIs" dxfId="2335" priority="3712" operator="lessThan">
      <formula>0.8</formula>
    </cfRule>
    <cfRule type="cellIs" dxfId="2334" priority="3713" operator="greaterThanOrEqual">
      <formula>1.2</formula>
    </cfRule>
  </conditionalFormatting>
  <conditionalFormatting sqref="I10682:I10705">
    <cfRule type="colorScale" priority="3709">
      <colorScale>
        <cfvo type="min"/>
        <cfvo type="percentile" val="50"/>
        <cfvo type="max"/>
        <color rgb="FF63BE7B"/>
        <color rgb="FFFFEB84"/>
        <color rgb="FFF8696B"/>
      </colorScale>
    </cfRule>
  </conditionalFormatting>
  <conditionalFormatting sqref="K10683:K10705">
    <cfRule type="colorScale" priority="3708">
      <colorScale>
        <cfvo type="min"/>
        <cfvo type="percentile" val="50"/>
        <cfvo type="max"/>
        <color rgb="FF63BE7B"/>
        <color rgb="FFFFEB84"/>
        <color rgb="FFF8696B"/>
      </colorScale>
    </cfRule>
  </conditionalFormatting>
  <conditionalFormatting sqref="K10682:K10705">
    <cfRule type="colorScale" priority="3707">
      <colorScale>
        <cfvo type="min"/>
        <cfvo type="percentile" val="50"/>
        <cfvo type="max"/>
        <color rgb="FF63BE7B"/>
        <color rgb="FFFFEB84"/>
        <color rgb="FFF8696B"/>
      </colorScale>
    </cfRule>
  </conditionalFormatting>
  <conditionalFormatting sqref="M10682:M10705">
    <cfRule type="colorScale" priority="3706">
      <colorScale>
        <cfvo type="min"/>
        <cfvo type="percentile" val="50"/>
        <cfvo type="max"/>
        <color rgb="FF63BE7B"/>
        <color rgb="FFFFEB84"/>
        <color rgb="FFF8696B"/>
      </colorScale>
    </cfRule>
  </conditionalFormatting>
  <conditionalFormatting sqref="L10682:L10705">
    <cfRule type="colorScale" priority="3705">
      <colorScale>
        <cfvo type="min"/>
        <cfvo type="percentile" val="50"/>
        <cfvo type="max"/>
        <color rgb="FF63BE7B"/>
        <color rgb="FFFFEB84"/>
        <color rgb="FFF8696B"/>
      </colorScale>
    </cfRule>
  </conditionalFormatting>
  <conditionalFormatting sqref="D10706:D10729">
    <cfRule type="colorScale" priority="3704">
      <colorScale>
        <cfvo type="min"/>
        <cfvo type="percentile" val="50"/>
        <cfvo type="max"/>
        <color rgb="FF63BE7B"/>
        <color rgb="FFFFEB84"/>
        <color rgb="FFF8696B"/>
      </colorScale>
    </cfRule>
  </conditionalFormatting>
  <conditionalFormatting sqref="G10706:G10729">
    <cfRule type="cellIs" dxfId="2333" priority="3698" operator="between">
      <formula>49</formula>
      <formula>149</formula>
    </cfRule>
    <cfRule type="cellIs" dxfId="2332" priority="3702" operator="lessThan">
      <formula>49</formula>
    </cfRule>
    <cfRule type="cellIs" dxfId="2331" priority="3703" operator="greaterThanOrEqual">
      <formula>150</formula>
    </cfRule>
  </conditionalFormatting>
  <conditionalFormatting sqref="F10706:F10729">
    <cfRule type="colorScale" priority="3701">
      <colorScale>
        <cfvo type="min"/>
        <cfvo type="percentile" val="50"/>
        <cfvo type="max"/>
        <color rgb="FF63BE7B"/>
        <color rgb="FFFFEB84"/>
        <color rgb="FFF8696B"/>
      </colorScale>
    </cfRule>
  </conditionalFormatting>
  <conditionalFormatting sqref="H10706:H10729">
    <cfRule type="cellIs" dxfId="2330" priority="3697" operator="between">
      <formula>0.8</formula>
      <formula>1.2</formula>
    </cfRule>
    <cfRule type="cellIs" dxfId="2329" priority="3699" operator="lessThan">
      <formula>0.8</formula>
    </cfRule>
    <cfRule type="cellIs" dxfId="2328" priority="3700" operator="greaterThanOrEqual">
      <formula>1.2</formula>
    </cfRule>
  </conditionalFormatting>
  <conditionalFormatting sqref="I10706:I10729">
    <cfRule type="colorScale" priority="3696">
      <colorScale>
        <cfvo type="min"/>
        <cfvo type="percentile" val="50"/>
        <cfvo type="max"/>
        <color rgb="FF63BE7B"/>
        <color rgb="FFFFEB84"/>
        <color rgb="FFF8696B"/>
      </colorScale>
    </cfRule>
  </conditionalFormatting>
  <conditionalFormatting sqref="K10707:K10729">
    <cfRule type="colorScale" priority="3695">
      <colorScale>
        <cfvo type="min"/>
        <cfvo type="percentile" val="50"/>
        <cfvo type="max"/>
        <color rgb="FF63BE7B"/>
        <color rgb="FFFFEB84"/>
        <color rgb="FFF8696B"/>
      </colorScale>
    </cfRule>
  </conditionalFormatting>
  <conditionalFormatting sqref="K10706:K10729">
    <cfRule type="colorScale" priority="3694">
      <colorScale>
        <cfvo type="min"/>
        <cfvo type="percentile" val="50"/>
        <cfvo type="max"/>
        <color rgb="FF63BE7B"/>
        <color rgb="FFFFEB84"/>
        <color rgb="FFF8696B"/>
      </colorScale>
    </cfRule>
  </conditionalFormatting>
  <conditionalFormatting sqref="M10706:M10729">
    <cfRule type="colorScale" priority="3693">
      <colorScale>
        <cfvo type="min"/>
        <cfvo type="percentile" val="50"/>
        <cfvo type="max"/>
        <color rgb="FF63BE7B"/>
        <color rgb="FFFFEB84"/>
        <color rgb="FFF8696B"/>
      </colorScale>
    </cfRule>
  </conditionalFormatting>
  <conditionalFormatting sqref="L10706:L10729">
    <cfRule type="colorScale" priority="3692">
      <colorScale>
        <cfvo type="min"/>
        <cfvo type="percentile" val="50"/>
        <cfvo type="max"/>
        <color rgb="FF63BE7B"/>
        <color rgb="FFFFEB84"/>
        <color rgb="FFF8696B"/>
      </colorScale>
    </cfRule>
  </conditionalFormatting>
  <conditionalFormatting sqref="D10730:D10753">
    <cfRule type="colorScale" priority="3691">
      <colorScale>
        <cfvo type="min"/>
        <cfvo type="percentile" val="50"/>
        <cfvo type="max"/>
        <color rgb="FF63BE7B"/>
        <color rgb="FFFFEB84"/>
        <color rgb="FFF8696B"/>
      </colorScale>
    </cfRule>
  </conditionalFormatting>
  <conditionalFormatting sqref="G10730:G10753">
    <cfRule type="cellIs" dxfId="2327" priority="3685" operator="between">
      <formula>49</formula>
      <formula>149</formula>
    </cfRule>
    <cfRule type="cellIs" dxfId="2326" priority="3689" operator="lessThan">
      <formula>49</formula>
    </cfRule>
    <cfRule type="cellIs" dxfId="2325" priority="3690" operator="greaterThanOrEqual">
      <formula>150</formula>
    </cfRule>
  </conditionalFormatting>
  <conditionalFormatting sqref="F10730:F10753">
    <cfRule type="colorScale" priority="3688">
      <colorScale>
        <cfvo type="min"/>
        <cfvo type="percentile" val="50"/>
        <cfvo type="max"/>
        <color rgb="FF63BE7B"/>
        <color rgb="FFFFEB84"/>
        <color rgb="FFF8696B"/>
      </colorScale>
    </cfRule>
  </conditionalFormatting>
  <conditionalFormatting sqref="H10730:H10753">
    <cfRule type="cellIs" dxfId="2324" priority="3684" operator="between">
      <formula>0.8</formula>
      <formula>1.2</formula>
    </cfRule>
    <cfRule type="cellIs" dxfId="2323" priority="3686" operator="lessThan">
      <formula>0.8</formula>
    </cfRule>
    <cfRule type="cellIs" dxfId="2322" priority="3687" operator="greaterThanOrEqual">
      <formula>1.2</formula>
    </cfRule>
  </conditionalFormatting>
  <conditionalFormatting sqref="I10730:I10753">
    <cfRule type="colorScale" priority="3683">
      <colorScale>
        <cfvo type="min"/>
        <cfvo type="percentile" val="50"/>
        <cfvo type="max"/>
        <color rgb="FF63BE7B"/>
        <color rgb="FFFFEB84"/>
        <color rgb="FFF8696B"/>
      </colorScale>
    </cfRule>
  </conditionalFormatting>
  <conditionalFormatting sqref="K10731:K10753">
    <cfRule type="colorScale" priority="3682">
      <colorScale>
        <cfvo type="min"/>
        <cfvo type="percentile" val="50"/>
        <cfvo type="max"/>
        <color rgb="FF63BE7B"/>
        <color rgb="FFFFEB84"/>
        <color rgb="FFF8696B"/>
      </colorScale>
    </cfRule>
  </conditionalFormatting>
  <conditionalFormatting sqref="K10730:K10753">
    <cfRule type="colorScale" priority="3681">
      <colorScale>
        <cfvo type="min"/>
        <cfvo type="percentile" val="50"/>
        <cfvo type="max"/>
        <color rgb="FF63BE7B"/>
        <color rgb="FFFFEB84"/>
        <color rgb="FFF8696B"/>
      </colorScale>
    </cfRule>
  </conditionalFormatting>
  <conditionalFormatting sqref="M10730:M10753">
    <cfRule type="colorScale" priority="3680">
      <colorScale>
        <cfvo type="min"/>
        <cfvo type="percentile" val="50"/>
        <cfvo type="max"/>
        <color rgb="FF63BE7B"/>
        <color rgb="FFFFEB84"/>
        <color rgb="FFF8696B"/>
      </colorScale>
    </cfRule>
  </conditionalFormatting>
  <conditionalFormatting sqref="L10730:L10753">
    <cfRule type="colorScale" priority="3679">
      <colorScale>
        <cfvo type="min"/>
        <cfvo type="percentile" val="50"/>
        <cfvo type="max"/>
        <color rgb="FF63BE7B"/>
        <color rgb="FFFFEB84"/>
        <color rgb="FFF8696B"/>
      </colorScale>
    </cfRule>
  </conditionalFormatting>
  <conditionalFormatting sqref="D10754:D10777">
    <cfRule type="colorScale" priority="3678">
      <colorScale>
        <cfvo type="min"/>
        <cfvo type="percentile" val="50"/>
        <cfvo type="max"/>
        <color rgb="FF63BE7B"/>
        <color rgb="FFFFEB84"/>
        <color rgb="FFF8696B"/>
      </colorScale>
    </cfRule>
  </conditionalFormatting>
  <conditionalFormatting sqref="G10754:G10777">
    <cfRule type="cellIs" dxfId="2321" priority="3672" operator="between">
      <formula>49</formula>
      <formula>149</formula>
    </cfRule>
    <cfRule type="cellIs" dxfId="2320" priority="3676" operator="lessThan">
      <formula>49</formula>
    </cfRule>
    <cfRule type="cellIs" dxfId="2319" priority="3677" operator="greaterThanOrEqual">
      <formula>150</formula>
    </cfRule>
  </conditionalFormatting>
  <conditionalFormatting sqref="F10754:F10777">
    <cfRule type="colorScale" priority="3675">
      <colorScale>
        <cfvo type="min"/>
        <cfvo type="percentile" val="50"/>
        <cfvo type="max"/>
        <color rgb="FF63BE7B"/>
        <color rgb="FFFFEB84"/>
        <color rgb="FFF8696B"/>
      </colorScale>
    </cfRule>
  </conditionalFormatting>
  <conditionalFormatting sqref="H10754:H10777">
    <cfRule type="cellIs" dxfId="2318" priority="3671" operator="between">
      <formula>0.8</formula>
      <formula>1.2</formula>
    </cfRule>
    <cfRule type="cellIs" dxfId="2317" priority="3673" operator="lessThan">
      <formula>0.8</formula>
    </cfRule>
    <cfRule type="cellIs" dxfId="2316" priority="3674" operator="greaterThanOrEqual">
      <formula>1.2</formula>
    </cfRule>
  </conditionalFormatting>
  <conditionalFormatting sqref="I10754:I10777">
    <cfRule type="colorScale" priority="3670">
      <colorScale>
        <cfvo type="min"/>
        <cfvo type="percentile" val="50"/>
        <cfvo type="max"/>
        <color rgb="FF63BE7B"/>
        <color rgb="FFFFEB84"/>
        <color rgb="FFF8696B"/>
      </colorScale>
    </cfRule>
  </conditionalFormatting>
  <conditionalFormatting sqref="K10755:K10777">
    <cfRule type="colorScale" priority="3669">
      <colorScale>
        <cfvo type="min"/>
        <cfvo type="percentile" val="50"/>
        <cfvo type="max"/>
        <color rgb="FF63BE7B"/>
        <color rgb="FFFFEB84"/>
        <color rgb="FFF8696B"/>
      </colorScale>
    </cfRule>
  </conditionalFormatting>
  <conditionalFormatting sqref="K10754:K10777">
    <cfRule type="colorScale" priority="3668">
      <colorScale>
        <cfvo type="min"/>
        <cfvo type="percentile" val="50"/>
        <cfvo type="max"/>
        <color rgb="FF63BE7B"/>
        <color rgb="FFFFEB84"/>
        <color rgb="FFF8696B"/>
      </colorScale>
    </cfRule>
  </conditionalFormatting>
  <conditionalFormatting sqref="M10754:M10777">
    <cfRule type="colorScale" priority="3667">
      <colorScale>
        <cfvo type="min"/>
        <cfvo type="percentile" val="50"/>
        <cfvo type="max"/>
        <color rgb="FF63BE7B"/>
        <color rgb="FFFFEB84"/>
        <color rgb="FFF8696B"/>
      </colorScale>
    </cfRule>
  </conditionalFormatting>
  <conditionalFormatting sqref="L10754:L10777">
    <cfRule type="colorScale" priority="3666">
      <colorScale>
        <cfvo type="min"/>
        <cfvo type="percentile" val="50"/>
        <cfvo type="max"/>
        <color rgb="FF63BE7B"/>
        <color rgb="FFFFEB84"/>
        <color rgb="FFF8696B"/>
      </colorScale>
    </cfRule>
  </conditionalFormatting>
  <conditionalFormatting sqref="D10778:D10801">
    <cfRule type="colorScale" priority="3665">
      <colorScale>
        <cfvo type="min"/>
        <cfvo type="percentile" val="50"/>
        <cfvo type="max"/>
        <color rgb="FF63BE7B"/>
        <color rgb="FFFFEB84"/>
        <color rgb="FFF8696B"/>
      </colorScale>
    </cfRule>
  </conditionalFormatting>
  <conditionalFormatting sqref="G10778:G10801">
    <cfRule type="cellIs" dxfId="2315" priority="3659" operator="between">
      <formula>49</formula>
      <formula>149</formula>
    </cfRule>
    <cfRule type="cellIs" dxfId="2314" priority="3663" operator="lessThan">
      <formula>49</formula>
    </cfRule>
    <cfRule type="cellIs" dxfId="2313" priority="3664" operator="greaterThanOrEqual">
      <formula>150</formula>
    </cfRule>
  </conditionalFormatting>
  <conditionalFormatting sqref="F10778:F10801">
    <cfRule type="colorScale" priority="3662">
      <colorScale>
        <cfvo type="min"/>
        <cfvo type="percentile" val="50"/>
        <cfvo type="max"/>
        <color rgb="FF63BE7B"/>
        <color rgb="FFFFEB84"/>
        <color rgb="FFF8696B"/>
      </colorScale>
    </cfRule>
  </conditionalFormatting>
  <conditionalFormatting sqref="H10778:H10801">
    <cfRule type="cellIs" dxfId="2312" priority="3658" operator="between">
      <formula>0.8</formula>
      <formula>1.2</formula>
    </cfRule>
    <cfRule type="cellIs" dxfId="2311" priority="3660" operator="lessThan">
      <formula>0.8</formula>
    </cfRule>
    <cfRule type="cellIs" dxfId="2310" priority="3661" operator="greaterThanOrEqual">
      <formula>1.2</formula>
    </cfRule>
  </conditionalFormatting>
  <conditionalFormatting sqref="I10778:I10801">
    <cfRule type="colorScale" priority="3657">
      <colorScale>
        <cfvo type="min"/>
        <cfvo type="percentile" val="50"/>
        <cfvo type="max"/>
        <color rgb="FF63BE7B"/>
        <color rgb="FFFFEB84"/>
        <color rgb="FFF8696B"/>
      </colorScale>
    </cfRule>
  </conditionalFormatting>
  <conditionalFormatting sqref="K10779:K10801">
    <cfRule type="colorScale" priority="3656">
      <colorScale>
        <cfvo type="min"/>
        <cfvo type="percentile" val="50"/>
        <cfvo type="max"/>
        <color rgb="FF63BE7B"/>
        <color rgb="FFFFEB84"/>
        <color rgb="FFF8696B"/>
      </colorScale>
    </cfRule>
  </conditionalFormatting>
  <conditionalFormatting sqref="K10778:K10801">
    <cfRule type="colorScale" priority="3655">
      <colorScale>
        <cfvo type="min"/>
        <cfvo type="percentile" val="50"/>
        <cfvo type="max"/>
        <color rgb="FF63BE7B"/>
        <color rgb="FFFFEB84"/>
        <color rgb="FFF8696B"/>
      </colorScale>
    </cfRule>
  </conditionalFormatting>
  <conditionalFormatting sqref="M10778:M10801">
    <cfRule type="colorScale" priority="3654">
      <colorScale>
        <cfvo type="min"/>
        <cfvo type="percentile" val="50"/>
        <cfvo type="max"/>
        <color rgb="FF63BE7B"/>
        <color rgb="FFFFEB84"/>
        <color rgb="FFF8696B"/>
      </colorScale>
    </cfRule>
  </conditionalFormatting>
  <conditionalFormatting sqref="L10778:L10801">
    <cfRule type="colorScale" priority="3653">
      <colorScale>
        <cfvo type="min"/>
        <cfvo type="percentile" val="50"/>
        <cfvo type="max"/>
        <color rgb="FF63BE7B"/>
        <color rgb="FFFFEB84"/>
        <color rgb="FFF8696B"/>
      </colorScale>
    </cfRule>
  </conditionalFormatting>
  <conditionalFormatting sqref="D10802:D10825">
    <cfRule type="colorScale" priority="3652">
      <colorScale>
        <cfvo type="min"/>
        <cfvo type="percentile" val="50"/>
        <cfvo type="max"/>
        <color rgb="FF63BE7B"/>
        <color rgb="FFFFEB84"/>
        <color rgb="FFF8696B"/>
      </colorScale>
    </cfRule>
  </conditionalFormatting>
  <conditionalFormatting sqref="G10802:G10825">
    <cfRule type="cellIs" dxfId="2309" priority="3646" operator="between">
      <formula>49</formula>
      <formula>149</formula>
    </cfRule>
    <cfRule type="cellIs" dxfId="2308" priority="3650" operator="lessThan">
      <formula>49</formula>
    </cfRule>
    <cfRule type="cellIs" dxfId="2307" priority="3651" operator="greaterThanOrEqual">
      <formula>150</formula>
    </cfRule>
  </conditionalFormatting>
  <conditionalFormatting sqref="F10802:F10825">
    <cfRule type="colorScale" priority="3649">
      <colorScale>
        <cfvo type="min"/>
        <cfvo type="percentile" val="50"/>
        <cfvo type="max"/>
        <color rgb="FF63BE7B"/>
        <color rgb="FFFFEB84"/>
        <color rgb="FFF8696B"/>
      </colorScale>
    </cfRule>
  </conditionalFormatting>
  <conditionalFormatting sqref="H10802:H10825">
    <cfRule type="cellIs" dxfId="2306" priority="3645" operator="between">
      <formula>0.8</formula>
      <formula>1.2</formula>
    </cfRule>
    <cfRule type="cellIs" dxfId="2305" priority="3647" operator="lessThan">
      <formula>0.8</formula>
    </cfRule>
    <cfRule type="cellIs" dxfId="2304" priority="3648" operator="greaterThanOrEqual">
      <formula>1.2</formula>
    </cfRule>
  </conditionalFormatting>
  <conditionalFormatting sqref="I10802:I10825">
    <cfRule type="colorScale" priority="3644">
      <colorScale>
        <cfvo type="min"/>
        <cfvo type="percentile" val="50"/>
        <cfvo type="max"/>
        <color rgb="FF63BE7B"/>
        <color rgb="FFFFEB84"/>
        <color rgb="FFF8696B"/>
      </colorScale>
    </cfRule>
  </conditionalFormatting>
  <conditionalFormatting sqref="K10803:K10825">
    <cfRule type="colorScale" priority="3643">
      <colorScale>
        <cfvo type="min"/>
        <cfvo type="percentile" val="50"/>
        <cfvo type="max"/>
        <color rgb="FF63BE7B"/>
        <color rgb="FFFFEB84"/>
        <color rgb="FFF8696B"/>
      </colorScale>
    </cfRule>
  </conditionalFormatting>
  <conditionalFormatting sqref="K10802:K10825">
    <cfRule type="colorScale" priority="3642">
      <colorScale>
        <cfvo type="min"/>
        <cfvo type="percentile" val="50"/>
        <cfvo type="max"/>
        <color rgb="FF63BE7B"/>
        <color rgb="FFFFEB84"/>
        <color rgb="FFF8696B"/>
      </colorScale>
    </cfRule>
  </conditionalFormatting>
  <conditionalFormatting sqref="M10802:M10825">
    <cfRule type="colorScale" priority="3641">
      <colorScale>
        <cfvo type="min"/>
        <cfvo type="percentile" val="50"/>
        <cfvo type="max"/>
        <color rgb="FF63BE7B"/>
        <color rgb="FFFFEB84"/>
        <color rgb="FFF8696B"/>
      </colorScale>
    </cfRule>
  </conditionalFormatting>
  <conditionalFormatting sqref="L10802:L10825">
    <cfRule type="colorScale" priority="3640">
      <colorScale>
        <cfvo type="min"/>
        <cfvo type="percentile" val="50"/>
        <cfvo type="max"/>
        <color rgb="FF63BE7B"/>
        <color rgb="FFFFEB84"/>
        <color rgb="FFF8696B"/>
      </colorScale>
    </cfRule>
  </conditionalFormatting>
  <conditionalFormatting sqref="D10826:D10849">
    <cfRule type="colorScale" priority="3639">
      <colorScale>
        <cfvo type="min"/>
        <cfvo type="percentile" val="50"/>
        <cfvo type="max"/>
        <color rgb="FF63BE7B"/>
        <color rgb="FFFFEB84"/>
        <color rgb="FFF8696B"/>
      </colorScale>
    </cfRule>
  </conditionalFormatting>
  <conditionalFormatting sqref="G10826:G10849">
    <cfRule type="cellIs" dxfId="2303" priority="3633" operator="between">
      <formula>49</formula>
      <formula>149</formula>
    </cfRule>
    <cfRule type="cellIs" dxfId="2302" priority="3637" operator="lessThan">
      <formula>49</formula>
    </cfRule>
    <cfRule type="cellIs" dxfId="2301" priority="3638" operator="greaterThanOrEqual">
      <formula>150</formula>
    </cfRule>
  </conditionalFormatting>
  <conditionalFormatting sqref="F10826:F10849">
    <cfRule type="colorScale" priority="3636">
      <colorScale>
        <cfvo type="min"/>
        <cfvo type="percentile" val="50"/>
        <cfvo type="max"/>
        <color rgb="FF63BE7B"/>
        <color rgb="FFFFEB84"/>
        <color rgb="FFF8696B"/>
      </colorScale>
    </cfRule>
  </conditionalFormatting>
  <conditionalFormatting sqref="H10826:H10849">
    <cfRule type="cellIs" dxfId="2300" priority="3632" operator="between">
      <formula>0.8</formula>
      <formula>1.2</formula>
    </cfRule>
    <cfRule type="cellIs" dxfId="2299" priority="3634" operator="lessThan">
      <formula>0.8</formula>
    </cfRule>
    <cfRule type="cellIs" dxfId="2298" priority="3635" operator="greaterThanOrEqual">
      <formula>1.2</formula>
    </cfRule>
  </conditionalFormatting>
  <conditionalFormatting sqref="I10826:I10849">
    <cfRule type="colorScale" priority="3631">
      <colorScale>
        <cfvo type="min"/>
        <cfvo type="percentile" val="50"/>
        <cfvo type="max"/>
        <color rgb="FF63BE7B"/>
        <color rgb="FFFFEB84"/>
        <color rgb="FFF8696B"/>
      </colorScale>
    </cfRule>
  </conditionalFormatting>
  <conditionalFormatting sqref="K10827:K10849">
    <cfRule type="colorScale" priority="3630">
      <colorScale>
        <cfvo type="min"/>
        <cfvo type="percentile" val="50"/>
        <cfvo type="max"/>
        <color rgb="FF63BE7B"/>
        <color rgb="FFFFEB84"/>
        <color rgb="FFF8696B"/>
      </colorScale>
    </cfRule>
  </conditionalFormatting>
  <conditionalFormatting sqref="K10826:K10849">
    <cfRule type="colorScale" priority="3629">
      <colorScale>
        <cfvo type="min"/>
        <cfvo type="percentile" val="50"/>
        <cfvo type="max"/>
        <color rgb="FF63BE7B"/>
        <color rgb="FFFFEB84"/>
        <color rgb="FFF8696B"/>
      </colorScale>
    </cfRule>
  </conditionalFormatting>
  <conditionalFormatting sqref="M10826:M10849">
    <cfRule type="colorScale" priority="3628">
      <colorScale>
        <cfvo type="min"/>
        <cfvo type="percentile" val="50"/>
        <cfvo type="max"/>
        <color rgb="FF63BE7B"/>
        <color rgb="FFFFEB84"/>
        <color rgb="FFF8696B"/>
      </colorScale>
    </cfRule>
  </conditionalFormatting>
  <conditionalFormatting sqref="L10826:L10849">
    <cfRule type="colorScale" priority="3627">
      <colorScale>
        <cfvo type="min"/>
        <cfvo type="percentile" val="50"/>
        <cfvo type="max"/>
        <color rgb="FF63BE7B"/>
        <color rgb="FFFFEB84"/>
        <color rgb="FFF8696B"/>
      </colorScale>
    </cfRule>
  </conditionalFormatting>
  <conditionalFormatting sqref="D10850:D10873">
    <cfRule type="colorScale" priority="3626">
      <colorScale>
        <cfvo type="min"/>
        <cfvo type="percentile" val="50"/>
        <cfvo type="max"/>
        <color rgb="FF63BE7B"/>
        <color rgb="FFFFEB84"/>
        <color rgb="FFF8696B"/>
      </colorScale>
    </cfRule>
  </conditionalFormatting>
  <conditionalFormatting sqref="G10850:G10873">
    <cfRule type="cellIs" dxfId="2297" priority="3620" operator="between">
      <formula>49</formula>
      <formula>149</formula>
    </cfRule>
    <cfRule type="cellIs" dxfId="2296" priority="3624" operator="lessThan">
      <formula>49</formula>
    </cfRule>
    <cfRule type="cellIs" dxfId="2295" priority="3625" operator="greaterThanOrEqual">
      <formula>150</formula>
    </cfRule>
  </conditionalFormatting>
  <conditionalFormatting sqref="F10850:F10873">
    <cfRule type="colorScale" priority="3623">
      <colorScale>
        <cfvo type="min"/>
        <cfvo type="percentile" val="50"/>
        <cfvo type="max"/>
        <color rgb="FF63BE7B"/>
        <color rgb="FFFFEB84"/>
        <color rgb="FFF8696B"/>
      </colorScale>
    </cfRule>
  </conditionalFormatting>
  <conditionalFormatting sqref="H10850:H10873">
    <cfRule type="cellIs" dxfId="2294" priority="3619" operator="between">
      <formula>0.8</formula>
      <formula>1.2</formula>
    </cfRule>
    <cfRule type="cellIs" dxfId="2293" priority="3621" operator="lessThan">
      <formula>0.8</formula>
    </cfRule>
    <cfRule type="cellIs" dxfId="2292" priority="3622" operator="greaterThanOrEqual">
      <formula>1.2</formula>
    </cfRule>
  </conditionalFormatting>
  <conditionalFormatting sqref="I10850:I10873">
    <cfRule type="colorScale" priority="3618">
      <colorScale>
        <cfvo type="min"/>
        <cfvo type="percentile" val="50"/>
        <cfvo type="max"/>
        <color rgb="FF63BE7B"/>
        <color rgb="FFFFEB84"/>
        <color rgb="FFF8696B"/>
      </colorScale>
    </cfRule>
  </conditionalFormatting>
  <conditionalFormatting sqref="K10851:K10873">
    <cfRule type="colorScale" priority="3617">
      <colorScale>
        <cfvo type="min"/>
        <cfvo type="percentile" val="50"/>
        <cfvo type="max"/>
        <color rgb="FF63BE7B"/>
        <color rgb="FFFFEB84"/>
        <color rgb="FFF8696B"/>
      </colorScale>
    </cfRule>
  </conditionalFormatting>
  <conditionalFormatting sqref="K10850:K10873">
    <cfRule type="colorScale" priority="3616">
      <colorScale>
        <cfvo type="min"/>
        <cfvo type="percentile" val="50"/>
        <cfvo type="max"/>
        <color rgb="FF63BE7B"/>
        <color rgb="FFFFEB84"/>
        <color rgb="FFF8696B"/>
      </colorScale>
    </cfRule>
  </conditionalFormatting>
  <conditionalFormatting sqref="M10850:M10873">
    <cfRule type="colorScale" priority="3615">
      <colorScale>
        <cfvo type="min"/>
        <cfvo type="percentile" val="50"/>
        <cfvo type="max"/>
        <color rgb="FF63BE7B"/>
        <color rgb="FFFFEB84"/>
        <color rgb="FFF8696B"/>
      </colorScale>
    </cfRule>
  </conditionalFormatting>
  <conditionalFormatting sqref="L10850:L10873">
    <cfRule type="colorScale" priority="3614">
      <colorScale>
        <cfvo type="min"/>
        <cfvo type="percentile" val="50"/>
        <cfvo type="max"/>
        <color rgb="FF63BE7B"/>
        <color rgb="FFFFEB84"/>
        <color rgb="FFF8696B"/>
      </colorScale>
    </cfRule>
  </conditionalFormatting>
  <conditionalFormatting sqref="D10874:D10897">
    <cfRule type="colorScale" priority="3613">
      <colorScale>
        <cfvo type="min"/>
        <cfvo type="percentile" val="50"/>
        <cfvo type="max"/>
        <color rgb="FF63BE7B"/>
        <color rgb="FFFFEB84"/>
        <color rgb="FFF8696B"/>
      </colorScale>
    </cfRule>
  </conditionalFormatting>
  <conditionalFormatting sqref="G10874:G10897">
    <cfRule type="cellIs" dxfId="2291" priority="3607" operator="between">
      <formula>49</formula>
      <formula>149</formula>
    </cfRule>
    <cfRule type="cellIs" dxfId="2290" priority="3611" operator="lessThan">
      <formula>49</formula>
    </cfRule>
    <cfRule type="cellIs" dxfId="2289" priority="3612" operator="greaterThanOrEqual">
      <formula>150</formula>
    </cfRule>
  </conditionalFormatting>
  <conditionalFormatting sqref="F10874:F10897">
    <cfRule type="colorScale" priority="3610">
      <colorScale>
        <cfvo type="min"/>
        <cfvo type="percentile" val="50"/>
        <cfvo type="max"/>
        <color rgb="FF63BE7B"/>
        <color rgb="FFFFEB84"/>
        <color rgb="FFF8696B"/>
      </colorScale>
    </cfRule>
  </conditionalFormatting>
  <conditionalFormatting sqref="H10874:H10897">
    <cfRule type="cellIs" dxfId="2288" priority="3606" operator="between">
      <formula>0.8</formula>
      <formula>1.2</formula>
    </cfRule>
    <cfRule type="cellIs" dxfId="2287" priority="3608" operator="lessThan">
      <formula>0.8</formula>
    </cfRule>
    <cfRule type="cellIs" dxfId="2286" priority="3609" operator="greaterThanOrEqual">
      <formula>1.2</formula>
    </cfRule>
  </conditionalFormatting>
  <conditionalFormatting sqref="I10874:I10897">
    <cfRule type="colorScale" priority="3605">
      <colorScale>
        <cfvo type="min"/>
        <cfvo type="percentile" val="50"/>
        <cfvo type="max"/>
        <color rgb="FF63BE7B"/>
        <color rgb="FFFFEB84"/>
        <color rgb="FFF8696B"/>
      </colorScale>
    </cfRule>
  </conditionalFormatting>
  <conditionalFormatting sqref="K10875:K10897">
    <cfRule type="colorScale" priority="3604">
      <colorScale>
        <cfvo type="min"/>
        <cfvo type="percentile" val="50"/>
        <cfvo type="max"/>
        <color rgb="FF63BE7B"/>
        <color rgb="FFFFEB84"/>
        <color rgb="FFF8696B"/>
      </colorScale>
    </cfRule>
  </conditionalFormatting>
  <conditionalFormatting sqref="K10874:K10897">
    <cfRule type="colorScale" priority="3603">
      <colorScale>
        <cfvo type="min"/>
        <cfvo type="percentile" val="50"/>
        <cfvo type="max"/>
        <color rgb="FF63BE7B"/>
        <color rgb="FFFFEB84"/>
        <color rgb="FFF8696B"/>
      </colorScale>
    </cfRule>
  </conditionalFormatting>
  <conditionalFormatting sqref="M10874:M10897">
    <cfRule type="colorScale" priority="3602">
      <colorScale>
        <cfvo type="min"/>
        <cfvo type="percentile" val="50"/>
        <cfvo type="max"/>
        <color rgb="FF63BE7B"/>
        <color rgb="FFFFEB84"/>
        <color rgb="FFF8696B"/>
      </colorScale>
    </cfRule>
  </conditionalFormatting>
  <conditionalFormatting sqref="L10874:L10897">
    <cfRule type="colorScale" priority="3601">
      <colorScale>
        <cfvo type="min"/>
        <cfvo type="percentile" val="50"/>
        <cfvo type="max"/>
        <color rgb="FF63BE7B"/>
        <color rgb="FFFFEB84"/>
        <color rgb="FFF8696B"/>
      </colorScale>
    </cfRule>
  </conditionalFormatting>
  <conditionalFormatting sqref="D10898:D10921">
    <cfRule type="colorScale" priority="3600">
      <colorScale>
        <cfvo type="min"/>
        <cfvo type="percentile" val="50"/>
        <cfvo type="max"/>
        <color rgb="FF63BE7B"/>
        <color rgb="FFFFEB84"/>
        <color rgb="FFF8696B"/>
      </colorScale>
    </cfRule>
  </conditionalFormatting>
  <conditionalFormatting sqref="G10898:G10921">
    <cfRule type="cellIs" dxfId="2285" priority="3594" operator="between">
      <formula>49</formula>
      <formula>149</formula>
    </cfRule>
    <cfRule type="cellIs" dxfId="2284" priority="3598" operator="lessThan">
      <formula>49</formula>
    </cfRule>
    <cfRule type="cellIs" dxfId="2283" priority="3599" operator="greaterThanOrEqual">
      <formula>150</formula>
    </cfRule>
  </conditionalFormatting>
  <conditionalFormatting sqref="F10898:F10921">
    <cfRule type="colorScale" priority="3597">
      <colorScale>
        <cfvo type="min"/>
        <cfvo type="percentile" val="50"/>
        <cfvo type="max"/>
        <color rgb="FF63BE7B"/>
        <color rgb="FFFFEB84"/>
        <color rgb="FFF8696B"/>
      </colorScale>
    </cfRule>
  </conditionalFormatting>
  <conditionalFormatting sqref="H10898:H10921">
    <cfRule type="cellIs" dxfId="2282" priority="3593" operator="between">
      <formula>0.8</formula>
      <formula>1.2</formula>
    </cfRule>
    <cfRule type="cellIs" dxfId="2281" priority="3595" operator="lessThan">
      <formula>0.8</formula>
    </cfRule>
    <cfRule type="cellIs" dxfId="2280" priority="3596" operator="greaterThanOrEqual">
      <formula>1.2</formula>
    </cfRule>
  </conditionalFormatting>
  <conditionalFormatting sqref="I10898:I10921">
    <cfRule type="colorScale" priority="3592">
      <colorScale>
        <cfvo type="min"/>
        <cfvo type="percentile" val="50"/>
        <cfvo type="max"/>
        <color rgb="FF63BE7B"/>
        <color rgb="FFFFEB84"/>
        <color rgb="FFF8696B"/>
      </colorScale>
    </cfRule>
  </conditionalFormatting>
  <conditionalFormatting sqref="K10899:K10921">
    <cfRule type="colorScale" priority="3591">
      <colorScale>
        <cfvo type="min"/>
        <cfvo type="percentile" val="50"/>
        <cfvo type="max"/>
        <color rgb="FF63BE7B"/>
        <color rgb="FFFFEB84"/>
        <color rgb="FFF8696B"/>
      </colorScale>
    </cfRule>
  </conditionalFormatting>
  <conditionalFormatting sqref="K10898:K10921">
    <cfRule type="colorScale" priority="3590">
      <colorScale>
        <cfvo type="min"/>
        <cfvo type="percentile" val="50"/>
        <cfvo type="max"/>
        <color rgb="FF63BE7B"/>
        <color rgb="FFFFEB84"/>
        <color rgb="FFF8696B"/>
      </colorScale>
    </cfRule>
  </conditionalFormatting>
  <conditionalFormatting sqref="M10898:M10921">
    <cfRule type="colorScale" priority="3589">
      <colorScale>
        <cfvo type="min"/>
        <cfvo type="percentile" val="50"/>
        <cfvo type="max"/>
        <color rgb="FF63BE7B"/>
        <color rgb="FFFFEB84"/>
        <color rgb="FFF8696B"/>
      </colorScale>
    </cfRule>
  </conditionalFormatting>
  <conditionalFormatting sqref="L10898:L10921">
    <cfRule type="colorScale" priority="3588">
      <colorScale>
        <cfvo type="min"/>
        <cfvo type="percentile" val="50"/>
        <cfvo type="max"/>
        <color rgb="FF63BE7B"/>
        <color rgb="FFFFEB84"/>
        <color rgb="FFF8696B"/>
      </colorScale>
    </cfRule>
  </conditionalFormatting>
  <conditionalFormatting sqref="D10922:D10945">
    <cfRule type="colorScale" priority="3587">
      <colorScale>
        <cfvo type="min"/>
        <cfvo type="percentile" val="50"/>
        <cfvo type="max"/>
        <color rgb="FF63BE7B"/>
        <color rgb="FFFFEB84"/>
        <color rgb="FFF8696B"/>
      </colorScale>
    </cfRule>
  </conditionalFormatting>
  <conditionalFormatting sqref="G10922:G10945">
    <cfRule type="cellIs" dxfId="2279" priority="3581" operator="between">
      <formula>49</formula>
      <formula>149</formula>
    </cfRule>
    <cfRule type="cellIs" dxfId="2278" priority="3585" operator="lessThan">
      <formula>49</formula>
    </cfRule>
    <cfRule type="cellIs" dxfId="2277" priority="3586" operator="greaterThanOrEqual">
      <formula>150</formula>
    </cfRule>
  </conditionalFormatting>
  <conditionalFormatting sqref="F10922:F10945">
    <cfRule type="colorScale" priority="3584">
      <colorScale>
        <cfvo type="min"/>
        <cfvo type="percentile" val="50"/>
        <cfvo type="max"/>
        <color rgb="FF63BE7B"/>
        <color rgb="FFFFEB84"/>
        <color rgb="FFF8696B"/>
      </colorScale>
    </cfRule>
  </conditionalFormatting>
  <conditionalFormatting sqref="H10922:H10945">
    <cfRule type="cellIs" dxfId="2276" priority="3580" operator="between">
      <formula>0.8</formula>
      <formula>1.2</formula>
    </cfRule>
    <cfRule type="cellIs" dxfId="2275" priority="3582" operator="lessThan">
      <formula>0.8</formula>
    </cfRule>
    <cfRule type="cellIs" dxfId="2274" priority="3583" operator="greaterThanOrEqual">
      <formula>1.2</formula>
    </cfRule>
  </conditionalFormatting>
  <conditionalFormatting sqref="I10922:I10945">
    <cfRule type="colorScale" priority="3579">
      <colorScale>
        <cfvo type="min"/>
        <cfvo type="percentile" val="50"/>
        <cfvo type="max"/>
        <color rgb="FF63BE7B"/>
        <color rgb="FFFFEB84"/>
        <color rgb="FFF8696B"/>
      </colorScale>
    </cfRule>
  </conditionalFormatting>
  <conditionalFormatting sqref="K10923:K10945">
    <cfRule type="colorScale" priority="3578">
      <colorScale>
        <cfvo type="min"/>
        <cfvo type="percentile" val="50"/>
        <cfvo type="max"/>
        <color rgb="FF63BE7B"/>
        <color rgb="FFFFEB84"/>
        <color rgb="FFF8696B"/>
      </colorScale>
    </cfRule>
  </conditionalFormatting>
  <conditionalFormatting sqref="K10922:K10945">
    <cfRule type="colorScale" priority="3577">
      <colorScale>
        <cfvo type="min"/>
        <cfvo type="percentile" val="50"/>
        <cfvo type="max"/>
        <color rgb="FF63BE7B"/>
        <color rgb="FFFFEB84"/>
        <color rgb="FFF8696B"/>
      </colorScale>
    </cfRule>
  </conditionalFormatting>
  <conditionalFormatting sqref="M10922:M10945">
    <cfRule type="colorScale" priority="3576">
      <colorScale>
        <cfvo type="min"/>
        <cfvo type="percentile" val="50"/>
        <cfvo type="max"/>
        <color rgb="FF63BE7B"/>
        <color rgb="FFFFEB84"/>
        <color rgb="FFF8696B"/>
      </colorScale>
    </cfRule>
  </conditionalFormatting>
  <conditionalFormatting sqref="L10922:L10945">
    <cfRule type="colorScale" priority="3575">
      <colorScale>
        <cfvo type="min"/>
        <cfvo type="percentile" val="50"/>
        <cfvo type="max"/>
        <color rgb="FF63BE7B"/>
        <color rgb="FFFFEB84"/>
        <color rgb="FFF8696B"/>
      </colorScale>
    </cfRule>
  </conditionalFormatting>
  <conditionalFormatting sqref="D10946:D10969">
    <cfRule type="colorScale" priority="3574">
      <colorScale>
        <cfvo type="min"/>
        <cfvo type="percentile" val="50"/>
        <cfvo type="max"/>
        <color rgb="FF63BE7B"/>
        <color rgb="FFFFEB84"/>
        <color rgb="FFF8696B"/>
      </colorScale>
    </cfRule>
  </conditionalFormatting>
  <conditionalFormatting sqref="G10946:G10969">
    <cfRule type="cellIs" dxfId="2273" priority="3568" operator="between">
      <formula>49</formula>
      <formula>149</formula>
    </cfRule>
    <cfRule type="cellIs" dxfId="2272" priority="3572" operator="lessThan">
      <formula>49</formula>
    </cfRule>
    <cfRule type="cellIs" dxfId="2271" priority="3573" operator="greaterThanOrEqual">
      <formula>150</formula>
    </cfRule>
  </conditionalFormatting>
  <conditionalFormatting sqref="F10946:F10969">
    <cfRule type="colorScale" priority="3571">
      <colorScale>
        <cfvo type="min"/>
        <cfvo type="percentile" val="50"/>
        <cfvo type="max"/>
        <color rgb="FF63BE7B"/>
        <color rgb="FFFFEB84"/>
        <color rgb="FFF8696B"/>
      </colorScale>
    </cfRule>
  </conditionalFormatting>
  <conditionalFormatting sqref="H10946:H10969">
    <cfRule type="cellIs" dxfId="2270" priority="3567" operator="between">
      <formula>0.8</formula>
      <formula>1.2</formula>
    </cfRule>
    <cfRule type="cellIs" dxfId="2269" priority="3569" operator="lessThan">
      <formula>0.8</formula>
    </cfRule>
    <cfRule type="cellIs" dxfId="2268" priority="3570" operator="greaterThanOrEqual">
      <formula>1.2</formula>
    </cfRule>
  </conditionalFormatting>
  <conditionalFormatting sqref="I10946:I10969">
    <cfRule type="colorScale" priority="3566">
      <colorScale>
        <cfvo type="min"/>
        <cfvo type="percentile" val="50"/>
        <cfvo type="max"/>
        <color rgb="FF63BE7B"/>
        <color rgb="FFFFEB84"/>
        <color rgb="FFF8696B"/>
      </colorScale>
    </cfRule>
  </conditionalFormatting>
  <conditionalFormatting sqref="K10947:K10969">
    <cfRule type="colorScale" priority="3565">
      <colorScale>
        <cfvo type="min"/>
        <cfvo type="percentile" val="50"/>
        <cfvo type="max"/>
        <color rgb="FF63BE7B"/>
        <color rgb="FFFFEB84"/>
        <color rgb="FFF8696B"/>
      </colorScale>
    </cfRule>
  </conditionalFormatting>
  <conditionalFormatting sqref="K10946:K10969">
    <cfRule type="colorScale" priority="3564">
      <colorScale>
        <cfvo type="min"/>
        <cfvo type="percentile" val="50"/>
        <cfvo type="max"/>
        <color rgb="FF63BE7B"/>
        <color rgb="FFFFEB84"/>
        <color rgb="FFF8696B"/>
      </colorScale>
    </cfRule>
  </conditionalFormatting>
  <conditionalFormatting sqref="M10946:M10969">
    <cfRule type="colorScale" priority="3563">
      <colorScale>
        <cfvo type="min"/>
        <cfvo type="percentile" val="50"/>
        <cfvo type="max"/>
        <color rgb="FF63BE7B"/>
        <color rgb="FFFFEB84"/>
        <color rgb="FFF8696B"/>
      </colorScale>
    </cfRule>
  </conditionalFormatting>
  <conditionalFormatting sqref="L10946:L10969">
    <cfRule type="colorScale" priority="3562">
      <colorScale>
        <cfvo type="min"/>
        <cfvo type="percentile" val="50"/>
        <cfvo type="max"/>
        <color rgb="FF63BE7B"/>
        <color rgb="FFFFEB84"/>
        <color rgb="FFF8696B"/>
      </colorScale>
    </cfRule>
  </conditionalFormatting>
  <conditionalFormatting sqref="D10970:D10993">
    <cfRule type="colorScale" priority="3561">
      <colorScale>
        <cfvo type="min"/>
        <cfvo type="percentile" val="50"/>
        <cfvo type="max"/>
        <color rgb="FF63BE7B"/>
        <color rgb="FFFFEB84"/>
        <color rgb="FFF8696B"/>
      </colorScale>
    </cfRule>
  </conditionalFormatting>
  <conditionalFormatting sqref="G10970:G10993">
    <cfRule type="cellIs" dxfId="2267" priority="3555" operator="between">
      <formula>49</formula>
      <formula>149</formula>
    </cfRule>
    <cfRule type="cellIs" dxfId="2266" priority="3559" operator="lessThan">
      <formula>49</formula>
    </cfRule>
    <cfRule type="cellIs" dxfId="2265" priority="3560" operator="greaterThanOrEqual">
      <formula>150</formula>
    </cfRule>
  </conditionalFormatting>
  <conditionalFormatting sqref="F10970:F10993">
    <cfRule type="colorScale" priority="3558">
      <colorScale>
        <cfvo type="min"/>
        <cfvo type="percentile" val="50"/>
        <cfvo type="max"/>
        <color rgb="FF63BE7B"/>
        <color rgb="FFFFEB84"/>
        <color rgb="FFF8696B"/>
      </colorScale>
    </cfRule>
  </conditionalFormatting>
  <conditionalFormatting sqref="H10970:H10993">
    <cfRule type="cellIs" dxfId="2264" priority="3554" operator="between">
      <formula>0.8</formula>
      <formula>1.2</formula>
    </cfRule>
    <cfRule type="cellIs" dxfId="2263" priority="3556" operator="lessThan">
      <formula>0.8</formula>
    </cfRule>
    <cfRule type="cellIs" dxfId="2262" priority="3557" operator="greaterThanOrEqual">
      <formula>1.2</formula>
    </cfRule>
  </conditionalFormatting>
  <conditionalFormatting sqref="I10970:I10993">
    <cfRule type="colorScale" priority="3553">
      <colorScale>
        <cfvo type="min"/>
        <cfvo type="percentile" val="50"/>
        <cfvo type="max"/>
        <color rgb="FF63BE7B"/>
        <color rgb="FFFFEB84"/>
        <color rgb="FFF8696B"/>
      </colorScale>
    </cfRule>
  </conditionalFormatting>
  <conditionalFormatting sqref="K10971:K10993">
    <cfRule type="colorScale" priority="3552">
      <colorScale>
        <cfvo type="min"/>
        <cfvo type="percentile" val="50"/>
        <cfvo type="max"/>
        <color rgb="FF63BE7B"/>
        <color rgb="FFFFEB84"/>
        <color rgb="FFF8696B"/>
      </colorScale>
    </cfRule>
  </conditionalFormatting>
  <conditionalFormatting sqref="K10970:K10993">
    <cfRule type="colorScale" priority="3551">
      <colorScale>
        <cfvo type="min"/>
        <cfvo type="percentile" val="50"/>
        <cfvo type="max"/>
        <color rgb="FF63BE7B"/>
        <color rgb="FFFFEB84"/>
        <color rgb="FFF8696B"/>
      </colorScale>
    </cfRule>
  </conditionalFormatting>
  <conditionalFormatting sqref="M10970:M10993">
    <cfRule type="colorScale" priority="3550">
      <colorScale>
        <cfvo type="min"/>
        <cfvo type="percentile" val="50"/>
        <cfvo type="max"/>
        <color rgb="FF63BE7B"/>
        <color rgb="FFFFEB84"/>
        <color rgb="FFF8696B"/>
      </colorScale>
    </cfRule>
  </conditionalFormatting>
  <conditionalFormatting sqref="L10970:L10993">
    <cfRule type="colorScale" priority="3549">
      <colorScale>
        <cfvo type="min"/>
        <cfvo type="percentile" val="50"/>
        <cfvo type="max"/>
        <color rgb="FF63BE7B"/>
        <color rgb="FFFFEB84"/>
        <color rgb="FFF8696B"/>
      </colorScale>
    </cfRule>
  </conditionalFormatting>
  <conditionalFormatting sqref="D10994:D11017">
    <cfRule type="colorScale" priority="3548">
      <colorScale>
        <cfvo type="min"/>
        <cfvo type="percentile" val="50"/>
        <cfvo type="max"/>
        <color rgb="FF63BE7B"/>
        <color rgb="FFFFEB84"/>
        <color rgb="FFF8696B"/>
      </colorScale>
    </cfRule>
  </conditionalFormatting>
  <conditionalFormatting sqref="G10994:G11017">
    <cfRule type="cellIs" dxfId="2261" priority="3542" operator="between">
      <formula>49</formula>
      <formula>149</formula>
    </cfRule>
    <cfRule type="cellIs" dxfId="2260" priority="3546" operator="lessThan">
      <formula>49</formula>
    </cfRule>
    <cfRule type="cellIs" dxfId="2259" priority="3547" operator="greaterThanOrEqual">
      <formula>150</formula>
    </cfRule>
  </conditionalFormatting>
  <conditionalFormatting sqref="F10994:F11017">
    <cfRule type="colorScale" priority="3545">
      <colorScale>
        <cfvo type="min"/>
        <cfvo type="percentile" val="50"/>
        <cfvo type="max"/>
        <color rgb="FF63BE7B"/>
        <color rgb="FFFFEB84"/>
        <color rgb="FFF8696B"/>
      </colorScale>
    </cfRule>
  </conditionalFormatting>
  <conditionalFormatting sqref="H10994:H11017">
    <cfRule type="cellIs" dxfId="2258" priority="3541" operator="between">
      <formula>0.8</formula>
      <formula>1.2</formula>
    </cfRule>
    <cfRule type="cellIs" dxfId="2257" priority="3543" operator="lessThan">
      <formula>0.8</formula>
    </cfRule>
    <cfRule type="cellIs" dxfId="2256" priority="3544" operator="greaterThanOrEqual">
      <formula>1.2</formula>
    </cfRule>
  </conditionalFormatting>
  <conditionalFormatting sqref="I10994:I11017">
    <cfRule type="colorScale" priority="3540">
      <colorScale>
        <cfvo type="min"/>
        <cfvo type="percentile" val="50"/>
        <cfvo type="max"/>
        <color rgb="FF63BE7B"/>
        <color rgb="FFFFEB84"/>
        <color rgb="FFF8696B"/>
      </colorScale>
    </cfRule>
  </conditionalFormatting>
  <conditionalFormatting sqref="K10995:K11017">
    <cfRule type="colorScale" priority="3539">
      <colorScale>
        <cfvo type="min"/>
        <cfvo type="percentile" val="50"/>
        <cfvo type="max"/>
        <color rgb="FF63BE7B"/>
        <color rgb="FFFFEB84"/>
        <color rgb="FFF8696B"/>
      </colorScale>
    </cfRule>
  </conditionalFormatting>
  <conditionalFormatting sqref="K10994:K11017">
    <cfRule type="colorScale" priority="3538">
      <colorScale>
        <cfvo type="min"/>
        <cfvo type="percentile" val="50"/>
        <cfvo type="max"/>
        <color rgb="FF63BE7B"/>
        <color rgb="FFFFEB84"/>
        <color rgb="FFF8696B"/>
      </colorScale>
    </cfRule>
  </conditionalFormatting>
  <conditionalFormatting sqref="M10994:M11017">
    <cfRule type="colorScale" priority="3537">
      <colorScale>
        <cfvo type="min"/>
        <cfvo type="percentile" val="50"/>
        <cfvo type="max"/>
        <color rgb="FF63BE7B"/>
        <color rgb="FFFFEB84"/>
        <color rgb="FFF8696B"/>
      </colorScale>
    </cfRule>
  </conditionalFormatting>
  <conditionalFormatting sqref="L10994:L11017">
    <cfRule type="colorScale" priority="3536">
      <colorScale>
        <cfvo type="min"/>
        <cfvo type="percentile" val="50"/>
        <cfvo type="max"/>
        <color rgb="FF63BE7B"/>
        <color rgb="FFFFEB84"/>
        <color rgb="FFF8696B"/>
      </colorScale>
    </cfRule>
  </conditionalFormatting>
  <conditionalFormatting sqref="D11018:D11041">
    <cfRule type="colorScale" priority="3535">
      <colorScale>
        <cfvo type="min"/>
        <cfvo type="percentile" val="50"/>
        <cfvo type="max"/>
        <color rgb="FF63BE7B"/>
        <color rgb="FFFFEB84"/>
        <color rgb="FFF8696B"/>
      </colorScale>
    </cfRule>
  </conditionalFormatting>
  <conditionalFormatting sqref="G11018:G11041">
    <cfRule type="cellIs" dxfId="2255" priority="3529" operator="between">
      <formula>49</formula>
      <formula>149</formula>
    </cfRule>
    <cfRule type="cellIs" dxfId="2254" priority="3533" operator="lessThan">
      <formula>49</formula>
    </cfRule>
    <cfRule type="cellIs" dxfId="2253" priority="3534" operator="greaterThanOrEqual">
      <formula>150</formula>
    </cfRule>
  </conditionalFormatting>
  <conditionalFormatting sqref="F11018:F11041">
    <cfRule type="colorScale" priority="3532">
      <colorScale>
        <cfvo type="min"/>
        <cfvo type="percentile" val="50"/>
        <cfvo type="max"/>
        <color rgb="FF63BE7B"/>
        <color rgb="FFFFEB84"/>
        <color rgb="FFF8696B"/>
      </colorScale>
    </cfRule>
  </conditionalFormatting>
  <conditionalFormatting sqref="H11018:H11041">
    <cfRule type="cellIs" dxfId="2252" priority="3528" operator="between">
      <formula>0.8</formula>
      <formula>1.2</formula>
    </cfRule>
    <cfRule type="cellIs" dxfId="2251" priority="3530" operator="lessThan">
      <formula>0.8</formula>
    </cfRule>
    <cfRule type="cellIs" dxfId="2250" priority="3531" operator="greaterThanOrEqual">
      <formula>1.2</formula>
    </cfRule>
  </conditionalFormatting>
  <conditionalFormatting sqref="I11018:I11041">
    <cfRule type="colorScale" priority="3527">
      <colorScale>
        <cfvo type="min"/>
        <cfvo type="percentile" val="50"/>
        <cfvo type="max"/>
        <color rgb="FF63BE7B"/>
        <color rgb="FFFFEB84"/>
        <color rgb="FFF8696B"/>
      </colorScale>
    </cfRule>
  </conditionalFormatting>
  <conditionalFormatting sqref="K11019:K11041">
    <cfRule type="colorScale" priority="3526">
      <colorScale>
        <cfvo type="min"/>
        <cfvo type="percentile" val="50"/>
        <cfvo type="max"/>
        <color rgb="FF63BE7B"/>
        <color rgb="FFFFEB84"/>
        <color rgb="FFF8696B"/>
      </colorScale>
    </cfRule>
  </conditionalFormatting>
  <conditionalFormatting sqref="K11018:K11041">
    <cfRule type="colorScale" priority="3525">
      <colorScale>
        <cfvo type="min"/>
        <cfvo type="percentile" val="50"/>
        <cfvo type="max"/>
        <color rgb="FF63BE7B"/>
        <color rgb="FFFFEB84"/>
        <color rgb="FFF8696B"/>
      </colorScale>
    </cfRule>
  </conditionalFormatting>
  <conditionalFormatting sqref="M11018:M11041">
    <cfRule type="colorScale" priority="3524">
      <colorScale>
        <cfvo type="min"/>
        <cfvo type="percentile" val="50"/>
        <cfvo type="max"/>
        <color rgb="FF63BE7B"/>
        <color rgb="FFFFEB84"/>
        <color rgb="FFF8696B"/>
      </colorScale>
    </cfRule>
  </conditionalFormatting>
  <conditionalFormatting sqref="L11018:L11041">
    <cfRule type="colorScale" priority="3523">
      <colorScale>
        <cfvo type="min"/>
        <cfvo type="percentile" val="50"/>
        <cfvo type="max"/>
        <color rgb="FF63BE7B"/>
        <color rgb="FFFFEB84"/>
        <color rgb="FFF8696B"/>
      </colorScale>
    </cfRule>
  </conditionalFormatting>
  <conditionalFormatting sqref="D11042:D11065">
    <cfRule type="colorScale" priority="3522">
      <colorScale>
        <cfvo type="min"/>
        <cfvo type="percentile" val="50"/>
        <cfvo type="max"/>
        <color rgb="FF63BE7B"/>
        <color rgb="FFFFEB84"/>
        <color rgb="FFF8696B"/>
      </colorScale>
    </cfRule>
  </conditionalFormatting>
  <conditionalFormatting sqref="G11042:G11065">
    <cfRule type="cellIs" dxfId="2249" priority="3516" operator="between">
      <formula>49</formula>
      <formula>149</formula>
    </cfRule>
    <cfRule type="cellIs" dxfId="2248" priority="3520" operator="lessThan">
      <formula>49</formula>
    </cfRule>
    <cfRule type="cellIs" dxfId="2247" priority="3521" operator="greaterThanOrEqual">
      <formula>150</formula>
    </cfRule>
  </conditionalFormatting>
  <conditionalFormatting sqref="F11042:F11065">
    <cfRule type="colorScale" priority="3519">
      <colorScale>
        <cfvo type="min"/>
        <cfvo type="percentile" val="50"/>
        <cfvo type="max"/>
        <color rgb="FF63BE7B"/>
        <color rgb="FFFFEB84"/>
        <color rgb="FFF8696B"/>
      </colorScale>
    </cfRule>
  </conditionalFormatting>
  <conditionalFormatting sqref="H11042:H11065">
    <cfRule type="cellIs" dxfId="2246" priority="3515" operator="between">
      <formula>0.8</formula>
      <formula>1.2</formula>
    </cfRule>
    <cfRule type="cellIs" dxfId="2245" priority="3517" operator="lessThan">
      <formula>0.8</formula>
    </cfRule>
    <cfRule type="cellIs" dxfId="2244" priority="3518" operator="greaterThanOrEqual">
      <formula>1.2</formula>
    </cfRule>
  </conditionalFormatting>
  <conditionalFormatting sqref="I11042:I11065">
    <cfRule type="colorScale" priority="3514">
      <colorScale>
        <cfvo type="min"/>
        <cfvo type="percentile" val="50"/>
        <cfvo type="max"/>
        <color rgb="FF63BE7B"/>
        <color rgb="FFFFEB84"/>
        <color rgb="FFF8696B"/>
      </colorScale>
    </cfRule>
  </conditionalFormatting>
  <conditionalFormatting sqref="K11043:K11065">
    <cfRule type="colorScale" priority="3513">
      <colorScale>
        <cfvo type="min"/>
        <cfvo type="percentile" val="50"/>
        <cfvo type="max"/>
        <color rgb="FF63BE7B"/>
        <color rgb="FFFFEB84"/>
        <color rgb="FFF8696B"/>
      </colorScale>
    </cfRule>
  </conditionalFormatting>
  <conditionalFormatting sqref="K11042:K11065">
    <cfRule type="colorScale" priority="3512">
      <colorScale>
        <cfvo type="min"/>
        <cfvo type="percentile" val="50"/>
        <cfvo type="max"/>
        <color rgb="FF63BE7B"/>
        <color rgb="FFFFEB84"/>
        <color rgb="FFF8696B"/>
      </colorScale>
    </cfRule>
  </conditionalFormatting>
  <conditionalFormatting sqref="M11042:M11065">
    <cfRule type="colorScale" priority="3511">
      <colorScale>
        <cfvo type="min"/>
        <cfvo type="percentile" val="50"/>
        <cfvo type="max"/>
        <color rgb="FF63BE7B"/>
        <color rgb="FFFFEB84"/>
        <color rgb="FFF8696B"/>
      </colorScale>
    </cfRule>
  </conditionalFormatting>
  <conditionalFormatting sqref="L11042:L11065">
    <cfRule type="colorScale" priority="3510">
      <colorScale>
        <cfvo type="min"/>
        <cfvo type="percentile" val="50"/>
        <cfvo type="max"/>
        <color rgb="FF63BE7B"/>
        <color rgb="FFFFEB84"/>
        <color rgb="FFF8696B"/>
      </colorScale>
    </cfRule>
  </conditionalFormatting>
  <conditionalFormatting sqref="D11066:D11089">
    <cfRule type="colorScale" priority="3509">
      <colorScale>
        <cfvo type="min"/>
        <cfvo type="percentile" val="50"/>
        <cfvo type="max"/>
        <color rgb="FF63BE7B"/>
        <color rgb="FFFFEB84"/>
        <color rgb="FFF8696B"/>
      </colorScale>
    </cfRule>
  </conditionalFormatting>
  <conditionalFormatting sqref="G11066:G11089">
    <cfRule type="cellIs" dxfId="2243" priority="3503" operator="between">
      <formula>49</formula>
      <formula>149</formula>
    </cfRule>
    <cfRule type="cellIs" dxfId="2242" priority="3507" operator="lessThan">
      <formula>49</formula>
    </cfRule>
    <cfRule type="cellIs" dxfId="2241" priority="3508" operator="greaterThanOrEqual">
      <formula>150</formula>
    </cfRule>
  </conditionalFormatting>
  <conditionalFormatting sqref="F11066:F11089">
    <cfRule type="colorScale" priority="3506">
      <colorScale>
        <cfvo type="min"/>
        <cfvo type="percentile" val="50"/>
        <cfvo type="max"/>
        <color rgb="FF63BE7B"/>
        <color rgb="FFFFEB84"/>
        <color rgb="FFF8696B"/>
      </colorScale>
    </cfRule>
  </conditionalFormatting>
  <conditionalFormatting sqref="H11066:H11089">
    <cfRule type="cellIs" dxfId="2240" priority="3502" operator="between">
      <formula>0.8</formula>
      <formula>1.2</formula>
    </cfRule>
    <cfRule type="cellIs" dxfId="2239" priority="3504" operator="lessThan">
      <formula>0.8</formula>
    </cfRule>
    <cfRule type="cellIs" dxfId="2238" priority="3505" operator="greaterThanOrEqual">
      <formula>1.2</formula>
    </cfRule>
  </conditionalFormatting>
  <conditionalFormatting sqref="I11066:I11089">
    <cfRule type="colorScale" priority="3501">
      <colorScale>
        <cfvo type="min"/>
        <cfvo type="percentile" val="50"/>
        <cfvo type="max"/>
        <color rgb="FF63BE7B"/>
        <color rgb="FFFFEB84"/>
        <color rgb="FFF8696B"/>
      </colorScale>
    </cfRule>
  </conditionalFormatting>
  <conditionalFormatting sqref="K11067:K11089">
    <cfRule type="colorScale" priority="3500">
      <colorScale>
        <cfvo type="min"/>
        <cfvo type="percentile" val="50"/>
        <cfvo type="max"/>
        <color rgb="FF63BE7B"/>
        <color rgb="FFFFEB84"/>
        <color rgb="FFF8696B"/>
      </colorScale>
    </cfRule>
  </conditionalFormatting>
  <conditionalFormatting sqref="K11066:K11089">
    <cfRule type="colorScale" priority="3499">
      <colorScale>
        <cfvo type="min"/>
        <cfvo type="percentile" val="50"/>
        <cfvo type="max"/>
        <color rgb="FF63BE7B"/>
        <color rgb="FFFFEB84"/>
        <color rgb="FFF8696B"/>
      </colorScale>
    </cfRule>
  </conditionalFormatting>
  <conditionalFormatting sqref="M11066:M11089">
    <cfRule type="colorScale" priority="3498">
      <colorScale>
        <cfvo type="min"/>
        <cfvo type="percentile" val="50"/>
        <cfvo type="max"/>
        <color rgb="FF63BE7B"/>
        <color rgb="FFFFEB84"/>
        <color rgb="FFF8696B"/>
      </colorScale>
    </cfRule>
  </conditionalFormatting>
  <conditionalFormatting sqref="L11066:L11089">
    <cfRule type="colorScale" priority="3497">
      <colorScale>
        <cfvo type="min"/>
        <cfvo type="percentile" val="50"/>
        <cfvo type="max"/>
        <color rgb="FF63BE7B"/>
        <color rgb="FFFFEB84"/>
        <color rgb="FFF8696B"/>
      </colorScale>
    </cfRule>
  </conditionalFormatting>
  <conditionalFormatting sqref="D11090:D11113">
    <cfRule type="colorScale" priority="3496">
      <colorScale>
        <cfvo type="min"/>
        <cfvo type="percentile" val="50"/>
        <cfvo type="max"/>
        <color rgb="FF63BE7B"/>
        <color rgb="FFFFEB84"/>
        <color rgb="FFF8696B"/>
      </colorScale>
    </cfRule>
  </conditionalFormatting>
  <conditionalFormatting sqref="G11090:G11113">
    <cfRule type="cellIs" dxfId="2237" priority="3490" operator="between">
      <formula>49</formula>
      <formula>149</formula>
    </cfRule>
    <cfRule type="cellIs" dxfId="2236" priority="3494" operator="lessThan">
      <formula>49</formula>
    </cfRule>
    <cfRule type="cellIs" dxfId="2235" priority="3495" operator="greaterThanOrEqual">
      <formula>150</formula>
    </cfRule>
  </conditionalFormatting>
  <conditionalFormatting sqref="F11090:F11113">
    <cfRule type="colorScale" priority="3493">
      <colorScale>
        <cfvo type="min"/>
        <cfvo type="percentile" val="50"/>
        <cfvo type="max"/>
        <color rgb="FF63BE7B"/>
        <color rgb="FFFFEB84"/>
        <color rgb="FFF8696B"/>
      </colorScale>
    </cfRule>
  </conditionalFormatting>
  <conditionalFormatting sqref="H11090:H11113">
    <cfRule type="cellIs" dxfId="2234" priority="3489" operator="between">
      <formula>0.8</formula>
      <formula>1.2</formula>
    </cfRule>
    <cfRule type="cellIs" dxfId="2233" priority="3491" operator="lessThan">
      <formula>0.8</formula>
    </cfRule>
    <cfRule type="cellIs" dxfId="2232" priority="3492" operator="greaterThanOrEqual">
      <formula>1.2</formula>
    </cfRule>
  </conditionalFormatting>
  <conditionalFormatting sqref="I11090:I11113">
    <cfRule type="colorScale" priority="3488">
      <colorScale>
        <cfvo type="min"/>
        <cfvo type="percentile" val="50"/>
        <cfvo type="max"/>
        <color rgb="FF63BE7B"/>
        <color rgb="FFFFEB84"/>
        <color rgb="FFF8696B"/>
      </colorScale>
    </cfRule>
  </conditionalFormatting>
  <conditionalFormatting sqref="K11091:K11113">
    <cfRule type="colorScale" priority="3487">
      <colorScale>
        <cfvo type="min"/>
        <cfvo type="percentile" val="50"/>
        <cfvo type="max"/>
        <color rgb="FF63BE7B"/>
        <color rgb="FFFFEB84"/>
        <color rgb="FFF8696B"/>
      </colorScale>
    </cfRule>
  </conditionalFormatting>
  <conditionalFormatting sqref="K11090:K11113">
    <cfRule type="colorScale" priority="3486">
      <colorScale>
        <cfvo type="min"/>
        <cfvo type="percentile" val="50"/>
        <cfvo type="max"/>
        <color rgb="FF63BE7B"/>
        <color rgb="FFFFEB84"/>
        <color rgb="FFF8696B"/>
      </colorScale>
    </cfRule>
  </conditionalFormatting>
  <conditionalFormatting sqref="M11090:M11113">
    <cfRule type="colorScale" priority="3485">
      <colorScale>
        <cfvo type="min"/>
        <cfvo type="percentile" val="50"/>
        <cfvo type="max"/>
        <color rgb="FF63BE7B"/>
        <color rgb="FFFFEB84"/>
        <color rgb="FFF8696B"/>
      </colorScale>
    </cfRule>
  </conditionalFormatting>
  <conditionalFormatting sqref="L11090:L11113">
    <cfRule type="colorScale" priority="3484">
      <colorScale>
        <cfvo type="min"/>
        <cfvo type="percentile" val="50"/>
        <cfvo type="max"/>
        <color rgb="FF63BE7B"/>
        <color rgb="FFFFEB84"/>
        <color rgb="FFF8696B"/>
      </colorScale>
    </cfRule>
  </conditionalFormatting>
  <conditionalFormatting sqref="D11114:D11137">
    <cfRule type="colorScale" priority="3483">
      <colorScale>
        <cfvo type="min"/>
        <cfvo type="percentile" val="50"/>
        <cfvo type="max"/>
        <color rgb="FF63BE7B"/>
        <color rgb="FFFFEB84"/>
        <color rgb="FFF8696B"/>
      </colorScale>
    </cfRule>
  </conditionalFormatting>
  <conditionalFormatting sqref="G11114:G11137">
    <cfRule type="cellIs" dxfId="2231" priority="3477" operator="between">
      <formula>49</formula>
      <formula>149</formula>
    </cfRule>
    <cfRule type="cellIs" dxfId="2230" priority="3481" operator="lessThan">
      <formula>49</formula>
    </cfRule>
    <cfRule type="cellIs" dxfId="2229" priority="3482" operator="greaterThanOrEqual">
      <formula>150</formula>
    </cfRule>
  </conditionalFormatting>
  <conditionalFormatting sqref="F11114:F11137">
    <cfRule type="colorScale" priority="3480">
      <colorScale>
        <cfvo type="min"/>
        <cfvo type="percentile" val="50"/>
        <cfvo type="max"/>
        <color rgb="FF63BE7B"/>
        <color rgb="FFFFEB84"/>
        <color rgb="FFF8696B"/>
      </colorScale>
    </cfRule>
  </conditionalFormatting>
  <conditionalFormatting sqref="H11114:H11137">
    <cfRule type="cellIs" dxfId="2228" priority="3476" operator="between">
      <formula>0.8</formula>
      <formula>1.2</formula>
    </cfRule>
    <cfRule type="cellIs" dxfId="2227" priority="3478" operator="lessThan">
      <formula>0.8</formula>
    </cfRule>
    <cfRule type="cellIs" dxfId="2226" priority="3479" operator="greaterThanOrEqual">
      <formula>1.2</formula>
    </cfRule>
  </conditionalFormatting>
  <conditionalFormatting sqref="I11114:I11137">
    <cfRule type="colorScale" priority="3475">
      <colorScale>
        <cfvo type="min"/>
        <cfvo type="percentile" val="50"/>
        <cfvo type="max"/>
        <color rgb="FF63BE7B"/>
        <color rgb="FFFFEB84"/>
        <color rgb="FFF8696B"/>
      </colorScale>
    </cfRule>
  </conditionalFormatting>
  <conditionalFormatting sqref="K11115:K11137">
    <cfRule type="colorScale" priority="3474">
      <colorScale>
        <cfvo type="min"/>
        <cfvo type="percentile" val="50"/>
        <cfvo type="max"/>
        <color rgb="FF63BE7B"/>
        <color rgb="FFFFEB84"/>
        <color rgb="FFF8696B"/>
      </colorScale>
    </cfRule>
  </conditionalFormatting>
  <conditionalFormatting sqref="K11114:K11137">
    <cfRule type="colorScale" priority="3473">
      <colorScale>
        <cfvo type="min"/>
        <cfvo type="percentile" val="50"/>
        <cfvo type="max"/>
        <color rgb="FF63BE7B"/>
        <color rgb="FFFFEB84"/>
        <color rgb="FFF8696B"/>
      </colorScale>
    </cfRule>
  </conditionalFormatting>
  <conditionalFormatting sqref="M11114:M11137">
    <cfRule type="colorScale" priority="3472">
      <colorScale>
        <cfvo type="min"/>
        <cfvo type="percentile" val="50"/>
        <cfvo type="max"/>
        <color rgb="FF63BE7B"/>
        <color rgb="FFFFEB84"/>
        <color rgb="FFF8696B"/>
      </colorScale>
    </cfRule>
  </conditionalFormatting>
  <conditionalFormatting sqref="L11114:L11137">
    <cfRule type="colorScale" priority="3471">
      <colorScale>
        <cfvo type="min"/>
        <cfvo type="percentile" val="50"/>
        <cfvo type="max"/>
        <color rgb="FF63BE7B"/>
        <color rgb="FFFFEB84"/>
        <color rgb="FFF8696B"/>
      </colorScale>
    </cfRule>
  </conditionalFormatting>
  <conditionalFormatting sqref="D11138:D11161">
    <cfRule type="colorScale" priority="3470">
      <colorScale>
        <cfvo type="min"/>
        <cfvo type="percentile" val="50"/>
        <cfvo type="max"/>
        <color rgb="FF63BE7B"/>
        <color rgb="FFFFEB84"/>
        <color rgb="FFF8696B"/>
      </colorScale>
    </cfRule>
  </conditionalFormatting>
  <conditionalFormatting sqref="G11138:G11161">
    <cfRule type="cellIs" dxfId="2225" priority="3464" operator="between">
      <formula>49</formula>
      <formula>149</formula>
    </cfRule>
    <cfRule type="cellIs" dxfId="2224" priority="3468" operator="lessThan">
      <formula>49</formula>
    </cfRule>
    <cfRule type="cellIs" dxfId="2223" priority="3469" operator="greaterThanOrEqual">
      <formula>150</formula>
    </cfRule>
  </conditionalFormatting>
  <conditionalFormatting sqref="F11138:F11161">
    <cfRule type="colorScale" priority="3467">
      <colorScale>
        <cfvo type="min"/>
        <cfvo type="percentile" val="50"/>
        <cfvo type="max"/>
        <color rgb="FF63BE7B"/>
        <color rgb="FFFFEB84"/>
        <color rgb="FFF8696B"/>
      </colorScale>
    </cfRule>
  </conditionalFormatting>
  <conditionalFormatting sqref="H11138:H11161">
    <cfRule type="cellIs" dxfId="2222" priority="3463" operator="between">
      <formula>0.8</formula>
      <formula>1.2</formula>
    </cfRule>
    <cfRule type="cellIs" dxfId="2221" priority="3465" operator="lessThan">
      <formula>0.8</formula>
    </cfRule>
    <cfRule type="cellIs" dxfId="2220" priority="3466" operator="greaterThanOrEqual">
      <formula>1.2</formula>
    </cfRule>
  </conditionalFormatting>
  <conditionalFormatting sqref="I11138:I11161">
    <cfRule type="colorScale" priority="3462">
      <colorScale>
        <cfvo type="min"/>
        <cfvo type="percentile" val="50"/>
        <cfvo type="max"/>
        <color rgb="FF63BE7B"/>
        <color rgb="FFFFEB84"/>
        <color rgb="FFF8696B"/>
      </colorScale>
    </cfRule>
  </conditionalFormatting>
  <conditionalFormatting sqref="K11139:K11161">
    <cfRule type="colorScale" priority="3461">
      <colorScale>
        <cfvo type="min"/>
        <cfvo type="percentile" val="50"/>
        <cfvo type="max"/>
        <color rgb="FF63BE7B"/>
        <color rgb="FFFFEB84"/>
        <color rgb="FFF8696B"/>
      </colorScale>
    </cfRule>
  </conditionalFormatting>
  <conditionalFormatting sqref="K11138:K11161">
    <cfRule type="colorScale" priority="3460">
      <colorScale>
        <cfvo type="min"/>
        <cfvo type="percentile" val="50"/>
        <cfvo type="max"/>
        <color rgb="FF63BE7B"/>
        <color rgb="FFFFEB84"/>
        <color rgb="FFF8696B"/>
      </colorScale>
    </cfRule>
  </conditionalFormatting>
  <conditionalFormatting sqref="M11138:M11161">
    <cfRule type="colorScale" priority="3459">
      <colorScale>
        <cfvo type="min"/>
        <cfvo type="percentile" val="50"/>
        <cfvo type="max"/>
        <color rgb="FF63BE7B"/>
        <color rgb="FFFFEB84"/>
        <color rgb="FFF8696B"/>
      </colorScale>
    </cfRule>
  </conditionalFormatting>
  <conditionalFormatting sqref="L11138:L11161">
    <cfRule type="colorScale" priority="3458">
      <colorScale>
        <cfvo type="min"/>
        <cfvo type="percentile" val="50"/>
        <cfvo type="max"/>
        <color rgb="FF63BE7B"/>
        <color rgb="FFFFEB84"/>
        <color rgb="FFF8696B"/>
      </colorScale>
    </cfRule>
  </conditionalFormatting>
  <conditionalFormatting sqref="D11162:D11185">
    <cfRule type="colorScale" priority="3457">
      <colorScale>
        <cfvo type="min"/>
        <cfvo type="percentile" val="50"/>
        <cfvo type="max"/>
        <color rgb="FF63BE7B"/>
        <color rgb="FFFFEB84"/>
        <color rgb="FFF8696B"/>
      </colorScale>
    </cfRule>
  </conditionalFormatting>
  <conditionalFormatting sqref="G11162:G11185">
    <cfRule type="cellIs" dxfId="2219" priority="3451" operator="between">
      <formula>49</formula>
      <formula>149</formula>
    </cfRule>
    <cfRule type="cellIs" dxfId="2218" priority="3455" operator="lessThan">
      <formula>49</formula>
    </cfRule>
    <cfRule type="cellIs" dxfId="2217" priority="3456" operator="greaterThanOrEqual">
      <formula>150</formula>
    </cfRule>
  </conditionalFormatting>
  <conditionalFormatting sqref="F11162:F11185">
    <cfRule type="colorScale" priority="3454">
      <colorScale>
        <cfvo type="min"/>
        <cfvo type="percentile" val="50"/>
        <cfvo type="max"/>
        <color rgb="FF63BE7B"/>
        <color rgb="FFFFEB84"/>
        <color rgb="FFF8696B"/>
      </colorScale>
    </cfRule>
  </conditionalFormatting>
  <conditionalFormatting sqref="H11162:H11185">
    <cfRule type="cellIs" dxfId="2216" priority="3450" operator="between">
      <formula>0.8</formula>
      <formula>1.2</formula>
    </cfRule>
    <cfRule type="cellIs" dxfId="2215" priority="3452" operator="lessThan">
      <formula>0.8</formula>
    </cfRule>
    <cfRule type="cellIs" dxfId="2214" priority="3453" operator="greaterThanOrEqual">
      <formula>1.2</formula>
    </cfRule>
  </conditionalFormatting>
  <conditionalFormatting sqref="I11162:I11185">
    <cfRule type="colorScale" priority="3449">
      <colorScale>
        <cfvo type="min"/>
        <cfvo type="percentile" val="50"/>
        <cfvo type="max"/>
        <color rgb="FF63BE7B"/>
        <color rgb="FFFFEB84"/>
        <color rgb="FFF8696B"/>
      </colorScale>
    </cfRule>
  </conditionalFormatting>
  <conditionalFormatting sqref="K11163:K11185">
    <cfRule type="colorScale" priority="3448">
      <colorScale>
        <cfvo type="min"/>
        <cfvo type="percentile" val="50"/>
        <cfvo type="max"/>
        <color rgb="FF63BE7B"/>
        <color rgb="FFFFEB84"/>
        <color rgb="FFF8696B"/>
      </colorScale>
    </cfRule>
  </conditionalFormatting>
  <conditionalFormatting sqref="K11162:K11185">
    <cfRule type="colorScale" priority="3447">
      <colorScale>
        <cfvo type="min"/>
        <cfvo type="percentile" val="50"/>
        <cfvo type="max"/>
        <color rgb="FF63BE7B"/>
        <color rgb="FFFFEB84"/>
        <color rgb="FFF8696B"/>
      </colorScale>
    </cfRule>
  </conditionalFormatting>
  <conditionalFormatting sqref="M11162:M11185">
    <cfRule type="colorScale" priority="3446">
      <colorScale>
        <cfvo type="min"/>
        <cfvo type="percentile" val="50"/>
        <cfvo type="max"/>
        <color rgb="FF63BE7B"/>
        <color rgb="FFFFEB84"/>
        <color rgb="FFF8696B"/>
      </colorScale>
    </cfRule>
  </conditionalFormatting>
  <conditionalFormatting sqref="L11162:L11185">
    <cfRule type="colorScale" priority="3445">
      <colorScale>
        <cfvo type="min"/>
        <cfvo type="percentile" val="50"/>
        <cfvo type="max"/>
        <color rgb="FF63BE7B"/>
        <color rgb="FFFFEB84"/>
        <color rgb="FFF8696B"/>
      </colorScale>
    </cfRule>
  </conditionalFormatting>
  <conditionalFormatting sqref="D11186:D11209">
    <cfRule type="colorScale" priority="3444">
      <colorScale>
        <cfvo type="min"/>
        <cfvo type="percentile" val="50"/>
        <cfvo type="max"/>
        <color rgb="FF63BE7B"/>
        <color rgb="FFFFEB84"/>
        <color rgb="FFF8696B"/>
      </colorScale>
    </cfRule>
  </conditionalFormatting>
  <conditionalFormatting sqref="G11186:G11209">
    <cfRule type="cellIs" dxfId="2213" priority="3438" operator="between">
      <formula>49</formula>
      <formula>149</formula>
    </cfRule>
    <cfRule type="cellIs" dxfId="2212" priority="3442" operator="lessThan">
      <formula>49</formula>
    </cfRule>
    <cfRule type="cellIs" dxfId="2211" priority="3443" operator="greaterThanOrEqual">
      <formula>150</formula>
    </cfRule>
  </conditionalFormatting>
  <conditionalFormatting sqref="F11186:F11209">
    <cfRule type="colorScale" priority="3441">
      <colorScale>
        <cfvo type="min"/>
        <cfvo type="percentile" val="50"/>
        <cfvo type="max"/>
        <color rgb="FF63BE7B"/>
        <color rgb="FFFFEB84"/>
        <color rgb="FFF8696B"/>
      </colorScale>
    </cfRule>
  </conditionalFormatting>
  <conditionalFormatting sqref="H11186:H11209">
    <cfRule type="cellIs" dxfId="2210" priority="3437" operator="between">
      <formula>0.8</formula>
      <formula>1.2</formula>
    </cfRule>
    <cfRule type="cellIs" dxfId="2209" priority="3439" operator="lessThan">
      <formula>0.8</formula>
    </cfRule>
    <cfRule type="cellIs" dxfId="2208" priority="3440" operator="greaterThanOrEqual">
      <formula>1.2</formula>
    </cfRule>
  </conditionalFormatting>
  <conditionalFormatting sqref="I11186:I11209">
    <cfRule type="colorScale" priority="3436">
      <colorScale>
        <cfvo type="min"/>
        <cfvo type="percentile" val="50"/>
        <cfvo type="max"/>
        <color rgb="FF63BE7B"/>
        <color rgb="FFFFEB84"/>
        <color rgb="FFF8696B"/>
      </colorScale>
    </cfRule>
  </conditionalFormatting>
  <conditionalFormatting sqref="K11187:K11209">
    <cfRule type="colorScale" priority="3435">
      <colorScale>
        <cfvo type="min"/>
        <cfvo type="percentile" val="50"/>
        <cfvo type="max"/>
        <color rgb="FF63BE7B"/>
        <color rgb="FFFFEB84"/>
        <color rgb="FFF8696B"/>
      </colorScale>
    </cfRule>
  </conditionalFormatting>
  <conditionalFormatting sqref="K11186:K11209">
    <cfRule type="colorScale" priority="3434">
      <colorScale>
        <cfvo type="min"/>
        <cfvo type="percentile" val="50"/>
        <cfvo type="max"/>
        <color rgb="FF63BE7B"/>
        <color rgb="FFFFEB84"/>
        <color rgb="FFF8696B"/>
      </colorScale>
    </cfRule>
  </conditionalFormatting>
  <conditionalFormatting sqref="M11186:M11209">
    <cfRule type="colorScale" priority="3433">
      <colorScale>
        <cfvo type="min"/>
        <cfvo type="percentile" val="50"/>
        <cfvo type="max"/>
        <color rgb="FF63BE7B"/>
        <color rgb="FFFFEB84"/>
        <color rgb="FFF8696B"/>
      </colorScale>
    </cfRule>
  </conditionalFormatting>
  <conditionalFormatting sqref="L11186:L11209">
    <cfRule type="colorScale" priority="3432">
      <colorScale>
        <cfvo type="min"/>
        <cfvo type="percentile" val="50"/>
        <cfvo type="max"/>
        <color rgb="FF63BE7B"/>
        <color rgb="FFFFEB84"/>
        <color rgb="FFF8696B"/>
      </colorScale>
    </cfRule>
  </conditionalFormatting>
  <conditionalFormatting sqref="D11210:D11233">
    <cfRule type="colorScale" priority="3431">
      <colorScale>
        <cfvo type="min"/>
        <cfvo type="percentile" val="50"/>
        <cfvo type="max"/>
        <color rgb="FF63BE7B"/>
        <color rgb="FFFFEB84"/>
        <color rgb="FFF8696B"/>
      </colorScale>
    </cfRule>
  </conditionalFormatting>
  <conditionalFormatting sqref="F11210:F11233">
    <cfRule type="colorScale" priority="3428">
      <colorScale>
        <cfvo type="min"/>
        <cfvo type="percentile" val="50"/>
        <cfvo type="max"/>
        <color rgb="FF63BE7B"/>
        <color rgb="FFFFEB84"/>
        <color rgb="FFF8696B"/>
      </colorScale>
    </cfRule>
  </conditionalFormatting>
  <conditionalFormatting sqref="I11210:I11233">
    <cfRule type="colorScale" priority="3423">
      <colorScale>
        <cfvo type="min"/>
        <cfvo type="percentile" val="50"/>
        <cfvo type="max"/>
        <color rgb="FF63BE7B"/>
        <color rgb="FFFFEB84"/>
        <color rgb="FFF8696B"/>
      </colorScale>
    </cfRule>
  </conditionalFormatting>
  <conditionalFormatting sqref="K11211:K11233">
    <cfRule type="colorScale" priority="3422">
      <colorScale>
        <cfvo type="min"/>
        <cfvo type="percentile" val="50"/>
        <cfvo type="max"/>
        <color rgb="FF63BE7B"/>
        <color rgb="FFFFEB84"/>
        <color rgb="FFF8696B"/>
      </colorScale>
    </cfRule>
  </conditionalFormatting>
  <conditionalFormatting sqref="K11210:K11233">
    <cfRule type="colorScale" priority="3421">
      <colorScale>
        <cfvo type="min"/>
        <cfvo type="percentile" val="50"/>
        <cfvo type="max"/>
        <color rgb="FF63BE7B"/>
        <color rgb="FFFFEB84"/>
        <color rgb="FFF8696B"/>
      </colorScale>
    </cfRule>
  </conditionalFormatting>
  <conditionalFormatting sqref="M11210:M11233">
    <cfRule type="colorScale" priority="3420">
      <colorScale>
        <cfvo type="min"/>
        <cfvo type="percentile" val="50"/>
        <cfvo type="max"/>
        <color rgb="FF63BE7B"/>
        <color rgb="FFFFEB84"/>
        <color rgb="FFF8696B"/>
      </colorScale>
    </cfRule>
  </conditionalFormatting>
  <conditionalFormatting sqref="L11210:L11233">
    <cfRule type="colorScale" priority="3419">
      <colorScale>
        <cfvo type="min"/>
        <cfvo type="percentile" val="50"/>
        <cfvo type="max"/>
        <color rgb="FF63BE7B"/>
        <color rgb="FFFFEB84"/>
        <color rgb="FFF8696B"/>
      </colorScale>
    </cfRule>
  </conditionalFormatting>
  <conditionalFormatting sqref="D11234:D11257">
    <cfRule type="colorScale" priority="3418">
      <colorScale>
        <cfvo type="min"/>
        <cfvo type="percentile" val="50"/>
        <cfvo type="max"/>
        <color rgb="FF63BE7B"/>
        <color rgb="FFFFEB84"/>
        <color rgb="FFF8696B"/>
      </colorScale>
    </cfRule>
  </conditionalFormatting>
  <conditionalFormatting sqref="F11234:F11257">
    <cfRule type="colorScale" priority="3415">
      <colorScale>
        <cfvo type="min"/>
        <cfvo type="percentile" val="50"/>
        <cfvo type="max"/>
        <color rgb="FF63BE7B"/>
        <color rgb="FFFFEB84"/>
        <color rgb="FFF8696B"/>
      </colorScale>
    </cfRule>
  </conditionalFormatting>
  <conditionalFormatting sqref="I11234:I11257">
    <cfRule type="colorScale" priority="3410">
      <colorScale>
        <cfvo type="min"/>
        <cfvo type="percentile" val="50"/>
        <cfvo type="max"/>
        <color rgb="FF63BE7B"/>
        <color rgb="FFFFEB84"/>
        <color rgb="FFF8696B"/>
      </colorScale>
    </cfRule>
  </conditionalFormatting>
  <conditionalFormatting sqref="K11235:K11257">
    <cfRule type="colorScale" priority="3409">
      <colorScale>
        <cfvo type="min"/>
        <cfvo type="percentile" val="50"/>
        <cfvo type="max"/>
        <color rgb="FF63BE7B"/>
        <color rgb="FFFFEB84"/>
        <color rgb="FFF8696B"/>
      </colorScale>
    </cfRule>
  </conditionalFormatting>
  <conditionalFormatting sqref="K11234:K11257">
    <cfRule type="colorScale" priority="3408">
      <colorScale>
        <cfvo type="min"/>
        <cfvo type="percentile" val="50"/>
        <cfvo type="max"/>
        <color rgb="FF63BE7B"/>
        <color rgb="FFFFEB84"/>
        <color rgb="FFF8696B"/>
      </colorScale>
    </cfRule>
  </conditionalFormatting>
  <conditionalFormatting sqref="M11234:M11257">
    <cfRule type="colorScale" priority="3407">
      <colorScale>
        <cfvo type="min"/>
        <cfvo type="percentile" val="50"/>
        <cfvo type="max"/>
        <color rgb="FF63BE7B"/>
        <color rgb="FFFFEB84"/>
        <color rgb="FFF8696B"/>
      </colorScale>
    </cfRule>
  </conditionalFormatting>
  <conditionalFormatting sqref="L11234:L11257">
    <cfRule type="colorScale" priority="3406">
      <colorScale>
        <cfvo type="min"/>
        <cfvo type="percentile" val="50"/>
        <cfvo type="max"/>
        <color rgb="FF63BE7B"/>
        <color rgb="FFFFEB84"/>
        <color rgb="FFF8696B"/>
      </colorScale>
    </cfRule>
  </conditionalFormatting>
  <conditionalFormatting sqref="D11258:D11281">
    <cfRule type="colorScale" priority="3405">
      <colorScale>
        <cfvo type="min"/>
        <cfvo type="percentile" val="50"/>
        <cfvo type="max"/>
        <color rgb="FF63BE7B"/>
        <color rgb="FFFFEB84"/>
        <color rgb="FFF8696B"/>
      </colorScale>
    </cfRule>
  </conditionalFormatting>
  <conditionalFormatting sqref="F11258:F11281">
    <cfRule type="colorScale" priority="3402">
      <colorScale>
        <cfvo type="min"/>
        <cfvo type="percentile" val="50"/>
        <cfvo type="max"/>
        <color rgb="FF63BE7B"/>
        <color rgb="FFFFEB84"/>
        <color rgb="FFF8696B"/>
      </colorScale>
    </cfRule>
  </conditionalFormatting>
  <conditionalFormatting sqref="I11258:I11281">
    <cfRule type="colorScale" priority="3397">
      <colorScale>
        <cfvo type="min"/>
        <cfvo type="percentile" val="50"/>
        <cfvo type="max"/>
        <color rgb="FF63BE7B"/>
        <color rgb="FFFFEB84"/>
        <color rgb="FFF8696B"/>
      </colorScale>
    </cfRule>
  </conditionalFormatting>
  <conditionalFormatting sqref="D11282:D11305">
    <cfRule type="colorScale" priority="3392">
      <colorScale>
        <cfvo type="min"/>
        <cfvo type="percentile" val="50"/>
        <cfvo type="max"/>
        <color rgb="FF63BE7B"/>
        <color rgb="FFFFEB84"/>
        <color rgb="FFF8696B"/>
      </colorScale>
    </cfRule>
  </conditionalFormatting>
  <conditionalFormatting sqref="F11282:F11305">
    <cfRule type="colorScale" priority="3389">
      <colorScale>
        <cfvo type="min"/>
        <cfvo type="percentile" val="50"/>
        <cfvo type="max"/>
        <color rgb="FF63BE7B"/>
        <color rgb="FFFFEB84"/>
        <color rgb="FFF8696B"/>
      </colorScale>
    </cfRule>
  </conditionalFormatting>
  <conditionalFormatting sqref="I11282:I11305">
    <cfRule type="colorScale" priority="3384">
      <colorScale>
        <cfvo type="min"/>
        <cfvo type="percentile" val="50"/>
        <cfvo type="max"/>
        <color rgb="FF63BE7B"/>
        <color rgb="FFFFEB84"/>
        <color rgb="FFF8696B"/>
      </colorScale>
    </cfRule>
  </conditionalFormatting>
  <conditionalFormatting sqref="D11306:D11329">
    <cfRule type="colorScale" priority="3379">
      <colorScale>
        <cfvo type="min"/>
        <cfvo type="percentile" val="50"/>
        <cfvo type="max"/>
        <color rgb="FF63BE7B"/>
        <color rgb="FFFFEB84"/>
        <color rgb="FFF8696B"/>
      </colorScale>
    </cfRule>
  </conditionalFormatting>
  <conditionalFormatting sqref="F11306:F11329">
    <cfRule type="colorScale" priority="3376">
      <colorScale>
        <cfvo type="min"/>
        <cfvo type="percentile" val="50"/>
        <cfvo type="max"/>
        <color rgb="FF63BE7B"/>
        <color rgb="FFFFEB84"/>
        <color rgb="FFF8696B"/>
      </colorScale>
    </cfRule>
  </conditionalFormatting>
  <conditionalFormatting sqref="I11306:I11329">
    <cfRule type="colorScale" priority="3371">
      <colorScale>
        <cfvo type="min"/>
        <cfvo type="percentile" val="50"/>
        <cfvo type="max"/>
        <color rgb="FF63BE7B"/>
        <color rgb="FFFFEB84"/>
        <color rgb="FFF8696B"/>
      </colorScale>
    </cfRule>
  </conditionalFormatting>
  <conditionalFormatting sqref="F11354:F11377">
    <cfRule type="colorScale" priority="3363">
      <colorScale>
        <cfvo type="min"/>
        <cfvo type="percentile" val="50"/>
        <cfvo type="max"/>
        <color rgb="FF63BE7B"/>
        <color rgb="FFFFEB84"/>
        <color rgb="FFF8696B"/>
      </colorScale>
    </cfRule>
  </conditionalFormatting>
  <conditionalFormatting sqref="I11354:I11377">
    <cfRule type="colorScale" priority="3358">
      <colorScale>
        <cfvo type="min"/>
        <cfvo type="percentile" val="50"/>
        <cfvo type="max"/>
        <color rgb="FF63BE7B"/>
        <color rgb="FFFFEB84"/>
        <color rgb="FFF8696B"/>
      </colorScale>
    </cfRule>
  </conditionalFormatting>
  <conditionalFormatting sqref="I11378:I11401">
    <cfRule type="colorScale" priority="3345">
      <colorScale>
        <cfvo type="min"/>
        <cfvo type="percentile" val="50"/>
        <cfvo type="max"/>
        <color rgb="FF63BE7B"/>
        <color rgb="FFFFEB84"/>
        <color rgb="FFF8696B"/>
      </colorScale>
    </cfRule>
  </conditionalFormatting>
  <conditionalFormatting sqref="D11330:D11353">
    <cfRule type="colorScale" priority="3340">
      <colorScale>
        <cfvo type="min"/>
        <cfvo type="percentile" val="50"/>
        <cfvo type="max"/>
        <color rgb="FF63BE7B"/>
        <color rgb="FFFFEB84"/>
        <color rgb="FFF8696B"/>
      </colorScale>
    </cfRule>
  </conditionalFormatting>
  <conditionalFormatting sqref="F11330:F11353">
    <cfRule type="colorScale" priority="3337">
      <colorScale>
        <cfvo type="min"/>
        <cfvo type="percentile" val="50"/>
        <cfvo type="max"/>
        <color rgb="FF63BE7B"/>
        <color rgb="FFFFEB84"/>
        <color rgb="FFF8696B"/>
      </colorScale>
    </cfRule>
  </conditionalFormatting>
  <conditionalFormatting sqref="I11330:I11353">
    <cfRule type="colorScale" priority="3332">
      <colorScale>
        <cfvo type="min"/>
        <cfvo type="percentile" val="50"/>
        <cfvo type="max"/>
        <color rgb="FF63BE7B"/>
        <color rgb="FFFFEB84"/>
        <color rgb="FFF8696B"/>
      </colorScale>
    </cfRule>
  </conditionalFormatting>
  <conditionalFormatting sqref="D11354:D11377">
    <cfRule type="colorScale" priority="3327">
      <colorScale>
        <cfvo type="min"/>
        <cfvo type="percentile" val="50"/>
        <cfvo type="max"/>
        <color rgb="FF63BE7B"/>
        <color rgb="FFFFEB84"/>
        <color rgb="FFF8696B"/>
      </colorScale>
    </cfRule>
  </conditionalFormatting>
  <conditionalFormatting sqref="D11378:D11401">
    <cfRule type="colorScale" priority="3326">
      <colorScale>
        <cfvo type="min"/>
        <cfvo type="percentile" val="50"/>
        <cfvo type="max"/>
        <color rgb="FF63BE7B"/>
        <color rgb="FFFFEB84"/>
        <color rgb="FFF8696B"/>
      </colorScale>
    </cfRule>
  </conditionalFormatting>
  <conditionalFormatting sqref="D11402:D11425">
    <cfRule type="colorScale" priority="3325">
      <colorScale>
        <cfvo type="min"/>
        <cfvo type="percentile" val="50"/>
        <cfvo type="max"/>
        <color rgb="FF63BE7B"/>
        <color rgb="FFFFEB84"/>
        <color rgb="FFF8696B"/>
      </colorScale>
    </cfRule>
  </conditionalFormatting>
  <conditionalFormatting sqref="I11402:I11425">
    <cfRule type="colorScale" priority="3317">
      <colorScale>
        <cfvo type="min"/>
        <cfvo type="percentile" val="50"/>
        <cfvo type="max"/>
        <color rgb="FF63BE7B"/>
        <color rgb="FFFFEB84"/>
        <color rgb="FFF8696B"/>
      </colorScale>
    </cfRule>
  </conditionalFormatting>
  <conditionalFormatting sqref="F11378:F11401">
    <cfRule type="colorScale" priority="3312">
      <colorScale>
        <cfvo type="min"/>
        <cfvo type="percentile" val="50"/>
        <cfvo type="max"/>
        <color rgb="FF63BE7B"/>
        <color rgb="FFFFEB84"/>
        <color rgb="FFF8696B"/>
      </colorScale>
    </cfRule>
  </conditionalFormatting>
  <conditionalFormatting sqref="F11402:F11425">
    <cfRule type="colorScale" priority="3311">
      <colorScale>
        <cfvo type="min"/>
        <cfvo type="percentile" val="50"/>
        <cfvo type="max"/>
        <color rgb="FF63BE7B"/>
        <color rgb="FFFFEB84"/>
        <color rgb="FFF8696B"/>
      </colorScale>
    </cfRule>
  </conditionalFormatting>
  <conditionalFormatting sqref="D11426:D11449">
    <cfRule type="colorScale" priority="3310">
      <colorScale>
        <cfvo type="min"/>
        <cfvo type="percentile" val="50"/>
        <cfvo type="max"/>
        <color rgb="FF63BE7B"/>
        <color rgb="FFFFEB84"/>
        <color rgb="FFF8696B"/>
      </colorScale>
    </cfRule>
  </conditionalFormatting>
  <conditionalFormatting sqref="G11426:G11449">
    <cfRule type="cellIs" dxfId="2207" priority="3305" operator="between">
      <formula>49</formula>
      <formula>149</formula>
    </cfRule>
    <cfRule type="cellIs" dxfId="2206" priority="3308" operator="lessThan">
      <formula>49</formula>
    </cfRule>
    <cfRule type="cellIs" dxfId="2205" priority="3309" operator="greaterThanOrEqual">
      <formula>150</formula>
    </cfRule>
  </conditionalFormatting>
  <conditionalFormatting sqref="H11426:H11449">
    <cfRule type="cellIs" dxfId="2204" priority="3304" operator="between">
      <formula>0.8</formula>
      <formula>1.2</formula>
    </cfRule>
    <cfRule type="cellIs" dxfId="2203" priority="3306" operator="lessThan">
      <formula>0.8</formula>
    </cfRule>
    <cfRule type="cellIs" dxfId="2202" priority="3307" operator="greaterThanOrEqual">
      <formula>1.2</formula>
    </cfRule>
  </conditionalFormatting>
  <conditionalFormatting sqref="I11426:I11449">
    <cfRule type="colorScale" priority="3303">
      <colorScale>
        <cfvo type="min"/>
        <cfvo type="percentile" val="50"/>
        <cfvo type="max"/>
        <color rgb="FF63BE7B"/>
        <color rgb="FFFFEB84"/>
        <color rgb="FFF8696B"/>
      </colorScale>
    </cfRule>
  </conditionalFormatting>
  <conditionalFormatting sqref="F11426:F11449">
    <cfRule type="colorScale" priority="3298">
      <colorScale>
        <cfvo type="min"/>
        <cfvo type="percentile" val="50"/>
        <cfvo type="max"/>
        <color rgb="FF63BE7B"/>
        <color rgb="FFFFEB84"/>
        <color rgb="FFF8696B"/>
      </colorScale>
    </cfRule>
  </conditionalFormatting>
  <conditionalFormatting sqref="G11402:G11425">
    <cfRule type="cellIs" dxfId="2201" priority="3257" operator="between">
      <formula>49</formula>
      <formula>149</formula>
    </cfRule>
    <cfRule type="cellIs" dxfId="2200" priority="3260" operator="lessThan">
      <formula>49</formula>
    </cfRule>
    <cfRule type="cellIs" dxfId="2199" priority="3261" operator="greaterThanOrEqual">
      <formula>150</formula>
    </cfRule>
  </conditionalFormatting>
  <conditionalFormatting sqref="H11402:H11425">
    <cfRule type="cellIs" dxfId="2198" priority="3256" operator="between">
      <formula>0.8</formula>
      <formula>1.2</formula>
    </cfRule>
    <cfRule type="cellIs" dxfId="2197" priority="3258" operator="lessThan">
      <formula>0.8</formula>
    </cfRule>
    <cfRule type="cellIs" dxfId="2196" priority="3259" operator="greaterThanOrEqual">
      <formula>1.2</formula>
    </cfRule>
  </conditionalFormatting>
  <conditionalFormatting sqref="G11378:G11401">
    <cfRule type="cellIs" dxfId="2195" priority="3251" operator="between">
      <formula>49</formula>
      <formula>149</formula>
    </cfRule>
    <cfRule type="cellIs" dxfId="2194" priority="3254" operator="lessThan">
      <formula>49</formula>
    </cfRule>
    <cfRule type="cellIs" dxfId="2193" priority="3255" operator="greaterThanOrEqual">
      <formula>150</formula>
    </cfRule>
  </conditionalFormatting>
  <conditionalFormatting sqref="H11378:H11401">
    <cfRule type="cellIs" dxfId="2192" priority="3250" operator="between">
      <formula>0.8</formula>
      <formula>1.2</formula>
    </cfRule>
    <cfRule type="cellIs" dxfId="2191" priority="3252" operator="lessThan">
      <formula>0.8</formula>
    </cfRule>
    <cfRule type="cellIs" dxfId="2190" priority="3253" operator="greaterThanOrEqual">
      <formula>1.2</formula>
    </cfRule>
  </conditionalFormatting>
  <conditionalFormatting sqref="G11354:G11377">
    <cfRule type="cellIs" dxfId="2189" priority="3245" operator="between">
      <formula>49</formula>
      <formula>149</formula>
    </cfRule>
    <cfRule type="cellIs" dxfId="2188" priority="3248" operator="lessThan">
      <formula>49</formula>
    </cfRule>
    <cfRule type="cellIs" dxfId="2187" priority="3249" operator="greaterThanOrEqual">
      <formula>150</formula>
    </cfRule>
  </conditionalFormatting>
  <conditionalFormatting sqref="H11354:H11377">
    <cfRule type="cellIs" dxfId="2186" priority="3244" operator="between">
      <formula>0.8</formula>
      <formula>1.2</formula>
    </cfRule>
    <cfRule type="cellIs" dxfId="2185" priority="3246" operator="lessThan">
      <formula>0.8</formula>
    </cfRule>
    <cfRule type="cellIs" dxfId="2184" priority="3247" operator="greaterThanOrEqual">
      <formula>1.2</formula>
    </cfRule>
  </conditionalFormatting>
  <conditionalFormatting sqref="G11330:G11353">
    <cfRule type="cellIs" dxfId="2183" priority="3239" operator="between">
      <formula>49</formula>
      <formula>149</formula>
    </cfRule>
    <cfRule type="cellIs" dxfId="2182" priority="3242" operator="lessThan">
      <formula>49</formula>
    </cfRule>
    <cfRule type="cellIs" dxfId="2181" priority="3243" operator="greaterThanOrEqual">
      <formula>150</formula>
    </cfRule>
  </conditionalFormatting>
  <conditionalFormatting sqref="H11330:H11353">
    <cfRule type="cellIs" dxfId="2180" priority="3238" operator="between">
      <formula>0.8</formula>
      <formula>1.2</formula>
    </cfRule>
    <cfRule type="cellIs" dxfId="2179" priority="3240" operator="lessThan">
      <formula>0.8</formula>
    </cfRule>
    <cfRule type="cellIs" dxfId="2178" priority="3241" operator="greaterThanOrEqual">
      <formula>1.2</formula>
    </cfRule>
  </conditionalFormatting>
  <conditionalFormatting sqref="G11306:G11329">
    <cfRule type="cellIs" dxfId="2177" priority="3233" operator="between">
      <formula>49</formula>
      <formula>149</formula>
    </cfRule>
    <cfRule type="cellIs" dxfId="2176" priority="3236" operator="lessThan">
      <formula>49</formula>
    </cfRule>
    <cfRule type="cellIs" dxfId="2175" priority="3237" operator="greaterThanOrEqual">
      <formula>150</formula>
    </cfRule>
  </conditionalFormatting>
  <conditionalFormatting sqref="H11306:H11329">
    <cfRule type="cellIs" dxfId="2174" priority="3232" operator="between">
      <formula>0.8</formula>
      <formula>1.2</formula>
    </cfRule>
    <cfRule type="cellIs" dxfId="2173" priority="3234" operator="lessThan">
      <formula>0.8</formula>
    </cfRule>
    <cfRule type="cellIs" dxfId="2172" priority="3235" operator="greaterThanOrEqual">
      <formula>1.2</formula>
    </cfRule>
  </conditionalFormatting>
  <conditionalFormatting sqref="G11282:G11305">
    <cfRule type="cellIs" dxfId="2171" priority="3227" operator="between">
      <formula>49</formula>
      <formula>149</formula>
    </cfRule>
    <cfRule type="cellIs" dxfId="2170" priority="3230" operator="lessThan">
      <formula>49</formula>
    </cfRule>
    <cfRule type="cellIs" dxfId="2169" priority="3231" operator="greaterThanOrEqual">
      <formula>150</formula>
    </cfRule>
  </conditionalFormatting>
  <conditionalFormatting sqref="H11282:H11305">
    <cfRule type="cellIs" dxfId="2168" priority="3226" operator="between">
      <formula>0.8</formula>
      <formula>1.2</formula>
    </cfRule>
    <cfRule type="cellIs" dxfId="2167" priority="3228" operator="lessThan">
      <formula>0.8</formula>
    </cfRule>
    <cfRule type="cellIs" dxfId="2166" priority="3229" operator="greaterThanOrEqual">
      <formula>1.2</formula>
    </cfRule>
  </conditionalFormatting>
  <conditionalFormatting sqref="G11258:G11281">
    <cfRule type="cellIs" dxfId="2165" priority="3221" operator="between">
      <formula>49</formula>
      <formula>149</formula>
    </cfRule>
    <cfRule type="cellIs" dxfId="2164" priority="3224" operator="lessThan">
      <formula>49</formula>
    </cfRule>
    <cfRule type="cellIs" dxfId="2163" priority="3225" operator="greaterThanOrEqual">
      <formula>150</formula>
    </cfRule>
  </conditionalFormatting>
  <conditionalFormatting sqref="H11258:H11281">
    <cfRule type="cellIs" dxfId="2162" priority="3220" operator="between">
      <formula>0.8</formula>
      <formula>1.2</formula>
    </cfRule>
    <cfRule type="cellIs" dxfId="2161" priority="3222" operator="lessThan">
      <formula>0.8</formula>
    </cfRule>
    <cfRule type="cellIs" dxfId="2160" priority="3223" operator="greaterThanOrEqual">
      <formula>1.2</formula>
    </cfRule>
  </conditionalFormatting>
  <conditionalFormatting sqref="G11234:G11257">
    <cfRule type="cellIs" dxfId="2159" priority="3215" operator="between">
      <formula>49</formula>
      <formula>149</formula>
    </cfRule>
    <cfRule type="cellIs" dxfId="2158" priority="3218" operator="lessThan">
      <formula>49</formula>
    </cfRule>
    <cfRule type="cellIs" dxfId="2157" priority="3219" operator="greaterThanOrEqual">
      <formula>150</formula>
    </cfRule>
  </conditionalFormatting>
  <conditionalFormatting sqref="H11234:H11257">
    <cfRule type="cellIs" dxfId="2156" priority="3214" operator="between">
      <formula>0.8</formula>
      <formula>1.2</formula>
    </cfRule>
    <cfRule type="cellIs" dxfId="2155" priority="3216" operator="lessThan">
      <formula>0.8</formula>
    </cfRule>
    <cfRule type="cellIs" dxfId="2154" priority="3217" operator="greaterThanOrEqual">
      <formula>1.2</formula>
    </cfRule>
  </conditionalFormatting>
  <conditionalFormatting sqref="G11210:G11233">
    <cfRule type="cellIs" dxfId="2153" priority="3209" operator="between">
      <formula>49</formula>
      <formula>149</formula>
    </cfRule>
    <cfRule type="cellIs" dxfId="2152" priority="3212" operator="lessThan">
      <formula>49</formula>
    </cfRule>
    <cfRule type="cellIs" dxfId="2151" priority="3213" operator="greaterThanOrEqual">
      <formula>150</formula>
    </cfRule>
  </conditionalFormatting>
  <conditionalFormatting sqref="H11210:H11233">
    <cfRule type="cellIs" dxfId="2150" priority="3208" operator="between">
      <formula>0.8</formula>
      <formula>1.2</formula>
    </cfRule>
    <cfRule type="cellIs" dxfId="2149" priority="3210" operator="lessThan">
      <formula>0.8</formula>
    </cfRule>
    <cfRule type="cellIs" dxfId="2148" priority="3211" operator="greaterThanOrEqual">
      <formula>1.2</formula>
    </cfRule>
  </conditionalFormatting>
  <conditionalFormatting sqref="G10202:G10225">
    <cfRule type="cellIs" dxfId="2147" priority="3203" operator="between">
      <formula>49</formula>
      <formula>149</formula>
    </cfRule>
    <cfRule type="cellIs" dxfId="2146" priority="3206" operator="lessThan">
      <formula>49</formula>
    </cfRule>
    <cfRule type="cellIs" dxfId="2145" priority="3207" operator="greaterThanOrEqual">
      <formula>150</formula>
    </cfRule>
  </conditionalFormatting>
  <conditionalFormatting sqref="H10202:H10225">
    <cfRule type="cellIs" dxfId="2144" priority="3202" operator="between">
      <formula>0.8</formula>
      <formula>1.2</formula>
    </cfRule>
    <cfRule type="cellIs" dxfId="2143" priority="3204" operator="lessThan">
      <formula>0.8</formula>
    </cfRule>
    <cfRule type="cellIs" dxfId="2142" priority="3205" operator="greaterThanOrEqual">
      <formula>1.2</formula>
    </cfRule>
  </conditionalFormatting>
  <conditionalFormatting sqref="I10202:I10225">
    <cfRule type="colorScale" priority="3201">
      <colorScale>
        <cfvo type="min"/>
        <cfvo type="percentile" val="50"/>
        <cfvo type="max"/>
        <color rgb="FF63BE7B"/>
        <color rgb="FFFFEB84"/>
        <color rgb="FFF8696B"/>
      </colorScale>
    </cfRule>
  </conditionalFormatting>
  <conditionalFormatting sqref="K10203:K10225">
    <cfRule type="colorScale" priority="3200">
      <colorScale>
        <cfvo type="min"/>
        <cfvo type="percentile" val="50"/>
        <cfvo type="max"/>
        <color rgb="FF63BE7B"/>
        <color rgb="FFFFEB84"/>
        <color rgb="FFF8696B"/>
      </colorScale>
    </cfRule>
  </conditionalFormatting>
  <conditionalFormatting sqref="K10202:K10225">
    <cfRule type="colorScale" priority="3199">
      <colorScale>
        <cfvo type="min"/>
        <cfvo type="percentile" val="50"/>
        <cfvo type="max"/>
        <color rgb="FF63BE7B"/>
        <color rgb="FFFFEB84"/>
        <color rgb="FFF8696B"/>
      </colorScale>
    </cfRule>
  </conditionalFormatting>
  <conditionalFormatting sqref="G10178:G10201">
    <cfRule type="cellIs" dxfId="2141" priority="3194" operator="between">
      <formula>49</formula>
      <formula>149</formula>
    </cfRule>
    <cfRule type="cellIs" dxfId="2140" priority="3197" operator="lessThan">
      <formula>49</formula>
    </cfRule>
    <cfRule type="cellIs" dxfId="2139" priority="3198" operator="greaterThanOrEqual">
      <formula>150</formula>
    </cfRule>
  </conditionalFormatting>
  <conditionalFormatting sqref="H10178:H10201">
    <cfRule type="cellIs" dxfId="2138" priority="3193" operator="between">
      <formula>0.8</formula>
      <formula>1.2</formula>
    </cfRule>
    <cfRule type="cellIs" dxfId="2137" priority="3195" operator="lessThan">
      <formula>0.8</formula>
    </cfRule>
    <cfRule type="cellIs" dxfId="2136" priority="3196" operator="greaterThanOrEqual">
      <formula>1.2</formula>
    </cfRule>
  </conditionalFormatting>
  <conditionalFormatting sqref="I10178:I10201">
    <cfRule type="colorScale" priority="3192">
      <colorScale>
        <cfvo type="min"/>
        <cfvo type="percentile" val="50"/>
        <cfvo type="max"/>
        <color rgb="FF63BE7B"/>
        <color rgb="FFFFEB84"/>
        <color rgb="FFF8696B"/>
      </colorScale>
    </cfRule>
  </conditionalFormatting>
  <conditionalFormatting sqref="K10179:K10201">
    <cfRule type="colorScale" priority="3191">
      <colorScale>
        <cfvo type="min"/>
        <cfvo type="percentile" val="50"/>
        <cfvo type="max"/>
        <color rgb="FF63BE7B"/>
        <color rgb="FFFFEB84"/>
        <color rgb="FFF8696B"/>
      </colorScale>
    </cfRule>
  </conditionalFormatting>
  <conditionalFormatting sqref="K10178:K10201">
    <cfRule type="colorScale" priority="3190">
      <colorScale>
        <cfvo type="min"/>
        <cfvo type="percentile" val="50"/>
        <cfvo type="max"/>
        <color rgb="FF63BE7B"/>
        <color rgb="FFFFEB84"/>
        <color rgb="FFF8696B"/>
      </colorScale>
    </cfRule>
  </conditionalFormatting>
  <conditionalFormatting sqref="G10154:G10177">
    <cfRule type="cellIs" dxfId="2135" priority="3185" operator="between">
      <formula>49</formula>
      <formula>149</formula>
    </cfRule>
    <cfRule type="cellIs" dxfId="2134" priority="3188" operator="lessThan">
      <formula>49</formula>
    </cfRule>
    <cfRule type="cellIs" dxfId="2133" priority="3189" operator="greaterThanOrEqual">
      <formula>150</formula>
    </cfRule>
  </conditionalFormatting>
  <conditionalFormatting sqref="H10154:H10177">
    <cfRule type="cellIs" dxfId="2132" priority="3184" operator="between">
      <formula>0.8</formula>
      <formula>1.2</formula>
    </cfRule>
    <cfRule type="cellIs" dxfId="2131" priority="3186" operator="lessThan">
      <formula>0.8</formula>
    </cfRule>
    <cfRule type="cellIs" dxfId="2130" priority="3187" operator="greaterThanOrEqual">
      <formula>1.2</formula>
    </cfRule>
  </conditionalFormatting>
  <conditionalFormatting sqref="I10154:I10177">
    <cfRule type="colorScale" priority="3183">
      <colorScale>
        <cfvo type="min"/>
        <cfvo type="percentile" val="50"/>
        <cfvo type="max"/>
        <color rgb="FF63BE7B"/>
        <color rgb="FFFFEB84"/>
        <color rgb="FFF8696B"/>
      </colorScale>
    </cfRule>
  </conditionalFormatting>
  <conditionalFormatting sqref="K10155:K10177">
    <cfRule type="colorScale" priority="3182">
      <colorScale>
        <cfvo type="min"/>
        <cfvo type="percentile" val="50"/>
        <cfvo type="max"/>
        <color rgb="FF63BE7B"/>
        <color rgb="FFFFEB84"/>
        <color rgb="FFF8696B"/>
      </colorScale>
    </cfRule>
  </conditionalFormatting>
  <conditionalFormatting sqref="K10154:K10177">
    <cfRule type="colorScale" priority="3181">
      <colorScale>
        <cfvo type="min"/>
        <cfvo type="percentile" val="50"/>
        <cfvo type="max"/>
        <color rgb="FF63BE7B"/>
        <color rgb="FFFFEB84"/>
        <color rgb="FFF8696B"/>
      </colorScale>
    </cfRule>
  </conditionalFormatting>
  <conditionalFormatting sqref="G10130:G10153">
    <cfRule type="cellIs" dxfId="2129" priority="3176" operator="between">
      <formula>49</formula>
      <formula>149</formula>
    </cfRule>
    <cfRule type="cellIs" dxfId="2128" priority="3179" operator="lessThan">
      <formula>49</formula>
    </cfRule>
    <cfRule type="cellIs" dxfId="2127" priority="3180" operator="greaterThanOrEqual">
      <formula>150</formula>
    </cfRule>
  </conditionalFormatting>
  <conditionalFormatting sqref="H10130:H10153">
    <cfRule type="cellIs" dxfId="2126" priority="3175" operator="between">
      <formula>0.8</formula>
      <formula>1.2</formula>
    </cfRule>
    <cfRule type="cellIs" dxfId="2125" priority="3177" operator="lessThan">
      <formula>0.8</formula>
    </cfRule>
    <cfRule type="cellIs" dxfId="2124" priority="3178" operator="greaterThanOrEqual">
      <formula>1.2</formula>
    </cfRule>
  </conditionalFormatting>
  <conditionalFormatting sqref="I10130:I10153">
    <cfRule type="colorScale" priority="3174">
      <colorScale>
        <cfvo type="min"/>
        <cfvo type="percentile" val="50"/>
        <cfvo type="max"/>
        <color rgb="FF63BE7B"/>
        <color rgb="FFFFEB84"/>
        <color rgb="FFF8696B"/>
      </colorScale>
    </cfRule>
  </conditionalFormatting>
  <conditionalFormatting sqref="K10131:K10153">
    <cfRule type="colorScale" priority="3173">
      <colorScale>
        <cfvo type="min"/>
        <cfvo type="percentile" val="50"/>
        <cfvo type="max"/>
        <color rgb="FF63BE7B"/>
        <color rgb="FFFFEB84"/>
        <color rgb="FFF8696B"/>
      </colorScale>
    </cfRule>
  </conditionalFormatting>
  <conditionalFormatting sqref="K10130:K10153">
    <cfRule type="colorScale" priority="3172">
      <colorScale>
        <cfvo type="min"/>
        <cfvo type="percentile" val="50"/>
        <cfvo type="max"/>
        <color rgb="FF63BE7B"/>
        <color rgb="FFFFEB84"/>
        <color rgb="FFF8696B"/>
      </colorScale>
    </cfRule>
  </conditionalFormatting>
  <conditionalFormatting sqref="G10106:G10129">
    <cfRule type="cellIs" dxfId="2123" priority="3167" operator="between">
      <formula>49</formula>
      <formula>149</formula>
    </cfRule>
    <cfRule type="cellIs" dxfId="2122" priority="3170" operator="lessThan">
      <formula>49</formula>
    </cfRule>
    <cfRule type="cellIs" dxfId="2121" priority="3171" operator="greaterThanOrEqual">
      <formula>150</formula>
    </cfRule>
  </conditionalFormatting>
  <conditionalFormatting sqref="H10106:H10129">
    <cfRule type="cellIs" dxfId="2120" priority="3166" operator="between">
      <formula>0.8</formula>
      <formula>1.2</formula>
    </cfRule>
    <cfRule type="cellIs" dxfId="2119" priority="3168" operator="lessThan">
      <formula>0.8</formula>
    </cfRule>
    <cfRule type="cellIs" dxfId="2118" priority="3169" operator="greaterThanOrEqual">
      <formula>1.2</formula>
    </cfRule>
  </conditionalFormatting>
  <conditionalFormatting sqref="I10106:I10129">
    <cfRule type="colorScale" priority="3165">
      <colorScale>
        <cfvo type="min"/>
        <cfvo type="percentile" val="50"/>
        <cfvo type="max"/>
        <color rgb="FF63BE7B"/>
        <color rgb="FFFFEB84"/>
        <color rgb="FFF8696B"/>
      </colorScale>
    </cfRule>
  </conditionalFormatting>
  <conditionalFormatting sqref="K10107:K10129">
    <cfRule type="colorScale" priority="3164">
      <colorScale>
        <cfvo type="min"/>
        <cfvo type="percentile" val="50"/>
        <cfvo type="max"/>
        <color rgb="FF63BE7B"/>
        <color rgb="FFFFEB84"/>
        <color rgb="FFF8696B"/>
      </colorScale>
    </cfRule>
  </conditionalFormatting>
  <conditionalFormatting sqref="K10106:K10129">
    <cfRule type="colorScale" priority="3163">
      <colorScale>
        <cfvo type="min"/>
        <cfvo type="percentile" val="50"/>
        <cfvo type="max"/>
        <color rgb="FF63BE7B"/>
        <color rgb="FFFFEB84"/>
        <color rgb="FFF8696B"/>
      </colorScale>
    </cfRule>
  </conditionalFormatting>
  <conditionalFormatting sqref="G10082:G10105">
    <cfRule type="cellIs" dxfId="2117" priority="3158" operator="between">
      <formula>49</formula>
      <formula>149</formula>
    </cfRule>
    <cfRule type="cellIs" dxfId="2116" priority="3161" operator="lessThan">
      <formula>49</formula>
    </cfRule>
    <cfRule type="cellIs" dxfId="2115" priority="3162" operator="greaterThanOrEqual">
      <formula>150</formula>
    </cfRule>
  </conditionalFormatting>
  <conditionalFormatting sqref="H10082:H10105">
    <cfRule type="cellIs" dxfId="2114" priority="3157" operator="between">
      <formula>0.8</formula>
      <formula>1.2</formula>
    </cfRule>
    <cfRule type="cellIs" dxfId="2113" priority="3159" operator="lessThan">
      <formula>0.8</formula>
    </cfRule>
    <cfRule type="cellIs" dxfId="2112" priority="3160" operator="greaterThanOrEqual">
      <formula>1.2</formula>
    </cfRule>
  </conditionalFormatting>
  <conditionalFormatting sqref="I10082:I10105">
    <cfRule type="colorScale" priority="3156">
      <colorScale>
        <cfvo type="min"/>
        <cfvo type="percentile" val="50"/>
        <cfvo type="max"/>
        <color rgb="FF63BE7B"/>
        <color rgb="FFFFEB84"/>
        <color rgb="FFF8696B"/>
      </colorScale>
    </cfRule>
  </conditionalFormatting>
  <conditionalFormatting sqref="K10083:K10105">
    <cfRule type="colorScale" priority="3155">
      <colorScale>
        <cfvo type="min"/>
        <cfvo type="percentile" val="50"/>
        <cfvo type="max"/>
        <color rgb="FF63BE7B"/>
        <color rgb="FFFFEB84"/>
        <color rgb="FFF8696B"/>
      </colorScale>
    </cfRule>
  </conditionalFormatting>
  <conditionalFormatting sqref="K10082:K10105">
    <cfRule type="colorScale" priority="3154">
      <colorScale>
        <cfvo type="min"/>
        <cfvo type="percentile" val="50"/>
        <cfvo type="max"/>
        <color rgb="FF63BE7B"/>
        <color rgb="FFFFEB84"/>
        <color rgb="FFF8696B"/>
      </colorScale>
    </cfRule>
  </conditionalFormatting>
  <conditionalFormatting sqref="G10058:G10081">
    <cfRule type="cellIs" dxfId="2111" priority="3149" operator="between">
      <formula>49</formula>
      <formula>149</formula>
    </cfRule>
    <cfRule type="cellIs" dxfId="2110" priority="3152" operator="lessThan">
      <formula>49</formula>
    </cfRule>
    <cfRule type="cellIs" dxfId="2109" priority="3153" operator="greaterThanOrEqual">
      <formula>150</formula>
    </cfRule>
  </conditionalFormatting>
  <conditionalFormatting sqref="H10058:H10081">
    <cfRule type="cellIs" dxfId="2108" priority="3148" operator="between">
      <formula>0.8</formula>
      <formula>1.2</formula>
    </cfRule>
    <cfRule type="cellIs" dxfId="2107" priority="3150" operator="lessThan">
      <formula>0.8</formula>
    </cfRule>
    <cfRule type="cellIs" dxfId="2106" priority="3151" operator="greaterThanOrEqual">
      <formula>1.2</formula>
    </cfRule>
  </conditionalFormatting>
  <conditionalFormatting sqref="I10058:I10081">
    <cfRule type="colorScale" priority="3147">
      <colorScale>
        <cfvo type="min"/>
        <cfvo type="percentile" val="50"/>
        <cfvo type="max"/>
        <color rgb="FF63BE7B"/>
        <color rgb="FFFFEB84"/>
        <color rgb="FFF8696B"/>
      </colorScale>
    </cfRule>
  </conditionalFormatting>
  <conditionalFormatting sqref="K10059:K10081">
    <cfRule type="colorScale" priority="3146">
      <colorScale>
        <cfvo type="min"/>
        <cfvo type="percentile" val="50"/>
        <cfvo type="max"/>
        <color rgb="FF63BE7B"/>
        <color rgb="FFFFEB84"/>
        <color rgb="FFF8696B"/>
      </colorScale>
    </cfRule>
  </conditionalFormatting>
  <conditionalFormatting sqref="K10058:K10081">
    <cfRule type="colorScale" priority="3145">
      <colorScale>
        <cfvo type="min"/>
        <cfvo type="percentile" val="50"/>
        <cfvo type="max"/>
        <color rgb="FF63BE7B"/>
        <color rgb="FFFFEB84"/>
        <color rgb="FFF8696B"/>
      </colorScale>
    </cfRule>
  </conditionalFormatting>
  <conditionalFormatting sqref="G10034:G10057">
    <cfRule type="cellIs" dxfId="2105" priority="3140" operator="between">
      <formula>49</formula>
      <formula>149</formula>
    </cfRule>
    <cfRule type="cellIs" dxfId="2104" priority="3143" operator="lessThan">
      <formula>49</formula>
    </cfRule>
    <cfRule type="cellIs" dxfId="2103" priority="3144" operator="greaterThanOrEqual">
      <formula>150</formula>
    </cfRule>
  </conditionalFormatting>
  <conditionalFormatting sqref="H10034:H10057">
    <cfRule type="cellIs" dxfId="2102" priority="3139" operator="between">
      <formula>0.8</formula>
      <formula>1.2</formula>
    </cfRule>
    <cfRule type="cellIs" dxfId="2101" priority="3141" operator="lessThan">
      <formula>0.8</formula>
    </cfRule>
    <cfRule type="cellIs" dxfId="2100" priority="3142" operator="greaterThanOrEqual">
      <formula>1.2</formula>
    </cfRule>
  </conditionalFormatting>
  <conditionalFormatting sqref="I10034:I10057">
    <cfRule type="colorScale" priority="3138">
      <colorScale>
        <cfvo type="min"/>
        <cfvo type="percentile" val="50"/>
        <cfvo type="max"/>
        <color rgb="FF63BE7B"/>
        <color rgb="FFFFEB84"/>
        <color rgb="FFF8696B"/>
      </colorScale>
    </cfRule>
  </conditionalFormatting>
  <conditionalFormatting sqref="K10035:K10057">
    <cfRule type="colorScale" priority="3137">
      <colorScale>
        <cfvo type="min"/>
        <cfvo type="percentile" val="50"/>
        <cfvo type="max"/>
        <color rgb="FF63BE7B"/>
        <color rgb="FFFFEB84"/>
        <color rgb="FFF8696B"/>
      </colorScale>
    </cfRule>
  </conditionalFormatting>
  <conditionalFormatting sqref="K10034:K10057">
    <cfRule type="colorScale" priority="3136">
      <colorScale>
        <cfvo type="min"/>
        <cfvo type="percentile" val="50"/>
        <cfvo type="max"/>
        <color rgb="FF63BE7B"/>
        <color rgb="FFFFEB84"/>
        <color rgb="FFF8696B"/>
      </colorScale>
    </cfRule>
  </conditionalFormatting>
  <conditionalFormatting sqref="G10010:G10033">
    <cfRule type="cellIs" dxfId="2099" priority="3131" operator="between">
      <formula>49</formula>
      <formula>149</formula>
    </cfRule>
    <cfRule type="cellIs" dxfId="2098" priority="3134" operator="lessThan">
      <formula>49</formula>
    </cfRule>
    <cfRule type="cellIs" dxfId="2097" priority="3135" operator="greaterThanOrEqual">
      <formula>150</formula>
    </cfRule>
  </conditionalFormatting>
  <conditionalFormatting sqref="H10010:H10033">
    <cfRule type="cellIs" dxfId="2096" priority="3130" operator="between">
      <formula>0.8</formula>
      <formula>1.2</formula>
    </cfRule>
    <cfRule type="cellIs" dxfId="2095" priority="3132" operator="lessThan">
      <formula>0.8</formula>
    </cfRule>
    <cfRule type="cellIs" dxfId="2094" priority="3133" operator="greaterThanOrEqual">
      <formula>1.2</formula>
    </cfRule>
  </conditionalFormatting>
  <conditionalFormatting sqref="I10010:I10033">
    <cfRule type="colorScale" priority="3129">
      <colorScale>
        <cfvo type="min"/>
        <cfvo type="percentile" val="50"/>
        <cfvo type="max"/>
        <color rgb="FF63BE7B"/>
        <color rgb="FFFFEB84"/>
        <color rgb="FFF8696B"/>
      </colorScale>
    </cfRule>
  </conditionalFormatting>
  <conditionalFormatting sqref="K10011:K10033">
    <cfRule type="colorScale" priority="3128">
      <colorScale>
        <cfvo type="min"/>
        <cfvo type="percentile" val="50"/>
        <cfvo type="max"/>
        <color rgb="FF63BE7B"/>
        <color rgb="FFFFEB84"/>
        <color rgb="FFF8696B"/>
      </colorScale>
    </cfRule>
  </conditionalFormatting>
  <conditionalFormatting sqref="K10010:K10033">
    <cfRule type="colorScale" priority="3127">
      <colorScale>
        <cfvo type="min"/>
        <cfvo type="percentile" val="50"/>
        <cfvo type="max"/>
        <color rgb="FF63BE7B"/>
        <color rgb="FFFFEB84"/>
        <color rgb="FFF8696B"/>
      </colorScale>
    </cfRule>
  </conditionalFormatting>
  <conditionalFormatting sqref="G9986:G10009">
    <cfRule type="cellIs" dxfId="2093" priority="3122" operator="between">
      <formula>49</formula>
      <formula>149</formula>
    </cfRule>
    <cfRule type="cellIs" dxfId="2092" priority="3125" operator="lessThan">
      <formula>49</formula>
    </cfRule>
    <cfRule type="cellIs" dxfId="2091" priority="3126" operator="greaterThanOrEqual">
      <formula>150</formula>
    </cfRule>
  </conditionalFormatting>
  <conditionalFormatting sqref="H9986:H10009">
    <cfRule type="cellIs" dxfId="2090" priority="3121" operator="between">
      <formula>0.8</formula>
      <formula>1.2</formula>
    </cfRule>
    <cfRule type="cellIs" dxfId="2089" priority="3123" operator="lessThan">
      <formula>0.8</formula>
    </cfRule>
    <cfRule type="cellIs" dxfId="2088" priority="3124" operator="greaterThanOrEqual">
      <formula>1.2</formula>
    </cfRule>
  </conditionalFormatting>
  <conditionalFormatting sqref="I9986:I10009">
    <cfRule type="colorScale" priority="3120">
      <colorScale>
        <cfvo type="min"/>
        <cfvo type="percentile" val="50"/>
        <cfvo type="max"/>
        <color rgb="FF63BE7B"/>
        <color rgb="FFFFEB84"/>
        <color rgb="FFF8696B"/>
      </colorScale>
    </cfRule>
  </conditionalFormatting>
  <conditionalFormatting sqref="K9987:K10009">
    <cfRule type="colorScale" priority="3119">
      <colorScale>
        <cfvo type="min"/>
        <cfvo type="percentile" val="50"/>
        <cfvo type="max"/>
        <color rgb="FF63BE7B"/>
        <color rgb="FFFFEB84"/>
        <color rgb="FFF8696B"/>
      </colorScale>
    </cfRule>
  </conditionalFormatting>
  <conditionalFormatting sqref="K9986:K10009">
    <cfRule type="colorScale" priority="3118">
      <colorScale>
        <cfvo type="min"/>
        <cfvo type="percentile" val="50"/>
        <cfvo type="max"/>
        <color rgb="FF63BE7B"/>
        <color rgb="FFFFEB84"/>
        <color rgb="FFF8696B"/>
      </colorScale>
    </cfRule>
  </conditionalFormatting>
  <conditionalFormatting sqref="G9962:G9985">
    <cfRule type="cellIs" dxfId="2087" priority="3113" operator="between">
      <formula>49</formula>
      <formula>149</formula>
    </cfRule>
    <cfRule type="cellIs" dxfId="2086" priority="3116" operator="lessThan">
      <formula>49</formula>
    </cfRule>
    <cfRule type="cellIs" dxfId="2085" priority="3117" operator="greaterThanOrEqual">
      <formula>150</formula>
    </cfRule>
  </conditionalFormatting>
  <conditionalFormatting sqref="H9962:H9985">
    <cfRule type="cellIs" dxfId="2084" priority="3112" operator="between">
      <formula>0.8</formula>
      <formula>1.2</formula>
    </cfRule>
    <cfRule type="cellIs" dxfId="2083" priority="3114" operator="lessThan">
      <formula>0.8</formula>
    </cfRule>
    <cfRule type="cellIs" dxfId="2082" priority="3115" operator="greaterThanOrEqual">
      <formula>1.2</formula>
    </cfRule>
  </conditionalFormatting>
  <conditionalFormatting sqref="I9962:I9985">
    <cfRule type="colorScale" priority="3111">
      <colorScale>
        <cfvo type="min"/>
        <cfvo type="percentile" val="50"/>
        <cfvo type="max"/>
        <color rgb="FF63BE7B"/>
        <color rgb="FFFFEB84"/>
        <color rgb="FFF8696B"/>
      </colorScale>
    </cfRule>
  </conditionalFormatting>
  <conditionalFormatting sqref="K9963:K9985">
    <cfRule type="colorScale" priority="3110">
      <colorScale>
        <cfvo type="min"/>
        <cfvo type="percentile" val="50"/>
        <cfvo type="max"/>
        <color rgb="FF63BE7B"/>
        <color rgb="FFFFEB84"/>
        <color rgb="FFF8696B"/>
      </colorScale>
    </cfRule>
  </conditionalFormatting>
  <conditionalFormatting sqref="K9962:K9985">
    <cfRule type="colorScale" priority="3109">
      <colorScale>
        <cfvo type="min"/>
        <cfvo type="percentile" val="50"/>
        <cfvo type="max"/>
        <color rgb="FF63BE7B"/>
        <color rgb="FFFFEB84"/>
        <color rgb="FFF8696B"/>
      </colorScale>
    </cfRule>
  </conditionalFormatting>
  <conditionalFormatting sqref="G9938:G9961">
    <cfRule type="cellIs" dxfId="2081" priority="3104" operator="between">
      <formula>49</formula>
      <formula>149</formula>
    </cfRule>
    <cfRule type="cellIs" dxfId="2080" priority="3107" operator="lessThan">
      <formula>49</formula>
    </cfRule>
    <cfRule type="cellIs" dxfId="2079" priority="3108" operator="greaterThanOrEqual">
      <formula>150</formula>
    </cfRule>
  </conditionalFormatting>
  <conditionalFormatting sqref="H9938:H9961">
    <cfRule type="cellIs" dxfId="2078" priority="3103" operator="between">
      <formula>0.8</formula>
      <formula>1.2</formula>
    </cfRule>
    <cfRule type="cellIs" dxfId="2077" priority="3105" operator="lessThan">
      <formula>0.8</formula>
    </cfRule>
    <cfRule type="cellIs" dxfId="2076" priority="3106" operator="greaterThanOrEqual">
      <formula>1.2</formula>
    </cfRule>
  </conditionalFormatting>
  <conditionalFormatting sqref="I9938:I9961">
    <cfRule type="colorScale" priority="3102">
      <colorScale>
        <cfvo type="min"/>
        <cfvo type="percentile" val="50"/>
        <cfvo type="max"/>
        <color rgb="FF63BE7B"/>
        <color rgb="FFFFEB84"/>
        <color rgb="FFF8696B"/>
      </colorScale>
    </cfRule>
  </conditionalFormatting>
  <conditionalFormatting sqref="K9939:K9961">
    <cfRule type="colorScale" priority="3101">
      <colorScale>
        <cfvo type="min"/>
        <cfvo type="percentile" val="50"/>
        <cfvo type="max"/>
        <color rgb="FF63BE7B"/>
        <color rgb="FFFFEB84"/>
        <color rgb="FFF8696B"/>
      </colorScale>
    </cfRule>
  </conditionalFormatting>
  <conditionalFormatting sqref="K9938:K9961">
    <cfRule type="colorScale" priority="3100">
      <colorScale>
        <cfvo type="min"/>
        <cfvo type="percentile" val="50"/>
        <cfvo type="max"/>
        <color rgb="FF63BE7B"/>
        <color rgb="FFFFEB84"/>
        <color rgb="FFF8696B"/>
      </colorScale>
    </cfRule>
  </conditionalFormatting>
  <conditionalFormatting sqref="G9914:G9937">
    <cfRule type="cellIs" dxfId="2075" priority="3095" operator="between">
      <formula>49</formula>
      <formula>149</formula>
    </cfRule>
    <cfRule type="cellIs" dxfId="2074" priority="3098" operator="lessThan">
      <formula>49</formula>
    </cfRule>
    <cfRule type="cellIs" dxfId="2073" priority="3099" operator="greaterThanOrEqual">
      <formula>150</formula>
    </cfRule>
  </conditionalFormatting>
  <conditionalFormatting sqref="H9914:H9937">
    <cfRule type="cellIs" dxfId="2072" priority="3094" operator="between">
      <formula>0.8</formula>
      <formula>1.2</formula>
    </cfRule>
    <cfRule type="cellIs" dxfId="2071" priority="3096" operator="lessThan">
      <formula>0.8</formula>
    </cfRule>
    <cfRule type="cellIs" dxfId="2070" priority="3097" operator="greaterThanOrEqual">
      <formula>1.2</formula>
    </cfRule>
  </conditionalFormatting>
  <conditionalFormatting sqref="I9914:I9937">
    <cfRule type="colorScale" priority="3093">
      <colorScale>
        <cfvo type="min"/>
        <cfvo type="percentile" val="50"/>
        <cfvo type="max"/>
        <color rgb="FF63BE7B"/>
        <color rgb="FFFFEB84"/>
        <color rgb="FFF8696B"/>
      </colorScale>
    </cfRule>
  </conditionalFormatting>
  <conditionalFormatting sqref="K9915:K9937">
    <cfRule type="colorScale" priority="3092">
      <colorScale>
        <cfvo type="min"/>
        <cfvo type="percentile" val="50"/>
        <cfvo type="max"/>
        <color rgb="FF63BE7B"/>
        <color rgb="FFFFEB84"/>
        <color rgb="FFF8696B"/>
      </colorScale>
    </cfRule>
  </conditionalFormatting>
  <conditionalFormatting sqref="K9914:K9937">
    <cfRule type="colorScale" priority="3091">
      <colorScale>
        <cfvo type="min"/>
        <cfvo type="percentile" val="50"/>
        <cfvo type="max"/>
        <color rgb="FF63BE7B"/>
        <color rgb="FFFFEB84"/>
        <color rgb="FFF8696B"/>
      </colorScale>
    </cfRule>
  </conditionalFormatting>
  <conditionalFormatting sqref="G9890:G9913">
    <cfRule type="cellIs" dxfId="2069" priority="3086" operator="between">
      <formula>49</formula>
      <formula>149</formula>
    </cfRule>
    <cfRule type="cellIs" dxfId="2068" priority="3089" operator="lessThan">
      <formula>49</formula>
    </cfRule>
    <cfRule type="cellIs" dxfId="2067" priority="3090" operator="greaterThanOrEqual">
      <formula>150</formula>
    </cfRule>
  </conditionalFormatting>
  <conditionalFormatting sqref="H9890:H9913">
    <cfRule type="cellIs" dxfId="2066" priority="3085" operator="between">
      <formula>0.8</formula>
      <formula>1.2</formula>
    </cfRule>
    <cfRule type="cellIs" dxfId="2065" priority="3087" operator="lessThan">
      <formula>0.8</formula>
    </cfRule>
    <cfRule type="cellIs" dxfId="2064" priority="3088" operator="greaterThanOrEqual">
      <formula>1.2</formula>
    </cfRule>
  </conditionalFormatting>
  <conditionalFormatting sqref="I9890:I9913">
    <cfRule type="colorScale" priority="3084">
      <colorScale>
        <cfvo type="min"/>
        <cfvo type="percentile" val="50"/>
        <cfvo type="max"/>
        <color rgb="FF63BE7B"/>
        <color rgb="FFFFEB84"/>
        <color rgb="FFF8696B"/>
      </colorScale>
    </cfRule>
  </conditionalFormatting>
  <conditionalFormatting sqref="K9891:K9913">
    <cfRule type="colorScale" priority="3083">
      <colorScale>
        <cfvo type="min"/>
        <cfvo type="percentile" val="50"/>
        <cfvo type="max"/>
        <color rgb="FF63BE7B"/>
        <color rgb="FFFFEB84"/>
        <color rgb="FFF8696B"/>
      </colorScale>
    </cfRule>
  </conditionalFormatting>
  <conditionalFormatting sqref="K9890:K9913">
    <cfRule type="colorScale" priority="3082">
      <colorScale>
        <cfvo type="min"/>
        <cfvo type="percentile" val="50"/>
        <cfvo type="max"/>
        <color rgb="FF63BE7B"/>
        <color rgb="FFFFEB84"/>
        <color rgb="FFF8696B"/>
      </colorScale>
    </cfRule>
  </conditionalFormatting>
  <conditionalFormatting sqref="G9866:G9889">
    <cfRule type="cellIs" dxfId="2063" priority="3077" operator="between">
      <formula>49</formula>
      <formula>149</formula>
    </cfRule>
    <cfRule type="cellIs" dxfId="2062" priority="3080" operator="lessThan">
      <formula>49</formula>
    </cfRule>
    <cfRule type="cellIs" dxfId="2061" priority="3081" operator="greaterThanOrEqual">
      <formula>150</formula>
    </cfRule>
  </conditionalFormatting>
  <conditionalFormatting sqref="H9866:H9889">
    <cfRule type="cellIs" dxfId="2060" priority="3076" operator="between">
      <formula>0.8</formula>
      <formula>1.2</formula>
    </cfRule>
    <cfRule type="cellIs" dxfId="2059" priority="3078" operator="lessThan">
      <formula>0.8</formula>
    </cfRule>
    <cfRule type="cellIs" dxfId="2058" priority="3079" operator="greaterThanOrEqual">
      <formula>1.2</formula>
    </cfRule>
  </conditionalFormatting>
  <conditionalFormatting sqref="I9866:I9889">
    <cfRule type="colorScale" priority="3075">
      <colorScale>
        <cfvo type="min"/>
        <cfvo type="percentile" val="50"/>
        <cfvo type="max"/>
        <color rgb="FF63BE7B"/>
        <color rgb="FFFFEB84"/>
        <color rgb="FFF8696B"/>
      </colorScale>
    </cfRule>
  </conditionalFormatting>
  <conditionalFormatting sqref="K9867:K9889">
    <cfRule type="colorScale" priority="3074">
      <colorScale>
        <cfvo type="min"/>
        <cfvo type="percentile" val="50"/>
        <cfvo type="max"/>
        <color rgb="FF63BE7B"/>
        <color rgb="FFFFEB84"/>
        <color rgb="FFF8696B"/>
      </colorScale>
    </cfRule>
  </conditionalFormatting>
  <conditionalFormatting sqref="K9866:K9889">
    <cfRule type="colorScale" priority="3073">
      <colorScale>
        <cfvo type="min"/>
        <cfvo type="percentile" val="50"/>
        <cfvo type="max"/>
        <color rgb="FF63BE7B"/>
        <color rgb="FFFFEB84"/>
        <color rgb="FFF8696B"/>
      </colorScale>
    </cfRule>
  </conditionalFormatting>
  <conditionalFormatting sqref="G9842:G9865">
    <cfRule type="cellIs" dxfId="2057" priority="3068" operator="between">
      <formula>49</formula>
      <formula>149</formula>
    </cfRule>
    <cfRule type="cellIs" dxfId="2056" priority="3071" operator="lessThan">
      <formula>49</formula>
    </cfRule>
    <cfRule type="cellIs" dxfId="2055" priority="3072" operator="greaterThanOrEqual">
      <formula>150</formula>
    </cfRule>
  </conditionalFormatting>
  <conditionalFormatting sqref="H9842:H9865">
    <cfRule type="cellIs" dxfId="2054" priority="3067" operator="between">
      <formula>0.8</formula>
      <formula>1.2</formula>
    </cfRule>
    <cfRule type="cellIs" dxfId="2053" priority="3069" operator="lessThan">
      <formula>0.8</formula>
    </cfRule>
    <cfRule type="cellIs" dxfId="2052" priority="3070" operator="greaterThanOrEqual">
      <formula>1.2</formula>
    </cfRule>
  </conditionalFormatting>
  <conditionalFormatting sqref="I9842:I9865">
    <cfRule type="colorScale" priority="3066">
      <colorScale>
        <cfvo type="min"/>
        <cfvo type="percentile" val="50"/>
        <cfvo type="max"/>
        <color rgb="FF63BE7B"/>
        <color rgb="FFFFEB84"/>
        <color rgb="FFF8696B"/>
      </colorScale>
    </cfRule>
  </conditionalFormatting>
  <conditionalFormatting sqref="K9843:K9865">
    <cfRule type="colorScale" priority="3065">
      <colorScale>
        <cfvo type="min"/>
        <cfvo type="percentile" val="50"/>
        <cfvo type="max"/>
        <color rgb="FF63BE7B"/>
        <color rgb="FFFFEB84"/>
        <color rgb="FFF8696B"/>
      </colorScale>
    </cfRule>
  </conditionalFormatting>
  <conditionalFormatting sqref="K9842:K9865">
    <cfRule type="colorScale" priority="3064">
      <colorScale>
        <cfvo type="min"/>
        <cfvo type="percentile" val="50"/>
        <cfvo type="max"/>
        <color rgb="FF63BE7B"/>
        <color rgb="FFFFEB84"/>
        <color rgb="FFF8696B"/>
      </colorScale>
    </cfRule>
  </conditionalFormatting>
  <conditionalFormatting sqref="G9818:G9841">
    <cfRule type="cellIs" dxfId="2051" priority="3059" operator="between">
      <formula>49</formula>
      <formula>149</formula>
    </cfRule>
    <cfRule type="cellIs" dxfId="2050" priority="3062" operator="lessThan">
      <formula>49</formula>
    </cfRule>
    <cfRule type="cellIs" dxfId="2049" priority="3063" operator="greaterThanOrEqual">
      <formula>150</formula>
    </cfRule>
  </conditionalFormatting>
  <conditionalFormatting sqref="H9818:H9841">
    <cfRule type="cellIs" dxfId="2048" priority="3058" operator="between">
      <formula>0.8</formula>
      <formula>1.2</formula>
    </cfRule>
    <cfRule type="cellIs" dxfId="2047" priority="3060" operator="lessThan">
      <formula>0.8</formula>
    </cfRule>
    <cfRule type="cellIs" dxfId="2046" priority="3061" operator="greaterThanOrEqual">
      <formula>1.2</formula>
    </cfRule>
  </conditionalFormatting>
  <conditionalFormatting sqref="I9818:I9841">
    <cfRule type="colorScale" priority="3057">
      <colorScale>
        <cfvo type="min"/>
        <cfvo type="percentile" val="50"/>
        <cfvo type="max"/>
        <color rgb="FF63BE7B"/>
        <color rgb="FFFFEB84"/>
        <color rgb="FFF8696B"/>
      </colorScale>
    </cfRule>
  </conditionalFormatting>
  <conditionalFormatting sqref="K9819:K9841">
    <cfRule type="colorScale" priority="3056">
      <colorScale>
        <cfvo type="min"/>
        <cfvo type="percentile" val="50"/>
        <cfvo type="max"/>
        <color rgb="FF63BE7B"/>
        <color rgb="FFFFEB84"/>
        <color rgb="FFF8696B"/>
      </colorScale>
    </cfRule>
  </conditionalFormatting>
  <conditionalFormatting sqref="K9818:K9841">
    <cfRule type="colorScale" priority="3055">
      <colorScale>
        <cfvo type="min"/>
        <cfvo type="percentile" val="50"/>
        <cfvo type="max"/>
        <color rgb="FF63BE7B"/>
        <color rgb="FFFFEB84"/>
        <color rgb="FFF8696B"/>
      </colorScale>
    </cfRule>
  </conditionalFormatting>
  <conditionalFormatting sqref="G9794:G9817">
    <cfRule type="cellIs" dxfId="2045" priority="3050" operator="between">
      <formula>49</formula>
      <formula>149</formula>
    </cfRule>
    <cfRule type="cellIs" dxfId="2044" priority="3053" operator="lessThan">
      <formula>49</formula>
    </cfRule>
    <cfRule type="cellIs" dxfId="2043" priority="3054" operator="greaterThanOrEqual">
      <formula>150</formula>
    </cfRule>
  </conditionalFormatting>
  <conditionalFormatting sqref="H9794:H9817">
    <cfRule type="cellIs" dxfId="2042" priority="3049" operator="between">
      <formula>0.8</formula>
      <formula>1.2</formula>
    </cfRule>
    <cfRule type="cellIs" dxfId="2041" priority="3051" operator="lessThan">
      <formula>0.8</formula>
    </cfRule>
    <cfRule type="cellIs" dxfId="2040" priority="3052" operator="greaterThanOrEqual">
      <formula>1.2</formula>
    </cfRule>
  </conditionalFormatting>
  <conditionalFormatting sqref="I9794:I9817">
    <cfRule type="colorScale" priority="3048">
      <colorScale>
        <cfvo type="min"/>
        <cfvo type="percentile" val="50"/>
        <cfvo type="max"/>
        <color rgb="FF63BE7B"/>
        <color rgb="FFFFEB84"/>
        <color rgb="FFF8696B"/>
      </colorScale>
    </cfRule>
  </conditionalFormatting>
  <conditionalFormatting sqref="K9795:K9817">
    <cfRule type="colorScale" priority="3047">
      <colorScale>
        <cfvo type="min"/>
        <cfvo type="percentile" val="50"/>
        <cfvo type="max"/>
        <color rgb="FF63BE7B"/>
        <color rgb="FFFFEB84"/>
        <color rgb="FFF8696B"/>
      </colorScale>
    </cfRule>
  </conditionalFormatting>
  <conditionalFormatting sqref="K9794:K9817">
    <cfRule type="colorScale" priority="3046">
      <colorScale>
        <cfvo type="min"/>
        <cfvo type="percentile" val="50"/>
        <cfvo type="max"/>
        <color rgb="FF63BE7B"/>
        <color rgb="FFFFEB84"/>
        <color rgb="FFF8696B"/>
      </colorScale>
    </cfRule>
  </conditionalFormatting>
  <conditionalFormatting sqref="G9770:G9793">
    <cfRule type="cellIs" dxfId="2039" priority="3041" operator="between">
      <formula>49</formula>
      <formula>149</formula>
    </cfRule>
    <cfRule type="cellIs" dxfId="2038" priority="3044" operator="lessThan">
      <formula>49</formula>
    </cfRule>
    <cfRule type="cellIs" dxfId="2037" priority="3045" operator="greaterThanOrEqual">
      <formula>150</formula>
    </cfRule>
  </conditionalFormatting>
  <conditionalFormatting sqref="H9770:H9793">
    <cfRule type="cellIs" dxfId="2036" priority="3040" operator="between">
      <formula>0.8</formula>
      <formula>1.2</formula>
    </cfRule>
    <cfRule type="cellIs" dxfId="2035" priority="3042" operator="lessThan">
      <formula>0.8</formula>
    </cfRule>
    <cfRule type="cellIs" dxfId="2034" priority="3043" operator="greaterThanOrEqual">
      <formula>1.2</formula>
    </cfRule>
  </conditionalFormatting>
  <conditionalFormatting sqref="I9770:I9793">
    <cfRule type="colorScale" priority="3039">
      <colorScale>
        <cfvo type="min"/>
        <cfvo type="percentile" val="50"/>
        <cfvo type="max"/>
        <color rgb="FF63BE7B"/>
        <color rgb="FFFFEB84"/>
        <color rgb="FFF8696B"/>
      </colorScale>
    </cfRule>
  </conditionalFormatting>
  <conditionalFormatting sqref="K9771:K9793">
    <cfRule type="colorScale" priority="3038">
      <colorScale>
        <cfvo type="min"/>
        <cfvo type="percentile" val="50"/>
        <cfvo type="max"/>
        <color rgb="FF63BE7B"/>
        <color rgb="FFFFEB84"/>
        <color rgb="FFF8696B"/>
      </colorScale>
    </cfRule>
  </conditionalFormatting>
  <conditionalFormatting sqref="K9770:K9793">
    <cfRule type="colorScale" priority="3037">
      <colorScale>
        <cfvo type="min"/>
        <cfvo type="percentile" val="50"/>
        <cfvo type="max"/>
        <color rgb="FF63BE7B"/>
        <color rgb="FFFFEB84"/>
        <color rgb="FFF8696B"/>
      </colorScale>
    </cfRule>
  </conditionalFormatting>
  <conditionalFormatting sqref="G9746:G9769">
    <cfRule type="cellIs" dxfId="2033" priority="3032" operator="between">
      <formula>49</formula>
      <formula>149</formula>
    </cfRule>
    <cfRule type="cellIs" dxfId="2032" priority="3035" operator="lessThan">
      <formula>49</formula>
    </cfRule>
    <cfRule type="cellIs" dxfId="2031" priority="3036" operator="greaterThanOrEqual">
      <formula>150</formula>
    </cfRule>
  </conditionalFormatting>
  <conditionalFormatting sqref="H9746:H9769">
    <cfRule type="cellIs" dxfId="2030" priority="3031" operator="between">
      <formula>0.8</formula>
      <formula>1.2</formula>
    </cfRule>
    <cfRule type="cellIs" dxfId="2029" priority="3033" operator="lessThan">
      <formula>0.8</formula>
    </cfRule>
    <cfRule type="cellIs" dxfId="2028" priority="3034" operator="greaterThanOrEqual">
      <formula>1.2</formula>
    </cfRule>
  </conditionalFormatting>
  <conditionalFormatting sqref="I9746:I9769">
    <cfRule type="colorScale" priority="3030">
      <colorScale>
        <cfvo type="min"/>
        <cfvo type="percentile" val="50"/>
        <cfvo type="max"/>
        <color rgb="FF63BE7B"/>
        <color rgb="FFFFEB84"/>
        <color rgb="FFF8696B"/>
      </colorScale>
    </cfRule>
  </conditionalFormatting>
  <conditionalFormatting sqref="K9747:K9769">
    <cfRule type="colorScale" priority="3029">
      <colorScale>
        <cfvo type="min"/>
        <cfvo type="percentile" val="50"/>
        <cfvo type="max"/>
        <color rgb="FF63BE7B"/>
        <color rgb="FFFFEB84"/>
        <color rgb="FFF8696B"/>
      </colorScale>
    </cfRule>
  </conditionalFormatting>
  <conditionalFormatting sqref="K9746:K9769">
    <cfRule type="colorScale" priority="3028">
      <colorScale>
        <cfvo type="min"/>
        <cfvo type="percentile" val="50"/>
        <cfvo type="max"/>
        <color rgb="FF63BE7B"/>
        <color rgb="FFFFEB84"/>
        <color rgb="FFF8696B"/>
      </colorScale>
    </cfRule>
  </conditionalFormatting>
  <conditionalFormatting sqref="G9722:G9745">
    <cfRule type="cellIs" dxfId="2027" priority="3023" operator="between">
      <formula>49</formula>
      <formula>149</formula>
    </cfRule>
    <cfRule type="cellIs" dxfId="2026" priority="3026" operator="lessThan">
      <formula>49</formula>
    </cfRule>
    <cfRule type="cellIs" dxfId="2025" priority="3027" operator="greaterThanOrEqual">
      <formula>150</formula>
    </cfRule>
  </conditionalFormatting>
  <conditionalFormatting sqref="H9722:H9745">
    <cfRule type="cellIs" dxfId="2024" priority="3022" operator="between">
      <formula>0.8</formula>
      <formula>1.2</formula>
    </cfRule>
    <cfRule type="cellIs" dxfId="2023" priority="3024" operator="lessThan">
      <formula>0.8</formula>
    </cfRule>
    <cfRule type="cellIs" dxfId="2022" priority="3025" operator="greaterThanOrEqual">
      <formula>1.2</formula>
    </cfRule>
  </conditionalFormatting>
  <conditionalFormatting sqref="I9722:I9745">
    <cfRule type="colorScale" priority="3021">
      <colorScale>
        <cfvo type="min"/>
        <cfvo type="percentile" val="50"/>
        <cfvo type="max"/>
        <color rgb="FF63BE7B"/>
        <color rgb="FFFFEB84"/>
        <color rgb="FFF8696B"/>
      </colorScale>
    </cfRule>
  </conditionalFormatting>
  <conditionalFormatting sqref="K9723:K9745">
    <cfRule type="colorScale" priority="3020">
      <colorScale>
        <cfvo type="min"/>
        <cfvo type="percentile" val="50"/>
        <cfvo type="max"/>
        <color rgb="FF63BE7B"/>
        <color rgb="FFFFEB84"/>
        <color rgb="FFF8696B"/>
      </colorScale>
    </cfRule>
  </conditionalFormatting>
  <conditionalFormatting sqref="K9722:K9745">
    <cfRule type="colorScale" priority="3019">
      <colorScale>
        <cfvo type="min"/>
        <cfvo type="percentile" val="50"/>
        <cfvo type="max"/>
        <color rgb="FF63BE7B"/>
        <color rgb="FFFFEB84"/>
        <color rgb="FFF8696B"/>
      </colorScale>
    </cfRule>
  </conditionalFormatting>
  <conditionalFormatting sqref="G9698:G9721">
    <cfRule type="cellIs" dxfId="2021" priority="3014" operator="between">
      <formula>49</formula>
      <formula>149</formula>
    </cfRule>
    <cfRule type="cellIs" dxfId="2020" priority="3017" operator="lessThan">
      <formula>49</formula>
    </cfRule>
    <cfRule type="cellIs" dxfId="2019" priority="3018" operator="greaterThanOrEqual">
      <formula>150</formula>
    </cfRule>
  </conditionalFormatting>
  <conditionalFormatting sqref="H9698:H9721">
    <cfRule type="cellIs" dxfId="2018" priority="3013" operator="between">
      <formula>0.8</formula>
      <formula>1.2</formula>
    </cfRule>
    <cfRule type="cellIs" dxfId="2017" priority="3015" operator="lessThan">
      <formula>0.8</formula>
    </cfRule>
    <cfRule type="cellIs" dxfId="2016" priority="3016" operator="greaterThanOrEqual">
      <formula>1.2</formula>
    </cfRule>
  </conditionalFormatting>
  <conditionalFormatting sqref="I9698:I9721">
    <cfRule type="colorScale" priority="3012">
      <colorScale>
        <cfvo type="min"/>
        <cfvo type="percentile" val="50"/>
        <cfvo type="max"/>
        <color rgb="FF63BE7B"/>
        <color rgb="FFFFEB84"/>
        <color rgb="FFF8696B"/>
      </colorScale>
    </cfRule>
  </conditionalFormatting>
  <conditionalFormatting sqref="K9699:K9721">
    <cfRule type="colorScale" priority="3011">
      <colorScale>
        <cfvo type="min"/>
        <cfvo type="percentile" val="50"/>
        <cfvo type="max"/>
        <color rgb="FF63BE7B"/>
        <color rgb="FFFFEB84"/>
        <color rgb="FFF8696B"/>
      </colorScale>
    </cfRule>
  </conditionalFormatting>
  <conditionalFormatting sqref="K9698:K9721">
    <cfRule type="colorScale" priority="3010">
      <colorScale>
        <cfvo type="min"/>
        <cfvo type="percentile" val="50"/>
        <cfvo type="max"/>
        <color rgb="FF63BE7B"/>
        <color rgb="FFFFEB84"/>
        <color rgb="FFF8696B"/>
      </colorScale>
    </cfRule>
  </conditionalFormatting>
  <conditionalFormatting sqref="G9674:G9697">
    <cfRule type="cellIs" dxfId="2015" priority="3005" operator="between">
      <formula>49</formula>
      <formula>149</formula>
    </cfRule>
    <cfRule type="cellIs" dxfId="2014" priority="3008" operator="lessThan">
      <formula>49</formula>
    </cfRule>
    <cfRule type="cellIs" dxfId="2013" priority="3009" operator="greaterThanOrEqual">
      <formula>150</formula>
    </cfRule>
  </conditionalFormatting>
  <conditionalFormatting sqref="H9674:H9697">
    <cfRule type="cellIs" dxfId="2012" priority="3004" operator="between">
      <formula>0.8</formula>
      <formula>1.2</formula>
    </cfRule>
    <cfRule type="cellIs" dxfId="2011" priority="3006" operator="lessThan">
      <formula>0.8</formula>
    </cfRule>
    <cfRule type="cellIs" dxfId="2010" priority="3007" operator="greaterThanOrEqual">
      <formula>1.2</formula>
    </cfRule>
  </conditionalFormatting>
  <conditionalFormatting sqref="I9674:I9697">
    <cfRule type="colorScale" priority="3003">
      <colorScale>
        <cfvo type="min"/>
        <cfvo type="percentile" val="50"/>
        <cfvo type="max"/>
        <color rgb="FF63BE7B"/>
        <color rgb="FFFFEB84"/>
        <color rgb="FFF8696B"/>
      </colorScale>
    </cfRule>
  </conditionalFormatting>
  <conditionalFormatting sqref="K9675:K9697">
    <cfRule type="colorScale" priority="3002">
      <colorScale>
        <cfvo type="min"/>
        <cfvo type="percentile" val="50"/>
        <cfvo type="max"/>
        <color rgb="FF63BE7B"/>
        <color rgb="FFFFEB84"/>
        <color rgb="FFF8696B"/>
      </colorScale>
    </cfRule>
  </conditionalFormatting>
  <conditionalFormatting sqref="K9674:K9697">
    <cfRule type="colorScale" priority="3001">
      <colorScale>
        <cfvo type="min"/>
        <cfvo type="percentile" val="50"/>
        <cfvo type="max"/>
        <color rgb="FF63BE7B"/>
        <color rgb="FFFFEB84"/>
        <color rgb="FFF8696B"/>
      </colorScale>
    </cfRule>
  </conditionalFormatting>
  <conditionalFormatting sqref="G9650:G9673">
    <cfRule type="cellIs" dxfId="2009" priority="2996" operator="between">
      <formula>49</formula>
      <formula>149</formula>
    </cfRule>
    <cfRule type="cellIs" dxfId="2008" priority="2999" operator="lessThan">
      <formula>49</formula>
    </cfRule>
    <cfRule type="cellIs" dxfId="2007" priority="3000" operator="greaterThanOrEqual">
      <formula>150</formula>
    </cfRule>
  </conditionalFormatting>
  <conditionalFormatting sqref="H9650:H9673">
    <cfRule type="cellIs" dxfId="2006" priority="2995" operator="between">
      <formula>0.8</formula>
      <formula>1.2</formula>
    </cfRule>
    <cfRule type="cellIs" dxfId="2005" priority="2997" operator="lessThan">
      <formula>0.8</formula>
    </cfRule>
    <cfRule type="cellIs" dxfId="2004" priority="2998" operator="greaterThanOrEqual">
      <formula>1.2</formula>
    </cfRule>
  </conditionalFormatting>
  <conditionalFormatting sqref="I9650:I9673">
    <cfRule type="colorScale" priority="2994">
      <colorScale>
        <cfvo type="min"/>
        <cfvo type="percentile" val="50"/>
        <cfvo type="max"/>
        <color rgb="FF63BE7B"/>
        <color rgb="FFFFEB84"/>
        <color rgb="FFF8696B"/>
      </colorScale>
    </cfRule>
  </conditionalFormatting>
  <conditionalFormatting sqref="K9651:K9673">
    <cfRule type="colorScale" priority="2993">
      <colorScale>
        <cfvo type="min"/>
        <cfvo type="percentile" val="50"/>
        <cfvo type="max"/>
        <color rgb="FF63BE7B"/>
        <color rgb="FFFFEB84"/>
        <color rgb="FFF8696B"/>
      </colorScale>
    </cfRule>
  </conditionalFormatting>
  <conditionalFormatting sqref="K9650:K9673">
    <cfRule type="colorScale" priority="2992">
      <colorScale>
        <cfvo type="min"/>
        <cfvo type="percentile" val="50"/>
        <cfvo type="max"/>
        <color rgb="FF63BE7B"/>
        <color rgb="FFFFEB84"/>
        <color rgb="FFF8696B"/>
      </colorScale>
    </cfRule>
  </conditionalFormatting>
  <conditionalFormatting sqref="G9626:G9649">
    <cfRule type="cellIs" dxfId="2003" priority="2987" operator="between">
      <formula>49</formula>
      <formula>149</formula>
    </cfRule>
    <cfRule type="cellIs" dxfId="2002" priority="2990" operator="lessThan">
      <formula>49</formula>
    </cfRule>
    <cfRule type="cellIs" dxfId="2001" priority="2991" operator="greaterThanOrEqual">
      <formula>150</formula>
    </cfRule>
  </conditionalFormatting>
  <conditionalFormatting sqref="H9626:H9649">
    <cfRule type="cellIs" dxfId="2000" priority="2986" operator="between">
      <formula>0.8</formula>
      <formula>1.2</formula>
    </cfRule>
    <cfRule type="cellIs" dxfId="1999" priority="2988" operator="lessThan">
      <formula>0.8</formula>
    </cfRule>
    <cfRule type="cellIs" dxfId="1998" priority="2989" operator="greaterThanOrEqual">
      <formula>1.2</formula>
    </cfRule>
  </conditionalFormatting>
  <conditionalFormatting sqref="I9626:I9649">
    <cfRule type="colorScale" priority="2985">
      <colorScale>
        <cfvo type="min"/>
        <cfvo type="percentile" val="50"/>
        <cfvo type="max"/>
        <color rgb="FF63BE7B"/>
        <color rgb="FFFFEB84"/>
        <color rgb="FFF8696B"/>
      </colorScale>
    </cfRule>
  </conditionalFormatting>
  <conditionalFormatting sqref="K9627:K9649">
    <cfRule type="colorScale" priority="2984">
      <colorScale>
        <cfvo type="min"/>
        <cfvo type="percentile" val="50"/>
        <cfvo type="max"/>
        <color rgb="FF63BE7B"/>
        <color rgb="FFFFEB84"/>
        <color rgb="FFF8696B"/>
      </colorScale>
    </cfRule>
  </conditionalFormatting>
  <conditionalFormatting sqref="K9626:K9649">
    <cfRule type="colorScale" priority="2983">
      <colorScale>
        <cfvo type="min"/>
        <cfvo type="percentile" val="50"/>
        <cfvo type="max"/>
        <color rgb="FF63BE7B"/>
        <color rgb="FFFFEB84"/>
        <color rgb="FFF8696B"/>
      </colorScale>
    </cfRule>
  </conditionalFormatting>
  <conditionalFormatting sqref="G9602:G9625">
    <cfRule type="cellIs" dxfId="1997" priority="2978" operator="between">
      <formula>49</formula>
      <formula>149</formula>
    </cfRule>
    <cfRule type="cellIs" dxfId="1996" priority="2981" operator="lessThan">
      <formula>49</formula>
    </cfRule>
    <cfRule type="cellIs" dxfId="1995" priority="2982" operator="greaterThanOrEqual">
      <formula>150</formula>
    </cfRule>
  </conditionalFormatting>
  <conditionalFormatting sqref="H9602:H9625">
    <cfRule type="cellIs" dxfId="1994" priority="2977" operator="between">
      <formula>0.8</formula>
      <formula>1.2</formula>
    </cfRule>
    <cfRule type="cellIs" dxfId="1993" priority="2979" operator="lessThan">
      <formula>0.8</formula>
    </cfRule>
    <cfRule type="cellIs" dxfId="1992" priority="2980" operator="greaterThanOrEqual">
      <formula>1.2</formula>
    </cfRule>
  </conditionalFormatting>
  <conditionalFormatting sqref="I9602:I9625">
    <cfRule type="colorScale" priority="2976">
      <colorScale>
        <cfvo type="min"/>
        <cfvo type="percentile" val="50"/>
        <cfvo type="max"/>
        <color rgb="FF63BE7B"/>
        <color rgb="FFFFEB84"/>
        <color rgb="FFF8696B"/>
      </colorScale>
    </cfRule>
  </conditionalFormatting>
  <conditionalFormatting sqref="K9603:K9625">
    <cfRule type="colorScale" priority="2975">
      <colorScale>
        <cfvo type="min"/>
        <cfvo type="percentile" val="50"/>
        <cfvo type="max"/>
        <color rgb="FF63BE7B"/>
        <color rgb="FFFFEB84"/>
        <color rgb="FFF8696B"/>
      </colorScale>
    </cfRule>
  </conditionalFormatting>
  <conditionalFormatting sqref="K9602:K9625">
    <cfRule type="colorScale" priority="2974">
      <colorScale>
        <cfvo type="min"/>
        <cfvo type="percentile" val="50"/>
        <cfvo type="max"/>
        <color rgb="FF63BE7B"/>
        <color rgb="FFFFEB84"/>
        <color rgb="FFF8696B"/>
      </colorScale>
    </cfRule>
  </conditionalFormatting>
  <conditionalFormatting sqref="G9578:G9601">
    <cfRule type="cellIs" dxfId="1991" priority="2969" operator="between">
      <formula>49</formula>
      <formula>149</formula>
    </cfRule>
    <cfRule type="cellIs" dxfId="1990" priority="2972" operator="lessThan">
      <formula>49</formula>
    </cfRule>
    <cfRule type="cellIs" dxfId="1989" priority="2973" operator="greaterThanOrEqual">
      <formula>150</formula>
    </cfRule>
  </conditionalFormatting>
  <conditionalFormatting sqref="H9578:H9601">
    <cfRule type="cellIs" dxfId="1988" priority="2968" operator="between">
      <formula>0.8</formula>
      <formula>1.2</formula>
    </cfRule>
    <cfRule type="cellIs" dxfId="1987" priority="2970" operator="lessThan">
      <formula>0.8</formula>
    </cfRule>
    <cfRule type="cellIs" dxfId="1986" priority="2971" operator="greaterThanOrEqual">
      <formula>1.2</formula>
    </cfRule>
  </conditionalFormatting>
  <conditionalFormatting sqref="I9578:I9601">
    <cfRule type="colorScale" priority="2967">
      <colorScale>
        <cfvo type="min"/>
        <cfvo type="percentile" val="50"/>
        <cfvo type="max"/>
        <color rgb="FF63BE7B"/>
        <color rgb="FFFFEB84"/>
        <color rgb="FFF8696B"/>
      </colorScale>
    </cfRule>
  </conditionalFormatting>
  <conditionalFormatting sqref="K9579:K9601">
    <cfRule type="colorScale" priority="2966">
      <colorScale>
        <cfvo type="min"/>
        <cfvo type="percentile" val="50"/>
        <cfvo type="max"/>
        <color rgb="FF63BE7B"/>
        <color rgb="FFFFEB84"/>
        <color rgb="FFF8696B"/>
      </colorScale>
    </cfRule>
  </conditionalFormatting>
  <conditionalFormatting sqref="K9578:K9601">
    <cfRule type="colorScale" priority="2965">
      <colorScale>
        <cfvo type="min"/>
        <cfvo type="percentile" val="50"/>
        <cfvo type="max"/>
        <color rgb="FF63BE7B"/>
        <color rgb="FFFFEB84"/>
        <color rgb="FFF8696B"/>
      </colorScale>
    </cfRule>
  </conditionalFormatting>
  <conditionalFormatting sqref="G9554:G9577">
    <cfRule type="cellIs" dxfId="1985" priority="2960" operator="between">
      <formula>49</formula>
      <formula>149</formula>
    </cfRule>
    <cfRule type="cellIs" dxfId="1984" priority="2963" operator="lessThan">
      <formula>49</formula>
    </cfRule>
    <cfRule type="cellIs" dxfId="1983" priority="2964" operator="greaterThanOrEqual">
      <formula>150</formula>
    </cfRule>
  </conditionalFormatting>
  <conditionalFormatting sqref="H9554:H9577">
    <cfRule type="cellIs" dxfId="1982" priority="2959" operator="between">
      <formula>0.8</formula>
      <formula>1.2</formula>
    </cfRule>
    <cfRule type="cellIs" dxfId="1981" priority="2961" operator="lessThan">
      <formula>0.8</formula>
    </cfRule>
    <cfRule type="cellIs" dxfId="1980" priority="2962" operator="greaterThanOrEqual">
      <formula>1.2</formula>
    </cfRule>
  </conditionalFormatting>
  <conditionalFormatting sqref="I9554:I9577">
    <cfRule type="colorScale" priority="2958">
      <colorScale>
        <cfvo type="min"/>
        <cfvo type="percentile" val="50"/>
        <cfvo type="max"/>
        <color rgb="FF63BE7B"/>
        <color rgb="FFFFEB84"/>
        <color rgb="FFF8696B"/>
      </colorScale>
    </cfRule>
  </conditionalFormatting>
  <conditionalFormatting sqref="K9555:K9577">
    <cfRule type="colorScale" priority="2957">
      <colorScale>
        <cfvo type="min"/>
        <cfvo type="percentile" val="50"/>
        <cfvo type="max"/>
        <color rgb="FF63BE7B"/>
        <color rgb="FFFFEB84"/>
        <color rgb="FFF8696B"/>
      </colorScale>
    </cfRule>
  </conditionalFormatting>
  <conditionalFormatting sqref="K9554:K9577">
    <cfRule type="colorScale" priority="2956">
      <colorScale>
        <cfvo type="min"/>
        <cfvo type="percentile" val="50"/>
        <cfvo type="max"/>
        <color rgb="FF63BE7B"/>
        <color rgb="FFFFEB84"/>
        <color rgb="FFF8696B"/>
      </colorScale>
    </cfRule>
  </conditionalFormatting>
  <conditionalFormatting sqref="G9530:G9553">
    <cfRule type="cellIs" dxfId="1979" priority="2951" operator="between">
      <formula>49</formula>
      <formula>149</formula>
    </cfRule>
    <cfRule type="cellIs" dxfId="1978" priority="2954" operator="lessThan">
      <formula>49</formula>
    </cfRule>
    <cfRule type="cellIs" dxfId="1977" priority="2955" operator="greaterThanOrEqual">
      <formula>150</formula>
    </cfRule>
  </conditionalFormatting>
  <conditionalFormatting sqref="H9530:H9553">
    <cfRule type="cellIs" dxfId="1976" priority="2950" operator="between">
      <formula>0.8</formula>
      <formula>1.2</formula>
    </cfRule>
    <cfRule type="cellIs" dxfId="1975" priority="2952" operator="lessThan">
      <formula>0.8</formula>
    </cfRule>
    <cfRule type="cellIs" dxfId="1974" priority="2953" operator="greaterThanOrEqual">
      <formula>1.2</formula>
    </cfRule>
  </conditionalFormatting>
  <conditionalFormatting sqref="I9530:I9553">
    <cfRule type="colorScale" priority="2949">
      <colorScale>
        <cfvo type="min"/>
        <cfvo type="percentile" val="50"/>
        <cfvo type="max"/>
        <color rgb="FF63BE7B"/>
        <color rgb="FFFFEB84"/>
        <color rgb="FFF8696B"/>
      </colorScale>
    </cfRule>
  </conditionalFormatting>
  <conditionalFormatting sqref="K9531:K9553">
    <cfRule type="colorScale" priority="2948">
      <colorScale>
        <cfvo type="min"/>
        <cfvo type="percentile" val="50"/>
        <cfvo type="max"/>
        <color rgb="FF63BE7B"/>
        <color rgb="FFFFEB84"/>
        <color rgb="FFF8696B"/>
      </colorScale>
    </cfRule>
  </conditionalFormatting>
  <conditionalFormatting sqref="K9530:K9553">
    <cfRule type="colorScale" priority="2947">
      <colorScale>
        <cfvo type="min"/>
        <cfvo type="percentile" val="50"/>
        <cfvo type="max"/>
        <color rgb="FF63BE7B"/>
        <color rgb="FFFFEB84"/>
        <color rgb="FFF8696B"/>
      </colorScale>
    </cfRule>
  </conditionalFormatting>
  <conditionalFormatting sqref="G9506:G9529">
    <cfRule type="cellIs" dxfId="1973" priority="2942" operator="between">
      <formula>49</formula>
      <formula>149</formula>
    </cfRule>
    <cfRule type="cellIs" dxfId="1972" priority="2945" operator="lessThan">
      <formula>49</formula>
    </cfRule>
    <cfRule type="cellIs" dxfId="1971" priority="2946" operator="greaterThanOrEqual">
      <formula>150</formula>
    </cfRule>
  </conditionalFormatting>
  <conditionalFormatting sqref="H9506:H9529">
    <cfRule type="cellIs" dxfId="1970" priority="2941" operator="between">
      <formula>0.8</formula>
      <formula>1.2</formula>
    </cfRule>
    <cfRule type="cellIs" dxfId="1969" priority="2943" operator="lessThan">
      <formula>0.8</formula>
    </cfRule>
    <cfRule type="cellIs" dxfId="1968" priority="2944" operator="greaterThanOrEqual">
      <formula>1.2</formula>
    </cfRule>
  </conditionalFormatting>
  <conditionalFormatting sqref="I9506:I9529">
    <cfRule type="colorScale" priority="2940">
      <colorScale>
        <cfvo type="min"/>
        <cfvo type="percentile" val="50"/>
        <cfvo type="max"/>
        <color rgb="FF63BE7B"/>
        <color rgb="FFFFEB84"/>
        <color rgb="FFF8696B"/>
      </colorScale>
    </cfRule>
  </conditionalFormatting>
  <conditionalFormatting sqref="K9507:K9529">
    <cfRule type="colorScale" priority="2939">
      <colorScale>
        <cfvo type="min"/>
        <cfvo type="percentile" val="50"/>
        <cfvo type="max"/>
        <color rgb="FF63BE7B"/>
        <color rgb="FFFFEB84"/>
        <color rgb="FFF8696B"/>
      </colorScale>
    </cfRule>
  </conditionalFormatting>
  <conditionalFormatting sqref="K9506:K9529">
    <cfRule type="colorScale" priority="2938">
      <colorScale>
        <cfvo type="min"/>
        <cfvo type="percentile" val="50"/>
        <cfvo type="max"/>
        <color rgb="FF63BE7B"/>
        <color rgb="FFFFEB84"/>
        <color rgb="FFF8696B"/>
      </colorScale>
    </cfRule>
  </conditionalFormatting>
  <conditionalFormatting sqref="G9482:G9505">
    <cfRule type="cellIs" dxfId="1967" priority="2933" operator="between">
      <formula>49</formula>
      <formula>149</formula>
    </cfRule>
    <cfRule type="cellIs" dxfId="1966" priority="2936" operator="lessThan">
      <formula>49</formula>
    </cfRule>
    <cfRule type="cellIs" dxfId="1965" priority="2937" operator="greaterThanOrEqual">
      <formula>150</formula>
    </cfRule>
  </conditionalFormatting>
  <conditionalFormatting sqref="H9482:H9505">
    <cfRule type="cellIs" dxfId="1964" priority="2932" operator="between">
      <formula>0.8</formula>
      <formula>1.2</formula>
    </cfRule>
    <cfRule type="cellIs" dxfId="1963" priority="2934" operator="lessThan">
      <formula>0.8</formula>
    </cfRule>
    <cfRule type="cellIs" dxfId="1962" priority="2935" operator="greaterThanOrEqual">
      <formula>1.2</formula>
    </cfRule>
  </conditionalFormatting>
  <conditionalFormatting sqref="I9482:I9505">
    <cfRule type="colorScale" priority="2931">
      <colorScale>
        <cfvo type="min"/>
        <cfvo type="percentile" val="50"/>
        <cfvo type="max"/>
        <color rgb="FF63BE7B"/>
        <color rgb="FFFFEB84"/>
        <color rgb="FFF8696B"/>
      </colorScale>
    </cfRule>
  </conditionalFormatting>
  <conditionalFormatting sqref="K9483:K9505">
    <cfRule type="colorScale" priority="2930">
      <colorScale>
        <cfvo type="min"/>
        <cfvo type="percentile" val="50"/>
        <cfvo type="max"/>
        <color rgb="FF63BE7B"/>
        <color rgb="FFFFEB84"/>
        <color rgb="FFF8696B"/>
      </colorScale>
    </cfRule>
  </conditionalFormatting>
  <conditionalFormatting sqref="K9482:K9505">
    <cfRule type="colorScale" priority="2929">
      <colorScale>
        <cfvo type="min"/>
        <cfvo type="percentile" val="50"/>
        <cfvo type="max"/>
        <color rgb="FF63BE7B"/>
        <color rgb="FFFFEB84"/>
        <color rgb="FFF8696B"/>
      </colorScale>
    </cfRule>
  </conditionalFormatting>
  <conditionalFormatting sqref="G9458:G9481">
    <cfRule type="cellIs" dxfId="1961" priority="2924" operator="between">
      <formula>49</formula>
      <formula>149</formula>
    </cfRule>
    <cfRule type="cellIs" dxfId="1960" priority="2927" operator="lessThan">
      <formula>49</formula>
    </cfRule>
    <cfRule type="cellIs" dxfId="1959" priority="2928" operator="greaterThanOrEqual">
      <formula>150</formula>
    </cfRule>
  </conditionalFormatting>
  <conditionalFormatting sqref="H9458:H9481">
    <cfRule type="cellIs" dxfId="1958" priority="2923" operator="between">
      <formula>0.8</formula>
      <formula>1.2</formula>
    </cfRule>
    <cfRule type="cellIs" dxfId="1957" priority="2925" operator="lessThan">
      <formula>0.8</formula>
    </cfRule>
    <cfRule type="cellIs" dxfId="1956" priority="2926" operator="greaterThanOrEqual">
      <formula>1.2</formula>
    </cfRule>
  </conditionalFormatting>
  <conditionalFormatting sqref="I9458:I9481">
    <cfRule type="colorScale" priority="2922">
      <colorScale>
        <cfvo type="min"/>
        <cfvo type="percentile" val="50"/>
        <cfvo type="max"/>
        <color rgb="FF63BE7B"/>
        <color rgb="FFFFEB84"/>
        <color rgb="FFF8696B"/>
      </colorScale>
    </cfRule>
  </conditionalFormatting>
  <conditionalFormatting sqref="K9459:K9481">
    <cfRule type="colorScale" priority="2921">
      <colorScale>
        <cfvo type="min"/>
        <cfvo type="percentile" val="50"/>
        <cfvo type="max"/>
        <color rgb="FF63BE7B"/>
        <color rgb="FFFFEB84"/>
        <color rgb="FFF8696B"/>
      </colorScale>
    </cfRule>
  </conditionalFormatting>
  <conditionalFormatting sqref="K9458:K9481">
    <cfRule type="colorScale" priority="2920">
      <colorScale>
        <cfvo type="min"/>
        <cfvo type="percentile" val="50"/>
        <cfvo type="max"/>
        <color rgb="FF63BE7B"/>
        <color rgb="FFFFEB84"/>
        <color rgb="FFF8696B"/>
      </colorScale>
    </cfRule>
  </conditionalFormatting>
  <conditionalFormatting sqref="G9434:G9457">
    <cfRule type="cellIs" dxfId="1955" priority="2915" operator="between">
      <formula>49</formula>
      <formula>149</formula>
    </cfRule>
    <cfRule type="cellIs" dxfId="1954" priority="2918" operator="lessThan">
      <formula>49</formula>
    </cfRule>
    <cfRule type="cellIs" dxfId="1953" priority="2919" operator="greaterThanOrEqual">
      <formula>150</formula>
    </cfRule>
  </conditionalFormatting>
  <conditionalFormatting sqref="H9434:H9457">
    <cfRule type="cellIs" dxfId="1952" priority="2914" operator="between">
      <formula>0.8</formula>
      <formula>1.2</formula>
    </cfRule>
    <cfRule type="cellIs" dxfId="1951" priority="2916" operator="lessThan">
      <formula>0.8</formula>
    </cfRule>
    <cfRule type="cellIs" dxfId="1950" priority="2917" operator="greaterThanOrEqual">
      <formula>1.2</formula>
    </cfRule>
  </conditionalFormatting>
  <conditionalFormatting sqref="I9434:I9457">
    <cfRule type="colorScale" priority="2913">
      <colorScale>
        <cfvo type="min"/>
        <cfvo type="percentile" val="50"/>
        <cfvo type="max"/>
        <color rgb="FF63BE7B"/>
        <color rgb="FFFFEB84"/>
        <color rgb="FFF8696B"/>
      </colorScale>
    </cfRule>
  </conditionalFormatting>
  <conditionalFormatting sqref="K9435:K9457">
    <cfRule type="colorScale" priority="2912">
      <colorScale>
        <cfvo type="min"/>
        <cfvo type="percentile" val="50"/>
        <cfvo type="max"/>
        <color rgb="FF63BE7B"/>
        <color rgb="FFFFEB84"/>
        <color rgb="FFF8696B"/>
      </colorScale>
    </cfRule>
  </conditionalFormatting>
  <conditionalFormatting sqref="K9434:K9457">
    <cfRule type="colorScale" priority="2911">
      <colorScale>
        <cfvo type="min"/>
        <cfvo type="percentile" val="50"/>
        <cfvo type="max"/>
        <color rgb="FF63BE7B"/>
        <color rgb="FFFFEB84"/>
        <color rgb="FFF8696B"/>
      </colorScale>
    </cfRule>
  </conditionalFormatting>
  <conditionalFormatting sqref="G9410:G9433">
    <cfRule type="cellIs" dxfId="1949" priority="2906" operator="between">
      <formula>49</formula>
      <formula>149</formula>
    </cfRule>
    <cfRule type="cellIs" dxfId="1948" priority="2909" operator="lessThan">
      <formula>49</formula>
    </cfRule>
    <cfRule type="cellIs" dxfId="1947" priority="2910" operator="greaterThanOrEqual">
      <formula>150</formula>
    </cfRule>
  </conditionalFormatting>
  <conditionalFormatting sqref="H9410:H9433">
    <cfRule type="cellIs" dxfId="1946" priority="2905" operator="between">
      <formula>0.8</formula>
      <formula>1.2</formula>
    </cfRule>
    <cfRule type="cellIs" dxfId="1945" priority="2907" operator="lessThan">
      <formula>0.8</formula>
    </cfRule>
    <cfRule type="cellIs" dxfId="1944" priority="2908" operator="greaterThanOrEqual">
      <formula>1.2</formula>
    </cfRule>
  </conditionalFormatting>
  <conditionalFormatting sqref="I9410:I9433">
    <cfRule type="colorScale" priority="2904">
      <colorScale>
        <cfvo type="min"/>
        <cfvo type="percentile" val="50"/>
        <cfvo type="max"/>
        <color rgb="FF63BE7B"/>
        <color rgb="FFFFEB84"/>
        <color rgb="FFF8696B"/>
      </colorScale>
    </cfRule>
  </conditionalFormatting>
  <conditionalFormatting sqref="K9411:K9433">
    <cfRule type="colorScale" priority="2903">
      <colorScale>
        <cfvo type="min"/>
        <cfvo type="percentile" val="50"/>
        <cfvo type="max"/>
        <color rgb="FF63BE7B"/>
        <color rgb="FFFFEB84"/>
        <color rgb="FFF8696B"/>
      </colorScale>
    </cfRule>
  </conditionalFormatting>
  <conditionalFormatting sqref="K9410:K9433">
    <cfRule type="colorScale" priority="2902">
      <colorScale>
        <cfvo type="min"/>
        <cfvo type="percentile" val="50"/>
        <cfvo type="max"/>
        <color rgb="FF63BE7B"/>
        <color rgb="FFFFEB84"/>
        <color rgb="FFF8696B"/>
      </colorScale>
    </cfRule>
  </conditionalFormatting>
  <conditionalFormatting sqref="G9386:G9409">
    <cfRule type="cellIs" dxfId="1943" priority="2897" operator="between">
      <formula>49</formula>
      <formula>149</formula>
    </cfRule>
    <cfRule type="cellIs" dxfId="1942" priority="2900" operator="lessThan">
      <formula>49</formula>
    </cfRule>
    <cfRule type="cellIs" dxfId="1941" priority="2901" operator="greaterThanOrEqual">
      <formula>150</formula>
    </cfRule>
  </conditionalFormatting>
  <conditionalFormatting sqref="H9386:H9409">
    <cfRule type="cellIs" dxfId="1940" priority="2896" operator="between">
      <formula>0.8</formula>
      <formula>1.2</formula>
    </cfRule>
    <cfRule type="cellIs" dxfId="1939" priority="2898" operator="lessThan">
      <formula>0.8</formula>
    </cfRule>
    <cfRule type="cellIs" dxfId="1938" priority="2899" operator="greaterThanOrEqual">
      <formula>1.2</formula>
    </cfRule>
  </conditionalFormatting>
  <conditionalFormatting sqref="I9386:I9409">
    <cfRule type="colorScale" priority="2895">
      <colorScale>
        <cfvo type="min"/>
        <cfvo type="percentile" val="50"/>
        <cfvo type="max"/>
        <color rgb="FF63BE7B"/>
        <color rgb="FFFFEB84"/>
        <color rgb="FFF8696B"/>
      </colorScale>
    </cfRule>
  </conditionalFormatting>
  <conditionalFormatting sqref="K9387:K9409">
    <cfRule type="colorScale" priority="2894">
      <colorScale>
        <cfvo type="min"/>
        <cfvo type="percentile" val="50"/>
        <cfvo type="max"/>
        <color rgb="FF63BE7B"/>
        <color rgb="FFFFEB84"/>
        <color rgb="FFF8696B"/>
      </colorScale>
    </cfRule>
  </conditionalFormatting>
  <conditionalFormatting sqref="K9386:K9409">
    <cfRule type="colorScale" priority="2893">
      <colorScale>
        <cfvo type="min"/>
        <cfvo type="percentile" val="50"/>
        <cfvo type="max"/>
        <color rgb="FF63BE7B"/>
        <color rgb="FFFFEB84"/>
        <color rgb="FFF8696B"/>
      </colorScale>
    </cfRule>
  </conditionalFormatting>
  <conditionalFormatting sqref="G9362:G9385">
    <cfRule type="cellIs" dxfId="1937" priority="2888" operator="between">
      <formula>49</formula>
      <formula>149</formula>
    </cfRule>
    <cfRule type="cellIs" dxfId="1936" priority="2891" operator="lessThan">
      <formula>49</formula>
    </cfRule>
    <cfRule type="cellIs" dxfId="1935" priority="2892" operator="greaterThanOrEqual">
      <formula>150</formula>
    </cfRule>
  </conditionalFormatting>
  <conditionalFormatting sqref="H9362:H9385">
    <cfRule type="cellIs" dxfId="1934" priority="2887" operator="between">
      <formula>0.8</formula>
      <formula>1.2</formula>
    </cfRule>
    <cfRule type="cellIs" dxfId="1933" priority="2889" operator="lessThan">
      <formula>0.8</formula>
    </cfRule>
    <cfRule type="cellIs" dxfId="1932" priority="2890" operator="greaterThanOrEqual">
      <formula>1.2</formula>
    </cfRule>
  </conditionalFormatting>
  <conditionalFormatting sqref="I9362:I9385">
    <cfRule type="colorScale" priority="2886">
      <colorScale>
        <cfvo type="min"/>
        <cfvo type="percentile" val="50"/>
        <cfvo type="max"/>
        <color rgb="FF63BE7B"/>
        <color rgb="FFFFEB84"/>
        <color rgb="FFF8696B"/>
      </colorScale>
    </cfRule>
  </conditionalFormatting>
  <conditionalFormatting sqref="K9363:K9385">
    <cfRule type="colorScale" priority="2885">
      <colorScale>
        <cfvo type="min"/>
        <cfvo type="percentile" val="50"/>
        <cfvo type="max"/>
        <color rgb="FF63BE7B"/>
        <color rgb="FFFFEB84"/>
        <color rgb="FFF8696B"/>
      </colorScale>
    </cfRule>
  </conditionalFormatting>
  <conditionalFormatting sqref="K9362:K9385">
    <cfRule type="colorScale" priority="2884">
      <colorScale>
        <cfvo type="min"/>
        <cfvo type="percentile" val="50"/>
        <cfvo type="max"/>
        <color rgb="FF63BE7B"/>
        <color rgb="FFFFEB84"/>
        <color rgb="FFF8696B"/>
      </colorScale>
    </cfRule>
  </conditionalFormatting>
  <conditionalFormatting sqref="G9338:G9361">
    <cfRule type="cellIs" dxfId="1931" priority="2879" operator="between">
      <formula>49</formula>
      <formula>149</formula>
    </cfRule>
    <cfRule type="cellIs" dxfId="1930" priority="2882" operator="lessThan">
      <formula>49</formula>
    </cfRule>
    <cfRule type="cellIs" dxfId="1929" priority="2883" operator="greaterThanOrEqual">
      <formula>150</formula>
    </cfRule>
  </conditionalFormatting>
  <conditionalFormatting sqref="H9338:H9361">
    <cfRule type="cellIs" dxfId="1928" priority="2878" operator="between">
      <formula>0.8</formula>
      <formula>1.2</formula>
    </cfRule>
    <cfRule type="cellIs" dxfId="1927" priority="2880" operator="lessThan">
      <formula>0.8</formula>
    </cfRule>
    <cfRule type="cellIs" dxfId="1926" priority="2881" operator="greaterThanOrEqual">
      <formula>1.2</formula>
    </cfRule>
  </conditionalFormatting>
  <conditionalFormatting sqref="I9338:I9361">
    <cfRule type="colorScale" priority="2877">
      <colorScale>
        <cfvo type="min"/>
        <cfvo type="percentile" val="50"/>
        <cfvo type="max"/>
        <color rgb="FF63BE7B"/>
        <color rgb="FFFFEB84"/>
        <color rgb="FFF8696B"/>
      </colorScale>
    </cfRule>
  </conditionalFormatting>
  <conditionalFormatting sqref="K9339:K9361">
    <cfRule type="colorScale" priority="2876">
      <colorScale>
        <cfvo type="min"/>
        <cfvo type="percentile" val="50"/>
        <cfvo type="max"/>
        <color rgb="FF63BE7B"/>
        <color rgb="FFFFEB84"/>
        <color rgb="FFF8696B"/>
      </colorScale>
    </cfRule>
  </conditionalFormatting>
  <conditionalFormatting sqref="K9338:K9361">
    <cfRule type="colorScale" priority="2875">
      <colorScale>
        <cfvo type="min"/>
        <cfvo type="percentile" val="50"/>
        <cfvo type="max"/>
        <color rgb="FF63BE7B"/>
        <color rgb="FFFFEB84"/>
        <color rgb="FFF8696B"/>
      </colorScale>
    </cfRule>
  </conditionalFormatting>
  <conditionalFormatting sqref="G9314:G9337">
    <cfRule type="cellIs" dxfId="1925" priority="2870" operator="between">
      <formula>49</formula>
      <formula>149</formula>
    </cfRule>
    <cfRule type="cellIs" dxfId="1924" priority="2873" operator="lessThan">
      <formula>49</formula>
    </cfRule>
    <cfRule type="cellIs" dxfId="1923" priority="2874" operator="greaterThanOrEqual">
      <formula>150</formula>
    </cfRule>
  </conditionalFormatting>
  <conditionalFormatting sqref="H9314:H9337">
    <cfRule type="cellIs" dxfId="1922" priority="2869" operator="between">
      <formula>0.8</formula>
      <formula>1.2</formula>
    </cfRule>
    <cfRule type="cellIs" dxfId="1921" priority="2871" operator="lessThan">
      <formula>0.8</formula>
    </cfRule>
    <cfRule type="cellIs" dxfId="1920" priority="2872" operator="greaterThanOrEqual">
      <formula>1.2</formula>
    </cfRule>
  </conditionalFormatting>
  <conditionalFormatting sqref="I9314:I9337">
    <cfRule type="colorScale" priority="2868">
      <colorScale>
        <cfvo type="min"/>
        <cfvo type="percentile" val="50"/>
        <cfvo type="max"/>
        <color rgb="FF63BE7B"/>
        <color rgb="FFFFEB84"/>
        <color rgb="FFF8696B"/>
      </colorScale>
    </cfRule>
  </conditionalFormatting>
  <conditionalFormatting sqref="K9315:K9337">
    <cfRule type="colorScale" priority="2867">
      <colorScale>
        <cfvo type="min"/>
        <cfvo type="percentile" val="50"/>
        <cfvo type="max"/>
        <color rgb="FF63BE7B"/>
        <color rgb="FFFFEB84"/>
        <color rgb="FFF8696B"/>
      </colorScale>
    </cfRule>
  </conditionalFormatting>
  <conditionalFormatting sqref="K9314:K9337">
    <cfRule type="colorScale" priority="2866">
      <colorScale>
        <cfvo type="min"/>
        <cfvo type="percentile" val="50"/>
        <cfvo type="max"/>
        <color rgb="FF63BE7B"/>
        <color rgb="FFFFEB84"/>
        <color rgb="FFF8696B"/>
      </colorScale>
    </cfRule>
  </conditionalFormatting>
  <conditionalFormatting sqref="G9290:G9313">
    <cfRule type="cellIs" dxfId="1919" priority="2861" operator="between">
      <formula>49</formula>
      <formula>149</formula>
    </cfRule>
    <cfRule type="cellIs" dxfId="1918" priority="2864" operator="lessThan">
      <formula>49</formula>
    </cfRule>
    <cfRule type="cellIs" dxfId="1917" priority="2865" operator="greaterThanOrEqual">
      <formula>150</formula>
    </cfRule>
  </conditionalFormatting>
  <conditionalFormatting sqref="H9290:H9313">
    <cfRule type="cellIs" dxfId="1916" priority="2860" operator="between">
      <formula>0.8</formula>
      <formula>1.2</formula>
    </cfRule>
    <cfRule type="cellIs" dxfId="1915" priority="2862" operator="lessThan">
      <formula>0.8</formula>
    </cfRule>
    <cfRule type="cellIs" dxfId="1914" priority="2863" operator="greaterThanOrEqual">
      <formula>1.2</formula>
    </cfRule>
  </conditionalFormatting>
  <conditionalFormatting sqref="I9290:I9313">
    <cfRule type="colorScale" priority="2859">
      <colorScale>
        <cfvo type="min"/>
        <cfvo type="percentile" val="50"/>
        <cfvo type="max"/>
        <color rgb="FF63BE7B"/>
        <color rgb="FFFFEB84"/>
        <color rgb="FFF8696B"/>
      </colorScale>
    </cfRule>
  </conditionalFormatting>
  <conditionalFormatting sqref="K9291:K9313">
    <cfRule type="colorScale" priority="2858">
      <colorScale>
        <cfvo type="min"/>
        <cfvo type="percentile" val="50"/>
        <cfvo type="max"/>
        <color rgb="FF63BE7B"/>
        <color rgb="FFFFEB84"/>
        <color rgb="FFF8696B"/>
      </colorScale>
    </cfRule>
  </conditionalFormatting>
  <conditionalFormatting sqref="K9290:K9313">
    <cfRule type="colorScale" priority="2857">
      <colorScale>
        <cfvo type="min"/>
        <cfvo type="percentile" val="50"/>
        <cfvo type="max"/>
        <color rgb="FF63BE7B"/>
        <color rgb="FFFFEB84"/>
        <color rgb="FFF8696B"/>
      </colorScale>
    </cfRule>
  </conditionalFormatting>
  <conditionalFormatting sqref="G9266:G9289">
    <cfRule type="cellIs" dxfId="1913" priority="2852" operator="between">
      <formula>49</formula>
      <formula>149</formula>
    </cfRule>
    <cfRule type="cellIs" dxfId="1912" priority="2855" operator="lessThan">
      <formula>49</formula>
    </cfRule>
    <cfRule type="cellIs" dxfId="1911" priority="2856" operator="greaterThanOrEqual">
      <formula>150</formula>
    </cfRule>
  </conditionalFormatting>
  <conditionalFormatting sqref="H9266:H9289">
    <cfRule type="cellIs" dxfId="1910" priority="2851" operator="between">
      <formula>0.8</formula>
      <formula>1.2</formula>
    </cfRule>
    <cfRule type="cellIs" dxfId="1909" priority="2853" operator="lessThan">
      <formula>0.8</formula>
    </cfRule>
    <cfRule type="cellIs" dxfId="1908" priority="2854" operator="greaterThanOrEqual">
      <formula>1.2</formula>
    </cfRule>
  </conditionalFormatting>
  <conditionalFormatting sqref="I9266:I9289">
    <cfRule type="colorScale" priority="2850">
      <colorScale>
        <cfvo type="min"/>
        <cfvo type="percentile" val="50"/>
        <cfvo type="max"/>
        <color rgb="FF63BE7B"/>
        <color rgb="FFFFEB84"/>
        <color rgb="FFF8696B"/>
      </colorScale>
    </cfRule>
  </conditionalFormatting>
  <conditionalFormatting sqref="K9267:K9289">
    <cfRule type="colorScale" priority="2849">
      <colorScale>
        <cfvo type="min"/>
        <cfvo type="percentile" val="50"/>
        <cfvo type="max"/>
        <color rgb="FF63BE7B"/>
        <color rgb="FFFFEB84"/>
        <color rgb="FFF8696B"/>
      </colorScale>
    </cfRule>
  </conditionalFormatting>
  <conditionalFormatting sqref="K9266:K9289">
    <cfRule type="colorScale" priority="2848">
      <colorScale>
        <cfvo type="min"/>
        <cfvo type="percentile" val="50"/>
        <cfvo type="max"/>
        <color rgb="FF63BE7B"/>
        <color rgb="FFFFEB84"/>
        <color rgb="FFF8696B"/>
      </colorScale>
    </cfRule>
  </conditionalFormatting>
  <conditionalFormatting sqref="G9242:G9265">
    <cfRule type="cellIs" dxfId="1907" priority="2843" operator="between">
      <formula>49</formula>
      <formula>149</formula>
    </cfRule>
    <cfRule type="cellIs" dxfId="1906" priority="2846" operator="lessThan">
      <formula>49</formula>
    </cfRule>
    <cfRule type="cellIs" dxfId="1905" priority="2847" operator="greaterThanOrEqual">
      <formula>150</formula>
    </cfRule>
  </conditionalFormatting>
  <conditionalFormatting sqref="H9242:H9265">
    <cfRule type="cellIs" dxfId="1904" priority="2842" operator="between">
      <formula>0.8</formula>
      <formula>1.2</formula>
    </cfRule>
    <cfRule type="cellIs" dxfId="1903" priority="2844" operator="lessThan">
      <formula>0.8</formula>
    </cfRule>
    <cfRule type="cellIs" dxfId="1902" priority="2845" operator="greaterThanOrEqual">
      <formula>1.2</formula>
    </cfRule>
  </conditionalFormatting>
  <conditionalFormatting sqref="I9242:I9265">
    <cfRule type="colorScale" priority="2841">
      <colorScale>
        <cfvo type="min"/>
        <cfvo type="percentile" val="50"/>
        <cfvo type="max"/>
        <color rgb="FF63BE7B"/>
        <color rgb="FFFFEB84"/>
        <color rgb="FFF8696B"/>
      </colorScale>
    </cfRule>
  </conditionalFormatting>
  <conditionalFormatting sqref="K9243:K9265">
    <cfRule type="colorScale" priority="2840">
      <colorScale>
        <cfvo type="min"/>
        <cfvo type="percentile" val="50"/>
        <cfvo type="max"/>
        <color rgb="FF63BE7B"/>
        <color rgb="FFFFEB84"/>
        <color rgb="FFF8696B"/>
      </colorScale>
    </cfRule>
  </conditionalFormatting>
  <conditionalFormatting sqref="K9242:K9265">
    <cfRule type="colorScale" priority="2839">
      <colorScale>
        <cfvo type="min"/>
        <cfvo type="percentile" val="50"/>
        <cfvo type="max"/>
        <color rgb="FF63BE7B"/>
        <color rgb="FFFFEB84"/>
        <color rgb="FFF8696B"/>
      </colorScale>
    </cfRule>
  </conditionalFormatting>
  <conditionalFormatting sqref="G9218:G9241">
    <cfRule type="cellIs" dxfId="1901" priority="2834" operator="between">
      <formula>49</formula>
      <formula>149</formula>
    </cfRule>
    <cfRule type="cellIs" dxfId="1900" priority="2837" operator="lessThan">
      <formula>49</formula>
    </cfRule>
    <cfRule type="cellIs" dxfId="1899" priority="2838" operator="greaterThanOrEqual">
      <formula>150</formula>
    </cfRule>
  </conditionalFormatting>
  <conditionalFormatting sqref="H9218:H9241">
    <cfRule type="cellIs" dxfId="1898" priority="2833" operator="between">
      <formula>0.8</formula>
      <formula>1.2</formula>
    </cfRule>
    <cfRule type="cellIs" dxfId="1897" priority="2835" operator="lessThan">
      <formula>0.8</formula>
    </cfRule>
    <cfRule type="cellIs" dxfId="1896" priority="2836" operator="greaterThanOrEqual">
      <formula>1.2</formula>
    </cfRule>
  </conditionalFormatting>
  <conditionalFormatting sqref="I9218:I9241">
    <cfRule type="colorScale" priority="2832">
      <colorScale>
        <cfvo type="min"/>
        <cfvo type="percentile" val="50"/>
        <cfvo type="max"/>
        <color rgb="FF63BE7B"/>
        <color rgb="FFFFEB84"/>
        <color rgb="FFF8696B"/>
      </colorScale>
    </cfRule>
  </conditionalFormatting>
  <conditionalFormatting sqref="K9219:K9241">
    <cfRule type="colorScale" priority="2831">
      <colorScale>
        <cfvo type="min"/>
        <cfvo type="percentile" val="50"/>
        <cfvo type="max"/>
        <color rgb="FF63BE7B"/>
        <color rgb="FFFFEB84"/>
        <color rgb="FFF8696B"/>
      </colorScale>
    </cfRule>
  </conditionalFormatting>
  <conditionalFormatting sqref="K9218:K9241">
    <cfRule type="colorScale" priority="2830">
      <colorScale>
        <cfvo type="min"/>
        <cfvo type="percentile" val="50"/>
        <cfvo type="max"/>
        <color rgb="FF63BE7B"/>
        <color rgb="FFFFEB84"/>
        <color rgb="FFF8696B"/>
      </colorScale>
    </cfRule>
  </conditionalFormatting>
  <conditionalFormatting sqref="G9194:G9217">
    <cfRule type="cellIs" dxfId="1895" priority="2825" operator="between">
      <formula>49</formula>
      <formula>149</formula>
    </cfRule>
    <cfRule type="cellIs" dxfId="1894" priority="2828" operator="lessThan">
      <formula>49</formula>
    </cfRule>
    <cfRule type="cellIs" dxfId="1893" priority="2829" operator="greaterThanOrEqual">
      <formula>150</formula>
    </cfRule>
  </conditionalFormatting>
  <conditionalFormatting sqref="H9194:H9217">
    <cfRule type="cellIs" dxfId="1892" priority="2824" operator="between">
      <formula>0.8</formula>
      <formula>1.2</formula>
    </cfRule>
    <cfRule type="cellIs" dxfId="1891" priority="2826" operator="lessThan">
      <formula>0.8</formula>
    </cfRule>
    <cfRule type="cellIs" dxfId="1890" priority="2827" operator="greaterThanOrEqual">
      <formula>1.2</formula>
    </cfRule>
  </conditionalFormatting>
  <conditionalFormatting sqref="I9194:I9217">
    <cfRule type="colorScale" priority="2823">
      <colorScale>
        <cfvo type="min"/>
        <cfvo type="percentile" val="50"/>
        <cfvo type="max"/>
        <color rgb="FF63BE7B"/>
        <color rgb="FFFFEB84"/>
        <color rgb="FFF8696B"/>
      </colorScale>
    </cfRule>
  </conditionalFormatting>
  <conditionalFormatting sqref="K9195:K9217">
    <cfRule type="colorScale" priority="2822">
      <colorScale>
        <cfvo type="min"/>
        <cfvo type="percentile" val="50"/>
        <cfvo type="max"/>
        <color rgb="FF63BE7B"/>
        <color rgb="FFFFEB84"/>
        <color rgb="FFF8696B"/>
      </colorScale>
    </cfRule>
  </conditionalFormatting>
  <conditionalFormatting sqref="K9194:K9217">
    <cfRule type="colorScale" priority="2821">
      <colorScale>
        <cfvo type="min"/>
        <cfvo type="percentile" val="50"/>
        <cfvo type="max"/>
        <color rgb="FF63BE7B"/>
        <color rgb="FFFFEB84"/>
        <color rgb="FFF8696B"/>
      </colorScale>
    </cfRule>
  </conditionalFormatting>
  <conditionalFormatting sqref="G9170:G9193">
    <cfRule type="cellIs" dxfId="1889" priority="2816" operator="between">
      <formula>49</formula>
      <formula>149</formula>
    </cfRule>
    <cfRule type="cellIs" dxfId="1888" priority="2819" operator="lessThan">
      <formula>49</formula>
    </cfRule>
    <cfRule type="cellIs" dxfId="1887" priority="2820" operator="greaterThanOrEqual">
      <formula>150</formula>
    </cfRule>
  </conditionalFormatting>
  <conditionalFormatting sqref="H9170:H9193">
    <cfRule type="cellIs" dxfId="1886" priority="2815" operator="between">
      <formula>0.8</formula>
      <formula>1.2</formula>
    </cfRule>
    <cfRule type="cellIs" dxfId="1885" priority="2817" operator="lessThan">
      <formula>0.8</formula>
    </cfRule>
    <cfRule type="cellIs" dxfId="1884" priority="2818" operator="greaterThanOrEqual">
      <formula>1.2</formula>
    </cfRule>
  </conditionalFormatting>
  <conditionalFormatting sqref="I9170:I9193">
    <cfRule type="colorScale" priority="2814">
      <colorScale>
        <cfvo type="min"/>
        <cfvo type="percentile" val="50"/>
        <cfvo type="max"/>
        <color rgb="FF63BE7B"/>
        <color rgb="FFFFEB84"/>
        <color rgb="FFF8696B"/>
      </colorScale>
    </cfRule>
  </conditionalFormatting>
  <conditionalFormatting sqref="K9171:K9193">
    <cfRule type="colorScale" priority="2813">
      <colorScale>
        <cfvo type="min"/>
        <cfvo type="percentile" val="50"/>
        <cfvo type="max"/>
        <color rgb="FF63BE7B"/>
        <color rgb="FFFFEB84"/>
        <color rgb="FFF8696B"/>
      </colorScale>
    </cfRule>
  </conditionalFormatting>
  <conditionalFormatting sqref="K9170:K9193">
    <cfRule type="colorScale" priority="2812">
      <colorScale>
        <cfvo type="min"/>
        <cfvo type="percentile" val="50"/>
        <cfvo type="max"/>
        <color rgb="FF63BE7B"/>
        <color rgb="FFFFEB84"/>
        <color rgb="FFF8696B"/>
      </colorScale>
    </cfRule>
  </conditionalFormatting>
  <conditionalFormatting sqref="G9146:G9169">
    <cfRule type="cellIs" dxfId="1883" priority="2807" operator="between">
      <formula>49</formula>
      <formula>149</formula>
    </cfRule>
    <cfRule type="cellIs" dxfId="1882" priority="2810" operator="lessThan">
      <formula>49</formula>
    </cfRule>
    <cfRule type="cellIs" dxfId="1881" priority="2811" operator="greaterThanOrEqual">
      <formula>150</formula>
    </cfRule>
  </conditionalFormatting>
  <conditionalFormatting sqref="H9146:H9169">
    <cfRule type="cellIs" dxfId="1880" priority="2806" operator="between">
      <formula>0.8</formula>
      <formula>1.2</formula>
    </cfRule>
    <cfRule type="cellIs" dxfId="1879" priority="2808" operator="lessThan">
      <formula>0.8</formula>
    </cfRule>
    <cfRule type="cellIs" dxfId="1878" priority="2809" operator="greaterThanOrEqual">
      <formula>1.2</formula>
    </cfRule>
  </conditionalFormatting>
  <conditionalFormatting sqref="I9146:I9169">
    <cfRule type="colorScale" priority="2805">
      <colorScale>
        <cfvo type="min"/>
        <cfvo type="percentile" val="50"/>
        <cfvo type="max"/>
        <color rgb="FF63BE7B"/>
        <color rgb="FFFFEB84"/>
        <color rgb="FFF8696B"/>
      </colorScale>
    </cfRule>
  </conditionalFormatting>
  <conditionalFormatting sqref="K9147:K9169">
    <cfRule type="colorScale" priority="2804">
      <colorScale>
        <cfvo type="min"/>
        <cfvo type="percentile" val="50"/>
        <cfvo type="max"/>
        <color rgb="FF63BE7B"/>
        <color rgb="FFFFEB84"/>
        <color rgb="FFF8696B"/>
      </colorScale>
    </cfRule>
  </conditionalFormatting>
  <conditionalFormatting sqref="K9146:K9169">
    <cfRule type="colorScale" priority="2803">
      <colorScale>
        <cfvo type="min"/>
        <cfvo type="percentile" val="50"/>
        <cfvo type="max"/>
        <color rgb="FF63BE7B"/>
        <color rgb="FFFFEB84"/>
        <color rgb="FFF8696B"/>
      </colorScale>
    </cfRule>
  </conditionalFormatting>
  <conditionalFormatting sqref="G9122:G9145">
    <cfRule type="cellIs" dxfId="1877" priority="2798" operator="between">
      <formula>49</formula>
      <formula>149</formula>
    </cfRule>
    <cfRule type="cellIs" dxfId="1876" priority="2801" operator="lessThan">
      <formula>49</formula>
    </cfRule>
    <cfRule type="cellIs" dxfId="1875" priority="2802" operator="greaterThanOrEqual">
      <formula>150</formula>
    </cfRule>
  </conditionalFormatting>
  <conditionalFormatting sqref="H9122:H9145">
    <cfRule type="cellIs" dxfId="1874" priority="2797" operator="between">
      <formula>0.8</formula>
      <formula>1.2</formula>
    </cfRule>
    <cfRule type="cellIs" dxfId="1873" priority="2799" operator="lessThan">
      <formula>0.8</formula>
    </cfRule>
    <cfRule type="cellIs" dxfId="1872" priority="2800" operator="greaterThanOrEqual">
      <formula>1.2</formula>
    </cfRule>
  </conditionalFormatting>
  <conditionalFormatting sqref="I9122:I9145">
    <cfRule type="colorScale" priority="2796">
      <colorScale>
        <cfvo type="min"/>
        <cfvo type="percentile" val="50"/>
        <cfvo type="max"/>
        <color rgb="FF63BE7B"/>
        <color rgb="FFFFEB84"/>
        <color rgb="FFF8696B"/>
      </colorScale>
    </cfRule>
  </conditionalFormatting>
  <conditionalFormatting sqref="K9123:K9145">
    <cfRule type="colorScale" priority="2795">
      <colorScale>
        <cfvo type="min"/>
        <cfvo type="percentile" val="50"/>
        <cfvo type="max"/>
        <color rgb="FF63BE7B"/>
        <color rgb="FFFFEB84"/>
        <color rgb="FFF8696B"/>
      </colorScale>
    </cfRule>
  </conditionalFormatting>
  <conditionalFormatting sqref="K9122:K9145">
    <cfRule type="colorScale" priority="2794">
      <colorScale>
        <cfvo type="min"/>
        <cfvo type="percentile" val="50"/>
        <cfvo type="max"/>
        <color rgb="FF63BE7B"/>
        <color rgb="FFFFEB84"/>
        <color rgb="FFF8696B"/>
      </colorScale>
    </cfRule>
  </conditionalFormatting>
  <conditionalFormatting sqref="G9098:G9121">
    <cfRule type="cellIs" dxfId="1871" priority="2789" operator="between">
      <formula>49</formula>
      <formula>149</formula>
    </cfRule>
    <cfRule type="cellIs" dxfId="1870" priority="2792" operator="lessThan">
      <formula>49</formula>
    </cfRule>
    <cfRule type="cellIs" dxfId="1869" priority="2793" operator="greaterThanOrEqual">
      <formula>150</formula>
    </cfRule>
  </conditionalFormatting>
  <conditionalFormatting sqref="H9098:H9121">
    <cfRule type="cellIs" dxfId="1868" priority="2788" operator="between">
      <formula>0.8</formula>
      <formula>1.2</formula>
    </cfRule>
    <cfRule type="cellIs" dxfId="1867" priority="2790" operator="lessThan">
      <formula>0.8</formula>
    </cfRule>
    <cfRule type="cellIs" dxfId="1866" priority="2791" operator="greaterThanOrEqual">
      <formula>1.2</formula>
    </cfRule>
  </conditionalFormatting>
  <conditionalFormatting sqref="I9098:I9121">
    <cfRule type="colorScale" priority="2787">
      <colorScale>
        <cfvo type="min"/>
        <cfvo type="percentile" val="50"/>
        <cfvo type="max"/>
        <color rgb="FF63BE7B"/>
        <color rgb="FFFFEB84"/>
        <color rgb="FFF8696B"/>
      </colorScale>
    </cfRule>
  </conditionalFormatting>
  <conditionalFormatting sqref="K9099:K9121">
    <cfRule type="colorScale" priority="2786">
      <colorScale>
        <cfvo type="min"/>
        <cfvo type="percentile" val="50"/>
        <cfvo type="max"/>
        <color rgb="FF63BE7B"/>
        <color rgb="FFFFEB84"/>
        <color rgb="FFF8696B"/>
      </colorScale>
    </cfRule>
  </conditionalFormatting>
  <conditionalFormatting sqref="K9098:K9121">
    <cfRule type="colorScale" priority="2785">
      <colorScale>
        <cfvo type="min"/>
        <cfvo type="percentile" val="50"/>
        <cfvo type="max"/>
        <color rgb="FF63BE7B"/>
        <color rgb="FFFFEB84"/>
        <color rgb="FFF8696B"/>
      </colorScale>
    </cfRule>
  </conditionalFormatting>
  <conditionalFormatting sqref="G9074:G9097">
    <cfRule type="cellIs" dxfId="1865" priority="2780" operator="between">
      <formula>49</formula>
      <formula>149</formula>
    </cfRule>
    <cfRule type="cellIs" dxfId="1864" priority="2783" operator="lessThan">
      <formula>49</formula>
    </cfRule>
    <cfRule type="cellIs" dxfId="1863" priority="2784" operator="greaterThanOrEqual">
      <formula>150</formula>
    </cfRule>
  </conditionalFormatting>
  <conditionalFormatting sqref="H9074:H9097">
    <cfRule type="cellIs" dxfId="1862" priority="2779" operator="between">
      <formula>0.8</formula>
      <formula>1.2</formula>
    </cfRule>
    <cfRule type="cellIs" dxfId="1861" priority="2781" operator="lessThan">
      <formula>0.8</formula>
    </cfRule>
    <cfRule type="cellIs" dxfId="1860" priority="2782" operator="greaterThanOrEqual">
      <formula>1.2</formula>
    </cfRule>
  </conditionalFormatting>
  <conditionalFormatting sqref="I9074:I9097">
    <cfRule type="colorScale" priority="2778">
      <colorScale>
        <cfvo type="min"/>
        <cfvo type="percentile" val="50"/>
        <cfvo type="max"/>
        <color rgb="FF63BE7B"/>
        <color rgb="FFFFEB84"/>
        <color rgb="FFF8696B"/>
      </colorScale>
    </cfRule>
  </conditionalFormatting>
  <conditionalFormatting sqref="K9075:K9097">
    <cfRule type="colorScale" priority="2777">
      <colorScale>
        <cfvo type="min"/>
        <cfvo type="percentile" val="50"/>
        <cfvo type="max"/>
        <color rgb="FF63BE7B"/>
        <color rgb="FFFFEB84"/>
        <color rgb="FFF8696B"/>
      </colorScale>
    </cfRule>
  </conditionalFormatting>
  <conditionalFormatting sqref="K9074:K9097">
    <cfRule type="colorScale" priority="2776">
      <colorScale>
        <cfvo type="min"/>
        <cfvo type="percentile" val="50"/>
        <cfvo type="max"/>
        <color rgb="FF63BE7B"/>
        <color rgb="FFFFEB84"/>
        <color rgb="FFF8696B"/>
      </colorScale>
    </cfRule>
  </conditionalFormatting>
  <conditionalFormatting sqref="G9050:G9073">
    <cfRule type="cellIs" dxfId="1859" priority="2771" operator="between">
      <formula>49</formula>
      <formula>149</formula>
    </cfRule>
    <cfRule type="cellIs" dxfId="1858" priority="2774" operator="lessThan">
      <formula>49</formula>
    </cfRule>
    <cfRule type="cellIs" dxfId="1857" priority="2775" operator="greaterThanOrEqual">
      <formula>150</formula>
    </cfRule>
  </conditionalFormatting>
  <conditionalFormatting sqref="H9050:H9073">
    <cfRule type="cellIs" dxfId="1856" priority="2770" operator="between">
      <formula>0.8</formula>
      <formula>1.2</formula>
    </cfRule>
    <cfRule type="cellIs" dxfId="1855" priority="2772" operator="lessThan">
      <formula>0.8</formula>
    </cfRule>
    <cfRule type="cellIs" dxfId="1854" priority="2773" operator="greaterThanOrEqual">
      <formula>1.2</formula>
    </cfRule>
  </conditionalFormatting>
  <conditionalFormatting sqref="I9050:I9073">
    <cfRule type="colorScale" priority="2769">
      <colorScale>
        <cfvo type="min"/>
        <cfvo type="percentile" val="50"/>
        <cfvo type="max"/>
        <color rgb="FF63BE7B"/>
        <color rgb="FFFFEB84"/>
        <color rgb="FFF8696B"/>
      </colorScale>
    </cfRule>
  </conditionalFormatting>
  <conditionalFormatting sqref="K9051:K9073">
    <cfRule type="colorScale" priority="2768">
      <colorScale>
        <cfvo type="min"/>
        <cfvo type="percentile" val="50"/>
        <cfvo type="max"/>
        <color rgb="FF63BE7B"/>
        <color rgb="FFFFEB84"/>
        <color rgb="FFF8696B"/>
      </colorScale>
    </cfRule>
  </conditionalFormatting>
  <conditionalFormatting sqref="K9050:K9073">
    <cfRule type="colorScale" priority="2767">
      <colorScale>
        <cfvo type="min"/>
        <cfvo type="percentile" val="50"/>
        <cfvo type="max"/>
        <color rgb="FF63BE7B"/>
        <color rgb="FFFFEB84"/>
        <color rgb="FFF8696B"/>
      </colorScale>
    </cfRule>
  </conditionalFormatting>
  <conditionalFormatting sqref="G9026:G9049">
    <cfRule type="cellIs" dxfId="1853" priority="2762" operator="between">
      <formula>49</formula>
      <formula>149</formula>
    </cfRule>
    <cfRule type="cellIs" dxfId="1852" priority="2765" operator="lessThan">
      <formula>49</formula>
    </cfRule>
    <cfRule type="cellIs" dxfId="1851" priority="2766" operator="greaterThanOrEqual">
      <formula>150</formula>
    </cfRule>
  </conditionalFormatting>
  <conditionalFormatting sqref="H9026:H9049">
    <cfRule type="cellIs" dxfId="1850" priority="2761" operator="between">
      <formula>0.8</formula>
      <formula>1.2</formula>
    </cfRule>
    <cfRule type="cellIs" dxfId="1849" priority="2763" operator="lessThan">
      <formula>0.8</formula>
    </cfRule>
    <cfRule type="cellIs" dxfId="1848" priority="2764" operator="greaterThanOrEqual">
      <formula>1.2</formula>
    </cfRule>
  </conditionalFormatting>
  <conditionalFormatting sqref="I9026:I9049">
    <cfRule type="colorScale" priority="2760">
      <colorScale>
        <cfvo type="min"/>
        <cfvo type="percentile" val="50"/>
        <cfvo type="max"/>
        <color rgb="FF63BE7B"/>
        <color rgb="FFFFEB84"/>
        <color rgb="FFF8696B"/>
      </colorScale>
    </cfRule>
  </conditionalFormatting>
  <conditionalFormatting sqref="K9027:K9049">
    <cfRule type="colorScale" priority="2759">
      <colorScale>
        <cfvo type="min"/>
        <cfvo type="percentile" val="50"/>
        <cfvo type="max"/>
        <color rgb="FF63BE7B"/>
        <color rgb="FFFFEB84"/>
        <color rgb="FFF8696B"/>
      </colorScale>
    </cfRule>
  </conditionalFormatting>
  <conditionalFormatting sqref="K9026:K9049">
    <cfRule type="colorScale" priority="2758">
      <colorScale>
        <cfvo type="min"/>
        <cfvo type="percentile" val="50"/>
        <cfvo type="max"/>
        <color rgb="FF63BE7B"/>
        <color rgb="FFFFEB84"/>
        <color rgb="FFF8696B"/>
      </colorScale>
    </cfRule>
  </conditionalFormatting>
  <conditionalFormatting sqref="G9002:G9025">
    <cfRule type="cellIs" dxfId="1847" priority="2753" operator="between">
      <formula>49</formula>
      <formula>149</formula>
    </cfRule>
    <cfRule type="cellIs" dxfId="1846" priority="2756" operator="lessThan">
      <formula>49</formula>
    </cfRule>
    <cfRule type="cellIs" dxfId="1845" priority="2757" operator="greaterThanOrEqual">
      <formula>150</formula>
    </cfRule>
  </conditionalFormatting>
  <conditionalFormatting sqref="H9002:H9025">
    <cfRule type="cellIs" dxfId="1844" priority="2752" operator="between">
      <formula>0.8</formula>
      <formula>1.2</formula>
    </cfRule>
    <cfRule type="cellIs" dxfId="1843" priority="2754" operator="lessThan">
      <formula>0.8</formula>
    </cfRule>
    <cfRule type="cellIs" dxfId="1842" priority="2755" operator="greaterThanOrEqual">
      <formula>1.2</formula>
    </cfRule>
  </conditionalFormatting>
  <conditionalFormatting sqref="I9002:I9025">
    <cfRule type="colorScale" priority="2751">
      <colorScale>
        <cfvo type="min"/>
        <cfvo type="percentile" val="50"/>
        <cfvo type="max"/>
        <color rgb="FF63BE7B"/>
        <color rgb="FFFFEB84"/>
        <color rgb="FFF8696B"/>
      </colorScale>
    </cfRule>
  </conditionalFormatting>
  <conditionalFormatting sqref="K9003:K9025">
    <cfRule type="colorScale" priority="2750">
      <colorScale>
        <cfvo type="min"/>
        <cfvo type="percentile" val="50"/>
        <cfvo type="max"/>
        <color rgb="FF63BE7B"/>
        <color rgb="FFFFEB84"/>
        <color rgb="FFF8696B"/>
      </colorScale>
    </cfRule>
  </conditionalFormatting>
  <conditionalFormatting sqref="K9002:K9025">
    <cfRule type="colorScale" priority="2749">
      <colorScale>
        <cfvo type="min"/>
        <cfvo type="percentile" val="50"/>
        <cfvo type="max"/>
        <color rgb="FF63BE7B"/>
        <color rgb="FFFFEB84"/>
        <color rgb="FFF8696B"/>
      </colorScale>
    </cfRule>
  </conditionalFormatting>
  <conditionalFormatting sqref="G8978:G9001">
    <cfRule type="cellIs" dxfId="1841" priority="2744" operator="between">
      <formula>49</formula>
      <formula>149</formula>
    </cfRule>
    <cfRule type="cellIs" dxfId="1840" priority="2747" operator="lessThan">
      <formula>49</formula>
    </cfRule>
    <cfRule type="cellIs" dxfId="1839" priority="2748" operator="greaterThanOrEqual">
      <formula>150</formula>
    </cfRule>
  </conditionalFormatting>
  <conditionalFormatting sqref="H8978:H9001">
    <cfRule type="cellIs" dxfId="1838" priority="2743" operator="between">
      <formula>0.8</formula>
      <formula>1.2</formula>
    </cfRule>
    <cfRule type="cellIs" dxfId="1837" priority="2745" operator="lessThan">
      <formula>0.8</formula>
    </cfRule>
    <cfRule type="cellIs" dxfId="1836" priority="2746" operator="greaterThanOrEqual">
      <formula>1.2</formula>
    </cfRule>
  </conditionalFormatting>
  <conditionalFormatting sqref="I8978:I9001">
    <cfRule type="colorScale" priority="2742">
      <colorScale>
        <cfvo type="min"/>
        <cfvo type="percentile" val="50"/>
        <cfvo type="max"/>
        <color rgb="FF63BE7B"/>
        <color rgb="FFFFEB84"/>
        <color rgb="FFF8696B"/>
      </colorScale>
    </cfRule>
  </conditionalFormatting>
  <conditionalFormatting sqref="K8979:K9001">
    <cfRule type="colorScale" priority="2741">
      <colorScale>
        <cfvo type="min"/>
        <cfvo type="percentile" val="50"/>
        <cfvo type="max"/>
        <color rgb="FF63BE7B"/>
        <color rgb="FFFFEB84"/>
        <color rgb="FFF8696B"/>
      </colorScale>
    </cfRule>
  </conditionalFormatting>
  <conditionalFormatting sqref="K8978:K9001">
    <cfRule type="colorScale" priority="2740">
      <colorScale>
        <cfvo type="min"/>
        <cfvo type="percentile" val="50"/>
        <cfvo type="max"/>
        <color rgb="FF63BE7B"/>
        <color rgb="FFFFEB84"/>
        <color rgb="FFF8696B"/>
      </colorScale>
    </cfRule>
  </conditionalFormatting>
  <conditionalFormatting sqref="G8954:G8977">
    <cfRule type="cellIs" dxfId="1835" priority="2735" operator="between">
      <formula>49</formula>
      <formula>149</formula>
    </cfRule>
    <cfRule type="cellIs" dxfId="1834" priority="2738" operator="lessThan">
      <formula>49</formula>
    </cfRule>
    <cfRule type="cellIs" dxfId="1833" priority="2739" operator="greaterThanOrEqual">
      <formula>150</formula>
    </cfRule>
  </conditionalFormatting>
  <conditionalFormatting sqref="H8954:H8977">
    <cfRule type="cellIs" dxfId="1832" priority="2734" operator="between">
      <formula>0.8</formula>
      <formula>1.2</formula>
    </cfRule>
    <cfRule type="cellIs" dxfId="1831" priority="2736" operator="lessThan">
      <formula>0.8</formula>
    </cfRule>
    <cfRule type="cellIs" dxfId="1830" priority="2737" operator="greaterThanOrEqual">
      <formula>1.2</formula>
    </cfRule>
  </conditionalFormatting>
  <conditionalFormatting sqref="I8954:I8977">
    <cfRule type="colorScale" priority="2733">
      <colorScale>
        <cfvo type="min"/>
        <cfvo type="percentile" val="50"/>
        <cfvo type="max"/>
        <color rgb="FF63BE7B"/>
        <color rgb="FFFFEB84"/>
        <color rgb="FFF8696B"/>
      </colorScale>
    </cfRule>
  </conditionalFormatting>
  <conditionalFormatting sqref="K8955:K8977">
    <cfRule type="colorScale" priority="2732">
      <colorScale>
        <cfvo type="min"/>
        <cfvo type="percentile" val="50"/>
        <cfvo type="max"/>
        <color rgb="FF63BE7B"/>
        <color rgb="FFFFEB84"/>
        <color rgb="FFF8696B"/>
      </colorScale>
    </cfRule>
  </conditionalFormatting>
  <conditionalFormatting sqref="K8954:K8977">
    <cfRule type="colorScale" priority="2731">
      <colorScale>
        <cfvo type="min"/>
        <cfvo type="percentile" val="50"/>
        <cfvo type="max"/>
        <color rgb="FF63BE7B"/>
        <color rgb="FFFFEB84"/>
        <color rgb="FFF8696B"/>
      </colorScale>
    </cfRule>
  </conditionalFormatting>
  <conditionalFormatting sqref="G8930:G8953">
    <cfRule type="cellIs" dxfId="1829" priority="2726" operator="between">
      <formula>49</formula>
      <formula>149</formula>
    </cfRule>
    <cfRule type="cellIs" dxfId="1828" priority="2729" operator="lessThan">
      <formula>49</formula>
    </cfRule>
    <cfRule type="cellIs" dxfId="1827" priority="2730" operator="greaterThanOrEqual">
      <formula>150</formula>
    </cfRule>
  </conditionalFormatting>
  <conditionalFormatting sqref="H8930:H8953">
    <cfRule type="cellIs" dxfId="1826" priority="2725" operator="between">
      <formula>0.8</formula>
      <formula>1.2</formula>
    </cfRule>
    <cfRule type="cellIs" dxfId="1825" priority="2727" operator="lessThan">
      <formula>0.8</formula>
    </cfRule>
    <cfRule type="cellIs" dxfId="1824" priority="2728" operator="greaterThanOrEqual">
      <formula>1.2</formula>
    </cfRule>
  </conditionalFormatting>
  <conditionalFormatting sqref="I8930:I8953">
    <cfRule type="colorScale" priority="2724">
      <colorScale>
        <cfvo type="min"/>
        <cfvo type="percentile" val="50"/>
        <cfvo type="max"/>
        <color rgb="FF63BE7B"/>
        <color rgb="FFFFEB84"/>
        <color rgb="FFF8696B"/>
      </colorScale>
    </cfRule>
  </conditionalFormatting>
  <conditionalFormatting sqref="K8931:K8953">
    <cfRule type="colorScale" priority="2723">
      <colorScale>
        <cfvo type="min"/>
        <cfvo type="percentile" val="50"/>
        <cfvo type="max"/>
        <color rgb="FF63BE7B"/>
        <color rgb="FFFFEB84"/>
        <color rgb="FFF8696B"/>
      </colorScale>
    </cfRule>
  </conditionalFormatting>
  <conditionalFormatting sqref="K8930:K8953">
    <cfRule type="colorScale" priority="2722">
      <colorScale>
        <cfvo type="min"/>
        <cfvo type="percentile" val="50"/>
        <cfvo type="max"/>
        <color rgb="FF63BE7B"/>
        <color rgb="FFFFEB84"/>
        <color rgb="FFF8696B"/>
      </colorScale>
    </cfRule>
  </conditionalFormatting>
  <conditionalFormatting sqref="G8906:G8929">
    <cfRule type="cellIs" dxfId="1823" priority="2717" operator="between">
      <formula>49</formula>
      <formula>149</formula>
    </cfRule>
    <cfRule type="cellIs" dxfId="1822" priority="2720" operator="lessThan">
      <formula>49</formula>
    </cfRule>
    <cfRule type="cellIs" dxfId="1821" priority="2721" operator="greaterThanOrEqual">
      <formula>150</formula>
    </cfRule>
  </conditionalFormatting>
  <conditionalFormatting sqref="H8906:H8929">
    <cfRule type="cellIs" dxfId="1820" priority="2716" operator="between">
      <formula>0.8</formula>
      <formula>1.2</formula>
    </cfRule>
    <cfRule type="cellIs" dxfId="1819" priority="2718" operator="lessThan">
      <formula>0.8</formula>
    </cfRule>
    <cfRule type="cellIs" dxfId="1818" priority="2719" operator="greaterThanOrEqual">
      <formula>1.2</formula>
    </cfRule>
  </conditionalFormatting>
  <conditionalFormatting sqref="I8906:I8929">
    <cfRule type="colorScale" priority="2715">
      <colorScale>
        <cfvo type="min"/>
        <cfvo type="percentile" val="50"/>
        <cfvo type="max"/>
        <color rgb="FF63BE7B"/>
        <color rgb="FFFFEB84"/>
        <color rgb="FFF8696B"/>
      </colorScale>
    </cfRule>
  </conditionalFormatting>
  <conditionalFormatting sqref="K8907:K8929">
    <cfRule type="colorScale" priority="2714">
      <colorScale>
        <cfvo type="min"/>
        <cfvo type="percentile" val="50"/>
        <cfvo type="max"/>
        <color rgb="FF63BE7B"/>
        <color rgb="FFFFEB84"/>
        <color rgb="FFF8696B"/>
      </colorScale>
    </cfRule>
  </conditionalFormatting>
  <conditionalFormatting sqref="K8906:K8929">
    <cfRule type="colorScale" priority="2713">
      <colorScale>
        <cfvo type="min"/>
        <cfvo type="percentile" val="50"/>
        <cfvo type="max"/>
        <color rgb="FF63BE7B"/>
        <color rgb="FFFFEB84"/>
        <color rgb="FFF8696B"/>
      </colorScale>
    </cfRule>
  </conditionalFormatting>
  <conditionalFormatting sqref="G8882:G8905">
    <cfRule type="cellIs" dxfId="1817" priority="2708" operator="between">
      <formula>49</formula>
      <formula>149</formula>
    </cfRule>
    <cfRule type="cellIs" dxfId="1816" priority="2711" operator="lessThan">
      <formula>49</formula>
    </cfRule>
    <cfRule type="cellIs" dxfId="1815" priority="2712" operator="greaterThanOrEqual">
      <formula>150</formula>
    </cfRule>
  </conditionalFormatting>
  <conditionalFormatting sqref="H8882:H8905">
    <cfRule type="cellIs" dxfId="1814" priority="2707" operator="between">
      <formula>0.8</formula>
      <formula>1.2</formula>
    </cfRule>
    <cfRule type="cellIs" dxfId="1813" priority="2709" operator="lessThan">
      <formula>0.8</formula>
    </cfRule>
    <cfRule type="cellIs" dxfId="1812" priority="2710" operator="greaterThanOrEqual">
      <formula>1.2</formula>
    </cfRule>
  </conditionalFormatting>
  <conditionalFormatting sqref="I8882:I8905">
    <cfRule type="colorScale" priority="2706">
      <colorScale>
        <cfvo type="min"/>
        <cfvo type="percentile" val="50"/>
        <cfvo type="max"/>
        <color rgb="FF63BE7B"/>
        <color rgb="FFFFEB84"/>
        <color rgb="FFF8696B"/>
      </colorScale>
    </cfRule>
  </conditionalFormatting>
  <conditionalFormatting sqref="K8883:K8905">
    <cfRule type="colorScale" priority="2705">
      <colorScale>
        <cfvo type="min"/>
        <cfvo type="percentile" val="50"/>
        <cfvo type="max"/>
        <color rgb="FF63BE7B"/>
        <color rgb="FFFFEB84"/>
        <color rgb="FFF8696B"/>
      </colorScale>
    </cfRule>
  </conditionalFormatting>
  <conditionalFormatting sqref="K8882:K8905">
    <cfRule type="colorScale" priority="2704">
      <colorScale>
        <cfvo type="min"/>
        <cfvo type="percentile" val="50"/>
        <cfvo type="max"/>
        <color rgb="FF63BE7B"/>
        <color rgb="FFFFEB84"/>
        <color rgb="FFF8696B"/>
      </colorScale>
    </cfRule>
  </conditionalFormatting>
  <conditionalFormatting sqref="G8858:G8881">
    <cfRule type="cellIs" dxfId="1811" priority="2699" operator="between">
      <formula>49</formula>
      <formula>149</formula>
    </cfRule>
    <cfRule type="cellIs" dxfId="1810" priority="2702" operator="lessThan">
      <formula>49</formula>
    </cfRule>
    <cfRule type="cellIs" dxfId="1809" priority="2703" operator="greaterThanOrEqual">
      <formula>150</formula>
    </cfRule>
  </conditionalFormatting>
  <conditionalFormatting sqref="H8858:H8881">
    <cfRule type="cellIs" dxfId="1808" priority="2698" operator="between">
      <formula>0.8</formula>
      <formula>1.2</formula>
    </cfRule>
    <cfRule type="cellIs" dxfId="1807" priority="2700" operator="lessThan">
      <formula>0.8</formula>
    </cfRule>
    <cfRule type="cellIs" dxfId="1806" priority="2701" operator="greaterThanOrEqual">
      <formula>1.2</formula>
    </cfRule>
  </conditionalFormatting>
  <conditionalFormatting sqref="I8858:I8881">
    <cfRule type="colorScale" priority="2697">
      <colorScale>
        <cfvo type="min"/>
        <cfvo type="percentile" val="50"/>
        <cfvo type="max"/>
        <color rgb="FF63BE7B"/>
        <color rgb="FFFFEB84"/>
        <color rgb="FFF8696B"/>
      </colorScale>
    </cfRule>
  </conditionalFormatting>
  <conditionalFormatting sqref="K8859:K8881">
    <cfRule type="colorScale" priority="2696">
      <colorScale>
        <cfvo type="min"/>
        <cfvo type="percentile" val="50"/>
        <cfvo type="max"/>
        <color rgb="FF63BE7B"/>
        <color rgb="FFFFEB84"/>
        <color rgb="FFF8696B"/>
      </colorScale>
    </cfRule>
  </conditionalFormatting>
  <conditionalFormatting sqref="K8858:K8881">
    <cfRule type="colorScale" priority="2695">
      <colorScale>
        <cfvo type="min"/>
        <cfvo type="percentile" val="50"/>
        <cfvo type="max"/>
        <color rgb="FF63BE7B"/>
        <color rgb="FFFFEB84"/>
        <color rgb="FFF8696B"/>
      </colorScale>
    </cfRule>
  </conditionalFormatting>
  <conditionalFormatting sqref="G8834:G8857">
    <cfRule type="cellIs" dxfId="1805" priority="2690" operator="between">
      <formula>49</formula>
      <formula>149</formula>
    </cfRule>
    <cfRule type="cellIs" dxfId="1804" priority="2693" operator="lessThan">
      <formula>49</formula>
    </cfRule>
    <cfRule type="cellIs" dxfId="1803" priority="2694" operator="greaterThanOrEqual">
      <formula>150</formula>
    </cfRule>
  </conditionalFormatting>
  <conditionalFormatting sqref="H8834:H8857">
    <cfRule type="cellIs" dxfId="1802" priority="2689" operator="between">
      <formula>0.8</formula>
      <formula>1.2</formula>
    </cfRule>
    <cfRule type="cellIs" dxfId="1801" priority="2691" operator="lessThan">
      <formula>0.8</formula>
    </cfRule>
    <cfRule type="cellIs" dxfId="1800" priority="2692" operator="greaterThanOrEqual">
      <formula>1.2</formula>
    </cfRule>
  </conditionalFormatting>
  <conditionalFormatting sqref="I8834:I8857">
    <cfRule type="colorScale" priority="2688">
      <colorScale>
        <cfvo type="min"/>
        <cfvo type="percentile" val="50"/>
        <cfvo type="max"/>
        <color rgb="FF63BE7B"/>
        <color rgb="FFFFEB84"/>
        <color rgb="FFF8696B"/>
      </colorScale>
    </cfRule>
  </conditionalFormatting>
  <conditionalFormatting sqref="K8835:K8857">
    <cfRule type="colorScale" priority="2687">
      <colorScale>
        <cfvo type="min"/>
        <cfvo type="percentile" val="50"/>
        <cfvo type="max"/>
        <color rgb="FF63BE7B"/>
        <color rgb="FFFFEB84"/>
        <color rgb="FFF8696B"/>
      </colorScale>
    </cfRule>
  </conditionalFormatting>
  <conditionalFormatting sqref="K8834:K8857">
    <cfRule type="colorScale" priority="2686">
      <colorScale>
        <cfvo type="min"/>
        <cfvo type="percentile" val="50"/>
        <cfvo type="max"/>
        <color rgb="FF63BE7B"/>
        <color rgb="FFFFEB84"/>
        <color rgb="FFF8696B"/>
      </colorScale>
    </cfRule>
  </conditionalFormatting>
  <conditionalFormatting sqref="G8810:G8833">
    <cfRule type="cellIs" dxfId="1799" priority="2681" operator="between">
      <formula>49</formula>
      <formula>149</formula>
    </cfRule>
    <cfRule type="cellIs" dxfId="1798" priority="2684" operator="lessThan">
      <formula>49</formula>
    </cfRule>
    <cfRule type="cellIs" dxfId="1797" priority="2685" operator="greaterThanOrEqual">
      <formula>150</formula>
    </cfRule>
  </conditionalFormatting>
  <conditionalFormatting sqref="H8810:H8833">
    <cfRule type="cellIs" dxfId="1796" priority="2680" operator="between">
      <formula>0.8</formula>
      <formula>1.2</formula>
    </cfRule>
    <cfRule type="cellIs" dxfId="1795" priority="2682" operator="lessThan">
      <formula>0.8</formula>
    </cfRule>
    <cfRule type="cellIs" dxfId="1794" priority="2683" operator="greaterThanOrEqual">
      <formula>1.2</formula>
    </cfRule>
  </conditionalFormatting>
  <conditionalFormatting sqref="I8810:I8833">
    <cfRule type="colorScale" priority="2679">
      <colorScale>
        <cfvo type="min"/>
        <cfvo type="percentile" val="50"/>
        <cfvo type="max"/>
        <color rgb="FF63BE7B"/>
        <color rgb="FFFFEB84"/>
        <color rgb="FFF8696B"/>
      </colorScale>
    </cfRule>
  </conditionalFormatting>
  <conditionalFormatting sqref="K8811:K8833">
    <cfRule type="colorScale" priority="2678">
      <colorScale>
        <cfvo type="min"/>
        <cfvo type="percentile" val="50"/>
        <cfvo type="max"/>
        <color rgb="FF63BE7B"/>
        <color rgb="FFFFEB84"/>
        <color rgb="FFF8696B"/>
      </colorScale>
    </cfRule>
  </conditionalFormatting>
  <conditionalFormatting sqref="K8810:K8833">
    <cfRule type="colorScale" priority="2677">
      <colorScale>
        <cfvo type="min"/>
        <cfvo type="percentile" val="50"/>
        <cfvo type="max"/>
        <color rgb="FF63BE7B"/>
        <color rgb="FFFFEB84"/>
        <color rgb="FFF8696B"/>
      </colorScale>
    </cfRule>
  </conditionalFormatting>
  <conditionalFormatting sqref="G8786:G8809">
    <cfRule type="cellIs" dxfId="1793" priority="2672" operator="between">
      <formula>49</formula>
      <formula>149</formula>
    </cfRule>
    <cfRule type="cellIs" dxfId="1792" priority="2675" operator="lessThan">
      <formula>49</formula>
    </cfRule>
    <cfRule type="cellIs" dxfId="1791" priority="2676" operator="greaterThanOrEqual">
      <formula>150</formula>
    </cfRule>
  </conditionalFormatting>
  <conditionalFormatting sqref="H8786:H8809">
    <cfRule type="cellIs" dxfId="1790" priority="2671" operator="between">
      <formula>0.8</formula>
      <formula>1.2</formula>
    </cfRule>
    <cfRule type="cellIs" dxfId="1789" priority="2673" operator="lessThan">
      <formula>0.8</formula>
    </cfRule>
    <cfRule type="cellIs" dxfId="1788" priority="2674" operator="greaterThanOrEqual">
      <formula>1.2</formula>
    </cfRule>
  </conditionalFormatting>
  <conditionalFormatting sqref="I8786:I8809">
    <cfRule type="colorScale" priority="2670">
      <colorScale>
        <cfvo type="min"/>
        <cfvo type="percentile" val="50"/>
        <cfvo type="max"/>
        <color rgb="FF63BE7B"/>
        <color rgb="FFFFEB84"/>
        <color rgb="FFF8696B"/>
      </colorScale>
    </cfRule>
  </conditionalFormatting>
  <conditionalFormatting sqref="K8787:K8809">
    <cfRule type="colorScale" priority="2669">
      <colorScale>
        <cfvo type="min"/>
        <cfvo type="percentile" val="50"/>
        <cfvo type="max"/>
        <color rgb="FF63BE7B"/>
        <color rgb="FFFFEB84"/>
        <color rgb="FFF8696B"/>
      </colorScale>
    </cfRule>
  </conditionalFormatting>
  <conditionalFormatting sqref="K8786:K8809">
    <cfRule type="colorScale" priority="2668">
      <colorScale>
        <cfvo type="min"/>
        <cfvo type="percentile" val="50"/>
        <cfvo type="max"/>
        <color rgb="FF63BE7B"/>
        <color rgb="FFFFEB84"/>
        <color rgb="FFF8696B"/>
      </colorScale>
    </cfRule>
  </conditionalFormatting>
  <conditionalFormatting sqref="G8762:G8785">
    <cfRule type="cellIs" dxfId="1787" priority="2663" operator="between">
      <formula>49</formula>
      <formula>149</formula>
    </cfRule>
    <cfRule type="cellIs" dxfId="1786" priority="2666" operator="lessThan">
      <formula>49</formula>
    </cfRule>
    <cfRule type="cellIs" dxfId="1785" priority="2667" operator="greaterThanOrEqual">
      <formula>150</formula>
    </cfRule>
  </conditionalFormatting>
  <conditionalFormatting sqref="H8762:H8785">
    <cfRule type="cellIs" dxfId="1784" priority="2662" operator="between">
      <formula>0.8</formula>
      <formula>1.2</formula>
    </cfRule>
    <cfRule type="cellIs" dxfId="1783" priority="2664" operator="lessThan">
      <formula>0.8</formula>
    </cfRule>
    <cfRule type="cellIs" dxfId="1782" priority="2665" operator="greaterThanOrEqual">
      <formula>1.2</formula>
    </cfRule>
  </conditionalFormatting>
  <conditionalFormatting sqref="I8762:I8785">
    <cfRule type="colorScale" priority="2661">
      <colorScale>
        <cfvo type="min"/>
        <cfvo type="percentile" val="50"/>
        <cfvo type="max"/>
        <color rgb="FF63BE7B"/>
        <color rgb="FFFFEB84"/>
        <color rgb="FFF8696B"/>
      </colorScale>
    </cfRule>
  </conditionalFormatting>
  <conditionalFormatting sqref="K8763:K8785">
    <cfRule type="colorScale" priority="2660">
      <colorScale>
        <cfvo type="min"/>
        <cfvo type="percentile" val="50"/>
        <cfvo type="max"/>
        <color rgb="FF63BE7B"/>
        <color rgb="FFFFEB84"/>
        <color rgb="FFF8696B"/>
      </colorScale>
    </cfRule>
  </conditionalFormatting>
  <conditionalFormatting sqref="K8762:K8785">
    <cfRule type="colorScale" priority="2659">
      <colorScale>
        <cfvo type="min"/>
        <cfvo type="percentile" val="50"/>
        <cfvo type="max"/>
        <color rgb="FF63BE7B"/>
        <color rgb="FFFFEB84"/>
        <color rgb="FFF8696B"/>
      </colorScale>
    </cfRule>
  </conditionalFormatting>
  <conditionalFormatting sqref="G8738:G8761">
    <cfRule type="cellIs" dxfId="1781" priority="2654" operator="between">
      <formula>49</formula>
      <formula>149</formula>
    </cfRule>
    <cfRule type="cellIs" dxfId="1780" priority="2657" operator="lessThan">
      <formula>49</formula>
    </cfRule>
    <cfRule type="cellIs" dxfId="1779" priority="2658" operator="greaterThanOrEqual">
      <formula>150</formula>
    </cfRule>
  </conditionalFormatting>
  <conditionalFormatting sqref="H8738:H8761">
    <cfRule type="cellIs" dxfId="1778" priority="2653" operator="between">
      <formula>0.8</formula>
      <formula>1.2</formula>
    </cfRule>
    <cfRule type="cellIs" dxfId="1777" priority="2655" operator="lessThan">
      <formula>0.8</formula>
    </cfRule>
    <cfRule type="cellIs" dxfId="1776" priority="2656" operator="greaterThanOrEqual">
      <formula>1.2</formula>
    </cfRule>
  </conditionalFormatting>
  <conditionalFormatting sqref="I8738:I8761">
    <cfRule type="colorScale" priority="2652">
      <colorScale>
        <cfvo type="min"/>
        <cfvo type="percentile" val="50"/>
        <cfvo type="max"/>
        <color rgb="FF63BE7B"/>
        <color rgb="FFFFEB84"/>
        <color rgb="FFF8696B"/>
      </colorScale>
    </cfRule>
  </conditionalFormatting>
  <conditionalFormatting sqref="K8739:K8761">
    <cfRule type="colorScale" priority="2651">
      <colorScale>
        <cfvo type="min"/>
        <cfvo type="percentile" val="50"/>
        <cfvo type="max"/>
        <color rgb="FF63BE7B"/>
        <color rgb="FFFFEB84"/>
        <color rgb="FFF8696B"/>
      </colorScale>
    </cfRule>
  </conditionalFormatting>
  <conditionalFormatting sqref="K8738:K8761">
    <cfRule type="colorScale" priority="2650">
      <colorScale>
        <cfvo type="min"/>
        <cfvo type="percentile" val="50"/>
        <cfvo type="max"/>
        <color rgb="FF63BE7B"/>
        <color rgb="FFFFEB84"/>
        <color rgb="FFF8696B"/>
      </colorScale>
    </cfRule>
  </conditionalFormatting>
  <conditionalFormatting sqref="G8714:G8737">
    <cfRule type="cellIs" dxfId="1775" priority="2645" operator="between">
      <formula>49</formula>
      <formula>149</formula>
    </cfRule>
    <cfRule type="cellIs" dxfId="1774" priority="2648" operator="lessThan">
      <formula>49</formula>
    </cfRule>
    <cfRule type="cellIs" dxfId="1773" priority="2649" operator="greaterThanOrEqual">
      <formula>150</formula>
    </cfRule>
  </conditionalFormatting>
  <conditionalFormatting sqref="H8714:H8737">
    <cfRule type="cellIs" dxfId="1772" priority="2644" operator="between">
      <formula>0.8</formula>
      <formula>1.2</formula>
    </cfRule>
    <cfRule type="cellIs" dxfId="1771" priority="2646" operator="lessThan">
      <formula>0.8</formula>
    </cfRule>
    <cfRule type="cellIs" dxfId="1770" priority="2647" operator="greaterThanOrEqual">
      <formula>1.2</formula>
    </cfRule>
  </conditionalFormatting>
  <conditionalFormatting sqref="I8714:I8737">
    <cfRule type="colorScale" priority="2643">
      <colorScale>
        <cfvo type="min"/>
        <cfvo type="percentile" val="50"/>
        <cfvo type="max"/>
        <color rgb="FF63BE7B"/>
        <color rgb="FFFFEB84"/>
        <color rgb="FFF8696B"/>
      </colorScale>
    </cfRule>
  </conditionalFormatting>
  <conditionalFormatting sqref="K8715:K8737">
    <cfRule type="colorScale" priority="2642">
      <colorScale>
        <cfvo type="min"/>
        <cfvo type="percentile" val="50"/>
        <cfvo type="max"/>
        <color rgb="FF63BE7B"/>
        <color rgb="FFFFEB84"/>
        <color rgb="FFF8696B"/>
      </colorScale>
    </cfRule>
  </conditionalFormatting>
  <conditionalFormatting sqref="K8714:K8737">
    <cfRule type="colorScale" priority="2641">
      <colorScale>
        <cfvo type="min"/>
        <cfvo type="percentile" val="50"/>
        <cfvo type="max"/>
        <color rgb="FF63BE7B"/>
        <color rgb="FFFFEB84"/>
        <color rgb="FFF8696B"/>
      </colorScale>
    </cfRule>
  </conditionalFormatting>
  <conditionalFormatting sqref="G8690:G8713">
    <cfRule type="cellIs" dxfId="1769" priority="2636" operator="between">
      <formula>49</formula>
      <formula>149</formula>
    </cfRule>
    <cfRule type="cellIs" dxfId="1768" priority="2639" operator="lessThan">
      <formula>49</formula>
    </cfRule>
    <cfRule type="cellIs" dxfId="1767" priority="2640" operator="greaterThanOrEqual">
      <formula>150</formula>
    </cfRule>
  </conditionalFormatting>
  <conditionalFormatting sqref="H8690:H8713">
    <cfRule type="cellIs" dxfId="1766" priority="2635" operator="between">
      <formula>0.8</formula>
      <formula>1.2</formula>
    </cfRule>
    <cfRule type="cellIs" dxfId="1765" priority="2637" operator="lessThan">
      <formula>0.8</formula>
    </cfRule>
    <cfRule type="cellIs" dxfId="1764" priority="2638" operator="greaterThanOrEqual">
      <formula>1.2</formula>
    </cfRule>
  </conditionalFormatting>
  <conditionalFormatting sqref="I8690:I8713">
    <cfRule type="colorScale" priority="2634">
      <colorScale>
        <cfvo type="min"/>
        <cfvo type="percentile" val="50"/>
        <cfvo type="max"/>
        <color rgb="FF63BE7B"/>
        <color rgb="FFFFEB84"/>
        <color rgb="FFF8696B"/>
      </colorScale>
    </cfRule>
  </conditionalFormatting>
  <conditionalFormatting sqref="K8691:K8713">
    <cfRule type="colorScale" priority="2633">
      <colorScale>
        <cfvo type="min"/>
        <cfvo type="percentile" val="50"/>
        <cfvo type="max"/>
        <color rgb="FF63BE7B"/>
        <color rgb="FFFFEB84"/>
        <color rgb="FFF8696B"/>
      </colorScale>
    </cfRule>
  </conditionalFormatting>
  <conditionalFormatting sqref="K8690:K8713">
    <cfRule type="colorScale" priority="2632">
      <colorScale>
        <cfvo type="min"/>
        <cfvo type="percentile" val="50"/>
        <cfvo type="max"/>
        <color rgb="FF63BE7B"/>
        <color rgb="FFFFEB84"/>
        <color rgb="FFF8696B"/>
      </colorScale>
    </cfRule>
  </conditionalFormatting>
  <conditionalFormatting sqref="G8666:G8689">
    <cfRule type="cellIs" dxfId="1763" priority="2627" operator="between">
      <formula>49</formula>
      <formula>149</formula>
    </cfRule>
    <cfRule type="cellIs" dxfId="1762" priority="2630" operator="lessThan">
      <formula>49</formula>
    </cfRule>
    <cfRule type="cellIs" dxfId="1761" priority="2631" operator="greaterThanOrEqual">
      <formula>150</formula>
    </cfRule>
  </conditionalFormatting>
  <conditionalFormatting sqref="H8666:H8689">
    <cfRule type="cellIs" dxfId="1760" priority="2626" operator="between">
      <formula>0.8</formula>
      <formula>1.2</formula>
    </cfRule>
    <cfRule type="cellIs" dxfId="1759" priority="2628" operator="lessThan">
      <formula>0.8</formula>
    </cfRule>
    <cfRule type="cellIs" dxfId="1758" priority="2629" operator="greaterThanOrEqual">
      <formula>1.2</formula>
    </cfRule>
  </conditionalFormatting>
  <conditionalFormatting sqref="I8666:I8689">
    <cfRule type="colorScale" priority="2625">
      <colorScale>
        <cfvo type="min"/>
        <cfvo type="percentile" val="50"/>
        <cfvo type="max"/>
        <color rgb="FF63BE7B"/>
        <color rgb="FFFFEB84"/>
        <color rgb="FFF8696B"/>
      </colorScale>
    </cfRule>
  </conditionalFormatting>
  <conditionalFormatting sqref="K8667:K8689">
    <cfRule type="colorScale" priority="2624">
      <colorScale>
        <cfvo type="min"/>
        <cfvo type="percentile" val="50"/>
        <cfvo type="max"/>
        <color rgb="FF63BE7B"/>
        <color rgb="FFFFEB84"/>
        <color rgb="FFF8696B"/>
      </colorScale>
    </cfRule>
  </conditionalFormatting>
  <conditionalFormatting sqref="K8666:K8689">
    <cfRule type="colorScale" priority="2623">
      <colorScale>
        <cfvo type="min"/>
        <cfvo type="percentile" val="50"/>
        <cfvo type="max"/>
        <color rgb="FF63BE7B"/>
        <color rgb="FFFFEB84"/>
        <color rgb="FFF8696B"/>
      </colorScale>
    </cfRule>
  </conditionalFormatting>
  <conditionalFormatting sqref="G8642:G8665">
    <cfRule type="cellIs" dxfId="1757" priority="2618" operator="between">
      <formula>49</formula>
      <formula>149</formula>
    </cfRule>
    <cfRule type="cellIs" dxfId="1756" priority="2621" operator="lessThan">
      <formula>49</formula>
    </cfRule>
    <cfRule type="cellIs" dxfId="1755" priority="2622" operator="greaterThanOrEqual">
      <formula>150</formula>
    </cfRule>
  </conditionalFormatting>
  <conditionalFormatting sqref="H8642:H8665">
    <cfRule type="cellIs" dxfId="1754" priority="2617" operator="between">
      <formula>0.8</formula>
      <formula>1.2</formula>
    </cfRule>
    <cfRule type="cellIs" dxfId="1753" priority="2619" operator="lessThan">
      <formula>0.8</formula>
    </cfRule>
    <cfRule type="cellIs" dxfId="1752" priority="2620" operator="greaterThanOrEqual">
      <formula>1.2</formula>
    </cfRule>
  </conditionalFormatting>
  <conditionalFormatting sqref="I8642:I8665">
    <cfRule type="colorScale" priority="2616">
      <colorScale>
        <cfvo type="min"/>
        <cfvo type="percentile" val="50"/>
        <cfvo type="max"/>
        <color rgb="FF63BE7B"/>
        <color rgb="FFFFEB84"/>
        <color rgb="FFF8696B"/>
      </colorScale>
    </cfRule>
  </conditionalFormatting>
  <conditionalFormatting sqref="K8643:K8665">
    <cfRule type="colorScale" priority="2615">
      <colorScale>
        <cfvo type="min"/>
        <cfvo type="percentile" val="50"/>
        <cfvo type="max"/>
        <color rgb="FF63BE7B"/>
        <color rgb="FFFFEB84"/>
        <color rgb="FFF8696B"/>
      </colorScale>
    </cfRule>
  </conditionalFormatting>
  <conditionalFormatting sqref="K8642:K8665">
    <cfRule type="colorScale" priority="2614">
      <colorScale>
        <cfvo type="min"/>
        <cfvo type="percentile" val="50"/>
        <cfvo type="max"/>
        <color rgb="FF63BE7B"/>
        <color rgb="FFFFEB84"/>
        <color rgb="FFF8696B"/>
      </colorScale>
    </cfRule>
  </conditionalFormatting>
  <conditionalFormatting sqref="G8618:G8641">
    <cfRule type="cellIs" dxfId="1751" priority="2609" operator="between">
      <formula>49</formula>
      <formula>149</formula>
    </cfRule>
    <cfRule type="cellIs" dxfId="1750" priority="2612" operator="lessThan">
      <formula>49</formula>
    </cfRule>
    <cfRule type="cellIs" dxfId="1749" priority="2613" operator="greaterThanOrEqual">
      <formula>150</formula>
    </cfRule>
  </conditionalFormatting>
  <conditionalFormatting sqref="H8618:H8641">
    <cfRule type="cellIs" dxfId="1748" priority="2608" operator="between">
      <formula>0.8</formula>
      <formula>1.2</formula>
    </cfRule>
    <cfRule type="cellIs" dxfId="1747" priority="2610" operator="lessThan">
      <formula>0.8</formula>
    </cfRule>
    <cfRule type="cellIs" dxfId="1746" priority="2611" operator="greaterThanOrEqual">
      <formula>1.2</formula>
    </cfRule>
  </conditionalFormatting>
  <conditionalFormatting sqref="I8618:I8641">
    <cfRule type="colorScale" priority="2607">
      <colorScale>
        <cfvo type="min"/>
        <cfvo type="percentile" val="50"/>
        <cfvo type="max"/>
        <color rgb="FF63BE7B"/>
        <color rgb="FFFFEB84"/>
        <color rgb="FFF8696B"/>
      </colorScale>
    </cfRule>
  </conditionalFormatting>
  <conditionalFormatting sqref="K8619:K8641">
    <cfRule type="colorScale" priority="2606">
      <colorScale>
        <cfvo type="min"/>
        <cfvo type="percentile" val="50"/>
        <cfvo type="max"/>
        <color rgb="FF63BE7B"/>
        <color rgb="FFFFEB84"/>
        <color rgb="FFF8696B"/>
      </colorScale>
    </cfRule>
  </conditionalFormatting>
  <conditionalFormatting sqref="K8618:K8641">
    <cfRule type="colorScale" priority="2605">
      <colorScale>
        <cfvo type="min"/>
        <cfvo type="percentile" val="50"/>
        <cfvo type="max"/>
        <color rgb="FF63BE7B"/>
        <color rgb="FFFFEB84"/>
        <color rgb="FFF8696B"/>
      </colorScale>
    </cfRule>
  </conditionalFormatting>
  <conditionalFormatting sqref="G8594:G8617">
    <cfRule type="cellIs" dxfId="1745" priority="2600" operator="between">
      <formula>49</formula>
      <formula>149</formula>
    </cfRule>
    <cfRule type="cellIs" dxfId="1744" priority="2603" operator="lessThan">
      <formula>49</formula>
    </cfRule>
    <cfRule type="cellIs" dxfId="1743" priority="2604" operator="greaterThanOrEqual">
      <formula>150</formula>
    </cfRule>
  </conditionalFormatting>
  <conditionalFormatting sqref="H8594:H8617">
    <cfRule type="cellIs" dxfId="1742" priority="2599" operator="between">
      <formula>0.8</formula>
      <formula>1.2</formula>
    </cfRule>
    <cfRule type="cellIs" dxfId="1741" priority="2601" operator="lessThan">
      <formula>0.8</formula>
    </cfRule>
    <cfRule type="cellIs" dxfId="1740" priority="2602" operator="greaterThanOrEqual">
      <formula>1.2</formula>
    </cfRule>
  </conditionalFormatting>
  <conditionalFormatting sqref="I8594:I8617">
    <cfRule type="colorScale" priority="2598">
      <colorScale>
        <cfvo type="min"/>
        <cfvo type="percentile" val="50"/>
        <cfvo type="max"/>
        <color rgb="FF63BE7B"/>
        <color rgb="FFFFEB84"/>
        <color rgb="FFF8696B"/>
      </colorScale>
    </cfRule>
  </conditionalFormatting>
  <conditionalFormatting sqref="K8595:K8617">
    <cfRule type="colorScale" priority="2597">
      <colorScale>
        <cfvo type="min"/>
        <cfvo type="percentile" val="50"/>
        <cfvo type="max"/>
        <color rgb="FF63BE7B"/>
        <color rgb="FFFFEB84"/>
        <color rgb="FFF8696B"/>
      </colorScale>
    </cfRule>
  </conditionalFormatting>
  <conditionalFormatting sqref="K8594:K8617">
    <cfRule type="colorScale" priority="2596">
      <colorScale>
        <cfvo type="min"/>
        <cfvo type="percentile" val="50"/>
        <cfvo type="max"/>
        <color rgb="FF63BE7B"/>
        <color rgb="FFFFEB84"/>
        <color rgb="FFF8696B"/>
      </colorScale>
    </cfRule>
  </conditionalFormatting>
  <conditionalFormatting sqref="G8570:G8593">
    <cfRule type="cellIs" dxfId="1739" priority="2591" operator="between">
      <formula>49</formula>
      <formula>149</formula>
    </cfRule>
    <cfRule type="cellIs" dxfId="1738" priority="2594" operator="lessThan">
      <formula>49</formula>
    </cfRule>
    <cfRule type="cellIs" dxfId="1737" priority="2595" operator="greaterThanOrEqual">
      <formula>150</formula>
    </cfRule>
  </conditionalFormatting>
  <conditionalFormatting sqref="H8570:H8593">
    <cfRule type="cellIs" dxfId="1736" priority="2590" operator="between">
      <formula>0.8</formula>
      <formula>1.2</formula>
    </cfRule>
    <cfRule type="cellIs" dxfId="1735" priority="2592" operator="lessThan">
      <formula>0.8</formula>
    </cfRule>
    <cfRule type="cellIs" dxfId="1734" priority="2593" operator="greaterThanOrEqual">
      <formula>1.2</formula>
    </cfRule>
  </conditionalFormatting>
  <conditionalFormatting sqref="I8570:I8593">
    <cfRule type="colorScale" priority="2589">
      <colorScale>
        <cfvo type="min"/>
        <cfvo type="percentile" val="50"/>
        <cfvo type="max"/>
        <color rgb="FF63BE7B"/>
        <color rgb="FFFFEB84"/>
        <color rgb="FFF8696B"/>
      </colorScale>
    </cfRule>
  </conditionalFormatting>
  <conditionalFormatting sqref="K8571:K8593">
    <cfRule type="colorScale" priority="2588">
      <colorScale>
        <cfvo type="min"/>
        <cfvo type="percentile" val="50"/>
        <cfvo type="max"/>
        <color rgb="FF63BE7B"/>
        <color rgb="FFFFEB84"/>
        <color rgb="FFF8696B"/>
      </colorScale>
    </cfRule>
  </conditionalFormatting>
  <conditionalFormatting sqref="K8570:K8593">
    <cfRule type="colorScale" priority="2587">
      <colorScale>
        <cfvo type="min"/>
        <cfvo type="percentile" val="50"/>
        <cfvo type="max"/>
        <color rgb="FF63BE7B"/>
        <color rgb="FFFFEB84"/>
        <color rgb="FFF8696B"/>
      </colorScale>
    </cfRule>
  </conditionalFormatting>
  <conditionalFormatting sqref="G8546:G8569">
    <cfRule type="cellIs" dxfId="1733" priority="2582" operator="between">
      <formula>49</formula>
      <formula>149</formula>
    </cfRule>
    <cfRule type="cellIs" dxfId="1732" priority="2585" operator="lessThan">
      <formula>49</formula>
    </cfRule>
    <cfRule type="cellIs" dxfId="1731" priority="2586" operator="greaterThanOrEqual">
      <formula>150</formula>
    </cfRule>
  </conditionalFormatting>
  <conditionalFormatting sqref="H8546:H8569">
    <cfRule type="cellIs" dxfId="1730" priority="2581" operator="between">
      <formula>0.8</formula>
      <formula>1.2</formula>
    </cfRule>
    <cfRule type="cellIs" dxfId="1729" priority="2583" operator="lessThan">
      <formula>0.8</formula>
    </cfRule>
    <cfRule type="cellIs" dxfId="1728" priority="2584" operator="greaterThanOrEqual">
      <formula>1.2</formula>
    </cfRule>
  </conditionalFormatting>
  <conditionalFormatting sqref="I8546:I8569">
    <cfRule type="colorScale" priority="2580">
      <colorScale>
        <cfvo type="min"/>
        <cfvo type="percentile" val="50"/>
        <cfvo type="max"/>
        <color rgb="FF63BE7B"/>
        <color rgb="FFFFEB84"/>
        <color rgb="FFF8696B"/>
      </colorScale>
    </cfRule>
  </conditionalFormatting>
  <conditionalFormatting sqref="K8547:K8569">
    <cfRule type="colorScale" priority="2579">
      <colorScale>
        <cfvo type="min"/>
        <cfvo type="percentile" val="50"/>
        <cfvo type="max"/>
        <color rgb="FF63BE7B"/>
        <color rgb="FFFFEB84"/>
        <color rgb="FFF8696B"/>
      </colorScale>
    </cfRule>
  </conditionalFormatting>
  <conditionalFormatting sqref="K8546:K8569">
    <cfRule type="colorScale" priority="2578">
      <colorScale>
        <cfvo type="min"/>
        <cfvo type="percentile" val="50"/>
        <cfvo type="max"/>
        <color rgb="FF63BE7B"/>
        <color rgb="FFFFEB84"/>
        <color rgb="FFF8696B"/>
      </colorScale>
    </cfRule>
  </conditionalFormatting>
  <conditionalFormatting sqref="G8522:G8545">
    <cfRule type="cellIs" dxfId="1727" priority="2573" operator="between">
      <formula>49</formula>
      <formula>149</formula>
    </cfRule>
    <cfRule type="cellIs" dxfId="1726" priority="2576" operator="lessThan">
      <formula>49</formula>
    </cfRule>
    <cfRule type="cellIs" dxfId="1725" priority="2577" operator="greaterThanOrEqual">
      <formula>150</formula>
    </cfRule>
  </conditionalFormatting>
  <conditionalFormatting sqref="H8522:H8545">
    <cfRule type="cellIs" dxfId="1724" priority="2572" operator="between">
      <formula>0.8</formula>
      <formula>1.2</formula>
    </cfRule>
    <cfRule type="cellIs" dxfId="1723" priority="2574" operator="lessThan">
      <formula>0.8</formula>
    </cfRule>
    <cfRule type="cellIs" dxfId="1722" priority="2575" operator="greaterThanOrEqual">
      <formula>1.2</formula>
    </cfRule>
  </conditionalFormatting>
  <conditionalFormatting sqref="I8522:I8545">
    <cfRule type="colorScale" priority="2571">
      <colorScale>
        <cfvo type="min"/>
        <cfvo type="percentile" val="50"/>
        <cfvo type="max"/>
        <color rgb="FF63BE7B"/>
        <color rgb="FFFFEB84"/>
        <color rgb="FFF8696B"/>
      </colorScale>
    </cfRule>
  </conditionalFormatting>
  <conditionalFormatting sqref="K8523:K8545">
    <cfRule type="colorScale" priority="2570">
      <colorScale>
        <cfvo type="min"/>
        <cfvo type="percentile" val="50"/>
        <cfvo type="max"/>
        <color rgb="FF63BE7B"/>
        <color rgb="FFFFEB84"/>
        <color rgb="FFF8696B"/>
      </colorScale>
    </cfRule>
  </conditionalFormatting>
  <conditionalFormatting sqref="K8522:K8545">
    <cfRule type="colorScale" priority="2569">
      <colorScale>
        <cfvo type="min"/>
        <cfvo type="percentile" val="50"/>
        <cfvo type="max"/>
        <color rgb="FF63BE7B"/>
        <color rgb="FFFFEB84"/>
        <color rgb="FFF8696B"/>
      </colorScale>
    </cfRule>
  </conditionalFormatting>
  <conditionalFormatting sqref="G8498:G8521">
    <cfRule type="cellIs" dxfId="1721" priority="2564" operator="between">
      <formula>49</formula>
      <formula>149</formula>
    </cfRule>
    <cfRule type="cellIs" dxfId="1720" priority="2567" operator="lessThan">
      <formula>49</formula>
    </cfRule>
    <cfRule type="cellIs" dxfId="1719" priority="2568" operator="greaterThanOrEqual">
      <formula>150</formula>
    </cfRule>
  </conditionalFormatting>
  <conditionalFormatting sqref="H8498:H8521">
    <cfRule type="cellIs" dxfId="1718" priority="2563" operator="between">
      <formula>0.8</formula>
      <formula>1.2</formula>
    </cfRule>
    <cfRule type="cellIs" dxfId="1717" priority="2565" operator="lessThan">
      <formula>0.8</formula>
    </cfRule>
    <cfRule type="cellIs" dxfId="1716" priority="2566" operator="greaterThanOrEqual">
      <formula>1.2</formula>
    </cfRule>
  </conditionalFormatting>
  <conditionalFormatting sqref="I8498:I8521">
    <cfRule type="colorScale" priority="2562">
      <colorScale>
        <cfvo type="min"/>
        <cfvo type="percentile" val="50"/>
        <cfvo type="max"/>
        <color rgb="FF63BE7B"/>
        <color rgb="FFFFEB84"/>
        <color rgb="FFF8696B"/>
      </colorScale>
    </cfRule>
  </conditionalFormatting>
  <conditionalFormatting sqref="K8499:K8521">
    <cfRule type="colorScale" priority="2561">
      <colorScale>
        <cfvo type="min"/>
        <cfvo type="percentile" val="50"/>
        <cfvo type="max"/>
        <color rgb="FF63BE7B"/>
        <color rgb="FFFFEB84"/>
        <color rgb="FFF8696B"/>
      </colorScale>
    </cfRule>
  </conditionalFormatting>
  <conditionalFormatting sqref="K8498:K8521">
    <cfRule type="colorScale" priority="2560">
      <colorScale>
        <cfvo type="min"/>
        <cfvo type="percentile" val="50"/>
        <cfvo type="max"/>
        <color rgb="FF63BE7B"/>
        <color rgb="FFFFEB84"/>
        <color rgb="FFF8696B"/>
      </colorScale>
    </cfRule>
  </conditionalFormatting>
  <conditionalFormatting sqref="G8474:G8497">
    <cfRule type="cellIs" dxfId="1715" priority="2555" operator="between">
      <formula>49</formula>
      <formula>149</formula>
    </cfRule>
    <cfRule type="cellIs" dxfId="1714" priority="2558" operator="lessThan">
      <formula>49</formula>
    </cfRule>
    <cfRule type="cellIs" dxfId="1713" priority="2559" operator="greaterThanOrEqual">
      <formula>150</formula>
    </cfRule>
  </conditionalFormatting>
  <conditionalFormatting sqref="H8474:H8497">
    <cfRule type="cellIs" dxfId="1712" priority="2554" operator="between">
      <formula>0.8</formula>
      <formula>1.2</formula>
    </cfRule>
    <cfRule type="cellIs" dxfId="1711" priority="2556" operator="lessThan">
      <formula>0.8</formula>
    </cfRule>
    <cfRule type="cellIs" dxfId="1710" priority="2557" operator="greaterThanOrEqual">
      <formula>1.2</formula>
    </cfRule>
  </conditionalFormatting>
  <conditionalFormatting sqref="I8474:I8497">
    <cfRule type="colorScale" priority="2553">
      <colorScale>
        <cfvo type="min"/>
        <cfvo type="percentile" val="50"/>
        <cfvo type="max"/>
        <color rgb="FF63BE7B"/>
        <color rgb="FFFFEB84"/>
        <color rgb="FFF8696B"/>
      </colorScale>
    </cfRule>
  </conditionalFormatting>
  <conditionalFormatting sqref="K8475:K8497">
    <cfRule type="colorScale" priority="2552">
      <colorScale>
        <cfvo type="min"/>
        <cfvo type="percentile" val="50"/>
        <cfvo type="max"/>
        <color rgb="FF63BE7B"/>
        <color rgb="FFFFEB84"/>
        <color rgb="FFF8696B"/>
      </colorScale>
    </cfRule>
  </conditionalFormatting>
  <conditionalFormatting sqref="K8474:K8497">
    <cfRule type="colorScale" priority="2551">
      <colorScale>
        <cfvo type="min"/>
        <cfvo type="percentile" val="50"/>
        <cfvo type="max"/>
        <color rgb="FF63BE7B"/>
        <color rgb="FFFFEB84"/>
        <color rgb="FFF8696B"/>
      </colorScale>
    </cfRule>
  </conditionalFormatting>
  <conditionalFormatting sqref="G8450:G8473">
    <cfRule type="cellIs" dxfId="1709" priority="2546" operator="between">
      <formula>49</formula>
      <formula>149</formula>
    </cfRule>
    <cfRule type="cellIs" dxfId="1708" priority="2549" operator="lessThan">
      <formula>49</formula>
    </cfRule>
    <cfRule type="cellIs" dxfId="1707" priority="2550" operator="greaterThanOrEqual">
      <formula>150</formula>
    </cfRule>
  </conditionalFormatting>
  <conditionalFormatting sqref="H8450:H8473">
    <cfRule type="cellIs" dxfId="1706" priority="2545" operator="between">
      <formula>0.8</formula>
      <formula>1.2</formula>
    </cfRule>
    <cfRule type="cellIs" dxfId="1705" priority="2547" operator="lessThan">
      <formula>0.8</formula>
    </cfRule>
    <cfRule type="cellIs" dxfId="1704" priority="2548" operator="greaterThanOrEqual">
      <formula>1.2</formula>
    </cfRule>
  </conditionalFormatting>
  <conditionalFormatting sqref="I8450:I8473">
    <cfRule type="colorScale" priority="2544">
      <colorScale>
        <cfvo type="min"/>
        <cfvo type="percentile" val="50"/>
        <cfvo type="max"/>
        <color rgb="FF63BE7B"/>
        <color rgb="FFFFEB84"/>
        <color rgb="FFF8696B"/>
      </colorScale>
    </cfRule>
  </conditionalFormatting>
  <conditionalFormatting sqref="K8451:K8473">
    <cfRule type="colorScale" priority="2543">
      <colorScale>
        <cfvo type="min"/>
        <cfvo type="percentile" val="50"/>
        <cfvo type="max"/>
        <color rgb="FF63BE7B"/>
        <color rgb="FFFFEB84"/>
        <color rgb="FFF8696B"/>
      </colorScale>
    </cfRule>
  </conditionalFormatting>
  <conditionalFormatting sqref="K8450:K8473">
    <cfRule type="colorScale" priority="2542">
      <colorScale>
        <cfvo type="min"/>
        <cfvo type="percentile" val="50"/>
        <cfvo type="max"/>
        <color rgb="FF63BE7B"/>
        <color rgb="FFFFEB84"/>
        <color rgb="FFF8696B"/>
      </colorScale>
    </cfRule>
  </conditionalFormatting>
  <conditionalFormatting sqref="G8426:G8449">
    <cfRule type="cellIs" dxfId="1703" priority="2537" operator="between">
      <formula>49</formula>
      <formula>149</formula>
    </cfRule>
    <cfRule type="cellIs" dxfId="1702" priority="2540" operator="lessThan">
      <formula>49</formula>
    </cfRule>
    <cfRule type="cellIs" dxfId="1701" priority="2541" operator="greaterThanOrEqual">
      <formula>150</formula>
    </cfRule>
  </conditionalFormatting>
  <conditionalFormatting sqref="H8426:H8449">
    <cfRule type="cellIs" dxfId="1700" priority="2536" operator="between">
      <formula>0.8</formula>
      <formula>1.2</formula>
    </cfRule>
    <cfRule type="cellIs" dxfId="1699" priority="2538" operator="lessThan">
      <formula>0.8</formula>
    </cfRule>
    <cfRule type="cellIs" dxfId="1698" priority="2539" operator="greaterThanOrEqual">
      <formula>1.2</formula>
    </cfRule>
  </conditionalFormatting>
  <conditionalFormatting sqref="I8426:I8449">
    <cfRule type="colorScale" priority="2535">
      <colorScale>
        <cfvo type="min"/>
        <cfvo type="percentile" val="50"/>
        <cfvo type="max"/>
        <color rgb="FF63BE7B"/>
        <color rgb="FFFFEB84"/>
        <color rgb="FFF8696B"/>
      </colorScale>
    </cfRule>
  </conditionalFormatting>
  <conditionalFormatting sqref="K8427:K8449">
    <cfRule type="colorScale" priority="2534">
      <colorScale>
        <cfvo type="min"/>
        <cfvo type="percentile" val="50"/>
        <cfvo type="max"/>
        <color rgb="FF63BE7B"/>
        <color rgb="FFFFEB84"/>
        <color rgb="FFF8696B"/>
      </colorScale>
    </cfRule>
  </conditionalFormatting>
  <conditionalFormatting sqref="K8426:K8449">
    <cfRule type="colorScale" priority="2533">
      <colorScale>
        <cfvo type="min"/>
        <cfvo type="percentile" val="50"/>
        <cfvo type="max"/>
        <color rgb="FF63BE7B"/>
        <color rgb="FFFFEB84"/>
        <color rgb="FFF8696B"/>
      </colorScale>
    </cfRule>
  </conditionalFormatting>
  <conditionalFormatting sqref="G8402:G8425">
    <cfRule type="cellIs" dxfId="1697" priority="2528" operator="between">
      <formula>49</formula>
      <formula>149</formula>
    </cfRule>
    <cfRule type="cellIs" dxfId="1696" priority="2531" operator="lessThan">
      <formula>49</formula>
    </cfRule>
    <cfRule type="cellIs" dxfId="1695" priority="2532" operator="greaterThanOrEqual">
      <formula>150</formula>
    </cfRule>
  </conditionalFormatting>
  <conditionalFormatting sqref="H8402:H8425">
    <cfRule type="cellIs" dxfId="1694" priority="2527" operator="between">
      <formula>0.8</formula>
      <formula>1.2</formula>
    </cfRule>
    <cfRule type="cellIs" dxfId="1693" priority="2529" operator="lessThan">
      <formula>0.8</formula>
    </cfRule>
    <cfRule type="cellIs" dxfId="1692" priority="2530" operator="greaterThanOrEqual">
      <formula>1.2</formula>
    </cfRule>
  </conditionalFormatting>
  <conditionalFormatting sqref="I8402:I8425">
    <cfRule type="colorScale" priority="2526">
      <colorScale>
        <cfvo type="min"/>
        <cfvo type="percentile" val="50"/>
        <cfvo type="max"/>
        <color rgb="FF63BE7B"/>
        <color rgb="FFFFEB84"/>
        <color rgb="FFF8696B"/>
      </colorScale>
    </cfRule>
  </conditionalFormatting>
  <conditionalFormatting sqref="K8403:K8425">
    <cfRule type="colorScale" priority="2525">
      <colorScale>
        <cfvo type="min"/>
        <cfvo type="percentile" val="50"/>
        <cfvo type="max"/>
        <color rgb="FF63BE7B"/>
        <color rgb="FFFFEB84"/>
        <color rgb="FFF8696B"/>
      </colorScale>
    </cfRule>
  </conditionalFormatting>
  <conditionalFormatting sqref="K8402:K8425">
    <cfRule type="colorScale" priority="2524">
      <colorScale>
        <cfvo type="min"/>
        <cfvo type="percentile" val="50"/>
        <cfvo type="max"/>
        <color rgb="FF63BE7B"/>
        <color rgb="FFFFEB84"/>
        <color rgb="FFF8696B"/>
      </colorScale>
    </cfRule>
  </conditionalFormatting>
  <conditionalFormatting sqref="G8378:G8401">
    <cfRule type="cellIs" dxfId="1691" priority="2519" operator="between">
      <formula>49</formula>
      <formula>149</formula>
    </cfRule>
    <cfRule type="cellIs" dxfId="1690" priority="2522" operator="lessThan">
      <formula>49</formula>
    </cfRule>
    <cfRule type="cellIs" dxfId="1689" priority="2523" operator="greaterThanOrEqual">
      <formula>150</formula>
    </cfRule>
  </conditionalFormatting>
  <conditionalFormatting sqref="H8378:H8401">
    <cfRule type="cellIs" dxfId="1688" priority="2518" operator="between">
      <formula>0.8</formula>
      <formula>1.2</formula>
    </cfRule>
    <cfRule type="cellIs" dxfId="1687" priority="2520" operator="lessThan">
      <formula>0.8</formula>
    </cfRule>
    <cfRule type="cellIs" dxfId="1686" priority="2521" operator="greaterThanOrEqual">
      <formula>1.2</formula>
    </cfRule>
  </conditionalFormatting>
  <conditionalFormatting sqref="I8378:I8401">
    <cfRule type="colorScale" priority="2517">
      <colorScale>
        <cfvo type="min"/>
        <cfvo type="percentile" val="50"/>
        <cfvo type="max"/>
        <color rgb="FF63BE7B"/>
        <color rgb="FFFFEB84"/>
        <color rgb="FFF8696B"/>
      </colorScale>
    </cfRule>
  </conditionalFormatting>
  <conditionalFormatting sqref="K8379:K8401">
    <cfRule type="colorScale" priority="2516">
      <colorScale>
        <cfvo type="min"/>
        <cfvo type="percentile" val="50"/>
        <cfvo type="max"/>
        <color rgb="FF63BE7B"/>
        <color rgb="FFFFEB84"/>
        <color rgb="FFF8696B"/>
      </colorScale>
    </cfRule>
  </conditionalFormatting>
  <conditionalFormatting sqref="K8378:K8401">
    <cfRule type="colorScale" priority="2515">
      <colorScale>
        <cfvo type="min"/>
        <cfvo type="percentile" val="50"/>
        <cfvo type="max"/>
        <color rgb="FF63BE7B"/>
        <color rgb="FFFFEB84"/>
        <color rgb="FFF8696B"/>
      </colorScale>
    </cfRule>
  </conditionalFormatting>
  <conditionalFormatting sqref="G8354:G8377">
    <cfRule type="cellIs" dxfId="1685" priority="2510" operator="between">
      <formula>49</formula>
      <formula>149</formula>
    </cfRule>
    <cfRule type="cellIs" dxfId="1684" priority="2513" operator="lessThan">
      <formula>49</formula>
    </cfRule>
    <cfRule type="cellIs" dxfId="1683" priority="2514" operator="greaterThanOrEqual">
      <formula>150</formula>
    </cfRule>
  </conditionalFormatting>
  <conditionalFormatting sqref="H8354:H8377">
    <cfRule type="cellIs" dxfId="1682" priority="2509" operator="between">
      <formula>0.8</formula>
      <formula>1.2</formula>
    </cfRule>
    <cfRule type="cellIs" dxfId="1681" priority="2511" operator="lessThan">
      <formula>0.8</formula>
    </cfRule>
    <cfRule type="cellIs" dxfId="1680" priority="2512" operator="greaterThanOrEqual">
      <formula>1.2</formula>
    </cfRule>
  </conditionalFormatting>
  <conditionalFormatting sqref="I8354:I8377">
    <cfRule type="colorScale" priority="2508">
      <colorScale>
        <cfvo type="min"/>
        <cfvo type="percentile" val="50"/>
        <cfvo type="max"/>
        <color rgb="FF63BE7B"/>
        <color rgb="FFFFEB84"/>
        <color rgb="FFF8696B"/>
      </colorScale>
    </cfRule>
  </conditionalFormatting>
  <conditionalFormatting sqref="K8355:K8377">
    <cfRule type="colorScale" priority="2507">
      <colorScale>
        <cfvo type="min"/>
        <cfvo type="percentile" val="50"/>
        <cfvo type="max"/>
        <color rgb="FF63BE7B"/>
        <color rgb="FFFFEB84"/>
        <color rgb="FFF8696B"/>
      </colorScale>
    </cfRule>
  </conditionalFormatting>
  <conditionalFormatting sqref="K8354:K8377">
    <cfRule type="colorScale" priority="2506">
      <colorScale>
        <cfvo type="min"/>
        <cfvo type="percentile" val="50"/>
        <cfvo type="max"/>
        <color rgb="FF63BE7B"/>
        <color rgb="FFFFEB84"/>
        <color rgb="FFF8696B"/>
      </colorScale>
    </cfRule>
  </conditionalFormatting>
  <conditionalFormatting sqref="G8330:G8353">
    <cfRule type="cellIs" dxfId="1679" priority="2501" operator="between">
      <formula>49</formula>
      <formula>149</formula>
    </cfRule>
    <cfRule type="cellIs" dxfId="1678" priority="2504" operator="lessThan">
      <formula>49</formula>
    </cfRule>
    <cfRule type="cellIs" dxfId="1677" priority="2505" operator="greaterThanOrEqual">
      <formula>150</formula>
    </cfRule>
  </conditionalFormatting>
  <conditionalFormatting sqref="H8330:H8353">
    <cfRule type="cellIs" dxfId="1676" priority="2500" operator="between">
      <formula>0.8</formula>
      <formula>1.2</formula>
    </cfRule>
    <cfRule type="cellIs" dxfId="1675" priority="2502" operator="lessThan">
      <formula>0.8</formula>
    </cfRule>
    <cfRule type="cellIs" dxfId="1674" priority="2503" operator="greaterThanOrEqual">
      <formula>1.2</formula>
    </cfRule>
  </conditionalFormatting>
  <conditionalFormatting sqref="I8330:I8353">
    <cfRule type="colorScale" priority="2499">
      <colorScale>
        <cfvo type="min"/>
        <cfvo type="percentile" val="50"/>
        <cfvo type="max"/>
        <color rgb="FF63BE7B"/>
        <color rgb="FFFFEB84"/>
        <color rgb="FFF8696B"/>
      </colorScale>
    </cfRule>
  </conditionalFormatting>
  <conditionalFormatting sqref="K8331:K8353">
    <cfRule type="colorScale" priority="2498">
      <colorScale>
        <cfvo type="min"/>
        <cfvo type="percentile" val="50"/>
        <cfvo type="max"/>
        <color rgb="FF63BE7B"/>
        <color rgb="FFFFEB84"/>
        <color rgb="FFF8696B"/>
      </colorScale>
    </cfRule>
  </conditionalFormatting>
  <conditionalFormatting sqref="K8330:K8353">
    <cfRule type="colorScale" priority="2497">
      <colorScale>
        <cfvo type="min"/>
        <cfvo type="percentile" val="50"/>
        <cfvo type="max"/>
        <color rgb="FF63BE7B"/>
        <color rgb="FFFFEB84"/>
        <color rgb="FFF8696B"/>
      </colorScale>
    </cfRule>
  </conditionalFormatting>
  <conditionalFormatting sqref="G8306:G8329">
    <cfRule type="cellIs" dxfId="1673" priority="2492" operator="between">
      <formula>49</formula>
      <formula>149</formula>
    </cfRule>
    <cfRule type="cellIs" dxfId="1672" priority="2495" operator="lessThan">
      <formula>49</formula>
    </cfRule>
    <cfRule type="cellIs" dxfId="1671" priority="2496" operator="greaterThanOrEqual">
      <formula>150</formula>
    </cfRule>
  </conditionalFormatting>
  <conditionalFormatting sqref="H8306:H8329">
    <cfRule type="cellIs" dxfId="1670" priority="2491" operator="between">
      <formula>0.8</formula>
      <formula>1.2</formula>
    </cfRule>
    <cfRule type="cellIs" dxfId="1669" priority="2493" operator="lessThan">
      <formula>0.8</formula>
    </cfRule>
    <cfRule type="cellIs" dxfId="1668" priority="2494" operator="greaterThanOrEqual">
      <formula>1.2</formula>
    </cfRule>
  </conditionalFormatting>
  <conditionalFormatting sqref="I8306:I8329">
    <cfRule type="colorScale" priority="2490">
      <colorScale>
        <cfvo type="min"/>
        <cfvo type="percentile" val="50"/>
        <cfvo type="max"/>
        <color rgb="FF63BE7B"/>
        <color rgb="FFFFEB84"/>
        <color rgb="FFF8696B"/>
      </colorScale>
    </cfRule>
  </conditionalFormatting>
  <conditionalFormatting sqref="K8307:K8329">
    <cfRule type="colorScale" priority="2489">
      <colorScale>
        <cfvo type="min"/>
        <cfvo type="percentile" val="50"/>
        <cfvo type="max"/>
        <color rgb="FF63BE7B"/>
        <color rgb="FFFFEB84"/>
        <color rgb="FFF8696B"/>
      </colorScale>
    </cfRule>
  </conditionalFormatting>
  <conditionalFormatting sqref="K8306:K8329">
    <cfRule type="colorScale" priority="2488">
      <colorScale>
        <cfvo type="min"/>
        <cfvo type="percentile" val="50"/>
        <cfvo type="max"/>
        <color rgb="FF63BE7B"/>
        <color rgb="FFFFEB84"/>
        <color rgb="FFF8696B"/>
      </colorScale>
    </cfRule>
  </conditionalFormatting>
  <conditionalFormatting sqref="G8282:G8305">
    <cfRule type="cellIs" dxfId="1667" priority="2483" operator="between">
      <formula>49</formula>
      <formula>149</formula>
    </cfRule>
    <cfRule type="cellIs" dxfId="1666" priority="2486" operator="lessThan">
      <formula>49</formula>
    </cfRule>
    <cfRule type="cellIs" dxfId="1665" priority="2487" operator="greaterThanOrEqual">
      <formula>150</formula>
    </cfRule>
  </conditionalFormatting>
  <conditionalFormatting sqref="H8282:H8305">
    <cfRule type="cellIs" dxfId="1664" priority="2482" operator="between">
      <formula>0.8</formula>
      <formula>1.2</formula>
    </cfRule>
    <cfRule type="cellIs" dxfId="1663" priority="2484" operator="lessThan">
      <formula>0.8</formula>
    </cfRule>
    <cfRule type="cellIs" dxfId="1662" priority="2485" operator="greaterThanOrEqual">
      <formula>1.2</formula>
    </cfRule>
  </conditionalFormatting>
  <conditionalFormatting sqref="I8282:I8305">
    <cfRule type="colorScale" priority="2481">
      <colorScale>
        <cfvo type="min"/>
        <cfvo type="percentile" val="50"/>
        <cfvo type="max"/>
        <color rgb="FF63BE7B"/>
        <color rgb="FFFFEB84"/>
        <color rgb="FFF8696B"/>
      </colorScale>
    </cfRule>
  </conditionalFormatting>
  <conditionalFormatting sqref="K8283:K8305">
    <cfRule type="colorScale" priority="2480">
      <colorScale>
        <cfvo type="min"/>
        <cfvo type="percentile" val="50"/>
        <cfvo type="max"/>
        <color rgb="FF63BE7B"/>
        <color rgb="FFFFEB84"/>
        <color rgb="FFF8696B"/>
      </colorScale>
    </cfRule>
  </conditionalFormatting>
  <conditionalFormatting sqref="K8282:K8305">
    <cfRule type="colorScale" priority="2479">
      <colorScale>
        <cfvo type="min"/>
        <cfvo type="percentile" val="50"/>
        <cfvo type="max"/>
        <color rgb="FF63BE7B"/>
        <color rgb="FFFFEB84"/>
        <color rgb="FFF8696B"/>
      </colorScale>
    </cfRule>
  </conditionalFormatting>
  <conditionalFormatting sqref="G8258:G8281">
    <cfRule type="cellIs" dxfId="1661" priority="2474" operator="between">
      <formula>49</formula>
      <formula>149</formula>
    </cfRule>
    <cfRule type="cellIs" dxfId="1660" priority="2477" operator="lessThan">
      <formula>49</formula>
    </cfRule>
    <cfRule type="cellIs" dxfId="1659" priority="2478" operator="greaterThanOrEqual">
      <formula>150</formula>
    </cfRule>
  </conditionalFormatting>
  <conditionalFormatting sqref="H8258:H8281">
    <cfRule type="cellIs" dxfId="1658" priority="2473" operator="between">
      <formula>0.8</formula>
      <formula>1.2</formula>
    </cfRule>
    <cfRule type="cellIs" dxfId="1657" priority="2475" operator="lessThan">
      <formula>0.8</formula>
    </cfRule>
    <cfRule type="cellIs" dxfId="1656" priority="2476" operator="greaterThanOrEqual">
      <formula>1.2</formula>
    </cfRule>
  </conditionalFormatting>
  <conditionalFormatting sqref="I8258:I8281">
    <cfRule type="colorScale" priority="2472">
      <colorScale>
        <cfvo type="min"/>
        <cfvo type="percentile" val="50"/>
        <cfvo type="max"/>
        <color rgb="FF63BE7B"/>
        <color rgb="FFFFEB84"/>
        <color rgb="FFF8696B"/>
      </colorScale>
    </cfRule>
  </conditionalFormatting>
  <conditionalFormatting sqref="K8259:K8281">
    <cfRule type="colorScale" priority="2471">
      <colorScale>
        <cfvo type="min"/>
        <cfvo type="percentile" val="50"/>
        <cfvo type="max"/>
        <color rgb="FF63BE7B"/>
        <color rgb="FFFFEB84"/>
        <color rgb="FFF8696B"/>
      </colorScale>
    </cfRule>
  </conditionalFormatting>
  <conditionalFormatting sqref="K8258:K8281">
    <cfRule type="colorScale" priority="2470">
      <colorScale>
        <cfvo type="min"/>
        <cfvo type="percentile" val="50"/>
        <cfvo type="max"/>
        <color rgb="FF63BE7B"/>
        <color rgb="FFFFEB84"/>
        <color rgb="FFF8696B"/>
      </colorScale>
    </cfRule>
  </conditionalFormatting>
  <conditionalFormatting sqref="G8234:G8257">
    <cfRule type="cellIs" dxfId="1655" priority="2465" operator="between">
      <formula>49</formula>
      <formula>149</formula>
    </cfRule>
    <cfRule type="cellIs" dxfId="1654" priority="2468" operator="lessThan">
      <formula>49</formula>
    </cfRule>
    <cfRule type="cellIs" dxfId="1653" priority="2469" operator="greaterThanOrEqual">
      <formula>150</formula>
    </cfRule>
  </conditionalFormatting>
  <conditionalFormatting sqref="H8234:H8257">
    <cfRule type="cellIs" dxfId="1652" priority="2464" operator="between">
      <formula>0.8</formula>
      <formula>1.2</formula>
    </cfRule>
    <cfRule type="cellIs" dxfId="1651" priority="2466" operator="lessThan">
      <formula>0.8</formula>
    </cfRule>
    <cfRule type="cellIs" dxfId="1650" priority="2467" operator="greaterThanOrEqual">
      <formula>1.2</formula>
    </cfRule>
  </conditionalFormatting>
  <conditionalFormatting sqref="I8234:I8257">
    <cfRule type="colorScale" priority="2463">
      <colorScale>
        <cfvo type="min"/>
        <cfvo type="percentile" val="50"/>
        <cfvo type="max"/>
        <color rgb="FF63BE7B"/>
        <color rgb="FFFFEB84"/>
        <color rgb="FFF8696B"/>
      </colorScale>
    </cfRule>
  </conditionalFormatting>
  <conditionalFormatting sqref="K8235:K8257">
    <cfRule type="colorScale" priority="2462">
      <colorScale>
        <cfvo type="min"/>
        <cfvo type="percentile" val="50"/>
        <cfvo type="max"/>
        <color rgb="FF63BE7B"/>
        <color rgb="FFFFEB84"/>
        <color rgb="FFF8696B"/>
      </colorScale>
    </cfRule>
  </conditionalFormatting>
  <conditionalFormatting sqref="K8234:K8257">
    <cfRule type="colorScale" priority="2461">
      <colorScale>
        <cfvo type="min"/>
        <cfvo type="percentile" val="50"/>
        <cfvo type="max"/>
        <color rgb="FF63BE7B"/>
        <color rgb="FFFFEB84"/>
        <color rgb="FFF8696B"/>
      </colorScale>
    </cfRule>
  </conditionalFormatting>
  <conditionalFormatting sqref="G8210:G8233">
    <cfRule type="cellIs" dxfId="1649" priority="2456" operator="between">
      <formula>49</formula>
      <formula>149</formula>
    </cfRule>
    <cfRule type="cellIs" dxfId="1648" priority="2459" operator="lessThan">
      <formula>49</formula>
    </cfRule>
    <cfRule type="cellIs" dxfId="1647" priority="2460" operator="greaterThanOrEqual">
      <formula>150</formula>
    </cfRule>
  </conditionalFormatting>
  <conditionalFormatting sqref="H8210:H8233">
    <cfRule type="cellIs" dxfId="1646" priority="2455" operator="between">
      <formula>0.8</formula>
      <formula>1.2</formula>
    </cfRule>
    <cfRule type="cellIs" dxfId="1645" priority="2457" operator="lessThan">
      <formula>0.8</formula>
    </cfRule>
    <cfRule type="cellIs" dxfId="1644" priority="2458" operator="greaterThanOrEqual">
      <formula>1.2</formula>
    </cfRule>
  </conditionalFormatting>
  <conditionalFormatting sqref="I8210:I8233">
    <cfRule type="colorScale" priority="2454">
      <colorScale>
        <cfvo type="min"/>
        <cfvo type="percentile" val="50"/>
        <cfvo type="max"/>
        <color rgb="FF63BE7B"/>
        <color rgb="FFFFEB84"/>
        <color rgb="FFF8696B"/>
      </colorScale>
    </cfRule>
  </conditionalFormatting>
  <conditionalFormatting sqref="K8211:K8233">
    <cfRule type="colorScale" priority="2453">
      <colorScale>
        <cfvo type="min"/>
        <cfvo type="percentile" val="50"/>
        <cfvo type="max"/>
        <color rgb="FF63BE7B"/>
        <color rgb="FFFFEB84"/>
        <color rgb="FFF8696B"/>
      </colorScale>
    </cfRule>
  </conditionalFormatting>
  <conditionalFormatting sqref="K8210:K8233">
    <cfRule type="colorScale" priority="2452">
      <colorScale>
        <cfvo type="min"/>
        <cfvo type="percentile" val="50"/>
        <cfvo type="max"/>
        <color rgb="FF63BE7B"/>
        <color rgb="FFFFEB84"/>
        <color rgb="FFF8696B"/>
      </colorScale>
    </cfRule>
  </conditionalFormatting>
  <conditionalFormatting sqref="G8186:G8209">
    <cfRule type="cellIs" dxfId="1643" priority="2447" operator="between">
      <formula>49</formula>
      <formula>149</formula>
    </cfRule>
    <cfRule type="cellIs" dxfId="1642" priority="2450" operator="lessThan">
      <formula>49</formula>
    </cfRule>
    <cfRule type="cellIs" dxfId="1641" priority="2451" operator="greaterThanOrEqual">
      <formula>150</formula>
    </cfRule>
  </conditionalFormatting>
  <conditionalFormatting sqref="H8186:H8209">
    <cfRule type="cellIs" dxfId="1640" priority="2446" operator="between">
      <formula>0.8</formula>
      <formula>1.2</formula>
    </cfRule>
    <cfRule type="cellIs" dxfId="1639" priority="2448" operator="lessThan">
      <formula>0.8</formula>
    </cfRule>
    <cfRule type="cellIs" dxfId="1638" priority="2449" operator="greaterThanOrEqual">
      <formula>1.2</formula>
    </cfRule>
  </conditionalFormatting>
  <conditionalFormatting sqref="I8186:I8209">
    <cfRule type="colorScale" priority="2445">
      <colorScale>
        <cfvo type="min"/>
        <cfvo type="percentile" val="50"/>
        <cfvo type="max"/>
        <color rgb="FF63BE7B"/>
        <color rgb="FFFFEB84"/>
        <color rgb="FFF8696B"/>
      </colorScale>
    </cfRule>
  </conditionalFormatting>
  <conditionalFormatting sqref="K8187:K8209">
    <cfRule type="colorScale" priority="2444">
      <colorScale>
        <cfvo type="min"/>
        <cfvo type="percentile" val="50"/>
        <cfvo type="max"/>
        <color rgb="FF63BE7B"/>
        <color rgb="FFFFEB84"/>
        <color rgb="FFF8696B"/>
      </colorScale>
    </cfRule>
  </conditionalFormatting>
  <conditionalFormatting sqref="K8186:K8209">
    <cfRule type="colorScale" priority="2443">
      <colorScale>
        <cfvo type="min"/>
        <cfvo type="percentile" val="50"/>
        <cfvo type="max"/>
        <color rgb="FF63BE7B"/>
        <color rgb="FFFFEB84"/>
        <color rgb="FFF8696B"/>
      </colorScale>
    </cfRule>
  </conditionalFormatting>
  <conditionalFormatting sqref="G8162:G8185">
    <cfRule type="cellIs" dxfId="1637" priority="2438" operator="between">
      <formula>49</formula>
      <formula>149</formula>
    </cfRule>
    <cfRule type="cellIs" dxfId="1636" priority="2441" operator="lessThan">
      <formula>49</formula>
    </cfRule>
    <cfRule type="cellIs" dxfId="1635" priority="2442" operator="greaterThanOrEqual">
      <formula>150</formula>
    </cfRule>
  </conditionalFormatting>
  <conditionalFormatting sqref="H8162:H8185">
    <cfRule type="cellIs" dxfId="1634" priority="2437" operator="between">
      <formula>0.8</formula>
      <formula>1.2</formula>
    </cfRule>
    <cfRule type="cellIs" dxfId="1633" priority="2439" operator="lessThan">
      <formula>0.8</formula>
    </cfRule>
    <cfRule type="cellIs" dxfId="1632" priority="2440" operator="greaterThanOrEqual">
      <formula>1.2</formula>
    </cfRule>
  </conditionalFormatting>
  <conditionalFormatting sqref="I8162:I8185">
    <cfRule type="colorScale" priority="2436">
      <colorScale>
        <cfvo type="min"/>
        <cfvo type="percentile" val="50"/>
        <cfvo type="max"/>
        <color rgb="FF63BE7B"/>
        <color rgb="FFFFEB84"/>
        <color rgb="FFF8696B"/>
      </colorScale>
    </cfRule>
  </conditionalFormatting>
  <conditionalFormatting sqref="K8163:K8185">
    <cfRule type="colorScale" priority="2435">
      <colorScale>
        <cfvo type="min"/>
        <cfvo type="percentile" val="50"/>
        <cfvo type="max"/>
        <color rgb="FF63BE7B"/>
        <color rgb="FFFFEB84"/>
        <color rgb="FFF8696B"/>
      </colorScale>
    </cfRule>
  </conditionalFormatting>
  <conditionalFormatting sqref="K8162:K8185">
    <cfRule type="colorScale" priority="2434">
      <colorScale>
        <cfvo type="min"/>
        <cfvo type="percentile" val="50"/>
        <cfvo type="max"/>
        <color rgb="FF63BE7B"/>
        <color rgb="FFFFEB84"/>
        <color rgb="FFF8696B"/>
      </colorScale>
    </cfRule>
  </conditionalFormatting>
  <conditionalFormatting sqref="G8138:G8161">
    <cfRule type="cellIs" dxfId="1631" priority="2429" operator="between">
      <formula>49</formula>
      <formula>149</formula>
    </cfRule>
    <cfRule type="cellIs" dxfId="1630" priority="2432" operator="lessThan">
      <formula>49</formula>
    </cfRule>
    <cfRule type="cellIs" dxfId="1629" priority="2433" operator="greaterThanOrEqual">
      <formula>150</formula>
    </cfRule>
  </conditionalFormatting>
  <conditionalFormatting sqref="H8138:H8161">
    <cfRule type="cellIs" dxfId="1628" priority="2428" operator="between">
      <formula>0.8</formula>
      <formula>1.2</formula>
    </cfRule>
    <cfRule type="cellIs" dxfId="1627" priority="2430" operator="lessThan">
      <formula>0.8</formula>
    </cfRule>
    <cfRule type="cellIs" dxfId="1626" priority="2431" operator="greaterThanOrEqual">
      <formula>1.2</formula>
    </cfRule>
  </conditionalFormatting>
  <conditionalFormatting sqref="I8138:I8161">
    <cfRule type="colorScale" priority="2427">
      <colorScale>
        <cfvo type="min"/>
        <cfvo type="percentile" val="50"/>
        <cfvo type="max"/>
        <color rgb="FF63BE7B"/>
        <color rgb="FFFFEB84"/>
        <color rgb="FFF8696B"/>
      </colorScale>
    </cfRule>
  </conditionalFormatting>
  <conditionalFormatting sqref="K8139:K8161">
    <cfRule type="colorScale" priority="2426">
      <colorScale>
        <cfvo type="min"/>
        <cfvo type="percentile" val="50"/>
        <cfvo type="max"/>
        <color rgb="FF63BE7B"/>
        <color rgb="FFFFEB84"/>
        <color rgb="FFF8696B"/>
      </colorScale>
    </cfRule>
  </conditionalFormatting>
  <conditionalFormatting sqref="K8138:K8161">
    <cfRule type="colorScale" priority="2425">
      <colorScale>
        <cfvo type="min"/>
        <cfvo type="percentile" val="50"/>
        <cfvo type="max"/>
        <color rgb="FF63BE7B"/>
        <color rgb="FFFFEB84"/>
        <color rgb="FFF8696B"/>
      </colorScale>
    </cfRule>
  </conditionalFormatting>
  <conditionalFormatting sqref="G8114:G8137">
    <cfRule type="cellIs" dxfId="1625" priority="2420" operator="between">
      <formula>49</formula>
      <formula>149</formula>
    </cfRule>
    <cfRule type="cellIs" dxfId="1624" priority="2423" operator="lessThan">
      <formula>49</formula>
    </cfRule>
    <cfRule type="cellIs" dxfId="1623" priority="2424" operator="greaterThanOrEqual">
      <formula>150</formula>
    </cfRule>
  </conditionalFormatting>
  <conditionalFormatting sqref="H8114:H8137">
    <cfRule type="cellIs" dxfId="1622" priority="2419" operator="between">
      <formula>0.8</formula>
      <formula>1.2</formula>
    </cfRule>
    <cfRule type="cellIs" dxfId="1621" priority="2421" operator="lessThan">
      <formula>0.8</formula>
    </cfRule>
    <cfRule type="cellIs" dxfId="1620" priority="2422" operator="greaterThanOrEqual">
      <formula>1.2</formula>
    </cfRule>
  </conditionalFormatting>
  <conditionalFormatting sqref="I8114:I8137">
    <cfRule type="colorScale" priority="2418">
      <colorScale>
        <cfvo type="min"/>
        <cfvo type="percentile" val="50"/>
        <cfvo type="max"/>
        <color rgb="FF63BE7B"/>
        <color rgb="FFFFEB84"/>
        <color rgb="FFF8696B"/>
      </colorScale>
    </cfRule>
  </conditionalFormatting>
  <conditionalFormatting sqref="K8115:K8137">
    <cfRule type="colorScale" priority="2417">
      <colorScale>
        <cfvo type="min"/>
        <cfvo type="percentile" val="50"/>
        <cfvo type="max"/>
        <color rgb="FF63BE7B"/>
        <color rgb="FFFFEB84"/>
        <color rgb="FFF8696B"/>
      </colorScale>
    </cfRule>
  </conditionalFormatting>
  <conditionalFormatting sqref="K8114:K8137">
    <cfRule type="colorScale" priority="2416">
      <colorScale>
        <cfvo type="min"/>
        <cfvo type="percentile" val="50"/>
        <cfvo type="max"/>
        <color rgb="FF63BE7B"/>
        <color rgb="FFFFEB84"/>
        <color rgb="FFF8696B"/>
      </colorScale>
    </cfRule>
  </conditionalFormatting>
  <conditionalFormatting sqref="G8090:G8113">
    <cfRule type="cellIs" dxfId="1619" priority="2411" operator="between">
      <formula>49</formula>
      <formula>149</formula>
    </cfRule>
    <cfRule type="cellIs" dxfId="1618" priority="2414" operator="lessThan">
      <formula>49</formula>
    </cfRule>
    <cfRule type="cellIs" dxfId="1617" priority="2415" operator="greaterThanOrEqual">
      <formula>150</formula>
    </cfRule>
  </conditionalFormatting>
  <conditionalFormatting sqref="H8090:H8113">
    <cfRule type="cellIs" dxfId="1616" priority="2410" operator="between">
      <formula>0.8</formula>
      <formula>1.2</formula>
    </cfRule>
    <cfRule type="cellIs" dxfId="1615" priority="2412" operator="lessThan">
      <formula>0.8</formula>
    </cfRule>
    <cfRule type="cellIs" dxfId="1614" priority="2413" operator="greaterThanOrEqual">
      <formula>1.2</formula>
    </cfRule>
  </conditionalFormatting>
  <conditionalFormatting sqref="I8090:I8113">
    <cfRule type="colorScale" priority="2409">
      <colorScale>
        <cfvo type="min"/>
        <cfvo type="percentile" val="50"/>
        <cfvo type="max"/>
        <color rgb="FF63BE7B"/>
        <color rgb="FFFFEB84"/>
        <color rgb="FFF8696B"/>
      </colorScale>
    </cfRule>
  </conditionalFormatting>
  <conditionalFormatting sqref="K8091:K8113">
    <cfRule type="colorScale" priority="2408">
      <colorScale>
        <cfvo type="min"/>
        <cfvo type="percentile" val="50"/>
        <cfvo type="max"/>
        <color rgb="FF63BE7B"/>
        <color rgb="FFFFEB84"/>
        <color rgb="FFF8696B"/>
      </colorScale>
    </cfRule>
  </conditionalFormatting>
  <conditionalFormatting sqref="K8090:K8113">
    <cfRule type="colorScale" priority="2407">
      <colorScale>
        <cfvo type="min"/>
        <cfvo type="percentile" val="50"/>
        <cfvo type="max"/>
        <color rgb="FF63BE7B"/>
        <color rgb="FFFFEB84"/>
        <color rgb="FFF8696B"/>
      </colorScale>
    </cfRule>
  </conditionalFormatting>
  <conditionalFormatting sqref="G8066:G8089">
    <cfRule type="cellIs" dxfId="1613" priority="2402" operator="between">
      <formula>49</formula>
      <formula>149</formula>
    </cfRule>
    <cfRule type="cellIs" dxfId="1612" priority="2405" operator="lessThan">
      <formula>49</formula>
    </cfRule>
    <cfRule type="cellIs" dxfId="1611" priority="2406" operator="greaterThanOrEqual">
      <formula>150</formula>
    </cfRule>
  </conditionalFormatting>
  <conditionalFormatting sqref="H8066:H8089">
    <cfRule type="cellIs" dxfId="1610" priority="2401" operator="between">
      <formula>0.8</formula>
      <formula>1.2</formula>
    </cfRule>
    <cfRule type="cellIs" dxfId="1609" priority="2403" operator="lessThan">
      <formula>0.8</formula>
    </cfRule>
    <cfRule type="cellIs" dxfId="1608" priority="2404" operator="greaterThanOrEqual">
      <formula>1.2</formula>
    </cfRule>
  </conditionalFormatting>
  <conditionalFormatting sqref="I8066:I8089">
    <cfRule type="colorScale" priority="2400">
      <colorScale>
        <cfvo type="min"/>
        <cfvo type="percentile" val="50"/>
        <cfvo type="max"/>
        <color rgb="FF63BE7B"/>
        <color rgb="FFFFEB84"/>
        <color rgb="FFF8696B"/>
      </colorScale>
    </cfRule>
  </conditionalFormatting>
  <conditionalFormatting sqref="K8067:K8089">
    <cfRule type="colorScale" priority="2399">
      <colorScale>
        <cfvo type="min"/>
        <cfvo type="percentile" val="50"/>
        <cfvo type="max"/>
        <color rgb="FF63BE7B"/>
        <color rgb="FFFFEB84"/>
        <color rgb="FFF8696B"/>
      </colorScale>
    </cfRule>
  </conditionalFormatting>
  <conditionalFormatting sqref="K8066:K8089">
    <cfRule type="colorScale" priority="2398">
      <colorScale>
        <cfvo type="min"/>
        <cfvo type="percentile" val="50"/>
        <cfvo type="max"/>
        <color rgb="FF63BE7B"/>
        <color rgb="FFFFEB84"/>
        <color rgb="FFF8696B"/>
      </colorScale>
    </cfRule>
  </conditionalFormatting>
  <conditionalFormatting sqref="G8042:G8065">
    <cfRule type="cellIs" dxfId="1607" priority="2393" operator="between">
      <formula>49</formula>
      <formula>149</formula>
    </cfRule>
    <cfRule type="cellIs" dxfId="1606" priority="2396" operator="lessThan">
      <formula>49</formula>
    </cfRule>
    <cfRule type="cellIs" dxfId="1605" priority="2397" operator="greaterThanOrEqual">
      <formula>150</formula>
    </cfRule>
  </conditionalFormatting>
  <conditionalFormatting sqref="H8042:H8065">
    <cfRule type="cellIs" dxfId="1604" priority="2392" operator="between">
      <formula>0.8</formula>
      <formula>1.2</formula>
    </cfRule>
    <cfRule type="cellIs" dxfId="1603" priority="2394" operator="lessThan">
      <formula>0.8</formula>
    </cfRule>
    <cfRule type="cellIs" dxfId="1602" priority="2395" operator="greaterThanOrEqual">
      <formula>1.2</formula>
    </cfRule>
  </conditionalFormatting>
  <conditionalFormatting sqref="I8042:I8065">
    <cfRule type="colorScale" priority="2391">
      <colorScale>
        <cfvo type="min"/>
        <cfvo type="percentile" val="50"/>
        <cfvo type="max"/>
        <color rgb="FF63BE7B"/>
        <color rgb="FFFFEB84"/>
        <color rgb="FFF8696B"/>
      </colorScale>
    </cfRule>
  </conditionalFormatting>
  <conditionalFormatting sqref="K8043:K8065">
    <cfRule type="colorScale" priority="2390">
      <colorScale>
        <cfvo type="min"/>
        <cfvo type="percentile" val="50"/>
        <cfvo type="max"/>
        <color rgb="FF63BE7B"/>
        <color rgb="FFFFEB84"/>
        <color rgb="FFF8696B"/>
      </colorScale>
    </cfRule>
  </conditionalFormatting>
  <conditionalFormatting sqref="K8042:K8065">
    <cfRule type="colorScale" priority="2389">
      <colorScale>
        <cfvo type="min"/>
        <cfvo type="percentile" val="50"/>
        <cfvo type="max"/>
        <color rgb="FF63BE7B"/>
        <color rgb="FFFFEB84"/>
        <color rgb="FFF8696B"/>
      </colorScale>
    </cfRule>
  </conditionalFormatting>
  <conditionalFormatting sqref="G8018:G8041">
    <cfRule type="cellIs" dxfId="1601" priority="2384" operator="between">
      <formula>49</formula>
      <formula>149</formula>
    </cfRule>
    <cfRule type="cellIs" dxfId="1600" priority="2387" operator="lessThan">
      <formula>49</formula>
    </cfRule>
    <cfRule type="cellIs" dxfId="1599" priority="2388" operator="greaterThanOrEqual">
      <formula>150</formula>
    </cfRule>
  </conditionalFormatting>
  <conditionalFormatting sqref="H8018:H8041">
    <cfRule type="cellIs" dxfId="1598" priority="2383" operator="between">
      <formula>0.8</formula>
      <formula>1.2</formula>
    </cfRule>
    <cfRule type="cellIs" dxfId="1597" priority="2385" operator="lessThan">
      <formula>0.8</formula>
    </cfRule>
    <cfRule type="cellIs" dxfId="1596" priority="2386" operator="greaterThanOrEqual">
      <formula>1.2</formula>
    </cfRule>
  </conditionalFormatting>
  <conditionalFormatting sqref="I8018:I8041">
    <cfRule type="colorScale" priority="2382">
      <colorScale>
        <cfvo type="min"/>
        <cfvo type="percentile" val="50"/>
        <cfvo type="max"/>
        <color rgb="FF63BE7B"/>
        <color rgb="FFFFEB84"/>
        <color rgb="FFF8696B"/>
      </colorScale>
    </cfRule>
  </conditionalFormatting>
  <conditionalFormatting sqref="K8019:K8041">
    <cfRule type="colorScale" priority="2381">
      <colorScale>
        <cfvo type="min"/>
        <cfvo type="percentile" val="50"/>
        <cfvo type="max"/>
        <color rgb="FF63BE7B"/>
        <color rgb="FFFFEB84"/>
        <color rgb="FFF8696B"/>
      </colorScale>
    </cfRule>
  </conditionalFormatting>
  <conditionalFormatting sqref="K8018:K8041">
    <cfRule type="colorScale" priority="2380">
      <colorScale>
        <cfvo type="min"/>
        <cfvo type="percentile" val="50"/>
        <cfvo type="max"/>
        <color rgb="FF63BE7B"/>
        <color rgb="FFFFEB84"/>
        <color rgb="FFF8696B"/>
      </colorScale>
    </cfRule>
  </conditionalFormatting>
  <conditionalFormatting sqref="G7994:G8017">
    <cfRule type="cellIs" dxfId="1595" priority="2375" operator="between">
      <formula>49</formula>
      <formula>149</formula>
    </cfRule>
    <cfRule type="cellIs" dxfId="1594" priority="2378" operator="lessThan">
      <formula>49</formula>
    </cfRule>
    <cfRule type="cellIs" dxfId="1593" priority="2379" operator="greaterThanOrEqual">
      <formula>150</formula>
    </cfRule>
  </conditionalFormatting>
  <conditionalFormatting sqref="H7994:H8017">
    <cfRule type="cellIs" dxfId="1592" priority="2374" operator="between">
      <formula>0.8</formula>
      <formula>1.2</formula>
    </cfRule>
    <cfRule type="cellIs" dxfId="1591" priority="2376" operator="lessThan">
      <formula>0.8</formula>
    </cfRule>
    <cfRule type="cellIs" dxfId="1590" priority="2377" operator="greaterThanOrEqual">
      <formula>1.2</formula>
    </cfRule>
  </conditionalFormatting>
  <conditionalFormatting sqref="I7994:I8017">
    <cfRule type="colorScale" priority="2373">
      <colorScale>
        <cfvo type="min"/>
        <cfvo type="percentile" val="50"/>
        <cfvo type="max"/>
        <color rgb="FF63BE7B"/>
        <color rgb="FFFFEB84"/>
        <color rgb="FFF8696B"/>
      </colorScale>
    </cfRule>
  </conditionalFormatting>
  <conditionalFormatting sqref="K7995:K8017">
    <cfRule type="colorScale" priority="2372">
      <colorScale>
        <cfvo type="min"/>
        <cfvo type="percentile" val="50"/>
        <cfvo type="max"/>
        <color rgb="FF63BE7B"/>
        <color rgb="FFFFEB84"/>
        <color rgb="FFF8696B"/>
      </colorScale>
    </cfRule>
  </conditionalFormatting>
  <conditionalFormatting sqref="K7994:K8017">
    <cfRule type="colorScale" priority="2371">
      <colorScale>
        <cfvo type="min"/>
        <cfvo type="percentile" val="50"/>
        <cfvo type="max"/>
        <color rgb="FF63BE7B"/>
        <color rgb="FFFFEB84"/>
        <color rgb="FFF8696B"/>
      </colorScale>
    </cfRule>
  </conditionalFormatting>
  <conditionalFormatting sqref="G7970:G7993">
    <cfRule type="cellIs" dxfId="1589" priority="2366" operator="between">
      <formula>49</formula>
      <formula>149</formula>
    </cfRule>
    <cfRule type="cellIs" dxfId="1588" priority="2369" operator="lessThan">
      <formula>49</formula>
    </cfRule>
    <cfRule type="cellIs" dxfId="1587" priority="2370" operator="greaterThanOrEqual">
      <formula>150</formula>
    </cfRule>
  </conditionalFormatting>
  <conditionalFormatting sqref="H7970:H7993">
    <cfRule type="cellIs" dxfId="1586" priority="2365" operator="between">
      <formula>0.8</formula>
      <formula>1.2</formula>
    </cfRule>
    <cfRule type="cellIs" dxfId="1585" priority="2367" operator="lessThan">
      <formula>0.8</formula>
    </cfRule>
    <cfRule type="cellIs" dxfId="1584" priority="2368" operator="greaterThanOrEqual">
      <formula>1.2</formula>
    </cfRule>
  </conditionalFormatting>
  <conditionalFormatting sqref="I7970:I7993">
    <cfRule type="colorScale" priority="2364">
      <colorScale>
        <cfvo type="min"/>
        <cfvo type="percentile" val="50"/>
        <cfvo type="max"/>
        <color rgb="FF63BE7B"/>
        <color rgb="FFFFEB84"/>
        <color rgb="FFF8696B"/>
      </colorScale>
    </cfRule>
  </conditionalFormatting>
  <conditionalFormatting sqref="K7971:K7993">
    <cfRule type="colorScale" priority="2363">
      <colorScale>
        <cfvo type="min"/>
        <cfvo type="percentile" val="50"/>
        <cfvo type="max"/>
        <color rgb="FF63BE7B"/>
        <color rgb="FFFFEB84"/>
        <color rgb="FFF8696B"/>
      </colorScale>
    </cfRule>
  </conditionalFormatting>
  <conditionalFormatting sqref="K7970:K7993">
    <cfRule type="colorScale" priority="2362">
      <colorScale>
        <cfvo type="min"/>
        <cfvo type="percentile" val="50"/>
        <cfvo type="max"/>
        <color rgb="FF63BE7B"/>
        <color rgb="FFFFEB84"/>
        <color rgb="FFF8696B"/>
      </colorScale>
    </cfRule>
  </conditionalFormatting>
  <conditionalFormatting sqref="G7946:G7969">
    <cfRule type="cellIs" dxfId="1583" priority="2357" operator="between">
      <formula>49</formula>
      <formula>149</formula>
    </cfRule>
    <cfRule type="cellIs" dxfId="1582" priority="2360" operator="lessThan">
      <formula>49</formula>
    </cfRule>
    <cfRule type="cellIs" dxfId="1581" priority="2361" operator="greaterThanOrEqual">
      <formula>150</formula>
    </cfRule>
  </conditionalFormatting>
  <conditionalFormatting sqref="H7946:H7969">
    <cfRule type="cellIs" dxfId="1580" priority="2356" operator="between">
      <formula>0.8</formula>
      <formula>1.2</formula>
    </cfRule>
    <cfRule type="cellIs" dxfId="1579" priority="2358" operator="lessThan">
      <formula>0.8</formula>
    </cfRule>
    <cfRule type="cellIs" dxfId="1578" priority="2359" operator="greaterThanOrEqual">
      <formula>1.2</formula>
    </cfRule>
  </conditionalFormatting>
  <conditionalFormatting sqref="I7946:I7969">
    <cfRule type="colorScale" priority="2355">
      <colorScale>
        <cfvo type="min"/>
        <cfvo type="percentile" val="50"/>
        <cfvo type="max"/>
        <color rgb="FF63BE7B"/>
        <color rgb="FFFFEB84"/>
        <color rgb="FFF8696B"/>
      </colorScale>
    </cfRule>
  </conditionalFormatting>
  <conditionalFormatting sqref="K7947:K7969">
    <cfRule type="colorScale" priority="2354">
      <colorScale>
        <cfvo type="min"/>
        <cfvo type="percentile" val="50"/>
        <cfvo type="max"/>
        <color rgb="FF63BE7B"/>
        <color rgb="FFFFEB84"/>
        <color rgb="FFF8696B"/>
      </colorScale>
    </cfRule>
  </conditionalFormatting>
  <conditionalFormatting sqref="K7946:K7969">
    <cfRule type="colorScale" priority="2353">
      <colorScale>
        <cfvo type="min"/>
        <cfvo type="percentile" val="50"/>
        <cfvo type="max"/>
        <color rgb="FF63BE7B"/>
        <color rgb="FFFFEB84"/>
        <color rgb="FFF8696B"/>
      </colorScale>
    </cfRule>
  </conditionalFormatting>
  <conditionalFormatting sqref="G7922:G7945">
    <cfRule type="cellIs" dxfId="1577" priority="2348" operator="between">
      <formula>49</formula>
      <formula>149</formula>
    </cfRule>
    <cfRule type="cellIs" dxfId="1576" priority="2351" operator="lessThan">
      <formula>49</formula>
    </cfRule>
    <cfRule type="cellIs" dxfId="1575" priority="2352" operator="greaterThanOrEqual">
      <formula>150</formula>
    </cfRule>
  </conditionalFormatting>
  <conditionalFormatting sqref="H7922:H7945">
    <cfRule type="cellIs" dxfId="1574" priority="2347" operator="between">
      <formula>0.8</formula>
      <formula>1.2</formula>
    </cfRule>
    <cfRule type="cellIs" dxfId="1573" priority="2349" operator="lessThan">
      <formula>0.8</formula>
    </cfRule>
    <cfRule type="cellIs" dxfId="1572" priority="2350" operator="greaterThanOrEqual">
      <formula>1.2</formula>
    </cfRule>
  </conditionalFormatting>
  <conditionalFormatting sqref="I7922:I7945">
    <cfRule type="colorScale" priority="2346">
      <colorScale>
        <cfvo type="min"/>
        <cfvo type="percentile" val="50"/>
        <cfvo type="max"/>
        <color rgb="FF63BE7B"/>
        <color rgb="FFFFEB84"/>
        <color rgb="FFF8696B"/>
      </colorScale>
    </cfRule>
  </conditionalFormatting>
  <conditionalFormatting sqref="K7923:K7945">
    <cfRule type="colorScale" priority="2345">
      <colorScale>
        <cfvo type="min"/>
        <cfvo type="percentile" val="50"/>
        <cfvo type="max"/>
        <color rgb="FF63BE7B"/>
        <color rgb="FFFFEB84"/>
        <color rgb="FFF8696B"/>
      </colorScale>
    </cfRule>
  </conditionalFormatting>
  <conditionalFormatting sqref="K7922:K7945">
    <cfRule type="colorScale" priority="2344">
      <colorScale>
        <cfvo type="min"/>
        <cfvo type="percentile" val="50"/>
        <cfvo type="max"/>
        <color rgb="FF63BE7B"/>
        <color rgb="FFFFEB84"/>
        <color rgb="FFF8696B"/>
      </colorScale>
    </cfRule>
  </conditionalFormatting>
  <conditionalFormatting sqref="G7898:G7921">
    <cfRule type="cellIs" dxfId="1571" priority="2339" operator="between">
      <formula>49</formula>
      <formula>149</formula>
    </cfRule>
    <cfRule type="cellIs" dxfId="1570" priority="2342" operator="lessThan">
      <formula>49</formula>
    </cfRule>
    <cfRule type="cellIs" dxfId="1569" priority="2343" operator="greaterThanOrEqual">
      <formula>150</formula>
    </cfRule>
  </conditionalFormatting>
  <conditionalFormatting sqref="H7898:H7921">
    <cfRule type="cellIs" dxfId="1568" priority="2338" operator="between">
      <formula>0.8</formula>
      <formula>1.2</formula>
    </cfRule>
    <cfRule type="cellIs" dxfId="1567" priority="2340" operator="lessThan">
      <formula>0.8</formula>
    </cfRule>
    <cfRule type="cellIs" dxfId="1566" priority="2341" operator="greaterThanOrEqual">
      <formula>1.2</formula>
    </cfRule>
  </conditionalFormatting>
  <conditionalFormatting sqref="I7898:I7921">
    <cfRule type="colorScale" priority="2337">
      <colorScale>
        <cfvo type="min"/>
        <cfvo type="percentile" val="50"/>
        <cfvo type="max"/>
        <color rgb="FF63BE7B"/>
        <color rgb="FFFFEB84"/>
        <color rgb="FFF8696B"/>
      </colorScale>
    </cfRule>
  </conditionalFormatting>
  <conditionalFormatting sqref="K7899:K7921">
    <cfRule type="colorScale" priority="2336">
      <colorScale>
        <cfvo type="min"/>
        <cfvo type="percentile" val="50"/>
        <cfvo type="max"/>
        <color rgb="FF63BE7B"/>
        <color rgb="FFFFEB84"/>
        <color rgb="FFF8696B"/>
      </colorScale>
    </cfRule>
  </conditionalFormatting>
  <conditionalFormatting sqref="K7898:K7921">
    <cfRule type="colorScale" priority="2335">
      <colorScale>
        <cfvo type="min"/>
        <cfvo type="percentile" val="50"/>
        <cfvo type="max"/>
        <color rgb="FF63BE7B"/>
        <color rgb="FFFFEB84"/>
        <color rgb="FFF8696B"/>
      </colorScale>
    </cfRule>
  </conditionalFormatting>
  <conditionalFormatting sqref="G7874:G7897">
    <cfRule type="cellIs" dxfId="1565" priority="2330" operator="between">
      <formula>49</formula>
      <formula>149</formula>
    </cfRule>
    <cfRule type="cellIs" dxfId="1564" priority="2333" operator="lessThan">
      <formula>49</formula>
    </cfRule>
    <cfRule type="cellIs" dxfId="1563" priority="2334" operator="greaterThanOrEqual">
      <formula>150</formula>
    </cfRule>
  </conditionalFormatting>
  <conditionalFormatting sqref="H7874:H7897">
    <cfRule type="cellIs" dxfId="1562" priority="2329" operator="between">
      <formula>0.8</formula>
      <formula>1.2</formula>
    </cfRule>
    <cfRule type="cellIs" dxfId="1561" priority="2331" operator="lessThan">
      <formula>0.8</formula>
    </cfRule>
    <cfRule type="cellIs" dxfId="1560" priority="2332" operator="greaterThanOrEqual">
      <formula>1.2</formula>
    </cfRule>
  </conditionalFormatting>
  <conditionalFormatting sqref="I7874:I7897">
    <cfRule type="colorScale" priority="2328">
      <colorScale>
        <cfvo type="min"/>
        <cfvo type="percentile" val="50"/>
        <cfvo type="max"/>
        <color rgb="FF63BE7B"/>
        <color rgb="FFFFEB84"/>
        <color rgb="FFF8696B"/>
      </colorScale>
    </cfRule>
  </conditionalFormatting>
  <conditionalFormatting sqref="K7875:K7897">
    <cfRule type="colorScale" priority="2327">
      <colorScale>
        <cfvo type="min"/>
        <cfvo type="percentile" val="50"/>
        <cfvo type="max"/>
        <color rgb="FF63BE7B"/>
        <color rgb="FFFFEB84"/>
        <color rgb="FFF8696B"/>
      </colorScale>
    </cfRule>
  </conditionalFormatting>
  <conditionalFormatting sqref="K7874:K7897">
    <cfRule type="colorScale" priority="2326">
      <colorScale>
        <cfvo type="min"/>
        <cfvo type="percentile" val="50"/>
        <cfvo type="max"/>
        <color rgb="FF63BE7B"/>
        <color rgb="FFFFEB84"/>
        <color rgb="FFF8696B"/>
      </colorScale>
    </cfRule>
  </conditionalFormatting>
  <conditionalFormatting sqref="G7850:G7873">
    <cfRule type="cellIs" dxfId="1559" priority="2321" operator="between">
      <formula>49</formula>
      <formula>149</formula>
    </cfRule>
    <cfRule type="cellIs" dxfId="1558" priority="2324" operator="lessThan">
      <formula>49</formula>
    </cfRule>
    <cfRule type="cellIs" dxfId="1557" priority="2325" operator="greaterThanOrEqual">
      <formula>150</formula>
    </cfRule>
  </conditionalFormatting>
  <conditionalFormatting sqref="H7850:H7873">
    <cfRule type="cellIs" dxfId="1556" priority="2320" operator="between">
      <formula>0.8</formula>
      <formula>1.2</formula>
    </cfRule>
    <cfRule type="cellIs" dxfId="1555" priority="2322" operator="lessThan">
      <formula>0.8</formula>
    </cfRule>
    <cfRule type="cellIs" dxfId="1554" priority="2323" operator="greaterThanOrEqual">
      <formula>1.2</formula>
    </cfRule>
  </conditionalFormatting>
  <conditionalFormatting sqref="I7850:I7873">
    <cfRule type="colorScale" priority="2319">
      <colorScale>
        <cfvo type="min"/>
        <cfvo type="percentile" val="50"/>
        <cfvo type="max"/>
        <color rgb="FF63BE7B"/>
        <color rgb="FFFFEB84"/>
        <color rgb="FFF8696B"/>
      </colorScale>
    </cfRule>
  </conditionalFormatting>
  <conditionalFormatting sqref="K7851:K7873">
    <cfRule type="colorScale" priority="2318">
      <colorScale>
        <cfvo type="min"/>
        <cfvo type="percentile" val="50"/>
        <cfvo type="max"/>
        <color rgb="FF63BE7B"/>
        <color rgb="FFFFEB84"/>
        <color rgb="FFF8696B"/>
      </colorScale>
    </cfRule>
  </conditionalFormatting>
  <conditionalFormatting sqref="K7850:K7873">
    <cfRule type="colorScale" priority="2317">
      <colorScale>
        <cfvo type="min"/>
        <cfvo type="percentile" val="50"/>
        <cfvo type="max"/>
        <color rgb="FF63BE7B"/>
        <color rgb="FFFFEB84"/>
        <color rgb="FFF8696B"/>
      </colorScale>
    </cfRule>
  </conditionalFormatting>
  <conditionalFormatting sqref="G7826:G7849">
    <cfRule type="cellIs" dxfId="1553" priority="2312" operator="between">
      <formula>49</formula>
      <formula>149</formula>
    </cfRule>
    <cfRule type="cellIs" dxfId="1552" priority="2315" operator="lessThan">
      <formula>49</formula>
    </cfRule>
    <cfRule type="cellIs" dxfId="1551" priority="2316" operator="greaterThanOrEqual">
      <formula>150</formula>
    </cfRule>
  </conditionalFormatting>
  <conditionalFormatting sqref="H7826:H7849">
    <cfRule type="cellIs" dxfId="1550" priority="2311" operator="between">
      <formula>0.8</formula>
      <formula>1.2</formula>
    </cfRule>
    <cfRule type="cellIs" dxfId="1549" priority="2313" operator="lessThan">
      <formula>0.8</formula>
    </cfRule>
    <cfRule type="cellIs" dxfId="1548" priority="2314" operator="greaterThanOrEqual">
      <formula>1.2</formula>
    </cfRule>
  </conditionalFormatting>
  <conditionalFormatting sqref="I7826:I7849">
    <cfRule type="colorScale" priority="2310">
      <colorScale>
        <cfvo type="min"/>
        <cfvo type="percentile" val="50"/>
        <cfvo type="max"/>
        <color rgb="FF63BE7B"/>
        <color rgb="FFFFEB84"/>
        <color rgb="FFF8696B"/>
      </colorScale>
    </cfRule>
  </conditionalFormatting>
  <conditionalFormatting sqref="K7827:K7849">
    <cfRule type="colorScale" priority="2309">
      <colorScale>
        <cfvo type="min"/>
        <cfvo type="percentile" val="50"/>
        <cfvo type="max"/>
        <color rgb="FF63BE7B"/>
        <color rgb="FFFFEB84"/>
        <color rgb="FFF8696B"/>
      </colorScale>
    </cfRule>
  </conditionalFormatting>
  <conditionalFormatting sqref="K7826:K7849">
    <cfRule type="colorScale" priority="2308">
      <colorScale>
        <cfvo type="min"/>
        <cfvo type="percentile" val="50"/>
        <cfvo type="max"/>
        <color rgb="FF63BE7B"/>
        <color rgb="FFFFEB84"/>
        <color rgb="FFF8696B"/>
      </colorScale>
    </cfRule>
  </conditionalFormatting>
  <conditionalFormatting sqref="G7802:G7825">
    <cfRule type="cellIs" dxfId="1547" priority="2303" operator="between">
      <formula>49</formula>
      <formula>149</formula>
    </cfRule>
    <cfRule type="cellIs" dxfId="1546" priority="2306" operator="lessThan">
      <formula>49</formula>
    </cfRule>
    <cfRule type="cellIs" dxfId="1545" priority="2307" operator="greaterThanOrEqual">
      <formula>150</formula>
    </cfRule>
  </conditionalFormatting>
  <conditionalFormatting sqref="H7802:H7825">
    <cfRule type="cellIs" dxfId="1544" priority="2302" operator="between">
      <formula>0.8</formula>
      <formula>1.2</formula>
    </cfRule>
    <cfRule type="cellIs" dxfId="1543" priority="2304" operator="lessThan">
      <formula>0.8</formula>
    </cfRule>
    <cfRule type="cellIs" dxfId="1542" priority="2305" operator="greaterThanOrEqual">
      <formula>1.2</formula>
    </cfRule>
  </conditionalFormatting>
  <conditionalFormatting sqref="I7802:I7825">
    <cfRule type="colorScale" priority="2301">
      <colorScale>
        <cfvo type="min"/>
        <cfvo type="percentile" val="50"/>
        <cfvo type="max"/>
        <color rgb="FF63BE7B"/>
        <color rgb="FFFFEB84"/>
        <color rgb="FFF8696B"/>
      </colorScale>
    </cfRule>
  </conditionalFormatting>
  <conditionalFormatting sqref="K7803:K7825">
    <cfRule type="colorScale" priority="2300">
      <colorScale>
        <cfvo type="min"/>
        <cfvo type="percentile" val="50"/>
        <cfvo type="max"/>
        <color rgb="FF63BE7B"/>
        <color rgb="FFFFEB84"/>
        <color rgb="FFF8696B"/>
      </colorScale>
    </cfRule>
  </conditionalFormatting>
  <conditionalFormatting sqref="K7802:K7825">
    <cfRule type="colorScale" priority="2299">
      <colorScale>
        <cfvo type="min"/>
        <cfvo type="percentile" val="50"/>
        <cfvo type="max"/>
        <color rgb="FF63BE7B"/>
        <color rgb="FFFFEB84"/>
        <color rgb="FFF8696B"/>
      </colorScale>
    </cfRule>
  </conditionalFormatting>
  <conditionalFormatting sqref="G7778:G7801">
    <cfRule type="cellIs" dxfId="1541" priority="2294" operator="between">
      <formula>49</formula>
      <formula>149</formula>
    </cfRule>
    <cfRule type="cellIs" dxfId="1540" priority="2297" operator="lessThan">
      <formula>49</formula>
    </cfRule>
    <cfRule type="cellIs" dxfId="1539" priority="2298" operator="greaterThanOrEqual">
      <formula>150</formula>
    </cfRule>
  </conditionalFormatting>
  <conditionalFormatting sqref="H7778:H7801">
    <cfRule type="cellIs" dxfId="1538" priority="2293" operator="between">
      <formula>0.8</formula>
      <formula>1.2</formula>
    </cfRule>
    <cfRule type="cellIs" dxfId="1537" priority="2295" operator="lessThan">
      <formula>0.8</formula>
    </cfRule>
    <cfRule type="cellIs" dxfId="1536" priority="2296" operator="greaterThanOrEqual">
      <formula>1.2</formula>
    </cfRule>
  </conditionalFormatting>
  <conditionalFormatting sqref="I7778:I7801">
    <cfRule type="colorScale" priority="2292">
      <colorScale>
        <cfvo type="min"/>
        <cfvo type="percentile" val="50"/>
        <cfvo type="max"/>
        <color rgb="FF63BE7B"/>
        <color rgb="FFFFEB84"/>
        <color rgb="FFF8696B"/>
      </colorScale>
    </cfRule>
  </conditionalFormatting>
  <conditionalFormatting sqref="K7779:K7801">
    <cfRule type="colorScale" priority="2291">
      <colorScale>
        <cfvo type="min"/>
        <cfvo type="percentile" val="50"/>
        <cfvo type="max"/>
        <color rgb="FF63BE7B"/>
        <color rgb="FFFFEB84"/>
        <color rgb="FFF8696B"/>
      </colorScale>
    </cfRule>
  </conditionalFormatting>
  <conditionalFormatting sqref="K7778:K7801">
    <cfRule type="colorScale" priority="2290">
      <colorScale>
        <cfvo type="min"/>
        <cfvo type="percentile" val="50"/>
        <cfvo type="max"/>
        <color rgb="FF63BE7B"/>
        <color rgb="FFFFEB84"/>
        <color rgb="FFF8696B"/>
      </colorScale>
    </cfRule>
  </conditionalFormatting>
  <conditionalFormatting sqref="G7754:G7777">
    <cfRule type="cellIs" dxfId="1535" priority="2285" operator="between">
      <formula>49</formula>
      <formula>149</formula>
    </cfRule>
    <cfRule type="cellIs" dxfId="1534" priority="2288" operator="lessThan">
      <formula>49</formula>
    </cfRule>
    <cfRule type="cellIs" dxfId="1533" priority="2289" operator="greaterThanOrEqual">
      <formula>150</formula>
    </cfRule>
  </conditionalFormatting>
  <conditionalFormatting sqref="H7754:H7777">
    <cfRule type="cellIs" dxfId="1532" priority="2284" operator="between">
      <formula>0.8</formula>
      <formula>1.2</formula>
    </cfRule>
    <cfRule type="cellIs" dxfId="1531" priority="2286" operator="lessThan">
      <formula>0.8</formula>
    </cfRule>
    <cfRule type="cellIs" dxfId="1530" priority="2287" operator="greaterThanOrEqual">
      <formula>1.2</formula>
    </cfRule>
  </conditionalFormatting>
  <conditionalFormatting sqref="I7754:I7777">
    <cfRule type="colorScale" priority="2283">
      <colorScale>
        <cfvo type="min"/>
        <cfvo type="percentile" val="50"/>
        <cfvo type="max"/>
        <color rgb="FF63BE7B"/>
        <color rgb="FFFFEB84"/>
        <color rgb="FFF8696B"/>
      </colorScale>
    </cfRule>
  </conditionalFormatting>
  <conditionalFormatting sqref="K7755:K7777">
    <cfRule type="colorScale" priority="2282">
      <colorScale>
        <cfvo type="min"/>
        <cfvo type="percentile" val="50"/>
        <cfvo type="max"/>
        <color rgb="FF63BE7B"/>
        <color rgb="FFFFEB84"/>
        <color rgb="FFF8696B"/>
      </colorScale>
    </cfRule>
  </conditionalFormatting>
  <conditionalFormatting sqref="K7754:K7777">
    <cfRule type="colorScale" priority="2281">
      <colorScale>
        <cfvo type="min"/>
        <cfvo type="percentile" val="50"/>
        <cfvo type="max"/>
        <color rgb="FF63BE7B"/>
        <color rgb="FFFFEB84"/>
        <color rgb="FFF8696B"/>
      </colorScale>
    </cfRule>
  </conditionalFormatting>
  <conditionalFormatting sqref="G7730:G7753">
    <cfRule type="cellIs" dxfId="1529" priority="2276" operator="between">
      <formula>49</formula>
      <formula>149</formula>
    </cfRule>
    <cfRule type="cellIs" dxfId="1528" priority="2279" operator="lessThan">
      <formula>49</formula>
    </cfRule>
    <cfRule type="cellIs" dxfId="1527" priority="2280" operator="greaterThanOrEqual">
      <formula>150</formula>
    </cfRule>
  </conditionalFormatting>
  <conditionalFormatting sqref="H7730:H7753">
    <cfRule type="cellIs" dxfId="1526" priority="2275" operator="between">
      <formula>0.8</formula>
      <formula>1.2</formula>
    </cfRule>
    <cfRule type="cellIs" dxfId="1525" priority="2277" operator="lessThan">
      <formula>0.8</formula>
    </cfRule>
    <cfRule type="cellIs" dxfId="1524" priority="2278" operator="greaterThanOrEqual">
      <formula>1.2</formula>
    </cfRule>
  </conditionalFormatting>
  <conditionalFormatting sqref="I7730:I7753">
    <cfRule type="colorScale" priority="2274">
      <colorScale>
        <cfvo type="min"/>
        <cfvo type="percentile" val="50"/>
        <cfvo type="max"/>
        <color rgb="FF63BE7B"/>
        <color rgb="FFFFEB84"/>
        <color rgb="FFF8696B"/>
      </colorScale>
    </cfRule>
  </conditionalFormatting>
  <conditionalFormatting sqref="K7731:K7753">
    <cfRule type="colorScale" priority="2273">
      <colorScale>
        <cfvo type="min"/>
        <cfvo type="percentile" val="50"/>
        <cfvo type="max"/>
        <color rgb="FF63BE7B"/>
        <color rgb="FFFFEB84"/>
        <color rgb="FFF8696B"/>
      </colorScale>
    </cfRule>
  </conditionalFormatting>
  <conditionalFormatting sqref="K7730:K7753">
    <cfRule type="colorScale" priority="2272">
      <colorScale>
        <cfvo type="min"/>
        <cfvo type="percentile" val="50"/>
        <cfvo type="max"/>
        <color rgb="FF63BE7B"/>
        <color rgb="FFFFEB84"/>
        <color rgb="FFF8696B"/>
      </colorScale>
    </cfRule>
  </conditionalFormatting>
  <conditionalFormatting sqref="G7706:G7729">
    <cfRule type="cellIs" dxfId="1523" priority="2267" operator="between">
      <formula>49</formula>
      <formula>149</formula>
    </cfRule>
    <cfRule type="cellIs" dxfId="1522" priority="2270" operator="lessThan">
      <formula>49</formula>
    </cfRule>
    <cfRule type="cellIs" dxfId="1521" priority="2271" operator="greaterThanOrEqual">
      <formula>150</formula>
    </cfRule>
  </conditionalFormatting>
  <conditionalFormatting sqref="H7706:H7729">
    <cfRule type="cellIs" dxfId="1520" priority="2266" operator="between">
      <formula>0.8</formula>
      <formula>1.2</formula>
    </cfRule>
    <cfRule type="cellIs" dxfId="1519" priority="2268" operator="lessThan">
      <formula>0.8</formula>
    </cfRule>
    <cfRule type="cellIs" dxfId="1518" priority="2269" operator="greaterThanOrEqual">
      <formula>1.2</formula>
    </cfRule>
  </conditionalFormatting>
  <conditionalFormatting sqref="I7706:I7729">
    <cfRule type="colorScale" priority="2265">
      <colorScale>
        <cfvo type="min"/>
        <cfvo type="percentile" val="50"/>
        <cfvo type="max"/>
        <color rgb="FF63BE7B"/>
        <color rgb="FFFFEB84"/>
        <color rgb="FFF8696B"/>
      </colorScale>
    </cfRule>
  </conditionalFormatting>
  <conditionalFormatting sqref="K7707:K7729">
    <cfRule type="colorScale" priority="2264">
      <colorScale>
        <cfvo type="min"/>
        <cfvo type="percentile" val="50"/>
        <cfvo type="max"/>
        <color rgb="FF63BE7B"/>
        <color rgb="FFFFEB84"/>
        <color rgb="FFF8696B"/>
      </colorScale>
    </cfRule>
  </conditionalFormatting>
  <conditionalFormatting sqref="K7706:K7729">
    <cfRule type="colorScale" priority="2263">
      <colorScale>
        <cfvo type="min"/>
        <cfvo type="percentile" val="50"/>
        <cfvo type="max"/>
        <color rgb="FF63BE7B"/>
        <color rgb="FFFFEB84"/>
        <color rgb="FFF8696B"/>
      </colorScale>
    </cfRule>
  </conditionalFormatting>
  <conditionalFormatting sqref="G7682:G7705">
    <cfRule type="cellIs" dxfId="1517" priority="2258" operator="between">
      <formula>49</formula>
      <formula>149</formula>
    </cfRule>
    <cfRule type="cellIs" dxfId="1516" priority="2261" operator="lessThan">
      <formula>49</formula>
    </cfRule>
    <cfRule type="cellIs" dxfId="1515" priority="2262" operator="greaterThanOrEqual">
      <formula>150</formula>
    </cfRule>
  </conditionalFormatting>
  <conditionalFormatting sqref="H7682:H7705">
    <cfRule type="cellIs" dxfId="1514" priority="2257" operator="between">
      <formula>0.8</formula>
      <formula>1.2</formula>
    </cfRule>
    <cfRule type="cellIs" dxfId="1513" priority="2259" operator="lessThan">
      <formula>0.8</formula>
    </cfRule>
    <cfRule type="cellIs" dxfId="1512" priority="2260" operator="greaterThanOrEqual">
      <formula>1.2</formula>
    </cfRule>
  </conditionalFormatting>
  <conditionalFormatting sqref="I7682:I7705">
    <cfRule type="colorScale" priority="2256">
      <colorScale>
        <cfvo type="min"/>
        <cfvo type="percentile" val="50"/>
        <cfvo type="max"/>
        <color rgb="FF63BE7B"/>
        <color rgb="FFFFEB84"/>
        <color rgb="FFF8696B"/>
      </colorScale>
    </cfRule>
  </conditionalFormatting>
  <conditionalFormatting sqref="K7683:K7705">
    <cfRule type="colorScale" priority="2255">
      <colorScale>
        <cfvo type="min"/>
        <cfvo type="percentile" val="50"/>
        <cfvo type="max"/>
        <color rgb="FF63BE7B"/>
        <color rgb="FFFFEB84"/>
        <color rgb="FFF8696B"/>
      </colorScale>
    </cfRule>
  </conditionalFormatting>
  <conditionalFormatting sqref="K7682:K7705">
    <cfRule type="colorScale" priority="2254">
      <colorScale>
        <cfvo type="min"/>
        <cfvo type="percentile" val="50"/>
        <cfvo type="max"/>
        <color rgb="FF63BE7B"/>
        <color rgb="FFFFEB84"/>
        <color rgb="FFF8696B"/>
      </colorScale>
    </cfRule>
  </conditionalFormatting>
  <conditionalFormatting sqref="G7658:G7681">
    <cfRule type="cellIs" dxfId="1511" priority="2249" operator="between">
      <formula>49</formula>
      <formula>149</formula>
    </cfRule>
    <cfRule type="cellIs" dxfId="1510" priority="2252" operator="lessThan">
      <formula>49</formula>
    </cfRule>
    <cfRule type="cellIs" dxfId="1509" priority="2253" operator="greaterThanOrEqual">
      <formula>150</formula>
    </cfRule>
  </conditionalFormatting>
  <conditionalFormatting sqref="H7658:H7681">
    <cfRule type="cellIs" dxfId="1508" priority="2248" operator="between">
      <formula>0.8</formula>
      <formula>1.2</formula>
    </cfRule>
    <cfRule type="cellIs" dxfId="1507" priority="2250" operator="lessThan">
      <formula>0.8</formula>
    </cfRule>
    <cfRule type="cellIs" dxfId="1506" priority="2251" operator="greaterThanOrEqual">
      <formula>1.2</formula>
    </cfRule>
  </conditionalFormatting>
  <conditionalFormatting sqref="I7658:I7681">
    <cfRule type="colorScale" priority="2247">
      <colorScale>
        <cfvo type="min"/>
        <cfvo type="percentile" val="50"/>
        <cfvo type="max"/>
        <color rgb="FF63BE7B"/>
        <color rgb="FFFFEB84"/>
        <color rgb="FFF8696B"/>
      </colorScale>
    </cfRule>
  </conditionalFormatting>
  <conditionalFormatting sqref="K7659:K7681">
    <cfRule type="colorScale" priority="2246">
      <colorScale>
        <cfvo type="min"/>
        <cfvo type="percentile" val="50"/>
        <cfvo type="max"/>
        <color rgb="FF63BE7B"/>
        <color rgb="FFFFEB84"/>
        <color rgb="FFF8696B"/>
      </colorScale>
    </cfRule>
  </conditionalFormatting>
  <conditionalFormatting sqref="K7658:K7681">
    <cfRule type="colorScale" priority="2245">
      <colorScale>
        <cfvo type="min"/>
        <cfvo type="percentile" val="50"/>
        <cfvo type="max"/>
        <color rgb="FF63BE7B"/>
        <color rgb="FFFFEB84"/>
        <color rgb="FFF8696B"/>
      </colorScale>
    </cfRule>
  </conditionalFormatting>
  <conditionalFormatting sqref="G7634:G7657">
    <cfRule type="cellIs" dxfId="1505" priority="2240" operator="between">
      <formula>49</formula>
      <formula>149</formula>
    </cfRule>
    <cfRule type="cellIs" dxfId="1504" priority="2243" operator="lessThan">
      <formula>49</formula>
    </cfRule>
    <cfRule type="cellIs" dxfId="1503" priority="2244" operator="greaterThanOrEqual">
      <formula>150</formula>
    </cfRule>
  </conditionalFormatting>
  <conditionalFormatting sqref="H7634:H7657">
    <cfRule type="cellIs" dxfId="1502" priority="2239" operator="between">
      <formula>0.8</formula>
      <formula>1.2</formula>
    </cfRule>
    <cfRule type="cellIs" dxfId="1501" priority="2241" operator="lessThan">
      <formula>0.8</formula>
    </cfRule>
    <cfRule type="cellIs" dxfId="1500" priority="2242" operator="greaterThanOrEqual">
      <formula>1.2</formula>
    </cfRule>
  </conditionalFormatting>
  <conditionalFormatting sqref="I7634:I7657">
    <cfRule type="colorScale" priority="2238">
      <colorScale>
        <cfvo type="min"/>
        <cfvo type="percentile" val="50"/>
        <cfvo type="max"/>
        <color rgb="FF63BE7B"/>
        <color rgb="FFFFEB84"/>
        <color rgb="FFF8696B"/>
      </colorScale>
    </cfRule>
  </conditionalFormatting>
  <conditionalFormatting sqref="K7635:K7657">
    <cfRule type="colorScale" priority="2237">
      <colorScale>
        <cfvo type="min"/>
        <cfvo type="percentile" val="50"/>
        <cfvo type="max"/>
        <color rgb="FF63BE7B"/>
        <color rgb="FFFFEB84"/>
        <color rgb="FFF8696B"/>
      </colorScale>
    </cfRule>
  </conditionalFormatting>
  <conditionalFormatting sqref="K7634:K7657">
    <cfRule type="colorScale" priority="2236">
      <colorScale>
        <cfvo type="min"/>
        <cfvo type="percentile" val="50"/>
        <cfvo type="max"/>
        <color rgb="FF63BE7B"/>
        <color rgb="FFFFEB84"/>
        <color rgb="FFF8696B"/>
      </colorScale>
    </cfRule>
  </conditionalFormatting>
  <conditionalFormatting sqref="G7610:G7633">
    <cfRule type="cellIs" dxfId="1499" priority="2231" operator="between">
      <formula>49</formula>
      <formula>149</formula>
    </cfRule>
    <cfRule type="cellIs" dxfId="1498" priority="2234" operator="lessThan">
      <formula>49</formula>
    </cfRule>
    <cfRule type="cellIs" dxfId="1497" priority="2235" operator="greaterThanOrEqual">
      <formula>150</formula>
    </cfRule>
  </conditionalFormatting>
  <conditionalFormatting sqref="H7610:H7633">
    <cfRule type="cellIs" dxfId="1496" priority="2230" operator="between">
      <formula>0.8</formula>
      <formula>1.2</formula>
    </cfRule>
    <cfRule type="cellIs" dxfId="1495" priority="2232" operator="lessThan">
      <formula>0.8</formula>
    </cfRule>
    <cfRule type="cellIs" dxfId="1494" priority="2233" operator="greaterThanOrEqual">
      <formula>1.2</formula>
    </cfRule>
  </conditionalFormatting>
  <conditionalFormatting sqref="I7610:I7633">
    <cfRule type="colorScale" priority="2229">
      <colorScale>
        <cfvo type="min"/>
        <cfvo type="percentile" val="50"/>
        <cfvo type="max"/>
        <color rgb="FF63BE7B"/>
        <color rgb="FFFFEB84"/>
        <color rgb="FFF8696B"/>
      </colorScale>
    </cfRule>
  </conditionalFormatting>
  <conditionalFormatting sqref="K7611:K7633">
    <cfRule type="colorScale" priority="2228">
      <colorScale>
        <cfvo type="min"/>
        <cfvo type="percentile" val="50"/>
        <cfvo type="max"/>
        <color rgb="FF63BE7B"/>
        <color rgb="FFFFEB84"/>
        <color rgb="FFF8696B"/>
      </colorScale>
    </cfRule>
  </conditionalFormatting>
  <conditionalFormatting sqref="K7610:K7633">
    <cfRule type="colorScale" priority="2227">
      <colorScale>
        <cfvo type="min"/>
        <cfvo type="percentile" val="50"/>
        <cfvo type="max"/>
        <color rgb="FF63BE7B"/>
        <color rgb="FFFFEB84"/>
        <color rgb="FFF8696B"/>
      </colorScale>
    </cfRule>
  </conditionalFormatting>
  <conditionalFormatting sqref="G7586:G7609">
    <cfRule type="cellIs" dxfId="1493" priority="2222" operator="between">
      <formula>49</formula>
      <formula>149</formula>
    </cfRule>
    <cfRule type="cellIs" dxfId="1492" priority="2225" operator="lessThan">
      <formula>49</formula>
    </cfRule>
    <cfRule type="cellIs" dxfId="1491" priority="2226" operator="greaterThanOrEqual">
      <formula>150</formula>
    </cfRule>
  </conditionalFormatting>
  <conditionalFormatting sqref="H7586:H7609">
    <cfRule type="cellIs" dxfId="1490" priority="2221" operator="between">
      <formula>0.8</formula>
      <formula>1.2</formula>
    </cfRule>
    <cfRule type="cellIs" dxfId="1489" priority="2223" operator="lessThan">
      <formula>0.8</formula>
    </cfRule>
    <cfRule type="cellIs" dxfId="1488" priority="2224" operator="greaterThanOrEqual">
      <formula>1.2</formula>
    </cfRule>
  </conditionalFormatting>
  <conditionalFormatting sqref="I7586:I7609">
    <cfRule type="colorScale" priority="2220">
      <colorScale>
        <cfvo type="min"/>
        <cfvo type="percentile" val="50"/>
        <cfvo type="max"/>
        <color rgb="FF63BE7B"/>
        <color rgb="FFFFEB84"/>
        <color rgb="FFF8696B"/>
      </colorScale>
    </cfRule>
  </conditionalFormatting>
  <conditionalFormatting sqref="K7587:K7609">
    <cfRule type="colorScale" priority="2219">
      <colorScale>
        <cfvo type="min"/>
        <cfvo type="percentile" val="50"/>
        <cfvo type="max"/>
        <color rgb="FF63BE7B"/>
        <color rgb="FFFFEB84"/>
        <color rgb="FFF8696B"/>
      </colorScale>
    </cfRule>
  </conditionalFormatting>
  <conditionalFormatting sqref="K7586:K7609">
    <cfRule type="colorScale" priority="2218">
      <colorScale>
        <cfvo type="min"/>
        <cfvo type="percentile" val="50"/>
        <cfvo type="max"/>
        <color rgb="FF63BE7B"/>
        <color rgb="FFFFEB84"/>
        <color rgb="FFF8696B"/>
      </colorScale>
    </cfRule>
  </conditionalFormatting>
  <conditionalFormatting sqref="G7562:G7585">
    <cfRule type="cellIs" dxfId="1487" priority="2213" operator="between">
      <formula>49</formula>
      <formula>149</formula>
    </cfRule>
    <cfRule type="cellIs" dxfId="1486" priority="2216" operator="lessThan">
      <formula>49</formula>
    </cfRule>
    <cfRule type="cellIs" dxfId="1485" priority="2217" operator="greaterThanOrEqual">
      <formula>150</formula>
    </cfRule>
  </conditionalFormatting>
  <conditionalFormatting sqref="H7562:H7585">
    <cfRule type="cellIs" dxfId="1484" priority="2212" operator="between">
      <formula>0.8</formula>
      <formula>1.2</formula>
    </cfRule>
    <cfRule type="cellIs" dxfId="1483" priority="2214" operator="lessThan">
      <formula>0.8</formula>
    </cfRule>
    <cfRule type="cellIs" dxfId="1482" priority="2215" operator="greaterThanOrEqual">
      <formula>1.2</formula>
    </cfRule>
  </conditionalFormatting>
  <conditionalFormatting sqref="I7562:I7585">
    <cfRule type="colorScale" priority="2211">
      <colorScale>
        <cfvo type="min"/>
        <cfvo type="percentile" val="50"/>
        <cfvo type="max"/>
        <color rgb="FF63BE7B"/>
        <color rgb="FFFFEB84"/>
        <color rgb="FFF8696B"/>
      </colorScale>
    </cfRule>
  </conditionalFormatting>
  <conditionalFormatting sqref="K7563:K7585">
    <cfRule type="colorScale" priority="2210">
      <colorScale>
        <cfvo type="min"/>
        <cfvo type="percentile" val="50"/>
        <cfvo type="max"/>
        <color rgb="FF63BE7B"/>
        <color rgb="FFFFEB84"/>
        <color rgb="FFF8696B"/>
      </colorScale>
    </cfRule>
  </conditionalFormatting>
  <conditionalFormatting sqref="K7562:K7585">
    <cfRule type="colorScale" priority="2209">
      <colorScale>
        <cfvo type="min"/>
        <cfvo type="percentile" val="50"/>
        <cfvo type="max"/>
        <color rgb="FF63BE7B"/>
        <color rgb="FFFFEB84"/>
        <color rgb="FFF8696B"/>
      </colorScale>
    </cfRule>
  </conditionalFormatting>
  <conditionalFormatting sqref="G7538:G7561">
    <cfRule type="cellIs" dxfId="1481" priority="2204" operator="between">
      <formula>49</formula>
      <formula>149</formula>
    </cfRule>
    <cfRule type="cellIs" dxfId="1480" priority="2207" operator="lessThan">
      <formula>49</formula>
    </cfRule>
    <cfRule type="cellIs" dxfId="1479" priority="2208" operator="greaterThanOrEqual">
      <formula>150</formula>
    </cfRule>
  </conditionalFormatting>
  <conditionalFormatting sqref="H7538:H7561">
    <cfRule type="cellIs" dxfId="1478" priority="2203" operator="between">
      <formula>0.8</formula>
      <formula>1.2</formula>
    </cfRule>
    <cfRule type="cellIs" dxfId="1477" priority="2205" operator="lessThan">
      <formula>0.8</formula>
    </cfRule>
    <cfRule type="cellIs" dxfId="1476" priority="2206" operator="greaterThanOrEqual">
      <formula>1.2</formula>
    </cfRule>
  </conditionalFormatting>
  <conditionalFormatting sqref="I7538:I7561">
    <cfRule type="colorScale" priority="2202">
      <colorScale>
        <cfvo type="min"/>
        <cfvo type="percentile" val="50"/>
        <cfvo type="max"/>
        <color rgb="FF63BE7B"/>
        <color rgb="FFFFEB84"/>
        <color rgb="FFF8696B"/>
      </colorScale>
    </cfRule>
  </conditionalFormatting>
  <conditionalFormatting sqref="K7539:K7561">
    <cfRule type="colorScale" priority="2201">
      <colorScale>
        <cfvo type="min"/>
        <cfvo type="percentile" val="50"/>
        <cfvo type="max"/>
        <color rgb="FF63BE7B"/>
        <color rgb="FFFFEB84"/>
        <color rgb="FFF8696B"/>
      </colorScale>
    </cfRule>
  </conditionalFormatting>
  <conditionalFormatting sqref="K7538:K7561">
    <cfRule type="colorScale" priority="2200">
      <colorScale>
        <cfvo type="min"/>
        <cfvo type="percentile" val="50"/>
        <cfvo type="max"/>
        <color rgb="FF63BE7B"/>
        <color rgb="FFFFEB84"/>
        <color rgb="FFF8696B"/>
      </colorScale>
    </cfRule>
  </conditionalFormatting>
  <conditionalFormatting sqref="G7514:G7537">
    <cfRule type="cellIs" dxfId="1475" priority="2195" operator="between">
      <formula>49</formula>
      <formula>149</formula>
    </cfRule>
    <cfRule type="cellIs" dxfId="1474" priority="2198" operator="lessThan">
      <formula>49</formula>
    </cfRule>
    <cfRule type="cellIs" dxfId="1473" priority="2199" operator="greaterThanOrEqual">
      <formula>150</formula>
    </cfRule>
  </conditionalFormatting>
  <conditionalFormatting sqref="H7514:H7537">
    <cfRule type="cellIs" dxfId="1472" priority="2194" operator="between">
      <formula>0.8</formula>
      <formula>1.2</formula>
    </cfRule>
    <cfRule type="cellIs" dxfId="1471" priority="2196" operator="lessThan">
      <formula>0.8</formula>
    </cfRule>
    <cfRule type="cellIs" dxfId="1470" priority="2197" operator="greaterThanOrEqual">
      <formula>1.2</formula>
    </cfRule>
  </conditionalFormatting>
  <conditionalFormatting sqref="I7514:I7537">
    <cfRule type="colorScale" priority="2193">
      <colorScale>
        <cfvo type="min"/>
        <cfvo type="percentile" val="50"/>
        <cfvo type="max"/>
        <color rgb="FF63BE7B"/>
        <color rgb="FFFFEB84"/>
        <color rgb="FFF8696B"/>
      </colorScale>
    </cfRule>
  </conditionalFormatting>
  <conditionalFormatting sqref="K7515:K7537">
    <cfRule type="colorScale" priority="2192">
      <colorScale>
        <cfvo type="min"/>
        <cfvo type="percentile" val="50"/>
        <cfvo type="max"/>
        <color rgb="FF63BE7B"/>
        <color rgb="FFFFEB84"/>
        <color rgb="FFF8696B"/>
      </colorScale>
    </cfRule>
  </conditionalFormatting>
  <conditionalFormatting sqref="K7514:K7537">
    <cfRule type="colorScale" priority="2191">
      <colorScale>
        <cfvo type="min"/>
        <cfvo type="percentile" val="50"/>
        <cfvo type="max"/>
        <color rgb="FF63BE7B"/>
        <color rgb="FFFFEB84"/>
        <color rgb="FFF8696B"/>
      </colorScale>
    </cfRule>
  </conditionalFormatting>
  <conditionalFormatting sqref="G7490:G7513">
    <cfRule type="cellIs" dxfId="1469" priority="2186" operator="between">
      <formula>49</formula>
      <formula>149</formula>
    </cfRule>
    <cfRule type="cellIs" dxfId="1468" priority="2189" operator="lessThan">
      <formula>49</formula>
    </cfRule>
    <cfRule type="cellIs" dxfId="1467" priority="2190" operator="greaterThanOrEqual">
      <formula>150</formula>
    </cfRule>
  </conditionalFormatting>
  <conditionalFormatting sqref="H7490:H7513">
    <cfRule type="cellIs" dxfId="1466" priority="2185" operator="between">
      <formula>0.8</formula>
      <formula>1.2</formula>
    </cfRule>
    <cfRule type="cellIs" dxfId="1465" priority="2187" operator="lessThan">
      <formula>0.8</formula>
    </cfRule>
    <cfRule type="cellIs" dxfId="1464" priority="2188" operator="greaterThanOrEqual">
      <formula>1.2</formula>
    </cfRule>
  </conditionalFormatting>
  <conditionalFormatting sqref="I7490:I7513">
    <cfRule type="colorScale" priority="2184">
      <colorScale>
        <cfvo type="min"/>
        <cfvo type="percentile" val="50"/>
        <cfvo type="max"/>
        <color rgb="FF63BE7B"/>
        <color rgb="FFFFEB84"/>
        <color rgb="FFF8696B"/>
      </colorScale>
    </cfRule>
  </conditionalFormatting>
  <conditionalFormatting sqref="K7491:K7513">
    <cfRule type="colorScale" priority="2183">
      <colorScale>
        <cfvo type="min"/>
        <cfvo type="percentile" val="50"/>
        <cfvo type="max"/>
        <color rgb="FF63BE7B"/>
        <color rgb="FFFFEB84"/>
        <color rgb="FFF8696B"/>
      </colorScale>
    </cfRule>
  </conditionalFormatting>
  <conditionalFormatting sqref="K7490:K7513">
    <cfRule type="colorScale" priority="2182">
      <colorScale>
        <cfvo type="min"/>
        <cfvo type="percentile" val="50"/>
        <cfvo type="max"/>
        <color rgb="FF63BE7B"/>
        <color rgb="FFFFEB84"/>
        <color rgb="FFF8696B"/>
      </colorScale>
    </cfRule>
  </conditionalFormatting>
  <conditionalFormatting sqref="G7466:G7489">
    <cfRule type="cellIs" dxfId="1463" priority="2177" operator="between">
      <formula>49</formula>
      <formula>149</formula>
    </cfRule>
    <cfRule type="cellIs" dxfId="1462" priority="2180" operator="lessThan">
      <formula>49</formula>
    </cfRule>
    <cfRule type="cellIs" dxfId="1461" priority="2181" operator="greaterThanOrEqual">
      <formula>150</formula>
    </cfRule>
  </conditionalFormatting>
  <conditionalFormatting sqref="H7466:H7489">
    <cfRule type="cellIs" dxfId="1460" priority="2176" operator="between">
      <formula>0.8</formula>
      <formula>1.2</formula>
    </cfRule>
    <cfRule type="cellIs" dxfId="1459" priority="2178" operator="lessThan">
      <formula>0.8</formula>
    </cfRule>
    <cfRule type="cellIs" dxfId="1458" priority="2179" operator="greaterThanOrEqual">
      <formula>1.2</formula>
    </cfRule>
  </conditionalFormatting>
  <conditionalFormatting sqref="I7466:I7489">
    <cfRule type="colorScale" priority="2175">
      <colorScale>
        <cfvo type="min"/>
        <cfvo type="percentile" val="50"/>
        <cfvo type="max"/>
        <color rgb="FF63BE7B"/>
        <color rgb="FFFFEB84"/>
        <color rgb="FFF8696B"/>
      </colorScale>
    </cfRule>
  </conditionalFormatting>
  <conditionalFormatting sqref="K7467:K7489">
    <cfRule type="colorScale" priority="2174">
      <colorScale>
        <cfvo type="min"/>
        <cfvo type="percentile" val="50"/>
        <cfvo type="max"/>
        <color rgb="FF63BE7B"/>
        <color rgb="FFFFEB84"/>
        <color rgb="FFF8696B"/>
      </colorScale>
    </cfRule>
  </conditionalFormatting>
  <conditionalFormatting sqref="K7466:K7489">
    <cfRule type="colorScale" priority="2173">
      <colorScale>
        <cfvo type="min"/>
        <cfvo type="percentile" val="50"/>
        <cfvo type="max"/>
        <color rgb="FF63BE7B"/>
        <color rgb="FFFFEB84"/>
        <color rgb="FFF8696B"/>
      </colorScale>
    </cfRule>
  </conditionalFormatting>
  <conditionalFormatting sqref="G7442:G7465">
    <cfRule type="cellIs" dxfId="1457" priority="2168" operator="between">
      <formula>49</formula>
      <formula>149</formula>
    </cfRule>
    <cfRule type="cellIs" dxfId="1456" priority="2171" operator="lessThan">
      <formula>49</formula>
    </cfRule>
    <cfRule type="cellIs" dxfId="1455" priority="2172" operator="greaterThanOrEqual">
      <formula>150</formula>
    </cfRule>
  </conditionalFormatting>
  <conditionalFormatting sqref="H7442:H7465">
    <cfRule type="cellIs" dxfId="1454" priority="2167" operator="between">
      <formula>0.8</formula>
      <formula>1.2</formula>
    </cfRule>
    <cfRule type="cellIs" dxfId="1453" priority="2169" operator="lessThan">
      <formula>0.8</formula>
    </cfRule>
    <cfRule type="cellIs" dxfId="1452" priority="2170" operator="greaterThanOrEqual">
      <formula>1.2</formula>
    </cfRule>
  </conditionalFormatting>
  <conditionalFormatting sqref="I7442:I7465">
    <cfRule type="colorScale" priority="2166">
      <colorScale>
        <cfvo type="min"/>
        <cfvo type="percentile" val="50"/>
        <cfvo type="max"/>
        <color rgb="FF63BE7B"/>
        <color rgb="FFFFEB84"/>
        <color rgb="FFF8696B"/>
      </colorScale>
    </cfRule>
  </conditionalFormatting>
  <conditionalFormatting sqref="K7443:K7465">
    <cfRule type="colorScale" priority="2165">
      <colorScale>
        <cfvo type="min"/>
        <cfvo type="percentile" val="50"/>
        <cfvo type="max"/>
        <color rgb="FF63BE7B"/>
        <color rgb="FFFFEB84"/>
        <color rgb="FFF8696B"/>
      </colorScale>
    </cfRule>
  </conditionalFormatting>
  <conditionalFormatting sqref="K7442:K7465">
    <cfRule type="colorScale" priority="2164">
      <colorScale>
        <cfvo type="min"/>
        <cfvo type="percentile" val="50"/>
        <cfvo type="max"/>
        <color rgb="FF63BE7B"/>
        <color rgb="FFFFEB84"/>
        <color rgb="FFF8696B"/>
      </colorScale>
    </cfRule>
  </conditionalFormatting>
  <conditionalFormatting sqref="G7418:G7441">
    <cfRule type="cellIs" dxfId="1451" priority="2159" operator="between">
      <formula>49</formula>
      <formula>149</formula>
    </cfRule>
    <cfRule type="cellIs" dxfId="1450" priority="2162" operator="lessThan">
      <formula>49</formula>
    </cfRule>
    <cfRule type="cellIs" dxfId="1449" priority="2163" operator="greaterThanOrEqual">
      <formula>150</formula>
    </cfRule>
  </conditionalFormatting>
  <conditionalFormatting sqref="H7418:H7441">
    <cfRule type="cellIs" dxfId="1448" priority="2158" operator="between">
      <formula>0.8</formula>
      <formula>1.2</formula>
    </cfRule>
    <cfRule type="cellIs" dxfId="1447" priority="2160" operator="lessThan">
      <formula>0.8</formula>
    </cfRule>
    <cfRule type="cellIs" dxfId="1446" priority="2161" operator="greaterThanOrEqual">
      <formula>1.2</formula>
    </cfRule>
  </conditionalFormatting>
  <conditionalFormatting sqref="I7418:I7441">
    <cfRule type="colorScale" priority="2157">
      <colorScale>
        <cfvo type="min"/>
        <cfvo type="percentile" val="50"/>
        <cfvo type="max"/>
        <color rgb="FF63BE7B"/>
        <color rgb="FFFFEB84"/>
        <color rgb="FFF8696B"/>
      </colorScale>
    </cfRule>
  </conditionalFormatting>
  <conditionalFormatting sqref="K7419:K7441">
    <cfRule type="colorScale" priority="2156">
      <colorScale>
        <cfvo type="min"/>
        <cfvo type="percentile" val="50"/>
        <cfvo type="max"/>
        <color rgb="FF63BE7B"/>
        <color rgb="FFFFEB84"/>
        <color rgb="FFF8696B"/>
      </colorScale>
    </cfRule>
  </conditionalFormatting>
  <conditionalFormatting sqref="K7418:K7441">
    <cfRule type="colorScale" priority="2155">
      <colorScale>
        <cfvo type="min"/>
        <cfvo type="percentile" val="50"/>
        <cfvo type="max"/>
        <color rgb="FF63BE7B"/>
        <color rgb="FFFFEB84"/>
        <color rgb="FFF8696B"/>
      </colorScale>
    </cfRule>
  </conditionalFormatting>
  <conditionalFormatting sqref="G7394:G7417">
    <cfRule type="cellIs" dxfId="1445" priority="2150" operator="between">
      <formula>49</formula>
      <formula>149</formula>
    </cfRule>
    <cfRule type="cellIs" dxfId="1444" priority="2153" operator="lessThan">
      <formula>49</formula>
    </cfRule>
    <cfRule type="cellIs" dxfId="1443" priority="2154" operator="greaterThanOrEqual">
      <formula>150</formula>
    </cfRule>
  </conditionalFormatting>
  <conditionalFormatting sqref="H7394:H7417">
    <cfRule type="cellIs" dxfId="1442" priority="2149" operator="between">
      <formula>0.8</formula>
      <formula>1.2</formula>
    </cfRule>
    <cfRule type="cellIs" dxfId="1441" priority="2151" operator="lessThan">
      <formula>0.8</formula>
    </cfRule>
    <cfRule type="cellIs" dxfId="1440" priority="2152" operator="greaterThanOrEqual">
      <formula>1.2</formula>
    </cfRule>
  </conditionalFormatting>
  <conditionalFormatting sqref="I7394:I7417">
    <cfRule type="colorScale" priority="2148">
      <colorScale>
        <cfvo type="min"/>
        <cfvo type="percentile" val="50"/>
        <cfvo type="max"/>
        <color rgb="FF63BE7B"/>
        <color rgb="FFFFEB84"/>
        <color rgb="FFF8696B"/>
      </colorScale>
    </cfRule>
  </conditionalFormatting>
  <conditionalFormatting sqref="K7395:K7417">
    <cfRule type="colorScale" priority="2147">
      <colorScale>
        <cfvo type="min"/>
        <cfvo type="percentile" val="50"/>
        <cfvo type="max"/>
        <color rgb="FF63BE7B"/>
        <color rgb="FFFFEB84"/>
        <color rgb="FFF8696B"/>
      </colorScale>
    </cfRule>
  </conditionalFormatting>
  <conditionalFormatting sqref="K7394:K7417">
    <cfRule type="colorScale" priority="2146">
      <colorScale>
        <cfvo type="min"/>
        <cfvo type="percentile" val="50"/>
        <cfvo type="max"/>
        <color rgb="FF63BE7B"/>
        <color rgb="FFFFEB84"/>
        <color rgb="FFF8696B"/>
      </colorScale>
    </cfRule>
  </conditionalFormatting>
  <conditionalFormatting sqref="G7370:G7393">
    <cfRule type="cellIs" dxfId="1439" priority="2141" operator="between">
      <formula>49</formula>
      <formula>149</formula>
    </cfRule>
    <cfRule type="cellIs" dxfId="1438" priority="2144" operator="lessThan">
      <formula>49</formula>
    </cfRule>
    <cfRule type="cellIs" dxfId="1437" priority="2145" operator="greaterThanOrEqual">
      <formula>150</formula>
    </cfRule>
  </conditionalFormatting>
  <conditionalFormatting sqref="H7370:H7393">
    <cfRule type="cellIs" dxfId="1436" priority="2140" operator="between">
      <formula>0.8</formula>
      <formula>1.2</formula>
    </cfRule>
    <cfRule type="cellIs" dxfId="1435" priority="2142" operator="lessThan">
      <formula>0.8</formula>
    </cfRule>
    <cfRule type="cellIs" dxfId="1434" priority="2143" operator="greaterThanOrEqual">
      <formula>1.2</formula>
    </cfRule>
  </conditionalFormatting>
  <conditionalFormatting sqref="I7370:I7393">
    <cfRule type="colorScale" priority="2139">
      <colorScale>
        <cfvo type="min"/>
        <cfvo type="percentile" val="50"/>
        <cfvo type="max"/>
        <color rgb="FF63BE7B"/>
        <color rgb="FFFFEB84"/>
        <color rgb="FFF8696B"/>
      </colorScale>
    </cfRule>
  </conditionalFormatting>
  <conditionalFormatting sqref="K7371:K7393">
    <cfRule type="colorScale" priority="2138">
      <colorScale>
        <cfvo type="min"/>
        <cfvo type="percentile" val="50"/>
        <cfvo type="max"/>
        <color rgb="FF63BE7B"/>
        <color rgb="FFFFEB84"/>
        <color rgb="FFF8696B"/>
      </colorScale>
    </cfRule>
  </conditionalFormatting>
  <conditionalFormatting sqref="K7370:K7393">
    <cfRule type="colorScale" priority="2137">
      <colorScale>
        <cfvo type="min"/>
        <cfvo type="percentile" val="50"/>
        <cfvo type="max"/>
        <color rgb="FF63BE7B"/>
        <color rgb="FFFFEB84"/>
        <color rgb="FFF8696B"/>
      </colorScale>
    </cfRule>
  </conditionalFormatting>
  <conditionalFormatting sqref="G7346:G7369">
    <cfRule type="cellIs" dxfId="1433" priority="2132" operator="between">
      <formula>49</formula>
      <formula>149</formula>
    </cfRule>
    <cfRule type="cellIs" dxfId="1432" priority="2135" operator="lessThan">
      <formula>49</formula>
    </cfRule>
    <cfRule type="cellIs" dxfId="1431" priority="2136" operator="greaterThanOrEqual">
      <formula>150</formula>
    </cfRule>
  </conditionalFormatting>
  <conditionalFormatting sqref="H7346:H7369">
    <cfRule type="cellIs" dxfId="1430" priority="2131" operator="between">
      <formula>0.8</formula>
      <formula>1.2</formula>
    </cfRule>
    <cfRule type="cellIs" dxfId="1429" priority="2133" operator="lessThan">
      <formula>0.8</formula>
    </cfRule>
    <cfRule type="cellIs" dxfId="1428" priority="2134" operator="greaterThanOrEqual">
      <formula>1.2</formula>
    </cfRule>
  </conditionalFormatting>
  <conditionalFormatting sqref="I7346:I7369">
    <cfRule type="colorScale" priority="2130">
      <colorScale>
        <cfvo type="min"/>
        <cfvo type="percentile" val="50"/>
        <cfvo type="max"/>
        <color rgb="FF63BE7B"/>
        <color rgb="FFFFEB84"/>
        <color rgb="FFF8696B"/>
      </colorScale>
    </cfRule>
  </conditionalFormatting>
  <conditionalFormatting sqref="K7347:K7369">
    <cfRule type="colorScale" priority="2129">
      <colorScale>
        <cfvo type="min"/>
        <cfvo type="percentile" val="50"/>
        <cfvo type="max"/>
        <color rgb="FF63BE7B"/>
        <color rgb="FFFFEB84"/>
        <color rgb="FFF8696B"/>
      </colorScale>
    </cfRule>
  </conditionalFormatting>
  <conditionalFormatting sqref="K7346:K7369">
    <cfRule type="colorScale" priority="2128">
      <colorScale>
        <cfvo type="min"/>
        <cfvo type="percentile" val="50"/>
        <cfvo type="max"/>
        <color rgb="FF63BE7B"/>
        <color rgb="FFFFEB84"/>
        <color rgb="FFF8696B"/>
      </colorScale>
    </cfRule>
  </conditionalFormatting>
  <conditionalFormatting sqref="G7322:G7345">
    <cfRule type="cellIs" dxfId="1427" priority="2123" operator="between">
      <formula>49</formula>
      <formula>149</formula>
    </cfRule>
    <cfRule type="cellIs" dxfId="1426" priority="2126" operator="lessThan">
      <formula>49</formula>
    </cfRule>
    <cfRule type="cellIs" dxfId="1425" priority="2127" operator="greaterThanOrEqual">
      <formula>150</formula>
    </cfRule>
  </conditionalFormatting>
  <conditionalFormatting sqref="H7322:H7345">
    <cfRule type="cellIs" dxfId="1424" priority="2122" operator="between">
      <formula>0.8</formula>
      <formula>1.2</formula>
    </cfRule>
    <cfRule type="cellIs" dxfId="1423" priority="2124" operator="lessThan">
      <formula>0.8</formula>
    </cfRule>
    <cfRule type="cellIs" dxfId="1422" priority="2125" operator="greaterThanOrEqual">
      <formula>1.2</formula>
    </cfRule>
  </conditionalFormatting>
  <conditionalFormatting sqref="I7322:I7345">
    <cfRule type="colorScale" priority="2121">
      <colorScale>
        <cfvo type="min"/>
        <cfvo type="percentile" val="50"/>
        <cfvo type="max"/>
        <color rgb="FF63BE7B"/>
        <color rgb="FFFFEB84"/>
        <color rgb="FFF8696B"/>
      </colorScale>
    </cfRule>
  </conditionalFormatting>
  <conditionalFormatting sqref="K7323:K7345">
    <cfRule type="colorScale" priority="2120">
      <colorScale>
        <cfvo type="min"/>
        <cfvo type="percentile" val="50"/>
        <cfvo type="max"/>
        <color rgb="FF63BE7B"/>
        <color rgb="FFFFEB84"/>
        <color rgb="FFF8696B"/>
      </colorScale>
    </cfRule>
  </conditionalFormatting>
  <conditionalFormatting sqref="K7322:K7345">
    <cfRule type="colorScale" priority="2119">
      <colorScale>
        <cfvo type="min"/>
        <cfvo type="percentile" val="50"/>
        <cfvo type="max"/>
        <color rgb="FF63BE7B"/>
        <color rgb="FFFFEB84"/>
        <color rgb="FFF8696B"/>
      </colorScale>
    </cfRule>
  </conditionalFormatting>
  <conditionalFormatting sqref="G7298:G7321">
    <cfRule type="cellIs" dxfId="1421" priority="2114" operator="between">
      <formula>49</formula>
      <formula>149</formula>
    </cfRule>
    <cfRule type="cellIs" dxfId="1420" priority="2117" operator="lessThan">
      <formula>49</formula>
    </cfRule>
    <cfRule type="cellIs" dxfId="1419" priority="2118" operator="greaterThanOrEqual">
      <formula>150</formula>
    </cfRule>
  </conditionalFormatting>
  <conditionalFormatting sqref="H7298:H7321">
    <cfRule type="cellIs" dxfId="1418" priority="2113" operator="between">
      <formula>0.8</formula>
      <formula>1.2</formula>
    </cfRule>
    <cfRule type="cellIs" dxfId="1417" priority="2115" operator="lessThan">
      <formula>0.8</formula>
    </cfRule>
    <cfRule type="cellIs" dxfId="1416" priority="2116" operator="greaterThanOrEqual">
      <formula>1.2</formula>
    </cfRule>
  </conditionalFormatting>
  <conditionalFormatting sqref="I7298:I7321">
    <cfRule type="colorScale" priority="2112">
      <colorScale>
        <cfvo type="min"/>
        <cfvo type="percentile" val="50"/>
        <cfvo type="max"/>
        <color rgb="FF63BE7B"/>
        <color rgb="FFFFEB84"/>
        <color rgb="FFF8696B"/>
      </colorScale>
    </cfRule>
  </conditionalFormatting>
  <conditionalFormatting sqref="K7299:K7321">
    <cfRule type="colorScale" priority="2111">
      <colorScale>
        <cfvo type="min"/>
        <cfvo type="percentile" val="50"/>
        <cfvo type="max"/>
        <color rgb="FF63BE7B"/>
        <color rgb="FFFFEB84"/>
        <color rgb="FFF8696B"/>
      </colorScale>
    </cfRule>
  </conditionalFormatting>
  <conditionalFormatting sqref="K7298:K7321">
    <cfRule type="colorScale" priority="2110">
      <colorScale>
        <cfvo type="min"/>
        <cfvo type="percentile" val="50"/>
        <cfvo type="max"/>
        <color rgb="FF63BE7B"/>
        <color rgb="FFFFEB84"/>
        <color rgb="FFF8696B"/>
      </colorScale>
    </cfRule>
  </conditionalFormatting>
  <conditionalFormatting sqref="G7274:G7297">
    <cfRule type="cellIs" dxfId="1415" priority="2105" operator="between">
      <formula>49</formula>
      <formula>149</formula>
    </cfRule>
    <cfRule type="cellIs" dxfId="1414" priority="2108" operator="lessThan">
      <formula>49</formula>
    </cfRule>
    <cfRule type="cellIs" dxfId="1413" priority="2109" operator="greaterThanOrEqual">
      <formula>150</formula>
    </cfRule>
  </conditionalFormatting>
  <conditionalFormatting sqref="H7274:H7297">
    <cfRule type="cellIs" dxfId="1412" priority="2104" operator="between">
      <formula>0.8</formula>
      <formula>1.2</formula>
    </cfRule>
    <cfRule type="cellIs" dxfId="1411" priority="2106" operator="lessThan">
      <formula>0.8</formula>
    </cfRule>
    <cfRule type="cellIs" dxfId="1410" priority="2107" operator="greaterThanOrEqual">
      <formula>1.2</formula>
    </cfRule>
  </conditionalFormatting>
  <conditionalFormatting sqref="I7274:I7297">
    <cfRule type="colorScale" priority="2103">
      <colorScale>
        <cfvo type="min"/>
        <cfvo type="percentile" val="50"/>
        <cfvo type="max"/>
        <color rgb="FF63BE7B"/>
        <color rgb="FFFFEB84"/>
        <color rgb="FFF8696B"/>
      </colorScale>
    </cfRule>
  </conditionalFormatting>
  <conditionalFormatting sqref="K7275:K7297">
    <cfRule type="colorScale" priority="2102">
      <colorScale>
        <cfvo type="min"/>
        <cfvo type="percentile" val="50"/>
        <cfvo type="max"/>
        <color rgb="FF63BE7B"/>
        <color rgb="FFFFEB84"/>
        <color rgb="FFF8696B"/>
      </colorScale>
    </cfRule>
  </conditionalFormatting>
  <conditionalFormatting sqref="K7274:K7297">
    <cfRule type="colorScale" priority="2101">
      <colorScale>
        <cfvo type="min"/>
        <cfvo type="percentile" val="50"/>
        <cfvo type="max"/>
        <color rgb="FF63BE7B"/>
        <color rgb="FFFFEB84"/>
        <color rgb="FFF8696B"/>
      </colorScale>
    </cfRule>
  </conditionalFormatting>
  <conditionalFormatting sqref="G7250:G7273">
    <cfRule type="cellIs" dxfId="1409" priority="2096" operator="between">
      <formula>49</formula>
      <formula>149</formula>
    </cfRule>
    <cfRule type="cellIs" dxfId="1408" priority="2099" operator="lessThan">
      <formula>49</formula>
    </cfRule>
    <cfRule type="cellIs" dxfId="1407" priority="2100" operator="greaterThanOrEqual">
      <formula>150</formula>
    </cfRule>
  </conditionalFormatting>
  <conditionalFormatting sqref="H7250:H7273">
    <cfRule type="cellIs" dxfId="1406" priority="2095" operator="between">
      <formula>0.8</formula>
      <formula>1.2</formula>
    </cfRule>
    <cfRule type="cellIs" dxfId="1405" priority="2097" operator="lessThan">
      <formula>0.8</formula>
    </cfRule>
    <cfRule type="cellIs" dxfId="1404" priority="2098" operator="greaterThanOrEqual">
      <formula>1.2</formula>
    </cfRule>
  </conditionalFormatting>
  <conditionalFormatting sqref="I7250:I7273">
    <cfRule type="colorScale" priority="2094">
      <colorScale>
        <cfvo type="min"/>
        <cfvo type="percentile" val="50"/>
        <cfvo type="max"/>
        <color rgb="FF63BE7B"/>
        <color rgb="FFFFEB84"/>
        <color rgb="FFF8696B"/>
      </colorScale>
    </cfRule>
  </conditionalFormatting>
  <conditionalFormatting sqref="K7251:K7273">
    <cfRule type="colorScale" priority="2093">
      <colorScale>
        <cfvo type="min"/>
        <cfvo type="percentile" val="50"/>
        <cfvo type="max"/>
        <color rgb="FF63BE7B"/>
        <color rgb="FFFFEB84"/>
        <color rgb="FFF8696B"/>
      </colorScale>
    </cfRule>
  </conditionalFormatting>
  <conditionalFormatting sqref="K7250:K7273">
    <cfRule type="colorScale" priority="2092">
      <colorScale>
        <cfvo type="min"/>
        <cfvo type="percentile" val="50"/>
        <cfvo type="max"/>
        <color rgb="FF63BE7B"/>
        <color rgb="FFFFEB84"/>
        <color rgb="FFF8696B"/>
      </colorScale>
    </cfRule>
  </conditionalFormatting>
  <conditionalFormatting sqref="G7226:G7249">
    <cfRule type="cellIs" dxfId="1403" priority="2087" operator="between">
      <formula>49</formula>
      <formula>149</formula>
    </cfRule>
    <cfRule type="cellIs" dxfId="1402" priority="2090" operator="lessThan">
      <formula>49</formula>
    </cfRule>
    <cfRule type="cellIs" dxfId="1401" priority="2091" operator="greaterThanOrEqual">
      <formula>150</formula>
    </cfRule>
  </conditionalFormatting>
  <conditionalFormatting sqref="H7226:H7249">
    <cfRule type="cellIs" dxfId="1400" priority="2086" operator="between">
      <formula>0.8</formula>
      <formula>1.2</formula>
    </cfRule>
    <cfRule type="cellIs" dxfId="1399" priority="2088" operator="lessThan">
      <formula>0.8</formula>
    </cfRule>
    <cfRule type="cellIs" dxfId="1398" priority="2089" operator="greaterThanOrEqual">
      <formula>1.2</formula>
    </cfRule>
  </conditionalFormatting>
  <conditionalFormatting sqref="I7226:I7249">
    <cfRule type="colorScale" priority="2085">
      <colorScale>
        <cfvo type="min"/>
        <cfvo type="percentile" val="50"/>
        <cfvo type="max"/>
        <color rgb="FF63BE7B"/>
        <color rgb="FFFFEB84"/>
        <color rgb="FFF8696B"/>
      </colorScale>
    </cfRule>
  </conditionalFormatting>
  <conditionalFormatting sqref="K7227:K7249">
    <cfRule type="colorScale" priority="2084">
      <colorScale>
        <cfvo type="min"/>
        <cfvo type="percentile" val="50"/>
        <cfvo type="max"/>
        <color rgb="FF63BE7B"/>
        <color rgb="FFFFEB84"/>
        <color rgb="FFF8696B"/>
      </colorScale>
    </cfRule>
  </conditionalFormatting>
  <conditionalFormatting sqref="K7226:K7249">
    <cfRule type="colorScale" priority="2083">
      <colorScale>
        <cfvo type="min"/>
        <cfvo type="percentile" val="50"/>
        <cfvo type="max"/>
        <color rgb="FF63BE7B"/>
        <color rgb="FFFFEB84"/>
        <color rgb="FFF8696B"/>
      </colorScale>
    </cfRule>
  </conditionalFormatting>
  <conditionalFormatting sqref="G7202:G7225">
    <cfRule type="cellIs" dxfId="1397" priority="2078" operator="between">
      <formula>49</formula>
      <formula>149</formula>
    </cfRule>
    <cfRule type="cellIs" dxfId="1396" priority="2081" operator="lessThan">
      <formula>49</formula>
    </cfRule>
    <cfRule type="cellIs" dxfId="1395" priority="2082" operator="greaterThanOrEqual">
      <formula>150</formula>
    </cfRule>
  </conditionalFormatting>
  <conditionalFormatting sqref="H7202:H7225">
    <cfRule type="cellIs" dxfId="1394" priority="2077" operator="between">
      <formula>0.8</formula>
      <formula>1.2</formula>
    </cfRule>
    <cfRule type="cellIs" dxfId="1393" priority="2079" operator="lessThan">
      <formula>0.8</formula>
    </cfRule>
    <cfRule type="cellIs" dxfId="1392" priority="2080" operator="greaterThanOrEqual">
      <formula>1.2</formula>
    </cfRule>
  </conditionalFormatting>
  <conditionalFormatting sqref="I7202:I7225">
    <cfRule type="colorScale" priority="2076">
      <colorScale>
        <cfvo type="min"/>
        <cfvo type="percentile" val="50"/>
        <cfvo type="max"/>
        <color rgb="FF63BE7B"/>
        <color rgb="FFFFEB84"/>
        <color rgb="FFF8696B"/>
      </colorScale>
    </cfRule>
  </conditionalFormatting>
  <conditionalFormatting sqref="K7203:K7225">
    <cfRule type="colorScale" priority="2075">
      <colorScale>
        <cfvo type="min"/>
        <cfvo type="percentile" val="50"/>
        <cfvo type="max"/>
        <color rgb="FF63BE7B"/>
        <color rgb="FFFFEB84"/>
        <color rgb="FFF8696B"/>
      </colorScale>
    </cfRule>
  </conditionalFormatting>
  <conditionalFormatting sqref="K7202:K7225">
    <cfRule type="colorScale" priority="2074">
      <colorScale>
        <cfvo type="min"/>
        <cfvo type="percentile" val="50"/>
        <cfvo type="max"/>
        <color rgb="FF63BE7B"/>
        <color rgb="FFFFEB84"/>
        <color rgb="FFF8696B"/>
      </colorScale>
    </cfRule>
  </conditionalFormatting>
  <conditionalFormatting sqref="G7178:G7201">
    <cfRule type="cellIs" dxfId="1391" priority="2069" operator="between">
      <formula>49</formula>
      <formula>149</formula>
    </cfRule>
    <cfRule type="cellIs" dxfId="1390" priority="2072" operator="lessThan">
      <formula>49</formula>
    </cfRule>
    <cfRule type="cellIs" dxfId="1389" priority="2073" operator="greaterThanOrEqual">
      <formula>150</formula>
    </cfRule>
  </conditionalFormatting>
  <conditionalFormatting sqref="H7178:H7201">
    <cfRule type="cellIs" dxfId="1388" priority="2068" operator="between">
      <formula>0.8</formula>
      <formula>1.2</formula>
    </cfRule>
    <cfRule type="cellIs" dxfId="1387" priority="2070" operator="lessThan">
      <formula>0.8</formula>
    </cfRule>
    <cfRule type="cellIs" dxfId="1386" priority="2071" operator="greaterThanOrEqual">
      <formula>1.2</formula>
    </cfRule>
  </conditionalFormatting>
  <conditionalFormatting sqref="I7178:I7201">
    <cfRule type="colorScale" priority="2067">
      <colorScale>
        <cfvo type="min"/>
        <cfvo type="percentile" val="50"/>
        <cfvo type="max"/>
        <color rgb="FF63BE7B"/>
        <color rgb="FFFFEB84"/>
        <color rgb="FFF8696B"/>
      </colorScale>
    </cfRule>
  </conditionalFormatting>
  <conditionalFormatting sqref="K7179:K7201">
    <cfRule type="colorScale" priority="2066">
      <colorScale>
        <cfvo type="min"/>
        <cfvo type="percentile" val="50"/>
        <cfvo type="max"/>
        <color rgb="FF63BE7B"/>
        <color rgb="FFFFEB84"/>
        <color rgb="FFF8696B"/>
      </colorScale>
    </cfRule>
  </conditionalFormatting>
  <conditionalFormatting sqref="K7178:K7201">
    <cfRule type="colorScale" priority="2065">
      <colorScale>
        <cfvo type="min"/>
        <cfvo type="percentile" val="50"/>
        <cfvo type="max"/>
        <color rgb="FF63BE7B"/>
        <color rgb="FFFFEB84"/>
        <color rgb="FFF8696B"/>
      </colorScale>
    </cfRule>
  </conditionalFormatting>
  <conditionalFormatting sqref="G7154:G7177">
    <cfRule type="cellIs" dxfId="1385" priority="2060" operator="between">
      <formula>49</formula>
      <formula>149</formula>
    </cfRule>
    <cfRule type="cellIs" dxfId="1384" priority="2063" operator="lessThan">
      <formula>49</formula>
    </cfRule>
    <cfRule type="cellIs" dxfId="1383" priority="2064" operator="greaterThanOrEqual">
      <formula>150</formula>
    </cfRule>
  </conditionalFormatting>
  <conditionalFormatting sqref="H7154:H7177">
    <cfRule type="cellIs" dxfId="1382" priority="2059" operator="between">
      <formula>0.8</formula>
      <formula>1.2</formula>
    </cfRule>
    <cfRule type="cellIs" dxfId="1381" priority="2061" operator="lessThan">
      <formula>0.8</formula>
    </cfRule>
    <cfRule type="cellIs" dxfId="1380" priority="2062" operator="greaterThanOrEqual">
      <formula>1.2</formula>
    </cfRule>
  </conditionalFormatting>
  <conditionalFormatting sqref="I7154:I7177">
    <cfRule type="colorScale" priority="2058">
      <colorScale>
        <cfvo type="min"/>
        <cfvo type="percentile" val="50"/>
        <cfvo type="max"/>
        <color rgb="FF63BE7B"/>
        <color rgb="FFFFEB84"/>
        <color rgb="FFF8696B"/>
      </colorScale>
    </cfRule>
  </conditionalFormatting>
  <conditionalFormatting sqref="K7155:K7177">
    <cfRule type="colorScale" priority="2057">
      <colorScale>
        <cfvo type="min"/>
        <cfvo type="percentile" val="50"/>
        <cfvo type="max"/>
        <color rgb="FF63BE7B"/>
        <color rgb="FFFFEB84"/>
        <color rgb="FFF8696B"/>
      </colorScale>
    </cfRule>
  </conditionalFormatting>
  <conditionalFormatting sqref="K7154:K7177">
    <cfRule type="colorScale" priority="2056">
      <colorScale>
        <cfvo type="min"/>
        <cfvo type="percentile" val="50"/>
        <cfvo type="max"/>
        <color rgb="FF63BE7B"/>
        <color rgb="FFFFEB84"/>
        <color rgb="FFF8696B"/>
      </colorScale>
    </cfRule>
  </conditionalFormatting>
  <conditionalFormatting sqref="G7130:G7153">
    <cfRule type="cellIs" dxfId="1379" priority="2051" operator="between">
      <formula>49</formula>
      <formula>149</formula>
    </cfRule>
    <cfRule type="cellIs" dxfId="1378" priority="2054" operator="lessThan">
      <formula>49</formula>
    </cfRule>
    <cfRule type="cellIs" dxfId="1377" priority="2055" operator="greaterThanOrEqual">
      <formula>150</formula>
    </cfRule>
  </conditionalFormatting>
  <conditionalFormatting sqref="H7130:H7153">
    <cfRule type="cellIs" dxfId="1376" priority="2050" operator="between">
      <formula>0.8</formula>
      <formula>1.2</formula>
    </cfRule>
    <cfRule type="cellIs" dxfId="1375" priority="2052" operator="lessThan">
      <formula>0.8</formula>
    </cfRule>
    <cfRule type="cellIs" dxfId="1374" priority="2053" operator="greaterThanOrEqual">
      <formula>1.2</formula>
    </cfRule>
  </conditionalFormatting>
  <conditionalFormatting sqref="I7130:I7153">
    <cfRule type="colorScale" priority="2049">
      <colorScale>
        <cfvo type="min"/>
        <cfvo type="percentile" val="50"/>
        <cfvo type="max"/>
        <color rgb="FF63BE7B"/>
        <color rgb="FFFFEB84"/>
        <color rgb="FFF8696B"/>
      </colorScale>
    </cfRule>
  </conditionalFormatting>
  <conditionalFormatting sqref="K7131:K7153">
    <cfRule type="colorScale" priority="2048">
      <colorScale>
        <cfvo type="min"/>
        <cfvo type="percentile" val="50"/>
        <cfvo type="max"/>
        <color rgb="FF63BE7B"/>
        <color rgb="FFFFEB84"/>
        <color rgb="FFF8696B"/>
      </colorScale>
    </cfRule>
  </conditionalFormatting>
  <conditionalFormatting sqref="K7130:K7153">
    <cfRule type="colorScale" priority="2047">
      <colorScale>
        <cfvo type="min"/>
        <cfvo type="percentile" val="50"/>
        <cfvo type="max"/>
        <color rgb="FF63BE7B"/>
        <color rgb="FFFFEB84"/>
        <color rgb="FFF8696B"/>
      </colorScale>
    </cfRule>
  </conditionalFormatting>
  <conditionalFormatting sqref="G7106:G7129">
    <cfRule type="cellIs" dxfId="1373" priority="2042" operator="between">
      <formula>49</formula>
      <formula>149</formula>
    </cfRule>
    <cfRule type="cellIs" dxfId="1372" priority="2045" operator="lessThan">
      <formula>49</formula>
    </cfRule>
    <cfRule type="cellIs" dxfId="1371" priority="2046" operator="greaterThanOrEqual">
      <formula>150</formula>
    </cfRule>
  </conditionalFormatting>
  <conditionalFormatting sqref="H7106:H7129">
    <cfRule type="cellIs" dxfId="1370" priority="2041" operator="between">
      <formula>0.8</formula>
      <formula>1.2</formula>
    </cfRule>
    <cfRule type="cellIs" dxfId="1369" priority="2043" operator="lessThan">
      <formula>0.8</formula>
    </cfRule>
    <cfRule type="cellIs" dxfId="1368" priority="2044" operator="greaterThanOrEqual">
      <formula>1.2</formula>
    </cfRule>
  </conditionalFormatting>
  <conditionalFormatting sqref="I7106:I7129">
    <cfRule type="colorScale" priority="2040">
      <colorScale>
        <cfvo type="min"/>
        <cfvo type="percentile" val="50"/>
        <cfvo type="max"/>
        <color rgb="FF63BE7B"/>
        <color rgb="FFFFEB84"/>
        <color rgb="FFF8696B"/>
      </colorScale>
    </cfRule>
  </conditionalFormatting>
  <conditionalFormatting sqref="K7107:K7129">
    <cfRule type="colorScale" priority="2039">
      <colorScale>
        <cfvo type="min"/>
        <cfvo type="percentile" val="50"/>
        <cfvo type="max"/>
        <color rgb="FF63BE7B"/>
        <color rgb="FFFFEB84"/>
        <color rgb="FFF8696B"/>
      </colorScale>
    </cfRule>
  </conditionalFormatting>
  <conditionalFormatting sqref="K7106:K7129">
    <cfRule type="colorScale" priority="2038">
      <colorScale>
        <cfvo type="min"/>
        <cfvo type="percentile" val="50"/>
        <cfvo type="max"/>
        <color rgb="FF63BE7B"/>
        <color rgb="FFFFEB84"/>
        <color rgb="FFF8696B"/>
      </colorScale>
    </cfRule>
  </conditionalFormatting>
  <conditionalFormatting sqref="G7082:G7105">
    <cfRule type="cellIs" dxfId="1367" priority="2033" operator="between">
      <formula>49</formula>
      <formula>149</formula>
    </cfRule>
    <cfRule type="cellIs" dxfId="1366" priority="2036" operator="lessThan">
      <formula>49</formula>
    </cfRule>
    <cfRule type="cellIs" dxfId="1365" priority="2037" operator="greaterThanOrEqual">
      <formula>150</formula>
    </cfRule>
  </conditionalFormatting>
  <conditionalFormatting sqref="H7082:H7105">
    <cfRule type="cellIs" dxfId="1364" priority="2032" operator="between">
      <formula>0.8</formula>
      <formula>1.2</formula>
    </cfRule>
    <cfRule type="cellIs" dxfId="1363" priority="2034" operator="lessThan">
      <formula>0.8</formula>
    </cfRule>
    <cfRule type="cellIs" dxfId="1362" priority="2035" operator="greaterThanOrEqual">
      <formula>1.2</formula>
    </cfRule>
  </conditionalFormatting>
  <conditionalFormatting sqref="I7082:I7105">
    <cfRule type="colorScale" priority="2031">
      <colorScale>
        <cfvo type="min"/>
        <cfvo type="percentile" val="50"/>
        <cfvo type="max"/>
        <color rgb="FF63BE7B"/>
        <color rgb="FFFFEB84"/>
        <color rgb="FFF8696B"/>
      </colorScale>
    </cfRule>
  </conditionalFormatting>
  <conditionalFormatting sqref="K7083:K7105">
    <cfRule type="colorScale" priority="2030">
      <colorScale>
        <cfvo type="min"/>
        <cfvo type="percentile" val="50"/>
        <cfvo type="max"/>
        <color rgb="FF63BE7B"/>
        <color rgb="FFFFEB84"/>
        <color rgb="FFF8696B"/>
      </colorScale>
    </cfRule>
  </conditionalFormatting>
  <conditionalFormatting sqref="K7082:K7105">
    <cfRule type="colorScale" priority="2029">
      <colorScale>
        <cfvo type="min"/>
        <cfvo type="percentile" val="50"/>
        <cfvo type="max"/>
        <color rgb="FF63BE7B"/>
        <color rgb="FFFFEB84"/>
        <color rgb="FFF8696B"/>
      </colorScale>
    </cfRule>
  </conditionalFormatting>
  <conditionalFormatting sqref="G7058:G7081">
    <cfRule type="cellIs" dxfId="1361" priority="2024" operator="between">
      <formula>49</formula>
      <formula>149</formula>
    </cfRule>
    <cfRule type="cellIs" dxfId="1360" priority="2027" operator="lessThan">
      <formula>49</formula>
    </cfRule>
    <cfRule type="cellIs" dxfId="1359" priority="2028" operator="greaterThanOrEqual">
      <formula>150</formula>
    </cfRule>
  </conditionalFormatting>
  <conditionalFormatting sqref="H7058:H7081">
    <cfRule type="cellIs" dxfId="1358" priority="2023" operator="between">
      <formula>0.8</formula>
      <formula>1.2</formula>
    </cfRule>
    <cfRule type="cellIs" dxfId="1357" priority="2025" operator="lessThan">
      <formula>0.8</formula>
    </cfRule>
    <cfRule type="cellIs" dxfId="1356" priority="2026" operator="greaterThanOrEqual">
      <formula>1.2</formula>
    </cfRule>
  </conditionalFormatting>
  <conditionalFormatting sqref="I7058:I7081">
    <cfRule type="colorScale" priority="2022">
      <colorScale>
        <cfvo type="min"/>
        <cfvo type="percentile" val="50"/>
        <cfvo type="max"/>
        <color rgb="FF63BE7B"/>
        <color rgb="FFFFEB84"/>
        <color rgb="FFF8696B"/>
      </colorScale>
    </cfRule>
  </conditionalFormatting>
  <conditionalFormatting sqref="K7059:K7081">
    <cfRule type="colorScale" priority="2021">
      <colorScale>
        <cfvo type="min"/>
        <cfvo type="percentile" val="50"/>
        <cfvo type="max"/>
        <color rgb="FF63BE7B"/>
        <color rgb="FFFFEB84"/>
        <color rgb="FFF8696B"/>
      </colorScale>
    </cfRule>
  </conditionalFormatting>
  <conditionalFormatting sqref="K7058:K7081">
    <cfRule type="colorScale" priority="2020">
      <colorScale>
        <cfvo type="min"/>
        <cfvo type="percentile" val="50"/>
        <cfvo type="max"/>
        <color rgb="FF63BE7B"/>
        <color rgb="FFFFEB84"/>
        <color rgb="FFF8696B"/>
      </colorScale>
    </cfRule>
  </conditionalFormatting>
  <conditionalFormatting sqref="G7034:G7057">
    <cfRule type="cellIs" dxfId="1355" priority="2015" operator="between">
      <formula>49</formula>
      <formula>149</formula>
    </cfRule>
    <cfRule type="cellIs" dxfId="1354" priority="2018" operator="lessThan">
      <formula>49</formula>
    </cfRule>
    <cfRule type="cellIs" dxfId="1353" priority="2019" operator="greaterThanOrEqual">
      <formula>150</formula>
    </cfRule>
  </conditionalFormatting>
  <conditionalFormatting sqref="H7034:H7057">
    <cfRule type="cellIs" dxfId="1352" priority="2014" operator="between">
      <formula>0.8</formula>
      <formula>1.2</formula>
    </cfRule>
    <cfRule type="cellIs" dxfId="1351" priority="2016" operator="lessThan">
      <formula>0.8</formula>
    </cfRule>
    <cfRule type="cellIs" dxfId="1350" priority="2017" operator="greaterThanOrEqual">
      <formula>1.2</formula>
    </cfRule>
  </conditionalFormatting>
  <conditionalFormatting sqref="I7034:I7057">
    <cfRule type="colorScale" priority="2013">
      <colorScale>
        <cfvo type="min"/>
        <cfvo type="percentile" val="50"/>
        <cfvo type="max"/>
        <color rgb="FF63BE7B"/>
        <color rgb="FFFFEB84"/>
        <color rgb="FFF8696B"/>
      </colorScale>
    </cfRule>
  </conditionalFormatting>
  <conditionalFormatting sqref="K7035:K7057">
    <cfRule type="colorScale" priority="2012">
      <colorScale>
        <cfvo type="min"/>
        <cfvo type="percentile" val="50"/>
        <cfvo type="max"/>
        <color rgb="FF63BE7B"/>
        <color rgb="FFFFEB84"/>
        <color rgb="FFF8696B"/>
      </colorScale>
    </cfRule>
  </conditionalFormatting>
  <conditionalFormatting sqref="K7034:K7057">
    <cfRule type="colorScale" priority="2011">
      <colorScale>
        <cfvo type="min"/>
        <cfvo type="percentile" val="50"/>
        <cfvo type="max"/>
        <color rgb="FF63BE7B"/>
        <color rgb="FFFFEB84"/>
        <color rgb="FFF8696B"/>
      </colorScale>
    </cfRule>
  </conditionalFormatting>
  <conditionalFormatting sqref="G7010:G7033">
    <cfRule type="cellIs" dxfId="1349" priority="2006" operator="between">
      <formula>49</formula>
      <formula>149</formula>
    </cfRule>
    <cfRule type="cellIs" dxfId="1348" priority="2009" operator="lessThan">
      <formula>49</formula>
    </cfRule>
    <cfRule type="cellIs" dxfId="1347" priority="2010" operator="greaterThanOrEqual">
      <formula>150</formula>
    </cfRule>
  </conditionalFormatting>
  <conditionalFormatting sqref="H7010:H7033">
    <cfRule type="cellIs" dxfId="1346" priority="2005" operator="between">
      <formula>0.8</formula>
      <formula>1.2</formula>
    </cfRule>
    <cfRule type="cellIs" dxfId="1345" priority="2007" operator="lessThan">
      <formula>0.8</formula>
    </cfRule>
    <cfRule type="cellIs" dxfId="1344" priority="2008" operator="greaterThanOrEqual">
      <formula>1.2</formula>
    </cfRule>
  </conditionalFormatting>
  <conditionalFormatting sqref="I7010:I7033">
    <cfRule type="colorScale" priority="2004">
      <colorScale>
        <cfvo type="min"/>
        <cfvo type="percentile" val="50"/>
        <cfvo type="max"/>
        <color rgb="FF63BE7B"/>
        <color rgb="FFFFEB84"/>
        <color rgb="FFF8696B"/>
      </colorScale>
    </cfRule>
  </conditionalFormatting>
  <conditionalFormatting sqref="K7011:K7033">
    <cfRule type="colorScale" priority="2003">
      <colorScale>
        <cfvo type="min"/>
        <cfvo type="percentile" val="50"/>
        <cfvo type="max"/>
        <color rgb="FF63BE7B"/>
        <color rgb="FFFFEB84"/>
        <color rgb="FFF8696B"/>
      </colorScale>
    </cfRule>
  </conditionalFormatting>
  <conditionalFormatting sqref="K7010:K7033">
    <cfRule type="colorScale" priority="2002">
      <colorScale>
        <cfvo type="min"/>
        <cfvo type="percentile" val="50"/>
        <cfvo type="max"/>
        <color rgb="FF63BE7B"/>
        <color rgb="FFFFEB84"/>
        <color rgb="FFF8696B"/>
      </colorScale>
    </cfRule>
  </conditionalFormatting>
  <conditionalFormatting sqref="G6986:G7009">
    <cfRule type="cellIs" dxfId="1343" priority="1997" operator="between">
      <formula>49</formula>
      <formula>149</formula>
    </cfRule>
    <cfRule type="cellIs" dxfId="1342" priority="2000" operator="lessThan">
      <formula>49</formula>
    </cfRule>
    <cfRule type="cellIs" dxfId="1341" priority="2001" operator="greaterThanOrEqual">
      <formula>150</formula>
    </cfRule>
  </conditionalFormatting>
  <conditionalFormatting sqref="H6986:H7009">
    <cfRule type="cellIs" dxfId="1340" priority="1996" operator="between">
      <formula>0.8</formula>
      <formula>1.2</formula>
    </cfRule>
    <cfRule type="cellIs" dxfId="1339" priority="1998" operator="lessThan">
      <formula>0.8</formula>
    </cfRule>
    <cfRule type="cellIs" dxfId="1338" priority="1999" operator="greaterThanOrEqual">
      <formula>1.2</formula>
    </cfRule>
  </conditionalFormatting>
  <conditionalFormatting sqref="I6986:I7009">
    <cfRule type="colorScale" priority="1995">
      <colorScale>
        <cfvo type="min"/>
        <cfvo type="percentile" val="50"/>
        <cfvo type="max"/>
        <color rgb="FF63BE7B"/>
        <color rgb="FFFFEB84"/>
        <color rgb="FFF8696B"/>
      </colorScale>
    </cfRule>
  </conditionalFormatting>
  <conditionalFormatting sqref="K6987:K7009">
    <cfRule type="colorScale" priority="1994">
      <colorScale>
        <cfvo type="min"/>
        <cfvo type="percentile" val="50"/>
        <cfvo type="max"/>
        <color rgb="FF63BE7B"/>
        <color rgb="FFFFEB84"/>
        <color rgb="FFF8696B"/>
      </colorScale>
    </cfRule>
  </conditionalFormatting>
  <conditionalFormatting sqref="K6986:K7009">
    <cfRule type="colorScale" priority="1993">
      <colorScale>
        <cfvo type="min"/>
        <cfvo type="percentile" val="50"/>
        <cfvo type="max"/>
        <color rgb="FF63BE7B"/>
        <color rgb="FFFFEB84"/>
        <color rgb="FFF8696B"/>
      </colorScale>
    </cfRule>
  </conditionalFormatting>
  <conditionalFormatting sqref="G6962:G6985">
    <cfRule type="cellIs" dxfId="1337" priority="1988" operator="between">
      <formula>49</formula>
      <formula>149</formula>
    </cfRule>
    <cfRule type="cellIs" dxfId="1336" priority="1991" operator="lessThan">
      <formula>49</formula>
    </cfRule>
    <cfRule type="cellIs" dxfId="1335" priority="1992" operator="greaterThanOrEqual">
      <formula>150</formula>
    </cfRule>
  </conditionalFormatting>
  <conditionalFormatting sqref="H6962:H6985">
    <cfRule type="cellIs" dxfId="1334" priority="1987" operator="between">
      <formula>0.8</formula>
      <formula>1.2</formula>
    </cfRule>
    <cfRule type="cellIs" dxfId="1333" priority="1989" operator="lessThan">
      <formula>0.8</formula>
    </cfRule>
    <cfRule type="cellIs" dxfId="1332" priority="1990" operator="greaterThanOrEqual">
      <formula>1.2</formula>
    </cfRule>
  </conditionalFormatting>
  <conditionalFormatting sqref="I6962:I6985">
    <cfRule type="colorScale" priority="1986">
      <colorScale>
        <cfvo type="min"/>
        <cfvo type="percentile" val="50"/>
        <cfvo type="max"/>
        <color rgb="FF63BE7B"/>
        <color rgb="FFFFEB84"/>
        <color rgb="FFF8696B"/>
      </colorScale>
    </cfRule>
  </conditionalFormatting>
  <conditionalFormatting sqref="K6963:K6985">
    <cfRule type="colorScale" priority="1985">
      <colorScale>
        <cfvo type="min"/>
        <cfvo type="percentile" val="50"/>
        <cfvo type="max"/>
        <color rgb="FF63BE7B"/>
        <color rgb="FFFFEB84"/>
        <color rgb="FFF8696B"/>
      </colorScale>
    </cfRule>
  </conditionalFormatting>
  <conditionalFormatting sqref="K6962:K6985">
    <cfRule type="colorScale" priority="1984">
      <colorScale>
        <cfvo type="min"/>
        <cfvo type="percentile" val="50"/>
        <cfvo type="max"/>
        <color rgb="FF63BE7B"/>
        <color rgb="FFFFEB84"/>
        <color rgb="FFF8696B"/>
      </colorScale>
    </cfRule>
  </conditionalFormatting>
  <conditionalFormatting sqref="G6938:G6961">
    <cfRule type="cellIs" dxfId="1331" priority="1979" operator="between">
      <formula>49</formula>
      <formula>149</formula>
    </cfRule>
    <cfRule type="cellIs" dxfId="1330" priority="1982" operator="lessThan">
      <formula>49</formula>
    </cfRule>
    <cfRule type="cellIs" dxfId="1329" priority="1983" operator="greaterThanOrEqual">
      <formula>150</formula>
    </cfRule>
  </conditionalFormatting>
  <conditionalFormatting sqref="H6938:H6961">
    <cfRule type="cellIs" dxfId="1328" priority="1978" operator="between">
      <formula>0.8</formula>
      <formula>1.2</formula>
    </cfRule>
    <cfRule type="cellIs" dxfId="1327" priority="1980" operator="lessThan">
      <formula>0.8</formula>
    </cfRule>
    <cfRule type="cellIs" dxfId="1326" priority="1981" operator="greaterThanOrEqual">
      <formula>1.2</formula>
    </cfRule>
  </conditionalFormatting>
  <conditionalFormatting sqref="I6938:I6961">
    <cfRule type="colorScale" priority="1977">
      <colorScale>
        <cfvo type="min"/>
        <cfvo type="percentile" val="50"/>
        <cfvo type="max"/>
        <color rgb="FF63BE7B"/>
        <color rgb="FFFFEB84"/>
        <color rgb="FFF8696B"/>
      </colorScale>
    </cfRule>
  </conditionalFormatting>
  <conditionalFormatting sqref="K6939:K6961">
    <cfRule type="colorScale" priority="1976">
      <colorScale>
        <cfvo type="min"/>
        <cfvo type="percentile" val="50"/>
        <cfvo type="max"/>
        <color rgb="FF63BE7B"/>
        <color rgb="FFFFEB84"/>
        <color rgb="FFF8696B"/>
      </colorScale>
    </cfRule>
  </conditionalFormatting>
  <conditionalFormatting sqref="K6938:K6961">
    <cfRule type="colorScale" priority="1975">
      <colorScale>
        <cfvo type="min"/>
        <cfvo type="percentile" val="50"/>
        <cfvo type="max"/>
        <color rgb="FF63BE7B"/>
        <color rgb="FFFFEB84"/>
        <color rgb="FFF8696B"/>
      </colorScale>
    </cfRule>
  </conditionalFormatting>
  <conditionalFormatting sqref="G6914:G6937">
    <cfRule type="cellIs" dxfId="1325" priority="1970" operator="between">
      <formula>49</formula>
      <formula>149</formula>
    </cfRule>
    <cfRule type="cellIs" dxfId="1324" priority="1973" operator="lessThan">
      <formula>49</formula>
    </cfRule>
    <cfRule type="cellIs" dxfId="1323" priority="1974" operator="greaterThanOrEqual">
      <formula>150</formula>
    </cfRule>
  </conditionalFormatting>
  <conditionalFormatting sqref="H6914:H6937">
    <cfRule type="cellIs" dxfId="1322" priority="1969" operator="between">
      <formula>0.8</formula>
      <formula>1.2</formula>
    </cfRule>
    <cfRule type="cellIs" dxfId="1321" priority="1971" operator="lessThan">
      <formula>0.8</formula>
    </cfRule>
    <cfRule type="cellIs" dxfId="1320" priority="1972" operator="greaterThanOrEqual">
      <formula>1.2</formula>
    </cfRule>
  </conditionalFormatting>
  <conditionalFormatting sqref="I6914:I6937">
    <cfRule type="colorScale" priority="1968">
      <colorScale>
        <cfvo type="min"/>
        <cfvo type="percentile" val="50"/>
        <cfvo type="max"/>
        <color rgb="FF63BE7B"/>
        <color rgb="FFFFEB84"/>
        <color rgb="FFF8696B"/>
      </colorScale>
    </cfRule>
  </conditionalFormatting>
  <conditionalFormatting sqref="K6915:K6937">
    <cfRule type="colorScale" priority="1967">
      <colorScale>
        <cfvo type="min"/>
        <cfvo type="percentile" val="50"/>
        <cfvo type="max"/>
        <color rgb="FF63BE7B"/>
        <color rgb="FFFFEB84"/>
        <color rgb="FFF8696B"/>
      </colorScale>
    </cfRule>
  </conditionalFormatting>
  <conditionalFormatting sqref="K6914:K6937">
    <cfRule type="colorScale" priority="1966">
      <colorScale>
        <cfvo type="min"/>
        <cfvo type="percentile" val="50"/>
        <cfvo type="max"/>
        <color rgb="FF63BE7B"/>
        <color rgb="FFFFEB84"/>
        <color rgb="FFF8696B"/>
      </colorScale>
    </cfRule>
  </conditionalFormatting>
  <conditionalFormatting sqref="G6890:G6913">
    <cfRule type="cellIs" dxfId="1319" priority="1961" operator="between">
      <formula>49</formula>
      <formula>149</formula>
    </cfRule>
    <cfRule type="cellIs" dxfId="1318" priority="1964" operator="lessThan">
      <formula>49</formula>
    </cfRule>
    <cfRule type="cellIs" dxfId="1317" priority="1965" operator="greaterThanOrEqual">
      <formula>150</formula>
    </cfRule>
  </conditionalFormatting>
  <conditionalFormatting sqref="H6890:H6913">
    <cfRule type="cellIs" dxfId="1316" priority="1960" operator="between">
      <formula>0.8</formula>
      <formula>1.2</formula>
    </cfRule>
    <cfRule type="cellIs" dxfId="1315" priority="1962" operator="lessThan">
      <formula>0.8</formula>
    </cfRule>
    <cfRule type="cellIs" dxfId="1314" priority="1963" operator="greaterThanOrEqual">
      <formula>1.2</formula>
    </cfRule>
  </conditionalFormatting>
  <conditionalFormatting sqref="I6890:I6913">
    <cfRule type="colorScale" priority="1959">
      <colorScale>
        <cfvo type="min"/>
        <cfvo type="percentile" val="50"/>
        <cfvo type="max"/>
        <color rgb="FF63BE7B"/>
        <color rgb="FFFFEB84"/>
        <color rgb="FFF8696B"/>
      </colorScale>
    </cfRule>
  </conditionalFormatting>
  <conditionalFormatting sqref="K6891:K6913">
    <cfRule type="colorScale" priority="1958">
      <colorScale>
        <cfvo type="min"/>
        <cfvo type="percentile" val="50"/>
        <cfvo type="max"/>
        <color rgb="FF63BE7B"/>
        <color rgb="FFFFEB84"/>
        <color rgb="FFF8696B"/>
      </colorScale>
    </cfRule>
  </conditionalFormatting>
  <conditionalFormatting sqref="K6890:K6913">
    <cfRule type="colorScale" priority="1957">
      <colorScale>
        <cfvo type="min"/>
        <cfvo type="percentile" val="50"/>
        <cfvo type="max"/>
        <color rgb="FF63BE7B"/>
        <color rgb="FFFFEB84"/>
        <color rgb="FFF8696B"/>
      </colorScale>
    </cfRule>
  </conditionalFormatting>
  <conditionalFormatting sqref="G6866:G6889">
    <cfRule type="cellIs" dxfId="1313" priority="1952" operator="between">
      <formula>49</formula>
      <formula>149</formula>
    </cfRule>
    <cfRule type="cellIs" dxfId="1312" priority="1955" operator="lessThan">
      <formula>49</formula>
    </cfRule>
    <cfRule type="cellIs" dxfId="1311" priority="1956" operator="greaterThanOrEqual">
      <formula>150</formula>
    </cfRule>
  </conditionalFormatting>
  <conditionalFormatting sqref="H6866:H6889">
    <cfRule type="cellIs" dxfId="1310" priority="1951" operator="between">
      <formula>0.8</formula>
      <formula>1.2</formula>
    </cfRule>
    <cfRule type="cellIs" dxfId="1309" priority="1953" operator="lessThan">
      <formula>0.8</formula>
    </cfRule>
    <cfRule type="cellIs" dxfId="1308" priority="1954" operator="greaterThanOrEqual">
      <formula>1.2</formula>
    </cfRule>
  </conditionalFormatting>
  <conditionalFormatting sqref="I6866:I6889">
    <cfRule type="colorScale" priority="1950">
      <colorScale>
        <cfvo type="min"/>
        <cfvo type="percentile" val="50"/>
        <cfvo type="max"/>
        <color rgb="FF63BE7B"/>
        <color rgb="FFFFEB84"/>
        <color rgb="FFF8696B"/>
      </colorScale>
    </cfRule>
  </conditionalFormatting>
  <conditionalFormatting sqref="K6867:K6889">
    <cfRule type="colorScale" priority="1949">
      <colorScale>
        <cfvo type="min"/>
        <cfvo type="percentile" val="50"/>
        <cfvo type="max"/>
        <color rgb="FF63BE7B"/>
        <color rgb="FFFFEB84"/>
        <color rgb="FFF8696B"/>
      </colorScale>
    </cfRule>
  </conditionalFormatting>
  <conditionalFormatting sqref="K6866:K6889">
    <cfRule type="colorScale" priority="1948">
      <colorScale>
        <cfvo type="min"/>
        <cfvo type="percentile" val="50"/>
        <cfvo type="max"/>
        <color rgb="FF63BE7B"/>
        <color rgb="FFFFEB84"/>
        <color rgb="FFF8696B"/>
      </colorScale>
    </cfRule>
  </conditionalFormatting>
  <conditionalFormatting sqref="G6842:G6865">
    <cfRule type="cellIs" dxfId="1307" priority="1943" operator="between">
      <formula>49</formula>
      <formula>149</formula>
    </cfRule>
    <cfRule type="cellIs" dxfId="1306" priority="1946" operator="lessThan">
      <formula>49</formula>
    </cfRule>
    <cfRule type="cellIs" dxfId="1305" priority="1947" operator="greaterThanOrEqual">
      <formula>150</formula>
    </cfRule>
  </conditionalFormatting>
  <conditionalFormatting sqref="H6842:H6865">
    <cfRule type="cellIs" dxfId="1304" priority="1942" operator="between">
      <formula>0.8</formula>
      <formula>1.2</formula>
    </cfRule>
    <cfRule type="cellIs" dxfId="1303" priority="1944" operator="lessThan">
      <formula>0.8</formula>
    </cfRule>
    <cfRule type="cellIs" dxfId="1302" priority="1945" operator="greaterThanOrEqual">
      <formula>1.2</formula>
    </cfRule>
  </conditionalFormatting>
  <conditionalFormatting sqref="I6842:I6865">
    <cfRule type="colorScale" priority="1941">
      <colorScale>
        <cfvo type="min"/>
        <cfvo type="percentile" val="50"/>
        <cfvo type="max"/>
        <color rgb="FF63BE7B"/>
        <color rgb="FFFFEB84"/>
        <color rgb="FFF8696B"/>
      </colorScale>
    </cfRule>
  </conditionalFormatting>
  <conditionalFormatting sqref="K6843:K6865">
    <cfRule type="colorScale" priority="1940">
      <colorScale>
        <cfvo type="min"/>
        <cfvo type="percentile" val="50"/>
        <cfvo type="max"/>
        <color rgb="FF63BE7B"/>
        <color rgb="FFFFEB84"/>
        <color rgb="FFF8696B"/>
      </colorScale>
    </cfRule>
  </conditionalFormatting>
  <conditionalFormatting sqref="K6842:K6865">
    <cfRule type="colorScale" priority="1939">
      <colorScale>
        <cfvo type="min"/>
        <cfvo type="percentile" val="50"/>
        <cfvo type="max"/>
        <color rgb="FF63BE7B"/>
        <color rgb="FFFFEB84"/>
        <color rgb="FFF8696B"/>
      </colorScale>
    </cfRule>
  </conditionalFormatting>
  <conditionalFormatting sqref="G6818:G6841">
    <cfRule type="cellIs" dxfId="1301" priority="1934" operator="between">
      <formula>49</formula>
      <formula>149</formula>
    </cfRule>
    <cfRule type="cellIs" dxfId="1300" priority="1937" operator="lessThan">
      <formula>49</formula>
    </cfRule>
    <cfRule type="cellIs" dxfId="1299" priority="1938" operator="greaterThanOrEqual">
      <formula>150</formula>
    </cfRule>
  </conditionalFormatting>
  <conditionalFormatting sqref="H6818:H6841">
    <cfRule type="cellIs" dxfId="1298" priority="1933" operator="between">
      <formula>0.8</formula>
      <formula>1.2</formula>
    </cfRule>
    <cfRule type="cellIs" dxfId="1297" priority="1935" operator="lessThan">
      <formula>0.8</formula>
    </cfRule>
    <cfRule type="cellIs" dxfId="1296" priority="1936" operator="greaterThanOrEqual">
      <formula>1.2</formula>
    </cfRule>
  </conditionalFormatting>
  <conditionalFormatting sqref="I6818:I6841">
    <cfRule type="colorScale" priority="1932">
      <colorScale>
        <cfvo type="min"/>
        <cfvo type="percentile" val="50"/>
        <cfvo type="max"/>
        <color rgb="FF63BE7B"/>
        <color rgb="FFFFEB84"/>
        <color rgb="FFF8696B"/>
      </colorScale>
    </cfRule>
  </conditionalFormatting>
  <conditionalFormatting sqref="K6819:K6841">
    <cfRule type="colorScale" priority="1931">
      <colorScale>
        <cfvo type="min"/>
        <cfvo type="percentile" val="50"/>
        <cfvo type="max"/>
        <color rgb="FF63BE7B"/>
        <color rgb="FFFFEB84"/>
        <color rgb="FFF8696B"/>
      </colorScale>
    </cfRule>
  </conditionalFormatting>
  <conditionalFormatting sqref="K6818:K6841">
    <cfRule type="colorScale" priority="1930">
      <colorScale>
        <cfvo type="min"/>
        <cfvo type="percentile" val="50"/>
        <cfvo type="max"/>
        <color rgb="FF63BE7B"/>
        <color rgb="FFFFEB84"/>
        <color rgb="FFF8696B"/>
      </colorScale>
    </cfRule>
  </conditionalFormatting>
  <conditionalFormatting sqref="G6794:G6817">
    <cfRule type="cellIs" dxfId="1295" priority="1925" operator="between">
      <formula>49</formula>
      <formula>149</formula>
    </cfRule>
    <cfRule type="cellIs" dxfId="1294" priority="1928" operator="lessThan">
      <formula>49</formula>
    </cfRule>
    <cfRule type="cellIs" dxfId="1293" priority="1929" operator="greaterThanOrEqual">
      <formula>150</formula>
    </cfRule>
  </conditionalFormatting>
  <conditionalFormatting sqref="H6794:H6817">
    <cfRule type="cellIs" dxfId="1292" priority="1924" operator="between">
      <formula>0.8</formula>
      <formula>1.2</formula>
    </cfRule>
    <cfRule type="cellIs" dxfId="1291" priority="1926" operator="lessThan">
      <formula>0.8</formula>
    </cfRule>
    <cfRule type="cellIs" dxfId="1290" priority="1927" operator="greaterThanOrEqual">
      <formula>1.2</formula>
    </cfRule>
  </conditionalFormatting>
  <conditionalFormatting sqref="I6794:I6817">
    <cfRule type="colorScale" priority="1923">
      <colorScale>
        <cfvo type="min"/>
        <cfvo type="percentile" val="50"/>
        <cfvo type="max"/>
        <color rgb="FF63BE7B"/>
        <color rgb="FFFFEB84"/>
        <color rgb="FFF8696B"/>
      </colorScale>
    </cfRule>
  </conditionalFormatting>
  <conditionalFormatting sqref="K6795:K6817">
    <cfRule type="colorScale" priority="1922">
      <colorScale>
        <cfvo type="min"/>
        <cfvo type="percentile" val="50"/>
        <cfvo type="max"/>
        <color rgb="FF63BE7B"/>
        <color rgb="FFFFEB84"/>
        <color rgb="FFF8696B"/>
      </colorScale>
    </cfRule>
  </conditionalFormatting>
  <conditionalFormatting sqref="K6794:K6817">
    <cfRule type="colorScale" priority="1921">
      <colorScale>
        <cfvo type="min"/>
        <cfvo type="percentile" val="50"/>
        <cfvo type="max"/>
        <color rgb="FF63BE7B"/>
        <color rgb="FFFFEB84"/>
        <color rgb="FFF8696B"/>
      </colorScale>
    </cfRule>
  </conditionalFormatting>
  <conditionalFormatting sqref="G6770:G6793">
    <cfRule type="cellIs" dxfId="1289" priority="1916" operator="between">
      <formula>49</formula>
      <formula>149</formula>
    </cfRule>
    <cfRule type="cellIs" dxfId="1288" priority="1919" operator="lessThan">
      <formula>49</formula>
    </cfRule>
    <cfRule type="cellIs" dxfId="1287" priority="1920" operator="greaterThanOrEqual">
      <formula>150</formula>
    </cfRule>
  </conditionalFormatting>
  <conditionalFormatting sqref="H6770:H6793">
    <cfRule type="cellIs" dxfId="1286" priority="1915" operator="between">
      <formula>0.8</formula>
      <formula>1.2</formula>
    </cfRule>
    <cfRule type="cellIs" dxfId="1285" priority="1917" operator="lessThan">
      <formula>0.8</formula>
    </cfRule>
    <cfRule type="cellIs" dxfId="1284" priority="1918" operator="greaterThanOrEqual">
      <formula>1.2</formula>
    </cfRule>
  </conditionalFormatting>
  <conditionalFormatting sqref="I6770:I6793">
    <cfRule type="colorScale" priority="1914">
      <colorScale>
        <cfvo type="min"/>
        <cfvo type="percentile" val="50"/>
        <cfvo type="max"/>
        <color rgb="FF63BE7B"/>
        <color rgb="FFFFEB84"/>
        <color rgb="FFF8696B"/>
      </colorScale>
    </cfRule>
  </conditionalFormatting>
  <conditionalFormatting sqref="K6771:K6793">
    <cfRule type="colorScale" priority="1913">
      <colorScale>
        <cfvo type="min"/>
        <cfvo type="percentile" val="50"/>
        <cfvo type="max"/>
        <color rgb="FF63BE7B"/>
        <color rgb="FFFFEB84"/>
        <color rgb="FFF8696B"/>
      </colorScale>
    </cfRule>
  </conditionalFormatting>
  <conditionalFormatting sqref="K6770:K6793">
    <cfRule type="colorScale" priority="1912">
      <colorScale>
        <cfvo type="min"/>
        <cfvo type="percentile" val="50"/>
        <cfvo type="max"/>
        <color rgb="FF63BE7B"/>
        <color rgb="FFFFEB84"/>
        <color rgb="FFF8696B"/>
      </colorScale>
    </cfRule>
  </conditionalFormatting>
  <conditionalFormatting sqref="G6746:G6769">
    <cfRule type="cellIs" dxfId="1283" priority="1907" operator="between">
      <formula>49</formula>
      <formula>149</formula>
    </cfRule>
    <cfRule type="cellIs" dxfId="1282" priority="1910" operator="lessThan">
      <formula>49</formula>
    </cfRule>
    <cfRule type="cellIs" dxfId="1281" priority="1911" operator="greaterThanOrEqual">
      <formula>150</formula>
    </cfRule>
  </conditionalFormatting>
  <conditionalFormatting sqref="H6746:H6769">
    <cfRule type="cellIs" dxfId="1280" priority="1906" operator="between">
      <formula>0.8</formula>
      <formula>1.2</formula>
    </cfRule>
    <cfRule type="cellIs" dxfId="1279" priority="1908" operator="lessThan">
      <formula>0.8</formula>
    </cfRule>
    <cfRule type="cellIs" dxfId="1278" priority="1909" operator="greaterThanOrEqual">
      <formula>1.2</formula>
    </cfRule>
  </conditionalFormatting>
  <conditionalFormatting sqref="I6746:I6769">
    <cfRule type="colorScale" priority="1905">
      <colorScale>
        <cfvo type="min"/>
        <cfvo type="percentile" val="50"/>
        <cfvo type="max"/>
        <color rgb="FF63BE7B"/>
        <color rgb="FFFFEB84"/>
        <color rgb="FFF8696B"/>
      </colorScale>
    </cfRule>
  </conditionalFormatting>
  <conditionalFormatting sqref="K6747:K6769">
    <cfRule type="colorScale" priority="1904">
      <colorScale>
        <cfvo type="min"/>
        <cfvo type="percentile" val="50"/>
        <cfvo type="max"/>
        <color rgb="FF63BE7B"/>
        <color rgb="FFFFEB84"/>
        <color rgb="FFF8696B"/>
      </colorScale>
    </cfRule>
  </conditionalFormatting>
  <conditionalFormatting sqref="K6746:K6769">
    <cfRule type="colorScale" priority="1903">
      <colorScale>
        <cfvo type="min"/>
        <cfvo type="percentile" val="50"/>
        <cfvo type="max"/>
        <color rgb="FF63BE7B"/>
        <color rgb="FFFFEB84"/>
        <color rgb="FFF8696B"/>
      </colorScale>
    </cfRule>
  </conditionalFormatting>
  <conditionalFormatting sqref="G6722:G6745">
    <cfRule type="cellIs" dxfId="1277" priority="1898" operator="between">
      <formula>49</formula>
      <formula>149</formula>
    </cfRule>
    <cfRule type="cellIs" dxfId="1276" priority="1901" operator="lessThan">
      <formula>49</formula>
    </cfRule>
    <cfRule type="cellIs" dxfId="1275" priority="1902" operator="greaterThanOrEqual">
      <formula>150</formula>
    </cfRule>
  </conditionalFormatting>
  <conditionalFormatting sqref="H6722:H6745">
    <cfRule type="cellIs" dxfId="1274" priority="1897" operator="between">
      <formula>0.8</formula>
      <formula>1.2</formula>
    </cfRule>
    <cfRule type="cellIs" dxfId="1273" priority="1899" operator="lessThan">
      <formula>0.8</formula>
    </cfRule>
    <cfRule type="cellIs" dxfId="1272" priority="1900" operator="greaterThanOrEqual">
      <formula>1.2</formula>
    </cfRule>
  </conditionalFormatting>
  <conditionalFormatting sqref="I6722:I6745">
    <cfRule type="colorScale" priority="1896">
      <colorScale>
        <cfvo type="min"/>
        <cfvo type="percentile" val="50"/>
        <cfvo type="max"/>
        <color rgb="FF63BE7B"/>
        <color rgb="FFFFEB84"/>
        <color rgb="FFF8696B"/>
      </colorScale>
    </cfRule>
  </conditionalFormatting>
  <conditionalFormatting sqref="K6723:K6745">
    <cfRule type="colorScale" priority="1895">
      <colorScale>
        <cfvo type="min"/>
        <cfvo type="percentile" val="50"/>
        <cfvo type="max"/>
        <color rgb="FF63BE7B"/>
        <color rgb="FFFFEB84"/>
        <color rgb="FFF8696B"/>
      </colorScale>
    </cfRule>
  </conditionalFormatting>
  <conditionalFormatting sqref="K6722:K6745">
    <cfRule type="colorScale" priority="1894">
      <colorScale>
        <cfvo type="min"/>
        <cfvo type="percentile" val="50"/>
        <cfvo type="max"/>
        <color rgb="FF63BE7B"/>
        <color rgb="FFFFEB84"/>
        <color rgb="FFF8696B"/>
      </colorScale>
    </cfRule>
  </conditionalFormatting>
  <conditionalFormatting sqref="G6698:G6721">
    <cfRule type="cellIs" dxfId="1271" priority="1889" operator="between">
      <formula>49</formula>
      <formula>149</formula>
    </cfRule>
    <cfRule type="cellIs" dxfId="1270" priority="1892" operator="lessThan">
      <formula>49</formula>
    </cfRule>
    <cfRule type="cellIs" dxfId="1269" priority="1893" operator="greaterThanOrEqual">
      <formula>150</formula>
    </cfRule>
  </conditionalFormatting>
  <conditionalFormatting sqref="H6698:H6721">
    <cfRule type="cellIs" dxfId="1268" priority="1888" operator="between">
      <formula>0.8</formula>
      <formula>1.2</formula>
    </cfRule>
    <cfRule type="cellIs" dxfId="1267" priority="1890" operator="lessThan">
      <formula>0.8</formula>
    </cfRule>
    <cfRule type="cellIs" dxfId="1266" priority="1891" operator="greaterThanOrEqual">
      <formula>1.2</formula>
    </cfRule>
  </conditionalFormatting>
  <conditionalFormatting sqref="I6698:I6721">
    <cfRule type="colorScale" priority="1887">
      <colorScale>
        <cfvo type="min"/>
        <cfvo type="percentile" val="50"/>
        <cfvo type="max"/>
        <color rgb="FF63BE7B"/>
        <color rgb="FFFFEB84"/>
        <color rgb="FFF8696B"/>
      </colorScale>
    </cfRule>
  </conditionalFormatting>
  <conditionalFormatting sqref="K6699:K6721">
    <cfRule type="colorScale" priority="1886">
      <colorScale>
        <cfvo type="min"/>
        <cfvo type="percentile" val="50"/>
        <cfvo type="max"/>
        <color rgb="FF63BE7B"/>
        <color rgb="FFFFEB84"/>
        <color rgb="FFF8696B"/>
      </colorScale>
    </cfRule>
  </conditionalFormatting>
  <conditionalFormatting sqref="K6698:K6721">
    <cfRule type="colorScale" priority="1885">
      <colorScale>
        <cfvo type="min"/>
        <cfvo type="percentile" val="50"/>
        <cfvo type="max"/>
        <color rgb="FF63BE7B"/>
        <color rgb="FFFFEB84"/>
        <color rgb="FFF8696B"/>
      </colorScale>
    </cfRule>
  </conditionalFormatting>
  <conditionalFormatting sqref="G6674:G6697">
    <cfRule type="cellIs" dxfId="1265" priority="1880" operator="between">
      <formula>49</formula>
      <formula>149</formula>
    </cfRule>
    <cfRule type="cellIs" dxfId="1264" priority="1883" operator="lessThan">
      <formula>49</formula>
    </cfRule>
    <cfRule type="cellIs" dxfId="1263" priority="1884" operator="greaterThanOrEqual">
      <formula>150</formula>
    </cfRule>
  </conditionalFormatting>
  <conditionalFormatting sqref="H6674:H6697">
    <cfRule type="cellIs" dxfId="1262" priority="1879" operator="between">
      <formula>0.8</formula>
      <formula>1.2</formula>
    </cfRule>
    <cfRule type="cellIs" dxfId="1261" priority="1881" operator="lessThan">
      <formula>0.8</formula>
    </cfRule>
    <cfRule type="cellIs" dxfId="1260" priority="1882" operator="greaterThanOrEqual">
      <formula>1.2</formula>
    </cfRule>
  </conditionalFormatting>
  <conditionalFormatting sqref="I6674:I6697">
    <cfRule type="colorScale" priority="1878">
      <colorScale>
        <cfvo type="min"/>
        <cfvo type="percentile" val="50"/>
        <cfvo type="max"/>
        <color rgb="FF63BE7B"/>
        <color rgb="FFFFEB84"/>
        <color rgb="FFF8696B"/>
      </colorScale>
    </cfRule>
  </conditionalFormatting>
  <conditionalFormatting sqref="K6675:K6697">
    <cfRule type="colorScale" priority="1877">
      <colorScale>
        <cfvo type="min"/>
        <cfvo type="percentile" val="50"/>
        <cfvo type="max"/>
        <color rgb="FF63BE7B"/>
        <color rgb="FFFFEB84"/>
        <color rgb="FFF8696B"/>
      </colorScale>
    </cfRule>
  </conditionalFormatting>
  <conditionalFormatting sqref="K6674:K6697">
    <cfRule type="colorScale" priority="1876">
      <colorScale>
        <cfvo type="min"/>
        <cfvo type="percentile" val="50"/>
        <cfvo type="max"/>
        <color rgb="FF63BE7B"/>
        <color rgb="FFFFEB84"/>
        <color rgb="FFF8696B"/>
      </colorScale>
    </cfRule>
  </conditionalFormatting>
  <conditionalFormatting sqref="G6650:G6673">
    <cfRule type="cellIs" dxfId="1259" priority="1871" operator="between">
      <formula>49</formula>
      <formula>149</formula>
    </cfRule>
    <cfRule type="cellIs" dxfId="1258" priority="1874" operator="lessThan">
      <formula>49</formula>
    </cfRule>
    <cfRule type="cellIs" dxfId="1257" priority="1875" operator="greaterThanOrEqual">
      <formula>150</formula>
    </cfRule>
  </conditionalFormatting>
  <conditionalFormatting sqref="H6650:H6673">
    <cfRule type="cellIs" dxfId="1256" priority="1870" operator="between">
      <formula>0.8</formula>
      <formula>1.2</formula>
    </cfRule>
    <cfRule type="cellIs" dxfId="1255" priority="1872" operator="lessThan">
      <formula>0.8</formula>
    </cfRule>
    <cfRule type="cellIs" dxfId="1254" priority="1873" operator="greaterThanOrEqual">
      <formula>1.2</formula>
    </cfRule>
  </conditionalFormatting>
  <conditionalFormatting sqref="I6650:I6673">
    <cfRule type="colorScale" priority="1869">
      <colorScale>
        <cfvo type="min"/>
        <cfvo type="percentile" val="50"/>
        <cfvo type="max"/>
        <color rgb="FF63BE7B"/>
        <color rgb="FFFFEB84"/>
        <color rgb="FFF8696B"/>
      </colorScale>
    </cfRule>
  </conditionalFormatting>
  <conditionalFormatting sqref="K6651:K6673">
    <cfRule type="colorScale" priority="1868">
      <colorScale>
        <cfvo type="min"/>
        <cfvo type="percentile" val="50"/>
        <cfvo type="max"/>
        <color rgb="FF63BE7B"/>
        <color rgb="FFFFEB84"/>
        <color rgb="FFF8696B"/>
      </colorScale>
    </cfRule>
  </conditionalFormatting>
  <conditionalFormatting sqref="K6650:K6673">
    <cfRule type="colorScale" priority="1867">
      <colorScale>
        <cfvo type="min"/>
        <cfvo type="percentile" val="50"/>
        <cfvo type="max"/>
        <color rgb="FF63BE7B"/>
        <color rgb="FFFFEB84"/>
        <color rgb="FFF8696B"/>
      </colorScale>
    </cfRule>
  </conditionalFormatting>
  <conditionalFormatting sqref="G6626:G6649">
    <cfRule type="cellIs" dxfId="1253" priority="1862" operator="between">
      <formula>49</formula>
      <formula>149</formula>
    </cfRule>
    <cfRule type="cellIs" dxfId="1252" priority="1865" operator="lessThan">
      <formula>49</formula>
    </cfRule>
    <cfRule type="cellIs" dxfId="1251" priority="1866" operator="greaterThanOrEqual">
      <formula>150</formula>
    </cfRule>
  </conditionalFormatting>
  <conditionalFormatting sqref="H6626:H6649">
    <cfRule type="cellIs" dxfId="1250" priority="1861" operator="between">
      <formula>0.8</formula>
      <formula>1.2</formula>
    </cfRule>
    <cfRule type="cellIs" dxfId="1249" priority="1863" operator="lessThan">
      <formula>0.8</formula>
    </cfRule>
    <cfRule type="cellIs" dxfId="1248" priority="1864" operator="greaterThanOrEqual">
      <formula>1.2</formula>
    </cfRule>
  </conditionalFormatting>
  <conditionalFormatting sqref="I6626:I6649">
    <cfRule type="colorScale" priority="1860">
      <colorScale>
        <cfvo type="min"/>
        <cfvo type="percentile" val="50"/>
        <cfvo type="max"/>
        <color rgb="FF63BE7B"/>
        <color rgb="FFFFEB84"/>
        <color rgb="FFF8696B"/>
      </colorScale>
    </cfRule>
  </conditionalFormatting>
  <conditionalFormatting sqref="K6627:K6649">
    <cfRule type="colorScale" priority="1859">
      <colorScale>
        <cfvo type="min"/>
        <cfvo type="percentile" val="50"/>
        <cfvo type="max"/>
        <color rgb="FF63BE7B"/>
        <color rgb="FFFFEB84"/>
        <color rgb="FFF8696B"/>
      </colorScale>
    </cfRule>
  </conditionalFormatting>
  <conditionalFormatting sqref="K6626:K6649">
    <cfRule type="colorScale" priority="1858">
      <colorScale>
        <cfvo type="min"/>
        <cfvo type="percentile" val="50"/>
        <cfvo type="max"/>
        <color rgb="FF63BE7B"/>
        <color rgb="FFFFEB84"/>
        <color rgb="FFF8696B"/>
      </colorScale>
    </cfRule>
  </conditionalFormatting>
  <conditionalFormatting sqref="G6602:G6625">
    <cfRule type="cellIs" dxfId="1247" priority="1853" operator="between">
      <formula>49</formula>
      <formula>149</formula>
    </cfRule>
    <cfRule type="cellIs" dxfId="1246" priority="1856" operator="lessThan">
      <formula>49</formula>
    </cfRule>
    <cfRule type="cellIs" dxfId="1245" priority="1857" operator="greaterThanOrEqual">
      <formula>150</formula>
    </cfRule>
  </conditionalFormatting>
  <conditionalFormatting sqref="H6602:H6625">
    <cfRule type="cellIs" dxfId="1244" priority="1852" operator="between">
      <formula>0.8</formula>
      <formula>1.2</formula>
    </cfRule>
    <cfRule type="cellIs" dxfId="1243" priority="1854" operator="lessThan">
      <formula>0.8</formula>
    </cfRule>
    <cfRule type="cellIs" dxfId="1242" priority="1855" operator="greaterThanOrEqual">
      <formula>1.2</formula>
    </cfRule>
  </conditionalFormatting>
  <conditionalFormatting sqref="I6602:I6625">
    <cfRule type="colorScale" priority="1851">
      <colorScale>
        <cfvo type="min"/>
        <cfvo type="percentile" val="50"/>
        <cfvo type="max"/>
        <color rgb="FF63BE7B"/>
        <color rgb="FFFFEB84"/>
        <color rgb="FFF8696B"/>
      </colorScale>
    </cfRule>
  </conditionalFormatting>
  <conditionalFormatting sqref="K6603:K6625">
    <cfRule type="colorScale" priority="1850">
      <colorScale>
        <cfvo type="min"/>
        <cfvo type="percentile" val="50"/>
        <cfvo type="max"/>
        <color rgb="FF63BE7B"/>
        <color rgb="FFFFEB84"/>
        <color rgb="FFF8696B"/>
      </colorScale>
    </cfRule>
  </conditionalFormatting>
  <conditionalFormatting sqref="K6602:K6625">
    <cfRule type="colorScale" priority="1849">
      <colorScale>
        <cfvo type="min"/>
        <cfvo type="percentile" val="50"/>
        <cfvo type="max"/>
        <color rgb="FF63BE7B"/>
        <color rgb="FFFFEB84"/>
        <color rgb="FFF8696B"/>
      </colorScale>
    </cfRule>
  </conditionalFormatting>
  <conditionalFormatting sqref="G6578:G6601">
    <cfRule type="cellIs" dxfId="1241" priority="1844" operator="between">
      <formula>49</formula>
      <formula>149</formula>
    </cfRule>
    <cfRule type="cellIs" dxfId="1240" priority="1847" operator="lessThan">
      <formula>49</formula>
    </cfRule>
    <cfRule type="cellIs" dxfId="1239" priority="1848" operator="greaterThanOrEqual">
      <formula>150</formula>
    </cfRule>
  </conditionalFormatting>
  <conditionalFormatting sqref="H6578:H6601">
    <cfRule type="cellIs" dxfId="1238" priority="1843" operator="between">
      <formula>0.8</formula>
      <formula>1.2</formula>
    </cfRule>
    <cfRule type="cellIs" dxfId="1237" priority="1845" operator="lessThan">
      <formula>0.8</formula>
    </cfRule>
    <cfRule type="cellIs" dxfId="1236" priority="1846" operator="greaterThanOrEqual">
      <formula>1.2</formula>
    </cfRule>
  </conditionalFormatting>
  <conditionalFormatting sqref="I6578:I6601">
    <cfRule type="colorScale" priority="1842">
      <colorScale>
        <cfvo type="min"/>
        <cfvo type="percentile" val="50"/>
        <cfvo type="max"/>
        <color rgb="FF63BE7B"/>
        <color rgb="FFFFEB84"/>
        <color rgb="FFF8696B"/>
      </colorScale>
    </cfRule>
  </conditionalFormatting>
  <conditionalFormatting sqref="K6579:K6601">
    <cfRule type="colorScale" priority="1841">
      <colorScale>
        <cfvo type="min"/>
        <cfvo type="percentile" val="50"/>
        <cfvo type="max"/>
        <color rgb="FF63BE7B"/>
        <color rgb="FFFFEB84"/>
        <color rgb="FFF8696B"/>
      </colorScale>
    </cfRule>
  </conditionalFormatting>
  <conditionalFormatting sqref="K6578:K6601">
    <cfRule type="colorScale" priority="1840">
      <colorScale>
        <cfvo type="min"/>
        <cfvo type="percentile" val="50"/>
        <cfvo type="max"/>
        <color rgb="FF63BE7B"/>
        <color rgb="FFFFEB84"/>
        <color rgb="FFF8696B"/>
      </colorScale>
    </cfRule>
  </conditionalFormatting>
  <conditionalFormatting sqref="G6554:G6577">
    <cfRule type="cellIs" dxfId="1235" priority="1835" operator="between">
      <formula>49</formula>
      <formula>149</formula>
    </cfRule>
    <cfRule type="cellIs" dxfId="1234" priority="1838" operator="lessThan">
      <formula>49</formula>
    </cfRule>
    <cfRule type="cellIs" dxfId="1233" priority="1839" operator="greaterThanOrEqual">
      <formula>150</formula>
    </cfRule>
  </conditionalFormatting>
  <conditionalFormatting sqref="H6554:H6577">
    <cfRule type="cellIs" dxfId="1232" priority="1834" operator="between">
      <formula>0.8</formula>
      <formula>1.2</formula>
    </cfRule>
    <cfRule type="cellIs" dxfId="1231" priority="1836" operator="lessThan">
      <formula>0.8</formula>
    </cfRule>
    <cfRule type="cellIs" dxfId="1230" priority="1837" operator="greaterThanOrEqual">
      <formula>1.2</formula>
    </cfRule>
  </conditionalFormatting>
  <conditionalFormatting sqref="I6554:I6577">
    <cfRule type="colorScale" priority="1833">
      <colorScale>
        <cfvo type="min"/>
        <cfvo type="percentile" val="50"/>
        <cfvo type="max"/>
        <color rgb="FF63BE7B"/>
        <color rgb="FFFFEB84"/>
        <color rgb="FFF8696B"/>
      </colorScale>
    </cfRule>
  </conditionalFormatting>
  <conditionalFormatting sqref="K6555:K6577">
    <cfRule type="colorScale" priority="1832">
      <colorScale>
        <cfvo type="min"/>
        <cfvo type="percentile" val="50"/>
        <cfvo type="max"/>
        <color rgb="FF63BE7B"/>
        <color rgb="FFFFEB84"/>
        <color rgb="FFF8696B"/>
      </colorScale>
    </cfRule>
  </conditionalFormatting>
  <conditionalFormatting sqref="K6554:K6577">
    <cfRule type="colorScale" priority="1831">
      <colorScale>
        <cfvo type="min"/>
        <cfvo type="percentile" val="50"/>
        <cfvo type="max"/>
        <color rgb="FF63BE7B"/>
        <color rgb="FFFFEB84"/>
        <color rgb="FFF8696B"/>
      </colorScale>
    </cfRule>
  </conditionalFormatting>
  <conditionalFormatting sqref="G6530:G6553">
    <cfRule type="cellIs" dxfId="1229" priority="1826" operator="between">
      <formula>49</formula>
      <formula>149</formula>
    </cfRule>
    <cfRule type="cellIs" dxfId="1228" priority="1829" operator="lessThan">
      <formula>49</formula>
    </cfRule>
    <cfRule type="cellIs" dxfId="1227" priority="1830" operator="greaterThanOrEqual">
      <formula>150</formula>
    </cfRule>
  </conditionalFormatting>
  <conditionalFormatting sqref="H6530:H6553">
    <cfRule type="cellIs" dxfId="1226" priority="1825" operator="between">
      <formula>0.8</formula>
      <formula>1.2</formula>
    </cfRule>
    <cfRule type="cellIs" dxfId="1225" priority="1827" operator="lessThan">
      <formula>0.8</formula>
    </cfRule>
    <cfRule type="cellIs" dxfId="1224" priority="1828" operator="greaterThanOrEqual">
      <formula>1.2</formula>
    </cfRule>
  </conditionalFormatting>
  <conditionalFormatting sqref="I6530:I6553">
    <cfRule type="colorScale" priority="1824">
      <colorScale>
        <cfvo type="min"/>
        <cfvo type="percentile" val="50"/>
        <cfvo type="max"/>
        <color rgb="FF63BE7B"/>
        <color rgb="FFFFEB84"/>
        <color rgb="FFF8696B"/>
      </colorScale>
    </cfRule>
  </conditionalFormatting>
  <conditionalFormatting sqref="K6531:K6553">
    <cfRule type="colorScale" priority="1823">
      <colorScale>
        <cfvo type="min"/>
        <cfvo type="percentile" val="50"/>
        <cfvo type="max"/>
        <color rgb="FF63BE7B"/>
        <color rgb="FFFFEB84"/>
        <color rgb="FFF8696B"/>
      </colorScale>
    </cfRule>
  </conditionalFormatting>
  <conditionalFormatting sqref="K6530:K6553">
    <cfRule type="colorScale" priority="1822">
      <colorScale>
        <cfvo type="min"/>
        <cfvo type="percentile" val="50"/>
        <cfvo type="max"/>
        <color rgb="FF63BE7B"/>
        <color rgb="FFFFEB84"/>
        <color rgb="FFF8696B"/>
      </colorScale>
    </cfRule>
  </conditionalFormatting>
  <conditionalFormatting sqref="G6506:G6529">
    <cfRule type="cellIs" dxfId="1223" priority="1817" operator="between">
      <formula>49</formula>
      <formula>149</formula>
    </cfRule>
    <cfRule type="cellIs" dxfId="1222" priority="1820" operator="lessThan">
      <formula>49</formula>
    </cfRule>
    <cfRule type="cellIs" dxfId="1221" priority="1821" operator="greaterThanOrEqual">
      <formula>150</formula>
    </cfRule>
  </conditionalFormatting>
  <conditionalFormatting sqref="H6506:H6529">
    <cfRule type="cellIs" dxfId="1220" priority="1816" operator="between">
      <formula>0.8</formula>
      <formula>1.2</formula>
    </cfRule>
    <cfRule type="cellIs" dxfId="1219" priority="1818" operator="lessThan">
      <formula>0.8</formula>
    </cfRule>
    <cfRule type="cellIs" dxfId="1218" priority="1819" operator="greaterThanOrEqual">
      <formula>1.2</formula>
    </cfRule>
  </conditionalFormatting>
  <conditionalFormatting sqref="I6506:I6529">
    <cfRule type="colorScale" priority="1815">
      <colorScale>
        <cfvo type="min"/>
        <cfvo type="percentile" val="50"/>
        <cfvo type="max"/>
        <color rgb="FF63BE7B"/>
        <color rgb="FFFFEB84"/>
        <color rgb="FFF8696B"/>
      </colorScale>
    </cfRule>
  </conditionalFormatting>
  <conditionalFormatting sqref="K6507:K6529">
    <cfRule type="colorScale" priority="1814">
      <colorScale>
        <cfvo type="min"/>
        <cfvo type="percentile" val="50"/>
        <cfvo type="max"/>
        <color rgb="FF63BE7B"/>
        <color rgb="FFFFEB84"/>
        <color rgb="FFF8696B"/>
      </colorScale>
    </cfRule>
  </conditionalFormatting>
  <conditionalFormatting sqref="K6506:K6529">
    <cfRule type="colorScale" priority="1813">
      <colorScale>
        <cfvo type="min"/>
        <cfvo type="percentile" val="50"/>
        <cfvo type="max"/>
        <color rgb="FF63BE7B"/>
        <color rgb="FFFFEB84"/>
        <color rgb="FFF8696B"/>
      </colorScale>
    </cfRule>
  </conditionalFormatting>
  <conditionalFormatting sqref="G6482:G6505">
    <cfRule type="cellIs" dxfId="1217" priority="1808" operator="between">
      <formula>49</formula>
      <formula>149</formula>
    </cfRule>
    <cfRule type="cellIs" dxfId="1216" priority="1811" operator="lessThan">
      <formula>49</formula>
    </cfRule>
    <cfRule type="cellIs" dxfId="1215" priority="1812" operator="greaterThanOrEqual">
      <formula>150</formula>
    </cfRule>
  </conditionalFormatting>
  <conditionalFormatting sqref="H6482:H6505">
    <cfRule type="cellIs" dxfId="1214" priority="1807" operator="between">
      <formula>0.8</formula>
      <formula>1.2</formula>
    </cfRule>
    <cfRule type="cellIs" dxfId="1213" priority="1809" operator="lessThan">
      <formula>0.8</formula>
    </cfRule>
    <cfRule type="cellIs" dxfId="1212" priority="1810" operator="greaterThanOrEqual">
      <formula>1.2</formula>
    </cfRule>
  </conditionalFormatting>
  <conditionalFormatting sqref="I6482:I6505">
    <cfRule type="colorScale" priority="1806">
      <colorScale>
        <cfvo type="min"/>
        <cfvo type="percentile" val="50"/>
        <cfvo type="max"/>
        <color rgb="FF63BE7B"/>
        <color rgb="FFFFEB84"/>
        <color rgb="FFF8696B"/>
      </colorScale>
    </cfRule>
  </conditionalFormatting>
  <conditionalFormatting sqref="K6483:K6505">
    <cfRule type="colorScale" priority="1805">
      <colorScale>
        <cfvo type="min"/>
        <cfvo type="percentile" val="50"/>
        <cfvo type="max"/>
        <color rgb="FF63BE7B"/>
        <color rgb="FFFFEB84"/>
        <color rgb="FFF8696B"/>
      </colorScale>
    </cfRule>
  </conditionalFormatting>
  <conditionalFormatting sqref="K6482:K6505">
    <cfRule type="colorScale" priority="1804">
      <colorScale>
        <cfvo type="min"/>
        <cfvo type="percentile" val="50"/>
        <cfvo type="max"/>
        <color rgb="FF63BE7B"/>
        <color rgb="FFFFEB84"/>
        <color rgb="FFF8696B"/>
      </colorScale>
    </cfRule>
  </conditionalFormatting>
  <conditionalFormatting sqref="G6458:G6481">
    <cfRule type="cellIs" dxfId="1211" priority="1799" operator="between">
      <formula>49</formula>
      <formula>149</formula>
    </cfRule>
    <cfRule type="cellIs" dxfId="1210" priority="1802" operator="lessThan">
      <formula>49</formula>
    </cfRule>
    <cfRule type="cellIs" dxfId="1209" priority="1803" operator="greaterThanOrEqual">
      <formula>150</formula>
    </cfRule>
  </conditionalFormatting>
  <conditionalFormatting sqref="H6458:H6481">
    <cfRule type="cellIs" dxfId="1208" priority="1798" operator="between">
      <formula>0.8</formula>
      <formula>1.2</formula>
    </cfRule>
    <cfRule type="cellIs" dxfId="1207" priority="1800" operator="lessThan">
      <formula>0.8</formula>
    </cfRule>
    <cfRule type="cellIs" dxfId="1206" priority="1801" operator="greaterThanOrEqual">
      <formula>1.2</formula>
    </cfRule>
  </conditionalFormatting>
  <conditionalFormatting sqref="I6458:I6481">
    <cfRule type="colorScale" priority="1797">
      <colorScale>
        <cfvo type="min"/>
        <cfvo type="percentile" val="50"/>
        <cfvo type="max"/>
        <color rgb="FF63BE7B"/>
        <color rgb="FFFFEB84"/>
        <color rgb="FFF8696B"/>
      </colorScale>
    </cfRule>
  </conditionalFormatting>
  <conditionalFormatting sqref="K6459:K6481">
    <cfRule type="colorScale" priority="1796">
      <colorScale>
        <cfvo type="min"/>
        <cfvo type="percentile" val="50"/>
        <cfvo type="max"/>
        <color rgb="FF63BE7B"/>
        <color rgb="FFFFEB84"/>
        <color rgb="FFF8696B"/>
      </colorScale>
    </cfRule>
  </conditionalFormatting>
  <conditionalFormatting sqref="K6458:K6481">
    <cfRule type="colorScale" priority="1795">
      <colorScale>
        <cfvo type="min"/>
        <cfvo type="percentile" val="50"/>
        <cfvo type="max"/>
        <color rgb="FF63BE7B"/>
        <color rgb="FFFFEB84"/>
        <color rgb="FFF8696B"/>
      </colorScale>
    </cfRule>
  </conditionalFormatting>
  <conditionalFormatting sqref="G6434:G6457">
    <cfRule type="cellIs" dxfId="1205" priority="1790" operator="between">
      <formula>49</formula>
      <formula>149</formula>
    </cfRule>
    <cfRule type="cellIs" dxfId="1204" priority="1793" operator="lessThan">
      <formula>49</formula>
    </cfRule>
    <cfRule type="cellIs" dxfId="1203" priority="1794" operator="greaterThanOrEqual">
      <formula>150</formula>
    </cfRule>
  </conditionalFormatting>
  <conditionalFormatting sqref="H6434:H6457">
    <cfRule type="cellIs" dxfId="1202" priority="1789" operator="between">
      <formula>0.8</formula>
      <formula>1.2</formula>
    </cfRule>
    <cfRule type="cellIs" dxfId="1201" priority="1791" operator="lessThan">
      <formula>0.8</formula>
    </cfRule>
    <cfRule type="cellIs" dxfId="1200" priority="1792" operator="greaterThanOrEqual">
      <formula>1.2</formula>
    </cfRule>
  </conditionalFormatting>
  <conditionalFormatting sqref="I6434:I6457">
    <cfRule type="colorScale" priority="1788">
      <colorScale>
        <cfvo type="min"/>
        <cfvo type="percentile" val="50"/>
        <cfvo type="max"/>
        <color rgb="FF63BE7B"/>
        <color rgb="FFFFEB84"/>
        <color rgb="FFF8696B"/>
      </colorScale>
    </cfRule>
  </conditionalFormatting>
  <conditionalFormatting sqref="K6435:K6457">
    <cfRule type="colorScale" priority="1787">
      <colorScale>
        <cfvo type="min"/>
        <cfvo type="percentile" val="50"/>
        <cfvo type="max"/>
        <color rgb="FF63BE7B"/>
        <color rgb="FFFFEB84"/>
        <color rgb="FFF8696B"/>
      </colorScale>
    </cfRule>
  </conditionalFormatting>
  <conditionalFormatting sqref="K6434:K6457">
    <cfRule type="colorScale" priority="1786">
      <colorScale>
        <cfvo type="min"/>
        <cfvo type="percentile" val="50"/>
        <cfvo type="max"/>
        <color rgb="FF63BE7B"/>
        <color rgb="FFFFEB84"/>
        <color rgb="FFF8696B"/>
      </colorScale>
    </cfRule>
  </conditionalFormatting>
  <conditionalFormatting sqref="G6410:G6433">
    <cfRule type="cellIs" dxfId="1199" priority="1781" operator="between">
      <formula>49</formula>
      <formula>149</formula>
    </cfRule>
    <cfRule type="cellIs" dxfId="1198" priority="1784" operator="lessThan">
      <formula>49</formula>
    </cfRule>
    <cfRule type="cellIs" dxfId="1197" priority="1785" operator="greaterThanOrEqual">
      <formula>150</formula>
    </cfRule>
  </conditionalFormatting>
  <conditionalFormatting sqref="H6410:H6433">
    <cfRule type="cellIs" dxfId="1196" priority="1780" operator="between">
      <formula>0.8</formula>
      <formula>1.2</formula>
    </cfRule>
    <cfRule type="cellIs" dxfId="1195" priority="1782" operator="lessThan">
      <formula>0.8</formula>
    </cfRule>
    <cfRule type="cellIs" dxfId="1194" priority="1783" operator="greaterThanOrEqual">
      <formula>1.2</formula>
    </cfRule>
  </conditionalFormatting>
  <conditionalFormatting sqref="I6410:I6433">
    <cfRule type="colorScale" priority="1779">
      <colorScale>
        <cfvo type="min"/>
        <cfvo type="percentile" val="50"/>
        <cfvo type="max"/>
        <color rgb="FF63BE7B"/>
        <color rgb="FFFFEB84"/>
        <color rgb="FFF8696B"/>
      </colorScale>
    </cfRule>
  </conditionalFormatting>
  <conditionalFormatting sqref="K6411:K6433">
    <cfRule type="colorScale" priority="1778">
      <colorScale>
        <cfvo type="min"/>
        <cfvo type="percentile" val="50"/>
        <cfvo type="max"/>
        <color rgb="FF63BE7B"/>
        <color rgb="FFFFEB84"/>
        <color rgb="FFF8696B"/>
      </colorScale>
    </cfRule>
  </conditionalFormatting>
  <conditionalFormatting sqref="K6410:K6433">
    <cfRule type="colorScale" priority="1777">
      <colorScale>
        <cfvo type="min"/>
        <cfvo type="percentile" val="50"/>
        <cfvo type="max"/>
        <color rgb="FF63BE7B"/>
        <color rgb="FFFFEB84"/>
        <color rgb="FFF8696B"/>
      </colorScale>
    </cfRule>
  </conditionalFormatting>
  <conditionalFormatting sqref="G6386:G6409">
    <cfRule type="cellIs" dxfId="1193" priority="1772" operator="between">
      <formula>49</formula>
      <formula>149</formula>
    </cfRule>
    <cfRule type="cellIs" dxfId="1192" priority="1775" operator="lessThan">
      <formula>49</formula>
    </cfRule>
    <cfRule type="cellIs" dxfId="1191" priority="1776" operator="greaterThanOrEqual">
      <formula>150</formula>
    </cfRule>
  </conditionalFormatting>
  <conditionalFormatting sqref="H6386:H6409">
    <cfRule type="cellIs" dxfId="1190" priority="1771" operator="between">
      <formula>0.8</formula>
      <formula>1.2</formula>
    </cfRule>
    <cfRule type="cellIs" dxfId="1189" priority="1773" operator="lessThan">
      <formula>0.8</formula>
    </cfRule>
    <cfRule type="cellIs" dxfId="1188" priority="1774" operator="greaterThanOrEqual">
      <formula>1.2</formula>
    </cfRule>
  </conditionalFormatting>
  <conditionalFormatting sqref="I6386:I6409">
    <cfRule type="colorScale" priority="1770">
      <colorScale>
        <cfvo type="min"/>
        <cfvo type="percentile" val="50"/>
        <cfvo type="max"/>
        <color rgb="FF63BE7B"/>
        <color rgb="FFFFEB84"/>
        <color rgb="FFF8696B"/>
      </colorScale>
    </cfRule>
  </conditionalFormatting>
  <conditionalFormatting sqref="K6387:K6409">
    <cfRule type="colorScale" priority="1769">
      <colorScale>
        <cfvo type="min"/>
        <cfvo type="percentile" val="50"/>
        <cfvo type="max"/>
        <color rgb="FF63BE7B"/>
        <color rgb="FFFFEB84"/>
        <color rgb="FFF8696B"/>
      </colorScale>
    </cfRule>
  </conditionalFormatting>
  <conditionalFormatting sqref="K6386:K6409">
    <cfRule type="colorScale" priority="1768">
      <colorScale>
        <cfvo type="min"/>
        <cfvo type="percentile" val="50"/>
        <cfvo type="max"/>
        <color rgb="FF63BE7B"/>
        <color rgb="FFFFEB84"/>
        <color rgb="FFF8696B"/>
      </colorScale>
    </cfRule>
  </conditionalFormatting>
  <conditionalFormatting sqref="G6362:G6385">
    <cfRule type="cellIs" dxfId="1187" priority="1763" operator="between">
      <formula>49</formula>
      <formula>149</formula>
    </cfRule>
    <cfRule type="cellIs" dxfId="1186" priority="1766" operator="lessThan">
      <formula>49</formula>
    </cfRule>
    <cfRule type="cellIs" dxfId="1185" priority="1767" operator="greaterThanOrEqual">
      <formula>150</formula>
    </cfRule>
  </conditionalFormatting>
  <conditionalFormatting sqref="H6362:H6385">
    <cfRule type="cellIs" dxfId="1184" priority="1762" operator="between">
      <formula>0.8</formula>
      <formula>1.2</formula>
    </cfRule>
    <cfRule type="cellIs" dxfId="1183" priority="1764" operator="lessThan">
      <formula>0.8</formula>
    </cfRule>
    <cfRule type="cellIs" dxfId="1182" priority="1765" operator="greaterThanOrEqual">
      <formula>1.2</formula>
    </cfRule>
  </conditionalFormatting>
  <conditionalFormatting sqref="I6362:I6385">
    <cfRule type="colorScale" priority="1761">
      <colorScale>
        <cfvo type="min"/>
        <cfvo type="percentile" val="50"/>
        <cfvo type="max"/>
        <color rgb="FF63BE7B"/>
        <color rgb="FFFFEB84"/>
        <color rgb="FFF8696B"/>
      </colorScale>
    </cfRule>
  </conditionalFormatting>
  <conditionalFormatting sqref="K6363:K6385">
    <cfRule type="colorScale" priority="1760">
      <colorScale>
        <cfvo type="min"/>
        <cfvo type="percentile" val="50"/>
        <cfvo type="max"/>
        <color rgb="FF63BE7B"/>
        <color rgb="FFFFEB84"/>
        <color rgb="FFF8696B"/>
      </colorScale>
    </cfRule>
  </conditionalFormatting>
  <conditionalFormatting sqref="K6362:K6385">
    <cfRule type="colorScale" priority="1759">
      <colorScale>
        <cfvo type="min"/>
        <cfvo type="percentile" val="50"/>
        <cfvo type="max"/>
        <color rgb="FF63BE7B"/>
        <color rgb="FFFFEB84"/>
        <color rgb="FFF8696B"/>
      </colorScale>
    </cfRule>
  </conditionalFormatting>
  <conditionalFormatting sqref="G6338:G6361">
    <cfRule type="cellIs" dxfId="1181" priority="1754" operator="between">
      <formula>49</formula>
      <formula>149</formula>
    </cfRule>
    <cfRule type="cellIs" dxfId="1180" priority="1757" operator="lessThan">
      <formula>49</formula>
    </cfRule>
    <cfRule type="cellIs" dxfId="1179" priority="1758" operator="greaterThanOrEqual">
      <formula>150</formula>
    </cfRule>
  </conditionalFormatting>
  <conditionalFormatting sqref="H6338:H6361">
    <cfRule type="cellIs" dxfId="1178" priority="1753" operator="between">
      <formula>0.8</formula>
      <formula>1.2</formula>
    </cfRule>
    <cfRule type="cellIs" dxfId="1177" priority="1755" operator="lessThan">
      <formula>0.8</formula>
    </cfRule>
    <cfRule type="cellIs" dxfId="1176" priority="1756" operator="greaterThanOrEqual">
      <formula>1.2</formula>
    </cfRule>
  </conditionalFormatting>
  <conditionalFormatting sqref="I6338:I6361">
    <cfRule type="colorScale" priority="1752">
      <colorScale>
        <cfvo type="min"/>
        <cfvo type="percentile" val="50"/>
        <cfvo type="max"/>
        <color rgb="FF63BE7B"/>
        <color rgb="FFFFEB84"/>
        <color rgb="FFF8696B"/>
      </colorScale>
    </cfRule>
  </conditionalFormatting>
  <conditionalFormatting sqref="K6339:K6361">
    <cfRule type="colorScale" priority="1751">
      <colorScale>
        <cfvo type="min"/>
        <cfvo type="percentile" val="50"/>
        <cfvo type="max"/>
        <color rgb="FF63BE7B"/>
        <color rgb="FFFFEB84"/>
        <color rgb="FFF8696B"/>
      </colorScale>
    </cfRule>
  </conditionalFormatting>
  <conditionalFormatting sqref="K6338:K6361">
    <cfRule type="colorScale" priority="1750">
      <colorScale>
        <cfvo type="min"/>
        <cfvo type="percentile" val="50"/>
        <cfvo type="max"/>
        <color rgb="FF63BE7B"/>
        <color rgb="FFFFEB84"/>
        <color rgb="FFF8696B"/>
      </colorScale>
    </cfRule>
  </conditionalFormatting>
  <conditionalFormatting sqref="G6314:G6337">
    <cfRule type="cellIs" dxfId="1175" priority="1745" operator="between">
      <formula>49</formula>
      <formula>149</formula>
    </cfRule>
    <cfRule type="cellIs" dxfId="1174" priority="1748" operator="lessThan">
      <formula>49</formula>
    </cfRule>
    <cfRule type="cellIs" dxfId="1173" priority="1749" operator="greaterThanOrEqual">
      <formula>150</formula>
    </cfRule>
  </conditionalFormatting>
  <conditionalFormatting sqref="H6314:H6337">
    <cfRule type="cellIs" dxfId="1172" priority="1744" operator="between">
      <formula>0.8</formula>
      <formula>1.2</formula>
    </cfRule>
    <cfRule type="cellIs" dxfId="1171" priority="1746" operator="lessThan">
      <formula>0.8</formula>
    </cfRule>
    <cfRule type="cellIs" dxfId="1170" priority="1747" operator="greaterThanOrEqual">
      <formula>1.2</formula>
    </cfRule>
  </conditionalFormatting>
  <conditionalFormatting sqref="I6314:I6337">
    <cfRule type="colorScale" priority="1743">
      <colorScale>
        <cfvo type="min"/>
        <cfvo type="percentile" val="50"/>
        <cfvo type="max"/>
        <color rgb="FF63BE7B"/>
        <color rgb="FFFFEB84"/>
        <color rgb="FFF8696B"/>
      </colorScale>
    </cfRule>
  </conditionalFormatting>
  <conditionalFormatting sqref="K6315:K6337">
    <cfRule type="colorScale" priority="1742">
      <colorScale>
        <cfvo type="min"/>
        <cfvo type="percentile" val="50"/>
        <cfvo type="max"/>
        <color rgb="FF63BE7B"/>
        <color rgb="FFFFEB84"/>
        <color rgb="FFF8696B"/>
      </colorScale>
    </cfRule>
  </conditionalFormatting>
  <conditionalFormatting sqref="K6314:K6337">
    <cfRule type="colorScale" priority="1741">
      <colorScale>
        <cfvo type="min"/>
        <cfvo type="percentile" val="50"/>
        <cfvo type="max"/>
        <color rgb="FF63BE7B"/>
        <color rgb="FFFFEB84"/>
        <color rgb="FFF8696B"/>
      </colorScale>
    </cfRule>
  </conditionalFormatting>
  <conditionalFormatting sqref="G6290:G6313">
    <cfRule type="cellIs" dxfId="1169" priority="1736" operator="between">
      <formula>49</formula>
      <formula>149</formula>
    </cfRule>
    <cfRule type="cellIs" dxfId="1168" priority="1739" operator="lessThan">
      <formula>49</formula>
    </cfRule>
    <cfRule type="cellIs" dxfId="1167" priority="1740" operator="greaterThanOrEqual">
      <formula>150</formula>
    </cfRule>
  </conditionalFormatting>
  <conditionalFormatting sqref="H6290:H6313">
    <cfRule type="cellIs" dxfId="1166" priority="1735" operator="between">
      <formula>0.8</formula>
      <formula>1.2</formula>
    </cfRule>
    <cfRule type="cellIs" dxfId="1165" priority="1737" operator="lessThan">
      <formula>0.8</formula>
    </cfRule>
    <cfRule type="cellIs" dxfId="1164" priority="1738" operator="greaterThanOrEqual">
      <formula>1.2</formula>
    </cfRule>
  </conditionalFormatting>
  <conditionalFormatting sqref="I6290:I6313">
    <cfRule type="colorScale" priority="1734">
      <colorScale>
        <cfvo type="min"/>
        <cfvo type="percentile" val="50"/>
        <cfvo type="max"/>
        <color rgb="FF63BE7B"/>
        <color rgb="FFFFEB84"/>
        <color rgb="FFF8696B"/>
      </colorScale>
    </cfRule>
  </conditionalFormatting>
  <conditionalFormatting sqref="K6291:K6313">
    <cfRule type="colorScale" priority="1733">
      <colorScale>
        <cfvo type="min"/>
        <cfvo type="percentile" val="50"/>
        <cfvo type="max"/>
        <color rgb="FF63BE7B"/>
        <color rgb="FFFFEB84"/>
        <color rgb="FFF8696B"/>
      </colorScale>
    </cfRule>
  </conditionalFormatting>
  <conditionalFormatting sqref="K6290:K6313">
    <cfRule type="colorScale" priority="1732">
      <colorScale>
        <cfvo type="min"/>
        <cfvo type="percentile" val="50"/>
        <cfvo type="max"/>
        <color rgb="FF63BE7B"/>
        <color rgb="FFFFEB84"/>
        <color rgb="FFF8696B"/>
      </colorScale>
    </cfRule>
  </conditionalFormatting>
  <conditionalFormatting sqref="G6266:G6289">
    <cfRule type="cellIs" dxfId="1163" priority="1727" operator="between">
      <formula>49</formula>
      <formula>149</formula>
    </cfRule>
    <cfRule type="cellIs" dxfId="1162" priority="1730" operator="lessThan">
      <formula>49</formula>
    </cfRule>
    <cfRule type="cellIs" dxfId="1161" priority="1731" operator="greaterThanOrEqual">
      <formula>150</formula>
    </cfRule>
  </conditionalFormatting>
  <conditionalFormatting sqref="H6266:H6289">
    <cfRule type="cellIs" dxfId="1160" priority="1726" operator="between">
      <formula>0.8</formula>
      <formula>1.2</formula>
    </cfRule>
    <cfRule type="cellIs" dxfId="1159" priority="1728" operator="lessThan">
      <formula>0.8</formula>
    </cfRule>
    <cfRule type="cellIs" dxfId="1158" priority="1729" operator="greaterThanOrEqual">
      <formula>1.2</formula>
    </cfRule>
  </conditionalFormatting>
  <conditionalFormatting sqref="I6266:I6289">
    <cfRule type="colorScale" priority="1725">
      <colorScale>
        <cfvo type="min"/>
        <cfvo type="percentile" val="50"/>
        <cfvo type="max"/>
        <color rgb="FF63BE7B"/>
        <color rgb="FFFFEB84"/>
        <color rgb="FFF8696B"/>
      </colorScale>
    </cfRule>
  </conditionalFormatting>
  <conditionalFormatting sqref="K6267:K6289">
    <cfRule type="colorScale" priority="1724">
      <colorScale>
        <cfvo type="min"/>
        <cfvo type="percentile" val="50"/>
        <cfvo type="max"/>
        <color rgb="FF63BE7B"/>
        <color rgb="FFFFEB84"/>
        <color rgb="FFF8696B"/>
      </colorScale>
    </cfRule>
  </conditionalFormatting>
  <conditionalFormatting sqref="K6266:K6289">
    <cfRule type="colorScale" priority="1723">
      <colorScale>
        <cfvo type="min"/>
        <cfvo type="percentile" val="50"/>
        <cfvo type="max"/>
        <color rgb="FF63BE7B"/>
        <color rgb="FFFFEB84"/>
        <color rgb="FFF8696B"/>
      </colorScale>
    </cfRule>
  </conditionalFormatting>
  <conditionalFormatting sqref="G6242:G6265">
    <cfRule type="cellIs" dxfId="1157" priority="1718" operator="between">
      <formula>49</formula>
      <formula>149</formula>
    </cfRule>
    <cfRule type="cellIs" dxfId="1156" priority="1721" operator="lessThan">
      <formula>49</formula>
    </cfRule>
    <cfRule type="cellIs" dxfId="1155" priority="1722" operator="greaterThanOrEqual">
      <formula>150</formula>
    </cfRule>
  </conditionalFormatting>
  <conditionalFormatting sqref="H6242:H6265">
    <cfRule type="cellIs" dxfId="1154" priority="1717" operator="between">
      <formula>0.8</formula>
      <formula>1.2</formula>
    </cfRule>
    <cfRule type="cellIs" dxfId="1153" priority="1719" operator="lessThan">
      <formula>0.8</formula>
    </cfRule>
    <cfRule type="cellIs" dxfId="1152" priority="1720" operator="greaterThanOrEqual">
      <formula>1.2</formula>
    </cfRule>
  </conditionalFormatting>
  <conditionalFormatting sqref="I6242:I6265">
    <cfRule type="colorScale" priority="1716">
      <colorScale>
        <cfvo type="min"/>
        <cfvo type="percentile" val="50"/>
        <cfvo type="max"/>
        <color rgb="FF63BE7B"/>
        <color rgb="FFFFEB84"/>
        <color rgb="FFF8696B"/>
      </colorScale>
    </cfRule>
  </conditionalFormatting>
  <conditionalFormatting sqref="K6243:K6265">
    <cfRule type="colorScale" priority="1715">
      <colorScale>
        <cfvo type="min"/>
        <cfvo type="percentile" val="50"/>
        <cfvo type="max"/>
        <color rgb="FF63BE7B"/>
        <color rgb="FFFFEB84"/>
        <color rgb="FFF8696B"/>
      </colorScale>
    </cfRule>
  </conditionalFormatting>
  <conditionalFormatting sqref="K6242:K6265">
    <cfRule type="colorScale" priority="1714">
      <colorScale>
        <cfvo type="min"/>
        <cfvo type="percentile" val="50"/>
        <cfvo type="max"/>
        <color rgb="FF63BE7B"/>
        <color rgb="FFFFEB84"/>
        <color rgb="FFF8696B"/>
      </colorScale>
    </cfRule>
  </conditionalFormatting>
  <conditionalFormatting sqref="G6218:G6241">
    <cfRule type="cellIs" dxfId="1151" priority="1709" operator="between">
      <formula>49</formula>
      <formula>149</formula>
    </cfRule>
    <cfRule type="cellIs" dxfId="1150" priority="1712" operator="lessThan">
      <formula>49</formula>
    </cfRule>
    <cfRule type="cellIs" dxfId="1149" priority="1713" operator="greaterThanOrEqual">
      <formula>150</formula>
    </cfRule>
  </conditionalFormatting>
  <conditionalFormatting sqref="H6218:H6241">
    <cfRule type="cellIs" dxfId="1148" priority="1708" operator="between">
      <formula>0.8</formula>
      <formula>1.2</formula>
    </cfRule>
    <cfRule type="cellIs" dxfId="1147" priority="1710" operator="lessThan">
      <formula>0.8</formula>
    </cfRule>
    <cfRule type="cellIs" dxfId="1146" priority="1711" operator="greaterThanOrEqual">
      <formula>1.2</formula>
    </cfRule>
  </conditionalFormatting>
  <conditionalFormatting sqref="I6218:I6241">
    <cfRule type="colorScale" priority="1707">
      <colorScale>
        <cfvo type="min"/>
        <cfvo type="percentile" val="50"/>
        <cfvo type="max"/>
        <color rgb="FF63BE7B"/>
        <color rgb="FFFFEB84"/>
        <color rgb="FFF8696B"/>
      </colorScale>
    </cfRule>
  </conditionalFormatting>
  <conditionalFormatting sqref="K6219:K6241">
    <cfRule type="colorScale" priority="1706">
      <colorScale>
        <cfvo type="min"/>
        <cfvo type="percentile" val="50"/>
        <cfvo type="max"/>
        <color rgb="FF63BE7B"/>
        <color rgb="FFFFEB84"/>
        <color rgb="FFF8696B"/>
      </colorScale>
    </cfRule>
  </conditionalFormatting>
  <conditionalFormatting sqref="K6218:K6241">
    <cfRule type="colorScale" priority="1705">
      <colorScale>
        <cfvo type="min"/>
        <cfvo type="percentile" val="50"/>
        <cfvo type="max"/>
        <color rgb="FF63BE7B"/>
        <color rgb="FFFFEB84"/>
        <color rgb="FFF8696B"/>
      </colorScale>
    </cfRule>
  </conditionalFormatting>
  <conditionalFormatting sqref="G6194:G6217">
    <cfRule type="cellIs" dxfId="1145" priority="1700" operator="between">
      <formula>49</formula>
      <formula>149</formula>
    </cfRule>
    <cfRule type="cellIs" dxfId="1144" priority="1703" operator="lessThan">
      <formula>49</formula>
    </cfRule>
    <cfRule type="cellIs" dxfId="1143" priority="1704" operator="greaterThanOrEqual">
      <formula>150</formula>
    </cfRule>
  </conditionalFormatting>
  <conditionalFormatting sqref="H6194:H6217">
    <cfRule type="cellIs" dxfId="1142" priority="1699" operator="between">
      <formula>0.8</formula>
      <formula>1.2</formula>
    </cfRule>
    <cfRule type="cellIs" dxfId="1141" priority="1701" operator="lessThan">
      <formula>0.8</formula>
    </cfRule>
    <cfRule type="cellIs" dxfId="1140" priority="1702" operator="greaterThanOrEqual">
      <formula>1.2</formula>
    </cfRule>
  </conditionalFormatting>
  <conditionalFormatting sqref="I6194:I6217">
    <cfRule type="colorScale" priority="1698">
      <colorScale>
        <cfvo type="min"/>
        <cfvo type="percentile" val="50"/>
        <cfvo type="max"/>
        <color rgb="FF63BE7B"/>
        <color rgb="FFFFEB84"/>
        <color rgb="FFF8696B"/>
      </colorScale>
    </cfRule>
  </conditionalFormatting>
  <conditionalFormatting sqref="K6195:K6217">
    <cfRule type="colorScale" priority="1697">
      <colorScale>
        <cfvo type="min"/>
        <cfvo type="percentile" val="50"/>
        <cfvo type="max"/>
        <color rgb="FF63BE7B"/>
        <color rgb="FFFFEB84"/>
        <color rgb="FFF8696B"/>
      </colorScale>
    </cfRule>
  </conditionalFormatting>
  <conditionalFormatting sqref="K6194:K6217">
    <cfRule type="colorScale" priority="1696">
      <colorScale>
        <cfvo type="min"/>
        <cfvo type="percentile" val="50"/>
        <cfvo type="max"/>
        <color rgb="FF63BE7B"/>
        <color rgb="FFFFEB84"/>
        <color rgb="FFF8696B"/>
      </colorScale>
    </cfRule>
  </conditionalFormatting>
  <conditionalFormatting sqref="G6170:G6193">
    <cfRule type="cellIs" dxfId="1139" priority="1691" operator="between">
      <formula>49</formula>
      <formula>149</formula>
    </cfRule>
    <cfRule type="cellIs" dxfId="1138" priority="1694" operator="lessThan">
      <formula>49</formula>
    </cfRule>
    <cfRule type="cellIs" dxfId="1137" priority="1695" operator="greaterThanOrEqual">
      <formula>150</formula>
    </cfRule>
  </conditionalFormatting>
  <conditionalFormatting sqref="H6170:H6193">
    <cfRule type="cellIs" dxfId="1136" priority="1690" operator="between">
      <formula>0.8</formula>
      <formula>1.2</formula>
    </cfRule>
    <cfRule type="cellIs" dxfId="1135" priority="1692" operator="lessThan">
      <formula>0.8</formula>
    </cfRule>
    <cfRule type="cellIs" dxfId="1134" priority="1693" operator="greaterThanOrEqual">
      <formula>1.2</formula>
    </cfRule>
  </conditionalFormatting>
  <conditionalFormatting sqref="I6170:I6193">
    <cfRule type="colorScale" priority="1689">
      <colorScale>
        <cfvo type="min"/>
        <cfvo type="percentile" val="50"/>
        <cfvo type="max"/>
        <color rgb="FF63BE7B"/>
        <color rgb="FFFFEB84"/>
        <color rgb="FFF8696B"/>
      </colorScale>
    </cfRule>
  </conditionalFormatting>
  <conditionalFormatting sqref="K6171:K6193">
    <cfRule type="colorScale" priority="1688">
      <colorScale>
        <cfvo type="min"/>
        <cfvo type="percentile" val="50"/>
        <cfvo type="max"/>
        <color rgb="FF63BE7B"/>
        <color rgb="FFFFEB84"/>
        <color rgb="FFF8696B"/>
      </colorScale>
    </cfRule>
  </conditionalFormatting>
  <conditionalFormatting sqref="K6170:K6193">
    <cfRule type="colorScale" priority="1687">
      <colorScale>
        <cfvo type="min"/>
        <cfvo type="percentile" val="50"/>
        <cfvo type="max"/>
        <color rgb="FF63BE7B"/>
        <color rgb="FFFFEB84"/>
        <color rgb="FFF8696B"/>
      </colorScale>
    </cfRule>
  </conditionalFormatting>
  <conditionalFormatting sqref="G6146:G6169">
    <cfRule type="cellIs" dxfId="1133" priority="1682" operator="between">
      <formula>49</formula>
      <formula>149</formula>
    </cfRule>
    <cfRule type="cellIs" dxfId="1132" priority="1685" operator="lessThan">
      <formula>49</formula>
    </cfRule>
    <cfRule type="cellIs" dxfId="1131" priority="1686" operator="greaterThanOrEqual">
      <formula>150</formula>
    </cfRule>
  </conditionalFormatting>
  <conditionalFormatting sqref="H6146:H6169">
    <cfRule type="cellIs" dxfId="1130" priority="1681" operator="between">
      <formula>0.8</formula>
      <formula>1.2</formula>
    </cfRule>
    <cfRule type="cellIs" dxfId="1129" priority="1683" operator="lessThan">
      <formula>0.8</formula>
    </cfRule>
    <cfRule type="cellIs" dxfId="1128" priority="1684" operator="greaterThanOrEqual">
      <formula>1.2</formula>
    </cfRule>
  </conditionalFormatting>
  <conditionalFormatting sqref="I6146:I6169">
    <cfRule type="colorScale" priority="1680">
      <colorScale>
        <cfvo type="min"/>
        <cfvo type="percentile" val="50"/>
        <cfvo type="max"/>
        <color rgb="FF63BE7B"/>
        <color rgb="FFFFEB84"/>
        <color rgb="FFF8696B"/>
      </colorScale>
    </cfRule>
  </conditionalFormatting>
  <conditionalFormatting sqref="K6147:K6169">
    <cfRule type="colorScale" priority="1679">
      <colorScale>
        <cfvo type="min"/>
        <cfvo type="percentile" val="50"/>
        <cfvo type="max"/>
        <color rgb="FF63BE7B"/>
        <color rgb="FFFFEB84"/>
        <color rgb="FFF8696B"/>
      </colorScale>
    </cfRule>
  </conditionalFormatting>
  <conditionalFormatting sqref="K6146:K6169">
    <cfRule type="colorScale" priority="1678">
      <colorScale>
        <cfvo type="min"/>
        <cfvo type="percentile" val="50"/>
        <cfvo type="max"/>
        <color rgb="FF63BE7B"/>
        <color rgb="FFFFEB84"/>
        <color rgb="FFF8696B"/>
      </colorScale>
    </cfRule>
  </conditionalFormatting>
  <conditionalFormatting sqref="G6122:G6145">
    <cfRule type="cellIs" dxfId="1127" priority="1673" operator="between">
      <formula>49</formula>
      <formula>149</formula>
    </cfRule>
    <cfRule type="cellIs" dxfId="1126" priority="1676" operator="lessThan">
      <formula>49</formula>
    </cfRule>
    <cfRule type="cellIs" dxfId="1125" priority="1677" operator="greaterThanOrEqual">
      <formula>150</formula>
    </cfRule>
  </conditionalFormatting>
  <conditionalFormatting sqref="H6122:H6145">
    <cfRule type="cellIs" dxfId="1124" priority="1672" operator="between">
      <formula>0.8</formula>
      <formula>1.2</formula>
    </cfRule>
    <cfRule type="cellIs" dxfId="1123" priority="1674" operator="lessThan">
      <formula>0.8</formula>
    </cfRule>
    <cfRule type="cellIs" dxfId="1122" priority="1675" operator="greaterThanOrEqual">
      <formula>1.2</formula>
    </cfRule>
  </conditionalFormatting>
  <conditionalFormatting sqref="I6122:I6145">
    <cfRule type="colorScale" priority="1671">
      <colorScale>
        <cfvo type="min"/>
        <cfvo type="percentile" val="50"/>
        <cfvo type="max"/>
        <color rgb="FF63BE7B"/>
        <color rgb="FFFFEB84"/>
        <color rgb="FFF8696B"/>
      </colorScale>
    </cfRule>
  </conditionalFormatting>
  <conditionalFormatting sqref="K6123:K6145">
    <cfRule type="colorScale" priority="1670">
      <colorScale>
        <cfvo type="min"/>
        <cfvo type="percentile" val="50"/>
        <cfvo type="max"/>
        <color rgb="FF63BE7B"/>
        <color rgb="FFFFEB84"/>
        <color rgb="FFF8696B"/>
      </colorScale>
    </cfRule>
  </conditionalFormatting>
  <conditionalFormatting sqref="K6122:K6145">
    <cfRule type="colorScale" priority="1669">
      <colorScale>
        <cfvo type="min"/>
        <cfvo type="percentile" val="50"/>
        <cfvo type="max"/>
        <color rgb="FF63BE7B"/>
        <color rgb="FFFFEB84"/>
        <color rgb="FFF8696B"/>
      </colorScale>
    </cfRule>
  </conditionalFormatting>
  <conditionalFormatting sqref="G6098:G6121">
    <cfRule type="cellIs" dxfId="1121" priority="1664" operator="between">
      <formula>49</formula>
      <formula>149</formula>
    </cfRule>
    <cfRule type="cellIs" dxfId="1120" priority="1667" operator="lessThan">
      <formula>49</formula>
    </cfRule>
    <cfRule type="cellIs" dxfId="1119" priority="1668" operator="greaterThanOrEqual">
      <formula>150</formula>
    </cfRule>
  </conditionalFormatting>
  <conditionalFormatting sqref="H6098:H6121">
    <cfRule type="cellIs" dxfId="1118" priority="1663" operator="between">
      <formula>0.8</formula>
      <formula>1.2</formula>
    </cfRule>
    <cfRule type="cellIs" dxfId="1117" priority="1665" operator="lessThan">
      <formula>0.8</formula>
    </cfRule>
    <cfRule type="cellIs" dxfId="1116" priority="1666" operator="greaterThanOrEqual">
      <formula>1.2</formula>
    </cfRule>
  </conditionalFormatting>
  <conditionalFormatting sqref="I6098:I6121">
    <cfRule type="colorScale" priority="1662">
      <colorScale>
        <cfvo type="min"/>
        <cfvo type="percentile" val="50"/>
        <cfvo type="max"/>
        <color rgb="FF63BE7B"/>
        <color rgb="FFFFEB84"/>
        <color rgb="FFF8696B"/>
      </colorScale>
    </cfRule>
  </conditionalFormatting>
  <conditionalFormatting sqref="K6099:K6121">
    <cfRule type="colorScale" priority="1661">
      <colorScale>
        <cfvo type="min"/>
        <cfvo type="percentile" val="50"/>
        <cfvo type="max"/>
        <color rgb="FF63BE7B"/>
        <color rgb="FFFFEB84"/>
        <color rgb="FFF8696B"/>
      </colorScale>
    </cfRule>
  </conditionalFormatting>
  <conditionalFormatting sqref="K6098:K6121">
    <cfRule type="colorScale" priority="1660">
      <colorScale>
        <cfvo type="min"/>
        <cfvo type="percentile" val="50"/>
        <cfvo type="max"/>
        <color rgb="FF63BE7B"/>
        <color rgb="FFFFEB84"/>
        <color rgb="FFF8696B"/>
      </colorScale>
    </cfRule>
  </conditionalFormatting>
  <conditionalFormatting sqref="G6074:G6097">
    <cfRule type="cellIs" dxfId="1115" priority="1655" operator="between">
      <formula>49</formula>
      <formula>149</formula>
    </cfRule>
    <cfRule type="cellIs" dxfId="1114" priority="1658" operator="lessThan">
      <formula>49</formula>
    </cfRule>
    <cfRule type="cellIs" dxfId="1113" priority="1659" operator="greaterThanOrEqual">
      <formula>150</formula>
    </cfRule>
  </conditionalFormatting>
  <conditionalFormatting sqref="H6074:H6097">
    <cfRule type="cellIs" dxfId="1112" priority="1654" operator="between">
      <formula>0.8</formula>
      <formula>1.2</formula>
    </cfRule>
    <cfRule type="cellIs" dxfId="1111" priority="1656" operator="lessThan">
      <formula>0.8</formula>
    </cfRule>
    <cfRule type="cellIs" dxfId="1110" priority="1657" operator="greaterThanOrEqual">
      <formula>1.2</formula>
    </cfRule>
  </conditionalFormatting>
  <conditionalFormatting sqref="I6074:I6097">
    <cfRule type="colorScale" priority="1653">
      <colorScale>
        <cfvo type="min"/>
        <cfvo type="percentile" val="50"/>
        <cfvo type="max"/>
        <color rgb="FF63BE7B"/>
        <color rgb="FFFFEB84"/>
        <color rgb="FFF8696B"/>
      </colorScale>
    </cfRule>
  </conditionalFormatting>
  <conditionalFormatting sqref="K6075:K6097">
    <cfRule type="colorScale" priority="1652">
      <colorScale>
        <cfvo type="min"/>
        <cfvo type="percentile" val="50"/>
        <cfvo type="max"/>
        <color rgb="FF63BE7B"/>
        <color rgb="FFFFEB84"/>
        <color rgb="FFF8696B"/>
      </colorScale>
    </cfRule>
  </conditionalFormatting>
  <conditionalFormatting sqref="K6074:K6097">
    <cfRule type="colorScale" priority="1651">
      <colorScale>
        <cfvo type="min"/>
        <cfvo type="percentile" val="50"/>
        <cfvo type="max"/>
        <color rgb="FF63BE7B"/>
        <color rgb="FFFFEB84"/>
        <color rgb="FFF8696B"/>
      </colorScale>
    </cfRule>
  </conditionalFormatting>
  <conditionalFormatting sqref="G6050:G6073">
    <cfRule type="cellIs" dxfId="1109" priority="1646" operator="between">
      <formula>49</formula>
      <formula>149</formula>
    </cfRule>
    <cfRule type="cellIs" dxfId="1108" priority="1649" operator="lessThan">
      <formula>49</formula>
    </cfRule>
    <cfRule type="cellIs" dxfId="1107" priority="1650" operator="greaterThanOrEqual">
      <formula>150</formula>
    </cfRule>
  </conditionalFormatting>
  <conditionalFormatting sqref="H6050:H6073">
    <cfRule type="cellIs" dxfId="1106" priority="1645" operator="between">
      <formula>0.8</formula>
      <formula>1.2</formula>
    </cfRule>
    <cfRule type="cellIs" dxfId="1105" priority="1647" operator="lessThan">
      <formula>0.8</formula>
    </cfRule>
    <cfRule type="cellIs" dxfId="1104" priority="1648" operator="greaterThanOrEqual">
      <formula>1.2</formula>
    </cfRule>
  </conditionalFormatting>
  <conditionalFormatting sqref="I6050:I6073">
    <cfRule type="colorScale" priority="1644">
      <colorScale>
        <cfvo type="min"/>
        <cfvo type="percentile" val="50"/>
        <cfvo type="max"/>
        <color rgb="FF63BE7B"/>
        <color rgb="FFFFEB84"/>
        <color rgb="FFF8696B"/>
      </colorScale>
    </cfRule>
  </conditionalFormatting>
  <conditionalFormatting sqref="K6051:K6073">
    <cfRule type="colorScale" priority="1643">
      <colorScale>
        <cfvo type="min"/>
        <cfvo type="percentile" val="50"/>
        <cfvo type="max"/>
        <color rgb="FF63BE7B"/>
        <color rgb="FFFFEB84"/>
        <color rgb="FFF8696B"/>
      </colorScale>
    </cfRule>
  </conditionalFormatting>
  <conditionalFormatting sqref="K6050:K6073">
    <cfRule type="colorScale" priority="1642">
      <colorScale>
        <cfvo type="min"/>
        <cfvo type="percentile" val="50"/>
        <cfvo type="max"/>
        <color rgb="FF63BE7B"/>
        <color rgb="FFFFEB84"/>
        <color rgb="FFF8696B"/>
      </colorScale>
    </cfRule>
  </conditionalFormatting>
  <conditionalFormatting sqref="G6026:G6049">
    <cfRule type="cellIs" dxfId="1103" priority="1637" operator="between">
      <formula>49</formula>
      <formula>149</formula>
    </cfRule>
    <cfRule type="cellIs" dxfId="1102" priority="1640" operator="lessThan">
      <formula>49</formula>
    </cfRule>
    <cfRule type="cellIs" dxfId="1101" priority="1641" operator="greaterThanOrEqual">
      <formula>150</formula>
    </cfRule>
  </conditionalFormatting>
  <conditionalFormatting sqref="H6026:H6049">
    <cfRule type="cellIs" dxfId="1100" priority="1636" operator="between">
      <formula>0.8</formula>
      <formula>1.2</formula>
    </cfRule>
    <cfRule type="cellIs" dxfId="1099" priority="1638" operator="lessThan">
      <formula>0.8</formula>
    </cfRule>
    <cfRule type="cellIs" dxfId="1098" priority="1639" operator="greaterThanOrEqual">
      <formula>1.2</formula>
    </cfRule>
  </conditionalFormatting>
  <conditionalFormatting sqref="I6026:I6049">
    <cfRule type="colorScale" priority="1635">
      <colorScale>
        <cfvo type="min"/>
        <cfvo type="percentile" val="50"/>
        <cfvo type="max"/>
        <color rgb="FF63BE7B"/>
        <color rgb="FFFFEB84"/>
        <color rgb="FFF8696B"/>
      </colorScale>
    </cfRule>
  </conditionalFormatting>
  <conditionalFormatting sqref="K6027:K6049">
    <cfRule type="colorScale" priority="1634">
      <colorScale>
        <cfvo type="min"/>
        <cfvo type="percentile" val="50"/>
        <cfvo type="max"/>
        <color rgb="FF63BE7B"/>
        <color rgb="FFFFEB84"/>
        <color rgb="FFF8696B"/>
      </colorScale>
    </cfRule>
  </conditionalFormatting>
  <conditionalFormatting sqref="K6026:K6049">
    <cfRule type="colorScale" priority="1633">
      <colorScale>
        <cfvo type="min"/>
        <cfvo type="percentile" val="50"/>
        <cfvo type="max"/>
        <color rgb="FF63BE7B"/>
        <color rgb="FFFFEB84"/>
        <color rgb="FFF8696B"/>
      </colorScale>
    </cfRule>
  </conditionalFormatting>
  <conditionalFormatting sqref="G6002:G6025">
    <cfRule type="cellIs" dxfId="1097" priority="1628" operator="between">
      <formula>49</formula>
      <formula>149</formula>
    </cfRule>
    <cfRule type="cellIs" dxfId="1096" priority="1631" operator="lessThan">
      <formula>49</formula>
    </cfRule>
    <cfRule type="cellIs" dxfId="1095" priority="1632" operator="greaterThanOrEqual">
      <formula>150</formula>
    </cfRule>
  </conditionalFormatting>
  <conditionalFormatting sqref="H6002:H6025">
    <cfRule type="cellIs" dxfId="1094" priority="1627" operator="between">
      <formula>0.8</formula>
      <formula>1.2</formula>
    </cfRule>
    <cfRule type="cellIs" dxfId="1093" priority="1629" operator="lessThan">
      <formula>0.8</formula>
    </cfRule>
    <cfRule type="cellIs" dxfId="1092" priority="1630" operator="greaterThanOrEqual">
      <formula>1.2</formula>
    </cfRule>
  </conditionalFormatting>
  <conditionalFormatting sqref="I6002:I6025">
    <cfRule type="colorScale" priority="1626">
      <colorScale>
        <cfvo type="min"/>
        <cfvo type="percentile" val="50"/>
        <cfvo type="max"/>
        <color rgb="FF63BE7B"/>
        <color rgb="FFFFEB84"/>
        <color rgb="FFF8696B"/>
      </colorScale>
    </cfRule>
  </conditionalFormatting>
  <conditionalFormatting sqref="K6003:K6025">
    <cfRule type="colorScale" priority="1625">
      <colorScale>
        <cfvo type="min"/>
        <cfvo type="percentile" val="50"/>
        <cfvo type="max"/>
        <color rgb="FF63BE7B"/>
        <color rgb="FFFFEB84"/>
        <color rgb="FFF8696B"/>
      </colorScale>
    </cfRule>
  </conditionalFormatting>
  <conditionalFormatting sqref="K6002:K6025">
    <cfRule type="colorScale" priority="1624">
      <colorScale>
        <cfvo type="min"/>
        <cfvo type="percentile" val="50"/>
        <cfvo type="max"/>
        <color rgb="FF63BE7B"/>
        <color rgb="FFFFEB84"/>
        <color rgb="FFF8696B"/>
      </colorScale>
    </cfRule>
  </conditionalFormatting>
  <conditionalFormatting sqref="G5978:G6001">
    <cfRule type="cellIs" dxfId="1091" priority="1619" operator="between">
      <formula>49</formula>
      <formula>149</formula>
    </cfRule>
    <cfRule type="cellIs" dxfId="1090" priority="1622" operator="lessThan">
      <formula>49</formula>
    </cfRule>
    <cfRule type="cellIs" dxfId="1089" priority="1623" operator="greaterThanOrEqual">
      <formula>150</formula>
    </cfRule>
  </conditionalFormatting>
  <conditionalFormatting sqref="H5978:H6001">
    <cfRule type="cellIs" dxfId="1088" priority="1618" operator="between">
      <formula>0.8</formula>
      <formula>1.2</formula>
    </cfRule>
    <cfRule type="cellIs" dxfId="1087" priority="1620" operator="lessThan">
      <formula>0.8</formula>
    </cfRule>
    <cfRule type="cellIs" dxfId="1086" priority="1621" operator="greaterThanOrEqual">
      <formula>1.2</formula>
    </cfRule>
  </conditionalFormatting>
  <conditionalFormatting sqref="I5978:I6001">
    <cfRule type="colorScale" priority="1617">
      <colorScale>
        <cfvo type="min"/>
        <cfvo type="percentile" val="50"/>
        <cfvo type="max"/>
        <color rgb="FF63BE7B"/>
        <color rgb="FFFFEB84"/>
        <color rgb="FFF8696B"/>
      </colorScale>
    </cfRule>
  </conditionalFormatting>
  <conditionalFormatting sqref="K5979:K6001">
    <cfRule type="colorScale" priority="1616">
      <colorScale>
        <cfvo type="min"/>
        <cfvo type="percentile" val="50"/>
        <cfvo type="max"/>
        <color rgb="FF63BE7B"/>
        <color rgb="FFFFEB84"/>
        <color rgb="FFF8696B"/>
      </colorScale>
    </cfRule>
  </conditionalFormatting>
  <conditionalFormatting sqref="K5978:K6001">
    <cfRule type="colorScale" priority="1615">
      <colorScale>
        <cfvo type="min"/>
        <cfvo type="percentile" val="50"/>
        <cfvo type="max"/>
        <color rgb="FF63BE7B"/>
        <color rgb="FFFFEB84"/>
        <color rgb="FFF8696B"/>
      </colorScale>
    </cfRule>
  </conditionalFormatting>
  <conditionalFormatting sqref="G5954:G5977">
    <cfRule type="cellIs" dxfId="1085" priority="1610" operator="between">
      <formula>49</formula>
      <formula>149</formula>
    </cfRule>
    <cfRule type="cellIs" dxfId="1084" priority="1613" operator="lessThan">
      <formula>49</formula>
    </cfRule>
    <cfRule type="cellIs" dxfId="1083" priority="1614" operator="greaterThanOrEqual">
      <formula>150</formula>
    </cfRule>
  </conditionalFormatting>
  <conditionalFormatting sqref="H5954:H5977">
    <cfRule type="cellIs" dxfId="1082" priority="1609" operator="between">
      <formula>0.8</formula>
      <formula>1.2</formula>
    </cfRule>
    <cfRule type="cellIs" dxfId="1081" priority="1611" operator="lessThan">
      <formula>0.8</formula>
    </cfRule>
    <cfRule type="cellIs" dxfId="1080" priority="1612" operator="greaterThanOrEqual">
      <formula>1.2</formula>
    </cfRule>
  </conditionalFormatting>
  <conditionalFormatting sqref="I5954:I5977">
    <cfRule type="colorScale" priority="1608">
      <colorScale>
        <cfvo type="min"/>
        <cfvo type="percentile" val="50"/>
        <cfvo type="max"/>
        <color rgb="FF63BE7B"/>
        <color rgb="FFFFEB84"/>
        <color rgb="FFF8696B"/>
      </colorScale>
    </cfRule>
  </conditionalFormatting>
  <conditionalFormatting sqref="K5955:K5977">
    <cfRule type="colorScale" priority="1607">
      <colorScale>
        <cfvo type="min"/>
        <cfvo type="percentile" val="50"/>
        <cfvo type="max"/>
        <color rgb="FF63BE7B"/>
        <color rgb="FFFFEB84"/>
        <color rgb="FFF8696B"/>
      </colorScale>
    </cfRule>
  </conditionalFormatting>
  <conditionalFormatting sqref="K5954:K5977">
    <cfRule type="colorScale" priority="1606">
      <colorScale>
        <cfvo type="min"/>
        <cfvo type="percentile" val="50"/>
        <cfvo type="max"/>
        <color rgb="FF63BE7B"/>
        <color rgb="FFFFEB84"/>
        <color rgb="FFF8696B"/>
      </colorScale>
    </cfRule>
  </conditionalFormatting>
  <conditionalFormatting sqref="G5930:G5953">
    <cfRule type="cellIs" dxfId="1079" priority="1601" operator="between">
      <formula>49</formula>
      <formula>149</formula>
    </cfRule>
    <cfRule type="cellIs" dxfId="1078" priority="1604" operator="lessThan">
      <formula>49</formula>
    </cfRule>
    <cfRule type="cellIs" dxfId="1077" priority="1605" operator="greaterThanOrEqual">
      <formula>150</formula>
    </cfRule>
  </conditionalFormatting>
  <conditionalFormatting sqref="H5930:H5953">
    <cfRule type="cellIs" dxfId="1076" priority="1600" operator="between">
      <formula>0.8</formula>
      <formula>1.2</formula>
    </cfRule>
    <cfRule type="cellIs" dxfId="1075" priority="1602" operator="lessThan">
      <formula>0.8</formula>
    </cfRule>
    <cfRule type="cellIs" dxfId="1074" priority="1603" operator="greaterThanOrEqual">
      <formula>1.2</formula>
    </cfRule>
  </conditionalFormatting>
  <conditionalFormatting sqref="I5930:I5953">
    <cfRule type="colorScale" priority="1599">
      <colorScale>
        <cfvo type="min"/>
        <cfvo type="percentile" val="50"/>
        <cfvo type="max"/>
        <color rgb="FF63BE7B"/>
        <color rgb="FFFFEB84"/>
        <color rgb="FFF8696B"/>
      </colorScale>
    </cfRule>
  </conditionalFormatting>
  <conditionalFormatting sqref="K5931:K5953">
    <cfRule type="colorScale" priority="1598">
      <colorScale>
        <cfvo type="min"/>
        <cfvo type="percentile" val="50"/>
        <cfvo type="max"/>
        <color rgb="FF63BE7B"/>
        <color rgb="FFFFEB84"/>
        <color rgb="FFF8696B"/>
      </colorScale>
    </cfRule>
  </conditionalFormatting>
  <conditionalFormatting sqref="K5930:K5953">
    <cfRule type="colorScale" priority="1597">
      <colorScale>
        <cfvo type="min"/>
        <cfvo type="percentile" val="50"/>
        <cfvo type="max"/>
        <color rgb="FF63BE7B"/>
        <color rgb="FFFFEB84"/>
        <color rgb="FFF8696B"/>
      </colorScale>
    </cfRule>
  </conditionalFormatting>
  <conditionalFormatting sqref="G5906:G5929">
    <cfRule type="cellIs" dxfId="1073" priority="1592" operator="between">
      <formula>49</formula>
      <formula>149</formula>
    </cfRule>
    <cfRule type="cellIs" dxfId="1072" priority="1595" operator="lessThan">
      <formula>49</formula>
    </cfRule>
    <cfRule type="cellIs" dxfId="1071" priority="1596" operator="greaterThanOrEqual">
      <formula>150</formula>
    </cfRule>
  </conditionalFormatting>
  <conditionalFormatting sqref="H5906:H5929">
    <cfRule type="cellIs" dxfId="1070" priority="1591" operator="between">
      <formula>0.8</formula>
      <formula>1.2</formula>
    </cfRule>
    <cfRule type="cellIs" dxfId="1069" priority="1593" operator="lessThan">
      <formula>0.8</formula>
    </cfRule>
    <cfRule type="cellIs" dxfId="1068" priority="1594" operator="greaterThanOrEqual">
      <formula>1.2</formula>
    </cfRule>
  </conditionalFormatting>
  <conditionalFormatting sqref="I5906:I5929">
    <cfRule type="colorScale" priority="1590">
      <colorScale>
        <cfvo type="min"/>
        <cfvo type="percentile" val="50"/>
        <cfvo type="max"/>
        <color rgb="FF63BE7B"/>
        <color rgb="FFFFEB84"/>
        <color rgb="FFF8696B"/>
      </colorScale>
    </cfRule>
  </conditionalFormatting>
  <conditionalFormatting sqref="K5907:K5929">
    <cfRule type="colorScale" priority="1589">
      <colorScale>
        <cfvo type="min"/>
        <cfvo type="percentile" val="50"/>
        <cfvo type="max"/>
        <color rgb="FF63BE7B"/>
        <color rgb="FFFFEB84"/>
        <color rgb="FFF8696B"/>
      </colorScale>
    </cfRule>
  </conditionalFormatting>
  <conditionalFormatting sqref="K5906:K5929">
    <cfRule type="colorScale" priority="1588">
      <colorScale>
        <cfvo type="min"/>
        <cfvo type="percentile" val="50"/>
        <cfvo type="max"/>
        <color rgb="FF63BE7B"/>
        <color rgb="FFFFEB84"/>
        <color rgb="FFF8696B"/>
      </colorScale>
    </cfRule>
  </conditionalFormatting>
  <conditionalFormatting sqref="G5882:G5905">
    <cfRule type="cellIs" dxfId="1067" priority="1583" operator="between">
      <formula>49</formula>
      <formula>149</formula>
    </cfRule>
    <cfRule type="cellIs" dxfId="1066" priority="1586" operator="lessThan">
      <formula>49</formula>
    </cfRule>
    <cfRule type="cellIs" dxfId="1065" priority="1587" operator="greaterThanOrEqual">
      <formula>150</formula>
    </cfRule>
  </conditionalFormatting>
  <conditionalFormatting sqref="H5882:H5905">
    <cfRule type="cellIs" dxfId="1064" priority="1582" operator="between">
      <formula>0.8</formula>
      <formula>1.2</formula>
    </cfRule>
    <cfRule type="cellIs" dxfId="1063" priority="1584" operator="lessThan">
      <formula>0.8</formula>
    </cfRule>
    <cfRule type="cellIs" dxfId="1062" priority="1585" operator="greaterThanOrEqual">
      <formula>1.2</formula>
    </cfRule>
  </conditionalFormatting>
  <conditionalFormatting sqref="I5882:I5905">
    <cfRule type="colorScale" priority="1581">
      <colorScale>
        <cfvo type="min"/>
        <cfvo type="percentile" val="50"/>
        <cfvo type="max"/>
        <color rgb="FF63BE7B"/>
        <color rgb="FFFFEB84"/>
        <color rgb="FFF8696B"/>
      </colorScale>
    </cfRule>
  </conditionalFormatting>
  <conditionalFormatting sqref="K5883:K5905">
    <cfRule type="colorScale" priority="1580">
      <colorScale>
        <cfvo type="min"/>
        <cfvo type="percentile" val="50"/>
        <cfvo type="max"/>
        <color rgb="FF63BE7B"/>
        <color rgb="FFFFEB84"/>
        <color rgb="FFF8696B"/>
      </colorScale>
    </cfRule>
  </conditionalFormatting>
  <conditionalFormatting sqref="K5882:K5905">
    <cfRule type="colorScale" priority="1579">
      <colorScale>
        <cfvo type="min"/>
        <cfvo type="percentile" val="50"/>
        <cfvo type="max"/>
        <color rgb="FF63BE7B"/>
        <color rgb="FFFFEB84"/>
        <color rgb="FFF8696B"/>
      </colorScale>
    </cfRule>
  </conditionalFormatting>
  <conditionalFormatting sqref="G5858:G5881">
    <cfRule type="cellIs" dxfId="1061" priority="1574" operator="between">
      <formula>49</formula>
      <formula>149</formula>
    </cfRule>
    <cfRule type="cellIs" dxfId="1060" priority="1577" operator="lessThan">
      <formula>49</formula>
    </cfRule>
    <cfRule type="cellIs" dxfId="1059" priority="1578" operator="greaterThanOrEqual">
      <formula>150</formula>
    </cfRule>
  </conditionalFormatting>
  <conditionalFormatting sqref="H5858:H5881">
    <cfRule type="cellIs" dxfId="1058" priority="1573" operator="between">
      <formula>0.8</formula>
      <formula>1.2</formula>
    </cfRule>
    <cfRule type="cellIs" dxfId="1057" priority="1575" operator="lessThan">
      <formula>0.8</formula>
    </cfRule>
    <cfRule type="cellIs" dxfId="1056" priority="1576" operator="greaterThanOrEqual">
      <formula>1.2</formula>
    </cfRule>
  </conditionalFormatting>
  <conditionalFormatting sqref="I5858:I5881">
    <cfRule type="colorScale" priority="1572">
      <colorScale>
        <cfvo type="min"/>
        <cfvo type="percentile" val="50"/>
        <cfvo type="max"/>
        <color rgb="FF63BE7B"/>
        <color rgb="FFFFEB84"/>
        <color rgb="FFF8696B"/>
      </colorScale>
    </cfRule>
  </conditionalFormatting>
  <conditionalFormatting sqref="K5859:K5881">
    <cfRule type="colorScale" priority="1571">
      <colorScale>
        <cfvo type="min"/>
        <cfvo type="percentile" val="50"/>
        <cfvo type="max"/>
        <color rgb="FF63BE7B"/>
        <color rgb="FFFFEB84"/>
        <color rgb="FFF8696B"/>
      </colorScale>
    </cfRule>
  </conditionalFormatting>
  <conditionalFormatting sqref="K5858:K5881">
    <cfRule type="colorScale" priority="1570">
      <colorScale>
        <cfvo type="min"/>
        <cfvo type="percentile" val="50"/>
        <cfvo type="max"/>
        <color rgb="FF63BE7B"/>
        <color rgb="FFFFEB84"/>
        <color rgb="FFF8696B"/>
      </colorScale>
    </cfRule>
  </conditionalFormatting>
  <conditionalFormatting sqref="G5834:G5857">
    <cfRule type="cellIs" dxfId="1055" priority="1565" operator="between">
      <formula>49</formula>
      <formula>149</formula>
    </cfRule>
    <cfRule type="cellIs" dxfId="1054" priority="1568" operator="lessThan">
      <formula>49</formula>
    </cfRule>
    <cfRule type="cellIs" dxfId="1053" priority="1569" operator="greaterThanOrEqual">
      <formula>150</formula>
    </cfRule>
  </conditionalFormatting>
  <conditionalFormatting sqref="H5834:H5857">
    <cfRule type="cellIs" dxfId="1052" priority="1564" operator="between">
      <formula>0.8</formula>
      <formula>1.2</formula>
    </cfRule>
    <cfRule type="cellIs" dxfId="1051" priority="1566" operator="lessThan">
      <formula>0.8</formula>
    </cfRule>
    <cfRule type="cellIs" dxfId="1050" priority="1567" operator="greaterThanOrEqual">
      <formula>1.2</formula>
    </cfRule>
  </conditionalFormatting>
  <conditionalFormatting sqref="I5834:I5857">
    <cfRule type="colorScale" priority="1563">
      <colorScale>
        <cfvo type="min"/>
        <cfvo type="percentile" val="50"/>
        <cfvo type="max"/>
        <color rgb="FF63BE7B"/>
        <color rgb="FFFFEB84"/>
        <color rgb="FFF8696B"/>
      </colorScale>
    </cfRule>
  </conditionalFormatting>
  <conditionalFormatting sqref="K5835:K5857">
    <cfRule type="colorScale" priority="1562">
      <colorScale>
        <cfvo type="min"/>
        <cfvo type="percentile" val="50"/>
        <cfvo type="max"/>
        <color rgb="FF63BE7B"/>
        <color rgb="FFFFEB84"/>
        <color rgb="FFF8696B"/>
      </colorScale>
    </cfRule>
  </conditionalFormatting>
  <conditionalFormatting sqref="K5834:K5857">
    <cfRule type="colorScale" priority="1561">
      <colorScale>
        <cfvo type="min"/>
        <cfvo type="percentile" val="50"/>
        <cfvo type="max"/>
        <color rgb="FF63BE7B"/>
        <color rgb="FFFFEB84"/>
        <color rgb="FFF8696B"/>
      </colorScale>
    </cfRule>
  </conditionalFormatting>
  <conditionalFormatting sqref="G5810:G5833">
    <cfRule type="cellIs" dxfId="1049" priority="1556" operator="between">
      <formula>49</formula>
      <formula>149</formula>
    </cfRule>
    <cfRule type="cellIs" dxfId="1048" priority="1559" operator="lessThan">
      <formula>49</formula>
    </cfRule>
    <cfRule type="cellIs" dxfId="1047" priority="1560" operator="greaterThanOrEqual">
      <formula>150</formula>
    </cfRule>
  </conditionalFormatting>
  <conditionalFormatting sqref="H5810:H5833">
    <cfRule type="cellIs" dxfId="1046" priority="1555" operator="between">
      <formula>0.8</formula>
      <formula>1.2</formula>
    </cfRule>
    <cfRule type="cellIs" dxfId="1045" priority="1557" operator="lessThan">
      <formula>0.8</formula>
    </cfRule>
    <cfRule type="cellIs" dxfId="1044" priority="1558" operator="greaterThanOrEqual">
      <formula>1.2</formula>
    </cfRule>
  </conditionalFormatting>
  <conditionalFormatting sqref="I5810:I5833">
    <cfRule type="colorScale" priority="1554">
      <colorScale>
        <cfvo type="min"/>
        <cfvo type="percentile" val="50"/>
        <cfvo type="max"/>
        <color rgb="FF63BE7B"/>
        <color rgb="FFFFEB84"/>
        <color rgb="FFF8696B"/>
      </colorScale>
    </cfRule>
  </conditionalFormatting>
  <conditionalFormatting sqref="K5811:K5833">
    <cfRule type="colorScale" priority="1553">
      <colorScale>
        <cfvo type="min"/>
        <cfvo type="percentile" val="50"/>
        <cfvo type="max"/>
        <color rgb="FF63BE7B"/>
        <color rgb="FFFFEB84"/>
        <color rgb="FFF8696B"/>
      </colorScale>
    </cfRule>
  </conditionalFormatting>
  <conditionalFormatting sqref="K5810:K5833">
    <cfRule type="colorScale" priority="1552">
      <colorScale>
        <cfvo type="min"/>
        <cfvo type="percentile" val="50"/>
        <cfvo type="max"/>
        <color rgb="FF63BE7B"/>
        <color rgb="FFFFEB84"/>
        <color rgb="FFF8696B"/>
      </colorScale>
    </cfRule>
  </conditionalFormatting>
  <conditionalFormatting sqref="G5786:G5809">
    <cfRule type="cellIs" dxfId="1043" priority="1547" operator="between">
      <formula>49</formula>
      <formula>149</formula>
    </cfRule>
    <cfRule type="cellIs" dxfId="1042" priority="1550" operator="lessThan">
      <formula>49</formula>
    </cfRule>
    <cfRule type="cellIs" dxfId="1041" priority="1551" operator="greaterThanOrEqual">
      <formula>150</formula>
    </cfRule>
  </conditionalFormatting>
  <conditionalFormatting sqref="H5786:H5809">
    <cfRule type="cellIs" dxfId="1040" priority="1546" operator="between">
      <formula>0.8</formula>
      <formula>1.2</formula>
    </cfRule>
    <cfRule type="cellIs" dxfId="1039" priority="1548" operator="lessThan">
      <formula>0.8</formula>
    </cfRule>
    <cfRule type="cellIs" dxfId="1038" priority="1549" operator="greaterThanOrEqual">
      <formula>1.2</formula>
    </cfRule>
  </conditionalFormatting>
  <conditionalFormatting sqref="I5786:I5809">
    <cfRule type="colorScale" priority="1545">
      <colorScale>
        <cfvo type="min"/>
        <cfvo type="percentile" val="50"/>
        <cfvo type="max"/>
        <color rgb="FF63BE7B"/>
        <color rgb="FFFFEB84"/>
        <color rgb="FFF8696B"/>
      </colorScale>
    </cfRule>
  </conditionalFormatting>
  <conditionalFormatting sqref="K5787:K5809">
    <cfRule type="colorScale" priority="1544">
      <colorScale>
        <cfvo type="min"/>
        <cfvo type="percentile" val="50"/>
        <cfvo type="max"/>
        <color rgb="FF63BE7B"/>
        <color rgb="FFFFEB84"/>
        <color rgb="FFF8696B"/>
      </colorScale>
    </cfRule>
  </conditionalFormatting>
  <conditionalFormatting sqref="K5786:K5809">
    <cfRule type="colorScale" priority="1543">
      <colorScale>
        <cfvo type="min"/>
        <cfvo type="percentile" val="50"/>
        <cfvo type="max"/>
        <color rgb="FF63BE7B"/>
        <color rgb="FFFFEB84"/>
        <color rgb="FFF8696B"/>
      </colorScale>
    </cfRule>
  </conditionalFormatting>
  <conditionalFormatting sqref="G5762:G5785">
    <cfRule type="cellIs" dxfId="1037" priority="1538" operator="between">
      <formula>49</formula>
      <formula>149</formula>
    </cfRule>
    <cfRule type="cellIs" dxfId="1036" priority="1541" operator="lessThan">
      <formula>49</formula>
    </cfRule>
    <cfRule type="cellIs" dxfId="1035" priority="1542" operator="greaterThanOrEqual">
      <formula>150</formula>
    </cfRule>
  </conditionalFormatting>
  <conditionalFormatting sqref="H5762:H5785">
    <cfRule type="cellIs" dxfId="1034" priority="1537" operator="between">
      <formula>0.8</formula>
      <formula>1.2</formula>
    </cfRule>
    <cfRule type="cellIs" dxfId="1033" priority="1539" operator="lessThan">
      <formula>0.8</formula>
    </cfRule>
    <cfRule type="cellIs" dxfId="1032" priority="1540" operator="greaterThanOrEqual">
      <formula>1.2</formula>
    </cfRule>
  </conditionalFormatting>
  <conditionalFormatting sqref="I5762:I5785">
    <cfRule type="colorScale" priority="1536">
      <colorScale>
        <cfvo type="min"/>
        <cfvo type="percentile" val="50"/>
        <cfvo type="max"/>
        <color rgb="FF63BE7B"/>
        <color rgb="FFFFEB84"/>
        <color rgb="FFF8696B"/>
      </colorScale>
    </cfRule>
  </conditionalFormatting>
  <conditionalFormatting sqref="K5763:K5785">
    <cfRule type="colorScale" priority="1535">
      <colorScale>
        <cfvo type="min"/>
        <cfvo type="percentile" val="50"/>
        <cfvo type="max"/>
        <color rgb="FF63BE7B"/>
        <color rgb="FFFFEB84"/>
        <color rgb="FFF8696B"/>
      </colorScale>
    </cfRule>
  </conditionalFormatting>
  <conditionalFormatting sqref="K5762:K5785">
    <cfRule type="colorScale" priority="1534">
      <colorScale>
        <cfvo type="min"/>
        <cfvo type="percentile" val="50"/>
        <cfvo type="max"/>
        <color rgb="FF63BE7B"/>
        <color rgb="FFFFEB84"/>
        <color rgb="FFF8696B"/>
      </colorScale>
    </cfRule>
  </conditionalFormatting>
  <conditionalFormatting sqref="G5738:G5761">
    <cfRule type="cellIs" dxfId="1031" priority="1529" operator="between">
      <formula>49</formula>
      <formula>149</formula>
    </cfRule>
    <cfRule type="cellIs" dxfId="1030" priority="1532" operator="lessThan">
      <formula>49</formula>
    </cfRule>
    <cfRule type="cellIs" dxfId="1029" priority="1533" operator="greaterThanOrEqual">
      <formula>150</formula>
    </cfRule>
  </conditionalFormatting>
  <conditionalFormatting sqref="H5738:H5761">
    <cfRule type="cellIs" dxfId="1028" priority="1528" operator="between">
      <formula>0.8</formula>
      <formula>1.2</formula>
    </cfRule>
    <cfRule type="cellIs" dxfId="1027" priority="1530" operator="lessThan">
      <formula>0.8</formula>
    </cfRule>
    <cfRule type="cellIs" dxfId="1026" priority="1531" operator="greaterThanOrEqual">
      <formula>1.2</formula>
    </cfRule>
  </conditionalFormatting>
  <conditionalFormatting sqref="I5738:I5761">
    <cfRule type="colorScale" priority="1527">
      <colorScale>
        <cfvo type="min"/>
        <cfvo type="percentile" val="50"/>
        <cfvo type="max"/>
        <color rgb="FF63BE7B"/>
        <color rgb="FFFFEB84"/>
        <color rgb="FFF8696B"/>
      </colorScale>
    </cfRule>
  </conditionalFormatting>
  <conditionalFormatting sqref="K5739:K5761">
    <cfRule type="colorScale" priority="1526">
      <colorScale>
        <cfvo type="min"/>
        <cfvo type="percentile" val="50"/>
        <cfvo type="max"/>
        <color rgb="FF63BE7B"/>
        <color rgb="FFFFEB84"/>
        <color rgb="FFF8696B"/>
      </colorScale>
    </cfRule>
  </conditionalFormatting>
  <conditionalFormatting sqref="K5738:K5761">
    <cfRule type="colorScale" priority="1525">
      <colorScale>
        <cfvo type="min"/>
        <cfvo type="percentile" val="50"/>
        <cfvo type="max"/>
        <color rgb="FF63BE7B"/>
        <color rgb="FFFFEB84"/>
        <color rgb="FFF8696B"/>
      </colorScale>
    </cfRule>
  </conditionalFormatting>
  <conditionalFormatting sqref="G5714:G5737">
    <cfRule type="cellIs" dxfId="1025" priority="1520" operator="between">
      <formula>49</formula>
      <formula>149</formula>
    </cfRule>
    <cfRule type="cellIs" dxfId="1024" priority="1523" operator="lessThan">
      <formula>49</formula>
    </cfRule>
    <cfRule type="cellIs" dxfId="1023" priority="1524" operator="greaterThanOrEqual">
      <formula>150</formula>
    </cfRule>
  </conditionalFormatting>
  <conditionalFormatting sqref="H5714:H5737">
    <cfRule type="cellIs" dxfId="1022" priority="1519" operator="between">
      <formula>0.8</formula>
      <formula>1.2</formula>
    </cfRule>
    <cfRule type="cellIs" dxfId="1021" priority="1521" operator="lessThan">
      <formula>0.8</formula>
    </cfRule>
    <cfRule type="cellIs" dxfId="1020" priority="1522" operator="greaterThanOrEqual">
      <formula>1.2</formula>
    </cfRule>
  </conditionalFormatting>
  <conditionalFormatting sqref="I5714:I5737">
    <cfRule type="colorScale" priority="1518">
      <colorScale>
        <cfvo type="min"/>
        <cfvo type="percentile" val="50"/>
        <cfvo type="max"/>
        <color rgb="FF63BE7B"/>
        <color rgb="FFFFEB84"/>
        <color rgb="FFF8696B"/>
      </colorScale>
    </cfRule>
  </conditionalFormatting>
  <conditionalFormatting sqref="K5715:K5737">
    <cfRule type="colorScale" priority="1517">
      <colorScale>
        <cfvo type="min"/>
        <cfvo type="percentile" val="50"/>
        <cfvo type="max"/>
        <color rgb="FF63BE7B"/>
        <color rgb="FFFFEB84"/>
        <color rgb="FFF8696B"/>
      </colorScale>
    </cfRule>
  </conditionalFormatting>
  <conditionalFormatting sqref="K5714:K5737">
    <cfRule type="colorScale" priority="1516">
      <colorScale>
        <cfvo type="min"/>
        <cfvo type="percentile" val="50"/>
        <cfvo type="max"/>
        <color rgb="FF63BE7B"/>
        <color rgb="FFFFEB84"/>
        <color rgb="FFF8696B"/>
      </colorScale>
    </cfRule>
  </conditionalFormatting>
  <conditionalFormatting sqref="G5690:G5713">
    <cfRule type="cellIs" dxfId="1019" priority="1511" operator="between">
      <formula>49</formula>
      <formula>149</formula>
    </cfRule>
    <cfRule type="cellIs" dxfId="1018" priority="1514" operator="lessThan">
      <formula>49</formula>
    </cfRule>
    <cfRule type="cellIs" dxfId="1017" priority="1515" operator="greaterThanOrEqual">
      <formula>150</formula>
    </cfRule>
  </conditionalFormatting>
  <conditionalFormatting sqref="H5690:H5713">
    <cfRule type="cellIs" dxfId="1016" priority="1510" operator="between">
      <formula>0.8</formula>
      <formula>1.2</formula>
    </cfRule>
    <cfRule type="cellIs" dxfId="1015" priority="1512" operator="lessThan">
      <formula>0.8</formula>
    </cfRule>
    <cfRule type="cellIs" dxfId="1014" priority="1513" operator="greaterThanOrEqual">
      <formula>1.2</formula>
    </cfRule>
  </conditionalFormatting>
  <conditionalFormatting sqref="I5690:I5713">
    <cfRule type="colorScale" priority="1509">
      <colorScale>
        <cfvo type="min"/>
        <cfvo type="percentile" val="50"/>
        <cfvo type="max"/>
        <color rgb="FF63BE7B"/>
        <color rgb="FFFFEB84"/>
        <color rgb="FFF8696B"/>
      </colorScale>
    </cfRule>
  </conditionalFormatting>
  <conditionalFormatting sqref="K5691:K5713">
    <cfRule type="colorScale" priority="1508">
      <colorScale>
        <cfvo type="min"/>
        <cfvo type="percentile" val="50"/>
        <cfvo type="max"/>
        <color rgb="FF63BE7B"/>
        <color rgb="FFFFEB84"/>
        <color rgb="FFF8696B"/>
      </colorScale>
    </cfRule>
  </conditionalFormatting>
  <conditionalFormatting sqref="K5690:K5713">
    <cfRule type="colorScale" priority="1507">
      <colorScale>
        <cfvo type="min"/>
        <cfvo type="percentile" val="50"/>
        <cfvo type="max"/>
        <color rgb="FF63BE7B"/>
        <color rgb="FFFFEB84"/>
        <color rgb="FFF8696B"/>
      </colorScale>
    </cfRule>
  </conditionalFormatting>
  <conditionalFormatting sqref="G5666:G5689">
    <cfRule type="cellIs" dxfId="1013" priority="1502" operator="between">
      <formula>49</formula>
      <formula>149</formula>
    </cfRule>
    <cfRule type="cellIs" dxfId="1012" priority="1505" operator="lessThan">
      <formula>49</formula>
    </cfRule>
    <cfRule type="cellIs" dxfId="1011" priority="1506" operator="greaterThanOrEqual">
      <formula>150</formula>
    </cfRule>
  </conditionalFormatting>
  <conditionalFormatting sqref="H5666:H5689">
    <cfRule type="cellIs" dxfId="1010" priority="1501" operator="between">
      <formula>0.8</formula>
      <formula>1.2</formula>
    </cfRule>
    <cfRule type="cellIs" dxfId="1009" priority="1503" operator="lessThan">
      <formula>0.8</formula>
    </cfRule>
    <cfRule type="cellIs" dxfId="1008" priority="1504" operator="greaterThanOrEqual">
      <formula>1.2</formula>
    </cfRule>
  </conditionalFormatting>
  <conditionalFormatting sqref="I5666:I5689">
    <cfRule type="colorScale" priority="1500">
      <colorScale>
        <cfvo type="min"/>
        <cfvo type="percentile" val="50"/>
        <cfvo type="max"/>
        <color rgb="FF63BE7B"/>
        <color rgb="FFFFEB84"/>
        <color rgb="FFF8696B"/>
      </colorScale>
    </cfRule>
  </conditionalFormatting>
  <conditionalFormatting sqref="K5667:K5689">
    <cfRule type="colorScale" priority="1499">
      <colorScale>
        <cfvo type="min"/>
        <cfvo type="percentile" val="50"/>
        <cfvo type="max"/>
        <color rgb="FF63BE7B"/>
        <color rgb="FFFFEB84"/>
        <color rgb="FFF8696B"/>
      </colorScale>
    </cfRule>
  </conditionalFormatting>
  <conditionalFormatting sqref="K5666:K5689">
    <cfRule type="colorScale" priority="1498">
      <colorScale>
        <cfvo type="min"/>
        <cfvo type="percentile" val="50"/>
        <cfvo type="max"/>
        <color rgb="FF63BE7B"/>
        <color rgb="FFFFEB84"/>
        <color rgb="FFF8696B"/>
      </colorScale>
    </cfRule>
  </conditionalFormatting>
  <conditionalFormatting sqref="G5642:G5665">
    <cfRule type="cellIs" dxfId="1007" priority="1493" operator="between">
      <formula>49</formula>
      <formula>149</formula>
    </cfRule>
    <cfRule type="cellIs" dxfId="1006" priority="1496" operator="lessThan">
      <formula>49</formula>
    </cfRule>
    <cfRule type="cellIs" dxfId="1005" priority="1497" operator="greaterThanOrEqual">
      <formula>150</formula>
    </cfRule>
  </conditionalFormatting>
  <conditionalFormatting sqref="H5642:H5665">
    <cfRule type="cellIs" dxfId="1004" priority="1492" operator="between">
      <formula>0.8</formula>
      <formula>1.2</formula>
    </cfRule>
    <cfRule type="cellIs" dxfId="1003" priority="1494" operator="lessThan">
      <formula>0.8</formula>
    </cfRule>
    <cfRule type="cellIs" dxfId="1002" priority="1495" operator="greaterThanOrEqual">
      <formula>1.2</formula>
    </cfRule>
  </conditionalFormatting>
  <conditionalFormatting sqref="I5642:I5665">
    <cfRule type="colorScale" priority="1491">
      <colorScale>
        <cfvo type="min"/>
        <cfvo type="percentile" val="50"/>
        <cfvo type="max"/>
        <color rgb="FF63BE7B"/>
        <color rgb="FFFFEB84"/>
        <color rgb="FFF8696B"/>
      </colorScale>
    </cfRule>
  </conditionalFormatting>
  <conditionalFormatting sqref="K5643:K5665">
    <cfRule type="colorScale" priority="1490">
      <colorScale>
        <cfvo type="min"/>
        <cfvo type="percentile" val="50"/>
        <cfvo type="max"/>
        <color rgb="FF63BE7B"/>
        <color rgb="FFFFEB84"/>
        <color rgb="FFF8696B"/>
      </colorScale>
    </cfRule>
  </conditionalFormatting>
  <conditionalFormatting sqref="K5642:K5665">
    <cfRule type="colorScale" priority="1489">
      <colorScale>
        <cfvo type="min"/>
        <cfvo type="percentile" val="50"/>
        <cfvo type="max"/>
        <color rgb="FF63BE7B"/>
        <color rgb="FFFFEB84"/>
        <color rgb="FFF8696B"/>
      </colorScale>
    </cfRule>
  </conditionalFormatting>
  <conditionalFormatting sqref="G5618:G5641">
    <cfRule type="cellIs" dxfId="1001" priority="1484" operator="between">
      <formula>49</formula>
      <formula>149</formula>
    </cfRule>
    <cfRule type="cellIs" dxfId="1000" priority="1487" operator="lessThan">
      <formula>49</formula>
    </cfRule>
    <cfRule type="cellIs" dxfId="999" priority="1488" operator="greaterThanOrEqual">
      <formula>150</formula>
    </cfRule>
  </conditionalFormatting>
  <conditionalFormatting sqref="H5618:H5641">
    <cfRule type="cellIs" dxfId="998" priority="1483" operator="between">
      <formula>0.8</formula>
      <formula>1.2</formula>
    </cfRule>
    <cfRule type="cellIs" dxfId="997" priority="1485" operator="lessThan">
      <formula>0.8</formula>
    </cfRule>
    <cfRule type="cellIs" dxfId="996" priority="1486" operator="greaterThanOrEqual">
      <formula>1.2</formula>
    </cfRule>
  </conditionalFormatting>
  <conditionalFormatting sqref="I5618:I5641">
    <cfRule type="colorScale" priority="1482">
      <colorScale>
        <cfvo type="min"/>
        <cfvo type="percentile" val="50"/>
        <cfvo type="max"/>
        <color rgb="FF63BE7B"/>
        <color rgb="FFFFEB84"/>
        <color rgb="FFF8696B"/>
      </colorScale>
    </cfRule>
  </conditionalFormatting>
  <conditionalFormatting sqref="K5619:K5641">
    <cfRule type="colorScale" priority="1481">
      <colorScale>
        <cfvo type="min"/>
        <cfvo type="percentile" val="50"/>
        <cfvo type="max"/>
        <color rgb="FF63BE7B"/>
        <color rgb="FFFFEB84"/>
        <color rgb="FFF8696B"/>
      </colorScale>
    </cfRule>
  </conditionalFormatting>
  <conditionalFormatting sqref="K5618:K5641">
    <cfRule type="colorScale" priority="1480">
      <colorScale>
        <cfvo type="min"/>
        <cfvo type="percentile" val="50"/>
        <cfvo type="max"/>
        <color rgb="FF63BE7B"/>
        <color rgb="FFFFEB84"/>
        <color rgb="FFF8696B"/>
      </colorScale>
    </cfRule>
  </conditionalFormatting>
  <conditionalFormatting sqref="G5594:G5617">
    <cfRule type="cellIs" dxfId="995" priority="1475" operator="between">
      <formula>49</formula>
      <formula>149</formula>
    </cfRule>
    <cfRule type="cellIs" dxfId="994" priority="1478" operator="lessThan">
      <formula>49</formula>
    </cfRule>
    <cfRule type="cellIs" dxfId="993" priority="1479" operator="greaterThanOrEqual">
      <formula>150</formula>
    </cfRule>
  </conditionalFormatting>
  <conditionalFormatting sqref="H5594:H5617">
    <cfRule type="cellIs" dxfId="992" priority="1474" operator="between">
      <formula>0.8</formula>
      <formula>1.2</formula>
    </cfRule>
    <cfRule type="cellIs" dxfId="991" priority="1476" operator="lessThan">
      <formula>0.8</formula>
    </cfRule>
    <cfRule type="cellIs" dxfId="990" priority="1477" operator="greaterThanOrEqual">
      <formula>1.2</formula>
    </cfRule>
  </conditionalFormatting>
  <conditionalFormatting sqref="I5594:I5617">
    <cfRule type="colorScale" priority="1473">
      <colorScale>
        <cfvo type="min"/>
        <cfvo type="percentile" val="50"/>
        <cfvo type="max"/>
        <color rgb="FF63BE7B"/>
        <color rgb="FFFFEB84"/>
        <color rgb="FFF8696B"/>
      </colorScale>
    </cfRule>
  </conditionalFormatting>
  <conditionalFormatting sqref="K5595:K5617">
    <cfRule type="colorScale" priority="1472">
      <colorScale>
        <cfvo type="min"/>
        <cfvo type="percentile" val="50"/>
        <cfvo type="max"/>
        <color rgb="FF63BE7B"/>
        <color rgb="FFFFEB84"/>
        <color rgb="FFF8696B"/>
      </colorScale>
    </cfRule>
  </conditionalFormatting>
  <conditionalFormatting sqref="K5594:K5617">
    <cfRule type="colorScale" priority="1471">
      <colorScale>
        <cfvo type="min"/>
        <cfvo type="percentile" val="50"/>
        <cfvo type="max"/>
        <color rgb="FF63BE7B"/>
        <color rgb="FFFFEB84"/>
        <color rgb="FFF8696B"/>
      </colorScale>
    </cfRule>
  </conditionalFormatting>
  <conditionalFormatting sqref="G5570:G5593">
    <cfRule type="cellIs" dxfId="989" priority="1466" operator="between">
      <formula>49</formula>
      <formula>149</formula>
    </cfRule>
    <cfRule type="cellIs" dxfId="988" priority="1469" operator="lessThan">
      <formula>49</formula>
    </cfRule>
    <cfRule type="cellIs" dxfId="987" priority="1470" operator="greaterThanOrEqual">
      <formula>150</formula>
    </cfRule>
  </conditionalFormatting>
  <conditionalFormatting sqref="H5570:H5593">
    <cfRule type="cellIs" dxfId="986" priority="1465" operator="between">
      <formula>0.8</formula>
      <formula>1.2</formula>
    </cfRule>
    <cfRule type="cellIs" dxfId="985" priority="1467" operator="lessThan">
      <formula>0.8</formula>
    </cfRule>
    <cfRule type="cellIs" dxfId="984" priority="1468" operator="greaterThanOrEqual">
      <formula>1.2</formula>
    </cfRule>
  </conditionalFormatting>
  <conditionalFormatting sqref="I5570:I5593">
    <cfRule type="colorScale" priority="1464">
      <colorScale>
        <cfvo type="min"/>
        <cfvo type="percentile" val="50"/>
        <cfvo type="max"/>
        <color rgb="FF63BE7B"/>
        <color rgb="FFFFEB84"/>
        <color rgb="FFF8696B"/>
      </colorScale>
    </cfRule>
  </conditionalFormatting>
  <conditionalFormatting sqref="K5571:K5593">
    <cfRule type="colorScale" priority="1463">
      <colorScale>
        <cfvo type="min"/>
        <cfvo type="percentile" val="50"/>
        <cfvo type="max"/>
        <color rgb="FF63BE7B"/>
        <color rgb="FFFFEB84"/>
        <color rgb="FFF8696B"/>
      </colorScale>
    </cfRule>
  </conditionalFormatting>
  <conditionalFormatting sqref="K5570:K5593">
    <cfRule type="colorScale" priority="1462">
      <colorScale>
        <cfvo type="min"/>
        <cfvo type="percentile" val="50"/>
        <cfvo type="max"/>
        <color rgb="FF63BE7B"/>
        <color rgb="FFFFEB84"/>
        <color rgb="FFF8696B"/>
      </colorScale>
    </cfRule>
  </conditionalFormatting>
  <conditionalFormatting sqref="G5546:G5569">
    <cfRule type="cellIs" dxfId="983" priority="1457" operator="between">
      <formula>49</formula>
      <formula>149</formula>
    </cfRule>
    <cfRule type="cellIs" dxfId="982" priority="1460" operator="lessThan">
      <formula>49</formula>
    </cfRule>
    <cfRule type="cellIs" dxfId="981" priority="1461" operator="greaterThanOrEqual">
      <formula>150</formula>
    </cfRule>
  </conditionalFormatting>
  <conditionalFormatting sqref="H5546:H5569">
    <cfRule type="cellIs" dxfId="980" priority="1456" operator="between">
      <formula>0.8</formula>
      <formula>1.2</formula>
    </cfRule>
    <cfRule type="cellIs" dxfId="979" priority="1458" operator="lessThan">
      <formula>0.8</formula>
    </cfRule>
    <cfRule type="cellIs" dxfId="978" priority="1459" operator="greaterThanOrEqual">
      <formula>1.2</formula>
    </cfRule>
  </conditionalFormatting>
  <conditionalFormatting sqref="I5546:I5569">
    <cfRule type="colorScale" priority="1455">
      <colorScale>
        <cfvo type="min"/>
        <cfvo type="percentile" val="50"/>
        <cfvo type="max"/>
        <color rgb="FF63BE7B"/>
        <color rgb="FFFFEB84"/>
        <color rgb="FFF8696B"/>
      </colorScale>
    </cfRule>
  </conditionalFormatting>
  <conditionalFormatting sqref="K5547:K5569">
    <cfRule type="colorScale" priority="1454">
      <colorScale>
        <cfvo type="min"/>
        <cfvo type="percentile" val="50"/>
        <cfvo type="max"/>
        <color rgb="FF63BE7B"/>
        <color rgb="FFFFEB84"/>
        <color rgb="FFF8696B"/>
      </colorScale>
    </cfRule>
  </conditionalFormatting>
  <conditionalFormatting sqref="K5546:K5569">
    <cfRule type="colorScale" priority="1453">
      <colorScale>
        <cfvo type="min"/>
        <cfvo type="percentile" val="50"/>
        <cfvo type="max"/>
        <color rgb="FF63BE7B"/>
        <color rgb="FFFFEB84"/>
        <color rgb="FFF8696B"/>
      </colorScale>
    </cfRule>
  </conditionalFormatting>
  <conditionalFormatting sqref="G5522:G5545">
    <cfRule type="cellIs" dxfId="977" priority="1448" operator="between">
      <formula>49</formula>
      <formula>149</formula>
    </cfRule>
    <cfRule type="cellIs" dxfId="976" priority="1451" operator="lessThan">
      <formula>49</formula>
    </cfRule>
    <cfRule type="cellIs" dxfId="975" priority="1452" operator="greaterThanOrEqual">
      <formula>150</formula>
    </cfRule>
  </conditionalFormatting>
  <conditionalFormatting sqref="H5522:H5545">
    <cfRule type="cellIs" dxfId="974" priority="1447" operator="between">
      <formula>0.8</formula>
      <formula>1.2</formula>
    </cfRule>
    <cfRule type="cellIs" dxfId="973" priority="1449" operator="lessThan">
      <formula>0.8</formula>
    </cfRule>
    <cfRule type="cellIs" dxfId="972" priority="1450" operator="greaterThanOrEqual">
      <formula>1.2</formula>
    </cfRule>
  </conditionalFormatting>
  <conditionalFormatting sqref="I5522:I5545">
    <cfRule type="colorScale" priority="1446">
      <colorScale>
        <cfvo type="min"/>
        <cfvo type="percentile" val="50"/>
        <cfvo type="max"/>
        <color rgb="FF63BE7B"/>
        <color rgb="FFFFEB84"/>
        <color rgb="FFF8696B"/>
      </colorScale>
    </cfRule>
  </conditionalFormatting>
  <conditionalFormatting sqref="K5523:K5545">
    <cfRule type="colorScale" priority="1445">
      <colorScale>
        <cfvo type="min"/>
        <cfvo type="percentile" val="50"/>
        <cfvo type="max"/>
        <color rgb="FF63BE7B"/>
        <color rgb="FFFFEB84"/>
        <color rgb="FFF8696B"/>
      </colorScale>
    </cfRule>
  </conditionalFormatting>
  <conditionalFormatting sqref="K5522:K5545">
    <cfRule type="colorScale" priority="1444">
      <colorScale>
        <cfvo type="min"/>
        <cfvo type="percentile" val="50"/>
        <cfvo type="max"/>
        <color rgb="FF63BE7B"/>
        <color rgb="FFFFEB84"/>
        <color rgb="FFF8696B"/>
      </colorScale>
    </cfRule>
  </conditionalFormatting>
  <conditionalFormatting sqref="G5498:G5521">
    <cfRule type="cellIs" dxfId="971" priority="1439" operator="between">
      <formula>49</formula>
      <formula>149</formula>
    </cfRule>
    <cfRule type="cellIs" dxfId="970" priority="1442" operator="lessThan">
      <formula>49</formula>
    </cfRule>
    <cfRule type="cellIs" dxfId="969" priority="1443" operator="greaterThanOrEqual">
      <formula>150</formula>
    </cfRule>
  </conditionalFormatting>
  <conditionalFormatting sqref="H5498:H5521">
    <cfRule type="cellIs" dxfId="968" priority="1438" operator="between">
      <formula>0.8</formula>
      <formula>1.2</formula>
    </cfRule>
    <cfRule type="cellIs" dxfId="967" priority="1440" operator="lessThan">
      <formula>0.8</formula>
    </cfRule>
    <cfRule type="cellIs" dxfId="966" priority="1441" operator="greaterThanOrEqual">
      <formula>1.2</formula>
    </cfRule>
  </conditionalFormatting>
  <conditionalFormatting sqref="I5498:I5521">
    <cfRule type="colorScale" priority="1437">
      <colorScale>
        <cfvo type="min"/>
        <cfvo type="percentile" val="50"/>
        <cfvo type="max"/>
        <color rgb="FF63BE7B"/>
        <color rgb="FFFFEB84"/>
        <color rgb="FFF8696B"/>
      </colorScale>
    </cfRule>
  </conditionalFormatting>
  <conditionalFormatting sqref="K5499:K5521">
    <cfRule type="colorScale" priority="1436">
      <colorScale>
        <cfvo type="min"/>
        <cfvo type="percentile" val="50"/>
        <cfvo type="max"/>
        <color rgb="FF63BE7B"/>
        <color rgb="FFFFEB84"/>
        <color rgb="FFF8696B"/>
      </colorScale>
    </cfRule>
  </conditionalFormatting>
  <conditionalFormatting sqref="K5498:K5521">
    <cfRule type="colorScale" priority="1435">
      <colorScale>
        <cfvo type="min"/>
        <cfvo type="percentile" val="50"/>
        <cfvo type="max"/>
        <color rgb="FF63BE7B"/>
        <color rgb="FFFFEB84"/>
        <color rgb="FFF8696B"/>
      </colorScale>
    </cfRule>
  </conditionalFormatting>
  <conditionalFormatting sqref="G5474:G5497">
    <cfRule type="cellIs" dxfId="965" priority="1430" operator="between">
      <formula>49</formula>
      <formula>149</formula>
    </cfRule>
    <cfRule type="cellIs" dxfId="964" priority="1433" operator="lessThan">
      <formula>49</formula>
    </cfRule>
    <cfRule type="cellIs" dxfId="963" priority="1434" operator="greaterThanOrEqual">
      <formula>150</formula>
    </cfRule>
  </conditionalFormatting>
  <conditionalFormatting sqref="H5474:H5497">
    <cfRule type="cellIs" dxfId="962" priority="1429" operator="between">
      <formula>0.8</formula>
      <formula>1.2</formula>
    </cfRule>
    <cfRule type="cellIs" dxfId="961" priority="1431" operator="lessThan">
      <formula>0.8</formula>
    </cfRule>
    <cfRule type="cellIs" dxfId="960" priority="1432" operator="greaterThanOrEqual">
      <formula>1.2</formula>
    </cfRule>
  </conditionalFormatting>
  <conditionalFormatting sqref="I5474:I5497">
    <cfRule type="colorScale" priority="1428">
      <colorScale>
        <cfvo type="min"/>
        <cfvo type="percentile" val="50"/>
        <cfvo type="max"/>
        <color rgb="FF63BE7B"/>
        <color rgb="FFFFEB84"/>
        <color rgb="FFF8696B"/>
      </colorScale>
    </cfRule>
  </conditionalFormatting>
  <conditionalFormatting sqref="K5475:K5497">
    <cfRule type="colorScale" priority="1427">
      <colorScale>
        <cfvo type="min"/>
        <cfvo type="percentile" val="50"/>
        <cfvo type="max"/>
        <color rgb="FF63BE7B"/>
        <color rgb="FFFFEB84"/>
        <color rgb="FFF8696B"/>
      </colorScale>
    </cfRule>
  </conditionalFormatting>
  <conditionalFormatting sqref="K5474:K5497">
    <cfRule type="colorScale" priority="1426">
      <colorScale>
        <cfvo type="min"/>
        <cfvo type="percentile" val="50"/>
        <cfvo type="max"/>
        <color rgb="FF63BE7B"/>
        <color rgb="FFFFEB84"/>
        <color rgb="FFF8696B"/>
      </colorScale>
    </cfRule>
  </conditionalFormatting>
  <conditionalFormatting sqref="G5450:G5473">
    <cfRule type="cellIs" dxfId="959" priority="1421" operator="between">
      <formula>49</formula>
      <formula>149</formula>
    </cfRule>
    <cfRule type="cellIs" dxfId="958" priority="1424" operator="lessThan">
      <formula>49</formula>
    </cfRule>
    <cfRule type="cellIs" dxfId="957" priority="1425" operator="greaterThanOrEqual">
      <formula>150</formula>
    </cfRule>
  </conditionalFormatting>
  <conditionalFormatting sqref="H5450:H5473">
    <cfRule type="cellIs" dxfId="956" priority="1420" operator="between">
      <formula>0.8</formula>
      <formula>1.2</formula>
    </cfRule>
    <cfRule type="cellIs" dxfId="955" priority="1422" operator="lessThan">
      <formula>0.8</formula>
    </cfRule>
    <cfRule type="cellIs" dxfId="954" priority="1423" operator="greaterThanOrEqual">
      <formula>1.2</formula>
    </cfRule>
  </conditionalFormatting>
  <conditionalFormatting sqref="I5450:I5473">
    <cfRule type="colorScale" priority="1419">
      <colorScale>
        <cfvo type="min"/>
        <cfvo type="percentile" val="50"/>
        <cfvo type="max"/>
        <color rgb="FF63BE7B"/>
        <color rgb="FFFFEB84"/>
        <color rgb="FFF8696B"/>
      </colorScale>
    </cfRule>
  </conditionalFormatting>
  <conditionalFormatting sqref="K5451:K5473">
    <cfRule type="colorScale" priority="1418">
      <colorScale>
        <cfvo type="min"/>
        <cfvo type="percentile" val="50"/>
        <cfvo type="max"/>
        <color rgb="FF63BE7B"/>
        <color rgb="FFFFEB84"/>
        <color rgb="FFF8696B"/>
      </colorScale>
    </cfRule>
  </conditionalFormatting>
  <conditionalFormatting sqref="K5450:K5473">
    <cfRule type="colorScale" priority="1417">
      <colorScale>
        <cfvo type="min"/>
        <cfvo type="percentile" val="50"/>
        <cfvo type="max"/>
        <color rgb="FF63BE7B"/>
        <color rgb="FFFFEB84"/>
        <color rgb="FFF8696B"/>
      </colorScale>
    </cfRule>
  </conditionalFormatting>
  <conditionalFormatting sqref="G5426:G5449">
    <cfRule type="cellIs" dxfId="953" priority="1412" operator="between">
      <formula>49</formula>
      <formula>149</formula>
    </cfRule>
    <cfRule type="cellIs" dxfId="952" priority="1415" operator="lessThan">
      <formula>49</formula>
    </cfRule>
    <cfRule type="cellIs" dxfId="951" priority="1416" operator="greaterThanOrEqual">
      <formula>150</formula>
    </cfRule>
  </conditionalFormatting>
  <conditionalFormatting sqref="H5426:H5449">
    <cfRule type="cellIs" dxfId="950" priority="1411" operator="between">
      <formula>0.8</formula>
      <formula>1.2</formula>
    </cfRule>
    <cfRule type="cellIs" dxfId="949" priority="1413" operator="lessThan">
      <formula>0.8</formula>
    </cfRule>
    <cfRule type="cellIs" dxfId="948" priority="1414" operator="greaterThanOrEqual">
      <formula>1.2</formula>
    </cfRule>
  </conditionalFormatting>
  <conditionalFormatting sqref="I5426:I5449">
    <cfRule type="colorScale" priority="1410">
      <colorScale>
        <cfvo type="min"/>
        <cfvo type="percentile" val="50"/>
        <cfvo type="max"/>
        <color rgb="FF63BE7B"/>
        <color rgb="FFFFEB84"/>
        <color rgb="FFF8696B"/>
      </colorScale>
    </cfRule>
  </conditionalFormatting>
  <conditionalFormatting sqref="K5427:K5449">
    <cfRule type="colorScale" priority="1409">
      <colorScale>
        <cfvo type="min"/>
        <cfvo type="percentile" val="50"/>
        <cfvo type="max"/>
        <color rgb="FF63BE7B"/>
        <color rgb="FFFFEB84"/>
        <color rgb="FFF8696B"/>
      </colorScale>
    </cfRule>
  </conditionalFormatting>
  <conditionalFormatting sqref="K5426:K5449">
    <cfRule type="colorScale" priority="1408">
      <colorScale>
        <cfvo type="min"/>
        <cfvo type="percentile" val="50"/>
        <cfvo type="max"/>
        <color rgb="FF63BE7B"/>
        <color rgb="FFFFEB84"/>
        <color rgb="FFF8696B"/>
      </colorScale>
    </cfRule>
  </conditionalFormatting>
  <conditionalFormatting sqref="G5402:G5425">
    <cfRule type="cellIs" dxfId="947" priority="1403" operator="between">
      <formula>49</formula>
      <formula>149</formula>
    </cfRule>
    <cfRule type="cellIs" dxfId="946" priority="1406" operator="lessThan">
      <formula>49</formula>
    </cfRule>
    <cfRule type="cellIs" dxfId="945" priority="1407" operator="greaterThanOrEqual">
      <formula>150</formula>
    </cfRule>
  </conditionalFormatting>
  <conditionalFormatting sqref="H5402:H5425">
    <cfRule type="cellIs" dxfId="944" priority="1402" operator="between">
      <formula>0.8</formula>
      <formula>1.2</formula>
    </cfRule>
    <cfRule type="cellIs" dxfId="943" priority="1404" operator="lessThan">
      <formula>0.8</formula>
    </cfRule>
    <cfRule type="cellIs" dxfId="942" priority="1405" operator="greaterThanOrEqual">
      <formula>1.2</formula>
    </cfRule>
  </conditionalFormatting>
  <conditionalFormatting sqref="I5402:I5425">
    <cfRule type="colorScale" priority="1401">
      <colorScale>
        <cfvo type="min"/>
        <cfvo type="percentile" val="50"/>
        <cfvo type="max"/>
        <color rgb="FF63BE7B"/>
        <color rgb="FFFFEB84"/>
        <color rgb="FFF8696B"/>
      </colorScale>
    </cfRule>
  </conditionalFormatting>
  <conditionalFormatting sqref="K5403:K5425">
    <cfRule type="colorScale" priority="1400">
      <colorScale>
        <cfvo type="min"/>
        <cfvo type="percentile" val="50"/>
        <cfvo type="max"/>
        <color rgb="FF63BE7B"/>
        <color rgb="FFFFEB84"/>
        <color rgb="FFF8696B"/>
      </colorScale>
    </cfRule>
  </conditionalFormatting>
  <conditionalFormatting sqref="K5402:K5425">
    <cfRule type="colorScale" priority="1399">
      <colorScale>
        <cfvo type="min"/>
        <cfvo type="percentile" val="50"/>
        <cfvo type="max"/>
        <color rgb="FF63BE7B"/>
        <color rgb="FFFFEB84"/>
        <color rgb="FFF8696B"/>
      </colorScale>
    </cfRule>
  </conditionalFormatting>
  <conditionalFormatting sqref="G5378:G5401">
    <cfRule type="cellIs" dxfId="941" priority="1394" operator="between">
      <formula>49</formula>
      <formula>149</formula>
    </cfRule>
    <cfRule type="cellIs" dxfId="940" priority="1397" operator="lessThan">
      <formula>49</formula>
    </cfRule>
    <cfRule type="cellIs" dxfId="939" priority="1398" operator="greaterThanOrEqual">
      <formula>150</formula>
    </cfRule>
  </conditionalFormatting>
  <conditionalFormatting sqref="H5378:H5401">
    <cfRule type="cellIs" dxfId="938" priority="1393" operator="between">
      <formula>0.8</formula>
      <formula>1.2</formula>
    </cfRule>
    <cfRule type="cellIs" dxfId="937" priority="1395" operator="lessThan">
      <formula>0.8</formula>
    </cfRule>
    <cfRule type="cellIs" dxfId="936" priority="1396" operator="greaterThanOrEqual">
      <formula>1.2</formula>
    </cfRule>
  </conditionalFormatting>
  <conditionalFormatting sqref="I5378:I5401">
    <cfRule type="colorScale" priority="1392">
      <colorScale>
        <cfvo type="min"/>
        <cfvo type="percentile" val="50"/>
        <cfvo type="max"/>
        <color rgb="FF63BE7B"/>
        <color rgb="FFFFEB84"/>
        <color rgb="FFF8696B"/>
      </colorScale>
    </cfRule>
  </conditionalFormatting>
  <conditionalFormatting sqref="K5379:K5401">
    <cfRule type="colorScale" priority="1391">
      <colorScale>
        <cfvo type="min"/>
        <cfvo type="percentile" val="50"/>
        <cfvo type="max"/>
        <color rgb="FF63BE7B"/>
        <color rgb="FFFFEB84"/>
        <color rgb="FFF8696B"/>
      </colorScale>
    </cfRule>
  </conditionalFormatting>
  <conditionalFormatting sqref="K5378:K5401">
    <cfRule type="colorScale" priority="1390">
      <colorScale>
        <cfvo type="min"/>
        <cfvo type="percentile" val="50"/>
        <cfvo type="max"/>
        <color rgb="FF63BE7B"/>
        <color rgb="FFFFEB84"/>
        <color rgb="FFF8696B"/>
      </colorScale>
    </cfRule>
  </conditionalFormatting>
  <conditionalFormatting sqref="G5354:G5377">
    <cfRule type="cellIs" dxfId="935" priority="1385" operator="between">
      <formula>49</formula>
      <formula>149</formula>
    </cfRule>
    <cfRule type="cellIs" dxfId="934" priority="1388" operator="lessThan">
      <formula>49</formula>
    </cfRule>
    <cfRule type="cellIs" dxfId="933" priority="1389" operator="greaterThanOrEqual">
      <formula>150</formula>
    </cfRule>
  </conditionalFormatting>
  <conditionalFormatting sqref="H5354:H5377">
    <cfRule type="cellIs" dxfId="932" priority="1384" operator="between">
      <formula>0.8</formula>
      <formula>1.2</formula>
    </cfRule>
    <cfRule type="cellIs" dxfId="931" priority="1386" operator="lessThan">
      <formula>0.8</formula>
    </cfRule>
    <cfRule type="cellIs" dxfId="930" priority="1387" operator="greaterThanOrEqual">
      <formula>1.2</formula>
    </cfRule>
  </conditionalFormatting>
  <conditionalFormatting sqref="I5354:I5377">
    <cfRule type="colorScale" priority="1383">
      <colorScale>
        <cfvo type="min"/>
        <cfvo type="percentile" val="50"/>
        <cfvo type="max"/>
        <color rgb="FF63BE7B"/>
        <color rgb="FFFFEB84"/>
        <color rgb="FFF8696B"/>
      </colorScale>
    </cfRule>
  </conditionalFormatting>
  <conditionalFormatting sqref="K5355:K5377">
    <cfRule type="colorScale" priority="1382">
      <colorScale>
        <cfvo type="min"/>
        <cfvo type="percentile" val="50"/>
        <cfvo type="max"/>
        <color rgb="FF63BE7B"/>
        <color rgb="FFFFEB84"/>
        <color rgb="FFF8696B"/>
      </colorScale>
    </cfRule>
  </conditionalFormatting>
  <conditionalFormatting sqref="K5354:K5377">
    <cfRule type="colorScale" priority="1381">
      <colorScale>
        <cfvo type="min"/>
        <cfvo type="percentile" val="50"/>
        <cfvo type="max"/>
        <color rgb="FF63BE7B"/>
        <color rgb="FFFFEB84"/>
        <color rgb="FFF8696B"/>
      </colorScale>
    </cfRule>
  </conditionalFormatting>
  <conditionalFormatting sqref="G5330:G5353">
    <cfRule type="cellIs" dxfId="929" priority="1376" operator="between">
      <formula>49</formula>
      <formula>149</formula>
    </cfRule>
    <cfRule type="cellIs" dxfId="928" priority="1379" operator="lessThan">
      <formula>49</formula>
    </cfRule>
    <cfRule type="cellIs" dxfId="927" priority="1380" operator="greaterThanOrEqual">
      <formula>150</formula>
    </cfRule>
  </conditionalFormatting>
  <conditionalFormatting sqref="H5330:H5353">
    <cfRule type="cellIs" dxfId="926" priority="1375" operator="between">
      <formula>0.8</formula>
      <formula>1.2</formula>
    </cfRule>
    <cfRule type="cellIs" dxfId="925" priority="1377" operator="lessThan">
      <formula>0.8</formula>
    </cfRule>
    <cfRule type="cellIs" dxfId="924" priority="1378" operator="greaterThanOrEqual">
      <formula>1.2</formula>
    </cfRule>
  </conditionalFormatting>
  <conditionalFormatting sqref="I5330:I5353">
    <cfRule type="colorScale" priority="1374">
      <colorScale>
        <cfvo type="min"/>
        <cfvo type="percentile" val="50"/>
        <cfvo type="max"/>
        <color rgb="FF63BE7B"/>
        <color rgb="FFFFEB84"/>
        <color rgb="FFF8696B"/>
      </colorScale>
    </cfRule>
  </conditionalFormatting>
  <conditionalFormatting sqref="K5331:K5353">
    <cfRule type="colorScale" priority="1373">
      <colorScale>
        <cfvo type="min"/>
        <cfvo type="percentile" val="50"/>
        <cfvo type="max"/>
        <color rgb="FF63BE7B"/>
        <color rgb="FFFFEB84"/>
        <color rgb="FFF8696B"/>
      </colorScale>
    </cfRule>
  </conditionalFormatting>
  <conditionalFormatting sqref="K5330:K5353">
    <cfRule type="colorScale" priority="1372">
      <colorScale>
        <cfvo type="min"/>
        <cfvo type="percentile" val="50"/>
        <cfvo type="max"/>
        <color rgb="FF63BE7B"/>
        <color rgb="FFFFEB84"/>
        <color rgb="FFF8696B"/>
      </colorScale>
    </cfRule>
  </conditionalFormatting>
  <conditionalFormatting sqref="G5306:G5329">
    <cfRule type="cellIs" dxfId="923" priority="1367" operator="between">
      <formula>49</formula>
      <formula>149</formula>
    </cfRule>
    <cfRule type="cellIs" dxfId="922" priority="1370" operator="lessThan">
      <formula>49</formula>
    </cfRule>
    <cfRule type="cellIs" dxfId="921" priority="1371" operator="greaterThanOrEqual">
      <formula>150</formula>
    </cfRule>
  </conditionalFormatting>
  <conditionalFormatting sqref="H5306:H5329">
    <cfRule type="cellIs" dxfId="920" priority="1366" operator="between">
      <formula>0.8</formula>
      <formula>1.2</formula>
    </cfRule>
    <cfRule type="cellIs" dxfId="919" priority="1368" operator="lessThan">
      <formula>0.8</formula>
    </cfRule>
    <cfRule type="cellIs" dxfId="918" priority="1369" operator="greaterThanOrEqual">
      <formula>1.2</formula>
    </cfRule>
  </conditionalFormatting>
  <conditionalFormatting sqref="I5306:I5329">
    <cfRule type="colorScale" priority="1365">
      <colorScale>
        <cfvo type="min"/>
        <cfvo type="percentile" val="50"/>
        <cfvo type="max"/>
        <color rgb="FF63BE7B"/>
        <color rgb="FFFFEB84"/>
        <color rgb="FFF8696B"/>
      </colorScale>
    </cfRule>
  </conditionalFormatting>
  <conditionalFormatting sqref="K5307:K5329">
    <cfRule type="colorScale" priority="1364">
      <colorScale>
        <cfvo type="min"/>
        <cfvo type="percentile" val="50"/>
        <cfvo type="max"/>
        <color rgb="FF63BE7B"/>
        <color rgb="FFFFEB84"/>
        <color rgb="FFF8696B"/>
      </colorScale>
    </cfRule>
  </conditionalFormatting>
  <conditionalFormatting sqref="K5306:K5329">
    <cfRule type="colorScale" priority="1363">
      <colorScale>
        <cfvo type="min"/>
        <cfvo type="percentile" val="50"/>
        <cfvo type="max"/>
        <color rgb="FF63BE7B"/>
        <color rgb="FFFFEB84"/>
        <color rgb="FFF8696B"/>
      </colorScale>
    </cfRule>
  </conditionalFormatting>
  <conditionalFormatting sqref="G5282:G5305">
    <cfRule type="cellIs" dxfId="917" priority="1358" operator="between">
      <formula>49</formula>
      <formula>149</formula>
    </cfRule>
    <cfRule type="cellIs" dxfId="916" priority="1361" operator="lessThan">
      <formula>49</formula>
    </cfRule>
    <cfRule type="cellIs" dxfId="915" priority="1362" operator="greaterThanOrEqual">
      <formula>150</formula>
    </cfRule>
  </conditionalFormatting>
  <conditionalFormatting sqref="H5282:H5305">
    <cfRule type="cellIs" dxfId="914" priority="1357" operator="between">
      <formula>0.8</formula>
      <formula>1.2</formula>
    </cfRule>
    <cfRule type="cellIs" dxfId="913" priority="1359" operator="lessThan">
      <formula>0.8</formula>
    </cfRule>
    <cfRule type="cellIs" dxfId="912" priority="1360" operator="greaterThanOrEqual">
      <formula>1.2</formula>
    </cfRule>
  </conditionalFormatting>
  <conditionalFormatting sqref="I5282:I5305">
    <cfRule type="colorScale" priority="1356">
      <colorScale>
        <cfvo type="min"/>
        <cfvo type="percentile" val="50"/>
        <cfvo type="max"/>
        <color rgb="FF63BE7B"/>
        <color rgb="FFFFEB84"/>
        <color rgb="FFF8696B"/>
      </colorScale>
    </cfRule>
  </conditionalFormatting>
  <conditionalFormatting sqref="K5283:K5305">
    <cfRule type="colorScale" priority="1355">
      <colorScale>
        <cfvo type="min"/>
        <cfvo type="percentile" val="50"/>
        <cfvo type="max"/>
        <color rgb="FF63BE7B"/>
        <color rgb="FFFFEB84"/>
        <color rgb="FFF8696B"/>
      </colorScale>
    </cfRule>
  </conditionalFormatting>
  <conditionalFormatting sqref="K5282:K5305">
    <cfRule type="colorScale" priority="1354">
      <colorScale>
        <cfvo type="min"/>
        <cfvo type="percentile" val="50"/>
        <cfvo type="max"/>
        <color rgb="FF63BE7B"/>
        <color rgb="FFFFEB84"/>
        <color rgb="FFF8696B"/>
      </colorScale>
    </cfRule>
  </conditionalFormatting>
  <conditionalFormatting sqref="G5258:G5281">
    <cfRule type="cellIs" dxfId="911" priority="1349" operator="between">
      <formula>49</formula>
      <formula>149</formula>
    </cfRule>
    <cfRule type="cellIs" dxfId="910" priority="1352" operator="lessThan">
      <formula>49</formula>
    </cfRule>
    <cfRule type="cellIs" dxfId="909" priority="1353" operator="greaterThanOrEqual">
      <formula>150</formula>
    </cfRule>
  </conditionalFormatting>
  <conditionalFormatting sqref="H5258:H5281">
    <cfRule type="cellIs" dxfId="908" priority="1348" operator="between">
      <formula>0.8</formula>
      <formula>1.2</formula>
    </cfRule>
    <cfRule type="cellIs" dxfId="907" priority="1350" operator="lessThan">
      <formula>0.8</formula>
    </cfRule>
    <cfRule type="cellIs" dxfId="906" priority="1351" operator="greaterThanOrEqual">
      <formula>1.2</formula>
    </cfRule>
  </conditionalFormatting>
  <conditionalFormatting sqref="I5258:I5281">
    <cfRule type="colorScale" priority="1347">
      <colorScale>
        <cfvo type="min"/>
        <cfvo type="percentile" val="50"/>
        <cfvo type="max"/>
        <color rgb="FF63BE7B"/>
        <color rgb="FFFFEB84"/>
        <color rgb="FFF8696B"/>
      </colorScale>
    </cfRule>
  </conditionalFormatting>
  <conditionalFormatting sqref="K5259:K5281">
    <cfRule type="colorScale" priority="1346">
      <colorScale>
        <cfvo type="min"/>
        <cfvo type="percentile" val="50"/>
        <cfvo type="max"/>
        <color rgb="FF63BE7B"/>
        <color rgb="FFFFEB84"/>
        <color rgb="FFF8696B"/>
      </colorScale>
    </cfRule>
  </conditionalFormatting>
  <conditionalFormatting sqref="K5258:K5281">
    <cfRule type="colorScale" priority="1345">
      <colorScale>
        <cfvo type="min"/>
        <cfvo type="percentile" val="50"/>
        <cfvo type="max"/>
        <color rgb="FF63BE7B"/>
        <color rgb="FFFFEB84"/>
        <color rgb="FFF8696B"/>
      </colorScale>
    </cfRule>
  </conditionalFormatting>
  <conditionalFormatting sqref="G5234:G5257">
    <cfRule type="cellIs" dxfId="905" priority="1340" operator="between">
      <formula>49</formula>
      <formula>149</formula>
    </cfRule>
    <cfRule type="cellIs" dxfId="904" priority="1343" operator="lessThan">
      <formula>49</formula>
    </cfRule>
    <cfRule type="cellIs" dxfId="903" priority="1344" operator="greaterThanOrEqual">
      <formula>150</formula>
    </cfRule>
  </conditionalFormatting>
  <conditionalFormatting sqref="H5234:H5257">
    <cfRule type="cellIs" dxfId="902" priority="1339" operator="between">
      <formula>0.8</formula>
      <formula>1.2</formula>
    </cfRule>
    <cfRule type="cellIs" dxfId="901" priority="1341" operator="lessThan">
      <formula>0.8</formula>
    </cfRule>
    <cfRule type="cellIs" dxfId="900" priority="1342" operator="greaterThanOrEqual">
      <formula>1.2</formula>
    </cfRule>
  </conditionalFormatting>
  <conditionalFormatting sqref="I5234:I5257">
    <cfRule type="colorScale" priority="1338">
      <colorScale>
        <cfvo type="min"/>
        <cfvo type="percentile" val="50"/>
        <cfvo type="max"/>
        <color rgb="FF63BE7B"/>
        <color rgb="FFFFEB84"/>
        <color rgb="FFF8696B"/>
      </colorScale>
    </cfRule>
  </conditionalFormatting>
  <conditionalFormatting sqref="K5235:K5257">
    <cfRule type="colorScale" priority="1337">
      <colorScale>
        <cfvo type="min"/>
        <cfvo type="percentile" val="50"/>
        <cfvo type="max"/>
        <color rgb="FF63BE7B"/>
        <color rgb="FFFFEB84"/>
        <color rgb="FFF8696B"/>
      </colorScale>
    </cfRule>
  </conditionalFormatting>
  <conditionalFormatting sqref="K5234:K5257">
    <cfRule type="colorScale" priority="1336">
      <colorScale>
        <cfvo type="min"/>
        <cfvo type="percentile" val="50"/>
        <cfvo type="max"/>
        <color rgb="FF63BE7B"/>
        <color rgb="FFFFEB84"/>
        <color rgb="FFF8696B"/>
      </colorScale>
    </cfRule>
  </conditionalFormatting>
  <conditionalFormatting sqref="G5210:G5233">
    <cfRule type="cellIs" dxfId="899" priority="1331" operator="between">
      <formula>49</formula>
      <formula>149</formula>
    </cfRule>
    <cfRule type="cellIs" dxfId="898" priority="1334" operator="lessThan">
      <formula>49</formula>
    </cfRule>
    <cfRule type="cellIs" dxfId="897" priority="1335" operator="greaterThanOrEqual">
      <formula>150</formula>
    </cfRule>
  </conditionalFormatting>
  <conditionalFormatting sqref="H5210:H5233">
    <cfRule type="cellIs" dxfId="896" priority="1330" operator="between">
      <formula>0.8</formula>
      <formula>1.2</formula>
    </cfRule>
    <cfRule type="cellIs" dxfId="895" priority="1332" operator="lessThan">
      <formula>0.8</formula>
    </cfRule>
    <cfRule type="cellIs" dxfId="894" priority="1333" operator="greaterThanOrEqual">
      <formula>1.2</formula>
    </cfRule>
  </conditionalFormatting>
  <conditionalFormatting sqref="I5210:I5233">
    <cfRule type="colorScale" priority="1329">
      <colorScale>
        <cfvo type="min"/>
        <cfvo type="percentile" val="50"/>
        <cfvo type="max"/>
        <color rgb="FF63BE7B"/>
        <color rgb="FFFFEB84"/>
        <color rgb="FFF8696B"/>
      </colorScale>
    </cfRule>
  </conditionalFormatting>
  <conditionalFormatting sqref="K5211:K5233">
    <cfRule type="colorScale" priority="1328">
      <colorScale>
        <cfvo type="min"/>
        <cfvo type="percentile" val="50"/>
        <cfvo type="max"/>
        <color rgb="FF63BE7B"/>
        <color rgb="FFFFEB84"/>
        <color rgb="FFF8696B"/>
      </colorScale>
    </cfRule>
  </conditionalFormatting>
  <conditionalFormatting sqref="K5210:K5233">
    <cfRule type="colorScale" priority="1327">
      <colorScale>
        <cfvo type="min"/>
        <cfvo type="percentile" val="50"/>
        <cfvo type="max"/>
        <color rgb="FF63BE7B"/>
        <color rgb="FFFFEB84"/>
        <color rgb="FFF8696B"/>
      </colorScale>
    </cfRule>
  </conditionalFormatting>
  <conditionalFormatting sqref="G5186:G5209">
    <cfRule type="cellIs" dxfId="893" priority="1322" operator="between">
      <formula>49</formula>
      <formula>149</formula>
    </cfRule>
    <cfRule type="cellIs" dxfId="892" priority="1325" operator="lessThan">
      <formula>49</formula>
    </cfRule>
    <cfRule type="cellIs" dxfId="891" priority="1326" operator="greaterThanOrEqual">
      <formula>150</formula>
    </cfRule>
  </conditionalFormatting>
  <conditionalFormatting sqref="H5186:H5209">
    <cfRule type="cellIs" dxfId="890" priority="1321" operator="between">
      <formula>0.8</formula>
      <formula>1.2</formula>
    </cfRule>
    <cfRule type="cellIs" dxfId="889" priority="1323" operator="lessThan">
      <formula>0.8</formula>
    </cfRule>
    <cfRule type="cellIs" dxfId="888" priority="1324" operator="greaterThanOrEqual">
      <formula>1.2</formula>
    </cfRule>
  </conditionalFormatting>
  <conditionalFormatting sqref="I5186:I5209">
    <cfRule type="colorScale" priority="1320">
      <colorScale>
        <cfvo type="min"/>
        <cfvo type="percentile" val="50"/>
        <cfvo type="max"/>
        <color rgb="FF63BE7B"/>
        <color rgb="FFFFEB84"/>
        <color rgb="FFF8696B"/>
      </colorScale>
    </cfRule>
  </conditionalFormatting>
  <conditionalFormatting sqref="K5187:K5209">
    <cfRule type="colorScale" priority="1319">
      <colorScale>
        <cfvo type="min"/>
        <cfvo type="percentile" val="50"/>
        <cfvo type="max"/>
        <color rgb="FF63BE7B"/>
        <color rgb="FFFFEB84"/>
        <color rgb="FFF8696B"/>
      </colorScale>
    </cfRule>
  </conditionalFormatting>
  <conditionalFormatting sqref="K5186:K5209">
    <cfRule type="colorScale" priority="1318">
      <colorScale>
        <cfvo type="min"/>
        <cfvo type="percentile" val="50"/>
        <cfvo type="max"/>
        <color rgb="FF63BE7B"/>
        <color rgb="FFFFEB84"/>
        <color rgb="FFF8696B"/>
      </colorScale>
    </cfRule>
  </conditionalFormatting>
  <conditionalFormatting sqref="G5162:G5185">
    <cfRule type="cellIs" dxfId="887" priority="1313" operator="between">
      <formula>49</formula>
      <formula>149</formula>
    </cfRule>
    <cfRule type="cellIs" dxfId="886" priority="1316" operator="lessThan">
      <formula>49</formula>
    </cfRule>
    <cfRule type="cellIs" dxfId="885" priority="1317" operator="greaterThanOrEqual">
      <formula>150</formula>
    </cfRule>
  </conditionalFormatting>
  <conditionalFormatting sqref="H5162:H5185">
    <cfRule type="cellIs" dxfId="884" priority="1312" operator="between">
      <formula>0.8</formula>
      <formula>1.2</formula>
    </cfRule>
    <cfRule type="cellIs" dxfId="883" priority="1314" operator="lessThan">
      <formula>0.8</formula>
    </cfRule>
    <cfRule type="cellIs" dxfId="882" priority="1315" operator="greaterThanOrEqual">
      <formula>1.2</formula>
    </cfRule>
  </conditionalFormatting>
  <conditionalFormatting sqref="I5162:I5185">
    <cfRule type="colorScale" priority="1311">
      <colorScale>
        <cfvo type="min"/>
        <cfvo type="percentile" val="50"/>
        <cfvo type="max"/>
        <color rgb="FF63BE7B"/>
        <color rgb="FFFFEB84"/>
        <color rgb="FFF8696B"/>
      </colorScale>
    </cfRule>
  </conditionalFormatting>
  <conditionalFormatting sqref="K5163:K5185">
    <cfRule type="colorScale" priority="1310">
      <colorScale>
        <cfvo type="min"/>
        <cfvo type="percentile" val="50"/>
        <cfvo type="max"/>
        <color rgb="FF63BE7B"/>
        <color rgb="FFFFEB84"/>
        <color rgb="FFF8696B"/>
      </colorScale>
    </cfRule>
  </conditionalFormatting>
  <conditionalFormatting sqref="K5162:K5185">
    <cfRule type="colorScale" priority="1309">
      <colorScale>
        <cfvo type="min"/>
        <cfvo type="percentile" val="50"/>
        <cfvo type="max"/>
        <color rgb="FF63BE7B"/>
        <color rgb="FFFFEB84"/>
        <color rgb="FFF8696B"/>
      </colorScale>
    </cfRule>
  </conditionalFormatting>
  <conditionalFormatting sqref="G5138:G5161">
    <cfRule type="cellIs" dxfId="881" priority="1304" operator="between">
      <formula>49</formula>
      <formula>149</formula>
    </cfRule>
    <cfRule type="cellIs" dxfId="880" priority="1307" operator="lessThan">
      <formula>49</formula>
    </cfRule>
    <cfRule type="cellIs" dxfId="879" priority="1308" operator="greaterThanOrEqual">
      <formula>150</formula>
    </cfRule>
  </conditionalFormatting>
  <conditionalFormatting sqref="H5138:H5161">
    <cfRule type="cellIs" dxfId="878" priority="1303" operator="between">
      <formula>0.8</formula>
      <formula>1.2</formula>
    </cfRule>
    <cfRule type="cellIs" dxfId="877" priority="1305" operator="lessThan">
      <formula>0.8</formula>
    </cfRule>
    <cfRule type="cellIs" dxfId="876" priority="1306" operator="greaterThanOrEqual">
      <formula>1.2</formula>
    </cfRule>
  </conditionalFormatting>
  <conditionalFormatting sqref="I5138:I5161">
    <cfRule type="colorScale" priority="1302">
      <colorScale>
        <cfvo type="min"/>
        <cfvo type="percentile" val="50"/>
        <cfvo type="max"/>
        <color rgb="FF63BE7B"/>
        <color rgb="FFFFEB84"/>
        <color rgb="FFF8696B"/>
      </colorScale>
    </cfRule>
  </conditionalFormatting>
  <conditionalFormatting sqref="K5139:K5161">
    <cfRule type="colorScale" priority="1301">
      <colorScale>
        <cfvo type="min"/>
        <cfvo type="percentile" val="50"/>
        <cfvo type="max"/>
        <color rgb="FF63BE7B"/>
        <color rgb="FFFFEB84"/>
        <color rgb="FFF8696B"/>
      </colorScale>
    </cfRule>
  </conditionalFormatting>
  <conditionalFormatting sqref="K5138:K5161">
    <cfRule type="colorScale" priority="1300">
      <colorScale>
        <cfvo type="min"/>
        <cfvo type="percentile" val="50"/>
        <cfvo type="max"/>
        <color rgb="FF63BE7B"/>
        <color rgb="FFFFEB84"/>
        <color rgb="FFF8696B"/>
      </colorScale>
    </cfRule>
  </conditionalFormatting>
  <conditionalFormatting sqref="G5114:G5137">
    <cfRule type="cellIs" dxfId="875" priority="1295" operator="between">
      <formula>49</formula>
      <formula>149</formula>
    </cfRule>
    <cfRule type="cellIs" dxfId="874" priority="1298" operator="lessThan">
      <formula>49</formula>
    </cfRule>
    <cfRule type="cellIs" dxfId="873" priority="1299" operator="greaterThanOrEqual">
      <formula>150</formula>
    </cfRule>
  </conditionalFormatting>
  <conditionalFormatting sqref="H5114:H5137">
    <cfRule type="cellIs" dxfId="872" priority="1294" operator="between">
      <formula>0.8</formula>
      <formula>1.2</formula>
    </cfRule>
    <cfRule type="cellIs" dxfId="871" priority="1296" operator="lessThan">
      <formula>0.8</formula>
    </cfRule>
    <cfRule type="cellIs" dxfId="870" priority="1297" operator="greaterThanOrEqual">
      <formula>1.2</formula>
    </cfRule>
  </conditionalFormatting>
  <conditionalFormatting sqref="I5114:I5137">
    <cfRule type="colorScale" priority="1293">
      <colorScale>
        <cfvo type="min"/>
        <cfvo type="percentile" val="50"/>
        <cfvo type="max"/>
        <color rgb="FF63BE7B"/>
        <color rgb="FFFFEB84"/>
        <color rgb="FFF8696B"/>
      </colorScale>
    </cfRule>
  </conditionalFormatting>
  <conditionalFormatting sqref="K5115:K5137">
    <cfRule type="colorScale" priority="1292">
      <colorScale>
        <cfvo type="min"/>
        <cfvo type="percentile" val="50"/>
        <cfvo type="max"/>
        <color rgb="FF63BE7B"/>
        <color rgb="FFFFEB84"/>
        <color rgb="FFF8696B"/>
      </colorScale>
    </cfRule>
  </conditionalFormatting>
  <conditionalFormatting sqref="K5114:K5137">
    <cfRule type="colorScale" priority="1291">
      <colorScale>
        <cfvo type="min"/>
        <cfvo type="percentile" val="50"/>
        <cfvo type="max"/>
        <color rgb="FF63BE7B"/>
        <color rgb="FFFFEB84"/>
        <color rgb="FFF8696B"/>
      </colorScale>
    </cfRule>
  </conditionalFormatting>
  <conditionalFormatting sqref="G5090:G5113">
    <cfRule type="cellIs" dxfId="869" priority="1286" operator="between">
      <formula>49</formula>
      <formula>149</formula>
    </cfRule>
    <cfRule type="cellIs" dxfId="868" priority="1289" operator="lessThan">
      <formula>49</formula>
    </cfRule>
    <cfRule type="cellIs" dxfId="867" priority="1290" operator="greaterThanOrEqual">
      <formula>150</formula>
    </cfRule>
  </conditionalFormatting>
  <conditionalFormatting sqref="H5090:H5113">
    <cfRule type="cellIs" dxfId="866" priority="1285" operator="between">
      <formula>0.8</formula>
      <formula>1.2</formula>
    </cfRule>
    <cfRule type="cellIs" dxfId="865" priority="1287" operator="lessThan">
      <formula>0.8</formula>
    </cfRule>
    <cfRule type="cellIs" dxfId="864" priority="1288" operator="greaterThanOrEqual">
      <formula>1.2</formula>
    </cfRule>
  </conditionalFormatting>
  <conditionalFormatting sqref="I5090:I5113">
    <cfRule type="colorScale" priority="1284">
      <colorScale>
        <cfvo type="min"/>
        <cfvo type="percentile" val="50"/>
        <cfvo type="max"/>
        <color rgb="FF63BE7B"/>
        <color rgb="FFFFEB84"/>
        <color rgb="FFF8696B"/>
      </colorScale>
    </cfRule>
  </conditionalFormatting>
  <conditionalFormatting sqref="K5091:K5113">
    <cfRule type="colorScale" priority="1283">
      <colorScale>
        <cfvo type="min"/>
        <cfvo type="percentile" val="50"/>
        <cfvo type="max"/>
        <color rgb="FF63BE7B"/>
        <color rgb="FFFFEB84"/>
        <color rgb="FFF8696B"/>
      </colorScale>
    </cfRule>
  </conditionalFormatting>
  <conditionalFormatting sqref="K5090:K5113">
    <cfRule type="colorScale" priority="1282">
      <colorScale>
        <cfvo type="min"/>
        <cfvo type="percentile" val="50"/>
        <cfvo type="max"/>
        <color rgb="FF63BE7B"/>
        <color rgb="FFFFEB84"/>
        <color rgb="FFF8696B"/>
      </colorScale>
    </cfRule>
  </conditionalFormatting>
  <conditionalFormatting sqref="G5066:G5089">
    <cfRule type="cellIs" dxfId="863" priority="1277" operator="between">
      <formula>49</formula>
      <formula>149</formula>
    </cfRule>
    <cfRule type="cellIs" dxfId="862" priority="1280" operator="lessThan">
      <formula>49</formula>
    </cfRule>
    <cfRule type="cellIs" dxfId="861" priority="1281" operator="greaterThanOrEqual">
      <formula>150</formula>
    </cfRule>
  </conditionalFormatting>
  <conditionalFormatting sqref="H5066:H5089">
    <cfRule type="cellIs" dxfId="860" priority="1276" operator="between">
      <formula>0.8</formula>
      <formula>1.2</formula>
    </cfRule>
    <cfRule type="cellIs" dxfId="859" priority="1278" operator="lessThan">
      <formula>0.8</formula>
    </cfRule>
    <cfRule type="cellIs" dxfId="858" priority="1279" operator="greaterThanOrEqual">
      <formula>1.2</formula>
    </cfRule>
  </conditionalFormatting>
  <conditionalFormatting sqref="I5066:I5089">
    <cfRule type="colorScale" priority="1275">
      <colorScale>
        <cfvo type="min"/>
        <cfvo type="percentile" val="50"/>
        <cfvo type="max"/>
        <color rgb="FF63BE7B"/>
        <color rgb="FFFFEB84"/>
        <color rgb="FFF8696B"/>
      </colorScale>
    </cfRule>
  </conditionalFormatting>
  <conditionalFormatting sqref="K5067:K5089">
    <cfRule type="colorScale" priority="1274">
      <colorScale>
        <cfvo type="min"/>
        <cfvo type="percentile" val="50"/>
        <cfvo type="max"/>
        <color rgb="FF63BE7B"/>
        <color rgb="FFFFEB84"/>
        <color rgb="FFF8696B"/>
      </colorScale>
    </cfRule>
  </conditionalFormatting>
  <conditionalFormatting sqref="K5066:K5089">
    <cfRule type="colorScale" priority="1273">
      <colorScale>
        <cfvo type="min"/>
        <cfvo type="percentile" val="50"/>
        <cfvo type="max"/>
        <color rgb="FF63BE7B"/>
        <color rgb="FFFFEB84"/>
        <color rgb="FFF8696B"/>
      </colorScale>
    </cfRule>
  </conditionalFormatting>
  <conditionalFormatting sqref="G5042:G5065">
    <cfRule type="cellIs" dxfId="857" priority="1268" operator="between">
      <formula>49</formula>
      <formula>149</formula>
    </cfRule>
    <cfRule type="cellIs" dxfId="856" priority="1271" operator="lessThan">
      <formula>49</formula>
    </cfRule>
    <cfRule type="cellIs" dxfId="855" priority="1272" operator="greaterThanOrEqual">
      <formula>150</formula>
    </cfRule>
  </conditionalFormatting>
  <conditionalFormatting sqref="H5042:H5065">
    <cfRule type="cellIs" dxfId="854" priority="1267" operator="between">
      <formula>0.8</formula>
      <formula>1.2</formula>
    </cfRule>
    <cfRule type="cellIs" dxfId="853" priority="1269" operator="lessThan">
      <formula>0.8</formula>
    </cfRule>
    <cfRule type="cellIs" dxfId="852" priority="1270" operator="greaterThanOrEqual">
      <formula>1.2</formula>
    </cfRule>
  </conditionalFormatting>
  <conditionalFormatting sqref="I5042:I5065">
    <cfRule type="colorScale" priority="1266">
      <colorScale>
        <cfvo type="min"/>
        <cfvo type="percentile" val="50"/>
        <cfvo type="max"/>
        <color rgb="FF63BE7B"/>
        <color rgb="FFFFEB84"/>
        <color rgb="FFF8696B"/>
      </colorScale>
    </cfRule>
  </conditionalFormatting>
  <conditionalFormatting sqref="K5043:K5065">
    <cfRule type="colorScale" priority="1265">
      <colorScale>
        <cfvo type="min"/>
        <cfvo type="percentile" val="50"/>
        <cfvo type="max"/>
        <color rgb="FF63BE7B"/>
        <color rgb="FFFFEB84"/>
        <color rgb="FFF8696B"/>
      </colorScale>
    </cfRule>
  </conditionalFormatting>
  <conditionalFormatting sqref="K5042:K5065">
    <cfRule type="colorScale" priority="1264">
      <colorScale>
        <cfvo type="min"/>
        <cfvo type="percentile" val="50"/>
        <cfvo type="max"/>
        <color rgb="FF63BE7B"/>
        <color rgb="FFFFEB84"/>
        <color rgb="FFF8696B"/>
      </colorScale>
    </cfRule>
  </conditionalFormatting>
  <conditionalFormatting sqref="G5018:G5041">
    <cfRule type="cellIs" dxfId="851" priority="1259" operator="between">
      <formula>49</formula>
      <formula>149</formula>
    </cfRule>
    <cfRule type="cellIs" dxfId="850" priority="1262" operator="lessThan">
      <formula>49</formula>
    </cfRule>
    <cfRule type="cellIs" dxfId="849" priority="1263" operator="greaterThanOrEqual">
      <formula>150</formula>
    </cfRule>
  </conditionalFormatting>
  <conditionalFormatting sqref="H5018:H5041">
    <cfRule type="cellIs" dxfId="848" priority="1258" operator="between">
      <formula>0.8</formula>
      <formula>1.2</formula>
    </cfRule>
    <cfRule type="cellIs" dxfId="847" priority="1260" operator="lessThan">
      <formula>0.8</formula>
    </cfRule>
    <cfRule type="cellIs" dxfId="846" priority="1261" operator="greaterThanOrEqual">
      <formula>1.2</formula>
    </cfRule>
  </conditionalFormatting>
  <conditionalFormatting sqref="I5018:I5041">
    <cfRule type="colorScale" priority="1257">
      <colorScale>
        <cfvo type="min"/>
        <cfvo type="percentile" val="50"/>
        <cfvo type="max"/>
        <color rgb="FF63BE7B"/>
        <color rgb="FFFFEB84"/>
        <color rgb="FFF8696B"/>
      </colorScale>
    </cfRule>
  </conditionalFormatting>
  <conditionalFormatting sqref="K5019:K5041">
    <cfRule type="colorScale" priority="1256">
      <colorScale>
        <cfvo type="min"/>
        <cfvo type="percentile" val="50"/>
        <cfvo type="max"/>
        <color rgb="FF63BE7B"/>
        <color rgb="FFFFEB84"/>
        <color rgb="FFF8696B"/>
      </colorScale>
    </cfRule>
  </conditionalFormatting>
  <conditionalFormatting sqref="K5018:K5041">
    <cfRule type="colorScale" priority="1255">
      <colorScale>
        <cfvo type="min"/>
        <cfvo type="percentile" val="50"/>
        <cfvo type="max"/>
        <color rgb="FF63BE7B"/>
        <color rgb="FFFFEB84"/>
        <color rgb="FFF8696B"/>
      </colorScale>
    </cfRule>
  </conditionalFormatting>
  <conditionalFormatting sqref="G4994:G5017">
    <cfRule type="cellIs" dxfId="845" priority="1250" operator="between">
      <formula>49</formula>
      <formula>149</formula>
    </cfRule>
    <cfRule type="cellIs" dxfId="844" priority="1253" operator="lessThan">
      <formula>49</formula>
    </cfRule>
    <cfRule type="cellIs" dxfId="843" priority="1254" operator="greaterThanOrEqual">
      <formula>150</formula>
    </cfRule>
  </conditionalFormatting>
  <conditionalFormatting sqref="H4994:H5017">
    <cfRule type="cellIs" dxfId="842" priority="1249" operator="between">
      <formula>0.8</formula>
      <formula>1.2</formula>
    </cfRule>
    <cfRule type="cellIs" dxfId="841" priority="1251" operator="lessThan">
      <formula>0.8</formula>
    </cfRule>
    <cfRule type="cellIs" dxfId="840" priority="1252" operator="greaterThanOrEqual">
      <formula>1.2</formula>
    </cfRule>
  </conditionalFormatting>
  <conditionalFormatting sqref="I4994:I5017">
    <cfRule type="colorScale" priority="1248">
      <colorScale>
        <cfvo type="min"/>
        <cfvo type="percentile" val="50"/>
        <cfvo type="max"/>
        <color rgb="FF63BE7B"/>
        <color rgb="FFFFEB84"/>
        <color rgb="FFF8696B"/>
      </colorScale>
    </cfRule>
  </conditionalFormatting>
  <conditionalFormatting sqref="K4995:K5017">
    <cfRule type="colorScale" priority="1247">
      <colorScale>
        <cfvo type="min"/>
        <cfvo type="percentile" val="50"/>
        <cfvo type="max"/>
        <color rgb="FF63BE7B"/>
        <color rgb="FFFFEB84"/>
        <color rgb="FFF8696B"/>
      </colorScale>
    </cfRule>
  </conditionalFormatting>
  <conditionalFormatting sqref="K4994:K5017">
    <cfRule type="colorScale" priority="1246">
      <colorScale>
        <cfvo type="min"/>
        <cfvo type="percentile" val="50"/>
        <cfvo type="max"/>
        <color rgb="FF63BE7B"/>
        <color rgb="FFFFEB84"/>
        <color rgb="FFF8696B"/>
      </colorScale>
    </cfRule>
  </conditionalFormatting>
  <conditionalFormatting sqref="G4970:G4993">
    <cfRule type="cellIs" dxfId="839" priority="1241" operator="between">
      <formula>49</formula>
      <formula>149</formula>
    </cfRule>
    <cfRule type="cellIs" dxfId="838" priority="1244" operator="lessThan">
      <formula>49</formula>
    </cfRule>
    <cfRule type="cellIs" dxfId="837" priority="1245" operator="greaterThanOrEqual">
      <formula>150</formula>
    </cfRule>
  </conditionalFormatting>
  <conditionalFormatting sqref="H4970:H4993">
    <cfRule type="cellIs" dxfId="836" priority="1240" operator="between">
      <formula>0.8</formula>
      <formula>1.2</formula>
    </cfRule>
    <cfRule type="cellIs" dxfId="835" priority="1242" operator="lessThan">
      <formula>0.8</formula>
    </cfRule>
    <cfRule type="cellIs" dxfId="834" priority="1243" operator="greaterThanOrEqual">
      <formula>1.2</formula>
    </cfRule>
  </conditionalFormatting>
  <conditionalFormatting sqref="I4970:I4993">
    <cfRule type="colorScale" priority="1239">
      <colorScale>
        <cfvo type="min"/>
        <cfvo type="percentile" val="50"/>
        <cfvo type="max"/>
        <color rgb="FF63BE7B"/>
        <color rgb="FFFFEB84"/>
        <color rgb="FFF8696B"/>
      </colorScale>
    </cfRule>
  </conditionalFormatting>
  <conditionalFormatting sqref="K4971:K4993">
    <cfRule type="colorScale" priority="1238">
      <colorScale>
        <cfvo type="min"/>
        <cfvo type="percentile" val="50"/>
        <cfvo type="max"/>
        <color rgb="FF63BE7B"/>
        <color rgb="FFFFEB84"/>
        <color rgb="FFF8696B"/>
      </colorScale>
    </cfRule>
  </conditionalFormatting>
  <conditionalFormatting sqref="K4970:K4993">
    <cfRule type="colorScale" priority="1237">
      <colorScale>
        <cfvo type="min"/>
        <cfvo type="percentile" val="50"/>
        <cfvo type="max"/>
        <color rgb="FF63BE7B"/>
        <color rgb="FFFFEB84"/>
        <color rgb="FFF8696B"/>
      </colorScale>
    </cfRule>
  </conditionalFormatting>
  <conditionalFormatting sqref="G4946:G4969">
    <cfRule type="cellIs" dxfId="833" priority="1232" operator="between">
      <formula>49</formula>
      <formula>149</formula>
    </cfRule>
    <cfRule type="cellIs" dxfId="832" priority="1235" operator="lessThan">
      <formula>49</formula>
    </cfRule>
    <cfRule type="cellIs" dxfId="831" priority="1236" operator="greaterThanOrEqual">
      <formula>150</formula>
    </cfRule>
  </conditionalFormatting>
  <conditionalFormatting sqref="H4946:H4969">
    <cfRule type="cellIs" dxfId="830" priority="1231" operator="between">
      <formula>0.8</formula>
      <formula>1.2</formula>
    </cfRule>
    <cfRule type="cellIs" dxfId="829" priority="1233" operator="lessThan">
      <formula>0.8</formula>
    </cfRule>
    <cfRule type="cellIs" dxfId="828" priority="1234" operator="greaterThanOrEqual">
      <formula>1.2</formula>
    </cfRule>
  </conditionalFormatting>
  <conditionalFormatting sqref="I4946:I4969">
    <cfRule type="colorScale" priority="1230">
      <colorScale>
        <cfvo type="min"/>
        <cfvo type="percentile" val="50"/>
        <cfvo type="max"/>
        <color rgb="FF63BE7B"/>
        <color rgb="FFFFEB84"/>
        <color rgb="FFF8696B"/>
      </colorScale>
    </cfRule>
  </conditionalFormatting>
  <conditionalFormatting sqref="K4947:K4969">
    <cfRule type="colorScale" priority="1229">
      <colorScale>
        <cfvo type="min"/>
        <cfvo type="percentile" val="50"/>
        <cfvo type="max"/>
        <color rgb="FF63BE7B"/>
        <color rgb="FFFFEB84"/>
        <color rgb="FFF8696B"/>
      </colorScale>
    </cfRule>
  </conditionalFormatting>
  <conditionalFormatting sqref="K4946:K4969">
    <cfRule type="colorScale" priority="1228">
      <colorScale>
        <cfvo type="min"/>
        <cfvo type="percentile" val="50"/>
        <cfvo type="max"/>
        <color rgb="FF63BE7B"/>
        <color rgb="FFFFEB84"/>
        <color rgb="FFF8696B"/>
      </colorScale>
    </cfRule>
  </conditionalFormatting>
  <conditionalFormatting sqref="G4922:G4945">
    <cfRule type="cellIs" dxfId="827" priority="1223" operator="between">
      <formula>49</formula>
      <formula>149</formula>
    </cfRule>
    <cfRule type="cellIs" dxfId="826" priority="1226" operator="lessThan">
      <formula>49</formula>
    </cfRule>
    <cfRule type="cellIs" dxfId="825" priority="1227" operator="greaterThanOrEqual">
      <formula>150</formula>
    </cfRule>
  </conditionalFormatting>
  <conditionalFormatting sqref="H4922:H4945">
    <cfRule type="cellIs" dxfId="824" priority="1222" operator="between">
      <formula>0.8</formula>
      <formula>1.2</formula>
    </cfRule>
    <cfRule type="cellIs" dxfId="823" priority="1224" operator="lessThan">
      <formula>0.8</formula>
    </cfRule>
    <cfRule type="cellIs" dxfId="822" priority="1225" operator="greaterThanOrEqual">
      <formula>1.2</formula>
    </cfRule>
  </conditionalFormatting>
  <conditionalFormatting sqref="I4922:I4945">
    <cfRule type="colorScale" priority="1221">
      <colorScale>
        <cfvo type="min"/>
        <cfvo type="percentile" val="50"/>
        <cfvo type="max"/>
        <color rgb="FF63BE7B"/>
        <color rgb="FFFFEB84"/>
        <color rgb="FFF8696B"/>
      </colorScale>
    </cfRule>
  </conditionalFormatting>
  <conditionalFormatting sqref="K4923:K4945">
    <cfRule type="colorScale" priority="1220">
      <colorScale>
        <cfvo type="min"/>
        <cfvo type="percentile" val="50"/>
        <cfvo type="max"/>
        <color rgb="FF63BE7B"/>
        <color rgb="FFFFEB84"/>
        <color rgb="FFF8696B"/>
      </colorScale>
    </cfRule>
  </conditionalFormatting>
  <conditionalFormatting sqref="K4922:K4945">
    <cfRule type="colorScale" priority="1219">
      <colorScale>
        <cfvo type="min"/>
        <cfvo type="percentile" val="50"/>
        <cfvo type="max"/>
        <color rgb="FF63BE7B"/>
        <color rgb="FFFFEB84"/>
        <color rgb="FFF8696B"/>
      </colorScale>
    </cfRule>
  </conditionalFormatting>
  <conditionalFormatting sqref="G4898:G4921">
    <cfRule type="cellIs" dxfId="821" priority="1214" operator="between">
      <formula>49</formula>
      <formula>149</formula>
    </cfRule>
    <cfRule type="cellIs" dxfId="820" priority="1217" operator="lessThan">
      <formula>49</formula>
    </cfRule>
    <cfRule type="cellIs" dxfId="819" priority="1218" operator="greaterThanOrEqual">
      <formula>150</formula>
    </cfRule>
  </conditionalFormatting>
  <conditionalFormatting sqref="H4898:H4921">
    <cfRule type="cellIs" dxfId="818" priority="1213" operator="between">
      <formula>0.8</formula>
      <formula>1.2</formula>
    </cfRule>
    <cfRule type="cellIs" dxfId="817" priority="1215" operator="lessThan">
      <formula>0.8</formula>
    </cfRule>
    <cfRule type="cellIs" dxfId="816" priority="1216" operator="greaterThanOrEqual">
      <formula>1.2</formula>
    </cfRule>
  </conditionalFormatting>
  <conditionalFormatting sqref="I4898:I4921">
    <cfRule type="colorScale" priority="1212">
      <colorScale>
        <cfvo type="min"/>
        <cfvo type="percentile" val="50"/>
        <cfvo type="max"/>
        <color rgb="FF63BE7B"/>
        <color rgb="FFFFEB84"/>
        <color rgb="FFF8696B"/>
      </colorScale>
    </cfRule>
  </conditionalFormatting>
  <conditionalFormatting sqref="K4899:K4921">
    <cfRule type="colorScale" priority="1211">
      <colorScale>
        <cfvo type="min"/>
        <cfvo type="percentile" val="50"/>
        <cfvo type="max"/>
        <color rgb="FF63BE7B"/>
        <color rgb="FFFFEB84"/>
        <color rgb="FFF8696B"/>
      </colorScale>
    </cfRule>
  </conditionalFormatting>
  <conditionalFormatting sqref="K4898:K4921">
    <cfRule type="colorScale" priority="1210">
      <colorScale>
        <cfvo type="min"/>
        <cfvo type="percentile" val="50"/>
        <cfvo type="max"/>
        <color rgb="FF63BE7B"/>
        <color rgb="FFFFEB84"/>
        <color rgb="FFF8696B"/>
      </colorScale>
    </cfRule>
  </conditionalFormatting>
  <conditionalFormatting sqref="G4874:G4897">
    <cfRule type="cellIs" dxfId="815" priority="1205" operator="between">
      <formula>49</formula>
      <formula>149</formula>
    </cfRule>
    <cfRule type="cellIs" dxfId="814" priority="1208" operator="lessThan">
      <formula>49</formula>
    </cfRule>
    <cfRule type="cellIs" dxfId="813" priority="1209" operator="greaterThanOrEqual">
      <formula>150</formula>
    </cfRule>
  </conditionalFormatting>
  <conditionalFormatting sqref="H4874:H4897">
    <cfRule type="cellIs" dxfId="812" priority="1204" operator="between">
      <formula>0.8</formula>
      <formula>1.2</formula>
    </cfRule>
    <cfRule type="cellIs" dxfId="811" priority="1206" operator="lessThan">
      <formula>0.8</formula>
    </cfRule>
    <cfRule type="cellIs" dxfId="810" priority="1207" operator="greaterThanOrEqual">
      <formula>1.2</formula>
    </cfRule>
  </conditionalFormatting>
  <conditionalFormatting sqref="I4874:I4897">
    <cfRule type="colorScale" priority="1203">
      <colorScale>
        <cfvo type="min"/>
        <cfvo type="percentile" val="50"/>
        <cfvo type="max"/>
        <color rgb="FF63BE7B"/>
        <color rgb="FFFFEB84"/>
        <color rgb="FFF8696B"/>
      </colorScale>
    </cfRule>
  </conditionalFormatting>
  <conditionalFormatting sqref="K4875:K4897">
    <cfRule type="colorScale" priority="1202">
      <colorScale>
        <cfvo type="min"/>
        <cfvo type="percentile" val="50"/>
        <cfvo type="max"/>
        <color rgb="FF63BE7B"/>
        <color rgb="FFFFEB84"/>
        <color rgb="FFF8696B"/>
      </colorScale>
    </cfRule>
  </conditionalFormatting>
  <conditionalFormatting sqref="K4874:K4897">
    <cfRule type="colorScale" priority="1201">
      <colorScale>
        <cfvo type="min"/>
        <cfvo type="percentile" val="50"/>
        <cfvo type="max"/>
        <color rgb="FF63BE7B"/>
        <color rgb="FFFFEB84"/>
        <color rgb="FFF8696B"/>
      </colorScale>
    </cfRule>
  </conditionalFormatting>
  <conditionalFormatting sqref="G4850:G4873">
    <cfRule type="cellIs" dxfId="809" priority="1196" operator="between">
      <formula>49</formula>
      <formula>149</formula>
    </cfRule>
    <cfRule type="cellIs" dxfId="808" priority="1199" operator="lessThan">
      <formula>49</formula>
    </cfRule>
    <cfRule type="cellIs" dxfId="807" priority="1200" operator="greaterThanOrEqual">
      <formula>150</formula>
    </cfRule>
  </conditionalFormatting>
  <conditionalFormatting sqref="H4850:H4873">
    <cfRule type="cellIs" dxfId="806" priority="1195" operator="between">
      <formula>0.8</formula>
      <formula>1.2</formula>
    </cfRule>
    <cfRule type="cellIs" dxfId="805" priority="1197" operator="lessThan">
      <formula>0.8</formula>
    </cfRule>
    <cfRule type="cellIs" dxfId="804" priority="1198" operator="greaterThanOrEqual">
      <formula>1.2</formula>
    </cfRule>
  </conditionalFormatting>
  <conditionalFormatting sqref="I4850:I4873">
    <cfRule type="colorScale" priority="1194">
      <colorScale>
        <cfvo type="min"/>
        <cfvo type="percentile" val="50"/>
        <cfvo type="max"/>
        <color rgb="FF63BE7B"/>
        <color rgb="FFFFEB84"/>
        <color rgb="FFF8696B"/>
      </colorScale>
    </cfRule>
  </conditionalFormatting>
  <conditionalFormatting sqref="K4851:K4873">
    <cfRule type="colorScale" priority="1193">
      <colorScale>
        <cfvo type="min"/>
        <cfvo type="percentile" val="50"/>
        <cfvo type="max"/>
        <color rgb="FF63BE7B"/>
        <color rgb="FFFFEB84"/>
        <color rgb="FFF8696B"/>
      </colorScale>
    </cfRule>
  </conditionalFormatting>
  <conditionalFormatting sqref="K4850:K4873">
    <cfRule type="colorScale" priority="1192">
      <colorScale>
        <cfvo type="min"/>
        <cfvo type="percentile" val="50"/>
        <cfvo type="max"/>
        <color rgb="FF63BE7B"/>
        <color rgb="FFFFEB84"/>
        <color rgb="FFF8696B"/>
      </colorScale>
    </cfRule>
  </conditionalFormatting>
  <conditionalFormatting sqref="G4826:G4849">
    <cfRule type="cellIs" dxfId="803" priority="1187" operator="between">
      <formula>49</formula>
      <formula>149</formula>
    </cfRule>
    <cfRule type="cellIs" dxfId="802" priority="1190" operator="lessThan">
      <formula>49</formula>
    </cfRule>
    <cfRule type="cellIs" dxfId="801" priority="1191" operator="greaterThanOrEqual">
      <formula>150</formula>
    </cfRule>
  </conditionalFormatting>
  <conditionalFormatting sqref="H4826:H4849">
    <cfRule type="cellIs" dxfId="800" priority="1186" operator="between">
      <formula>0.8</formula>
      <formula>1.2</formula>
    </cfRule>
    <cfRule type="cellIs" dxfId="799" priority="1188" operator="lessThan">
      <formula>0.8</formula>
    </cfRule>
    <cfRule type="cellIs" dxfId="798" priority="1189" operator="greaterThanOrEqual">
      <formula>1.2</formula>
    </cfRule>
  </conditionalFormatting>
  <conditionalFormatting sqref="I4826:I4849">
    <cfRule type="colorScale" priority="1185">
      <colorScale>
        <cfvo type="min"/>
        <cfvo type="percentile" val="50"/>
        <cfvo type="max"/>
        <color rgb="FF63BE7B"/>
        <color rgb="FFFFEB84"/>
        <color rgb="FFF8696B"/>
      </colorScale>
    </cfRule>
  </conditionalFormatting>
  <conditionalFormatting sqref="K4827:K4849">
    <cfRule type="colorScale" priority="1184">
      <colorScale>
        <cfvo type="min"/>
        <cfvo type="percentile" val="50"/>
        <cfvo type="max"/>
        <color rgb="FF63BE7B"/>
        <color rgb="FFFFEB84"/>
        <color rgb="FFF8696B"/>
      </colorScale>
    </cfRule>
  </conditionalFormatting>
  <conditionalFormatting sqref="K4826:K4849">
    <cfRule type="colorScale" priority="1183">
      <colorScale>
        <cfvo type="min"/>
        <cfvo type="percentile" val="50"/>
        <cfvo type="max"/>
        <color rgb="FF63BE7B"/>
        <color rgb="FFFFEB84"/>
        <color rgb="FFF8696B"/>
      </colorScale>
    </cfRule>
  </conditionalFormatting>
  <conditionalFormatting sqref="G4802:G4825">
    <cfRule type="cellIs" dxfId="797" priority="1178" operator="between">
      <formula>49</formula>
      <formula>149</formula>
    </cfRule>
    <cfRule type="cellIs" dxfId="796" priority="1181" operator="lessThan">
      <formula>49</formula>
    </cfRule>
    <cfRule type="cellIs" dxfId="795" priority="1182" operator="greaterThanOrEqual">
      <formula>150</formula>
    </cfRule>
  </conditionalFormatting>
  <conditionalFormatting sqref="H4802:H4825">
    <cfRule type="cellIs" dxfId="794" priority="1177" operator="between">
      <formula>0.8</formula>
      <formula>1.2</formula>
    </cfRule>
    <cfRule type="cellIs" dxfId="793" priority="1179" operator="lessThan">
      <formula>0.8</formula>
    </cfRule>
    <cfRule type="cellIs" dxfId="792" priority="1180" operator="greaterThanOrEqual">
      <formula>1.2</formula>
    </cfRule>
  </conditionalFormatting>
  <conditionalFormatting sqref="I4802:I4825">
    <cfRule type="colorScale" priority="1176">
      <colorScale>
        <cfvo type="min"/>
        <cfvo type="percentile" val="50"/>
        <cfvo type="max"/>
        <color rgb="FF63BE7B"/>
        <color rgb="FFFFEB84"/>
        <color rgb="FFF8696B"/>
      </colorScale>
    </cfRule>
  </conditionalFormatting>
  <conditionalFormatting sqref="K4803:K4825">
    <cfRule type="colorScale" priority="1175">
      <colorScale>
        <cfvo type="min"/>
        <cfvo type="percentile" val="50"/>
        <cfvo type="max"/>
        <color rgb="FF63BE7B"/>
        <color rgb="FFFFEB84"/>
        <color rgb="FFF8696B"/>
      </colorScale>
    </cfRule>
  </conditionalFormatting>
  <conditionalFormatting sqref="K4802:K4825">
    <cfRule type="colorScale" priority="1174">
      <colorScale>
        <cfvo type="min"/>
        <cfvo type="percentile" val="50"/>
        <cfvo type="max"/>
        <color rgb="FF63BE7B"/>
        <color rgb="FFFFEB84"/>
        <color rgb="FFF8696B"/>
      </colorScale>
    </cfRule>
  </conditionalFormatting>
  <conditionalFormatting sqref="G4778:G4801">
    <cfRule type="cellIs" dxfId="791" priority="1169" operator="between">
      <formula>49</formula>
      <formula>149</formula>
    </cfRule>
    <cfRule type="cellIs" dxfId="790" priority="1172" operator="lessThan">
      <formula>49</formula>
    </cfRule>
    <cfRule type="cellIs" dxfId="789" priority="1173" operator="greaterThanOrEqual">
      <formula>150</formula>
    </cfRule>
  </conditionalFormatting>
  <conditionalFormatting sqref="H4778:H4801">
    <cfRule type="cellIs" dxfId="788" priority="1168" operator="between">
      <formula>0.8</formula>
      <formula>1.2</formula>
    </cfRule>
    <cfRule type="cellIs" dxfId="787" priority="1170" operator="lessThan">
      <formula>0.8</formula>
    </cfRule>
    <cfRule type="cellIs" dxfId="786" priority="1171" operator="greaterThanOrEqual">
      <formula>1.2</formula>
    </cfRule>
  </conditionalFormatting>
  <conditionalFormatting sqref="I4778:I4801">
    <cfRule type="colorScale" priority="1167">
      <colorScale>
        <cfvo type="min"/>
        <cfvo type="percentile" val="50"/>
        <cfvo type="max"/>
        <color rgb="FF63BE7B"/>
        <color rgb="FFFFEB84"/>
        <color rgb="FFF8696B"/>
      </colorScale>
    </cfRule>
  </conditionalFormatting>
  <conditionalFormatting sqref="K4779:K4801">
    <cfRule type="colorScale" priority="1166">
      <colorScale>
        <cfvo type="min"/>
        <cfvo type="percentile" val="50"/>
        <cfvo type="max"/>
        <color rgb="FF63BE7B"/>
        <color rgb="FFFFEB84"/>
        <color rgb="FFF8696B"/>
      </colorScale>
    </cfRule>
  </conditionalFormatting>
  <conditionalFormatting sqref="K4778:K4801">
    <cfRule type="colorScale" priority="1165">
      <colorScale>
        <cfvo type="min"/>
        <cfvo type="percentile" val="50"/>
        <cfvo type="max"/>
        <color rgb="FF63BE7B"/>
        <color rgb="FFFFEB84"/>
        <color rgb="FFF8696B"/>
      </colorScale>
    </cfRule>
  </conditionalFormatting>
  <conditionalFormatting sqref="G4754:G4777">
    <cfRule type="cellIs" dxfId="785" priority="1160" operator="between">
      <formula>49</formula>
      <formula>149</formula>
    </cfRule>
    <cfRule type="cellIs" dxfId="784" priority="1163" operator="lessThan">
      <formula>49</formula>
    </cfRule>
    <cfRule type="cellIs" dxfId="783" priority="1164" operator="greaterThanOrEqual">
      <formula>150</formula>
    </cfRule>
  </conditionalFormatting>
  <conditionalFormatting sqref="H4754:H4777">
    <cfRule type="cellIs" dxfId="782" priority="1159" operator="between">
      <formula>0.8</formula>
      <formula>1.2</formula>
    </cfRule>
    <cfRule type="cellIs" dxfId="781" priority="1161" operator="lessThan">
      <formula>0.8</formula>
    </cfRule>
    <cfRule type="cellIs" dxfId="780" priority="1162" operator="greaterThanOrEqual">
      <formula>1.2</formula>
    </cfRule>
  </conditionalFormatting>
  <conditionalFormatting sqref="I4754:I4777">
    <cfRule type="colorScale" priority="1158">
      <colorScale>
        <cfvo type="min"/>
        <cfvo type="percentile" val="50"/>
        <cfvo type="max"/>
        <color rgb="FF63BE7B"/>
        <color rgb="FFFFEB84"/>
        <color rgb="FFF8696B"/>
      </colorScale>
    </cfRule>
  </conditionalFormatting>
  <conditionalFormatting sqref="K4755:K4777">
    <cfRule type="colorScale" priority="1157">
      <colorScale>
        <cfvo type="min"/>
        <cfvo type="percentile" val="50"/>
        <cfvo type="max"/>
        <color rgb="FF63BE7B"/>
        <color rgb="FFFFEB84"/>
        <color rgb="FFF8696B"/>
      </colorScale>
    </cfRule>
  </conditionalFormatting>
  <conditionalFormatting sqref="K4754:K4777">
    <cfRule type="colorScale" priority="1156">
      <colorScale>
        <cfvo type="min"/>
        <cfvo type="percentile" val="50"/>
        <cfvo type="max"/>
        <color rgb="FF63BE7B"/>
        <color rgb="FFFFEB84"/>
        <color rgb="FFF8696B"/>
      </colorScale>
    </cfRule>
  </conditionalFormatting>
  <conditionalFormatting sqref="G4730:G4753">
    <cfRule type="cellIs" dxfId="779" priority="1151" operator="between">
      <formula>49</formula>
      <formula>149</formula>
    </cfRule>
    <cfRule type="cellIs" dxfId="778" priority="1154" operator="lessThan">
      <formula>49</formula>
    </cfRule>
    <cfRule type="cellIs" dxfId="777" priority="1155" operator="greaterThanOrEqual">
      <formula>150</formula>
    </cfRule>
  </conditionalFormatting>
  <conditionalFormatting sqref="H4730:H4753">
    <cfRule type="cellIs" dxfId="776" priority="1150" operator="between">
      <formula>0.8</formula>
      <formula>1.2</formula>
    </cfRule>
    <cfRule type="cellIs" dxfId="775" priority="1152" operator="lessThan">
      <formula>0.8</formula>
    </cfRule>
    <cfRule type="cellIs" dxfId="774" priority="1153" operator="greaterThanOrEqual">
      <formula>1.2</formula>
    </cfRule>
  </conditionalFormatting>
  <conditionalFormatting sqref="I4730:I4753">
    <cfRule type="colorScale" priority="1149">
      <colorScale>
        <cfvo type="min"/>
        <cfvo type="percentile" val="50"/>
        <cfvo type="max"/>
        <color rgb="FF63BE7B"/>
        <color rgb="FFFFEB84"/>
        <color rgb="FFF8696B"/>
      </colorScale>
    </cfRule>
  </conditionalFormatting>
  <conditionalFormatting sqref="K4731:K4753">
    <cfRule type="colorScale" priority="1148">
      <colorScale>
        <cfvo type="min"/>
        <cfvo type="percentile" val="50"/>
        <cfvo type="max"/>
        <color rgb="FF63BE7B"/>
        <color rgb="FFFFEB84"/>
        <color rgb="FFF8696B"/>
      </colorScale>
    </cfRule>
  </conditionalFormatting>
  <conditionalFormatting sqref="K4730:K4753">
    <cfRule type="colorScale" priority="1147">
      <colorScale>
        <cfvo type="min"/>
        <cfvo type="percentile" val="50"/>
        <cfvo type="max"/>
        <color rgb="FF63BE7B"/>
        <color rgb="FFFFEB84"/>
        <color rgb="FFF8696B"/>
      </colorScale>
    </cfRule>
  </conditionalFormatting>
  <conditionalFormatting sqref="G4706:G4729">
    <cfRule type="cellIs" dxfId="773" priority="1142" operator="between">
      <formula>49</formula>
      <formula>149</formula>
    </cfRule>
    <cfRule type="cellIs" dxfId="772" priority="1145" operator="lessThan">
      <formula>49</formula>
    </cfRule>
    <cfRule type="cellIs" dxfId="771" priority="1146" operator="greaterThanOrEqual">
      <formula>150</formula>
    </cfRule>
  </conditionalFormatting>
  <conditionalFormatting sqref="H4706:H4729">
    <cfRule type="cellIs" dxfId="770" priority="1141" operator="between">
      <formula>0.8</formula>
      <formula>1.2</formula>
    </cfRule>
    <cfRule type="cellIs" dxfId="769" priority="1143" operator="lessThan">
      <formula>0.8</formula>
    </cfRule>
    <cfRule type="cellIs" dxfId="768" priority="1144" operator="greaterThanOrEqual">
      <formula>1.2</formula>
    </cfRule>
  </conditionalFormatting>
  <conditionalFormatting sqref="I4706:I4729">
    <cfRule type="colorScale" priority="1140">
      <colorScale>
        <cfvo type="min"/>
        <cfvo type="percentile" val="50"/>
        <cfvo type="max"/>
        <color rgb="FF63BE7B"/>
        <color rgb="FFFFEB84"/>
        <color rgb="FFF8696B"/>
      </colorScale>
    </cfRule>
  </conditionalFormatting>
  <conditionalFormatting sqref="K4707:K4729">
    <cfRule type="colorScale" priority="1139">
      <colorScale>
        <cfvo type="min"/>
        <cfvo type="percentile" val="50"/>
        <cfvo type="max"/>
        <color rgb="FF63BE7B"/>
        <color rgb="FFFFEB84"/>
        <color rgb="FFF8696B"/>
      </colorScale>
    </cfRule>
  </conditionalFormatting>
  <conditionalFormatting sqref="K4706:K4729">
    <cfRule type="colorScale" priority="1138">
      <colorScale>
        <cfvo type="min"/>
        <cfvo type="percentile" val="50"/>
        <cfvo type="max"/>
        <color rgb="FF63BE7B"/>
        <color rgb="FFFFEB84"/>
        <color rgb="FFF8696B"/>
      </colorScale>
    </cfRule>
  </conditionalFormatting>
  <conditionalFormatting sqref="G4682:G4705">
    <cfRule type="cellIs" dxfId="767" priority="1106" operator="between">
      <formula>49</formula>
      <formula>149</formula>
    </cfRule>
    <cfRule type="cellIs" dxfId="766" priority="1109" operator="lessThan">
      <formula>49</formula>
    </cfRule>
    <cfRule type="cellIs" dxfId="765" priority="1110" operator="greaterThanOrEqual">
      <formula>150</formula>
    </cfRule>
  </conditionalFormatting>
  <conditionalFormatting sqref="H4682:H4705">
    <cfRule type="cellIs" dxfId="764" priority="1105" operator="between">
      <formula>0.8</formula>
      <formula>1.2</formula>
    </cfRule>
    <cfRule type="cellIs" dxfId="763" priority="1107" operator="lessThan">
      <formula>0.8</formula>
    </cfRule>
    <cfRule type="cellIs" dxfId="762" priority="1108" operator="greaterThanOrEqual">
      <formula>1.2</formula>
    </cfRule>
  </conditionalFormatting>
  <conditionalFormatting sqref="I4682:I4705">
    <cfRule type="colorScale" priority="1104">
      <colorScale>
        <cfvo type="min"/>
        <cfvo type="percentile" val="50"/>
        <cfvo type="max"/>
        <color rgb="FF63BE7B"/>
        <color rgb="FFFFEB84"/>
        <color rgb="FFF8696B"/>
      </colorScale>
    </cfRule>
  </conditionalFormatting>
  <conditionalFormatting sqref="K4683:K4705">
    <cfRule type="colorScale" priority="1103">
      <colorScale>
        <cfvo type="min"/>
        <cfvo type="percentile" val="50"/>
        <cfvo type="max"/>
        <color rgb="FF63BE7B"/>
        <color rgb="FFFFEB84"/>
        <color rgb="FFF8696B"/>
      </colorScale>
    </cfRule>
  </conditionalFormatting>
  <conditionalFormatting sqref="K4682:K4705">
    <cfRule type="colorScale" priority="1102">
      <colorScale>
        <cfvo type="min"/>
        <cfvo type="percentile" val="50"/>
        <cfvo type="max"/>
        <color rgb="FF63BE7B"/>
        <color rgb="FFFFEB84"/>
        <color rgb="FFF8696B"/>
      </colorScale>
    </cfRule>
  </conditionalFormatting>
  <conditionalFormatting sqref="G4658:G4681">
    <cfRule type="cellIs" dxfId="761" priority="1097" operator="between">
      <formula>49</formula>
      <formula>149</formula>
    </cfRule>
    <cfRule type="cellIs" dxfId="760" priority="1100" operator="lessThan">
      <formula>49</formula>
    </cfRule>
    <cfRule type="cellIs" dxfId="759" priority="1101" operator="greaterThanOrEqual">
      <formula>150</formula>
    </cfRule>
  </conditionalFormatting>
  <conditionalFormatting sqref="H4658:H4681">
    <cfRule type="cellIs" dxfId="758" priority="1096" operator="between">
      <formula>0.8</formula>
      <formula>1.2</formula>
    </cfRule>
    <cfRule type="cellIs" dxfId="757" priority="1098" operator="lessThan">
      <formula>0.8</formula>
    </cfRule>
    <cfRule type="cellIs" dxfId="756" priority="1099" operator="greaterThanOrEqual">
      <formula>1.2</formula>
    </cfRule>
  </conditionalFormatting>
  <conditionalFormatting sqref="I4658:I4681">
    <cfRule type="colorScale" priority="1095">
      <colorScale>
        <cfvo type="min"/>
        <cfvo type="percentile" val="50"/>
        <cfvo type="max"/>
        <color rgb="FF63BE7B"/>
        <color rgb="FFFFEB84"/>
        <color rgb="FFF8696B"/>
      </colorScale>
    </cfRule>
  </conditionalFormatting>
  <conditionalFormatting sqref="K4659:K4681">
    <cfRule type="colorScale" priority="1094">
      <colorScale>
        <cfvo type="min"/>
        <cfvo type="percentile" val="50"/>
        <cfvo type="max"/>
        <color rgb="FF63BE7B"/>
        <color rgb="FFFFEB84"/>
        <color rgb="FFF8696B"/>
      </colorScale>
    </cfRule>
  </conditionalFormatting>
  <conditionalFormatting sqref="K4658:K4681">
    <cfRule type="colorScale" priority="1093">
      <colorScale>
        <cfvo type="min"/>
        <cfvo type="percentile" val="50"/>
        <cfvo type="max"/>
        <color rgb="FF63BE7B"/>
        <color rgb="FFFFEB84"/>
        <color rgb="FFF8696B"/>
      </colorScale>
    </cfRule>
  </conditionalFormatting>
  <conditionalFormatting sqref="G4634:G4657">
    <cfRule type="cellIs" dxfId="755" priority="1088" operator="between">
      <formula>49</formula>
      <formula>149</formula>
    </cfRule>
    <cfRule type="cellIs" dxfId="754" priority="1091" operator="lessThan">
      <formula>49</formula>
    </cfRule>
    <cfRule type="cellIs" dxfId="753" priority="1092" operator="greaterThanOrEqual">
      <formula>150</formula>
    </cfRule>
  </conditionalFormatting>
  <conditionalFormatting sqref="H4634:H4657">
    <cfRule type="cellIs" dxfId="752" priority="1087" operator="between">
      <formula>0.8</formula>
      <formula>1.2</formula>
    </cfRule>
    <cfRule type="cellIs" dxfId="751" priority="1089" operator="lessThan">
      <formula>0.8</formula>
    </cfRule>
    <cfRule type="cellIs" dxfId="750" priority="1090" operator="greaterThanOrEqual">
      <formula>1.2</formula>
    </cfRule>
  </conditionalFormatting>
  <conditionalFormatting sqref="I4634:I4657">
    <cfRule type="colorScale" priority="1086">
      <colorScale>
        <cfvo type="min"/>
        <cfvo type="percentile" val="50"/>
        <cfvo type="max"/>
        <color rgb="FF63BE7B"/>
        <color rgb="FFFFEB84"/>
        <color rgb="FFF8696B"/>
      </colorScale>
    </cfRule>
  </conditionalFormatting>
  <conditionalFormatting sqref="K4635:K4657">
    <cfRule type="colorScale" priority="1085">
      <colorScale>
        <cfvo type="min"/>
        <cfvo type="percentile" val="50"/>
        <cfvo type="max"/>
        <color rgb="FF63BE7B"/>
        <color rgb="FFFFEB84"/>
        <color rgb="FFF8696B"/>
      </colorScale>
    </cfRule>
  </conditionalFormatting>
  <conditionalFormatting sqref="K4634:K4657">
    <cfRule type="colorScale" priority="1084">
      <colorScale>
        <cfvo type="min"/>
        <cfvo type="percentile" val="50"/>
        <cfvo type="max"/>
        <color rgb="FF63BE7B"/>
        <color rgb="FFFFEB84"/>
        <color rgb="FFF8696B"/>
      </colorScale>
    </cfRule>
  </conditionalFormatting>
  <conditionalFormatting sqref="G4610:G4633">
    <cfRule type="cellIs" dxfId="749" priority="1079" operator="between">
      <formula>49</formula>
      <formula>149</formula>
    </cfRule>
    <cfRule type="cellIs" dxfId="748" priority="1082" operator="lessThan">
      <formula>49</formula>
    </cfRule>
    <cfRule type="cellIs" dxfId="747" priority="1083" operator="greaterThanOrEqual">
      <formula>150</formula>
    </cfRule>
  </conditionalFormatting>
  <conditionalFormatting sqref="H4610:H4633">
    <cfRule type="cellIs" dxfId="746" priority="1078" operator="between">
      <formula>0.8</formula>
      <formula>1.2</formula>
    </cfRule>
    <cfRule type="cellIs" dxfId="745" priority="1080" operator="lessThan">
      <formula>0.8</formula>
    </cfRule>
    <cfRule type="cellIs" dxfId="744" priority="1081" operator="greaterThanOrEqual">
      <formula>1.2</formula>
    </cfRule>
  </conditionalFormatting>
  <conditionalFormatting sqref="I4610:I4633">
    <cfRule type="colorScale" priority="1077">
      <colorScale>
        <cfvo type="min"/>
        <cfvo type="percentile" val="50"/>
        <cfvo type="max"/>
        <color rgb="FF63BE7B"/>
        <color rgb="FFFFEB84"/>
        <color rgb="FFF8696B"/>
      </colorScale>
    </cfRule>
  </conditionalFormatting>
  <conditionalFormatting sqref="K4611:K4633">
    <cfRule type="colorScale" priority="1076">
      <colorScale>
        <cfvo type="min"/>
        <cfvo type="percentile" val="50"/>
        <cfvo type="max"/>
        <color rgb="FF63BE7B"/>
        <color rgb="FFFFEB84"/>
        <color rgb="FFF8696B"/>
      </colorScale>
    </cfRule>
  </conditionalFormatting>
  <conditionalFormatting sqref="K4610:K4633">
    <cfRule type="colorScale" priority="1075">
      <colorScale>
        <cfvo type="min"/>
        <cfvo type="percentile" val="50"/>
        <cfvo type="max"/>
        <color rgb="FF63BE7B"/>
        <color rgb="FFFFEB84"/>
        <color rgb="FFF8696B"/>
      </colorScale>
    </cfRule>
  </conditionalFormatting>
  <conditionalFormatting sqref="G4586:G4609">
    <cfRule type="cellIs" dxfId="743" priority="1070" operator="between">
      <formula>49</formula>
      <formula>149</formula>
    </cfRule>
    <cfRule type="cellIs" dxfId="742" priority="1073" operator="lessThan">
      <formula>49</formula>
    </cfRule>
    <cfRule type="cellIs" dxfId="741" priority="1074" operator="greaterThanOrEqual">
      <formula>150</formula>
    </cfRule>
  </conditionalFormatting>
  <conditionalFormatting sqref="H4586:H4609">
    <cfRule type="cellIs" dxfId="740" priority="1069" operator="between">
      <formula>0.8</formula>
      <formula>1.2</formula>
    </cfRule>
    <cfRule type="cellIs" dxfId="739" priority="1071" operator="lessThan">
      <formula>0.8</formula>
    </cfRule>
    <cfRule type="cellIs" dxfId="738" priority="1072" operator="greaterThanOrEqual">
      <formula>1.2</formula>
    </cfRule>
  </conditionalFormatting>
  <conditionalFormatting sqref="I4586:I4609">
    <cfRule type="colorScale" priority="1068">
      <colorScale>
        <cfvo type="min"/>
        <cfvo type="percentile" val="50"/>
        <cfvo type="max"/>
        <color rgb="FF63BE7B"/>
        <color rgb="FFFFEB84"/>
        <color rgb="FFF8696B"/>
      </colorScale>
    </cfRule>
  </conditionalFormatting>
  <conditionalFormatting sqref="K4587:K4609">
    <cfRule type="colorScale" priority="1067">
      <colorScale>
        <cfvo type="min"/>
        <cfvo type="percentile" val="50"/>
        <cfvo type="max"/>
        <color rgb="FF63BE7B"/>
        <color rgb="FFFFEB84"/>
        <color rgb="FFF8696B"/>
      </colorScale>
    </cfRule>
  </conditionalFormatting>
  <conditionalFormatting sqref="K4586:K4609">
    <cfRule type="colorScale" priority="1066">
      <colorScale>
        <cfvo type="min"/>
        <cfvo type="percentile" val="50"/>
        <cfvo type="max"/>
        <color rgb="FF63BE7B"/>
        <color rgb="FFFFEB84"/>
        <color rgb="FFF8696B"/>
      </colorScale>
    </cfRule>
  </conditionalFormatting>
  <conditionalFormatting sqref="G4562:G4585">
    <cfRule type="cellIs" dxfId="737" priority="1061" operator="between">
      <formula>49</formula>
      <formula>149</formula>
    </cfRule>
    <cfRule type="cellIs" dxfId="736" priority="1064" operator="lessThan">
      <formula>49</formula>
    </cfRule>
    <cfRule type="cellIs" dxfId="735" priority="1065" operator="greaterThanOrEqual">
      <formula>150</formula>
    </cfRule>
  </conditionalFormatting>
  <conditionalFormatting sqref="H4562:H4585">
    <cfRule type="cellIs" dxfId="734" priority="1060" operator="between">
      <formula>0.8</formula>
      <formula>1.2</formula>
    </cfRule>
    <cfRule type="cellIs" dxfId="733" priority="1062" operator="lessThan">
      <formula>0.8</formula>
    </cfRule>
    <cfRule type="cellIs" dxfId="732" priority="1063" operator="greaterThanOrEqual">
      <formula>1.2</formula>
    </cfRule>
  </conditionalFormatting>
  <conditionalFormatting sqref="I4562:I4585">
    <cfRule type="colorScale" priority="1059">
      <colorScale>
        <cfvo type="min"/>
        <cfvo type="percentile" val="50"/>
        <cfvo type="max"/>
        <color rgb="FF63BE7B"/>
        <color rgb="FFFFEB84"/>
        <color rgb="FFF8696B"/>
      </colorScale>
    </cfRule>
  </conditionalFormatting>
  <conditionalFormatting sqref="K4563:K4585">
    <cfRule type="colorScale" priority="1058">
      <colorScale>
        <cfvo type="min"/>
        <cfvo type="percentile" val="50"/>
        <cfvo type="max"/>
        <color rgb="FF63BE7B"/>
        <color rgb="FFFFEB84"/>
        <color rgb="FFF8696B"/>
      </colorScale>
    </cfRule>
  </conditionalFormatting>
  <conditionalFormatting sqref="K4562:K4585">
    <cfRule type="colorScale" priority="1057">
      <colorScale>
        <cfvo type="min"/>
        <cfvo type="percentile" val="50"/>
        <cfvo type="max"/>
        <color rgb="FF63BE7B"/>
        <color rgb="FFFFEB84"/>
        <color rgb="FFF8696B"/>
      </colorScale>
    </cfRule>
  </conditionalFormatting>
  <conditionalFormatting sqref="G4538:G4561">
    <cfRule type="cellIs" dxfId="731" priority="1052" operator="between">
      <formula>49</formula>
      <formula>149</formula>
    </cfRule>
    <cfRule type="cellIs" dxfId="730" priority="1055" operator="lessThan">
      <formula>49</formula>
    </cfRule>
    <cfRule type="cellIs" dxfId="729" priority="1056" operator="greaterThanOrEqual">
      <formula>150</formula>
    </cfRule>
  </conditionalFormatting>
  <conditionalFormatting sqref="H4538:H4561">
    <cfRule type="cellIs" dxfId="728" priority="1051" operator="between">
      <formula>0.8</formula>
      <formula>1.2</formula>
    </cfRule>
    <cfRule type="cellIs" dxfId="727" priority="1053" operator="lessThan">
      <formula>0.8</formula>
    </cfRule>
    <cfRule type="cellIs" dxfId="726" priority="1054" operator="greaterThanOrEqual">
      <formula>1.2</formula>
    </cfRule>
  </conditionalFormatting>
  <conditionalFormatting sqref="I4538:I4561">
    <cfRule type="colorScale" priority="1050">
      <colorScale>
        <cfvo type="min"/>
        <cfvo type="percentile" val="50"/>
        <cfvo type="max"/>
        <color rgb="FF63BE7B"/>
        <color rgb="FFFFEB84"/>
        <color rgb="FFF8696B"/>
      </colorScale>
    </cfRule>
  </conditionalFormatting>
  <conditionalFormatting sqref="K4539:K4561">
    <cfRule type="colorScale" priority="1049">
      <colorScale>
        <cfvo type="min"/>
        <cfvo type="percentile" val="50"/>
        <cfvo type="max"/>
        <color rgb="FF63BE7B"/>
        <color rgb="FFFFEB84"/>
        <color rgb="FFF8696B"/>
      </colorScale>
    </cfRule>
  </conditionalFormatting>
  <conditionalFormatting sqref="K4538:K4561">
    <cfRule type="colorScale" priority="1048">
      <colorScale>
        <cfvo type="min"/>
        <cfvo type="percentile" val="50"/>
        <cfvo type="max"/>
        <color rgb="FF63BE7B"/>
        <color rgb="FFFFEB84"/>
        <color rgb="FFF8696B"/>
      </colorScale>
    </cfRule>
  </conditionalFormatting>
  <conditionalFormatting sqref="G4514:G4537">
    <cfRule type="cellIs" dxfId="725" priority="1043" operator="between">
      <formula>49</formula>
      <formula>149</formula>
    </cfRule>
    <cfRule type="cellIs" dxfId="724" priority="1046" operator="lessThan">
      <formula>49</formula>
    </cfRule>
    <cfRule type="cellIs" dxfId="723" priority="1047" operator="greaterThanOrEqual">
      <formula>150</formula>
    </cfRule>
  </conditionalFormatting>
  <conditionalFormatting sqref="H4514:H4537">
    <cfRule type="cellIs" dxfId="722" priority="1042" operator="between">
      <formula>0.8</formula>
      <formula>1.2</formula>
    </cfRule>
    <cfRule type="cellIs" dxfId="721" priority="1044" operator="lessThan">
      <formula>0.8</formula>
    </cfRule>
    <cfRule type="cellIs" dxfId="720" priority="1045" operator="greaterThanOrEqual">
      <formula>1.2</formula>
    </cfRule>
  </conditionalFormatting>
  <conditionalFormatting sqref="I4514:I4537">
    <cfRule type="colorScale" priority="1041">
      <colorScale>
        <cfvo type="min"/>
        <cfvo type="percentile" val="50"/>
        <cfvo type="max"/>
        <color rgb="FF63BE7B"/>
        <color rgb="FFFFEB84"/>
        <color rgb="FFF8696B"/>
      </colorScale>
    </cfRule>
  </conditionalFormatting>
  <conditionalFormatting sqref="K4515:K4537">
    <cfRule type="colorScale" priority="1040">
      <colorScale>
        <cfvo type="min"/>
        <cfvo type="percentile" val="50"/>
        <cfvo type="max"/>
        <color rgb="FF63BE7B"/>
        <color rgb="FFFFEB84"/>
        <color rgb="FFF8696B"/>
      </colorScale>
    </cfRule>
  </conditionalFormatting>
  <conditionalFormatting sqref="K4514:K4537">
    <cfRule type="colorScale" priority="1039">
      <colorScale>
        <cfvo type="min"/>
        <cfvo type="percentile" val="50"/>
        <cfvo type="max"/>
        <color rgb="FF63BE7B"/>
        <color rgb="FFFFEB84"/>
        <color rgb="FFF8696B"/>
      </colorScale>
    </cfRule>
  </conditionalFormatting>
  <conditionalFormatting sqref="G4490:G4513">
    <cfRule type="cellIs" dxfId="719" priority="1034" operator="between">
      <formula>49</formula>
      <formula>149</formula>
    </cfRule>
    <cfRule type="cellIs" dxfId="718" priority="1037" operator="lessThan">
      <formula>49</formula>
    </cfRule>
    <cfRule type="cellIs" dxfId="717" priority="1038" operator="greaterThanOrEqual">
      <formula>150</formula>
    </cfRule>
  </conditionalFormatting>
  <conditionalFormatting sqref="H4490:H4513">
    <cfRule type="cellIs" dxfId="716" priority="1033" operator="between">
      <formula>0.8</formula>
      <formula>1.2</formula>
    </cfRule>
    <cfRule type="cellIs" dxfId="715" priority="1035" operator="lessThan">
      <formula>0.8</formula>
    </cfRule>
    <cfRule type="cellIs" dxfId="714" priority="1036" operator="greaterThanOrEqual">
      <formula>1.2</formula>
    </cfRule>
  </conditionalFormatting>
  <conditionalFormatting sqref="I4490:I4513">
    <cfRule type="colorScale" priority="1032">
      <colorScale>
        <cfvo type="min"/>
        <cfvo type="percentile" val="50"/>
        <cfvo type="max"/>
        <color rgb="FF63BE7B"/>
        <color rgb="FFFFEB84"/>
        <color rgb="FFF8696B"/>
      </colorScale>
    </cfRule>
  </conditionalFormatting>
  <conditionalFormatting sqref="K4491:K4513">
    <cfRule type="colorScale" priority="1031">
      <colorScale>
        <cfvo type="min"/>
        <cfvo type="percentile" val="50"/>
        <cfvo type="max"/>
        <color rgb="FF63BE7B"/>
        <color rgb="FFFFEB84"/>
        <color rgb="FFF8696B"/>
      </colorScale>
    </cfRule>
  </conditionalFormatting>
  <conditionalFormatting sqref="K4490:K4513">
    <cfRule type="colorScale" priority="1030">
      <colorScale>
        <cfvo type="min"/>
        <cfvo type="percentile" val="50"/>
        <cfvo type="max"/>
        <color rgb="FF63BE7B"/>
        <color rgb="FFFFEB84"/>
        <color rgb="FFF8696B"/>
      </colorScale>
    </cfRule>
  </conditionalFormatting>
  <conditionalFormatting sqref="G4466:G4489">
    <cfRule type="cellIs" dxfId="713" priority="1025" operator="between">
      <formula>49</formula>
      <formula>149</formula>
    </cfRule>
    <cfRule type="cellIs" dxfId="712" priority="1028" operator="lessThan">
      <formula>49</formula>
    </cfRule>
    <cfRule type="cellIs" dxfId="711" priority="1029" operator="greaterThanOrEqual">
      <formula>150</formula>
    </cfRule>
  </conditionalFormatting>
  <conditionalFormatting sqref="H4466:H4489">
    <cfRule type="cellIs" dxfId="710" priority="1024" operator="between">
      <formula>0.8</formula>
      <formula>1.2</formula>
    </cfRule>
    <cfRule type="cellIs" dxfId="709" priority="1026" operator="lessThan">
      <formula>0.8</formula>
    </cfRule>
    <cfRule type="cellIs" dxfId="708" priority="1027" operator="greaterThanOrEqual">
      <formula>1.2</formula>
    </cfRule>
  </conditionalFormatting>
  <conditionalFormatting sqref="I4466:I4489">
    <cfRule type="colorScale" priority="1023">
      <colorScale>
        <cfvo type="min"/>
        <cfvo type="percentile" val="50"/>
        <cfvo type="max"/>
        <color rgb="FF63BE7B"/>
        <color rgb="FFFFEB84"/>
        <color rgb="FFF8696B"/>
      </colorScale>
    </cfRule>
  </conditionalFormatting>
  <conditionalFormatting sqref="K4467:K4489">
    <cfRule type="colorScale" priority="1022">
      <colorScale>
        <cfvo type="min"/>
        <cfvo type="percentile" val="50"/>
        <cfvo type="max"/>
        <color rgb="FF63BE7B"/>
        <color rgb="FFFFEB84"/>
        <color rgb="FFF8696B"/>
      </colorScale>
    </cfRule>
  </conditionalFormatting>
  <conditionalFormatting sqref="K4466:K4489">
    <cfRule type="colorScale" priority="1021">
      <colorScale>
        <cfvo type="min"/>
        <cfvo type="percentile" val="50"/>
        <cfvo type="max"/>
        <color rgb="FF63BE7B"/>
        <color rgb="FFFFEB84"/>
        <color rgb="FFF8696B"/>
      </colorScale>
    </cfRule>
  </conditionalFormatting>
  <conditionalFormatting sqref="G4442:G4465">
    <cfRule type="cellIs" dxfId="707" priority="1016" operator="between">
      <formula>49</formula>
      <formula>149</formula>
    </cfRule>
    <cfRule type="cellIs" dxfId="706" priority="1019" operator="lessThan">
      <formula>49</formula>
    </cfRule>
    <cfRule type="cellIs" dxfId="705" priority="1020" operator="greaterThanOrEqual">
      <formula>150</formula>
    </cfRule>
  </conditionalFormatting>
  <conditionalFormatting sqref="H4442:H4465">
    <cfRule type="cellIs" dxfId="704" priority="1015" operator="between">
      <formula>0.8</formula>
      <formula>1.2</formula>
    </cfRule>
    <cfRule type="cellIs" dxfId="703" priority="1017" operator="lessThan">
      <formula>0.8</formula>
    </cfRule>
    <cfRule type="cellIs" dxfId="702" priority="1018" operator="greaterThanOrEqual">
      <formula>1.2</formula>
    </cfRule>
  </conditionalFormatting>
  <conditionalFormatting sqref="I4442:I4465">
    <cfRule type="colorScale" priority="1014">
      <colorScale>
        <cfvo type="min"/>
        <cfvo type="percentile" val="50"/>
        <cfvo type="max"/>
        <color rgb="FF63BE7B"/>
        <color rgb="FFFFEB84"/>
        <color rgb="FFF8696B"/>
      </colorScale>
    </cfRule>
  </conditionalFormatting>
  <conditionalFormatting sqref="K4443:K4465">
    <cfRule type="colorScale" priority="1013">
      <colorScale>
        <cfvo type="min"/>
        <cfvo type="percentile" val="50"/>
        <cfvo type="max"/>
        <color rgb="FF63BE7B"/>
        <color rgb="FFFFEB84"/>
        <color rgb="FFF8696B"/>
      </colorScale>
    </cfRule>
  </conditionalFormatting>
  <conditionalFormatting sqref="K4442:K4465">
    <cfRule type="colorScale" priority="1012">
      <colorScale>
        <cfvo type="min"/>
        <cfvo type="percentile" val="50"/>
        <cfvo type="max"/>
        <color rgb="FF63BE7B"/>
        <color rgb="FFFFEB84"/>
        <color rgb="FFF8696B"/>
      </colorScale>
    </cfRule>
  </conditionalFormatting>
  <conditionalFormatting sqref="G4418:G4441">
    <cfRule type="cellIs" dxfId="701" priority="1007" operator="between">
      <formula>49</formula>
      <formula>149</formula>
    </cfRule>
    <cfRule type="cellIs" dxfId="700" priority="1010" operator="lessThan">
      <formula>49</formula>
    </cfRule>
    <cfRule type="cellIs" dxfId="699" priority="1011" operator="greaterThanOrEqual">
      <formula>150</formula>
    </cfRule>
  </conditionalFormatting>
  <conditionalFormatting sqref="H4418:H4441">
    <cfRule type="cellIs" dxfId="698" priority="1006" operator="between">
      <formula>0.8</formula>
      <formula>1.2</formula>
    </cfRule>
    <cfRule type="cellIs" dxfId="697" priority="1008" operator="lessThan">
      <formula>0.8</formula>
    </cfRule>
    <cfRule type="cellIs" dxfId="696" priority="1009" operator="greaterThanOrEqual">
      <formula>1.2</formula>
    </cfRule>
  </conditionalFormatting>
  <conditionalFormatting sqref="I4418:I4441">
    <cfRule type="colorScale" priority="1005">
      <colorScale>
        <cfvo type="min"/>
        <cfvo type="percentile" val="50"/>
        <cfvo type="max"/>
        <color rgb="FF63BE7B"/>
        <color rgb="FFFFEB84"/>
        <color rgb="FFF8696B"/>
      </colorScale>
    </cfRule>
  </conditionalFormatting>
  <conditionalFormatting sqref="K4419:K4441">
    <cfRule type="colorScale" priority="1004">
      <colorScale>
        <cfvo type="min"/>
        <cfvo type="percentile" val="50"/>
        <cfvo type="max"/>
        <color rgb="FF63BE7B"/>
        <color rgb="FFFFEB84"/>
        <color rgb="FFF8696B"/>
      </colorScale>
    </cfRule>
  </conditionalFormatting>
  <conditionalFormatting sqref="K4418:K4441">
    <cfRule type="colorScale" priority="1003">
      <colorScale>
        <cfvo type="min"/>
        <cfvo type="percentile" val="50"/>
        <cfvo type="max"/>
        <color rgb="FF63BE7B"/>
        <color rgb="FFFFEB84"/>
        <color rgb="FFF8696B"/>
      </colorScale>
    </cfRule>
  </conditionalFormatting>
  <conditionalFormatting sqref="G4394:G4417">
    <cfRule type="cellIs" dxfId="695" priority="998" operator="between">
      <formula>49</formula>
      <formula>149</formula>
    </cfRule>
    <cfRule type="cellIs" dxfId="694" priority="1001" operator="lessThan">
      <formula>49</formula>
    </cfRule>
    <cfRule type="cellIs" dxfId="693" priority="1002" operator="greaterThanOrEqual">
      <formula>150</formula>
    </cfRule>
  </conditionalFormatting>
  <conditionalFormatting sqref="H4394:H4417">
    <cfRule type="cellIs" dxfId="692" priority="997" operator="between">
      <formula>0.8</formula>
      <formula>1.2</formula>
    </cfRule>
    <cfRule type="cellIs" dxfId="691" priority="999" operator="lessThan">
      <formula>0.8</formula>
    </cfRule>
    <cfRule type="cellIs" dxfId="690" priority="1000" operator="greaterThanOrEqual">
      <formula>1.2</formula>
    </cfRule>
  </conditionalFormatting>
  <conditionalFormatting sqref="I4394:I4417">
    <cfRule type="colorScale" priority="996">
      <colorScale>
        <cfvo type="min"/>
        <cfvo type="percentile" val="50"/>
        <cfvo type="max"/>
        <color rgb="FF63BE7B"/>
        <color rgb="FFFFEB84"/>
        <color rgb="FFF8696B"/>
      </colorScale>
    </cfRule>
  </conditionalFormatting>
  <conditionalFormatting sqref="K4395:K4417">
    <cfRule type="colorScale" priority="995">
      <colorScale>
        <cfvo type="min"/>
        <cfvo type="percentile" val="50"/>
        <cfvo type="max"/>
        <color rgb="FF63BE7B"/>
        <color rgb="FFFFEB84"/>
        <color rgb="FFF8696B"/>
      </colorScale>
    </cfRule>
  </conditionalFormatting>
  <conditionalFormatting sqref="K4394:K4417">
    <cfRule type="colorScale" priority="994">
      <colorScale>
        <cfvo type="min"/>
        <cfvo type="percentile" val="50"/>
        <cfvo type="max"/>
        <color rgb="FF63BE7B"/>
        <color rgb="FFFFEB84"/>
        <color rgb="FFF8696B"/>
      </colorScale>
    </cfRule>
  </conditionalFormatting>
  <conditionalFormatting sqref="G4370:G4393">
    <cfRule type="cellIs" dxfId="689" priority="989" operator="between">
      <formula>49</formula>
      <formula>149</formula>
    </cfRule>
    <cfRule type="cellIs" dxfId="688" priority="992" operator="lessThan">
      <formula>49</formula>
    </cfRule>
    <cfRule type="cellIs" dxfId="687" priority="993" operator="greaterThanOrEqual">
      <formula>150</formula>
    </cfRule>
  </conditionalFormatting>
  <conditionalFormatting sqref="H4370:H4393">
    <cfRule type="cellIs" dxfId="686" priority="988" operator="between">
      <formula>0.8</formula>
      <formula>1.2</formula>
    </cfRule>
    <cfRule type="cellIs" dxfId="685" priority="990" operator="lessThan">
      <formula>0.8</formula>
    </cfRule>
    <cfRule type="cellIs" dxfId="684" priority="991" operator="greaterThanOrEqual">
      <formula>1.2</formula>
    </cfRule>
  </conditionalFormatting>
  <conditionalFormatting sqref="I4370:I4393">
    <cfRule type="colorScale" priority="987">
      <colorScale>
        <cfvo type="min"/>
        <cfvo type="percentile" val="50"/>
        <cfvo type="max"/>
        <color rgb="FF63BE7B"/>
        <color rgb="FFFFEB84"/>
        <color rgb="FFF8696B"/>
      </colorScale>
    </cfRule>
  </conditionalFormatting>
  <conditionalFormatting sqref="K4371:K4393">
    <cfRule type="colorScale" priority="986">
      <colorScale>
        <cfvo type="min"/>
        <cfvo type="percentile" val="50"/>
        <cfvo type="max"/>
        <color rgb="FF63BE7B"/>
        <color rgb="FFFFEB84"/>
        <color rgb="FFF8696B"/>
      </colorScale>
    </cfRule>
  </conditionalFormatting>
  <conditionalFormatting sqref="K4370:K4393">
    <cfRule type="colorScale" priority="985">
      <colorScale>
        <cfvo type="min"/>
        <cfvo type="percentile" val="50"/>
        <cfvo type="max"/>
        <color rgb="FF63BE7B"/>
        <color rgb="FFFFEB84"/>
        <color rgb="FFF8696B"/>
      </colorScale>
    </cfRule>
  </conditionalFormatting>
  <conditionalFormatting sqref="G4346:G4369">
    <cfRule type="cellIs" dxfId="683" priority="980" operator="between">
      <formula>49</formula>
      <formula>149</formula>
    </cfRule>
    <cfRule type="cellIs" dxfId="682" priority="983" operator="lessThan">
      <formula>49</formula>
    </cfRule>
    <cfRule type="cellIs" dxfId="681" priority="984" operator="greaterThanOrEqual">
      <formula>150</formula>
    </cfRule>
  </conditionalFormatting>
  <conditionalFormatting sqref="H4346:H4369">
    <cfRule type="cellIs" dxfId="680" priority="979" operator="between">
      <formula>0.8</formula>
      <formula>1.2</formula>
    </cfRule>
    <cfRule type="cellIs" dxfId="679" priority="981" operator="lessThan">
      <formula>0.8</formula>
    </cfRule>
    <cfRule type="cellIs" dxfId="678" priority="982" operator="greaterThanOrEqual">
      <formula>1.2</formula>
    </cfRule>
  </conditionalFormatting>
  <conditionalFormatting sqref="I4346:I4369">
    <cfRule type="colorScale" priority="978">
      <colorScale>
        <cfvo type="min"/>
        <cfvo type="percentile" val="50"/>
        <cfvo type="max"/>
        <color rgb="FF63BE7B"/>
        <color rgb="FFFFEB84"/>
        <color rgb="FFF8696B"/>
      </colorScale>
    </cfRule>
  </conditionalFormatting>
  <conditionalFormatting sqref="K4347:K4369">
    <cfRule type="colorScale" priority="977">
      <colorScale>
        <cfvo type="min"/>
        <cfvo type="percentile" val="50"/>
        <cfvo type="max"/>
        <color rgb="FF63BE7B"/>
        <color rgb="FFFFEB84"/>
        <color rgb="FFF8696B"/>
      </colorScale>
    </cfRule>
  </conditionalFormatting>
  <conditionalFormatting sqref="K4346:K4369">
    <cfRule type="colorScale" priority="976">
      <colorScale>
        <cfvo type="min"/>
        <cfvo type="percentile" val="50"/>
        <cfvo type="max"/>
        <color rgb="FF63BE7B"/>
        <color rgb="FFFFEB84"/>
        <color rgb="FFF8696B"/>
      </colorScale>
    </cfRule>
  </conditionalFormatting>
  <conditionalFormatting sqref="G4322:G4345">
    <cfRule type="cellIs" dxfId="677" priority="971" operator="between">
      <formula>49</formula>
      <formula>149</formula>
    </cfRule>
    <cfRule type="cellIs" dxfId="676" priority="974" operator="lessThan">
      <formula>49</formula>
    </cfRule>
    <cfRule type="cellIs" dxfId="675" priority="975" operator="greaterThanOrEqual">
      <formula>150</formula>
    </cfRule>
  </conditionalFormatting>
  <conditionalFormatting sqref="H4322:H4345">
    <cfRule type="cellIs" dxfId="674" priority="970" operator="between">
      <formula>0.8</formula>
      <formula>1.2</formula>
    </cfRule>
    <cfRule type="cellIs" dxfId="673" priority="972" operator="lessThan">
      <formula>0.8</formula>
    </cfRule>
    <cfRule type="cellIs" dxfId="672" priority="973" operator="greaterThanOrEqual">
      <formula>1.2</formula>
    </cfRule>
  </conditionalFormatting>
  <conditionalFormatting sqref="I4322:I4345">
    <cfRule type="colorScale" priority="969">
      <colorScale>
        <cfvo type="min"/>
        <cfvo type="percentile" val="50"/>
        <cfvo type="max"/>
        <color rgb="FF63BE7B"/>
        <color rgb="FFFFEB84"/>
        <color rgb="FFF8696B"/>
      </colorScale>
    </cfRule>
  </conditionalFormatting>
  <conditionalFormatting sqref="K4323:K4345">
    <cfRule type="colorScale" priority="968">
      <colorScale>
        <cfvo type="min"/>
        <cfvo type="percentile" val="50"/>
        <cfvo type="max"/>
        <color rgb="FF63BE7B"/>
        <color rgb="FFFFEB84"/>
        <color rgb="FFF8696B"/>
      </colorScale>
    </cfRule>
  </conditionalFormatting>
  <conditionalFormatting sqref="K4322:K4345">
    <cfRule type="colorScale" priority="967">
      <colorScale>
        <cfvo type="min"/>
        <cfvo type="percentile" val="50"/>
        <cfvo type="max"/>
        <color rgb="FF63BE7B"/>
        <color rgb="FFFFEB84"/>
        <color rgb="FFF8696B"/>
      </colorScale>
    </cfRule>
  </conditionalFormatting>
  <conditionalFormatting sqref="G4298:G4321">
    <cfRule type="cellIs" dxfId="671" priority="962" operator="between">
      <formula>49</formula>
      <formula>149</formula>
    </cfRule>
    <cfRule type="cellIs" dxfId="670" priority="965" operator="lessThan">
      <formula>49</formula>
    </cfRule>
    <cfRule type="cellIs" dxfId="669" priority="966" operator="greaterThanOrEqual">
      <formula>150</formula>
    </cfRule>
  </conditionalFormatting>
  <conditionalFormatting sqref="H4298:H4321">
    <cfRule type="cellIs" dxfId="668" priority="961" operator="between">
      <formula>0.8</formula>
      <formula>1.2</formula>
    </cfRule>
    <cfRule type="cellIs" dxfId="667" priority="963" operator="lessThan">
      <formula>0.8</formula>
    </cfRule>
    <cfRule type="cellIs" dxfId="666" priority="964" operator="greaterThanOrEqual">
      <formula>1.2</formula>
    </cfRule>
  </conditionalFormatting>
  <conditionalFormatting sqref="I4298:I4321">
    <cfRule type="colorScale" priority="960">
      <colorScale>
        <cfvo type="min"/>
        <cfvo type="percentile" val="50"/>
        <cfvo type="max"/>
        <color rgb="FF63BE7B"/>
        <color rgb="FFFFEB84"/>
        <color rgb="FFF8696B"/>
      </colorScale>
    </cfRule>
  </conditionalFormatting>
  <conditionalFormatting sqref="K4299:K4321">
    <cfRule type="colorScale" priority="959">
      <colorScale>
        <cfvo type="min"/>
        <cfvo type="percentile" val="50"/>
        <cfvo type="max"/>
        <color rgb="FF63BE7B"/>
        <color rgb="FFFFEB84"/>
        <color rgb="FFF8696B"/>
      </colorScale>
    </cfRule>
  </conditionalFormatting>
  <conditionalFormatting sqref="K4298:K4321">
    <cfRule type="colorScale" priority="958">
      <colorScale>
        <cfvo type="min"/>
        <cfvo type="percentile" val="50"/>
        <cfvo type="max"/>
        <color rgb="FF63BE7B"/>
        <color rgb="FFFFEB84"/>
        <color rgb="FFF8696B"/>
      </colorScale>
    </cfRule>
  </conditionalFormatting>
  <conditionalFormatting sqref="G4274:G4297">
    <cfRule type="cellIs" dxfId="665" priority="953" operator="between">
      <formula>49</formula>
      <formula>149</formula>
    </cfRule>
    <cfRule type="cellIs" dxfId="664" priority="956" operator="lessThan">
      <formula>49</formula>
    </cfRule>
    <cfRule type="cellIs" dxfId="663" priority="957" operator="greaterThanOrEqual">
      <formula>150</formula>
    </cfRule>
  </conditionalFormatting>
  <conditionalFormatting sqref="H4274:H4297">
    <cfRule type="cellIs" dxfId="662" priority="952" operator="between">
      <formula>0.8</formula>
      <formula>1.2</formula>
    </cfRule>
    <cfRule type="cellIs" dxfId="661" priority="954" operator="lessThan">
      <formula>0.8</formula>
    </cfRule>
    <cfRule type="cellIs" dxfId="660" priority="955" operator="greaterThanOrEqual">
      <formula>1.2</formula>
    </cfRule>
  </conditionalFormatting>
  <conditionalFormatting sqref="I4274:I4297">
    <cfRule type="colorScale" priority="951">
      <colorScale>
        <cfvo type="min"/>
        <cfvo type="percentile" val="50"/>
        <cfvo type="max"/>
        <color rgb="FF63BE7B"/>
        <color rgb="FFFFEB84"/>
        <color rgb="FFF8696B"/>
      </colorScale>
    </cfRule>
  </conditionalFormatting>
  <conditionalFormatting sqref="K4275:K4297">
    <cfRule type="colorScale" priority="950">
      <colorScale>
        <cfvo type="min"/>
        <cfvo type="percentile" val="50"/>
        <cfvo type="max"/>
        <color rgb="FF63BE7B"/>
        <color rgb="FFFFEB84"/>
        <color rgb="FFF8696B"/>
      </colorScale>
    </cfRule>
  </conditionalFormatting>
  <conditionalFormatting sqref="K4274:K4297">
    <cfRule type="colorScale" priority="949">
      <colorScale>
        <cfvo type="min"/>
        <cfvo type="percentile" val="50"/>
        <cfvo type="max"/>
        <color rgb="FF63BE7B"/>
        <color rgb="FFFFEB84"/>
        <color rgb="FFF8696B"/>
      </colorScale>
    </cfRule>
  </conditionalFormatting>
  <conditionalFormatting sqref="G4250:G4273">
    <cfRule type="cellIs" dxfId="659" priority="944" operator="between">
      <formula>49</formula>
      <formula>149</formula>
    </cfRule>
    <cfRule type="cellIs" dxfId="658" priority="947" operator="lessThan">
      <formula>49</formula>
    </cfRule>
    <cfRule type="cellIs" dxfId="657" priority="948" operator="greaterThanOrEqual">
      <formula>150</formula>
    </cfRule>
  </conditionalFormatting>
  <conditionalFormatting sqref="H4250:H4273">
    <cfRule type="cellIs" dxfId="656" priority="943" operator="between">
      <formula>0.8</formula>
      <formula>1.2</formula>
    </cfRule>
    <cfRule type="cellIs" dxfId="655" priority="945" operator="lessThan">
      <formula>0.8</formula>
    </cfRule>
    <cfRule type="cellIs" dxfId="654" priority="946" operator="greaterThanOrEqual">
      <formula>1.2</formula>
    </cfRule>
  </conditionalFormatting>
  <conditionalFormatting sqref="I4250:I4273">
    <cfRule type="colorScale" priority="942">
      <colorScale>
        <cfvo type="min"/>
        <cfvo type="percentile" val="50"/>
        <cfvo type="max"/>
        <color rgb="FF63BE7B"/>
        <color rgb="FFFFEB84"/>
        <color rgb="FFF8696B"/>
      </colorScale>
    </cfRule>
  </conditionalFormatting>
  <conditionalFormatting sqref="K4251:K4273">
    <cfRule type="colorScale" priority="941">
      <colorScale>
        <cfvo type="min"/>
        <cfvo type="percentile" val="50"/>
        <cfvo type="max"/>
        <color rgb="FF63BE7B"/>
        <color rgb="FFFFEB84"/>
        <color rgb="FFF8696B"/>
      </colorScale>
    </cfRule>
  </conditionalFormatting>
  <conditionalFormatting sqref="K4250:K4273">
    <cfRule type="colorScale" priority="940">
      <colorScale>
        <cfvo type="min"/>
        <cfvo type="percentile" val="50"/>
        <cfvo type="max"/>
        <color rgb="FF63BE7B"/>
        <color rgb="FFFFEB84"/>
        <color rgb="FFF8696B"/>
      </colorScale>
    </cfRule>
  </conditionalFormatting>
  <conditionalFormatting sqref="G4226:G4249">
    <cfRule type="cellIs" dxfId="653" priority="935" operator="between">
      <formula>49</formula>
      <formula>149</formula>
    </cfRule>
    <cfRule type="cellIs" dxfId="652" priority="938" operator="lessThan">
      <formula>49</formula>
    </cfRule>
    <cfRule type="cellIs" dxfId="651" priority="939" operator="greaterThanOrEqual">
      <formula>150</formula>
    </cfRule>
  </conditionalFormatting>
  <conditionalFormatting sqref="H4226:H4249">
    <cfRule type="cellIs" dxfId="650" priority="934" operator="between">
      <formula>0.8</formula>
      <formula>1.2</formula>
    </cfRule>
    <cfRule type="cellIs" dxfId="649" priority="936" operator="lessThan">
      <formula>0.8</formula>
    </cfRule>
    <cfRule type="cellIs" dxfId="648" priority="937" operator="greaterThanOrEqual">
      <formula>1.2</formula>
    </cfRule>
  </conditionalFormatting>
  <conditionalFormatting sqref="I4226:I4249">
    <cfRule type="colorScale" priority="933">
      <colorScale>
        <cfvo type="min"/>
        <cfvo type="percentile" val="50"/>
        <cfvo type="max"/>
        <color rgb="FF63BE7B"/>
        <color rgb="FFFFEB84"/>
        <color rgb="FFF8696B"/>
      </colorScale>
    </cfRule>
  </conditionalFormatting>
  <conditionalFormatting sqref="K4227:K4249">
    <cfRule type="colorScale" priority="932">
      <colorScale>
        <cfvo type="min"/>
        <cfvo type="percentile" val="50"/>
        <cfvo type="max"/>
        <color rgb="FF63BE7B"/>
        <color rgb="FFFFEB84"/>
        <color rgb="FFF8696B"/>
      </colorScale>
    </cfRule>
  </conditionalFormatting>
  <conditionalFormatting sqref="K4226:K4249">
    <cfRule type="colorScale" priority="931">
      <colorScale>
        <cfvo type="min"/>
        <cfvo type="percentile" val="50"/>
        <cfvo type="max"/>
        <color rgb="FF63BE7B"/>
        <color rgb="FFFFEB84"/>
        <color rgb="FFF8696B"/>
      </colorScale>
    </cfRule>
  </conditionalFormatting>
  <conditionalFormatting sqref="G4202:G4225">
    <cfRule type="cellIs" dxfId="647" priority="926" operator="between">
      <formula>49</formula>
      <formula>149</formula>
    </cfRule>
    <cfRule type="cellIs" dxfId="646" priority="929" operator="lessThan">
      <formula>49</formula>
    </cfRule>
    <cfRule type="cellIs" dxfId="645" priority="930" operator="greaterThanOrEqual">
      <formula>150</formula>
    </cfRule>
  </conditionalFormatting>
  <conditionalFormatting sqref="I4202:I4225">
    <cfRule type="colorScale" priority="924">
      <colorScale>
        <cfvo type="min"/>
        <cfvo type="percentile" val="50"/>
        <cfvo type="max"/>
        <color rgb="FF63BE7B"/>
        <color rgb="FFFFEB84"/>
        <color rgb="FFF8696B"/>
      </colorScale>
    </cfRule>
  </conditionalFormatting>
  <conditionalFormatting sqref="K4203:K4225">
    <cfRule type="colorScale" priority="923">
      <colorScale>
        <cfvo type="min"/>
        <cfvo type="percentile" val="50"/>
        <cfvo type="max"/>
        <color rgb="FF63BE7B"/>
        <color rgb="FFFFEB84"/>
        <color rgb="FFF8696B"/>
      </colorScale>
    </cfRule>
  </conditionalFormatting>
  <conditionalFormatting sqref="K4202:K4225">
    <cfRule type="colorScale" priority="922">
      <colorScale>
        <cfvo type="min"/>
        <cfvo type="percentile" val="50"/>
        <cfvo type="max"/>
        <color rgb="FF63BE7B"/>
        <color rgb="FFFFEB84"/>
        <color rgb="FFF8696B"/>
      </colorScale>
    </cfRule>
  </conditionalFormatting>
  <conditionalFormatting sqref="G4178:G4201">
    <cfRule type="cellIs" dxfId="644" priority="917" operator="between">
      <formula>49</formula>
      <formula>149</formula>
    </cfRule>
    <cfRule type="cellIs" dxfId="643" priority="920" operator="lessThan">
      <formula>49</formula>
    </cfRule>
    <cfRule type="cellIs" dxfId="642" priority="921" operator="greaterThanOrEqual">
      <formula>150</formula>
    </cfRule>
  </conditionalFormatting>
  <conditionalFormatting sqref="I4178:I4201">
    <cfRule type="colorScale" priority="915">
      <colorScale>
        <cfvo type="min"/>
        <cfvo type="percentile" val="50"/>
        <cfvo type="max"/>
        <color rgb="FF63BE7B"/>
        <color rgb="FFFFEB84"/>
        <color rgb="FFF8696B"/>
      </colorScale>
    </cfRule>
  </conditionalFormatting>
  <conditionalFormatting sqref="K4179:K4201">
    <cfRule type="colorScale" priority="914">
      <colorScale>
        <cfvo type="min"/>
        <cfvo type="percentile" val="50"/>
        <cfvo type="max"/>
        <color rgb="FF63BE7B"/>
        <color rgb="FFFFEB84"/>
        <color rgb="FFF8696B"/>
      </colorScale>
    </cfRule>
  </conditionalFormatting>
  <conditionalFormatting sqref="K4178:K4201">
    <cfRule type="colorScale" priority="913">
      <colorScale>
        <cfvo type="min"/>
        <cfvo type="percentile" val="50"/>
        <cfvo type="max"/>
        <color rgb="FF63BE7B"/>
        <color rgb="FFFFEB84"/>
        <color rgb="FFF8696B"/>
      </colorScale>
    </cfRule>
  </conditionalFormatting>
  <conditionalFormatting sqref="G4154:G4177">
    <cfRule type="cellIs" dxfId="641" priority="908" operator="between">
      <formula>49</formula>
      <formula>149</formula>
    </cfRule>
    <cfRule type="cellIs" dxfId="640" priority="911" operator="lessThan">
      <formula>49</formula>
    </cfRule>
    <cfRule type="cellIs" dxfId="639" priority="912" operator="greaterThanOrEqual">
      <formula>150</formula>
    </cfRule>
  </conditionalFormatting>
  <conditionalFormatting sqref="I4154:I4177">
    <cfRule type="colorScale" priority="906">
      <colorScale>
        <cfvo type="min"/>
        <cfvo type="percentile" val="50"/>
        <cfvo type="max"/>
        <color rgb="FF63BE7B"/>
        <color rgb="FFFFEB84"/>
        <color rgb="FFF8696B"/>
      </colorScale>
    </cfRule>
  </conditionalFormatting>
  <conditionalFormatting sqref="K4155:K4177">
    <cfRule type="colorScale" priority="905">
      <colorScale>
        <cfvo type="min"/>
        <cfvo type="percentile" val="50"/>
        <cfvo type="max"/>
        <color rgb="FF63BE7B"/>
        <color rgb="FFFFEB84"/>
        <color rgb="FFF8696B"/>
      </colorScale>
    </cfRule>
  </conditionalFormatting>
  <conditionalFormatting sqref="K4154:K4177">
    <cfRule type="colorScale" priority="904">
      <colorScale>
        <cfvo type="min"/>
        <cfvo type="percentile" val="50"/>
        <cfvo type="max"/>
        <color rgb="FF63BE7B"/>
        <color rgb="FFFFEB84"/>
        <color rgb="FFF8696B"/>
      </colorScale>
    </cfRule>
  </conditionalFormatting>
  <conditionalFormatting sqref="G4130:G4153">
    <cfRule type="cellIs" dxfId="638" priority="899" operator="between">
      <formula>49</formula>
      <formula>149</formula>
    </cfRule>
    <cfRule type="cellIs" dxfId="637" priority="902" operator="lessThan">
      <formula>49</formula>
    </cfRule>
    <cfRule type="cellIs" dxfId="636" priority="903" operator="greaterThanOrEqual">
      <formula>150</formula>
    </cfRule>
  </conditionalFormatting>
  <conditionalFormatting sqref="I4130:I4153">
    <cfRule type="colorScale" priority="897">
      <colorScale>
        <cfvo type="min"/>
        <cfvo type="percentile" val="50"/>
        <cfvo type="max"/>
        <color rgb="FF63BE7B"/>
        <color rgb="FFFFEB84"/>
        <color rgb="FFF8696B"/>
      </colorScale>
    </cfRule>
  </conditionalFormatting>
  <conditionalFormatting sqref="K4131:K4153">
    <cfRule type="colorScale" priority="896">
      <colorScale>
        <cfvo type="min"/>
        <cfvo type="percentile" val="50"/>
        <cfvo type="max"/>
        <color rgb="FF63BE7B"/>
        <color rgb="FFFFEB84"/>
        <color rgb="FFF8696B"/>
      </colorScale>
    </cfRule>
  </conditionalFormatting>
  <conditionalFormatting sqref="K4130:K4153">
    <cfRule type="colorScale" priority="895">
      <colorScale>
        <cfvo type="min"/>
        <cfvo type="percentile" val="50"/>
        <cfvo type="max"/>
        <color rgb="FF63BE7B"/>
        <color rgb="FFFFEB84"/>
        <color rgb="FFF8696B"/>
      </colorScale>
    </cfRule>
  </conditionalFormatting>
  <conditionalFormatting sqref="G4106:G4129">
    <cfRule type="cellIs" dxfId="635" priority="890" operator="between">
      <formula>49</formula>
      <formula>149</formula>
    </cfRule>
    <cfRule type="cellIs" dxfId="634" priority="893" operator="lessThan">
      <formula>49</formula>
    </cfRule>
    <cfRule type="cellIs" dxfId="633" priority="894" operator="greaterThanOrEqual">
      <formula>150</formula>
    </cfRule>
  </conditionalFormatting>
  <conditionalFormatting sqref="I4106:I4129">
    <cfRule type="colorScale" priority="888">
      <colorScale>
        <cfvo type="min"/>
        <cfvo type="percentile" val="50"/>
        <cfvo type="max"/>
        <color rgb="FF63BE7B"/>
        <color rgb="FFFFEB84"/>
        <color rgb="FFF8696B"/>
      </colorScale>
    </cfRule>
  </conditionalFormatting>
  <conditionalFormatting sqref="K4107:K4129">
    <cfRule type="colorScale" priority="887">
      <colorScale>
        <cfvo type="min"/>
        <cfvo type="percentile" val="50"/>
        <cfvo type="max"/>
        <color rgb="FF63BE7B"/>
        <color rgb="FFFFEB84"/>
        <color rgb="FFF8696B"/>
      </colorScale>
    </cfRule>
  </conditionalFormatting>
  <conditionalFormatting sqref="K4106:K4129">
    <cfRule type="colorScale" priority="886">
      <colorScale>
        <cfvo type="min"/>
        <cfvo type="percentile" val="50"/>
        <cfvo type="max"/>
        <color rgb="FF63BE7B"/>
        <color rgb="FFFFEB84"/>
        <color rgb="FFF8696B"/>
      </colorScale>
    </cfRule>
  </conditionalFormatting>
  <conditionalFormatting sqref="G4082:G4105">
    <cfRule type="cellIs" dxfId="632" priority="881" operator="between">
      <formula>49</formula>
      <formula>149</formula>
    </cfRule>
    <cfRule type="cellIs" dxfId="631" priority="884" operator="lessThan">
      <formula>49</formula>
    </cfRule>
    <cfRule type="cellIs" dxfId="630" priority="885" operator="greaterThanOrEqual">
      <formula>150</formula>
    </cfRule>
  </conditionalFormatting>
  <conditionalFormatting sqref="I4082:I4105">
    <cfRule type="colorScale" priority="879">
      <colorScale>
        <cfvo type="min"/>
        <cfvo type="percentile" val="50"/>
        <cfvo type="max"/>
        <color rgb="FF63BE7B"/>
        <color rgb="FFFFEB84"/>
        <color rgb="FFF8696B"/>
      </colorScale>
    </cfRule>
  </conditionalFormatting>
  <conditionalFormatting sqref="K4083:K4105">
    <cfRule type="colorScale" priority="878">
      <colorScale>
        <cfvo type="min"/>
        <cfvo type="percentile" val="50"/>
        <cfvo type="max"/>
        <color rgb="FF63BE7B"/>
        <color rgb="FFFFEB84"/>
        <color rgb="FFF8696B"/>
      </colorScale>
    </cfRule>
  </conditionalFormatting>
  <conditionalFormatting sqref="K4082:K4105">
    <cfRule type="colorScale" priority="877">
      <colorScale>
        <cfvo type="min"/>
        <cfvo type="percentile" val="50"/>
        <cfvo type="max"/>
        <color rgb="FF63BE7B"/>
        <color rgb="FFFFEB84"/>
        <color rgb="FFF8696B"/>
      </colorScale>
    </cfRule>
  </conditionalFormatting>
  <conditionalFormatting sqref="G4058:G4081">
    <cfRule type="cellIs" dxfId="629" priority="872" operator="between">
      <formula>49</formula>
      <formula>149</formula>
    </cfRule>
    <cfRule type="cellIs" dxfId="628" priority="875" operator="lessThan">
      <formula>49</formula>
    </cfRule>
    <cfRule type="cellIs" dxfId="627" priority="876" operator="greaterThanOrEqual">
      <formula>150</formula>
    </cfRule>
  </conditionalFormatting>
  <conditionalFormatting sqref="I4058:I4081">
    <cfRule type="colorScale" priority="870">
      <colorScale>
        <cfvo type="min"/>
        <cfvo type="percentile" val="50"/>
        <cfvo type="max"/>
        <color rgb="FF63BE7B"/>
        <color rgb="FFFFEB84"/>
        <color rgb="FFF8696B"/>
      </colorScale>
    </cfRule>
  </conditionalFormatting>
  <conditionalFormatting sqref="K4059:K4081">
    <cfRule type="colorScale" priority="869">
      <colorScale>
        <cfvo type="min"/>
        <cfvo type="percentile" val="50"/>
        <cfvo type="max"/>
        <color rgb="FF63BE7B"/>
        <color rgb="FFFFEB84"/>
        <color rgb="FFF8696B"/>
      </colorScale>
    </cfRule>
  </conditionalFormatting>
  <conditionalFormatting sqref="K4058:K4081">
    <cfRule type="colorScale" priority="868">
      <colorScale>
        <cfvo type="min"/>
        <cfvo type="percentile" val="50"/>
        <cfvo type="max"/>
        <color rgb="FF63BE7B"/>
        <color rgb="FFFFEB84"/>
        <color rgb="FFF8696B"/>
      </colorScale>
    </cfRule>
  </conditionalFormatting>
  <conditionalFormatting sqref="G4034:G4057">
    <cfRule type="cellIs" dxfId="626" priority="863" operator="between">
      <formula>49</formula>
      <formula>149</formula>
    </cfRule>
    <cfRule type="cellIs" dxfId="625" priority="866" operator="lessThan">
      <formula>49</formula>
    </cfRule>
    <cfRule type="cellIs" dxfId="624" priority="867" operator="greaterThanOrEqual">
      <formula>150</formula>
    </cfRule>
  </conditionalFormatting>
  <conditionalFormatting sqref="I4034:I4057">
    <cfRule type="colorScale" priority="861">
      <colorScale>
        <cfvo type="min"/>
        <cfvo type="percentile" val="50"/>
        <cfvo type="max"/>
        <color rgb="FF63BE7B"/>
        <color rgb="FFFFEB84"/>
        <color rgb="FFF8696B"/>
      </colorScale>
    </cfRule>
  </conditionalFormatting>
  <conditionalFormatting sqref="K4035:K4057">
    <cfRule type="colorScale" priority="860">
      <colorScale>
        <cfvo type="min"/>
        <cfvo type="percentile" val="50"/>
        <cfvo type="max"/>
        <color rgb="FF63BE7B"/>
        <color rgb="FFFFEB84"/>
        <color rgb="FFF8696B"/>
      </colorScale>
    </cfRule>
  </conditionalFormatting>
  <conditionalFormatting sqref="K4034:K4057">
    <cfRule type="colorScale" priority="859">
      <colorScale>
        <cfvo type="min"/>
        <cfvo type="percentile" val="50"/>
        <cfvo type="max"/>
        <color rgb="FF63BE7B"/>
        <color rgb="FFFFEB84"/>
        <color rgb="FFF8696B"/>
      </colorScale>
    </cfRule>
  </conditionalFormatting>
  <conditionalFormatting sqref="G4010:G4033">
    <cfRule type="cellIs" dxfId="623" priority="854" operator="between">
      <formula>49</formula>
      <formula>149</formula>
    </cfRule>
    <cfRule type="cellIs" dxfId="622" priority="857" operator="lessThan">
      <formula>49</formula>
    </cfRule>
    <cfRule type="cellIs" dxfId="621" priority="858" operator="greaterThanOrEqual">
      <formula>150</formula>
    </cfRule>
  </conditionalFormatting>
  <conditionalFormatting sqref="I4010:I4033">
    <cfRule type="colorScale" priority="852">
      <colorScale>
        <cfvo type="min"/>
        <cfvo type="percentile" val="50"/>
        <cfvo type="max"/>
        <color rgb="FF63BE7B"/>
        <color rgb="FFFFEB84"/>
        <color rgb="FFF8696B"/>
      </colorScale>
    </cfRule>
  </conditionalFormatting>
  <conditionalFormatting sqref="K4011:K4033">
    <cfRule type="colorScale" priority="851">
      <colorScale>
        <cfvo type="min"/>
        <cfvo type="percentile" val="50"/>
        <cfvo type="max"/>
        <color rgb="FF63BE7B"/>
        <color rgb="FFFFEB84"/>
        <color rgb="FFF8696B"/>
      </colorScale>
    </cfRule>
  </conditionalFormatting>
  <conditionalFormatting sqref="K4010:K4033">
    <cfRule type="colorScale" priority="850">
      <colorScale>
        <cfvo type="min"/>
        <cfvo type="percentile" val="50"/>
        <cfvo type="max"/>
        <color rgb="FF63BE7B"/>
        <color rgb="FFFFEB84"/>
        <color rgb="FFF8696B"/>
      </colorScale>
    </cfRule>
  </conditionalFormatting>
  <conditionalFormatting sqref="G3986:G4009">
    <cfRule type="cellIs" dxfId="620" priority="845" operator="between">
      <formula>49</formula>
      <formula>149</formula>
    </cfRule>
    <cfRule type="cellIs" dxfId="619" priority="848" operator="lessThan">
      <formula>49</formula>
    </cfRule>
    <cfRule type="cellIs" dxfId="618" priority="849" operator="greaterThanOrEqual">
      <formula>150</formula>
    </cfRule>
  </conditionalFormatting>
  <conditionalFormatting sqref="I3986:I4009">
    <cfRule type="colorScale" priority="843">
      <colorScale>
        <cfvo type="min"/>
        <cfvo type="percentile" val="50"/>
        <cfvo type="max"/>
        <color rgb="FF63BE7B"/>
        <color rgb="FFFFEB84"/>
        <color rgb="FFF8696B"/>
      </colorScale>
    </cfRule>
  </conditionalFormatting>
  <conditionalFormatting sqref="K3987:K4009">
    <cfRule type="colorScale" priority="842">
      <colorScale>
        <cfvo type="min"/>
        <cfvo type="percentile" val="50"/>
        <cfvo type="max"/>
        <color rgb="FF63BE7B"/>
        <color rgb="FFFFEB84"/>
        <color rgb="FFF8696B"/>
      </colorScale>
    </cfRule>
  </conditionalFormatting>
  <conditionalFormatting sqref="K3986:K4009">
    <cfRule type="colorScale" priority="841">
      <colorScale>
        <cfvo type="min"/>
        <cfvo type="percentile" val="50"/>
        <cfvo type="max"/>
        <color rgb="FF63BE7B"/>
        <color rgb="FFFFEB84"/>
        <color rgb="FFF8696B"/>
      </colorScale>
    </cfRule>
  </conditionalFormatting>
  <conditionalFormatting sqref="G3962:G3985">
    <cfRule type="cellIs" dxfId="617" priority="836" operator="between">
      <formula>49</formula>
      <formula>149</formula>
    </cfRule>
    <cfRule type="cellIs" dxfId="616" priority="839" operator="lessThan">
      <formula>49</formula>
    </cfRule>
    <cfRule type="cellIs" dxfId="615" priority="840" operator="greaterThanOrEqual">
      <formula>150</formula>
    </cfRule>
  </conditionalFormatting>
  <conditionalFormatting sqref="H3962:H3985">
    <cfRule type="cellIs" dxfId="614" priority="835" operator="between">
      <formula>0.8</formula>
      <formula>1.2</formula>
    </cfRule>
    <cfRule type="cellIs" dxfId="613" priority="837" operator="lessThan">
      <formula>0.8</formula>
    </cfRule>
    <cfRule type="cellIs" dxfId="612" priority="838" operator="greaterThanOrEqual">
      <formula>1.2</formula>
    </cfRule>
  </conditionalFormatting>
  <conditionalFormatting sqref="I3962:I3985">
    <cfRule type="colorScale" priority="834">
      <colorScale>
        <cfvo type="min"/>
        <cfvo type="percentile" val="50"/>
        <cfvo type="max"/>
        <color rgb="FF63BE7B"/>
        <color rgb="FFFFEB84"/>
        <color rgb="FFF8696B"/>
      </colorScale>
    </cfRule>
  </conditionalFormatting>
  <conditionalFormatting sqref="K3963:K3985">
    <cfRule type="colorScale" priority="833">
      <colorScale>
        <cfvo type="min"/>
        <cfvo type="percentile" val="50"/>
        <cfvo type="max"/>
        <color rgb="FF63BE7B"/>
        <color rgb="FFFFEB84"/>
        <color rgb="FFF8696B"/>
      </colorScale>
    </cfRule>
  </conditionalFormatting>
  <conditionalFormatting sqref="K3962:K3985">
    <cfRule type="colorScale" priority="832">
      <colorScale>
        <cfvo type="min"/>
        <cfvo type="percentile" val="50"/>
        <cfvo type="max"/>
        <color rgb="FF63BE7B"/>
        <color rgb="FFFFEB84"/>
        <color rgb="FFF8696B"/>
      </colorScale>
    </cfRule>
  </conditionalFormatting>
  <conditionalFormatting sqref="H3986:H4009">
    <cfRule type="cellIs" dxfId="611" priority="829" operator="between">
      <formula>0.8</formula>
      <formula>1.2</formula>
    </cfRule>
    <cfRule type="cellIs" dxfId="610" priority="830" operator="lessThan">
      <formula>0.8</formula>
    </cfRule>
    <cfRule type="cellIs" dxfId="609" priority="831" operator="greaterThanOrEqual">
      <formula>1.2</formula>
    </cfRule>
  </conditionalFormatting>
  <conditionalFormatting sqref="H4010:H4033">
    <cfRule type="cellIs" dxfId="608" priority="826" operator="between">
      <formula>0.8</formula>
      <formula>1.2</formula>
    </cfRule>
    <cfRule type="cellIs" dxfId="607" priority="827" operator="lessThan">
      <formula>0.8</formula>
    </cfRule>
    <cfRule type="cellIs" dxfId="606" priority="828" operator="greaterThanOrEqual">
      <formula>1.2</formula>
    </cfRule>
  </conditionalFormatting>
  <conditionalFormatting sqref="H4034:H4057">
    <cfRule type="cellIs" dxfId="605" priority="823" operator="between">
      <formula>0.8</formula>
      <formula>1.2</formula>
    </cfRule>
    <cfRule type="cellIs" dxfId="604" priority="824" operator="lessThan">
      <formula>0.8</formula>
    </cfRule>
    <cfRule type="cellIs" dxfId="603" priority="825" operator="greaterThanOrEqual">
      <formula>1.2</formula>
    </cfRule>
  </conditionalFormatting>
  <conditionalFormatting sqref="H4058:H4081">
    <cfRule type="cellIs" dxfId="602" priority="820" operator="between">
      <formula>0.8</formula>
      <formula>1.2</formula>
    </cfRule>
    <cfRule type="cellIs" dxfId="601" priority="821" operator="lessThan">
      <formula>0.8</formula>
    </cfRule>
    <cfRule type="cellIs" dxfId="600" priority="822" operator="greaterThanOrEqual">
      <formula>1.2</formula>
    </cfRule>
  </conditionalFormatting>
  <conditionalFormatting sqref="H4082:H4105">
    <cfRule type="cellIs" dxfId="599" priority="817" operator="between">
      <formula>0.8</formula>
      <formula>1.2</formula>
    </cfRule>
    <cfRule type="cellIs" dxfId="598" priority="818" operator="lessThan">
      <formula>0.8</formula>
    </cfRule>
    <cfRule type="cellIs" dxfId="597" priority="819" operator="greaterThanOrEqual">
      <formula>1.2</formula>
    </cfRule>
  </conditionalFormatting>
  <conditionalFormatting sqref="H4106:H4129">
    <cfRule type="cellIs" dxfId="596" priority="814" operator="between">
      <formula>0.8</formula>
      <formula>1.2</formula>
    </cfRule>
    <cfRule type="cellIs" dxfId="595" priority="815" operator="lessThan">
      <formula>0.8</formula>
    </cfRule>
    <cfRule type="cellIs" dxfId="594" priority="816" operator="greaterThanOrEqual">
      <formula>1.2</formula>
    </cfRule>
  </conditionalFormatting>
  <conditionalFormatting sqref="H4130:H4153">
    <cfRule type="cellIs" dxfId="593" priority="811" operator="between">
      <formula>0.8</formula>
      <formula>1.2</formula>
    </cfRule>
    <cfRule type="cellIs" dxfId="592" priority="812" operator="lessThan">
      <formula>0.8</formula>
    </cfRule>
    <cfRule type="cellIs" dxfId="591" priority="813" operator="greaterThanOrEqual">
      <formula>1.2</formula>
    </cfRule>
  </conditionalFormatting>
  <conditionalFormatting sqref="H4154:H4177">
    <cfRule type="cellIs" dxfId="590" priority="808" operator="between">
      <formula>0.8</formula>
      <formula>1.2</formula>
    </cfRule>
    <cfRule type="cellIs" dxfId="589" priority="809" operator="lessThan">
      <formula>0.8</formula>
    </cfRule>
    <cfRule type="cellIs" dxfId="588" priority="810" operator="greaterThanOrEqual">
      <formula>1.2</formula>
    </cfRule>
  </conditionalFormatting>
  <conditionalFormatting sqref="H4178:H4201">
    <cfRule type="cellIs" dxfId="587" priority="805" operator="between">
      <formula>0.8</formula>
      <formula>1.2</formula>
    </cfRule>
    <cfRule type="cellIs" dxfId="586" priority="806" operator="lessThan">
      <formula>0.8</formula>
    </cfRule>
    <cfRule type="cellIs" dxfId="585" priority="807" operator="greaterThanOrEqual">
      <formula>1.2</formula>
    </cfRule>
  </conditionalFormatting>
  <conditionalFormatting sqref="H4202:H4225">
    <cfRule type="cellIs" dxfId="584" priority="802" operator="between">
      <formula>0.8</formula>
      <formula>1.2</formula>
    </cfRule>
    <cfRule type="cellIs" dxfId="583" priority="803" operator="lessThan">
      <formula>0.8</formula>
    </cfRule>
    <cfRule type="cellIs" dxfId="582" priority="804" operator="greaterThanOrEqual">
      <formula>1.2</formula>
    </cfRule>
  </conditionalFormatting>
  <conditionalFormatting sqref="D11450:D11473">
    <cfRule type="colorScale" priority="801">
      <colorScale>
        <cfvo type="min"/>
        <cfvo type="percentile" val="50"/>
        <cfvo type="max"/>
        <color rgb="FF63BE7B"/>
        <color rgb="FFFFEB84"/>
        <color rgb="FFF8696B"/>
      </colorScale>
    </cfRule>
  </conditionalFormatting>
  <conditionalFormatting sqref="G11450:G11473">
    <cfRule type="cellIs" dxfId="581" priority="796" operator="between">
      <formula>49</formula>
      <formula>149</formula>
    </cfRule>
    <cfRule type="cellIs" dxfId="580" priority="799" operator="lessThan">
      <formula>49</formula>
    </cfRule>
    <cfRule type="cellIs" dxfId="579" priority="800" operator="greaterThanOrEqual">
      <formula>150</formula>
    </cfRule>
  </conditionalFormatting>
  <conditionalFormatting sqref="H11450:H11473">
    <cfRule type="cellIs" dxfId="578" priority="795" operator="between">
      <formula>0.8</formula>
      <formula>1.2</formula>
    </cfRule>
    <cfRule type="cellIs" dxfId="577" priority="797" operator="lessThan">
      <formula>0.8</formula>
    </cfRule>
    <cfRule type="cellIs" dxfId="576" priority="798" operator="greaterThanOrEqual">
      <formula>1.2</formula>
    </cfRule>
  </conditionalFormatting>
  <conditionalFormatting sqref="I11450:I11473">
    <cfRule type="colorScale" priority="794">
      <colorScale>
        <cfvo type="min"/>
        <cfvo type="percentile" val="50"/>
        <cfvo type="max"/>
        <color rgb="FF63BE7B"/>
        <color rgb="FFFFEB84"/>
        <color rgb="FFF8696B"/>
      </colorScale>
    </cfRule>
  </conditionalFormatting>
  <conditionalFormatting sqref="F11450:F11473">
    <cfRule type="colorScale" priority="789">
      <colorScale>
        <cfvo type="min"/>
        <cfvo type="percentile" val="50"/>
        <cfvo type="max"/>
        <color rgb="FF63BE7B"/>
        <color rgb="FFFFEB84"/>
        <color rgb="FFF8696B"/>
      </colorScale>
    </cfRule>
  </conditionalFormatting>
  <conditionalFormatting sqref="D11474:D11497">
    <cfRule type="colorScale" priority="788">
      <colorScale>
        <cfvo type="min"/>
        <cfvo type="percentile" val="50"/>
        <cfvo type="max"/>
        <color rgb="FF63BE7B"/>
        <color rgb="FFFFEB84"/>
        <color rgb="FFF8696B"/>
      </colorScale>
    </cfRule>
  </conditionalFormatting>
  <conditionalFormatting sqref="G11474:G11497">
    <cfRule type="cellIs" dxfId="575" priority="783" operator="between">
      <formula>49</formula>
      <formula>149</formula>
    </cfRule>
    <cfRule type="cellIs" dxfId="574" priority="786" operator="lessThan">
      <formula>49</formula>
    </cfRule>
    <cfRule type="cellIs" dxfId="573" priority="787" operator="greaterThanOrEqual">
      <formula>150</formula>
    </cfRule>
  </conditionalFormatting>
  <conditionalFormatting sqref="H11474:H11497">
    <cfRule type="cellIs" dxfId="572" priority="782" operator="between">
      <formula>0.8</formula>
      <formula>1.2</formula>
    </cfRule>
    <cfRule type="cellIs" dxfId="571" priority="784" operator="lessThan">
      <formula>0.8</formula>
    </cfRule>
    <cfRule type="cellIs" dxfId="570" priority="785" operator="greaterThanOrEqual">
      <formula>1.2</formula>
    </cfRule>
  </conditionalFormatting>
  <conditionalFormatting sqref="I11474:I11497">
    <cfRule type="colorScale" priority="781">
      <colorScale>
        <cfvo type="min"/>
        <cfvo type="percentile" val="50"/>
        <cfvo type="max"/>
        <color rgb="FF63BE7B"/>
        <color rgb="FFFFEB84"/>
        <color rgb="FFF8696B"/>
      </colorScale>
    </cfRule>
  </conditionalFormatting>
  <conditionalFormatting sqref="F11474:F11497">
    <cfRule type="colorScale" priority="776">
      <colorScale>
        <cfvo type="min"/>
        <cfvo type="percentile" val="50"/>
        <cfvo type="max"/>
        <color rgb="FF63BE7B"/>
        <color rgb="FFFFEB84"/>
        <color rgb="FFF8696B"/>
      </colorScale>
    </cfRule>
  </conditionalFormatting>
  <conditionalFormatting sqref="D11498:D11521">
    <cfRule type="colorScale" priority="775">
      <colorScale>
        <cfvo type="min"/>
        <cfvo type="percentile" val="50"/>
        <cfvo type="max"/>
        <color rgb="FF63BE7B"/>
        <color rgb="FFFFEB84"/>
        <color rgb="FFF8696B"/>
      </colorScale>
    </cfRule>
  </conditionalFormatting>
  <conditionalFormatting sqref="G11498:G11521">
    <cfRule type="cellIs" dxfId="569" priority="770" operator="between">
      <formula>49</formula>
      <formula>149</formula>
    </cfRule>
    <cfRule type="cellIs" dxfId="568" priority="773" operator="lessThan">
      <formula>49</formula>
    </cfRule>
    <cfRule type="cellIs" dxfId="567" priority="774" operator="greaterThanOrEqual">
      <formula>150</formula>
    </cfRule>
  </conditionalFormatting>
  <conditionalFormatting sqref="H11498:H11521">
    <cfRule type="cellIs" dxfId="566" priority="769" operator="between">
      <formula>0.8</formula>
      <formula>1.2</formula>
    </cfRule>
    <cfRule type="cellIs" dxfId="565" priority="771" operator="lessThan">
      <formula>0.8</formula>
    </cfRule>
    <cfRule type="cellIs" dxfId="564" priority="772" operator="greaterThanOrEqual">
      <formula>1.2</formula>
    </cfRule>
  </conditionalFormatting>
  <conditionalFormatting sqref="I11498:I11521">
    <cfRule type="colorScale" priority="768">
      <colorScale>
        <cfvo type="min"/>
        <cfvo type="percentile" val="50"/>
        <cfvo type="max"/>
        <color rgb="FF63BE7B"/>
        <color rgb="FFFFEB84"/>
        <color rgb="FFF8696B"/>
      </colorScale>
    </cfRule>
  </conditionalFormatting>
  <conditionalFormatting sqref="F11498:F11521">
    <cfRule type="colorScale" priority="763">
      <colorScale>
        <cfvo type="min"/>
        <cfvo type="percentile" val="50"/>
        <cfvo type="max"/>
        <color rgb="FF63BE7B"/>
        <color rgb="FFFFEB84"/>
        <color rgb="FFF8696B"/>
      </colorScale>
    </cfRule>
  </conditionalFormatting>
  <conditionalFormatting sqref="D11522:D11545">
    <cfRule type="colorScale" priority="762">
      <colorScale>
        <cfvo type="min"/>
        <cfvo type="percentile" val="50"/>
        <cfvo type="max"/>
        <color rgb="FF63BE7B"/>
        <color rgb="FFFFEB84"/>
        <color rgb="FFF8696B"/>
      </colorScale>
    </cfRule>
  </conditionalFormatting>
  <conditionalFormatting sqref="G11522:G11545">
    <cfRule type="cellIs" dxfId="563" priority="757" operator="between">
      <formula>49</formula>
      <formula>149</formula>
    </cfRule>
    <cfRule type="cellIs" dxfId="562" priority="760" operator="lessThan">
      <formula>49</formula>
    </cfRule>
    <cfRule type="cellIs" dxfId="561" priority="761" operator="greaterThanOrEqual">
      <formula>150</formula>
    </cfRule>
  </conditionalFormatting>
  <conditionalFormatting sqref="H11522:H11545">
    <cfRule type="cellIs" dxfId="560" priority="756" operator="between">
      <formula>0.8</formula>
      <formula>1.2</formula>
    </cfRule>
    <cfRule type="cellIs" dxfId="559" priority="758" operator="lessThan">
      <formula>0.8</formula>
    </cfRule>
    <cfRule type="cellIs" dxfId="558" priority="759" operator="greaterThanOrEqual">
      <formula>1.2</formula>
    </cfRule>
  </conditionalFormatting>
  <conditionalFormatting sqref="I11522:I11545">
    <cfRule type="colorScale" priority="755">
      <colorScale>
        <cfvo type="min"/>
        <cfvo type="percentile" val="50"/>
        <cfvo type="max"/>
        <color rgb="FF63BE7B"/>
        <color rgb="FFFFEB84"/>
        <color rgb="FFF8696B"/>
      </colorScale>
    </cfRule>
  </conditionalFormatting>
  <conditionalFormatting sqref="F11522:F11545">
    <cfRule type="colorScale" priority="750">
      <colorScale>
        <cfvo type="min"/>
        <cfvo type="percentile" val="50"/>
        <cfvo type="max"/>
        <color rgb="FF63BE7B"/>
        <color rgb="FFFFEB84"/>
        <color rgb="FFF8696B"/>
      </colorScale>
    </cfRule>
  </conditionalFormatting>
  <conditionalFormatting sqref="D11546:D11569">
    <cfRule type="colorScale" priority="749">
      <colorScale>
        <cfvo type="min"/>
        <cfvo type="percentile" val="50"/>
        <cfvo type="max"/>
        <color rgb="FF63BE7B"/>
        <color rgb="FFFFEB84"/>
        <color rgb="FFF8696B"/>
      </colorScale>
    </cfRule>
  </conditionalFormatting>
  <conditionalFormatting sqref="G11546:G11569">
    <cfRule type="cellIs" dxfId="557" priority="744" operator="between">
      <formula>49</formula>
      <formula>149</formula>
    </cfRule>
    <cfRule type="cellIs" dxfId="556" priority="747" operator="lessThan">
      <formula>49</formula>
    </cfRule>
    <cfRule type="cellIs" dxfId="555" priority="748" operator="greaterThanOrEqual">
      <formula>150</formula>
    </cfRule>
  </conditionalFormatting>
  <conditionalFormatting sqref="H11546:H11569">
    <cfRule type="cellIs" dxfId="554" priority="743" operator="between">
      <formula>0.8</formula>
      <formula>1.2</formula>
    </cfRule>
    <cfRule type="cellIs" dxfId="553" priority="745" operator="lessThan">
      <formula>0.8</formula>
    </cfRule>
    <cfRule type="cellIs" dxfId="552" priority="746" operator="greaterThanOrEqual">
      <formula>1.2</formula>
    </cfRule>
  </conditionalFormatting>
  <conditionalFormatting sqref="I11546:I11569">
    <cfRule type="colorScale" priority="742">
      <colorScale>
        <cfvo type="min"/>
        <cfvo type="percentile" val="50"/>
        <cfvo type="max"/>
        <color rgb="FF63BE7B"/>
        <color rgb="FFFFEB84"/>
        <color rgb="FFF8696B"/>
      </colorScale>
    </cfRule>
  </conditionalFormatting>
  <conditionalFormatting sqref="F11546:F11569">
    <cfRule type="colorScale" priority="737">
      <colorScale>
        <cfvo type="min"/>
        <cfvo type="percentile" val="50"/>
        <cfvo type="max"/>
        <color rgb="FF63BE7B"/>
        <color rgb="FFFFEB84"/>
        <color rgb="FFF8696B"/>
      </colorScale>
    </cfRule>
  </conditionalFormatting>
  <conditionalFormatting sqref="D11570:D11593">
    <cfRule type="colorScale" priority="736">
      <colorScale>
        <cfvo type="min"/>
        <cfvo type="percentile" val="50"/>
        <cfvo type="max"/>
        <color rgb="FF63BE7B"/>
        <color rgb="FFFFEB84"/>
        <color rgb="FFF8696B"/>
      </colorScale>
    </cfRule>
  </conditionalFormatting>
  <conditionalFormatting sqref="G11570:G11593">
    <cfRule type="cellIs" dxfId="551" priority="731" operator="between">
      <formula>49</formula>
      <formula>149</formula>
    </cfRule>
    <cfRule type="cellIs" dxfId="550" priority="734" operator="lessThan">
      <formula>49</formula>
    </cfRule>
    <cfRule type="cellIs" dxfId="549" priority="735" operator="greaterThanOrEqual">
      <formula>150</formula>
    </cfRule>
  </conditionalFormatting>
  <conditionalFormatting sqref="H11570:H11593">
    <cfRule type="cellIs" dxfId="548" priority="730" operator="between">
      <formula>0.8</formula>
      <formula>1.2</formula>
    </cfRule>
    <cfRule type="cellIs" dxfId="547" priority="732" operator="lessThan">
      <formula>0.8</formula>
    </cfRule>
    <cfRule type="cellIs" dxfId="546" priority="733" operator="greaterThanOrEqual">
      <formula>1.2</formula>
    </cfRule>
  </conditionalFormatting>
  <conditionalFormatting sqref="I11570:I11593">
    <cfRule type="colorScale" priority="729">
      <colorScale>
        <cfvo type="min"/>
        <cfvo type="percentile" val="50"/>
        <cfvo type="max"/>
        <color rgb="FF63BE7B"/>
        <color rgb="FFFFEB84"/>
        <color rgb="FFF8696B"/>
      </colorScale>
    </cfRule>
  </conditionalFormatting>
  <conditionalFormatting sqref="F11570:F11593">
    <cfRule type="colorScale" priority="724">
      <colorScale>
        <cfvo type="min"/>
        <cfvo type="percentile" val="50"/>
        <cfvo type="max"/>
        <color rgb="FF63BE7B"/>
        <color rgb="FFFFEB84"/>
        <color rgb="FFF8696B"/>
      </colorScale>
    </cfRule>
  </conditionalFormatting>
  <conditionalFormatting sqref="D11594:D11617">
    <cfRule type="colorScale" priority="723">
      <colorScale>
        <cfvo type="min"/>
        <cfvo type="percentile" val="50"/>
        <cfvo type="max"/>
        <color rgb="FF63BE7B"/>
        <color rgb="FFFFEB84"/>
        <color rgb="FFF8696B"/>
      </colorScale>
    </cfRule>
  </conditionalFormatting>
  <conditionalFormatting sqref="F11594:F11617">
    <cfRule type="colorScale" priority="722">
      <colorScale>
        <cfvo type="min"/>
        <cfvo type="percentile" val="50"/>
        <cfvo type="max"/>
        <color rgb="FF63BE7B"/>
        <color rgb="FFFFEB84"/>
        <color rgb="FFF8696B"/>
      </colorScale>
    </cfRule>
  </conditionalFormatting>
  <conditionalFormatting sqref="G11594:G11617">
    <cfRule type="cellIs" dxfId="545" priority="717" operator="between">
      <formula>49</formula>
      <formula>149</formula>
    </cfRule>
    <cfRule type="cellIs" dxfId="544" priority="720" operator="lessThan">
      <formula>49</formula>
    </cfRule>
    <cfRule type="cellIs" dxfId="543" priority="721" operator="greaterThanOrEqual">
      <formula>150</formula>
    </cfRule>
  </conditionalFormatting>
  <conditionalFormatting sqref="H11594:H11617">
    <cfRule type="cellIs" dxfId="542" priority="716" operator="between">
      <formula>0.8</formula>
      <formula>1.2</formula>
    </cfRule>
    <cfRule type="cellIs" dxfId="541" priority="718" operator="lessThan">
      <formula>0.8</formula>
    </cfRule>
    <cfRule type="cellIs" dxfId="540" priority="719" operator="greaterThanOrEqual">
      <formula>1.2</formula>
    </cfRule>
  </conditionalFormatting>
  <conditionalFormatting sqref="I11594:I11617">
    <cfRule type="colorScale" priority="715">
      <colorScale>
        <cfvo type="min"/>
        <cfvo type="percentile" val="50"/>
        <cfvo type="max"/>
        <color rgb="FF63BE7B"/>
        <color rgb="FFFFEB84"/>
        <color rgb="FFF8696B"/>
      </colorScale>
    </cfRule>
  </conditionalFormatting>
  <conditionalFormatting sqref="K11259:K11281">
    <cfRule type="colorScale" priority="710">
      <colorScale>
        <cfvo type="min"/>
        <cfvo type="percentile" val="50"/>
        <cfvo type="max"/>
        <color rgb="FF63BE7B"/>
        <color rgb="FFFFEB84"/>
        <color rgb="FFF8696B"/>
      </colorScale>
    </cfRule>
  </conditionalFormatting>
  <conditionalFormatting sqref="K11258:K11281">
    <cfRule type="colorScale" priority="709">
      <colorScale>
        <cfvo type="min"/>
        <cfvo type="percentile" val="50"/>
        <cfvo type="max"/>
        <color rgb="FF63BE7B"/>
        <color rgb="FFFFEB84"/>
        <color rgb="FFF8696B"/>
      </colorScale>
    </cfRule>
  </conditionalFormatting>
  <conditionalFormatting sqref="M11258:M11281">
    <cfRule type="colorScale" priority="708">
      <colorScale>
        <cfvo type="min"/>
        <cfvo type="percentile" val="50"/>
        <cfvo type="max"/>
        <color rgb="FF63BE7B"/>
        <color rgb="FFFFEB84"/>
        <color rgb="FFF8696B"/>
      </colorScale>
    </cfRule>
  </conditionalFormatting>
  <conditionalFormatting sqref="L11258:L11281">
    <cfRule type="colorScale" priority="707">
      <colorScale>
        <cfvo type="min"/>
        <cfvo type="percentile" val="50"/>
        <cfvo type="max"/>
        <color rgb="FF63BE7B"/>
        <color rgb="FFFFEB84"/>
        <color rgb="FFF8696B"/>
      </colorScale>
    </cfRule>
  </conditionalFormatting>
  <conditionalFormatting sqref="K11283:K11305">
    <cfRule type="colorScale" priority="706">
      <colorScale>
        <cfvo type="min"/>
        <cfvo type="percentile" val="50"/>
        <cfvo type="max"/>
        <color rgb="FF63BE7B"/>
        <color rgb="FFFFEB84"/>
        <color rgb="FFF8696B"/>
      </colorScale>
    </cfRule>
  </conditionalFormatting>
  <conditionalFormatting sqref="K11282:K11305">
    <cfRule type="colorScale" priority="705">
      <colorScale>
        <cfvo type="min"/>
        <cfvo type="percentile" val="50"/>
        <cfvo type="max"/>
        <color rgb="FF63BE7B"/>
        <color rgb="FFFFEB84"/>
        <color rgb="FFF8696B"/>
      </colorScale>
    </cfRule>
  </conditionalFormatting>
  <conditionalFormatting sqref="M11282:M11305">
    <cfRule type="colorScale" priority="704">
      <colorScale>
        <cfvo type="min"/>
        <cfvo type="percentile" val="50"/>
        <cfvo type="max"/>
        <color rgb="FF63BE7B"/>
        <color rgb="FFFFEB84"/>
        <color rgb="FFF8696B"/>
      </colorScale>
    </cfRule>
  </conditionalFormatting>
  <conditionalFormatting sqref="L11282:L11305">
    <cfRule type="colorScale" priority="703">
      <colorScale>
        <cfvo type="min"/>
        <cfvo type="percentile" val="50"/>
        <cfvo type="max"/>
        <color rgb="FF63BE7B"/>
        <color rgb="FFFFEB84"/>
        <color rgb="FFF8696B"/>
      </colorScale>
    </cfRule>
  </conditionalFormatting>
  <conditionalFormatting sqref="K11307:K11329">
    <cfRule type="colorScale" priority="702">
      <colorScale>
        <cfvo type="min"/>
        <cfvo type="percentile" val="50"/>
        <cfvo type="max"/>
        <color rgb="FF63BE7B"/>
        <color rgb="FFFFEB84"/>
        <color rgb="FFF8696B"/>
      </colorScale>
    </cfRule>
  </conditionalFormatting>
  <conditionalFormatting sqref="K11306:K11329">
    <cfRule type="colorScale" priority="701">
      <colorScale>
        <cfvo type="min"/>
        <cfvo type="percentile" val="50"/>
        <cfvo type="max"/>
        <color rgb="FF63BE7B"/>
        <color rgb="FFFFEB84"/>
        <color rgb="FFF8696B"/>
      </colorScale>
    </cfRule>
  </conditionalFormatting>
  <conditionalFormatting sqref="M11306:M11329">
    <cfRule type="colorScale" priority="700">
      <colorScale>
        <cfvo type="min"/>
        <cfvo type="percentile" val="50"/>
        <cfvo type="max"/>
        <color rgb="FF63BE7B"/>
        <color rgb="FFFFEB84"/>
        <color rgb="FFF8696B"/>
      </colorScale>
    </cfRule>
  </conditionalFormatting>
  <conditionalFormatting sqref="L11306:L11329">
    <cfRule type="colorScale" priority="699">
      <colorScale>
        <cfvo type="min"/>
        <cfvo type="percentile" val="50"/>
        <cfvo type="max"/>
        <color rgb="FF63BE7B"/>
        <color rgb="FFFFEB84"/>
        <color rgb="FFF8696B"/>
      </colorScale>
    </cfRule>
  </conditionalFormatting>
  <conditionalFormatting sqref="K11331:K11353">
    <cfRule type="colorScale" priority="698">
      <colorScale>
        <cfvo type="min"/>
        <cfvo type="percentile" val="50"/>
        <cfvo type="max"/>
        <color rgb="FF63BE7B"/>
        <color rgb="FFFFEB84"/>
        <color rgb="FFF8696B"/>
      </colorScale>
    </cfRule>
  </conditionalFormatting>
  <conditionalFormatting sqref="K11330:K11353">
    <cfRule type="colorScale" priority="697">
      <colorScale>
        <cfvo type="min"/>
        <cfvo type="percentile" val="50"/>
        <cfvo type="max"/>
        <color rgb="FF63BE7B"/>
        <color rgb="FFFFEB84"/>
        <color rgb="FFF8696B"/>
      </colorScale>
    </cfRule>
  </conditionalFormatting>
  <conditionalFormatting sqref="M11330:M11353">
    <cfRule type="colorScale" priority="696">
      <colorScale>
        <cfvo type="min"/>
        <cfvo type="percentile" val="50"/>
        <cfvo type="max"/>
        <color rgb="FF63BE7B"/>
        <color rgb="FFFFEB84"/>
        <color rgb="FFF8696B"/>
      </colorScale>
    </cfRule>
  </conditionalFormatting>
  <conditionalFormatting sqref="L11330:L11353">
    <cfRule type="colorScale" priority="695">
      <colorScale>
        <cfvo type="min"/>
        <cfvo type="percentile" val="50"/>
        <cfvo type="max"/>
        <color rgb="FF63BE7B"/>
        <color rgb="FFFFEB84"/>
        <color rgb="FFF8696B"/>
      </colorScale>
    </cfRule>
  </conditionalFormatting>
  <conditionalFormatting sqref="K11355:K11377">
    <cfRule type="colorScale" priority="694">
      <colorScale>
        <cfvo type="min"/>
        <cfvo type="percentile" val="50"/>
        <cfvo type="max"/>
        <color rgb="FF63BE7B"/>
        <color rgb="FFFFEB84"/>
        <color rgb="FFF8696B"/>
      </colorScale>
    </cfRule>
  </conditionalFormatting>
  <conditionalFormatting sqref="K11354:K11377">
    <cfRule type="colorScale" priority="693">
      <colorScale>
        <cfvo type="min"/>
        <cfvo type="percentile" val="50"/>
        <cfvo type="max"/>
        <color rgb="FF63BE7B"/>
        <color rgb="FFFFEB84"/>
        <color rgb="FFF8696B"/>
      </colorScale>
    </cfRule>
  </conditionalFormatting>
  <conditionalFormatting sqref="M11354:M11377">
    <cfRule type="colorScale" priority="692">
      <colorScale>
        <cfvo type="min"/>
        <cfvo type="percentile" val="50"/>
        <cfvo type="max"/>
        <color rgb="FF63BE7B"/>
        <color rgb="FFFFEB84"/>
        <color rgb="FFF8696B"/>
      </colorScale>
    </cfRule>
  </conditionalFormatting>
  <conditionalFormatting sqref="L11354:L11377">
    <cfRule type="colorScale" priority="691">
      <colorScale>
        <cfvo type="min"/>
        <cfvo type="percentile" val="50"/>
        <cfvo type="max"/>
        <color rgb="FF63BE7B"/>
        <color rgb="FFFFEB84"/>
        <color rgb="FFF8696B"/>
      </colorScale>
    </cfRule>
  </conditionalFormatting>
  <conditionalFormatting sqref="K11379:K11401">
    <cfRule type="colorScale" priority="690">
      <colorScale>
        <cfvo type="min"/>
        <cfvo type="percentile" val="50"/>
        <cfvo type="max"/>
        <color rgb="FF63BE7B"/>
        <color rgb="FFFFEB84"/>
        <color rgb="FFF8696B"/>
      </colorScale>
    </cfRule>
  </conditionalFormatting>
  <conditionalFormatting sqref="K11378:K11401">
    <cfRule type="colorScale" priority="689">
      <colorScale>
        <cfvo type="min"/>
        <cfvo type="percentile" val="50"/>
        <cfvo type="max"/>
        <color rgb="FF63BE7B"/>
        <color rgb="FFFFEB84"/>
        <color rgb="FFF8696B"/>
      </colorScale>
    </cfRule>
  </conditionalFormatting>
  <conditionalFormatting sqref="M11378:M11401">
    <cfRule type="colorScale" priority="688">
      <colorScale>
        <cfvo type="min"/>
        <cfvo type="percentile" val="50"/>
        <cfvo type="max"/>
        <color rgb="FF63BE7B"/>
        <color rgb="FFFFEB84"/>
        <color rgb="FFF8696B"/>
      </colorScale>
    </cfRule>
  </conditionalFormatting>
  <conditionalFormatting sqref="L11378:L11401">
    <cfRule type="colorScale" priority="687">
      <colorScale>
        <cfvo type="min"/>
        <cfvo type="percentile" val="50"/>
        <cfvo type="max"/>
        <color rgb="FF63BE7B"/>
        <color rgb="FFFFEB84"/>
        <color rgb="FFF8696B"/>
      </colorScale>
    </cfRule>
  </conditionalFormatting>
  <conditionalFormatting sqref="K11403:K11425">
    <cfRule type="colorScale" priority="686">
      <colorScale>
        <cfvo type="min"/>
        <cfvo type="percentile" val="50"/>
        <cfvo type="max"/>
        <color rgb="FF63BE7B"/>
        <color rgb="FFFFEB84"/>
        <color rgb="FFF8696B"/>
      </colorScale>
    </cfRule>
  </conditionalFormatting>
  <conditionalFormatting sqref="K11402:K11425">
    <cfRule type="colorScale" priority="685">
      <colorScale>
        <cfvo type="min"/>
        <cfvo type="percentile" val="50"/>
        <cfvo type="max"/>
        <color rgb="FF63BE7B"/>
        <color rgb="FFFFEB84"/>
        <color rgb="FFF8696B"/>
      </colorScale>
    </cfRule>
  </conditionalFormatting>
  <conditionalFormatting sqref="M11402:M11425">
    <cfRule type="colorScale" priority="684">
      <colorScale>
        <cfvo type="min"/>
        <cfvo type="percentile" val="50"/>
        <cfvo type="max"/>
        <color rgb="FF63BE7B"/>
        <color rgb="FFFFEB84"/>
        <color rgb="FFF8696B"/>
      </colorScale>
    </cfRule>
  </conditionalFormatting>
  <conditionalFormatting sqref="L11402:L11425">
    <cfRule type="colorScale" priority="683">
      <colorScale>
        <cfvo type="min"/>
        <cfvo type="percentile" val="50"/>
        <cfvo type="max"/>
        <color rgb="FF63BE7B"/>
        <color rgb="FFFFEB84"/>
        <color rgb="FFF8696B"/>
      </colorScale>
    </cfRule>
  </conditionalFormatting>
  <conditionalFormatting sqref="K11427:K11449">
    <cfRule type="colorScale" priority="682">
      <colorScale>
        <cfvo type="min"/>
        <cfvo type="percentile" val="50"/>
        <cfvo type="max"/>
        <color rgb="FF63BE7B"/>
        <color rgb="FFFFEB84"/>
        <color rgb="FFF8696B"/>
      </colorScale>
    </cfRule>
  </conditionalFormatting>
  <conditionalFormatting sqref="K11426:K11449">
    <cfRule type="colorScale" priority="681">
      <colorScale>
        <cfvo type="min"/>
        <cfvo type="percentile" val="50"/>
        <cfvo type="max"/>
        <color rgb="FF63BE7B"/>
        <color rgb="FFFFEB84"/>
        <color rgb="FFF8696B"/>
      </colorScale>
    </cfRule>
  </conditionalFormatting>
  <conditionalFormatting sqref="M11426:M11449">
    <cfRule type="colorScale" priority="680">
      <colorScale>
        <cfvo type="min"/>
        <cfvo type="percentile" val="50"/>
        <cfvo type="max"/>
        <color rgb="FF63BE7B"/>
        <color rgb="FFFFEB84"/>
        <color rgb="FFF8696B"/>
      </colorScale>
    </cfRule>
  </conditionalFormatting>
  <conditionalFormatting sqref="L11426:L11449">
    <cfRule type="colorScale" priority="679">
      <colorScale>
        <cfvo type="min"/>
        <cfvo type="percentile" val="50"/>
        <cfvo type="max"/>
        <color rgb="FF63BE7B"/>
        <color rgb="FFFFEB84"/>
        <color rgb="FFF8696B"/>
      </colorScale>
    </cfRule>
  </conditionalFormatting>
  <conditionalFormatting sqref="K11451:K11473">
    <cfRule type="colorScale" priority="678">
      <colorScale>
        <cfvo type="min"/>
        <cfvo type="percentile" val="50"/>
        <cfvo type="max"/>
        <color rgb="FF63BE7B"/>
        <color rgb="FFFFEB84"/>
        <color rgb="FFF8696B"/>
      </colorScale>
    </cfRule>
  </conditionalFormatting>
  <conditionalFormatting sqref="K11450:K11473">
    <cfRule type="colorScale" priority="677">
      <colorScale>
        <cfvo type="min"/>
        <cfvo type="percentile" val="50"/>
        <cfvo type="max"/>
        <color rgb="FF63BE7B"/>
        <color rgb="FFFFEB84"/>
        <color rgb="FFF8696B"/>
      </colorScale>
    </cfRule>
  </conditionalFormatting>
  <conditionalFormatting sqref="M11450:M11473">
    <cfRule type="colorScale" priority="676">
      <colorScale>
        <cfvo type="min"/>
        <cfvo type="percentile" val="50"/>
        <cfvo type="max"/>
        <color rgb="FF63BE7B"/>
        <color rgb="FFFFEB84"/>
        <color rgb="FFF8696B"/>
      </colorScale>
    </cfRule>
  </conditionalFormatting>
  <conditionalFormatting sqref="L11450:L11473">
    <cfRule type="colorScale" priority="675">
      <colorScale>
        <cfvo type="min"/>
        <cfvo type="percentile" val="50"/>
        <cfvo type="max"/>
        <color rgb="FF63BE7B"/>
        <color rgb="FFFFEB84"/>
        <color rgb="FFF8696B"/>
      </colorScale>
    </cfRule>
  </conditionalFormatting>
  <conditionalFormatting sqref="K11475:K11497">
    <cfRule type="colorScale" priority="674">
      <colorScale>
        <cfvo type="min"/>
        <cfvo type="percentile" val="50"/>
        <cfvo type="max"/>
        <color rgb="FF63BE7B"/>
        <color rgb="FFFFEB84"/>
        <color rgb="FFF8696B"/>
      </colorScale>
    </cfRule>
  </conditionalFormatting>
  <conditionalFormatting sqref="K11474:K11497">
    <cfRule type="colorScale" priority="673">
      <colorScale>
        <cfvo type="min"/>
        <cfvo type="percentile" val="50"/>
        <cfvo type="max"/>
        <color rgb="FF63BE7B"/>
        <color rgb="FFFFEB84"/>
        <color rgb="FFF8696B"/>
      </colorScale>
    </cfRule>
  </conditionalFormatting>
  <conditionalFormatting sqref="M11474:M11497">
    <cfRule type="colorScale" priority="672">
      <colorScale>
        <cfvo type="min"/>
        <cfvo type="percentile" val="50"/>
        <cfvo type="max"/>
        <color rgb="FF63BE7B"/>
        <color rgb="FFFFEB84"/>
        <color rgb="FFF8696B"/>
      </colorScale>
    </cfRule>
  </conditionalFormatting>
  <conditionalFormatting sqref="L11474:L11497">
    <cfRule type="colorScale" priority="671">
      <colorScale>
        <cfvo type="min"/>
        <cfvo type="percentile" val="50"/>
        <cfvo type="max"/>
        <color rgb="FF63BE7B"/>
        <color rgb="FFFFEB84"/>
        <color rgb="FFF8696B"/>
      </colorScale>
    </cfRule>
  </conditionalFormatting>
  <conditionalFormatting sqref="K11499:K11521">
    <cfRule type="colorScale" priority="670">
      <colorScale>
        <cfvo type="min"/>
        <cfvo type="percentile" val="50"/>
        <cfvo type="max"/>
        <color rgb="FF63BE7B"/>
        <color rgb="FFFFEB84"/>
        <color rgb="FFF8696B"/>
      </colorScale>
    </cfRule>
  </conditionalFormatting>
  <conditionalFormatting sqref="K11498:K11521">
    <cfRule type="colorScale" priority="669">
      <colorScale>
        <cfvo type="min"/>
        <cfvo type="percentile" val="50"/>
        <cfvo type="max"/>
        <color rgb="FF63BE7B"/>
        <color rgb="FFFFEB84"/>
        <color rgb="FFF8696B"/>
      </colorScale>
    </cfRule>
  </conditionalFormatting>
  <conditionalFormatting sqref="M11498:M11521">
    <cfRule type="colorScale" priority="668">
      <colorScale>
        <cfvo type="min"/>
        <cfvo type="percentile" val="50"/>
        <cfvo type="max"/>
        <color rgb="FF63BE7B"/>
        <color rgb="FFFFEB84"/>
        <color rgb="FFF8696B"/>
      </colorScale>
    </cfRule>
  </conditionalFormatting>
  <conditionalFormatting sqref="L11498:L11521">
    <cfRule type="colorScale" priority="667">
      <colorScale>
        <cfvo type="min"/>
        <cfvo type="percentile" val="50"/>
        <cfvo type="max"/>
        <color rgb="FF63BE7B"/>
        <color rgb="FFFFEB84"/>
        <color rgb="FFF8696B"/>
      </colorScale>
    </cfRule>
  </conditionalFormatting>
  <conditionalFormatting sqref="K11523:K11545">
    <cfRule type="colorScale" priority="666">
      <colorScale>
        <cfvo type="min"/>
        <cfvo type="percentile" val="50"/>
        <cfvo type="max"/>
        <color rgb="FF63BE7B"/>
        <color rgb="FFFFEB84"/>
        <color rgb="FFF8696B"/>
      </colorScale>
    </cfRule>
  </conditionalFormatting>
  <conditionalFormatting sqref="K11522:K11545">
    <cfRule type="colorScale" priority="665">
      <colorScale>
        <cfvo type="min"/>
        <cfvo type="percentile" val="50"/>
        <cfvo type="max"/>
        <color rgb="FF63BE7B"/>
        <color rgb="FFFFEB84"/>
        <color rgb="FFF8696B"/>
      </colorScale>
    </cfRule>
  </conditionalFormatting>
  <conditionalFormatting sqref="M11522:M11545">
    <cfRule type="colorScale" priority="664">
      <colorScale>
        <cfvo type="min"/>
        <cfvo type="percentile" val="50"/>
        <cfvo type="max"/>
        <color rgb="FF63BE7B"/>
        <color rgb="FFFFEB84"/>
        <color rgb="FFF8696B"/>
      </colorScale>
    </cfRule>
  </conditionalFormatting>
  <conditionalFormatting sqref="L11522:L11545">
    <cfRule type="colorScale" priority="663">
      <colorScale>
        <cfvo type="min"/>
        <cfvo type="percentile" val="50"/>
        <cfvo type="max"/>
        <color rgb="FF63BE7B"/>
        <color rgb="FFFFEB84"/>
        <color rgb="FFF8696B"/>
      </colorScale>
    </cfRule>
  </conditionalFormatting>
  <conditionalFormatting sqref="K11547:K11569">
    <cfRule type="colorScale" priority="662">
      <colorScale>
        <cfvo type="min"/>
        <cfvo type="percentile" val="50"/>
        <cfvo type="max"/>
        <color rgb="FF63BE7B"/>
        <color rgb="FFFFEB84"/>
        <color rgb="FFF8696B"/>
      </colorScale>
    </cfRule>
  </conditionalFormatting>
  <conditionalFormatting sqref="K11546:K11569">
    <cfRule type="colorScale" priority="661">
      <colorScale>
        <cfvo type="min"/>
        <cfvo type="percentile" val="50"/>
        <cfvo type="max"/>
        <color rgb="FF63BE7B"/>
        <color rgb="FFFFEB84"/>
        <color rgb="FFF8696B"/>
      </colorScale>
    </cfRule>
  </conditionalFormatting>
  <conditionalFormatting sqref="M11546:M11569">
    <cfRule type="colorScale" priority="660">
      <colorScale>
        <cfvo type="min"/>
        <cfvo type="percentile" val="50"/>
        <cfvo type="max"/>
        <color rgb="FF63BE7B"/>
        <color rgb="FFFFEB84"/>
        <color rgb="FFF8696B"/>
      </colorScale>
    </cfRule>
  </conditionalFormatting>
  <conditionalFormatting sqref="L11546:L11569">
    <cfRule type="colorScale" priority="659">
      <colorScale>
        <cfvo type="min"/>
        <cfvo type="percentile" val="50"/>
        <cfvo type="max"/>
        <color rgb="FF63BE7B"/>
        <color rgb="FFFFEB84"/>
        <color rgb="FFF8696B"/>
      </colorScale>
    </cfRule>
  </conditionalFormatting>
  <conditionalFormatting sqref="K11571:K11593">
    <cfRule type="colorScale" priority="658">
      <colorScale>
        <cfvo type="min"/>
        <cfvo type="percentile" val="50"/>
        <cfvo type="max"/>
        <color rgb="FF63BE7B"/>
        <color rgb="FFFFEB84"/>
        <color rgb="FFF8696B"/>
      </colorScale>
    </cfRule>
  </conditionalFormatting>
  <conditionalFormatting sqref="K11570:K11593">
    <cfRule type="colorScale" priority="657">
      <colorScale>
        <cfvo type="min"/>
        <cfvo type="percentile" val="50"/>
        <cfvo type="max"/>
        <color rgb="FF63BE7B"/>
        <color rgb="FFFFEB84"/>
        <color rgb="FFF8696B"/>
      </colorScale>
    </cfRule>
  </conditionalFormatting>
  <conditionalFormatting sqref="M11570:M11593">
    <cfRule type="colorScale" priority="656">
      <colorScale>
        <cfvo type="min"/>
        <cfvo type="percentile" val="50"/>
        <cfvo type="max"/>
        <color rgb="FF63BE7B"/>
        <color rgb="FFFFEB84"/>
        <color rgb="FFF8696B"/>
      </colorScale>
    </cfRule>
  </conditionalFormatting>
  <conditionalFormatting sqref="L11570:L11593">
    <cfRule type="colorScale" priority="655">
      <colorScale>
        <cfvo type="min"/>
        <cfvo type="percentile" val="50"/>
        <cfvo type="max"/>
        <color rgb="FF63BE7B"/>
        <color rgb="FFFFEB84"/>
        <color rgb="FFF8696B"/>
      </colorScale>
    </cfRule>
  </conditionalFormatting>
  <conditionalFormatting sqref="K11595:K11617">
    <cfRule type="colorScale" priority="654">
      <colorScale>
        <cfvo type="min"/>
        <cfvo type="percentile" val="50"/>
        <cfvo type="max"/>
        <color rgb="FF63BE7B"/>
        <color rgb="FFFFEB84"/>
        <color rgb="FFF8696B"/>
      </colorScale>
    </cfRule>
  </conditionalFormatting>
  <conditionalFormatting sqref="K11594:K11617">
    <cfRule type="colorScale" priority="653">
      <colorScale>
        <cfvo type="min"/>
        <cfvo type="percentile" val="50"/>
        <cfvo type="max"/>
        <color rgb="FF63BE7B"/>
        <color rgb="FFFFEB84"/>
        <color rgb="FFF8696B"/>
      </colorScale>
    </cfRule>
  </conditionalFormatting>
  <conditionalFormatting sqref="M11594:M11617">
    <cfRule type="colorScale" priority="652">
      <colorScale>
        <cfvo type="min"/>
        <cfvo type="percentile" val="50"/>
        <cfvo type="max"/>
        <color rgb="FF63BE7B"/>
        <color rgb="FFFFEB84"/>
        <color rgb="FFF8696B"/>
      </colorScale>
    </cfRule>
  </conditionalFormatting>
  <conditionalFormatting sqref="L11594:L11617">
    <cfRule type="colorScale" priority="651">
      <colorScale>
        <cfvo type="min"/>
        <cfvo type="percentile" val="50"/>
        <cfvo type="max"/>
        <color rgb="FF63BE7B"/>
        <color rgb="FFFFEB84"/>
        <color rgb="FFF8696B"/>
      </colorScale>
    </cfRule>
  </conditionalFormatting>
  <conditionalFormatting sqref="D11618:D11641">
    <cfRule type="colorScale" priority="650">
      <colorScale>
        <cfvo type="min"/>
        <cfvo type="percentile" val="50"/>
        <cfvo type="max"/>
        <color rgb="FF63BE7B"/>
        <color rgb="FFFFEB84"/>
        <color rgb="FFF8696B"/>
      </colorScale>
    </cfRule>
  </conditionalFormatting>
  <conditionalFormatting sqref="F11618:F11641">
    <cfRule type="colorScale" priority="649">
      <colorScale>
        <cfvo type="min"/>
        <cfvo type="percentile" val="50"/>
        <cfvo type="max"/>
        <color rgb="FF63BE7B"/>
        <color rgb="FFFFEB84"/>
        <color rgb="FFF8696B"/>
      </colorScale>
    </cfRule>
  </conditionalFormatting>
  <conditionalFormatting sqref="G11618:G11641">
    <cfRule type="cellIs" dxfId="539" priority="644" operator="between">
      <formula>49</formula>
      <formula>149</formula>
    </cfRule>
    <cfRule type="cellIs" dxfId="538" priority="647" operator="lessThan">
      <formula>49</formula>
    </cfRule>
    <cfRule type="cellIs" dxfId="537" priority="648" operator="greaterThanOrEqual">
      <formula>150</formula>
    </cfRule>
  </conditionalFormatting>
  <conditionalFormatting sqref="H11618:H11641">
    <cfRule type="cellIs" dxfId="536" priority="643" operator="between">
      <formula>0.8</formula>
      <formula>1.2</formula>
    </cfRule>
    <cfRule type="cellIs" dxfId="535" priority="645" operator="lessThan">
      <formula>0.8</formula>
    </cfRule>
    <cfRule type="cellIs" dxfId="534" priority="646" operator="greaterThanOrEqual">
      <formula>1.2</formula>
    </cfRule>
  </conditionalFormatting>
  <conditionalFormatting sqref="I11618:I11641">
    <cfRule type="colorScale" priority="642">
      <colorScale>
        <cfvo type="min"/>
        <cfvo type="percentile" val="50"/>
        <cfvo type="max"/>
        <color rgb="FF63BE7B"/>
        <color rgb="FFFFEB84"/>
        <color rgb="FFF8696B"/>
      </colorScale>
    </cfRule>
  </conditionalFormatting>
  <conditionalFormatting sqref="K11619:K11641">
    <cfRule type="colorScale" priority="641">
      <colorScale>
        <cfvo type="min"/>
        <cfvo type="percentile" val="50"/>
        <cfvo type="max"/>
        <color rgb="FF63BE7B"/>
        <color rgb="FFFFEB84"/>
        <color rgb="FFF8696B"/>
      </colorScale>
    </cfRule>
  </conditionalFormatting>
  <conditionalFormatting sqref="K11618:K11641">
    <cfRule type="colorScale" priority="640">
      <colorScale>
        <cfvo type="min"/>
        <cfvo type="percentile" val="50"/>
        <cfvo type="max"/>
        <color rgb="FF63BE7B"/>
        <color rgb="FFFFEB84"/>
        <color rgb="FFF8696B"/>
      </colorScale>
    </cfRule>
  </conditionalFormatting>
  <conditionalFormatting sqref="M11618:M11641">
    <cfRule type="colorScale" priority="639">
      <colorScale>
        <cfvo type="min"/>
        <cfvo type="percentile" val="50"/>
        <cfvo type="max"/>
        <color rgb="FF63BE7B"/>
        <color rgb="FFFFEB84"/>
        <color rgb="FFF8696B"/>
      </colorScale>
    </cfRule>
  </conditionalFormatting>
  <conditionalFormatting sqref="L11618:L11641">
    <cfRule type="colorScale" priority="638">
      <colorScale>
        <cfvo type="min"/>
        <cfvo type="percentile" val="50"/>
        <cfvo type="max"/>
        <color rgb="FF63BE7B"/>
        <color rgb="FFFFEB84"/>
        <color rgb="FFF8696B"/>
      </colorScale>
    </cfRule>
  </conditionalFormatting>
  <conditionalFormatting sqref="D11642:D11665">
    <cfRule type="colorScale" priority="637">
      <colorScale>
        <cfvo type="min"/>
        <cfvo type="percentile" val="50"/>
        <cfvo type="max"/>
        <color rgb="FF63BE7B"/>
        <color rgb="FFFFEB84"/>
        <color rgb="FFF8696B"/>
      </colorScale>
    </cfRule>
  </conditionalFormatting>
  <conditionalFormatting sqref="F11642:F11665">
    <cfRule type="colorScale" priority="636">
      <colorScale>
        <cfvo type="min"/>
        <cfvo type="percentile" val="50"/>
        <cfvo type="max"/>
        <color rgb="FF63BE7B"/>
        <color rgb="FFFFEB84"/>
        <color rgb="FFF8696B"/>
      </colorScale>
    </cfRule>
  </conditionalFormatting>
  <conditionalFormatting sqref="G11642:G11665">
    <cfRule type="cellIs" dxfId="533" priority="631" operator="between">
      <formula>49</formula>
      <formula>149</formula>
    </cfRule>
    <cfRule type="cellIs" dxfId="532" priority="634" operator="lessThan">
      <formula>49</formula>
    </cfRule>
    <cfRule type="cellIs" dxfId="531" priority="635" operator="greaterThanOrEqual">
      <formula>150</formula>
    </cfRule>
  </conditionalFormatting>
  <conditionalFormatting sqref="H11642:H11665">
    <cfRule type="cellIs" dxfId="530" priority="630" operator="between">
      <formula>0.8</formula>
      <formula>1.2</formula>
    </cfRule>
    <cfRule type="cellIs" dxfId="529" priority="632" operator="lessThan">
      <formula>0.8</formula>
    </cfRule>
    <cfRule type="cellIs" dxfId="528" priority="633" operator="greaterThanOrEqual">
      <formula>1.2</formula>
    </cfRule>
  </conditionalFormatting>
  <conditionalFormatting sqref="I11642:I11665">
    <cfRule type="colorScale" priority="629">
      <colorScale>
        <cfvo type="min"/>
        <cfvo type="percentile" val="50"/>
        <cfvo type="max"/>
        <color rgb="FF63BE7B"/>
        <color rgb="FFFFEB84"/>
        <color rgb="FFF8696B"/>
      </colorScale>
    </cfRule>
  </conditionalFormatting>
  <conditionalFormatting sqref="K11643:K11665">
    <cfRule type="colorScale" priority="628">
      <colorScale>
        <cfvo type="min"/>
        <cfvo type="percentile" val="50"/>
        <cfvo type="max"/>
        <color rgb="FF63BE7B"/>
        <color rgb="FFFFEB84"/>
        <color rgb="FFF8696B"/>
      </colorScale>
    </cfRule>
  </conditionalFormatting>
  <conditionalFormatting sqref="K11642:K11665">
    <cfRule type="colorScale" priority="627">
      <colorScale>
        <cfvo type="min"/>
        <cfvo type="percentile" val="50"/>
        <cfvo type="max"/>
        <color rgb="FF63BE7B"/>
        <color rgb="FFFFEB84"/>
        <color rgb="FFF8696B"/>
      </colorScale>
    </cfRule>
  </conditionalFormatting>
  <conditionalFormatting sqref="M11642:M11665">
    <cfRule type="colorScale" priority="626">
      <colorScale>
        <cfvo type="min"/>
        <cfvo type="percentile" val="50"/>
        <cfvo type="max"/>
        <color rgb="FF63BE7B"/>
        <color rgb="FFFFEB84"/>
        <color rgb="FFF8696B"/>
      </colorScale>
    </cfRule>
  </conditionalFormatting>
  <conditionalFormatting sqref="L11642:L11665">
    <cfRule type="colorScale" priority="625">
      <colorScale>
        <cfvo type="min"/>
        <cfvo type="percentile" val="50"/>
        <cfvo type="max"/>
        <color rgb="FF63BE7B"/>
        <color rgb="FFFFEB84"/>
        <color rgb="FFF8696B"/>
      </colorScale>
    </cfRule>
  </conditionalFormatting>
  <conditionalFormatting sqref="D11666:D11689">
    <cfRule type="colorScale" priority="624">
      <colorScale>
        <cfvo type="min"/>
        <cfvo type="percentile" val="50"/>
        <cfvo type="max"/>
        <color rgb="FF63BE7B"/>
        <color rgb="FFFFEB84"/>
        <color rgb="FFF8696B"/>
      </colorScale>
    </cfRule>
  </conditionalFormatting>
  <conditionalFormatting sqref="F11666:F11689">
    <cfRule type="colorScale" priority="623">
      <colorScale>
        <cfvo type="min"/>
        <cfvo type="percentile" val="50"/>
        <cfvo type="max"/>
        <color rgb="FF63BE7B"/>
        <color rgb="FFFFEB84"/>
        <color rgb="FFF8696B"/>
      </colorScale>
    </cfRule>
  </conditionalFormatting>
  <conditionalFormatting sqref="G11666:G11689">
    <cfRule type="cellIs" dxfId="527" priority="618" operator="between">
      <formula>49</formula>
      <formula>149</formula>
    </cfRule>
    <cfRule type="cellIs" dxfId="526" priority="621" operator="lessThan">
      <formula>49</formula>
    </cfRule>
    <cfRule type="cellIs" dxfId="525" priority="622" operator="greaterThanOrEqual">
      <formula>150</formula>
    </cfRule>
  </conditionalFormatting>
  <conditionalFormatting sqref="H11666:H11689">
    <cfRule type="cellIs" dxfId="524" priority="617" operator="between">
      <formula>0.8</formula>
      <formula>1.2</formula>
    </cfRule>
    <cfRule type="cellIs" dxfId="523" priority="619" operator="lessThan">
      <formula>0.8</formula>
    </cfRule>
    <cfRule type="cellIs" dxfId="522" priority="620" operator="greaterThanOrEqual">
      <formula>1.2</formula>
    </cfRule>
  </conditionalFormatting>
  <conditionalFormatting sqref="I11666:I11689">
    <cfRule type="colorScale" priority="616">
      <colorScale>
        <cfvo type="min"/>
        <cfvo type="percentile" val="50"/>
        <cfvo type="max"/>
        <color rgb="FF63BE7B"/>
        <color rgb="FFFFEB84"/>
        <color rgb="FFF8696B"/>
      </colorScale>
    </cfRule>
  </conditionalFormatting>
  <conditionalFormatting sqref="K11667:K11689">
    <cfRule type="colorScale" priority="615">
      <colorScale>
        <cfvo type="min"/>
        <cfvo type="percentile" val="50"/>
        <cfvo type="max"/>
        <color rgb="FF63BE7B"/>
        <color rgb="FFFFEB84"/>
        <color rgb="FFF8696B"/>
      </colorScale>
    </cfRule>
  </conditionalFormatting>
  <conditionalFormatting sqref="K11666:K11689">
    <cfRule type="colorScale" priority="614">
      <colorScale>
        <cfvo type="min"/>
        <cfvo type="percentile" val="50"/>
        <cfvo type="max"/>
        <color rgb="FF63BE7B"/>
        <color rgb="FFFFEB84"/>
        <color rgb="FFF8696B"/>
      </colorScale>
    </cfRule>
  </conditionalFormatting>
  <conditionalFormatting sqref="M11666:M11689">
    <cfRule type="colorScale" priority="613">
      <colorScale>
        <cfvo type="min"/>
        <cfvo type="percentile" val="50"/>
        <cfvo type="max"/>
        <color rgb="FF63BE7B"/>
        <color rgb="FFFFEB84"/>
        <color rgb="FFF8696B"/>
      </colorScale>
    </cfRule>
  </conditionalFormatting>
  <conditionalFormatting sqref="L11666:L11689">
    <cfRule type="colorScale" priority="612">
      <colorScale>
        <cfvo type="min"/>
        <cfvo type="percentile" val="50"/>
        <cfvo type="max"/>
        <color rgb="FF63BE7B"/>
        <color rgb="FFFFEB84"/>
        <color rgb="FFF8696B"/>
      </colorScale>
    </cfRule>
  </conditionalFormatting>
  <conditionalFormatting sqref="D11690:D11713">
    <cfRule type="colorScale" priority="611">
      <colorScale>
        <cfvo type="min"/>
        <cfvo type="percentile" val="50"/>
        <cfvo type="max"/>
        <color rgb="FF63BE7B"/>
        <color rgb="FFFFEB84"/>
        <color rgb="FFF8696B"/>
      </colorScale>
    </cfRule>
  </conditionalFormatting>
  <conditionalFormatting sqref="F11690:F11713">
    <cfRule type="colorScale" priority="610">
      <colorScale>
        <cfvo type="min"/>
        <cfvo type="percentile" val="50"/>
        <cfvo type="max"/>
        <color rgb="FF63BE7B"/>
        <color rgb="FFFFEB84"/>
        <color rgb="FFF8696B"/>
      </colorScale>
    </cfRule>
  </conditionalFormatting>
  <conditionalFormatting sqref="G11690:G11713">
    <cfRule type="cellIs" dxfId="521" priority="605" operator="between">
      <formula>49</formula>
      <formula>149</formula>
    </cfRule>
    <cfRule type="cellIs" dxfId="520" priority="608" operator="lessThan">
      <formula>49</formula>
    </cfRule>
    <cfRule type="cellIs" dxfId="519" priority="609" operator="greaterThanOrEqual">
      <formula>150</formula>
    </cfRule>
  </conditionalFormatting>
  <conditionalFormatting sqref="H11690:H11713">
    <cfRule type="cellIs" dxfId="518" priority="604" operator="between">
      <formula>0.8</formula>
      <formula>1.2</formula>
    </cfRule>
    <cfRule type="cellIs" dxfId="517" priority="606" operator="lessThan">
      <formula>0.8</formula>
    </cfRule>
    <cfRule type="cellIs" dxfId="516" priority="607" operator="greaterThanOrEqual">
      <formula>1.2</formula>
    </cfRule>
  </conditionalFormatting>
  <conditionalFormatting sqref="I11690:I11713">
    <cfRule type="colorScale" priority="603">
      <colorScale>
        <cfvo type="min"/>
        <cfvo type="percentile" val="50"/>
        <cfvo type="max"/>
        <color rgb="FF63BE7B"/>
        <color rgb="FFFFEB84"/>
        <color rgb="FFF8696B"/>
      </colorScale>
    </cfRule>
  </conditionalFormatting>
  <conditionalFormatting sqref="K11691:K11713">
    <cfRule type="colorScale" priority="602">
      <colorScale>
        <cfvo type="min"/>
        <cfvo type="percentile" val="50"/>
        <cfvo type="max"/>
        <color rgb="FF63BE7B"/>
        <color rgb="FFFFEB84"/>
        <color rgb="FFF8696B"/>
      </colorScale>
    </cfRule>
  </conditionalFormatting>
  <conditionalFormatting sqref="K11690:K11713">
    <cfRule type="colorScale" priority="601">
      <colorScale>
        <cfvo type="min"/>
        <cfvo type="percentile" val="50"/>
        <cfvo type="max"/>
        <color rgb="FF63BE7B"/>
        <color rgb="FFFFEB84"/>
        <color rgb="FFF8696B"/>
      </colorScale>
    </cfRule>
  </conditionalFormatting>
  <conditionalFormatting sqref="M11690:M11713">
    <cfRule type="colorScale" priority="600">
      <colorScale>
        <cfvo type="min"/>
        <cfvo type="percentile" val="50"/>
        <cfvo type="max"/>
        <color rgb="FF63BE7B"/>
        <color rgb="FFFFEB84"/>
        <color rgb="FFF8696B"/>
      </colorScale>
    </cfRule>
  </conditionalFormatting>
  <conditionalFormatting sqref="L11690:L11713">
    <cfRule type="colorScale" priority="599">
      <colorScale>
        <cfvo type="min"/>
        <cfvo type="percentile" val="50"/>
        <cfvo type="max"/>
        <color rgb="FF63BE7B"/>
        <color rgb="FFFFEB84"/>
        <color rgb="FFF8696B"/>
      </colorScale>
    </cfRule>
  </conditionalFormatting>
  <conditionalFormatting sqref="D11714:D11737">
    <cfRule type="colorScale" priority="598">
      <colorScale>
        <cfvo type="min"/>
        <cfvo type="percentile" val="50"/>
        <cfvo type="max"/>
        <color rgb="FF63BE7B"/>
        <color rgb="FFFFEB84"/>
        <color rgb="FFF8696B"/>
      </colorScale>
    </cfRule>
  </conditionalFormatting>
  <conditionalFormatting sqref="F11714:F11737">
    <cfRule type="colorScale" priority="597">
      <colorScale>
        <cfvo type="min"/>
        <cfvo type="percentile" val="50"/>
        <cfvo type="max"/>
        <color rgb="FF63BE7B"/>
        <color rgb="FFFFEB84"/>
        <color rgb="FFF8696B"/>
      </colorScale>
    </cfRule>
  </conditionalFormatting>
  <conditionalFormatting sqref="G11714:G11737">
    <cfRule type="cellIs" dxfId="515" priority="592" operator="between">
      <formula>49</formula>
      <formula>149</formula>
    </cfRule>
    <cfRule type="cellIs" dxfId="514" priority="595" operator="lessThan">
      <formula>49</formula>
    </cfRule>
    <cfRule type="cellIs" dxfId="513" priority="596" operator="greaterThanOrEqual">
      <formula>150</formula>
    </cfRule>
  </conditionalFormatting>
  <conditionalFormatting sqref="H11714:H11737">
    <cfRule type="cellIs" dxfId="512" priority="591" operator="between">
      <formula>0.8</formula>
      <formula>1.2</formula>
    </cfRule>
    <cfRule type="cellIs" dxfId="511" priority="593" operator="lessThan">
      <formula>0.8</formula>
    </cfRule>
    <cfRule type="cellIs" dxfId="510" priority="594" operator="greaterThanOrEqual">
      <formula>1.2</formula>
    </cfRule>
  </conditionalFormatting>
  <conditionalFormatting sqref="I11714:I11737">
    <cfRule type="colorScale" priority="590">
      <colorScale>
        <cfvo type="min"/>
        <cfvo type="percentile" val="50"/>
        <cfvo type="max"/>
        <color rgb="FF63BE7B"/>
        <color rgb="FFFFEB84"/>
        <color rgb="FFF8696B"/>
      </colorScale>
    </cfRule>
  </conditionalFormatting>
  <conditionalFormatting sqref="K11715:K11737">
    <cfRule type="colorScale" priority="589">
      <colorScale>
        <cfvo type="min"/>
        <cfvo type="percentile" val="50"/>
        <cfvo type="max"/>
        <color rgb="FF63BE7B"/>
        <color rgb="FFFFEB84"/>
        <color rgb="FFF8696B"/>
      </colorScale>
    </cfRule>
  </conditionalFormatting>
  <conditionalFormatting sqref="K11714:K11737">
    <cfRule type="colorScale" priority="588">
      <colorScale>
        <cfvo type="min"/>
        <cfvo type="percentile" val="50"/>
        <cfvo type="max"/>
        <color rgb="FF63BE7B"/>
        <color rgb="FFFFEB84"/>
        <color rgb="FFF8696B"/>
      </colorScale>
    </cfRule>
  </conditionalFormatting>
  <conditionalFormatting sqref="M11714:M11737">
    <cfRule type="colorScale" priority="587">
      <colorScale>
        <cfvo type="min"/>
        <cfvo type="percentile" val="50"/>
        <cfvo type="max"/>
        <color rgb="FF63BE7B"/>
        <color rgb="FFFFEB84"/>
        <color rgb="FFF8696B"/>
      </colorScale>
    </cfRule>
  </conditionalFormatting>
  <conditionalFormatting sqref="L11714:L11737">
    <cfRule type="colorScale" priority="586">
      <colorScale>
        <cfvo type="min"/>
        <cfvo type="percentile" val="50"/>
        <cfvo type="max"/>
        <color rgb="FF63BE7B"/>
        <color rgb="FFFFEB84"/>
        <color rgb="FFF8696B"/>
      </colorScale>
    </cfRule>
  </conditionalFormatting>
  <conditionalFormatting sqref="D11738:D11761">
    <cfRule type="colorScale" priority="585">
      <colorScale>
        <cfvo type="min"/>
        <cfvo type="percentile" val="50"/>
        <cfvo type="max"/>
        <color rgb="FF63BE7B"/>
        <color rgb="FFFFEB84"/>
        <color rgb="FFF8696B"/>
      </colorScale>
    </cfRule>
  </conditionalFormatting>
  <conditionalFormatting sqref="F11738:F11761">
    <cfRule type="colorScale" priority="584">
      <colorScale>
        <cfvo type="min"/>
        <cfvo type="percentile" val="50"/>
        <cfvo type="max"/>
        <color rgb="FF63BE7B"/>
        <color rgb="FFFFEB84"/>
        <color rgb="FFF8696B"/>
      </colorScale>
    </cfRule>
  </conditionalFormatting>
  <conditionalFormatting sqref="G11738:G11761">
    <cfRule type="cellIs" dxfId="509" priority="579" operator="between">
      <formula>49</formula>
      <formula>149</formula>
    </cfRule>
    <cfRule type="cellIs" dxfId="508" priority="582" operator="lessThan">
      <formula>49</formula>
    </cfRule>
    <cfRule type="cellIs" dxfId="507" priority="583" operator="greaterThanOrEqual">
      <formula>150</formula>
    </cfRule>
  </conditionalFormatting>
  <conditionalFormatting sqref="H11738:H11761">
    <cfRule type="cellIs" dxfId="506" priority="578" operator="between">
      <formula>0.8</formula>
      <formula>1.2</formula>
    </cfRule>
    <cfRule type="cellIs" dxfId="505" priority="580" operator="lessThan">
      <formula>0.8</formula>
    </cfRule>
    <cfRule type="cellIs" dxfId="504" priority="581" operator="greaterThanOrEqual">
      <formula>1.2</formula>
    </cfRule>
  </conditionalFormatting>
  <conditionalFormatting sqref="I11738:I11761">
    <cfRule type="colorScale" priority="577">
      <colorScale>
        <cfvo type="min"/>
        <cfvo type="percentile" val="50"/>
        <cfvo type="max"/>
        <color rgb="FF63BE7B"/>
        <color rgb="FFFFEB84"/>
        <color rgb="FFF8696B"/>
      </colorScale>
    </cfRule>
  </conditionalFormatting>
  <conditionalFormatting sqref="K11739:K11761">
    <cfRule type="colorScale" priority="576">
      <colorScale>
        <cfvo type="min"/>
        <cfvo type="percentile" val="50"/>
        <cfvo type="max"/>
        <color rgb="FF63BE7B"/>
        <color rgb="FFFFEB84"/>
        <color rgb="FFF8696B"/>
      </colorScale>
    </cfRule>
  </conditionalFormatting>
  <conditionalFormatting sqref="K11738:K11761">
    <cfRule type="colorScale" priority="575">
      <colorScale>
        <cfvo type="min"/>
        <cfvo type="percentile" val="50"/>
        <cfvo type="max"/>
        <color rgb="FF63BE7B"/>
        <color rgb="FFFFEB84"/>
        <color rgb="FFF8696B"/>
      </colorScale>
    </cfRule>
  </conditionalFormatting>
  <conditionalFormatting sqref="M11738:M11761">
    <cfRule type="colorScale" priority="574">
      <colorScale>
        <cfvo type="min"/>
        <cfvo type="percentile" val="50"/>
        <cfvo type="max"/>
        <color rgb="FF63BE7B"/>
        <color rgb="FFFFEB84"/>
        <color rgb="FFF8696B"/>
      </colorScale>
    </cfRule>
  </conditionalFormatting>
  <conditionalFormatting sqref="L11738:L11761">
    <cfRule type="colorScale" priority="573">
      <colorScale>
        <cfvo type="min"/>
        <cfvo type="percentile" val="50"/>
        <cfvo type="max"/>
        <color rgb="FF63BE7B"/>
        <color rgb="FFFFEB84"/>
        <color rgb="FFF8696B"/>
      </colorScale>
    </cfRule>
  </conditionalFormatting>
  <conditionalFormatting sqref="D11762:D11785">
    <cfRule type="colorScale" priority="572">
      <colorScale>
        <cfvo type="min"/>
        <cfvo type="percentile" val="50"/>
        <cfvo type="max"/>
        <color rgb="FF63BE7B"/>
        <color rgb="FFFFEB84"/>
        <color rgb="FFF8696B"/>
      </colorScale>
    </cfRule>
  </conditionalFormatting>
  <conditionalFormatting sqref="F11762:F11785">
    <cfRule type="colorScale" priority="571">
      <colorScale>
        <cfvo type="min"/>
        <cfvo type="percentile" val="50"/>
        <cfvo type="max"/>
        <color rgb="FF63BE7B"/>
        <color rgb="FFFFEB84"/>
        <color rgb="FFF8696B"/>
      </colorScale>
    </cfRule>
  </conditionalFormatting>
  <conditionalFormatting sqref="G11762:G11785">
    <cfRule type="cellIs" dxfId="503" priority="566" operator="between">
      <formula>49</formula>
      <formula>149</formula>
    </cfRule>
    <cfRule type="cellIs" dxfId="502" priority="569" operator="lessThan">
      <formula>49</formula>
    </cfRule>
    <cfRule type="cellIs" dxfId="501" priority="570" operator="greaterThanOrEqual">
      <formula>150</formula>
    </cfRule>
  </conditionalFormatting>
  <conditionalFormatting sqref="H11762:H11785">
    <cfRule type="cellIs" dxfId="500" priority="565" operator="between">
      <formula>0.8</formula>
      <formula>1.2</formula>
    </cfRule>
    <cfRule type="cellIs" dxfId="499" priority="567" operator="lessThan">
      <formula>0.8</formula>
    </cfRule>
    <cfRule type="cellIs" dxfId="498" priority="568" operator="greaterThanOrEqual">
      <formula>1.2</formula>
    </cfRule>
  </conditionalFormatting>
  <conditionalFormatting sqref="I11762:I11785">
    <cfRule type="colorScale" priority="564">
      <colorScale>
        <cfvo type="min"/>
        <cfvo type="percentile" val="50"/>
        <cfvo type="max"/>
        <color rgb="FF63BE7B"/>
        <color rgb="FFFFEB84"/>
        <color rgb="FFF8696B"/>
      </colorScale>
    </cfRule>
  </conditionalFormatting>
  <conditionalFormatting sqref="K11763:K11785">
    <cfRule type="colorScale" priority="563">
      <colorScale>
        <cfvo type="min"/>
        <cfvo type="percentile" val="50"/>
        <cfvo type="max"/>
        <color rgb="FF63BE7B"/>
        <color rgb="FFFFEB84"/>
        <color rgb="FFF8696B"/>
      </colorScale>
    </cfRule>
  </conditionalFormatting>
  <conditionalFormatting sqref="K11762:K11785">
    <cfRule type="colorScale" priority="562">
      <colorScale>
        <cfvo type="min"/>
        <cfvo type="percentile" val="50"/>
        <cfvo type="max"/>
        <color rgb="FF63BE7B"/>
        <color rgb="FFFFEB84"/>
        <color rgb="FFF8696B"/>
      </colorScale>
    </cfRule>
  </conditionalFormatting>
  <conditionalFormatting sqref="M11762:M11785">
    <cfRule type="colorScale" priority="561">
      <colorScale>
        <cfvo type="min"/>
        <cfvo type="percentile" val="50"/>
        <cfvo type="max"/>
        <color rgb="FF63BE7B"/>
        <color rgb="FFFFEB84"/>
        <color rgb="FFF8696B"/>
      </colorScale>
    </cfRule>
  </conditionalFormatting>
  <conditionalFormatting sqref="L11762:L11785">
    <cfRule type="colorScale" priority="560">
      <colorScale>
        <cfvo type="min"/>
        <cfvo type="percentile" val="50"/>
        <cfvo type="max"/>
        <color rgb="FF63BE7B"/>
        <color rgb="FFFFEB84"/>
        <color rgb="FFF8696B"/>
      </colorScale>
    </cfRule>
  </conditionalFormatting>
  <conditionalFormatting sqref="D11786:D11809">
    <cfRule type="colorScale" priority="559">
      <colorScale>
        <cfvo type="min"/>
        <cfvo type="percentile" val="50"/>
        <cfvo type="max"/>
        <color rgb="FF63BE7B"/>
        <color rgb="FFFFEB84"/>
        <color rgb="FFF8696B"/>
      </colorScale>
    </cfRule>
  </conditionalFormatting>
  <conditionalFormatting sqref="F11786:F11809">
    <cfRule type="colorScale" priority="558">
      <colorScale>
        <cfvo type="min"/>
        <cfvo type="percentile" val="50"/>
        <cfvo type="max"/>
        <color rgb="FF63BE7B"/>
        <color rgb="FFFFEB84"/>
        <color rgb="FFF8696B"/>
      </colorScale>
    </cfRule>
  </conditionalFormatting>
  <conditionalFormatting sqref="G11786:G11809">
    <cfRule type="cellIs" dxfId="497" priority="553" operator="between">
      <formula>49</formula>
      <formula>149</formula>
    </cfRule>
    <cfRule type="cellIs" dxfId="496" priority="556" operator="lessThan">
      <formula>49</formula>
    </cfRule>
    <cfRule type="cellIs" dxfId="495" priority="557" operator="greaterThanOrEqual">
      <formula>150</formula>
    </cfRule>
  </conditionalFormatting>
  <conditionalFormatting sqref="H11786:H11809">
    <cfRule type="cellIs" dxfId="494" priority="552" operator="between">
      <formula>0.8</formula>
      <formula>1.2</formula>
    </cfRule>
    <cfRule type="cellIs" dxfId="493" priority="554" operator="lessThan">
      <formula>0.8</formula>
    </cfRule>
    <cfRule type="cellIs" dxfId="492" priority="555" operator="greaterThanOrEqual">
      <formula>1.2</formula>
    </cfRule>
  </conditionalFormatting>
  <conditionalFormatting sqref="I11786:I11809">
    <cfRule type="colorScale" priority="551">
      <colorScale>
        <cfvo type="min"/>
        <cfvo type="percentile" val="50"/>
        <cfvo type="max"/>
        <color rgb="FF63BE7B"/>
        <color rgb="FFFFEB84"/>
        <color rgb="FFF8696B"/>
      </colorScale>
    </cfRule>
  </conditionalFormatting>
  <conditionalFormatting sqref="K11787:K11809">
    <cfRule type="colorScale" priority="550">
      <colorScale>
        <cfvo type="min"/>
        <cfvo type="percentile" val="50"/>
        <cfvo type="max"/>
        <color rgb="FF63BE7B"/>
        <color rgb="FFFFEB84"/>
        <color rgb="FFF8696B"/>
      </colorScale>
    </cfRule>
  </conditionalFormatting>
  <conditionalFormatting sqref="K11786:K11809">
    <cfRule type="colorScale" priority="549">
      <colorScale>
        <cfvo type="min"/>
        <cfvo type="percentile" val="50"/>
        <cfvo type="max"/>
        <color rgb="FF63BE7B"/>
        <color rgb="FFFFEB84"/>
        <color rgb="FFF8696B"/>
      </colorScale>
    </cfRule>
  </conditionalFormatting>
  <conditionalFormatting sqref="M11786:M11809">
    <cfRule type="colorScale" priority="548">
      <colorScale>
        <cfvo type="min"/>
        <cfvo type="percentile" val="50"/>
        <cfvo type="max"/>
        <color rgb="FF63BE7B"/>
        <color rgb="FFFFEB84"/>
        <color rgb="FFF8696B"/>
      </colorScale>
    </cfRule>
  </conditionalFormatting>
  <conditionalFormatting sqref="L11786:L11809">
    <cfRule type="colorScale" priority="547">
      <colorScale>
        <cfvo type="min"/>
        <cfvo type="percentile" val="50"/>
        <cfvo type="max"/>
        <color rgb="FF63BE7B"/>
        <color rgb="FFFFEB84"/>
        <color rgb="FFF8696B"/>
      </colorScale>
    </cfRule>
  </conditionalFormatting>
  <conditionalFormatting sqref="D11810:D11833">
    <cfRule type="colorScale" priority="546">
      <colorScale>
        <cfvo type="min"/>
        <cfvo type="percentile" val="50"/>
        <cfvo type="max"/>
        <color rgb="FF63BE7B"/>
        <color rgb="FFFFEB84"/>
        <color rgb="FFF8696B"/>
      </colorScale>
    </cfRule>
  </conditionalFormatting>
  <conditionalFormatting sqref="F11810:F11833">
    <cfRule type="colorScale" priority="545">
      <colorScale>
        <cfvo type="min"/>
        <cfvo type="percentile" val="50"/>
        <cfvo type="max"/>
        <color rgb="FF63BE7B"/>
        <color rgb="FFFFEB84"/>
        <color rgb="FFF8696B"/>
      </colorScale>
    </cfRule>
  </conditionalFormatting>
  <conditionalFormatting sqref="G11810:G11833">
    <cfRule type="cellIs" dxfId="491" priority="540" operator="between">
      <formula>49</formula>
      <formula>149</formula>
    </cfRule>
    <cfRule type="cellIs" dxfId="490" priority="543" operator="lessThan">
      <formula>49</formula>
    </cfRule>
    <cfRule type="cellIs" dxfId="489" priority="544" operator="greaterThanOrEqual">
      <formula>150</formula>
    </cfRule>
  </conditionalFormatting>
  <conditionalFormatting sqref="H11810:H11833">
    <cfRule type="cellIs" dxfId="488" priority="539" operator="between">
      <formula>0.8</formula>
      <formula>1.2</formula>
    </cfRule>
    <cfRule type="cellIs" dxfId="487" priority="541" operator="lessThan">
      <formula>0.8</formula>
    </cfRule>
    <cfRule type="cellIs" dxfId="486" priority="542" operator="greaterThanOrEqual">
      <formula>1.2</formula>
    </cfRule>
  </conditionalFormatting>
  <conditionalFormatting sqref="I11810:I11833">
    <cfRule type="colorScale" priority="538">
      <colorScale>
        <cfvo type="min"/>
        <cfvo type="percentile" val="50"/>
        <cfvo type="max"/>
        <color rgb="FF63BE7B"/>
        <color rgb="FFFFEB84"/>
        <color rgb="FFF8696B"/>
      </colorScale>
    </cfRule>
  </conditionalFormatting>
  <conditionalFormatting sqref="K11811:K11833">
    <cfRule type="colorScale" priority="537">
      <colorScale>
        <cfvo type="min"/>
        <cfvo type="percentile" val="50"/>
        <cfvo type="max"/>
        <color rgb="FF63BE7B"/>
        <color rgb="FFFFEB84"/>
        <color rgb="FFF8696B"/>
      </colorScale>
    </cfRule>
  </conditionalFormatting>
  <conditionalFormatting sqref="K11810:K11833">
    <cfRule type="colorScale" priority="536">
      <colorScale>
        <cfvo type="min"/>
        <cfvo type="percentile" val="50"/>
        <cfvo type="max"/>
        <color rgb="FF63BE7B"/>
        <color rgb="FFFFEB84"/>
        <color rgb="FFF8696B"/>
      </colorScale>
    </cfRule>
  </conditionalFormatting>
  <conditionalFormatting sqref="M11810:M11833">
    <cfRule type="colorScale" priority="535">
      <colorScale>
        <cfvo type="min"/>
        <cfvo type="percentile" val="50"/>
        <cfvo type="max"/>
        <color rgb="FF63BE7B"/>
        <color rgb="FFFFEB84"/>
        <color rgb="FFF8696B"/>
      </colorScale>
    </cfRule>
  </conditionalFormatting>
  <conditionalFormatting sqref="L11810:L11833">
    <cfRule type="colorScale" priority="534">
      <colorScale>
        <cfvo type="min"/>
        <cfvo type="percentile" val="50"/>
        <cfvo type="max"/>
        <color rgb="FF63BE7B"/>
        <color rgb="FFFFEB84"/>
        <color rgb="FFF8696B"/>
      </colorScale>
    </cfRule>
  </conditionalFormatting>
  <conditionalFormatting sqref="D11834:D11857">
    <cfRule type="colorScale" priority="533">
      <colorScale>
        <cfvo type="min"/>
        <cfvo type="percentile" val="50"/>
        <cfvo type="max"/>
        <color rgb="FF63BE7B"/>
        <color rgb="FFFFEB84"/>
        <color rgb="FFF8696B"/>
      </colorScale>
    </cfRule>
  </conditionalFormatting>
  <conditionalFormatting sqref="F11834:F11857">
    <cfRule type="colorScale" priority="532">
      <colorScale>
        <cfvo type="min"/>
        <cfvo type="percentile" val="50"/>
        <cfvo type="max"/>
        <color rgb="FF63BE7B"/>
        <color rgb="FFFFEB84"/>
        <color rgb="FFF8696B"/>
      </colorScale>
    </cfRule>
  </conditionalFormatting>
  <conditionalFormatting sqref="G11834:G11857">
    <cfRule type="cellIs" dxfId="485" priority="527" operator="between">
      <formula>49</formula>
      <formula>149</formula>
    </cfRule>
    <cfRule type="cellIs" dxfId="484" priority="530" operator="lessThan">
      <formula>49</formula>
    </cfRule>
    <cfRule type="cellIs" dxfId="483" priority="531" operator="greaterThanOrEqual">
      <formula>150</formula>
    </cfRule>
  </conditionalFormatting>
  <conditionalFormatting sqref="H11834:H11857">
    <cfRule type="cellIs" dxfId="482" priority="526" operator="between">
      <formula>0.8</formula>
      <formula>1.2</formula>
    </cfRule>
    <cfRule type="cellIs" dxfId="481" priority="528" operator="lessThan">
      <formula>0.8</formula>
    </cfRule>
    <cfRule type="cellIs" dxfId="480" priority="529" operator="greaterThanOrEqual">
      <formula>1.2</formula>
    </cfRule>
  </conditionalFormatting>
  <conditionalFormatting sqref="I11834:I11857">
    <cfRule type="colorScale" priority="525">
      <colorScale>
        <cfvo type="min"/>
        <cfvo type="percentile" val="50"/>
        <cfvo type="max"/>
        <color rgb="FF63BE7B"/>
        <color rgb="FFFFEB84"/>
        <color rgb="FFF8696B"/>
      </colorScale>
    </cfRule>
  </conditionalFormatting>
  <conditionalFormatting sqref="K11835:K11857">
    <cfRule type="colorScale" priority="524">
      <colorScale>
        <cfvo type="min"/>
        <cfvo type="percentile" val="50"/>
        <cfvo type="max"/>
        <color rgb="FF63BE7B"/>
        <color rgb="FFFFEB84"/>
        <color rgb="FFF8696B"/>
      </colorScale>
    </cfRule>
  </conditionalFormatting>
  <conditionalFormatting sqref="K11834:K11857">
    <cfRule type="colorScale" priority="523">
      <colorScale>
        <cfvo type="min"/>
        <cfvo type="percentile" val="50"/>
        <cfvo type="max"/>
        <color rgb="FF63BE7B"/>
        <color rgb="FFFFEB84"/>
        <color rgb="FFF8696B"/>
      </colorScale>
    </cfRule>
  </conditionalFormatting>
  <conditionalFormatting sqref="M11834:M11857">
    <cfRule type="colorScale" priority="522">
      <colorScale>
        <cfvo type="min"/>
        <cfvo type="percentile" val="50"/>
        <cfvo type="max"/>
        <color rgb="FF63BE7B"/>
        <color rgb="FFFFEB84"/>
        <color rgb="FFF8696B"/>
      </colorScale>
    </cfRule>
  </conditionalFormatting>
  <conditionalFormatting sqref="L11834:L11857">
    <cfRule type="colorScale" priority="521">
      <colorScale>
        <cfvo type="min"/>
        <cfvo type="percentile" val="50"/>
        <cfvo type="max"/>
        <color rgb="FF63BE7B"/>
        <color rgb="FFFFEB84"/>
        <color rgb="FFF8696B"/>
      </colorScale>
    </cfRule>
  </conditionalFormatting>
  <conditionalFormatting sqref="D11858:D11881">
    <cfRule type="colorScale" priority="520">
      <colorScale>
        <cfvo type="min"/>
        <cfvo type="percentile" val="50"/>
        <cfvo type="max"/>
        <color rgb="FF63BE7B"/>
        <color rgb="FFFFEB84"/>
        <color rgb="FFF8696B"/>
      </colorScale>
    </cfRule>
  </conditionalFormatting>
  <conditionalFormatting sqref="F11858:F11881">
    <cfRule type="colorScale" priority="519">
      <colorScale>
        <cfvo type="min"/>
        <cfvo type="percentile" val="50"/>
        <cfvo type="max"/>
        <color rgb="FF63BE7B"/>
        <color rgb="FFFFEB84"/>
        <color rgb="FFF8696B"/>
      </colorScale>
    </cfRule>
  </conditionalFormatting>
  <conditionalFormatting sqref="G11858:G11881">
    <cfRule type="cellIs" dxfId="479" priority="514" operator="between">
      <formula>49</formula>
      <formula>149</formula>
    </cfRule>
    <cfRule type="cellIs" dxfId="478" priority="517" operator="lessThan">
      <formula>49</formula>
    </cfRule>
    <cfRule type="cellIs" dxfId="477" priority="518" operator="greaterThanOrEqual">
      <formula>150</formula>
    </cfRule>
  </conditionalFormatting>
  <conditionalFormatting sqref="H11858:H11881">
    <cfRule type="cellIs" dxfId="476" priority="513" operator="between">
      <formula>0.8</formula>
      <formula>1.2</formula>
    </cfRule>
    <cfRule type="cellIs" dxfId="475" priority="515" operator="lessThan">
      <formula>0.8</formula>
    </cfRule>
    <cfRule type="cellIs" dxfId="474" priority="516" operator="greaterThanOrEqual">
      <formula>1.2</formula>
    </cfRule>
  </conditionalFormatting>
  <conditionalFormatting sqref="I11858:I11881">
    <cfRule type="colorScale" priority="512">
      <colorScale>
        <cfvo type="min"/>
        <cfvo type="percentile" val="50"/>
        <cfvo type="max"/>
        <color rgb="FF63BE7B"/>
        <color rgb="FFFFEB84"/>
        <color rgb="FFF8696B"/>
      </colorScale>
    </cfRule>
  </conditionalFormatting>
  <conditionalFormatting sqref="K11859:K11881">
    <cfRule type="colorScale" priority="511">
      <colorScale>
        <cfvo type="min"/>
        <cfvo type="percentile" val="50"/>
        <cfvo type="max"/>
        <color rgb="FF63BE7B"/>
        <color rgb="FFFFEB84"/>
        <color rgb="FFF8696B"/>
      </colorScale>
    </cfRule>
  </conditionalFormatting>
  <conditionalFormatting sqref="K11858:K11881">
    <cfRule type="colorScale" priority="510">
      <colorScale>
        <cfvo type="min"/>
        <cfvo type="percentile" val="50"/>
        <cfvo type="max"/>
        <color rgb="FF63BE7B"/>
        <color rgb="FFFFEB84"/>
        <color rgb="FFF8696B"/>
      </colorScale>
    </cfRule>
  </conditionalFormatting>
  <conditionalFormatting sqref="M11858:M11881">
    <cfRule type="colorScale" priority="509">
      <colorScale>
        <cfvo type="min"/>
        <cfvo type="percentile" val="50"/>
        <cfvo type="max"/>
        <color rgb="FF63BE7B"/>
        <color rgb="FFFFEB84"/>
        <color rgb="FFF8696B"/>
      </colorScale>
    </cfRule>
  </conditionalFormatting>
  <conditionalFormatting sqref="L11858:L11881">
    <cfRule type="colorScale" priority="508">
      <colorScale>
        <cfvo type="min"/>
        <cfvo type="percentile" val="50"/>
        <cfvo type="max"/>
        <color rgb="FF63BE7B"/>
        <color rgb="FFFFEB84"/>
        <color rgb="FFF8696B"/>
      </colorScale>
    </cfRule>
  </conditionalFormatting>
  <conditionalFormatting sqref="D11882:D11905">
    <cfRule type="colorScale" priority="507">
      <colorScale>
        <cfvo type="min"/>
        <cfvo type="percentile" val="50"/>
        <cfvo type="max"/>
        <color rgb="FF63BE7B"/>
        <color rgb="FFFFEB84"/>
        <color rgb="FFF8696B"/>
      </colorScale>
    </cfRule>
  </conditionalFormatting>
  <conditionalFormatting sqref="F11882:F11905">
    <cfRule type="colorScale" priority="506">
      <colorScale>
        <cfvo type="min"/>
        <cfvo type="percentile" val="50"/>
        <cfvo type="max"/>
        <color rgb="FF63BE7B"/>
        <color rgb="FFFFEB84"/>
        <color rgb="FFF8696B"/>
      </colorScale>
    </cfRule>
  </conditionalFormatting>
  <conditionalFormatting sqref="G11882:G11905">
    <cfRule type="cellIs" dxfId="473" priority="501" operator="between">
      <formula>49</formula>
      <formula>149</formula>
    </cfRule>
    <cfRule type="cellIs" dxfId="472" priority="504" operator="lessThan">
      <formula>49</formula>
    </cfRule>
    <cfRule type="cellIs" dxfId="471" priority="505" operator="greaterThanOrEqual">
      <formula>150</formula>
    </cfRule>
  </conditionalFormatting>
  <conditionalFormatting sqref="H11882:H11905">
    <cfRule type="cellIs" dxfId="470" priority="500" operator="between">
      <formula>0.8</formula>
      <formula>1.2</formula>
    </cfRule>
    <cfRule type="cellIs" dxfId="469" priority="502" operator="lessThan">
      <formula>0.8</formula>
    </cfRule>
    <cfRule type="cellIs" dxfId="468" priority="503" operator="greaterThanOrEqual">
      <formula>1.2</formula>
    </cfRule>
  </conditionalFormatting>
  <conditionalFormatting sqref="I11882:I11905">
    <cfRule type="colorScale" priority="499">
      <colorScale>
        <cfvo type="min"/>
        <cfvo type="percentile" val="50"/>
        <cfvo type="max"/>
        <color rgb="FF63BE7B"/>
        <color rgb="FFFFEB84"/>
        <color rgb="FFF8696B"/>
      </colorScale>
    </cfRule>
  </conditionalFormatting>
  <conditionalFormatting sqref="K11883:K11905">
    <cfRule type="colorScale" priority="498">
      <colorScale>
        <cfvo type="min"/>
        <cfvo type="percentile" val="50"/>
        <cfvo type="max"/>
        <color rgb="FF63BE7B"/>
        <color rgb="FFFFEB84"/>
        <color rgb="FFF8696B"/>
      </colorScale>
    </cfRule>
  </conditionalFormatting>
  <conditionalFormatting sqref="K11882:K11905">
    <cfRule type="colorScale" priority="497">
      <colorScale>
        <cfvo type="min"/>
        <cfvo type="percentile" val="50"/>
        <cfvo type="max"/>
        <color rgb="FF63BE7B"/>
        <color rgb="FFFFEB84"/>
        <color rgb="FFF8696B"/>
      </colorScale>
    </cfRule>
  </conditionalFormatting>
  <conditionalFormatting sqref="M11882:M11905">
    <cfRule type="colorScale" priority="496">
      <colorScale>
        <cfvo type="min"/>
        <cfvo type="percentile" val="50"/>
        <cfvo type="max"/>
        <color rgb="FF63BE7B"/>
        <color rgb="FFFFEB84"/>
        <color rgb="FFF8696B"/>
      </colorScale>
    </cfRule>
  </conditionalFormatting>
  <conditionalFormatting sqref="L11882:L11905">
    <cfRule type="colorScale" priority="495">
      <colorScale>
        <cfvo type="min"/>
        <cfvo type="percentile" val="50"/>
        <cfvo type="max"/>
        <color rgb="FF63BE7B"/>
        <color rgb="FFFFEB84"/>
        <color rgb="FFF8696B"/>
      </colorScale>
    </cfRule>
  </conditionalFormatting>
  <conditionalFormatting sqref="D11906:D11929">
    <cfRule type="colorScale" priority="494">
      <colorScale>
        <cfvo type="min"/>
        <cfvo type="percentile" val="50"/>
        <cfvo type="max"/>
        <color rgb="FF63BE7B"/>
        <color rgb="FFFFEB84"/>
        <color rgb="FFF8696B"/>
      </colorScale>
    </cfRule>
  </conditionalFormatting>
  <conditionalFormatting sqref="F11906:F11929">
    <cfRule type="colorScale" priority="493">
      <colorScale>
        <cfvo type="min"/>
        <cfvo type="percentile" val="50"/>
        <cfvo type="max"/>
        <color rgb="FF63BE7B"/>
        <color rgb="FFFFEB84"/>
        <color rgb="FFF8696B"/>
      </colorScale>
    </cfRule>
  </conditionalFormatting>
  <conditionalFormatting sqref="G11906:G11929">
    <cfRule type="cellIs" dxfId="467" priority="488" operator="between">
      <formula>49</formula>
      <formula>149</formula>
    </cfRule>
    <cfRule type="cellIs" dxfId="466" priority="491" operator="lessThan">
      <formula>49</formula>
    </cfRule>
    <cfRule type="cellIs" dxfId="465" priority="492" operator="greaterThanOrEqual">
      <formula>150</formula>
    </cfRule>
  </conditionalFormatting>
  <conditionalFormatting sqref="H11906:H11929">
    <cfRule type="cellIs" dxfId="464" priority="487" operator="between">
      <formula>0.8</formula>
      <formula>1.2</formula>
    </cfRule>
    <cfRule type="cellIs" dxfId="463" priority="489" operator="lessThan">
      <formula>0.8</formula>
    </cfRule>
    <cfRule type="cellIs" dxfId="462" priority="490" operator="greaterThanOrEqual">
      <formula>1.2</formula>
    </cfRule>
  </conditionalFormatting>
  <conditionalFormatting sqref="I11906:I11929">
    <cfRule type="colorScale" priority="486">
      <colorScale>
        <cfvo type="min"/>
        <cfvo type="percentile" val="50"/>
        <cfvo type="max"/>
        <color rgb="FF63BE7B"/>
        <color rgb="FFFFEB84"/>
        <color rgb="FFF8696B"/>
      </colorScale>
    </cfRule>
  </conditionalFormatting>
  <conditionalFormatting sqref="K11907:K11929">
    <cfRule type="colorScale" priority="485">
      <colorScale>
        <cfvo type="min"/>
        <cfvo type="percentile" val="50"/>
        <cfvo type="max"/>
        <color rgb="FF63BE7B"/>
        <color rgb="FFFFEB84"/>
        <color rgb="FFF8696B"/>
      </colorScale>
    </cfRule>
  </conditionalFormatting>
  <conditionalFormatting sqref="K11906:K11929">
    <cfRule type="colorScale" priority="484">
      <colorScale>
        <cfvo type="min"/>
        <cfvo type="percentile" val="50"/>
        <cfvo type="max"/>
        <color rgb="FF63BE7B"/>
        <color rgb="FFFFEB84"/>
        <color rgb="FFF8696B"/>
      </colorScale>
    </cfRule>
  </conditionalFormatting>
  <conditionalFormatting sqref="M11906:M11929">
    <cfRule type="colorScale" priority="483">
      <colorScale>
        <cfvo type="min"/>
        <cfvo type="percentile" val="50"/>
        <cfvo type="max"/>
        <color rgb="FF63BE7B"/>
        <color rgb="FFFFEB84"/>
        <color rgb="FFF8696B"/>
      </colorScale>
    </cfRule>
  </conditionalFormatting>
  <conditionalFormatting sqref="L11906:L11929">
    <cfRule type="colorScale" priority="482">
      <colorScale>
        <cfvo type="min"/>
        <cfvo type="percentile" val="50"/>
        <cfvo type="max"/>
        <color rgb="FF63BE7B"/>
        <color rgb="FFFFEB84"/>
        <color rgb="FFF8696B"/>
      </colorScale>
    </cfRule>
  </conditionalFormatting>
  <conditionalFormatting sqref="D11930:D11953">
    <cfRule type="colorScale" priority="481">
      <colorScale>
        <cfvo type="min"/>
        <cfvo type="percentile" val="50"/>
        <cfvo type="max"/>
        <color rgb="FF63BE7B"/>
        <color rgb="FFFFEB84"/>
        <color rgb="FFF8696B"/>
      </colorScale>
    </cfRule>
  </conditionalFormatting>
  <conditionalFormatting sqref="F11930:F11953">
    <cfRule type="colorScale" priority="480">
      <colorScale>
        <cfvo type="min"/>
        <cfvo type="percentile" val="50"/>
        <cfvo type="max"/>
        <color rgb="FF63BE7B"/>
        <color rgb="FFFFEB84"/>
        <color rgb="FFF8696B"/>
      </colorScale>
    </cfRule>
  </conditionalFormatting>
  <conditionalFormatting sqref="G11930:G11953">
    <cfRule type="cellIs" dxfId="461" priority="475" operator="between">
      <formula>49</formula>
      <formula>149</formula>
    </cfRule>
    <cfRule type="cellIs" dxfId="460" priority="478" operator="lessThan">
      <formula>49</formula>
    </cfRule>
    <cfRule type="cellIs" dxfId="459" priority="479" operator="greaterThanOrEqual">
      <formula>150</formula>
    </cfRule>
  </conditionalFormatting>
  <conditionalFormatting sqref="H11930:H11953">
    <cfRule type="cellIs" dxfId="458" priority="474" operator="between">
      <formula>0.8</formula>
      <formula>1.2</formula>
    </cfRule>
    <cfRule type="cellIs" dxfId="457" priority="476" operator="lessThan">
      <formula>0.8</formula>
    </cfRule>
    <cfRule type="cellIs" dxfId="456" priority="477" operator="greaterThanOrEqual">
      <formula>1.2</formula>
    </cfRule>
  </conditionalFormatting>
  <conditionalFormatting sqref="I11930:I11953">
    <cfRule type="colorScale" priority="473">
      <colorScale>
        <cfvo type="min"/>
        <cfvo type="percentile" val="50"/>
        <cfvo type="max"/>
        <color rgb="FF63BE7B"/>
        <color rgb="FFFFEB84"/>
        <color rgb="FFF8696B"/>
      </colorScale>
    </cfRule>
  </conditionalFormatting>
  <conditionalFormatting sqref="K11931:K11953">
    <cfRule type="colorScale" priority="472">
      <colorScale>
        <cfvo type="min"/>
        <cfvo type="percentile" val="50"/>
        <cfvo type="max"/>
        <color rgb="FF63BE7B"/>
        <color rgb="FFFFEB84"/>
        <color rgb="FFF8696B"/>
      </colorScale>
    </cfRule>
  </conditionalFormatting>
  <conditionalFormatting sqref="K11930:K11953">
    <cfRule type="colorScale" priority="471">
      <colorScale>
        <cfvo type="min"/>
        <cfvo type="percentile" val="50"/>
        <cfvo type="max"/>
        <color rgb="FF63BE7B"/>
        <color rgb="FFFFEB84"/>
        <color rgb="FFF8696B"/>
      </colorScale>
    </cfRule>
  </conditionalFormatting>
  <conditionalFormatting sqref="M11930:M11953">
    <cfRule type="colorScale" priority="470">
      <colorScale>
        <cfvo type="min"/>
        <cfvo type="percentile" val="50"/>
        <cfvo type="max"/>
        <color rgb="FF63BE7B"/>
        <color rgb="FFFFEB84"/>
        <color rgb="FFF8696B"/>
      </colorScale>
    </cfRule>
  </conditionalFormatting>
  <conditionalFormatting sqref="L11930:L11953">
    <cfRule type="colorScale" priority="469">
      <colorScale>
        <cfvo type="min"/>
        <cfvo type="percentile" val="50"/>
        <cfvo type="max"/>
        <color rgb="FF63BE7B"/>
        <color rgb="FFFFEB84"/>
        <color rgb="FFF8696B"/>
      </colorScale>
    </cfRule>
  </conditionalFormatting>
  <conditionalFormatting sqref="D11954:D11977">
    <cfRule type="colorScale" priority="468">
      <colorScale>
        <cfvo type="min"/>
        <cfvo type="percentile" val="50"/>
        <cfvo type="max"/>
        <color rgb="FF63BE7B"/>
        <color rgb="FFFFEB84"/>
        <color rgb="FFF8696B"/>
      </colorScale>
    </cfRule>
  </conditionalFormatting>
  <conditionalFormatting sqref="F11954:F11977">
    <cfRule type="colorScale" priority="467">
      <colorScale>
        <cfvo type="min"/>
        <cfvo type="percentile" val="50"/>
        <cfvo type="max"/>
        <color rgb="FF63BE7B"/>
        <color rgb="FFFFEB84"/>
        <color rgb="FFF8696B"/>
      </colorScale>
    </cfRule>
  </conditionalFormatting>
  <conditionalFormatting sqref="G11954:G11977">
    <cfRule type="cellIs" dxfId="455" priority="462" operator="between">
      <formula>49</formula>
      <formula>149</formula>
    </cfRule>
    <cfRule type="cellIs" dxfId="454" priority="465" operator="lessThan">
      <formula>49</formula>
    </cfRule>
    <cfRule type="cellIs" dxfId="453" priority="466" operator="greaterThanOrEqual">
      <formula>150</formula>
    </cfRule>
  </conditionalFormatting>
  <conditionalFormatting sqref="H11954:H11977">
    <cfRule type="cellIs" dxfId="452" priority="461" operator="between">
      <formula>0.8</formula>
      <formula>1.2</formula>
    </cfRule>
    <cfRule type="cellIs" dxfId="451" priority="463" operator="lessThan">
      <formula>0.8</formula>
    </cfRule>
    <cfRule type="cellIs" dxfId="450" priority="464" operator="greaterThanOrEqual">
      <formula>1.2</formula>
    </cfRule>
  </conditionalFormatting>
  <conditionalFormatting sqref="I11954:I11977">
    <cfRule type="colorScale" priority="460">
      <colorScale>
        <cfvo type="min"/>
        <cfvo type="percentile" val="50"/>
        <cfvo type="max"/>
        <color rgb="FF63BE7B"/>
        <color rgb="FFFFEB84"/>
        <color rgb="FFF8696B"/>
      </colorScale>
    </cfRule>
  </conditionalFormatting>
  <conditionalFormatting sqref="K11955:K11977">
    <cfRule type="colorScale" priority="459">
      <colorScale>
        <cfvo type="min"/>
        <cfvo type="percentile" val="50"/>
        <cfvo type="max"/>
        <color rgb="FF63BE7B"/>
        <color rgb="FFFFEB84"/>
        <color rgb="FFF8696B"/>
      </colorScale>
    </cfRule>
  </conditionalFormatting>
  <conditionalFormatting sqref="K11954:K11977">
    <cfRule type="colorScale" priority="458">
      <colorScale>
        <cfvo type="min"/>
        <cfvo type="percentile" val="50"/>
        <cfvo type="max"/>
        <color rgb="FF63BE7B"/>
        <color rgb="FFFFEB84"/>
        <color rgb="FFF8696B"/>
      </colorScale>
    </cfRule>
  </conditionalFormatting>
  <conditionalFormatting sqref="M11954:M11977">
    <cfRule type="colorScale" priority="457">
      <colorScale>
        <cfvo type="min"/>
        <cfvo type="percentile" val="50"/>
        <cfvo type="max"/>
        <color rgb="FF63BE7B"/>
        <color rgb="FFFFEB84"/>
        <color rgb="FFF8696B"/>
      </colorScale>
    </cfRule>
  </conditionalFormatting>
  <conditionalFormatting sqref="L11954:L11977">
    <cfRule type="colorScale" priority="456">
      <colorScale>
        <cfvo type="min"/>
        <cfvo type="percentile" val="50"/>
        <cfvo type="max"/>
        <color rgb="FF63BE7B"/>
        <color rgb="FFFFEB84"/>
        <color rgb="FFF8696B"/>
      </colorScale>
    </cfRule>
  </conditionalFormatting>
  <conditionalFormatting sqref="D11978:D12001">
    <cfRule type="colorScale" priority="455">
      <colorScale>
        <cfvo type="min"/>
        <cfvo type="percentile" val="50"/>
        <cfvo type="max"/>
        <color rgb="FF63BE7B"/>
        <color rgb="FFFFEB84"/>
        <color rgb="FFF8696B"/>
      </colorScale>
    </cfRule>
  </conditionalFormatting>
  <conditionalFormatting sqref="F11978:F12001">
    <cfRule type="colorScale" priority="454">
      <colorScale>
        <cfvo type="min"/>
        <cfvo type="percentile" val="50"/>
        <cfvo type="max"/>
        <color rgb="FF63BE7B"/>
        <color rgb="FFFFEB84"/>
        <color rgb="FFF8696B"/>
      </colorScale>
    </cfRule>
  </conditionalFormatting>
  <conditionalFormatting sqref="G11978:G12001">
    <cfRule type="cellIs" dxfId="449" priority="449" operator="between">
      <formula>49</formula>
      <formula>149</formula>
    </cfRule>
    <cfRule type="cellIs" dxfId="448" priority="452" operator="lessThan">
      <formula>49</formula>
    </cfRule>
    <cfRule type="cellIs" dxfId="447" priority="453" operator="greaterThanOrEqual">
      <formula>150</formula>
    </cfRule>
  </conditionalFormatting>
  <conditionalFormatting sqref="H11978:H12001">
    <cfRule type="cellIs" dxfId="446" priority="448" operator="between">
      <formula>0.8</formula>
      <formula>1.2</formula>
    </cfRule>
    <cfRule type="cellIs" dxfId="445" priority="450" operator="lessThan">
      <formula>0.8</formula>
    </cfRule>
    <cfRule type="cellIs" dxfId="444" priority="451" operator="greaterThanOrEqual">
      <formula>1.2</formula>
    </cfRule>
  </conditionalFormatting>
  <conditionalFormatting sqref="I11978:I12001">
    <cfRule type="colorScale" priority="447">
      <colorScale>
        <cfvo type="min"/>
        <cfvo type="percentile" val="50"/>
        <cfvo type="max"/>
        <color rgb="FF63BE7B"/>
        <color rgb="FFFFEB84"/>
        <color rgb="FFF8696B"/>
      </colorScale>
    </cfRule>
  </conditionalFormatting>
  <conditionalFormatting sqref="K11979:K12001">
    <cfRule type="colorScale" priority="446">
      <colorScale>
        <cfvo type="min"/>
        <cfvo type="percentile" val="50"/>
        <cfvo type="max"/>
        <color rgb="FF63BE7B"/>
        <color rgb="FFFFEB84"/>
        <color rgb="FFF8696B"/>
      </colorScale>
    </cfRule>
  </conditionalFormatting>
  <conditionalFormatting sqref="K11978:K12001">
    <cfRule type="colorScale" priority="445">
      <colorScale>
        <cfvo type="min"/>
        <cfvo type="percentile" val="50"/>
        <cfvo type="max"/>
        <color rgb="FF63BE7B"/>
        <color rgb="FFFFEB84"/>
        <color rgb="FFF8696B"/>
      </colorScale>
    </cfRule>
  </conditionalFormatting>
  <conditionalFormatting sqref="M11978:M12001">
    <cfRule type="colorScale" priority="444">
      <colorScale>
        <cfvo type="min"/>
        <cfvo type="percentile" val="50"/>
        <cfvo type="max"/>
        <color rgb="FF63BE7B"/>
        <color rgb="FFFFEB84"/>
        <color rgb="FFF8696B"/>
      </colorScale>
    </cfRule>
  </conditionalFormatting>
  <conditionalFormatting sqref="L11978:L12001">
    <cfRule type="colorScale" priority="443">
      <colorScale>
        <cfvo type="min"/>
        <cfvo type="percentile" val="50"/>
        <cfvo type="max"/>
        <color rgb="FF63BE7B"/>
        <color rgb="FFFFEB84"/>
        <color rgb="FFF8696B"/>
      </colorScale>
    </cfRule>
  </conditionalFormatting>
  <conditionalFormatting sqref="D12002:D12025">
    <cfRule type="colorScale" priority="442">
      <colorScale>
        <cfvo type="min"/>
        <cfvo type="percentile" val="50"/>
        <cfvo type="max"/>
        <color rgb="FF63BE7B"/>
        <color rgb="FFFFEB84"/>
        <color rgb="FFF8696B"/>
      </colorScale>
    </cfRule>
  </conditionalFormatting>
  <conditionalFormatting sqref="F12002:F12025">
    <cfRule type="colorScale" priority="441">
      <colorScale>
        <cfvo type="min"/>
        <cfvo type="percentile" val="50"/>
        <cfvo type="max"/>
        <color rgb="FF63BE7B"/>
        <color rgb="FFFFEB84"/>
        <color rgb="FFF8696B"/>
      </colorScale>
    </cfRule>
  </conditionalFormatting>
  <conditionalFormatting sqref="G12002:G12025">
    <cfRule type="cellIs" dxfId="443" priority="436" operator="between">
      <formula>49</formula>
      <formula>149</formula>
    </cfRule>
    <cfRule type="cellIs" dxfId="442" priority="439" operator="lessThan">
      <formula>49</formula>
    </cfRule>
    <cfRule type="cellIs" dxfId="441" priority="440" operator="greaterThanOrEqual">
      <formula>150</formula>
    </cfRule>
  </conditionalFormatting>
  <conditionalFormatting sqref="H12002:H12025">
    <cfRule type="cellIs" dxfId="440" priority="435" operator="between">
      <formula>0.8</formula>
      <formula>1.2</formula>
    </cfRule>
    <cfRule type="cellIs" dxfId="439" priority="437" operator="lessThan">
      <formula>0.8</formula>
    </cfRule>
    <cfRule type="cellIs" dxfId="438" priority="438" operator="greaterThanOrEqual">
      <formula>1.2</formula>
    </cfRule>
  </conditionalFormatting>
  <conditionalFormatting sqref="I12002:I12025">
    <cfRule type="colorScale" priority="434">
      <colorScale>
        <cfvo type="min"/>
        <cfvo type="percentile" val="50"/>
        <cfvo type="max"/>
        <color rgb="FF63BE7B"/>
        <color rgb="FFFFEB84"/>
        <color rgb="FFF8696B"/>
      </colorScale>
    </cfRule>
  </conditionalFormatting>
  <conditionalFormatting sqref="K12003:K12025">
    <cfRule type="colorScale" priority="433">
      <colorScale>
        <cfvo type="min"/>
        <cfvo type="percentile" val="50"/>
        <cfvo type="max"/>
        <color rgb="FF63BE7B"/>
        <color rgb="FFFFEB84"/>
        <color rgb="FFF8696B"/>
      </colorScale>
    </cfRule>
  </conditionalFormatting>
  <conditionalFormatting sqref="K12002:K12025">
    <cfRule type="colorScale" priority="432">
      <colorScale>
        <cfvo type="min"/>
        <cfvo type="percentile" val="50"/>
        <cfvo type="max"/>
        <color rgb="FF63BE7B"/>
        <color rgb="FFFFEB84"/>
        <color rgb="FFF8696B"/>
      </colorScale>
    </cfRule>
  </conditionalFormatting>
  <conditionalFormatting sqref="M12002:M12025">
    <cfRule type="colorScale" priority="431">
      <colorScale>
        <cfvo type="min"/>
        <cfvo type="percentile" val="50"/>
        <cfvo type="max"/>
        <color rgb="FF63BE7B"/>
        <color rgb="FFFFEB84"/>
        <color rgb="FFF8696B"/>
      </colorScale>
    </cfRule>
  </conditionalFormatting>
  <conditionalFormatting sqref="L12002:L12025">
    <cfRule type="colorScale" priority="430">
      <colorScale>
        <cfvo type="min"/>
        <cfvo type="percentile" val="50"/>
        <cfvo type="max"/>
        <color rgb="FF63BE7B"/>
        <color rgb="FFFFEB84"/>
        <color rgb="FFF8696B"/>
      </colorScale>
    </cfRule>
  </conditionalFormatting>
  <conditionalFormatting sqref="D12026:D12049">
    <cfRule type="colorScale" priority="429">
      <colorScale>
        <cfvo type="min"/>
        <cfvo type="percentile" val="50"/>
        <cfvo type="max"/>
        <color rgb="FF63BE7B"/>
        <color rgb="FFFFEB84"/>
        <color rgb="FFF8696B"/>
      </colorScale>
    </cfRule>
  </conditionalFormatting>
  <conditionalFormatting sqref="F12026:F12049">
    <cfRule type="colorScale" priority="428">
      <colorScale>
        <cfvo type="min"/>
        <cfvo type="percentile" val="50"/>
        <cfvo type="max"/>
        <color rgb="FF63BE7B"/>
        <color rgb="FFFFEB84"/>
        <color rgb="FFF8696B"/>
      </colorScale>
    </cfRule>
  </conditionalFormatting>
  <conditionalFormatting sqref="G12026:G12049">
    <cfRule type="cellIs" dxfId="437" priority="423" operator="between">
      <formula>49</formula>
      <formula>149</formula>
    </cfRule>
    <cfRule type="cellIs" dxfId="436" priority="426" operator="lessThan">
      <formula>49</formula>
    </cfRule>
    <cfRule type="cellIs" dxfId="435" priority="427" operator="greaterThanOrEqual">
      <formula>150</formula>
    </cfRule>
  </conditionalFormatting>
  <conditionalFormatting sqref="H12026:H12049">
    <cfRule type="cellIs" dxfId="434" priority="422" operator="between">
      <formula>0.8</formula>
      <formula>1.2</formula>
    </cfRule>
    <cfRule type="cellIs" dxfId="433" priority="424" operator="lessThan">
      <formula>0.8</formula>
    </cfRule>
    <cfRule type="cellIs" dxfId="432" priority="425" operator="greaterThanOrEqual">
      <formula>1.2</formula>
    </cfRule>
  </conditionalFormatting>
  <conditionalFormatting sqref="I12026:I12049">
    <cfRule type="colorScale" priority="421">
      <colorScale>
        <cfvo type="min"/>
        <cfvo type="percentile" val="50"/>
        <cfvo type="max"/>
        <color rgb="FF63BE7B"/>
        <color rgb="FFFFEB84"/>
        <color rgb="FFF8696B"/>
      </colorScale>
    </cfRule>
  </conditionalFormatting>
  <conditionalFormatting sqref="K12027:K12049">
    <cfRule type="colorScale" priority="420">
      <colorScale>
        <cfvo type="min"/>
        <cfvo type="percentile" val="50"/>
        <cfvo type="max"/>
        <color rgb="FF63BE7B"/>
        <color rgb="FFFFEB84"/>
        <color rgb="FFF8696B"/>
      </colorScale>
    </cfRule>
  </conditionalFormatting>
  <conditionalFormatting sqref="K12026:K12049">
    <cfRule type="colorScale" priority="419">
      <colorScale>
        <cfvo type="min"/>
        <cfvo type="percentile" val="50"/>
        <cfvo type="max"/>
        <color rgb="FF63BE7B"/>
        <color rgb="FFFFEB84"/>
        <color rgb="FFF8696B"/>
      </colorScale>
    </cfRule>
  </conditionalFormatting>
  <conditionalFormatting sqref="M12026:M12049">
    <cfRule type="colorScale" priority="418">
      <colorScale>
        <cfvo type="min"/>
        <cfvo type="percentile" val="50"/>
        <cfvo type="max"/>
        <color rgb="FF63BE7B"/>
        <color rgb="FFFFEB84"/>
        <color rgb="FFF8696B"/>
      </colorScale>
    </cfRule>
  </conditionalFormatting>
  <conditionalFormatting sqref="L12026:L12049">
    <cfRule type="colorScale" priority="417">
      <colorScale>
        <cfvo type="min"/>
        <cfvo type="percentile" val="50"/>
        <cfvo type="max"/>
        <color rgb="FF63BE7B"/>
        <color rgb="FFFFEB84"/>
        <color rgb="FFF8696B"/>
      </colorScale>
    </cfRule>
  </conditionalFormatting>
  <conditionalFormatting sqref="D12050:D12073">
    <cfRule type="colorScale" priority="416">
      <colorScale>
        <cfvo type="min"/>
        <cfvo type="percentile" val="50"/>
        <cfvo type="max"/>
        <color rgb="FF63BE7B"/>
        <color rgb="FFFFEB84"/>
        <color rgb="FFF8696B"/>
      </colorScale>
    </cfRule>
  </conditionalFormatting>
  <conditionalFormatting sqref="F12050:F12073">
    <cfRule type="colorScale" priority="415">
      <colorScale>
        <cfvo type="min"/>
        <cfvo type="percentile" val="50"/>
        <cfvo type="max"/>
        <color rgb="FF63BE7B"/>
        <color rgb="FFFFEB84"/>
        <color rgb="FFF8696B"/>
      </colorScale>
    </cfRule>
  </conditionalFormatting>
  <conditionalFormatting sqref="G12050:G12073">
    <cfRule type="cellIs" dxfId="431" priority="410" operator="between">
      <formula>49</formula>
      <formula>149</formula>
    </cfRule>
    <cfRule type="cellIs" dxfId="430" priority="413" operator="lessThan">
      <formula>49</formula>
    </cfRule>
    <cfRule type="cellIs" dxfId="429" priority="414" operator="greaterThanOrEqual">
      <formula>150</formula>
    </cfRule>
  </conditionalFormatting>
  <conditionalFormatting sqref="H12050:H12073">
    <cfRule type="cellIs" dxfId="428" priority="409" operator="between">
      <formula>0.8</formula>
      <formula>1.2</formula>
    </cfRule>
    <cfRule type="cellIs" dxfId="427" priority="411" operator="lessThan">
      <formula>0.8</formula>
    </cfRule>
    <cfRule type="cellIs" dxfId="426" priority="412" operator="greaterThanOrEqual">
      <formula>1.2</formula>
    </cfRule>
  </conditionalFormatting>
  <conditionalFormatting sqref="I12050:I12073">
    <cfRule type="colorScale" priority="408">
      <colorScale>
        <cfvo type="min"/>
        <cfvo type="percentile" val="50"/>
        <cfvo type="max"/>
        <color rgb="FF63BE7B"/>
        <color rgb="FFFFEB84"/>
        <color rgb="FFF8696B"/>
      </colorScale>
    </cfRule>
  </conditionalFormatting>
  <conditionalFormatting sqref="K12051:K12073">
    <cfRule type="colorScale" priority="407">
      <colorScale>
        <cfvo type="min"/>
        <cfvo type="percentile" val="50"/>
        <cfvo type="max"/>
        <color rgb="FF63BE7B"/>
        <color rgb="FFFFEB84"/>
        <color rgb="FFF8696B"/>
      </colorScale>
    </cfRule>
  </conditionalFormatting>
  <conditionalFormatting sqref="K12050:K12073">
    <cfRule type="colorScale" priority="406">
      <colorScale>
        <cfvo type="min"/>
        <cfvo type="percentile" val="50"/>
        <cfvo type="max"/>
        <color rgb="FF63BE7B"/>
        <color rgb="FFFFEB84"/>
        <color rgb="FFF8696B"/>
      </colorScale>
    </cfRule>
  </conditionalFormatting>
  <conditionalFormatting sqref="M12050:M12073">
    <cfRule type="colorScale" priority="405">
      <colorScale>
        <cfvo type="min"/>
        <cfvo type="percentile" val="50"/>
        <cfvo type="max"/>
        <color rgb="FF63BE7B"/>
        <color rgb="FFFFEB84"/>
        <color rgb="FFF8696B"/>
      </colorScale>
    </cfRule>
  </conditionalFormatting>
  <conditionalFormatting sqref="L12050:L12073">
    <cfRule type="colorScale" priority="404">
      <colorScale>
        <cfvo type="min"/>
        <cfvo type="percentile" val="50"/>
        <cfvo type="max"/>
        <color rgb="FF63BE7B"/>
        <color rgb="FFFFEB84"/>
        <color rgb="FFF8696B"/>
      </colorScale>
    </cfRule>
  </conditionalFormatting>
  <conditionalFormatting sqref="D12074:D12097">
    <cfRule type="colorScale" priority="403">
      <colorScale>
        <cfvo type="min"/>
        <cfvo type="percentile" val="50"/>
        <cfvo type="max"/>
        <color rgb="FF63BE7B"/>
        <color rgb="FFFFEB84"/>
        <color rgb="FFF8696B"/>
      </colorScale>
    </cfRule>
  </conditionalFormatting>
  <conditionalFormatting sqref="F12074:F12097">
    <cfRule type="colorScale" priority="402">
      <colorScale>
        <cfvo type="min"/>
        <cfvo type="percentile" val="50"/>
        <cfvo type="max"/>
        <color rgb="FF63BE7B"/>
        <color rgb="FFFFEB84"/>
        <color rgb="FFF8696B"/>
      </colorScale>
    </cfRule>
  </conditionalFormatting>
  <conditionalFormatting sqref="G12074:G12097">
    <cfRule type="cellIs" dxfId="425" priority="397" operator="between">
      <formula>49</formula>
      <formula>149</formula>
    </cfRule>
    <cfRule type="cellIs" dxfId="424" priority="400" operator="lessThan">
      <formula>49</formula>
    </cfRule>
    <cfRule type="cellIs" dxfId="423" priority="401" operator="greaterThanOrEqual">
      <formula>150</formula>
    </cfRule>
  </conditionalFormatting>
  <conditionalFormatting sqref="H12074:H12097">
    <cfRule type="cellIs" dxfId="422" priority="396" operator="between">
      <formula>0.8</formula>
      <formula>1.2</formula>
    </cfRule>
    <cfRule type="cellIs" dxfId="421" priority="398" operator="lessThan">
      <formula>0.8</formula>
    </cfRule>
    <cfRule type="cellIs" dxfId="420" priority="399" operator="greaterThanOrEqual">
      <formula>1.2</formula>
    </cfRule>
  </conditionalFormatting>
  <conditionalFormatting sqref="I12074:I12097">
    <cfRule type="colorScale" priority="395">
      <colorScale>
        <cfvo type="min"/>
        <cfvo type="percentile" val="50"/>
        <cfvo type="max"/>
        <color rgb="FF63BE7B"/>
        <color rgb="FFFFEB84"/>
        <color rgb="FFF8696B"/>
      </colorScale>
    </cfRule>
  </conditionalFormatting>
  <conditionalFormatting sqref="K12075:K12097">
    <cfRule type="colorScale" priority="394">
      <colorScale>
        <cfvo type="min"/>
        <cfvo type="percentile" val="50"/>
        <cfvo type="max"/>
        <color rgb="FF63BE7B"/>
        <color rgb="FFFFEB84"/>
        <color rgb="FFF8696B"/>
      </colorScale>
    </cfRule>
  </conditionalFormatting>
  <conditionalFormatting sqref="K12074:K12097">
    <cfRule type="colorScale" priority="393">
      <colorScale>
        <cfvo type="min"/>
        <cfvo type="percentile" val="50"/>
        <cfvo type="max"/>
        <color rgb="FF63BE7B"/>
        <color rgb="FFFFEB84"/>
        <color rgb="FFF8696B"/>
      </colorScale>
    </cfRule>
  </conditionalFormatting>
  <conditionalFormatting sqref="M12074:M12097">
    <cfRule type="colorScale" priority="392">
      <colorScale>
        <cfvo type="min"/>
        <cfvo type="percentile" val="50"/>
        <cfvo type="max"/>
        <color rgb="FF63BE7B"/>
        <color rgb="FFFFEB84"/>
        <color rgb="FFF8696B"/>
      </colorScale>
    </cfRule>
  </conditionalFormatting>
  <conditionalFormatting sqref="L12074:L12097">
    <cfRule type="colorScale" priority="391">
      <colorScale>
        <cfvo type="min"/>
        <cfvo type="percentile" val="50"/>
        <cfvo type="max"/>
        <color rgb="FF63BE7B"/>
        <color rgb="FFFFEB84"/>
        <color rgb="FFF8696B"/>
      </colorScale>
    </cfRule>
  </conditionalFormatting>
  <conditionalFormatting sqref="D12098:D12121">
    <cfRule type="colorScale" priority="390">
      <colorScale>
        <cfvo type="min"/>
        <cfvo type="percentile" val="50"/>
        <cfvo type="max"/>
        <color rgb="FF63BE7B"/>
        <color rgb="FFFFEB84"/>
        <color rgb="FFF8696B"/>
      </colorScale>
    </cfRule>
  </conditionalFormatting>
  <conditionalFormatting sqref="F12098:F12121">
    <cfRule type="colorScale" priority="389">
      <colorScale>
        <cfvo type="min"/>
        <cfvo type="percentile" val="50"/>
        <cfvo type="max"/>
        <color rgb="FF63BE7B"/>
        <color rgb="FFFFEB84"/>
        <color rgb="FFF8696B"/>
      </colorScale>
    </cfRule>
  </conditionalFormatting>
  <conditionalFormatting sqref="G12098:G12121">
    <cfRule type="cellIs" dxfId="419" priority="384" operator="between">
      <formula>49</formula>
      <formula>149</formula>
    </cfRule>
    <cfRule type="cellIs" dxfId="418" priority="387" operator="lessThan">
      <formula>49</formula>
    </cfRule>
    <cfRule type="cellIs" dxfId="417" priority="388" operator="greaterThanOrEqual">
      <formula>150</formula>
    </cfRule>
  </conditionalFormatting>
  <conditionalFormatting sqref="H12098:H12121">
    <cfRule type="cellIs" dxfId="416" priority="383" operator="between">
      <formula>0.8</formula>
      <formula>1.2</formula>
    </cfRule>
    <cfRule type="cellIs" dxfId="415" priority="385" operator="lessThan">
      <formula>0.8</formula>
    </cfRule>
    <cfRule type="cellIs" dxfId="414" priority="386" operator="greaterThanOrEqual">
      <formula>1.2</formula>
    </cfRule>
  </conditionalFormatting>
  <conditionalFormatting sqref="I12098:I12121">
    <cfRule type="colorScale" priority="382">
      <colorScale>
        <cfvo type="min"/>
        <cfvo type="percentile" val="50"/>
        <cfvo type="max"/>
        <color rgb="FF63BE7B"/>
        <color rgb="FFFFEB84"/>
        <color rgb="FFF8696B"/>
      </colorScale>
    </cfRule>
  </conditionalFormatting>
  <conditionalFormatting sqref="K12099:K12121">
    <cfRule type="colorScale" priority="381">
      <colorScale>
        <cfvo type="min"/>
        <cfvo type="percentile" val="50"/>
        <cfvo type="max"/>
        <color rgb="FF63BE7B"/>
        <color rgb="FFFFEB84"/>
        <color rgb="FFF8696B"/>
      </colorScale>
    </cfRule>
  </conditionalFormatting>
  <conditionalFormatting sqref="K12098:K12121">
    <cfRule type="colorScale" priority="380">
      <colorScale>
        <cfvo type="min"/>
        <cfvo type="percentile" val="50"/>
        <cfvo type="max"/>
        <color rgb="FF63BE7B"/>
        <color rgb="FFFFEB84"/>
        <color rgb="FFF8696B"/>
      </colorScale>
    </cfRule>
  </conditionalFormatting>
  <conditionalFormatting sqref="M12098:M12121">
    <cfRule type="colorScale" priority="379">
      <colorScale>
        <cfvo type="min"/>
        <cfvo type="percentile" val="50"/>
        <cfvo type="max"/>
        <color rgb="FF63BE7B"/>
        <color rgb="FFFFEB84"/>
        <color rgb="FFF8696B"/>
      </colorScale>
    </cfRule>
  </conditionalFormatting>
  <conditionalFormatting sqref="L12098:L12121">
    <cfRule type="colorScale" priority="378">
      <colorScale>
        <cfvo type="min"/>
        <cfvo type="percentile" val="50"/>
        <cfvo type="max"/>
        <color rgb="FF63BE7B"/>
        <color rgb="FFFFEB84"/>
        <color rgb="FFF8696B"/>
      </colorScale>
    </cfRule>
  </conditionalFormatting>
  <conditionalFormatting sqref="D12122:D12145">
    <cfRule type="colorScale" priority="377">
      <colorScale>
        <cfvo type="min"/>
        <cfvo type="percentile" val="50"/>
        <cfvo type="max"/>
        <color rgb="FF63BE7B"/>
        <color rgb="FFFFEB84"/>
        <color rgb="FFF8696B"/>
      </colorScale>
    </cfRule>
  </conditionalFormatting>
  <conditionalFormatting sqref="F12122:F12145">
    <cfRule type="colorScale" priority="376">
      <colorScale>
        <cfvo type="min"/>
        <cfvo type="percentile" val="50"/>
        <cfvo type="max"/>
        <color rgb="FF63BE7B"/>
        <color rgb="FFFFEB84"/>
        <color rgb="FFF8696B"/>
      </colorScale>
    </cfRule>
  </conditionalFormatting>
  <conditionalFormatting sqref="G12122:G12145">
    <cfRule type="cellIs" dxfId="413" priority="371" operator="between">
      <formula>49</formula>
      <formula>149</formula>
    </cfRule>
    <cfRule type="cellIs" dxfId="412" priority="374" operator="lessThan">
      <formula>49</formula>
    </cfRule>
    <cfRule type="cellIs" dxfId="411" priority="375" operator="greaterThanOrEqual">
      <formula>150</formula>
    </cfRule>
  </conditionalFormatting>
  <conditionalFormatting sqref="H12122:H12145">
    <cfRule type="cellIs" dxfId="410" priority="370" operator="between">
      <formula>0.8</formula>
      <formula>1.2</formula>
    </cfRule>
    <cfRule type="cellIs" dxfId="409" priority="372" operator="lessThan">
      <formula>0.8</formula>
    </cfRule>
    <cfRule type="cellIs" dxfId="408" priority="373" operator="greaterThanOrEqual">
      <formula>1.2</formula>
    </cfRule>
  </conditionalFormatting>
  <conditionalFormatting sqref="I12122:I12145">
    <cfRule type="colorScale" priority="369">
      <colorScale>
        <cfvo type="min"/>
        <cfvo type="percentile" val="50"/>
        <cfvo type="max"/>
        <color rgb="FF63BE7B"/>
        <color rgb="FFFFEB84"/>
        <color rgb="FFF8696B"/>
      </colorScale>
    </cfRule>
  </conditionalFormatting>
  <conditionalFormatting sqref="K12123:K12145">
    <cfRule type="colorScale" priority="368">
      <colorScale>
        <cfvo type="min"/>
        <cfvo type="percentile" val="50"/>
        <cfvo type="max"/>
        <color rgb="FF63BE7B"/>
        <color rgb="FFFFEB84"/>
        <color rgb="FFF8696B"/>
      </colorScale>
    </cfRule>
  </conditionalFormatting>
  <conditionalFormatting sqref="K12122:K12145">
    <cfRule type="colorScale" priority="367">
      <colorScale>
        <cfvo type="min"/>
        <cfvo type="percentile" val="50"/>
        <cfvo type="max"/>
        <color rgb="FF63BE7B"/>
        <color rgb="FFFFEB84"/>
        <color rgb="FFF8696B"/>
      </colorScale>
    </cfRule>
  </conditionalFormatting>
  <conditionalFormatting sqref="M12122:M12145">
    <cfRule type="colorScale" priority="366">
      <colorScale>
        <cfvo type="min"/>
        <cfvo type="percentile" val="50"/>
        <cfvo type="max"/>
        <color rgb="FF63BE7B"/>
        <color rgb="FFFFEB84"/>
        <color rgb="FFF8696B"/>
      </colorScale>
    </cfRule>
  </conditionalFormatting>
  <conditionalFormatting sqref="L12122:L12145">
    <cfRule type="colorScale" priority="365">
      <colorScale>
        <cfvo type="min"/>
        <cfvo type="percentile" val="50"/>
        <cfvo type="max"/>
        <color rgb="FF63BE7B"/>
        <color rgb="FFFFEB84"/>
        <color rgb="FFF8696B"/>
      </colorScale>
    </cfRule>
  </conditionalFormatting>
  <conditionalFormatting sqref="D12146:D12169">
    <cfRule type="colorScale" priority="364">
      <colorScale>
        <cfvo type="min"/>
        <cfvo type="percentile" val="50"/>
        <cfvo type="max"/>
        <color rgb="FF63BE7B"/>
        <color rgb="FFFFEB84"/>
        <color rgb="FFF8696B"/>
      </colorScale>
    </cfRule>
  </conditionalFormatting>
  <conditionalFormatting sqref="F12146:F12169">
    <cfRule type="colorScale" priority="363">
      <colorScale>
        <cfvo type="min"/>
        <cfvo type="percentile" val="50"/>
        <cfvo type="max"/>
        <color rgb="FF63BE7B"/>
        <color rgb="FFFFEB84"/>
        <color rgb="FFF8696B"/>
      </colorScale>
    </cfRule>
  </conditionalFormatting>
  <conditionalFormatting sqref="G12146:G12169">
    <cfRule type="cellIs" dxfId="407" priority="358" operator="between">
      <formula>49</formula>
      <formula>149</formula>
    </cfRule>
    <cfRule type="cellIs" dxfId="406" priority="361" operator="lessThan">
      <formula>49</formula>
    </cfRule>
    <cfRule type="cellIs" dxfId="405" priority="362" operator="greaterThanOrEqual">
      <formula>150</formula>
    </cfRule>
  </conditionalFormatting>
  <conditionalFormatting sqref="H12146:H12169">
    <cfRule type="cellIs" dxfId="404" priority="357" operator="between">
      <formula>0.8</formula>
      <formula>1.2</formula>
    </cfRule>
    <cfRule type="cellIs" dxfId="403" priority="359" operator="lessThan">
      <formula>0.8</formula>
    </cfRule>
    <cfRule type="cellIs" dxfId="402" priority="360" operator="greaterThanOrEqual">
      <formula>1.2</formula>
    </cfRule>
  </conditionalFormatting>
  <conditionalFormatting sqref="I12146:I12169">
    <cfRule type="colorScale" priority="356">
      <colorScale>
        <cfvo type="min"/>
        <cfvo type="percentile" val="50"/>
        <cfvo type="max"/>
        <color rgb="FF63BE7B"/>
        <color rgb="FFFFEB84"/>
        <color rgb="FFF8696B"/>
      </colorScale>
    </cfRule>
  </conditionalFormatting>
  <conditionalFormatting sqref="K12147:K12169">
    <cfRule type="colorScale" priority="355">
      <colorScale>
        <cfvo type="min"/>
        <cfvo type="percentile" val="50"/>
        <cfvo type="max"/>
        <color rgb="FF63BE7B"/>
        <color rgb="FFFFEB84"/>
        <color rgb="FFF8696B"/>
      </colorScale>
    </cfRule>
  </conditionalFormatting>
  <conditionalFormatting sqref="K12146:K12169">
    <cfRule type="colorScale" priority="354">
      <colorScale>
        <cfvo type="min"/>
        <cfvo type="percentile" val="50"/>
        <cfvo type="max"/>
        <color rgb="FF63BE7B"/>
        <color rgb="FFFFEB84"/>
        <color rgb="FFF8696B"/>
      </colorScale>
    </cfRule>
  </conditionalFormatting>
  <conditionalFormatting sqref="M12146:M12169">
    <cfRule type="colorScale" priority="353">
      <colorScale>
        <cfvo type="min"/>
        <cfvo type="percentile" val="50"/>
        <cfvo type="max"/>
        <color rgb="FF63BE7B"/>
        <color rgb="FFFFEB84"/>
        <color rgb="FFF8696B"/>
      </colorScale>
    </cfRule>
  </conditionalFormatting>
  <conditionalFormatting sqref="L12146:L12169">
    <cfRule type="colorScale" priority="352">
      <colorScale>
        <cfvo type="min"/>
        <cfvo type="percentile" val="50"/>
        <cfvo type="max"/>
        <color rgb="FF63BE7B"/>
        <color rgb="FFFFEB84"/>
        <color rgb="FFF8696B"/>
      </colorScale>
    </cfRule>
  </conditionalFormatting>
  <conditionalFormatting sqref="D12170:D12193">
    <cfRule type="colorScale" priority="351">
      <colorScale>
        <cfvo type="min"/>
        <cfvo type="percentile" val="50"/>
        <cfvo type="max"/>
        <color rgb="FF63BE7B"/>
        <color rgb="FFFFEB84"/>
        <color rgb="FFF8696B"/>
      </colorScale>
    </cfRule>
  </conditionalFormatting>
  <conditionalFormatting sqref="F12170:F12193">
    <cfRule type="colorScale" priority="350">
      <colorScale>
        <cfvo type="min"/>
        <cfvo type="percentile" val="50"/>
        <cfvo type="max"/>
        <color rgb="FF63BE7B"/>
        <color rgb="FFFFEB84"/>
        <color rgb="FFF8696B"/>
      </colorScale>
    </cfRule>
  </conditionalFormatting>
  <conditionalFormatting sqref="G12170:G12193">
    <cfRule type="cellIs" dxfId="401" priority="345" operator="between">
      <formula>49</formula>
      <formula>149</formula>
    </cfRule>
    <cfRule type="cellIs" dxfId="400" priority="348" operator="lessThan">
      <formula>49</formula>
    </cfRule>
    <cfRule type="cellIs" dxfId="399" priority="349" operator="greaterThanOrEqual">
      <formula>150</formula>
    </cfRule>
  </conditionalFormatting>
  <conditionalFormatting sqref="H12170:H12193">
    <cfRule type="cellIs" dxfId="398" priority="344" operator="between">
      <formula>0.8</formula>
      <formula>1.2</formula>
    </cfRule>
    <cfRule type="cellIs" dxfId="397" priority="346" operator="lessThan">
      <formula>0.8</formula>
    </cfRule>
    <cfRule type="cellIs" dxfId="396" priority="347" operator="greaterThanOrEqual">
      <formula>1.2</formula>
    </cfRule>
  </conditionalFormatting>
  <conditionalFormatting sqref="I12170:I12193">
    <cfRule type="colorScale" priority="343">
      <colorScale>
        <cfvo type="min"/>
        <cfvo type="percentile" val="50"/>
        <cfvo type="max"/>
        <color rgb="FF63BE7B"/>
        <color rgb="FFFFEB84"/>
        <color rgb="FFF8696B"/>
      </colorScale>
    </cfRule>
  </conditionalFormatting>
  <conditionalFormatting sqref="K12171:K12193">
    <cfRule type="colorScale" priority="342">
      <colorScale>
        <cfvo type="min"/>
        <cfvo type="percentile" val="50"/>
        <cfvo type="max"/>
        <color rgb="FF63BE7B"/>
        <color rgb="FFFFEB84"/>
        <color rgb="FFF8696B"/>
      </colorScale>
    </cfRule>
  </conditionalFormatting>
  <conditionalFormatting sqref="K12170:K12193">
    <cfRule type="colorScale" priority="341">
      <colorScale>
        <cfvo type="min"/>
        <cfvo type="percentile" val="50"/>
        <cfvo type="max"/>
        <color rgb="FF63BE7B"/>
        <color rgb="FFFFEB84"/>
        <color rgb="FFF8696B"/>
      </colorScale>
    </cfRule>
  </conditionalFormatting>
  <conditionalFormatting sqref="M12170:M12193">
    <cfRule type="colorScale" priority="340">
      <colorScale>
        <cfvo type="min"/>
        <cfvo type="percentile" val="50"/>
        <cfvo type="max"/>
        <color rgb="FF63BE7B"/>
        <color rgb="FFFFEB84"/>
        <color rgb="FFF8696B"/>
      </colorScale>
    </cfRule>
  </conditionalFormatting>
  <conditionalFormatting sqref="L12170:L12193">
    <cfRule type="colorScale" priority="339">
      <colorScale>
        <cfvo type="min"/>
        <cfvo type="percentile" val="50"/>
        <cfvo type="max"/>
        <color rgb="FF63BE7B"/>
        <color rgb="FFFFEB84"/>
        <color rgb="FFF8696B"/>
      </colorScale>
    </cfRule>
  </conditionalFormatting>
  <conditionalFormatting sqref="D12194:D12217">
    <cfRule type="colorScale" priority="325">
      <colorScale>
        <cfvo type="min"/>
        <cfvo type="percentile" val="50"/>
        <cfvo type="max"/>
        <color rgb="FF63BE7B"/>
        <color rgb="FFFFEB84"/>
        <color rgb="FFF8696B"/>
      </colorScale>
    </cfRule>
  </conditionalFormatting>
  <conditionalFormatting sqref="F12194:F12217">
    <cfRule type="colorScale" priority="324">
      <colorScale>
        <cfvo type="min"/>
        <cfvo type="percentile" val="50"/>
        <cfvo type="max"/>
        <color rgb="FF63BE7B"/>
        <color rgb="FFFFEB84"/>
        <color rgb="FFF8696B"/>
      </colorScale>
    </cfRule>
  </conditionalFormatting>
  <conditionalFormatting sqref="G12194:G12217">
    <cfRule type="cellIs" dxfId="395" priority="319" operator="between">
      <formula>49</formula>
      <formula>149</formula>
    </cfRule>
    <cfRule type="cellIs" dxfId="394" priority="322" operator="lessThan">
      <formula>49</formula>
    </cfRule>
    <cfRule type="cellIs" dxfId="393" priority="323" operator="greaterThanOrEqual">
      <formula>150</formula>
    </cfRule>
  </conditionalFormatting>
  <conditionalFormatting sqref="H12194:H12217">
    <cfRule type="cellIs" dxfId="392" priority="318" operator="between">
      <formula>0.8</formula>
      <formula>1.2</formula>
    </cfRule>
    <cfRule type="cellIs" dxfId="391" priority="320" operator="lessThan">
      <formula>0.8</formula>
    </cfRule>
    <cfRule type="cellIs" dxfId="390" priority="321" operator="greaterThanOrEqual">
      <formula>1.2</formula>
    </cfRule>
  </conditionalFormatting>
  <conditionalFormatting sqref="I12194:I12217">
    <cfRule type="colorScale" priority="317">
      <colorScale>
        <cfvo type="min"/>
        <cfvo type="percentile" val="50"/>
        <cfvo type="max"/>
        <color rgb="FF63BE7B"/>
        <color rgb="FFFFEB84"/>
        <color rgb="FFF8696B"/>
      </colorScale>
    </cfRule>
  </conditionalFormatting>
  <conditionalFormatting sqref="K12195:K12217">
    <cfRule type="colorScale" priority="316">
      <colorScale>
        <cfvo type="min"/>
        <cfvo type="percentile" val="50"/>
        <cfvo type="max"/>
        <color rgb="FF63BE7B"/>
        <color rgb="FFFFEB84"/>
        <color rgb="FFF8696B"/>
      </colorScale>
    </cfRule>
  </conditionalFormatting>
  <conditionalFormatting sqref="K12194:K12217">
    <cfRule type="colorScale" priority="315">
      <colorScale>
        <cfvo type="min"/>
        <cfvo type="percentile" val="50"/>
        <cfvo type="max"/>
        <color rgb="FF63BE7B"/>
        <color rgb="FFFFEB84"/>
        <color rgb="FFF8696B"/>
      </colorScale>
    </cfRule>
  </conditionalFormatting>
  <conditionalFormatting sqref="M12194:M12217">
    <cfRule type="colorScale" priority="314">
      <colorScale>
        <cfvo type="min"/>
        <cfvo type="percentile" val="50"/>
        <cfvo type="max"/>
        <color rgb="FF63BE7B"/>
        <color rgb="FFFFEB84"/>
        <color rgb="FFF8696B"/>
      </colorScale>
    </cfRule>
  </conditionalFormatting>
  <conditionalFormatting sqref="L12194:L12217">
    <cfRule type="colorScale" priority="313">
      <colorScale>
        <cfvo type="min"/>
        <cfvo type="percentile" val="50"/>
        <cfvo type="max"/>
        <color rgb="FF63BE7B"/>
        <color rgb="FFFFEB84"/>
        <color rgb="FFF8696B"/>
      </colorScale>
    </cfRule>
  </conditionalFormatting>
  <conditionalFormatting sqref="D12218:D12241">
    <cfRule type="colorScale" priority="312">
      <colorScale>
        <cfvo type="min"/>
        <cfvo type="percentile" val="50"/>
        <cfvo type="max"/>
        <color rgb="FF63BE7B"/>
        <color rgb="FFFFEB84"/>
        <color rgb="FFF8696B"/>
      </colorScale>
    </cfRule>
  </conditionalFormatting>
  <conditionalFormatting sqref="F12218:F12241">
    <cfRule type="colorScale" priority="311">
      <colorScale>
        <cfvo type="min"/>
        <cfvo type="percentile" val="50"/>
        <cfvo type="max"/>
        <color rgb="FF63BE7B"/>
        <color rgb="FFFFEB84"/>
        <color rgb="FFF8696B"/>
      </colorScale>
    </cfRule>
  </conditionalFormatting>
  <conditionalFormatting sqref="G12218:G12241">
    <cfRule type="cellIs" dxfId="389" priority="306" operator="between">
      <formula>49</formula>
      <formula>149</formula>
    </cfRule>
    <cfRule type="cellIs" dxfId="388" priority="309" operator="lessThan">
      <formula>49</formula>
    </cfRule>
    <cfRule type="cellIs" dxfId="387" priority="310" operator="greaterThanOrEqual">
      <formula>150</formula>
    </cfRule>
  </conditionalFormatting>
  <conditionalFormatting sqref="H12218:H12241">
    <cfRule type="cellIs" dxfId="386" priority="305" operator="between">
      <formula>0.8</formula>
      <formula>1.2</formula>
    </cfRule>
    <cfRule type="cellIs" dxfId="385" priority="307" operator="lessThan">
      <formula>0.8</formula>
    </cfRule>
    <cfRule type="cellIs" dxfId="384" priority="308" operator="greaterThanOrEqual">
      <formula>1.2</formula>
    </cfRule>
  </conditionalFormatting>
  <conditionalFormatting sqref="I12218:I12241">
    <cfRule type="colorScale" priority="304">
      <colorScale>
        <cfvo type="min"/>
        <cfvo type="percentile" val="50"/>
        <cfvo type="max"/>
        <color rgb="FF63BE7B"/>
        <color rgb="FFFFEB84"/>
        <color rgb="FFF8696B"/>
      </colorScale>
    </cfRule>
  </conditionalFormatting>
  <conditionalFormatting sqref="K12219:K12241">
    <cfRule type="colorScale" priority="303">
      <colorScale>
        <cfvo type="min"/>
        <cfvo type="percentile" val="50"/>
        <cfvo type="max"/>
        <color rgb="FF63BE7B"/>
        <color rgb="FFFFEB84"/>
        <color rgb="FFF8696B"/>
      </colorScale>
    </cfRule>
  </conditionalFormatting>
  <conditionalFormatting sqref="K12218:K12241">
    <cfRule type="colorScale" priority="302">
      <colorScale>
        <cfvo type="min"/>
        <cfvo type="percentile" val="50"/>
        <cfvo type="max"/>
        <color rgb="FF63BE7B"/>
        <color rgb="FFFFEB84"/>
        <color rgb="FFF8696B"/>
      </colorScale>
    </cfRule>
  </conditionalFormatting>
  <conditionalFormatting sqref="M12218:M12241">
    <cfRule type="colorScale" priority="301">
      <colorScale>
        <cfvo type="min"/>
        <cfvo type="percentile" val="50"/>
        <cfvo type="max"/>
        <color rgb="FF63BE7B"/>
        <color rgb="FFFFEB84"/>
        <color rgb="FFF8696B"/>
      </colorScale>
    </cfRule>
  </conditionalFormatting>
  <conditionalFormatting sqref="L12218:L12241">
    <cfRule type="colorScale" priority="300">
      <colorScale>
        <cfvo type="min"/>
        <cfvo type="percentile" val="50"/>
        <cfvo type="max"/>
        <color rgb="FF63BE7B"/>
        <color rgb="FFFFEB84"/>
        <color rgb="FFF8696B"/>
      </colorScale>
    </cfRule>
  </conditionalFormatting>
  <conditionalFormatting sqref="D12242:D12265">
    <cfRule type="colorScale" priority="299">
      <colorScale>
        <cfvo type="min"/>
        <cfvo type="percentile" val="50"/>
        <cfvo type="max"/>
        <color rgb="FF63BE7B"/>
        <color rgb="FFFFEB84"/>
        <color rgb="FFF8696B"/>
      </colorScale>
    </cfRule>
  </conditionalFormatting>
  <conditionalFormatting sqref="F12242:F12265">
    <cfRule type="colorScale" priority="298">
      <colorScale>
        <cfvo type="min"/>
        <cfvo type="percentile" val="50"/>
        <cfvo type="max"/>
        <color rgb="FF63BE7B"/>
        <color rgb="FFFFEB84"/>
        <color rgb="FFF8696B"/>
      </colorScale>
    </cfRule>
  </conditionalFormatting>
  <conditionalFormatting sqref="G12242:G12265">
    <cfRule type="cellIs" dxfId="383" priority="293" operator="between">
      <formula>49</formula>
      <formula>149</formula>
    </cfRule>
    <cfRule type="cellIs" dxfId="382" priority="296" operator="lessThan">
      <formula>49</formula>
    </cfRule>
    <cfRule type="cellIs" dxfId="381" priority="297" operator="greaterThanOrEqual">
      <formula>150</formula>
    </cfRule>
  </conditionalFormatting>
  <conditionalFormatting sqref="H12242:H12265">
    <cfRule type="cellIs" dxfId="380" priority="292" operator="between">
      <formula>0.8</formula>
      <formula>1.2</formula>
    </cfRule>
    <cfRule type="cellIs" dxfId="379" priority="294" operator="lessThan">
      <formula>0.8</formula>
    </cfRule>
    <cfRule type="cellIs" dxfId="378" priority="295" operator="greaterThanOrEqual">
      <formula>1.2</formula>
    </cfRule>
  </conditionalFormatting>
  <conditionalFormatting sqref="I12242:I12265">
    <cfRule type="colorScale" priority="291">
      <colorScale>
        <cfvo type="min"/>
        <cfvo type="percentile" val="50"/>
        <cfvo type="max"/>
        <color rgb="FF63BE7B"/>
        <color rgb="FFFFEB84"/>
        <color rgb="FFF8696B"/>
      </colorScale>
    </cfRule>
  </conditionalFormatting>
  <conditionalFormatting sqref="K12243:K12265">
    <cfRule type="colorScale" priority="290">
      <colorScale>
        <cfvo type="min"/>
        <cfvo type="percentile" val="50"/>
        <cfvo type="max"/>
        <color rgb="FF63BE7B"/>
        <color rgb="FFFFEB84"/>
        <color rgb="FFF8696B"/>
      </colorScale>
    </cfRule>
  </conditionalFormatting>
  <conditionalFormatting sqref="K12242:K12265">
    <cfRule type="colorScale" priority="289">
      <colorScale>
        <cfvo type="min"/>
        <cfvo type="percentile" val="50"/>
        <cfvo type="max"/>
        <color rgb="FF63BE7B"/>
        <color rgb="FFFFEB84"/>
        <color rgb="FFF8696B"/>
      </colorScale>
    </cfRule>
  </conditionalFormatting>
  <conditionalFormatting sqref="M12242:M12265">
    <cfRule type="colorScale" priority="288">
      <colorScale>
        <cfvo type="min"/>
        <cfvo type="percentile" val="50"/>
        <cfvo type="max"/>
        <color rgb="FF63BE7B"/>
        <color rgb="FFFFEB84"/>
        <color rgb="FFF8696B"/>
      </colorScale>
    </cfRule>
  </conditionalFormatting>
  <conditionalFormatting sqref="L12242:L12265">
    <cfRule type="colorScale" priority="287">
      <colorScale>
        <cfvo type="min"/>
        <cfvo type="percentile" val="50"/>
        <cfvo type="max"/>
        <color rgb="FF63BE7B"/>
        <color rgb="FFFFEB84"/>
        <color rgb="FFF8696B"/>
      </colorScale>
    </cfRule>
  </conditionalFormatting>
  <conditionalFormatting sqref="D12266:D12289">
    <cfRule type="colorScale" priority="286">
      <colorScale>
        <cfvo type="min"/>
        <cfvo type="percentile" val="50"/>
        <cfvo type="max"/>
        <color rgb="FF63BE7B"/>
        <color rgb="FFFFEB84"/>
        <color rgb="FFF8696B"/>
      </colorScale>
    </cfRule>
  </conditionalFormatting>
  <conditionalFormatting sqref="F12266:F12289">
    <cfRule type="colorScale" priority="285">
      <colorScale>
        <cfvo type="min"/>
        <cfvo type="percentile" val="50"/>
        <cfvo type="max"/>
        <color rgb="FF63BE7B"/>
        <color rgb="FFFFEB84"/>
        <color rgb="FFF8696B"/>
      </colorScale>
    </cfRule>
  </conditionalFormatting>
  <conditionalFormatting sqref="G12266:G12289">
    <cfRule type="cellIs" dxfId="377" priority="280" operator="between">
      <formula>49</formula>
      <formula>149</formula>
    </cfRule>
    <cfRule type="cellIs" dxfId="376" priority="283" operator="lessThan">
      <formula>49</formula>
    </cfRule>
    <cfRule type="cellIs" dxfId="375" priority="284" operator="greaterThanOrEqual">
      <formula>150</formula>
    </cfRule>
  </conditionalFormatting>
  <conditionalFormatting sqref="H12266:H12289">
    <cfRule type="cellIs" dxfId="374" priority="279" operator="between">
      <formula>0.8</formula>
      <formula>1.2</formula>
    </cfRule>
    <cfRule type="cellIs" dxfId="373" priority="281" operator="lessThan">
      <formula>0.8</formula>
    </cfRule>
    <cfRule type="cellIs" dxfId="372" priority="282" operator="greaterThanOrEqual">
      <formula>1.2</formula>
    </cfRule>
  </conditionalFormatting>
  <conditionalFormatting sqref="I12266:I12289">
    <cfRule type="colorScale" priority="278">
      <colorScale>
        <cfvo type="min"/>
        <cfvo type="percentile" val="50"/>
        <cfvo type="max"/>
        <color rgb="FF63BE7B"/>
        <color rgb="FFFFEB84"/>
        <color rgb="FFF8696B"/>
      </colorScale>
    </cfRule>
  </conditionalFormatting>
  <conditionalFormatting sqref="K12267:K12289">
    <cfRule type="colorScale" priority="277">
      <colorScale>
        <cfvo type="min"/>
        <cfvo type="percentile" val="50"/>
        <cfvo type="max"/>
        <color rgb="FF63BE7B"/>
        <color rgb="FFFFEB84"/>
        <color rgb="FFF8696B"/>
      </colorScale>
    </cfRule>
  </conditionalFormatting>
  <conditionalFormatting sqref="K12266:K12289">
    <cfRule type="colorScale" priority="276">
      <colorScale>
        <cfvo type="min"/>
        <cfvo type="percentile" val="50"/>
        <cfvo type="max"/>
        <color rgb="FF63BE7B"/>
        <color rgb="FFFFEB84"/>
        <color rgb="FFF8696B"/>
      </colorScale>
    </cfRule>
  </conditionalFormatting>
  <conditionalFormatting sqref="M12266:M12289">
    <cfRule type="colorScale" priority="275">
      <colorScale>
        <cfvo type="min"/>
        <cfvo type="percentile" val="50"/>
        <cfvo type="max"/>
        <color rgb="FF63BE7B"/>
        <color rgb="FFFFEB84"/>
        <color rgb="FFF8696B"/>
      </colorScale>
    </cfRule>
  </conditionalFormatting>
  <conditionalFormatting sqref="L12266:L12289">
    <cfRule type="colorScale" priority="274">
      <colorScale>
        <cfvo type="min"/>
        <cfvo type="percentile" val="50"/>
        <cfvo type="max"/>
        <color rgb="FF63BE7B"/>
        <color rgb="FFFFEB84"/>
        <color rgb="FFF8696B"/>
      </colorScale>
    </cfRule>
  </conditionalFormatting>
  <conditionalFormatting sqref="D12290:D12313">
    <cfRule type="colorScale" priority="273">
      <colorScale>
        <cfvo type="min"/>
        <cfvo type="percentile" val="50"/>
        <cfvo type="max"/>
        <color rgb="FF63BE7B"/>
        <color rgb="FFFFEB84"/>
        <color rgb="FFF8696B"/>
      </colorScale>
    </cfRule>
  </conditionalFormatting>
  <conditionalFormatting sqref="F12290:F12313">
    <cfRule type="colorScale" priority="272">
      <colorScale>
        <cfvo type="min"/>
        <cfvo type="percentile" val="50"/>
        <cfvo type="max"/>
        <color rgb="FF63BE7B"/>
        <color rgb="FFFFEB84"/>
        <color rgb="FFF8696B"/>
      </colorScale>
    </cfRule>
  </conditionalFormatting>
  <conditionalFormatting sqref="G12290:G12313">
    <cfRule type="cellIs" dxfId="371" priority="267" operator="between">
      <formula>49</formula>
      <formula>149</formula>
    </cfRule>
    <cfRule type="cellIs" dxfId="370" priority="270" operator="lessThan">
      <formula>49</formula>
    </cfRule>
    <cfRule type="cellIs" dxfId="369" priority="271" operator="greaterThanOrEqual">
      <formula>150</formula>
    </cfRule>
  </conditionalFormatting>
  <conditionalFormatting sqref="H12290:H12313">
    <cfRule type="cellIs" dxfId="368" priority="266" operator="between">
      <formula>0.8</formula>
      <formula>1.2</formula>
    </cfRule>
    <cfRule type="cellIs" dxfId="367" priority="268" operator="lessThan">
      <formula>0.8</formula>
    </cfRule>
    <cfRule type="cellIs" dxfId="366" priority="269" operator="greaterThanOrEqual">
      <formula>1.2</formula>
    </cfRule>
  </conditionalFormatting>
  <conditionalFormatting sqref="I12290:I12313">
    <cfRule type="colorScale" priority="265">
      <colorScale>
        <cfvo type="min"/>
        <cfvo type="percentile" val="50"/>
        <cfvo type="max"/>
        <color rgb="FF63BE7B"/>
        <color rgb="FFFFEB84"/>
        <color rgb="FFF8696B"/>
      </colorScale>
    </cfRule>
  </conditionalFormatting>
  <conditionalFormatting sqref="K12291:K12313">
    <cfRule type="colorScale" priority="264">
      <colorScale>
        <cfvo type="min"/>
        <cfvo type="percentile" val="50"/>
        <cfvo type="max"/>
        <color rgb="FF63BE7B"/>
        <color rgb="FFFFEB84"/>
        <color rgb="FFF8696B"/>
      </colorScale>
    </cfRule>
  </conditionalFormatting>
  <conditionalFormatting sqref="K12290:K12313">
    <cfRule type="colorScale" priority="263">
      <colorScale>
        <cfvo type="min"/>
        <cfvo type="percentile" val="50"/>
        <cfvo type="max"/>
        <color rgb="FF63BE7B"/>
        <color rgb="FFFFEB84"/>
        <color rgb="FFF8696B"/>
      </colorScale>
    </cfRule>
  </conditionalFormatting>
  <conditionalFormatting sqref="M12290:M12313">
    <cfRule type="colorScale" priority="262">
      <colorScale>
        <cfvo type="min"/>
        <cfvo type="percentile" val="50"/>
        <cfvo type="max"/>
        <color rgb="FF63BE7B"/>
        <color rgb="FFFFEB84"/>
        <color rgb="FFF8696B"/>
      </colorScale>
    </cfRule>
  </conditionalFormatting>
  <conditionalFormatting sqref="L12290:L12313">
    <cfRule type="colorScale" priority="261">
      <colorScale>
        <cfvo type="min"/>
        <cfvo type="percentile" val="50"/>
        <cfvo type="max"/>
        <color rgb="FF63BE7B"/>
        <color rgb="FFFFEB84"/>
        <color rgb="FFF8696B"/>
      </colorScale>
    </cfRule>
  </conditionalFormatting>
  <conditionalFormatting sqref="D12314:D12337">
    <cfRule type="colorScale" priority="260">
      <colorScale>
        <cfvo type="min"/>
        <cfvo type="percentile" val="50"/>
        <cfvo type="max"/>
        <color rgb="FF63BE7B"/>
        <color rgb="FFFFEB84"/>
        <color rgb="FFF8696B"/>
      </colorScale>
    </cfRule>
  </conditionalFormatting>
  <conditionalFormatting sqref="F12314:F12337">
    <cfRule type="colorScale" priority="259">
      <colorScale>
        <cfvo type="min"/>
        <cfvo type="percentile" val="50"/>
        <cfvo type="max"/>
        <color rgb="FF63BE7B"/>
        <color rgb="FFFFEB84"/>
        <color rgb="FFF8696B"/>
      </colorScale>
    </cfRule>
  </conditionalFormatting>
  <conditionalFormatting sqref="G12314:G12337">
    <cfRule type="cellIs" dxfId="365" priority="254" operator="between">
      <formula>49</formula>
      <formula>149</formula>
    </cfRule>
    <cfRule type="cellIs" dxfId="364" priority="257" operator="lessThan">
      <formula>49</formula>
    </cfRule>
    <cfRule type="cellIs" dxfId="363" priority="258" operator="greaterThanOrEqual">
      <formula>150</formula>
    </cfRule>
  </conditionalFormatting>
  <conditionalFormatting sqref="H12314:H12337">
    <cfRule type="cellIs" dxfId="362" priority="253" operator="between">
      <formula>0.8</formula>
      <formula>1.2</formula>
    </cfRule>
    <cfRule type="cellIs" dxfId="361" priority="255" operator="lessThan">
      <formula>0.8</formula>
    </cfRule>
    <cfRule type="cellIs" dxfId="360" priority="256" operator="greaterThanOrEqual">
      <formula>1.2</formula>
    </cfRule>
  </conditionalFormatting>
  <conditionalFormatting sqref="I12314:I12337">
    <cfRule type="colorScale" priority="252">
      <colorScale>
        <cfvo type="min"/>
        <cfvo type="percentile" val="50"/>
        <cfvo type="max"/>
        <color rgb="FF63BE7B"/>
        <color rgb="FFFFEB84"/>
        <color rgb="FFF8696B"/>
      </colorScale>
    </cfRule>
  </conditionalFormatting>
  <conditionalFormatting sqref="K12315:K12337">
    <cfRule type="colorScale" priority="251">
      <colorScale>
        <cfvo type="min"/>
        <cfvo type="percentile" val="50"/>
        <cfvo type="max"/>
        <color rgb="FF63BE7B"/>
        <color rgb="FFFFEB84"/>
        <color rgb="FFF8696B"/>
      </colorScale>
    </cfRule>
  </conditionalFormatting>
  <conditionalFormatting sqref="K12314:K12337">
    <cfRule type="colorScale" priority="250">
      <colorScale>
        <cfvo type="min"/>
        <cfvo type="percentile" val="50"/>
        <cfvo type="max"/>
        <color rgb="FF63BE7B"/>
        <color rgb="FFFFEB84"/>
        <color rgb="FFF8696B"/>
      </colorScale>
    </cfRule>
  </conditionalFormatting>
  <conditionalFormatting sqref="M12314:M12337">
    <cfRule type="colorScale" priority="249">
      <colorScale>
        <cfvo type="min"/>
        <cfvo type="percentile" val="50"/>
        <cfvo type="max"/>
        <color rgb="FF63BE7B"/>
        <color rgb="FFFFEB84"/>
        <color rgb="FFF8696B"/>
      </colorScale>
    </cfRule>
  </conditionalFormatting>
  <conditionalFormatting sqref="L12314:L12337">
    <cfRule type="colorScale" priority="248">
      <colorScale>
        <cfvo type="min"/>
        <cfvo type="percentile" val="50"/>
        <cfvo type="max"/>
        <color rgb="FF63BE7B"/>
        <color rgb="FFFFEB84"/>
        <color rgb="FFF8696B"/>
      </colorScale>
    </cfRule>
  </conditionalFormatting>
  <conditionalFormatting sqref="D12338:D12361">
    <cfRule type="colorScale" priority="247">
      <colorScale>
        <cfvo type="min"/>
        <cfvo type="percentile" val="50"/>
        <cfvo type="max"/>
        <color rgb="FF63BE7B"/>
        <color rgb="FFFFEB84"/>
        <color rgb="FFF8696B"/>
      </colorScale>
    </cfRule>
  </conditionalFormatting>
  <conditionalFormatting sqref="F12338:F12361">
    <cfRule type="colorScale" priority="246">
      <colorScale>
        <cfvo type="min"/>
        <cfvo type="percentile" val="50"/>
        <cfvo type="max"/>
        <color rgb="FF63BE7B"/>
        <color rgb="FFFFEB84"/>
        <color rgb="FFF8696B"/>
      </colorScale>
    </cfRule>
  </conditionalFormatting>
  <conditionalFormatting sqref="G12338:G12361">
    <cfRule type="cellIs" dxfId="359" priority="241" operator="between">
      <formula>49</formula>
      <formula>149</formula>
    </cfRule>
    <cfRule type="cellIs" dxfId="358" priority="244" operator="lessThan">
      <formula>49</formula>
    </cfRule>
    <cfRule type="cellIs" dxfId="357" priority="245" operator="greaterThanOrEqual">
      <formula>150</formula>
    </cfRule>
  </conditionalFormatting>
  <conditionalFormatting sqref="H12338:H12361">
    <cfRule type="cellIs" dxfId="356" priority="240" operator="between">
      <formula>0.8</formula>
      <formula>1.2</formula>
    </cfRule>
    <cfRule type="cellIs" dxfId="355" priority="242" operator="lessThan">
      <formula>0.8</formula>
    </cfRule>
    <cfRule type="cellIs" dxfId="354" priority="243" operator="greaterThanOrEqual">
      <formula>1.2</formula>
    </cfRule>
  </conditionalFormatting>
  <conditionalFormatting sqref="I12338:I12361">
    <cfRule type="colorScale" priority="239">
      <colorScale>
        <cfvo type="min"/>
        <cfvo type="percentile" val="50"/>
        <cfvo type="max"/>
        <color rgb="FF63BE7B"/>
        <color rgb="FFFFEB84"/>
        <color rgb="FFF8696B"/>
      </colorScale>
    </cfRule>
  </conditionalFormatting>
  <conditionalFormatting sqref="K12339:K12361">
    <cfRule type="colorScale" priority="238">
      <colorScale>
        <cfvo type="min"/>
        <cfvo type="percentile" val="50"/>
        <cfvo type="max"/>
        <color rgb="FF63BE7B"/>
        <color rgb="FFFFEB84"/>
        <color rgb="FFF8696B"/>
      </colorScale>
    </cfRule>
  </conditionalFormatting>
  <conditionalFormatting sqref="K12338:K12361">
    <cfRule type="colorScale" priority="237">
      <colorScale>
        <cfvo type="min"/>
        <cfvo type="percentile" val="50"/>
        <cfvo type="max"/>
        <color rgb="FF63BE7B"/>
        <color rgb="FFFFEB84"/>
        <color rgb="FFF8696B"/>
      </colorScale>
    </cfRule>
  </conditionalFormatting>
  <conditionalFormatting sqref="M12338:M12361">
    <cfRule type="colorScale" priority="236">
      <colorScale>
        <cfvo type="min"/>
        <cfvo type="percentile" val="50"/>
        <cfvo type="max"/>
        <color rgb="FF63BE7B"/>
        <color rgb="FFFFEB84"/>
        <color rgb="FFF8696B"/>
      </colorScale>
    </cfRule>
  </conditionalFormatting>
  <conditionalFormatting sqref="L12338:L12361">
    <cfRule type="colorScale" priority="235">
      <colorScale>
        <cfvo type="min"/>
        <cfvo type="percentile" val="50"/>
        <cfvo type="max"/>
        <color rgb="FF63BE7B"/>
        <color rgb="FFFFEB84"/>
        <color rgb="FFF8696B"/>
      </colorScale>
    </cfRule>
  </conditionalFormatting>
  <conditionalFormatting sqref="D12362:D12385">
    <cfRule type="colorScale" priority="234">
      <colorScale>
        <cfvo type="min"/>
        <cfvo type="percentile" val="50"/>
        <cfvo type="max"/>
        <color rgb="FF63BE7B"/>
        <color rgb="FFFFEB84"/>
        <color rgb="FFF8696B"/>
      </colorScale>
    </cfRule>
  </conditionalFormatting>
  <conditionalFormatting sqref="F12362:F12385">
    <cfRule type="colorScale" priority="233">
      <colorScale>
        <cfvo type="min"/>
        <cfvo type="percentile" val="50"/>
        <cfvo type="max"/>
        <color rgb="FF63BE7B"/>
        <color rgb="FFFFEB84"/>
        <color rgb="FFF8696B"/>
      </colorScale>
    </cfRule>
  </conditionalFormatting>
  <conditionalFormatting sqref="G12362:G12385">
    <cfRule type="cellIs" dxfId="353" priority="228" operator="between">
      <formula>49</formula>
      <formula>149</formula>
    </cfRule>
    <cfRule type="cellIs" dxfId="352" priority="231" operator="lessThan">
      <formula>49</formula>
    </cfRule>
    <cfRule type="cellIs" dxfId="351" priority="232" operator="greaterThanOrEqual">
      <formula>150</formula>
    </cfRule>
  </conditionalFormatting>
  <conditionalFormatting sqref="H12362:H12385">
    <cfRule type="cellIs" dxfId="350" priority="227" operator="between">
      <formula>0.8</formula>
      <formula>1.2</formula>
    </cfRule>
    <cfRule type="cellIs" dxfId="349" priority="229" operator="lessThan">
      <formula>0.8</formula>
    </cfRule>
    <cfRule type="cellIs" dxfId="348" priority="230" operator="greaterThanOrEqual">
      <formula>1.2</formula>
    </cfRule>
  </conditionalFormatting>
  <conditionalFormatting sqref="I12362:I12385">
    <cfRule type="colorScale" priority="226">
      <colorScale>
        <cfvo type="min"/>
        <cfvo type="percentile" val="50"/>
        <cfvo type="max"/>
        <color rgb="FF63BE7B"/>
        <color rgb="FFFFEB84"/>
        <color rgb="FFF8696B"/>
      </colorScale>
    </cfRule>
  </conditionalFormatting>
  <conditionalFormatting sqref="K12363:K12385">
    <cfRule type="colorScale" priority="225">
      <colorScale>
        <cfvo type="min"/>
        <cfvo type="percentile" val="50"/>
        <cfvo type="max"/>
        <color rgb="FF63BE7B"/>
        <color rgb="FFFFEB84"/>
        <color rgb="FFF8696B"/>
      </colorScale>
    </cfRule>
  </conditionalFormatting>
  <conditionalFormatting sqref="K12362:K12385">
    <cfRule type="colorScale" priority="224">
      <colorScale>
        <cfvo type="min"/>
        <cfvo type="percentile" val="50"/>
        <cfvo type="max"/>
        <color rgb="FF63BE7B"/>
        <color rgb="FFFFEB84"/>
        <color rgb="FFF8696B"/>
      </colorScale>
    </cfRule>
  </conditionalFormatting>
  <conditionalFormatting sqref="M12362:M12385">
    <cfRule type="colorScale" priority="223">
      <colorScale>
        <cfvo type="min"/>
        <cfvo type="percentile" val="50"/>
        <cfvo type="max"/>
        <color rgb="FF63BE7B"/>
        <color rgb="FFFFEB84"/>
        <color rgb="FFF8696B"/>
      </colorScale>
    </cfRule>
  </conditionalFormatting>
  <conditionalFormatting sqref="L12362:L12385">
    <cfRule type="colorScale" priority="222">
      <colorScale>
        <cfvo type="min"/>
        <cfvo type="percentile" val="50"/>
        <cfvo type="max"/>
        <color rgb="FF63BE7B"/>
        <color rgb="FFFFEB84"/>
        <color rgb="FFF8696B"/>
      </colorScale>
    </cfRule>
  </conditionalFormatting>
  <conditionalFormatting sqref="D12386:D12409">
    <cfRule type="colorScale" priority="221">
      <colorScale>
        <cfvo type="min"/>
        <cfvo type="percentile" val="50"/>
        <cfvo type="max"/>
        <color rgb="FF63BE7B"/>
        <color rgb="FFFFEB84"/>
        <color rgb="FFF8696B"/>
      </colorScale>
    </cfRule>
  </conditionalFormatting>
  <conditionalFormatting sqref="F12386:F12409">
    <cfRule type="colorScale" priority="220">
      <colorScale>
        <cfvo type="min"/>
        <cfvo type="percentile" val="50"/>
        <cfvo type="max"/>
        <color rgb="FF63BE7B"/>
        <color rgb="FFFFEB84"/>
        <color rgb="FFF8696B"/>
      </colorScale>
    </cfRule>
  </conditionalFormatting>
  <conditionalFormatting sqref="G12386:G12409">
    <cfRule type="cellIs" dxfId="347" priority="215" operator="between">
      <formula>49</formula>
      <formula>149</formula>
    </cfRule>
    <cfRule type="cellIs" dxfId="346" priority="218" operator="lessThan">
      <formula>49</formula>
    </cfRule>
    <cfRule type="cellIs" dxfId="345" priority="219" operator="greaterThanOrEqual">
      <formula>150</formula>
    </cfRule>
  </conditionalFormatting>
  <conditionalFormatting sqref="H12386:H12409">
    <cfRule type="cellIs" dxfId="344" priority="214" operator="between">
      <formula>0.8</formula>
      <formula>1.2</formula>
    </cfRule>
    <cfRule type="cellIs" dxfId="343" priority="216" operator="lessThan">
      <formula>0.8</formula>
    </cfRule>
    <cfRule type="cellIs" dxfId="342" priority="217" operator="greaterThanOrEqual">
      <formula>1.2</formula>
    </cfRule>
  </conditionalFormatting>
  <conditionalFormatting sqref="I12386:I12409">
    <cfRule type="colorScale" priority="213">
      <colorScale>
        <cfvo type="min"/>
        <cfvo type="percentile" val="50"/>
        <cfvo type="max"/>
        <color rgb="FF63BE7B"/>
        <color rgb="FFFFEB84"/>
        <color rgb="FFF8696B"/>
      </colorScale>
    </cfRule>
  </conditionalFormatting>
  <conditionalFormatting sqref="K12387:K12409">
    <cfRule type="colorScale" priority="212">
      <colorScale>
        <cfvo type="min"/>
        <cfvo type="percentile" val="50"/>
        <cfvo type="max"/>
        <color rgb="FF63BE7B"/>
        <color rgb="FFFFEB84"/>
        <color rgb="FFF8696B"/>
      </colorScale>
    </cfRule>
  </conditionalFormatting>
  <conditionalFormatting sqref="K12386:K12409">
    <cfRule type="colorScale" priority="211">
      <colorScale>
        <cfvo type="min"/>
        <cfvo type="percentile" val="50"/>
        <cfvo type="max"/>
        <color rgb="FF63BE7B"/>
        <color rgb="FFFFEB84"/>
        <color rgb="FFF8696B"/>
      </colorScale>
    </cfRule>
  </conditionalFormatting>
  <conditionalFormatting sqref="M12386:M12409">
    <cfRule type="colorScale" priority="210">
      <colorScale>
        <cfvo type="min"/>
        <cfvo type="percentile" val="50"/>
        <cfvo type="max"/>
        <color rgb="FF63BE7B"/>
        <color rgb="FFFFEB84"/>
        <color rgb="FFF8696B"/>
      </colorScale>
    </cfRule>
  </conditionalFormatting>
  <conditionalFormatting sqref="L12386:L12409">
    <cfRule type="colorScale" priority="209">
      <colorScale>
        <cfvo type="min"/>
        <cfvo type="percentile" val="50"/>
        <cfvo type="max"/>
        <color rgb="FF63BE7B"/>
        <color rgb="FFFFEB84"/>
        <color rgb="FFF8696B"/>
      </colorScale>
    </cfRule>
  </conditionalFormatting>
  <conditionalFormatting sqref="D12410:D12433">
    <cfRule type="colorScale" priority="208">
      <colorScale>
        <cfvo type="min"/>
        <cfvo type="percentile" val="50"/>
        <cfvo type="max"/>
        <color rgb="FF63BE7B"/>
        <color rgb="FFFFEB84"/>
        <color rgb="FFF8696B"/>
      </colorScale>
    </cfRule>
  </conditionalFormatting>
  <conditionalFormatting sqref="F12410:F12433">
    <cfRule type="colorScale" priority="207">
      <colorScale>
        <cfvo type="min"/>
        <cfvo type="percentile" val="50"/>
        <cfvo type="max"/>
        <color rgb="FF63BE7B"/>
        <color rgb="FFFFEB84"/>
        <color rgb="FFF8696B"/>
      </colorScale>
    </cfRule>
  </conditionalFormatting>
  <conditionalFormatting sqref="G12410:G12433">
    <cfRule type="cellIs" dxfId="341" priority="202" operator="between">
      <formula>49</formula>
      <formula>149</formula>
    </cfRule>
    <cfRule type="cellIs" dxfId="340" priority="205" operator="lessThan">
      <formula>49</formula>
    </cfRule>
    <cfRule type="cellIs" dxfId="339" priority="206" operator="greaterThanOrEqual">
      <formula>150</formula>
    </cfRule>
  </conditionalFormatting>
  <conditionalFormatting sqref="H12410:H12433">
    <cfRule type="cellIs" dxfId="338" priority="201" operator="between">
      <formula>0.8</formula>
      <formula>1.2</formula>
    </cfRule>
    <cfRule type="cellIs" dxfId="337" priority="203" operator="lessThan">
      <formula>0.8</formula>
    </cfRule>
    <cfRule type="cellIs" dxfId="336" priority="204" operator="greaterThanOrEqual">
      <formula>1.2</formula>
    </cfRule>
  </conditionalFormatting>
  <conditionalFormatting sqref="I12410:I12433">
    <cfRule type="colorScale" priority="200">
      <colorScale>
        <cfvo type="min"/>
        <cfvo type="percentile" val="50"/>
        <cfvo type="max"/>
        <color rgb="FF63BE7B"/>
        <color rgb="FFFFEB84"/>
        <color rgb="FFF8696B"/>
      </colorScale>
    </cfRule>
  </conditionalFormatting>
  <conditionalFormatting sqref="K12411:K12433">
    <cfRule type="colorScale" priority="199">
      <colorScale>
        <cfvo type="min"/>
        <cfvo type="percentile" val="50"/>
        <cfvo type="max"/>
        <color rgb="FF63BE7B"/>
        <color rgb="FFFFEB84"/>
        <color rgb="FFF8696B"/>
      </colorScale>
    </cfRule>
  </conditionalFormatting>
  <conditionalFormatting sqref="K12410:K12433">
    <cfRule type="colorScale" priority="198">
      <colorScale>
        <cfvo type="min"/>
        <cfvo type="percentile" val="50"/>
        <cfvo type="max"/>
        <color rgb="FF63BE7B"/>
        <color rgb="FFFFEB84"/>
        <color rgb="FFF8696B"/>
      </colorScale>
    </cfRule>
  </conditionalFormatting>
  <conditionalFormatting sqref="M12410:M12433">
    <cfRule type="colorScale" priority="197">
      <colorScale>
        <cfvo type="min"/>
        <cfvo type="percentile" val="50"/>
        <cfvo type="max"/>
        <color rgb="FF63BE7B"/>
        <color rgb="FFFFEB84"/>
        <color rgb="FFF8696B"/>
      </colorScale>
    </cfRule>
  </conditionalFormatting>
  <conditionalFormatting sqref="L12410:L12433">
    <cfRule type="colorScale" priority="196">
      <colorScale>
        <cfvo type="min"/>
        <cfvo type="percentile" val="50"/>
        <cfvo type="max"/>
        <color rgb="FF63BE7B"/>
        <color rgb="FFFFEB84"/>
        <color rgb="FFF8696B"/>
      </colorScale>
    </cfRule>
  </conditionalFormatting>
  <conditionalFormatting sqref="D12434:D12457">
    <cfRule type="colorScale" priority="195">
      <colorScale>
        <cfvo type="min"/>
        <cfvo type="percentile" val="50"/>
        <cfvo type="max"/>
        <color rgb="FF63BE7B"/>
        <color rgb="FFFFEB84"/>
        <color rgb="FFF8696B"/>
      </colorScale>
    </cfRule>
  </conditionalFormatting>
  <conditionalFormatting sqref="F12434:F12457">
    <cfRule type="colorScale" priority="194">
      <colorScale>
        <cfvo type="min"/>
        <cfvo type="percentile" val="50"/>
        <cfvo type="max"/>
        <color rgb="FF63BE7B"/>
        <color rgb="FFFFEB84"/>
        <color rgb="FFF8696B"/>
      </colorScale>
    </cfRule>
  </conditionalFormatting>
  <conditionalFormatting sqref="G12434:G12457">
    <cfRule type="cellIs" dxfId="335" priority="189" operator="between">
      <formula>49</formula>
      <formula>149</formula>
    </cfRule>
    <cfRule type="cellIs" dxfId="334" priority="192" operator="lessThan">
      <formula>49</formula>
    </cfRule>
    <cfRule type="cellIs" dxfId="333" priority="193" operator="greaterThanOrEqual">
      <formula>150</formula>
    </cfRule>
  </conditionalFormatting>
  <conditionalFormatting sqref="H12434:H12457">
    <cfRule type="cellIs" dxfId="332" priority="188" operator="between">
      <formula>0.8</formula>
      <formula>1.2</formula>
    </cfRule>
    <cfRule type="cellIs" dxfId="331" priority="190" operator="lessThan">
      <formula>0.8</formula>
    </cfRule>
    <cfRule type="cellIs" dxfId="330" priority="191" operator="greaterThanOrEqual">
      <formula>1.2</formula>
    </cfRule>
  </conditionalFormatting>
  <conditionalFormatting sqref="I12434:I12457">
    <cfRule type="colorScale" priority="187">
      <colorScale>
        <cfvo type="min"/>
        <cfvo type="percentile" val="50"/>
        <cfvo type="max"/>
        <color rgb="FF63BE7B"/>
        <color rgb="FFFFEB84"/>
        <color rgb="FFF8696B"/>
      </colorScale>
    </cfRule>
  </conditionalFormatting>
  <conditionalFormatting sqref="K12435:K12457">
    <cfRule type="colorScale" priority="186">
      <colorScale>
        <cfvo type="min"/>
        <cfvo type="percentile" val="50"/>
        <cfvo type="max"/>
        <color rgb="FF63BE7B"/>
        <color rgb="FFFFEB84"/>
        <color rgb="FFF8696B"/>
      </colorScale>
    </cfRule>
  </conditionalFormatting>
  <conditionalFormatting sqref="K12434:K12457">
    <cfRule type="colorScale" priority="185">
      <colorScale>
        <cfvo type="min"/>
        <cfvo type="percentile" val="50"/>
        <cfvo type="max"/>
        <color rgb="FF63BE7B"/>
        <color rgb="FFFFEB84"/>
        <color rgb="FFF8696B"/>
      </colorScale>
    </cfRule>
  </conditionalFormatting>
  <conditionalFormatting sqref="M12434:M12457">
    <cfRule type="colorScale" priority="184">
      <colorScale>
        <cfvo type="min"/>
        <cfvo type="percentile" val="50"/>
        <cfvo type="max"/>
        <color rgb="FF63BE7B"/>
        <color rgb="FFFFEB84"/>
        <color rgb="FFF8696B"/>
      </colorScale>
    </cfRule>
  </conditionalFormatting>
  <conditionalFormatting sqref="L12434:L12457">
    <cfRule type="colorScale" priority="183">
      <colorScale>
        <cfvo type="min"/>
        <cfvo type="percentile" val="50"/>
        <cfvo type="max"/>
        <color rgb="FF63BE7B"/>
        <color rgb="FFFFEB84"/>
        <color rgb="FFF8696B"/>
      </colorScale>
    </cfRule>
  </conditionalFormatting>
  <conditionalFormatting sqref="D12458:D12481">
    <cfRule type="colorScale" priority="182">
      <colorScale>
        <cfvo type="min"/>
        <cfvo type="percentile" val="50"/>
        <cfvo type="max"/>
        <color rgb="FF63BE7B"/>
        <color rgb="FFFFEB84"/>
        <color rgb="FFF8696B"/>
      </colorScale>
    </cfRule>
  </conditionalFormatting>
  <conditionalFormatting sqref="F12458:F12481">
    <cfRule type="colorScale" priority="181">
      <colorScale>
        <cfvo type="min"/>
        <cfvo type="percentile" val="50"/>
        <cfvo type="max"/>
        <color rgb="FF63BE7B"/>
        <color rgb="FFFFEB84"/>
        <color rgb="FFF8696B"/>
      </colorScale>
    </cfRule>
  </conditionalFormatting>
  <conditionalFormatting sqref="G12458:G12481">
    <cfRule type="cellIs" dxfId="329" priority="176" operator="between">
      <formula>49</formula>
      <formula>149</formula>
    </cfRule>
    <cfRule type="cellIs" dxfId="328" priority="179" operator="lessThan">
      <formula>49</formula>
    </cfRule>
    <cfRule type="cellIs" dxfId="327" priority="180" operator="greaterThanOrEqual">
      <formula>150</formula>
    </cfRule>
  </conditionalFormatting>
  <conditionalFormatting sqref="H12458:H12481">
    <cfRule type="cellIs" dxfId="326" priority="175" operator="between">
      <formula>0.8</formula>
      <formula>1.2</formula>
    </cfRule>
    <cfRule type="cellIs" dxfId="325" priority="177" operator="lessThan">
      <formula>0.8</formula>
    </cfRule>
    <cfRule type="cellIs" dxfId="324" priority="178" operator="greaterThanOrEqual">
      <formula>1.2</formula>
    </cfRule>
  </conditionalFormatting>
  <conditionalFormatting sqref="I12458:I12481">
    <cfRule type="colorScale" priority="174">
      <colorScale>
        <cfvo type="min"/>
        <cfvo type="percentile" val="50"/>
        <cfvo type="max"/>
        <color rgb="FF63BE7B"/>
        <color rgb="FFFFEB84"/>
        <color rgb="FFF8696B"/>
      </colorScale>
    </cfRule>
  </conditionalFormatting>
  <conditionalFormatting sqref="K12459:K12481">
    <cfRule type="colorScale" priority="173">
      <colorScale>
        <cfvo type="min"/>
        <cfvo type="percentile" val="50"/>
        <cfvo type="max"/>
        <color rgb="FF63BE7B"/>
        <color rgb="FFFFEB84"/>
        <color rgb="FFF8696B"/>
      </colorScale>
    </cfRule>
  </conditionalFormatting>
  <conditionalFormatting sqref="K12458:K12481">
    <cfRule type="colorScale" priority="172">
      <colorScale>
        <cfvo type="min"/>
        <cfvo type="percentile" val="50"/>
        <cfvo type="max"/>
        <color rgb="FF63BE7B"/>
        <color rgb="FFFFEB84"/>
        <color rgb="FFF8696B"/>
      </colorScale>
    </cfRule>
  </conditionalFormatting>
  <conditionalFormatting sqref="M12458:M12481">
    <cfRule type="colorScale" priority="171">
      <colorScale>
        <cfvo type="min"/>
        <cfvo type="percentile" val="50"/>
        <cfvo type="max"/>
        <color rgb="FF63BE7B"/>
        <color rgb="FFFFEB84"/>
        <color rgb="FFF8696B"/>
      </colorScale>
    </cfRule>
  </conditionalFormatting>
  <conditionalFormatting sqref="L12458:L12481">
    <cfRule type="colorScale" priority="170">
      <colorScale>
        <cfvo type="min"/>
        <cfvo type="percentile" val="50"/>
        <cfvo type="max"/>
        <color rgb="FF63BE7B"/>
        <color rgb="FFFFEB84"/>
        <color rgb="FFF8696B"/>
      </colorScale>
    </cfRule>
  </conditionalFormatting>
  <conditionalFormatting sqref="D12482:D12505">
    <cfRule type="colorScale" priority="169">
      <colorScale>
        <cfvo type="min"/>
        <cfvo type="percentile" val="50"/>
        <cfvo type="max"/>
        <color rgb="FF63BE7B"/>
        <color rgb="FFFFEB84"/>
        <color rgb="FFF8696B"/>
      </colorScale>
    </cfRule>
  </conditionalFormatting>
  <conditionalFormatting sqref="F12482:F12505">
    <cfRule type="colorScale" priority="168">
      <colorScale>
        <cfvo type="min"/>
        <cfvo type="percentile" val="50"/>
        <cfvo type="max"/>
        <color rgb="FF63BE7B"/>
        <color rgb="FFFFEB84"/>
        <color rgb="FFF8696B"/>
      </colorScale>
    </cfRule>
  </conditionalFormatting>
  <conditionalFormatting sqref="G12482:G12505">
    <cfRule type="cellIs" dxfId="323" priority="163" operator="between">
      <formula>49</formula>
      <formula>149</formula>
    </cfRule>
    <cfRule type="cellIs" dxfId="322" priority="166" operator="lessThan">
      <formula>49</formula>
    </cfRule>
    <cfRule type="cellIs" dxfId="321" priority="167" operator="greaterThanOrEqual">
      <formula>150</formula>
    </cfRule>
  </conditionalFormatting>
  <conditionalFormatting sqref="H12482:H12505">
    <cfRule type="cellIs" dxfId="320" priority="162" operator="between">
      <formula>0.8</formula>
      <formula>1.2</formula>
    </cfRule>
    <cfRule type="cellIs" dxfId="319" priority="164" operator="lessThan">
      <formula>0.8</formula>
    </cfRule>
    <cfRule type="cellIs" dxfId="318" priority="165" operator="greaterThanOrEqual">
      <formula>1.2</formula>
    </cfRule>
  </conditionalFormatting>
  <conditionalFormatting sqref="I12482:I12505">
    <cfRule type="colorScale" priority="161">
      <colorScale>
        <cfvo type="min"/>
        <cfvo type="percentile" val="50"/>
        <cfvo type="max"/>
        <color rgb="FF63BE7B"/>
        <color rgb="FFFFEB84"/>
        <color rgb="FFF8696B"/>
      </colorScale>
    </cfRule>
  </conditionalFormatting>
  <conditionalFormatting sqref="K12483:K12505">
    <cfRule type="colorScale" priority="160">
      <colorScale>
        <cfvo type="min"/>
        <cfvo type="percentile" val="50"/>
        <cfvo type="max"/>
        <color rgb="FF63BE7B"/>
        <color rgb="FFFFEB84"/>
        <color rgb="FFF8696B"/>
      </colorScale>
    </cfRule>
  </conditionalFormatting>
  <conditionalFormatting sqref="K12482:K12505">
    <cfRule type="colorScale" priority="159">
      <colorScale>
        <cfvo type="min"/>
        <cfvo type="percentile" val="50"/>
        <cfvo type="max"/>
        <color rgb="FF63BE7B"/>
        <color rgb="FFFFEB84"/>
        <color rgb="FFF8696B"/>
      </colorScale>
    </cfRule>
  </conditionalFormatting>
  <conditionalFormatting sqref="M12482:M12505">
    <cfRule type="colorScale" priority="158">
      <colorScale>
        <cfvo type="min"/>
        <cfvo type="percentile" val="50"/>
        <cfvo type="max"/>
        <color rgb="FF63BE7B"/>
        <color rgb="FFFFEB84"/>
        <color rgb="FFF8696B"/>
      </colorScale>
    </cfRule>
  </conditionalFormatting>
  <conditionalFormatting sqref="L12482:L12505">
    <cfRule type="colorScale" priority="157">
      <colorScale>
        <cfvo type="min"/>
        <cfvo type="percentile" val="50"/>
        <cfvo type="max"/>
        <color rgb="FF63BE7B"/>
        <color rgb="FFFFEB84"/>
        <color rgb="FFF8696B"/>
      </colorScale>
    </cfRule>
  </conditionalFormatting>
  <conditionalFormatting sqref="D12506:D12529">
    <cfRule type="colorScale" priority="156">
      <colorScale>
        <cfvo type="min"/>
        <cfvo type="percentile" val="50"/>
        <cfvo type="max"/>
        <color rgb="FF63BE7B"/>
        <color rgb="FFFFEB84"/>
        <color rgb="FFF8696B"/>
      </colorScale>
    </cfRule>
  </conditionalFormatting>
  <conditionalFormatting sqref="F12506:F12529">
    <cfRule type="colorScale" priority="155">
      <colorScale>
        <cfvo type="min"/>
        <cfvo type="percentile" val="50"/>
        <cfvo type="max"/>
        <color rgb="FF63BE7B"/>
        <color rgb="FFFFEB84"/>
        <color rgb="FFF8696B"/>
      </colorScale>
    </cfRule>
  </conditionalFormatting>
  <conditionalFormatting sqref="G12506:G12529">
    <cfRule type="cellIs" dxfId="317" priority="150" operator="between">
      <formula>49</formula>
      <formula>149</formula>
    </cfRule>
    <cfRule type="cellIs" dxfId="316" priority="153" operator="lessThan">
      <formula>49</formula>
    </cfRule>
    <cfRule type="cellIs" dxfId="315" priority="154" operator="greaterThanOrEqual">
      <formula>150</formula>
    </cfRule>
  </conditionalFormatting>
  <conditionalFormatting sqref="H12506:H12529">
    <cfRule type="cellIs" dxfId="314" priority="149" operator="between">
      <formula>0.8</formula>
      <formula>1.2</formula>
    </cfRule>
    <cfRule type="cellIs" dxfId="313" priority="151" operator="lessThan">
      <formula>0.8</formula>
    </cfRule>
    <cfRule type="cellIs" dxfId="312" priority="152" operator="greaterThanOrEqual">
      <formula>1.2</formula>
    </cfRule>
  </conditionalFormatting>
  <conditionalFormatting sqref="I12506:I12529">
    <cfRule type="colorScale" priority="148">
      <colorScale>
        <cfvo type="min"/>
        <cfvo type="percentile" val="50"/>
        <cfvo type="max"/>
        <color rgb="FF63BE7B"/>
        <color rgb="FFFFEB84"/>
        <color rgb="FFF8696B"/>
      </colorScale>
    </cfRule>
  </conditionalFormatting>
  <conditionalFormatting sqref="K12507:K12529">
    <cfRule type="colorScale" priority="147">
      <colorScale>
        <cfvo type="min"/>
        <cfvo type="percentile" val="50"/>
        <cfvo type="max"/>
        <color rgb="FF63BE7B"/>
        <color rgb="FFFFEB84"/>
        <color rgb="FFF8696B"/>
      </colorScale>
    </cfRule>
  </conditionalFormatting>
  <conditionalFormatting sqref="K12506:K12529">
    <cfRule type="colorScale" priority="146">
      <colorScale>
        <cfvo type="min"/>
        <cfvo type="percentile" val="50"/>
        <cfvo type="max"/>
        <color rgb="FF63BE7B"/>
        <color rgb="FFFFEB84"/>
        <color rgb="FFF8696B"/>
      </colorScale>
    </cfRule>
  </conditionalFormatting>
  <conditionalFormatting sqref="M12506:M12529">
    <cfRule type="colorScale" priority="145">
      <colorScale>
        <cfvo type="min"/>
        <cfvo type="percentile" val="50"/>
        <cfvo type="max"/>
        <color rgb="FF63BE7B"/>
        <color rgb="FFFFEB84"/>
        <color rgb="FFF8696B"/>
      </colorScale>
    </cfRule>
  </conditionalFormatting>
  <conditionalFormatting sqref="L12506:L12529">
    <cfRule type="colorScale" priority="144">
      <colorScale>
        <cfvo type="min"/>
        <cfvo type="percentile" val="50"/>
        <cfvo type="max"/>
        <color rgb="FF63BE7B"/>
        <color rgb="FFFFEB84"/>
        <color rgb="FFF8696B"/>
      </colorScale>
    </cfRule>
  </conditionalFormatting>
  <conditionalFormatting sqref="D12530:D12553">
    <cfRule type="colorScale" priority="143">
      <colorScale>
        <cfvo type="min"/>
        <cfvo type="percentile" val="50"/>
        <cfvo type="max"/>
        <color rgb="FF63BE7B"/>
        <color rgb="FFFFEB84"/>
        <color rgb="FFF8696B"/>
      </colorScale>
    </cfRule>
  </conditionalFormatting>
  <conditionalFormatting sqref="F12530:F12553">
    <cfRule type="colorScale" priority="142">
      <colorScale>
        <cfvo type="min"/>
        <cfvo type="percentile" val="50"/>
        <cfvo type="max"/>
        <color rgb="FF63BE7B"/>
        <color rgb="FFFFEB84"/>
        <color rgb="FFF8696B"/>
      </colorScale>
    </cfRule>
  </conditionalFormatting>
  <conditionalFormatting sqref="G12530:G12553">
    <cfRule type="cellIs" dxfId="311" priority="137" operator="between">
      <formula>49</formula>
      <formula>149</formula>
    </cfRule>
    <cfRule type="cellIs" dxfId="310" priority="140" operator="lessThan">
      <formula>49</formula>
    </cfRule>
    <cfRule type="cellIs" dxfId="309" priority="141" operator="greaterThanOrEqual">
      <formula>150</formula>
    </cfRule>
  </conditionalFormatting>
  <conditionalFormatting sqref="H12530:H12553">
    <cfRule type="cellIs" dxfId="308" priority="136" operator="between">
      <formula>0.8</formula>
      <formula>1.2</formula>
    </cfRule>
    <cfRule type="cellIs" dxfId="307" priority="138" operator="lessThan">
      <formula>0.8</formula>
    </cfRule>
    <cfRule type="cellIs" dxfId="306" priority="139" operator="greaterThanOrEqual">
      <formula>1.2</formula>
    </cfRule>
  </conditionalFormatting>
  <conditionalFormatting sqref="I12530:I12553">
    <cfRule type="colorScale" priority="135">
      <colorScale>
        <cfvo type="min"/>
        <cfvo type="percentile" val="50"/>
        <cfvo type="max"/>
        <color rgb="FF63BE7B"/>
        <color rgb="FFFFEB84"/>
        <color rgb="FFF8696B"/>
      </colorScale>
    </cfRule>
  </conditionalFormatting>
  <conditionalFormatting sqref="K12531:K12553">
    <cfRule type="colorScale" priority="134">
      <colorScale>
        <cfvo type="min"/>
        <cfvo type="percentile" val="50"/>
        <cfvo type="max"/>
        <color rgb="FF63BE7B"/>
        <color rgb="FFFFEB84"/>
        <color rgb="FFF8696B"/>
      </colorScale>
    </cfRule>
  </conditionalFormatting>
  <conditionalFormatting sqref="K12530:K12553">
    <cfRule type="colorScale" priority="133">
      <colorScale>
        <cfvo type="min"/>
        <cfvo type="percentile" val="50"/>
        <cfvo type="max"/>
        <color rgb="FF63BE7B"/>
        <color rgb="FFFFEB84"/>
        <color rgb="FFF8696B"/>
      </colorScale>
    </cfRule>
  </conditionalFormatting>
  <conditionalFormatting sqref="M12530:M12553">
    <cfRule type="colorScale" priority="132">
      <colorScale>
        <cfvo type="min"/>
        <cfvo type="percentile" val="50"/>
        <cfvo type="max"/>
        <color rgb="FF63BE7B"/>
        <color rgb="FFFFEB84"/>
        <color rgb="FFF8696B"/>
      </colorScale>
    </cfRule>
  </conditionalFormatting>
  <conditionalFormatting sqref="L12530:L12553">
    <cfRule type="colorScale" priority="131">
      <colorScale>
        <cfvo type="min"/>
        <cfvo type="percentile" val="50"/>
        <cfvo type="max"/>
        <color rgb="FF63BE7B"/>
        <color rgb="FFFFEB84"/>
        <color rgb="FFF8696B"/>
      </colorScale>
    </cfRule>
  </conditionalFormatting>
  <conditionalFormatting sqref="D12554:D12577">
    <cfRule type="colorScale" priority="130">
      <colorScale>
        <cfvo type="min"/>
        <cfvo type="percentile" val="50"/>
        <cfvo type="max"/>
        <color rgb="FF63BE7B"/>
        <color rgb="FFFFEB84"/>
        <color rgb="FFF8696B"/>
      </colorScale>
    </cfRule>
  </conditionalFormatting>
  <conditionalFormatting sqref="F12554:F12577">
    <cfRule type="colorScale" priority="129">
      <colorScale>
        <cfvo type="min"/>
        <cfvo type="percentile" val="50"/>
        <cfvo type="max"/>
        <color rgb="FF63BE7B"/>
        <color rgb="FFFFEB84"/>
        <color rgb="FFF8696B"/>
      </colorScale>
    </cfRule>
  </conditionalFormatting>
  <conditionalFormatting sqref="G12554:G12577">
    <cfRule type="cellIs" dxfId="305" priority="124" operator="between">
      <formula>49</formula>
      <formula>149</formula>
    </cfRule>
    <cfRule type="cellIs" dxfId="304" priority="127" operator="lessThan">
      <formula>49</formula>
    </cfRule>
    <cfRule type="cellIs" dxfId="303" priority="128" operator="greaterThanOrEqual">
      <formula>150</formula>
    </cfRule>
  </conditionalFormatting>
  <conditionalFormatting sqref="H12554:H12577">
    <cfRule type="cellIs" dxfId="302" priority="123" operator="between">
      <formula>0.8</formula>
      <formula>1.2</formula>
    </cfRule>
    <cfRule type="cellIs" dxfId="301" priority="125" operator="lessThan">
      <formula>0.8</formula>
    </cfRule>
    <cfRule type="cellIs" dxfId="300" priority="126" operator="greaterThanOrEqual">
      <formula>1.2</formula>
    </cfRule>
  </conditionalFormatting>
  <conditionalFormatting sqref="I12554:I12577">
    <cfRule type="colorScale" priority="122">
      <colorScale>
        <cfvo type="min"/>
        <cfvo type="percentile" val="50"/>
        <cfvo type="max"/>
        <color rgb="FF63BE7B"/>
        <color rgb="FFFFEB84"/>
        <color rgb="FFF8696B"/>
      </colorScale>
    </cfRule>
  </conditionalFormatting>
  <conditionalFormatting sqref="K12555:K12577">
    <cfRule type="colorScale" priority="121">
      <colorScale>
        <cfvo type="min"/>
        <cfvo type="percentile" val="50"/>
        <cfvo type="max"/>
        <color rgb="FF63BE7B"/>
        <color rgb="FFFFEB84"/>
        <color rgb="FFF8696B"/>
      </colorScale>
    </cfRule>
  </conditionalFormatting>
  <conditionalFormatting sqref="K12554:K12577">
    <cfRule type="colorScale" priority="120">
      <colorScale>
        <cfvo type="min"/>
        <cfvo type="percentile" val="50"/>
        <cfvo type="max"/>
        <color rgb="FF63BE7B"/>
        <color rgb="FFFFEB84"/>
        <color rgb="FFF8696B"/>
      </colorScale>
    </cfRule>
  </conditionalFormatting>
  <conditionalFormatting sqref="M12554:M12577">
    <cfRule type="colorScale" priority="119">
      <colorScale>
        <cfvo type="min"/>
        <cfvo type="percentile" val="50"/>
        <cfvo type="max"/>
        <color rgb="FF63BE7B"/>
        <color rgb="FFFFEB84"/>
        <color rgb="FFF8696B"/>
      </colorScale>
    </cfRule>
  </conditionalFormatting>
  <conditionalFormatting sqref="L12554:L12577">
    <cfRule type="colorScale" priority="118">
      <colorScale>
        <cfvo type="min"/>
        <cfvo type="percentile" val="50"/>
        <cfvo type="max"/>
        <color rgb="FF63BE7B"/>
        <color rgb="FFFFEB84"/>
        <color rgb="FFF8696B"/>
      </colorScale>
    </cfRule>
  </conditionalFormatting>
  <conditionalFormatting sqref="D12578:D12601">
    <cfRule type="colorScale" priority="117">
      <colorScale>
        <cfvo type="min"/>
        <cfvo type="percentile" val="50"/>
        <cfvo type="max"/>
        <color rgb="FF63BE7B"/>
        <color rgb="FFFFEB84"/>
        <color rgb="FFF8696B"/>
      </colorScale>
    </cfRule>
  </conditionalFormatting>
  <conditionalFormatting sqref="F12578:F12601">
    <cfRule type="colorScale" priority="116">
      <colorScale>
        <cfvo type="min"/>
        <cfvo type="percentile" val="50"/>
        <cfvo type="max"/>
        <color rgb="FF63BE7B"/>
        <color rgb="FFFFEB84"/>
        <color rgb="FFF8696B"/>
      </colorScale>
    </cfRule>
  </conditionalFormatting>
  <conditionalFormatting sqref="G12578:G12601">
    <cfRule type="cellIs" dxfId="299" priority="111" operator="between">
      <formula>49</formula>
      <formula>149</formula>
    </cfRule>
    <cfRule type="cellIs" dxfId="298" priority="114" operator="lessThan">
      <formula>49</formula>
    </cfRule>
    <cfRule type="cellIs" dxfId="297" priority="115" operator="greaterThanOrEqual">
      <formula>150</formula>
    </cfRule>
  </conditionalFormatting>
  <conditionalFormatting sqref="H12578:H12601">
    <cfRule type="cellIs" dxfId="296" priority="110" operator="between">
      <formula>0.8</formula>
      <formula>1.2</formula>
    </cfRule>
    <cfRule type="cellIs" dxfId="295" priority="112" operator="lessThan">
      <formula>0.8</formula>
    </cfRule>
    <cfRule type="cellIs" dxfId="294" priority="113" operator="greaterThanOrEqual">
      <formula>1.2</formula>
    </cfRule>
  </conditionalFormatting>
  <conditionalFormatting sqref="I12578:I12601">
    <cfRule type="colorScale" priority="109">
      <colorScale>
        <cfvo type="min"/>
        <cfvo type="percentile" val="50"/>
        <cfvo type="max"/>
        <color rgb="FF63BE7B"/>
        <color rgb="FFFFEB84"/>
        <color rgb="FFF8696B"/>
      </colorScale>
    </cfRule>
  </conditionalFormatting>
  <conditionalFormatting sqref="K12579:K12601">
    <cfRule type="colorScale" priority="108">
      <colorScale>
        <cfvo type="min"/>
        <cfvo type="percentile" val="50"/>
        <cfvo type="max"/>
        <color rgb="FF63BE7B"/>
        <color rgb="FFFFEB84"/>
        <color rgb="FFF8696B"/>
      </colorScale>
    </cfRule>
  </conditionalFormatting>
  <conditionalFormatting sqref="K12578:K12601">
    <cfRule type="colorScale" priority="107">
      <colorScale>
        <cfvo type="min"/>
        <cfvo type="percentile" val="50"/>
        <cfvo type="max"/>
        <color rgb="FF63BE7B"/>
        <color rgb="FFFFEB84"/>
        <color rgb="FFF8696B"/>
      </colorScale>
    </cfRule>
  </conditionalFormatting>
  <conditionalFormatting sqref="M12578:M12601">
    <cfRule type="colorScale" priority="106">
      <colorScale>
        <cfvo type="min"/>
        <cfvo type="percentile" val="50"/>
        <cfvo type="max"/>
        <color rgb="FF63BE7B"/>
        <color rgb="FFFFEB84"/>
        <color rgb="FFF8696B"/>
      </colorScale>
    </cfRule>
  </conditionalFormatting>
  <conditionalFormatting sqref="L12578:L12601">
    <cfRule type="colorScale" priority="105">
      <colorScale>
        <cfvo type="min"/>
        <cfvo type="percentile" val="50"/>
        <cfvo type="max"/>
        <color rgb="FF63BE7B"/>
        <color rgb="FFFFEB84"/>
        <color rgb="FFF8696B"/>
      </colorScale>
    </cfRule>
  </conditionalFormatting>
  <conditionalFormatting sqref="D12602:D12625">
    <cfRule type="colorScale" priority="104">
      <colorScale>
        <cfvo type="min"/>
        <cfvo type="percentile" val="50"/>
        <cfvo type="max"/>
        <color rgb="FF63BE7B"/>
        <color rgb="FFFFEB84"/>
        <color rgb="FFF8696B"/>
      </colorScale>
    </cfRule>
  </conditionalFormatting>
  <conditionalFormatting sqref="F12602:F12625">
    <cfRule type="colorScale" priority="103">
      <colorScale>
        <cfvo type="min"/>
        <cfvo type="percentile" val="50"/>
        <cfvo type="max"/>
        <color rgb="FF63BE7B"/>
        <color rgb="FFFFEB84"/>
        <color rgb="FFF8696B"/>
      </colorScale>
    </cfRule>
  </conditionalFormatting>
  <conditionalFormatting sqref="G12602:G12625">
    <cfRule type="cellIs" dxfId="293" priority="98" operator="between">
      <formula>49</formula>
      <formula>149</formula>
    </cfRule>
    <cfRule type="cellIs" dxfId="292" priority="101" operator="lessThan">
      <formula>49</formula>
    </cfRule>
    <cfRule type="cellIs" dxfId="291" priority="102" operator="greaterThanOrEqual">
      <formula>150</formula>
    </cfRule>
  </conditionalFormatting>
  <conditionalFormatting sqref="H12602:H12625">
    <cfRule type="cellIs" dxfId="290" priority="97" operator="between">
      <formula>0.8</formula>
      <formula>1.2</formula>
    </cfRule>
    <cfRule type="cellIs" dxfId="289" priority="99" operator="lessThan">
      <formula>0.8</formula>
    </cfRule>
    <cfRule type="cellIs" dxfId="288" priority="100" operator="greaterThanOrEqual">
      <formula>1.2</formula>
    </cfRule>
  </conditionalFormatting>
  <conditionalFormatting sqref="I12602:I12625">
    <cfRule type="colorScale" priority="96">
      <colorScale>
        <cfvo type="min"/>
        <cfvo type="percentile" val="50"/>
        <cfvo type="max"/>
        <color rgb="FF63BE7B"/>
        <color rgb="FFFFEB84"/>
        <color rgb="FFF8696B"/>
      </colorScale>
    </cfRule>
  </conditionalFormatting>
  <conditionalFormatting sqref="K12603:K12625">
    <cfRule type="colorScale" priority="95">
      <colorScale>
        <cfvo type="min"/>
        <cfvo type="percentile" val="50"/>
        <cfvo type="max"/>
        <color rgb="FF63BE7B"/>
        <color rgb="FFFFEB84"/>
        <color rgb="FFF8696B"/>
      </colorScale>
    </cfRule>
  </conditionalFormatting>
  <conditionalFormatting sqref="K12602:K12625">
    <cfRule type="colorScale" priority="94">
      <colorScale>
        <cfvo type="min"/>
        <cfvo type="percentile" val="50"/>
        <cfvo type="max"/>
        <color rgb="FF63BE7B"/>
        <color rgb="FFFFEB84"/>
        <color rgb="FFF8696B"/>
      </colorScale>
    </cfRule>
  </conditionalFormatting>
  <conditionalFormatting sqref="M12602:M12625">
    <cfRule type="colorScale" priority="93">
      <colorScale>
        <cfvo type="min"/>
        <cfvo type="percentile" val="50"/>
        <cfvo type="max"/>
        <color rgb="FF63BE7B"/>
        <color rgb="FFFFEB84"/>
        <color rgb="FFF8696B"/>
      </colorScale>
    </cfRule>
  </conditionalFormatting>
  <conditionalFormatting sqref="L12602:L12625">
    <cfRule type="colorScale" priority="92">
      <colorScale>
        <cfvo type="min"/>
        <cfvo type="percentile" val="50"/>
        <cfvo type="max"/>
        <color rgb="FF63BE7B"/>
        <color rgb="FFFFEB84"/>
        <color rgb="FFF8696B"/>
      </colorScale>
    </cfRule>
  </conditionalFormatting>
  <conditionalFormatting sqref="D12626:D12649">
    <cfRule type="colorScale" priority="91">
      <colorScale>
        <cfvo type="min"/>
        <cfvo type="percentile" val="50"/>
        <cfvo type="max"/>
        <color rgb="FF63BE7B"/>
        <color rgb="FFFFEB84"/>
        <color rgb="FFF8696B"/>
      </colorScale>
    </cfRule>
  </conditionalFormatting>
  <conditionalFormatting sqref="F12626:F12649">
    <cfRule type="colorScale" priority="90">
      <colorScale>
        <cfvo type="min"/>
        <cfvo type="percentile" val="50"/>
        <cfvo type="max"/>
        <color rgb="FF63BE7B"/>
        <color rgb="FFFFEB84"/>
        <color rgb="FFF8696B"/>
      </colorScale>
    </cfRule>
  </conditionalFormatting>
  <conditionalFormatting sqref="G12626:G12649">
    <cfRule type="cellIs" dxfId="287" priority="85" operator="between">
      <formula>49</formula>
      <formula>149</formula>
    </cfRule>
    <cfRule type="cellIs" dxfId="286" priority="88" operator="lessThan">
      <formula>49</formula>
    </cfRule>
    <cfRule type="cellIs" dxfId="285" priority="89" operator="greaterThanOrEqual">
      <formula>150</formula>
    </cfRule>
  </conditionalFormatting>
  <conditionalFormatting sqref="H12626:H12649">
    <cfRule type="cellIs" dxfId="284" priority="84" operator="between">
      <formula>0.8</formula>
      <formula>1.2</formula>
    </cfRule>
    <cfRule type="cellIs" dxfId="283" priority="86" operator="lessThan">
      <formula>0.8</formula>
    </cfRule>
    <cfRule type="cellIs" dxfId="282" priority="87" operator="greaterThanOrEqual">
      <formula>1.2</formula>
    </cfRule>
  </conditionalFormatting>
  <conditionalFormatting sqref="I12626:I12649">
    <cfRule type="colorScale" priority="83">
      <colorScale>
        <cfvo type="min"/>
        <cfvo type="percentile" val="50"/>
        <cfvo type="max"/>
        <color rgb="FF63BE7B"/>
        <color rgb="FFFFEB84"/>
        <color rgb="FFF8696B"/>
      </colorScale>
    </cfRule>
  </conditionalFormatting>
  <conditionalFormatting sqref="K12627:K12649">
    <cfRule type="colorScale" priority="82">
      <colorScale>
        <cfvo type="min"/>
        <cfvo type="percentile" val="50"/>
        <cfvo type="max"/>
        <color rgb="FF63BE7B"/>
        <color rgb="FFFFEB84"/>
        <color rgb="FFF8696B"/>
      </colorScale>
    </cfRule>
  </conditionalFormatting>
  <conditionalFormatting sqref="K12626:K12649">
    <cfRule type="colorScale" priority="81">
      <colorScale>
        <cfvo type="min"/>
        <cfvo type="percentile" val="50"/>
        <cfvo type="max"/>
        <color rgb="FF63BE7B"/>
        <color rgb="FFFFEB84"/>
        <color rgb="FFF8696B"/>
      </colorScale>
    </cfRule>
  </conditionalFormatting>
  <conditionalFormatting sqref="M12626:M12649">
    <cfRule type="colorScale" priority="80">
      <colorScale>
        <cfvo type="min"/>
        <cfvo type="percentile" val="50"/>
        <cfvo type="max"/>
        <color rgb="FF63BE7B"/>
        <color rgb="FFFFEB84"/>
        <color rgb="FFF8696B"/>
      </colorScale>
    </cfRule>
  </conditionalFormatting>
  <conditionalFormatting sqref="L12626:L12649">
    <cfRule type="colorScale" priority="79">
      <colorScale>
        <cfvo type="min"/>
        <cfvo type="percentile" val="50"/>
        <cfvo type="max"/>
        <color rgb="FF63BE7B"/>
        <color rgb="FFFFEB84"/>
        <color rgb="FFF8696B"/>
      </colorScale>
    </cfRule>
  </conditionalFormatting>
  <conditionalFormatting sqref="D12650:D12673">
    <cfRule type="colorScale" priority="78">
      <colorScale>
        <cfvo type="min"/>
        <cfvo type="percentile" val="50"/>
        <cfvo type="max"/>
        <color rgb="FF63BE7B"/>
        <color rgb="FFFFEB84"/>
        <color rgb="FFF8696B"/>
      </colorScale>
    </cfRule>
  </conditionalFormatting>
  <conditionalFormatting sqref="F12650:F12673">
    <cfRule type="colorScale" priority="77">
      <colorScale>
        <cfvo type="min"/>
        <cfvo type="percentile" val="50"/>
        <cfvo type="max"/>
        <color rgb="FF63BE7B"/>
        <color rgb="FFFFEB84"/>
        <color rgb="FFF8696B"/>
      </colorScale>
    </cfRule>
  </conditionalFormatting>
  <conditionalFormatting sqref="G12650:G12673">
    <cfRule type="cellIs" dxfId="281" priority="72" operator="between">
      <formula>49</formula>
      <formula>149</formula>
    </cfRule>
    <cfRule type="cellIs" dxfId="280" priority="75" operator="lessThan">
      <formula>49</formula>
    </cfRule>
    <cfRule type="cellIs" dxfId="279" priority="76" operator="greaterThanOrEqual">
      <formula>150</formula>
    </cfRule>
  </conditionalFormatting>
  <conditionalFormatting sqref="H12650:H12673">
    <cfRule type="cellIs" dxfId="278" priority="71" operator="between">
      <formula>0.8</formula>
      <formula>1.2</formula>
    </cfRule>
    <cfRule type="cellIs" dxfId="277" priority="73" operator="lessThan">
      <formula>0.8</formula>
    </cfRule>
    <cfRule type="cellIs" dxfId="276" priority="74" operator="greaterThanOrEqual">
      <formula>1.2</formula>
    </cfRule>
  </conditionalFormatting>
  <conditionalFormatting sqref="I12650:I12673">
    <cfRule type="colorScale" priority="70">
      <colorScale>
        <cfvo type="min"/>
        <cfvo type="percentile" val="50"/>
        <cfvo type="max"/>
        <color rgb="FF63BE7B"/>
        <color rgb="FFFFEB84"/>
        <color rgb="FFF8696B"/>
      </colorScale>
    </cfRule>
  </conditionalFormatting>
  <conditionalFormatting sqref="K12651:K12673">
    <cfRule type="colorScale" priority="69">
      <colorScale>
        <cfvo type="min"/>
        <cfvo type="percentile" val="50"/>
        <cfvo type="max"/>
        <color rgb="FF63BE7B"/>
        <color rgb="FFFFEB84"/>
        <color rgb="FFF8696B"/>
      </colorScale>
    </cfRule>
  </conditionalFormatting>
  <conditionalFormatting sqref="K12650:K12673">
    <cfRule type="colorScale" priority="68">
      <colorScale>
        <cfvo type="min"/>
        <cfvo type="percentile" val="50"/>
        <cfvo type="max"/>
        <color rgb="FF63BE7B"/>
        <color rgb="FFFFEB84"/>
        <color rgb="FFF8696B"/>
      </colorScale>
    </cfRule>
  </conditionalFormatting>
  <conditionalFormatting sqref="M12650:M12673">
    <cfRule type="colorScale" priority="67">
      <colorScale>
        <cfvo type="min"/>
        <cfvo type="percentile" val="50"/>
        <cfvo type="max"/>
        <color rgb="FF63BE7B"/>
        <color rgb="FFFFEB84"/>
        <color rgb="FFF8696B"/>
      </colorScale>
    </cfRule>
  </conditionalFormatting>
  <conditionalFormatting sqref="L12650:L12673">
    <cfRule type="colorScale" priority="66">
      <colorScale>
        <cfvo type="min"/>
        <cfvo type="percentile" val="50"/>
        <cfvo type="max"/>
        <color rgb="FF63BE7B"/>
        <color rgb="FFFFEB84"/>
        <color rgb="FFF8696B"/>
      </colorScale>
    </cfRule>
  </conditionalFormatting>
  <conditionalFormatting sqref="D12674:D12697">
    <cfRule type="colorScale" priority="65">
      <colorScale>
        <cfvo type="min"/>
        <cfvo type="percentile" val="50"/>
        <cfvo type="max"/>
        <color rgb="FF63BE7B"/>
        <color rgb="FFFFEB84"/>
        <color rgb="FFF8696B"/>
      </colorScale>
    </cfRule>
  </conditionalFormatting>
  <conditionalFormatting sqref="F12674:F12697">
    <cfRule type="colorScale" priority="64">
      <colorScale>
        <cfvo type="min"/>
        <cfvo type="percentile" val="50"/>
        <cfvo type="max"/>
        <color rgb="FF63BE7B"/>
        <color rgb="FFFFEB84"/>
        <color rgb="FFF8696B"/>
      </colorScale>
    </cfRule>
  </conditionalFormatting>
  <conditionalFormatting sqref="G12674:G12697">
    <cfRule type="cellIs" dxfId="275" priority="59" operator="between">
      <formula>49</formula>
      <formula>149</formula>
    </cfRule>
    <cfRule type="cellIs" dxfId="274" priority="62" operator="lessThan">
      <formula>49</formula>
    </cfRule>
    <cfRule type="cellIs" dxfId="273" priority="63" operator="greaterThanOrEqual">
      <formula>150</formula>
    </cfRule>
  </conditionalFormatting>
  <conditionalFormatting sqref="H12674:H12697">
    <cfRule type="cellIs" dxfId="272" priority="58" operator="between">
      <formula>0.8</formula>
      <formula>1.2</formula>
    </cfRule>
    <cfRule type="cellIs" dxfId="271" priority="60" operator="lessThan">
      <formula>0.8</formula>
    </cfRule>
    <cfRule type="cellIs" dxfId="270" priority="61" operator="greaterThanOrEqual">
      <formula>1.2</formula>
    </cfRule>
  </conditionalFormatting>
  <conditionalFormatting sqref="I12674:I12697">
    <cfRule type="colorScale" priority="57">
      <colorScale>
        <cfvo type="min"/>
        <cfvo type="percentile" val="50"/>
        <cfvo type="max"/>
        <color rgb="FF63BE7B"/>
        <color rgb="FFFFEB84"/>
        <color rgb="FFF8696B"/>
      </colorScale>
    </cfRule>
  </conditionalFormatting>
  <conditionalFormatting sqref="K12675:K12697">
    <cfRule type="colorScale" priority="56">
      <colorScale>
        <cfvo type="min"/>
        <cfvo type="percentile" val="50"/>
        <cfvo type="max"/>
        <color rgb="FF63BE7B"/>
        <color rgb="FFFFEB84"/>
        <color rgb="FFF8696B"/>
      </colorScale>
    </cfRule>
  </conditionalFormatting>
  <conditionalFormatting sqref="K12674:K12697">
    <cfRule type="colorScale" priority="55">
      <colorScale>
        <cfvo type="min"/>
        <cfvo type="percentile" val="50"/>
        <cfvo type="max"/>
        <color rgb="FF63BE7B"/>
        <color rgb="FFFFEB84"/>
        <color rgb="FFF8696B"/>
      </colorScale>
    </cfRule>
  </conditionalFormatting>
  <conditionalFormatting sqref="M12674:M12697">
    <cfRule type="colorScale" priority="54">
      <colorScale>
        <cfvo type="min"/>
        <cfvo type="percentile" val="50"/>
        <cfvo type="max"/>
        <color rgb="FF63BE7B"/>
        <color rgb="FFFFEB84"/>
        <color rgb="FFF8696B"/>
      </colorScale>
    </cfRule>
  </conditionalFormatting>
  <conditionalFormatting sqref="L12674:L12697">
    <cfRule type="colorScale" priority="53">
      <colorScale>
        <cfvo type="min"/>
        <cfvo type="percentile" val="50"/>
        <cfvo type="max"/>
        <color rgb="FF63BE7B"/>
        <color rgb="FFFFEB84"/>
        <color rgb="FFF8696B"/>
      </colorScale>
    </cfRule>
  </conditionalFormatting>
  <conditionalFormatting sqref="D12698:D12721">
    <cfRule type="colorScale" priority="52">
      <colorScale>
        <cfvo type="min"/>
        <cfvo type="percentile" val="50"/>
        <cfvo type="max"/>
        <color rgb="FF63BE7B"/>
        <color rgb="FFFFEB84"/>
        <color rgb="FFF8696B"/>
      </colorScale>
    </cfRule>
  </conditionalFormatting>
  <conditionalFormatting sqref="F12698:F12721">
    <cfRule type="colorScale" priority="51">
      <colorScale>
        <cfvo type="min"/>
        <cfvo type="percentile" val="50"/>
        <cfvo type="max"/>
        <color rgb="FF63BE7B"/>
        <color rgb="FFFFEB84"/>
        <color rgb="FFF8696B"/>
      </colorScale>
    </cfRule>
  </conditionalFormatting>
  <conditionalFormatting sqref="G12698:G12721">
    <cfRule type="cellIs" dxfId="269" priority="46" operator="between">
      <formula>49</formula>
      <formula>149</formula>
    </cfRule>
    <cfRule type="cellIs" dxfId="268" priority="49" operator="lessThan">
      <formula>49</formula>
    </cfRule>
    <cfRule type="cellIs" dxfId="267" priority="50" operator="greaterThanOrEqual">
      <formula>150</formula>
    </cfRule>
  </conditionalFormatting>
  <conditionalFormatting sqref="H12698:H12721">
    <cfRule type="cellIs" dxfId="266" priority="45" operator="between">
      <formula>0.8</formula>
      <formula>1.2</formula>
    </cfRule>
    <cfRule type="cellIs" dxfId="265" priority="47" operator="lessThan">
      <formula>0.8</formula>
    </cfRule>
    <cfRule type="cellIs" dxfId="264" priority="48" operator="greaterThanOrEqual">
      <formula>1.2</formula>
    </cfRule>
  </conditionalFormatting>
  <conditionalFormatting sqref="I12698:I12721">
    <cfRule type="colorScale" priority="44">
      <colorScale>
        <cfvo type="min"/>
        <cfvo type="percentile" val="50"/>
        <cfvo type="max"/>
        <color rgb="FF63BE7B"/>
        <color rgb="FFFFEB84"/>
        <color rgb="FFF8696B"/>
      </colorScale>
    </cfRule>
  </conditionalFormatting>
  <conditionalFormatting sqref="K12699:K12721">
    <cfRule type="colorScale" priority="43">
      <colorScale>
        <cfvo type="min"/>
        <cfvo type="percentile" val="50"/>
        <cfvo type="max"/>
        <color rgb="FF63BE7B"/>
        <color rgb="FFFFEB84"/>
        <color rgb="FFF8696B"/>
      </colorScale>
    </cfRule>
  </conditionalFormatting>
  <conditionalFormatting sqref="K12698:K12721">
    <cfRule type="colorScale" priority="42">
      <colorScale>
        <cfvo type="min"/>
        <cfvo type="percentile" val="50"/>
        <cfvo type="max"/>
        <color rgb="FF63BE7B"/>
        <color rgb="FFFFEB84"/>
        <color rgb="FFF8696B"/>
      </colorScale>
    </cfRule>
  </conditionalFormatting>
  <conditionalFormatting sqref="M12698:M12721">
    <cfRule type="colorScale" priority="41">
      <colorScale>
        <cfvo type="min"/>
        <cfvo type="percentile" val="50"/>
        <cfvo type="max"/>
        <color rgb="FF63BE7B"/>
        <color rgb="FFFFEB84"/>
        <color rgb="FFF8696B"/>
      </colorScale>
    </cfRule>
  </conditionalFormatting>
  <conditionalFormatting sqref="L12698:L12721">
    <cfRule type="colorScale" priority="40">
      <colorScale>
        <cfvo type="min"/>
        <cfvo type="percentile" val="50"/>
        <cfvo type="max"/>
        <color rgb="FF63BE7B"/>
        <color rgb="FFFFEB84"/>
        <color rgb="FFF8696B"/>
      </colorScale>
    </cfRule>
  </conditionalFormatting>
  <conditionalFormatting sqref="D12722:D12745">
    <cfRule type="colorScale" priority="39">
      <colorScale>
        <cfvo type="min"/>
        <cfvo type="percentile" val="50"/>
        <cfvo type="max"/>
        <color rgb="FF63BE7B"/>
        <color rgb="FFFFEB84"/>
        <color rgb="FFF8696B"/>
      </colorScale>
    </cfRule>
  </conditionalFormatting>
  <conditionalFormatting sqref="F12722:F12745">
    <cfRule type="colorScale" priority="38">
      <colorScale>
        <cfvo type="min"/>
        <cfvo type="percentile" val="50"/>
        <cfvo type="max"/>
        <color rgb="FF63BE7B"/>
        <color rgb="FFFFEB84"/>
        <color rgb="FFF8696B"/>
      </colorScale>
    </cfRule>
  </conditionalFormatting>
  <conditionalFormatting sqref="G12722:G12745">
    <cfRule type="cellIs" dxfId="263" priority="33" operator="between">
      <formula>49</formula>
      <formula>149</formula>
    </cfRule>
    <cfRule type="cellIs" dxfId="262" priority="36" operator="lessThan">
      <formula>49</formula>
    </cfRule>
    <cfRule type="cellIs" dxfId="261" priority="37" operator="greaterThanOrEqual">
      <formula>150</formula>
    </cfRule>
  </conditionalFormatting>
  <conditionalFormatting sqref="H12722:H12745">
    <cfRule type="cellIs" dxfId="260" priority="32" operator="between">
      <formula>0.8</formula>
      <formula>1.2</formula>
    </cfRule>
    <cfRule type="cellIs" dxfId="259" priority="34" operator="lessThan">
      <formula>0.8</formula>
    </cfRule>
    <cfRule type="cellIs" dxfId="258" priority="35" operator="greaterThanOrEqual">
      <formula>1.2</formula>
    </cfRule>
  </conditionalFormatting>
  <conditionalFormatting sqref="I12722:I12745">
    <cfRule type="colorScale" priority="31">
      <colorScale>
        <cfvo type="min"/>
        <cfvo type="percentile" val="50"/>
        <cfvo type="max"/>
        <color rgb="FF63BE7B"/>
        <color rgb="FFFFEB84"/>
        <color rgb="FFF8696B"/>
      </colorScale>
    </cfRule>
  </conditionalFormatting>
  <conditionalFormatting sqref="K12723:K12745">
    <cfRule type="colorScale" priority="30">
      <colorScale>
        <cfvo type="min"/>
        <cfvo type="percentile" val="50"/>
        <cfvo type="max"/>
        <color rgb="FF63BE7B"/>
        <color rgb="FFFFEB84"/>
        <color rgb="FFF8696B"/>
      </colorScale>
    </cfRule>
  </conditionalFormatting>
  <conditionalFormatting sqref="K12722:K12745">
    <cfRule type="colorScale" priority="29">
      <colorScale>
        <cfvo type="min"/>
        <cfvo type="percentile" val="50"/>
        <cfvo type="max"/>
        <color rgb="FF63BE7B"/>
        <color rgb="FFFFEB84"/>
        <color rgb="FFF8696B"/>
      </colorScale>
    </cfRule>
  </conditionalFormatting>
  <conditionalFormatting sqref="M12722:M12745">
    <cfRule type="colorScale" priority="28">
      <colorScale>
        <cfvo type="min"/>
        <cfvo type="percentile" val="50"/>
        <cfvo type="max"/>
        <color rgb="FF63BE7B"/>
        <color rgb="FFFFEB84"/>
        <color rgb="FFF8696B"/>
      </colorScale>
    </cfRule>
  </conditionalFormatting>
  <conditionalFormatting sqref="L12722:L12745">
    <cfRule type="colorScale" priority="27">
      <colorScale>
        <cfvo type="min"/>
        <cfvo type="percentile" val="50"/>
        <cfvo type="max"/>
        <color rgb="FF63BE7B"/>
        <color rgb="FFFFEB84"/>
        <color rgb="FFF8696B"/>
      </colorScale>
    </cfRule>
  </conditionalFormatting>
  <conditionalFormatting sqref="D12746:D12769">
    <cfRule type="colorScale" priority="26">
      <colorScale>
        <cfvo type="min"/>
        <cfvo type="percentile" val="50"/>
        <cfvo type="max"/>
        <color rgb="FF63BE7B"/>
        <color rgb="FFFFEB84"/>
        <color rgb="FFF8696B"/>
      </colorScale>
    </cfRule>
  </conditionalFormatting>
  <conditionalFormatting sqref="F12746:F12769">
    <cfRule type="colorScale" priority="25">
      <colorScale>
        <cfvo type="min"/>
        <cfvo type="percentile" val="50"/>
        <cfvo type="max"/>
        <color rgb="FF63BE7B"/>
        <color rgb="FFFFEB84"/>
        <color rgb="FFF8696B"/>
      </colorScale>
    </cfRule>
  </conditionalFormatting>
  <conditionalFormatting sqref="G12746:G12769">
    <cfRule type="cellIs" dxfId="257" priority="20" operator="between">
      <formula>49</formula>
      <formula>149</formula>
    </cfRule>
    <cfRule type="cellIs" dxfId="256" priority="23" operator="lessThan">
      <formula>49</formula>
    </cfRule>
    <cfRule type="cellIs" dxfId="255" priority="24" operator="greaterThanOrEqual">
      <formula>150</formula>
    </cfRule>
  </conditionalFormatting>
  <conditionalFormatting sqref="H12746:H12769">
    <cfRule type="cellIs" dxfId="254" priority="19" operator="between">
      <formula>0.8</formula>
      <formula>1.2</formula>
    </cfRule>
    <cfRule type="cellIs" dxfId="253" priority="21" operator="lessThan">
      <formula>0.8</formula>
    </cfRule>
    <cfRule type="cellIs" dxfId="252" priority="22" operator="greaterThanOrEqual">
      <formula>1.2</formula>
    </cfRule>
  </conditionalFormatting>
  <conditionalFormatting sqref="I12746:I12769">
    <cfRule type="colorScale" priority="18">
      <colorScale>
        <cfvo type="min"/>
        <cfvo type="percentile" val="50"/>
        <cfvo type="max"/>
        <color rgb="FF63BE7B"/>
        <color rgb="FFFFEB84"/>
        <color rgb="FFF8696B"/>
      </colorScale>
    </cfRule>
  </conditionalFormatting>
  <conditionalFormatting sqref="K12747:K12769">
    <cfRule type="colorScale" priority="17">
      <colorScale>
        <cfvo type="min"/>
        <cfvo type="percentile" val="50"/>
        <cfvo type="max"/>
        <color rgb="FF63BE7B"/>
        <color rgb="FFFFEB84"/>
        <color rgb="FFF8696B"/>
      </colorScale>
    </cfRule>
  </conditionalFormatting>
  <conditionalFormatting sqref="K12746:K12769">
    <cfRule type="colorScale" priority="16">
      <colorScale>
        <cfvo type="min"/>
        <cfvo type="percentile" val="50"/>
        <cfvo type="max"/>
        <color rgb="FF63BE7B"/>
        <color rgb="FFFFEB84"/>
        <color rgb="FFF8696B"/>
      </colorScale>
    </cfRule>
  </conditionalFormatting>
  <conditionalFormatting sqref="M12746:M12769">
    <cfRule type="colorScale" priority="15">
      <colorScale>
        <cfvo type="min"/>
        <cfvo type="percentile" val="50"/>
        <cfvo type="max"/>
        <color rgb="FF63BE7B"/>
        <color rgb="FFFFEB84"/>
        <color rgb="FFF8696B"/>
      </colorScale>
    </cfRule>
  </conditionalFormatting>
  <conditionalFormatting sqref="L12746:L12769">
    <cfRule type="colorScale" priority="14">
      <colorScale>
        <cfvo type="min"/>
        <cfvo type="percentile" val="50"/>
        <cfvo type="max"/>
        <color rgb="FF63BE7B"/>
        <color rgb="FFFFEB84"/>
        <color rgb="FFF8696B"/>
      </colorScale>
    </cfRule>
  </conditionalFormatting>
  <conditionalFormatting sqref="D12770:D12793">
    <cfRule type="colorScale" priority="13">
      <colorScale>
        <cfvo type="min"/>
        <cfvo type="percentile" val="50"/>
        <cfvo type="max"/>
        <color rgb="FF63BE7B"/>
        <color rgb="FFFFEB84"/>
        <color rgb="FFF8696B"/>
      </colorScale>
    </cfRule>
  </conditionalFormatting>
  <conditionalFormatting sqref="F12770:F12793">
    <cfRule type="colorScale" priority="12">
      <colorScale>
        <cfvo type="min"/>
        <cfvo type="percentile" val="50"/>
        <cfvo type="max"/>
        <color rgb="FF63BE7B"/>
        <color rgb="FFFFEB84"/>
        <color rgb="FFF8696B"/>
      </colorScale>
    </cfRule>
  </conditionalFormatting>
  <conditionalFormatting sqref="G12770:G12793">
    <cfRule type="cellIs" dxfId="251" priority="7" operator="between">
      <formula>49</formula>
      <formula>149</formula>
    </cfRule>
    <cfRule type="cellIs" dxfId="250" priority="10" operator="lessThan">
      <formula>49</formula>
    </cfRule>
    <cfRule type="cellIs" dxfId="249" priority="11" operator="greaterThanOrEqual">
      <formula>150</formula>
    </cfRule>
  </conditionalFormatting>
  <conditionalFormatting sqref="H12770:H12793">
    <cfRule type="cellIs" dxfId="248" priority="6" operator="between">
      <formula>0.8</formula>
      <formula>1.2</formula>
    </cfRule>
    <cfRule type="cellIs" dxfId="247" priority="8" operator="lessThan">
      <formula>0.8</formula>
    </cfRule>
    <cfRule type="cellIs" dxfId="246" priority="9" operator="greaterThanOrEqual">
      <formula>1.2</formula>
    </cfRule>
  </conditionalFormatting>
  <conditionalFormatting sqref="I12770:I12793">
    <cfRule type="colorScale" priority="5">
      <colorScale>
        <cfvo type="min"/>
        <cfvo type="percentile" val="50"/>
        <cfvo type="max"/>
        <color rgb="FF63BE7B"/>
        <color rgb="FFFFEB84"/>
        <color rgb="FFF8696B"/>
      </colorScale>
    </cfRule>
  </conditionalFormatting>
  <conditionalFormatting sqref="K12771:K12793">
    <cfRule type="colorScale" priority="4">
      <colorScale>
        <cfvo type="min"/>
        <cfvo type="percentile" val="50"/>
        <cfvo type="max"/>
        <color rgb="FF63BE7B"/>
        <color rgb="FFFFEB84"/>
        <color rgb="FFF8696B"/>
      </colorScale>
    </cfRule>
  </conditionalFormatting>
  <conditionalFormatting sqref="K12770:K12793">
    <cfRule type="colorScale" priority="3">
      <colorScale>
        <cfvo type="min"/>
        <cfvo type="percentile" val="50"/>
        <cfvo type="max"/>
        <color rgb="FF63BE7B"/>
        <color rgb="FFFFEB84"/>
        <color rgb="FFF8696B"/>
      </colorScale>
    </cfRule>
  </conditionalFormatting>
  <conditionalFormatting sqref="M12770:M12793">
    <cfRule type="colorScale" priority="2">
      <colorScale>
        <cfvo type="min"/>
        <cfvo type="percentile" val="50"/>
        <cfvo type="max"/>
        <color rgb="FF63BE7B"/>
        <color rgb="FFFFEB84"/>
        <color rgb="FFF8696B"/>
      </colorScale>
    </cfRule>
  </conditionalFormatting>
  <conditionalFormatting sqref="L12770:L1279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H1142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N421"/>
  <sheetViews>
    <sheetView topLeftCell="L13" zoomScale="85" zoomScaleNormal="85"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26.5703125" style="61" customWidth="1"/>
    <col min="14" max="14" width="18.42578125" style="61" customWidth="1"/>
    <col min="15" max="16" width="18.28515625" style="61" customWidth="1"/>
    <col min="17" max="17" width="19.5703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9.5703125" style="293" customWidth="1"/>
    <col min="27" max="30" width="11.42578125" style="45"/>
    <col min="31" max="31" width="23" style="45" bestFit="1" customWidth="1"/>
    <col min="32" max="32" width="14.28515625" style="45" customWidth="1"/>
    <col min="33" max="39" width="13.7109375" style="45" customWidth="1"/>
    <col min="40" max="16384" width="11.42578125" style="45"/>
  </cols>
  <sheetData>
    <row r="1" spans="1:40" s="61" customFormat="1" ht="52.5" customHeight="1" thickBot="1" x14ac:dyDescent="0.3">
      <c r="C1" s="698" t="s">
        <v>106</v>
      </c>
      <c r="D1" s="698"/>
      <c r="E1" s="698"/>
      <c r="F1" s="698"/>
      <c r="G1" s="698"/>
      <c r="H1" s="698"/>
      <c r="K1" s="73"/>
      <c r="M1" s="169"/>
      <c r="N1" s="713" t="s">
        <v>113</v>
      </c>
      <c r="O1" s="713"/>
      <c r="P1" s="713"/>
      <c r="Q1" s="184"/>
      <c r="R1" s="169"/>
      <c r="S1" s="169"/>
      <c r="T1" s="169"/>
      <c r="U1" s="169"/>
      <c r="W1" s="699" t="s">
        <v>113</v>
      </c>
      <c r="X1" s="699"/>
      <c r="Z1" s="292"/>
    </row>
    <row r="2" spans="1:40" ht="58.5" customHeight="1" thickBot="1" x14ac:dyDescent="0.3">
      <c r="C2" s="49" t="s">
        <v>24</v>
      </c>
      <c r="D2" s="50">
        <v>44043</v>
      </c>
      <c r="E2" s="50">
        <v>44074</v>
      </c>
      <c r="F2" s="51" t="s">
        <v>105</v>
      </c>
      <c r="G2" s="52" t="s">
        <v>103</v>
      </c>
      <c r="H2" s="53" t="s">
        <v>104</v>
      </c>
      <c r="K2" s="73"/>
      <c r="M2" s="714" t="s">
        <v>24</v>
      </c>
      <c r="N2" s="709" t="s">
        <v>112</v>
      </c>
      <c r="O2" s="709" t="s">
        <v>117</v>
      </c>
      <c r="P2" s="710" t="s">
        <v>320</v>
      </c>
      <c r="Q2" s="705" t="s">
        <v>321</v>
      </c>
      <c r="R2" s="51" t="s">
        <v>105</v>
      </c>
      <c r="S2" s="52" t="s">
        <v>103</v>
      </c>
      <c r="T2" s="53" t="s">
        <v>107</v>
      </c>
      <c r="W2" s="50" t="s">
        <v>114</v>
      </c>
      <c r="X2" s="50" t="s">
        <v>115</v>
      </c>
      <c r="AA2" s="45" t="s">
        <v>325</v>
      </c>
      <c r="AB2" s="45" t="s">
        <v>326</v>
      </c>
      <c r="AE2" s="49" t="s">
        <v>24</v>
      </c>
      <c r="AF2" s="50">
        <v>44327</v>
      </c>
      <c r="AG2" s="50">
        <v>44328</v>
      </c>
      <c r="AH2" s="50">
        <v>44329</v>
      </c>
      <c r="AI2" s="50">
        <v>44330</v>
      </c>
      <c r="AJ2" s="50">
        <v>44331</v>
      </c>
      <c r="AK2" s="50">
        <v>44332</v>
      </c>
      <c r="AL2" s="50">
        <v>44333</v>
      </c>
      <c r="AM2" s="50">
        <v>44334</v>
      </c>
    </row>
    <row r="3" spans="1:40"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6" t="s">
        <v>16</v>
      </c>
      <c r="N3" s="706">
        <v>211.37165478574056</v>
      </c>
      <c r="O3" s="707">
        <v>0.76371838180769547</v>
      </c>
      <c r="P3" s="708">
        <v>2246.8571428571427</v>
      </c>
      <c r="Q3" s="664" t="str">
        <f>IF(OR(AND(O3&lt;0.8,N3&lt;150), AND(O3&lt;1.2,N3&lt;50)),"BAJO", IF(OR(OR(AND(O3&gt;1.2,N3&lt;150), AND(O3&gt;0.8, AND(N3&gt;50, N3&lt;250))), AND(O3&lt;0.8, AND(N3&gt;150,N3&lt;400))),"MEDIO","ALTO"))</f>
        <v>MEDIO</v>
      </c>
      <c r="R3" s="170">
        <v>781378</v>
      </c>
      <c r="S3" s="63">
        <v>81</v>
      </c>
      <c r="T3" s="64">
        <v>24194</v>
      </c>
      <c r="U3" s="46">
        <v>2749</v>
      </c>
      <c r="V3" s="41">
        <v>17541141</v>
      </c>
      <c r="W3" s="172">
        <v>153.54189331241338</v>
      </c>
      <c r="X3" s="172">
        <f>U3/V3*100000</f>
        <v>15.671728538069445</v>
      </c>
      <c r="Y3" s="46" t="s">
        <v>16</v>
      </c>
      <c r="Z3" s="693">
        <v>14673030</v>
      </c>
      <c r="AA3" s="691">
        <v>9708391</v>
      </c>
      <c r="AB3" s="691">
        <v>2528505</v>
      </c>
      <c r="AC3" s="695">
        <f>AA3/V3</f>
        <v>0.55346405345011473</v>
      </c>
      <c r="AD3" s="695">
        <f>AB3/V3</f>
        <v>0.1441471224705394</v>
      </c>
      <c r="AE3" s="54" t="s">
        <v>16</v>
      </c>
      <c r="AF3" s="466">
        <v>8789</v>
      </c>
      <c r="AG3" s="466">
        <v>8712.7142857142862</v>
      </c>
      <c r="AH3" s="466">
        <v>8703.2857142857138</v>
      </c>
      <c r="AI3" s="466">
        <v>8917.7142857142862</v>
      </c>
      <c r="AJ3" s="466">
        <v>9053</v>
      </c>
      <c r="AK3" s="466">
        <v>9220.8571428571431</v>
      </c>
      <c r="AL3" s="466">
        <v>9473.1428571428569</v>
      </c>
      <c r="AM3" s="466">
        <v>9956.1428571428569</v>
      </c>
      <c r="AN3" s="467">
        <f t="shared" ref="AN3:AN25" si="0">AM3/AF3-1</f>
        <v>0.13279586496107143</v>
      </c>
    </row>
    <row r="4" spans="1:40"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2">
        <v>292.52391204969621</v>
      </c>
      <c r="O4" s="191">
        <v>0.88102232667450053</v>
      </c>
      <c r="P4" s="453">
        <v>562.57142857142856</v>
      </c>
      <c r="Q4" s="664" t="str">
        <f t="shared" ref="Q4:Q26" si="3">IF(OR(AND(O4&lt;0.8,N4&lt;150), AND(O4&lt;1.2,N4&lt;50)),"BAJO", IF(OR(OR(AND(O4&gt;1.2,N4&lt;150), AND(O4&gt;0.8, AND(N4&gt;50, N4&lt;250))), AND(O4&lt;0.8, AND(N4&gt;150,N4&lt;400))),"MEDIO","ALTO"))</f>
        <v>ALTO</v>
      </c>
      <c r="R4" s="170">
        <v>203707</v>
      </c>
      <c r="S4" s="63">
        <v>26</v>
      </c>
      <c r="T4" s="64">
        <v>5783</v>
      </c>
      <c r="U4" s="46">
        <v>1094</v>
      </c>
      <c r="V4" s="41">
        <v>3075646</v>
      </c>
      <c r="W4" s="172">
        <v>253.89788031522482</v>
      </c>
      <c r="X4" s="172">
        <f t="shared" ref="X4:X26" si="4">U4/V4*100000</f>
        <v>35.569763230228709</v>
      </c>
      <c r="Y4" s="46" t="s">
        <v>323</v>
      </c>
      <c r="Z4" s="693">
        <v>2814531</v>
      </c>
      <c r="AA4" s="691">
        <v>2052882</v>
      </c>
      <c r="AB4" s="691">
        <v>704227</v>
      </c>
      <c r="AC4" s="695">
        <f t="shared" ref="AC4:AC27" si="5">AA4/V4</f>
        <v>0.66746368080071639</v>
      </c>
      <c r="AD4" s="695">
        <f t="shared" ref="AD4:AD27" si="6">AB4/V4</f>
        <v>0.22896880850396958</v>
      </c>
      <c r="AE4" s="56" t="s">
        <v>43</v>
      </c>
      <c r="AF4" s="466">
        <v>2160.7142857142858</v>
      </c>
      <c r="AG4" s="466">
        <v>2172.4285714285716</v>
      </c>
      <c r="AH4" s="466">
        <v>2146</v>
      </c>
      <c r="AI4" s="466">
        <v>2245.2857142857142</v>
      </c>
      <c r="AJ4" s="466">
        <v>2279.2857142857142</v>
      </c>
      <c r="AK4" s="466">
        <v>2320.7142857142858</v>
      </c>
      <c r="AL4" s="466">
        <v>2402.1428571428573</v>
      </c>
      <c r="AM4" s="466">
        <v>2523.1428571428573</v>
      </c>
      <c r="AN4" s="467">
        <f t="shared" si="0"/>
        <v>0.16773553719008261</v>
      </c>
    </row>
    <row r="5" spans="1:40"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2">
        <v>728.38787015150274</v>
      </c>
      <c r="O5" s="191">
        <v>0.85</v>
      </c>
      <c r="P5" s="453">
        <v>196.57142857142858</v>
      </c>
      <c r="Q5" s="664" t="str">
        <f t="shared" si="3"/>
        <v>ALTO</v>
      </c>
      <c r="R5" s="170">
        <v>4761</v>
      </c>
      <c r="S5" s="63"/>
      <c r="T5" s="64">
        <v>17</v>
      </c>
      <c r="U5" s="46">
        <v>30</v>
      </c>
      <c r="V5" s="41">
        <v>415438</v>
      </c>
      <c r="W5" s="172">
        <v>125.40980844313714</v>
      </c>
      <c r="X5" s="172">
        <f t="shared" si="4"/>
        <v>7.2212941521959957</v>
      </c>
      <c r="Y5" s="46" t="s">
        <v>28</v>
      </c>
      <c r="Z5" s="693">
        <v>346127</v>
      </c>
      <c r="AA5" s="691">
        <v>236198</v>
      </c>
      <c r="AB5" s="691">
        <v>54212</v>
      </c>
      <c r="AC5" s="695">
        <f t="shared" si="5"/>
        <v>0.56855174538679654</v>
      </c>
      <c r="AD5" s="695">
        <f t="shared" si="6"/>
        <v>0.13049359952628312</v>
      </c>
      <c r="AE5" s="56" t="s">
        <v>28</v>
      </c>
      <c r="AF5" s="466">
        <v>164</v>
      </c>
      <c r="AG5" s="466">
        <v>176.42857142857142</v>
      </c>
      <c r="AH5" s="466">
        <v>191.42857142857142</v>
      </c>
      <c r="AI5" s="466">
        <v>192.71428571428572</v>
      </c>
      <c r="AJ5" s="466">
        <v>239</v>
      </c>
      <c r="AK5" s="466">
        <v>265.57142857142856</v>
      </c>
      <c r="AL5" s="466">
        <v>263.28571428571428</v>
      </c>
      <c r="AM5" s="466">
        <v>304</v>
      </c>
      <c r="AN5" s="467">
        <f t="shared" si="0"/>
        <v>0.85365853658536595</v>
      </c>
    </row>
    <row r="6" spans="1:40"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2">
        <v>388.61275788868954</v>
      </c>
      <c r="O6" s="191">
        <v>0.85062693076503726</v>
      </c>
      <c r="P6" s="453">
        <v>271.71428571428572</v>
      </c>
      <c r="Q6" s="664" t="str">
        <f t="shared" si="3"/>
        <v>ALTO</v>
      </c>
      <c r="R6" s="170">
        <v>29890</v>
      </c>
      <c r="S6" s="63">
        <v>5</v>
      </c>
      <c r="T6" s="64">
        <v>777</v>
      </c>
      <c r="U6" s="46">
        <v>76</v>
      </c>
      <c r="V6" s="41">
        <v>1204541</v>
      </c>
      <c r="W6" s="172">
        <v>102.7777385742785</v>
      </c>
      <c r="X6" s="172">
        <f t="shared" si="4"/>
        <v>6.3094572953515078</v>
      </c>
      <c r="Y6" s="46" t="s">
        <v>15</v>
      </c>
      <c r="Z6" s="693">
        <v>1003222</v>
      </c>
      <c r="AA6" s="691">
        <v>561335</v>
      </c>
      <c r="AB6" s="691">
        <v>158476</v>
      </c>
      <c r="AC6" s="695">
        <f t="shared" si="5"/>
        <v>0.46601568564291296</v>
      </c>
      <c r="AD6" s="695">
        <f t="shared" si="6"/>
        <v>0.13156546767606914</v>
      </c>
      <c r="AE6" s="56" t="s">
        <v>15</v>
      </c>
      <c r="AF6" s="466">
        <v>254.57142857142858</v>
      </c>
      <c r="AG6" s="466">
        <v>250</v>
      </c>
      <c r="AH6" s="466">
        <v>278.14285714285717</v>
      </c>
      <c r="AI6" s="466">
        <v>297.28571428571428</v>
      </c>
      <c r="AJ6" s="466">
        <v>312.28571428571428</v>
      </c>
      <c r="AK6" s="466">
        <v>331.14285714285717</v>
      </c>
      <c r="AL6" s="466">
        <v>369</v>
      </c>
      <c r="AM6" s="466">
        <v>403.14285714285717</v>
      </c>
      <c r="AN6" s="467">
        <f t="shared" si="0"/>
        <v>0.58361391694725029</v>
      </c>
    </row>
    <row r="7" spans="1:40"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2">
        <v>410.98944416262515</v>
      </c>
      <c r="O7" s="191">
        <v>0.97620874904067534</v>
      </c>
      <c r="P7" s="453">
        <v>183</v>
      </c>
      <c r="Q7" s="664" t="str">
        <f t="shared" si="3"/>
        <v>ALTO</v>
      </c>
      <c r="R7" s="170">
        <v>40560</v>
      </c>
      <c r="S7" s="63">
        <v>11</v>
      </c>
      <c r="T7" s="64">
        <v>605</v>
      </c>
      <c r="U7" s="46">
        <v>304</v>
      </c>
      <c r="V7" s="41">
        <v>618994</v>
      </c>
      <c r="W7" s="172">
        <v>345.56070010371667</v>
      </c>
      <c r="X7" s="172">
        <f t="shared" si="4"/>
        <v>49.111946157797973</v>
      </c>
      <c r="Y7" s="46" t="s">
        <v>29</v>
      </c>
      <c r="Z7" s="693">
        <v>508438</v>
      </c>
      <c r="AA7" s="691">
        <v>314474</v>
      </c>
      <c r="AB7" s="691">
        <v>89581</v>
      </c>
      <c r="AC7" s="695">
        <f t="shared" si="5"/>
        <v>0.50804046565879479</v>
      </c>
      <c r="AD7" s="695">
        <f t="shared" si="6"/>
        <v>0.14472030423558224</v>
      </c>
      <c r="AE7" s="56" t="s">
        <v>29</v>
      </c>
      <c r="AF7" s="466">
        <v>215.57142857142858</v>
      </c>
      <c r="AG7" s="466">
        <v>205.85714285714286</v>
      </c>
      <c r="AH7" s="466">
        <v>210.14285714285714</v>
      </c>
      <c r="AI7" s="466">
        <v>206</v>
      </c>
      <c r="AJ7" s="466">
        <v>211.28571428571428</v>
      </c>
      <c r="AK7" s="466">
        <v>218</v>
      </c>
      <c r="AL7" s="466">
        <v>222.71428571428572</v>
      </c>
      <c r="AM7" s="466">
        <v>229.28571428571428</v>
      </c>
      <c r="AN7" s="467">
        <f t="shared" si="0"/>
        <v>6.3618290258449228E-2</v>
      </c>
    </row>
    <row r="8" spans="1:40"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2">
        <v>657.03010614729999</v>
      </c>
      <c r="O8" s="191">
        <v>1.1500858972356707</v>
      </c>
      <c r="P8" s="453">
        <v>502.85714285714283</v>
      </c>
      <c r="Q8" s="664" t="str">
        <f t="shared" si="3"/>
        <v>ALTO</v>
      </c>
      <c r="R8" s="170">
        <v>16463</v>
      </c>
      <c r="S8" s="63">
        <v>1</v>
      </c>
      <c r="T8" s="64">
        <v>2566</v>
      </c>
      <c r="U8" s="46">
        <v>160</v>
      </c>
      <c r="V8" s="41">
        <v>3760450</v>
      </c>
      <c r="W8" s="172">
        <v>23.98649097847332</v>
      </c>
      <c r="X8" s="172">
        <f t="shared" si="4"/>
        <v>4.2548099296626738</v>
      </c>
      <c r="Y8" s="46" t="s">
        <v>30</v>
      </c>
      <c r="Z8" s="693">
        <v>930495</v>
      </c>
      <c r="AA8" s="691">
        <v>572639</v>
      </c>
      <c r="AB8" s="691">
        <v>161552</v>
      </c>
      <c r="AC8" s="695">
        <f t="shared" si="5"/>
        <v>0.15227938145700648</v>
      </c>
      <c r="AD8" s="695">
        <f t="shared" si="6"/>
        <v>4.2960815859804012E-2</v>
      </c>
      <c r="AE8" s="56" t="s">
        <v>20</v>
      </c>
      <c r="AF8" s="466">
        <v>1708.4285714285713</v>
      </c>
      <c r="AG8" s="466">
        <v>1817</v>
      </c>
      <c r="AH8" s="466">
        <v>1931.7142857142858</v>
      </c>
      <c r="AI8" s="466">
        <v>2117.7142857142858</v>
      </c>
      <c r="AJ8" s="466">
        <v>2192.2857142857142</v>
      </c>
      <c r="AK8" s="466">
        <v>2292.5714285714284</v>
      </c>
      <c r="AL8" s="466">
        <v>2486.4285714285716</v>
      </c>
      <c r="AM8" s="466">
        <v>2704.7142857142858</v>
      </c>
      <c r="AN8" s="467">
        <f t="shared" si="0"/>
        <v>0.58315912701730932</v>
      </c>
    </row>
    <row r="9" spans="1:40"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2">
        <v>589.84961906154842</v>
      </c>
      <c r="O9" s="191">
        <v>0.9239773389985837</v>
      </c>
      <c r="P9" s="453">
        <v>1434.7142857142858</v>
      </c>
      <c r="Q9" s="664" t="str">
        <f t="shared" si="3"/>
        <v>ALTO</v>
      </c>
      <c r="R9" s="170">
        <v>141824</v>
      </c>
      <c r="S9" s="63">
        <v>9</v>
      </c>
      <c r="T9" s="64">
        <v>252</v>
      </c>
      <c r="U9" s="46">
        <v>340</v>
      </c>
      <c r="V9" s="41">
        <v>1120801</v>
      </c>
      <c r="W9" s="172">
        <v>333.77914545044126</v>
      </c>
      <c r="X9" s="172">
        <f t="shared" si="4"/>
        <v>30.335447595068167</v>
      </c>
      <c r="Y9" s="46" t="s">
        <v>20</v>
      </c>
      <c r="Z9" s="693">
        <v>3110864</v>
      </c>
      <c r="AA9" s="691">
        <v>2118768</v>
      </c>
      <c r="AB9" s="691">
        <v>648038</v>
      </c>
      <c r="AC9" s="695">
        <f t="shared" si="5"/>
        <v>1.890405165591394</v>
      </c>
      <c r="AD9" s="695">
        <f t="shared" si="6"/>
        <v>0.57819184672390544</v>
      </c>
      <c r="AE9" s="56" t="s">
        <v>30</v>
      </c>
      <c r="AF9" s="466">
        <v>171.57142857142858</v>
      </c>
      <c r="AG9" s="466">
        <v>160.85714285714286</v>
      </c>
      <c r="AH9" s="466">
        <v>192.71428571428572</v>
      </c>
      <c r="AI9" s="466">
        <v>220.28571428571428</v>
      </c>
      <c r="AJ9" s="466">
        <v>189.57142857142858</v>
      </c>
      <c r="AK9" s="466">
        <v>185.57142857142858</v>
      </c>
      <c r="AL9" s="466">
        <v>208.57142857142858</v>
      </c>
      <c r="AM9" s="466">
        <v>208.14285714285714</v>
      </c>
      <c r="AN9" s="467">
        <f t="shared" si="0"/>
        <v>0.21315570358034952</v>
      </c>
    </row>
    <row r="10" spans="1:40"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2">
        <v>290.05145166422432</v>
      </c>
      <c r="O10" s="191">
        <v>0.66977674108630458</v>
      </c>
      <c r="P10" s="453">
        <v>251.85714285714286</v>
      </c>
      <c r="Q10" s="664" t="str">
        <f t="shared" si="3"/>
        <v>MEDIO</v>
      </c>
      <c r="R10" s="170">
        <v>39375</v>
      </c>
      <c r="S10" s="63">
        <v>10</v>
      </c>
      <c r="T10" s="64">
        <v>680</v>
      </c>
      <c r="U10" s="46">
        <v>302</v>
      </c>
      <c r="V10" s="41">
        <v>1385961</v>
      </c>
      <c r="W10" s="172">
        <v>190.69800665386688</v>
      </c>
      <c r="X10" s="172">
        <f t="shared" si="4"/>
        <v>21.789934926018841</v>
      </c>
      <c r="Y10" s="46" t="s">
        <v>31</v>
      </c>
      <c r="Z10" s="693">
        <v>1153053</v>
      </c>
      <c r="AA10" s="691">
        <v>706729</v>
      </c>
      <c r="AB10" s="691">
        <v>194160</v>
      </c>
      <c r="AC10" s="695">
        <f t="shared" si="5"/>
        <v>0.5099198317990189</v>
      </c>
      <c r="AD10" s="695">
        <f t="shared" si="6"/>
        <v>0.14009052202767611</v>
      </c>
      <c r="AE10" s="56" t="s">
        <v>31</v>
      </c>
      <c r="AF10" s="466">
        <v>590.57142857142856</v>
      </c>
      <c r="AG10" s="466">
        <v>569.42857142857144</v>
      </c>
      <c r="AH10" s="466">
        <v>580.85714285714289</v>
      </c>
      <c r="AI10" s="466">
        <v>607.14285714285711</v>
      </c>
      <c r="AJ10" s="466">
        <v>647.28571428571433</v>
      </c>
      <c r="AK10" s="466">
        <v>664.14285714285711</v>
      </c>
      <c r="AL10" s="466">
        <v>671</v>
      </c>
      <c r="AM10" s="466">
        <v>700.71428571428567</v>
      </c>
      <c r="AN10" s="467">
        <f t="shared" si="0"/>
        <v>0.1865021770682147</v>
      </c>
    </row>
    <row r="11" spans="1:40"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2">
        <v>462.49708770590536</v>
      </c>
      <c r="O11" s="191">
        <v>0.80523590333716921</v>
      </c>
      <c r="P11" s="453">
        <v>181.57142857142858</v>
      </c>
      <c r="Q11" s="664" t="str">
        <f t="shared" si="3"/>
        <v>ALTO</v>
      </c>
      <c r="R11" s="170">
        <v>807</v>
      </c>
      <c r="S11" s="63"/>
      <c r="T11" s="64">
        <v>6</v>
      </c>
      <c r="U11" s="46">
        <v>1</v>
      </c>
      <c r="V11" s="41">
        <v>605193</v>
      </c>
      <c r="W11" s="172">
        <v>21.645987313138122</v>
      </c>
      <c r="X11" s="172">
        <f t="shared" si="4"/>
        <v>0.16523654437510019</v>
      </c>
      <c r="Y11" s="46" t="s">
        <v>41</v>
      </c>
      <c r="Z11" s="693">
        <v>503463</v>
      </c>
      <c r="AA11" s="691">
        <v>339698</v>
      </c>
      <c r="AB11" s="691">
        <v>90768</v>
      </c>
      <c r="AC11" s="695">
        <f t="shared" si="5"/>
        <v>0.5613052365113278</v>
      </c>
      <c r="AD11" s="695">
        <f t="shared" si="6"/>
        <v>0.14998190659839092</v>
      </c>
      <c r="AE11" s="56" t="s">
        <v>41</v>
      </c>
      <c r="AF11" s="466">
        <v>233.14285714285714</v>
      </c>
      <c r="AG11" s="466">
        <v>237</v>
      </c>
      <c r="AH11" s="466">
        <v>207.14285714285714</v>
      </c>
      <c r="AI11" s="466">
        <v>167.57142857142858</v>
      </c>
      <c r="AJ11" s="466">
        <v>149.71428571428572</v>
      </c>
      <c r="AK11" s="466">
        <v>323.42857142857144</v>
      </c>
      <c r="AL11" s="466">
        <v>1106.5714285714287</v>
      </c>
      <c r="AM11" s="466">
        <v>1100.1428571428571</v>
      </c>
      <c r="AN11" s="467">
        <f t="shared" si="0"/>
        <v>3.71875</v>
      </c>
    </row>
    <row r="12" spans="1:40"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2">
        <v>258.66508579145159</v>
      </c>
      <c r="O12" s="191">
        <v>0.68616655196145904</v>
      </c>
      <c r="P12" s="453">
        <v>121.85714285714286</v>
      </c>
      <c r="Q12" s="664" t="str">
        <f t="shared" si="3"/>
        <v>MEDIO</v>
      </c>
      <c r="R12" s="170">
        <v>19100</v>
      </c>
      <c r="S12" s="63"/>
      <c r="T12" s="64">
        <v>866</v>
      </c>
      <c r="U12" s="46">
        <v>7</v>
      </c>
      <c r="V12" s="41">
        <v>770881</v>
      </c>
      <c r="W12" s="172">
        <v>23.739072567620685</v>
      </c>
      <c r="X12" s="172">
        <f t="shared" si="4"/>
        <v>0.9080519561384961</v>
      </c>
      <c r="Y12" s="46" t="s">
        <v>32</v>
      </c>
      <c r="Z12" s="693">
        <v>642707</v>
      </c>
      <c r="AA12" s="691">
        <v>405330</v>
      </c>
      <c r="AB12" s="691">
        <v>112029</v>
      </c>
      <c r="AC12" s="695">
        <f t="shared" si="5"/>
        <v>0.52580099911659517</v>
      </c>
      <c r="AD12" s="695">
        <f t="shared" si="6"/>
        <v>0.14532593227748511</v>
      </c>
      <c r="AE12" s="56" t="s">
        <v>32</v>
      </c>
      <c r="AF12" s="466">
        <v>85.285714285714292</v>
      </c>
      <c r="AG12" s="466">
        <v>86.285714285714292</v>
      </c>
      <c r="AH12" s="466">
        <v>86.857142857142861</v>
      </c>
      <c r="AI12" s="466">
        <v>82.714285714285708</v>
      </c>
      <c r="AJ12" s="466">
        <v>83.714285714285708</v>
      </c>
      <c r="AK12" s="466">
        <v>83.428571428571431</v>
      </c>
      <c r="AL12" s="466">
        <v>87.571428571428569</v>
      </c>
      <c r="AM12" s="466">
        <v>94.142857142857139</v>
      </c>
      <c r="AN12" s="467">
        <f t="shared" si="0"/>
        <v>0.10385259631490773</v>
      </c>
    </row>
    <row r="13" spans="1:40"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2">
        <v>891.11341747854533</v>
      </c>
      <c r="O13" s="191">
        <v>0.82574974146845914</v>
      </c>
      <c r="P13" s="453">
        <v>214.85714285714286</v>
      </c>
      <c r="Q13" s="664" t="str">
        <f t="shared" si="3"/>
        <v>ALTO</v>
      </c>
      <c r="R13" s="170">
        <v>15894</v>
      </c>
      <c r="S13" s="63">
        <v>12</v>
      </c>
      <c r="T13" s="64">
        <v>223</v>
      </c>
      <c r="U13" s="46">
        <v>101</v>
      </c>
      <c r="V13" s="41">
        <v>358428</v>
      </c>
      <c r="W13" s="172">
        <v>213.71098240092851</v>
      </c>
      <c r="X13" s="172">
        <f t="shared" si="4"/>
        <v>28.178602118138095</v>
      </c>
      <c r="Y13" s="46" t="s">
        <v>33</v>
      </c>
      <c r="Z13" s="693">
        <v>303842</v>
      </c>
      <c r="AA13" s="691">
        <v>216831</v>
      </c>
      <c r="AB13" s="691">
        <v>85848</v>
      </c>
      <c r="AC13" s="695">
        <f t="shared" si="5"/>
        <v>0.60494994810673275</v>
      </c>
      <c r="AD13" s="695">
        <f t="shared" si="6"/>
        <v>0.23951253808296227</v>
      </c>
      <c r="AE13" s="56" t="s">
        <v>33</v>
      </c>
      <c r="AF13" s="466">
        <v>376.85714285714283</v>
      </c>
      <c r="AG13" s="466">
        <v>414.28571428571428</v>
      </c>
      <c r="AH13" s="466">
        <v>450.14285714285717</v>
      </c>
      <c r="AI13" s="466">
        <v>490.71428571428572</v>
      </c>
      <c r="AJ13" s="466">
        <v>513.57142857142856</v>
      </c>
      <c r="AK13" s="466">
        <v>506.28571428571428</v>
      </c>
      <c r="AL13" s="466">
        <v>514.28571428571433</v>
      </c>
      <c r="AM13" s="466">
        <v>572</v>
      </c>
      <c r="AN13" s="467">
        <f t="shared" si="0"/>
        <v>0.51781652767247932</v>
      </c>
    </row>
    <row r="14" spans="1:40"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2">
        <v>612.14999580719177</v>
      </c>
      <c r="O14" s="191">
        <v>0.85214007782101164</v>
      </c>
      <c r="P14" s="453">
        <v>130.57142857142858</v>
      </c>
      <c r="Q14" s="664" t="str">
        <f t="shared" si="3"/>
        <v>ALTO</v>
      </c>
      <c r="R14" s="170">
        <v>9441</v>
      </c>
      <c r="S14" s="63">
        <v>1</v>
      </c>
      <c r="T14" s="64">
        <v>405</v>
      </c>
      <c r="U14" s="46">
        <v>3</v>
      </c>
      <c r="V14" s="41">
        <v>393531</v>
      </c>
      <c r="W14" s="172">
        <v>30.747260063374931</v>
      </c>
      <c r="X14" s="172">
        <f t="shared" si="4"/>
        <v>0.76232876190185772</v>
      </c>
      <c r="Y14" s="46" t="s">
        <v>21</v>
      </c>
      <c r="Z14" s="693">
        <v>327102</v>
      </c>
      <c r="AA14" s="691">
        <v>230055</v>
      </c>
      <c r="AB14" s="691">
        <v>66704</v>
      </c>
      <c r="AC14" s="695">
        <f t="shared" si="5"/>
        <v>0.58459181106443969</v>
      </c>
      <c r="AD14" s="695">
        <f t="shared" si="6"/>
        <v>0.16950125911300506</v>
      </c>
      <c r="AE14" s="56" t="s">
        <v>21</v>
      </c>
      <c r="AF14" s="466">
        <v>78.142857142857139</v>
      </c>
      <c r="AG14" s="466">
        <v>71.285714285714292</v>
      </c>
      <c r="AH14" s="466">
        <v>63.857142857142854</v>
      </c>
      <c r="AI14" s="466">
        <v>63</v>
      </c>
      <c r="AJ14" s="466">
        <v>68.714285714285708</v>
      </c>
      <c r="AK14" s="466">
        <v>81.142857142857139</v>
      </c>
      <c r="AL14" s="466">
        <v>90.857142857142861</v>
      </c>
      <c r="AM14" s="466">
        <v>142.85714285714286</v>
      </c>
      <c r="AN14" s="467">
        <f t="shared" si="0"/>
        <v>0.8281535648994518</v>
      </c>
    </row>
    <row r="15" spans="1:40"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2">
        <v>233.22671827599129</v>
      </c>
      <c r="O15" s="191">
        <v>0.78438661710037172</v>
      </c>
      <c r="P15" s="453">
        <v>289.28571428571428</v>
      </c>
      <c r="Q15" s="664" t="str">
        <f t="shared" si="3"/>
        <v>MEDIO</v>
      </c>
      <c r="R15" s="170">
        <v>63210</v>
      </c>
      <c r="S15" s="63">
        <v>3</v>
      </c>
      <c r="T15" s="64">
        <v>1321</v>
      </c>
      <c r="U15" s="46">
        <v>55</v>
      </c>
      <c r="V15" s="41">
        <v>1990338</v>
      </c>
      <c r="W15" s="172">
        <v>46.173062062825508</v>
      </c>
      <c r="X15" s="172">
        <f t="shared" si="4"/>
        <v>2.7633497426065321</v>
      </c>
      <c r="Y15" s="46" t="s">
        <v>17</v>
      </c>
      <c r="Z15" s="693">
        <v>1662382</v>
      </c>
      <c r="AA15" s="691">
        <v>1070410</v>
      </c>
      <c r="AB15" s="691">
        <v>263387</v>
      </c>
      <c r="AC15" s="695">
        <f t="shared" si="5"/>
        <v>0.53780312690608334</v>
      </c>
      <c r="AD15" s="695">
        <f t="shared" si="6"/>
        <v>0.1323327997556194</v>
      </c>
      <c r="AE15" s="56" t="s">
        <v>17</v>
      </c>
      <c r="AF15" s="466">
        <v>792.57142857142856</v>
      </c>
      <c r="AG15" s="466">
        <v>771.42857142857144</v>
      </c>
      <c r="AH15" s="466">
        <v>804</v>
      </c>
      <c r="AI15" s="466">
        <v>823.57142857142856</v>
      </c>
      <c r="AJ15" s="466">
        <v>805.85714285714289</v>
      </c>
      <c r="AK15" s="466">
        <v>815.85714285714289</v>
      </c>
      <c r="AL15" s="466">
        <v>824.28571428571433</v>
      </c>
      <c r="AM15" s="466">
        <v>832.71428571428567</v>
      </c>
      <c r="AN15" s="467">
        <f t="shared" si="0"/>
        <v>5.0648882480172963E-2</v>
      </c>
    </row>
    <row r="16" spans="1:40"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2">
        <v>185.28590479301414</v>
      </c>
      <c r="O16" s="191">
        <v>0.91360437842064113</v>
      </c>
      <c r="P16" s="453">
        <v>169</v>
      </c>
      <c r="Q16" s="664" t="str">
        <f t="shared" si="3"/>
        <v>MEDIO</v>
      </c>
      <c r="R16" s="170">
        <v>3612</v>
      </c>
      <c r="S16" s="63"/>
      <c r="T16" s="64">
        <v>64</v>
      </c>
      <c r="U16" s="46">
        <v>145</v>
      </c>
      <c r="V16" s="41">
        <v>1261294</v>
      </c>
      <c r="W16" s="172">
        <v>101.80021470014128</v>
      </c>
      <c r="X16" s="172">
        <f t="shared" si="4"/>
        <v>11.496130164735581</v>
      </c>
      <c r="Y16" s="46" t="s">
        <v>23</v>
      </c>
      <c r="Z16" s="693">
        <v>1048100</v>
      </c>
      <c r="AA16" s="691">
        <v>489269</v>
      </c>
      <c r="AB16" s="691">
        <v>161803</v>
      </c>
      <c r="AC16" s="695">
        <f t="shared" si="5"/>
        <v>0.38791035238413885</v>
      </c>
      <c r="AD16" s="695">
        <f t="shared" si="6"/>
        <v>0.12828333441687664</v>
      </c>
      <c r="AE16" s="56" t="s">
        <v>23</v>
      </c>
      <c r="AF16" s="466">
        <v>168.71428571428572</v>
      </c>
      <c r="AG16" s="466">
        <v>162.71428571428572</v>
      </c>
      <c r="AH16" s="466">
        <v>163.71428571428572</v>
      </c>
      <c r="AI16" s="466">
        <v>150.57142857142858</v>
      </c>
      <c r="AJ16" s="466">
        <v>153.85714285714286</v>
      </c>
      <c r="AK16" s="466">
        <v>145.42857142857142</v>
      </c>
      <c r="AL16" s="466">
        <v>144</v>
      </c>
      <c r="AM16" s="466">
        <v>143</v>
      </c>
      <c r="AN16" s="468">
        <f t="shared" si="0"/>
        <v>-0.15241320914479262</v>
      </c>
    </row>
    <row r="17" spans="1:40"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2">
        <v>408.54926610215688</v>
      </c>
      <c r="O17" s="191">
        <v>0.96823697359029259</v>
      </c>
      <c r="P17" s="453">
        <v>177</v>
      </c>
      <c r="Q17" s="664" t="str">
        <f t="shared" si="3"/>
        <v>ALTO</v>
      </c>
      <c r="R17" s="170">
        <v>51537</v>
      </c>
      <c r="S17" s="63">
        <v>2</v>
      </c>
      <c r="T17" s="64">
        <v>765</v>
      </c>
      <c r="U17" s="46">
        <v>552</v>
      </c>
      <c r="V17" s="41">
        <v>664057</v>
      </c>
      <c r="W17" s="172">
        <v>430.38474106891431</v>
      </c>
      <c r="X17" s="172">
        <f t="shared" si="4"/>
        <v>83.12539435620738</v>
      </c>
      <c r="Y17" s="46" t="s">
        <v>19</v>
      </c>
      <c r="Z17" s="693">
        <v>561289</v>
      </c>
      <c r="AA17" s="691">
        <v>385771</v>
      </c>
      <c r="AB17" s="691">
        <v>117768</v>
      </c>
      <c r="AC17" s="695">
        <f t="shared" si="5"/>
        <v>0.58093055264834192</v>
      </c>
      <c r="AD17" s="695">
        <f t="shared" si="6"/>
        <v>0.17734622178517809</v>
      </c>
      <c r="AE17" s="56" t="s">
        <v>19</v>
      </c>
      <c r="AF17" s="466">
        <v>487.85714285714283</v>
      </c>
      <c r="AG17" s="466">
        <v>491</v>
      </c>
      <c r="AH17" s="466">
        <v>514.57142857142856</v>
      </c>
      <c r="AI17" s="466">
        <v>493</v>
      </c>
      <c r="AJ17" s="466">
        <v>502.71428571428572</v>
      </c>
      <c r="AK17" s="466">
        <v>516.42857142857144</v>
      </c>
      <c r="AL17" s="466">
        <v>552.71428571428567</v>
      </c>
      <c r="AM17" s="466">
        <v>574.14285714285711</v>
      </c>
      <c r="AN17" s="467">
        <f t="shared" si="0"/>
        <v>0.17686676427525616</v>
      </c>
    </row>
    <row r="18" spans="1:40"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2">
        <v>468.82732975749383</v>
      </c>
      <c r="O18" s="191">
        <v>0.8363159150560725</v>
      </c>
      <c r="P18" s="453">
        <v>237</v>
      </c>
      <c r="Q18" s="664" t="str">
        <f t="shared" si="3"/>
        <v>ALTO</v>
      </c>
      <c r="R18" s="170">
        <v>46233</v>
      </c>
      <c r="S18" s="63">
        <v>4</v>
      </c>
      <c r="T18" s="64">
        <v>1037</v>
      </c>
      <c r="U18" s="46">
        <v>255</v>
      </c>
      <c r="V18" s="41">
        <v>747610</v>
      </c>
      <c r="W18" s="172">
        <v>277.28361043859769</v>
      </c>
      <c r="X18" s="172">
        <f t="shared" si="4"/>
        <v>34.108693035138643</v>
      </c>
      <c r="Y18" s="46" t="s">
        <v>18</v>
      </c>
      <c r="Z18" s="693">
        <v>624878</v>
      </c>
      <c r="AA18" s="691">
        <v>439534</v>
      </c>
      <c r="AB18" s="691">
        <v>117416</v>
      </c>
      <c r="AC18" s="695">
        <f t="shared" si="5"/>
        <v>0.58791883468653439</v>
      </c>
      <c r="AD18" s="695">
        <f t="shared" si="6"/>
        <v>0.1570551490750525</v>
      </c>
      <c r="AE18" s="56" t="s">
        <v>18</v>
      </c>
      <c r="AF18" s="466">
        <v>325.28571428571428</v>
      </c>
      <c r="AG18" s="466">
        <v>323.28571428571428</v>
      </c>
      <c r="AH18" s="466">
        <v>350.57142857142856</v>
      </c>
      <c r="AI18" s="466">
        <v>360.85714285714283</v>
      </c>
      <c r="AJ18" s="466">
        <v>368</v>
      </c>
      <c r="AK18" s="466">
        <v>368</v>
      </c>
      <c r="AL18" s="466">
        <v>379.57142857142856</v>
      </c>
      <c r="AM18" s="466">
        <v>392.71428571428572</v>
      </c>
      <c r="AN18" s="467">
        <f t="shared" si="0"/>
        <v>0.207290294246816</v>
      </c>
    </row>
    <row r="19" spans="1:40"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2">
        <v>271.76412194072299</v>
      </c>
      <c r="O19" s="191">
        <v>0.78855163984518228</v>
      </c>
      <c r="P19" s="453">
        <v>248.85714285714286</v>
      </c>
      <c r="Q19" s="664" t="str">
        <f t="shared" si="3"/>
        <v>MEDIO</v>
      </c>
      <c r="R19" s="170">
        <v>23464</v>
      </c>
      <c r="S19" s="63">
        <v>1</v>
      </c>
      <c r="T19" s="64">
        <v>1049</v>
      </c>
      <c r="U19" s="46">
        <v>22</v>
      </c>
      <c r="V19" s="41">
        <v>1424397</v>
      </c>
      <c r="W19" s="172">
        <v>25.063237285672464</v>
      </c>
      <c r="X19" s="172">
        <f t="shared" si="4"/>
        <v>1.5445132220862583</v>
      </c>
      <c r="Y19" s="46" t="s">
        <v>34</v>
      </c>
      <c r="Z19" s="693">
        <v>1159056</v>
      </c>
      <c r="AA19" s="691">
        <v>670890</v>
      </c>
      <c r="AB19" s="691">
        <v>169519</v>
      </c>
      <c r="AC19" s="695">
        <f t="shared" si="5"/>
        <v>0.47099930707520443</v>
      </c>
      <c r="AD19" s="695">
        <f t="shared" si="6"/>
        <v>0.11901106222492747</v>
      </c>
      <c r="AE19" s="56" t="s">
        <v>34</v>
      </c>
      <c r="AF19" s="466">
        <v>248.71428571428572</v>
      </c>
      <c r="AG19" s="466">
        <v>254.57142857142858</v>
      </c>
      <c r="AH19" s="466">
        <v>254.42857142857142</v>
      </c>
      <c r="AI19" s="466">
        <v>270.42857142857144</v>
      </c>
      <c r="AJ19" s="466">
        <v>289</v>
      </c>
      <c r="AK19" s="466">
        <v>286.28571428571428</v>
      </c>
      <c r="AL19" s="466">
        <v>281.28571428571428</v>
      </c>
      <c r="AM19" s="466">
        <v>309.28571428571428</v>
      </c>
      <c r="AN19" s="467">
        <f t="shared" si="0"/>
        <v>0.24353819643882813</v>
      </c>
    </row>
    <row r="20" spans="1:40"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2">
        <v>375.31185317267801</v>
      </c>
      <c r="O20" s="191">
        <v>0.69167256428402923</v>
      </c>
      <c r="P20" s="453">
        <v>207.14285714285714</v>
      </c>
      <c r="Q20" s="664" t="str">
        <f t="shared" si="3"/>
        <v>MEDIO</v>
      </c>
      <c r="R20" s="170">
        <v>13625</v>
      </c>
      <c r="S20" s="63"/>
      <c r="T20" s="64">
        <v>217</v>
      </c>
      <c r="U20" s="46">
        <v>80</v>
      </c>
      <c r="V20" s="41">
        <v>781217</v>
      </c>
      <c r="W20" s="172">
        <v>58.370465568465612</v>
      </c>
      <c r="X20" s="172">
        <f t="shared" si="4"/>
        <v>10.240432555871159</v>
      </c>
      <c r="Y20" s="46" t="s">
        <v>35</v>
      </c>
      <c r="Z20" s="693">
        <v>653840</v>
      </c>
      <c r="AA20" s="691">
        <v>434251</v>
      </c>
      <c r="AB20" s="691">
        <v>118640</v>
      </c>
      <c r="AC20" s="695">
        <f t="shared" si="5"/>
        <v>0.55586475972745086</v>
      </c>
      <c r="AD20" s="695">
        <f t="shared" si="6"/>
        <v>0.1518656148035693</v>
      </c>
      <c r="AE20" s="56" t="s">
        <v>35</v>
      </c>
      <c r="AF20" s="466">
        <v>361.28571428571428</v>
      </c>
      <c r="AG20" s="466">
        <v>347</v>
      </c>
      <c r="AH20" s="466">
        <v>366.57142857142856</v>
      </c>
      <c r="AI20" s="466">
        <v>387.14285714285717</v>
      </c>
      <c r="AJ20" s="466">
        <v>390.14285714285717</v>
      </c>
      <c r="AK20" s="466">
        <v>425.57142857142856</v>
      </c>
      <c r="AL20" s="466">
        <v>463.28571428571428</v>
      </c>
      <c r="AM20" s="466">
        <v>502.28571428571428</v>
      </c>
      <c r="AN20" s="467">
        <f t="shared" si="0"/>
        <v>0.39027283511269273</v>
      </c>
    </row>
    <row r="21" spans="1:40"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2">
        <v>582.89136148313685</v>
      </c>
      <c r="O21" s="191">
        <v>0.84826796450042941</v>
      </c>
      <c r="P21" s="453">
        <v>178.71428571428572</v>
      </c>
      <c r="Q21" s="664" t="str">
        <f t="shared" si="3"/>
        <v>ALTO</v>
      </c>
      <c r="R21" s="170">
        <v>18753</v>
      </c>
      <c r="S21" s="63">
        <v>7</v>
      </c>
      <c r="T21" s="64">
        <v>343</v>
      </c>
      <c r="U21" s="46">
        <v>300</v>
      </c>
      <c r="V21" s="41">
        <v>508328</v>
      </c>
      <c r="W21" s="172">
        <v>351.93811869501582</v>
      </c>
      <c r="X21" s="172">
        <f t="shared" si="4"/>
        <v>59.017012637509637</v>
      </c>
      <c r="Y21" s="46" t="s">
        <v>36</v>
      </c>
      <c r="Z21" s="693">
        <v>424334</v>
      </c>
      <c r="AA21" s="691">
        <v>305816</v>
      </c>
      <c r="AB21" s="691">
        <v>115516</v>
      </c>
      <c r="AC21" s="695">
        <f t="shared" si="5"/>
        <v>0.60161155789175491</v>
      </c>
      <c r="AD21" s="695">
        <f t="shared" si="6"/>
        <v>0.22724697439448546</v>
      </c>
      <c r="AE21" s="56" t="s">
        <v>36</v>
      </c>
      <c r="AF21" s="466">
        <v>440.57142857142856</v>
      </c>
      <c r="AG21" s="466">
        <v>460.71428571428572</v>
      </c>
      <c r="AH21" s="466">
        <v>490.42857142857144</v>
      </c>
      <c r="AI21" s="466">
        <v>517.57142857142856</v>
      </c>
      <c r="AJ21" s="466">
        <v>509</v>
      </c>
      <c r="AK21" s="466">
        <v>473.71428571428572</v>
      </c>
      <c r="AL21" s="466">
        <v>458.85714285714283</v>
      </c>
      <c r="AM21" s="466">
        <v>425.85714285714283</v>
      </c>
      <c r="AN21" s="468">
        <f t="shared" si="0"/>
        <v>-3.3398184176394285E-2</v>
      </c>
    </row>
    <row r="22" spans="1:40"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2">
        <v>371.8915607960667</v>
      </c>
      <c r="O22" s="191">
        <v>0.97880299251870329</v>
      </c>
      <c r="P22" s="453">
        <v>55.714285714285715</v>
      </c>
      <c r="Q22" s="664" t="str">
        <f t="shared" si="3"/>
        <v>ALTO</v>
      </c>
      <c r="R22" s="170">
        <v>31645</v>
      </c>
      <c r="S22" s="63">
        <v>1</v>
      </c>
      <c r="T22" s="64">
        <v>484</v>
      </c>
      <c r="U22" s="46">
        <v>167</v>
      </c>
      <c r="V22" s="41">
        <v>365698</v>
      </c>
      <c r="W22" s="172">
        <v>537.87551476901706</v>
      </c>
      <c r="X22" s="172">
        <f t="shared" si="4"/>
        <v>45.666096068340543</v>
      </c>
      <c r="Y22" s="46" t="s">
        <v>37</v>
      </c>
      <c r="Z22" s="693">
        <v>310546</v>
      </c>
      <c r="AA22" s="691">
        <v>179494</v>
      </c>
      <c r="AB22" s="691">
        <v>60258</v>
      </c>
      <c r="AC22" s="695">
        <f t="shared" si="5"/>
        <v>0.49082576333477351</v>
      </c>
      <c r="AD22" s="695">
        <f t="shared" si="6"/>
        <v>0.16477530640036314</v>
      </c>
      <c r="AE22" s="56" t="s">
        <v>37</v>
      </c>
      <c r="AF22" s="466">
        <v>227.85714285714286</v>
      </c>
      <c r="AG22" s="466">
        <v>228.85714285714286</v>
      </c>
      <c r="AH22" s="466">
        <v>210.85714285714286</v>
      </c>
      <c r="AI22" s="466">
        <v>213.28571428571428</v>
      </c>
      <c r="AJ22" s="466">
        <v>212.28571428571428</v>
      </c>
      <c r="AK22" s="466">
        <v>225.85714285714286</v>
      </c>
      <c r="AL22" s="466">
        <v>221.85714285714286</v>
      </c>
      <c r="AM22" s="466">
        <v>243.71428571428572</v>
      </c>
      <c r="AN22" s="467">
        <f t="shared" si="0"/>
        <v>6.9592476489028332E-2</v>
      </c>
    </row>
    <row r="23" spans="1:40"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2">
        <v>323.66083421134044</v>
      </c>
      <c r="O23" s="191">
        <v>0.72567044950231407</v>
      </c>
      <c r="P23" s="453">
        <v>700.42857142857144</v>
      </c>
      <c r="Q23" s="664" t="str">
        <f t="shared" si="3"/>
        <v>MEDIO</v>
      </c>
      <c r="R23" s="170">
        <v>202107</v>
      </c>
      <c r="S23" s="63">
        <v>32</v>
      </c>
      <c r="T23" s="64">
        <v>3338</v>
      </c>
      <c r="U23" s="46">
        <v>482</v>
      </c>
      <c r="V23" s="41">
        <v>3536418</v>
      </c>
      <c r="W23" s="172">
        <v>175.03586962853373</v>
      </c>
      <c r="X23" s="172">
        <f t="shared" si="4"/>
        <v>13.629610526809898</v>
      </c>
      <c r="Y23" s="46" t="s">
        <v>22</v>
      </c>
      <c r="Z23" s="693">
        <v>2926480</v>
      </c>
      <c r="AA23" s="691">
        <v>2083881</v>
      </c>
      <c r="AB23" s="691">
        <v>585165</v>
      </c>
      <c r="AC23" s="695">
        <f t="shared" si="5"/>
        <v>0.58926320361450479</v>
      </c>
      <c r="AD23" s="695">
        <f t="shared" si="6"/>
        <v>0.16546827891951688</v>
      </c>
      <c r="AE23" s="56" t="s">
        <v>22</v>
      </c>
      <c r="AF23" s="466">
        <v>1762.4285714285713</v>
      </c>
      <c r="AG23" s="466">
        <v>1759</v>
      </c>
      <c r="AH23" s="466">
        <v>1785.4285714285713</v>
      </c>
      <c r="AI23" s="466">
        <v>1820.7142857142858</v>
      </c>
      <c r="AJ23" s="466">
        <v>1912.2857142857142</v>
      </c>
      <c r="AK23" s="466">
        <v>1986.4285714285713</v>
      </c>
      <c r="AL23" s="466">
        <v>2038</v>
      </c>
      <c r="AM23" s="466">
        <v>2196.5714285714284</v>
      </c>
      <c r="AN23" s="467">
        <f t="shared" si="0"/>
        <v>0.24633217151657605</v>
      </c>
    </row>
    <row r="24" spans="1:40"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2">
        <v>386.58384382094482</v>
      </c>
      <c r="O24" s="191">
        <v>0.81263429308122048</v>
      </c>
      <c r="P24" s="453">
        <v>217.14285714285714</v>
      </c>
      <c r="Q24" s="664" t="str">
        <f t="shared" si="3"/>
        <v>ALTO</v>
      </c>
      <c r="R24" s="170">
        <v>20472</v>
      </c>
      <c r="S24" s="63"/>
      <c r="T24" s="64">
        <v>246</v>
      </c>
      <c r="U24" s="46">
        <v>84</v>
      </c>
      <c r="V24" s="41">
        <v>978313</v>
      </c>
      <c r="W24" s="172">
        <v>78.809133682165111</v>
      </c>
      <c r="X24" s="172">
        <f t="shared" si="4"/>
        <v>8.5862091171230475</v>
      </c>
      <c r="Y24" s="46" t="s">
        <v>38</v>
      </c>
      <c r="Z24" s="693">
        <v>821467</v>
      </c>
      <c r="AA24" s="691">
        <v>574987</v>
      </c>
      <c r="AB24" s="691">
        <v>139008</v>
      </c>
      <c r="AC24" s="695">
        <f t="shared" si="5"/>
        <v>0.58773316924133689</v>
      </c>
      <c r="AD24" s="695">
        <f t="shared" si="6"/>
        <v>0.14208949487536199</v>
      </c>
      <c r="AE24" s="56" t="s">
        <v>38</v>
      </c>
      <c r="AF24" s="466">
        <v>278.28571428571428</v>
      </c>
      <c r="AG24" s="466">
        <v>290.85714285714283</v>
      </c>
      <c r="AH24" s="466">
        <v>299.14285714285717</v>
      </c>
      <c r="AI24" s="466">
        <v>314.14285714285717</v>
      </c>
      <c r="AJ24" s="466">
        <v>343.85714285714283</v>
      </c>
      <c r="AK24" s="466">
        <v>360.28571428571428</v>
      </c>
      <c r="AL24" s="466">
        <v>389.71428571428572</v>
      </c>
      <c r="AM24" s="466">
        <v>420.57142857142856</v>
      </c>
      <c r="AN24" s="467">
        <f t="shared" si="0"/>
        <v>0.51129363449691989</v>
      </c>
    </row>
    <row r="25" spans="1:40"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2">
        <v>304.81253181021322</v>
      </c>
      <c r="O25" s="191">
        <v>0.8229007633587786</v>
      </c>
      <c r="P25" s="453">
        <v>32.571428571428569</v>
      </c>
      <c r="Q25" s="664" t="str">
        <f t="shared" si="3"/>
        <v>ALTO</v>
      </c>
      <c r="R25" s="170">
        <v>21520</v>
      </c>
      <c r="S25" s="63">
        <v>2</v>
      </c>
      <c r="T25" s="64">
        <v>324</v>
      </c>
      <c r="U25" s="46">
        <v>130</v>
      </c>
      <c r="V25" s="41">
        <v>176830</v>
      </c>
      <c r="W25" s="172">
        <v>359.10196233670757</v>
      </c>
      <c r="X25" s="172">
        <f t="shared" si="4"/>
        <v>73.516937171294458</v>
      </c>
      <c r="Y25" s="46" t="s">
        <v>39</v>
      </c>
      <c r="Z25" s="693">
        <v>150243</v>
      </c>
      <c r="AA25" s="691">
        <v>98474</v>
      </c>
      <c r="AB25" s="691">
        <v>28480</v>
      </c>
      <c r="AC25" s="695">
        <f t="shared" si="5"/>
        <v>0.55688514392354238</v>
      </c>
      <c r="AD25" s="695">
        <f t="shared" si="6"/>
        <v>0.16105864389526664</v>
      </c>
      <c r="AE25" s="56" t="s">
        <v>39</v>
      </c>
      <c r="AF25" s="466">
        <v>70.142857142857139</v>
      </c>
      <c r="AG25" s="466">
        <v>68.714285714285708</v>
      </c>
      <c r="AH25" s="466">
        <v>72.857142857142861</v>
      </c>
      <c r="AI25" s="466">
        <v>71.142857142857139</v>
      </c>
      <c r="AJ25" s="466">
        <v>69.428571428571431</v>
      </c>
      <c r="AK25" s="466">
        <v>73.285714285714292</v>
      </c>
      <c r="AL25" s="466">
        <v>74.428571428571431</v>
      </c>
      <c r="AM25" s="466">
        <v>72.714285714285708</v>
      </c>
      <c r="AN25" s="467">
        <f t="shared" si="0"/>
        <v>3.6659877800407248E-2</v>
      </c>
    </row>
    <row r="26" spans="1:40"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454">
        <v>530.3141168473129</v>
      </c>
      <c r="O26" s="455">
        <v>0.94025946850805608</v>
      </c>
      <c r="P26" s="456">
        <v>579.57142857142856</v>
      </c>
      <c r="Q26" s="664" t="str">
        <f t="shared" si="3"/>
        <v>ALTO</v>
      </c>
      <c r="R26" s="171">
        <v>75423</v>
      </c>
      <c r="S26" s="65"/>
      <c r="T26" s="66">
        <v>1418</v>
      </c>
      <c r="U26" s="46">
        <v>139</v>
      </c>
      <c r="V26" s="41">
        <v>1694656</v>
      </c>
      <c r="W26" s="172">
        <v>55.881547641527249</v>
      </c>
      <c r="X26" s="172">
        <f t="shared" si="4"/>
        <v>8.2022546168661954</v>
      </c>
      <c r="Y26" s="46" t="s">
        <v>40</v>
      </c>
      <c r="Z26" s="693">
        <v>1368925</v>
      </c>
      <c r="AA26" s="691">
        <v>896560</v>
      </c>
      <c r="AB26" s="691">
        <v>285060</v>
      </c>
      <c r="AC26" s="695">
        <f t="shared" si="5"/>
        <v>0.5290513236904717</v>
      </c>
      <c r="AD26" s="695">
        <f t="shared" si="6"/>
        <v>0.1682111295743797</v>
      </c>
      <c r="AE26" s="56" t="s">
        <v>40</v>
      </c>
      <c r="AF26" s="466">
        <v>534.14285714285711</v>
      </c>
      <c r="AG26" s="466">
        <v>550.57142857142856</v>
      </c>
      <c r="AH26" s="466">
        <v>576.71428571428567</v>
      </c>
      <c r="AI26" s="466">
        <v>588.28571428571433</v>
      </c>
      <c r="AJ26" s="466">
        <v>614.85714285714289</v>
      </c>
      <c r="AK26" s="466">
        <v>622.14285714285711</v>
      </c>
      <c r="AL26" s="466">
        <v>682.71428571428567</v>
      </c>
      <c r="AM26" s="466">
        <v>721</v>
      </c>
      <c r="AN26" s="467">
        <f>AM26/AF26-1</f>
        <v>0.34982615672639761</v>
      </c>
    </row>
    <row r="27" spans="1:40" s="61" customFormat="1" x14ac:dyDescent="0.25">
      <c r="D27" s="62"/>
      <c r="E27" s="62"/>
      <c r="F27" s="62"/>
      <c r="G27" s="62"/>
      <c r="H27" s="62"/>
      <c r="N27" s="62"/>
      <c r="O27" s="62"/>
      <c r="P27" s="62"/>
      <c r="Q27" s="62"/>
      <c r="R27" s="62"/>
      <c r="S27" s="62"/>
      <c r="T27" s="62"/>
      <c r="V27" s="61">
        <f>SUM(V3:V26)</f>
        <v>45380161</v>
      </c>
      <c r="Y27" s="61" t="s">
        <v>324</v>
      </c>
      <c r="Z27" s="694">
        <v>38028414</v>
      </c>
      <c r="AA27" s="692">
        <v>25092667</v>
      </c>
      <c r="AB27" s="691">
        <v>7056120</v>
      </c>
      <c r="AC27" s="695">
        <f t="shared" si="5"/>
        <v>0.55294354288430136</v>
      </c>
      <c r="AD27" s="695">
        <f t="shared" si="6"/>
        <v>0.15548909136748104</v>
      </c>
    </row>
    <row r="28" spans="1:40" s="61" customFormat="1" x14ac:dyDescent="0.25">
      <c r="D28" s="62"/>
      <c r="E28" s="62"/>
      <c r="F28" s="62"/>
      <c r="G28" s="62"/>
      <c r="H28" s="62"/>
      <c r="N28" s="62"/>
      <c r="O28" s="62"/>
      <c r="P28" s="62"/>
      <c r="Q28" s="62"/>
      <c r="R28" s="62"/>
      <c r="S28" s="62"/>
      <c r="T28" s="62"/>
      <c r="Z28" s="292"/>
      <c r="AB28" s="46"/>
      <c r="AC28" s="46"/>
    </row>
    <row r="29" spans="1:40" s="61" customFormat="1" x14ac:dyDescent="0.25">
      <c r="D29" s="62"/>
      <c r="E29" s="62"/>
      <c r="F29" s="62"/>
      <c r="G29" s="62"/>
      <c r="H29" s="62"/>
      <c r="N29" s="62"/>
      <c r="O29" s="62"/>
      <c r="P29" s="62"/>
      <c r="Q29" s="62"/>
      <c r="R29" s="62"/>
      <c r="S29" s="62"/>
      <c r="T29" s="62"/>
      <c r="Z29" s="292"/>
      <c r="AB29" s="46"/>
      <c r="AC29" s="46"/>
    </row>
    <row r="30" spans="1:40" s="61" customFormat="1" x14ac:dyDescent="0.25">
      <c r="D30" s="62"/>
      <c r="E30" s="62"/>
      <c r="F30" s="62"/>
      <c r="G30" s="62"/>
      <c r="H30" s="62"/>
      <c r="N30" s="62"/>
      <c r="O30" s="62"/>
      <c r="P30" s="62"/>
      <c r="Q30" s="62"/>
      <c r="R30" s="62"/>
      <c r="S30" s="62"/>
      <c r="T30" s="62"/>
      <c r="Z30" s="292"/>
      <c r="AB30" s="46"/>
      <c r="AC30" s="46"/>
    </row>
    <row r="31" spans="1:40" s="61" customFormat="1" x14ac:dyDescent="0.25">
      <c r="D31" s="62"/>
      <c r="E31" s="62"/>
      <c r="F31" s="62"/>
      <c r="G31" s="62"/>
      <c r="H31" s="62"/>
      <c r="N31" s="62"/>
      <c r="O31" s="62"/>
      <c r="P31" s="62"/>
      <c r="Q31" s="62"/>
      <c r="R31" s="62"/>
      <c r="S31" s="62"/>
      <c r="T31" s="62"/>
      <c r="Z31" s="292"/>
      <c r="AB31" s="46"/>
      <c r="AC31" s="46"/>
    </row>
    <row r="32" spans="1:40" s="61" customFormat="1" x14ac:dyDescent="0.25">
      <c r="D32" s="62"/>
      <c r="E32" s="62"/>
      <c r="F32" s="62"/>
      <c r="G32" s="62"/>
      <c r="H32" s="62"/>
      <c r="Z32" s="292"/>
      <c r="AB32" s="46"/>
      <c r="AC32" s="46"/>
    </row>
    <row r="33" spans="3:29" s="61" customFormat="1" x14ac:dyDescent="0.25">
      <c r="D33" s="62"/>
      <c r="E33" s="62"/>
      <c r="F33" s="62"/>
      <c r="G33" s="62"/>
      <c r="H33" s="62"/>
      <c r="Z33" s="292"/>
      <c r="AB33" s="46"/>
      <c r="AC33" s="46"/>
    </row>
    <row r="34" spans="3:29" s="61" customFormat="1" x14ac:dyDescent="0.25">
      <c r="D34" s="62"/>
      <c r="E34" s="62"/>
      <c r="F34" s="62"/>
      <c r="G34" s="62"/>
      <c r="H34" s="62"/>
      <c r="Z34" s="292"/>
      <c r="AB34" s="46"/>
      <c r="AC34" s="46"/>
    </row>
    <row r="35" spans="3:29" s="61" customFormat="1" x14ac:dyDescent="0.25">
      <c r="C35" s="180">
        <f xml:space="preserve"> 0.0139*(23)^5 - 0.1948*(23)^4 - 12.841*(23)^3 + 330.39*(23)^2 - 2570*(23) + 14696</f>
        <v>9078.0039000000106</v>
      </c>
      <c r="D35" s="62"/>
      <c r="E35" s="62"/>
      <c r="F35" s="62"/>
      <c r="G35" s="62"/>
      <c r="H35" s="62"/>
      <c r="Z35" s="292"/>
      <c r="AB35" s="46"/>
      <c r="AC35" s="46"/>
    </row>
    <row r="36" spans="3:29" s="61" customFormat="1" x14ac:dyDescent="0.25">
      <c r="C36" s="180" t="s">
        <v>116</v>
      </c>
      <c r="D36" s="62"/>
      <c r="E36" s="62"/>
      <c r="F36" s="62"/>
      <c r="G36" s="62"/>
      <c r="H36" s="62"/>
      <c r="Z36" s="292"/>
      <c r="AB36" s="46"/>
      <c r="AC36" s="46"/>
    </row>
    <row r="37" spans="3:29" s="61" customFormat="1" x14ac:dyDescent="0.25">
      <c r="D37" s="62"/>
      <c r="E37" s="62"/>
      <c r="F37" s="62"/>
      <c r="G37" s="62"/>
      <c r="H37" s="62"/>
      <c r="Z37" s="292"/>
      <c r="AB37" s="46"/>
      <c r="AC37" s="46"/>
    </row>
    <row r="38" spans="3:29" s="61" customFormat="1" x14ac:dyDescent="0.25">
      <c r="D38" s="62"/>
      <c r="E38" s="62"/>
      <c r="F38" s="62"/>
      <c r="G38" s="62"/>
      <c r="H38" s="62"/>
      <c r="Z38" s="292"/>
      <c r="AB38" s="46"/>
      <c r="AC38" s="46"/>
    </row>
    <row r="39" spans="3:29" s="61" customFormat="1" x14ac:dyDescent="0.25">
      <c r="D39" s="62"/>
      <c r="E39" s="62"/>
      <c r="F39" s="62"/>
      <c r="G39" s="62"/>
      <c r="H39" s="62"/>
      <c r="Z39" s="292"/>
      <c r="AB39" s="46"/>
      <c r="AC39" s="46"/>
    </row>
    <row r="40" spans="3:29" s="61" customFormat="1" x14ac:dyDescent="0.25">
      <c r="D40" s="62"/>
      <c r="E40" s="62"/>
      <c r="F40" s="62"/>
      <c r="G40" s="62"/>
      <c r="H40" s="62"/>
      <c r="Z40" s="292"/>
      <c r="AB40" s="46"/>
      <c r="AC40" s="46"/>
    </row>
    <row r="41" spans="3:29" x14ac:dyDescent="0.25">
      <c r="AB41" s="46"/>
      <c r="AC41" s="46"/>
    </row>
    <row r="42" spans="3:29" x14ac:dyDescent="0.25">
      <c r="AB42" s="46"/>
      <c r="AC42" s="46"/>
    </row>
    <row r="43" spans="3:29" x14ac:dyDescent="0.25">
      <c r="AB43" s="46"/>
      <c r="AC43" s="46"/>
    </row>
    <row r="44" spans="3:29" x14ac:dyDescent="0.25">
      <c r="AB44" s="46"/>
      <c r="AC44" s="46"/>
    </row>
    <row r="45" spans="3:29" x14ac:dyDescent="0.25">
      <c r="AB45" s="46"/>
      <c r="AC45" s="46"/>
    </row>
    <row r="46" spans="3:29" x14ac:dyDescent="0.25">
      <c r="AB46" s="46"/>
      <c r="AC46" s="46"/>
    </row>
    <row r="47" spans="3:29" x14ac:dyDescent="0.25">
      <c r="AB47" s="46"/>
      <c r="AC47" s="46"/>
    </row>
    <row r="48" spans="3:29" x14ac:dyDescent="0.25">
      <c r="AB48" s="46"/>
      <c r="AC48" s="46"/>
    </row>
    <row r="49" spans="28:29" x14ac:dyDescent="0.25">
      <c r="AB49" s="46"/>
      <c r="AC49" s="46"/>
    </row>
    <row r="50" spans="28:29" x14ac:dyDescent="0.25">
      <c r="AB50" s="46"/>
      <c r="AC50" s="46"/>
    </row>
    <row r="51" spans="28:29" x14ac:dyDescent="0.25">
      <c r="AB51" s="46"/>
      <c r="AC51" s="46"/>
    </row>
    <row r="52" spans="28:29" x14ac:dyDescent="0.25">
      <c r="AB52" s="46"/>
      <c r="AC52" s="46"/>
    </row>
    <row r="53" spans="28:29" x14ac:dyDescent="0.25">
      <c r="AB53" s="46"/>
      <c r="AC53" s="46"/>
    </row>
    <row r="54" spans="28:29" x14ac:dyDescent="0.25">
      <c r="AB54" s="46"/>
      <c r="AC54" s="46"/>
    </row>
    <row r="55" spans="28:29" x14ac:dyDescent="0.25">
      <c r="AB55" s="46"/>
      <c r="AC55" s="46"/>
    </row>
    <row r="56" spans="28:29" x14ac:dyDescent="0.25">
      <c r="AB56" s="46"/>
      <c r="AC56" s="46"/>
    </row>
    <row r="57" spans="28:29" x14ac:dyDescent="0.25">
      <c r="AB57" s="46"/>
      <c r="AC57" s="46"/>
    </row>
    <row r="58" spans="28:29" x14ac:dyDescent="0.25">
      <c r="AB58" s="46"/>
      <c r="AC58" s="46"/>
    </row>
    <row r="59" spans="28:29" x14ac:dyDescent="0.25">
      <c r="AB59" s="46"/>
      <c r="AC59" s="46"/>
    </row>
    <row r="60" spans="28:29" x14ac:dyDescent="0.25">
      <c r="AB60" s="46"/>
      <c r="AC60" s="46"/>
    </row>
    <row r="61" spans="28:29" x14ac:dyDescent="0.25">
      <c r="AB61" s="46"/>
      <c r="AC61" s="46"/>
    </row>
    <row r="62" spans="28:29" x14ac:dyDescent="0.25">
      <c r="AB62" s="46"/>
      <c r="AC62" s="46"/>
    </row>
    <row r="63" spans="28:29" x14ac:dyDescent="0.25">
      <c r="AB63" s="46"/>
      <c r="AC63" s="46"/>
    </row>
    <row r="64" spans="28:29" x14ac:dyDescent="0.25">
      <c r="AB64" s="46"/>
      <c r="AC64" s="46"/>
    </row>
    <row r="65" spans="28:29" x14ac:dyDescent="0.25">
      <c r="AB65" s="46"/>
      <c r="AC65" s="46"/>
    </row>
    <row r="66" spans="28:29" x14ac:dyDescent="0.25">
      <c r="AB66" s="46"/>
      <c r="AC66" s="46"/>
    </row>
    <row r="67" spans="28:29" x14ac:dyDescent="0.25">
      <c r="AB67" s="46"/>
      <c r="AC67" s="46"/>
    </row>
    <row r="68" spans="28:29" x14ac:dyDescent="0.25">
      <c r="AB68" s="46"/>
      <c r="AC68" s="46"/>
    </row>
    <row r="69" spans="28:29" x14ac:dyDescent="0.25">
      <c r="AB69" s="46"/>
      <c r="AC69" s="46"/>
    </row>
    <row r="70" spans="28:29" x14ac:dyDescent="0.25">
      <c r="AB70" s="46"/>
      <c r="AC70" s="46"/>
    </row>
    <row r="71" spans="28:29" x14ac:dyDescent="0.25">
      <c r="AB71" s="46"/>
      <c r="AC71" s="46"/>
    </row>
    <row r="72" spans="28:29" x14ac:dyDescent="0.25">
      <c r="AB72" s="46"/>
      <c r="AC72" s="46"/>
    </row>
    <row r="73" spans="28:29" x14ac:dyDescent="0.25">
      <c r="AB73" s="46"/>
      <c r="AC73" s="46"/>
    </row>
    <row r="74" spans="28:29" x14ac:dyDescent="0.25">
      <c r="AB74" s="46"/>
      <c r="AC74" s="46"/>
    </row>
    <row r="75" spans="28:29" x14ac:dyDescent="0.25">
      <c r="AB75" s="46"/>
      <c r="AC75" s="46"/>
    </row>
    <row r="76" spans="28:29" x14ac:dyDescent="0.25">
      <c r="AB76" s="46"/>
      <c r="AC76" s="46"/>
    </row>
    <row r="77" spans="28:29" x14ac:dyDescent="0.25">
      <c r="AB77" s="46"/>
      <c r="AC77" s="46"/>
    </row>
    <row r="78" spans="28:29" x14ac:dyDescent="0.25">
      <c r="AB78" s="46"/>
      <c r="AC78" s="46"/>
    </row>
    <row r="79" spans="28:29" x14ac:dyDescent="0.25">
      <c r="AB79" s="46"/>
      <c r="AC79" s="46"/>
    </row>
    <row r="80" spans="28:29" x14ac:dyDescent="0.25">
      <c r="AB80" s="46"/>
      <c r="AC80" s="46"/>
    </row>
    <row r="81" spans="28:29" x14ac:dyDescent="0.25">
      <c r="AB81" s="46"/>
      <c r="AC81" s="46"/>
    </row>
    <row r="82" spans="28:29" x14ac:dyDescent="0.25">
      <c r="AB82" s="46"/>
      <c r="AC82" s="46"/>
    </row>
    <row r="83" spans="28:29" x14ac:dyDescent="0.25">
      <c r="AB83" s="46"/>
      <c r="AC83" s="46"/>
    </row>
    <row r="84" spans="28:29" x14ac:dyDescent="0.25">
      <c r="AB84" s="46"/>
      <c r="AC84" s="46"/>
    </row>
    <row r="85" spans="28:29" x14ac:dyDescent="0.25">
      <c r="AB85" s="46"/>
      <c r="AC85" s="46"/>
    </row>
    <row r="86" spans="28:29" x14ac:dyDescent="0.25">
      <c r="AB86" s="46"/>
      <c r="AC86" s="46"/>
    </row>
    <row r="87" spans="28:29" x14ac:dyDescent="0.25">
      <c r="AB87" s="46"/>
      <c r="AC87" s="46"/>
    </row>
    <row r="88" spans="28:29" x14ac:dyDescent="0.25">
      <c r="AB88" s="46"/>
      <c r="AC88" s="46"/>
    </row>
    <row r="89" spans="28:29" x14ac:dyDescent="0.25">
      <c r="AB89" s="46"/>
      <c r="AC89" s="46"/>
    </row>
    <row r="90" spans="28:29" x14ac:dyDescent="0.25">
      <c r="AB90" s="46"/>
      <c r="AC90" s="46"/>
    </row>
    <row r="91" spans="28:29" x14ac:dyDescent="0.25">
      <c r="AB91" s="46"/>
      <c r="AC91" s="46"/>
    </row>
    <row r="92" spans="28:29" x14ac:dyDescent="0.25">
      <c r="AB92" s="46"/>
      <c r="AC92" s="46"/>
    </row>
    <row r="93" spans="28:29" x14ac:dyDescent="0.25">
      <c r="AB93" s="46"/>
      <c r="AC93" s="46"/>
    </row>
    <row r="94" spans="28:29" x14ac:dyDescent="0.25">
      <c r="AB94" s="46"/>
      <c r="AC94" s="46"/>
    </row>
    <row r="95" spans="28:29" x14ac:dyDescent="0.25">
      <c r="AB95" s="46"/>
      <c r="AC95" s="46"/>
    </row>
    <row r="96" spans="28:29" x14ac:dyDescent="0.25">
      <c r="AB96" s="46"/>
      <c r="AC96" s="46"/>
    </row>
    <row r="97" spans="28:29" x14ac:dyDescent="0.25">
      <c r="AB97" s="46"/>
      <c r="AC97" s="46"/>
    </row>
    <row r="98" spans="28:29" x14ac:dyDescent="0.25">
      <c r="AB98" s="46"/>
      <c r="AC98" s="46"/>
    </row>
    <row r="99" spans="28:29" x14ac:dyDescent="0.25">
      <c r="AB99" s="46"/>
      <c r="AC99" s="46"/>
    </row>
    <row r="100" spans="28:29" x14ac:dyDescent="0.25">
      <c r="AB100" s="46"/>
      <c r="AC100" s="46"/>
    </row>
    <row r="101" spans="28:29" x14ac:dyDescent="0.25">
      <c r="AB101" s="46"/>
      <c r="AC101" s="46"/>
    </row>
    <row r="102" spans="28:29" x14ac:dyDescent="0.25">
      <c r="AB102" s="46"/>
      <c r="AC102" s="46"/>
    </row>
    <row r="103" spans="28:29" x14ac:dyDescent="0.25">
      <c r="AB103" s="46"/>
      <c r="AC103" s="46"/>
    </row>
    <row r="104" spans="28:29" x14ac:dyDescent="0.25">
      <c r="AB104" s="46"/>
      <c r="AC104" s="46"/>
    </row>
    <row r="105" spans="28:29" x14ac:dyDescent="0.25">
      <c r="AB105" s="46"/>
      <c r="AC105" s="46"/>
    </row>
    <row r="106" spans="28:29" x14ac:dyDescent="0.25">
      <c r="AB106" s="46"/>
      <c r="AC106" s="46"/>
    </row>
    <row r="107" spans="28:29" x14ac:dyDescent="0.25">
      <c r="AB107" s="46"/>
      <c r="AC107" s="46"/>
    </row>
    <row r="108" spans="28:29" x14ac:dyDescent="0.25">
      <c r="AB108" s="46"/>
      <c r="AC108" s="46"/>
    </row>
    <row r="109" spans="28:29" x14ac:dyDescent="0.25">
      <c r="AB109" s="46"/>
      <c r="AC109" s="46"/>
    </row>
    <row r="110" spans="28:29" x14ac:dyDescent="0.25">
      <c r="AB110" s="46"/>
      <c r="AC110" s="46"/>
    </row>
    <row r="111" spans="28:29" x14ac:dyDescent="0.25">
      <c r="AB111" s="46"/>
      <c r="AC111" s="46"/>
    </row>
    <row r="112" spans="28:29" x14ac:dyDescent="0.25">
      <c r="AB112" s="46"/>
      <c r="AC112" s="46"/>
    </row>
    <row r="113" spans="28:29" x14ac:dyDescent="0.25">
      <c r="AB113" s="46"/>
      <c r="AC113" s="46"/>
    </row>
    <row r="114" spans="28:29" x14ac:dyDescent="0.25">
      <c r="AB114" s="46"/>
      <c r="AC114" s="46"/>
    </row>
    <row r="115" spans="28:29" x14ac:dyDescent="0.25">
      <c r="AB115" s="46"/>
      <c r="AC115" s="46"/>
    </row>
    <row r="116" spans="28:29" x14ac:dyDescent="0.25">
      <c r="AB116" s="46"/>
      <c r="AC116" s="46"/>
    </row>
    <row r="117" spans="28:29" x14ac:dyDescent="0.25">
      <c r="AB117" s="46"/>
      <c r="AC117" s="46"/>
    </row>
    <row r="118" spans="28:29" x14ac:dyDescent="0.25">
      <c r="AB118" s="46"/>
      <c r="AC118" s="46"/>
    </row>
    <row r="119" spans="28:29" x14ac:dyDescent="0.25">
      <c r="AB119" s="46"/>
      <c r="AC119" s="46"/>
    </row>
    <row r="120" spans="28:29" x14ac:dyDescent="0.25">
      <c r="AB120" s="46"/>
      <c r="AC120" s="46"/>
    </row>
    <row r="121" spans="28:29" x14ac:dyDescent="0.25">
      <c r="AB121" s="46"/>
      <c r="AC121" s="46"/>
    </row>
    <row r="122" spans="28:29" x14ac:dyDescent="0.25">
      <c r="AB122" s="46"/>
      <c r="AC122" s="46"/>
    </row>
    <row r="123" spans="28:29" x14ac:dyDescent="0.25">
      <c r="AB123" s="46"/>
      <c r="AC123" s="46"/>
    </row>
    <row r="124" spans="28:29" x14ac:dyDescent="0.25">
      <c r="AB124" s="46"/>
      <c r="AC124" s="46"/>
    </row>
    <row r="125" spans="28:29" x14ac:dyDescent="0.25">
      <c r="AB125" s="46"/>
      <c r="AC125" s="46"/>
    </row>
    <row r="126" spans="28:29" x14ac:dyDescent="0.25">
      <c r="AB126" s="46"/>
      <c r="AC126" s="46"/>
    </row>
    <row r="127" spans="28:29" x14ac:dyDescent="0.25">
      <c r="AB127" s="46"/>
      <c r="AC127" s="46"/>
    </row>
    <row r="128" spans="28:29" x14ac:dyDescent="0.25">
      <c r="AB128" s="46"/>
      <c r="AC128" s="46"/>
    </row>
    <row r="129" spans="28:29" x14ac:dyDescent="0.25">
      <c r="AB129" s="46"/>
      <c r="AC129" s="46"/>
    </row>
    <row r="130" spans="28:29" x14ac:dyDescent="0.25">
      <c r="AB130" s="46"/>
      <c r="AC130" s="46"/>
    </row>
    <row r="131" spans="28:29" x14ac:dyDescent="0.25">
      <c r="AB131" s="46"/>
      <c r="AC131" s="46"/>
    </row>
    <row r="132" spans="28:29" x14ac:dyDescent="0.25">
      <c r="AB132" s="46"/>
      <c r="AC132" s="46"/>
    </row>
    <row r="133" spans="28:29" x14ac:dyDescent="0.25">
      <c r="AB133" s="46"/>
      <c r="AC133" s="46"/>
    </row>
    <row r="134" spans="28:29" x14ac:dyDescent="0.25">
      <c r="AB134" s="46"/>
      <c r="AC134" s="46"/>
    </row>
    <row r="135" spans="28:29" x14ac:dyDescent="0.25">
      <c r="AB135" s="46"/>
      <c r="AC135" s="46"/>
    </row>
    <row r="136" spans="28:29" x14ac:dyDescent="0.25">
      <c r="AB136" s="46"/>
      <c r="AC136" s="46"/>
    </row>
    <row r="137" spans="28:29" x14ac:dyDescent="0.25">
      <c r="AB137" s="46"/>
      <c r="AC137" s="46"/>
    </row>
    <row r="138" spans="28:29" x14ac:dyDescent="0.25">
      <c r="AB138" s="46"/>
      <c r="AC138" s="46"/>
    </row>
    <row r="139" spans="28:29" x14ac:dyDescent="0.25">
      <c r="AB139" s="46"/>
      <c r="AC139" s="46"/>
    </row>
    <row r="140" spans="28:29" x14ac:dyDescent="0.25">
      <c r="AB140" s="46"/>
      <c r="AC140" s="46"/>
    </row>
    <row r="141" spans="28:29" x14ac:dyDescent="0.25">
      <c r="AB141" s="46"/>
      <c r="AC141" s="46"/>
    </row>
    <row r="142" spans="28:29" x14ac:dyDescent="0.25">
      <c r="AB142" s="46"/>
      <c r="AC142" s="46"/>
    </row>
    <row r="143" spans="28:29" x14ac:dyDescent="0.25">
      <c r="AB143" s="46"/>
      <c r="AC143" s="46"/>
    </row>
    <row r="144" spans="28:29" x14ac:dyDescent="0.25">
      <c r="AB144" s="46"/>
      <c r="AC144" s="46"/>
    </row>
    <row r="145" spans="28:29" x14ac:dyDescent="0.25">
      <c r="AB145" s="46"/>
      <c r="AC145" s="46"/>
    </row>
    <row r="146" spans="28:29" x14ac:dyDescent="0.25">
      <c r="AB146" s="46"/>
      <c r="AC146" s="46"/>
    </row>
    <row r="147" spans="28:29" x14ac:dyDescent="0.25">
      <c r="AB147" s="46"/>
      <c r="AC147" s="46"/>
    </row>
    <row r="148" spans="28:29" x14ac:dyDescent="0.25">
      <c r="AB148" s="46"/>
      <c r="AC148" s="46"/>
    </row>
    <row r="149" spans="28:29" x14ac:dyDescent="0.25">
      <c r="AB149" s="46"/>
      <c r="AC149" s="46"/>
    </row>
    <row r="150" spans="28:29" x14ac:dyDescent="0.25">
      <c r="AB150" s="46"/>
      <c r="AC150" s="46"/>
    </row>
    <row r="151" spans="28:29" x14ac:dyDescent="0.25">
      <c r="AB151" s="46"/>
      <c r="AC151" s="46"/>
    </row>
    <row r="152" spans="28:29" x14ac:dyDescent="0.25">
      <c r="AB152" s="46"/>
      <c r="AC152" s="46"/>
    </row>
    <row r="153" spans="28:29" x14ac:dyDescent="0.25">
      <c r="AB153" s="46"/>
      <c r="AC153" s="46"/>
    </row>
    <row r="154" spans="28:29" x14ac:dyDescent="0.25">
      <c r="AB154" s="46"/>
      <c r="AC154" s="46"/>
    </row>
    <row r="155" spans="28:29" x14ac:dyDescent="0.25">
      <c r="AB155" s="46"/>
      <c r="AC155" s="46"/>
    </row>
    <row r="156" spans="28:29" x14ac:dyDescent="0.25">
      <c r="AB156" s="46"/>
      <c r="AC156" s="46"/>
    </row>
    <row r="157" spans="28:29" x14ac:dyDescent="0.25">
      <c r="AB157" s="46"/>
      <c r="AC157" s="46"/>
    </row>
    <row r="158" spans="28:29" x14ac:dyDescent="0.25">
      <c r="AB158" s="46"/>
      <c r="AC158" s="46"/>
    </row>
    <row r="159" spans="28:29" x14ac:dyDescent="0.25">
      <c r="AB159" s="46"/>
      <c r="AC159" s="46"/>
    </row>
    <row r="160" spans="28:29" x14ac:dyDescent="0.25">
      <c r="AB160" s="46"/>
      <c r="AC160" s="46"/>
    </row>
    <row r="161" spans="28:29" x14ac:dyDescent="0.25">
      <c r="AB161" s="46"/>
      <c r="AC161" s="46"/>
    </row>
    <row r="162" spans="28:29" x14ac:dyDescent="0.25">
      <c r="AB162" s="46"/>
      <c r="AC162" s="46"/>
    </row>
    <row r="163" spans="28:29" x14ac:dyDescent="0.25">
      <c r="AB163" s="46"/>
      <c r="AC163" s="46"/>
    </row>
    <row r="164" spans="28:29" x14ac:dyDescent="0.25">
      <c r="AB164" s="46"/>
      <c r="AC164" s="46"/>
    </row>
    <row r="165" spans="28:29" x14ac:dyDescent="0.25">
      <c r="AB165" s="46"/>
      <c r="AC165" s="46"/>
    </row>
    <row r="166" spans="28:29" x14ac:dyDescent="0.25">
      <c r="AB166" s="46"/>
      <c r="AC166" s="46"/>
    </row>
    <row r="167" spans="28:29" x14ac:dyDescent="0.25">
      <c r="AB167" s="46"/>
      <c r="AC167" s="46"/>
    </row>
    <row r="168" spans="28:29" x14ac:dyDescent="0.25">
      <c r="AB168" s="46"/>
      <c r="AC168" s="46"/>
    </row>
    <row r="169" spans="28:29" x14ac:dyDescent="0.25">
      <c r="AB169" s="46"/>
      <c r="AC169" s="46"/>
    </row>
    <row r="170" spans="28:29" x14ac:dyDescent="0.25">
      <c r="AB170" s="46"/>
      <c r="AC170" s="46"/>
    </row>
    <row r="171" spans="28:29" x14ac:dyDescent="0.25">
      <c r="AB171" s="46"/>
      <c r="AC171" s="46"/>
    </row>
    <row r="172" spans="28:29" x14ac:dyDescent="0.25">
      <c r="AB172" s="46"/>
      <c r="AC172" s="46"/>
    </row>
    <row r="173" spans="28:29" x14ac:dyDescent="0.25">
      <c r="AB173" s="46"/>
      <c r="AC173" s="46"/>
    </row>
    <row r="174" spans="28:29" x14ac:dyDescent="0.25">
      <c r="AB174" s="46"/>
      <c r="AC174" s="46"/>
    </row>
    <row r="175" spans="28:29" x14ac:dyDescent="0.25">
      <c r="AB175" s="46"/>
      <c r="AC175" s="46"/>
    </row>
    <row r="176" spans="28:29" x14ac:dyDescent="0.25">
      <c r="AB176" s="46"/>
      <c r="AC176" s="46"/>
    </row>
    <row r="177" spans="28:29" x14ac:dyDescent="0.25">
      <c r="AB177" s="46"/>
      <c r="AC177" s="46"/>
    </row>
    <row r="178" spans="28:29" x14ac:dyDescent="0.25">
      <c r="AB178" s="46"/>
      <c r="AC178" s="46"/>
    </row>
    <row r="179" spans="28:29" x14ac:dyDescent="0.25">
      <c r="AB179" s="46"/>
      <c r="AC179" s="46"/>
    </row>
    <row r="180" spans="28:29" x14ac:dyDescent="0.25">
      <c r="AB180" s="46"/>
      <c r="AC180" s="46"/>
    </row>
    <row r="181" spans="28:29" x14ac:dyDescent="0.25">
      <c r="AB181" s="46"/>
      <c r="AC181" s="46"/>
    </row>
    <row r="182" spans="28:29" x14ac:dyDescent="0.25">
      <c r="AB182" s="46"/>
      <c r="AC182" s="46"/>
    </row>
    <row r="183" spans="28:29" x14ac:dyDescent="0.25">
      <c r="AB183" s="46"/>
      <c r="AC183" s="46"/>
    </row>
    <row r="184" spans="28:29" x14ac:dyDescent="0.25">
      <c r="AB184" s="46"/>
      <c r="AC184" s="46"/>
    </row>
    <row r="185" spans="28:29" x14ac:dyDescent="0.25">
      <c r="AB185" s="46"/>
      <c r="AC185" s="46"/>
    </row>
    <row r="186" spans="28:29" x14ac:dyDescent="0.25">
      <c r="AB186" s="46"/>
      <c r="AC186" s="46"/>
    </row>
    <row r="187" spans="28:29" x14ac:dyDescent="0.25">
      <c r="AB187" s="46"/>
      <c r="AC187" s="46"/>
    </row>
    <row r="188" spans="28:29" x14ac:dyDescent="0.25">
      <c r="AB188" s="46"/>
      <c r="AC188" s="46"/>
    </row>
    <row r="189" spans="28:29" x14ac:dyDescent="0.25">
      <c r="AB189" s="46"/>
      <c r="AC189" s="46"/>
    </row>
    <row r="190" spans="28:29" x14ac:dyDescent="0.25">
      <c r="AB190" s="46"/>
      <c r="AC190" s="46"/>
    </row>
    <row r="191" spans="28:29" x14ac:dyDescent="0.25">
      <c r="AB191" s="46"/>
      <c r="AC191" s="46"/>
    </row>
    <row r="192" spans="28:29" x14ac:dyDescent="0.25">
      <c r="AB192" s="46"/>
      <c r="AC192" s="46"/>
    </row>
    <row r="193" spans="28:29" x14ac:dyDescent="0.25">
      <c r="AB193" s="46"/>
      <c r="AC193" s="46"/>
    </row>
    <row r="194" spans="28:29" x14ac:dyDescent="0.25">
      <c r="AB194" s="46"/>
      <c r="AC194" s="46"/>
    </row>
    <row r="195" spans="28:29" x14ac:dyDescent="0.25">
      <c r="AB195" s="46"/>
      <c r="AC195" s="46"/>
    </row>
    <row r="196" spans="28:29" x14ac:dyDescent="0.25">
      <c r="AB196" s="46"/>
      <c r="AC196" s="46"/>
    </row>
    <row r="197" spans="28:29" x14ac:dyDescent="0.25">
      <c r="AB197" s="46"/>
      <c r="AC197" s="46"/>
    </row>
    <row r="198" spans="28:29" x14ac:dyDescent="0.25">
      <c r="AB198" s="46"/>
      <c r="AC198" s="46"/>
    </row>
    <row r="199" spans="28:29" x14ac:dyDescent="0.25">
      <c r="AB199" s="46"/>
      <c r="AC199" s="46"/>
    </row>
    <row r="200" spans="28:29" x14ac:dyDescent="0.25">
      <c r="AB200" s="46"/>
      <c r="AC200" s="46"/>
    </row>
    <row r="201" spans="28:29" x14ac:dyDescent="0.25">
      <c r="AB201" s="46"/>
      <c r="AC201" s="46"/>
    </row>
    <row r="202" spans="28:29" x14ac:dyDescent="0.25">
      <c r="AB202" s="46"/>
      <c r="AC202" s="46"/>
    </row>
    <row r="203" spans="28:29" x14ac:dyDescent="0.25">
      <c r="AB203" s="46"/>
      <c r="AC203" s="46"/>
    </row>
    <row r="204" spans="28:29" x14ac:dyDescent="0.25">
      <c r="AB204" s="46"/>
      <c r="AC204" s="46"/>
    </row>
    <row r="205" spans="28:29" x14ac:dyDescent="0.25">
      <c r="AB205" s="46"/>
      <c r="AC205" s="46"/>
    </row>
    <row r="206" spans="28:29" x14ac:dyDescent="0.25">
      <c r="AB206" s="46"/>
      <c r="AC206" s="46"/>
    </row>
    <row r="207" spans="28:29" x14ac:dyDescent="0.25">
      <c r="AB207" s="46"/>
      <c r="AC207" s="46"/>
    </row>
    <row r="208" spans="28:29" x14ac:dyDescent="0.25">
      <c r="AB208" s="46"/>
      <c r="AC208" s="46"/>
    </row>
    <row r="209" spans="28:29" x14ac:dyDescent="0.25">
      <c r="AB209" s="46"/>
      <c r="AC209" s="46"/>
    </row>
    <row r="210" spans="28:29" x14ac:dyDescent="0.25">
      <c r="AB210" s="46"/>
      <c r="AC210" s="46"/>
    </row>
    <row r="211" spans="28:29" x14ac:dyDescent="0.25">
      <c r="AB211" s="46"/>
      <c r="AC211" s="46"/>
    </row>
    <row r="212" spans="28:29" x14ac:dyDescent="0.25">
      <c r="AB212" s="46"/>
      <c r="AC212" s="46"/>
    </row>
    <row r="213" spans="28:29" x14ac:dyDescent="0.25">
      <c r="AB213" s="46"/>
      <c r="AC213" s="46"/>
    </row>
    <row r="214" spans="28:29" x14ac:dyDescent="0.25">
      <c r="AB214" s="46"/>
      <c r="AC214" s="46"/>
    </row>
    <row r="215" spans="28:29" x14ac:dyDescent="0.25">
      <c r="AB215" s="46"/>
      <c r="AC215" s="46"/>
    </row>
    <row r="216" spans="28:29" x14ac:dyDescent="0.25">
      <c r="AB216" s="46"/>
      <c r="AC216" s="46"/>
    </row>
    <row r="217" spans="28:29" x14ac:dyDescent="0.25">
      <c r="AB217" s="46"/>
      <c r="AC217" s="46"/>
    </row>
    <row r="218" spans="28:29" x14ac:dyDescent="0.25">
      <c r="AB218" s="46"/>
      <c r="AC218" s="46"/>
    </row>
    <row r="219" spans="28:29" x14ac:dyDescent="0.25">
      <c r="AB219" s="46"/>
      <c r="AC219" s="46"/>
    </row>
    <row r="220" spans="28:29" x14ac:dyDescent="0.25">
      <c r="AB220" s="46"/>
      <c r="AC220" s="46"/>
    </row>
    <row r="221" spans="28:29" x14ac:dyDescent="0.25">
      <c r="AB221" s="46"/>
      <c r="AC221" s="46"/>
    </row>
    <row r="222" spans="28:29" x14ac:dyDescent="0.25">
      <c r="AB222" s="46"/>
      <c r="AC222" s="46"/>
    </row>
    <row r="223" spans="28:29" x14ac:dyDescent="0.25">
      <c r="AB223" s="46"/>
      <c r="AC223" s="46"/>
    </row>
    <row r="224" spans="28:29" x14ac:dyDescent="0.25">
      <c r="AB224" s="46"/>
      <c r="AC224" s="46"/>
    </row>
    <row r="225" spans="28:29" x14ac:dyDescent="0.25">
      <c r="AB225" s="46"/>
      <c r="AC225" s="46"/>
    </row>
    <row r="226" spans="28:29" x14ac:dyDescent="0.25">
      <c r="AB226" s="46"/>
      <c r="AC226" s="46"/>
    </row>
    <row r="227" spans="28:29" x14ac:dyDescent="0.25">
      <c r="AB227" s="46"/>
      <c r="AC227" s="46"/>
    </row>
    <row r="228" spans="28:29" x14ac:dyDescent="0.25">
      <c r="AB228" s="46"/>
      <c r="AC228" s="46"/>
    </row>
    <row r="229" spans="28:29" x14ac:dyDescent="0.25">
      <c r="AB229" s="46"/>
      <c r="AC229" s="46"/>
    </row>
    <row r="230" spans="28:29" x14ac:dyDescent="0.25">
      <c r="AB230" s="46"/>
      <c r="AC230" s="46"/>
    </row>
    <row r="231" spans="28:29" x14ac:dyDescent="0.25">
      <c r="AB231" s="46"/>
      <c r="AC231" s="46"/>
    </row>
    <row r="232" spans="28:29" x14ac:dyDescent="0.25">
      <c r="AB232" s="46"/>
      <c r="AC232" s="46"/>
    </row>
    <row r="233" spans="28:29" x14ac:dyDescent="0.25">
      <c r="AB233" s="46"/>
      <c r="AC233" s="46"/>
    </row>
    <row r="234" spans="28:29" x14ac:dyDescent="0.25">
      <c r="AB234" s="46"/>
      <c r="AC234" s="46"/>
    </row>
    <row r="235" spans="28:29" x14ac:dyDescent="0.25">
      <c r="AB235" s="46"/>
      <c r="AC235" s="46"/>
    </row>
    <row r="236" spans="28:29" x14ac:dyDescent="0.25">
      <c r="AB236" s="46"/>
      <c r="AC236" s="46"/>
    </row>
    <row r="237" spans="28:29" x14ac:dyDescent="0.25">
      <c r="AB237" s="46"/>
      <c r="AC237" s="46"/>
    </row>
    <row r="238" spans="28:29" x14ac:dyDescent="0.25">
      <c r="AB238" s="46"/>
      <c r="AC238" s="46"/>
    </row>
    <row r="239" spans="28:29" x14ac:dyDescent="0.25">
      <c r="AB239" s="46"/>
      <c r="AC239" s="46"/>
    </row>
    <row r="240" spans="28:29" x14ac:dyDescent="0.25">
      <c r="AB240" s="46"/>
      <c r="AC240" s="46"/>
    </row>
    <row r="241" spans="28:29" x14ac:dyDescent="0.25">
      <c r="AB241" s="46"/>
      <c r="AC241" s="46"/>
    </row>
    <row r="242" spans="28:29" x14ac:dyDescent="0.25">
      <c r="AB242" s="46"/>
      <c r="AC242" s="46"/>
    </row>
    <row r="243" spans="28:29" x14ac:dyDescent="0.25">
      <c r="AB243" s="46"/>
      <c r="AC243" s="46"/>
    </row>
    <row r="244" spans="28:29" x14ac:dyDescent="0.25">
      <c r="AB244" s="46"/>
      <c r="AC244" s="46"/>
    </row>
    <row r="245" spans="28:29" x14ac:dyDescent="0.25">
      <c r="AB245" s="46"/>
      <c r="AC245" s="46"/>
    </row>
    <row r="246" spans="28:29" x14ac:dyDescent="0.25">
      <c r="AB246" s="46"/>
      <c r="AC246" s="46"/>
    </row>
    <row r="247" spans="28:29" x14ac:dyDescent="0.25">
      <c r="AB247" s="46"/>
      <c r="AC247" s="46"/>
    </row>
    <row r="248" spans="28:29" x14ac:dyDescent="0.25">
      <c r="AB248" s="46"/>
      <c r="AC248" s="46"/>
    </row>
    <row r="249" spans="28:29" x14ac:dyDescent="0.25">
      <c r="AB249" s="46"/>
      <c r="AC249" s="46"/>
    </row>
    <row r="250" spans="28:29" x14ac:dyDescent="0.25">
      <c r="AB250" s="46"/>
      <c r="AC250" s="46"/>
    </row>
    <row r="251" spans="28:29" x14ac:dyDescent="0.25">
      <c r="AB251" s="46"/>
      <c r="AC251" s="46"/>
    </row>
    <row r="252" spans="28:29" x14ac:dyDescent="0.25">
      <c r="AB252" s="46"/>
      <c r="AC252" s="46"/>
    </row>
    <row r="253" spans="28:29" x14ac:dyDescent="0.25">
      <c r="AB253" s="46"/>
      <c r="AC253" s="46"/>
    </row>
    <row r="254" spans="28:29" x14ac:dyDescent="0.25">
      <c r="AB254" s="46"/>
      <c r="AC254" s="46"/>
    </row>
    <row r="255" spans="28:29" x14ac:dyDescent="0.25">
      <c r="AB255" s="46"/>
      <c r="AC255" s="46"/>
    </row>
    <row r="256" spans="28:29" x14ac:dyDescent="0.25">
      <c r="AB256" s="46"/>
      <c r="AC256" s="46"/>
    </row>
    <row r="257" spans="28:29" x14ac:dyDescent="0.25">
      <c r="AB257" s="46"/>
      <c r="AC257" s="46"/>
    </row>
    <row r="258" spans="28:29" x14ac:dyDescent="0.25">
      <c r="AB258" s="46"/>
      <c r="AC258" s="46"/>
    </row>
    <row r="259" spans="28:29" x14ac:dyDescent="0.25">
      <c r="AB259" s="46"/>
      <c r="AC259" s="46"/>
    </row>
    <row r="260" spans="28:29" x14ac:dyDescent="0.25">
      <c r="AB260" s="46"/>
      <c r="AC260" s="46"/>
    </row>
    <row r="261" spans="28:29" x14ac:dyDescent="0.25">
      <c r="AB261" s="46"/>
      <c r="AC261" s="46"/>
    </row>
    <row r="262" spans="28:29" x14ac:dyDescent="0.25">
      <c r="AB262" s="46"/>
      <c r="AC262" s="46"/>
    </row>
    <row r="263" spans="28:29" x14ac:dyDescent="0.25">
      <c r="AB263" s="46"/>
      <c r="AC263" s="46"/>
    </row>
    <row r="264" spans="28:29" x14ac:dyDescent="0.25">
      <c r="AB264" s="46"/>
      <c r="AC264" s="46"/>
    </row>
    <row r="265" spans="28:29" x14ac:dyDescent="0.25">
      <c r="AB265" s="46"/>
      <c r="AC265" s="46"/>
    </row>
    <row r="266" spans="28:29" x14ac:dyDescent="0.25">
      <c r="AB266" s="46"/>
      <c r="AC266" s="46"/>
    </row>
    <row r="267" spans="28:29" x14ac:dyDescent="0.25">
      <c r="AB267" s="46"/>
      <c r="AC267" s="46"/>
    </row>
    <row r="268" spans="28:29" x14ac:dyDescent="0.25">
      <c r="AB268" s="46"/>
      <c r="AC268" s="46"/>
    </row>
    <row r="269" spans="28:29" x14ac:dyDescent="0.25">
      <c r="AB269" s="46"/>
      <c r="AC269" s="46"/>
    </row>
    <row r="270" spans="28:29" x14ac:dyDescent="0.25">
      <c r="AB270" s="46"/>
      <c r="AC270" s="46"/>
    </row>
    <row r="271" spans="28:29" x14ac:dyDescent="0.25">
      <c r="AB271" s="46"/>
      <c r="AC271" s="46"/>
    </row>
    <row r="272" spans="28:29" x14ac:dyDescent="0.25">
      <c r="AB272" s="46"/>
      <c r="AC272" s="46"/>
    </row>
    <row r="273" spans="28:29" x14ac:dyDescent="0.25">
      <c r="AB273" s="46"/>
      <c r="AC273" s="46"/>
    </row>
    <row r="274" spans="28:29" x14ac:dyDescent="0.25">
      <c r="AB274" s="46"/>
      <c r="AC274" s="46"/>
    </row>
    <row r="275" spans="28:29" x14ac:dyDescent="0.25">
      <c r="AB275" s="46"/>
      <c r="AC275" s="46"/>
    </row>
    <row r="276" spans="28:29" x14ac:dyDescent="0.25">
      <c r="AB276" s="46"/>
      <c r="AC276" s="46"/>
    </row>
    <row r="277" spans="28:29" x14ac:dyDescent="0.25">
      <c r="AB277" s="46"/>
      <c r="AC277" s="46"/>
    </row>
    <row r="278" spans="28:29" x14ac:dyDescent="0.25">
      <c r="AB278" s="46"/>
      <c r="AC278" s="46"/>
    </row>
    <row r="279" spans="28:29" x14ac:dyDescent="0.25">
      <c r="AB279" s="46"/>
      <c r="AC279" s="46"/>
    </row>
    <row r="280" spans="28:29" x14ac:dyDescent="0.25">
      <c r="AB280" s="46"/>
      <c r="AC280" s="46"/>
    </row>
    <row r="281" spans="28:29" x14ac:dyDescent="0.25">
      <c r="AB281" s="46"/>
      <c r="AC281" s="46"/>
    </row>
    <row r="282" spans="28:29" x14ac:dyDescent="0.25">
      <c r="AB282" s="46"/>
      <c r="AC282" s="46"/>
    </row>
    <row r="283" spans="28:29" x14ac:dyDescent="0.25">
      <c r="AB283" s="46"/>
      <c r="AC283" s="46"/>
    </row>
    <row r="284" spans="28:29" x14ac:dyDescent="0.25">
      <c r="AB284" s="46"/>
      <c r="AC284" s="46"/>
    </row>
    <row r="285" spans="28:29" x14ac:dyDescent="0.25">
      <c r="AB285" s="46"/>
      <c r="AC285" s="46"/>
    </row>
    <row r="286" spans="28:29" x14ac:dyDescent="0.25">
      <c r="AB286" s="46"/>
      <c r="AC286" s="46"/>
    </row>
    <row r="287" spans="28:29" x14ac:dyDescent="0.25">
      <c r="AB287" s="46"/>
      <c r="AC287" s="46"/>
    </row>
    <row r="288" spans="28:29" x14ac:dyDescent="0.25">
      <c r="AB288" s="46"/>
      <c r="AC288" s="46"/>
    </row>
    <row r="289" spans="28:29" x14ac:dyDescent="0.25">
      <c r="AB289" s="46"/>
      <c r="AC289" s="46"/>
    </row>
    <row r="290" spans="28:29" x14ac:dyDescent="0.25">
      <c r="AB290" s="46"/>
      <c r="AC290" s="46"/>
    </row>
    <row r="291" spans="28:29" x14ac:dyDescent="0.25">
      <c r="AB291" s="46"/>
      <c r="AC291" s="46"/>
    </row>
    <row r="292" spans="28:29" x14ac:dyDescent="0.25">
      <c r="AB292" s="46"/>
      <c r="AC292" s="46"/>
    </row>
    <row r="293" spans="28:29" x14ac:dyDescent="0.25">
      <c r="AB293" s="46"/>
      <c r="AC293" s="46"/>
    </row>
    <row r="294" spans="28:29" x14ac:dyDescent="0.25">
      <c r="AB294" s="46"/>
      <c r="AC294" s="46"/>
    </row>
    <row r="295" spans="28:29" x14ac:dyDescent="0.25">
      <c r="AB295" s="46"/>
      <c r="AC295" s="46"/>
    </row>
    <row r="296" spans="28:29" x14ac:dyDescent="0.25">
      <c r="AB296" s="46"/>
      <c r="AC296" s="46"/>
    </row>
    <row r="297" spans="28:29" x14ac:dyDescent="0.25">
      <c r="AB297" s="46"/>
      <c r="AC297" s="46"/>
    </row>
    <row r="298" spans="28:29" x14ac:dyDescent="0.25">
      <c r="AB298" s="46"/>
      <c r="AC298" s="46"/>
    </row>
    <row r="299" spans="28:29" x14ac:dyDescent="0.25">
      <c r="AB299" s="46"/>
      <c r="AC299" s="46"/>
    </row>
    <row r="300" spans="28:29" x14ac:dyDescent="0.25">
      <c r="AB300" s="46"/>
      <c r="AC300" s="46"/>
    </row>
    <row r="301" spans="28:29" x14ac:dyDescent="0.25">
      <c r="AB301" s="46"/>
      <c r="AC301" s="46"/>
    </row>
    <row r="302" spans="28:29" x14ac:dyDescent="0.25">
      <c r="AB302" s="46"/>
      <c r="AC302" s="46"/>
    </row>
    <row r="303" spans="28:29" x14ac:dyDescent="0.25">
      <c r="AB303" s="46"/>
      <c r="AC303" s="46"/>
    </row>
    <row r="304" spans="28:29" x14ac:dyDescent="0.25">
      <c r="AB304" s="46"/>
      <c r="AC304" s="46"/>
    </row>
    <row r="305" spans="28:29" x14ac:dyDescent="0.25">
      <c r="AB305" s="46"/>
      <c r="AC305" s="46"/>
    </row>
    <row r="306" spans="28:29" x14ac:dyDescent="0.25">
      <c r="AB306" s="46"/>
      <c r="AC306" s="46"/>
    </row>
    <row r="307" spans="28:29" x14ac:dyDescent="0.25">
      <c r="AB307" s="46"/>
      <c r="AC307" s="46"/>
    </row>
    <row r="308" spans="28:29" x14ac:dyDescent="0.25">
      <c r="AB308" s="46"/>
      <c r="AC308" s="46"/>
    </row>
    <row r="309" spans="28:29" x14ac:dyDescent="0.25">
      <c r="AB309" s="46"/>
      <c r="AC309" s="46"/>
    </row>
    <row r="310" spans="28:29" x14ac:dyDescent="0.25">
      <c r="AB310" s="46"/>
      <c r="AC310" s="46"/>
    </row>
    <row r="311" spans="28:29" x14ac:dyDescent="0.25">
      <c r="AB311" s="46"/>
      <c r="AC311" s="46"/>
    </row>
    <row r="312" spans="28:29" x14ac:dyDescent="0.25">
      <c r="AB312" s="46"/>
      <c r="AC312" s="46"/>
    </row>
    <row r="313" spans="28:29" x14ac:dyDescent="0.25">
      <c r="AB313" s="46"/>
      <c r="AC313" s="46"/>
    </row>
    <row r="314" spans="28:29" x14ac:dyDescent="0.25">
      <c r="AB314" s="46"/>
      <c r="AC314" s="46"/>
    </row>
    <row r="315" spans="28:29" x14ac:dyDescent="0.25">
      <c r="AB315" s="46"/>
      <c r="AC315" s="46"/>
    </row>
    <row r="316" spans="28:29" x14ac:dyDescent="0.25">
      <c r="AB316" s="46"/>
      <c r="AC316" s="46"/>
    </row>
    <row r="317" spans="28:29" x14ac:dyDescent="0.25">
      <c r="AB317" s="46"/>
      <c r="AC317" s="46"/>
    </row>
    <row r="318" spans="28:29" x14ac:dyDescent="0.25">
      <c r="AB318" s="46"/>
      <c r="AC318" s="46"/>
    </row>
    <row r="319" spans="28:29" x14ac:dyDescent="0.25">
      <c r="AB319" s="46"/>
      <c r="AC319" s="46"/>
    </row>
    <row r="320" spans="28:29" x14ac:dyDescent="0.25">
      <c r="AB320" s="46"/>
      <c r="AC320" s="46"/>
    </row>
    <row r="321" spans="28:29" x14ac:dyDescent="0.25">
      <c r="AB321" s="46"/>
      <c r="AC321" s="46"/>
    </row>
    <row r="322" spans="28:29" x14ac:dyDescent="0.25">
      <c r="AB322" s="46"/>
      <c r="AC322" s="46"/>
    </row>
    <row r="323" spans="28:29" x14ac:dyDescent="0.25">
      <c r="AB323" s="46"/>
      <c r="AC323" s="46"/>
    </row>
    <row r="324" spans="28:29" x14ac:dyDescent="0.25">
      <c r="AB324" s="46"/>
      <c r="AC324" s="46"/>
    </row>
    <row r="325" spans="28:29" x14ac:dyDescent="0.25">
      <c r="AB325" s="46"/>
      <c r="AC325" s="46"/>
    </row>
    <row r="326" spans="28:29" x14ac:dyDescent="0.25">
      <c r="AB326" s="46"/>
      <c r="AC326" s="46"/>
    </row>
    <row r="327" spans="28:29" x14ac:dyDescent="0.25">
      <c r="AB327" s="46"/>
      <c r="AC327" s="46"/>
    </row>
    <row r="328" spans="28:29" x14ac:dyDescent="0.25">
      <c r="AB328" s="46"/>
      <c r="AC328" s="46"/>
    </row>
    <row r="329" spans="28:29" x14ac:dyDescent="0.25">
      <c r="AB329" s="46"/>
      <c r="AC329" s="46"/>
    </row>
    <row r="330" spans="28:29" x14ac:dyDescent="0.25">
      <c r="AB330" s="46"/>
      <c r="AC330" s="46"/>
    </row>
    <row r="331" spans="28:29" x14ac:dyDescent="0.25">
      <c r="AB331" s="46"/>
      <c r="AC331" s="46"/>
    </row>
    <row r="332" spans="28:29" x14ac:dyDescent="0.25">
      <c r="AB332" s="46"/>
      <c r="AC332" s="46"/>
    </row>
    <row r="333" spans="28:29" x14ac:dyDescent="0.25">
      <c r="AB333" s="46"/>
      <c r="AC333" s="46"/>
    </row>
    <row r="334" spans="28:29" x14ac:dyDescent="0.25">
      <c r="AB334" s="46"/>
      <c r="AC334" s="46"/>
    </row>
    <row r="335" spans="28:29" x14ac:dyDescent="0.25">
      <c r="AB335" s="46"/>
      <c r="AC335" s="46"/>
    </row>
    <row r="336" spans="28:29" x14ac:dyDescent="0.25">
      <c r="AB336" s="46"/>
      <c r="AC336" s="46"/>
    </row>
    <row r="337" spans="28:29" x14ac:dyDescent="0.25">
      <c r="AB337" s="46"/>
      <c r="AC337" s="46"/>
    </row>
    <row r="338" spans="28:29" x14ac:dyDescent="0.25">
      <c r="AB338" s="46"/>
      <c r="AC338" s="46"/>
    </row>
    <row r="339" spans="28:29" x14ac:dyDescent="0.25">
      <c r="AB339" s="46"/>
      <c r="AC339" s="46"/>
    </row>
    <row r="340" spans="28:29" x14ac:dyDescent="0.25">
      <c r="AB340" s="46"/>
      <c r="AC340" s="46"/>
    </row>
    <row r="341" spans="28:29" x14ac:dyDescent="0.25">
      <c r="AB341" s="46"/>
      <c r="AC341" s="46"/>
    </row>
    <row r="342" spans="28:29" x14ac:dyDescent="0.25">
      <c r="AB342" s="46"/>
      <c r="AC342" s="46"/>
    </row>
    <row r="343" spans="28:29" x14ac:dyDescent="0.25">
      <c r="AB343" s="46"/>
      <c r="AC343" s="46"/>
    </row>
    <row r="344" spans="28:29" x14ac:dyDescent="0.25">
      <c r="AB344" s="46"/>
      <c r="AC344" s="46"/>
    </row>
    <row r="345" spans="28:29" x14ac:dyDescent="0.25">
      <c r="AB345" s="46"/>
      <c r="AC345" s="46"/>
    </row>
    <row r="346" spans="28:29" x14ac:dyDescent="0.25">
      <c r="AB346" s="46"/>
      <c r="AC346" s="46"/>
    </row>
    <row r="347" spans="28:29" x14ac:dyDescent="0.25">
      <c r="AB347" s="46"/>
      <c r="AC347" s="46"/>
    </row>
    <row r="348" spans="28:29" x14ac:dyDescent="0.25">
      <c r="AB348" s="46"/>
      <c r="AC348" s="46"/>
    </row>
    <row r="349" spans="28:29" x14ac:dyDescent="0.25">
      <c r="AB349" s="46"/>
      <c r="AC349" s="46"/>
    </row>
    <row r="350" spans="28:29" x14ac:dyDescent="0.25">
      <c r="AB350" s="46"/>
      <c r="AC350" s="46"/>
    </row>
    <row r="351" spans="28:29" x14ac:dyDescent="0.25">
      <c r="AB351" s="46"/>
      <c r="AC351" s="46"/>
    </row>
    <row r="352" spans="28:29" x14ac:dyDescent="0.25">
      <c r="AB352" s="46"/>
      <c r="AC352" s="46"/>
    </row>
    <row r="353" spans="28:29" x14ac:dyDescent="0.25">
      <c r="AB353" s="46"/>
      <c r="AC353" s="46"/>
    </row>
    <row r="354" spans="28:29" x14ac:dyDescent="0.25">
      <c r="AB354" s="46"/>
      <c r="AC354" s="46"/>
    </row>
    <row r="355" spans="28:29" x14ac:dyDescent="0.25">
      <c r="AB355" s="46"/>
      <c r="AC355" s="46"/>
    </row>
    <row r="356" spans="28:29" x14ac:dyDescent="0.25">
      <c r="AB356" s="46"/>
      <c r="AC356" s="46"/>
    </row>
    <row r="357" spans="28:29" x14ac:dyDescent="0.25">
      <c r="AB357" s="46"/>
      <c r="AC357" s="46"/>
    </row>
    <row r="358" spans="28:29" x14ac:dyDescent="0.25">
      <c r="AB358" s="46"/>
      <c r="AC358" s="46"/>
    </row>
    <row r="359" spans="28:29" x14ac:dyDescent="0.25">
      <c r="AB359" s="46"/>
      <c r="AC359" s="46"/>
    </row>
    <row r="360" spans="28:29" x14ac:dyDescent="0.25">
      <c r="AB360" s="46"/>
      <c r="AC360" s="46"/>
    </row>
    <row r="361" spans="28:29" x14ac:dyDescent="0.25">
      <c r="AB361" s="46"/>
      <c r="AC361" s="46"/>
    </row>
    <row r="362" spans="28:29" x14ac:dyDescent="0.25">
      <c r="AB362" s="46"/>
      <c r="AC362" s="46"/>
    </row>
    <row r="363" spans="28:29" x14ac:dyDescent="0.25">
      <c r="AB363" s="46"/>
      <c r="AC363" s="46"/>
    </row>
    <row r="364" spans="28:29" x14ac:dyDescent="0.25">
      <c r="AB364" s="46"/>
      <c r="AC364" s="46"/>
    </row>
    <row r="365" spans="28:29" x14ac:dyDescent="0.25">
      <c r="AB365" s="46"/>
      <c r="AC365" s="46"/>
    </row>
    <row r="366" spans="28:29" x14ac:dyDescent="0.25">
      <c r="AB366" s="46"/>
      <c r="AC366" s="46"/>
    </row>
    <row r="367" spans="28:29" x14ac:dyDescent="0.25">
      <c r="AB367" s="46"/>
      <c r="AC367" s="46"/>
    </row>
    <row r="368" spans="28:29" x14ac:dyDescent="0.25">
      <c r="AB368" s="46"/>
      <c r="AC368" s="46"/>
    </row>
    <row r="369" spans="28:29" x14ac:dyDescent="0.25">
      <c r="AB369" s="46"/>
      <c r="AC369" s="46"/>
    </row>
    <row r="370" spans="28:29" x14ac:dyDescent="0.25">
      <c r="AB370" s="46"/>
      <c r="AC370" s="46"/>
    </row>
    <row r="371" spans="28:29" x14ac:dyDescent="0.25">
      <c r="AB371" s="46"/>
      <c r="AC371" s="46"/>
    </row>
    <row r="372" spans="28:29" x14ac:dyDescent="0.25">
      <c r="AB372" s="46"/>
      <c r="AC372" s="46"/>
    </row>
    <row r="373" spans="28:29" x14ac:dyDescent="0.25">
      <c r="AB373" s="46"/>
      <c r="AC373" s="46"/>
    </row>
    <row r="374" spans="28:29" x14ac:dyDescent="0.25">
      <c r="AB374" s="46"/>
      <c r="AC374" s="46"/>
    </row>
    <row r="375" spans="28:29" x14ac:dyDescent="0.25">
      <c r="AB375" s="46"/>
      <c r="AC375" s="46"/>
    </row>
    <row r="376" spans="28:29" x14ac:dyDescent="0.25">
      <c r="AB376" s="46"/>
      <c r="AC376" s="46"/>
    </row>
    <row r="377" spans="28:29" x14ac:dyDescent="0.25">
      <c r="AB377" s="46"/>
      <c r="AC377" s="46"/>
    </row>
    <row r="378" spans="28:29" x14ac:dyDescent="0.25">
      <c r="AB378" s="46"/>
      <c r="AC378" s="46"/>
    </row>
    <row r="379" spans="28:29" x14ac:dyDescent="0.25">
      <c r="AB379" s="46"/>
      <c r="AC379" s="46"/>
    </row>
    <row r="380" spans="28:29" x14ac:dyDescent="0.25">
      <c r="AB380" s="46"/>
      <c r="AC380" s="46"/>
    </row>
    <row r="381" spans="28:29" x14ac:dyDescent="0.25">
      <c r="AB381" s="46"/>
      <c r="AC381" s="46"/>
    </row>
    <row r="382" spans="28:29" x14ac:dyDescent="0.25">
      <c r="AB382" s="46"/>
      <c r="AC382" s="46"/>
    </row>
    <row r="383" spans="28:29" x14ac:dyDescent="0.25">
      <c r="AB383" s="46"/>
      <c r="AC383" s="46"/>
    </row>
    <row r="384" spans="28:29" x14ac:dyDescent="0.25">
      <c r="AB384" s="46"/>
      <c r="AC384" s="46"/>
    </row>
    <row r="385" spans="28:29" x14ac:dyDescent="0.25">
      <c r="AB385" s="46"/>
      <c r="AC385" s="46"/>
    </row>
    <row r="386" spans="28:29" x14ac:dyDescent="0.25">
      <c r="AB386" s="46"/>
      <c r="AC386" s="46"/>
    </row>
    <row r="387" spans="28:29" x14ac:dyDescent="0.25">
      <c r="AB387" s="46"/>
      <c r="AC387" s="46"/>
    </row>
    <row r="388" spans="28:29" x14ac:dyDescent="0.25">
      <c r="AB388" s="46"/>
      <c r="AC388" s="46"/>
    </row>
    <row r="389" spans="28:29" x14ac:dyDescent="0.25">
      <c r="AB389" s="46"/>
      <c r="AC389" s="46"/>
    </row>
    <row r="390" spans="28:29" x14ac:dyDescent="0.25">
      <c r="AB390" s="46"/>
      <c r="AC390" s="46"/>
    </row>
    <row r="391" spans="28:29" x14ac:dyDescent="0.25">
      <c r="AB391" s="46"/>
      <c r="AC391" s="46"/>
    </row>
    <row r="392" spans="28:29" x14ac:dyDescent="0.25">
      <c r="AB392" s="46"/>
      <c r="AC392" s="46"/>
    </row>
    <row r="393" spans="28:29" x14ac:dyDescent="0.25">
      <c r="AB393" s="46"/>
      <c r="AC393" s="46"/>
    </row>
    <row r="394" spans="28:29" x14ac:dyDescent="0.25">
      <c r="AB394" s="46"/>
      <c r="AC394" s="46"/>
    </row>
    <row r="395" spans="28:29" x14ac:dyDescent="0.25">
      <c r="AB395" s="46"/>
      <c r="AC395" s="46"/>
    </row>
    <row r="396" spans="28:29" x14ac:dyDescent="0.25">
      <c r="AB396" s="46"/>
      <c r="AC396" s="46"/>
    </row>
    <row r="397" spans="28:29" x14ac:dyDescent="0.25">
      <c r="AB397" s="46"/>
      <c r="AC397" s="46"/>
    </row>
    <row r="398" spans="28:29" x14ac:dyDescent="0.25">
      <c r="AB398" s="46"/>
      <c r="AC398" s="46"/>
    </row>
    <row r="399" spans="28:29" x14ac:dyDescent="0.25">
      <c r="AB399" s="46"/>
      <c r="AC399" s="46"/>
    </row>
    <row r="400" spans="28:29" x14ac:dyDescent="0.25">
      <c r="AB400" s="46"/>
      <c r="AC400" s="46"/>
    </row>
    <row r="401" spans="28:29" x14ac:dyDescent="0.25">
      <c r="AB401" s="46"/>
      <c r="AC401" s="46"/>
    </row>
    <row r="402" spans="28:29" x14ac:dyDescent="0.25">
      <c r="AB402" s="46"/>
      <c r="AC402" s="46"/>
    </row>
    <row r="403" spans="28:29" x14ac:dyDescent="0.25">
      <c r="AB403" s="46"/>
      <c r="AC403" s="46"/>
    </row>
    <row r="404" spans="28:29" x14ac:dyDescent="0.25">
      <c r="AB404" s="46"/>
      <c r="AC404" s="46"/>
    </row>
    <row r="405" spans="28:29" x14ac:dyDescent="0.25">
      <c r="AB405" s="46"/>
      <c r="AC405" s="46"/>
    </row>
    <row r="406" spans="28:29" x14ac:dyDescent="0.25">
      <c r="AB406" s="46"/>
      <c r="AC406" s="46"/>
    </row>
    <row r="407" spans="28:29" x14ac:dyDescent="0.25">
      <c r="AB407" s="46"/>
      <c r="AC407" s="46"/>
    </row>
    <row r="408" spans="28:29" x14ac:dyDescent="0.25">
      <c r="AB408" s="46"/>
      <c r="AC408" s="46"/>
    </row>
    <row r="409" spans="28:29" x14ac:dyDescent="0.25">
      <c r="AB409" s="46"/>
      <c r="AC409" s="46"/>
    </row>
    <row r="410" spans="28:29" x14ac:dyDescent="0.25">
      <c r="AB410" s="46"/>
      <c r="AC410" s="46"/>
    </row>
    <row r="411" spans="28:29" x14ac:dyDescent="0.25">
      <c r="AB411" s="46"/>
      <c r="AC411" s="46"/>
    </row>
    <row r="412" spans="28:29" x14ac:dyDescent="0.25">
      <c r="AB412" s="46"/>
      <c r="AC412" s="46"/>
    </row>
    <row r="413" spans="28:29" x14ac:dyDescent="0.25">
      <c r="AB413" s="46"/>
      <c r="AC413" s="46"/>
    </row>
    <row r="414" spans="28:29" x14ac:dyDescent="0.25">
      <c r="AB414" s="46"/>
      <c r="AC414" s="46"/>
    </row>
    <row r="415" spans="28:29" x14ac:dyDescent="0.25">
      <c r="AB415" s="46"/>
      <c r="AC415" s="46"/>
    </row>
    <row r="416" spans="28:29" x14ac:dyDescent="0.25">
      <c r="AB416" s="46"/>
      <c r="AC416" s="46"/>
    </row>
    <row r="417" spans="28:29" x14ac:dyDescent="0.25">
      <c r="AB417" s="46"/>
      <c r="AC417" s="46"/>
    </row>
    <row r="418" spans="28:29" x14ac:dyDescent="0.25">
      <c r="AB418" s="46"/>
      <c r="AC418" s="46"/>
    </row>
    <row r="419" spans="28:29" x14ac:dyDescent="0.25">
      <c r="AB419" s="46"/>
      <c r="AC419" s="46"/>
    </row>
    <row r="420" spans="28:29" x14ac:dyDescent="0.25">
      <c r="AB420" s="46"/>
      <c r="AC420" s="46"/>
    </row>
    <row r="421" spans="28:29" x14ac:dyDescent="0.25">
      <c r="AB421" s="46"/>
      <c r="AC421" s="46"/>
    </row>
  </sheetData>
  <mergeCells count="3">
    <mergeCell ref="C1:H1"/>
    <mergeCell ref="W1:X1"/>
    <mergeCell ref="N1:P1"/>
  </mergeCells>
  <conditionalFormatting sqref="H3:H26">
    <cfRule type="colorScale" priority="47">
      <colorScale>
        <cfvo type="min"/>
        <cfvo type="percentile" val="50"/>
        <cfvo type="max"/>
        <color rgb="FF63BE7B"/>
        <color rgb="FFFFEB84"/>
        <color rgb="FFF8696B"/>
      </colorScale>
    </cfRule>
  </conditionalFormatting>
  <conditionalFormatting sqref="F3:F26">
    <cfRule type="colorScale" priority="46">
      <colorScale>
        <cfvo type="min"/>
        <cfvo type="percentile" val="50"/>
        <cfvo type="max"/>
        <color rgb="FF63BE7B"/>
        <color rgb="FFFFEB84"/>
        <color rgb="FFF8696B"/>
      </colorScale>
    </cfRule>
  </conditionalFormatting>
  <conditionalFormatting sqref="E3:E25">
    <cfRule type="colorScale" priority="45">
      <colorScale>
        <cfvo type="min"/>
        <cfvo type="percentile" val="50"/>
        <cfvo type="max"/>
        <color rgb="FF63BE7B"/>
        <color rgb="FFFFEB84"/>
        <color rgb="FFF8696B"/>
      </colorScale>
    </cfRule>
  </conditionalFormatting>
  <conditionalFormatting sqref="D3:D26">
    <cfRule type="colorScale" priority="44">
      <colorScale>
        <cfvo type="min"/>
        <cfvo type="percentile" val="50"/>
        <cfvo type="max"/>
        <color rgb="FF63BE7B"/>
        <color rgb="FFFFEB84"/>
        <color rgb="FFF8696B"/>
      </colorScale>
    </cfRule>
  </conditionalFormatting>
  <conditionalFormatting sqref="E3:E26">
    <cfRule type="colorScale" priority="43">
      <colorScale>
        <cfvo type="min"/>
        <cfvo type="percentile" val="50"/>
        <cfvo type="max"/>
        <color rgb="FF63BE7B"/>
        <color rgb="FFFFEB84"/>
        <color rgb="FFF8696B"/>
      </colorScale>
    </cfRule>
  </conditionalFormatting>
  <conditionalFormatting sqref="G3:G26">
    <cfRule type="colorScale" priority="42">
      <colorScale>
        <cfvo type="min"/>
        <cfvo type="percentile" val="50"/>
        <cfvo type="max"/>
        <color rgb="FF63BE7B"/>
        <color rgb="FFFFEB84"/>
        <color rgb="FFF8696B"/>
      </colorScale>
    </cfRule>
  </conditionalFormatting>
  <conditionalFormatting sqref="T3:T26">
    <cfRule type="colorScale" priority="41">
      <colorScale>
        <cfvo type="min"/>
        <cfvo type="percentile" val="50"/>
        <cfvo type="max"/>
        <color rgb="FF63BE7B"/>
        <color rgb="FFFFEB84"/>
        <color rgb="FFF8696B"/>
      </colorScale>
    </cfRule>
  </conditionalFormatting>
  <conditionalFormatting sqref="R3:R26">
    <cfRule type="colorScale" priority="40">
      <colorScale>
        <cfvo type="min"/>
        <cfvo type="percentile" val="50"/>
        <cfvo type="max"/>
        <color rgb="FF63BE7B"/>
        <color rgb="FFFFEB84"/>
        <color rgb="FFF8696B"/>
      </colorScale>
    </cfRule>
  </conditionalFormatting>
  <conditionalFormatting sqref="S3:S26">
    <cfRule type="colorScale" priority="36">
      <colorScale>
        <cfvo type="min"/>
        <cfvo type="percentile" val="50"/>
        <cfvo type="max"/>
        <color rgb="FF63BE7B"/>
        <color rgb="FFFFEB84"/>
        <color rgb="FFF8696B"/>
      </colorScale>
    </cfRule>
  </conditionalFormatting>
  <conditionalFormatting sqref="W3:W26">
    <cfRule type="cellIs" dxfId="245" priority="30" operator="lessThan">
      <formula>10</formula>
    </cfRule>
    <cfRule type="cellIs" dxfId="244" priority="31" operator="greaterThanOrEqual">
      <formula>200</formula>
    </cfRule>
  </conditionalFormatting>
  <conditionalFormatting sqref="W3">
    <cfRule type="cellIs" dxfId="243" priority="28" operator="between">
      <formula>70</formula>
      <formula>199.9</formula>
    </cfRule>
    <cfRule type="cellIs" dxfId="242" priority="29" operator="between">
      <formula>10</formula>
      <formula>69.9</formula>
    </cfRule>
  </conditionalFormatting>
  <conditionalFormatting sqref="W4:W26">
    <cfRule type="cellIs" dxfId="241" priority="26" operator="between">
      <formula>70</formula>
      <formula>199.9</formula>
    </cfRule>
    <cfRule type="cellIs" dxfId="240" priority="27" operator="between">
      <formula>10</formula>
      <formula>69.9</formula>
    </cfRule>
  </conditionalFormatting>
  <conditionalFormatting sqref="X3:X26">
    <cfRule type="cellIs" dxfId="239" priority="24" operator="lessThan">
      <formula>1</formula>
    </cfRule>
    <cfRule type="cellIs" dxfId="238" priority="25" operator="greaterThanOrEqual">
      <formula>25</formula>
    </cfRule>
  </conditionalFormatting>
  <conditionalFormatting sqref="X4:X26">
    <cfRule type="cellIs" dxfId="237" priority="20" operator="between">
      <formula>10</formula>
      <formula>25</formula>
    </cfRule>
    <cfRule type="cellIs" dxfId="236" priority="21" operator="between">
      <formula>1</formula>
      <formula>10</formula>
    </cfRule>
  </conditionalFormatting>
  <conditionalFormatting sqref="X3">
    <cfRule type="cellIs" dxfId="235" priority="18" operator="between">
      <formula>10</formula>
      <formula>25</formula>
    </cfRule>
    <cfRule type="cellIs" dxfId="234" priority="19" operator="between">
      <formula>1</formula>
      <formula>10</formula>
    </cfRule>
  </conditionalFormatting>
  <conditionalFormatting sqref="O3:O26">
    <cfRule type="cellIs" dxfId="233" priority="12" operator="lessThan">
      <formula>0.8</formula>
    </cfRule>
    <cfRule type="cellIs" dxfId="232" priority="15" operator="greaterThanOrEqual">
      <formula>1.2</formula>
    </cfRule>
  </conditionalFormatting>
  <conditionalFormatting sqref="N3">
    <cfRule type="cellIs" dxfId="231" priority="13" operator="lessThanOrEqual">
      <formula>49</formula>
    </cfRule>
    <cfRule type="cellIs" dxfId="230" priority="16" operator="between">
      <formula>50</formula>
      <formula>149</formula>
    </cfRule>
    <cfRule type="cellIs" dxfId="229" priority="17" operator="greaterThanOrEqual">
      <formula>150</formula>
    </cfRule>
  </conditionalFormatting>
  <conditionalFormatting sqref="N4:N26">
    <cfRule type="cellIs" dxfId="228" priority="9" operator="lessThanOrEqual">
      <formula>49</formula>
    </cfRule>
    <cfRule type="cellIs" dxfId="227" priority="10" operator="between">
      <formula>50</formula>
      <formula>149</formula>
    </cfRule>
    <cfRule type="cellIs" dxfId="226" priority="11" operator="greaterThanOrEqual">
      <formula>150</formula>
    </cfRule>
  </conditionalFormatting>
  <conditionalFormatting sqref="O3">
    <cfRule type="cellIs" dxfId="225" priority="14" operator="between">
      <formula>0.8</formula>
      <formula>1.2</formula>
    </cfRule>
  </conditionalFormatting>
  <conditionalFormatting sqref="O4:O26">
    <cfRule type="cellIs" dxfId="224" priority="8" operator="between">
      <formula>0.8</formula>
      <formula>1.2</formula>
    </cfRule>
  </conditionalFormatting>
  <conditionalFormatting sqref="AN3:AN26">
    <cfRule type="colorScale" priority="7">
      <colorScale>
        <cfvo type="min"/>
        <cfvo type="percentile" val="50"/>
        <cfvo type="max"/>
        <color rgb="FF63BE7B"/>
        <color rgb="FFFFEB84"/>
        <color rgb="FFF8696B"/>
      </colorScale>
    </cfRule>
  </conditionalFormatting>
  <conditionalFormatting sqref="P3">
    <cfRule type="expression" dxfId="223" priority="6">
      <formula>"SI($N$3&gt;250)"</formula>
    </cfRule>
  </conditionalFormatting>
  <conditionalFormatting sqref="Q4:Q26">
    <cfRule type="containsText" dxfId="222" priority="2" operator="containsText" text="ALTO">
      <formula>NOT(ISERROR(SEARCH("ALTO",Q4)))</formula>
    </cfRule>
  </conditionalFormatting>
  <conditionalFormatting sqref="Q3:Q26">
    <cfRule type="containsText" dxfId="221" priority="1" operator="containsText" text="MEDIO">
      <formula>NOT(ISERROR(SEARCH("MEDIO",Q3)))</formula>
    </cfRule>
    <cfRule type="containsText" dxfId="220" priority="3" operator="containsText" text="ALTO">
      <formula>NOT(ISERROR(SEARCH("ALTO",Q3)))</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332"/>
  <sheetViews>
    <sheetView tabSelected="1" topLeftCell="A300" zoomScale="40" zoomScaleNormal="40" workbookViewId="0">
      <selection activeCell="E332" sqref="E332"/>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23" t="s">
        <v>100</v>
      </c>
      <c r="C1" s="287" t="s">
        <v>268</v>
      </c>
      <c r="D1" s="287" t="s">
        <v>269</v>
      </c>
    </row>
    <row r="2" spans="1:6" s="310" customFormat="1" x14ac:dyDescent="0.25">
      <c r="A2" s="18">
        <v>44095</v>
      </c>
      <c r="B2" s="324">
        <v>3387</v>
      </c>
      <c r="C2" s="309">
        <v>60.3</v>
      </c>
      <c r="D2" s="309">
        <v>65.5</v>
      </c>
      <c r="E2" s="440"/>
    </row>
    <row r="3" spans="1:6" s="310" customFormat="1" x14ac:dyDescent="0.25">
      <c r="A3" s="18">
        <v>44096</v>
      </c>
      <c r="B3" s="324">
        <v>3362</v>
      </c>
      <c r="C3" s="309">
        <v>60.4</v>
      </c>
      <c r="D3" s="309">
        <v>65.900000000000006</v>
      </c>
      <c r="E3" s="440">
        <f>B3-B2</f>
        <v>-25</v>
      </c>
    </row>
    <row r="4" spans="1:6" s="310" customFormat="1" x14ac:dyDescent="0.25">
      <c r="A4" s="18">
        <v>44097</v>
      </c>
      <c r="B4" s="324">
        <v>3511</v>
      </c>
      <c r="C4" s="309">
        <v>60</v>
      </c>
      <c r="D4" s="309">
        <v>65.599999999999994</v>
      </c>
      <c r="E4" s="440">
        <f>B4-B3</f>
        <v>149</v>
      </c>
      <c r="F4" s="440"/>
    </row>
    <row r="5" spans="1:6" s="310" customFormat="1" x14ac:dyDescent="0.25">
      <c r="A5" s="18">
        <v>44098</v>
      </c>
      <c r="B5" s="324">
        <v>3527</v>
      </c>
      <c r="C5" s="309">
        <v>61</v>
      </c>
      <c r="D5" s="309">
        <v>66</v>
      </c>
      <c r="E5" s="440">
        <f>B5-B4</f>
        <v>16</v>
      </c>
      <c r="F5" s="440"/>
    </row>
    <row r="6" spans="1:6" s="310" customFormat="1" x14ac:dyDescent="0.25">
      <c r="A6" s="18">
        <v>44099</v>
      </c>
      <c r="B6" s="324">
        <v>3595</v>
      </c>
      <c r="C6" s="309">
        <v>61.7</v>
      </c>
      <c r="D6" s="309">
        <v>66.2</v>
      </c>
      <c r="E6" s="440">
        <f t="shared" ref="E6:E69" si="0">B6-B5</f>
        <v>68</v>
      </c>
      <c r="F6" s="440"/>
    </row>
    <row r="7" spans="1:6" s="310" customFormat="1" x14ac:dyDescent="0.25">
      <c r="A7" s="18">
        <v>44100</v>
      </c>
      <c r="B7" s="324">
        <v>3633</v>
      </c>
      <c r="C7" s="309">
        <v>61.5</v>
      </c>
      <c r="D7" s="309">
        <v>66.7</v>
      </c>
      <c r="E7" s="440">
        <f t="shared" si="0"/>
        <v>38</v>
      </c>
      <c r="F7" s="440"/>
    </row>
    <row r="8" spans="1:6" s="310" customFormat="1" x14ac:dyDescent="0.25">
      <c r="A8" s="18">
        <v>44101</v>
      </c>
      <c r="B8" s="324">
        <v>3604</v>
      </c>
      <c r="C8" s="309">
        <v>61.1</v>
      </c>
      <c r="D8" s="309">
        <v>65</v>
      </c>
      <c r="E8" s="440">
        <f t="shared" si="0"/>
        <v>-29</v>
      </c>
      <c r="F8" s="440">
        <f t="shared" ref="F8:F21" si="1">AVERAGE(E2:E8)</f>
        <v>36.166666666666664</v>
      </c>
    </row>
    <row r="9" spans="1:6" s="310" customFormat="1" x14ac:dyDescent="0.25">
      <c r="A9" s="18">
        <v>44102</v>
      </c>
      <c r="B9" s="324">
        <v>3678</v>
      </c>
      <c r="C9" s="309">
        <v>61.4</v>
      </c>
      <c r="D9" s="309">
        <v>65.099999999999994</v>
      </c>
      <c r="E9" s="440">
        <f t="shared" si="0"/>
        <v>74</v>
      </c>
      <c r="F9" s="440">
        <f t="shared" si="1"/>
        <v>41.571428571428569</v>
      </c>
    </row>
    <row r="10" spans="1:6" s="310" customFormat="1" x14ac:dyDescent="0.25">
      <c r="A10" s="18">
        <v>44103</v>
      </c>
      <c r="B10" s="324">
        <v>3768</v>
      </c>
      <c r="C10" s="309">
        <v>61.9</v>
      </c>
      <c r="D10" s="309">
        <v>65.8</v>
      </c>
      <c r="E10" s="440">
        <f t="shared" si="0"/>
        <v>90</v>
      </c>
      <c r="F10" s="440">
        <f t="shared" si="1"/>
        <v>58</v>
      </c>
    </row>
    <row r="11" spans="1:6" s="310" customFormat="1" x14ac:dyDescent="0.25">
      <c r="A11" s="18">
        <v>44104</v>
      </c>
      <c r="B11" s="324">
        <v>3792</v>
      </c>
      <c r="C11" s="309">
        <v>61.7</v>
      </c>
      <c r="D11" s="309">
        <v>64.7</v>
      </c>
      <c r="E11" s="440">
        <f t="shared" si="0"/>
        <v>24</v>
      </c>
      <c r="F11" s="440">
        <f t="shared" si="1"/>
        <v>40.142857142857146</v>
      </c>
    </row>
    <row r="12" spans="1:6" s="310" customFormat="1" x14ac:dyDescent="0.25">
      <c r="A12" s="18">
        <v>44105</v>
      </c>
      <c r="B12" s="324">
        <v>3799</v>
      </c>
      <c r="C12" s="309">
        <v>61.6</v>
      </c>
      <c r="D12" s="309">
        <v>65.2</v>
      </c>
      <c r="E12" s="440">
        <f t="shared" si="0"/>
        <v>7</v>
      </c>
      <c r="F12" s="440">
        <f t="shared" si="1"/>
        <v>38.857142857142854</v>
      </c>
    </row>
    <row r="13" spans="1:6" s="310" customFormat="1" x14ac:dyDescent="0.25">
      <c r="A13" s="18">
        <v>44106</v>
      </c>
      <c r="B13" s="324">
        <v>3828</v>
      </c>
      <c r="C13" s="309">
        <v>61.8</v>
      </c>
      <c r="D13" s="309">
        <v>64.7</v>
      </c>
      <c r="E13" s="440">
        <f t="shared" si="0"/>
        <v>29</v>
      </c>
      <c r="F13" s="440">
        <f t="shared" si="1"/>
        <v>33.285714285714285</v>
      </c>
    </row>
    <row r="14" spans="1:6" s="310" customFormat="1" x14ac:dyDescent="0.25">
      <c r="A14" s="18">
        <v>44107</v>
      </c>
      <c r="B14" s="324">
        <v>3820</v>
      </c>
      <c r="C14" s="309">
        <v>61.7</v>
      </c>
      <c r="D14" s="309">
        <v>62.9</v>
      </c>
      <c r="E14" s="440">
        <f t="shared" si="0"/>
        <v>-8</v>
      </c>
      <c r="F14" s="440">
        <f t="shared" si="1"/>
        <v>26.714285714285715</v>
      </c>
    </row>
    <row r="15" spans="1:6" s="310" customFormat="1" x14ac:dyDescent="0.25">
      <c r="A15" s="18">
        <v>44108</v>
      </c>
      <c r="B15" s="324">
        <v>3950</v>
      </c>
      <c r="C15" s="309">
        <v>61.9</v>
      </c>
      <c r="D15" s="309">
        <v>62.8</v>
      </c>
      <c r="E15" s="440">
        <f t="shared" si="0"/>
        <v>130</v>
      </c>
      <c r="F15" s="440">
        <f t="shared" si="1"/>
        <v>49.428571428571431</v>
      </c>
    </row>
    <row r="16" spans="1:6" s="310" customFormat="1" x14ac:dyDescent="0.25">
      <c r="A16" s="18">
        <v>44109</v>
      </c>
      <c r="B16" s="324">
        <v>3978</v>
      </c>
      <c r="C16" s="309">
        <v>62.4</v>
      </c>
      <c r="D16" s="309">
        <v>63.1</v>
      </c>
      <c r="E16" s="440">
        <f t="shared" si="0"/>
        <v>28</v>
      </c>
      <c r="F16" s="440">
        <f t="shared" si="1"/>
        <v>42.857142857142854</v>
      </c>
    </row>
    <row r="17" spans="1:6" s="310" customFormat="1" x14ac:dyDescent="0.25">
      <c r="A17" s="18">
        <v>44110</v>
      </c>
      <c r="B17" s="324">
        <v>4007</v>
      </c>
      <c r="C17" s="309">
        <v>62.5</v>
      </c>
      <c r="D17" s="309">
        <v>63.8</v>
      </c>
      <c r="E17" s="440">
        <f t="shared" si="0"/>
        <v>29</v>
      </c>
      <c r="F17" s="440">
        <f t="shared" si="1"/>
        <v>34.142857142857146</v>
      </c>
    </row>
    <row r="18" spans="1:6" s="310" customFormat="1" x14ac:dyDescent="0.25">
      <c r="A18" s="18">
        <v>44111</v>
      </c>
      <c r="B18" s="324">
        <v>3997</v>
      </c>
      <c r="C18" s="309">
        <v>62.8</v>
      </c>
      <c r="D18" s="309">
        <v>63</v>
      </c>
      <c r="E18" s="440">
        <f t="shared" si="0"/>
        <v>-10</v>
      </c>
      <c r="F18" s="440">
        <f t="shared" si="1"/>
        <v>29.285714285714285</v>
      </c>
    </row>
    <row r="19" spans="1:6" s="310" customFormat="1" x14ac:dyDescent="0.25">
      <c r="A19" s="18">
        <v>44112</v>
      </c>
      <c r="B19" s="324">
        <v>4043</v>
      </c>
      <c r="C19" s="309">
        <v>63</v>
      </c>
      <c r="D19" s="309">
        <v>63.3</v>
      </c>
      <c r="E19" s="440">
        <f t="shared" si="0"/>
        <v>46</v>
      </c>
      <c r="F19" s="440">
        <f t="shared" si="1"/>
        <v>34.857142857142854</v>
      </c>
    </row>
    <row r="20" spans="1:6" s="310" customFormat="1" x14ac:dyDescent="0.25">
      <c r="A20" s="18">
        <v>44113</v>
      </c>
      <c r="B20" s="324">
        <v>4092</v>
      </c>
      <c r="C20" s="309">
        <v>63.4</v>
      </c>
      <c r="D20" s="309">
        <v>64</v>
      </c>
      <c r="E20" s="440">
        <f t="shared" si="0"/>
        <v>49</v>
      </c>
      <c r="F20" s="440">
        <f t="shared" si="1"/>
        <v>37.714285714285715</v>
      </c>
    </row>
    <row r="21" spans="1:6" s="310" customFormat="1" x14ac:dyDescent="0.25">
      <c r="A21" s="18">
        <v>44114</v>
      </c>
      <c r="B21" s="324">
        <v>4200</v>
      </c>
      <c r="C21" s="309">
        <v>63.9</v>
      </c>
      <c r="D21" s="309">
        <v>63.3</v>
      </c>
      <c r="E21" s="440">
        <f t="shared" si="0"/>
        <v>108</v>
      </c>
      <c r="F21" s="440">
        <f t="shared" si="1"/>
        <v>54.285714285714285</v>
      </c>
    </row>
    <row r="22" spans="1:6" s="310" customFormat="1" x14ac:dyDescent="0.25">
      <c r="A22" s="18">
        <v>44115</v>
      </c>
      <c r="B22" s="324">
        <v>4237</v>
      </c>
      <c r="C22" s="309">
        <v>63.9</v>
      </c>
      <c r="D22" s="309">
        <v>62.8</v>
      </c>
      <c r="E22" s="440">
        <f t="shared" si="0"/>
        <v>37</v>
      </c>
      <c r="F22" s="440">
        <f t="shared" ref="F22:F85" si="2">AVERAGE(E16:E22)</f>
        <v>41</v>
      </c>
    </row>
    <row r="23" spans="1:6" s="310" customFormat="1" x14ac:dyDescent="0.25">
      <c r="A23" s="18">
        <v>44116</v>
      </c>
      <c r="B23" s="324">
        <v>4287</v>
      </c>
      <c r="C23" s="309">
        <v>64.3</v>
      </c>
      <c r="D23" s="309">
        <v>63</v>
      </c>
      <c r="E23" s="440">
        <f t="shared" si="0"/>
        <v>50</v>
      </c>
      <c r="F23" s="440">
        <f t="shared" si="2"/>
        <v>44.142857142857146</v>
      </c>
    </row>
    <row r="24" spans="1:6" s="310" customFormat="1" x14ac:dyDescent="0.25">
      <c r="A24" s="18">
        <v>44117</v>
      </c>
      <c r="B24" s="324">
        <v>4294</v>
      </c>
      <c r="C24" s="309">
        <v>64.2</v>
      </c>
      <c r="D24" s="309">
        <v>63.9</v>
      </c>
      <c r="E24" s="440">
        <f t="shared" si="0"/>
        <v>7</v>
      </c>
      <c r="F24" s="440">
        <f t="shared" si="2"/>
        <v>41</v>
      </c>
    </row>
    <row r="25" spans="1:6" s="310" customFormat="1" x14ac:dyDescent="0.25">
      <c r="A25" s="18">
        <v>44118</v>
      </c>
      <c r="B25" s="324">
        <v>4316</v>
      </c>
      <c r="C25" s="309">
        <v>64.099999999999994</v>
      </c>
      <c r="D25" s="309">
        <v>63.5</v>
      </c>
      <c r="E25" s="440">
        <f t="shared" si="0"/>
        <v>22</v>
      </c>
      <c r="F25" s="440">
        <f t="shared" si="2"/>
        <v>45.571428571428569</v>
      </c>
    </row>
    <row r="26" spans="1:6" s="310" customFormat="1" x14ac:dyDescent="0.25">
      <c r="A26" s="18">
        <v>44119</v>
      </c>
      <c r="B26" s="324">
        <v>4278</v>
      </c>
      <c r="C26" s="309">
        <v>64.400000000000006</v>
      </c>
      <c r="D26" s="309">
        <v>64.7</v>
      </c>
      <c r="E26" s="440">
        <f t="shared" si="0"/>
        <v>-38</v>
      </c>
      <c r="F26" s="440">
        <f t="shared" si="2"/>
        <v>33.571428571428569</v>
      </c>
    </row>
    <row r="27" spans="1:6" s="310" customFormat="1" x14ac:dyDescent="0.25">
      <c r="A27" s="18">
        <v>44120</v>
      </c>
      <c r="B27" s="324">
        <v>4346</v>
      </c>
      <c r="C27" s="309">
        <v>64.5</v>
      </c>
      <c r="D27" s="309">
        <v>63.5</v>
      </c>
      <c r="E27" s="440">
        <f t="shared" si="0"/>
        <v>68</v>
      </c>
      <c r="F27" s="440">
        <f t="shared" si="2"/>
        <v>36.285714285714285</v>
      </c>
    </row>
    <row r="28" spans="1:6" s="310" customFormat="1" x14ac:dyDescent="0.25">
      <c r="A28" s="18">
        <v>44121</v>
      </c>
      <c r="B28" s="324">
        <v>4386</v>
      </c>
      <c r="C28" s="309">
        <v>64.2</v>
      </c>
      <c r="D28" s="309">
        <v>63.4</v>
      </c>
      <c r="E28" s="440">
        <f t="shared" si="0"/>
        <v>40</v>
      </c>
      <c r="F28" s="440">
        <f t="shared" si="2"/>
        <v>26.571428571428573</v>
      </c>
    </row>
    <row r="29" spans="1:6" s="310" customFormat="1" x14ac:dyDescent="0.25">
      <c r="A29" s="18">
        <v>44122</v>
      </c>
      <c r="B29" s="324">
        <v>4387</v>
      </c>
      <c r="C29" s="309">
        <v>64.2</v>
      </c>
      <c r="D29" s="309">
        <v>63.9</v>
      </c>
      <c r="E29" s="440">
        <f t="shared" si="0"/>
        <v>1</v>
      </c>
      <c r="F29" s="440">
        <f t="shared" si="2"/>
        <v>21.428571428571427</v>
      </c>
    </row>
    <row r="30" spans="1:6" s="310" customFormat="1" x14ac:dyDescent="0.25">
      <c r="A30" s="18">
        <v>44123</v>
      </c>
      <c r="B30" s="324">
        <v>4392</v>
      </c>
      <c r="C30" s="309">
        <v>64</v>
      </c>
      <c r="D30" s="309">
        <v>63.2</v>
      </c>
      <c r="E30" s="440">
        <f t="shared" si="0"/>
        <v>5</v>
      </c>
      <c r="F30" s="440">
        <f t="shared" si="2"/>
        <v>15</v>
      </c>
    </row>
    <row r="31" spans="1:6" s="310" customFormat="1" x14ac:dyDescent="0.25">
      <c r="A31" s="18">
        <v>44124</v>
      </c>
      <c r="B31" s="324">
        <v>4451</v>
      </c>
      <c r="C31" s="309">
        <v>64</v>
      </c>
      <c r="D31" s="309">
        <v>64.3</v>
      </c>
      <c r="E31" s="440">
        <f t="shared" si="0"/>
        <v>59</v>
      </c>
      <c r="F31" s="440">
        <f t="shared" si="2"/>
        <v>22.428571428571427</v>
      </c>
    </row>
    <row r="32" spans="1:6" s="310" customFormat="1" x14ac:dyDescent="0.25">
      <c r="A32" s="18">
        <v>44125</v>
      </c>
      <c r="B32" s="324">
        <v>4573</v>
      </c>
      <c r="C32" s="309">
        <v>64.400000000000006</v>
      </c>
      <c r="D32" s="309">
        <v>63.1</v>
      </c>
      <c r="E32" s="440">
        <f t="shared" si="0"/>
        <v>122</v>
      </c>
      <c r="F32" s="440">
        <f t="shared" si="2"/>
        <v>36.714285714285715</v>
      </c>
    </row>
    <row r="33" spans="1:6" s="206" customFormat="1" x14ac:dyDescent="0.25">
      <c r="A33" s="18">
        <v>44126</v>
      </c>
      <c r="B33" s="324">
        <v>4611</v>
      </c>
      <c r="C33" s="309">
        <v>64.400000000000006</v>
      </c>
      <c r="D33" s="309">
        <v>63.6</v>
      </c>
      <c r="E33" s="440">
        <f t="shared" si="0"/>
        <v>38</v>
      </c>
      <c r="F33" s="440">
        <f t="shared" si="2"/>
        <v>47.571428571428569</v>
      </c>
    </row>
    <row r="34" spans="1:6" s="206" customFormat="1" x14ac:dyDescent="0.25">
      <c r="A34" s="18">
        <v>44127</v>
      </c>
      <c r="B34" s="324">
        <v>4696</v>
      </c>
      <c r="C34" s="309">
        <v>63.9</v>
      </c>
      <c r="D34" s="309">
        <v>62.4</v>
      </c>
      <c r="E34" s="440">
        <f t="shared" si="0"/>
        <v>85</v>
      </c>
      <c r="F34" s="440">
        <f t="shared" si="2"/>
        <v>50</v>
      </c>
    </row>
    <row r="35" spans="1:6" s="206" customFormat="1" x14ac:dyDescent="0.25">
      <c r="A35" s="18">
        <v>44128</v>
      </c>
      <c r="B35" s="324">
        <v>4850</v>
      </c>
      <c r="C35" s="309">
        <v>63.8</v>
      </c>
      <c r="D35" s="309">
        <v>61.8</v>
      </c>
      <c r="E35" s="440">
        <f t="shared" si="0"/>
        <v>154</v>
      </c>
      <c r="F35" s="440">
        <f t="shared" si="2"/>
        <v>66.285714285714292</v>
      </c>
    </row>
    <row r="36" spans="1:6" s="206" customFormat="1" x14ac:dyDescent="0.25">
      <c r="A36" s="18">
        <v>44129</v>
      </c>
      <c r="B36" s="324">
        <v>4863</v>
      </c>
      <c r="C36" s="309">
        <v>63.5</v>
      </c>
      <c r="D36" s="309">
        <v>62.4</v>
      </c>
      <c r="E36" s="440">
        <f t="shared" si="0"/>
        <v>13</v>
      </c>
      <c r="F36" s="440">
        <f t="shared" si="2"/>
        <v>68</v>
      </c>
    </row>
    <row r="37" spans="1:6" s="206" customFormat="1" x14ac:dyDescent="0.25">
      <c r="A37" s="18">
        <v>44130</v>
      </c>
      <c r="B37" s="324">
        <v>5038</v>
      </c>
      <c r="C37" s="309">
        <v>64</v>
      </c>
      <c r="D37" s="309">
        <v>61.8</v>
      </c>
      <c r="E37" s="440">
        <f t="shared" si="0"/>
        <v>175</v>
      </c>
      <c r="F37" s="440">
        <f t="shared" si="2"/>
        <v>92.285714285714292</v>
      </c>
    </row>
    <row r="38" spans="1:6" s="206" customFormat="1" x14ac:dyDescent="0.25">
      <c r="A38" s="18">
        <v>44131</v>
      </c>
      <c r="B38" s="324">
        <v>4952</v>
      </c>
      <c r="C38" s="309">
        <v>64.400000000000006</v>
      </c>
      <c r="D38" s="309">
        <v>63</v>
      </c>
      <c r="E38" s="440">
        <f t="shared" si="0"/>
        <v>-86</v>
      </c>
      <c r="F38" s="440">
        <f t="shared" si="2"/>
        <v>71.571428571428569</v>
      </c>
    </row>
    <row r="39" spans="1:6" s="206" customFormat="1" x14ac:dyDescent="0.25">
      <c r="A39" s="18">
        <v>44132</v>
      </c>
      <c r="B39" s="324">
        <v>5037</v>
      </c>
      <c r="C39" s="309">
        <v>64.400000000000006</v>
      </c>
      <c r="D39" s="309">
        <v>62.5</v>
      </c>
      <c r="E39" s="440">
        <f t="shared" si="0"/>
        <v>85</v>
      </c>
      <c r="F39" s="440">
        <f t="shared" si="2"/>
        <v>66.285714285714292</v>
      </c>
    </row>
    <row r="40" spans="1:6" s="206" customFormat="1" x14ac:dyDescent="0.25">
      <c r="A40" s="18">
        <v>44133</v>
      </c>
      <c r="B40" s="324">
        <v>4981</v>
      </c>
      <c r="C40" s="309">
        <v>64.8</v>
      </c>
      <c r="D40" s="309">
        <v>62.7</v>
      </c>
      <c r="E40" s="440">
        <f t="shared" si="0"/>
        <v>-56</v>
      </c>
      <c r="F40" s="440">
        <f t="shared" si="2"/>
        <v>52.857142857142854</v>
      </c>
    </row>
    <row r="41" spans="1:6" s="206" customFormat="1" x14ac:dyDescent="0.25">
      <c r="A41" s="18">
        <v>44134</v>
      </c>
      <c r="B41" s="324">
        <v>4981</v>
      </c>
      <c r="C41" s="309">
        <v>64.400000000000006</v>
      </c>
      <c r="D41" s="309">
        <v>61.7</v>
      </c>
      <c r="E41" s="440">
        <f t="shared" si="0"/>
        <v>0</v>
      </c>
      <c r="F41" s="440">
        <f t="shared" si="2"/>
        <v>40.714285714285715</v>
      </c>
    </row>
    <row r="42" spans="1:6" s="206" customFormat="1" x14ac:dyDescent="0.25">
      <c r="A42" s="18">
        <v>44135</v>
      </c>
      <c r="B42" s="324">
        <v>4969</v>
      </c>
      <c r="C42" s="309">
        <v>64.3</v>
      </c>
      <c r="D42" s="309">
        <v>61</v>
      </c>
      <c r="E42" s="440">
        <f t="shared" si="0"/>
        <v>-12</v>
      </c>
      <c r="F42" s="440">
        <f t="shared" si="2"/>
        <v>17</v>
      </c>
    </row>
    <row r="43" spans="1:6" s="206" customFormat="1" x14ac:dyDescent="0.25">
      <c r="A43" s="18">
        <v>44136</v>
      </c>
      <c r="B43" s="324">
        <v>5119</v>
      </c>
      <c r="C43" s="309">
        <v>63.9</v>
      </c>
      <c r="D43" s="309">
        <v>60.6</v>
      </c>
      <c r="E43" s="440">
        <f t="shared" si="0"/>
        <v>150</v>
      </c>
      <c r="F43" s="440">
        <f t="shared" si="2"/>
        <v>36.571428571428569</v>
      </c>
    </row>
    <row r="44" spans="1:6" s="206" customFormat="1" x14ac:dyDescent="0.25">
      <c r="A44" s="18">
        <v>44137</v>
      </c>
      <c r="B44" s="324">
        <v>4922</v>
      </c>
      <c r="C44" s="309">
        <v>63.6</v>
      </c>
      <c r="D44" s="309">
        <v>60.5</v>
      </c>
      <c r="E44" s="440">
        <f t="shared" si="0"/>
        <v>-197</v>
      </c>
      <c r="F44" s="440">
        <f t="shared" si="2"/>
        <v>-16.571428571428573</v>
      </c>
    </row>
    <row r="45" spans="1:6" s="206" customFormat="1" x14ac:dyDescent="0.25">
      <c r="A45" s="18">
        <v>44138</v>
      </c>
      <c r="B45" s="324">
        <v>4854</v>
      </c>
      <c r="C45" s="309">
        <v>63.6</v>
      </c>
      <c r="D45" s="309">
        <v>61.5</v>
      </c>
      <c r="E45" s="440">
        <f t="shared" si="0"/>
        <v>-68</v>
      </c>
      <c r="F45" s="440">
        <f t="shared" si="2"/>
        <v>-14</v>
      </c>
    </row>
    <row r="46" spans="1:6" s="206" customFormat="1" x14ac:dyDescent="0.25">
      <c r="A46" s="18">
        <v>44139</v>
      </c>
      <c r="B46" s="324">
        <v>4816</v>
      </c>
      <c r="C46" s="309">
        <v>61.1</v>
      </c>
      <c r="D46" s="309">
        <v>61.2</v>
      </c>
      <c r="E46" s="440">
        <f t="shared" si="0"/>
        <v>-38</v>
      </c>
      <c r="F46" s="440">
        <f t="shared" si="2"/>
        <v>-31.571428571428573</v>
      </c>
    </row>
    <row r="47" spans="1:6" s="206" customFormat="1" x14ac:dyDescent="0.25">
      <c r="A47" s="18">
        <v>44140</v>
      </c>
      <c r="B47" s="324">
        <v>4713</v>
      </c>
      <c r="C47" s="309">
        <v>60.6</v>
      </c>
      <c r="D47" s="309">
        <v>60.4</v>
      </c>
      <c r="E47" s="440">
        <f t="shared" si="0"/>
        <v>-103</v>
      </c>
      <c r="F47" s="440">
        <f t="shared" si="2"/>
        <v>-38.285714285714285</v>
      </c>
    </row>
    <row r="48" spans="1:6" s="206" customFormat="1" x14ac:dyDescent="0.25">
      <c r="A48" s="18">
        <v>44141</v>
      </c>
      <c r="B48" s="324">
        <v>4666</v>
      </c>
      <c r="C48" s="309">
        <v>59.2</v>
      </c>
      <c r="D48" s="309">
        <v>60</v>
      </c>
      <c r="E48" s="440">
        <f t="shared" si="0"/>
        <v>-47</v>
      </c>
      <c r="F48" s="440">
        <f t="shared" si="2"/>
        <v>-45</v>
      </c>
    </row>
    <row r="49" spans="1:6" s="206" customFormat="1" x14ac:dyDescent="0.25">
      <c r="A49" s="18">
        <v>44142</v>
      </c>
      <c r="B49" s="324">
        <v>4593</v>
      </c>
      <c r="C49" s="309">
        <v>58.3</v>
      </c>
      <c r="D49" s="309">
        <v>59.6</v>
      </c>
      <c r="E49" s="440">
        <f t="shared" si="0"/>
        <v>-73</v>
      </c>
      <c r="F49" s="440">
        <f t="shared" si="2"/>
        <v>-53.714285714285715</v>
      </c>
    </row>
    <row r="50" spans="1:6" s="206" customFormat="1" x14ac:dyDescent="0.25">
      <c r="A50" s="18">
        <v>44143</v>
      </c>
      <c r="B50" s="324">
        <v>4608</v>
      </c>
      <c r="C50" s="309">
        <v>58.1</v>
      </c>
      <c r="D50" s="309">
        <v>59.7</v>
      </c>
      <c r="E50" s="440">
        <f t="shared" si="0"/>
        <v>15</v>
      </c>
      <c r="F50" s="440">
        <f t="shared" si="2"/>
        <v>-73</v>
      </c>
    </row>
    <row r="51" spans="1:6" s="206" customFormat="1" x14ac:dyDescent="0.25">
      <c r="A51" s="18">
        <v>44144</v>
      </c>
      <c r="B51" s="324">
        <v>4577</v>
      </c>
      <c r="C51" s="309">
        <v>57.8</v>
      </c>
      <c r="D51" s="309">
        <v>58.9</v>
      </c>
      <c r="E51" s="440">
        <f t="shared" si="0"/>
        <v>-31</v>
      </c>
      <c r="F51" s="440">
        <f t="shared" si="2"/>
        <v>-49.285714285714285</v>
      </c>
    </row>
    <row r="52" spans="1:6" s="206" customFormat="1" x14ac:dyDescent="0.25">
      <c r="A52" s="18">
        <v>44145</v>
      </c>
      <c r="B52" s="324">
        <v>4494</v>
      </c>
      <c r="C52" s="309">
        <v>57.7</v>
      </c>
      <c r="D52" s="309">
        <v>59.9</v>
      </c>
      <c r="E52" s="440">
        <f t="shared" si="0"/>
        <v>-83</v>
      </c>
      <c r="F52" s="440">
        <f t="shared" si="2"/>
        <v>-51.428571428571431</v>
      </c>
    </row>
    <row r="53" spans="1:6" s="206" customFormat="1" x14ac:dyDescent="0.25">
      <c r="A53" s="18">
        <v>44146</v>
      </c>
      <c r="B53" s="324">
        <v>4418</v>
      </c>
      <c r="C53" s="309">
        <v>58.3</v>
      </c>
      <c r="D53" s="309">
        <v>60.6</v>
      </c>
      <c r="E53" s="440">
        <f t="shared" si="0"/>
        <v>-76</v>
      </c>
      <c r="F53" s="440">
        <f t="shared" si="2"/>
        <v>-56.857142857142854</v>
      </c>
    </row>
    <row r="54" spans="1:6" s="206" customFormat="1" x14ac:dyDescent="0.25">
      <c r="A54" s="18">
        <v>44147</v>
      </c>
      <c r="B54" s="324">
        <v>4397</v>
      </c>
      <c r="C54" s="309">
        <v>57.8</v>
      </c>
      <c r="D54" s="309">
        <v>60.4</v>
      </c>
      <c r="E54" s="440">
        <f t="shared" si="0"/>
        <v>-21</v>
      </c>
      <c r="F54" s="440">
        <f t="shared" si="2"/>
        <v>-45.142857142857146</v>
      </c>
    </row>
    <row r="55" spans="1:6" s="206" customFormat="1" x14ac:dyDescent="0.25">
      <c r="A55" s="18">
        <v>44148</v>
      </c>
      <c r="B55" s="324">
        <v>4381</v>
      </c>
      <c r="C55" s="309">
        <v>58.3</v>
      </c>
      <c r="D55" s="309">
        <v>60.7</v>
      </c>
      <c r="E55" s="440">
        <f t="shared" si="0"/>
        <v>-16</v>
      </c>
      <c r="F55" s="440">
        <f t="shared" si="2"/>
        <v>-40.714285714285715</v>
      </c>
    </row>
    <row r="56" spans="1:6" s="206" customFormat="1" x14ac:dyDescent="0.25">
      <c r="A56" s="18">
        <v>44149</v>
      </c>
      <c r="B56" s="324">
        <v>4346</v>
      </c>
      <c r="C56" s="309">
        <v>58.1</v>
      </c>
      <c r="D56" s="309">
        <v>59.7</v>
      </c>
      <c r="E56" s="440">
        <f t="shared" si="0"/>
        <v>-35</v>
      </c>
      <c r="F56" s="440">
        <f t="shared" si="2"/>
        <v>-35.285714285714285</v>
      </c>
    </row>
    <row r="57" spans="1:6" s="206" customFormat="1" x14ac:dyDescent="0.25">
      <c r="A57" s="18">
        <v>44150</v>
      </c>
      <c r="B57" s="324">
        <v>4365</v>
      </c>
      <c r="C57" s="309">
        <v>58</v>
      </c>
      <c r="D57" s="309">
        <v>59.5</v>
      </c>
      <c r="E57" s="440">
        <f t="shared" si="0"/>
        <v>19</v>
      </c>
      <c r="F57" s="440">
        <f t="shared" si="2"/>
        <v>-34.714285714285715</v>
      </c>
    </row>
    <row r="58" spans="1:6" s="206" customFormat="1" x14ac:dyDescent="0.25">
      <c r="A58" s="18">
        <v>44151</v>
      </c>
      <c r="B58" s="324">
        <v>4322</v>
      </c>
      <c r="C58" s="309">
        <v>58.2</v>
      </c>
      <c r="D58" s="309">
        <v>59.7</v>
      </c>
      <c r="E58" s="440">
        <f t="shared" si="0"/>
        <v>-43</v>
      </c>
      <c r="F58" s="440">
        <f t="shared" si="2"/>
        <v>-36.428571428571431</v>
      </c>
    </row>
    <row r="59" spans="1:6" s="206" customFormat="1" x14ac:dyDescent="0.25">
      <c r="A59" s="18">
        <v>44152</v>
      </c>
      <c r="B59" s="324">
        <v>4379</v>
      </c>
      <c r="C59" s="309">
        <v>58.2</v>
      </c>
      <c r="D59" s="309">
        <v>60.4</v>
      </c>
      <c r="E59" s="440">
        <f t="shared" si="0"/>
        <v>57</v>
      </c>
      <c r="F59" s="440">
        <f t="shared" si="2"/>
        <v>-16.428571428571427</v>
      </c>
    </row>
    <row r="60" spans="1:6" s="206" customFormat="1" x14ac:dyDescent="0.25">
      <c r="A60" s="18">
        <v>44153</v>
      </c>
      <c r="B60" s="324">
        <v>4267</v>
      </c>
      <c r="C60" s="309">
        <v>58</v>
      </c>
      <c r="D60" s="309">
        <v>60.5</v>
      </c>
      <c r="E60" s="440">
        <f t="shared" si="0"/>
        <v>-112</v>
      </c>
      <c r="F60" s="440">
        <f t="shared" si="2"/>
        <v>-21.571428571428573</v>
      </c>
    </row>
    <row r="61" spans="1:6" s="206" customFormat="1" x14ac:dyDescent="0.25">
      <c r="A61" s="18">
        <v>44154</v>
      </c>
      <c r="B61" s="324">
        <v>4292</v>
      </c>
      <c r="C61" s="309">
        <v>57.8</v>
      </c>
      <c r="D61" s="309">
        <v>61</v>
      </c>
      <c r="E61" s="440">
        <f t="shared" si="0"/>
        <v>25</v>
      </c>
      <c r="F61" s="440">
        <f t="shared" si="2"/>
        <v>-15</v>
      </c>
    </row>
    <row r="62" spans="1:6" s="206" customFormat="1" x14ac:dyDescent="0.25">
      <c r="A62" s="18">
        <v>44155</v>
      </c>
      <c r="B62" s="324">
        <v>4187</v>
      </c>
      <c r="C62" s="309">
        <v>57.6</v>
      </c>
      <c r="D62" s="309">
        <v>60.7</v>
      </c>
      <c r="E62" s="440">
        <f t="shared" si="0"/>
        <v>-105</v>
      </c>
      <c r="F62" s="440">
        <f t="shared" si="2"/>
        <v>-27.714285714285715</v>
      </c>
    </row>
    <row r="63" spans="1:6" s="206" customFormat="1" x14ac:dyDescent="0.25">
      <c r="A63" s="18">
        <v>44156</v>
      </c>
      <c r="B63" s="324">
        <v>4132</v>
      </c>
      <c r="C63" s="309">
        <v>57.3</v>
      </c>
      <c r="D63" s="309">
        <v>59.2</v>
      </c>
      <c r="E63" s="440">
        <f t="shared" si="0"/>
        <v>-55</v>
      </c>
      <c r="F63" s="440">
        <f t="shared" si="2"/>
        <v>-30.571428571428573</v>
      </c>
    </row>
    <row r="64" spans="1:6" s="206" customFormat="1" x14ac:dyDescent="0.25">
      <c r="A64" s="18">
        <v>44157</v>
      </c>
      <c r="B64" s="324">
        <v>4245</v>
      </c>
      <c r="C64" s="309">
        <v>57</v>
      </c>
      <c r="D64" s="309">
        <v>59</v>
      </c>
      <c r="E64" s="440">
        <f t="shared" si="0"/>
        <v>113</v>
      </c>
      <c r="F64" s="440">
        <f t="shared" si="2"/>
        <v>-17.142857142857142</v>
      </c>
    </row>
    <row r="65" spans="1:6" s="206" customFormat="1" x14ac:dyDescent="0.25">
      <c r="A65" s="18">
        <v>44158</v>
      </c>
      <c r="B65" s="325">
        <v>4166</v>
      </c>
      <c r="C65" s="307">
        <v>57.1</v>
      </c>
      <c r="D65" s="307">
        <v>58.6</v>
      </c>
      <c r="E65" s="440">
        <f t="shared" si="0"/>
        <v>-79</v>
      </c>
      <c r="F65" s="440">
        <f t="shared" si="2"/>
        <v>-22.285714285714285</v>
      </c>
    </row>
    <row r="66" spans="1:6" s="206" customFormat="1" x14ac:dyDescent="0.25">
      <c r="A66" s="18">
        <v>44159</v>
      </c>
      <c r="B66" s="325">
        <v>4148</v>
      </c>
      <c r="C66" s="307">
        <v>57.1</v>
      </c>
      <c r="D66" s="307">
        <v>59.2</v>
      </c>
      <c r="E66" s="440">
        <f t="shared" si="0"/>
        <v>-18</v>
      </c>
      <c r="F66" s="440">
        <f t="shared" si="2"/>
        <v>-33</v>
      </c>
    </row>
    <row r="67" spans="1:6" s="206" customFormat="1" x14ac:dyDescent="0.25">
      <c r="A67" s="18">
        <v>44160</v>
      </c>
      <c r="B67" s="325">
        <v>4039</v>
      </c>
      <c r="C67" s="307">
        <v>57.6</v>
      </c>
      <c r="D67" s="307">
        <v>59.1</v>
      </c>
      <c r="E67" s="440">
        <f t="shared" si="0"/>
        <v>-109</v>
      </c>
      <c r="F67" s="440">
        <f t="shared" si="2"/>
        <v>-32.571428571428569</v>
      </c>
    </row>
    <row r="68" spans="1:6" s="206" customFormat="1" x14ac:dyDescent="0.25">
      <c r="A68" s="18">
        <v>44161</v>
      </c>
      <c r="B68" s="325">
        <v>3960</v>
      </c>
      <c r="C68" s="307">
        <v>56.6</v>
      </c>
      <c r="D68" s="307">
        <v>59.2</v>
      </c>
      <c r="E68" s="440">
        <f t="shared" si="0"/>
        <v>-79</v>
      </c>
      <c r="F68" s="440">
        <f t="shared" si="2"/>
        <v>-47.428571428571431</v>
      </c>
    </row>
    <row r="69" spans="1:6" s="206" customFormat="1" x14ac:dyDescent="0.25">
      <c r="A69" s="18">
        <v>44162</v>
      </c>
      <c r="B69" s="325">
        <v>4120</v>
      </c>
      <c r="C69" s="307">
        <v>56.2</v>
      </c>
      <c r="D69" s="307">
        <v>59.2</v>
      </c>
      <c r="E69" s="440">
        <f t="shared" si="0"/>
        <v>160</v>
      </c>
      <c r="F69" s="440">
        <f t="shared" si="2"/>
        <v>-9.5714285714285712</v>
      </c>
    </row>
    <row r="70" spans="1:6" s="206" customFormat="1" x14ac:dyDescent="0.25">
      <c r="A70" s="18">
        <v>44163</v>
      </c>
      <c r="B70" s="325">
        <v>4021</v>
      </c>
      <c r="C70" s="307">
        <v>56.1</v>
      </c>
      <c r="D70" s="307">
        <v>58.7</v>
      </c>
      <c r="E70" s="440">
        <f t="shared" ref="E70:E133" si="3">B70-B69</f>
        <v>-99</v>
      </c>
      <c r="F70" s="440">
        <f t="shared" si="2"/>
        <v>-15.857142857142858</v>
      </c>
    </row>
    <row r="71" spans="1:6" s="206" customFormat="1" x14ac:dyDescent="0.25">
      <c r="A71" s="18">
        <v>44164</v>
      </c>
      <c r="B71" s="325">
        <v>4013</v>
      </c>
      <c r="C71" s="307">
        <v>56.2</v>
      </c>
      <c r="D71" s="307">
        <v>59.8</v>
      </c>
      <c r="E71" s="440">
        <f t="shared" si="3"/>
        <v>-8</v>
      </c>
      <c r="F71" s="440">
        <f t="shared" si="2"/>
        <v>-33.142857142857146</v>
      </c>
    </row>
    <row r="72" spans="1:6" s="206" customFormat="1" x14ac:dyDescent="0.25">
      <c r="A72" s="18">
        <v>44165</v>
      </c>
      <c r="B72" s="325">
        <v>4062</v>
      </c>
      <c r="C72" s="307">
        <v>56.5</v>
      </c>
      <c r="D72" s="307">
        <v>60</v>
      </c>
      <c r="E72" s="440">
        <f t="shared" si="3"/>
        <v>49</v>
      </c>
      <c r="F72" s="440">
        <f t="shared" si="2"/>
        <v>-14.857142857142858</v>
      </c>
    </row>
    <row r="73" spans="1:6" s="206" customFormat="1" x14ac:dyDescent="0.25">
      <c r="A73" s="18">
        <v>44166</v>
      </c>
      <c r="B73" s="325">
        <v>3946</v>
      </c>
      <c r="C73" s="307">
        <v>55.9</v>
      </c>
      <c r="D73" s="307">
        <v>60.1</v>
      </c>
      <c r="E73" s="440">
        <f t="shared" si="3"/>
        <v>-116</v>
      </c>
      <c r="F73" s="440">
        <f t="shared" si="2"/>
        <v>-28.857142857142858</v>
      </c>
    </row>
    <row r="74" spans="1:6" s="206" customFormat="1" x14ac:dyDescent="0.25">
      <c r="A74" s="18">
        <v>44167</v>
      </c>
      <c r="B74" s="325">
        <v>3983</v>
      </c>
      <c r="C74" s="307">
        <v>56</v>
      </c>
      <c r="D74" s="307">
        <v>60.6</v>
      </c>
      <c r="E74" s="440">
        <f t="shared" si="3"/>
        <v>37</v>
      </c>
      <c r="F74" s="440">
        <f t="shared" si="2"/>
        <v>-8</v>
      </c>
    </row>
    <row r="75" spans="1:6" s="206" customFormat="1" x14ac:dyDescent="0.25">
      <c r="A75" s="18">
        <v>44168</v>
      </c>
      <c r="B75" s="325">
        <v>3916</v>
      </c>
      <c r="C75" s="307">
        <v>56</v>
      </c>
      <c r="D75" s="307">
        <v>60.4</v>
      </c>
      <c r="E75" s="440">
        <f t="shared" si="3"/>
        <v>-67</v>
      </c>
      <c r="F75" s="440">
        <f t="shared" si="2"/>
        <v>-6.2857142857142856</v>
      </c>
    </row>
    <row r="76" spans="1:6" s="206" customFormat="1" x14ac:dyDescent="0.25">
      <c r="A76" s="18">
        <v>44169</v>
      </c>
      <c r="B76" s="325">
        <v>3929</v>
      </c>
      <c r="C76" s="307">
        <v>55.7</v>
      </c>
      <c r="D76" s="307">
        <v>60.2</v>
      </c>
      <c r="E76" s="440">
        <f t="shared" si="3"/>
        <v>13</v>
      </c>
      <c r="F76" s="440">
        <f t="shared" si="2"/>
        <v>-27.285714285714285</v>
      </c>
    </row>
    <row r="77" spans="1:6" s="206" customFormat="1" x14ac:dyDescent="0.25">
      <c r="A77" s="18">
        <v>44170</v>
      </c>
      <c r="B77" s="325">
        <v>3757</v>
      </c>
      <c r="C77" s="307">
        <v>55.5</v>
      </c>
      <c r="D77" s="307">
        <v>60.2</v>
      </c>
      <c r="E77" s="440">
        <f t="shared" si="3"/>
        <v>-172</v>
      </c>
      <c r="F77" s="440">
        <f t="shared" si="2"/>
        <v>-37.714285714285715</v>
      </c>
    </row>
    <row r="78" spans="1:6" s="206" customFormat="1" x14ac:dyDescent="0.25">
      <c r="A78" s="18">
        <v>44171</v>
      </c>
      <c r="B78" s="325">
        <v>3735</v>
      </c>
      <c r="C78" s="307">
        <v>55.2</v>
      </c>
      <c r="D78" s="307">
        <v>59.5</v>
      </c>
      <c r="E78" s="440">
        <f t="shared" si="3"/>
        <v>-22</v>
      </c>
      <c r="F78" s="440">
        <f t="shared" si="2"/>
        <v>-39.714285714285715</v>
      </c>
    </row>
    <row r="79" spans="1:6" s="206" customFormat="1" x14ac:dyDescent="0.25">
      <c r="A79" s="18">
        <v>44172</v>
      </c>
      <c r="B79" s="325">
        <v>3723</v>
      </c>
      <c r="C79" s="307">
        <v>54.8</v>
      </c>
      <c r="D79" s="307">
        <v>58.9</v>
      </c>
      <c r="E79" s="440">
        <f t="shared" si="3"/>
        <v>-12</v>
      </c>
      <c r="F79" s="440">
        <f t="shared" si="2"/>
        <v>-48.428571428571431</v>
      </c>
    </row>
    <row r="80" spans="1:6" s="206" customFormat="1" x14ac:dyDescent="0.25">
      <c r="A80" s="18">
        <v>44173</v>
      </c>
      <c r="B80" s="325">
        <v>3715</v>
      </c>
      <c r="C80" s="307">
        <v>54.4</v>
      </c>
      <c r="D80" s="307">
        <v>58.2</v>
      </c>
      <c r="E80" s="440">
        <f t="shared" si="3"/>
        <v>-8</v>
      </c>
      <c r="F80" s="440">
        <f t="shared" si="2"/>
        <v>-33</v>
      </c>
    </row>
    <row r="81" spans="1:6" s="206" customFormat="1" x14ac:dyDescent="0.25">
      <c r="A81" s="18">
        <v>44174</v>
      </c>
      <c r="B81" s="325">
        <v>3688</v>
      </c>
      <c r="C81" s="307">
        <v>54.4</v>
      </c>
      <c r="D81" s="307">
        <v>58.4</v>
      </c>
      <c r="E81" s="440">
        <f t="shared" si="3"/>
        <v>-27</v>
      </c>
      <c r="F81" s="440">
        <f t="shared" si="2"/>
        <v>-42.142857142857146</v>
      </c>
    </row>
    <row r="82" spans="1:6" s="206" customFormat="1" x14ac:dyDescent="0.25">
      <c r="A82" s="18">
        <v>44175</v>
      </c>
      <c r="B82" s="325">
        <v>3665</v>
      </c>
      <c r="C82" s="307">
        <v>54.6</v>
      </c>
      <c r="D82" s="307">
        <v>59.2</v>
      </c>
      <c r="E82" s="440">
        <f t="shared" si="3"/>
        <v>-23</v>
      </c>
      <c r="F82" s="440">
        <f t="shared" si="2"/>
        <v>-35.857142857142854</v>
      </c>
    </row>
    <row r="83" spans="1:6" s="206" customFormat="1" x14ac:dyDescent="0.25">
      <c r="A83" s="18">
        <v>44176</v>
      </c>
      <c r="B83" s="325">
        <v>3620</v>
      </c>
      <c r="C83" s="307">
        <v>55.3</v>
      </c>
      <c r="D83" s="307">
        <v>60.1</v>
      </c>
      <c r="E83" s="440">
        <f t="shared" si="3"/>
        <v>-45</v>
      </c>
      <c r="F83" s="440">
        <f t="shared" si="2"/>
        <v>-44.142857142857146</v>
      </c>
    </row>
    <row r="84" spans="1:6" s="206" customFormat="1" x14ac:dyDescent="0.25">
      <c r="A84" s="18">
        <v>44177</v>
      </c>
      <c r="B84" s="325">
        <v>3594</v>
      </c>
      <c r="C84" s="307">
        <v>54.8</v>
      </c>
      <c r="D84" s="307">
        <v>59.2</v>
      </c>
      <c r="E84" s="440">
        <f t="shared" si="3"/>
        <v>-26</v>
      </c>
      <c r="F84" s="440">
        <f t="shared" si="2"/>
        <v>-23.285714285714285</v>
      </c>
    </row>
    <row r="85" spans="1:6" s="206" customFormat="1" x14ac:dyDescent="0.25">
      <c r="A85" s="18">
        <v>44178</v>
      </c>
      <c r="B85" s="326">
        <v>3537</v>
      </c>
      <c r="C85" s="306">
        <v>54.5</v>
      </c>
      <c r="D85" s="307">
        <v>58.3</v>
      </c>
      <c r="E85" s="440">
        <f t="shared" si="3"/>
        <v>-57</v>
      </c>
      <c r="F85" s="440">
        <f t="shared" si="2"/>
        <v>-28.285714285714285</v>
      </c>
    </row>
    <row r="86" spans="1:6" s="206" customFormat="1" x14ac:dyDescent="0.25">
      <c r="A86" s="18">
        <v>44179</v>
      </c>
      <c r="B86" s="325">
        <v>3478</v>
      </c>
      <c r="C86" s="307">
        <v>54.2</v>
      </c>
      <c r="D86" s="307">
        <v>57.9</v>
      </c>
      <c r="E86" s="440">
        <f t="shared" si="3"/>
        <v>-59</v>
      </c>
      <c r="F86" s="440">
        <f t="shared" ref="F86:F149" si="4">AVERAGE(E80:E86)</f>
        <v>-35</v>
      </c>
    </row>
    <row r="87" spans="1:6" s="206" customFormat="1" x14ac:dyDescent="0.25">
      <c r="A87" s="18">
        <v>44180</v>
      </c>
      <c r="B87" s="325">
        <v>3475</v>
      </c>
      <c r="C87" s="307">
        <v>54.4</v>
      </c>
      <c r="D87" s="307">
        <v>57.7</v>
      </c>
      <c r="E87" s="440">
        <f t="shared" si="3"/>
        <v>-3</v>
      </c>
      <c r="F87" s="440">
        <f t="shared" si="4"/>
        <v>-34.285714285714285</v>
      </c>
    </row>
    <row r="88" spans="1:6" s="206" customFormat="1" x14ac:dyDescent="0.25">
      <c r="A88" s="18">
        <v>44181</v>
      </c>
      <c r="B88" s="325">
        <v>3443</v>
      </c>
      <c r="C88" s="307">
        <v>54.6</v>
      </c>
      <c r="D88" s="307">
        <v>58.3</v>
      </c>
      <c r="E88" s="440">
        <f t="shared" si="3"/>
        <v>-32</v>
      </c>
      <c r="F88" s="440">
        <f t="shared" si="4"/>
        <v>-35</v>
      </c>
    </row>
    <row r="89" spans="1:6" s="206" customFormat="1" x14ac:dyDescent="0.25">
      <c r="A89" s="18">
        <v>44182</v>
      </c>
      <c r="B89" s="325">
        <v>3471</v>
      </c>
      <c r="C89" s="307">
        <v>54.6</v>
      </c>
      <c r="D89" s="307">
        <v>58.8</v>
      </c>
      <c r="E89" s="440">
        <f t="shared" si="3"/>
        <v>28</v>
      </c>
      <c r="F89" s="440">
        <f t="shared" si="4"/>
        <v>-27.714285714285715</v>
      </c>
    </row>
    <row r="90" spans="1:6" s="206" customFormat="1" x14ac:dyDescent="0.25">
      <c r="A90" s="18">
        <v>44183</v>
      </c>
      <c r="B90" s="325">
        <v>3434</v>
      </c>
      <c r="C90" s="307">
        <v>54.4</v>
      </c>
      <c r="D90" s="307">
        <v>58.4</v>
      </c>
      <c r="E90" s="440">
        <f t="shared" si="3"/>
        <v>-37</v>
      </c>
      <c r="F90" s="440">
        <f t="shared" si="4"/>
        <v>-26.571428571428573</v>
      </c>
    </row>
    <row r="91" spans="1:6" s="206" customFormat="1" x14ac:dyDescent="0.25">
      <c r="A91" s="18">
        <v>44184</v>
      </c>
      <c r="B91" s="325">
        <v>3452</v>
      </c>
      <c r="C91" s="307">
        <v>54.7</v>
      </c>
      <c r="D91" s="307">
        <v>59</v>
      </c>
      <c r="E91" s="440">
        <f t="shared" si="3"/>
        <v>18</v>
      </c>
      <c r="F91" s="440">
        <f t="shared" si="4"/>
        <v>-20.285714285714285</v>
      </c>
    </row>
    <row r="92" spans="1:6" s="206" customFormat="1" x14ac:dyDescent="0.25">
      <c r="A92" s="18">
        <v>44185</v>
      </c>
      <c r="B92" s="325">
        <v>3462</v>
      </c>
      <c r="C92" s="307">
        <v>54.4</v>
      </c>
      <c r="D92" s="307">
        <v>58.5</v>
      </c>
      <c r="E92" s="440">
        <f t="shared" si="3"/>
        <v>10</v>
      </c>
      <c r="F92" s="440">
        <f t="shared" si="4"/>
        <v>-10.714285714285714</v>
      </c>
    </row>
    <row r="93" spans="1:6" s="206" customFormat="1" x14ac:dyDescent="0.25">
      <c r="A93" s="18">
        <v>44186</v>
      </c>
      <c r="B93" s="325">
        <v>3367</v>
      </c>
      <c r="C93" s="307">
        <v>54.2</v>
      </c>
      <c r="D93" s="307">
        <v>58.6</v>
      </c>
      <c r="E93" s="440">
        <f t="shared" si="3"/>
        <v>-95</v>
      </c>
      <c r="F93" s="440">
        <f t="shared" si="4"/>
        <v>-15.857142857142858</v>
      </c>
    </row>
    <row r="94" spans="1:6" s="206" customFormat="1" x14ac:dyDescent="0.25">
      <c r="A94" s="18">
        <v>44187</v>
      </c>
      <c r="B94" s="325">
        <v>3399</v>
      </c>
      <c r="C94" s="307">
        <v>54.1</v>
      </c>
      <c r="D94" s="307">
        <v>58.6</v>
      </c>
      <c r="E94" s="440">
        <f t="shared" si="3"/>
        <v>32</v>
      </c>
      <c r="F94" s="440">
        <f t="shared" si="4"/>
        <v>-10.857142857142858</v>
      </c>
    </row>
    <row r="95" spans="1:6" s="206" customFormat="1" x14ac:dyDescent="0.25">
      <c r="A95" s="18">
        <v>44188</v>
      </c>
      <c r="B95" s="325">
        <v>3390</v>
      </c>
      <c r="C95" s="307">
        <v>54</v>
      </c>
      <c r="D95" s="307">
        <v>58.9</v>
      </c>
      <c r="E95" s="440">
        <f t="shared" si="3"/>
        <v>-9</v>
      </c>
      <c r="F95" s="440">
        <f t="shared" si="4"/>
        <v>-7.5714285714285712</v>
      </c>
    </row>
    <row r="96" spans="1:6" s="206" customFormat="1" x14ac:dyDescent="0.25">
      <c r="A96" s="18">
        <v>44189</v>
      </c>
      <c r="B96" s="325">
        <v>3390</v>
      </c>
      <c r="C96" s="307">
        <v>54</v>
      </c>
      <c r="D96" s="307">
        <v>58.9</v>
      </c>
      <c r="E96" s="440">
        <f t="shared" si="3"/>
        <v>0</v>
      </c>
      <c r="F96" s="440">
        <f t="shared" si="4"/>
        <v>-11.571428571428571</v>
      </c>
    </row>
    <row r="97" spans="1:6" s="206" customFormat="1" x14ac:dyDescent="0.25">
      <c r="A97" s="18">
        <v>44190</v>
      </c>
      <c r="B97" s="325">
        <v>3390</v>
      </c>
      <c r="C97" s="307">
        <v>54</v>
      </c>
      <c r="D97" s="307">
        <v>58.9</v>
      </c>
      <c r="E97" s="440">
        <f t="shared" si="3"/>
        <v>0</v>
      </c>
      <c r="F97" s="440">
        <f t="shared" si="4"/>
        <v>-6.2857142857142856</v>
      </c>
    </row>
    <row r="98" spans="1:6" s="206" customFormat="1" x14ac:dyDescent="0.25">
      <c r="A98" s="18">
        <v>44191</v>
      </c>
      <c r="B98" s="325">
        <v>3262</v>
      </c>
      <c r="C98" s="307">
        <v>52.4</v>
      </c>
      <c r="D98" s="307">
        <v>55.8</v>
      </c>
      <c r="E98" s="440">
        <f t="shared" si="3"/>
        <v>-128</v>
      </c>
      <c r="F98" s="440">
        <f t="shared" si="4"/>
        <v>-27.142857142857142</v>
      </c>
    </row>
    <row r="99" spans="1:6" s="206" customFormat="1" x14ac:dyDescent="0.25">
      <c r="A99" s="18">
        <v>44192</v>
      </c>
      <c r="B99" s="325">
        <v>3313</v>
      </c>
      <c r="C99" s="307">
        <v>52.6</v>
      </c>
      <c r="D99" s="307">
        <v>56.2</v>
      </c>
      <c r="E99" s="440">
        <f t="shared" si="3"/>
        <v>51</v>
      </c>
      <c r="F99" s="440">
        <f t="shared" si="4"/>
        <v>-21.285714285714285</v>
      </c>
    </row>
    <row r="100" spans="1:6" s="206" customFormat="1" x14ac:dyDescent="0.25">
      <c r="A100" s="18">
        <v>44193</v>
      </c>
      <c r="B100" s="325">
        <v>3319</v>
      </c>
      <c r="C100" s="307">
        <v>52.6</v>
      </c>
      <c r="D100" s="307">
        <v>55.5</v>
      </c>
      <c r="E100" s="440">
        <f t="shared" si="3"/>
        <v>6</v>
      </c>
      <c r="F100" s="440">
        <f t="shared" si="4"/>
        <v>-6.8571428571428568</v>
      </c>
    </row>
    <row r="101" spans="1:6" s="206" customFormat="1" x14ac:dyDescent="0.25">
      <c r="A101" s="18">
        <v>44194</v>
      </c>
      <c r="B101" s="325">
        <v>3345</v>
      </c>
      <c r="C101" s="307">
        <v>53.2</v>
      </c>
      <c r="D101" s="307">
        <v>56.8</v>
      </c>
      <c r="E101" s="440">
        <f t="shared" si="3"/>
        <v>26</v>
      </c>
      <c r="F101" s="440">
        <f t="shared" si="4"/>
        <v>-7.7142857142857144</v>
      </c>
    </row>
    <row r="102" spans="1:6" s="206" customFormat="1" x14ac:dyDescent="0.25">
      <c r="A102" s="18">
        <v>44195</v>
      </c>
      <c r="B102" s="325">
        <v>3440</v>
      </c>
      <c r="C102" s="307">
        <v>53.3</v>
      </c>
      <c r="D102" s="307">
        <v>57</v>
      </c>
      <c r="E102" s="440">
        <f t="shared" si="3"/>
        <v>95</v>
      </c>
      <c r="F102" s="440">
        <f t="shared" si="4"/>
        <v>7.1428571428571432</v>
      </c>
    </row>
    <row r="103" spans="1:6" s="206" customFormat="1" x14ac:dyDescent="0.25">
      <c r="A103" s="18">
        <v>44196</v>
      </c>
      <c r="B103" s="325">
        <v>3440</v>
      </c>
      <c r="C103" s="307">
        <v>53.3</v>
      </c>
      <c r="D103" s="307">
        <v>57</v>
      </c>
      <c r="E103" s="440">
        <f t="shared" si="3"/>
        <v>0</v>
      </c>
      <c r="F103" s="440">
        <f t="shared" si="4"/>
        <v>7.1428571428571432</v>
      </c>
    </row>
    <row r="104" spans="1:6" s="206" customFormat="1" x14ac:dyDescent="0.25">
      <c r="A104" s="18">
        <v>44197</v>
      </c>
      <c r="B104" s="325">
        <v>3440</v>
      </c>
      <c r="C104" s="307">
        <v>53.3</v>
      </c>
      <c r="D104" s="307">
        <v>57</v>
      </c>
      <c r="E104" s="440">
        <f t="shared" si="3"/>
        <v>0</v>
      </c>
      <c r="F104" s="440">
        <f t="shared" si="4"/>
        <v>7.1428571428571432</v>
      </c>
    </row>
    <row r="105" spans="1:6" s="206" customFormat="1" x14ac:dyDescent="0.25">
      <c r="A105" s="18">
        <v>44198</v>
      </c>
      <c r="B105" s="325">
        <v>3438</v>
      </c>
      <c r="C105" s="307">
        <v>52.9</v>
      </c>
      <c r="D105" s="307">
        <v>56.9</v>
      </c>
      <c r="E105" s="440">
        <f t="shared" si="3"/>
        <v>-2</v>
      </c>
      <c r="F105" s="440">
        <f t="shared" si="4"/>
        <v>25.142857142857142</v>
      </c>
    </row>
    <row r="106" spans="1:6" s="206" customFormat="1" x14ac:dyDescent="0.25">
      <c r="A106" s="18">
        <v>44199</v>
      </c>
      <c r="B106" s="325">
        <v>3433</v>
      </c>
      <c r="C106" s="307">
        <v>53</v>
      </c>
      <c r="D106" s="307">
        <v>56.8</v>
      </c>
      <c r="E106" s="440">
        <f t="shared" si="3"/>
        <v>-5</v>
      </c>
      <c r="F106" s="440">
        <f t="shared" si="4"/>
        <v>17.142857142857142</v>
      </c>
    </row>
    <row r="107" spans="1:6" s="206" customFormat="1" x14ac:dyDescent="0.25">
      <c r="A107" s="18">
        <v>44200</v>
      </c>
      <c r="B107" s="325">
        <v>3502</v>
      </c>
      <c r="C107" s="307">
        <v>53.3</v>
      </c>
      <c r="D107" s="307">
        <v>57.3</v>
      </c>
      <c r="E107" s="440">
        <f t="shared" si="3"/>
        <v>69</v>
      </c>
      <c r="F107" s="440">
        <f t="shared" si="4"/>
        <v>26.142857142857142</v>
      </c>
    </row>
    <row r="108" spans="1:6" s="206" customFormat="1" x14ac:dyDescent="0.25">
      <c r="A108" s="18">
        <v>44201</v>
      </c>
      <c r="B108" s="325">
        <v>3460</v>
      </c>
      <c r="C108" s="307">
        <v>54</v>
      </c>
      <c r="D108" s="307">
        <v>58.1</v>
      </c>
      <c r="E108" s="440">
        <f t="shared" si="3"/>
        <v>-42</v>
      </c>
      <c r="F108" s="440">
        <f t="shared" si="4"/>
        <v>16.428571428571427</v>
      </c>
    </row>
    <row r="109" spans="1:6" s="206" customFormat="1" x14ac:dyDescent="0.25">
      <c r="A109" s="18">
        <v>44202</v>
      </c>
      <c r="B109" s="325">
        <v>3521</v>
      </c>
      <c r="C109" s="307">
        <v>54.3</v>
      </c>
      <c r="D109" s="307">
        <v>58.5</v>
      </c>
      <c r="E109" s="440">
        <f t="shared" si="3"/>
        <v>61</v>
      </c>
      <c r="F109" s="440">
        <f t="shared" si="4"/>
        <v>11.571428571428571</v>
      </c>
    </row>
    <row r="110" spans="1:6" s="206" customFormat="1" x14ac:dyDescent="0.25">
      <c r="A110" s="18">
        <v>44203</v>
      </c>
      <c r="B110" s="325">
        <v>3559</v>
      </c>
      <c r="C110" s="307">
        <v>54.7</v>
      </c>
      <c r="D110" s="307">
        <v>59.6</v>
      </c>
      <c r="E110" s="440">
        <f t="shared" si="3"/>
        <v>38</v>
      </c>
      <c r="F110" s="440">
        <f t="shared" si="4"/>
        <v>17</v>
      </c>
    </row>
    <row r="111" spans="1:6" s="206" customFormat="1" x14ac:dyDescent="0.25">
      <c r="A111" s="18">
        <v>44204</v>
      </c>
      <c r="B111" s="325">
        <v>3602</v>
      </c>
      <c r="C111" s="307">
        <v>54.9</v>
      </c>
      <c r="D111" s="307">
        <v>59.1</v>
      </c>
      <c r="E111" s="440">
        <f t="shared" si="3"/>
        <v>43</v>
      </c>
      <c r="F111" s="440">
        <f t="shared" si="4"/>
        <v>23.142857142857142</v>
      </c>
    </row>
    <row r="112" spans="1:6" s="206" customFormat="1" x14ac:dyDescent="0.25">
      <c r="A112" s="18">
        <v>44205</v>
      </c>
      <c r="B112" s="325">
        <v>3597</v>
      </c>
      <c r="C112" s="307">
        <v>55.1</v>
      </c>
      <c r="D112" s="307">
        <v>59.2</v>
      </c>
      <c r="E112" s="440">
        <f t="shared" si="3"/>
        <v>-5</v>
      </c>
      <c r="F112" s="440">
        <f t="shared" si="4"/>
        <v>22.714285714285715</v>
      </c>
    </row>
    <row r="113" spans="1:6" s="206" customFormat="1" x14ac:dyDescent="0.25">
      <c r="A113" s="18">
        <v>44206</v>
      </c>
      <c r="B113" s="325">
        <v>3612</v>
      </c>
      <c r="C113" s="307">
        <v>54.5</v>
      </c>
      <c r="D113" s="307">
        <v>58.4</v>
      </c>
      <c r="E113" s="440">
        <f t="shared" si="3"/>
        <v>15</v>
      </c>
      <c r="F113" s="440">
        <f t="shared" si="4"/>
        <v>25.571428571428573</v>
      </c>
    </row>
    <row r="114" spans="1:6" s="206" customFormat="1" x14ac:dyDescent="0.25">
      <c r="A114" s="18">
        <v>44207</v>
      </c>
      <c r="B114" s="325">
        <v>3606</v>
      </c>
      <c r="C114" s="307">
        <v>54.6</v>
      </c>
      <c r="D114" s="307">
        <v>58.8</v>
      </c>
      <c r="E114" s="440">
        <f t="shared" si="3"/>
        <v>-6</v>
      </c>
      <c r="F114" s="440">
        <f t="shared" si="4"/>
        <v>14.857142857142858</v>
      </c>
    </row>
    <row r="115" spans="1:6" s="206" customFormat="1" x14ac:dyDescent="0.25">
      <c r="A115" s="18">
        <v>44208</v>
      </c>
      <c r="B115" s="325">
        <v>3619</v>
      </c>
      <c r="C115" s="307">
        <v>54.9</v>
      </c>
      <c r="D115" s="307">
        <v>59.1</v>
      </c>
      <c r="E115" s="440">
        <f t="shared" si="3"/>
        <v>13</v>
      </c>
      <c r="F115" s="440">
        <f t="shared" si="4"/>
        <v>22.714285714285715</v>
      </c>
    </row>
    <row r="116" spans="1:6" s="206" customFormat="1" x14ac:dyDescent="0.25">
      <c r="A116" s="18">
        <v>44209</v>
      </c>
      <c r="B116" s="325">
        <v>3636</v>
      </c>
      <c r="C116" s="307">
        <v>55.9</v>
      </c>
      <c r="D116" s="307">
        <v>59.3</v>
      </c>
      <c r="E116" s="440">
        <f t="shared" si="3"/>
        <v>17</v>
      </c>
      <c r="F116" s="440">
        <f t="shared" si="4"/>
        <v>16.428571428571427</v>
      </c>
    </row>
    <row r="117" spans="1:6" s="206" customFormat="1" x14ac:dyDescent="0.25">
      <c r="A117" s="18">
        <v>44210</v>
      </c>
      <c r="B117" s="325">
        <v>3634</v>
      </c>
      <c r="C117" s="307">
        <v>55.2</v>
      </c>
      <c r="D117" s="307">
        <v>59.9</v>
      </c>
      <c r="E117" s="440">
        <f t="shared" si="3"/>
        <v>-2</v>
      </c>
      <c r="F117" s="440">
        <f t="shared" si="4"/>
        <v>10.714285714285714</v>
      </c>
    </row>
    <row r="118" spans="1:6" s="206" customFormat="1" x14ac:dyDescent="0.25">
      <c r="A118" s="18">
        <v>44211</v>
      </c>
      <c r="B118" s="325">
        <v>3578</v>
      </c>
      <c r="C118" s="307">
        <v>53.7</v>
      </c>
      <c r="D118" s="307">
        <v>58.9</v>
      </c>
      <c r="E118" s="440">
        <f t="shared" si="3"/>
        <v>-56</v>
      </c>
      <c r="F118" s="440">
        <f t="shared" si="4"/>
        <v>-3.4285714285714284</v>
      </c>
    </row>
    <row r="119" spans="1:6" s="206" customFormat="1" x14ac:dyDescent="0.25">
      <c r="A119" s="18">
        <v>44212</v>
      </c>
      <c r="B119" s="325">
        <v>3578</v>
      </c>
      <c r="C119" s="307">
        <v>54</v>
      </c>
      <c r="D119" s="307">
        <v>59</v>
      </c>
      <c r="E119" s="440">
        <f t="shared" si="3"/>
        <v>0</v>
      </c>
      <c r="F119" s="440">
        <f t="shared" si="4"/>
        <v>-2.7142857142857144</v>
      </c>
    </row>
    <row r="120" spans="1:6" s="206" customFormat="1" x14ac:dyDescent="0.25">
      <c r="A120" s="18">
        <v>44213</v>
      </c>
      <c r="B120" s="325">
        <v>3547</v>
      </c>
      <c r="C120" s="307">
        <v>53.8</v>
      </c>
      <c r="D120" s="307">
        <v>59</v>
      </c>
      <c r="E120" s="440">
        <f t="shared" si="3"/>
        <v>-31</v>
      </c>
      <c r="F120" s="440">
        <f t="shared" si="4"/>
        <v>-9.2857142857142865</v>
      </c>
    </row>
    <row r="121" spans="1:6" s="206" customFormat="1" x14ac:dyDescent="0.25">
      <c r="A121" s="18">
        <v>44214</v>
      </c>
      <c r="B121" s="325">
        <v>3564</v>
      </c>
      <c r="C121" s="307">
        <v>53.8</v>
      </c>
      <c r="D121" s="307">
        <v>59.1</v>
      </c>
      <c r="E121" s="440">
        <f t="shared" si="3"/>
        <v>17</v>
      </c>
      <c r="F121" s="440">
        <f t="shared" si="4"/>
        <v>-6</v>
      </c>
    </row>
    <row r="122" spans="1:6" s="206" customFormat="1" x14ac:dyDescent="0.25">
      <c r="A122" s="18">
        <v>44215</v>
      </c>
      <c r="B122" s="325">
        <v>3562</v>
      </c>
      <c r="C122" s="307">
        <v>54.5</v>
      </c>
      <c r="D122" s="307">
        <v>60.1</v>
      </c>
      <c r="E122" s="440">
        <f t="shared" si="3"/>
        <v>-2</v>
      </c>
      <c r="F122" s="440">
        <f t="shared" si="4"/>
        <v>-8.1428571428571423</v>
      </c>
    </row>
    <row r="123" spans="1:6" s="206" customFormat="1" x14ac:dyDescent="0.25">
      <c r="A123" s="18">
        <v>44216</v>
      </c>
      <c r="B123" s="325">
        <v>3605</v>
      </c>
      <c r="C123" s="307">
        <v>55</v>
      </c>
      <c r="D123" s="307">
        <v>61.1</v>
      </c>
      <c r="E123" s="440">
        <f t="shared" si="3"/>
        <v>43</v>
      </c>
      <c r="F123" s="440">
        <f t="shared" si="4"/>
        <v>-4.4285714285714288</v>
      </c>
    </row>
    <row r="124" spans="1:6" s="206" customFormat="1" x14ac:dyDescent="0.25">
      <c r="A124" s="18">
        <v>44217</v>
      </c>
      <c r="B124" s="325">
        <v>3616</v>
      </c>
      <c r="C124" s="307">
        <v>54.8</v>
      </c>
      <c r="D124" s="307">
        <v>61.5</v>
      </c>
      <c r="E124" s="440">
        <f t="shared" si="3"/>
        <v>11</v>
      </c>
      <c r="F124" s="440">
        <f t="shared" si="4"/>
        <v>-2.5714285714285716</v>
      </c>
    </row>
    <row r="125" spans="1:6" s="206" customFormat="1" x14ac:dyDescent="0.25">
      <c r="A125" s="18">
        <v>44218</v>
      </c>
      <c r="B125" s="325">
        <v>3631</v>
      </c>
      <c r="C125" s="307">
        <v>55</v>
      </c>
      <c r="D125" s="307">
        <v>61.4</v>
      </c>
      <c r="E125" s="440">
        <f t="shared" si="3"/>
        <v>15</v>
      </c>
      <c r="F125" s="440">
        <f t="shared" si="4"/>
        <v>7.5714285714285712</v>
      </c>
    </row>
    <row r="126" spans="1:6" s="206" customFormat="1" x14ac:dyDescent="0.25">
      <c r="A126" s="18">
        <v>44219</v>
      </c>
      <c r="B126" s="325">
        <v>3618</v>
      </c>
      <c r="C126" s="307">
        <v>54.6</v>
      </c>
      <c r="D126" s="307">
        <v>60.3</v>
      </c>
      <c r="E126" s="440">
        <f t="shared" si="3"/>
        <v>-13</v>
      </c>
      <c r="F126" s="440">
        <f t="shared" si="4"/>
        <v>5.7142857142857144</v>
      </c>
    </row>
    <row r="127" spans="1:6" s="206" customFormat="1" x14ac:dyDescent="0.25">
      <c r="A127" s="18">
        <v>44220</v>
      </c>
      <c r="B127" s="325">
        <v>3619</v>
      </c>
      <c r="C127" s="307">
        <v>54.3</v>
      </c>
      <c r="D127" s="307">
        <v>59.9</v>
      </c>
      <c r="E127" s="440">
        <f t="shared" si="3"/>
        <v>1</v>
      </c>
      <c r="F127" s="440">
        <f t="shared" si="4"/>
        <v>10.285714285714286</v>
      </c>
    </row>
    <row r="128" spans="1:6" s="206" customFormat="1" x14ac:dyDescent="0.25">
      <c r="A128" s="18">
        <v>44221</v>
      </c>
      <c r="B128" s="325">
        <v>3598</v>
      </c>
      <c r="C128" s="307">
        <v>54.6</v>
      </c>
      <c r="D128" s="307">
        <v>60.4</v>
      </c>
      <c r="E128" s="440">
        <f t="shared" si="3"/>
        <v>-21</v>
      </c>
      <c r="F128" s="440">
        <f t="shared" si="4"/>
        <v>4.8571428571428568</v>
      </c>
    </row>
    <row r="129" spans="1:6" s="206" customFormat="1" x14ac:dyDescent="0.25">
      <c r="A129" s="18">
        <v>44222</v>
      </c>
      <c r="B129" s="325">
        <v>3614</v>
      </c>
      <c r="C129" s="307">
        <v>55</v>
      </c>
      <c r="D129" s="307">
        <v>61.1</v>
      </c>
      <c r="E129" s="440">
        <f t="shared" si="3"/>
        <v>16</v>
      </c>
      <c r="F129" s="440">
        <f t="shared" si="4"/>
        <v>7.4285714285714288</v>
      </c>
    </row>
    <row r="130" spans="1:6" s="206" customFormat="1" x14ac:dyDescent="0.25">
      <c r="A130" s="18">
        <v>44223</v>
      </c>
      <c r="B130" s="325">
        <v>3627</v>
      </c>
      <c r="C130" s="307">
        <v>55.8</v>
      </c>
      <c r="D130" s="307">
        <v>62.1</v>
      </c>
      <c r="E130" s="440">
        <f t="shared" si="3"/>
        <v>13</v>
      </c>
      <c r="F130" s="440">
        <f t="shared" si="4"/>
        <v>3.1428571428571428</v>
      </c>
    </row>
    <row r="131" spans="1:6" s="206" customFormat="1" x14ac:dyDescent="0.25">
      <c r="A131" s="18">
        <v>44224</v>
      </c>
      <c r="B131" s="325">
        <v>3607</v>
      </c>
      <c r="C131" s="307">
        <v>55.3</v>
      </c>
      <c r="D131" s="307">
        <v>62</v>
      </c>
      <c r="E131" s="440">
        <f t="shared" si="3"/>
        <v>-20</v>
      </c>
      <c r="F131" s="440">
        <f t="shared" si="4"/>
        <v>-1.2857142857142858</v>
      </c>
    </row>
    <row r="132" spans="1:6" s="206" customFormat="1" x14ac:dyDescent="0.25">
      <c r="A132" s="18">
        <v>44225</v>
      </c>
      <c r="B132" s="325">
        <v>3628</v>
      </c>
      <c r="C132" s="307">
        <v>54.9</v>
      </c>
      <c r="D132" s="307">
        <v>61.5</v>
      </c>
      <c r="E132" s="440">
        <f t="shared" si="3"/>
        <v>21</v>
      </c>
      <c r="F132" s="440">
        <f t="shared" si="4"/>
        <v>-0.42857142857142855</v>
      </c>
    </row>
    <row r="133" spans="1:6" s="206" customFormat="1" x14ac:dyDescent="0.25">
      <c r="A133" s="18">
        <v>44226</v>
      </c>
      <c r="B133" s="325">
        <v>3624</v>
      </c>
      <c r="C133" s="307">
        <v>54.7</v>
      </c>
      <c r="D133" s="307">
        <v>61.1</v>
      </c>
      <c r="E133" s="440">
        <f t="shared" si="3"/>
        <v>-4</v>
      </c>
      <c r="F133" s="440">
        <f t="shared" si="4"/>
        <v>0.8571428571428571</v>
      </c>
    </row>
    <row r="134" spans="1:6" s="206" customFormat="1" x14ac:dyDescent="0.25">
      <c r="A134" s="18">
        <v>44227</v>
      </c>
      <c r="B134" s="325">
        <v>3617</v>
      </c>
      <c r="C134" s="307">
        <v>54.5</v>
      </c>
      <c r="D134" s="307">
        <v>60.7</v>
      </c>
      <c r="E134" s="440">
        <f t="shared" ref="E134:E144" si="5">B134-B133</f>
        <v>-7</v>
      </c>
      <c r="F134" s="440">
        <f t="shared" si="4"/>
        <v>-0.2857142857142857</v>
      </c>
    </row>
    <row r="135" spans="1:6" s="206" customFormat="1" x14ac:dyDescent="0.25">
      <c r="A135" s="18">
        <v>44228</v>
      </c>
      <c r="B135" s="325">
        <v>3554</v>
      </c>
      <c r="C135" s="307">
        <v>54.9</v>
      </c>
      <c r="D135" s="307">
        <v>61.1</v>
      </c>
      <c r="E135" s="440">
        <f t="shared" si="5"/>
        <v>-63</v>
      </c>
      <c r="F135" s="440">
        <f t="shared" si="4"/>
        <v>-6.2857142857142856</v>
      </c>
    </row>
    <row r="136" spans="1:6" s="206" customFormat="1" x14ac:dyDescent="0.25">
      <c r="A136" s="18">
        <v>44229</v>
      </c>
      <c r="B136" s="325">
        <v>3586</v>
      </c>
      <c r="C136" s="307">
        <v>54.4</v>
      </c>
      <c r="D136" s="307">
        <v>60.7</v>
      </c>
      <c r="E136" s="440">
        <f t="shared" si="5"/>
        <v>32</v>
      </c>
      <c r="F136" s="440">
        <f t="shared" si="4"/>
        <v>-4</v>
      </c>
    </row>
    <row r="137" spans="1:6" s="206" customFormat="1" x14ac:dyDescent="0.25">
      <c r="A137" s="18">
        <v>44230</v>
      </c>
      <c r="B137" s="325">
        <v>3571</v>
      </c>
      <c r="C137" s="307">
        <v>54.8</v>
      </c>
      <c r="D137" s="307">
        <v>61.4</v>
      </c>
      <c r="E137" s="440">
        <f t="shared" si="5"/>
        <v>-15</v>
      </c>
      <c r="F137" s="440">
        <f t="shared" si="4"/>
        <v>-8</v>
      </c>
    </row>
    <row r="138" spans="1:6" s="206" customFormat="1" x14ac:dyDescent="0.25">
      <c r="A138" s="18">
        <v>44231</v>
      </c>
      <c r="B138" s="325">
        <v>3570</v>
      </c>
      <c r="C138" s="307">
        <v>54.7</v>
      </c>
      <c r="D138" s="307">
        <v>61.2</v>
      </c>
      <c r="E138" s="440">
        <f t="shared" si="5"/>
        <v>-1</v>
      </c>
      <c r="F138" s="440">
        <f t="shared" si="4"/>
        <v>-5.2857142857142856</v>
      </c>
    </row>
    <row r="139" spans="1:6" s="206" customFormat="1" x14ac:dyDescent="0.25">
      <c r="A139" s="18">
        <v>44232</v>
      </c>
      <c r="B139" s="325">
        <v>3550</v>
      </c>
      <c r="C139" s="307">
        <v>55.4</v>
      </c>
      <c r="D139" s="307">
        <v>61.1</v>
      </c>
      <c r="E139" s="440">
        <f t="shared" si="5"/>
        <v>-20</v>
      </c>
      <c r="F139" s="440">
        <f t="shared" si="4"/>
        <v>-11.142857142857142</v>
      </c>
    </row>
    <row r="140" spans="1:6" s="206" customFormat="1" x14ac:dyDescent="0.25">
      <c r="A140" s="18">
        <v>44233</v>
      </c>
      <c r="B140" s="325">
        <v>3550</v>
      </c>
      <c r="C140" s="307">
        <v>54.8</v>
      </c>
      <c r="D140" s="307">
        <v>60.4</v>
      </c>
      <c r="E140" s="440">
        <f t="shared" si="5"/>
        <v>0</v>
      </c>
      <c r="F140" s="440">
        <f t="shared" si="4"/>
        <v>-10.571428571428571</v>
      </c>
    </row>
    <row r="141" spans="1:6" s="206" customFormat="1" x14ac:dyDescent="0.25">
      <c r="A141" s="18">
        <v>44234</v>
      </c>
      <c r="B141" s="325">
        <v>3550</v>
      </c>
      <c r="C141" s="307">
        <v>54.8</v>
      </c>
      <c r="D141" s="307">
        <v>59.8</v>
      </c>
      <c r="E141" s="440">
        <f t="shared" si="5"/>
        <v>0</v>
      </c>
      <c r="F141" s="440">
        <f t="shared" si="4"/>
        <v>-9.5714285714285712</v>
      </c>
    </row>
    <row r="142" spans="1:6" s="206" customFormat="1" x14ac:dyDescent="0.25">
      <c r="A142" s="18">
        <v>44235</v>
      </c>
      <c r="B142" s="325">
        <v>3526</v>
      </c>
      <c r="C142" s="307">
        <v>54.5</v>
      </c>
      <c r="D142" s="307">
        <v>60.2</v>
      </c>
      <c r="E142" s="440">
        <f t="shared" si="5"/>
        <v>-24</v>
      </c>
      <c r="F142" s="440">
        <f t="shared" si="4"/>
        <v>-4</v>
      </c>
    </row>
    <row r="143" spans="1:6" s="206" customFormat="1" x14ac:dyDescent="0.25">
      <c r="A143" s="18">
        <v>44236</v>
      </c>
      <c r="B143" s="325">
        <v>3553</v>
      </c>
      <c r="C143" s="307">
        <v>54.2</v>
      </c>
      <c r="D143" s="307">
        <v>60.2</v>
      </c>
      <c r="E143" s="440">
        <f t="shared" si="5"/>
        <v>27</v>
      </c>
      <c r="F143" s="440">
        <f t="shared" si="4"/>
        <v>-4.7142857142857144</v>
      </c>
    </row>
    <row r="144" spans="1:6" s="206" customFormat="1" x14ac:dyDescent="0.25">
      <c r="A144" s="18">
        <v>44237</v>
      </c>
      <c r="B144" s="325">
        <v>3561</v>
      </c>
      <c r="C144" s="307">
        <v>54.5</v>
      </c>
      <c r="D144" s="307">
        <v>59.7</v>
      </c>
      <c r="E144" s="440">
        <f t="shared" si="5"/>
        <v>8</v>
      </c>
      <c r="F144" s="440">
        <f t="shared" si="4"/>
        <v>-1.4285714285714286</v>
      </c>
    </row>
    <row r="145" spans="1:6" s="206" customFormat="1" x14ac:dyDescent="0.25">
      <c r="A145" s="18">
        <v>44238</v>
      </c>
      <c r="B145" s="325">
        <v>3541</v>
      </c>
      <c r="C145" s="307">
        <v>54.5</v>
      </c>
      <c r="D145" s="307">
        <v>59.1</v>
      </c>
      <c r="E145" s="440">
        <f t="shared" ref="E145:E165" si="6">B145-B144</f>
        <v>-20</v>
      </c>
      <c r="F145" s="440">
        <f t="shared" si="4"/>
        <v>-4.1428571428571432</v>
      </c>
    </row>
    <row r="146" spans="1:6" s="206" customFormat="1" x14ac:dyDescent="0.25">
      <c r="A146" s="18">
        <v>44239</v>
      </c>
      <c r="B146" s="325">
        <v>3538</v>
      </c>
      <c r="C146" s="307">
        <v>54.6</v>
      </c>
      <c r="D146" s="307">
        <v>59.8</v>
      </c>
      <c r="E146" s="440">
        <f t="shared" si="6"/>
        <v>-3</v>
      </c>
      <c r="F146" s="440">
        <f t="shared" si="4"/>
        <v>-1.7142857142857142</v>
      </c>
    </row>
    <row r="147" spans="1:6" s="206" customFormat="1" x14ac:dyDescent="0.25">
      <c r="A147" s="18">
        <v>44240</v>
      </c>
      <c r="B147" s="325">
        <v>3514</v>
      </c>
      <c r="C147" s="307">
        <v>54.7</v>
      </c>
      <c r="D147" s="307">
        <v>59.9</v>
      </c>
      <c r="E147" s="440">
        <f t="shared" si="6"/>
        <v>-24</v>
      </c>
      <c r="F147" s="440">
        <f t="shared" si="4"/>
        <v>-5.1428571428571432</v>
      </c>
    </row>
    <row r="148" spans="1:6" s="206" customFormat="1" x14ac:dyDescent="0.25">
      <c r="A148" s="18">
        <v>44241</v>
      </c>
      <c r="B148" s="325">
        <v>3547</v>
      </c>
      <c r="C148" s="307">
        <v>54.6</v>
      </c>
      <c r="D148" s="307">
        <v>59.9</v>
      </c>
      <c r="E148" s="440">
        <f t="shared" si="6"/>
        <v>33</v>
      </c>
      <c r="F148" s="440">
        <f t="shared" si="4"/>
        <v>-0.42857142857142855</v>
      </c>
    </row>
    <row r="149" spans="1:6" s="206" customFormat="1" x14ac:dyDescent="0.25">
      <c r="A149" s="18">
        <v>44242</v>
      </c>
      <c r="B149" s="325">
        <v>3538</v>
      </c>
      <c r="C149" s="307">
        <v>54.2</v>
      </c>
      <c r="D149" s="307">
        <v>58.8</v>
      </c>
      <c r="E149" s="440">
        <f t="shared" si="6"/>
        <v>-9</v>
      </c>
      <c r="F149" s="440">
        <f t="shared" si="4"/>
        <v>1.7142857142857142</v>
      </c>
    </row>
    <row r="150" spans="1:6" s="206" customFormat="1" x14ac:dyDescent="0.25">
      <c r="A150" s="18">
        <v>44243</v>
      </c>
      <c r="B150" s="325">
        <v>3581</v>
      </c>
      <c r="C150" s="307">
        <v>54.2</v>
      </c>
      <c r="D150" s="307">
        <v>59</v>
      </c>
      <c r="E150" s="440">
        <f t="shared" si="6"/>
        <v>43</v>
      </c>
      <c r="F150" s="440">
        <f t="shared" ref="F150:F164" si="7">AVERAGE(E144:E150)</f>
        <v>4</v>
      </c>
    </row>
    <row r="151" spans="1:6" s="206" customFormat="1" x14ac:dyDescent="0.25">
      <c r="A151" s="18">
        <v>44244</v>
      </c>
      <c r="B151" s="325">
        <v>3573</v>
      </c>
      <c r="C151" s="307">
        <v>53.8</v>
      </c>
      <c r="D151" s="307">
        <v>58.7</v>
      </c>
      <c r="E151" s="440">
        <f t="shared" si="6"/>
        <v>-8</v>
      </c>
      <c r="F151" s="440">
        <f t="shared" si="7"/>
        <v>1.7142857142857142</v>
      </c>
    </row>
    <row r="152" spans="1:6" s="206" customFormat="1" x14ac:dyDescent="0.25">
      <c r="A152" s="18">
        <v>44245</v>
      </c>
      <c r="B152" s="469">
        <v>3573</v>
      </c>
      <c r="C152" s="470">
        <v>53.8</v>
      </c>
      <c r="D152" s="470">
        <v>58.7</v>
      </c>
      <c r="E152" s="440">
        <f t="shared" si="6"/>
        <v>0</v>
      </c>
      <c r="F152" s="440">
        <f t="shared" si="7"/>
        <v>4.5714285714285712</v>
      </c>
    </row>
    <row r="153" spans="1:6" s="206" customFormat="1" x14ac:dyDescent="0.25">
      <c r="A153" s="18">
        <v>44246</v>
      </c>
      <c r="B153" s="325">
        <v>3608</v>
      </c>
      <c r="C153" s="307">
        <v>54.2</v>
      </c>
      <c r="D153" s="307">
        <v>59.3</v>
      </c>
      <c r="E153" s="440">
        <f t="shared" si="6"/>
        <v>35</v>
      </c>
      <c r="F153" s="440">
        <f t="shared" si="7"/>
        <v>10</v>
      </c>
    </row>
    <row r="154" spans="1:6" s="206" customFormat="1" x14ac:dyDescent="0.25">
      <c r="A154" s="18">
        <v>44247</v>
      </c>
      <c r="B154" s="325">
        <v>3605</v>
      </c>
      <c r="C154" s="307">
        <v>54.2</v>
      </c>
      <c r="D154" s="307">
        <v>59.3</v>
      </c>
      <c r="E154" s="440">
        <f t="shared" si="6"/>
        <v>-3</v>
      </c>
      <c r="F154" s="440">
        <f t="shared" si="7"/>
        <v>13</v>
      </c>
    </row>
    <row r="155" spans="1:6" s="206" customFormat="1" x14ac:dyDescent="0.25">
      <c r="A155" s="18">
        <v>44248</v>
      </c>
      <c r="B155" s="325">
        <v>3605</v>
      </c>
      <c r="C155" s="307">
        <v>54.3</v>
      </c>
      <c r="D155" s="307">
        <v>59.6</v>
      </c>
      <c r="E155" s="440">
        <f t="shared" si="6"/>
        <v>0</v>
      </c>
      <c r="F155" s="440">
        <f t="shared" si="7"/>
        <v>8.2857142857142865</v>
      </c>
    </row>
    <row r="156" spans="1:6" s="206" customFormat="1" x14ac:dyDescent="0.25">
      <c r="A156" s="18">
        <v>44249</v>
      </c>
      <c r="B156" s="325">
        <v>3550</v>
      </c>
      <c r="C156" s="307">
        <v>54.2</v>
      </c>
      <c r="D156" s="307">
        <v>60</v>
      </c>
      <c r="E156" s="440">
        <f t="shared" si="6"/>
        <v>-55</v>
      </c>
      <c r="F156" s="440">
        <f t="shared" si="7"/>
        <v>1.7142857142857142</v>
      </c>
    </row>
    <row r="157" spans="1:6" s="206" customFormat="1" x14ac:dyDescent="0.25">
      <c r="A157" s="18">
        <v>44250</v>
      </c>
      <c r="B157" s="325">
        <v>3529</v>
      </c>
      <c r="C157" s="307">
        <v>54.3</v>
      </c>
      <c r="D157" s="307">
        <v>60.2</v>
      </c>
      <c r="E157" s="440">
        <f t="shared" si="6"/>
        <v>-21</v>
      </c>
      <c r="F157" s="440">
        <f t="shared" si="7"/>
        <v>-7.4285714285714288</v>
      </c>
    </row>
    <row r="158" spans="1:6" s="206" customFormat="1" x14ac:dyDescent="0.25">
      <c r="A158" s="18">
        <v>44251</v>
      </c>
      <c r="B158" s="325">
        <v>3504</v>
      </c>
      <c r="C158" s="307">
        <v>54</v>
      </c>
      <c r="D158" s="307">
        <v>60</v>
      </c>
      <c r="E158" s="440">
        <f t="shared" si="6"/>
        <v>-25</v>
      </c>
      <c r="F158" s="440">
        <f t="shared" si="7"/>
        <v>-9.8571428571428577</v>
      </c>
    </row>
    <row r="159" spans="1:6" s="206" customFormat="1" x14ac:dyDescent="0.25">
      <c r="A159" s="18">
        <v>44252</v>
      </c>
      <c r="B159" s="325">
        <v>3467</v>
      </c>
      <c r="C159" s="307">
        <v>54.1</v>
      </c>
      <c r="D159" s="307">
        <v>60.2</v>
      </c>
      <c r="E159" s="440">
        <f t="shared" si="6"/>
        <v>-37</v>
      </c>
      <c r="F159" s="440">
        <f t="shared" si="7"/>
        <v>-15.142857142857142</v>
      </c>
    </row>
    <row r="160" spans="1:6" s="206" customFormat="1" x14ac:dyDescent="0.25">
      <c r="A160" s="18">
        <v>44253</v>
      </c>
      <c r="B160" s="325">
        <v>3475</v>
      </c>
      <c r="C160" s="307">
        <v>54.1</v>
      </c>
      <c r="D160" s="307">
        <v>60.2</v>
      </c>
      <c r="E160" s="440">
        <f t="shared" si="6"/>
        <v>8</v>
      </c>
      <c r="F160" s="440">
        <f t="shared" si="7"/>
        <v>-19</v>
      </c>
    </row>
    <row r="161" spans="1:30" s="206" customFormat="1" x14ac:dyDescent="0.25">
      <c r="A161" s="18">
        <v>44254</v>
      </c>
      <c r="B161" s="327">
        <v>3494</v>
      </c>
      <c r="C161" s="327">
        <v>54.1</v>
      </c>
      <c r="D161" s="327">
        <v>60.2</v>
      </c>
      <c r="E161" s="440">
        <f t="shared" si="6"/>
        <v>19</v>
      </c>
      <c r="F161" s="440">
        <f t="shared" si="7"/>
        <v>-15.857142857142858</v>
      </c>
    </row>
    <row r="162" spans="1:30" s="206" customFormat="1" x14ac:dyDescent="0.25">
      <c r="A162" s="18">
        <v>44255</v>
      </c>
      <c r="B162" s="325">
        <v>3505</v>
      </c>
      <c r="C162" s="307">
        <v>53.7</v>
      </c>
      <c r="D162" s="307">
        <v>60.4</v>
      </c>
      <c r="E162" s="440">
        <f t="shared" si="6"/>
        <v>11</v>
      </c>
      <c r="F162" s="440">
        <f t="shared" si="7"/>
        <v>-14.285714285714286</v>
      </c>
    </row>
    <row r="163" spans="1:30" x14ac:dyDescent="0.25">
      <c r="A163" s="18">
        <v>44256</v>
      </c>
      <c r="B163" s="328">
        <v>3505</v>
      </c>
      <c r="C163" s="308">
        <v>53.3</v>
      </c>
      <c r="D163" s="308">
        <v>59.7</v>
      </c>
      <c r="E163" s="440">
        <f t="shared" si="6"/>
        <v>0</v>
      </c>
      <c r="F163" s="440">
        <f t="shared" si="7"/>
        <v>-6.4285714285714288</v>
      </c>
    </row>
    <row r="164" spans="1:30" x14ac:dyDescent="0.25">
      <c r="A164" s="18">
        <v>44257</v>
      </c>
      <c r="B164" s="329">
        <v>3527</v>
      </c>
      <c r="C164" s="1">
        <v>54</v>
      </c>
      <c r="D164" s="1">
        <v>60</v>
      </c>
      <c r="E164" s="440">
        <f t="shared" si="6"/>
        <v>22</v>
      </c>
      <c r="F164" s="440">
        <f t="shared" si="7"/>
        <v>-0.2857142857142857</v>
      </c>
    </row>
    <row r="165" spans="1:30" x14ac:dyDescent="0.25">
      <c r="A165" s="18">
        <v>44258</v>
      </c>
      <c r="B165" s="329">
        <v>3521</v>
      </c>
      <c r="C165" s="1">
        <v>54.2</v>
      </c>
      <c r="D165" s="1">
        <v>59.3</v>
      </c>
      <c r="E165" s="440">
        <f t="shared" si="6"/>
        <v>-6</v>
      </c>
      <c r="F165" s="440">
        <f t="shared" ref="F165:F180" si="8">AVERAGE(E159:E165)</f>
        <v>2.4285714285714284</v>
      </c>
    </row>
    <row r="166" spans="1:30" x14ac:dyDescent="0.25">
      <c r="A166" s="18">
        <v>44259</v>
      </c>
      <c r="B166" s="329">
        <v>3489</v>
      </c>
      <c r="C166" s="1">
        <v>53.9</v>
      </c>
      <c r="D166" s="1">
        <v>59</v>
      </c>
      <c r="E166" s="440">
        <f t="shared" ref="E166:E196" si="9">B166-B165</f>
        <v>-32</v>
      </c>
      <c r="F166" s="440">
        <f t="shared" si="8"/>
        <v>3.1428571428571428</v>
      </c>
    </row>
    <row r="167" spans="1:30" x14ac:dyDescent="0.25">
      <c r="A167" s="18">
        <v>44260</v>
      </c>
      <c r="B167" s="329">
        <v>3485</v>
      </c>
      <c r="C167" s="1">
        <v>53.9</v>
      </c>
      <c r="D167" s="1">
        <v>59.3</v>
      </c>
      <c r="E167" s="440">
        <f t="shared" si="9"/>
        <v>-4</v>
      </c>
      <c r="F167" s="440">
        <f t="shared" si="8"/>
        <v>1.4285714285714286</v>
      </c>
    </row>
    <row r="168" spans="1:30" x14ac:dyDescent="0.25">
      <c r="A168" s="18">
        <v>44261</v>
      </c>
      <c r="B168" s="329">
        <v>3475</v>
      </c>
      <c r="C168" s="1">
        <v>54.2</v>
      </c>
      <c r="D168" s="1">
        <v>59.7</v>
      </c>
      <c r="E168" s="440">
        <f t="shared" si="9"/>
        <v>-10</v>
      </c>
      <c r="F168" s="440">
        <f t="shared" si="8"/>
        <v>-2.7142857142857144</v>
      </c>
    </row>
    <row r="169" spans="1:30" x14ac:dyDescent="0.25">
      <c r="A169" s="18">
        <v>44262</v>
      </c>
      <c r="B169" s="329">
        <v>3467</v>
      </c>
      <c r="C169" s="1">
        <v>54</v>
      </c>
      <c r="D169" s="1">
        <v>59</v>
      </c>
      <c r="E169" s="440">
        <f t="shared" si="9"/>
        <v>-8</v>
      </c>
      <c r="F169" s="440">
        <f t="shared" si="8"/>
        <v>-5.4285714285714288</v>
      </c>
    </row>
    <row r="170" spans="1:30" x14ac:dyDescent="0.25">
      <c r="A170" s="18">
        <v>44263</v>
      </c>
      <c r="B170" s="329">
        <v>3484</v>
      </c>
      <c r="C170" s="1">
        <v>54.5</v>
      </c>
      <c r="D170" s="1">
        <v>59.5</v>
      </c>
      <c r="E170" s="440">
        <f t="shared" si="9"/>
        <v>17</v>
      </c>
      <c r="F170" s="440">
        <f t="shared" si="8"/>
        <v>-3</v>
      </c>
    </row>
    <row r="171" spans="1:30" x14ac:dyDescent="0.25">
      <c r="A171" s="18">
        <v>44264</v>
      </c>
      <c r="B171" s="329">
        <v>3525</v>
      </c>
      <c r="C171" s="1">
        <v>54.5</v>
      </c>
      <c r="D171" s="1">
        <v>60.1</v>
      </c>
      <c r="E171" s="440">
        <f t="shared" si="9"/>
        <v>41</v>
      </c>
      <c r="F171" s="440">
        <f t="shared" si="8"/>
        <v>-0.2857142857142857</v>
      </c>
    </row>
    <row r="172" spans="1:30" x14ac:dyDescent="0.25">
      <c r="A172" s="18">
        <v>44265</v>
      </c>
      <c r="B172" s="329">
        <v>3491</v>
      </c>
      <c r="C172" s="1">
        <v>54.2</v>
      </c>
      <c r="D172" s="1">
        <v>59.4</v>
      </c>
      <c r="E172" s="440">
        <f t="shared" si="9"/>
        <v>-34</v>
      </c>
      <c r="F172" s="440">
        <f t="shared" si="8"/>
        <v>-4.2857142857142856</v>
      </c>
    </row>
    <row r="173" spans="1:30" x14ac:dyDescent="0.25">
      <c r="A173" s="18">
        <v>44266</v>
      </c>
      <c r="B173" s="329">
        <v>3438</v>
      </c>
      <c r="C173" s="1">
        <v>54.5</v>
      </c>
      <c r="D173" s="1">
        <v>60</v>
      </c>
      <c r="E173" s="440">
        <f t="shared" si="9"/>
        <v>-53</v>
      </c>
      <c r="F173" s="440">
        <f t="shared" si="8"/>
        <v>-7.2857142857142856</v>
      </c>
    </row>
    <row r="174" spans="1:30" x14ac:dyDescent="0.25">
      <c r="A174" s="18">
        <v>44267</v>
      </c>
      <c r="B174" s="329">
        <v>3417</v>
      </c>
      <c r="C174" s="1">
        <v>54.6</v>
      </c>
      <c r="D174" s="1">
        <v>60</v>
      </c>
      <c r="E174" s="440">
        <f t="shared" si="9"/>
        <v>-21</v>
      </c>
      <c r="F174" s="440">
        <f t="shared" si="8"/>
        <v>-9.7142857142857135</v>
      </c>
    </row>
    <row r="175" spans="1:30" x14ac:dyDescent="0.25">
      <c r="A175" s="18">
        <v>44268</v>
      </c>
      <c r="B175" s="329">
        <v>3454</v>
      </c>
      <c r="C175" s="1">
        <v>54.6</v>
      </c>
      <c r="D175" s="1">
        <v>60</v>
      </c>
      <c r="E175" s="440">
        <f t="shared" si="9"/>
        <v>37</v>
      </c>
      <c r="F175" s="440">
        <f t="shared" si="8"/>
        <v>-3</v>
      </c>
    </row>
    <row r="176" spans="1:30" x14ac:dyDescent="0.25">
      <c r="A176" s="18">
        <v>44269</v>
      </c>
      <c r="B176" s="329">
        <v>3479</v>
      </c>
      <c r="C176" s="1">
        <v>54.2</v>
      </c>
      <c r="D176" s="1">
        <v>59.4</v>
      </c>
      <c r="E176" s="440">
        <f t="shared" si="9"/>
        <v>25</v>
      </c>
      <c r="F176" s="440">
        <f t="shared" si="8"/>
        <v>1.7142857142857142</v>
      </c>
      <c r="AD176">
        <f>7827/3638</f>
        <v>2.1514568444200108</v>
      </c>
    </row>
    <row r="177" spans="1:6" x14ac:dyDescent="0.25">
      <c r="A177" s="18">
        <v>44270</v>
      </c>
      <c r="B177" s="329">
        <v>3469</v>
      </c>
      <c r="C177" s="1">
        <v>54.2</v>
      </c>
      <c r="D177" s="1">
        <v>58.6</v>
      </c>
      <c r="E177" s="440">
        <f t="shared" si="9"/>
        <v>-10</v>
      </c>
      <c r="F177" s="440">
        <f t="shared" si="8"/>
        <v>-2.1428571428571428</v>
      </c>
    </row>
    <row r="178" spans="1:6" x14ac:dyDescent="0.25">
      <c r="A178" s="18">
        <v>44271</v>
      </c>
      <c r="B178" s="329">
        <v>3469</v>
      </c>
      <c r="C178" s="1">
        <v>54.6</v>
      </c>
      <c r="D178" s="1">
        <v>59.4</v>
      </c>
      <c r="E178" s="440">
        <f t="shared" si="9"/>
        <v>0</v>
      </c>
      <c r="F178" s="440">
        <f t="shared" si="8"/>
        <v>-8</v>
      </c>
    </row>
    <row r="179" spans="1:6" x14ac:dyDescent="0.25">
      <c r="A179" s="18">
        <v>44272</v>
      </c>
      <c r="B179" s="329">
        <v>3485</v>
      </c>
      <c r="C179" s="1">
        <v>55.1</v>
      </c>
      <c r="D179" s="1">
        <v>59.8</v>
      </c>
      <c r="E179" s="440">
        <f t="shared" si="9"/>
        <v>16</v>
      </c>
      <c r="F179" s="440">
        <f t="shared" si="8"/>
        <v>-0.8571428571428571</v>
      </c>
    </row>
    <row r="180" spans="1:6" x14ac:dyDescent="0.25">
      <c r="A180" s="18">
        <v>44273</v>
      </c>
      <c r="B180" s="329">
        <v>3522</v>
      </c>
      <c r="C180" s="1">
        <v>55.9</v>
      </c>
      <c r="D180" s="1">
        <v>61.5</v>
      </c>
      <c r="E180" s="440">
        <f t="shared" si="9"/>
        <v>37</v>
      </c>
      <c r="F180" s="440">
        <f t="shared" si="8"/>
        <v>12</v>
      </c>
    </row>
    <row r="181" spans="1:6" x14ac:dyDescent="0.25">
      <c r="A181" s="18">
        <v>44274</v>
      </c>
      <c r="B181" s="329">
        <v>3534</v>
      </c>
      <c r="C181" s="1">
        <v>55.2</v>
      </c>
      <c r="D181" s="1">
        <v>60.8</v>
      </c>
      <c r="E181" s="440">
        <f t="shared" si="9"/>
        <v>12</v>
      </c>
      <c r="F181" s="440">
        <f t="shared" ref="F181:F195" si="10">AVERAGE(E175:E181)</f>
        <v>16.714285714285715</v>
      </c>
    </row>
    <row r="182" spans="1:6" x14ac:dyDescent="0.25">
      <c r="A182" s="18">
        <v>44275</v>
      </c>
      <c r="B182" s="329">
        <v>3534</v>
      </c>
      <c r="C182" s="1">
        <v>55.2</v>
      </c>
      <c r="D182" s="1">
        <v>60.7</v>
      </c>
      <c r="E182" s="440">
        <f t="shared" si="9"/>
        <v>0</v>
      </c>
      <c r="F182" s="440">
        <f t="shared" si="10"/>
        <v>11.428571428571429</v>
      </c>
    </row>
    <row r="183" spans="1:6" x14ac:dyDescent="0.25">
      <c r="A183" s="18">
        <v>44276</v>
      </c>
      <c r="B183" s="329">
        <v>3534</v>
      </c>
      <c r="C183" s="1">
        <v>54.9</v>
      </c>
      <c r="D183" s="1">
        <v>59.9</v>
      </c>
      <c r="E183" s="440">
        <f t="shared" si="9"/>
        <v>0</v>
      </c>
      <c r="F183" s="440">
        <f t="shared" si="10"/>
        <v>7.8571428571428568</v>
      </c>
    </row>
    <row r="184" spans="1:6" x14ac:dyDescent="0.25">
      <c r="A184" s="18">
        <v>44277</v>
      </c>
      <c r="B184" s="329">
        <v>3530</v>
      </c>
      <c r="C184" s="1">
        <v>55</v>
      </c>
      <c r="D184" s="1">
        <v>58.1</v>
      </c>
      <c r="E184" s="440">
        <f t="shared" si="9"/>
        <v>-4</v>
      </c>
      <c r="F184" s="440">
        <f t="shared" si="10"/>
        <v>8.7142857142857135</v>
      </c>
    </row>
    <row r="185" spans="1:6" x14ac:dyDescent="0.25">
      <c r="A185" s="18">
        <v>44278</v>
      </c>
      <c r="B185" s="329">
        <v>3591</v>
      </c>
      <c r="C185" s="1">
        <v>55.2</v>
      </c>
      <c r="D185" s="1">
        <v>58.5</v>
      </c>
      <c r="E185" s="440">
        <f t="shared" si="9"/>
        <v>61</v>
      </c>
      <c r="F185" s="440">
        <f t="shared" si="10"/>
        <v>17.428571428571427</v>
      </c>
    </row>
    <row r="186" spans="1:6" x14ac:dyDescent="0.25">
      <c r="A186" s="18">
        <v>44279</v>
      </c>
      <c r="B186" s="329">
        <v>3574</v>
      </c>
      <c r="C186" s="1">
        <v>55.7</v>
      </c>
      <c r="D186" s="1">
        <v>59.2</v>
      </c>
      <c r="E186" s="440">
        <f t="shared" si="9"/>
        <v>-17</v>
      </c>
      <c r="F186" s="440">
        <f t="shared" si="10"/>
        <v>12.714285714285714</v>
      </c>
    </row>
    <row r="187" spans="1:6" x14ac:dyDescent="0.25">
      <c r="A187" s="18">
        <v>44280</v>
      </c>
      <c r="B187" s="329">
        <v>3585</v>
      </c>
      <c r="C187" s="1">
        <v>54.9</v>
      </c>
      <c r="D187" s="1">
        <v>57.8</v>
      </c>
      <c r="E187" s="440">
        <f t="shared" si="9"/>
        <v>11</v>
      </c>
      <c r="F187" s="440">
        <f t="shared" si="10"/>
        <v>9</v>
      </c>
    </row>
    <row r="188" spans="1:6" x14ac:dyDescent="0.25">
      <c r="A188" s="18">
        <v>44281</v>
      </c>
      <c r="B188" s="329">
        <v>3508</v>
      </c>
      <c r="C188" s="1">
        <v>55.1</v>
      </c>
      <c r="D188" s="1">
        <v>58.6</v>
      </c>
      <c r="E188" s="440">
        <f t="shared" si="9"/>
        <v>-77</v>
      </c>
      <c r="F188" s="440">
        <f t="shared" si="10"/>
        <v>-3.7142857142857144</v>
      </c>
    </row>
    <row r="189" spans="1:6" x14ac:dyDescent="0.25">
      <c r="A189" s="289">
        <v>44282</v>
      </c>
      <c r="B189" s="329">
        <v>3506</v>
      </c>
      <c r="C189" s="1">
        <v>55.5</v>
      </c>
      <c r="D189" s="1">
        <v>59.9</v>
      </c>
      <c r="E189" s="440">
        <f t="shared" si="9"/>
        <v>-2</v>
      </c>
      <c r="F189" s="440">
        <f t="shared" si="10"/>
        <v>-4</v>
      </c>
    </row>
    <row r="190" spans="1:6" x14ac:dyDescent="0.25">
      <c r="A190" s="18">
        <v>44283</v>
      </c>
      <c r="B190" s="329">
        <v>3505</v>
      </c>
      <c r="C190" s="1">
        <v>55.5</v>
      </c>
      <c r="D190" s="1">
        <v>59.9</v>
      </c>
      <c r="E190" s="440">
        <f t="shared" si="9"/>
        <v>-1</v>
      </c>
      <c r="F190" s="440">
        <f t="shared" si="10"/>
        <v>-4.1428571428571432</v>
      </c>
    </row>
    <row r="191" spans="1:6" x14ac:dyDescent="0.25">
      <c r="A191" s="18">
        <v>44284</v>
      </c>
      <c r="B191" s="329">
        <v>3639</v>
      </c>
      <c r="C191" s="1">
        <v>55.6</v>
      </c>
      <c r="D191" s="1">
        <v>60.3</v>
      </c>
      <c r="E191" s="440">
        <f t="shared" si="9"/>
        <v>134</v>
      </c>
      <c r="F191" s="440">
        <f t="shared" si="10"/>
        <v>15.571428571428571</v>
      </c>
    </row>
    <row r="192" spans="1:6" x14ac:dyDescent="0.25">
      <c r="A192" s="18">
        <v>44285</v>
      </c>
      <c r="B192" s="329">
        <v>3702</v>
      </c>
      <c r="C192" s="1">
        <v>56</v>
      </c>
      <c r="D192" s="1">
        <v>61</v>
      </c>
      <c r="E192" s="440">
        <f t="shared" si="9"/>
        <v>63</v>
      </c>
      <c r="F192" s="440">
        <f t="shared" si="10"/>
        <v>15.857142857142858</v>
      </c>
    </row>
    <row r="193" spans="1:6" x14ac:dyDescent="0.25">
      <c r="A193" s="18">
        <v>44286</v>
      </c>
      <c r="B193" s="329">
        <v>3638</v>
      </c>
      <c r="C193" s="1">
        <v>55.9</v>
      </c>
      <c r="D193" s="1">
        <v>61.5</v>
      </c>
      <c r="E193" s="440">
        <f t="shared" si="9"/>
        <v>-64</v>
      </c>
      <c r="F193" s="440">
        <f t="shared" si="10"/>
        <v>9.1428571428571423</v>
      </c>
    </row>
    <row r="194" spans="1:6" x14ac:dyDescent="0.25">
      <c r="A194" s="18">
        <v>44287</v>
      </c>
      <c r="B194" s="329">
        <v>3639</v>
      </c>
      <c r="C194" s="1">
        <v>55.8</v>
      </c>
      <c r="D194" s="1">
        <v>61.6</v>
      </c>
      <c r="E194" s="440">
        <f t="shared" si="9"/>
        <v>1</v>
      </c>
      <c r="F194" s="440">
        <f t="shared" si="10"/>
        <v>7.7142857142857144</v>
      </c>
    </row>
    <row r="195" spans="1:6" x14ac:dyDescent="0.25">
      <c r="A195" s="18">
        <v>44288</v>
      </c>
      <c r="B195" s="329">
        <v>3619</v>
      </c>
      <c r="C195" s="1">
        <v>55.9</v>
      </c>
      <c r="D195" s="1">
        <v>61.9</v>
      </c>
      <c r="E195" s="440">
        <f t="shared" si="9"/>
        <v>-20</v>
      </c>
      <c r="F195" s="440">
        <f t="shared" si="10"/>
        <v>15.857142857142858</v>
      </c>
    </row>
    <row r="196" spans="1:6" x14ac:dyDescent="0.25">
      <c r="A196" s="18">
        <v>44289</v>
      </c>
      <c r="B196" s="329">
        <v>3618</v>
      </c>
      <c r="C196" s="1">
        <v>55.4</v>
      </c>
      <c r="D196" s="1">
        <v>61.4</v>
      </c>
      <c r="E196" s="440">
        <f t="shared" si="9"/>
        <v>-1</v>
      </c>
      <c r="F196" s="440">
        <f t="shared" ref="F196:F210" si="11">AVERAGE(E190:E196)</f>
        <v>16</v>
      </c>
    </row>
    <row r="197" spans="1:6" x14ac:dyDescent="0.25">
      <c r="A197" s="18">
        <v>44290</v>
      </c>
      <c r="B197" s="329">
        <v>3626</v>
      </c>
      <c r="C197" s="1">
        <v>55.6</v>
      </c>
      <c r="D197" s="1">
        <v>61.5</v>
      </c>
      <c r="E197" s="261">
        <f t="shared" ref="E197:E260" si="12">D197-D196</f>
        <v>0.10000000000000142</v>
      </c>
      <c r="F197" s="440">
        <f t="shared" si="11"/>
        <v>16.157142857142855</v>
      </c>
    </row>
    <row r="198" spans="1:6" x14ac:dyDescent="0.25">
      <c r="A198" s="18">
        <v>44291</v>
      </c>
      <c r="B198" s="329">
        <v>3652</v>
      </c>
      <c r="C198" s="1">
        <v>56.1</v>
      </c>
      <c r="D198" s="1">
        <v>62</v>
      </c>
      <c r="E198" s="261">
        <f t="shared" si="12"/>
        <v>0.5</v>
      </c>
      <c r="F198" s="440">
        <f t="shared" si="11"/>
        <v>-2.9142857142857141</v>
      </c>
    </row>
    <row r="199" spans="1:6" x14ac:dyDescent="0.25">
      <c r="A199" s="18">
        <v>44292</v>
      </c>
      <c r="B199" s="329">
        <v>3642</v>
      </c>
      <c r="C199" s="1">
        <v>57.4</v>
      </c>
      <c r="D199" s="1">
        <v>63.5</v>
      </c>
      <c r="E199" s="261">
        <f t="shared" si="12"/>
        <v>1.5</v>
      </c>
      <c r="F199" s="440">
        <f t="shared" si="11"/>
        <v>-11.700000000000001</v>
      </c>
    </row>
    <row r="200" spans="1:6" x14ac:dyDescent="0.25">
      <c r="A200" s="18">
        <v>44293</v>
      </c>
      <c r="B200" s="329">
        <v>3706</v>
      </c>
      <c r="C200" s="1">
        <v>58.1</v>
      </c>
      <c r="D200" s="1">
        <v>64.5</v>
      </c>
      <c r="E200" s="261">
        <f t="shared" si="12"/>
        <v>1</v>
      </c>
      <c r="F200" s="440">
        <f t="shared" si="11"/>
        <v>-2.4142857142857141</v>
      </c>
    </row>
    <row r="201" spans="1:6" x14ac:dyDescent="0.25">
      <c r="A201" s="18">
        <v>44294</v>
      </c>
      <c r="B201" s="329">
        <v>3742</v>
      </c>
      <c r="C201" s="1">
        <v>58.8</v>
      </c>
      <c r="D201" s="1">
        <v>66.099999999999994</v>
      </c>
      <c r="E201" s="261">
        <f t="shared" si="12"/>
        <v>1.5999999999999943</v>
      </c>
      <c r="F201" s="440">
        <f t="shared" si="11"/>
        <v>-2.3285714285714292</v>
      </c>
    </row>
    <row r="202" spans="1:6" x14ac:dyDescent="0.25">
      <c r="A202" s="333">
        <v>44295</v>
      </c>
      <c r="B202" s="334">
        <v>3718</v>
      </c>
      <c r="C202" s="232">
        <v>59.1</v>
      </c>
      <c r="D202" s="232">
        <v>67</v>
      </c>
      <c r="E202" s="261">
        <f t="shared" si="12"/>
        <v>0.90000000000000568</v>
      </c>
      <c r="F202" s="440">
        <f t="shared" si="11"/>
        <v>0.65714285714285736</v>
      </c>
    </row>
    <row r="203" spans="1:6" x14ac:dyDescent="0.25">
      <c r="A203" s="335">
        <v>44296</v>
      </c>
      <c r="B203" s="336">
        <v>3761</v>
      </c>
      <c r="C203" s="313">
        <v>59.3</v>
      </c>
      <c r="D203" s="313">
        <v>68.099999999999994</v>
      </c>
      <c r="E203" s="261">
        <f t="shared" si="12"/>
        <v>1.0999999999999943</v>
      </c>
      <c r="F203" s="440">
        <f t="shared" si="11"/>
        <v>0.95714285714285652</v>
      </c>
    </row>
    <row r="204" spans="1:6" x14ac:dyDescent="0.25">
      <c r="A204" s="335">
        <v>44297</v>
      </c>
      <c r="B204" s="336">
        <v>3789</v>
      </c>
      <c r="C204" s="313">
        <v>58.7</v>
      </c>
      <c r="D204" s="313">
        <v>66.7</v>
      </c>
      <c r="E204" s="261">
        <f t="shared" si="12"/>
        <v>-1.3999999999999915</v>
      </c>
      <c r="F204" s="440">
        <f t="shared" si="11"/>
        <v>0.74285714285714322</v>
      </c>
    </row>
    <row r="205" spans="1:6" x14ac:dyDescent="0.25">
      <c r="A205" s="335">
        <v>44298</v>
      </c>
      <c r="B205" s="336">
        <v>3819</v>
      </c>
      <c r="C205" s="313">
        <v>60.3</v>
      </c>
      <c r="D205" s="313">
        <v>67.900000000000006</v>
      </c>
      <c r="E205" s="261">
        <f t="shared" si="12"/>
        <v>1.2000000000000028</v>
      </c>
      <c r="F205" s="440">
        <f t="shared" si="11"/>
        <v>0.84285714285714364</v>
      </c>
    </row>
    <row r="206" spans="1:6" x14ac:dyDescent="0.25">
      <c r="A206" s="335">
        <v>44299</v>
      </c>
      <c r="B206" s="336">
        <v>3836</v>
      </c>
      <c r="C206" s="313">
        <v>62.4</v>
      </c>
      <c r="D206" s="313">
        <v>70.8</v>
      </c>
      <c r="E206" s="261">
        <f t="shared" si="12"/>
        <v>2.8999999999999915</v>
      </c>
      <c r="F206" s="440">
        <f t="shared" si="11"/>
        <v>1.0428571428571425</v>
      </c>
    </row>
    <row r="207" spans="1:6" x14ac:dyDescent="0.25">
      <c r="A207" s="335">
        <v>44300</v>
      </c>
      <c r="B207" s="336">
        <v>3879</v>
      </c>
      <c r="C207" s="313">
        <v>62.7</v>
      </c>
      <c r="D207" s="313">
        <v>71.400000000000006</v>
      </c>
      <c r="E207" s="261">
        <f t="shared" si="12"/>
        <v>0.60000000000000853</v>
      </c>
      <c r="F207" s="440">
        <f t="shared" si="11"/>
        <v>0.98571428571428654</v>
      </c>
    </row>
    <row r="208" spans="1:6" x14ac:dyDescent="0.25">
      <c r="A208" s="335">
        <v>44301</v>
      </c>
      <c r="B208" s="336">
        <v>3900</v>
      </c>
      <c r="C208" s="313">
        <v>63.6</v>
      </c>
      <c r="D208" s="313">
        <v>72.5</v>
      </c>
      <c r="E208" s="261">
        <f t="shared" si="12"/>
        <v>1.0999999999999943</v>
      </c>
      <c r="F208" s="440">
        <f t="shared" si="11"/>
        <v>0.91428571428571515</v>
      </c>
    </row>
    <row r="209" spans="1:6" x14ac:dyDescent="0.25">
      <c r="A209" s="335">
        <v>44302</v>
      </c>
      <c r="B209" s="336">
        <v>3971</v>
      </c>
      <c r="C209" s="313">
        <v>64.3</v>
      </c>
      <c r="D209" s="313">
        <v>73.8</v>
      </c>
      <c r="E209" s="261">
        <f t="shared" si="12"/>
        <v>1.2999999999999972</v>
      </c>
      <c r="F209" s="440">
        <f t="shared" si="11"/>
        <v>0.97142857142857097</v>
      </c>
    </row>
    <row r="210" spans="1:6" x14ac:dyDescent="0.25">
      <c r="A210" s="335">
        <v>44303</v>
      </c>
      <c r="B210" s="336">
        <v>3977</v>
      </c>
      <c r="C210" s="313">
        <v>64.8</v>
      </c>
      <c r="D210" s="313">
        <v>74.3</v>
      </c>
      <c r="E210" s="261">
        <f t="shared" si="12"/>
        <v>0.5</v>
      </c>
      <c r="F210" s="440">
        <f t="shared" si="11"/>
        <v>0.88571428571428612</v>
      </c>
    </row>
    <row r="211" spans="1:6" x14ac:dyDescent="0.25">
      <c r="A211" s="335">
        <v>44304</v>
      </c>
      <c r="B211" s="337">
        <v>4105</v>
      </c>
      <c r="C211" s="313">
        <v>64.7</v>
      </c>
      <c r="D211" s="313">
        <v>74.2</v>
      </c>
      <c r="E211" s="261">
        <f t="shared" si="12"/>
        <v>-9.9999999999994316E-2</v>
      </c>
      <c r="F211" s="440">
        <f t="shared" ref="F211:F222" si="13">AVERAGE(E205:E211)</f>
        <v>1.0714285714285714</v>
      </c>
    </row>
    <row r="212" spans="1:6" x14ac:dyDescent="0.25">
      <c r="A212" s="335">
        <v>44305</v>
      </c>
      <c r="B212" s="337">
        <v>4304</v>
      </c>
      <c r="C212" s="313">
        <v>65.8</v>
      </c>
      <c r="D212" s="313">
        <v>74.5</v>
      </c>
      <c r="E212" s="261">
        <f t="shared" si="12"/>
        <v>0.29999999999999716</v>
      </c>
      <c r="F212" s="440">
        <f t="shared" si="13"/>
        <v>0.94285714285714206</v>
      </c>
    </row>
    <row r="213" spans="1:6" x14ac:dyDescent="0.25">
      <c r="A213" s="335">
        <v>44306</v>
      </c>
      <c r="B213" s="336">
        <v>4366</v>
      </c>
      <c r="C213" s="313">
        <v>64.900000000000006</v>
      </c>
      <c r="D213" s="313">
        <v>75</v>
      </c>
      <c r="E213" s="261">
        <f t="shared" si="12"/>
        <v>0.5</v>
      </c>
      <c r="F213" s="440">
        <f t="shared" si="13"/>
        <v>0.60000000000000042</v>
      </c>
    </row>
    <row r="214" spans="1:6" x14ac:dyDescent="0.25">
      <c r="A214" s="335">
        <v>44307</v>
      </c>
      <c r="B214" s="337">
        <v>4492</v>
      </c>
      <c r="C214" s="313">
        <v>65.5</v>
      </c>
      <c r="D214" s="313">
        <v>75.400000000000006</v>
      </c>
      <c r="E214" s="261">
        <f t="shared" si="12"/>
        <v>0.40000000000000568</v>
      </c>
      <c r="F214" s="440">
        <f t="shared" si="13"/>
        <v>0.5714285714285714</v>
      </c>
    </row>
    <row r="215" spans="1:6" x14ac:dyDescent="0.25">
      <c r="A215" s="335">
        <v>44308</v>
      </c>
      <c r="B215" s="337">
        <v>4791</v>
      </c>
      <c r="C215" s="313">
        <v>65.599999999999994</v>
      </c>
      <c r="D215" s="313">
        <v>75.400000000000006</v>
      </c>
      <c r="E215" s="261">
        <f t="shared" si="12"/>
        <v>0</v>
      </c>
      <c r="F215" s="440">
        <f t="shared" si="13"/>
        <v>0.41428571428571509</v>
      </c>
    </row>
    <row r="216" spans="1:6" x14ac:dyDescent="0.25">
      <c r="A216" s="335">
        <v>44309</v>
      </c>
      <c r="B216" s="337">
        <v>4805</v>
      </c>
      <c r="C216" s="313">
        <v>66.5</v>
      </c>
      <c r="D216" s="313">
        <v>76.2</v>
      </c>
      <c r="E216" s="261">
        <f t="shared" si="12"/>
        <v>0.79999999999999716</v>
      </c>
      <c r="F216" s="440">
        <f t="shared" si="13"/>
        <v>0.34285714285714369</v>
      </c>
    </row>
    <row r="217" spans="1:6" x14ac:dyDescent="0.25">
      <c r="A217" s="335">
        <v>44310</v>
      </c>
      <c r="B217" s="337">
        <v>4858</v>
      </c>
      <c r="C217" s="313">
        <v>67.599999999999994</v>
      </c>
      <c r="D217" s="313">
        <v>77.900000000000006</v>
      </c>
      <c r="E217" s="261">
        <f t="shared" si="12"/>
        <v>1.7000000000000028</v>
      </c>
      <c r="F217" s="440">
        <f t="shared" si="13"/>
        <v>0.51428571428571546</v>
      </c>
    </row>
    <row r="218" spans="1:6" x14ac:dyDescent="0.25">
      <c r="A218" s="424">
        <v>44311</v>
      </c>
      <c r="B218" s="425">
        <v>4942</v>
      </c>
      <c r="C218" s="340">
        <v>67.5</v>
      </c>
      <c r="D218" s="340">
        <v>76.599999999999994</v>
      </c>
      <c r="E218" s="261">
        <f t="shared" si="12"/>
        <v>-1.3000000000000114</v>
      </c>
      <c r="F218" s="440">
        <f t="shared" si="13"/>
        <v>0.34285714285714164</v>
      </c>
    </row>
    <row r="219" spans="1:6" x14ac:dyDescent="0.25">
      <c r="A219" s="18">
        <v>44312</v>
      </c>
      <c r="B219" s="426">
        <v>5036</v>
      </c>
      <c r="C219" s="1">
        <v>67.7</v>
      </c>
      <c r="D219" s="1">
        <v>76.2</v>
      </c>
      <c r="E219" s="261">
        <f t="shared" si="12"/>
        <v>-0.39999999999999147</v>
      </c>
      <c r="F219" s="440">
        <f t="shared" si="13"/>
        <v>0.24285714285714327</v>
      </c>
    </row>
    <row r="220" spans="1:6" x14ac:dyDescent="0.25">
      <c r="A220" s="18">
        <v>44313</v>
      </c>
      <c r="B220" s="426">
        <v>5134</v>
      </c>
      <c r="C220" s="1">
        <v>68.3</v>
      </c>
      <c r="D220" s="1">
        <v>77.400000000000006</v>
      </c>
      <c r="E220" s="261">
        <f t="shared" si="12"/>
        <v>1.2000000000000028</v>
      </c>
      <c r="F220" s="440">
        <f t="shared" si="13"/>
        <v>0.34285714285714369</v>
      </c>
    </row>
    <row r="221" spans="1:6" x14ac:dyDescent="0.25">
      <c r="A221" s="18">
        <v>44314</v>
      </c>
      <c r="B221" s="7">
        <v>5178</v>
      </c>
      <c r="C221" s="1">
        <v>68.3</v>
      </c>
      <c r="D221" s="1">
        <v>76.8</v>
      </c>
      <c r="E221" s="261">
        <f t="shared" si="12"/>
        <v>-0.60000000000000853</v>
      </c>
      <c r="F221" s="440">
        <f t="shared" si="13"/>
        <v>0.19999999999999879</v>
      </c>
    </row>
    <row r="222" spans="1:6" x14ac:dyDescent="0.25">
      <c r="A222" s="18">
        <v>44315</v>
      </c>
      <c r="B222" s="7">
        <v>5317</v>
      </c>
      <c r="C222" s="1">
        <v>68.400000000000006</v>
      </c>
      <c r="D222" s="1">
        <v>76.599999999999994</v>
      </c>
      <c r="E222" s="261">
        <f t="shared" si="12"/>
        <v>-0.20000000000000284</v>
      </c>
      <c r="F222" s="440">
        <f t="shared" si="13"/>
        <v>0.17142857142856979</v>
      </c>
    </row>
    <row r="223" spans="1:6" x14ac:dyDescent="0.25">
      <c r="A223" s="18">
        <v>44316</v>
      </c>
      <c r="B223" s="7">
        <v>5369</v>
      </c>
      <c r="C223" s="1">
        <v>69.099999999999994</v>
      </c>
      <c r="D223" s="1">
        <v>77.900000000000006</v>
      </c>
      <c r="E223" s="261">
        <f t="shared" si="12"/>
        <v>1.3000000000000114</v>
      </c>
      <c r="F223" s="440">
        <f t="shared" ref="F223:F231" si="14">AVERAGE(E217:E223)</f>
        <v>0.24285714285714327</v>
      </c>
    </row>
    <row r="224" spans="1:6" x14ac:dyDescent="0.25">
      <c r="A224" s="18">
        <v>44317</v>
      </c>
      <c r="B224" s="7">
        <v>5370</v>
      </c>
      <c r="C224" s="1">
        <v>68.3</v>
      </c>
      <c r="D224" s="1">
        <v>77.3</v>
      </c>
      <c r="E224" s="261">
        <f t="shared" si="12"/>
        <v>-0.60000000000000853</v>
      </c>
      <c r="F224" s="440">
        <f t="shared" si="14"/>
        <v>-8.5714285714286936E-2</v>
      </c>
    </row>
    <row r="225" spans="1:6" x14ac:dyDescent="0.25">
      <c r="A225" s="18">
        <v>44318</v>
      </c>
      <c r="B225" s="7">
        <v>5371</v>
      </c>
      <c r="C225" s="1">
        <v>68.099999999999994</v>
      </c>
      <c r="D225" s="1">
        <v>76.2</v>
      </c>
      <c r="E225" s="261">
        <f t="shared" si="12"/>
        <v>-1.0999999999999943</v>
      </c>
      <c r="F225" s="440">
        <f t="shared" si="14"/>
        <v>-5.7142857142855927E-2</v>
      </c>
    </row>
    <row r="226" spans="1:6" x14ac:dyDescent="0.25">
      <c r="A226" s="18">
        <v>44319</v>
      </c>
      <c r="B226" s="7">
        <v>5426</v>
      </c>
      <c r="C226" s="1">
        <v>68</v>
      </c>
      <c r="D226" s="1">
        <v>75.099999999999994</v>
      </c>
      <c r="E226" s="261">
        <f t="shared" si="12"/>
        <v>-1.1000000000000085</v>
      </c>
      <c r="F226" s="440">
        <f t="shared" si="14"/>
        <v>-0.15714285714285836</v>
      </c>
    </row>
    <row r="227" spans="1:6" x14ac:dyDescent="0.25">
      <c r="A227" s="18">
        <v>44320</v>
      </c>
      <c r="B227" s="7">
        <v>5389</v>
      </c>
      <c r="C227" s="1">
        <v>68.599999999999994</v>
      </c>
      <c r="D227" s="1">
        <v>76.5</v>
      </c>
      <c r="E227" s="261">
        <f t="shared" si="12"/>
        <v>1.4000000000000057</v>
      </c>
      <c r="F227" s="440">
        <f t="shared" si="14"/>
        <v>-0.12857142857142939</v>
      </c>
    </row>
    <row r="228" spans="1:6" x14ac:dyDescent="0.25">
      <c r="A228" s="18">
        <v>44321</v>
      </c>
      <c r="B228" s="7">
        <v>5342</v>
      </c>
      <c r="C228" s="1">
        <v>68.2</v>
      </c>
      <c r="D228" s="1">
        <v>75.900000000000006</v>
      </c>
      <c r="E228" s="261">
        <f t="shared" si="12"/>
        <v>-0.59999999999999432</v>
      </c>
      <c r="F228" s="440">
        <f t="shared" si="14"/>
        <v>-0.12857142857142737</v>
      </c>
    </row>
    <row r="229" spans="1:6" x14ac:dyDescent="0.25">
      <c r="A229" s="18">
        <v>44322</v>
      </c>
      <c r="B229" s="7">
        <v>5299</v>
      </c>
      <c r="C229" s="443">
        <v>68.8</v>
      </c>
      <c r="D229" s="443">
        <v>76.5</v>
      </c>
      <c r="E229" s="261">
        <f t="shared" si="12"/>
        <v>0.59999999999999432</v>
      </c>
      <c r="F229" s="440">
        <f t="shared" si="14"/>
        <v>-1.4285714285713473E-2</v>
      </c>
    </row>
    <row r="230" spans="1:6" x14ac:dyDescent="0.25">
      <c r="A230" s="18">
        <v>44323</v>
      </c>
      <c r="B230" s="7">
        <v>5268</v>
      </c>
      <c r="C230" s="1">
        <v>68.7</v>
      </c>
      <c r="D230" s="1">
        <v>76.5</v>
      </c>
      <c r="E230" s="261">
        <f t="shared" si="12"/>
        <v>0</v>
      </c>
      <c r="F230" s="440">
        <f t="shared" si="14"/>
        <v>-0.20000000000000082</v>
      </c>
    </row>
    <row r="231" spans="1:6" x14ac:dyDescent="0.25">
      <c r="A231" s="18">
        <v>44324</v>
      </c>
      <c r="B231" s="7">
        <v>5285</v>
      </c>
      <c r="C231" s="1">
        <v>68.3</v>
      </c>
      <c r="D231" s="1">
        <v>75.3</v>
      </c>
      <c r="E231" s="261">
        <f t="shared" si="12"/>
        <v>-1.2000000000000028</v>
      </c>
      <c r="F231" s="440">
        <f t="shared" si="14"/>
        <v>-0.2857142857142857</v>
      </c>
    </row>
    <row r="232" spans="1:6" x14ac:dyDescent="0.25">
      <c r="A232" s="18">
        <v>44325</v>
      </c>
      <c r="B232" s="7">
        <v>5294</v>
      </c>
      <c r="C232" s="1">
        <v>68.599999999999994</v>
      </c>
      <c r="D232" s="1">
        <v>76.8</v>
      </c>
      <c r="E232" s="261">
        <f t="shared" si="12"/>
        <v>1.5</v>
      </c>
      <c r="F232" s="440">
        <f t="shared" ref="F232:F239" si="15">AVERAGE(E226:E232)</f>
        <v>8.5714285714284896E-2</v>
      </c>
    </row>
    <row r="233" spans="1:6" x14ac:dyDescent="0.25">
      <c r="A233" s="18">
        <v>44326</v>
      </c>
      <c r="B233" s="7">
        <v>5357</v>
      </c>
      <c r="C233" s="1">
        <v>69.2</v>
      </c>
      <c r="D233" s="1">
        <v>77</v>
      </c>
      <c r="E233" s="261">
        <f t="shared" si="12"/>
        <v>0.20000000000000284</v>
      </c>
      <c r="F233" s="440">
        <f t="shared" si="15"/>
        <v>0.27142857142857224</v>
      </c>
    </row>
    <row r="234" spans="1:6" x14ac:dyDescent="0.25">
      <c r="A234" s="18">
        <v>44327</v>
      </c>
      <c r="B234" s="23">
        <v>5375</v>
      </c>
      <c r="C234" s="17">
        <v>69.400000000000006</v>
      </c>
      <c r="D234" s="17">
        <v>75.7</v>
      </c>
      <c r="E234" s="261">
        <f t="shared" si="12"/>
        <v>-1.2999999999999972</v>
      </c>
      <c r="F234" s="440">
        <f t="shared" si="15"/>
        <v>-0.11428571428571388</v>
      </c>
    </row>
    <row r="235" spans="1:6" x14ac:dyDescent="0.25">
      <c r="A235" s="18">
        <v>44328</v>
      </c>
      <c r="B235" s="23">
        <v>5394</v>
      </c>
      <c r="C235" s="17">
        <v>69.5</v>
      </c>
      <c r="D235" s="17">
        <v>76.099999999999994</v>
      </c>
      <c r="E235" s="261">
        <f t="shared" si="12"/>
        <v>0.39999999999999147</v>
      </c>
      <c r="F235" s="440">
        <f t="shared" si="15"/>
        <v>2.8571428571426947E-2</v>
      </c>
    </row>
    <row r="236" spans="1:6" x14ac:dyDescent="0.25">
      <c r="A236" s="18">
        <v>44329</v>
      </c>
      <c r="B236" s="23">
        <v>5420</v>
      </c>
      <c r="C236" s="444">
        <v>69.3</v>
      </c>
      <c r="D236" s="444">
        <v>76.400000000000006</v>
      </c>
      <c r="E236" s="261">
        <f t="shared" si="12"/>
        <v>0.30000000000001137</v>
      </c>
      <c r="F236" s="440">
        <f t="shared" si="15"/>
        <v>-1.4285714285713473E-2</v>
      </c>
    </row>
    <row r="237" spans="1:6" x14ac:dyDescent="0.25">
      <c r="A237" s="18">
        <v>44330</v>
      </c>
      <c r="B237" s="23">
        <v>5457</v>
      </c>
      <c r="C237" s="17">
        <v>69.5</v>
      </c>
      <c r="D237" s="17">
        <v>76.099999999999994</v>
      </c>
      <c r="E237" s="261">
        <f t="shared" si="12"/>
        <v>-0.30000000000001137</v>
      </c>
      <c r="F237" s="440">
        <f t="shared" si="15"/>
        <v>-5.7142857142857953E-2</v>
      </c>
    </row>
    <row r="238" spans="1:6" x14ac:dyDescent="0.25">
      <c r="A238" s="18">
        <v>44331</v>
      </c>
      <c r="B238" s="23">
        <v>5517</v>
      </c>
      <c r="C238" s="17">
        <v>70.099999999999994</v>
      </c>
      <c r="D238" s="17">
        <v>76.5</v>
      </c>
      <c r="E238" s="261">
        <f t="shared" si="12"/>
        <v>0.40000000000000568</v>
      </c>
      <c r="F238" s="440">
        <f t="shared" si="15"/>
        <v>0.17142857142857185</v>
      </c>
    </row>
    <row r="239" spans="1:6" x14ac:dyDescent="0.25">
      <c r="A239" s="18">
        <v>44332</v>
      </c>
      <c r="B239" s="23">
        <v>5538</v>
      </c>
      <c r="C239" s="17">
        <v>69.3</v>
      </c>
      <c r="D239" s="17">
        <v>75.400000000000006</v>
      </c>
      <c r="E239" s="261">
        <f t="shared" si="12"/>
        <v>-1.0999999999999943</v>
      </c>
      <c r="F239" s="440">
        <f t="shared" si="15"/>
        <v>-0.19999999999999879</v>
      </c>
    </row>
    <row r="240" spans="1:6" x14ac:dyDescent="0.25">
      <c r="A240" s="18">
        <v>44333</v>
      </c>
      <c r="B240" s="23">
        <v>5690</v>
      </c>
      <c r="C240" s="17">
        <v>69.7</v>
      </c>
      <c r="D240" s="17">
        <v>75.7</v>
      </c>
      <c r="E240" s="261">
        <f t="shared" si="12"/>
        <v>0.29999999999999716</v>
      </c>
      <c r="F240" s="440">
        <f t="shared" ref="F240:F251" si="16">AVERAGE(E234:E240)</f>
        <v>-0.1857142857142853</v>
      </c>
    </row>
    <row r="241" spans="1:6" x14ac:dyDescent="0.25">
      <c r="A241" s="18">
        <v>44334</v>
      </c>
      <c r="B241" s="23">
        <v>5813</v>
      </c>
      <c r="C241" s="17">
        <v>72.2</v>
      </c>
      <c r="D241" s="17">
        <v>76.2</v>
      </c>
      <c r="E241" s="261">
        <f t="shared" si="12"/>
        <v>0.5</v>
      </c>
      <c r="F241" s="440">
        <f t="shared" si="16"/>
        <v>7.1428571428571425E-2</v>
      </c>
    </row>
    <row r="242" spans="1:6" x14ac:dyDescent="0.25">
      <c r="A242" s="18">
        <v>44335</v>
      </c>
      <c r="B242" s="23">
        <v>5877</v>
      </c>
      <c r="C242" s="17">
        <v>72</v>
      </c>
      <c r="D242" s="17">
        <v>76.400000000000006</v>
      </c>
      <c r="E242" s="261">
        <f t="shared" si="12"/>
        <v>0.20000000000000284</v>
      </c>
      <c r="F242" s="440">
        <f t="shared" si="16"/>
        <v>4.2857142857144481E-2</v>
      </c>
    </row>
    <row r="243" spans="1:6" x14ac:dyDescent="0.25">
      <c r="A243" s="18">
        <v>44336</v>
      </c>
      <c r="B243" s="23">
        <v>5951</v>
      </c>
      <c r="C243" s="17">
        <v>72.599999999999994</v>
      </c>
      <c r="D243" s="17">
        <v>76.400000000000006</v>
      </c>
      <c r="E243" s="261">
        <f t="shared" si="12"/>
        <v>0</v>
      </c>
      <c r="F243" s="440">
        <f t="shared" si="16"/>
        <v>0</v>
      </c>
    </row>
    <row r="244" spans="1:6" x14ac:dyDescent="0.25">
      <c r="A244" s="18">
        <v>44337</v>
      </c>
      <c r="B244" s="23">
        <v>6027</v>
      </c>
      <c r="C244" s="17">
        <v>73.099999999999994</v>
      </c>
      <c r="D244" s="17">
        <v>76.400000000000006</v>
      </c>
      <c r="E244" s="261">
        <f t="shared" si="12"/>
        <v>0</v>
      </c>
      <c r="F244" s="440">
        <f t="shared" si="16"/>
        <v>4.2857142857144481E-2</v>
      </c>
    </row>
    <row r="245" spans="1:6" x14ac:dyDescent="0.25">
      <c r="A245" s="18">
        <v>44338</v>
      </c>
      <c r="B245" s="23">
        <v>6138</v>
      </c>
      <c r="C245" s="17">
        <v>74.099999999999994</v>
      </c>
      <c r="D245" s="17">
        <v>77.099999999999994</v>
      </c>
      <c r="E245" s="261">
        <f t="shared" si="12"/>
        <v>0.69999999999998863</v>
      </c>
      <c r="F245" s="440">
        <f t="shared" si="16"/>
        <v>8.5714285714284896E-2</v>
      </c>
    </row>
    <row r="246" spans="1:6" x14ac:dyDescent="0.25">
      <c r="A246" s="18">
        <v>44339</v>
      </c>
      <c r="B246" s="23">
        <v>6214</v>
      </c>
      <c r="C246" s="17">
        <v>73.5</v>
      </c>
      <c r="D246" s="17">
        <v>76.599999999999994</v>
      </c>
      <c r="E246" s="261">
        <f t="shared" si="12"/>
        <v>-0.5</v>
      </c>
      <c r="F246" s="440">
        <f t="shared" si="16"/>
        <v>0.17142857142856979</v>
      </c>
    </row>
    <row r="247" spans="1:6" x14ac:dyDescent="0.25">
      <c r="A247" s="18">
        <v>44340</v>
      </c>
      <c r="B247" s="23">
        <v>6373</v>
      </c>
      <c r="C247" s="17">
        <v>73.900000000000006</v>
      </c>
      <c r="D247" s="17">
        <v>76.2</v>
      </c>
      <c r="E247" s="261">
        <f t="shared" si="12"/>
        <v>-0.39999999999999147</v>
      </c>
      <c r="F247" s="440">
        <f t="shared" si="16"/>
        <v>7.1428571428571425E-2</v>
      </c>
    </row>
    <row r="248" spans="1:6" x14ac:dyDescent="0.25">
      <c r="A248" s="18">
        <v>44341</v>
      </c>
      <c r="B248" s="23">
        <v>6552</v>
      </c>
      <c r="C248" s="17">
        <v>74.099999999999994</v>
      </c>
      <c r="D248" s="17">
        <v>76.2</v>
      </c>
      <c r="E248" s="261">
        <f t="shared" si="12"/>
        <v>0</v>
      </c>
      <c r="F248" s="440">
        <f t="shared" si="16"/>
        <v>0</v>
      </c>
    </row>
    <row r="249" spans="1:6" x14ac:dyDescent="0.25">
      <c r="A249" s="18">
        <v>44342</v>
      </c>
      <c r="B249" s="23">
        <v>6644</v>
      </c>
      <c r="C249" s="17">
        <v>75</v>
      </c>
      <c r="D249" s="17">
        <v>76.599999999999994</v>
      </c>
      <c r="E249" s="261">
        <f t="shared" si="12"/>
        <v>0.39999999999999147</v>
      </c>
      <c r="F249" s="440">
        <f>AVERAGE(E243:E249)</f>
        <v>2.8571428571426947E-2</v>
      </c>
    </row>
    <row r="250" spans="1:6" x14ac:dyDescent="0.25">
      <c r="A250" s="18">
        <v>44343</v>
      </c>
      <c r="B250" s="23">
        <v>6802</v>
      </c>
      <c r="C250" s="17">
        <v>76.2</v>
      </c>
      <c r="D250" s="17">
        <v>77.5</v>
      </c>
      <c r="E250" s="261">
        <f t="shared" si="12"/>
        <v>0.90000000000000568</v>
      </c>
      <c r="F250" s="440">
        <f t="shared" si="16"/>
        <v>0.15714285714285633</v>
      </c>
    </row>
    <row r="251" spans="1:6" x14ac:dyDescent="0.25">
      <c r="A251" s="18">
        <v>44344</v>
      </c>
      <c r="B251" s="23">
        <v>6872</v>
      </c>
      <c r="C251" s="17">
        <v>77.099999999999994</v>
      </c>
      <c r="D251" s="17">
        <v>76.599999999999994</v>
      </c>
      <c r="E251" s="261">
        <f t="shared" si="12"/>
        <v>-0.90000000000000568</v>
      </c>
      <c r="F251" s="440">
        <f t="shared" si="16"/>
        <v>2.8571428571426947E-2</v>
      </c>
    </row>
    <row r="252" spans="1:6" x14ac:dyDescent="0.25">
      <c r="A252" s="18">
        <v>44345</v>
      </c>
      <c r="B252" s="23">
        <v>6909</v>
      </c>
      <c r="C252" s="17">
        <v>76.900000000000006</v>
      </c>
      <c r="D252" s="17">
        <v>77</v>
      </c>
      <c r="E252" s="261">
        <f t="shared" si="12"/>
        <v>0.40000000000000568</v>
      </c>
      <c r="F252" s="440">
        <f>AVERAGE(E246:E252)</f>
        <v>-1.4285714285713473E-2</v>
      </c>
    </row>
    <row r="253" spans="1:6" x14ac:dyDescent="0.25">
      <c r="A253" s="18">
        <v>44346</v>
      </c>
      <c r="B253" s="23">
        <v>7206</v>
      </c>
      <c r="C253" s="17">
        <v>77.5</v>
      </c>
      <c r="D253" s="17">
        <v>77.2</v>
      </c>
      <c r="E253" s="261">
        <f t="shared" si="12"/>
        <v>0.20000000000000284</v>
      </c>
      <c r="F253" s="440">
        <f>AVERAGE(E247:E253)</f>
        <v>8.5714285714286936E-2</v>
      </c>
    </row>
    <row r="254" spans="1:6" x14ac:dyDescent="0.25">
      <c r="A254" s="18">
        <v>44347</v>
      </c>
      <c r="B254" s="23">
        <v>7325</v>
      </c>
      <c r="C254" s="17">
        <v>77.400000000000006</v>
      </c>
      <c r="D254" s="17">
        <v>76.900000000000006</v>
      </c>
      <c r="E254" s="261">
        <f t="shared" si="12"/>
        <v>-0.29999999999999716</v>
      </c>
      <c r="F254" s="644">
        <f>MAX(C:C)</f>
        <v>79.3</v>
      </c>
    </row>
    <row r="255" spans="1:6" x14ac:dyDescent="0.25">
      <c r="A255" s="18">
        <v>44348</v>
      </c>
      <c r="B255" s="23">
        <v>7417</v>
      </c>
      <c r="C255" s="17">
        <v>78.099999999999994</v>
      </c>
      <c r="D255" s="17">
        <v>77.3</v>
      </c>
      <c r="E255" s="261">
        <f t="shared" si="12"/>
        <v>0.39999999999999147</v>
      </c>
    </row>
    <row r="256" spans="1:6" x14ac:dyDescent="0.25">
      <c r="A256" s="18">
        <v>44349</v>
      </c>
      <c r="B256" s="23">
        <v>7614</v>
      </c>
      <c r="C256" s="17">
        <v>76.599999999999994</v>
      </c>
      <c r="D256" s="17">
        <v>74.900000000000006</v>
      </c>
      <c r="E256" s="261">
        <f t="shared" si="12"/>
        <v>-2.3999999999999915</v>
      </c>
    </row>
    <row r="257" spans="1:5" x14ac:dyDescent="0.25">
      <c r="A257" s="18">
        <v>44350</v>
      </c>
      <c r="B257" s="23">
        <v>7698</v>
      </c>
      <c r="C257" s="17">
        <v>77.900000000000006</v>
      </c>
      <c r="D257" s="17">
        <v>75.400000000000006</v>
      </c>
      <c r="E257" s="261">
        <f t="shared" si="12"/>
        <v>0.5</v>
      </c>
    </row>
    <row r="258" spans="1:5" x14ac:dyDescent="0.25">
      <c r="A258" s="18">
        <v>44351</v>
      </c>
      <c r="B258" s="23">
        <v>7668</v>
      </c>
      <c r="C258" s="17">
        <v>78.2</v>
      </c>
      <c r="D258" s="17">
        <v>75.7</v>
      </c>
      <c r="E258" s="261">
        <f t="shared" si="12"/>
        <v>0.29999999999999716</v>
      </c>
    </row>
    <row r="259" spans="1:5" x14ac:dyDescent="0.25">
      <c r="A259" s="18">
        <v>44352</v>
      </c>
      <c r="B259" s="23">
        <v>7731</v>
      </c>
      <c r="C259" s="17">
        <v>78.400000000000006</v>
      </c>
      <c r="D259" s="17">
        <v>75.3</v>
      </c>
      <c r="E259" s="261">
        <f t="shared" si="12"/>
        <v>-0.40000000000000568</v>
      </c>
    </row>
    <row r="260" spans="1:5" x14ac:dyDescent="0.25">
      <c r="A260" s="18">
        <v>44353</v>
      </c>
      <c r="B260" s="23">
        <v>7776</v>
      </c>
      <c r="C260" s="17">
        <v>78.7</v>
      </c>
      <c r="D260" s="17">
        <v>75.3</v>
      </c>
      <c r="E260" s="261">
        <f t="shared" si="12"/>
        <v>0</v>
      </c>
    </row>
    <row r="261" spans="1:5" x14ac:dyDescent="0.25">
      <c r="A261" s="18">
        <v>44354</v>
      </c>
      <c r="B261" s="23">
        <v>7827</v>
      </c>
      <c r="C261" s="17">
        <v>78.099999999999994</v>
      </c>
      <c r="D261" s="17">
        <v>74</v>
      </c>
      <c r="E261" s="261">
        <f t="shared" ref="E261:E300" si="17">D261-D260</f>
        <v>-1.2999999999999972</v>
      </c>
    </row>
    <row r="262" spans="1:5" x14ac:dyDescent="0.25">
      <c r="A262" s="18">
        <v>44355</v>
      </c>
      <c r="B262" s="23">
        <v>7794</v>
      </c>
      <c r="C262" s="17">
        <v>79.099999999999994</v>
      </c>
      <c r="D262" s="17">
        <v>77.3</v>
      </c>
      <c r="E262" s="261">
        <f t="shared" si="17"/>
        <v>3.2999999999999972</v>
      </c>
    </row>
    <row r="263" spans="1:5" x14ac:dyDescent="0.25">
      <c r="A263" s="18">
        <v>44356</v>
      </c>
      <c r="B263" s="23">
        <v>7769</v>
      </c>
      <c r="C263" s="17">
        <v>79.3</v>
      </c>
      <c r="D263" s="17">
        <v>77.2</v>
      </c>
      <c r="E263" s="261">
        <f t="shared" si="17"/>
        <v>-9.9999999999994316E-2</v>
      </c>
    </row>
    <row r="264" spans="1:5" x14ac:dyDescent="0.25">
      <c r="A264" s="18">
        <v>44357</v>
      </c>
      <c r="B264" s="23">
        <v>7817</v>
      </c>
      <c r="C264" s="482">
        <v>79.099999999999994</v>
      </c>
      <c r="D264" s="482">
        <v>76.7</v>
      </c>
      <c r="E264" s="261">
        <f t="shared" si="17"/>
        <v>-0.5</v>
      </c>
    </row>
    <row r="265" spans="1:5" x14ac:dyDescent="0.25">
      <c r="A265" s="18">
        <v>44358</v>
      </c>
      <c r="B265" s="23">
        <v>7839</v>
      </c>
      <c r="C265" s="17">
        <v>77.8</v>
      </c>
      <c r="D265" s="17">
        <v>76.2</v>
      </c>
      <c r="E265" s="261">
        <f t="shared" si="17"/>
        <v>-0.5</v>
      </c>
    </row>
    <row r="266" spans="1:5" x14ac:dyDescent="0.25">
      <c r="A266" s="18">
        <v>44359</v>
      </c>
      <c r="B266" s="23">
        <v>7895</v>
      </c>
      <c r="C266" s="482">
        <v>78.099999999999994</v>
      </c>
      <c r="D266" s="482">
        <v>75.5</v>
      </c>
      <c r="E266" s="261">
        <f t="shared" si="17"/>
        <v>-0.70000000000000284</v>
      </c>
    </row>
    <row r="267" spans="1:5" x14ac:dyDescent="0.25">
      <c r="A267" s="18">
        <v>44360</v>
      </c>
      <c r="B267" s="23">
        <v>7910</v>
      </c>
      <c r="C267" s="17">
        <v>76.8</v>
      </c>
      <c r="D267" s="17">
        <v>74.5</v>
      </c>
      <c r="E267" s="261">
        <f t="shared" si="17"/>
        <v>-1</v>
      </c>
    </row>
    <row r="268" spans="1:5" x14ac:dyDescent="0.25">
      <c r="A268" s="18">
        <v>44361</v>
      </c>
      <c r="B268" s="23">
        <v>7969</v>
      </c>
      <c r="C268" s="482">
        <v>77</v>
      </c>
      <c r="D268" s="482">
        <v>75.099999999999994</v>
      </c>
      <c r="E268" s="261">
        <f t="shared" si="17"/>
        <v>0.59999999999999432</v>
      </c>
    </row>
    <row r="269" spans="1:5" x14ac:dyDescent="0.25">
      <c r="A269" s="18">
        <v>44362</v>
      </c>
      <c r="B269" s="23">
        <v>7890</v>
      </c>
      <c r="C269" s="482">
        <v>76.400000000000006</v>
      </c>
      <c r="D269" s="482">
        <v>73.3</v>
      </c>
      <c r="E269" s="261">
        <f t="shared" si="17"/>
        <v>-1.7999999999999972</v>
      </c>
    </row>
    <row r="270" spans="1:5" x14ac:dyDescent="0.25">
      <c r="A270" s="18">
        <v>44363</v>
      </c>
      <c r="B270" s="23">
        <v>7664</v>
      </c>
      <c r="C270" s="482">
        <v>75.599999999999994</v>
      </c>
      <c r="D270" s="482">
        <v>73</v>
      </c>
      <c r="E270" s="261">
        <f t="shared" si="17"/>
        <v>-0.29999999999999716</v>
      </c>
    </row>
    <row r="271" spans="1:5" x14ac:dyDescent="0.25">
      <c r="A271" s="18">
        <v>44364</v>
      </c>
      <c r="B271" s="23">
        <v>7520</v>
      </c>
      <c r="C271" s="486">
        <v>76</v>
      </c>
      <c r="D271" s="486">
        <v>73.900000000000006</v>
      </c>
      <c r="E271" s="261">
        <f t="shared" si="17"/>
        <v>0.90000000000000568</v>
      </c>
    </row>
    <row r="272" spans="1:5" x14ac:dyDescent="0.25">
      <c r="A272" s="18">
        <v>44365</v>
      </c>
      <c r="B272" s="23">
        <v>7467</v>
      </c>
      <c r="C272" s="486">
        <v>74.900000000000006</v>
      </c>
      <c r="D272" s="486">
        <v>72.5</v>
      </c>
      <c r="E272" s="261">
        <f t="shared" si="17"/>
        <v>-1.4000000000000057</v>
      </c>
    </row>
    <row r="273" spans="1:5" x14ac:dyDescent="0.25">
      <c r="A273" s="18">
        <v>44366</v>
      </c>
      <c r="B273" s="23">
        <v>7386</v>
      </c>
      <c r="C273" s="486">
        <v>74.599999999999994</v>
      </c>
      <c r="D273" s="486">
        <v>71</v>
      </c>
      <c r="E273" s="261">
        <f t="shared" si="17"/>
        <v>-1.5</v>
      </c>
    </row>
    <row r="274" spans="1:5" x14ac:dyDescent="0.25">
      <c r="A274" s="18">
        <v>44367</v>
      </c>
      <c r="B274" s="23">
        <v>7366</v>
      </c>
      <c r="C274" s="17">
        <v>72.5</v>
      </c>
      <c r="D274" s="17">
        <v>69.7</v>
      </c>
      <c r="E274" s="261">
        <f t="shared" si="17"/>
        <v>-1.2999999999999972</v>
      </c>
    </row>
    <row r="275" spans="1:5" x14ac:dyDescent="0.25">
      <c r="A275" s="18">
        <v>44368</v>
      </c>
      <c r="B275" s="23">
        <v>7345</v>
      </c>
      <c r="C275" s="486">
        <v>72.5</v>
      </c>
      <c r="D275" s="486">
        <v>70.2</v>
      </c>
      <c r="E275" s="261">
        <f t="shared" si="17"/>
        <v>0.5</v>
      </c>
    </row>
    <row r="276" spans="1:5" x14ac:dyDescent="0.25">
      <c r="A276" s="18">
        <v>44369</v>
      </c>
      <c r="B276" s="23">
        <v>7326</v>
      </c>
      <c r="C276" s="486">
        <v>72.599999999999994</v>
      </c>
      <c r="D276" s="486">
        <v>70.7</v>
      </c>
      <c r="E276" s="261">
        <f t="shared" si="17"/>
        <v>0.5</v>
      </c>
    </row>
    <row r="277" spans="1:5" x14ac:dyDescent="0.25">
      <c r="A277" s="18">
        <v>44370</v>
      </c>
      <c r="B277" s="23">
        <v>7241</v>
      </c>
      <c r="C277" s="17">
        <v>72.8</v>
      </c>
      <c r="D277" s="17">
        <v>70.900000000000006</v>
      </c>
      <c r="E277" s="261">
        <f t="shared" si="17"/>
        <v>0.20000000000000284</v>
      </c>
    </row>
    <row r="278" spans="1:5" x14ac:dyDescent="0.25">
      <c r="A278" s="18">
        <v>44371</v>
      </c>
      <c r="B278" s="23">
        <v>7199</v>
      </c>
      <c r="C278" s="546">
        <v>72.7</v>
      </c>
      <c r="D278" s="546">
        <v>70.5</v>
      </c>
      <c r="E278" s="261">
        <f t="shared" si="17"/>
        <v>-0.40000000000000568</v>
      </c>
    </row>
    <row r="279" spans="1:5" x14ac:dyDescent="0.25">
      <c r="A279" s="18">
        <v>44372</v>
      </c>
      <c r="B279" s="23">
        <v>7057</v>
      </c>
      <c r="C279" s="551">
        <v>72.400000000000006</v>
      </c>
      <c r="D279" s="551">
        <v>70.400000000000006</v>
      </c>
      <c r="E279" s="261">
        <f t="shared" si="17"/>
        <v>-9.9999999999994316E-2</v>
      </c>
    </row>
    <row r="280" spans="1:5" x14ac:dyDescent="0.25">
      <c r="A280" s="18">
        <v>44373</v>
      </c>
      <c r="B280" s="23">
        <v>7057</v>
      </c>
      <c r="C280" s="551">
        <v>71.599999999999994</v>
      </c>
      <c r="D280" s="551">
        <v>70.3</v>
      </c>
      <c r="E280" s="261">
        <f t="shared" si="17"/>
        <v>-0.10000000000000853</v>
      </c>
    </row>
    <row r="281" spans="1:5" x14ac:dyDescent="0.25">
      <c r="A281" s="18">
        <v>44374</v>
      </c>
      <c r="B281" s="23">
        <v>6953</v>
      </c>
      <c r="C281" s="17">
        <v>71</v>
      </c>
      <c r="D281" s="17">
        <v>69.599999999999994</v>
      </c>
      <c r="E281" s="261">
        <f t="shared" si="17"/>
        <v>-0.70000000000000284</v>
      </c>
    </row>
    <row r="282" spans="1:5" x14ac:dyDescent="0.25">
      <c r="A282" s="18">
        <v>44375</v>
      </c>
      <c r="B282" s="23">
        <v>6869</v>
      </c>
      <c r="C282" s="551">
        <v>69.5</v>
      </c>
      <c r="D282" s="551">
        <v>65.5</v>
      </c>
      <c r="E282" s="261">
        <f t="shared" si="17"/>
        <v>-4.0999999999999943</v>
      </c>
    </row>
    <row r="283" spans="1:5" x14ac:dyDescent="0.25">
      <c r="A283" s="18">
        <v>44376</v>
      </c>
      <c r="B283" s="23">
        <v>6636</v>
      </c>
      <c r="C283" s="551">
        <v>69.2</v>
      </c>
      <c r="D283" s="551">
        <v>66.3</v>
      </c>
      <c r="E283" s="261">
        <f t="shared" si="17"/>
        <v>0.79999999999999716</v>
      </c>
    </row>
    <row r="284" spans="1:5" x14ac:dyDescent="0.25">
      <c r="A284" s="18">
        <v>44377</v>
      </c>
      <c r="B284" s="23">
        <v>6308</v>
      </c>
      <c r="C284" s="551">
        <v>67.7</v>
      </c>
      <c r="D284" s="551">
        <v>64.900000000000006</v>
      </c>
      <c r="E284" s="261">
        <f t="shared" si="17"/>
        <v>-1.3999999999999915</v>
      </c>
    </row>
    <row r="285" spans="1:5" x14ac:dyDescent="0.25">
      <c r="A285" s="18">
        <v>44378</v>
      </c>
      <c r="B285" s="23">
        <v>6046</v>
      </c>
      <c r="C285" s="551">
        <v>66.3</v>
      </c>
      <c r="D285" s="551">
        <v>64.2</v>
      </c>
      <c r="E285" s="261">
        <f t="shared" si="17"/>
        <v>-0.70000000000000284</v>
      </c>
    </row>
    <row r="286" spans="1:5" x14ac:dyDescent="0.25">
      <c r="A286" s="18">
        <v>44379</v>
      </c>
      <c r="B286" s="23">
        <v>5784</v>
      </c>
      <c r="C286" s="551">
        <v>64.900000000000006</v>
      </c>
      <c r="D286" s="551">
        <v>63.5</v>
      </c>
      <c r="E286" s="261">
        <f t="shared" si="17"/>
        <v>-0.70000000000000284</v>
      </c>
    </row>
    <row r="287" spans="1:5" x14ac:dyDescent="0.25">
      <c r="A287" s="18">
        <v>44380</v>
      </c>
      <c r="B287" s="23">
        <v>5667</v>
      </c>
      <c r="C287" s="557">
        <v>65.099999999999994</v>
      </c>
      <c r="D287" s="557">
        <v>62.9</v>
      </c>
      <c r="E287" s="261">
        <f t="shared" si="17"/>
        <v>-0.60000000000000142</v>
      </c>
    </row>
    <row r="288" spans="1:5" x14ac:dyDescent="0.25">
      <c r="A288" s="18">
        <v>44381</v>
      </c>
      <c r="B288" s="23">
        <v>5671</v>
      </c>
      <c r="C288" s="557">
        <v>64.900000000000006</v>
      </c>
      <c r="D288" s="557">
        <v>62.2</v>
      </c>
      <c r="E288" s="261">
        <f t="shared" si="17"/>
        <v>-0.69999999999999574</v>
      </c>
    </row>
    <row r="289" spans="1:8" x14ac:dyDescent="0.25">
      <c r="A289" s="18">
        <v>44382</v>
      </c>
      <c r="B289" s="23">
        <v>5607</v>
      </c>
      <c r="C289" s="557">
        <v>64.900000000000006</v>
      </c>
      <c r="D289" s="557">
        <v>62.5</v>
      </c>
      <c r="E289" s="261">
        <f t="shared" si="17"/>
        <v>0.29999999999999716</v>
      </c>
    </row>
    <row r="290" spans="1:8" x14ac:dyDescent="0.25">
      <c r="A290" s="18">
        <v>44383</v>
      </c>
      <c r="B290" s="23">
        <v>5543</v>
      </c>
      <c r="C290" s="557">
        <v>64.900000000000006</v>
      </c>
      <c r="D290" s="557">
        <v>62.8</v>
      </c>
      <c r="E290" s="261">
        <f t="shared" si="17"/>
        <v>0.29999999999999716</v>
      </c>
      <c r="H290" s="431">
        <f>13200/85291</f>
        <v>0.15476427759083608</v>
      </c>
    </row>
    <row r="291" spans="1:8" x14ac:dyDescent="0.25">
      <c r="A291" s="18">
        <v>44384</v>
      </c>
      <c r="B291" s="23">
        <v>5546</v>
      </c>
      <c r="C291" s="568">
        <v>64.599999999999994</v>
      </c>
      <c r="D291" s="568">
        <v>62.1</v>
      </c>
      <c r="E291" s="261">
        <f t="shared" si="17"/>
        <v>-0.69999999999999574</v>
      </c>
    </row>
    <row r="292" spans="1:8" x14ac:dyDescent="0.25">
      <c r="A292" s="18">
        <v>44385</v>
      </c>
      <c r="B292" s="23">
        <v>5443</v>
      </c>
      <c r="C292" s="568">
        <v>64.3</v>
      </c>
      <c r="D292" s="568">
        <v>62.2</v>
      </c>
      <c r="E292" s="261">
        <f t="shared" si="17"/>
        <v>0.10000000000000142</v>
      </c>
    </row>
    <row r="293" spans="1:8" x14ac:dyDescent="0.25">
      <c r="A293" s="18">
        <v>44386</v>
      </c>
      <c r="B293" s="23">
        <v>5405</v>
      </c>
      <c r="C293" s="17">
        <v>63.7</v>
      </c>
      <c r="D293" s="17">
        <v>61</v>
      </c>
      <c r="E293" s="261">
        <f t="shared" si="17"/>
        <v>-1.2000000000000028</v>
      </c>
    </row>
    <row r="294" spans="1:8" x14ac:dyDescent="0.25">
      <c r="A294" s="18">
        <v>44387</v>
      </c>
      <c r="B294" s="23">
        <v>5427</v>
      </c>
      <c r="C294" s="17">
        <v>63.1</v>
      </c>
      <c r="D294" s="17">
        <v>60.9</v>
      </c>
      <c r="E294" s="261">
        <f t="shared" si="17"/>
        <v>-0.10000000000000142</v>
      </c>
    </row>
    <row r="295" spans="1:8" x14ac:dyDescent="0.25">
      <c r="A295" s="18">
        <v>44388</v>
      </c>
      <c r="B295" s="23">
        <v>5349</v>
      </c>
      <c r="C295" s="568">
        <v>62.8</v>
      </c>
      <c r="D295" s="568">
        <v>59.9</v>
      </c>
      <c r="E295" s="261">
        <f t="shared" si="17"/>
        <v>-1</v>
      </c>
    </row>
    <row r="296" spans="1:8" x14ac:dyDescent="0.25">
      <c r="A296" s="18">
        <v>44389</v>
      </c>
      <c r="B296" s="23">
        <v>5222</v>
      </c>
      <c r="C296" s="568">
        <v>63.1</v>
      </c>
      <c r="D296" s="568">
        <v>60.7</v>
      </c>
      <c r="E296" s="261">
        <f t="shared" si="17"/>
        <v>0.80000000000000426</v>
      </c>
    </row>
    <row r="297" spans="1:8" x14ac:dyDescent="0.25">
      <c r="A297" s="18">
        <v>44390</v>
      </c>
      <c r="B297" s="23">
        <v>5199</v>
      </c>
      <c r="C297" s="569">
        <v>62.7</v>
      </c>
      <c r="D297" s="569">
        <v>61.2</v>
      </c>
      <c r="E297" s="261">
        <f t="shared" si="17"/>
        <v>0.5</v>
      </c>
    </row>
    <row r="298" spans="1:8" x14ac:dyDescent="0.25">
      <c r="A298" s="18">
        <v>44391</v>
      </c>
      <c r="B298" s="23">
        <v>5092</v>
      </c>
      <c r="C298" s="17">
        <v>62.2</v>
      </c>
      <c r="D298" s="17">
        <v>60.1</v>
      </c>
      <c r="E298" s="261">
        <f t="shared" si="17"/>
        <v>-1.1000000000000014</v>
      </c>
    </row>
    <row r="299" spans="1:8" x14ac:dyDescent="0.25">
      <c r="A299" s="18">
        <v>44392</v>
      </c>
      <c r="B299" s="23">
        <v>5013</v>
      </c>
      <c r="C299" s="600">
        <v>62.2</v>
      </c>
      <c r="D299" s="600">
        <v>60.1</v>
      </c>
      <c r="E299" s="261">
        <f t="shared" si="17"/>
        <v>0</v>
      </c>
    </row>
    <row r="300" spans="1:8" x14ac:dyDescent="0.25">
      <c r="A300" s="18">
        <v>44393</v>
      </c>
      <c r="B300" s="23">
        <v>4868</v>
      </c>
      <c r="C300" s="17">
        <v>61.5</v>
      </c>
      <c r="D300" s="17">
        <v>60</v>
      </c>
      <c r="E300" s="261">
        <f t="shared" si="17"/>
        <v>-0.10000000000000142</v>
      </c>
    </row>
    <row r="301" spans="1:8" x14ac:dyDescent="0.25">
      <c r="A301" s="18">
        <v>44394</v>
      </c>
      <c r="B301" s="23">
        <v>4873</v>
      </c>
      <c r="C301" s="17">
        <v>61.1</v>
      </c>
      <c r="D301" s="17">
        <v>58.7</v>
      </c>
      <c r="E301" s="261">
        <f t="shared" ref="E301:E320" si="18">D301-D300</f>
        <v>-1.2999999999999972</v>
      </c>
    </row>
    <row r="302" spans="1:8" x14ac:dyDescent="0.25">
      <c r="A302" s="18">
        <v>44395</v>
      </c>
      <c r="B302" s="23">
        <v>4783</v>
      </c>
      <c r="C302" s="600">
        <v>60.7</v>
      </c>
      <c r="D302" s="600">
        <v>58</v>
      </c>
      <c r="E302" s="261">
        <f t="shared" si="18"/>
        <v>-0.70000000000000284</v>
      </c>
    </row>
    <row r="303" spans="1:8" x14ac:dyDescent="0.25">
      <c r="A303" s="18">
        <v>44396</v>
      </c>
      <c r="B303" s="23">
        <v>4681</v>
      </c>
      <c r="C303" s="17">
        <v>60</v>
      </c>
      <c r="D303" s="17">
        <v>56.9</v>
      </c>
      <c r="E303" s="261">
        <f t="shared" si="18"/>
        <v>-1.1000000000000014</v>
      </c>
    </row>
    <row r="304" spans="1:8" x14ac:dyDescent="0.25">
      <c r="A304" s="18">
        <v>44397</v>
      </c>
      <c r="B304" s="23">
        <v>4643</v>
      </c>
      <c r="C304" s="17">
        <v>59.2</v>
      </c>
      <c r="D304" s="17">
        <v>56.6</v>
      </c>
      <c r="E304" s="261">
        <f t="shared" si="18"/>
        <v>-0.29999999999999716</v>
      </c>
    </row>
    <row r="305" spans="1:5" x14ac:dyDescent="0.25">
      <c r="A305" s="18">
        <v>44398</v>
      </c>
      <c r="B305" s="23">
        <v>4583</v>
      </c>
      <c r="C305" s="17">
        <v>59.3</v>
      </c>
      <c r="D305" s="17">
        <v>57</v>
      </c>
      <c r="E305" s="261">
        <f t="shared" si="18"/>
        <v>0.39999999999999858</v>
      </c>
    </row>
    <row r="306" spans="1:5" x14ac:dyDescent="0.25">
      <c r="A306" s="18">
        <v>44399</v>
      </c>
      <c r="B306" s="23">
        <v>4532</v>
      </c>
      <c r="C306" s="600">
        <v>58.6</v>
      </c>
      <c r="D306" s="600">
        <v>56.7</v>
      </c>
      <c r="E306" s="261">
        <f t="shared" si="18"/>
        <v>-0.29999999999999716</v>
      </c>
    </row>
    <row r="307" spans="1:5" x14ac:dyDescent="0.25">
      <c r="A307" s="18">
        <v>44400</v>
      </c>
      <c r="B307" s="23">
        <v>4358</v>
      </c>
      <c r="C307" s="636">
        <v>58.5</v>
      </c>
      <c r="D307" s="636">
        <v>56.3</v>
      </c>
      <c r="E307" s="261">
        <f t="shared" si="18"/>
        <v>-0.40000000000000568</v>
      </c>
    </row>
    <row r="308" spans="1:5" x14ac:dyDescent="0.25">
      <c r="A308" s="18">
        <v>44401</v>
      </c>
      <c r="B308" s="23">
        <v>4318</v>
      </c>
      <c r="C308" s="636">
        <v>56.9</v>
      </c>
      <c r="D308" s="636">
        <v>54.9</v>
      </c>
      <c r="E308" s="261">
        <f t="shared" si="18"/>
        <v>-1.3999999999999986</v>
      </c>
    </row>
    <row r="309" spans="1:5" x14ac:dyDescent="0.25">
      <c r="A309" s="18">
        <v>44402</v>
      </c>
      <c r="B309" s="23">
        <v>4219</v>
      </c>
      <c r="C309" s="636">
        <v>57</v>
      </c>
      <c r="D309" s="636">
        <v>54.4</v>
      </c>
      <c r="E309" s="261">
        <f t="shared" si="18"/>
        <v>-0.5</v>
      </c>
    </row>
    <row r="310" spans="1:5" x14ac:dyDescent="0.25">
      <c r="A310" s="18">
        <v>44403</v>
      </c>
      <c r="B310" s="23">
        <v>4155</v>
      </c>
      <c r="C310" s="636">
        <v>56.6</v>
      </c>
      <c r="D310" s="636">
        <v>54.1</v>
      </c>
      <c r="E310" s="261">
        <f t="shared" si="18"/>
        <v>-0.29999999999999716</v>
      </c>
    </row>
    <row r="311" spans="1:5" x14ac:dyDescent="0.25">
      <c r="A311" s="18">
        <v>44404</v>
      </c>
      <c r="B311" s="23">
        <v>4160</v>
      </c>
      <c r="C311" s="636">
        <v>56.5</v>
      </c>
      <c r="D311" s="636">
        <v>54.6</v>
      </c>
      <c r="E311" s="261">
        <f t="shared" si="18"/>
        <v>0.5</v>
      </c>
    </row>
    <row r="312" spans="1:5" x14ac:dyDescent="0.25">
      <c r="A312" s="18">
        <v>44405</v>
      </c>
      <c r="B312" s="23">
        <v>4155</v>
      </c>
      <c r="C312" s="636">
        <v>56.4</v>
      </c>
      <c r="D312" s="636">
        <v>54.5</v>
      </c>
      <c r="E312" s="261">
        <f t="shared" si="18"/>
        <v>-0.10000000000000142</v>
      </c>
    </row>
    <row r="313" spans="1:5" x14ac:dyDescent="0.25">
      <c r="A313" s="18">
        <v>44406</v>
      </c>
      <c r="B313" s="23">
        <v>4090</v>
      </c>
      <c r="C313" s="636">
        <v>55.9</v>
      </c>
      <c r="D313" s="636">
        <v>54</v>
      </c>
      <c r="E313" s="261">
        <f t="shared" si="18"/>
        <v>-0.5</v>
      </c>
    </row>
    <row r="314" spans="1:5" x14ac:dyDescent="0.25">
      <c r="A314" s="18">
        <v>44407</v>
      </c>
      <c r="B314" s="23">
        <v>3976</v>
      </c>
      <c r="C314" s="636">
        <v>55.3</v>
      </c>
      <c r="D314" s="636">
        <v>53.4</v>
      </c>
      <c r="E314" s="261">
        <f t="shared" si="18"/>
        <v>-0.60000000000000142</v>
      </c>
    </row>
    <row r="315" spans="1:5" x14ac:dyDescent="0.25">
      <c r="A315" s="18">
        <v>44408</v>
      </c>
      <c r="B315" s="23">
        <v>3955</v>
      </c>
      <c r="C315" s="17">
        <v>55.3</v>
      </c>
      <c r="D315" s="17">
        <v>53.4</v>
      </c>
      <c r="E315" s="261">
        <f t="shared" si="18"/>
        <v>0</v>
      </c>
    </row>
    <row r="316" spans="1:5" x14ac:dyDescent="0.25">
      <c r="A316" s="18">
        <v>44409</v>
      </c>
      <c r="B316" s="23">
        <v>3913</v>
      </c>
      <c r="C316" s="636">
        <v>54.2</v>
      </c>
      <c r="D316" s="636">
        <v>53</v>
      </c>
      <c r="E316" s="261">
        <f t="shared" si="18"/>
        <v>-0.39999999999999858</v>
      </c>
    </row>
    <row r="317" spans="1:5" x14ac:dyDescent="0.25">
      <c r="A317" s="18">
        <v>44410</v>
      </c>
      <c r="B317" s="23">
        <v>3819</v>
      </c>
      <c r="C317" s="636">
        <v>53.7</v>
      </c>
      <c r="D317" s="636">
        <v>52.2</v>
      </c>
      <c r="E317" s="261">
        <f t="shared" si="18"/>
        <v>-0.79999999999999716</v>
      </c>
    </row>
    <row r="318" spans="1:5" x14ac:dyDescent="0.25">
      <c r="A318" s="18">
        <v>44411</v>
      </c>
      <c r="B318" s="23">
        <v>3767</v>
      </c>
      <c r="C318" s="636">
        <v>53.6</v>
      </c>
      <c r="D318" s="636">
        <v>51.8</v>
      </c>
      <c r="E318" s="261">
        <f t="shared" si="18"/>
        <v>-0.40000000000000568</v>
      </c>
    </row>
    <row r="319" spans="1:5" x14ac:dyDescent="0.25">
      <c r="A319" s="18">
        <v>44412</v>
      </c>
      <c r="B319" s="23">
        <v>3748</v>
      </c>
      <c r="C319" s="636">
        <v>53.8</v>
      </c>
      <c r="D319" s="636">
        <v>52.6</v>
      </c>
      <c r="E319" s="261">
        <f t="shared" si="18"/>
        <v>0.80000000000000426</v>
      </c>
    </row>
    <row r="320" spans="1:5" x14ac:dyDescent="0.25">
      <c r="A320" s="18">
        <v>44413</v>
      </c>
      <c r="B320" s="23">
        <v>3714</v>
      </c>
      <c r="C320" s="636">
        <v>53.5</v>
      </c>
      <c r="D320" s="636">
        <v>52.6</v>
      </c>
      <c r="E320" s="261">
        <f t="shared" si="18"/>
        <v>0</v>
      </c>
    </row>
    <row r="321" spans="1:5" x14ac:dyDescent="0.25">
      <c r="A321" s="18">
        <v>44414</v>
      </c>
      <c r="B321" s="23">
        <v>3657</v>
      </c>
      <c r="C321" s="636">
        <v>52.4</v>
      </c>
      <c r="D321" s="636">
        <v>58.3</v>
      </c>
      <c r="E321">
        <f>D321-D320</f>
        <v>5.6999999999999957</v>
      </c>
    </row>
    <row r="322" spans="1:5" x14ac:dyDescent="0.25">
      <c r="A322" s="18">
        <v>44415</v>
      </c>
      <c r="B322" s="23">
        <v>3646</v>
      </c>
      <c r="C322" s="636">
        <v>52.1</v>
      </c>
      <c r="D322" s="636">
        <v>50.4</v>
      </c>
      <c r="E322" s="261">
        <f t="shared" ref="E322:E325" si="19">D322-D321</f>
        <v>-7.8999999999999986</v>
      </c>
    </row>
    <row r="323" spans="1:5" x14ac:dyDescent="0.25">
      <c r="A323" s="18">
        <v>44416</v>
      </c>
      <c r="B323" s="23">
        <v>3675</v>
      </c>
      <c r="C323" s="17">
        <v>51.6</v>
      </c>
      <c r="D323" s="17">
        <v>49.5</v>
      </c>
      <c r="E323" s="261">
        <f t="shared" si="19"/>
        <v>-0.89999999999999858</v>
      </c>
    </row>
    <row r="324" spans="1:5" x14ac:dyDescent="0.25">
      <c r="A324" s="18">
        <v>44417</v>
      </c>
      <c r="B324" s="23">
        <v>3613</v>
      </c>
      <c r="C324" s="636">
        <v>51.4</v>
      </c>
      <c r="D324" s="636">
        <v>50</v>
      </c>
      <c r="E324" s="261">
        <f t="shared" si="19"/>
        <v>0.5</v>
      </c>
    </row>
    <row r="325" spans="1:5" x14ac:dyDescent="0.25">
      <c r="A325" s="18">
        <v>44418</v>
      </c>
      <c r="B325" s="23">
        <v>3652</v>
      </c>
      <c r="C325" s="636">
        <v>51.6</v>
      </c>
      <c r="D325" s="636">
        <v>49.8</v>
      </c>
      <c r="E325" s="261">
        <f t="shared" si="19"/>
        <v>-0.20000000000000284</v>
      </c>
    </row>
    <row r="326" spans="1:5" x14ac:dyDescent="0.25">
      <c r="A326" s="18">
        <v>44419</v>
      </c>
      <c r="B326" s="23">
        <v>3635</v>
      </c>
      <c r="C326" s="661">
        <v>51.7</v>
      </c>
      <c r="D326" s="661">
        <v>50.5</v>
      </c>
    </row>
    <row r="327" spans="1:5" x14ac:dyDescent="0.25">
      <c r="A327" s="18">
        <v>44420</v>
      </c>
      <c r="B327" s="23">
        <v>3623</v>
      </c>
      <c r="C327" s="661">
        <v>51.6</v>
      </c>
      <c r="D327" s="661">
        <v>49.7</v>
      </c>
    </row>
    <row r="328" spans="1:5" x14ac:dyDescent="0.25">
      <c r="A328" s="18">
        <v>44421</v>
      </c>
      <c r="B328" s="23">
        <v>3598</v>
      </c>
      <c r="C328" s="661">
        <v>51.3</v>
      </c>
      <c r="D328" s="661">
        <v>49.6</v>
      </c>
    </row>
    <row r="329" spans="1:5" x14ac:dyDescent="0.25">
      <c r="A329" s="18">
        <v>44422</v>
      </c>
      <c r="B329" s="23">
        <v>3571</v>
      </c>
      <c r="C329" s="17">
        <v>50.5</v>
      </c>
      <c r="D329" s="17">
        <v>49</v>
      </c>
    </row>
    <row r="330" spans="1:5" x14ac:dyDescent="0.25">
      <c r="A330" s="18">
        <v>44423</v>
      </c>
      <c r="B330" s="23">
        <v>3574</v>
      </c>
      <c r="C330" s="17">
        <v>50.4</v>
      </c>
      <c r="D330" s="17">
        <v>48.1</v>
      </c>
    </row>
    <row r="331" spans="1:5" x14ac:dyDescent="0.25">
      <c r="A331" s="18">
        <v>44424</v>
      </c>
      <c r="B331" s="23">
        <v>3528</v>
      </c>
      <c r="C331" s="17">
        <v>50.5</v>
      </c>
      <c r="D331" s="17">
        <v>48</v>
      </c>
    </row>
    <row r="332" spans="1:5" x14ac:dyDescent="0.25">
      <c r="A332" s="18">
        <v>44425</v>
      </c>
      <c r="B332" s="23">
        <v>3502</v>
      </c>
      <c r="C332" s="661">
        <v>50.2</v>
      </c>
      <c r="D332" s="661">
        <v>48.2</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W553"/>
  <sheetViews>
    <sheetView topLeftCell="L1" zoomScale="85" zoomScaleNormal="85" workbookViewId="0">
      <pane ySplit="1" topLeftCell="A515" activePane="bottomLeft" state="frozen"/>
      <selection pane="bottomLeft" activeCell="AF531" sqref="AF531"/>
    </sheetView>
  </sheetViews>
  <sheetFormatPr baseColWidth="10" defaultRowHeight="15" x14ac:dyDescent="0.25"/>
  <cols>
    <col min="1" max="1" width="10.28515625" style="37" customWidth="1"/>
    <col min="2" max="2" width="8.5703125" style="688" customWidth="1"/>
    <col min="3" max="3" width="10.5703125" style="143" customWidth="1"/>
    <col min="4" max="4" width="7.140625" style="680" customWidth="1"/>
    <col min="5" max="6" width="9" style="143" customWidth="1"/>
    <col min="7" max="7" width="11.140625" style="158" customWidth="1"/>
    <col min="8" max="8" width="7.28515625" style="143" customWidth="1"/>
    <col min="9" max="10" width="9" style="42" customWidth="1"/>
    <col min="11" max="11" width="6.28515625" style="552" customWidth="1"/>
    <col min="12" max="12" width="5" style="660" customWidth="1"/>
    <col min="13" max="13" width="5.28515625" style="23" customWidth="1"/>
    <col min="14" max="14" width="6.28515625" style="42" customWidth="1"/>
    <col min="15" max="15" width="9" style="68" hidden="1" customWidth="1"/>
    <col min="16" max="18" width="9" style="42" hidden="1" customWidth="1"/>
    <col min="19" max="19" width="9" style="42" customWidth="1"/>
    <col min="20" max="20" width="6.42578125" style="17" customWidth="1"/>
    <col min="21" max="21" width="9" style="42" customWidth="1"/>
    <col min="22" max="22" width="6.85546875" style="463" customWidth="1"/>
    <col min="23" max="23" width="7.140625" style="463" customWidth="1"/>
    <col min="24" max="24" width="6.42578125" style="463" customWidth="1"/>
    <col min="25" max="26" width="9" style="42" customWidth="1"/>
    <col min="27" max="27" width="8.85546875" style="331" customWidth="1"/>
    <col min="28" max="28" width="6.85546875" style="331" customWidth="1"/>
    <col min="29" max="29" width="7.28515625" style="331" customWidth="1"/>
    <col min="30" max="30" width="4" style="331" customWidth="1"/>
    <col min="31" max="31" width="7.85546875" style="413" customWidth="1"/>
    <col min="32" max="32" width="8.5703125" style="42" customWidth="1"/>
    <col min="33" max="33" width="8.42578125" style="42" customWidth="1"/>
    <col min="34" max="34" width="9.28515625" style="42" customWidth="1"/>
    <col min="35" max="35" width="8" style="42" customWidth="1"/>
    <col min="36" max="36" width="9" style="331" customWidth="1"/>
    <col min="37" max="37" width="11.42578125" style="42"/>
    <col min="38" max="38" width="8.5703125" style="42" customWidth="1"/>
    <col min="39" max="40" width="7.85546875" style="42" customWidth="1"/>
    <col min="41" max="41" width="11" style="42" customWidth="1"/>
    <col min="42" max="42" width="7" style="42" customWidth="1"/>
    <col min="43" max="43" width="9.5703125" style="42" customWidth="1"/>
    <col min="44" max="44" width="8" style="42" customWidth="1"/>
    <col min="45" max="48" width="11.42578125" style="42"/>
    <col min="49" max="49" width="16.5703125" style="42" customWidth="1"/>
    <col min="50" max="16384" width="11.42578125" style="42"/>
  </cols>
  <sheetData>
    <row r="1" spans="1:46" s="164" customFormat="1" ht="42.75" customHeight="1" x14ac:dyDescent="0.25">
      <c r="A1" s="500" t="s">
        <v>42</v>
      </c>
      <c r="B1" s="667" t="s">
        <v>26</v>
      </c>
      <c r="C1" s="501" t="s">
        <v>1</v>
      </c>
      <c r="D1" s="667" t="s">
        <v>322</v>
      </c>
      <c r="E1" s="501" t="s">
        <v>3</v>
      </c>
      <c r="F1" s="501" t="s">
        <v>109</v>
      </c>
      <c r="G1" s="501" t="s">
        <v>4</v>
      </c>
      <c r="H1" s="501" t="s">
        <v>5</v>
      </c>
      <c r="I1" s="502" t="s">
        <v>6</v>
      </c>
      <c r="J1" s="502" t="s">
        <v>7</v>
      </c>
      <c r="K1" s="502"/>
      <c r="L1" s="658" t="s">
        <v>8</v>
      </c>
      <c r="M1" s="503" t="s">
        <v>9</v>
      </c>
      <c r="N1" s="502" t="s">
        <v>10</v>
      </c>
      <c r="O1" s="504" t="s">
        <v>308</v>
      </c>
      <c r="P1" s="502" t="s">
        <v>12</v>
      </c>
      <c r="Q1" s="502" t="s">
        <v>13</v>
      </c>
      <c r="R1" s="502" t="s">
        <v>14</v>
      </c>
      <c r="S1" s="502" t="s">
        <v>230</v>
      </c>
      <c r="T1" s="502" t="s">
        <v>110</v>
      </c>
      <c r="U1" s="502" t="s">
        <v>111</v>
      </c>
      <c r="V1" s="502" t="s">
        <v>303</v>
      </c>
      <c r="W1" s="502" t="s">
        <v>244</v>
      </c>
      <c r="X1" s="502" t="s">
        <v>304</v>
      </c>
      <c r="Y1" s="502" t="s">
        <v>231</v>
      </c>
      <c r="Z1" s="502" t="s">
        <v>234</v>
      </c>
      <c r="AA1" s="505" t="s">
        <v>235</v>
      </c>
      <c r="AB1" s="505" t="s">
        <v>309</v>
      </c>
      <c r="AC1" s="505" t="s">
        <v>315</v>
      </c>
      <c r="AD1" s="505" t="s">
        <v>316</v>
      </c>
      <c r="AE1" s="505" t="s">
        <v>300</v>
      </c>
      <c r="AF1" s="502" t="s">
        <v>236</v>
      </c>
      <c r="AG1" s="296" t="s">
        <v>232</v>
      </c>
      <c r="AH1" s="296" t="s">
        <v>233</v>
      </c>
      <c r="AI1" s="296" t="s">
        <v>277</v>
      </c>
      <c r="AJ1" s="452" t="s">
        <v>276</v>
      </c>
      <c r="AK1" s="258" t="s">
        <v>237</v>
      </c>
      <c r="AL1" s="258"/>
      <c r="AM1" s="258" t="s">
        <v>270</v>
      </c>
      <c r="AN1" s="258" t="s">
        <v>271</v>
      </c>
      <c r="AO1" s="258" t="s">
        <v>271</v>
      </c>
      <c r="AP1" s="258" t="s">
        <v>318</v>
      </c>
      <c r="AQ1" s="258" t="s">
        <v>317</v>
      </c>
      <c r="AR1" s="258" t="s">
        <v>271</v>
      </c>
    </row>
    <row r="2" spans="1:46" hidden="1" x14ac:dyDescent="0.25">
      <c r="A2" s="259">
        <v>43893</v>
      </c>
      <c r="B2" s="668">
        <v>1</v>
      </c>
      <c r="C2" s="506">
        <v>1</v>
      </c>
      <c r="D2" s="670">
        <v>0</v>
      </c>
      <c r="E2" s="506">
        <v>0</v>
      </c>
      <c r="F2" s="506"/>
      <c r="G2" s="506">
        <v>0</v>
      </c>
      <c r="H2" s="506"/>
      <c r="I2" s="506"/>
      <c r="J2" s="507"/>
      <c r="K2" s="507"/>
      <c r="L2" s="541">
        <f t="shared" ref="L2:L65" si="0">E2/C2</f>
        <v>0</v>
      </c>
      <c r="M2" s="508"/>
      <c r="N2" s="507"/>
      <c r="O2" s="509">
        <v>1</v>
      </c>
      <c r="P2" s="507">
        <v>0</v>
      </c>
      <c r="Q2" s="507">
        <v>0</v>
      </c>
      <c r="R2" s="507">
        <v>0</v>
      </c>
      <c r="S2" s="510">
        <f t="shared" ref="S2:S65" si="1">C2-E2-G2</f>
        <v>1</v>
      </c>
      <c r="T2" s="507"/>
      <c r="U2" s="511"/>
      <c r="V2" s="512" t="e">
        <f>SUM(#REF!)/POBLA!$B$25*100000</f>
        <v>#REF!</v>
      </c>
      <c r="W2" s="512">
        <f>B2/POBLA!$B$25*100000</f>
        <v>2.2036061088456693E-3</v>
      </c>
      <c r="X2" s="513" t="e">
        <f>SUM(#REF!)/SUM(#REF!)</f>
        <v>#REF!</v>
      </c>
      <c r="Y2" s="511"/>
      <c r="Z2" s="511"/>
      <c r="AA2" s="514"/>
      <c r="AB2" s="514"/>
      <c r="AC2" s="514"/>
      <c r="AD2" s="514"/>
      <c r="AE2" s="544"/>
      <c r="AF2" s="511"/>
      <c r="AG2" s="4"/>
      <c r="AH2" s="4"/>
      <c r="AI2" s="4"/>
      <c r="AJ2" s="332">
        <f>MAX(B2)</f>
        <v>1</v>
      </c>
      <c r="AP2" s="355" t="e">
        <f>AE2/#REF!</f>
        <v>#REF!</v>
      </c>
    </row>
    <row r="3" spans="1:46" hidden="1" x14ac:dyDescent="0.25">
      <c r="A3" s="259">
        <v>43894</v>
      </c>
      <c r="B3" s="668">
        <v>0</v>
      </c>
      <c r="C3" s="506">
        <v>1</v>
      </c>
      <c r="D3" s="670">
        <v>0</v>
      </c>
      <c r="E3" s="506">
        <v>0</v>
      </c>
      <c r="F3" s="515">
        <f t="shared" ref="F3:F66" si="2">G3-G2</f>
        <v>0</v>
      </c>
      <c r="G3" s="506">
        <v>0</v>
      </c>
      <c r="H3" s="506"/>
      <c r="I3" s="506"/>
      <c r="J3" s="507"/>
      <c r="K3" s="507"/>
      <c r="L3" s="541">
        <f t="shared" si="0"/>
        <v>0</v>
      </c>
      <c r="M3" s="508"/>
      <c r="N3" s="507"/>
      <c r="O3" s="509">
        <v>1</v>
      </c>
      <c r="P3" s="507">
        <v>0</v>
      </c>
      <c r="Q3" s="507">
        <v>0</v>
      </c>
      <c r="R3" s="507">
        <v>0</v>
      </c>
      <c r="S3" s="510">
        <f t="shared" si="1"/>
        <v>1</v>
      </c>
      <c r="T3" s="507"/>
      <c r="U3" s="511"/>
      <c r="V3" s="512" t="e">
        <f>SUM(#REF!)/POBLA!$B$25*100000</f>
        <v>#REF!</v>
      </c>
      <c r="W3" s="512">
        <f>B3/POBLA!$B$25*100000</f>
        <v>0</v>
      </c>
      <c r="X3" s="513" t="e">
        <f>SUM(#REF!)/SUM(#REF!)</f>
        <v>#REF!</v>
      </c>
      <c r="Y3" s="511"/>
      <c r="Z3" s="511"/>
      <c r="AA3" s="514"/>
      <c r="AB3" s="514"/>
      <c r="AC3" s="514"/>
      <c r="AD3" s="514"/>
      <c r="AE3" s="544"/>
      <c r="AF3" s="511"/>
      <c r="AG3" s="4"/>
      <c r="AH3" s="4"/>
      <c r="AI3" s="4"/>
      <c r="AJ3" s="332">
        <f>MAX($B$2:B3)</f>
        <v>1</v>
      </c>
      <c r="AP3" s="355" t="e">
        <f>AE3/#REF!</f>
        <v>#REF!</v>
      </c>
    </row>
    <row r="4" spans="1:46" hidden="1" x14ac:dyDescent="0.25">
      <c r="A4" s="259">
        <v>43895</v>
      </c>
      <c r="B4" s="668">
        <v>1</v>
      </c>
      <c r="C4" s="506">
        <v>2</v>
      </c>
      <c r="D4" s="670">
        <v>0</v>
      </c>
      <c r="E4" s="506">
        <v>0</v>
      </c>
      <c r="F4" s="515">
        <f t="shared" si="2"/>
        <v>0</v>
      </c>
      <c r="G4" s="506">
        <v>0</v>
      </c>
      <c r="H4" s="506"/>
      <c r="I4" s="506"/>
      <c r="J4" s="507"/>
      <c r="K4" s="507"/>
      <c r="L4" s="541">
        <f t="shared" si="0"/>
        <v>0</v>
      </c>
      <c r="M4" s="508"/>
      <c r="N4" s="507"/>
      <c r="O4" s="509">
        <v>2</v>
      </c>
      <c r="P4" s="507">
        <v>0</v>
      </c>
      <c r="Q4" s="507">
        <v>0</v>
      </c>
      <c r="R4" s="507">
        <v>0</v>
      </c>
      <c r="S4" s="510">
        <f t="shared" si="1"/>
        <v>2</v>
      </c>
      <c r="T4" s="507"/>
      <c r="U4" s="511"/>
      <c r="V4" s="512" t="e">
        <f>SUM(#REF!)/POBLA!$B$25*100000</f>
        <v>#REF!</v>
      </c>
      <c r="W4" s="512">
        <f>B4/POBLA!$B$25*100000</f>
        <v>2.2036061088456693E-3</v>
      </c>
      <c r="X4" s="513" t="e">
        <f>SUM(#REF!)/SUM(#REF!)</f>
        <v>#REF!</v>
      </c>
      <c r="Y4" s="511"/>
      <c r="Z4" s="511"/>
      <c r="AA4" s="514"/>
      <c r="AB4" s="514"/>
      <c r="AC4" s="514"/>
      <c r="AD4" s="514"/>
      <c r="AE4" s="544"/>
      <c r="AF4" s="511"/>
      <c r="AG4" s="4"/>
      <c r="AH4" s="4"/>
      <c r="AI4" s="4"/>
      <c r="AJ4" s="332">
        <f>MAX($B$2:B4)</f>
        <v>1</v>
      </c>
      <c r="AP4" s="355" t="e">
        <f>AE4/#REF!</f>
        <v>#REF!</v>
      </c>
    </row>
    <row r="5" spans="1:46" hidden="1" x14ac:dyDescent="0.25">
      <c r="A5" s="259">
        <v>43896</v>
      </c>
      <c r="B5" s="668">
        <v>6</v>
      </c>
      <c r="C5" s="506">
        <v>8</v>
      </c>
      <c r="D5" s="670">
        <v>0</v>
      </c>
      <c r="E5" s="506">
        <v>0</v>
      </c>
      <c r="F5" s="515">
        <f t="shared" si="2"/>
        <v>0</v>
      </c>
      <c r="G5" s="506">
        <v>0</v>
      </c>
      <c r="H5" s="506"/>
      <c r="I5" s="506"/>
      <c r="J5" s="507"/>
      <c r="K5" s="507"/>
      <c r="L5" s="541">
        <f t="shared" si="0"/>
        <v>0</v>
      </c>
      <c r="M5" s="508"/>
      <c r="N5" s="507"/>
      <c r="O5" s="509">
        <v>8</v>
      </c>
      <c r="P5" s="507">
        <v>0</v>
      </c>
      <c r="Q5" s="507">
        <v>0</v>
      </c>
      <c r="R5" s="507">
        <v>0</v>
      </c>
      <c r="S5" s="510">
        <f t="shared" si="1"/>
        <v>8</v>
      </c>
      <c r="T5" s="507"/>
      <c r="U5" s="511"/>
      <c r="V5" s="512" t="e">
        <f>SUM(#REF!)/POBLA!$B$25*100000</f>
        <v>#REF!</v>
      </c>
      <c r="W5" s="512">
        <f>B5/POBLA!$B$25*100000</f>
        <v>1.3221636653074015E-2</v>
      </c>
      <c r="X5" s="513" t="e">
        <f>SUM(#REF!)/SUM(#REF!)</f>
        <v>#REF!</v>
      </c>
      <c r="Y5" s="511"/>
      <c r="Z5" s="511"/>
      <c r="AA5" s="514"/>
      <c r="AB5" s="514"/>
      <c r="AC5" s="514"/>
      <c r="AD5" s="514"/>
      <c r="AE5" s="544"/>
      <c r="AF5" s="511"/>
      <c r="AG5" s="4"/>
      <c r="AH5" s="4"/>
      <c r="AI5" s="4"/>
      <c r="AJ5" s="332">
        <f>MAX($B$2:B5)</f>
        <v>6</v>
      </c>
      <c r="AP5" s="355" t="e">
        <f>AE5/#REF!</f>
        <v>#REF!</v>
      </c>
    </row>
    <row r="6" spans="1:46" hidden="1" x14ac:dyDescent="0.25">
      <c r="A6" s="259">
        <v>43897</v>
      </c>
      <c r="B6" s="668">
        <v>1</v>
      </c>
      <c r="C6" s="506">
        <v>9</v>
      </c>
      <c r="D6" s="670">
        <v>1</v>
      </c>
      <c r="E6" s="506">
        <v>1</v>
      </c>
      <c r="F6" s="515">
        <f t="shared" si="2"/>
        <v>0</v>
      </c>
      <c r="G6" s="506">
        <v>0</v>
      </c>
      <c r="H6" s="506"/>
      <c r="I6" s="506"/>
      <c r="J6" s="507"/>
      <c r="K6" s="507"/>
      <c r="L6" s="541">
        <f t="shared" si="0"/>
        <v>0.1111111111111111</v>
      </c>
      <c r="M6" s="508"/>
      <c r="N6" s="507"/>
      <c r="O6" s="509">
        <v>9</v>
      </c>
      <c r="P6" s="507">
        <v>0</v>
      </c>
      <c r="Q6" s="507">
        <v>0</v>
      </c>
      <c r="R6" s="507">
        <v>0</v>
      </c>
      <c r="S6" s="510">
        <f t="shared" si="1"/>
        <v>8</v>
      </c>
      <c r="T6" s="507"/>
      <c r="U6" s="511"/>
      <c r="V6" s="512"/>
      <c r="W6" s="512">
        <f>B6/POBLA!$B$25*100000</f>
        <v>2.2036061088456693E-3</v>
      </c>
      <c r="X6" s="513" t="e">
        <f>SUM(#REF!)/SUM(#REF!)</f>
        <v>#REF!</v>
      </c>
      <c r="Y6" s="511"/>
      <c r="Z6" s="511"/>
      <c r="AA6" s="514"/>
      <c r="AB6" s="514"/>
      <c r="AC6" s="514"/>
      <c r="AD6" s="514"/>
      <c r="AE6" s="544"/>
      <c r="AF6" s="511"/>
      <c r="AG6" s="4"/>
      <c r="AH6" s="4"/>
      <c r="AI6" s="4"/>
      <c r="AJ6" s="332">
        <f>MAX($B$2:B6)</f>
        <v>6</v>
      </c>
      <c r="AP6" s="355" t="e">
        <f>AE6/#REF!</f>
        <v>#REF!</v>
      </c>
    </row>
    <row r="7" spans="1:46" hidden="1" x14ac:dyDescent="0.25">
      <c r="A7" s="259">
        <v>43898</v>
      </c>
      <c r="B7" s="668">
        <v>3</v>
      </c>
      <c r="C7" s="506">
        <v>12</v>
      </c>
      <c r="D7" s="670">
        <v>0</v>
      </c>
      <c r="E7" s="506">
        <v>1</v>
      </c>
      <c r="F7" s="515">
        <f t="shared" si="2"/>
        <v>0</v>
      </c>
      <c r="G7" s="506">
        <v>0</v>
      </c>
      <c r="H7" s="506"/>
      <c r="I7" s="506"/>
      <c r="J7" s="507"/>
      <c r="K7" s="507"/>
      <c r="L7" s="541">
        <f t="shared" si="0"/>
        <v>8.3333333333333329E-2</v>
      </c>
      <c r="M7" s="508"/>
      <c r="N7" s="507"/>
      <c r="O7" s="509">
        <v>12</v>
      </c>
      <c r="P7" s="507">
        <v>0</v>
      </c>
      <c r="Q7" s="507">
        <v>0</v>
      </c>
      <c r="R7" s="507">
        <v>0</v>
      </c>
      <c r="S7" s="510">
        <f t="shared" si="1"/>
        <v>11</v>
      </c>
      <c r="T7" s="507"/>
      <c r="U7" s="511"/>
      <c r="V7" s="512"/>
      <c r="W7" s="512">
        <f>B7/POBLA!$B$25*100000</f>
        <v>6.6108183265370076E-3</v>
      </c>
      <c r="X7" s="513" t="e">
        <f>SUM(#REF!)/SUM(#REF!)</f>
        <v>#REF!</v>
      </c>
      <c r="Y7" s="511"/>
      <c r="Z7" s="511"/>
      <c r="AA7" s="514"/>
      <c r="AB7" s="514"/>
      <c r="AC7" s="514"/>
      <c r="AD7" s="514"/>
      <c r="AE7" s="544"/>
      <c r="AF7" s="511"/>
      <c r="AG7" s="4"/>
      <c r="AH7" s="4"/>
      <c r="AI7" s="4"/>
      <c r="AJ7" s="332">
        <f>MAX($B$2:B7)</f>
        <v>6</v>
      </c>
      <c r="AP7" s="355" t="e">
        <f>AE7/#REF!</f>
        <v>#REF!</v>
      </c>
    </row>
    <row r="8" spans="1:46" hidden="1" x14ac:dyDescent="0.25">
      <c r="A8" s="259">
        <v>43899</v>
      </c>
      <c r="B8" s="668">
        <v>5</v>
      </c>
      <c r="C8" s="506">
        <v>17</v>
      </c>
      <c r="D8" s="670">
        <v>0</v>
      </c>
      <c r="E8" s="506">
        <v>1</v>
      </c>
      <c r="F8" s="515">
        <f t="shared" si="2"/>
        <v>0</v>
      </c>
      <c r="G8" s="506">
        <v>0</v>
      </c>
      <c r="H8" s="506"/>
      <c r="I8" s="506"/>
      <c r="J8" s="507"/>
      <c r="K8" s="507"/>
      <c r="L8" s="541">
        <f t="shared" si="0"/>
        <v>5.8823529411764705E-2</v>
      </c>
      <c r="M8" s="508"/>
      <c r="N8" s="507"/>
      <c r="O8" s="509">
        <v>17</v>
      </c>
      <c r="P8" s="507">
        <v>0</v>
      </c>
      <c r="Q8" s="507">
        <v>0</v>
      </c>
      <c r="R8" s="507">
        <v>0</v>
      </c>
      <c r="S8" s="510">
        <f t="shared" si="1"/>
        <v>16</v>
      </c>
      <c r="T8" s="507"/>
      <c r="U8" s="511"/>
      <c r="V8" s="512"/>
      <c r="W8" s="512">
        <f>B8/POBLA!$B$25*100000</f>
        <v>1.1018030544228348E-2</v>
      </c>
      <c r="X8" s="513" t="e">
        <f>SUM(#REF!)/SUM(#REF!)</f>
        <v>#REF!</v>
      </c>
      <c r="Y8" s="511"/>
      <c r="Z8" s="511"/>
      <c r="AA8" s="517">
        <f>AVERAGE(B2:B8)</f>
        <v>2.4285714285714284</v>
      </c>
      <c r="AB8" s="517">
        <f>AVERAGE(D2:D8)</f>
        <v>0.14285714285714285</v>
      </c>
      <c r="AC8" s="517"/>
      <c r="AD8" s="517"/>
      <c r="AE8" s="545"/>
      <c r="AF8" s="516"/>
      <c r="AG8" s="4"/>
      <c r="AH8" s="4"/>
      <c r="AI8" s="4"/>
      <c r="AJ8" s="332">
        <f>MAX($B$2:B8)</f>
        <v>6</v>
      </c>
      <c r="AP8" s="355" t="e">
        <f>AE8/#REF!</f>
        <v>#REF!</v>
      </c>
    </row>
    <row r="9" spans="1:46" hidden="1" x14ac:dyDescent="0.25">
      <c r="A9" s="259">
        <v>43900</v>
      </c>
      <c r="B9" s="668">
        <v>2</v>
      </c>
      <c r="C9" s="506">
        <v>19</v>
      </c>
      <c r="D9" s="670">
        <v>0</v>
      </c>
      <c r="E9" s="506">
        <v>1</v>
      </c>
      <c r="F9" s="515">
        <f t="shared" si="2"/>
        <v>0</v>
      </c>
      <c r="G9" s="506">
        <v>0</v>
      </c>
      <c r="H9" s="506"/>
      <c r="I9" s="506"/>
      <c r="J9" s="507"/>
      <c r="K9" s="507"/>
      <c r="L9" s="541">
        <f t="shared" si="0"/>
        <v>5.2631578947368418E-2</v>
      </c>
      <c r="M9" s="508"/>
      <c r="N9" s="507"/>
      <c r="O9" s="509">
        <v>19</v>
      </c>
      <c r="P9" s="507">
        <v>0</v>
      </c>
      <c r="Q9" s="507">
        <v>0</v>
      </c>
      <c r="R9" s="507">
        <v>0</v>
      </c>
      <c r="S9" s="510">
        <f t="shared" si="1"/>
        <v>18</v>
      </c>
      <c r="T9" s="507"/>
      <c r="U9" s="511"/>
      <c r="V9" s="512"/>
      <c r="W9" s="512">
        <f>B9/POBLA!$B$25*100000</f>
        <v>4.4072122176913387E-3</v>
      </c>
      <c r="X9" s="513" t="e">
        <f>SUM(#REF!)/SUM(#REF!)</f>
        <v>#REF!</v>
      </c>
      <c r="Y9" s="511"/>
      <c r="Z9" s="511"/>
      <c r="AA9" s="517">
        <f t="shared" ref="AA9:AA72" si="3">AVERAGE(B3:B9)</f>
        <v>2.5714285714285716</v>
      </c>
      <c r="AB9" s="517">
        <f t="shared" ref="AB9:AB72" si="4">AVERAGE(D3:D9)</f>
        <v>0.14285714285714285</v>
      </c>
      <c r="AC9" s="517"/>
      <c r="AD9" s="517"/>
      <c r="AE9" s="545"/>
      <c r="AF9" s="516"/>
      <c r="AG9" s="4"/>
      <c r="AH9" s="4"/>
      <c r="AI9" s="4"/>
      <c r="AJ9" s="332">
        <f>MAX($B$2:B9)</f>
        <v>6</v>
      </c>
      <c r="AP9" s="355" t="e">
        <f>AE9/#REF!</f>
        <v>#REF!</v>
      </c>
    </row>
    <row r="10" spans="1:46" hidden="1" x14ac:dyDescent="0.25">
      <c r="A10" s="259">
        <v>43901</v>
      </c>
      <c r="B10" s="668">
        <v>2</v>
      </c>
      <c r="C10" s="506">
        <v>21</v>
      </c>
      <c r="D10" s="670">
        <v>0</v>
      </c>
      <c r="E10" s="506">
        <v>1</v>
      </c>
      <c r="F10" s="515">
        <f t="shared" si="2"/>
        <v>0</v>
      </c>
      <c r="G10" s="506">
        <v>0</v>
      </c>
      <c r="H10" s="506"/>
      <c r="I10" s="506"/>
      <c r="J10" s="507"/>
      <c r="K10" s="507"/>
      <c r="L10" s="541">
        <f t="shared" si="0"/>
        <v>4.7619047619047616E-2</v>
      </c>
      <c r="M10" s="508"/>
      <c r="N10" s="507"/>
      <c r="O10" s="509">
        <v>21</v>
      </c>
      <c r="P10" s="507">
        <v>0</v>
      </c>
      <c r="Q10" s="507">
        <v>0</v>
      </c>
      <c r="R10" s="507">
        <v>0</v>
      </c>
      <c r="S10" s="510">
        <f t="shared" si="1"/>
        <v>20</v>
      </c>
      <c r="T10" s="507"/>
      <c r="U10" s="511"/>
      <c r="V10" s="512"/>
      <c r="W10" s="512">
        <f>B10/POBLA!$B$25*100000</f>
        <v>4.4072122176913387E-3</v>
      </c>
      <c r="X10" s="513" t="e">
        <f>SUM(#REF!)/SUM(#REF!)</f>
        <v>#REF!</v>
      </c>
      <c r="Y10" s="511"/>
      <c r="Z10" s="511"/>
      <c r="AA10" s="517">
        <f t="shared" si="3"/>
        <v>2.8571428571428572</v>
      </c>
      <c r="AB10" s="517">
        <f t="shared" si="4"/>
        <v>0.14285714285714285</v>
      </c>
      <c r="AC10" s="517"/>
      <c r="AD10" s="517"/>
      <c r="AE10" s="545"/>
      <c r="AF10" s="516"/>
      <c r="AG10" s="4"/>
      <c r="AH10" s="4"/>
      <c r="AI10" s="4"/>
      <c r="AJ10" s="332">
        <f>MAX($B$2:B10)</f>
        <v>6</v>
      </c>
      <c r="AP10" s="355" t="e">
        <f>AE10/#REF!</f>
        <v>#REF!</v>
      </c>
    </row>
    <row r="11" spans="1:46" hidden="1" x14ac:dyDescent="0.25">
      <c r="A11" s="259">
        <v>43902</v>
      </c>
      <c r="B11" s="668">
        <v>10</v>
      </c>
      <c r="C11" s="506">
        <v>31</v>
      </c>
      <c r="D11" s="670">
        <v>0</v>
      </c>
      <c r="E11" s="506">
        <v>1</v>
      </c>
      <c r="F11" s="515">
        <f t="shared" si="2"/>
        <v>0</v>
      </c>
      <c r="G11" s="506">
        <v>0</v>
      </c>
      <c r="H11" s="506"/>
      <c r="I11" s="506"/>
      <c r="J11" s="507"/>
      <c r="K11" s="507"/>
      <c r="L11" s="541">
        <f t="shared" si="0"/>
        <v>3.2258064516129031E-2</v>
      </c>
      <c r="M11" s="508"/>
      <c r="N11" s="507"/>
      <c r="O11" s="509">
        <v>28</v>
      </c>
      <c r="P11" s="507">
        <v>3</v>
      </c>
      <c r="Q11" s="507">
        <v>0</v>
      </c>
      <c r="R11" s="507">
        <v>0</v>
      </c>
      <c r="S11" s="510">
        <f t="shared" si="1"/>
        <v>30</v>
      </c>
      <c r="T11" s="507"/>
      <c r="U11" s="511"/>
      <c r="V11" s="512"/>
      <c r="W11" s="512">
        <f>B11/POBLA!$B$25*100000</f>
        <v>2.2036061088456696E-2</v>
      </c>
      <c r="X11" s="513" t="e">
        <f>SUM(#REF!)/SUM(#REF!)</f>
        <v>#REF!</v>
      </c>
      <c r="Y11" s="511"/>
      <c r="Z11" s="511"/>
      <c r="AA11" s="517">
        <f t="shared" si="3"/>
        <v>4.1428571428571432</v>
      </c>
      <c r="AB11" s="517">
        <f t="shared" si="4"/>
        <v>0.14285714285714285</v>
      </c>
      <c r="AC11" s="517"/>
      <c r="AD11" s="517"/>
      <c r="AE11" s="545"/>
      <c r="AF11" s="516"/>
      <c r="AG11" s="4"/>
      <c r="AH11" s="4"/>
      <c r="AI11" s="4"/>
      <c r="AJ11" s="332">
        <f>MAX($B$2:B11)</f>
        <v>10</v>
      </c>
      <c r="AP11" s="355" t="e">
        <f>AE11/#REF!</f>
        <v>#REF!</v>
      </c>
    </row>
    <row r="12" spans="1:46" hidden="1" x14ac:dyDescent="0.25">
      <c r="A12" s="259">
        <v>43903</v>
      </c>
      <c r="B12" s="668">
        <v>3</v>
      </c>
      <c r="C12" s="506">
        <v>34</v>
      </c>
      <c r="D12" s="670">
        <v>1</v>
      </c>
      <c r="E12" s="506">
        <v>2</v>
      </c>
      <c r="F12" s="515">
        <f t="shared" si="2"/>
        <v>0</v>
      </c>
      <c r="G12" s="506">
        <v>0</v>
      </c>
      <c r="H12" s="506"/>
      <c r="I12" s="506"/>
      <c r="J12" s="507"/>
      <c r="K12" s="507"/>
      <c r="L12" s="541">
        <f t="shared" si="0"/>
        <v>5.8823529411764705E-2</v>
      </c>
      <c r="M12" s="508"/>
      <c r="N12" s="507"/>
      <c r="O12" s="509">
        <v>30</v>
      </c>
      <c r="P12" s="507">
        <v>4</v>
      </c>
      <c r="Q12" s="507">
        <v>0</v>
      </c>
      <c r="R12" s="507">
        <v>0</v>
      </c>
      <c r="S12" s="510">
        <f t="shared" si="1"/>
        <v>32</v>
      </c>
      <c r="T12" s="507"/>
      <c r="U12" s="511"/>
      <c r="V12" s="512"/>
      <c r="W12" s="512">
        <f>B12/POBLA!$B$25*100000</f>
        <v>6.6108183265370076E-3</v>
      </c>
      <c r="X12" s="513" t="e">
        <f>SUM(#REF!)/SUM(#REF!)</f>
        <v>#REF!</v>
      </c>
      <c r="Y12" s="511"/>
      <c r="Z12" s="511"/>
      <c r="AA12" s="517">
        <f t="shared" si="3"/>
        <v>3.7142857142857144</v>
      </c>
      <c r="AB12" s="517">
        <f t="shared" si="4"/>
        <v>0.2857142857142857</v>
      </c>
      <c r="AC12" s="517"/>
      <c r="AD12" s="517"/>
      <c r="AE12" s="545"/>
      <c r="AF12" s="516"/>
      <c r="AG12" s="4"/>
      <c r="AH12" s="4"/>
      <c r="AI12" s="4"/>
      <c r="AJ12" s="332">
        <f>MAX($B$2:B12)</f>
        <v>10</v>
      </c>
      <c r="AP12" s="355" t="e">
        <f>AE12/#REF!</f>
        <v>#REF!</v>
      </c>
    </row>
    <row r="13" spans="1:46" hidden="1" x14ac:dyDescent="0.25">
      <c r="A13" s="259">
        <v>43904</v>
      </c>
      <c r="B13" s="668">
        <v>11</v>
      </c>
      <c r="C13" s="506">
        <v>45</v>
      </c>
      <c r="D13" s="670">
        <v>0</v>
      </c>
      <c r="E13" s="506">
        <v>2</v>
      </c>
      <c r="F13" s="515">
        <f t="shared" si="2"/>
        <v>0</v>
      </c>
      <c r="G13" s="506">
        <v>0</v>
      </c>
      <c r="H13" s="506"/>
      <c r="I13" s="506"/>
      <c r="J13" s="507"/>
      <c r="K13" s="507"/>
      <c r="L13" s="541">
        <f t="shared" si="0"/>
        <v>4.4444444444444446E-2</v>
      </c>
      <c r="M13" s="508"/>
      <c r="N13" s="507"/>
      <c r="O13" s="509">
        <v>40</v>
      </c>
      <c r="P13" s="507">
        <v>5</v>
      </c>
      <c r="Q13" s="507">
        <v>0</v>
      </c>
      <c r="R13" s="507">
        <v>0</v>
      </c>
      <c r="S13" s="510">
        <f t="shared" si="1"/>
        <v>43</v>
      </c>
      <c r="T13" s="507"/>
      <c r="U13" s="511"/>
      <c r="V13" s="512"/>
      <c r="W13" s="512">
        <f>B13/POBLA!$B$25*100000</f>
        <v>2.4239667197302365E-2</v>
      </c>
      <c r="X13" s="513" t="e">
        <f>SUM(#REF!)/SUM(#REF!)</f>
        <v>#REF!</v>
      </c>
      <c r="Y13" s="511"/>
      <c r="Z13" s="511"/>
      <c r="AA13" s="517">
        <f t="shared" si="3"/>
        <v>5.1428571428571432</v>
      </c>
      <c r="AB13" s="517">
        <f t="shared" si="4"/>
        <v>0.14285714285714285</v>
      </c>
      <c r="AC13" s="517"/>
      <c r="AD13" s="517"/>
      <c r="AE13" s="545"/>
      <c r="AF13" s="516"/>
      <c r="AG13" s="4"/>
      <c r="AH13" s="4"/>
      <c r="AI13" s="4"/>
      <c r="AJ13" s="332">
        <f>MAX($B$2:B13)</f>
        <v>11</v>
      </c>
      <c r="AP13" s="355" t="e">
        <f>AE13/#REF!</f>
        <v>#REF!</v>
      </c>
    </row>
    <row r="14" spans="1:46" hidden="1" x14ac:dyDescent="0.25">
      <c r="A14" s="259">
        <v>43905</v>
      </c>
      <c r="B14" s="668">
        <v>11</v>
      </c>
      <c r="C14" s="506">
        <v>56</v>
      </c>
      <c r="D14" s="670">
        <v>0</v>
      </c>
      <c r="E14" s="506">
        <v>2</v>
      </c>
      <c r="F14" s="515">
        <f t="shared" si="2"/>
        <v>0</v>
      </c>
      <c r="G14" s="506">
        <v>0</v>
      </c>
      <c r="H14" s="506"/>
      <c r="I14" s="506"/>
      <c r="J14" s="507"/>
      <c r="K14" s="507"/>
      <c r="L14" s="541">
        <f t="shared" si="0"/>
        <v>3.5714285714285712E-2</v>
      </c>
      <c r="M14" s="508"/>
      <c r="N14" s="507"/>
      <c r="O14" s="509">
        <v>48</v>
      </c>
      <c r="P14" s="507">
        <v>8</v>
      </c>
      <c r="Q14" s="507">
        <v>0</v>
      </c>
      <c r="R14" s="507">
        <v>0</v>
      </c>
      <c r="S14" s="510">
        <f t="shared" si="1"/>
        <v>54</v>
      </c>
      <c r="T14" s="518">
        <f t="shared" ref="T14:T77" si="5">H14/(C14-E14-G14)</f>
        <v>0</v>
      </c>
      <c r="U14" s="519">
        <f t="shared" ref="U14:U45" si="6">E14/C14</f>
        <v>3.5714285714285712E-2</v>
      </c>
      <c r="V14" s="512">
        <f>SUM(B1:B14)/POBLA!$B$25*100000</f>
        <v>0.12340194209535747</v>
      </c>
      <c r="W14" s="512">
        <f>B14/POBLA!$B$25*100000</f>
        <v>2.4239667197302365E-2</v>
      </c>
      <c r="X14" s="513" t="e">
        <f>SUM(B1:B14)/SUM(#REF!)</f>
        <v>#REF!</v>
      </c>
      <c r="Y14" s="511"/>
      <c r="Z14" s="511"/>
      <c r="AA14" s="517">
        <f t="shared" si="3"/>
        <v>6.2857142857142856</v>
      </c>
      <c r="AB14" s="517">
        <f t="shared" si="4"/>
        <v>0.14285714285714285</v>
      </c>
      <c r="AC14" s="517"/>
      <c r="AD14" s="517"/>
      <c r="AE14" s="545"/>
      <c r="AF14" s="516"/>
      <c r="AG14" s="4"/>
      <c r="AH14" s="4"/>
      <c r="AI14" s="4"/>
      <c r="AJ14" s="332">
        <f>MAX($B$2:B14)</f>
        <v>11</v>
      </c>
      <c r="AP14" s="355" t="e">
        <f>AE14/#REF!</f>
        <v>#REF!</v>
      </c>
      <c r="AT14" s="179"/>
    </row>
    <row r="15" spans="1:46" hidden="1" x14ac:dyDescent="0.25">
      <c r="A15" s="259">
        <v>43906</v>
      </c>
      <c r="B15" s="668">
        <v>9</v>
      </c>
      <c r="C15" s="506">
        <v>65</v>
      </c>
      <c r="D15" s="670">
        <v>0</v>
      </c>
      <c r="E15" s="506">
        <v>2</v>
      </c>
      <c r="F15" s="515">
        <f t="shared" si="2"/>
        <v>0</v>
      </c>
      <c r="G15" s="506">
        <v>0</v>
      </c>
      <c r="H15" s="506"/>
      <c r="I15" s="506"/>
      <c r="J15" s="507"/>
      <c r="K15" s="507"/>
      <c r="L15" s="541">
        <f t="shared" si="0"/>
        <v>3.0769230769230771E-2</v>
      </c>
      <c r="M15" s="508"/>
      <c r="N15" s="507">
        <v>464</v>
      </c>
      <c r="O15" s="509">
        <v>56</v>
      </c>
      <c r="P15" s="507">
        <v>9</v>
      </c>
      <c r="Q15" s="507">
        <v>0</v>
      </c>
      <c r="R15" s="507">
        <v>0</v>
      </c>
      <c r="S15" s="510">
        <f t="shared" si="1"/>
        <v>63</v>
      </c>
      <c r="T15" s="518">
        <f t="shared" si="5"/>
        <v>0</v>
      </c>
      <c r="U15" s="519">
        <f t="shared" si="6"/>
        <v>3.0769230769230771E-2</v>
      </c>
      <c r="V15" s="512">
        <f>SUM(B2:B15)/POBLA!$B$25*100000</f>
        <v>0.14323439707496849</v>
      </c>
      <c r="W15" s="512">
        <f>B15/POBLA!$B$25*100000</f>
        <v>1.9832454979611027E-2</v>
      </c>
      <c r="X15" s="513" t="e">
        <f>SUM(B2:B15)/SUM(#REF!)</f>
        <v>#REF!</v>
      </c>
      <c r="Y15" s="511"/>
      <c r="Z15" s="511"/>
      <c r="AA15" s="517">
        <f t="shared" si="3"/>
        <v>6.8571428571428568</v>
      </c>
      <c r="AB15" s="517">
        <f t="shared" si="4"/>
        <v>0.14285714285714285</v>
      </c>
      <c r="AC15" s="517"/>
      <c r="AD15" s="517"/>
      <c r="AE15" s="545"/>
      <c r="AF15" s="516"/>
      <c r="AG15" s="4"/>
      <c r="AH15" s="4"/>
      <c r="AI15" s="4"/>
      <c r="AJ15" s="332">
        <f>MAX($B$2:B15)</f>
        <v>11</v>
      </c>
      <c r="AP15" s="355" t="e">
        <f t="shared" ref="AP15:AP78" si="7">AE15/AE1</f>
        <v>#VALUE!</v>
      </c>
      <c r="AT15" s="179"/>
    </row>
    <row r="16" spans="1:46" hidden="1" x14ac:dyDescent="0.25">
      <c r="A16" s="259">
        <v>43907</v>
      </c>
      <c r="B16" s="668">
        <v>13</v>
      </c>
      <c r="C16" s="506">
        <v>78</v>
      </c>
      <c r="D16" s="670">
        <v>0</v>
      </c>
      <c r="E16" s="506">
        <v>2</v>
      </c>
      <c r="F16" s="515">
        <f t="shared" si="2"/>
        <v>0</v>
      </c>
      <c r="G16" s="506">
        <v>0</v>
      </c>
      <c r="H16" s="506"/>
      <c r="I16" s="506"/>
      <c r="J16" s="507"/>
      <c r="K16" s="507"/>
      <c r="L16" s="541">
        <f t="shared" si="0"/>
        <v>2.564102564102564E-2</v>
      </c>
      <c r="M16" s="508">
        <v>496</v>
      </c>
      <c r="N16" s="507">
        <v>496</v>
      </c>
      <c r="O16" s="509">
        <v>67</v>
      </c>
      <c r="P16" s="507">
        <v>11</v>
      </c>
      <c r="Q16" s="507">
        <v>0</v>
      </c>
      <c r="R16" s="507">
        <v>0</v>
      </c>
      <c r="S16" s="510">
        <f t="shared" si="1"/>
        <v>76</v>
      </c>
      <c r="T16" s="518">
        <f t="shared" si="5"/>
        <v>0</v>
      </c>
      <c r="U16" s="519">
        <f t="shared" si="6"/>
        <v>2.564102564102564E-2</v>
      </c>
      <c r="V16" s="512">
        <f>SUM(B3:B16)/POBLA!$B$25*100000</f>
        <v>0.16967767038111653</v>
      </c>
      <c r="W16" s="512">
        <f>B16/POBLA!$B$25*100000</f>
        <v>2.8646879414993703E-2</v>
      </c>
      <c r="X16" s="513" t="e">
        <f>SUM(B3:B16)/SUM(#REF!)</f>
        <v>#REF!</v>
      </c>
      <c r="Y16" s="511"/>
      <c r="Z16" s="511"/>
      <c r="AA16" s="517">
        <f t="shared" si="3"/>
        <v>8.4285714285714288</v>
      </c>
      <c r="AB16" s="517">
        <f t="shared" si="4"/>
        <v>0.14285714285714285</v>
      </c>
      <c r="AC16" s="517"/>
      <c r="AD16" s="517"/>
      <c r="AE16" s="545"/>
      <c r="AF16" s="516"/>
      <c r="AG16" s="4"/>
      <c r="AH16" s="4"/>
      <c r="AI16" s="4"/>
      <c r="AJ16" s="332">
        <f>MAX($B$2:B16)</f>
        <v>13</v>
      </c>
      <c r="AP16" s="355" t="e">
        <f t="shared" si="7"/>
        <v>#DIV/0!</v>
      </c>
      <c r="AT16" s="179"/>
    </row>
    <row r="17" spans="1:46" hidden="1" x14ac:dyDescent="0.25">
      <c r="A17" s="259">
        <v>43908</v>
      </c>
      <c r="B17" s="668">
        <v>19</v>
      </c>
      <c r="C17" s="506">
        <v>97</v>
      </c>
      <c r="D17" s="670">
        <v>1</v>
      </c>
      <c r="E17" s="506">
        <v>3</v>
      </c>
      <c r="F17" s="515">
        <f t="shared" si="2"/>
        <v>18</v>
      </c>
      <c r="G17" s="506">
        <v>18</v>
      </c>
      <c r="H17" s="506"/>
      <c r="I17" s="506"/>
      <c r="J17" s="507"/>
      <c r="K17" s="507"/>
      <c r="L17" s="541">
        <f t="shared" si="0"/>
        <v>3.0927835051546393E-2</v>
      </c>
      <c r="M17" s="508">
        <v>562</v>
      </c>
      <c r="N17" s="507">
        <v>562</v>
      </c>
      <c r="O17" s="509">
        <v>80</v>
      </c>
      <c r="P17" s="507">
        <v>16</v>
      </c>
      <c r="Q17" s="507">
        <v>0</v>
      </c>
      <c r="R17" s="512">
        <f t="shared" ref="R17:R48" si="8">C17-Q17-P17-O17</f>
        <v>1</v>
      </c>
      <c r="S17" s="510">
        <f t="shared" si="1"/>
        <v>76</v>
      </c>
      <c r="T17" s="518">
        <f t="shared" si="5"/>
        <v>0</v>
      </c>
      <c r="U17" s="519">
        <f t="shared" si="6"/>
        <v>3.0927835051546393E-2</v>
      </c>
      <c r="V17" s="512">
        <f>SUM(B4:B17)/POBLA!$B$25*100000</f>
        <v>0.21154618644918424</v>
      </c>
      <c r="W17" s="512">
        <f>B17/POBLA!$B$25*100000</f>
        <v>4.186851606806772E-2</v>
      </c>
      <c r="X17" s="513" t="e">
        <f>SUM(B4:B17)/SUM(#REF!)</f>
        <v>#REF!</v>
      </c>
      <c r="Y17" s="511"/>
      <c r="Z17" s="511"/>
      <c r="AA17" s="517">
        <f t="shared" si="3"/>
        <v>10.857142857142858</v>
      </c>
      <c r="AB17" s="517">
        <f t="shared" si="4"/>
        <v>0.2857142857142857</v>
      </c>
      <c r="AC17" s="517"/>
      <c r="AD17" s="517"/>
      <c r="AE17" s="545"/>
      <c r="AF17" s="516"/>
      <c r="AG17" s="4"/>
      <c r="AH17" s="4"/>
      <c r="AI17" s="4"/>
      <c r="AJ17" s="332">
        <f>MAX($B$2:B17)</f>
        <v>19</v>
      </c>
      <c r="AP17" s="355" t="e">
        <f t="shared" si="7"/>
        <v>#DIV/0!</v>
      </c>
      <c r="AT17" s="179"/>
    </row>
    <row r="18" spans="1:46" hidden="1" x14ac:dyDescent="0.25">
      <c r="A18" s="259">
        <v>43909</v>
      </c>
      <c r="B18" s="668">
        <v>31</v>
      </c>
      <c r="C18" s="506">
        <v>128</v>
      </c>
      <c r="D18" s="670">
        <v>0</v>
      </c>
      <c r="E18" s="506">
        <v>3</v>
      </c>
      <c r="F18" s="515">
        <f t="shared" si="2"/>
        <v>5</v>
      </c>
      <c r="G18" s="506">
        <v>23</v>
      </c>
      <c r="H18" s="506"/>
      <c r="I18" s="506"/>
      <c r="J18" s="507"/>
      <c r="K18" s="507"/>
      <c r="L18" s="541">
        <f t="shared" si="0"/>
        <v>2.34375E-2</v>
      </c>
      <c r="M18" s="508">
        <v>705</v>
      </c>
      <c r="N18" s="507">
        <v>705</v>
      </c>
      <c r="O18" s="509">
        <v>100</v>
      </c>
      <c r="P18" s="507">
        <v>22</v>
      </c>
      <c r="Q18" s="507">
        <v>0</v>
      </c>
      <c r="R18" s="512">
        <f t="shared" si="8"/>
        <v>6</v>
      </c>
      <c r="S18" s="510">
        <f t="shared" si="1"/>
        <v>102</v>
      </c>
      <c r="T18" s="518">
        <f t="shared" si="5"/>
        <v>0</v>
      </c>
      <c r="U18" s="519">
        <f t="shared" si="6"/>
        <v>2.34375E-2</v>
      </c>
      <c r="V18" s="512">
        <f>SUM(B5:B18)/POBLA!$B$25*100000</f>
        <v>0.27765436971455437</v>
      </c>
      <c r="W18" s="512">
        <f>B18/POBLA!$B$25*100000</f>
        <v>6.8311789374215753E-2</v>
      </c>
      <c r="X18" s="513" t="e">
        <f>SUM(B5:B18)/SUM(#REF!)</f>
        <v>#REF!</v>
      </c>
      <c r="Y18" s="511"/>
      <c r="Z18" s="511"/>
      <c r="AA18" s="517">
        <f t="shared" si="3"/>
        <v>13.857142857142858</v>
      </c>
      <c r="AB18" s="517">
        <f t="shared" si="4"/>
        <v>0.2857142857142857</v>
      </c>
      <c r="AC18" s="517"/>
      <c r="AD18" s="517"/>
      <c r="AE18" s="545"/>
      <c r="AF18" s="516"/>
      <c r="AG18" s="4"/>
      <c r="AH18" s="4"/>
      <c r="AI18" s="4"/>
      <c r="AJ18" s="332">
        <f>MAX($B$2:B18)</f>
        <v>31</v>
      </c>
      <c r="AP18" s="355" t="e">
        <f t="shared" si="7"/>
        <v>#DIV/0!</v>
      </c>
      <c r="AT18" s="179"/>
    </row>
    <row r="19" spans="1:46" hidden="1" x14ac:dyDescent="0.25">
      <c r="A19" s="259">
        <v>43910</v>
      </c>
      <c r="B19" s="668">
        <v>30</v>
      </c>
      <c r="C19" s="506">
        <v>158</v>
      </c>
      <c r="D19" s="670">
        <v>0</v>
      </c>
      <c r="E19" s="506">
        <v>3</v>
      </c>
      <c r="F19" s="515">
        <f t="shared" si="2"/>
        <v>4</v>
      </c>
      <c r="G19" s="506">
        <v>27</v>
      </c>
      <c r="H19" s="506"/>
      <c r="I19" s="506"/>
      <c r="J19" s="507"/>
      <c r="K19" s="507"/>
      <c r="L19" s="541">
        <f t="shared" si="0"/>
        <v>1.8987341772151899E-2</v>
      </c>
      <c r="M19" s="508">
        <v>872</v>
      </c>
      <c r="N19" s="507">
        <v>872</v>
      </c>
      <c r="O19" s="509">
        <v>122</v>
      </c>
      <c r="P19" s="507">
        <v>26</v>
      </c>
      <c r="Q19" s="507">
        <v>0</v>
      </c>
      <c r="R19" s="512">
        <f t="shared" si="8"/>
        <v>10</v>
      </c>
      <c r="S19" s="510">
        <f t="shared" si="1"/>
        <v>128</v>
      </c>
      <c r="T19" s="518">
        <f t="shared" si="5"/>
        <v>0</v>
      </c>
      <c r="U19" s="519">
        <f t="shared" si="6"/>
        <v>1.8987341772151899E-2</v>
      </c>
      <c r="V19" s="512">
        <f>SUM(B6:B19)/POBLA!$B$25*100000</f>
        <v>0.3305409163268504</v>
      </c>
      <c r="W19" s="512">
        <f>B19/POBLA!$B$25*100000</f>
        <v>6.6108183265370088E-2</v>
      </c>
      <c r="X19" s="513" t="e">
        <f>SUM(B6:B19)/SUM(#REF!)</f>
        <v>#REF!</v>
      </c>
      <c r="Y19" s="511"/>
      <c r="Z19" s="511"/>
      <c r="AA19" s="517">
        <f t="shared" si="3"/>
        <v>17.714285714285715</v>
      </c>
      <c r="AB19" s="517">
        <f t="shared" si="4"/>
        <v>0.14285714285714285</v>
      </c>
      <c r="AC19" s="517"/>
      <c r="AD19" s="517"/>
      <c r="AE19" s="545"/>
      <c r="AF19" s="516"/>
      <c r="AG19" s="4"/>
      <c r="AH19" s="4"/>
      <c r="AI19" s="4"/>
      <c r="AJ19" s="332">
        <f>MAX($B$2:B19)</f>
        <v>31</v>
      </c>
      <c r="AP19" s="355" t="e">
        <f t="shared" si="7"/>
        <v>#DIV/0!</v>
      </c>
      <c r="AT19" s="179"/>
    </row>
    <row r="20" spans="1:46" hidden="1" x14ac:dyDescent="0.25">
      <c r="A20" s="259">
        <v>43911</v>
      </c>
      <c r="B20" s="668">
        <v>67</v>
      </c>
      <c r="C20" s="506">
        <v>225</v>
      </c>
      <c r="D20" s="670">
        <v>1</v>
      </c>
      <c r="E20" s="506">
        <v>4</v>
      </c>
      <c r="F20" s="515">
        <f t="shared" si="2"/>
        <v>4</v>
      </c>
      <c r="G20" s="506">
        <v>31</v>
      </c>
      <c r="H20" s="506"/>
      <c r="I20" s="506"/>
      <c r="J20" s="507"/>
      <c r="K20" s="507"/>
      <c r="L20" s="541">
        <f t="shared" si="0"/>
        <v>1.7777777777777778E-2</v>
      </c>
      <c r="M20" s="508">
        <v>1028</v>
      </c>
      <c r="N20" s="507">
        <v>1028</v>
      </c>
      <c r="O20" s="509">
        <v>167</v>
      </c>
      <c r="P20" s="507">
        <v>38</v>
      </c>
      <c r="Q20" s="507">
        <v>0</v>
      </c>
      <c r="R20" s="512">
        <f t="shared" si="8"/>
        <v>20</v>
      </c>
      <c r="S20" s="510">
        <f t="shared" si="1"/>
        <v>190</v>
      </c>
      <c r="T20" s="518">
        <f t="shared" si="5"/>
        <v>0</v>
      </c>
      <c r="U20" s="519">
        <f t="shared" si="6"/>
        <v>1.7777777777777778E-2</v>
      </c>
      <c r="V20" s="512">
        <f>SUM(B7:B20)/POBLA!$B$25*100000</f>
        <v>0.47597891951066462</v>
      </c>
      <c r="W20" s="512">
        <f>B20/POBLA!$B$25*100000</f>
        <v>0.14764160929265985</v>
      </c>
      <c r="X20" s="513" t="e">
        <f>SUM(B7:B20)/SUM(#REF!)</f>
        <v>#REF!</v>
      </c>
      <c r="Y20" s="511"/>
      <c r="Z20" s="511"/>
      <c r="AA20" s="517">
        <f t="shared" si="3"/>
        <v>25.714285714285715</v>
      </c>
      <c r="AB20" s="517">
        <f t="shared" si="4"/>
        <v>0.2857142857142857</v>
      </c>
      <c r="AC20" s="517"/>
      <c r="AD20" s="517"/>
      <c r="AE20" s="545"/>
      <c r="AF20" s="516"/>
      <c r="AG20" s="4"/>
      <c r="AH20" s="4"/>
      <c r="AI20" s="4"/>
      <c r="AJ20" s="332">
        <f>MAX($B$2:B20)</f>
        <v>67</v>
      </c>
      <c r="AP20" s="355" t="e">
        <f t="shared" si="7"/>
        <v>#DIV/0!</v>
      </c>
      <c r="AT20" s="179"/>
    </row>
    <row r="21" spans="1:46" hidden="1" x14ac:dyDescent="0.25">
      <c r="A21" s="259">
        <v>43912</v>
      </c>
      <c r="B21" s="668">
        <v>41</v>
      </c>
      <c r="C21" s="506">
        <v>266</v>
      </c>
      <c r="D21" s="670">
        <v>0</v>
      </c>
      <c r="E21" s="506">
        <v>4</v>
      </c>
      <c r="F21" s="515">
        <f t="shared" si="2"/>
        <v>20</v>
      </c>
      <c r="G21" s="506">
        <v>51</v>
      </c>
      <c r="H21" s="506"/>
      <c r="I21" s="506"/>
      <c r="J21" s="507"/>
      <c r="K21" s="507"/>
      <c r="L21" s="541">
        <f t="shared" si="0"/>
        <v>1.5037593984962405E-2</v>
      </c>
      <c r="M21" s="508">
        <v>1271</v>
      </c>
      <c r="N21" s="507">
        <v>1271</v>
      </c>
      <c r="O21" s="509">
        <v>189</v>
      </c>
      <c r="P21" s="507">
        <v>59</v>
      </c>
      <c r="Q21" s="507">
        <v>1</v>
      </c>
      <c r="R21" s="512">
        <f t="shared" si="8"/>
        <v>17</v>
      </c>
      <c r="S21" s="510">
        <f t="shared" si="1"/>
        <v>211</v>
      </c>
      <c r="T21" s="518">
        <f t="shared" si="5"/>
        <v>0</v>
      </c>
      <c r="U21" s="519">
        <f t="shared" si="6"/>
        <v>1.5037593984962405E-2</v>
      </c>
      <c r="V21" s="512">
        <f>SUM(B8:B21)/POBLA!$B$25*100000</f>
        <v>0.5597159516468001</v>
      </c>
      <c r="W21" s="512">
        <f>B21/POBLA!$B$25*100000</f>
        <v>9.0347850462672435E-2</v>
      </c>
      <c r="X21" s="513" t="e">
        <f>SUM(B8:B21)/SUM(#REF!)</f>
        <v>#REF!</v>
      </c>
      <c r="Y21" s="511"/>
      <c r="Z21" s="511"/>
      <c r="AA21" s="517">
        <f t="shared" si="3"/>
        <v>30</v>
      </c>
      <c r="AB21" s="517">
        <f t="shared" si="4"/>
        <v>0.2857142857142857</v>
      </c>
      <c r="AC21" s="517"/>
      <c r="AD21" s="517"/>
      <c r="AE21" s="545"/>
      <c r="AF21" s="520">
        <f t="shared" ref="AF21:AF84" si="9">AA21/AA14</f>
        <v>4.7727272727272725</v>
      </c>
      <c r="AG21" s="4"/>
      <c r="AH21" s="4"/>
      <c r="AI21" s="4"/>
      <c r="AJ21" s="332">
        <f>MAX($B$2:B21)</f>
        <v>67</v>
      </c>
      <c r="AP21" s="355" t="e">
        <f t="shared" si="7"/>
        <v>#DIV/0!</v>
      </c>
      <c r="AT21" s="179"/>
    </row>
    <row r="22" spans="1:46" hidden="1" x14ac:dyDescent="0.25">
      <c r="A22" s="259">
        <v>43913</v>
      </c>
      <c r="B22" s="669">
        <v>36</v>
      </c>
      <c r="C22" s="521">
        <v>301</v>
      </c>
      <c r="D22" s="697">
        <v>0</v>
      </c>
      <c r="E22" s="506">
        <v>4</v>
      </c>
      <c r="F22" s="515">
        <f t="shared" si="2"/>
        <v>1</v>
      </c>
      <c r="G22" s="506">
        <v>52</v>
      </c>
      <c r="H22" s="506"/>
      <c r="I22" s="506"/>
      <c r="J22" s="507"/>
      <c r="K22" s="507"/>
      <c r="L22" s="541">
        <f t="shared" si="0"/>
        <v>1.3289036544850499E-2</v>
      </c>
      <c r="M22" s="508">
        <v>1453</v>
      </c>
      <c r="N22" s="507">
        <v>1453</v>
      </c>
      <c r="O22" s="509">
        <v>206</v>
      </c>
      <c r="P22" s="507">
        <v>64</v>
      </c>
      <c r="Q22" s="507">
        <v>1</v>
      </c>
      <c r="R22" s="512">
        <f t="shared" si="8"/>
        <v>30</v>
      </c>
      <c r="S22" s="510">
        <f t="shared" si="1"/>
        <v>245</v>
      </c>
      <c r="T22" s="518">
        <f t="shared" si="5"/>
        <v>0</v>
      </c>
      <c r="U22" s="519">
        <f t="shared" si="6"/>
        <v>1.3289036544850499E-2</v>
      </c>
      <c r="V22" s="512">
        <f>SUM(B9:B22)/POBLA!$B$25*100000</f>
        <v>0.62802774102101577</v>
      </c>
      <c r="W22" s="512">
        <f>B22/POBLA!$B$25*100000</f>
        <v>7.9329819918444108E-2</v>
      </c>
      <c r="X22" s="513" t="e">
        <f>SUM(B9:B22)/SUM(#REF!)</f>
        <v>#REF!</v>
      </c>
      <c r="Y22" s="511"/>
      <c r="Z22" s="511"/>
      <c r="AA22" s="517">
        <f t="shared" si="3"/>
        <v>33.857142857142854</v>
      </c>
      <c r="AB22" s="517">
        <f t="shared" si="4"/>
        <v>0.2857142857142857</v>
      </c>
      <c r="AC22" s="517">
        <f t="shared" ref="AC22:AC31" si="10">AA8*0.023</f>
        <v>5.5857142857142855E-2</v>
      </c>
      <c r="AD22" s="517">
        <f t="shared" ref="AD22:AD85" si="11">AC22-AB22</f>
        <v>-0.22985714285714284</v>
      </c>
      <c r="AE22" s="545">
        <f t="shared" ref="AE22:AE85" si="12">AVERAGE(B9:B22)</f>
        <v>20.357142857142858</v>
      </c>
      <c r="AF22" s="520">
        <f t="shared" si="9"/>
        <v>4.9375</v>
      </c>
      <c r="AG22" s="4"/>
      <c r="AH22" s="4"/>
      <c r="AI22" s="4"/>
      <c r="AJ22" s="332">
        <f>MAX($B$2:B22)</f>
        <v>67</v>
      </c>
      <c r="AP22" s="355" t="e">
        <f t="shared" si="7"/>
        <v>#DIV/0!</v>
      </c>
      <c r="AT22" s="179"/>
    </row>
    <row r="23" spans="1:46" hidden="1" x14ac:dyDescent="0.25">
      <c r="A23" s="259">
        <v>43914</v>
      </c>
      <c r="B23" s="668">
        <v>86</v>
      </c>
      <c r="C23" s="506">
        <v>387</v>
      </c>
      <c r="D23" s="697">
        <v>2</v>
      </c>
      <c r="E23" s="506">
        <v>6</v>
      </c>
      <c r="F23" s="515">
        <f t="shared" si="2"/>
        <v>11</v>
      </c>
      <c r="G23" s="506">
        <v>63</v>
      </c>
      <c r="H23" s="506"/>
      <c r="I23" s="506"/>
      <c r="J23" s="507"/>
      <c r="K23" s="507"/>
      <c r="L23" s="541">
        <f t="shared" si="0"/>
        <v>1.5503875968992248E-2</v>
      </c>
      <c r="M23" s="508">
        <v>1453</v>
      </c>
      <c r="N23" s="507">
        <v>1453</v>
      </c>
      <c r="O23" s="509">
        <v>247</v>
      </c>
      <c r="P23" s="507">
        <v>84</v>
      </c>
      <c r="Q23" s="507">
        <v>1</v>
      </c>
      <c r="R23" s="512">
        <f t="shared" si="8"/>
        <v>55</v>
      </c>
      <c r="S23" s="510">
        <f t="shared" si="1"/>
        <v>318</v>
      </c>
      <c r="T23" s="518">
        <f t="shared" si="5"/>
        <v>0</v>
      </c>
      <c r="U23" s="519">
        <f t="shared" si="6"/>
        <v>1.5503875968992248E-2</v>
      </c>
      <c r="V23" s="512">
        <f>SUM(B10:B23)/POBLA!$B$25*100000</f>
        <v>0.81313065416405195</v>
      </c>
      <c r="W23" s="512">
        <f>B23/POBLA!$B$25*100000</f>
        <v>0.18951012536072756</v>
      </c>
      <c r="X23" s="513" t="e">
        <f>SUM(B10:B23)/SUM(#REF!)</f>
        <v>#REF!</v>
      </c>
      <c r="Y23" s="511"/>
      <c r="Z23" s="511"/>
      <c r="AA23" s="517">
        <f t="shared" si="3"/>
        <v>44.285714285714285</v>
      </c>
      <c r="AB23" s="517">
        <f t="shared" si="4"/>
        <v>0.5714285714285714</v>
      </c>
      <c r="AC23" s="517">
        <f t="shared" si="10"/>
        <v>5.9142857142857143E-2</v>
      </c>
      <c r="AD23" s="517">
        <f t="shared" si="11"/>
        <v>-0.51228571428571423</v>
      </c>
      <c r="AE23" s="545">
        <f t="shared" si="12"/>
        <v>26.357142857142858</v>
      </c>
      <c r="AF23" s="520">
        <f t="shared" si="9"/>
        <v>5.2542372881355925</v>
      </c>
      <c r="AG23" s="4"/>
      <c r="AH23" s="4"/>
      <c r="AI23" s="4"/>
      <c r="AJ23" s="332">
        <f>MAX($B$2:B23)</f>
        <v>86</v>
      </c>
      <c r="AP23" s="355" t="e">
        <f t="shared" si="7"/>
        <v>#DIV/0!</v>
      </c>
      <c r="AT23" s="179"/>
    </row>
    <row r="24" spans="1:46" hidden="1" x14ac:dyDescent="0.25">
      <c r="A24" s="259">
        <v>43915</v>
      </c>
      <c r="B24" s="668">
        <v>117</v>
      </c>
      <c r="C24" s="506">
        <v>503</v>
      </c>
      <c r="D24" s="670">
        <v>2</v>
      </c>
      <c r="E24" s="506">
        <v>8</v>
      </c>
      <c r="F24" s="515">
        <f t="shared" si="2"/>
        <v>9</v>
      </c>
      <c r="G24" s="506">
        <v>72</v>
      </c>
      <c r="H24" s="506"/>
      <c r="I24" s="506"/>
      <c r="J24" s="507"/>
      <c r="K24" s="507"/>
      <c r="L24" s="541">
        <f t="shared" si="0"/>
        <v>1.5904572564612324E-2</v>
      </c>
      <c r="M24" s="508">
        <v>1946</v>
      </c>
      <c r="N24" s="507">
        <v>1946</v>
      </c>
      <c r="O24" s="509">
        <v>250</v>
      </c>
      <c r="P24" s="507">
        <v>102</v>
      </c>
      <c r="Q24" s="507">
        <v>1</v>
      </c>
      <c r="R24" s="512">
        <f t="shared" si="8"/>
        <v>150</v>
      </c>
      <c r="S24" s="510">
        <f t="shared" si="1"/>
        <v>423</v>
      </c>
      <c r="T24" s="518">
        <f t="shared" si="5"/>
        <v>0</v>
      </c>
      <c r="U24" s="519">
        <f t="shared" si="6"/>
        <v>1.5904572564612324E-2</v>
      </c>
      <c r="V24" s="512">
        <f>SUM(B11:B24)/POBLA!$B$25*100000</f>
        <v>1.0665453566813039</v>
      </c>
      <c r="W24" s="512">
        <f>B24/POBLA!$B$25*100000</f>
        <v>0.25782191473494331</v>
      </c>
      <c r="X24" s="513" t="e">
        <f>SUM(B11:B24)/SUM(#REF!)</f>
        <v>#REF!</v>
      </c>
      <c r="Y24" s="511"/>
      <c r="Z24" s="511"/>
      <c r="AA24" s="517">
        <f t="shared" si="3"/>
        <v>58.285714285714285</v>
      </c>
      <c r="AB24" s="517">
        <f t="shared" si="4"/>
        <v>0.7142857142857143</v>
      </c>
      <c r="AC24" s="517">
        <f t="shared" si="10"/>
        <v>6.5714285714285711E-2</v>
      </c>
      <c r="AD24" s="517">
        <f t="shared" si="11"/>
        <v>-0.64857142857142858</v>
      </c>
      <c r="AE24" s="545">
        <f t="shared" si="12"/>
        <v>34.571428571428569</v>
      </c>
      <c r="AF24" s="520">
        <f t="shared" si="9"/>
        <v>5.3684210526315788</v>
      </c>
      <c r="AG24" s="4"/>
      <c r="AH24" s="4"/>
      <c r="AI24" s="4"/>
      <c r="AJ24" s="332">
        <f>MAX($B$2:B24)</f>
        <v>117</v>
      </c>
      <c r="AP24" s="355" t="e">
        <f t="shared" si="7"/>
        <v>#DIV/0!</v>
      </c>
      <c r="AT24" s="179"/>
    </row>
    <row r="25" spans="1:46" hidden="1" x14ac:dyDescent="0.25">
      <c r="A25" s="259">
        <v>43916</v>
      </c>
      <c r="B25" s="668">
        <v>87</v>
      </c>
      <c r="C25" s="506">
        <v>589</v>
      </c>
      <c r="D25" s="670">
        <v>4</v>
      </c>
      <c r="E25" s="506">
        <v>12</v>
      </c>
      <c r="F25" s="515">
        <f t="shared" si="2"/>
        <v>3</v>
      </c>
      <c r="G25" s="506">
        <v>75</v>
      </c>
      <c r="H25" s="506">
        <v>25</v>
      </c>
      <c r="I25" s="506"/>
      <c r="J25" s="507"/>
      <c r="K25" s="507"/>
      <c r="L25" s="541">
        <f t="shared" si="0"/>
        <v>2.037351443123939E-2</v>
      </c>
      <c r="M25" s="508">
        <v>2558</v>
      </c>
      <c r="N25" s="507">
        <v>2558</v>
      </c>
      <c r="O25" s="509">
        <v>287</v>
      </c>
      <c r="P25" s="507">
        <v>126</v>
      </c>
      <c r="Q25" s="507">
        <v>1</v>
      </c>
      <c r="R25" s="512">
        <f t="shared" si="8"/>
        <v>175</v>
      </c>
      <c r="S25" s="510">
        <f t="shared" si="1"/>
        <v>502</v>
      </c>
      <c r="T25" s="518">
        <f t="shared" si="5"/>
        <v>4.9800796812749001E-2</v>
      </c>
      <c r="U25" s="519">
        <f t="shared" si="6"/>
        <v>2.037351443123939E-2</v>
      </c>
      <c r="V25" s="512">
        <f>SUM(B12:B25)/POBLA!$B$25*100000</f>
        <v>1.2362230270624204</v>
      </c>
      <c r="W25" s="512">
        <f>B25/POBLA!$B$25*100000</f>
        <v>0.19171373146957324</v>
      </c>
      <c r="X25" s="513" t="e">
        <f>SUM(B12:B25)/SUM(#REF!)</f>
        <v>#REF!</v>
      </c>
      <c r="Y25" s="511"/>
      <c r="Z25" s="511"/>
      <c r="AA25" s="517">
        <f t="shared" si="3"/>
        <v>66.285714285714292</v>
      </c>
      <c r="AB25" s="517">
        <f t="shared" si="4"/>
        <v>1.2857142857142858</v>
      </c>
      <c r="AC25" s="517">
        <f t="shared" si="10"/>
        <v>9.5285714285714293E-2</v>
      </c>
      <c r="AD25" s="517">
        <f t="shared" si="11"/>
        <v>-1.1904285714285716</v>
      </c>
      <c r="AE25" s="545">
        <f t="shared" si="12"/>
        <v>40.071428571428569</v>
      </c>
      <c r="AF25" s="520">
        <f t="shared" si="9"/>
        <v>4.7835051546391751</v>
      </c>
      <c r="AG25" s="4"/>
      <c r="AH25" s="4"/>
      <c r="AI25" s="4"/>
      <c r="AJ25" s="332">
        <f>MAX($B$2:B25)</f>
        <v>117</v>
      </c>
      <c r="AP25" s="355" t="e">
        <f t="shared" si="7"/>
        <v>#DIV/0!</v>
      </c>
      <c r="AT25" s="179"/>
    </row>
    <row r="26" spans="1:46" hidden="1" x14ac:dyDescent="0.25">
      <c r="A26" s="259">
        <v>43917</v>
      </c>
      <c r="B26" s="668">
        <v>101</v>
      </c>
      <c r="C26" s="506">
        <v>690</v>
      </c>
      <c r="D26" s="670">
        <v>5</v>
      </c>
      <c r="E26" s="506">
        <v>17</v>
      </c>
      <c r="F26" s="515">
        <f t="shared" si="2"/>
        <v>5</v>
      </c>
      <c r="G26" s="506">
        <v>80</v>
      </c>
      <c r="H26" s="506"/>
      <c r="I26" s="506"/>
      <c r="J26" s="507"/>
      <c r="K26" s="507"/>
      <c r="L26" s="541">
        <f t="shared" si="0"/>
        <v>2.4637681159420291E-2</v>
      </c>
      <c r="M26" s="508">
        <v>2817</v>
      </c>
      <c r="N26" s="507">
        <v>2817</v>
      </c>
      <c r="O26" s="509">
        <v>387</v>
      </c>
      <c r="P26" s="507">
        <v>167</v>
      </c>
      <c r="Q26" s="507">
        <v>1</v>
      </c>
      <c r="R26" s="512">
        <f t="shared" si="8"/>
        <v>135</v>
      </c>
      <c r="S26" s="510">
        <f t="shared" si="1"/>
        <v>593</v>
      </c>
      <c r="T26" s="518">
        <f t="shared" si="5"/>
        <v>0</v>
      </c>
      <c r="U26" s="519">
        <f t="shared" si="6"/>
        <v>2.4637681159420291E-2</v>
      </c>
      <c r="V26" s="512">
        <f>SUM(B13:B26)/POBLA!$B$25*100000</f>
        <v>1.4521764257292962</v>
      </c>
      <c r="W26" s="512">
        <f>B26/POBLA!$B$25*100000</f>
        <v>0.22256421699341261</v>
      </c>
      <c r="X26" s="513" t="e">
        <f>SUM(B13:B26)/SUM(#REF!)</f>
        <v>#REF!</v>
      </c>
      <c r="Y26" s="511"/>
      <c r="Z26" s="511"/>
      <c r="AA26" s="517">
        <f t="shared" si="3"/>
        <v>76.428571428571431</v>
      </c>
      <c r="AB26" s="517">
        <f t="shared" si="4"/>
        <v>2</v>
      </c>
      <c r="AC26" s="517">
        <f t="shared" si="10"/>
        <v>8.5428571428571423E-2</v>
      </c>
      <c r="AD26" s="517">
        <f t="shared" si="11"/>
        <v>-1.9145714285714286</v>
      </c>
      <c r="AE26" s="545">
        <f t="shared" si="12"/>
        <v>47.071428571428569</v>
      </c>
      <c r="AF26" s="520">
        <f t="shared" si="9"/>
        <v>4.314516129032258</v>
      </c>
      <c r="AG26" s="4"/>
      <c r="AH26" s="4"/>
      <c r="AI26" s="4"/>
      <c r="AJ26" s="332">
        <f>MAX($B$2:B26)</f>
        <v>117</v>
      </c>
      <c r="AP26" s="355" t="e">
        <f t="shared" si="7"/>
        <v>#DIV/0!</v>
      </c>
      <c r="AT26" s="179"/>
    </row>
    <row r="27" spans="1:46" hidden="1" x14ac:dyDescent="0.25">
      <c r="A27" s="259">
        <v>43918</v>
      </c>
      <c r="B27" s="668">
        <v>55</v>
      </c>
      <c r="C27" s="506">
        <v>745</v>
      </c>
      <c r="D27" s="670">
        <v>2</v>
      </c>
      <c r="E27" s="506">
        <v>19</v>
      </c>
      <c r="F27" s="515">
        <f t="shared" si="2"/>
        <v>11</v>
      </c>
      <c r="G27" s="506">
        <v>91</v>
      </c>
      <c r="H27" s="506">
        <v>44</v>
      </c>
      <c r="I27" s="506"/>
      <c r="J27" s="507"/>
      <c r="K27" s="507"/>
      <c r="L27" s="541">
        <f t="shared" si="0"/>
        <v>2.5503355704697986E-2</v>
      </c>
      <c r="M27" s="508">
        <v>3215</v>
      </c>
      <c r="N27" s="507">
        <v>3215</v>
      </c>
      <c r="O27" s="509">
        <v>408</v>
      </c>
      <c r="P27" s="507">
        <v>185</v>
      </c>
      <c r="Q27" s="507">
        <v>1</v>
      </c>
      <c r="R27" s="512">
        <f t="shared" si="8"/>
        <v>151</v>
      </c>
      <c r="S27" s="510">
        <f t="shared" si="1"/>
        <v>635</v>
      </c>
      <c r="T27" s="518">
        <f t="shared" si="5"/>
        <v>6.9291338582677164E-2</v>
      </c>
      <c r="U27" s="519">
        <f t="shared" si="6"/>
        <v>2.5503355704697986E-2</v>
      </c>
      <c r="V27" s="512">
        <f>SUM(B14:B27)/POBLA!$B$25*100000</f>
        <v>1.5491350945185056</v>
      </c>
      <c r="W27" s="512">
        <f>B27/POBLA!$B$25*100000</f>
        <v>0.12119833598651182</v>
      </c>
      <c r="X27" s="513" t="e">
        <f>SUM(B14:B27)/SUM(#REF!)</f>
        <v>#REF!</v>
      </c>
      <c r="Y27" s="511"/>
      <c r="Z27" s="511"/>
      <c r="AA27" s="517">
        <f t="shared" si="3"/>
        <v>74.714285714285708</v>
      </c>
      <c r="AB27" s="517">
        <f t="shared" si="4"/>
        <v>2.1428571428571428</v>
      </c>
      <c r="AC27" s="517">
        <f t="shared" si="10"/>
        <v>0.11828571428571429</v>
      </c>
      <c r="AD27" s="517">
        <f t="shared" si="11"/>
        <v>-2.0245714285714285</v>
      </c>
      <c r="AE27" s="545">
        <f t="shared" si="12"/>
        <v>50.214285714285715</v>
      </c>
      <c r="AF27" s="520">
        <f t="shared" si="9"/>
        <v>2.905555555555555</v>
      </c>
      <c r="AG27" s="4"/>
      <c r="AH27" s="4"/>
      <c r="AI27" s="4"/>
      <c r="AJ27" s="332">
        <f>MAX($B$2:B27)</f>
        <v>117</v>
      </c>
      <c r="AP27" s="355" t="e">
        <f t="shared" si="7"/>
        <v>#DIV/0!</v>
      </c>
      <c r="AT27" s="179"/>
    </row>
    <row r="28" spans="1:46" hidden="1" x14ac:dyDescent="0.25">
      <c r="A28" s="259">
        <v>43919</v>
      </c>
      <c r="B28" s="668">
        <v>75</v>
      </c>
      <c r="C28" s="506">
        <v>820</v>
      </c>
      <c r="D28" s="670">
        <v>1</v>
      </c>
      <c r="E28" s="506">
        <v>20</v>
      </c>
      <c r="F28" s="515">
        <f t="shared" si="2"/>
        <v>137</v>
      </c>
      <c r="G28" s="506">
        <v>228</v>
      </c>
      <c r="H28" s="506">
        <v>53</v>
      </c>
      <c r="I28" s="506"/>
      <c r="J28" s="507"/>
      <c r="K28" s="507"/>
      <c r="L28" s="541">
        <f t="shared" si="0"/>
        <v>2.4390243902439025E-2</v>
      </c>
      <c r="M28" s="508">
        <v>3580</v>
      </c>
      <c r="N28" s="507">
        <v>3580</v>
      </c>
      <c r="O28" s="509">
        <v>442</v>
      </c>
      <c r="P28" s="507">
        <v>207</v>
      </c>
      <c r="Q28" s="507">
        <v>1</v>
      </c>
      <c r="R28" s="512">
        <f t="shared" si="8"/>
        <v>170</v>
      </c>
      <c r="S28" s="510">
        <f t="shared" si="1"/>
        <v>572</v>
      </c>
      <c r="T28" s="518">
        <f t="shared" si="5"/>
        <v>9.2657342657342656E-2</v>
      </c>
      <c r="U28" s="519">
        <f t="shared" si="6"/>
        <v>2.4390243902439025E-2</v>
      </c>
      <c r="V28" s="512">
        <f>SUM(B15:B28)/POBLA!$B$25*100000</f>
        <v>1.6901658854846284</v>
      </c>
      <c r="W28" s="512">
        <f>B28/POBLA!$B$25*100000</f>
        <v>0.1652704581634252</v>
      </c>
      <c r="X28" s="513">
        <f>SUM(B15:B28)/SUM(B1:B14)</f>
        <v>13.696428571428571</v>
      </c>
      <c r="Y28" s="511"/>
      <c r="Z28" s="511"/>
      <c r="AA28" s="517">
        <f t="shared" si="3"/>
        <v>79.571428571428569</v>
      </c>
      <c r="AB28" s="517">
        <f t="shared" si="4"/>
        <v>2.2857142857142856</v>
      </c>
      <c r="AC28" s="517">
        <f t="shared" si="10"/>
        <v>0.14457142857142857</v>
      </c>
      <c r="AD28" s="517">
        <f t="shared" si="11"/>
        <v>-2.141142857142857</v>
      </c>
      <c r="AE28" s="545">
        <f t="shared" si="12"/>
        <v>54.785714285714285</v>
      </c>
      <c r="AF28" s="520">
        <f t="shared" si="9"/>
        <v>2.6523809523809523</v>
      </c>
      <c r="AG28" s="4"/>
      <c r="AH28" s="4"/>
      <c r="AI28" s="4"/>
      <c r="AJ28" s="332">
        <f>MAX($B$2:B28)</f>
        <v>117</v>
      </c>
      <c r="AP28" s="355" t="e">
        <f t="shared" si="7"/>
        <v>#DIV/0!</v>
      </c>
      <c r="AT28" s="179"/>
    </row>
    <row r="29" spans="1:46" hidden="1" x14ac:dyDescent="0.25">
      <c r="A29" s="259">
        <v>43920</v>
      </c>
      <c r="B29" s="668">
        <v>146</v>
      </c>
      <c r="C29" s="506">
        <v>966</v>
      </c>
      <c r="D29" s="670">
        <v>5</v>
      </c>
      <c r="E29" s="506">
        <v>25</v>
      </c>
      <c r="F29" s="515">
        <f t="shared" si="2"/>
        <v>12</v>
      </c>
      <c r="G29" s="506">
        <v>240</v>
      </c>
      <c r="H29" s="506">
        <v>55</v>
      </c>
      <c r="I29" s="506"/>
      <c r="J29" s="507"/>
      <c r="K29" s="507"/>
      <c r="L29" s="541">
        <f t="shared" si="0"/>
        <v>2.5879917184265012E-2</v>
      </c>
      <c r="M29" s="508">
        <v>4065</v>
      </c>
      <c r="N29" s="507">
        <v>4065</v>
      </c>
      <c r="O29" s="509">
        <v>489</v>
      </c>
      <c r="P29" s="507">
        <v>207</v>
      </c>
      <c r="Q29" s="507">
        <v>1</v>
      </c>
      <c r="R29" s="512">
        <f t="shared" si="8"/>
        <v>269</v>
      </c>
      <c r="S29" s="510">
        <f t="shared" si="1"/>
        <v>701</v>
      </c>
      <c r="T29" s="518">
        <f t="shared" si="5"/>
        <v>7.8459343794579167E-2</v>
      </c>
      <c r="U29" s="519">
        <f t="shared" si="6"/>
        <v>2.5879917184265012E-2</v>
      </c>
      <c r="V29" s="512">
        <f>SUM(B16:B29)/POBLA!$B$25*100000</f>
        <v>1.992059922396485</v>
      </c>
      <c r="W29" s="512">
        <f>B29/POBLA!$B$25*100000</f>
        <v>0.32172649189146774</v>
      </c>
      <c r="X29" s="513">
        <f>SUM(B16:B29)/SUM(B2:B15)</f>
        <v>13.907692307692308</v>
      </c>
      <c r="Y29" s="511"/>
      <c r="Z29" s="511"/>
      <c r="AA29" s="517">
        <f t="shared" si="3"/>
        <v>95.285714285714292</v>
      </c>
      <c r="AB29" s="517">
        <f t="shared" si="4"/>
        <v>3</v>
      </c>
      <c r="AC29" s="517">
        <f t="shared" si="10"/>
        <v>0.1577142857142857</v>
      </c>
      <c r="AD29" s="517">
        <f t="shared" si="11"/>
        <v>-2.8422857142857145</v>
      </c>
      <c r="AE29" s="545">
        <f t="shared" si="12"/>
        <v>64.571428571428569</v>
      </c>
      <c r="AF29" s="520">
        <f t="shared" si="9"/>
        <v>2.8143459915611819</v>
      </c>
      <c r="AG29" s="4"/>
      <c r="AH29" s="4"/>
      <c r="AI29" s="4"/>
      <c r="AJ29" s="332">
        <f>MAX($B$2:B29)</f>
        <v>146</v>
      </c>
      <c r="AP29" s="355" t="e">
        <f t="shared" si="7"/>
        <v>#DIV/0!</v>
      </c>
      <c r="AT29" s="179"/>
    </row>
    <row r="30" spans="1:46" hidden="1" x14ac:dyDescent="0.25">
      <c r="A30" s="259">
        <v>43921</v>
      </c>
      <c r="B30" s="668">
        <v>88</v>
      </c>
      <c r="C30" s="506">
        <v>1054</v>
      </c>
      <c r="D30" s="670">
        <v>3</v>
      </c>
      <c r="E30" s="506">
        <v>28</v>
      </c>
      <c r="F30" s="515">
        <f t="shared" si="2"/>
        <v>8</v>
      </c>
      <c r="G30" s="506">
        <v>248</v>
      </c>
      <c r="H30" s="506">
        <v>55</v>
      </c>
      <c r="I30" s="506"/>
      <c r="J30" s="507"/>
      <c r="K30" s="507"/>
      <c r="L30" s="541">
        <f t="shared" si="0"/>
        <v>2.6565464895635674E-2</v>
      </c>
      <c r="M30" s="508">
        <v>4597</v>
      </c>
      <c r="N30" s="507">
        <v>4597</v>
      </c>
      <c r="O30" s="509">
        <v>529</v>
      </c>
      <c r="P30" s="507">
        <v>295</v>
      </c>
      <c r="Q30" s="507">
        <v>1</v>
      </c>
      <c r="R30" s="512">
        <f t="shared" si="8"/>
        <v>229</v>
      </c>
      <c r="S30" s="510">
        <f t="shared" si="1"/>
        <v>778</v>
      </c>
      <c r="T30" s="518">
        <f t="shared" si="5"/>
        <v>7.0694087403598976E-2</v>
      </c>
      <c r="U30" s="519">
        <f t="shared" si="6"/>
        <v>2.6565464895635674E-2</v>
      </c>
      <c r="V30" s="512">
        <f>SUM(B17:B30)/POBLA!$B$25*100000</f>
        <v>2.1573303805599107</v>
      </c>
      <c r="W30" s="512">
        <f>B30/POBLA!$B$25*100000</f>
        <v>0.19391733757841892</v>
      </c>
      <c r="X30" s="513">
        <f>SUM(B17:B30)/SUM(B3:B16)</f>
        <v>12.714285714285714</v>
      </c>
      <c r="Y30" s="511"/>
      <c r="Z30" s="511"/>
      <c r="AA30" s="517">
        <f t="shared" si="3"/>
        <v>95.571428571428569</v>
      </c>
      <c r="AB30" s="517">
        <f t="shared" si="4"/>
        <v>3.1428571428571428</v>
      </c>
      <c r="AC30" s="517">
        <f t="shared" si="10"/>
        <v>0.19385714285714287</v>
      </c>
      <c r="AD30" s="517">
        <f t="shared" si="11"/>
        <v>-2.9489999999999998</v>
      </c>
      <c r="AE30" s="545">
        <f t="shared" si="12"/>
        <v>69.928571428571431</v>
      </c>
      <c r="AF30" s="520">
        <f t="shared" si="9"/>
        <v>2.1580645161290324</v>
      </c>
      <c r="AG30" s="4"/>
      <c r="AH30" s="4"/>
      <c r="AI30" s="4"/>
      <c r="AJ30" s="332">
        <f>MAX($B$2:B30)</f>
        <v>146</v>
      </c>
      <c r="AP30" s="355" t="e">
        <f t="shared" si="7"/>
        <v>#DIV/0!</v>
      </c>
      <c r="AT30" s="179"/>
    </row>
    <row r="31" spans="1:46" hidden="1" x14ac:dyDescent="0.25">
      <c r="A31" s="259">
        <v>43922</v>
      </c>
      <c r="B31" s="668">
        <v>79</v>
      </c>
      <c r="C31" s="506">
        <v>1133</v>
      </c>
      <c r="D31" s="670">
        <v>5</v>
      </c>
      <c r="E31" s="506">
        <v>33</v>
      </c>
      <c r="F31" s="515">
        <f t="shared" si="2"/>
        <v>8</v>
      </c>
      <c r="G31" s="506">
        <v>256</v>
      </c>
      <c r="H31" s="506">
        <v>72</v>
      </c>
      <c r="I31" s="506"/>
      <c r="J31" s="507"/>
      <c r="K31" s="507"/>
      <c r="L31" s="541">
        <f t="shared" si="0"/>
        <v>2.9126213592233011E-2</v>
      </c>
      <c r="M31" s="508">
        <v>5144</v>
      </c>
      <c r="N31" s="507">
        <v>5144</v>
      </c>
      <c r="O31" s="509">
        <v>580</v>
      </c>
      <c r="P31" s="507">
        <v>349</v>
      </c>
      <c r="Q31" s="507">
        <v>1</v>
      </c>
      <c r="R31" s="512">
        <f t="shared" si="8"/>
        <v>203</v>
      </c>
      <c r="S31" s="510">
        <f t="shared" si="1"/>
        <v>844</v>
      </c>
      <c r="T31" s="518">
        <f t="shared" si="5"/>
        <v>8.5308056872037921E-2</v>
      </c>
      <c r="U31" s="519">
        <f t="shared" si="6"/>
        <v>2.9126213592233011E-2</v>
      </c>
      <c r="V31" s="512">
        <f>SUM(B18:B31)/POBLA!$B$25*100000</f>
        <v>2.2895467470906503</v>
      </c>
      <c r="W31" s="512">
        <f>B31/POBLA!$B$25*100000</f>
        <v>0.17408488259880789</v>
      </c>
      <c r="X31" s="513">
        <f>SUM(B18:B31)/SUM(B4:B17)</f>
        <v>10.822916666666666</v>
      </c>
      <c r="Y31" s="511"/>
      <c r="Z31" s="511"/>
      <c r="AA31" s="517">
        <f t="shared" si="3"/>
        <v>90.142857142857139</v>
      </c>
      <c r="AB31" s="517">
        <f t="shared" si="4"/>
        <v>3.5714285714285716</v>
      </c>
      <c r="AC31" s="517">
        <f t="shared" si="10"/>
        <v>0.24971428571428572</v>
      </c>
      <c r="AD31" s="517">
        <f t="shared" si="11"/>
        <v>-3.3217142857142861</v>
      </c>
      <c r="AE31" s="545">
        <f t="shared" si="12"/>
        <v>74.214285714285708</v>
      </c>
      <c r="AF31" s="520">
        <f t="shared" si="9"/>
        <v>1.5465686274509804</v>
      </c>
      <c r="AG31" s="4"/>
      <c r="AH31" s="4"/>
      <c r="AI31" s="4"/>
      <c r="AJ31" s="332">
        <f>MAX($B$2:B31)</f>
        <v>146</v>
      </c>
      <c r="AP31" s="355" t="e">
        <f t="shared" si="7"/>
        <v>#DIV/0!</v>
      </c>
      <c r="AT31" s="179"/>
    </row>
    <row r="32" spans="1:46" hidden="1" x14ac:dyDescent="0.25">
      <c r="A32" s="259">
        <v>43923</v>
      </c>
      <c r="B32" s="668">
        <v>132</v>
      </c>
      <c r="C32" s="506">
        <v>1265</v>
      </c>
      <c r="D32" s="670">
        <v>4</v>
      </c>
      <c r="E32" s="506">
        <v>37</v>
      </c>
      <c r="F32" s="515">
        <f t="shared" si="2"/>
        <v>10</v>
      </c>
      <c r="G32" s="506">
        <v>266</v>
      </c>
      <c r="H32" s="506">
        <v>82</v>
      </c>
      <c r="I32" s="506"/>
      <c r="J32" s="507"/>
      <c r="K32" s="507"/>
      <c r="L32" s="541">
        <f t="shared" si="0"/>
        <v>2.9249011857707511E-2</v>
      </c>
      <c r="M32" s="508">
        <v>6120</v>
      </c>
      <c r="N32" s="507">
        <v>6120</v>
      </c>
      <c r="O32" s="509">
        <v>622</v>
      </c>
      <c r="P32" s="507">
        <v>397</v>
      </c>
      <c r="Q32" s="507">
        <v>103</v>
      </c>
      <c r="R32" s="512">
        <f t="shared" si="8"/>
        <v>143</v>
      </c>
      <c r="S32" s="510">
        <f t="shared" si="1"/>
        <v>962</v>
      </c>
      <c r="T32" s="518">
        <f t="shared" si="5"/>
        <v>8.5239085239085244E-2</v>
      </c>
      <c r="U32" s="519">
        <f t="shared" si="6"/>
        <v>2.9249011857707511E-2</v>
      </c>
      <c r="V32" s="512">
        <f>SUM(B19:B32)/POBLA!$B$25*100000</f>
        <v>2.5121109640840631</v>
      </c>
      <c r="W32" s="512">
        <f>B32/POBLA!$B$25*100000</f>
        <v>0.29087600636762834</v>
      </c>
      <c r="X32" s="513">
        <f>SUM(B19:B32)/SUM(B5:B18)</f>
        <v>9.0476190476190474</v>
      </c>
      <c r="Y32" s="511"/>
      <c r="Z32" s="511"/>
      <c r="AA32" s="517">
        <f t="shared" si="3"/>
        <v>96.571428571428569</v>
      </c>
      <c r="AB32" s="517">
        <f t="shared" si="4"/>
        <v>3.5714285714285716</v>
      </c>
      <c r="AC32" s="517">
        <f>AA18*L32</f>
        <v>0.40530773574251838</v>
      </c>
      <c r="AD32" s="517">
        <f t="shared" si="11"/>
        <v>-3.1661208356860531</v>
      </c>
      <c r="AE32" s="545">
        <f t="shared" si="12"/>
        <v>81.428571428571431</v>
      </c>
      <c r="AF32" s="520">
        <f t="shared" si="9"/>
        <v>1.4568965517241377</v>
      </c>
      <c r="AG32" s="4"/>
      <c r="AH32" s="4"/>
      <c r="AI32" s="4"/>
      <c r="AJ32" s="332">
        <f>MAX($B$2:B32)</f>
        <v>146</v>
      </c>
      <c r="AP32" s="355" t="e">
        <f t="shared" si="7"/>
        <v>#DIV/0!</v>
      </c>
      <c r="AT32" s="179"/>
    </row>
    <row r="33" spans="1:46" hidden="1" x14ac:dyDescent="0.25">
      <c r="A33" s="259">
        <v>43924</v>
      </c>
      <c r="B33" s="668">
        <v>88</v>
      </c>
      <c r="C33" s="506">
        <v>1353</v>
      </c>
      <c r="D33" s="670">
        <v>5</v>
      </c>
      <c r="E33" s="506">
        <v>42</v>
      </c>
      <c r="F33" s="515">
        <f t="shared" si="2"/>
        <v>13</v>
      </c>
      <c r="G33" s="506">
        <v>279</v>
      </c>
      <c r="H33" s="506">
        <v>86</v>
      </c>
      <c r="I33" s="506"/>
      <c r="J33" s="507"/>
      <c r="K33" s="507"/>
      <c r="L33" s="541">
        <f t="shared" si="0"/>
        <v>3.1042128603104215E-2</v>
      </c>
      <c r="M33" s="508">
        <v>7135</v>
      </c>
      <c r="N33" s="507">
        <v>7135</v>
      </c>
      <c r="O33" s="509">
        <v>656</v>
      </c>
      <c r="P33" s="507">
        <v>460</v>
      </c>
      <c r="Q33" s="507">
        <v>113</v>
      </c>
      <c r="R33" s="512">
        <f t="shared" si="8"/>
        <v>124</v>
      </c>
      <c r="S33" s="510">
        <f t="shared" si="1"/>
        <v>1032</v>
      </c>
      <c r="T33" s="518">
        <f t="shared" si="5"/>
        <v>8.3333333333333329E-2</v>
      </c>
      <c r="U33" s="519">
        <f t="shared" si="6"/>
        <v>3.1042128603104215E-2</v>
      </c>
      <c r="V33" s="512">
        <f>SUM(B20:B33)/POBLA!$B$25*100000</f>
        <v>2.6399201183971122</v>
      </c>
      <c r="W33" s="512">
        <f>B33/POBLA!$B$25*100000</f>
        <v>0.19391733757841892</v>
      </c>
      <c r="X33" s="513">
        <f t="shared" ref="X33:X52" si="13">SUM(B20:B33)/SUM(B6:B19)</f>
        <v>7.9866666666666664</v>
      </c>
      <c r="Y33" s="511"/>
      <c r="Z33" s="511"/>
      <c r="AA33" s="517">
        <f t="shared" si="3"/>
        <v>94.714285714285708</v>
      </c>
      <c r="AB33" s="517">
        <f t="shared" si="4"/>
        <v>3.5714285714285716</v>
      </c>
      <c r="AC33" s="517">
        <f>AA19*L33</f>
        <v>0.54988913525498895</v>
      </c>
      <c r="AD33" s="517">
        <f t="shared" si="11"/>
        <v>-3.0215394361735828</v>
      </c>
      <c r="AE33" s="545">
        <f t="shared" si="12"/>
        <v>85.571428571428569</v>
      </c>
      <c r="AF33" s="520">
        <f t="shared" si="9"/>
        <v>1.2392523364485981</v>
      </c>
      <c r="AG33" s="4"/>
      <c r="AH33" s="4"/>
      <c r="AI33" s="4"/>
      <c r="AJ33" s="332">
        <f>MAX($B$2:B33)</f>
        <v>146</v>
      </c>
      <c r="AP33" s="355" t="e">
        <f t="shared" si="7"/>
        <v>#DIV/0!</v>
      </c>
      <c r="AT33" s="179"/>
    </row>
    <row r="34" spans="1:46" hidden="1" x14ac:dyDescent="0.25">
      <c r="A34" s="259">
        <v>43925</v>
      </c>
      <c r="B34" s="668">
        <v>98</v>
      </c>
      <c r="C34" s="506">
        <v>1451</v>
      </c>
      <c r="D34" s="670">
        <v>1</v>
      </c>
      <c r="E34" s="506">
        <v>43</v>
      </c>
      <c r="F34" s="515">
        <f t="shared" si="2"/>
        <v>1</v>
      </c>
      <c r="G34" s="506">
        <v>280</v>
      </c>
      <c r="H34" s="506">
        <v>87</v>
      </c>
      <c r="I34" s="506"/>
      <c r="J34" s="507"/>
      <c r="K34" s="507"/>
      <c r="L34" s="541">
        <f t="shared" si="0"/>
        <v>2.9634734665747762E-2</v>
      </c>
      <c r="M34" s="508">
        <v>7494</v>
      </c>
      <c r="N34" s="507">
        <v>7888</v>
      </c>
      <c r="O34" s="509">
        <v>674</v>
      </c>
      <c r="P34" s="507">
        <v>490</v>
      </c>
      <c r="Q34" s="507">
        <v>119</v>
      </c>
      <c r="R34" s="512">
        <f t="shared" si="8"/>
        <v>168</v>
      </c>
      <c r="S34" s="510">
        <f t="shared" si="1"/>
        <v>1128</v>
      </c>
      <c r="T34" s="518">
        <f t="shared" si="5"/>
        <v>7.7127659574468085E-2</v>
      </c>
      <c r="U34" s="519">
        <f t="shared" si="6"/>
        <v>2.9634734665747762E-2</v>
      </c>
      <c r="V34" s="512">
        <f>SUM(B21:B34)/POBLA!$B$25*100000</f>
        <v>2.7082319077713275</v>
      </c>
      <c r="W34" s="512">
        <f>B34/POBLA!$B$25*100000</f>
        <v>0.2159533986668756</v>
      </c>
      <c r="X34" s="513">
        <f t="shared" si="13"/>
        <v>5.6898148148148149</v>
      </c>
      <c r="Y34" s="511"/>
      <c r="Z34" s="511"/>
      <c r="AA34" s="517">
        <f t="shared" si="3"/>
        <v>100.85714285714286</v>
      </c>
      <c r="AB34" s="517">
        <f t="shared" si="4"/>
        <v>3.4285714285714284</v>
      </c>
      <c r="AC34" s="517">
        <f t="shared" ref="AC34:AC97" si="14">AA20*L20</f>
        <v>0.45714285714285718</v>
      </c>
      <c r="AD34" s="517">
        <f t="shared" si="11"/>
        <v>-2.9714285714285711</v>
      </c>
      <c r="AE34" s="545">
        <f t="shared" si="12"/>
        <v>87.785714285714292</v>
      </c>
      <c r="AF34" s="520">
        <f t="shared" si="9"/>
        <v>1.3499043977055452</v>
      </c>
      <c r="AG34" s="4"/>
      <c r="AH34" s="4"/>
      <c r="AI34" s="4"/>
      <c r="AJ34" s="332">
        <f>MAX($B$2:B34)</f>
        <v>146</v>
      </c>
      <c r="AP34" s="355" t="e">
        <f t="shared" si="7"/>
        <v>#DIV/0!</v>
      </c>
      <c r="AT34" s="179"/>
    </row>
    <row r="35" spans="1:46" hidden="1" x14ac:dyDescent="0.25">
      <c r="A35" s="259">
        <v>43926</v>
      </c>
      <c r="B35" s="668">
        <v>103</v>
      </c>
      <c r="C35" s="506">
        <v>1554</v>
      </c>
      <c r="D35" s="670">
        <v>3</v>
      </c>
      <c r="E35" s="506">
        <v>46</v>
      </c>
      <c r="F35" s="515">
        <f t="shared" si="2"/>
        <v>45</v>
      </c>
      <c r="G35" s="506">
        <v>325</v>
      </c>
      <c r="H35" s="506">
        <v>94</v>
      </c>
      <c r="I35" s="506"/>
      <c r="J35" s="507"/>
      <c r="K35" s="507"/>
      <c r="L35" s="541">
        <f t="shared" si="0"/>
        <v>2.9601029601029602E-2</v>
      </c>
      <c r="M35" s="508">
        <v>8125</v>
      </c>
      <c r="N35" s="507">
        <v>8508</v>
      </c>
      <c r="O35" s="509">
        <v>695</v>
      </c>
      <c r="P35" s="507">
        <v>536</v>
      </c>
      <c r="Q35" s="507">
        <v>148</v>
      </c>
      <c r="R35" s="512">
        <f t="shared" si="8"/>
        <v>175</v>
      </c>
      <c r="S35" s="510">
        <f t="shared" si="1"/>
        <v>1183</v>
      </c>
      <c r="T35" s="518">
        <f t="shared" si="5"/>
        <v>7.945900253592561E-2</v>
      </c>
      <c r="U35" s="519">
        <f t="shared" si="6"/>
        <v>2.9601029601029602E-2</v>
      </c>
      <c r="V35" s="512">
        <f>SUM(B22:B35)/POBLA!$B$25*100000</f>
        <v>2.8448554865197591</v>
      </c>
      <c r="W35" s="512">
        <f>B35/POBLA!$B$25*100000</f>
        <v>0.22697142921110394</v>
      </c>
      <c r="X35" s="513">
        <f t="shared" si="13"/>
        <v>5.0826771653543306</v>
      </c>
      <c r="Y35" s="511"/>
      <c r="Z35" s="511"/>
      <c r="AA35" s="517">
        <f t="shared" si="3"/>
        <v>104.85714285714286</v>
      </c>
      <c r="AB35" s="517">
        <f t="shared" si="4"/>
        <v>3.7142857142857144</v>
      </c>
      <c r="AC35" s="517">
        <f t="shared" si="14"/>
        <v>0.45112781954887216</v>
      </c>
      <c r="AD35" s="517">
        <f t="shared" si="11"/>
        <v>-3.2631578947368425</v>
      </c>
      <c r="AE35" s="545">
        <f t="shared" si="12"/>
        <v>92.214285714285708</v>
      </c>
      <c r="AF35" s="520">
        <f t="shared" si="9"/>
        <v>1.317773788150808</v>
      </c>
      <c r="AG35" s="4"/>
      <c r="AH35" s="4"/>
      <c r="AI35" s="4"/>
      <c r="AJ35" s="332">
        <f>MAX($B$2:B35)</f>
        <v>146</v>
      </c>
      <c r="AP35" s="355" t="e">
        <f t="shared" si="7"/>
        <v>#DIV/0!</v>
      </c>
      <c r="AT35" s="179"/>
    </row>
    <row r="36" spans="1:46" hidden="1" x14ac:dyDescent="0.25">
      <c r="A36" s="259">
        <v>43927</v>
      </c>
      <c r="B36" s="668">
        <v>74</v>
      </c>
      <c r="C36" s="506">
        <v>1628</v>
      </c>
      <c r="D36" s="670">
        <v>7</v>
      </c>
      <c r="E36" s="506">
        <v>53</v>
      </c>
      <c r="F36" s="515">
        <f t="shared" si="2"/>
        <v>13</v>
      </c>
      <c r="G36" s="506">
        <v>338</v>
      </c>
      <c r="H36" s="506">
        <v>96</v>
      </c>
      <c r="I36" s="506"/>
      <c r="J36" s="507"/>
      <c r="K36" s="507"/>
      <c r="L36" s="541">
        <f t="shared" si="0"/>
        <v>3.2555282555282554E-2</v>
      </c>
      <c r="M36" s="508">
        <v>8707</v>
      </c>
      <c r="N36" s="507">
        <v>9165</v>
      </c>
      <c r="O36" s="509">
        <v>718</v>
      </c>
      <c r="P36" s="507">
        <v>563</v>
      </c>
      <c r="Q36" s="507">
        <v>175</v>
      </c>
      <c r="R36" s="512">
        <f t="shared" si="8"/>
        <v>172</v>
      </c>
      <c r="S36" s="510">
        <f t="shared" si="1"/>
        <v>1237</v>
      </c>
      <c r="T36" s="518">
        <f t="shared" si="5"/>
        <v>7.7607113985448672E-2</v>
      </c>
      <c r="U36" s="519">
        <f t="shared" si="6"/>
        <v>3.2555282555282554E-2</v>
      </c>
      <c r="V36" s="512">
        <f>SUM(B23:B36)/POBLA!$B$25*100000</f>
        <v>2.9285925186558943</v>
      </c>
      <c r="W36" s="512">
        <f>B36/POBLA!$B$25*100000</f>
        <v>0.16306685205457952</v>
      </c>
      <c r="X36" s="513">
        <f t="shared" si="13"/>
        <v>4.6631578947368419</v>
      </c>
      <c r="Y36" s="511"/>
      <c r="Z36" s="511"/>
      <c r="AA36" s="517">
        <f t="shared" si="3"/>
        <v>94.571428571428569</v>
      </c>
      <c r="AB36" s="517">
        <f t="shared" si="4"/>
        <v>4</v>
      </c>
      <c r="AC36" s="517">
        <f t="shared" si="14"/>
        <v>0.44992880873279539</v>
      </c>
      <c r="AD36" s="517">
        <f t="shared" si="11"/>
        <v>-3.5500711912672047</v>
      </c>
      <c r="AE36" s="545">
        <f t="shared" si="12"/>
        <v>94.928571428571431</v>
      </c>
      <c r="AF36" s="520">
        <f t="shared" si="9"/>
        <v>0.992503748125937</v>
      </c>
      <c r="AG36" s="4"/>
      <c r="AH36" s="4"/>
      <c r="AI36" s="4"/>
      <c r="AJ36" s="332">
        <f>MAX($B$2:B36)</f>
        <v>146</v>
      </c>
      <c r="AP36" s="355">
        <f t="shared" si="7"/>
        <v>4.6631578947368419</v>
      </c>
      <c r="AT36" s="179"/>
    </row>
    <row r="37" spans="1:46" hidden="1" x14ac:dyDescent="0.25">
      <c r="A37" s="259">
        <v>43928</v>
      </c>
      <c r="B37" s="668">
        <v>87</v>
      </c>
      <c r="C37" s="506">
        <v>1715</v>
      </c>
      <c r="D37" s="670">
        <v>7</v>
      </c>
      <c r="E37" s="506">
        <v>60</v>
      </c>
      <c r="F37" s="515">
        <f t="shared" si="2"/>
        <v>20</v>
      </c>
      <c r="G37" s="506">
        <v>358</v>
      </c>
      <c r="H37" s="506">
        <v>98</v>
      </c>
      <c r="I37" s="506">
        <v>1552</v>
      </c>
      <c r="J37" s="507"/>
      <c r="K37" s="507"/>
      <c r="L37" s="541">
        <f t="shared" si="0"/>
        <v>3.4985422740524783E-2</v>
      </c>
      <c r="M37" s="508">
        <v>10020</v>
      </c>
      <c r="N37" s="507">
        <v>10438</v>
      </c>
      <c r="O37" s="509">
        <v>738</v>
      </c>
      <c r="P37" s="507">
        <v>588</v>
      </c>
      <c r="Q37" s="507">
        <v>205</v>
      </c>
      <c r="R37" s="512">
        <f t="shared" si="8"/>
        <v>184</v>
      </c>
      <c r="S37" s="510">
        <f t="shared" si="1"/>
        <v>1297</v>
      </c>
      <c r="T37" s="518">
        <f t="shared" si="5"/>
        <v>7.5558982266769464E-2</v>
      </c>
      <c r="U37" s="519">
        <f t="shared" si="6"/>
        <v>3.4985422740524783E-2</v>
      </c>
      <c r="V37" s="512">
        <f>SUM(B24:B37)/POBLA!$B$25*100000</f>
        <v>2.9307961247647403</v>
      </c>
      <c r="W37" s="512">
        <f>B37/POBLA!$B$25*100000</f>
        <v>0.19171373146957324</v>
      </c>
      <c r="X37" s="513">
        <f t="shared" si="13"/>
        <v>3.6043360433604335</v>
      </c>
      <c r="Y37" s="511"/>
      <c r="Z37" s="511"/>
      <c r="AA37" s="517">
        <f t="shared" si="3"/>
        <v>94.428571428571431</v>
      </c>
      <c r="AB37" s="517">
        <f t="shared" si="4"/>
        <v>4.5714285714285712</v>
      </c>
      <c r="AC37" s="517">
        <f t="shared" si="14"/>
        <v>0.6866002214839424</v>
      </c>
      <c r="AD37" s="517">
        <f t="shared" si="11"/>
        <v>-3.8848283499446286</v>
      </c>
      <c r="AE37" s="545">
        <f t="shared" si="12"/>
        <v>95</v>
      </c>
      <c r="AF37" s="520">
        <f t="shared" si="9"/>
        <v>0.98804185351270557</v>
      </c>
      <c r="AG37" s="4"/>
      <c r="AH37" s="4"/>
      <c r="AI37" s="4"/>
      <c r="AJ37" s="332">
        <f>MAX($B$2:B37)</f>
        <v>146</v>
      </c>
      <c r="AP37" s="355">
        <f t="shared" si="7"/>
        <v>3.6043360433604335</v>
      </c>
      <c r="AT37" s="179"/>
    </row>
    <row r="38" spans="1:46" hidden="1" x14ac:dyDescent="0.25">
      <c r="A38" s="259">
        <v>43929</v>
      </c>
      <c r="B38" s="668">
        <v>80</v>
      </c>
      <c r="C38" s="506">
        <v>1795</v>
      </c>
      <c r="D38" s="670">
        <v>5</v>
      </c>
      <c r="E38" s="506">
        <v>65</v>
      </c>
      <c r="F38" s="515">
        <f t="shared" si="2"/>
        <v>7</v>
      </c>
      <c r="G38" s="506">
        <v>365</v>
      </c>
      <c r="H38" s="506">
        <v>98</v>
      </c>
      <c r="I38" s="506">
        <v>1520</v>
      </c>
      <c r="J38" s="507"/>
      <c r="K38" s="507"/>
      <c r="L38" s="541">
        <f t="shared" si="0"/>
        <v>3.6211699164345405E-2</v>
      </c>
      <c r="M38" s="508">
        <v>11385</v>
      </c>
      <c r="N38" s="507">
        <v>11835</v>
      </c>
      <c r="O38" s="509">
        <v>767</v>
      </c>
      <c r="P38" s="507">
        <v>618</v>
      </c>
      <c r="Q38" s="507">
        <v>224</v>
      </c>
      <c r="R38" s="512">
        <f t="shared" si="8"/>
        <v>186</v>
      </c>
      <c r="S38" s="510">
        <f t="shared" si="1"/>
        <v>1365</v>
      </c>
      <c r="T38" s="518">
        <f t="shared" si="5"/>
        <v>7.179487179487179E-2</v>
      </c>
      <c r="U38" s="519">
        <f t="shared" si="6"/>
        <v>3.6211699164345405E-2</v>
      </c>
      <c r="V38" s="512">
        <f>SUM(B25:B38)/POBLA!$B$25*100000</f>
        <v>2.8492626987374505</v>
      </c>
      <c r="W38" s="512">
        <f>B38/POBLA!$B$25*100000</f>
        <v>0.17628848870765357</v>
      </c>
      <c r="X38" s="513">
        <f t="shared" si="13"/>
        <v>2.6714876033057853</v>
      </c>
      <c r="Y38" s="511"/>
      <c r="Z38" s="511"/>
      <c r="AA38" s="517">
        <f t="shared" si="3"/>
        <v>94.571428571428569</v>
      </c>
      <c r="AB38" s="517">
        <f t="shared" si="4"/>
        <v>4.5714285714285712</v>
      </c>
      <c r="AC38" s="517">
        <f t="shared" si="14"/>
        <v>0.92700937233740399</v>
      </c>
      <c r="AD38" s="517">
        <f t="shared" si="11"/>
        <v>-3.6444191990911672</v>
      </c>
      <c r="AE38" s="545">
        <f t="shared" si="12"/>
        <v>92.357142857142861</v>
      </c>
      <c r="AF38" s="520">
        <f t="shared" si="9"/>
        <v>1.0491283676703644</v>
      </c>
      <c r="AG38" s="4"/>
      <c r="AH38" s="4"/>
      <c r="AI38" s="4"/>
      <c r="AJ38" s="332">
        <f>MAX($B$2:B38)</f>
        <v>146</v>
      </c>
      <c r="AP38" s="355">
        <f t="shared" si="7"/>
        <v>2.6714876033057853</v>
      </c>
      <c r="AT38" s="179"/>
    </row>
    <row r="39" spans="1:46" hidden="1" x14ac:dyDescent="0.25">
      <c r="A39" s="259">
        <v>43930</v>
      </c>
      <c r="B39" s="668">
        <v>99</v>
      </c>
      <c r="C39" s="506">
        <v>1894</v>
      </c>
      <c r="D39" s="670">
        <v>14</v>
      </c>
      <c r="E39" s="506">
        <v>79</v>
      </c>
      <c r="F39" s="515">
        <f t="shared" si="2"/>
        <v>10</v>
      </c>
      <c r="G39" s="506">
        <v>375</v>
      </c>
      <c r="H39" s="506">
        <v>98</v>
      </c>
      <c r="I39" s="506">
        <v>1529</v>
      </c>
      <c r="J39" s="507">
        <v>16379</v>
      </c>
      <c r="K39" s="507"/>
      <c r="L39" s="541">
        <f t="shared" si="0"/>
        <v>4.171066525871172E-2</v>
      </c>
      <c r="M39" s="508"/>
      <c r="N39" s="507">
        <v>12983</v>
      </c>
      <c r="O39" s="509">
        <v>785</v>
      </c>
      <c r="P39" s="507">
        <v>641</v>
      </c>
      <c r="Q39" s="507">
        <v>261</v>
      </c>
      <c r="R39" s="512">
        <f t="shared" si="8"/>
        <v>207</v>
      </c>
      <c r="S39" s="510">
        <f t="shared" si="1"/>
        <v>1440</v>
      </c>
      <c r="T39" s="518">
        <f t="shared" si="5"/>
        <v>6.805555555555555E-2</v>
      </c>
      <c r="U39" s="519">
        <f t="shared" si="6"/>
        <v>4.171066525871172E-2</v>
      </c>
      <c r="V39" s="512">
        <f>SUM(B26:B39)/POBLA!$B$25*100000</f>
        <v>2.8757059720435985</v>
      </c>
      <c r="W39" s="512">
        <f>B39/POBLA!$B$25*100000</f>
        <v>0.21815700477572125</v>
      </c>
      <c r="X39" s="513">
        <f t="shared" si="13"/>
        <v>2.3262032085561497</v>
      </c>
      <c r="Y39" s="511"/>
      <c r="Z39" s="511"/>
      <c r="AA39" s="517">
        <f t="shared" si="3"/>
        <v>89.857142857142861</v>
      </c>
      <c r="AB39" s="517">
        <f t="shared" si="4"/>
        <v>6</v>
      </c>
      <c r="AC39" s="517">
        <f t="shared" si="14"/>
        <v>1.3504729565850111</v>
      </c>
      <c r="AD39" s="517">
        <f t="shared" si="11"/>
        <v>-4.6495270434149889</v>
      </c>
      <c r="AE39" s="545">
        <f t="shared" si="12"/>
        <v>93.214285714285708</v>
      </c>
      <c r="AF39" s="520">
        <f t="shared" si="9"/>
        <v>0.93047337278106512</v>
      </c>
      <c r="AG39" s="4"/>
      <c r="AH39" s="4"/>
      <c r="AI39" s="4"/>
      <c r="AJ39" s="332">
        <f>MAX($B$2:B39)</f>
        <v>146</v>
      </c>
      <c r="AP39" s="355">
        <f t="shared" si="7"/>
        <v>2.3262032085561497</v>
      </c>
      <c r="AT39" s="179"/>
    </row>
    <row r="40" spans="1:46" hidden="1" x14ac:dyDescent="0.25">
      <c r="A40" s="259">
        <v>43931</v>
      </c>
      <c r="B40" s="668">
        <v>81</v>
      </c>
      <c r="C40" s="506">
        <v>1975</v>
      </c>
      <c r="D40" s="670">
        <v>3</v>
      </c>
      <c r="E40" s="506">
        <v>82</v>
      </c>
      <c r="F40" s="515">
        <f t="shared" si="2"/>
        <v>65</v>
      </c>
      <c r="G40" s="506">
        <v>440</v>
      </c>
      <c r="H40" s="506">
        <v>115</v>
      </c>
      <c r="I40" s="506">
        <v>1648</v>
      </c>
      <c r="J40" s="507">
        <v>18027</v>
      </c>
      <c r="K40" s="507"/>
      <c r="L40" s="541">
        <f t="shared" si="0"/>
        <v>4.1518987341772152E-2</v>
      </c>
      <c r="M40" s="508">
        <v>13584</v>
      </c>
      <c r="N40" s="507">
        <v>14150</v>
      </c>
      <c r="O40" s="509">
        <v>790</v>
      </c>
      <c r="P40" s="507">
        <v>672</v>
      </c>
      <c r="Q40" s="507">
        <v>290</v>
      </c>
      <c r="R40" s="512">
        <f t="shared" si="8"/>
        <v>223</v>
      </c>
      <c r="S40" s="510">
        <f t="shared" si="1"/>
        <v>1453</v>
      </c>
      <c r="T40" s="518">
        <f t="shared" si="5"/>
        <v>7.9146593255333797E-2</v>
      </c>
      <c r="U40" s="519">
        <f t="shared" si="6"/>
        <v>4.1518987341772152E-2</v>
      </c>
      <c r="V40" s="512">
        <f>SUM(B27:B40)/POBLA!$B$25*100000</f>
        <v>2.8316338498666851</v>
      </c>
      <c r="W40" s="512">
        <f>B40/POBLA!$B$25*100000</f>
        <v>0.17849209481649922</v>
      </c>
      <c r="X40" s="513">
        <f t="shared" si="13"/>
        <v>1.9499241274658574</v>
      </c>
      <c r="Y40" s="511"/>
      <c r="Z40" s="511"/>
      <c r="AA40" s="517">
        <f t="shared" si="3"/>
        <v>88.857142857142861</v>
      </c>
      <c r="AB40" s="517">
        <f t="shared" si="4"/>
        <v>5.7142857142857144</v>
      </c>
      <c r="AC40" s="517">
        <f t="shared" si="14"/>
        <v>1.8830227743271224</v>
      </c>
      <c r="AD40" s="517">
        <f t="shared" si="11"/>
        <v>-3.831262939958592</v>
      </c>
      <c r="AE40" s="545">
        <f t="shared" si="12"/>
        <v>91.785714285714292</v>
      </c>
      <c r="AF40" s="520">
        <f t="shared" si="9"/>
        <v>0.93815987933635003</v>
      </c>
      <c r="AG40" s="4"/>
      <c r="AH40" s="4"/>
      <c r="AI40" s="4"/>
      <c r="AJ40" s="332">
        <f>MAX($B$2:B40)</f>
        <v>146</v>
      </c>
      <c r="AP40" s="355">
        <f t="shared" si="7"/>
        <v>1.9499241274658576</v>
      </c>
      <c r="AT40" s="179"/>
    </row>
    <row r="41" spans="1:46" hidden="1" x14ac:dyDescent="0.25">
      <c r="A41" s="259">
        <v>43932</v>
      </c>
      <c r="B41" s="668">
        <v>167</v>
      </c>
      <c r="C41" s="506">
        <v>2142</v>
      </c>
      <c r="D41" s="670">
        <v>7</v>
      </c>
      <c r="E41" s="506">
        <v>89</v>
      </c>
      <c r="F41" s="515">
        <f t="shared" si="2"/>
        <v>28</v>
      </c>
      <c r="G41" s="506">
        <v>468</v>
      </c>
      <c r="H41" s="506">
        <v>83</v>
      </c>
      <c r="I41" s="506">
        <v>1731</v>
      </c>
      <c r="J41" s="507">
        <v>19758</v>
      </c>
      <c r="K41" s="507"/>
      <c r="L41" s="541">
        <f t="shared" si="0"/>
        <v>4.1549953314659195E-2</v>
      </c>
      <c r="M41" s="508">
        <v>15016</v>
      </c>
      <c r="N41" s="507">
        <v>15480</v>
      </c>
      <c r="O41" s="509">
        <v>816</v>
      </c>
      <c r="P41" s="507">
        <v>712</v>
      </c>
      <c r="Q41" s="507">
        <v>304</v>
      </c>
      <c r="R41" s="512">
        <f t="shared" si="8"/>
        <v>310</v>
      </c>
      <c r="S41" s="510">
        <f t="shared" si="1"/>
        <v>1585</v>
      </c>
      <c r="T41" s="518">
        <f t="shared" si="5"/>
        <v>5.2365930599369087E-2</v>
      </c>
      <c r="U41" s="519">
        <f t="shared" si="6"/>
        <v>4.1549953314659195E-2</v>
      </c>
      <c r="V41" s="512">
        <f>SUM(B28:B41)/POBLA!$B$25*100000</f>
        <v>3.0784377340573998</v>
      </c>
      <c r="W41" s="512">
        <f>B41/POBLA!$B$25*100000</f>
        <v>0.36800222017722678</v>
      </c>
      <c r="X41" s="513">
        <f t="shared" si="13"/>
        <v>1.9871977240398293</v>
      </c>
      <c r="Y41" s="511"/>
      <c r="Z41" s="511"/>
      <c r="AA41" s="517">
        <f t="shared" si="3"/>
        <v>98.714285714285708</v>
      </c>
      <c r="AB41" s="517">
        <f t="shared" si="4"/>
        <v>6.5714285714285712</v>
      </c>
      <c r="AC41" s="517">
        <f t="shared" si="14"/>
        <v>1.9054650047938637</v>
      </c>
      <c r="AD41" s="517">
        <f t="shared" si="11"/>
        <v>-4.6659635666347077</v>
      </c>
      <c r="AE41" s="545">
        <f t="shared" si="12"/>
        <v>99.785714285714292</v>
      </c>
      <c r="AF41" s="520">
        <f t="shared" si="9"/>
        <v>0.97875354107648715</v>
      </c>
      <c r="AG41" s="4"/>
      <c r="AH41" s="4"/>
      <c r="AI41" s="4"/>
      <c r="AJ41" s="332">
        <f>MAX($B$2:B41)</f>
        <v>167</v>
      </c>
      <c r="AP41" s="355">
        <f t="shared" si="7"/>
        <v>1.9871977240398293</v>
      </c>
      <c r="AT41" s="179"/>
    </row>
    <row r="42" spans="1:46" hidden="1" x14ac:dyDescent="0.25">
      <c r="A42" s="259">
        <v>43933</v>
      </c>
      <c r="B42" s="668">
        <v>66</v>
      </c>
      <c r="C42" s="506">
        <v>2208</v>
      </c>
      <c r="D42" s="670">
        <v>6</v>
      </c>
      <c r="E42" s="506">
        <v>95</v>
      </c>
      <c r="F42" s="515">
        <f t="shared" si="2"/>
        <v>47</v>
      </c>
      <c r="G42" s="506">
        <v>515</v>
      </c>
      <c r="H42" s="506">
        <v>113</v>
      </c>
      <c r="I42" s="506">
        <v>1435</v>
      </c>
      <c r="J42" s="507">
        <v>21193</v>
      </c>
      <c r="K42" s="507"/>
      <c r="L42" s="541">
        <f t="shared" si="0"/>
        <v>4.3025362318840576E-2</v>
      </c>
      <c r="M42" s="508">
        <v>15939</v>
      </c>
      <c r="N42" s="507">
        <v>16416</v>
      </c>
      <c r="O42" s="509">
        <v>821</v>
      </c>
      <c r="P42" s="507">
        <v>766</v>
      </c>
      <c r="Q42" s="507">
        <v>318</v>
      </c>
      <c r="R42" s="512">
        <f t="shared" si="8"/>
        <v>303</v>
      </c>
      <c r="S42" s="510">
        <f t="shared" si="1"/>
        <v>1598</v>
      </c>
      <c r="T42" s="518">
        <f t="shared" si="5"/>
        <v>7.07133917396746E-2</v>
      </c>
      <c r="U42" s="519">
        <f t="shared" si="6"/>
        <v>4.3025362318840576E-2</v>
      </c>
      <c r="V42" s="512">
        <f>SUM(B29:B42)/POBLA!$B$25*100000</f>
        <v>3.0586052790777889</v>
      </c>
      <c r="W42" s="512">
        <f>B42/POBLA!$B$25*100000</f>
        <v>0.14543800318381417</v>
      </c>
      <c r="X42" s="513">
        <f t="shared" si="13"/>
        <v>1.8096479791395046</v>
      </c>
      <c r="Y42" s="511"/>
      <c r="Z42" s="511"/>
      <c r="AA42" s="517">
        <f t="shared" si="3"/>
        <v>93.428571428571431</v>
      </c>
      <c r="AB42" s="517">
        <f t="shared" si="4"/>
        <v>7</v>
      </c>
      <c r="AC42" s="517">
        <f t="shared" si="14"/>
        <v>1.9407665505226481</v>
      </c>
      <c r="AD42" s="517">
        <f t="shared" si="11"/>
        <v>-5.0592334494773521</v>
      </c>
      <c r="AE42" s="545">
        <f t="shared" si="12"/>
        <v>99.142857142857139</v>
      </c>
      <c r="AF42" s="520">
        <f t="shared" si="9"/>
        <v>0.89100817438692093</v>
      </c>
      <c r="AG42" s="4"/>
      <c r="AH42" s="4"/>
      <c r="AI42" s="4"/>
      <c r="AJ42" s="332">
        <f>MAX($B$2:B42)</f>
        <v>167</v>
      </c>
      <c r="AP42" s="355">
        <f t="shared" si="7"/>
        <v>1.8096479791395046</v>
      </c>
      <c r="AT42" s="179"/>
    </row>
    <row r="43" spans="1:46" hidden="1" x14ac:dyDescent="0.25">
      <c r="A43" s="259">
        <v>43934</v>
      </c>
      <c r="B43" s="668">
        <v>69</v>
      </c>
      <c r="C43" s="506">
        <v>2277</v>
      </c>
      <c r="D43" s="670">
        <v>3</v>
      </c>
      <c r="E43" s="506">
        <v>98</v>
      </c>
      <c r="F43" s="515">
        <f t="shared" si="2"/>
        <v>44</v>
      </c>
      <c r="G43" s="506">
        <v>559</v>
      </c>
      <c r="H43" s="506">
        <v>116</v>
      </c>
      <c r="I43" s="506">
        <v>1612</v>
      </c>
      <c r="J43" s="507">
        <v>22805</v>
      </c>
      <c r="K43" s="507"/>
      <c r="L43" s="541">
        <f t="shared" si="0"/>
        <v>4.3039086517347384E-2</v>
      </c>
      <c r="M43" s="508">
        <v>17245</v>
      </c>
      <c r="N43" s="507">
        <v>17724</v>
      </c>
      <c r="O43" s="509">
        <v>830</v>
      </c>
      <c r="P43" s="507">
        <v>790</v>
      </c>
      <c r="Q43" s="507">
        <v>354</v>
      </c>
      <c r="R43" s="512">
        <f t="shared" si="8"/>
        <v>303</v>
      </c>
      <c r="S43" s="510">
        <f t="shared" si="1"/>
        <v>1620</v>
      </c>
      <c r="T43" s="518">
        <f t="shared" si="5"/>
        <v>7.160493827160494E-2</v>
      </c>
      <c r="U43" s="519">
        <f t="shared" si="6"/>
        <v>4.3039086517347384E-2</v>
      </c>
      <c r="V43" s="512">
        <f>SUM(B30:B43)/POBLA!$B$25*100000</f>
        <v>2.8889276086966724</v>
      </c>
      <c r="W43" s="512">
        <f>B43/POBLA!$B$25*100000</f>
        <v>0.15204882151035118</v>
      </c>
      <c r="X43" s="513">
        <f t="shared" si="13"/>
        <v>1.4502212389380531</v>
      </c>
      <c r="Y43" s="511"/>
      <c r="Z43" s="511"/>
      <c r="AA43" s="517">
        <f t="shared" si="3"/>
        <v>92.714285714285708</v>
      </c>
      <c r="AB43" s="517">
        <f t="shared" si="4"/>
        <v>6.4285714285714288</v>
      </c>
      <c r="AC43" s="517">
        <f t="shared" si="14"/>
        <v>2.4659863945578233</v>
      </c>
      <c r="AD43" s="517">
        <f t="shared" si="11"/>
        <v>-3.9625850340136055</v>
      </c>
      <c r="AE43" s="545">
        <f t="shared" si="12"/>
        <v>93.642857142857139</v>
      </c>
      <c r="AF43" s="520">
        <f t="shared" si="9"/>
        <v>0.98036253776435045</v>
      </c>
      <c r="AG43" s="4"/>
      <c r="AH43" s="4"/>
      <c r="AI43" s="4"/>
      <c r="AJ43" s="332">
        <f>MAX($B$2:B43)</f>
        <v>167</v>
      </c>
      <c r="AP43" s="355">
        <f t="shared" si="7"/>
        <v>1.4502212389380531</v>
      </c>
      <c r="AT43" s="179"/>
    </row>
    <row r="44" spans="1:46" hidden="1" x14ac:dyDescent="0.25">
      <c r="A44" s="259">
        <v>43935</v>
      </c>
      <c r="B44" s="668">
        <v>166</v>
      </c>
      <c r="C44" s="506">
        <v>2443</v>
      </c>
      <c r="D44" s="670">
        <v>7</v>
      </c>
      <c r="E44" s="506">
        <v>105</v>
      </c>
      <c r="F44" s="515">
        <f t="shared" si="2"/>
        <v>37</v>
      </c>
      <c r="G44" s="506">
        <v>596</v>
      </c>
      <c r="H44" s="506">
        <v>117</v>
      </c>
      <c r="I44" s="506">
        <v>1569</v>
      </c>
      <c r="J44" s="507">
        <v>24374</v>
      </c>
      <c r="K44" s="507"/>
      <c r="L44" s="541">
        <f t="shared" si="0"/>
        <v>4.2979942693409739E-2</v>
      </c>
      <c r="M44" s="508">
        <v>18415</v>
      </c>
      <c r="N44" s="507">
        <v>18901</v>
      </c>
      <c r="O44" s="509">
        <v>833</v>
      </c>
      <c r="P44" s="507">
        <v>857</v>
      </c>
      <c r="Q44" s="507">
        <v>393</v>
      </c>
      <c r="R44" s="512">
        <f t="shared" si="8"/>
        <v>360</v>
      </c>
      <c r="S44" s="510">
        <f t="shared" si="1"/>
        <v>1742</v>
      </c>
      <c r="T44" s="518">
        <f t="shared" si="5"/>
        <v>6.7164179104477612E-2</v>
      </c>
      <c r="U44" s="519">
        <f t="shared" si="6"/>
        <v>4.2979942693409739E-2</v>
      </c>
      <c r="V44" s="512">
        <f>SUM(B31:B44)/POBLA!$B$25*100000</f>
        <v>3.0608088851866353</v>
      </c>
      <c r="W44" s="512">
        <f>B44/POBLA!$B$25*100000</f>
        <v>0.3657986140683811</v>
      </c>
      <c r="X44" s="513">
        <f t="shared" si="13"/>
        <v>1.4187946884576097</v>
      </c>
      <c r="Y44" s="511"/>
      <c r="Z44" s="511"/>
      <c r="AA44" s="517">
        <f t="shared" si="3"/>
        <v>104</v>
      </c>
      <c r="AB44" s="517">
        <f t="shared" si="4"/>
        <v>6.4285714285714288</v>
      </c>
      <c r="AC44" s="517">
        <f t="shared" si="14"/>
        <v>2.5388994307400381</v>
      </c>
      <c r="AD44" s="517">
        <f t="shared" si="11"/>
        <v>-3.8896719978313907</v>
      </c>
      <c r="AE44" s="545">
        <f t="shared" si="12"/>
        <v>99.214285714285708</v>
      </c>
      <c r="AF44" s="520">
        <f t="shared" si="9"/>
        <v>1.1013615733736761</v>
      </c>
      <c r="AG44" s="4"/>
      <c r="AH44" s="4"/>
      <c r="AI44" s="4"/>
      <c r="AJ44" s="332">
        <f>MAX($B$2:B44)</f>
        <v>167</v>
      </c>
      <c r="AP44" s="355">
        <f t="shared" si="7"/>
        <v>1.4187946884576097</v>
      </c>
      <c r="AT44" s="179"/>
    </row>
    <row r="45" spans="1:46" hidden="1" x14ac:dyDescent="0.25">
      <c r="A45" s="259">
        <v>43936</v>
      </c>
      <c r="B45" s="668">
        <v>128</v>
      </c>
      <c r="C45" s="506">
        <v>2571</v>
      </c>
      <c r="D45" s="670">
        <v>7</v>
      </c>
      <c r="E45" s="506">
        <v>112</v>
      </c>
      <c r="F45" s="515">
        <f t="shared" si="2"/>
        <v>35</v>
      </c>
      <c r="G45" s="506">
        <v>631</v>
      </c>
      <c r="H45" s="506">
        <v>121</v>
      </c>
      <c r="I45" s="506">
        <v>2083</v>
      </c>
      <c r="J45" s="507">
        <v>26457</v>
      </c>
      <c r="K45" s="507"/>
      <c r="L45" s="541">
        <f t="shared" si="0"/>
        <v>4.3562816024893036E-2</v>
      </c>
      <c r="M45" s="508">
        <v>20148</v>
      </c>
      <c r="N45" s="507">
        <v>20645</v>
      </c>
      <c r="O45" s="509">
        <v>840</v>
      </c>
      <c r="P45" s="507">
        <v>903</v>
      </c>
      <c r="Q45" s="507">
        <v>425</v>
      </c>
      <c r="R45" s="512">
        <f t="shared" si="8"/>
        <v>403</v>
      </c>
      <c r="S45" s="510">
        <f t="shared" si="1"/>
        <v>1828</v>
      </c>
      <c r="T45" s="518">
        <f t="shared" si="5"/>
        <v>6.6192560175054704E-2</v>
      </c>
      <c r="U45" s="519">
        <f t="shared" si="6"/>
        <v>4.3562816024893036E-2</v>
      </c>
      <c r="V45" s="512">
        <f>SUM(B32:B45)/POBLA!$B$25*100000</f>
        <v>3.1687855845200721</v>
      </c>
      <c r="W45" s="512">
        <f>B45/POBLA!$B$25*100000</f>
        <v>0.28206158193224568</v>
      </c>
      <c r="X45" s="513">
        <f t="shared" si="13"/>
        <v>1.3840230991337825</v>
      </c>
      <c r="Y45" s="511"/>
      <c r="Z45" s="511"/>
      <c r="AA45" s="517">
        <f t="shared" si="3"/>
        <v>110.85714285714286</v>
      </c>
      <c r="AB45" s="517">
        <f t="shared" si="4"/>
        <v>6.7142857142857144</v>
      </c>
      <c r="AC45" s="517">
        <f t="shared" si="14"/>
        <v>2.6255201109570043</v>
      </c>
      <c r="AD45" s="517">
        <f t="shared" si="11"/>
        <v>-4.0887656033287101</v>
      </c>
      <c r="AE45" s="545">
        <f t="shared" si="12"/>
        <v>102.71428571428571</v>
      </c>
      <c r="AF45" s="520">
        <f t="shared" si="9"/>
        <v>1.1722054380664653</v>
      </c>
      <c r="AG45" s="4"/>
      <c r="AH45" s="4"/>
      <c r="AI45" s="4"/>
      <c r="AJ45" s="332">
        <f>MAX($B$2:B45)</f>
        <v>167</v>
      </c>
      <c r="AP45" s="355">
        <f t="shared" si="7"/>
        <v>1.3840230991337825</v>
      </c>
      <c r="AT45" s="179"/>
    </row>
    <row r="46" spans="1:46" hidden="1" x14ac:dyDescent="0.25">
      <c r="A46" s="259">
        <v>43937</v>
      </c>
      <c r="B46" s="668">
        <v>98</v>
      </c>
      <c r="C46" s="506">
        <v>2669</v>
      </c>
      <c r="D46" s="670">
        <v>10</v>
      </c>
      <c r="E46" s="506">
        <v>122</v>
      </c>
      <c r="F46" s="515">
        <f t="shared" si="2"/>
        <v>35</v>
      </c>
      <c r="G46" s="506">
        <v>666</v>
      </c>
      <c r="H46" s="506">
        <v>126</v>
      </c>
      <c r="I46" s="506">
        <v>2193</v>
      </c>
      <c r="J46" s="507">
        <v>28650</v>
      </c>
      <c r="K46" s="507"/>
      <c r="L46" s="541">
        <f t="shared" si="0"/>
        <v>4.5710003746721621E-2</v>
      </c>
      <c r="M46" s="508">
        <v>21802</v>
      </c>
      <c r="N46" s="507">
        <v>22310</v>
      </c>
      <c r="O46" s="509">
        <v>845</v>
      </c>
      <c r="P46" s="507">
        <v>951</v>
      </c>
      <c r="Q46" s="507">
        <v>448</v>
      </c>
      <c r="R46" s="512">
        <f t="shared" si="8"/>
        <v>425</v>
      </c>
      <c r="S46" s="510">
        <f t="shared" si="1"/>
        <v>1881</v>
      </c>
      <c r="T46" s="518">
        <f t="shared" si="5"/>
        <v>6.6985645933014357E-2</v>
      </c>
      <c r="U46" s="519">
        <f t="shared" ref="U46:U77" si="15">E46/C46</f>
        <v>4.5710003746721621E-2</v>
      </c>
      <c r="V46" s="512">
        <f>SUM(B33:B46)/POBLA!$B$25*100000</f>
        <v>3.0938629768193198</v>
      </c>
      <c r="W46" s="512">
        <f>B46/POBLA!$B$25*100000</f>
        <v>0.2159533986668756</v>
      </c>
      <c r="X46" s="513">
        <f t="shared" si="13"/>
        <v>1.2315789473684211</v>
      </c>
      <c r="Y46" s="511"/>
      <c r="Z46" s="511"/>
      <c r="AA46" s="517">
        <f t="shared" si="3"/>
        <v>110.71428571428571</v>
      </c>
      <c r="AB46" s="517">
        <f t="shared" si="4"/>
        <v>6.1428571428571432</v>
      </c>
      <c r="AC46" s="517">
        <f t="shared" si="14"/>
        <v>2.8246188594014683</v>
      </c>
      <c r="AD46" s="517">
        <f t="shared" si="11"/>
        <v>-3.318238283455675</v>
      </c>
      <c r="AE46" s="545">
        <f t="shared" si="12"/>
        <v>100.28571428571429</v>
      </c>
      <c r="AF46" s="520">
        <f t="shared" si="9"/>
        <v>1.2321144674085849</v>
      </c>
      <c r="AG46" s="4"/>
      <c r="AH46" s="4"/>
      <c r="AI46" s="4"/>
      <c r="AJ46" s="332">
        <f>MAX($B$2:B46)</f>
        <v>167</v>
      </c>
      <c r="AP46" s="355">
        <f t="shared" si="7"/>
        <v>1.2315789473684211</v>
      </c>
      <c r="AT46" s="179"/>
    </row>
    <row r="47" spans="1:46" hidden="1" x14ac:dyDescent="0.25">
      <c r="A47" s="259">
        <v>43938</v>
      </c>
      <c r="B47" s="668">
        <v>89</v>
      </c>
      <c r="C47" s="506">
        <v>2758</v>
      </c>
      <c r="D47" s="670">
        <v>7</v>
      </c>
      <c r="E47" s="506">
        <v>129</v>
      </c>
      <c r="F47" s="515">
        <f t="shared" si="2"/>
        <v>19</v>
      </c>
      <c r="G47" s="506">
        <v>685</v>
      </c>
      <c r="H47" s="506">
        <v>127</v>
      </c>
      <c r="I47" s="506">
        <v>2292</v>
      </c>
      <c r="J47" s="507">
        <v>30942</v>
      </c>
      <c r="K47" s="507"/>
      <c r="L47" s="541">
        <f t="shared" si="0"/>
        <v>4.6773023930384336E-2</v>
      </c>
      <c r="M47" s="508">
        <v>23291</v>
      </c>
      <c r="N47" s="507">
        <v>23796</v>
      </c>
      <c r="O47" s="509">
        <v>851</v>
      </c>
      <c r="P47" s="507">
        <v>997</v>
      </c>
      <c r="Q47" s="507">
        <v>474</v>
      </c>
      <c r="R47" s="512">
        <f t="shared" si="8"/>
        <v>436</v>
      </c>
      <c r="S47" s="510">
        <f t="shared" si="1"/>
        <v>1944</v>
      </c>
      <c r="T47" s="518">
        <f t="shared" si="5"/>
        <v>6.5329218106995879E-2</v>
      </c>
      <c r="U47" s="519">
        <f t="shared" si="15"/>
        <v>4.6773023930384336E-2</v>
      </c>
      <c r="V47" s="512">
        <f>SUM(B34:B47)/POBLA!$B$25*100000</f>
        <v>3.0960665829281653</v>
      </c>
      <c r="W47" s="512">
        <f>B47/POBLA!$B$25*100000</f>
        <v>0.19612094368726457</v>
      </c>
      <c r="X47" s="513">
        <f t="shared" si="13"/>
        <v>1.172787979966611</v>
      </c>
      <c r="Y47" s="511"/>
      <c r="Z47" s="511"/>
      <c r="AA47" s="517">
        <f t="shared" si="3"/>
        <v>111.85714285714286</v>
      </c>
      <c r="AB47" s="517">
        <f t="shared" si="4"/>
        <v>6.7142857142857144</v>
      </c>
      <c r="AC47" s="517">
        <f t="shared" si="14"/>
        <v>2.9401330376940131</v>
      </c>
      <c r="AD47" s="517">
        <f t="shared" si="11"/>
        <v>-3.7741526765917013</v>
      </c>
      <c r="AE47" s="545">
        <f t="shared" si="12"/>
        <v>100.35714285714286</v>
      </c>
      <c r="AF47" s="520">
        <f t="shared" si="9"/>
        <v>1.2588424437299035</v>
      </c>
      <c r="AG47" s="4"/>
      <c r="AH47" s="4"/>
      <c r="AI47" s="4"/>
      <c r="AJ47" s="332">
        <f>MAX($B$2:B47)</f>
        <v>167</v>
      </c>
      <c r="AP47" s="355">
        <f t="shared" si="7"/>
        <v>1.172787979966611</v>
      </c>
      <c r="AT47" s="179"/>
    </row>
    <row r="48" spans="1:46" hidden="1" x14ac:dyDescent="0.25">
      <c r="A48" s="259">
        <v>43939</v>
      </c>
      <c r="B48" s="668">
        <v>81</v>
      </c>
      <c r="C48" s="506">
        <v>2839</v>
      </c>
      <c r="D48" s="670">
        <v>3</v>
      </c>
      <c r="E48" s="506">
        <v>132</v>
      </c>
      <c r="F48" s="515">
        <f t="shared" si="2"/>
        <v>24</v>
      </c>
      <c r="G48" s="506">
        <v>709</v>
      </c>
      <c r="H48" s="506">
        <v>123</v>
      </c>
      <c r="I48" s="506">
        <v>1770</v>
      </c>
      <c r="J48" s="507">
        <v>32712</v>
      </c>
      <c r="K48" s="507"/>
      <c r="L48" s="541">
        <f t="shared" si="0"/>
        <v>4.6495244804508631E-2</v>
      </c>
      <c r="M48" s="508">
        <v>24756</v>
      </c>
      <c r="N48" s="507">
        <v>25259</v>
      </c>
      <c r="O48" s="509">
        <v>856</v>
      </c>
      <c r="P48" s="507">
        <v>1184</v>
      </c>
      <c r="Q48" s="507">
        <v>496</v>
      </c>
      <c r="R48" s="512">
        <f t="shared" si="8"/>
        <v>303</v>
      </c>
      <c r="S48" s="510">
        <f t="shared" si="1"/>
        <v>1998</v>
      </c>
      <c r="T48" s="518">
        <f t="shared" si="5"/>
        <v>6.1561561561561562E-2</v>
      </c>
      <c r="U48" s="519">
        <f t="shared" si="15"/>
        <v>4.6495244804508631E-2</v>
      </c>
      <c r="V48" s="512">
        <f>SUM(B35:B48)/POBLA!$B$25*100000</f>
        <v>3.0586052790777889</v>
      </c>
      <c r="W48" s="512">
        <f>B48/POBLA!$B$25*100000</f>
        <v>0.17849209481649922</v>
      </c>
      <c r="X48" s="513">
        <f t="shared" si="13"/>
        <v>1.1293734743694059</v>
      </c>
      <c r="Y48" s="511"/>
      <c r="Z48" s="511"/>
      <c r="AA48" s="517">
        <f t="shared" si="3"/>
        <v>99.571428571428569</v>
      </c>
      <c r="AB48" s="517">
        <f t="shared" si="4"/>
        <v>6.1428571428571432</v>
      </c>
      <c r="AC48" s="517">
        <f t="shared" si="14"/>
        <v>2.9888746677168458</v>
      </c>
      <c r="AD48" s="517">
        <f t="shared" si="11"/>
        <v>-3.1539824751402974</v>
      </c>
      <c r="AE48" s="545">
        <f t="shared" si="12"/>
        <v>99.142857142857139</v>
      </c>
      <c r="AF48" s="520">
        <f t="shared" si="9"/>
        <v>1.0086830680173662</v>
      </c>
      <c r="AG48" s="4"/>
      <c r="AH48" s="4"/>
      <c r="AI48" s="4"/>
      <c r="AJ48" s="332">
        <f>MAX($B$2:B48)</f>
        <v>167</v>
      </c>
      <c r="AP48" s="355">
        <f t="shared" si="7"/>
        <v>1.1293734743694059</v>
      </c>
      <c r="AT48" s="179"/>
    </row>
    <row r="49" spans="1:46" hidden="1" x14ac:dyDescent="0.25">
      <c r="A49" s="259">
        <v>43940</v>
      </c>
      <c r="B49" s="668">
        <v>102</v>
      </c>
      <c r="C49" s="506">
        <v>2941</v>
      </c>
      <c r="D49" s="670">
        <v>2</v>
      </c>
      <c r="E49" s="506">
        <v>134</v>
      </c>
      <c r="F49" s="515">
        <f t="shared" si="2"/>
        <v>28</v>
      </c>
      <c r="G49" s="506">
        <v>737</v>
      </c>
      <c r="H49" s="506">
        <v>126</v>
      </c>
      <c r="I49" s="506">
        <v>1856</v>
      </c>
      <c r="J49" s="507">
        <v>34568</v>
      </c>
      <c r="K49" s="507"/>
      <c r="L49" s="541">
        <f t="shared" si="0"/>
        <v>4.5562733764025844E-2</v>
      </c>
      <c r="M49" s="508">
        <v>26122</v>
      </c>
      <c r="N49" s="507">
        <v>26658</v>
      </c>
      <c r="O49" s="509">
        <v>858</v>
      </c>
      <c r="P49" s="507">
        <v>1235</v>
      </c>
      <c r="Q49" s="507">
        <v>538</v>
      </c>
      <c r="R49" s="512">
        <f t="shared" ref="R49:R80" si="16">C49-Q49-P49-O49</f>
        <v>310</v>
      </c>
      <c r="S49" s="510">
        <f t="shared" si="1"/>
        <v>2070</v>
      </c>
      <c r="T49" s="518">
        <f t="shared" si="5"/>
        <v>6.0869565217391307E-2</v>
      </c>
      <c r="U49" s="519">
        <f t="shared" si="15"/>
        <v>4.5562733764025844E-2</v>
      </c>
      <c r="V49" s="512">
        <f>SUM(B36:B49)/POBLA!$B$25*100000</f>
        <v>3.0564016729689434</v>
      </c>
      <c r="W49" s="512">
        <f>B49/POBLA!$B$25*100000</f>
        <v>0.22476782310225826</v>
      </c>
      <c r="X49" s="513">
        <f t="shared" si="13"/>
        <v>1.0743609604957398</v>
      </c>
      <c r="Y49" s="511"/>
      <c r="Z49" s="511"/>
      <c r="AA49" s="517">
        <f t="shared" si="3"/>
        <v>104.71428571428571</v>
      </c>
      <c r="AB49" s="517">
        <f t="shared" si="4"/>
        <v>5.5714285714285712</v>
      </c>
      <c r="AC49" s="517">
        <f t="shared" si="14"/>
        <v>3.1038793895936756</v>
      </c>
      <c r="AD49" s="517">
        <f t="shared" si="11"/>
        <v>-2.4675491818348956</v>
      </c>
      <c r="AE49" s="545">
        <f t="shared" si="12"/>
        <v>99.071428571428569</v>
      </c>
      <c r="AF49" s="520">
        <f t="shared" si="9"/>
        <v>1.120795107033639</v>
      </c>
      <c r="AG49" s="4"/>
      <c r="AH49" s="4"/>
      <c r="AI49" s="4"/>
      <c r="AJ49" s="332">
        <f>MAX($B$2:B49)</f>
        <v>167</v>
      </c>
      <c r="AP49" s="355">
        <f t="shared" si="7"/>
        <v>1.0743609604957398</v>
      </c>
      <c r="AT49" s="179"/>
    </row>
    <row r="50" spans="1:46" hidden="1" x14ac:dyDescent="0.25">
      <c r="A50" s="259">
        <v>43941</v>
      </c>
      <c r="B50" s="668">
        <v>90</v>
      </c>
      <c r="C50" s="506">
        <v>3031</v>
      </c>
      <c r="D50" s="670">
        <v>8</v>
      </c>
      <c r="E50" s="506">
        <v>142</v>
      </c>
      <c r="F50" s="515">
        <f t="shared" si="2"/>
        <v>103</v>
      </c>
      <c r="G50" s="506">
        <v>840</v>
      </c>
      <c r="H50" s="506">
        <v>129</v>
      </c>
      <c r="I50" s="506">
        <v>2043</v>
      </c>
      <c r="J50" s="507">
        <v>36611</v>
      </c>
      <c r="K50" s="507"/>
      <c r="L50" s="541">
        <f t="shared" si="0"/>
        <v>4.6849224678323982E-2</v>
      </c>
      <c r="M50" s="508">
        <v>27732</v>
      </c>
      <c r="N50" s="507">
        <v>28298</v>
      </c>
      <c r="O50" s="509">
        <v>863</v>
      </c>
      <c r="P50" s="507">
        <v>1293</v>
      </c>
      <c r="Q50" s="507">
        <v>576</v>
      </c>
      <c r="R50" s="512">
        <f t="shared" si="16"/>
        <v>299</v>
      </c>
      <c r="S50" s="510">
        <f t="shared" si="1"/>
        <v>2049</v>
      </c>
      <c r="T50" s="518">
        <f t="shared" si="5"/>
        <v>6.2957540263543194E-2</v>
      </c>
      <c r="U50" s="519">
        <f t="shared" si="15"/>
        <v>4.6849224678323982E-2</v>
      </c>
      <c r="V50" s="512">
        <f>SUM(B37:B50)/POBLA!$B$25*100000</f>
        <v>3.0916593707104738</v>
      </c>
      <c r="W50" s="512">
        <f>B50/POBLA!$B$25*100000</f>
        <v>0.19832454979611025</v>
      </c>
      <c r="X50" s="513">
        <f t="shared" si="13"/>
        <v>1.0556809631301731</v>
      </c>
      <c r="Y50" s="511"/>
      <c r="Z50" s="511"/>
      <c r="AA50" s="517">
        <f t="shared" si="3"/>
        <v>107.71428571428571</v>
      </c>
      <c r="AB50" s="517">
        <f t="shared" si="4"/>
        <v>6.2857142857142856</v>
      </c>
      <c r="AC50" s="517">
        <f t="shared" si="14"/>
        <v>3.0787995787995786</v>
      </c>
      <c r="AD50" s="517">
        <f t="shared" si="11"/>
        <v>-3.206914706914707</v>
      </c>
      <c r="AE50" s="545">
        <f t="shared" si="12"/>
        <v>100.21428571428571</v>
      </c>
      <c r="AF50" s="520">
        <f t="shared" si="9"/>
        <v>1.1617873651771957</v>
      </c>
      <c r="AG50" s="4"/>
      <c r="AH50" s="4"/>
      <c r="AI50" s="4"/>
      <c r="AJ50" s="332">
        <f>MAX($B$2:B50)</f>
        <v>167</v>
      </c>
      <c r="AP50" s="355">
        <f t="shared" si="7"/>
        <v>1.0556809631301729</v>
      </c>
      <c r="AT50" s="179"/>
    </row>
    <row r="51" spans="1:46" hidden="1" x14ac:dyDescent="0.25">
      <c r="A51" s="259">
        <v>43942</v>
      </c>
      <c r="B51" s="668">
        <v>113</v>
      </c>
      <c r="C51" s="506">
        <v>3144</v>
      </c>
      <c r="D51" s="670">
        <v>9</v>
      </c>
      <c r="E51" s="506">
        <v>151</v>
      </c>
      <c r="F51" s="515">
        <f t="shared" si="2"/>
        <v>32</v>
      </c>
      <c r="G51" s="506">
        <v>872</v>
      </c>
      <c r="H51" s="506">
        <v>131</v>
      </c>
      <c r="I51" s="506">
        <v>2617</v>
      </c>
      <c r="J51" s="507">
        <v>39228</v>
      </c>
      <c r="K51" s="507"/>
      <c r="L51" s="541">
        <f t="shared" si="0"/>
        <v>4.8027989821882951E-2</v>
      </c>
      <c r="M51" s="508">
        <v>29829</v>
      </c>
      <c r="N51" s="507">
        <v>30362</v>
      </c>
      <c r="O51" s="509">
        <v>866</v>
      </c>
      <c r="P51" s="507">
        <v>1346</v>
      </c>
      <c r="Q51" s="507">
        <v>618</v>
      </c>
      <c r="R51" s="512">
        <f t="shared" si="16"/>
        <v>314</v>
      </c>
      <c r="S51" s="510">
        <f t="shared" si="1"/>
        <v>2121</v>
      </c>
      <c r="T51" s="518">
        <f t="shared" si="5"/>
        <v>6.1763319189061763E-2</v>
      </c>
      <c r="U51" s="519">
        <f t="shared" si="15"/>
        <v>4.8027989821882951E-2</v>
      </c>
      <c r="V51" s="512">
        <f>SUM(B38:B51)/POBLA!$B$25*100000</f>
        <v>3.1489531295404611</v>
      </c>
      <c r="W51" s="512">
        <f>B51/POBLA!$B$25*100000</f>
        <v>0.24900749029956062</v>
      </c>
      <c r="X51" s="513">
        <f t="shared" si="13"/>
        <v>1.0744360902255639</v>
      </c>
      <c r="Y51" s="511"/>
      <c r="Z51" s="511"/>
      <c r="AA51" s="517">
        <f t="shared" si="3"/>
        <v>100.14285714285714</v>
      </c>
      <c r="AB51" s="517">
        <f t="shared" si="4"/>
        <v>6.5714285714285712</v>
      </c>
      <c r="AC51" s="517">
        <f>AA37*L37</f>
        <v>3.3036234902124115</v>
      </c>
      <c r="AD51" s="517">
        <f t="shared" si="11"/>
        <v>-3.2678050812161596</v>
      </c>
      <c r="AE51" s="545">
        <f t="shared" si="12"/>
        <v>102.07142857142857</v>
      </c>
      <c r="AF51" s="520">
        <f t="shared" si="9"/>
        <v>0.96291208791208782</v>
      </c>
      <c r="AG51" s="4"/>
      <c r="AH51" s="4"/>
      <c r="AI51" s="4"/>
      <c r="AJ51" s="332">
        <f>MAX($B$2:B51)</f>
        <v>167</v>
      </c>
      <c r="AP51" s="355">
        <f t="shared" si="7"/>
        <v>1.0744360902255639</v>
      </c>
      <c r="AT51" s="179"/>
    </row>
    <row r="52" spans="1:46" hidden="1" x14ac:dyDescent="0.25">
      <c r="A52" s="259">
        <v>43943</v>
      </c>
      <c r="B52" s="668">
        <v>144</v>
      </c>
      <c r="C52" s="506">
        <v>3288</v>
      </c>
      <c r="D52" s="670">
        <v>8</v>
      </c>
      <c r="E52" s="506">
        <v>159</v>
      </c>
      <c r="F52" s="515">
        <f t="shared" si="2"/>
        <v>47</v>
      </c>
      <c r="G52" s="506">
        <v>919</v>
      </c>
      <c r="H52" s="506">
        <v>136</v>
      </c>
      <c r="I52" s="506">
        <v>2558</v>
      </c>
      <c r="J52" s="507">
        <v>41786</v>
      </c>
      <c r="K52" s="507"/>
      <c r="L52" s="541">
        <f t="shared" si="0"/>
        <v>4.8357664233576646E-2</v>
      </c>
      <c r="M52" s="508">
        <v>31845</v>
      </c>
      <c r="N52" s="507">
        <v>32414</v>
      </c>
      <c r="O52" s="509">
        <v>870</v>
      </c>
      <c r="P52" s="507">
        <v>1408</v>
      </c>
      <c r="Q52" s="507">
        <v>669</v>
      </c>
      <c r="R52" s="512">
        <f t="shared" si="16"/>
        <v>341</v>
      </c>
      <c r="S52" s="510">
        <f t="shared" si="1"/>
        <v>2210</v>
      </c>
      <c r="T52" s="518">
        <f t="shared" si="5"/>
        <v>6.1538461538461542E-2</v>
      </c>
      <c r="U52" s="519">
        <f t="shared" si="15"/>
        <v>4.8357664233576646E-2</v>
      </c>
      <c r="V52" s="512">
        <f>SUM(B39:B52)/POBLA!$B$25*100000</f>
        <v>3.2899839205065842</v>
      </c>
      <c r="W52" s="512">
        <f>B52/POBLA!$B$25*100000</f>
        <v>0.31731927967377643</v>
      </c>
      <c r="X52" s="513">
        <f t="shared" si="13"/>
        <v>1.1546790409899459</v>
      </c>
      <c r="Y52" s="511"/>
      <c r="Z52" s="511"/>
      <c r="AA52" s="517">
        <f t="shared" si="3"/>
        <v>102.42857142857143</v>
      </c>
      <c r="AB52" s="517">
        <f t="shared" si="4"/>
        <v>6.7142857142857144</v>
      </c>
      <c r="AC52" s="517">
        <f t="shared" si="14"/>
        <v>3.4245921209709511</v>
      </c>
      <c r="AD52" s="517">
        <f t="shared" si="11"/>
        <v>-3.2896935933147633</v>
      </c>
      <c r="AE52" s="545">
        <f t="shared" si="12"/>
        <v>106.64285714285714</v>
      </c>
      <c r="AF52" s="520">
        <f t="shared" si="9"/>
        <v>0.92396907216494839</v>
      </c>
      <c r="AG52" s="4"/>
      <c r="AH52" s="4"/>
      <c r="AI52" s="4"/>
      <c r="AJ52" s="332">
        <f>MAX($B$2:B52)</f>
        <v>167</v>
      </c>
      <c r="AP52" s="355">
        <f t="shared" si="7"/>
        <v>1.1546790409899457</v>
      </c>
      <c r="AT52" s="179"/>
    </row>
    <row r="53" spans="1:46" hidden="1" x14ac:dyDescent="0.25">
      <c r="A53" s="259">
        <v>43944</v>
      </c>
      <c r="B53" s="668">
        <v>147</v>
      </c>
      <c r="C53" s="506">
        <v>3435</v>
      </c>
      <c r="D53" s="670">
        <v>6</v>
      </c>
      <c r="E53" s="506">
        <v>165</v>
      </c>
      <c r="F53" s="515">
        <f t="shared" si="2"/>
        <v>57</v>
      </c>
      <c r="G53" s="506">
        <v>976</v>
      </c>
      <c r="H53" s="506">
        <v>141</v>
      </c>
      <c r="I53" s="506">
        <v>2868</v>
      </c>
      <c r="J53" s="507">
        <v>44654</v>
      </c>
      <c r="K53" s="507"/>
      <c r="L53" s="541">
        <f t="shared" si="0"/>
        <v>4.8034934497816595E-2</v>
      </c>
      <c r="M53" s="508">
        <v>33874</v>
      </c>
      <c r="N53" s="507">
        <v>34431</v>
      </c>
      <c r="O53" s="509">
        <v>875</v>
      </c>
      <c r="P53" s="507">
        <v>1490</v>
      </c>
      <c r="Q53" s="507">
        <v>722</v>
      </c>
      <c r="R53" s="512">
        <f t="shared" si="16"/>
        <v>348</v>
      </c>
      <c r="S53" s="510">
        <f t="shared" si="1"/>
        <v>2294</v>
      </c>
      <c r="T53" s="518">
        <f t="shared" si="5"/>
        <v>6.1464690496948561E-2</v>
      </c>
      <c r="U53" s="519">
        <f t="shared" si="15"/>
        <v>4.8034934497816595E-2</v>
      </c>
      <c r="V53" s="512">
        <f>SUM(B40:B53)/POBLA!$B$25*100000</f>
        <v>3.3957570137311763</v>
      </c>
      <c r="W53" s="512">
        <f>B53/POBLA!$B$25*100000</f>
        <v>0.32393009800031336</v>
      </c>
      <c r="X53" s="513">
        <f t="shared" ref="X53:X64" si="17">SUM(B40:B53)/SUM(B26:B39)</f>
        <v>1.1808429118773947</v>
      </c>
      <c r="Y53" s="511"/>
      <c r="Z53" s="511"/>
      <c r="AA53" s="517">
        <f t="shared" si="3"/>
        <v>109.42857142857143</v>
      </c>
      <c r="AB53" s="517">
        <f t="shared" si="4"/>
        <v>6.1428571428571432</v>
      </c>
      <c r="AC53" s="517">
        <f t="shared" si="14"/>
        <v>3.7480012068185249</v>
      </c>
      <c r="AD53" s="517">
        <f t="shared" si="11"/>
        <v>-2.3948559360386183</v>
      </c>
      <c r="AE53" s="545">
        <f t="shared" si="12"/>
        <v>110.07142857142857</v>
      </c>
      <c r="AF53" s="520">
        <f t="shared" si="9"/>
        <v>0.98838709677419367</v>
      </c>
      <c r="AG53" s="4"/>
      <c r="AH53" s="4"/>
      <c r="AI53" s="4"/>
      <c r="AJ53" s="332">
        <f>MAX($B$2:B53)</f>
        <v>167</v>
      </c>
      <c r="AP53" s="355">
        <f t="shared" si="7"/>
        <v>1.1808429118773947</v>
      </c>
      <c r="AT53" s="179"/>
    </row>
    <row r="54" spans="1:46" hidden="1" x14ac:dyDescent="0.25">
      <c r="A54" s="259">
        <v>43945</v>
      </c>
      <c r="B54" s="668">
        <v>172</v>
      </c>
      <c r="C54" s="506">
        <v>3607</v>
      </c>
      <c r="D54" s="670">
        <v>11</v>
      </c>
      <c r="E54" s="506">
        <v>176</v>
      </c>
      <c r="F54" s="515">
        <f t="shared" si="2"/>
        <v>54</v>
      </c>
      <c r="G54" s="506">
        <v>1030</v>
      </c>
      <c r="H54" s="506">
        <v>144</v>
      </c>
      <c r="I54" s="506">
        <v>2752</v>
      </c>
      <c r="J54" s="507">
        <v>47406</v>
      </c>
      <c r="K54" s="507"/>
      <c r="L54" s="541">
        <f t="shared" si="0"/>
        <v>4.8794011644025505E-2</v>
      </c>
      <c r="M54" s="508">
        <v>36067</v>
      </c>
      <c r="N54" s="507">
        <v>36610</v>
      </c>
      <c r="O54" s="509">
        <v>887</v>
      </c>
      <c r="P54" s="507">
        <v>1562</v>
      </c>
      <c r="Q54" s="507">
        <v>755</v>
      </c>
      <c r="R54" s="512">
        <f t="shared" si="16"/>
        <v>403</v>
      </c>
      <c r="S54" s="510">
        <f t="shared" si="1"/>
        <v>2401</v>
      </c>
      <c r="T54" s="518">
        <f t="shared" si="5"/>
        <v>5.9975010412328195E-2</v>
      </c>
      <c r="U54" s="519">
        <f t="shared" si="15"/>
        <v>4.8794011644025505E-2</v>
      </c>
      <c r="V54" s="512">
        <f>SUM(B41:B54)/POBLA!$B$25*100000</f>
        <v>3.5962851696361322</v>
      </c>
      <c r="W54" s="512">
        <f>B54/POBLA!$B$25*100000</f>
        <v>0.37902025072145512</v>
      </c>
      <c r="X54" s="513">
        <f t="shared" si="17"/>
        <v>1.2700389105058365</v>
      </c>
      <c r="Y54" s="520"/>
      <c r="Z54" s="511"/>
      <c r="AA54" s="517">
        <f t="shared" si="3"/>
        <v>121.28571428571429</v>
      </c>
      <c r="AB54" s="517">
        <f t="shared" si="4"/>
        <v>6.7142857142857144</v>
      </c>
      <c r="AC54" s="517">
        <f t="shared" si="14"/>
        <v>3.6892585895117542</v>
      </c>
      <c r="AD54" s="517">
        <f t="shared" si="11"/>
        <v>-3.0250271247739602</v>
      </c>
      <c r="AE54" s="545">
        <f t="shared" si="12"/>
        <v>116.57142857142857</v>
      </c>
      <c r="AF54" s="520">
        <f t="shared" si="9"/>
        <v>1.0842911877394636</v>
      </c>
      <c r="AG54" s="4"/>
      <c r="AH54" s="4"/>
      <c r="AI54" s="4"/>
      <c r="AJ54" s="332">
        <f>MAX($B$2:B54)</f>
        <v>172</v>
      </c>
      <c r="AP54" s="355">
        <f t="shared" si="7"/>
        <v>1.2700389105058365</v>
      </c>
      <c r="AT54" s="179"/>
    </row>
    <row r="55" spans="1:46" hidden="1" x14ac:dyDescent="0.25">
      <c r="A55" s="259">
        <v>43946</v>
      </c>
      <c r="B55" s="668">
        <v>173</v>
      </c>
      <c r="C55" s="506">
        <v>3780</v>
      </c>
      <c r="D55" s="670">
        <v>9</v>
      </c>
      <c r="E55" s="506">
        <v>185</v>
      </c>
      <c r="F55" s="515">
        <f t="shared" si="2"/>
        <v>77</v>
      </c>
      <c r="G55" s="506">
        <v>1107</v>
      </c>
      <c r="H55" s="506">
        <v>139</v>
      </c>
      <c r="I55" s="506">
        <v>2499</v>
      </c>
      <c r="J55" s="507">
        <v>49905</v>
      </c>
      <c r="K55" s="507"/>
      <c r="L55" s="541">
        <f t="shared" si="0"/>
        <v>4.8941798941798939E-2</v>
      </c>
      <c r="M55" s="508">
        <v>37654</v>
      </c>
      <c r="N55" s="507">
        <v>38215</v>
      </c>
      <c r="O55" s="509">
        <v>888</v>
      </c>
      <c r="P55" s="507">
        <v>1641</v>
      </c>
      <c r="Q55" s="507">
        <v>797</v>
      </c>
      <c r="R55" s="512">
        <f t="shared" si="16"/>
        <v>454</v>
      </c>
      <c r="S55" s="510">
        <f t="shared" si="1"/>
        <v>2488</v>
      </c>
      <c r="T55" s="518">
        <f t="shared" si="5"/>
        <v>5.5868167202572344E-2</v>
      </c>
      <c r="U55" s="519">
        <f t="shared" si="15"/>
        <v>4.8941798941798939E-2</v>
      </c>
      <c r="V55" s="512">
        <f>SUM(B42:B55)/POBLA!$B$25*100000</f>
        <v>3.6095068062892066</v>
      </c>
      <c r="W55" s="512">
        <f>B55/POBLA!$B$25*100000</f>
        <v>0.3812238568303008</v>
      </c>
      <c r="X55" s="513">
        <f t="shared" si="17"/>
        <v>1.1725125268432355</v>
      </c>
      <c r="Y55" s="520"/>
      <c r="Z55" s="511"/>
      <c r="AA55" s="517">
        <f t="shared" si="3"/>
        <v>134.42857142857142</v>
      </c>
      <c r="AB55" s="517">
        <f t="shared" si="4"/>
        <v>7.5714285714285712</v>
      </c>
      <c r="AC55" s="517">
        <f t="shared" si="14"/>
        <v>4.1015739629185006</v>
      </c>
      <c r="AD55" s="517">
        <f t="shared" si="11"/>
        <v>-3.4698546085100705</v>
      </c>
      <c r="AE55" s="545">
        <f t="shared" si="12"/>
        <v>117</v>
      </c>
      <c r="AF55" s="520">
        <f t="shared" si="9"/>
        <v>1.3500717360114776</v>
      </c>
      <c r="AG55" s="4"/>
      <c r="AH55" s="4"/>
      <c r="AI55" s="4"/>
      <c r="AJ55" s="332">
        <f>MAX($B$2:B55)</f>
        <v>173</v>
      </c>
      <c r="AP55" s="355">
        <f t="shared" si="7"/>
        <v>1.1725125268432355</v>
      </c>
      <c r="AT55" s="179"/>
    </row>
    <row r="56" spans="1:46" hidden="1" x14ac:dyDescent="0.25">
      <c r="A56" s="259">
        <v>43947</v>
      </c>
      <c r="B56" s="668">
        <v>112</v>
      </c>
      <c r="C56" s="506">
        <v>3892</v>
      </c>
      <c r="D56" s="670">
        <v>7</v>
      </c>
      <c r="E56" s="506">
        <v>192</v>
      </c>
      <c r="F56" s="515">
        <f t="shared" si="2"/>
        <v>33</v>
      </c>
      <c r="G56" s="506">
        <v>1140</v>
      </c>
      <c r="H56" s="506">
        <v>151</v>
      </c>
      <c r="I56" s="506">
        <v>1995</v>
      </c>
      <c r="J56" s="507">
        <v>51900</v>
      </c>
      <c r="K56" s="507"/>
      <c r="L56" s="541">
        <f t="shared" si="0"/>
        <v>4.9331963001027747E-2</v>
      </c>
      <c r="M56" s="508">
        <v>39420</v>
      </c>
      <c r="N56" s="507">
        <v>39990</v>
      </c>
      <c r="O56" s="509">
        <v>900</v>
      </c>
      <c r="P56" s="507">
        <v>1684</v>
      </c>
      <c r="Q56" s="507">
        <v>829</v>
      </c>
      <c r="R56" s="512">
        <f t="shared" si="16"/>
        <v>479</v>
      </c>
      <c r="S56" s="510">
        <f t="shared" si="1"/>
        <v>2560</v>
      </c>
      <c r="T56" s="518">
        <f t="shared" si="5"/>
        <v>5.8984374999999999E-2</v>
      </c>
      <c r="U56" s="519">
        <f t="shared" si="15"/>
        <v>4.9331963001027747E-2</v>
      </c>
      <c r="V56" s="512">
        <f>SUM(B43:B56)/POBLA!$B$25*100000</f>
        <v>3.7108726872961069</v>
      </c>
      <c r="W56" s="512">
        <f>B56/POBLA!$B$25*100000</f>
        <v>0.24680388419071494</v>
      </c>
      <c r="X56" s="513">
        <f t="shared" si="17"/>
        <v>1.2132564841498559</v>
      </c>
      <c r="Y56" s="520"/>
      <c r="Z56" s="511"/>
      <c r="AA56" s="517">
        <f t="shared" si="3"/>
        <v>135.85714285714286</v>
      </c>
      <c r="AB56" s="517">
        <f t="shared" si="4"/>
        <v>8.2857142857142865</v>
      </c>
      <c r="AC56" s="517">
        <f t="shared" si="14"/>
        <v>4.0197981366459627</v>
      </c>
      <c r="AD56" s="517">
        <f t="shared" si="11"/>
        <v>-4.2659161490683237</v>
      </c>
      <c r="AE56" s="545">
        <f t="shared" si="12"/>
        <v>120.28571428571429</v>
      </c>
      <c r="AF56" s="520">
        <f t="shared" si="9"/>
        <v>1.2974079126875855</v>
      </c>
      <c r="AG56" s="4"/>
      <c r="AH56" s="4"/>
      <c r="AI56" s="4"/>
      <c r="AJ56" s="332">
        <f>MAX($B$2:B56)</f>
        <v>173</v>
      </c>
      <c r="AP56" s="355">
        <f t="shared" si="7"/>
        <v>1.2132564841498561</v>
      </c>
      <c r="AT56" s="179"/>
    </row>
    <row r="57" spans="1:46" hidden="1" x14ac:dyDescent="0.25">
      <c r="A57" s="259">
        <v>43948</v>
      </c>
      <c r="B57" s="668">
        <v>111</v>
      </c>
      <c r="C57" s="506">
        <v>4003</v>
      </c>
      <c r="D57" s="670">
        <v>5</v>
      </c>
      <c r="E57" s="506">
        <v>197</v>
      </c>
      <c r="F57" s="515">
        <f t="shared" si="2"/>
        <v>22</v>
      </c>
      <c r="G57" s="506">
        <v>1162</v>
      </c>
      <c r="H57" s="506">
        <v>155</v>
      </c>
      <c r="I57" s="506">
        <v>1700</v>
      </c>
      <c r="J57" s="507">
        <v>53600</v>
      </c>
      <c r="K57" s="507"/>
      <c r="L57" s="541">
        <f t="shared" si="0"/>
        <v>4.921309018236323E-2</v>
      </c>
      <c r="M57" s="508">
        <v>40959</v>
      </c>
      <c r="N57" s="507">
        <v>41559</v>
      </c>
      <c r="O57" s="509">
        <v>905</v>
      </c>
      <c r="P57" s="507">
        <v>1725</v>
      </c>
      <c r="Q57" s="507">
        <v>897</v>
      </c>
      <c r="R57" s="512">
        <f t="shared" si="16"/>
        <v>476</v>
      </c>
      <c r="S57" s="510">
        <f t="shared" si="1"/>
        <v>2644</v>
      </c>
      <c r="T57" s="518">
        <f t="shared" si="5"/>
        <v>5.8623298033282902E-2</v>
      </c>
      <c r="U57" s="519">
        <f t="shared" si="15"/>
        <v>4.921309018236323E-2</v>
      </c>
      <c r="V57" s="512">
        <f>SUM(B44:B57)/POBLA!$B$25*100000</f>
        <v>3.8034241438676251</v>
      </c>
      <c r="W57" s="512">
        <f>B57/POBLA!$B$25*100000</f>
        <v>0.24460027808186929</v>
      </c>
      <c r="X57" s="513">
        <f t="shared" si="17"/>
        <v>1.3165522501906941</v>
      </c>
      <c r="Y57" s="520"/>
      <c r="Z57" s="511"/>
      <c r="AA57" s="517">
        <f t="shared" si="3"/>
        <v>138.85714285714286</v>
      </c>
      <c r="AB57" s="517">
        <f t="shared" si="4"/>
        <v>7.8571428571428568</v>
      </c>
      <c r="AC57" s="517">
        <f t="shared" si="14"/>
        <v>3.9903381642512072</v>
      </c>
      <c r="AD57" s="517">
        <f t="shared" si="11"/>
        <v>-3.8668046928916495</v>
      </c>
      <c r="AE57" s="545">
        <f t="shared" si="12"/>
        <v>123.28571428571429</v>
      </c>
      <c r="AF57" s="520">
        <f t="shared" si="9"/>
        <v>1.2891246684350133</v>
      </c>
      <c r="AG57" s="4"/>
      <c r="AH57" s="4"/>
      <c r="AI57" s="4"/>
      <c r="AJ57" s="332">
        <f>MAX($B$2:B57)</f>
        <v>173</v>
      </c>
      <c r="AP57" s="355">
        <f t="shared" si="7"/>
        <v>1.3165522501906943</v>
      </c>
      <c r="AT57" s="179"/>
    </row>
    <row r="58" spans="1:46" hidden="1" x14ac:dyDescent="0.25">
      <c r="A58" s="259">
        <v>43949</v>
      </c>
      <c r="B58" s="668">
        <v>124</v>
      </c>
      <c r="C58" s="506">
        <v>4127</v>
      </c>
      <c r="D58" s="670">
        <v>10</v>
      </c>
      <c r="E58" s="506">
        <v>207</v>
      </c>
      <c r="F58" s="515">
        <f t="shared" si="2"/>
        <v>30</v>
      </c>
      <c r="G58" s="506">
        <v>1192</v>
      </c>
      <c r="H58" s="506">
        <v>154</v>
      </c>
      <c r="I58" s="506">
        <v>2458</v>
      </c>
      <c r="J58" s="507">
        <v>56058</v>
      </c>
      <c r="K58" s="507"/>
      <c r="L58" s="541">
        <f t="shared" si="0"/>
        <v>5.0157499394233099E-2</v>
      </c>
      <c r="M58" s="508">
        <v>42710</v>
      </c>
      <c r="N58" s="507">
        <v>43322</v>
      </c>
      <c r="O58" s="509">
        <v>909</v>
      </c>
      <c r="P58" s="507">
        <v>1766</v>
      </c>
      <c r="Q58" s="507">
        <v>984</v>
      </c>
      <c r="R58" s="512">
        <f t="shared" si="16"/>
        <v>468</v>
      </c>
      <c r="S58" s="510">
        <f t="shared" si="1"/>
        <v>2728</v>
      </c>
      <c r="T58" s="518">
        <f t="shared" si="5"/>
        <v>5.6451612903225805E-2</v>
      </c>
      <c r="U58" s="519">
        <f t="shared" si="15"/>
        <v>5.0157499394233099E-2</v>
      </c>
      <c r="V58" s="512">
        <f>SUM(B45:B58)/POBLA!$B$25*100000</f>
        <v>3.7108726872961069</v>
      </c>
      <c r="W58" s="512">
        <f>B58/POBLA!$B$25*100000</f>
        <v>0.27324715749686301</v>
      </c>
      <c r="X58" s="513">
        <f t="shared" si="17"/>
        <v>1.2123830093592514</v>
      </c>
      <c r="Y58" s="520"/>
      <c r="Z58" s="520">
        <f t="shared" ref="Z58:Z121" si="18">SUM(B52:B58)/SUM(I52:I58)</f>
        <v>5.8407605466428994E-2</v>
      </c>
      <c r="AA58" s="517">
        <f t="shared" si="3"/>
        <v>140.42857142857142</v>
      </c>
      <c r="AB58" s="517">
        <f t="shared" si="4"/>
        <v>8</v>
      </c>
      <c r="AC58" s="517">
        <f t="shared" si="14"/>
        <v>4.4699140401146131</v>
      </c>
      <c r="AD58" s="517">
        <f t="shared" si="11"/>
        <v>-3.5300859598853869</v>
      </c>
      <c r="AE58" s="545">
        <f t="shared" si="12"/>
        <v>120.28571428571429</v>
      </c>
      <c r="AF58" s="520">
        <f t="shared" si="9"/>
        <v>1.4022824536376604</v>
      </c>
      <c r="AG58" s="4"/>
      <c r="AH58" s="4"/>
      <c r="AI58" s="4"/>
      <c r="AJ58" s="332">
        <f>MAX($B$2:B58)</f>
        <v>173</v>
      </c>
      <c r="AP58" s="355">
        <f t="shared" si="7"/>
        <v>1.2123830093592514</v>
      </c>
      <c r="AT58" s="179"/>
    </row>
    <row r="59" spans="1:46" hidden="1" x14ac:dyDescent="0.25">
      <c r="A59" s="259">
        <v>43950</v>
      </c>
      <c r="B59" s="668">
        <v>158</v>
      </c>
      <c r="C59" s="506">
        <v>4285</v>
      </c>
      <c r="D59" s="670">
        <v>7</v>
      </c>
      <c r="E59" s="506">
        <v>214</v>
      </c>
      <c r="F59" s="515">
        <f t="shared" si="2"/>
        <v>64</v>
      </c>
      <c r="G59" s="506">
        <v>1256</v>
      </c>
      <c r="H59" s="506">
        <v>157</v>
      </c>
      <c r="I59" s="506">
        <v>2627</v>
      </c>
      <c r="J59" s="507">
        <v>58685</v>
      </c>
      <c r="K59" s="507"/>
      <c r="L59" s="541">
        <f t="shared" si="0"/>
        <v>4.9941656942823806E-2</v>
      </c>
      <c r="M59" s="508">
        <v>44828</v>
      </c>
      <c r="N59" s="507">
        <v>45446</v>
      </c>
      <c r="O59" s="509">
        <v>912</v>
      </c>
      <c r="P59" s="507">
        <v>1835</v>
      </c>
      <c r="Q59" s="507">
        <v>1041</v>
      </c>
      <c r="R59" s="512">
        <f t="shared" si="16"/>
        <v>497</v>
      </c>
      <c r="S59" s="510">
        <f t="shared" si="1"/>
        <v>2815</v>
      </c>
      <c r="T59" s="518">
        <f t="shared" si="5"/>
        <v>5.5772646536412077E-2</v>
      </c>
      <c r="U59" s="519">
        <f t="shared" si="15"/>
        <v>4.9941656942823806E-2</v>
      </c>
      <c r="V59" s="512">
        <f>SUM(B46:B59)/POBLA!$B$25*100000</f>
        <v>3.7769808705614771</v>
      </c>
      <c r="W59" s="512">
        <f>B59/POBLA!$B$25*100000</f>
        <v>0.34816976519761578</v>
      </c>
      <c r="X59" s="513">
        <f t="shared" si="17"/>
        <v>1.1919332406119612</v>
      </c>
      <c r="Y59" s="520"/>
      <c r="Z59" s="520">
        <f t="shared" si="18"/>
        <v>5.899757382093615E-2</v>
      </c>
      <c r="AA59" s="517">
        <f t="shared" si="3"/>
        <v>142.42857142857142</v>
      </c>
      <c r="AB59" s="517">
        <f t="shared" si="4"/>
        <v>7.8571428571428568</v>
      </c>
      <c r="AC59" s="517">
        <f t="shared" si="14"/>
        <v>4.8292493193309998</v>
      </c>
      <c r="AD59" s="517">
        <f t="shared" si="11"/>
        <v>-3.027893537811857</v>
      </c>
      <c r="AE59" s="545">
        <f t="shared" si="12"/>
        <v>122.42857142857143</v>
      </c>
      <c r="AF59" s="520">
        <f t="shared" si="9"/>
        <v>1.3905160390516038</v>
      </c>
      <c r="AG59" s="4"/>
      <c r="AH59" s="4"/>
      <c r="AI59" s="4"/>
      <c r="AJ59" s="332">
        <f>MAX($B$2:B59)</f>
        <v>173</v>
      </c>
      <c r="AP59" s="355">
        <f t="shared" si="7"/>
        <v>1.1919332406119612</v>
      </c>
      <c r="AT59" s="179"/>
    </row>
    <row r="60" spans="1:46" hidden="1" x14ac:dyDescent="0.25">
      <c r="A60" s="259">
        <v>43951</v>
      </c>
      <c r="B60" s="668">
        <v>143</v>
      </c>
      <c r="C60" s="506">
        <v>4428</v>
      </c>
      <c r="D60" s="670">
        <v>4</v>
      </c>
      <c r="E60" s="506">
        <v>218</v>
      </c>
      <c r="F60" s="515">
        <f t="shared" si="2"/>
        <v>36</v>
      </c>
      <c r="G60" s="506">
        <v>1292</v>
      </c>
      <c r="H60" s="506">
        <v>157</v>
      </c>
      <c r="I60" s="506">
        <v>2845</v>
      </c>
      <c r="J60" s="507">
        <v>61530</v>
      </c>
      <c r="K60" s="507"/>
      <c r="L60" s="541">
        <f t="shared" si="0"/>
        <v>4.9232158988256551E-2</v>
      </c>
      <c r="M60" s="508">
        <v>46829</v>
      </c>
      <c r="N60" s="507">
        <v>47467</v>
      </c>
      <c r="O60" s="509">
        <v>915</v>
      </c>
      <c r="P60" s="507">
        <v>1904</v>
      </c>
      <c r="Q60" s="507">
        <v>1149</v>
      </c>
      <c r="R60" s="512">
        <f t="shared" si="16"/>
        <v>460</v>
      </c>
      <c r="S60" s="510">
        <f t="shared" si="1"/>
        <v>2918</v>
      </c>
      <c r="T60" s="518">
        <f t="shared" si="5"/>
        <v>5.3803975325565453E-2</v>
      </c>
      <c r="U60" s="519">
        <f t="shared" si="15"/>
        <v>4.9232158988256551E-2</v>
      </c>
      <c r="V60" s="512">
        <f>SUM(B47:B60)/POBLA!$B$25*100000</f>
        <v>3.8761431454595323</v>
      </c>
      <c r="W60" s="512">
        <f>B60/POBLA!$B$25*100000</f>
        <v>0.31511567356493075</v>
      </c>
      <c r="X60" s="513">
        <f t="shared" si="17"/>
        <v>1.2528490028490029</v>
      </c>
      <c r="Y60" s="520"/>
      <c r="Z60" s="520">
        <f t="shared" si="18"/>
        <v>5.8840957572884572E-2</v>
      </c>
      <c r="AA60" s="517">
        <f t="shared" si="3"/>
        <v>141.85714285714286</v>
      </c>
      <c r="AB60" s="517">
        <f t="shared" si="4"/>
        <v>7.5714285714285712</v>
      </c>
      <c r="AC60" s="517">
        <f t="shared" si="14"/>
        <v>5.0607504148156082</v>
      </c>
      <c r="AD60" s="517">
        <f t="shared" si="11"/>
        <v>-2.510678156612963</v>
      </c>
      <c r="AE60" s="545">
        <f t="shared" si="12"/>
        <v>125.64285714285714</v>
      </c>
      <c r="AF60" s="520">
        <f t="shared" si="9"/>
        <v>1.2963446475195823</v>
      </c>
      <c r="AG60" s="4"/>
      <c r="AH60" s="4"/>
      <c r="AI60" s="4"/>
      <c r="AJ60" s="332">
        <f>MAX($B$2:B60)</f>
        <v>173</v>
      </c>
      <c r="AP60" s="355">
        <f t="shared" si="7"/>
        <v>1.2528490028490027</v>
      </c>
      <c r="AT60" s="179"/>
    </row>
    <row r="61" spans="1:46" hidden="1" x14ac:dyDescent="0.25">
      <c r="A61" s="259">
        <v>43952</v>
      </c>
      <c r="B61" s="668">
        <v>105</v>
      </c>
      <c r="C61" s="506">
        <v>4532</v>
      </c>
      <c r="D61" s="670">
        <v>7</v>
      </c>
      <c r="E61" s="506">
        <v>225</v>
      </c>
      <c r="F61" s="515">
        <f t="shared" si="2"/>
        <v>28</v>
      </c>
      <c r="G61" s="506">
        <v>1320</v>
      </c>
      <c r="H61" s="506">
        <v>164</v>
      </c>
      <c r="I61" s="506">
        <v>2336</v>
      </c>
      <c r="J61" s="507">
        <v>63866</v>
      </c>
      <c r="K61" s="507"/>
      <c r="L61" s="541">
        <f t="shared" si="0"/>
        <v>4.9646954986760812E-2</v>
      </c>
      <c r="M61" s="508">
        <v>48591</v>
      </c>
      <c r="N61" s="507">
        <v>49247</v>
      </c>
      <c r="O61" s="509">
        <v>916</v>
      </c>
      <c r="P61" s="507">
        <v>1949</v>
      </c>
      <c r="Q61" s="507">
        <v>1224</v>
      </c>
      <c r="R61" s="512">
        <f t="shared" si="16"/>
        <v>443</v>
      </c>
      <c r="S61" s="510">
        <f t="shared" si="1"/>
        <v>2987</v>
      </c>
      <c r="T61" s="518">
        <f t="shared" si="5"/>
        <v>5.4904586541680615E-2</v>
      </c>
      <c r="U61" s="519">
        <f t="shared" si="15"/>
        <v>4.9646954986760812E-2</v>
      </c>
      <c r="V61" s="512">
        <f>SUM(B48:B61)/POBLA!$B$25*100000</f>
        <v>3.9114008432010627</v>
      </c>
      <c r="W61" s="512">
        <f>B61/POBLA!$B$25*100000</f>
        <v>0.2313786414287953</v>
      </c>
      <c r="X61" s="513">
        <f t="shared" si="17"/>
        <v>1.2633451957295374</v>
      </c>
      <c r="Y61" s="520"/>
      <c r="Z61" s="520">
        <f t="shared" si="18"/>
        <v>5.6257594167679226E-2</v>
      </c>
      <c r="AA61" s="517">
        <f t="shared" si="3"/>
        <v>132.28571428571428</v>
      </c>
      <c r="AB61" s="517">
        <f t="shared" si="4"/>
        <v>7</v>
      </c>
      <c r="AC61" s="517">
        <f t="shared" si="14"/>
        <v>5.2318968196415625</v>
      </c>
      <c r="AD61" s="517">
        <f t="shared" si="11"/>
        <v>-1.7681031803584375</v>
      </c>
      <c r="AE61" s="545">
        <f t="shared" si="12"/>
        <v>126.78571428571429</v>
      </c>
      <c r="AF61" s="520">
        <f t="shared" si="9"/>
        <v>1.0906949352179034</v>
      </c>
      <c r="AG61" s="4"/>
      <c r="AH61" s="4"/>
      <c r="AI61" s="4"/>
      <c r="AJ61" s="332">
        <f>MAX($B$2:B61)</f>
        <v>173</v>
      </c>
      <c r="AP61" s="355">
        <f t="shared" si="7"/>
        <v>1.2633451957295374</v>
      </c>
      <c r="AT61" s="179"/>
    </row>
    <row r="62" spans="1:46" hidden="1" x14ac:dyDescent="0.25">
      <c r="A62" s="259">
        <v>43953</v>
      </c>
      <c r="B62" s="668">
        <v>149</v>
      </c>
      <c r="C62" s="506">
        <v>4681</v>
      </c>
      <c r="D62" s="670">
        <v>12</v>
      </c>
      <c r="E62" s="506">
        <v>237</v>
      </c>
      <c r="F62" s="515">
        <f t="shared" si="2"/>
        <v>34</v>
      </c>
      <c r="G62" s="506">
        <v>1354</v>
      </c>
      <c r="H62" s="506">
        <v>164</v>
      </c>
      <c r="I62" s="506">
        <v>1947</v>
      </c>
      <c r="J62" s="507">
        <v>65813</v>
      </c>
      <c r="K62" s="507"/>
      <c r="L62" s="541">
        <f t="shared" si="0"/>
        <v>5.0630207220679339E-2</v>
      </c>
      <c r="M62" s="508">
        <v>50098</v>
      </c>
      <c r="N62" s="507">
        <v>50779</v>
      </c>
      <c r="O62" s="509">
        <v>917</v>
      </c>
      <c r="P62" s="507">
        <v>2012</v>
      </c>
      <c r="Q62" s="507">
        <v>1267</v>
      </c>
      <c r="R62" s="512">
        <f t="shared" si="16"/>
        <v>485</v>
      </c>
      <c r="S62" s="510">
        <f t="shared" si="1"/>
        <v>3090</v>
      </c>
      <c r="T62" s="518">
        <f t="shared" si="5"/>
        <v>5.307443365695793E-2</v>
      </c>
      <c r="U62" s="519">
        <f t="shared" si="15"/>
        <v>5.0630207220679339E-2</v>
      </c>
      <c r="V62" s="512">
        <f>SUM(B49:B62)/POBLA!$B$25*100000</f>
        <v>4.0612460586025687</v>
      </c>
      <c r="W62" s="512">
        <f>B62/POBLA!$B$25*100000</f>
        <v>0.32833731021800472</v>
      </c>
      <c r="X62" s="513">
        <f t="shared" si="17"/>
        <v>1.3278097982708934</v>
      </c>
      <c r="Y62" s="520"/>
      <c r="Z62" s="520">
        <f t="shared" si="18"/>
        <v>5.6701030927835051E-2</v>
      </c>
      <c r="AA62" s="517">
        <f t="shared" si="3"/>
        <v>128.85714285714286</v>
      </c>
      <c r="AB62" s="517">
        <f t="shared" si="4"/>
        <v>7.4285714285714288</v>
      </c>
      <c r="AC62" s="517">
        <f t="shared" si="14"/>
        <v>4.6295979469632167</v>
      </c>
      <c r="AD62" s="517">
        <f t="shared" si="11"/>
        <v>-2.7989734816082121</v>
      </c>
      <c r="AE62" s="545">
        <f t="shared" si="12"/>
        <v>131.64285714285714</v>
      </c>
      <c r="AF62" s="520">
        <f t="shared" si="9"/>
        <v>0.95855472901168981</v>
      </c>
      <c r="AG62" s="4"/>
      <c r="AH62" s="4"/>
      <c r="AI62" s="4"/>
      <c r="AJ62" s="332">
        <f>MAX($B$2:B62)</f>
        <v>173</v>
      </c>
      <c r="AP62" s="355">
        <f t="shared" si="7"/>
        <v>1.3278097982708934</v>
      </c>
      <c r="AT62" s="179"/>
    </row>
    <row r="63" spans="1:46" hidden="1" x14ac:dyDescent="0.25">
      <c r="A63" s="259">
        <v>43954</v>
      </c>
      <c r="B63" s="668">
        <v>103</v>
      </c>
      <c r="C63" s="506">
        <v>4784</v>
      </c>
      <c r="D63" s="670">
        <v>9</v>
      </c>
      <c r="E63" s="506">
        <v>246</v>
      </c>
      <c r="F63" s="515">
        <f t="shared" si="2"/>
        <v>88</v>
      </c>
      <c r="G63" s="506">
        <v>1442</v>
      </c>
      <c r="H63" s="506">
        <v>146</v>
      </c>
      <c r="I63" s="506">
        <v>1497</v>
      </c>
      <c r="J63" s="507">
        <v>67920</v>
      </c>
      <c r="K63" s="507"/>
      <c r="L63" s="541">
        <f t="shared" si="0"/>
        <v>5.1421404682274248E-2</v>
      </c>
      <c r="M63" s="508">
        <v>51590</v>
      </c>
      <c r="N63" s="507">
        <v>52264</v>
      </c>
      <c r="O63" s="509">
        <v>920</v>
      </c>
      <c r="P63" s="507">
        <v>2076</v>
      </c>
      <c r="Q63" s="507">
        <v>1314</v>
      </c>
      <c r="R63" s="512">
        <f t="shared" si="16"/>
        <v>474</v>
      </c>
      <c r="S63" s="510">
        <f t="shared" si="1"/>
        <v>3096</v>
      </c>
      <c r="T63" s="518">
        <f t="shared" si="5"/>
        <v>4.7157622739018086E-2</v>
      </c>
      <c r="U63" s="519">
        <f t="shared" si="15"/>
        <v>5.1421404682274248E-2</v>
      </c>
      <c r="V63" s="512">
        <f>SUM(B50:B63)/POBLA!$B$25*100000</f>
        <v>4.0634496647114142</v>
      </c>
      <c r="W63" s="512">
        <f>B63/POBLA!$B$25*100000</f>
        <v>0.22697142921110394</v>
      </c>
      <c r="X63" s="513">
        <f t="shared" si="17"/>
        <v>1.3294881038211968</v>
      </c>
      <c r="Y63" s="520"/>
      <c r="Z63" s="520">
        <f t="shared" si="18"/>
        <v>5.7949383517196626E-2</v>
      </c>
      <c r="AA63" s="517">
        <f t="shared" si="3"/>
        <v>127.57142857142857</v>
      </c>
      <c r="AB63" s="517">
        <f t="shared" si="4"/>
        <v>7.7142857142857144</v>
      </c>
      <c r="AC63" s="517">
        <f t="shared" si="14"/>
        <v>4.7710691212901342</v>
      </c>
      <c r="AD63" s="517">
        <f t="shared" si="11"/>
        <v>-2.9432165929955802</v>
      </c>
      <c r="AE63" s="545">
        <f t="shared" si="12"/>
        <v>131.71428571428572</v>
      </c>
      <c r="AF63" s="520">
        <f t="shared" si="9"/>
        <v>0.93901156677181907</v>
      </c>
      <c r="AG63" s="4"/>
      <c r="AH63" s="4"/>
      <c r="AI63" s="4"/>
      <c r="AJ63" s="332">
        <f>MAX($B$2:B63)</f>
        <v>173</v>
      </c>
      <c r="AP63" s="355">
        <f t="shared" si="7"/>
        <v>1.329488103821197</v>
      </c>
      <c r="AT63" s="179"/>
    </row>
    <row r="64" spans="1:46" hidden="1" x14ac:dyDescent="0.25">
      <c r="A64" s="259">
        <v>43955</v>
      </c>
      <c r="B64" s="668">
        <v>104</v>
      </c>
      <c r="C64" s="506">
        <v>4887</v>
      </c>
      <c r="D64" s="670">
        <v>14</v>
      </c>
      <c r="E64" s="506">
        <v>260</v>
      </c>
      <c r="F64" s="515">
        <f t="shared" si="2"/>
        <v>30</v>
      </c>
      <c r="G64" s="506">
        <v>1472</v>
      </c>
      <c r="H64" s="506">
        <v>148</v>
      </c>
      <c r="I64" s="506">
        <v>1798</v>
      </c>
      <c r="J64" s="507">
        <v>69718</v>
      </c>
      <c r="K64" s="507"/>
      <c r="L64" s="541">
        <f t="shared" si="0"/>
        <v>5.3202373644362595E-2</v>
      </c>
      <c r="M64" s="508">
        <v>53203</v>
      </c>
      <c r="N64" s="507">
        <v>53895</v>
      </c>
      <c r="O64" s="509">
        <v>924</v>
      </c>
      <c r="P64" s="507">
        <v>2136</v>
      </c>
      <c r="Q64" s="507">
        <v>1378</v>
      </c>
      <c r="R64" s="512">
        <f t="shared" si="16"/>
        <v>449</v>
      </c>
      <c r="S64" s="510">
        <f t="shared" si="1"/>
        <v>3155</v>
      </c>
      <c r="T64" s="518">
        <f t="shared" si="5"/>
        <v>4.6909667194928686E-2</v>
      </c>
      <c r="U64" s="519">
        <f t="shared" si="15"/>
        <v>5.3202373644362595E-2</v>
      </c>
      <c r="V64" s="512">
        <f>SUM(B51:B64)/POBLA!$B$25*100000</f>
        <v>4.0943001502352532</v>
      </c>
      <c r="W64" s="512">
        <f>B64/POBLA!$B$25*100000</f>
        <v>0.22917503531994962</v>
      </c>
      <c r="X64" s="513">
        <f t="shared" si="17"/>
        <v>1.324305060584462</v>
      </c>
      <c r="Y64" s="520"/>
      <c r="Z64" s="520">
        <f t="shared" si="18"/>
        <v>5.713180294041785E-2</v>
      </c>
      <c r="AA64" s="517">
        <f t="shared" si="3"/>
        <v>126.57142857142857</v>
      </c>
      <c r="AB64" s="517">
        <f t="shared" si="4"/>
        <v>9</v>
      </c>
      <c r="AC64" s="517">
        <f t="shared" si="14"/>
        <v>5.0463307724937545</v>
      </c>
      <c r="AD64" s="517">
        <f t="shared" si="11"/>
        <v>-3.9536692275062455</v>
      </c>
      <c r="AE64" s="545">
        <f t="shared" si="12"/>
        <v>132.71428571428572</v>
      </c>
      <c r="AF64" s="520">
        <f t="shared" si="9"/>
        <v>0.91152263374485598</v>
      </c>
      <c r="AG64" s="4"/>
      <c r="AH64" s="4"/>
      <c r="AI64" s="4"/>
      <c r="AJ64" s="332">
        <f>MAX($B$2:B64)</f>
        <v>173</v>
      </c>
      <c r="AP64" s="355">
        <f t="shared" si="7"/>
        <v>1.324305060584462</v>
      </c>
      <c r="AT64" s="179"/>
    </row>
    <row r="65" spans="1:46" hidden="1" x14ac:dyDescent="0.25">
      <c r="A65" s="259">
        <v>43956</v>
      </c>
      <c r="B65" s="668">
        <v>134</v>
      </c>
      <c r="C65" s="506">
        <v>5020</v>
      </c>
      <c r="D65" s="670">
        <v>4</v>
      </c>
      <c r="E65" s="506">
        <v>264</v>
      </c>
      <c r="F65" s="515">
        <f t="shared" si="2"/>
        <v>52</v>
      </c>
      <c r="G65" s="506">
        <v>1524</v>
      </c>
      <c r="H65" s="506">
        <v>143</v>
      </c>
      <c r="I65" s="506">
        <v>2597</v>
      </c>
      <c r="J65" s="507">
        <v>72315</v>
      </c>
      <c r="K65" s="507"/>
      <c r="L65" s="541">
        <f t="shared" si="0"/>
        <v>5.2589641434262951E-2</v>
      </c>
      <c r="M65" s="508">
        <v>55227</v>
      </c>
      <c r="N65" s="507">
        <v>55893</v>
      </c>
      <c r="O65" s="509">
        <v>929</v>
      </c>
      <c r="P65" s="507">
        <v>2204</v>
      </c>
      <c r="Q65" s="507">
        <v>1446</v>
      </c>
      <c r="R65" s="512">
        <f t="shared" si="16"/>
        <v>441</v>
      </c>
      <c r="S65" s="510">
        <f t="shared" si="1"/>
        <v>3232</v>
      </c>
      <c r="T65" s="518">
        <f t="shared" si="5"/>
        <v>4.4245049504950493E-2</v>
      </c>
      <c r="U65" s="519">
        <f t="shared" si="15"/>
        <v>5.2589641434262951E-2</v>
      </c>
      <c r="V65" s="512">
        <f>SUM(B52:B65)/POBLA!$B$25*100000</f>
        <v>4.1405758785210125</v>
      </c>
      <c r="W65" s="512">
        <f>B65/POBLA!$B$25*100000</f>
        <v>0.2952832185853197</v>
      </c>
      <c r="X65" s="513">
        <f t="shared" ref="X65:X95" si="19">SUM(B52:B65)/SUM(B38:B51)</f>
        <v>1.3149055283414977</v>
      </c>
      <c r="Y65" s="520"/>
      <c r="Z65" s="520">
        <f t="shared" si="18"/>
        <v>5.7263373170575831E-2</v>
      </c>
      <c r="AA65" s="517">
        <f t="shared" si="3"/>
        <v>128</v>
      </c>
      <c r="AB65" s="517">
        <f t="shared" si="4"/>
        <v>8.1428571428571423</v>
      </c>
      <c r="AC65" s="517">
        <f t="shared" si="14"/>
        <v>4.8096601235914207</v>
      </c>
      <c r="AD65" s="517">
        <f t="shared" si="11"/>
        <v>-3.3331970192657217</v>
      </c>
      <c r="AE65" s="545">
        <f t="shared" si="12"/>
        <v>134.21428571428572</v>
      </c>
      <c r="AF65" s="520">
        <f t="shared" si="9"/>
        <v>0.91149542217700918</v>
      </c>
      <c r="AG65" s="4"/>
      <c r="AH65" s="4"/>
      <c r="AI65" s="4"/>
      <c r="AJ65" s="332">
        <f>MAX($B$2:B65)</f>
        <v>173</v>
      </c>
      <c r="AP65" s="355">
        <f t="shared" si="7"/>
        <v>1.3149055283414977</v>
      </c>
      <c r="AT65" s="179"/>
    </row>
    <row r="66" spans="1:46" hidden="1" x14ac:dyDescent="0.25">
      <c r="A66" s="259">
        <v>43957</v>
      </c>
      <c r="B66" s="668">
        <v>188</v>
      </c>
      <c r="C66" s="506">
        <v>5208</v>
      </c>
      <c r="D66" s="670">
        <v>9</v>
      </c>
      <c r="E66" s="506">
        <v>273</v>
      </c>
      <c r="F66" s="515">
        <f t="shared" si="2"/>
        <v>77</v>
      </c>
      <c r="G66" s="506">
        <v>1601</v>
      </c>
      <c r="H66" s="506">
        <v>151</v>
      </c>
      <c r="I66" s="506">
        <v>2883</v>
      </c>
      <c r="J66" s="507">
        <v>75198</v>
      </c>
      <c r="K66" s="507"/>
      <c r="L66" s="541">
        <f t="shared" ref="L66:L129" si="20">E66/C66</f>
        <v>5.2419354838709679E-2</v>
      </c>
      <c r="M66" s="508">
        <v>57176</v>
      </c>
      <c r="N66" s="507">
        <v>57828</v>
      </c>
      <c r="O66" s="509">
        <v>927</v>
      </c>
      <c r="P66" s="507">
        <v>2292</v>
      </c>
      <c r="Q66" s="507">
        <v>1510</v>
      </c>
      <c r="R66" s="512">
        <f t="shared" si="16"/>
        <v>479</v>
      </c>
      <c r="S66" s="510">
        <f t="shared" ref="S66:S129" si="21">C66-E66-G66</f>
        <v>3334</v>
      </c>
      <c r="T66" s="518">
        <f t="shared" si="5"/>
        <v>4.5290941811637675E-2</v>
      </c>
      <c r="U66" s="519">
        <f t="shared" si="15"/>
        <v>5.2419354838709679E-2</v>
      </c>
      <c r="V66" s="512">
        <f>SUM(B53:B66)/POBLA!$B$25*100000</f>
        <v>4.2375345473102222</v>
      </c>
      <c r="W66" s="512">
        <f>B66/POBLA!$B$25*100000</f>
        <v>0.41427794846298582</v>
      </c>
      <c r="X66" s="513">
        <f t="shared" si="19"/>
        <v>1.2880107166778298</v>
      </c>
      <c r="Y66" s="520"/>
      <c r="Z66" s="520">
        <f t="shared" si="18"/>
        <v>5.8228007294221215E-2</v>
      </c>
      <c r="AA66" s="517">
        <f t="shared" si="3"/>
        <v>132.28571428571428</v>
      </c>
      <c r="AB66" s="517">
        <f t="shared" si="4"/>
        <v>8.4285714285714288</v>
      </c>
      <c r="AC66" s="517">
        <f t="shared" si="14"/>
        <v>4.9532064650677796</v>
      </c>
      <c r="AD66" s="517">
        <f t="shared" si="11"/>
        <v>-3.4753649635036492</v>
      </c>
      <c r="AE66" s="545">
        <f t="shared" si="12"/>
        <v>137.35714285714286</v>
      </c>
      <c r="AF66" s="520">
        <f t="shared" si="9"/>
        <v>0.92878635907723173</v>
      </c>
      <c r="AG66" s="4"/>
      <c r="AH66" s="4"/>
      <c r="AI66" s="4"/>
      <c r="AJ66" s="332">
        <f>MAX($B$2:B66)</f>
        <v>188</v>
      </c>
      <c r="AP66" s="355">
        <f t="shared" si="7"/>
        <v>1.2880107166778301</v>
      </c>
      <c r="AT66" s="179"/>
    </row>
    <row r="67" spans="1:46" hidden="1" x14ac:dyDescent="0.25">
      <c r="A67" s="259">
        <v>43958</v>
      </c>
      <c r="B67" s="668">
        <v>163</v>
      </c>
      <c r="C67" s="506">
        <v>5371</v>
      </c>
      <c r="D67" s="670">
        <v>9</v>
      </c>
      <c r="E67" s="506">
        <v>282</v>
      </c>
      <c r="F67" s="515">
        <f t="shared" ref="F67:F130" si="22">G67-G66</f>
        <v>0</v>
      </c>
      <c r="G67" s="506">
        <v>1601</v>
      </c>
      <c r="H67" s="506">
        <v>151</v>
      </c>
      <c r="I67" s="506">
        <v>2703</v>
      </c>
      <c r="J67" s="507">
        <v>77901</v>
      </c>
      <c r="K67" s="507"/>
      <c r="L67" s="541">
        <f t="shared" si="20"/>
        <v>5.2504189164029047E-2</v>
      </c>
      <c r="M67" s="508">
        <v>59080</v>
      </c>
      <c r="N67" s="507">
        <v>59768</v>
      </c>
      <c r="O67" s="509">
        <v>929</v>
      </c>
      <c r="P67" s="507">
        <v>2374</v>
      </c>
      <c r="Q67" s="507">
        <v>1595</v>
      </c>
      <c r="R67" s="512">
        <f t="shared" si="16"/>
        <v>473</v>
      </c>
      <c r="S67" s="510">
        <f t="shared" si="21"/>
        <v>3488</v>
      </c>
      <c r="T67" s="518">
        <f t="shared" si="5"/>
        <v>4.3291284403669722E-2</v>
      </c>
      <c r="U67" s="519">
        <f t="shared" si="15"/>
        <v>5.2504189164029047E-2</v>
      </c>
      <c r="V67" s="512">
        <f>SUM(B54:B67)/POBLA!$B$25*100000</f>
        <v>4.272792245051753</v>
      </c>
      <c r="W67" s="512">
        <f>B67/POBLA!$B$25*100000</f>
        <v>0.35918779574184406</v>
      </c>
      <c r="X67" s="513">
        <f t="shared" si="19"/>
        <v>1.2582738481505515</v>
      </c>
      <c r="Y67" s="520"/>
      <c r="Z67" s="520">
        <f t="shared" si="18"/>
        <v>6.0021572235264262E-2</v>
      </c>
      <c r="AA67" s="517">
        <f t="shared" si="3"/>
        <v>135.14285714285714</v>
      </c>
      <c r="AB67" s="517">
        <f t="shared" si="4"/>
        <v>9.1428571428571423</v>
      </c>
      <c r="AC67" s="517">
        <f t="shared" si="14"/>
        <v>5.2563942607610734</v>
      </c>
      <c r="AD67" s="517">
        <f t="shared" si="11"/>
        <v>-3.8864628820960689</v>
      </c>
      <c r="AE67" s="545">
        <f t="shared" si="12"/>
        <v>138.5</v>
      </c>
      <c r="AF67" s="520">
        <f t="shared" si="9"/>
        <v>0.95266868076535749</v>
      </c>
      <c r="AG67" s="4"/>
      <c r="AH67" s="4"/>
      <c r="AI67" s="4"/>
      <c r="AJ67" s="332">
        <f>MAX($B$2:B67)</f>
        <v>188</v>
      </c>
      <c r="AP67" s="355">
        <f t="shared" si="7"/>
        <v>1.2582738481505515</v>
      </c>
      <c r="AT67" s="179"/>
    </row>
    <row r="68" spans="1:46" hidden="1" x14ac:dyDescent="0.25">
      <c r="A68" s="259">
        <v>43959</v>
      </c>
      <c r="B68" s="668">
        <v>240</v>
      </c>
      <c r="C68" s="506">
        <v>5611</v>
      </c>
      <c r="D68" s="670">
        <v>11</v>
      </c>
      <c r="E68" s="506">
        <v>293</v>
      </c>
      <c r="F68" s="515">
        <f t="shared" si="22"/>
        <v>127</v>
      </c>
      <c r="G68" s="506">
        <v>1728</v>
      </c>
      <c r="H68" s="506">
        <v>157</v>
      </c>
      <c r="I68" s="506">
        <v>2828</v>
      </c>
      <c r="J68" s="507">
        <v>80729</v>
      </c>
      <c r="K68" s="507"/>
      <c r="L68" s="541">
        <f t="shared" si="20"/>
        <v>5.2218855818927108E-2</v>
      </c>
      <c r="M68" s="508">
        <v>61025</v>
      </c>
      <c r="N68" s="507">
        <v>61703</v>
      </c>
      <c r="O68" s="509">
        <v>931</v>
      </c>
      <c r="P68" s="507">
        <v>2469</v>
      </c>
      <c r="Q68" s="507">
        <v>1644</v>
      </c>
      <c r="R68" s="512">
        <f t="shared" si="16"/>
        <v>567</v>
      </c>
      <c r="S68" s="510">
        <f t="shared" si="21"/>
        <v>3590</v>
      </c>
      <c r="T68" s="518">
        <f t="shared" si="5"/>
        <v>4.3732590529247911E-2</v>
      </c>
      <c r="U68" s="519">
        <f t="shared" si="15"/>
        <v>5.2218855818927108E-2</v>
      </c>
      <c r="V68" s="512">
        <f>SUM(B55:B68)/POBLA!$B$25*100000</f>
        <v>4.4226374604532577</v>
      </c>
      <c r="W68" s="512">
        <f>B68/POBLA!$B$25*100000</f>
        <v>0.5288654661229607</v>
      </c>
      <c r="X68" s="513">
        <f t="shared" si="19"/>
        <v>1.2297794117647058</v>
      </c>
      <c r="Y68" s="520"/>
      <c r="Z68" s="520">
        <f t="shared" si="18"/>
        <v>6.6510798006521876E-2</v>
      </c>
      <c r="AA68" s="517">
        <f t="shared" si="3"/>
        <v>154.42857142857142</v>
      </c>
      <c r="AB68" s="517">
        <f t="shared" si="4"/>
        <v>9.7142857142857135</v>
      </c>
      <c r="AC68" s="517">
        <f t="shared" si="14"/>
        <v>5.9180165551110937</v>
      </c>
      <c r="AD68" s="517">
        <f t="shared" si="11"/>
        <v>-3.7962691591746198</v>
      </c>
      <c r="AE68" s="545">
        <f t="shared" si="12"/>
        <v>143.35714285714286</v>
      </c>
      <c r="AF68" s="520">
        <f t="shared" si="9"/>
        <v>1.1673866090712743</v>
      </c>
      <c r="AG68" s="4"/>
      <c r="AH68" s="4"/>
      <c r="AI68" s="4"/>
      <c r="AJ68" s="332">
        <f>MAX($B$2:B68)</f>
        <v>240</v>
      </c>
      <c r="AP68" s="355">
        <f t="shared" si="7"/>
        <v>1.2297794117647058</v>
      </c>
      <c r="AT68" s="179"/>
    </row>
    <row r="69" spans="1:46" hidden="1" x14ac:dyDescent="0.25">
      <c r="A69" s="259">
        <v>43960</v>
      </c>
      <c r="B69" s="668">
        <v>165</v>
      </c>
      <c r="C69" s="506">
        <v>5776</v>
      </c>
      <c r="D69" s="670">
        <v>7</v>
      </c>
      <c r="E69" s="506">
        <v>300</v>
      </c>
      <c r="F69" s="515">
        <f t="shared" si="22"/>
        <v>29</v>
      </c>
      <c r="G69" s="506">
        <v>1757</v>
      </c>
      <c r="H69" s="506">
        <v>160</v>
      </c>
      <c r="I69" s="506">
        <v>2289</v>
      </c>
      <c r="J69" s="507">
        <v>83018</v>
      </c>
      <c r="K69" s="507"/>
      <c r="L69" s="541">
        <f t="shared" si="20"/>
        <v>5.1939058171745149E-2</v>
      </c>
      <c r="M69" s="508">
        <v>62760</v>
      </c>
      <c r="N69" s="507">
        <v>63458</v>
      </c>
      <c r="O69" s="509">
        <v>930</v>
      </c>
      <c r="P69" s="507">
        <v>2530</v>
      </c>
      <c r="Q69" s="507">
        <v>1703</v>
      </c>
      <c r="R69" s="512">
        <f t="shared" si="16"/>
        <v>613</v>
      </c>
      <c r="S69" s="510">
        <f t="shared" si="21"/>
        <v>3719</v>
      </c>
      <c r="T69" s="518">
        <f t="shared" si="5"/>
        <v>4.3022317827372952E-2</v>
      </c>
      <c r="U69" s="519">
        <f t="shared" si="15"/>
        <v>5.1939058171745149E-2</v>
      </c>
      <c r="V69" s="512">
        <f>SUM(B56:B69)/POBLA!$B$25*100000</f>
        <v>4.4050086115824936</v>
      </c>
      <c r="W69" s="512">
        <f>B69/POBLA!$B$25*100000</f>
        <v>0.36359500795953542</v>
      </c>
      <c r="X69" s="513">
        <f t="shared" si="19"/>
        <v>1.2203907203907205</v>
      </c>
      <c r="Y69" s="520"/>
      <c r="Z69" s="520">
        <f t="shared" si="18"/>
        <v>6.6104248267550472E-2</v>
      </c>
      <c r="AA69" s="517">
        <f t="shared" si="3"/>
        <v>156.71428571428572</v>
      </c>
      <c r="AB69" s="517">
        <f t="shared" si="4"/>
        <v>9</v>
      </c>
      <c r="AC69" s="517">
        <f t="shared" si="14"/>
        <v>6.5791761148903998</v>
      </c>
      <c r="AD69" s="517">
        <f t="shared" si="11"/>
        <v>-2.4208238851096002</v>
      </c>
      <c r="AE69" s="545">
        <f t="shared" si="12"/>
        <v>142.78571428571428</v>
      </c>
      <c r="AF69" s="520">
        <f t="shared" si="9"/>
        <v>1.2161862527716187</v>
      </c>
      <c r="AG69" s="4"/>
      <c r="AH69" s="4"/>
      <c r="AI69" s="4"/>
      <c r="AJ69" s="332">
        <f>MAX($B$2:B69)</f>
        <v>240</v>
      </c>
      <c r="AP69" s="355">
        <f t="shared" si="7"/>
        <v>1.2203907203907203</v>
      </c>
      <c r="AT69" s="179"/>
    </row>
    <row r="70" spans="1:46" hidden="1" x14ac:dyDescent="0.25">
      <c r="A70" s="259">
        <v>43961</v>
      </c>
      <c r="B70" s="668">
        <v>258</v>
      </c>
      <c r="C70" s="506">
        <v>6034</v>
      </c>
      <c r="D70" s="670">
        <v>5</v>
      </c>
      <c r="E70" s="506">
        <v>305</v>
      </c>
      <c r="F70" s="515">
        <f t="shared" si="22"/>
        <v>80</v>
      </c>
      <c r="G70" s="506">
        <v>1837</v>
      </c>
      <c r="H70" s="506">
        <v>164</v>
      </c>
      <c r="I70" s="506">
        <v>2140</v>
      </c>
      <c r="J70" s="507">
        <v>85158</v>
      </c>
      <c r="K70" s="507"/>
      <c r="L70" s="541">
        <f t="shared" si="20"/>
        <v>5.0546900894928734E-2</v>
      </c>
      <c r="M70" s="508">
        <v>64104</v>
      </c>
      <c r="N70" s="507">
        <v>64817</v>
      </c>
      <c r="O70" s="509">
        <v>929</v>
      </c>
      <c r="P70" s="507">
        <v>2667</v>
      </c>
      <c r="Q70" s="507">
        <v>1768</v>
      </c>
      <c r="R70" s="512">
        <f t="shared" si="16"/>
        <v>670</v>
      </c>
      <c r="S70" s="510">
        <f t="shared" si="21"/>
        <v>3892</v>
      </c>
      <c r="T70" s="518">
        <f t="shared" si="5"/>
        <v>4.2137718396711203E-2</v>
      </c>
      <c r="U70" s="519">
        <f t="shared" si="15"/>
        <v>5.0546900894928734E-2</v>
      </c>
      <c r="V70" s="512">
        <f>SUM(B57:B70)/POBLA!$B$25*100000</f>
        <v>4.7267351034739606</v>
      </c>
      <c r="W70" s="512">
        <f>B70/POBLA!$B$25*100000</f>
        <v>0.56853037608218271</v>
      </c>
      <c r="X70" s="513">
        <f t="shared" si="19"/>
        <v>1.2737529691211402</v>
      </c>
      <c r="Y70" s="520"/>
      <c r="Z70" s="520">
        <f t="shared" si="18"/>
        <v>7.2630235526163128E-2</v>
      </c>
      <c r="AA70" s="517">
        <f t="shared" si="3"/>
        <v>178.85714285714286</v>
      </c>
      <c r="AB70" s="517">
        <f t="shared" si="4"/>
        <v>8.4285714285714288</v>
      </c>
      <c r="AC70" s="517">
        <f t="shared" si="14"/>
        <v>6.7020995448539127</v>
      </c>
      <c r="AD70" s="517">
        <f t="shared" si="11"/>
        <v>-1.7264718837175161</v>
      </c>
      <c r="AE70" s="545">
        <f t="shared" si="12"/>
        <v>153.21428571428572</v>
      </c>
      <c r="AF70" s="520">
        <f t="shared" si="9"/>
        <v>1.4020156774916015</v>
      </c>
      <c r="AG70" s="4"/>
      <c r="AH70" s="4"/>
      <c r="AI70" s="4"/>
      <c r="AJ70" s="332">
        <f>MAX($B$2:B70)</f>
        <v>258</v>
      </c>
      <c r="AP70" s="355">
        <f t="shared" si="7"/>
        <v>1.2737529691211402</v>
      </c>
      <c r="AT70" s="179"/>
    </row>
    <row r="71" spans="1:46" hidden="1" x14ac:dyDescent="0.25">
      <c r="A71" s="259">
        <v>43962</v>
      </c>
      <c r="B71" s="668">
        <v>244</v>
      </c>
      <c r="C71" s="506">
        <v>6278</v>
      </c>
      <c r="D71" s="670">
        <v>9</v>
      </c>
      <c r="E71" s="506">
        <v>314</v>
      </c>
      <c r="F71" s="515">
        <f t="shared" si="22"/>
        <v>25</v>
      </c>
      <c r="G71" s="506">
        <v>1862</v>
      </c>
      <c r="H71" s="506">
        <v>170</v>
      </c>
      <c r="I71" s="506">
        <v>2389</v>
      </c>
      <c r="J71" s="507">
        <v>87547</v>
      </c>
      <c r="K71" s="507"/>
      <c r="L71" s="541">
        <f t="shared" si="20"/>
        <v>5.0015928639694167E-2</v>
      </c>
      <c r="M71" s="508">
        <v>65976</v>
      </c>
      <c r="N71" s="507">
        <v>66709</v>
      </c>
      <c r="O71" s="509">
        <v>929</v>
      </c>
      <c r="P71" s="507">
        <v>2800</v>
      </c>
      <c r="Q71" s="507">
        <v>1833</v>
      </c>
      <c r="R71" s="512">
        <f t="shared" si="16"/>
        <v>716</v>
      </c>
      <c r="S71" s="510">
        <f t="shared" si="21"/>
        <v>4102</v>
      </c>
      <c r="T71" s="518">
        <f t="shared" si="5"/>
        <v>4.1443198439785472E-2</v>
      </c>
      <c r="U71" s="519">
        <f t="shared" si="15"/>
        <v>5.0015928639694167E-2</v>
      </c>
      <c r="V71" s="512">
        <f>SUM(B58:B71)/POBLA!$B$25*100000</f>
        <v>5.0198147159504343</v>
      </c>
      <c r="W71" s="512">
        <f>B71/POBLA!$B$25*100000</f>
        <v>0.53767989055834331</v>
      </c>
      <c r="X71" s="513">
        <f t="shared" si="19"/>
        <v>1.3198146002317497</v>
      </c>
      <c r="Y71" s="520"/>
      <c r="Z71" s="520">
        <f t="shared" si="18"/>
        <v>7.8075046272926135E-2</v>
      </c>
      <c r="AA71" s="517">
        <f t="shared" si="3"/>
        <v>198.85714285714286</v>
      </c>
      <c r="AB71" s="517">
        <f t="shared" si="4"/>
        <v>7.7142857142857144</v>
      </c>
      <c r="AC71" s="517">
        <f t="shared" si="14"/>
        <v>6.8335890938938659</v>
      </c>
      <c r="AD71" s="517">
        <f t="shared" si="11"/>
        <v>-0.88069662039184848</v>
      </c>
      <c r="AE71" s="545">
        <f t="shared" si="12"/>
        <v>162.71428571428572</v>
      </c>
      <c r="AF71" s="520">
        <f t="shared" si="9"/>
        <v>1.5711060948081266</v>
      </c>
      <c r="AG71" s="4"/>
      <c r="AH71" s="4"/>
      <c r="AI71" s="4"/>
      <c r="AJ71" s="332">
        <f>MAX($B$2:B71)</f>
        <v>258</v>
      </c>
      <c r="AP71" s="355">
        <f t="shared" si="7"/>
        <v>1.3198146002317497</v>
      </c>
      <c r="AT71" s="179"/>
    </row>
    <row r="72" spans="1:46" hidden="1" x14ac:dyDescent="0.25">
      <c r="A72" s="259">
        <v>43963</v>
      </c>
      <c r="B72" s="668">
        <v>285</v>
      </c>
      <c r="C72" s="506">
        <v>6563</v>
      </c>
      <c r="D72" s="670">
        <v>5</v>
      </c>
      <c r="E72" s="506">
        <v>319</v>
      </c>
      <c r="F72" s="515">
        <f t="shared" si="22"/>
        <v>404</v>
      </c>
      <c r="G72" s="506">
        <v>2266</v>
      </c>
      <c r="H72" s="506">
        <v>147</v>
      </c>
      <c r="I72" s="506">
        <v>2927</v>
      </c>
      <c r="J72" s="507">
        <v>90474</v>
      </c>
      <c r="K72" s="507"/>
      <c r="L72" s="541">
        <f t="shared" si="20"/>
        <v>4.8605820508913607E-2</v>
      </c>
      <c r="M72" s="508">
        <v>68237</v>
      </c>
      <c r="N72" s="507">
        <v>68926</v>
      </c>
      <c r="O72" s="509">
        <v>932</v>
      </c>
      <c r="P72" s="507">
        <v>2973</v>
      </c>
      <c r="Q72" s="507">
        <v>1923</v>
      </c>
      <c r="R72" s="512">
        <f t="shared" si="16"/>
        <v>735</v>
      </c>
      <c r="S72" s="510">
        <f t="shared" si="21"/>
        <v>3978</v>
      </c>
      <c r="T72" s="518">
        <f t="shared" si="5"/>
        <v>3.6953242835595777E-2</v>
      </c>
      <c r="U72" s="519">
        <f t="shared" si="15"/>
        <v>4.8605820508913607E-2</v>
      </c>
      <c r="V72" s="512">
        <f>SUM(B59:B72)/POBLA!$B$25*100000</f>
        <v>5.3745952994745876</v>
      </c>
      <c r="W72" s="512">
        <f>B72/POBLA!$B$25*100000</f>
        <v>0.62802774102101577</v>
      </c>
      <c r="X72" s="513">
        <f t="shared" si="19"/>
        <v>1.4483372921615203</v>
      </c>
      <c r="Y72" s="520"/>
      <c r="Z72" s="520">
        <f t="shared" si="18"/>
        <v>8.4971639407456362E-2</v>
      </c>
      <c r="AA72" s="517">
        <f t="shared" si="3"/>
        <v>220.42857142857142</v>
      </c>
      <c r="AB72" s="517">
        <f t="shared" si="4"/>
        <v>7.8571428571428568</v>
      </c>
      <c r="AC72" s="517">
        <f t="shared" si="14"/>
        <v>7.0435459863615906</v>
      </c>
      <c r="AD72" s="517">
        <f t="shared" si="11"/>
        <v>-0.81359687078126619</v>
      </c>
      <c r="AE72" s="545">
        <f t="shared" si="12"/>
        <v>174.21428571428572</v>
      </c>
      <c r="AF72" s="520">
        <f t="shared" si="9"/>
        <v>1.7220982142857142</v>
      </c>
      <c r="AG72" s="4"/>
      <c r="AH72" s="4"/>
      <c r="AI72" s="4"/>
      <c r="AJ72" s="332">
        <f>MAX($B$2:B72)</f>
        <v>285</v>
      </c>
      <c r="AP72" s="355">
        <f t="shared" si="7"/>
        <v>1.4483372921615201</v>
      </c>
      <c r="AT72" s="179"/>
    </row>
    <row r="73" spans="1:46" hidden="1" x14ac:dyDescent="0.25">
      <c r="A73" s="259">
        <v>43964</v>
      </c>
      <c r="B73" s="668">
        <v>316</v>
      </c>
      <c r="C73" s="506">
        <v>6879</v>
      </c>
      <c r="D73" s="670">
        <v>10</v>
      </c>
      <c r="E73" s="506">
        <v>329</v>
      </c>
      <c r="F73" s="515">
        <f t="shared" si="22"/>
        <v>119</v>
      </c>
      <c r="G73" s="506">
        <v>2385</v>
      </c>
      <c r="H73" s="506">
        <v>147</v>
      </c>
      <c r="I73" s="506">
        <v>3199</v>
      </c>
      <c r="J73" s="507">
        <v>93673</v>
      </c>
      <c r="K73" s="507"/>
      <c r="L73" s="541">
        <f t="shared" si="20"/>
        <v>4.7826718999854627E-2</v>
      </c>
      <c r="M73" s="508">
        <v>70497</v>
      </c>
      <c r="N73" s="507">
        <v>71209</v>
      </c>
      <c r="O73" s="509">
        <v>936</v>
      </c>
      <c r="P73" s="507">
        <v>3109</v>
      </c>
      <c r="Q73" s="507">
        <v>2036</v>
      </c>
      <c r="R73" s="512">
        <f t="shared" si="16"/>
        <v>798</v>
      </c>
      <c r="S73" s="510">
        <f t="shared" si="21"/>
        <v>4165</v>
      </c>
      <c r="T73" s="518">
        <f t="shared" si="5"/>
        <v>3.5294117647058823E-2</v>
      </c>
      <c r="U73" s="519">
        <f t="shared" si="15"/>
        <v>4.7826718999854627E-2</v>
      </c>
      <c r="V73" s="512">
        <f>SUM(B60:B73)/POBLA!$B$25*100000</f>
        <v>5.7227650646722035</v>
      </c>
      <c r="W73" s="512">
        <f>B73/POBLA!$B$25*100000</f>
        <v>0.69633953039523155</v>
      </c>
      <c r="X73" s="513">
        <f t="shared" si="19"/>
        <v>1.515169194865811</v>
      </c>
      <c r="Y73" s="520"/>
      <c r="Z73" s="520">
        <f t="shared" si="18"/>
        <v>9.0446549391069012E-2</v>
      </c>
      <c r="AA73" s="517">
        <f t="shared" ref="AA73:AA136" si="23">AVERAGE(B67:B73)</f>
        <v>238.71428571428572</v>
      </c>
      <c r="AB73" s="517">
        <f t="shared" ref="AB73:AB136" si="24">AVERAGE(D67:D73)</f>
        <v>8</v>
      </c>
      <c r="AC73" s="517">
        <f t="shared" si="14"/>
        <v>7.1131188531421898</v>
      </c>
      <c r="AD73" s="517">
        <f t="shared" si="11"/>
        <v>-0.88688114685781017</v>
      </c>
      <c r="AE73" s="545">
        <f t="shared" si="12"/>
        <v>185.5</v>
      </c>
      <c r="AF73" s="520">
        <f t="shared" si="9"/>
        <v>1.8045356371490282</v>
      </c>
      <c r="AG73" s="4"/>
      <c r="AH73" s="4"/>
      <c r="AI73" s="4"/>
      <c r="AJ73" s="332">
        <f>MAX($B$2:B73)</f>
        <v>316</v>
      </c>
      <c r="AP73" s="355">
        <f t="shared" si="7"/>
        <v>1.515169194865811</v>
      </c>
      <c r="AT73" s="179"/>
    </row>
    <row r="74" spans="1:46" hidden="1" x14ac:dyDescent="0.25">
      <c r="A74" s="259">
        <v>43965</v>
      </c>
      <c r="B74" s="668">
        <v>255</v>
      </c>
      <c r="C74" s="506">
        <v>7134</v>
      </c>
      <c r="D74" s="670">
        <v>24</v>
      </c>
      <c r="E74" s="506">
        <v>353</v>
      </c>
      <c r="F74" s="515">
        <f t="shared" si="22"/>
        <v>112</v>
      </c>
      <c r="G74" s="506">
        <v>2497</v>
      </c>
      <c r="H74" s="506">
        <v>149</v>
      </c>
      <c r="I74" s="506">
        <v>3220</v>
      </c>
      <c r="J74" s="507">
        <v>96893</v>
      </c>
      <c r="K74" s="507"/>
      <c r="L74" s="541">
        <f t="shared" si="20"/>
        <v>4.9481356882534341E-2</v>
      </c>
      <c r="M74" s="508">
        <v>72972</v>
      </c>
      <c r="N74" s="507">
        <v>73709</v>
      </c>
      <c r="O74" s="509">
        <v>935</v>
      </c>
      <c r="P74" s="507">
        <v>3225</v>
      </c>
      <c r="Q74" s="507">
        <v>2169</v>
      </c>
      <c r="R74" s="512">
        <f t="shared" si="16"/>
        <v>805</v>
      </c>
      <c r="S74" s="510">
        <f t="shared" si="21"/>
        <v>4284</v>
      </c>
      <c r="T74" s="518">
        <f t="shared" si="5"/>
        <v>3.4780578898225958E-2</v>
      </c>
      <c r="U74" s="519">
        <f t="shared" si="15"/>
        <v>4.9481356882534341E-2</v>
      </c>
      <c r="V74" s="512">
        <f>SUM(B61:B74)/POBLA!$B$25*100000</f>
        <v>5.9695689488629187</v>
      </c>
      <c r="W74" s="512">
        <f>B74/POBLA!$B$25*100000</f>
        <v>0.56191955775564562</v>
      </c>
      <c r="X74" s="513">
        <f t="shared" si="19"/>
        <v>1.5400795906765208</v>
      </c>
      <c r="Y74" s="520"/>
      <c r="Z74" s="520">
        <f t="shared" si="18"/>
        <v>9.2828559393428808E-2</v>
      </c>
      <c r="AA74" s="517">
        <f t="shared" si="23"/>
        <v>251.85714285714286</v>
      </c>
      <c r="AB74" s="517">
        <f t="shared" si="24"/>
        <v>10.142857142857142</v>
      </c>
      <c r="AC74" s="517">
        <f t="shared" si="14"/>
        <v>6.9839334107626794</v>
      </c>
      <c r="AD74" s="517">
        <f t="shared" si="11"/>
        <v>-3.158923732094463</v>
      </c>
      <c r="AE74" s="545">
        <f t="shared" si="12"/>
        <v>193.5</v>
      </c>
      <c r="AF74" s="520">
        <f t="shared" si="9"/>
        <v>1.8636363636363638</v>
      </c>
      <c r="AG74" s="4"/>
      <c r="AH74" s="4"/>
      <c r="AI74" s="4"/>
      <c r="AJ74" s="332">
        <f>MAX($B$2:B74)</f>
        <v>316</v>
      </c>
      <c r="AP74" s="355">
        <f t="shared" si="7"/>
        <v>1.5400795906765208</v>
      </c>
      <c r="AT74" s="179"/>
    </row>
    <row r="75" spans="1:46" hidden="1" x14ac:dyDescent="0.25">
      <c r="A75" s="259">
        <v>43966</v>
      </c>
      <c r="B75" s="668">
        <v>345</v>
      </c>
      <c r="C75" s="506">
        <v>7479</v>
      </c>
      <c r="D75" s="670">
        <v>3</v>
      </c>
      <c r="E75" s="506">
        <v>356</v>
      </c>
      <c r="F75" s="515">
        <f t="shared" si="22"/>
        <v>37</v>
      </c>
      <c r="G75" s="506">
        <v>2534</v>
      </c>
      <c r="H75" s="506">
        <v>151</v>
      </c>
      <c r="I75" s="506">
        <v>3469</v>
      </c>
      <c r="J75" s="507">
        <v>100362</v>
      </c>
      <c r="K75" s="507"/>
      <c r="L75" s="541">
        <f t="shared" si="20"/>
        <v>4.7599946516914023E-2</v>
      </c>
      <c r="M75" s="508">
        <v>75647</v>
      </c>
      <c r="N75" s="507">
        <v>76257</v>
      </c>
      <c r="O75" s="509">
        <v>937</v>
      </c>
      <c r="P75" s="507">
        <v>3367</v>
      </c>
      <c r="Q75" s="507">
        <v>2272</v>
      </c>
      <c r="R75" s="512">
        <f t="shared" si="16"/>
        <v>903</v>
      </c>
      <c r="S75" s="510">
        <f t="shared" si="21"/>
        <v>4589</v>
      </c>
      <c r="T75" s="518">
        <f t="shared" si="5"/>
        <v>3.2904772281542823E-2</v>
      </c>
      <c r="U75" s="519">
        <f t="shared" si="15"/>
        <v>4.7599946516914023E-2</v>
      </c>
      <c r="V75" s="512">
        <f>SUM(B62:B75)/POBLA!$B$25*100000</f>
        <v>6.4984344149858781</v>
      </c>
      <c r="W75" s="512">
        <f>B75/POBLA!$B$25*100000</f>
        <v>0.76024410755175598</v>
      </c>
      <c r="X75" s="513">
        <f t="shared" si="19"/>
        <v>1.6614084507042253</v>
      </c>
      <c r="Y75" s="520"/>
      <c r="Z75" s="520">
        <f t="shared" si="18"/>
        <v>9.5145927774665101E-2</v>
      </c>
      <c r="AA75" s="517">
        <f t="shared" si="23"/>
        <v>266.85714285714283</v>
      </c>
      <c r="AB75" s="517">
        <f t="shared" si="24"/>
        <v>9</v>
      </c>
      <c r="AC75" s="517">
        <f t="shared" si="14"/>
        <v>6.5675829025343582</v>
      </c>
      <c r="AD75" s="517">
        <f t="shared" si="11"/>
        <v>-2.4324170974656418</v>
      </c>
      <c r="AE75" s="545">
        <f t="shared" si="12"/>
        <v>210.64285714285714</v>
      </c>
      <c r="AF75" s="520">
        <f t="shared" si="9"/>
        <v>1.7280296022201664</v>
      </c>
      <c r="AG75" s="4"/>
      <c r="AH75" s="4"/>
      <c r="AI75" s="4"/>
      <c r="AJ75" s="332">
        <f>MAX($B$2:B75)</f>
        <v>345</v>
      </c>
      <c r="AP75" s="355">
        <f t="shared" si="7"/>
        <v>1.6614084507042253</v>
      </c>
      <c r="AT75" s="179"/>
    </row>
    <row r="76" spans="1:46" hidden="1" x14ac:dyDescent="0.25">
      <c r="A76" s="259">
        <v>43967</v>
      </c>
      <c r="B76" s="668">
        <v>327</v>
      </c>
      <c r="C76" s="506">
        <v>7805</v>
      </c>
      <c r="D76" s="670">
        <v>7</v>
      </c>
      <c r="E76" s="506">
        <v>363</v>
      </c>
      <c r="F76" s="515">
        <f t="shared" si="22"/>
        <v>35</v>
      </c>
      <c r="G76" s="506">
        <v>2569</v>
      </c>
      <c r="H76" s="506">
        <v>154</v>
      </c>
      <c r="I76" s="506">
        <v>2858</v>
      </c>
      <c r="J76" s="507">
        <v>103220</v>
      </c>
      <c r="K76" s="507"/>
      <c r="L76" s="541">
        <f t="shared" si="20"/>
        <v>4.6508648302370274E-2</v>
      </c>
      <c r="M76" s="508">
        <v>77581</v>
      </c>
      <c r="N76" s="507">
        <v>78207</v>
      </c>
      <c r="O76" s="509">
        <v>987</v>
      </c>
      <c r="P76" s="507">
        <v>3482</v>
      </c>
      <c r="Q76" s="507">
        <v>2372</v>
      </c>
      <c r="R76" s="512">
        <f t="shared" si="16"/>
        <v>964</v>
      </c>
      <c r="S76" s="510">
        <f t="shared" si="21"/>
        <v>4873</v>
      </c>
      <c r="T76" s="518">
        <f t="shared" si="5"/>
        <v>3.160270880361174E-2</v>
      </c>
      <c r="U76" s="519">
        <f t="shared" si="15"/>
        <v>4.6508648302370274E-2</v>
      </c>
      <c r="V76" s="512">
        <f>SUM(B63:B76)/POBLA!$B$25*100000</f>
        <v>6.8906763023604078</v>
      </c>
      <c r="W76" s="512">
        <f>B76/POBLA!$B$25*100000</f>
        <v>0.72057919759253386</v>
      </c>
      <c r="X76" s="513">
        <f t="shared" si="19"/>
        <v>1.696690179055887</v>
      </c>
      <c r="Y76" s="520"/>
      <c r="Z76" s="520">
        <f t="shared" si="18"/>
        <v>0.10048510048510048</v>
      </c>
      <c r="AA76" s="517">
        <f t="shared" si="23"/>
        <v>290</v>
      </c>
      <c r="AB76" s="517">
        <f t="shared" si="24"/>
        <v>9</v>
      </c>
      <c r="AC76" s="517">
        <f t="shared" si="14"/>
        <v>6.524063844721824</v>
      </c>
      <c r="AD76" s="517">
        <f t="shared" si="11"/>
        <v>-2.475936155278176</v>
      </c>
      <c r="AE76" s="545">
        <f t="shared" si="12"/>
        <v>223.35714285714286</v>
      </c>
      <c r="AF76" s="520">
        <f t="shared" si="9"/>
        <v>1.8505013673655424</v>
      </c>
      <c r="AG76" s="4"/>
      <c r="AH76" s="4"/>
      <c r="AI76" s="4"/>
      <c r="AJ76" s="332">
        <f>MAX($B$2:B76)</f>
        <v>345</v>
      </c>
      <c r="AP76" s="355">
        <f t="shared" si="7"/>
        <v>1.6966901790558873</v>
      </c>
      <c r="AT76" s="179"/>
    </row>
    <row r="77" spans="1:46" hidden="1" x14ac:dyDescent="0.25">
      <c r="A77" s="259">
        <v>43968</v>
      </c>
      <c r="B77" s="668">
        <v>263</v>
      </c>
      <c r="C77" s="506">
        <v>8086</v>
      </c>
      <c r="D77" s="670">
        <v>10</v>
      </c>
      <c r="E77" s="506">
        <v>373</v>
      </c>
      <c r="F77" s="515">
        <f t="shared" si="22"/>
        <v>56</v>
      </c>
      <c r="G77" s="506">
        <v>2625</v>
      </c>
      <c r="H77" s="506">
        <v>159</v>
      </c>
      <c r="I77" s="506">
        <v>2609</v>
      </c>
      <c r="J77" s="507">
        <v>105829</v>
      </c>
      <c r="K77" s="507"/>
      <c r="L77" s="541">
        <f t="shared" si="20"/>
        <v>4.6129112045510762E-2</v>
      </c>
      <c r="M77" s="508">
        <v>79462</v>
      </c>
      <c r="N77" s="507">
        <v>80102</v>
      </c>
      <c r="O77" s="509">
        <v>939</v>
      </c>
      <c r="P77" s="507">
        <v>3561</v>
      </c>
      <c r="Q77" s="507">
        <v>2468</v>
      </c>
      <c r="R77" s="512">
        <f t="shared" si="16"/>
        <v>1118</v>
      </c>
      <c r="S77" s="510">
        <f t="shared" si="21"/>
        <v>5088</v>
      </c>
      <c r="T77" s="518">
        <f t="shared" si="5"/>
        <v>3.125E-2</v>
      </c>
      <c r="U77" s="519">
        <f t="shared" si="15"/>
        <v>4.6129112045510762E-2</v>
      </c>
      <c r="V77" s="512">
        <f>SUM(B64:B77)/POBLA!$B$25*100000</f>
        <v>7.2432532797757156</v>
      </c>
      <c r="W77" s="512">
        <f>B77/POBLA!$B$25*100000</f>
        <v>0.57954840662641105</v>
      </c>
      <c r="X77" s="513">
        <f t="shared" si="19"/>
        <v>1.7825379609544469</v>
      </c>
      <c r="Y77" s="520"/>
      <c r="Z77" s="520">
        <f t="shared" si="18"/>
        <v>9.8447099801654489E-2</v>
      </c>
      <c r="AA77" s="517">
        <f t="shared" si="23"/>
        <v>290.71428571428572</v>
      </c>
      <c r="AB77" s="517">
        <f t="shared" si="24"/>
        <v>9.7142857142857135</v>
      </c>
      <c r="AC77" s="517">
        <f t="shared" si="14"/>
        <v>6.5599020544672717</v>
      </c>
      <c r="AD77" s="517">
        <f t="shared" si="11"/>
        <v>-3.1543836598184418</v>
      </c>
      <c r="AE77" s="545">
        <f t="shared" si="12"/>
        <v>234.78571428571428</v>
      </c>
      <c r="AF77" s="520">
        <f t="shared" si="9"/>
        <v>1.6253993610223643</v>
      </c>
      <c r="AG77" s="4"/>
      <c r="AH77" s="4"/>
      <c r="AI77" s="4"/>
      <c r="AJ77" s="332">
        <f>MAX($B$2:B77)</f>
        <v>345</v>
      </c>
      <c r="AP77" s="355">
        <f t="shared" si="7"/>
        <v>1.7825379609544467</v>
      </c>
      <c r="AT77" s="179"/>
    </row>
    <row r="78" spans="1:46" hidden="1" x14ac:dyDescent="0.25">
      <c r="A78" s="259">
        <v>43969</v>
      </c>
      <c r="B78" s="668">
        <v>303</v>
      </c>
      <c r="C78" s="506">
        <v>8371</v>
      </c>
      <c r="D78" s="670">
        <v>9</v>
      </c>
      <c r="E78" s="506">
        <v>382</v>
      </c>
      <c r="F78" s="515">
        <f t="shared" si="22"/>
        <v>247</v>
      </c>
      <c r="G78" s="506">
        <v>2872</v>
      </c>
      <c r="H78" s="506">
        <v>156</v>
      </c>
      <c r="I78" s="506">
        <v>2805</v>
      </c>
      <c r="J78" s="507">
        <v>108634</v>
      </c>
      <c r="K78" s="507"/>
      <c r="L78" s="541">
        <f t="shared" si="20"/>
        <v>4.5633735515470078E-2</v>
      </c>
      <c r="M78" s="508">
        <v>81466</v>
      </c>
      <c r="N78" s="507">
        <v>82123</v>
      </c>
      <c r="O78" s="509">
        <v>939</v>
      </c>
      <c r="P78" s="507">
        <v>3718</v>
      </c>
      <c r="Q78" s="507">
        <v>2607</v>
      </c>
      <c r="R78" s="512">
        <f t="shared" si="16"/>
        <v>1107</v>
      </c>
      <c r="S78" s="510">
        <f t="shared" si="21"/>
        <v>5117</v>
      </c>
      <c r="T78" s="518">
        <f t="shared" ref="T78:T141" si="25">H78/(C78-E78-G78)</f>
        <v>3.0486613249951142E-2</v>
      </c>
      <c r="U78" s="519">
        <f t="shared" ref="U78:U109" si="26">E78/C78</f>
        <v>4.5633735515470078E-2</v>
      </c>
      <c r="V78" s="512">
        <f>SUM(B65:B78)/POBLA!$B$25*100000</f>
        <v>7.6817708954360029</v>
      </c>
      <c r="W78" s="512">
        <f>B78/POBLA!$B$25*100000</f>
        <v>0.66769265098023778</v>
      </c>
      <c r="X78" s="513">
        <f t="shared" si="19"/>
        <v>1.8762109795479009</v>
      </c>
      <c r="Y78" s="520"/>
      <c r="Z78" s="520">
        <f t="shared" si="18"/>
        <v>9.9302888035282408E-2</v>
      </c>
      <c r="AA78" s="517">
        <f t="shared" si="23"/>
        <v>299.14285714285717</v>
      </c>
      <c r="AB78" s="517">
        <f t="shared" si="24"/>
        <v>9.7142857142857135</v>
      </c>
      <c r="AC78" s="517">
        <f t="shared" si="14"/>
        <v>6.733900435557894</v>
      </c>
      <c r="AD78" s="517">
        <f t="shared" si="11"/>
        <v>-2.9803852787278196</v>
      </c>
      <c r="AE78" s="545">
        <f t="shared" si="12"/>
        <v>249</v>
      </c>
      <c r="AF78" s="520">
        <f t="shared" si="9"/>
        <v>1.5043103448275863</v>
      </c>
      <c r="AG78" s="4"/>
      <c r="AH78" s="4"/>
      <c r="AI78" s="4"/>
      <c r="AJ78" s="332">
        <f>MAX($B$2:B78)</f>
        <v>345</v>
      </c>
      <c r="AP78" s="355">
        <f t="shared" si="7"/>
        <v>1.8762109795479009</v>
      </c>
      <c r="AT78" s="179"/>
    </row>
    <row r="79" spans="1:46" hidden="1" x14ac:dyDescent="0.25">
      <c r="A79" s="259">
        <v>43970</v>
      </c>
      <c r="B79" s="668">
        <v>438</v>
      </c>
      <c r="C79" s="506">
        <v>8809</v>
      </c>
      <c r="D79" s="670">
        <v>11</v>
      </c>
      <c r="E79" s="506">
        <v>393</v>
      </c>
      <c r="F79" s="515">
        <f t="shared" si="22"/>
        <v>61</v>
      </c>
      <c r="G79" s="506">
        <v>2933</v>
      </c>
      <c r="H79" s="506">
        <v>161</v>
      </c>
      <c r="I79" s="506">
        <v>3736</v>
      </c>
      <c r="J79" s="507">
        <v>112370</v>
      </c>
      <c r="K79" s="507"/>
      <c r="L79" s="541">
        <f t="shared" si="20"/>
        <v>4.4613463503235327E-2</v>
      </c>
      <c r="M79" s="508">
        <v>84449</v>
      </c>
      <c r="N79" s="507">
        <v>85130</v>
      </c>
      <c r="O79" s="509">
        <v>940</v>
      </c>
      <c r="P79" s="507">
        <v>3879</v>
      </c>
      <c r="Q79" s="507">
        <v>2758</v>
      </c>
      <c r="R79" s="512">
        <f t="shared" si="16"/>
        <v>1232</v>
      </c>
      <c r="S79" s="510">
        <f t="shared" si="21"/>
        <v>5483</v>
      </c>
      <c r="T79" s="518">
        <f t="shared" si="25"/>
        <v>2.9363487142075505E-2</v>
      </c>
      <c r="U79" s="519">
        <f t="shared" si="26"/>
        <v>4.4613463503235327E-2</v>
      </c>
      <c r="V79" s="512">
        <f>SUM(B66:B79)/POBLA!$B$25*100000</f>
        <v>8.3516671525250867</v>
      </c>
      <c r="W79" s="512">
        <f>B79/POBLA!$B$25*100000</f>
        <v>0.96517947567440321</v>
      </c>
      <c r="X79" s="513">
        <f t="shared" si="19"/>
        <v>2.0170303352847259</v>
      </c>
      <c r="Y79" s="520"/>
      <c r="Z79" s="520">
        <f t="shared" si="18"/>
        <v>0.10262148337595908</v>
      </c>
      <c r="AA79" s="517">
        <f t="shared" si="23"/>
        <v>321</v>
      </c>
      <c r="AB79" s="517">
        <f t="shared" si="24"/>
        <v>10.571428571428571</v>
      </c>
      <c r="AC79" s="517">
        <f t="shared" si="14"/>
        <v>6.7314741035856578</v>
      </c>
      <c r="AD79" s="517">
        <f t="shared" si="11"/>
        <v>-3.8399544678429134</v>
      </c>
      <c r="AE79" s="545">
        <f t="shared" si="12"/>
        <v>270.71428571428572</v>
      </c>
      <c r="AF79" s="520">
        <f t="shared" si="9"/>
        <v>1.456254050550875</v>
      </c>
      <c r="AG79" s="4"/>
      <c r="AH79" s="4"/>
      <c r="AI79" s="4"/>
      <c r="AJ79" s="332">
        <f>MAX($B$2:B79)</f>
        <v>438</v>
      </c>
      <c r="AP79" s="355">
        <f t="shared" ref="AP79:AP142" si="27">AE79/AE65</f>
        <v>2.0170303352847259</v>
      </c>
      <c r="AT79" s="179"/>
    </row>
    <row r="80" spans="1:46" hidden="1" x14ac:dyDescent="0.25">
      <c r="A80" s="259">
        <v>43971</v>
      </c>
      <c r="B80" s="668">
        <v>474</v>
      </c>
      <c r="C80" s="506">
        <v>9283</v>
      </c>
      <c r="D80" s="670">
        <v>10</v>
      </c>
      <c r="E80" s="506">
        <v>403</v>
      </c>
      <c r="F80" s="515">
        <f t="shared" si="22"/>
        <v>99</v>
      </c>
      <c r="G80" s="506">
        <v>3032</v>
      </c>
      <c r="H80" s="506">
        <v>171</v>
      </c>
      <c r="I80" s="506">
        <v>4319</v>
      </c>
      <c r="J80" s="507">
        <v>116689</v>
      </c>
      <c r="K80" s="507"/>
      <c r="L80" s="541">
        <f t="shared" si="20"/>
        <v>4.341268986319078E-2</v>
      </c>
      <c r="M80" s="508">
        <v>87447</v>
      </c>
      <c r="N80" s="507">
        <v>88152</v>
      </c>
      <c r="O80" s="509">
        <v>945</v>
      </c>
      <c r="P80" s="507">
        <v>4068</v>
      </c>
      <c r="Q80" s="507">
        <v>2919</v>
      </c>
      <c r="R80" s="512">
        <f t="shared" si="16"/>
        <v>1351</v>
      </c>
      <c r="S80" s="510">
        <f t="shared" si="21"/>
        <v>5848</v>
      </c>
      <c r="T80" s="518">
        <f t="shared" si="25"/>
        <v>2.924076607387141E-2</v>
      </c>
      <c r="U80" s="519">
        <f t="shared" si="26"/>
        <v>4.341268986319078E-2</v>
      </c>
      <c r="V80" s="512">
        <f>SUM(B67:B80)/POBLA!$B$25*100000</f>
        <v>8.9818984996549478</v>
      </c>
      <c r="W80" s="512">
        <f>B80/POBLA!$B$25*100000</f>
        <v>1.0445092955928472</v>
      </c>
      <c r="X80" s="513">
        <f t="shared" si="19"/>
        <v>2.1196047841913677</v>
      </c>
      <c r="Y80" s="520"/>
      <c r="Z80" s="520">
        <f t="shared" si="18"/>
        <v>0.10449252693778241</v>
      </c>
      <c r="AA80" s="517">
        <f t="shared" si="23"/>
        <v>343.57142857142856</v>
      </c>
      <c r="AB80" s="517">
        <f t="shared" si="24"/>
        <v>10.571428571428571</v>
      </c>
      <c r="AC80" s="517">
        <f t="shared" si="14"/>
        <v>6.9343317972350231</v>
      </c>
      <c r="AD80" s="517">
        <f t="shared" si="11"/>
        <v>-3.637096774193548</v>
      </c>
      <c r="AE80" s="545">
        <f t="shared" si="12"/>
        <v>291.14285714285717</v>
      </c>
      <c r="AF80" s="520">
        <f t="shared" si="9"/>
        <v>1.4392579293836025</v>
      </c>
      <c r="AG80" s="4"/>
      <c r="AH80" s="4"/>
      <c r="AI80" s="4"/>
      <c r="AJ80" s="332">
        <f>MAX($B$2:B80)</f>
        <v>474</v>
      </c>
      <c r="AP80" s="355">
        <f t="shared" si="27"/>
        <v>2.1196047841913677</v>
      </c>
      <c r="AT80" s="179">
        <f t="shared" ref="AT80:AT143" si="28">SUM(D51:D80)/SUM(B51:B80)</f>
        <v>4.1719948849104863E-2</v>
      </c>
    </row>
    <row r="81" spans="1:46" hidden="1" x14ac:dyDescent="0.25">
      <c r="A81" s="259">
        <v>43972</v>
      </c>
      <c r="B81" s="668">
        <v>648</v>
      </c>
      <c r="C81" s="506">
        <v>9931</v>
      </c>
      <c r="D81" s="670">
        <v>13</v>
      </c>
      <c r="E81" s="506">
        <v>416</v>
      </c>
      <c r="F81" s="515">
        <f t="shared" si="22"/>
        <v>30</v>
      </c>
      <c r="G81" s="506">
        <v>3062</v>
      </c>
      <c r="H81" s="506">
        <v>172</v>
      </c>
      <c r="I81" s="506">
        <v>4589</v>
      </c>
      <c r="J81" s="507">
        <v>121278</v>
      </c>
      <c r="K81" s="507"/>
      <c r="L81" s="541">
        <f t="shared" si="20"/>
        <v>4.1889034336924778E-2</v>
      </c>
      <c r="M81" s="508">
        <v>90667</v>
      </c>
      <c r="N81" s="507">
        <v>91398</v>
      </c>
      <c r="O81" s="509">
        <v>947</v>
      </c>
      <c r="P81" s="507">
        <v>4334</v>
      </c>
      <c r="Q81" s="507">
        <v>3154</v>
      </c>
      <c r="R81" s="512">
        <f t="shared" ref="R81:R112" si="29">C81-Q81-P81-O81</f>
        <v>1496</v>
      </c>
      <c r="S81" s="510">
        <f t="shared" si="21"/>
        <v>6453</v>
      </c>
      <c r="T81" s="518">
        <f t="shared" si="25"/>
        <v>2.66542693320936E-2</v>
      </c>
      <c r="U81" s="519">
        <f t="shared" si="26"/>
        <v>4.1889034336924778E-2</v>
      </c>
      <c r="V81" s="512">
        <f>SUM(B68:B81)/POBLA!$B$25*100000</f>
        <v>10.050647462445097</v>
      </c>
      <c r="W81" s="512">
        <f>B81/POBLA!$B$25*100000</f>
        <v>1.4279367585319938</v>
      </c>
      <c r="X81" s="513">
        <f t="shared" si="19"/>
        <v>2.3522434244455903</v>
      </c>
      <c r="Y81" s="520"/>
      <c r="Z81" s="520">
        <f t="shared" si="18"/>
        <v>0.11474266967397991</v>
      </c>
      <c r="AA81" s="517">
        <f t="shared" si="23"/>
        <v>399.71428571428572</v>
      </c>
      <c r="AB81" s="517">
        <f t="shared" si="24"/>
        <v>9</v>
      </c>
      <c r="AC81" s="517">
        <f t="shared" si="14"/>
        <v>7.0955661355959254</v>
      </c>
      <c r="AD81" s="517">
        <f t="shared" si="11"/>
        <v>-1.9044338644040746</v>
      </c>
      <c r="AE81" s="545">
        <f t="shared" si="12"/>
        <v>325.78571428571428</v>
      </c>
      <c r="AF81" s="520">
        <f t="shared" si="9"/>
        <v>1.5870674985819626</v>
      </c>
      <c r="AG81" s="200">
        <f t="shared" ref="AG81:AG144" si="30">S81/S74-1</f>
        <v>0.50630252100840334</v>
      </c>
      <c r="AH81" s="4"/>
      <c r="AI81" s="4"/>
      <c r="AJ81" s="332">
        <f>MAX($B$2:B81)</f>
        <v>648</v>
      </c>
      <c r="AP81" s="355">
        <f t="shared" si="27"/>
        <v>2.3522434244455903</v>
      </c>
      <c r="AT81" s="179">
        <f t="shared" si="28"/>
        <v>3.9022235311441611E-2</v>
      </c>
    </row>
    <row r="82" spans="1:46" hidden="1" x14ac:dyDescent="0.25">
      <c r="A82" s="259">
        <v>43973</v>
      </c>
      <c r="B82" s="668">
        <v>718</v>
      </c>
      <c r="C82" s="506">
        <v>10649</v>
      </c>
      <c r="D82" s="670">
        <v>18</v>
      </c>
      <c r="E82" s="506">
        <v>433</v>
      </c>
      <c r="F82" s="515">
        <f t="shared" si="22"/>
        <v>468</v>
      </c>
      <c r="G82" s="506">
        <v>3530</v>
      </c>
      <c r="H82" s="506">
        <v>173</v>
      </c>
      <c r="I82" s="506">
        <v>4615</v>
      </c>
      <c r="J82" s="507">
        <v>125893</v>
      </c>
      <c r="K82" s="507"/>
      <c r="L82" s="541">
        <f t="shared" si="20"/>
        <v>4.0661094938491876E-2</v>
      </c>
      <c r="M82" s="508">
        <v>93528</v>
      </c>
      <c r="N82" s="507">
        <v>94282</v>
      </c>
      <c r="O82" s="509">
        <v>948</v>
      </c>
      <c r="P82" s="507">
        <v>4648</v>
      </c>
      <c r="Q82" s="507">
        <v>3314</v>
      </c>
      <c r="R82" s="512">
        <f t="shared" si="29"/>
        <v>1739</v>
      </c>
      <c r="S82" s="510">
        <f t="shared" si="21"/>
        <v>6686</v>
      </c>
      <c r="T82" s="518">
        <f t="shared" si="25"/>
        <v>2.5874962608435536E-2</v>
      </c>
      <c r="U82" s="519">
        <f t="shared" si="26"/>
        <v>4.0661094938491876E-2</v>
      </c>
      <c r="V82" s="512">
        <f>SUM(B69:B82)/POBLA!$B$25*100000</f>
        <v>11.103971182473328</v>
      </c>
      <c r="W82" s="512">
        <f>B82/POBLA!$B$25*100000</f>
        <v>1.5821891861511905</v>
      </c>
      <c r="X82" s="513">
        <f t="shared" si="19"/>
        <v>2.5107125062282014</v>
      </c>
      <c r="Y82" s="520"/>
      <c r="Z82" s="520">
        <f t="shared" si="18"/>
        <v>0.12420195056989543</v>
      </c>
      <c r="AA82" s="517">
        <f t="shared" si="23"/>
        <v>453</v>
      </c>
      <c r="AB82" s="517">
        <f t="shared" si="24"/>
        <v>11.142857142857142</v>
      </c>
      <c r="AC82" s="517">
        <f t="shared" si="14"/>
        <v>8.0640833057514563</v>
      </c>
      <c r="AD82" s="517">
        <f t="shared" si="11"/>
        <v>-3.0787738371056861</v>
      </c>
      <c r="AE82" s="545">
        <f t="shared" si="12"/>
        <v>359.92857142857144</v>
      </c>
      <c r="AF82" s="520">
        <f t="shared" si="9"/>
        <v>1.6975374732334048</v>
      </c>
      <c r="AG82" s="200">
        <f t="shared" si="30"/>
        <v>0.45696230115493575</v>
      </c>
      <c r="AH82" s="4"/>
      <c r="AI82" s="4"/>
      <c r="AJ82" s="332">
        <f>MAX($B$2:B82)</f>
        <v>718</v>
      </c>
      <c r="AP82" s="355">
        <f t="shared" si="27"/>
        <v>2.5107125062282014</v>
      </c>
      <c r="AT82" s="179">
        <f t="shared" si="28"/>
        <v>3.7338764426340799E-2</v>
      </c>
    </row>
    <row r="83" spans="1:46" hidden="1" x14ac:dyDescent="0.25">
      <c r="A83" s="259">
        <v>43974</v>
      </c>
      <c r="B83" s="668">
        <v>704</v>
      </c>
      <c r="C83" s="506">
        <v>11353</v>
      </c>
      <c r="D83" s="670">
        <v>12</v>
      </c>
      <c r="E83" s="506">
        <v>445</v>
      </c>
      <c r="F83" s="515">
        <f t="shared" si="22"/>
        <v>202</v>
      </c>
      <c r="G83" s="506">
        <v>3732</v>
      </c>
      <c r="H83" s="506">
        <v>181</v>
      </c>
      <c r="I83" s="506">
        <v>3525</v>
      </c>
      <c r="J83" s="507">
        <v>129418</v>
      </c>
      <c r="K83" s="507"/>
      <c r="L83" s="541">
        <f t="shared" si="20"/>
        <v>3.9196688100061661E-2</v>
      </c>
      <c r="M83" s="508">
        <v>95859</v>
      </c>
      <c r="N83" s="507">
        <v>96632</v>
      </c>
      <c r="O83" s="509">
        <v>951</v>
      </c>
      <c r="P83" s="507">
        <v>4955</v>
      </c>
      <c r="Q83" s="507">
        <v>3540</v>
      </c>
      <c r="R83" s="512">
        <f t="shared" si="29"/>
        <v>1907</v>
      </c>
      <c r="S83" s="510">
        <f t="shared" si="21"/>
        <v>7176</v>
      </c>
      <c r="T83" s="518">
        <f t="shared" si="25"/>
        <v>2.5222965440356744E-2</v>
      </c>
      <c r="U83" s="519">
        <f t="shared" si="26"/>
        <v>3.9196688100061661E-2</v>
      </c>
      <c r="V83" s="512">
        <f>SUM(B70:B83)/POBLA!$B$25*100000</f>
        <v>12.291714875141144</v>
      </c>
      <c r="W83" s="512">
        <f>B83/POBLA!$B$25*100000</f>
        <v>1.5513387006273514</v>
      </c>
      <c r="X83" s="513">
        <f t="shared" si="19"/>
        <v>2.7903951975987993</v>
      </c>
      <c r="Y83" s="520"/>
      <c r="Z83" s="520">
        <f t="shared" si="18"/>
        <v>0.1354301855103443</v>
      </c>
      <c r="AA83" s="517">
        <f t="shared" si="23"/>
        <v>506.85714285714283</v>
      </c>
      <c r="AB83" s="517">
        <f t="shared" si="24"/>
        <v>11.857142857142858</v>
      </c>
      <c r="AC83" s="517">
        <f t="shared" si="14"/>
        <v>8.1395924020577759</v>
      </c>
      <c r="AD83" s="517">
        <f t="shared" si="11"/>
        <v>-3.7175504550850818</v>
      </c>
      <c r="AE83" s="545">
        <f t="shared" si="12"/>
        <v>398.42857142857144</v>
      </c>
      <c r="AF83" s="520">
        <f t="shared" si="9"/>
        <v>1.747783251231527</v>
      </c>
      <c r="AG83" s="200">
        <f t="shared" si="30"/>
        <v>0.47260414529037553</v>
      </c>
      <c r="AH83" s="4"/>
      <c r="AI83" s="4"/>
      <c r="AJ83" s="332">
        <f>MAX($B$2:B83)</f>
        <v>718</v>
      </c>
      <c r="AP83" s="355">
        <f t="shared" si="27"/>
        <v>2.7903951975987997</v>
      </c>
      <c r="AT83" s="179">
        <f t="shared" si="28"/>
        <v>3.5470840696793737E-2</v>
      </c>
    </row>
    <row r="84" spans="1:46" hidden="1" x14ac:dyDescent="0.25">
      <c r="A84" s="259">
        <v>43975</v>
      </c>
      <c r="B84" s="668">
        <v>723</v>
      </c>
      <c r="C84" s="506">
        <v>12076</v>
      </c>
      <c r="D84" s="670">
        <v>8</v>
      </c>
      <c r="E84" s="506">
        <v>452</v>
      </c>
      <c r="F84" s="515">
        <f t="shared" si="22"/>
        <v>267</v>
      </c>
      <c r="G84" s="506">
        <v>3999</v>
      </c>
      <c r="H84" s="506">
        <v>181</v>
      </c>
      <c r="I84" s="506">
        <v>4050</v>
      </c>
      <c r="J84" s="507">
        <v>133468</v>
      </c>
      <c r="K84" s="507"/>
      <c r="L84" s="541">
        <f t="shared" si="20"/>
        <v>3.742961245445512E-2</v>
      </c>
      <c r="M84" s="508">
        <v>98352</v>
      </c>
      <c r="N84" s="507">
        <v>99145</v>
      </c>
      <c r="O84" s="509">
        <v>955</v>
      </c>
      <c r="P84" s="507">
        <v>5302</v>
      </c>
      <c r="Q84" s="507">
        <v>3766</v>
      </c>
      <c r="R84" s="512">
        <f t="shared" si="29"/>
        <v>2053</v>
      </c>
      <c r="S84" s="510">
        <f t="shared" si="21"/>
        <v>7625</v>
      </c>
      <c r="T84" s="518">
        <f t="shared" si="25"/>
        <v>2.3737704918032787E-2</v>
      </c>
      <c r="U84" s="519">
        <f t="shared" si="26"/>
        <v>3.742961245445512E-2</v>
      </c>
      <c r="V84" s="512">
        <f>SUM(B71:B84)/POBLA!$B$25*100000</f>
        <v>13.316391715754381</v>
      </c>
      <c r="W84" s="512">
        <f>B84/POBLA!$B$25*100000</f>
        <v>1.5932072166954188</v>
      </c>
      <c r="X84" s="513">
        <f t="shared" si="19"/>
        <v>2.8172494172494171</v>
      </c>
      <c r="Y84" s="520"/>
      <c r="Z84" s="520">
        <f t="shared" si="18"/>
        <v>0.14501248236187994</v>
      </c>
      <c r="AA84" s="517">
        <f t="shared" si="23"/>
        <v>572.57142857142856</v>
      </c>
      <c r="AB84" s="517">
        <f t="shared" si="24"/>
        <v>11.571428571428571</v>
      </c>
      <c r="AC84" s="517">
        <f t="shared" si="14"/>
        <v>9.0406742743501116</v>
      </c>
      <c r="AD84" s="517">
        <f t="shared" si="11"/>
        <v>-2.5307542970784596</v>
      </c>
      <c r="AE84" s="545">
        <f t="shared" si="12"/>
        <v>431.64285714285717</v>
      </c>
      <c r="AF84" s="520">
        <f t="shared" si="9"/>
        <v>1.9695331695331695</v>
      </c>
      <c r="AG84" s="200">
        <f t="shared" si="30"/>
        <v>0.49862421383647804</v>
      </c>
      <c r="AH84" s="4"/>
      <c r="AI84" s="4"/>
      <c r="AJ84" s="332">
        <f>MAX($B$2:B84)</f>
        <v>723</v>
      </c>
      <c r="AP84" s="355">
        <f t="shared" si="27"/>
        <v>2.8172494172494171</v>
      </c>
      <c r="AT84" s="179">
        <f t="shared" si="28"/>
        <v>3.2810102679098313E-2</v>
      </c>
    </row>
    <row r="85" spans="1:46" hidden="1" x14ac:dyDescent="0.25">
      <c r="A85" s="259">
        <v>43976</v>
      </c>
      <c r="B85" s="668">
        <v>552</v>
      </c>
      <c r="C85" s="506">
        <v>12628</v>
      </c>
      <c r="D85" s="670">
        <v>15</v>
      </c>
      <c r="E85" s="506">
        <v>467</v>
      </c>
      <c r="F85" s="515">
        <f t="shared" si="22"/>
        <v>168</v>
      </c>
      <c r="G85" s="506">
        <v>4167</v>
      </c>
      <c r="H85" s="506">
        <v>203</v>
      </c>
      <c r="I85" s="506">
        <v>3194</v>
      </c>
      <c r="J85" s="507">
        <v>136662</v>
      </c>
      <c r="K85" s="507"/>
      <c r="L85" s="541">
        <f t="shared" si="20"/>
        <v>3.6981311371555275E-2</v>
      </c>
      <c r="M85" s="508">
        <v>100639</v>
      </c>
      <c r="N85" s="507">
        <v>101348</v>
      </c>
      <c r="O85" s="509">
        <v>956</v>
      </c>
      <c r="P85" s="507">
        <v>5563</v>
      </c>
      <c r="Q85" s="507">
        <v>4057</v>
      </c>
      <c r="R85" s="512">
        <f t="shared" si="29"/>
        <v>2052</v>
      </c>
      <c r="S85" s="510">
        <f t="shared" si="21"/>
        <v>7994</v>
      </c>
      <c r="T85" s="518">
        <f t="shared" si="25"/>
        <v>2.5394045534150613E-2</v>
      </c>
      <c r="U85" s="519">
        <f t="shared" si="26"/>
        <v>3.6981311371555275E-2</v>
      </c>
      <c r="V85" s="512">
        <f>SUM(B72:B85)/POBLA!$B$25*100000</f>
        <v>13.995102397278847</v>
      </c>
      <c r="W85" s="512">
        <f>B85/POBLA!$B$25*100000</f>
        <v>1.2163905720828094</v>
      </c>
      <c r="X85" s="513">
        <f t="shared" si="19"/>
        <v>2.7879719051799823</v>
      </c>
      <c r="Y85" s="520"/>
      <c r="Z85" s="520">
        <f t="shared" si="18"/>
        <v>0.15188383045525902</v>
      </c>
      <c r="AA85" s="517">
        <f t="shared" si="23"/>
        <v>608.14285714285711</v>
      </c>
      <c r="AB85" s="517">
        <f t="shared" si="24"/>
        <v>12.428571428571429</v>
      </c>
      <c r="AC85" s="517">
        <f t="shared" si="14"/>
        <v>9.9460246666363261</v>
      </c>
      <c r="AD85" s="517">
        <f t="shared" si="11"/>
        <v>-2.4825467619351027</v>
      </c>
      <c r="AE85" s="545">
        <f t="shared" si="12"/>
        <v>453.64285714285717</v>
      </c>
      <c r="AF85" s="520">
        <f t="shared" ref="AF85:AF148" si="31">AA85/AA78</f>
        <v>2.0329512893982806</v>
      </c>
      <c r="AG85" s="200">
        <f t="shared" si="30"/>
        <v>0.56224350205198359</v>
      </c>
      <c r="AH85" s="4"/>
      <c r="AI85" s="4"/>
      <c r="AJ85" s="332">
        <f>MAX($B$2:B85)</f>
        <v>723</v>
      </c>
      <c r="AP85" s="355">
        <f t="shared" si="27"/>
        <v>2.7879719051799823</v>
      </c>
      <c r="AT85" s="179">
        <f t="shared" si="28"/>
        <v>3.2083145051965654E-2</v>
      </c>
    </row>
    <row r="86" spans="1:46" hidden="1" x14ac:dyDescent="0.25">
      <c r="A86" s="259">
        <v>43977</v>
      </c>
      <c r="B86" s="668">
        <v>600</v>
      </c>
      <c r="C86" s="506">
        <v>13228</v>
      </c>
      <c r="D86" s="670">
        <v>23</v>
      </c>
      <c r="E86" s="506">
        <v>490</v>
      </c>
      <c r="F86" s="515">
        <f t="shared" si="22"/>
        <v>182</v>
      </c>
      <c r="G86" s="506">
        <v>4349</v>
      </c>
      <c r="H86" s="506">
        <v>250</v>
      </c>
      <c r="I86" s="506">
        <v>3556</v>
      </c>
      <c r="J86" s="507">
        <v>140218</v>
      </c>
      <c r="K86" s="507"/>
      <c r="L86" s="541">
        <f t="shared" si="20"/>
        <v>3.704263683096462E-2</v>
      </c>
      <c r="M86" s="508">
        <v>103173</v>
      </c>
      <c r="N86" s="507">
        <v>103900</v>
      </c>
      <c r="O86" s="484">
        <v>959</v>
      </c>
      <c r="P86" s="3">
        <v>5813</v>
      </c>
      <c r="Q86" s="3">
        <v>4354</v>
      </c>
      <c r="R86" s="512">
        <f t="shared" si="29"/>
        <v>2102</v>
      </c>
      <c r="S86" s="510">
        <f t="shared" si="21"/>
        <v>8389</v>
      </c>
      <c r="T86" s="518">
        <f t="shared" si="25"/>
        <v>2.9800929789009417E-2</v>
      </c>
      <c r="U86" s="519">
        <f t="shared" si="26"/>
        <v>3.704263683096462E-2</v>
      </c>
      <c r="V86" s="512">
        <f>SUM(B73:B86)/POBLA!$B$25*100000</f>
        <v>14.689238321565233</v>
      </c>
      <c r="W86" s="512">
        <f>B86/POBLA!$B$25*100000</f>
        <v>1.3221636653074016</v>
      </c>
      <c r="X86" s="513">
        <f t="shared" si="19"/>
        <v>2.7330873308733086</v>
      </c>
      <c r="Y86" s="520"/>
      <c r="Z86" s="520">
        <f t="shared" si="18"/>
        <v>0.15868284975581728</v>
      </c>
      <c r="AA86" s="517">
        <f t="shared" si="23"/>
        <v>631.28571428571433</v>
      </c>
      <c r="AB86" s="517">
        <f t="shared" si="24"/>
        <v>14.142857142857142</v>
      </c>
      <c r="AC86" s="517">
        <f t="shared" si="14"/>
        <v>10.714111577893384</v>
      </c>
      <c r="AD86" s="517">
        <f t="shared" ref="AD86:AD149" si="32">AC86-AB86</f>
        <v>-3.4287455649637586</v>
      </c>
      <c r="AE86" s="545">
        <f t="shared" ref="AE86:AE149" si="33">AVERAGE(B73:B86)</f>
        <v>476.14285714285717</v>
      </c>
      <c r="AF86" s="520">
        <f t="shared" si="31"/>
        <v>1.9666221628838452</v>
      </c>
      <c r="AG86" s="200">
        <f t="shared" si="30"/>
        <v>0.53000182381907712</v>
      </c>
      <c r="AH86" s="4"/>
      <c r="AI86" s="4"/>
      <c r="AJ86" s="332">
        <f>MAX($B$2:B86)</f>
        <v>723</v>
      </c>
      <c r="AP86" s="355">
        <f t="shared" si="27"/>
        <v>2.7330873308733086</v>
      </c>
      <c r="AT86" s="179">
        <f t="shared" si="28"/>
        <v>3.2119914346895075E-2</v>
      </c>
    </row>
    <row r="87" spans="1:46" hidden="1" x14ac:dyDescent="0.25">
      <c r="A87" s="259">
        <v>43978</v>
      </c>
      <c r="B87" s="668">
        <v>706</v>
      </c>
      <c r="C87" s="506">
        <v>13933</v>
      </c>
      <c r="D87" s="670">
        <v>10</v>
      </c>
      <c r="E87" s="506">
        <v>500</v>
      </c>
      <c r="F87" s="515">
        <f t="shared" si="22"/>
        <v>268</v>
      </c>
      <c r="G87" s="506">
        <v>4617</v>
      </c>
      <c r="H87" s="506">
        <v>254</v>
      </c>
      <c r="I87" s="506">
        <v>4863</v>
      </c>
      <c r="J87" s="507">
        <v>145081</v>
      </c>
      <c r="K87" s="507"/>
      <c r="L87" s="541">
        <f t="shared" si="20"/>
        <v>3.5886025981482814E-2</v>
      </c>
      <c r="M87" s="508">
        <v>106456</v>
      </c>
      <c r="N87" s="507">
        <v>107098</v>
      </c>
      <c r="O87" s="509">
        <v>961</v>
      </c>
      <c r="P87" s="507">
        <v>6091</v>
      </c>
      <c r="Q87" s="507">
        <v>4694</v>
      </c>
      <c r="R87" s="512">
        <f t="shared" si="29"/>
        <v>2187</v>
      </c>
      <c r="S87" s="510">
        <f t="shared" si="21"/>
        <v>8816</v>
      </c>
      <c r="T87" s="518">
        <f t="shared" si="25"/>
        <v>2.8811252268602542E-2</v>
      </c>
      <c r="U87" s="519">
        <f t="shared" si="26"/>
        <v>3.5886025981482814E-2</v>
      </c>
      <c r="V87" s="512">
        <f>SUM(B74:B87)/POBLA!$B$25*100000</f>
        <v>15.548644704015043</v>
      </c>
      <c r="W87" s="512">
        <f>B87/POBLA!$B$25*100000</f>
        <v>1.5557459128450424</v>
      </c>
      <c r="X87" s="513">
        <f t="shared" si="19"/>
        <v>2.7169811320754715</v>
      </c>
      <c r="Y87" s="520"/>
      <c r="Z87" s="520">
        <f t="shared" si="18"/>
        <v>0.16381375035221188</v>
      </c>
      <c r="AA87" s="517">
        <f t="shared" si="23"/>
        <v>664.42857142857144</v>
      </c>
      <c r="AB87" s="517">
        <f t="shared" si="24"/>
        <v>14.142857142857142</v>
      </c>
      <c r="AC87" s="517">
        <f t="shared" si="14"/>
        <v>11.416921064108156</v>
      </c>
      <c r="AD87" s="517">
        <f t="shared" si="32"/>
        <v>-2.7259360787489868</v>
      </c>
      <c r="AE87" s="545">
        <f t="shared" si="33"/>
        <v>504</v>
      </c>
      <c r="AF87" s="520">
        <f t="shared" si="31"/>
        <v>1.9338877338877341</v>
      </c>
      <c r="AG87" s="200">
        <f t="shared" si="30"/>
        <v>0.50752393980848143</v>
      </c>
      <c r="AH87" s="4"/>
      <c r="AI87" s="4"/>
      <c r="AJ87" s="332">
        <f>MAX($B$2:B87)</f>
        <v>723</v>
      </c>
      <c r="AP87" s="355">
        <f t="shared" si="27"/>
        <v>2.7169811320754715</v>
      </c>
      <c r="AT87" s="179">
        <f t="shared" si="28"/>
        <v>3.069954705586311E-2</v>
      </c>
    </row>
    <row r="88" spans="1:46" hidden="1" x14ac:dyDescent="0.25">
      <c r="A88" s="259">
        <v>43979</v>
      </c>
      <c r="B88" s="668">
        <v>769</v>
      </c>
      <c r="C88" s="506">
        <v>14702</v>
      </c>
      <c r="D88" s="670">
        <v>8</v>
      </c>
      <c r="E88" s="506">
        <v>508</v>
      </c>
      <c r="F88" s="515">
        <f t="shared" si="22"/>
        <v>171</v>
      </c>
      <c r="G88" s="506">
        <v>4788</v>
      </c>
      <c r="H88" s="506">
        <v>259</v>
      </c>
      <c r="I88" s="506">
        <v>5405</v>
      </c>
      <c r="J88" s="507">
        <v>150486</v>
      </c>
      <c r="K88" s="507"/>
      <c r="L88" s="541">
        <f t="shared" si="20"/>
        <v>3.4553122024214393E-2</v>
      </c>
      <c r="M88" s="508">
        <v>110132</v>
      </c>
      <c r="N88" s="511">
        <v>110796</v>
      </c>
      <c r="O88" s="509">
        <v>967</v>
      </c>
      <c r="P88" s="507">
        <v>6450</v>
      </c>
      <c r="Q88" s="507">
        <v>5051</v>
      </c>
      <c r="R88" s="512">
        <f t="shared" si="29"/>
        <v>2234</v>
      </c>
      <c r="S88" s="510">
        <f t="shared" si="21"/>
        <v>9406</v>
      </c>
      <c r="T88" s="518">
        <f t="shared" si="25"/>
        <v>2.7535615564533277E-2</v>
      </c>
      <c r="U88" s="519">
        <f t="shared" si="26"/>
        <v>3.4553122024214393E-2</v>
      </c>
      <c r="V88" s="512">
        <f>SUM(B75:B88)/POBLA!$B$25*100000</f>
        <v>16.681298243961717</v>
      </c>
      <c r="W88" s="512">
        <f>B88/POBLA!$B$25*100000</f>
        <v>1.6945730977023199</v>
      </c>
      <c r="X88" s="513">
        <f t="shared" si="19"/>
        <v>2.794389073458841</v>
      </c>
      <c r="Y88" s="520"/>
      <c r="Z88" s="520">
        <f t="shared" si="18"/>
        <v>0.16337989591892632</v>
      </c>
      <c r="AA88" s="517">
        <f t="shared" si="23"/>
        <v>681.71428571428567</v>
      </c>
      <c r="AB88" s="517">
        <f t="shared" si="24"/>
        <v>13.428571428571429</v>
      </c>
      <c r="AC88" s="517">
        <f t="shared" si="14"/>
        <v>12.462233169129721</v>
      </c>
      <c r="AD88" s="517">
        <f t="shared" si="32"/>
        <v>-0.96633825944170759</v>
      </c>
      <c r="AE88" s="545">
        <f t="shared" si="33"/>
        <v>540.71428571428567</v>
      </c>
      <c r="AF88" s="520">
        <f t="shared" si="31"/>
        <v>1.7055039313795566</v>
      </c>
      <c r="AG88" s="200">
        <f t="shared" si="30"/>
        <v>0.45761661242832785</v>
      </c>
      <c r="AH88" s="4"/>
      <c r="AI88" s="4"/>
      <c r="AJ88" s="332">
        <f>MAX($B$2:B88)</f>
        <v>769</v>
      </c>
      <c r="AP88" s="355">
        <f t="shared" si="27"/>
        <v>2.7943890734588406</v>
      </c>
      <c r="AT88" s="179">
        <f t="shared" si="28"/>
        <v>2.8638941398865785E-2</v>
      </c>
    </row>
    <row r="89" spans="1:46" hidden="1" x14ac:dyDescent="0.25">
      <c r="A89" s="259">
        <v>43980</v>
      </c>
      <c r="B89" s="670">
        <v>717</v>
      </c>
      <c r="C89" s="515">
        <v>15419</v>
      </c>
      <c r="D89" s="670">
        <v>12</v>
      </c>
      <c r="E89" s="506">
        <v>520</v>
      </c>
      <c r="F89" s="515">
        <f t="shared" si="22"/>
        <v>312</v>
      </c>
      <c r="G89" s="506">
        <v>5100</v>
      </c>
      <c r="H89" s="506">
        <v>244</v>
      </c>
      <c r="I89" s="515">
        <v>4921</v>
      </c>
      <c r="J89" s="511">
        <v>155400</v>
      </c>
      <c r="K89" s="511"/>
      <c r="L89" s="541">
        <f t="shared" si="20"/>
        <v>3.3724625462092227E-2</v>
      </c>
      <c r="M89" s="522">
        <v>113314</v>
      </c>
      <c r="N89" s="511">
        <v>114112</v>
      </c>
      <c r="O89" s="520">
        <v>968</v>
      </c>
      <c r="P89" s="511">
        <v>6727</v>
      </c>
      <c r="Q89" s="511">
        <v>5408</v>
      </c>
      <c r="R89" s="512">
        <f t="shared" si="29"/>
        <v>2316</v>
      </c>
      <c r="S89" s="510">
        <f t="shared" si="21"/>
        <v>9799</v>
      </c>
      <c r="T89" s="518">
        <f t="shared" si="25"/>
        <v>2.4900500051025613E-2</v>
      </c>
      <c r="U89" s="519">
        <f t="shared" si="26"/>
        <v>3.3724625462092227E-2</v>
      </c>
      <c r="V89" s="512">
        <f>SUM(B76:B89)/POBLA!$B$25*100000</f>
        <v>17.501039716452304</v>
      </c>
      <c r="W89" s="512">
        <f>B89/POBLA!$B$25*100000</f>
        <v>1.579985580042345</v>
      </c>
      <c r="X89" s="513">
        <f t="shared" si="19"/>
        <v>2.6931163106137674</v>
      </c>
      <c r="Y89" s="520"/>
      <c r="Z89" s="520">
        <f t="shared" si="18"/>
        <v>0.1616520973097513</v>
      </c>
      <c r="AA89" s="517">
        <f t="shared" si="23"/>
        <v>681.57142857142856</v>
      </c>
      <c r="AB89" s="517">
        <f t="shared" si="24"/>
        <v>12.571428571428571</v>
      </c>
      <c r="AC89" s="517">
        <f t="shared" si="14"/>
        <v>12.702385727656484</v>
      </c>
      <c r="AD89" s="517">
        <f t="shared" si="32"/>
        <v>0.13095715622791282</v>
      </c>
      <c r="AE89" s="545">
        <f t="shared" si="33"/>
        <v>567.28571428571433</v>
      </c>
      <c r="AF89" s="520">
        <f t="shared" si="31"/>
        <v>1.5045726900031535</v>
      </c>
      <c r="AG89" s="200">
        <f t="shared" si="30"/>
        <v>0.46559976069398745</v>
      </c>
      <c r="AH89" s="4"/>
      <c r="AI89" s="4"/>
      <c r="AJ89" s="332">
        <f>MAX($B$2:B89)</f>
        <v>769</v>
      </c>
      <c r="AP89" s="355">
        <f t="shared" si="27"/>
        <v>2.6931163106137679</v>
      </c>
      <c r="AT89" s="179">
        <f t="shared" si="28"/>
        <v>2.7650597001526171E-2</v>
      </c>
    </row>
    <row r="90" spans="1:46" hidden="1" x14ac:dyDescent="0.25">
      <c r="A90" s="259">
        <v>43981</v>
      </c>
      <c r="B90" s="668">
        <v>795</v>
      </c>
      <c r="C90" s="506">
        <v>16214</v>
      </c>
      <c r="D90" s="670">
        <v>8</v>
      </c>
      <c r="E90" s="506">
        <v>528</v>
      </c>
      <c r="F90" s="515">
        <f t="shared" si="22"/>
        <v>236</v>
      </c>
      <c r="G90" s="506">
        <v>5336</v>
      </c>
      <c r="H90" s="506">
        <v>256</v>
      </c>
      <c r="I90" s="515">
        <v>4663</v>
      </c>
      <c r="J90" s="511">
        <v>160070</v>
      </c>
      <c r="K90" s="511"/>
      <c r="L90" s="541">
        <f t="shared" si="20"/>
        <v>3.2564450474898234E-2</v>
      </c>
      <c r="M90" s="522">
        <v>116215</v>
      </c>
      <c r="N90" s="511">
        <v>117034</v>
      </c>
      <c r="O90" s="509">
        <v>969</v>
      </c>
      <c r="P90" s="507">
        <v>7030</v>
      </c>
      <c r="Q90" s="507">
        <v>5724</v>
      </c>
      <c r="R90" s="512">
        <f t="shared" si="29"/>
        <v>2491</v>
      </c>
      <c r="S90" s="510">
        <f t="shared" si="21"/>
        <v>10350</v>
      </c>
      <c r="T90" s="518">
        <f t="shared" si="25"/>
        <v>2.4734299516908212E-2</v>
      </c>
      <c r="U90" s="519">
        <f t="shared" si="26"/>
        <v>3.2564450474898234E-2</v>
      </c>
      <c r="V90" s="512">
        <f>SUM(B77:B90)/POBLA!$B$25*100000</f>
        <v>18.532327375392079</v>
      </c>
      <c r="W90" s="512">
        <f>B90/POBLA!$B$25*100000</f>
        <v>1.7518668565323072</v>
      </c>
      <c r="X90" s="513">
        <f t="shared" si="19"/>
        <v>2.6894787336104895</v>
      </c>
      <c r="Y90" s="520"/>
      <c r="Z90" s="520">
        <f t="shared" si="18"/>
        <v>0.15861933968419678</v>
      </c>
      <c r="AA90" s="517">
        <f t="shared" si="23"/>
        <v>694.57142857142856</v>
      </c>
      <c r="AB90" s="517">
        <f t="shared" si="24"/>
        <v>12</v>
      </c>
      <c r="AC90" s="517">
        <f t="shared" si="14"/>
        <v>13.48750800768738</v>
      </c>
      <c r="AD90" s="517">
        <f t="shared" si="32"/>
        <v>1.4875080076873797</v>
      </c>
      <c r="AE90" s="545">
        <f t="shared" si="33"/>
        <v>600.71428571428567</v>
      </c>
      <c r="AF90" s="520">
        <f t="shared" si="31"/>
        <v>1.370349492671928</v>
      </c>
      <c r="AG90" s="200">
        <f t="shared" si="30"/>
        <v>0.44230769230769229</v>
      </c>
      <c r="AH90" s="4"/>
      <c r="AI90" s="4"/>
      <c r="AJ90" s="332">
        <f>MAX($B$2:B90)</f>
        <v>795</v>
      </c>
      <c r="AP90" s="355">
        <f t="shared" si="27"/>
        <v>2.6894787336104891</v>
      </c>
      <c r="AT90" s="179">
        <f t="shared" si="28"/>
        <v>2.6460859977949284E-2</v>
      </c>
    </row>
    <row r="91" spans="1:46" hidden="1" x14ac:dyDescent="0.25">
      <c r="A91" s="259">
        <v>43982</v>
      </c>
      <c r="B91" s="668">
        <v>637</v>
      </c>
      <c r="C91" s="506">
        <v>16851</v>
      </c>
      <c r="D91" s="670">
        <v>11</v>
      </c>
      <c r="E91" s="506">
        <v>539</v>
      </c>
      <c r="F91" s="515">
        <f t="shared" si="22"/>
        <v>185</v>
      </c>
      <c r="G91" s="506">
        <v>5521</v>
      </c>
      <c r="H91" s="506">
        <v>272</v>
      </c>
      <c r="I91" s="515">
        <v>4014</v>
      </c>
      <c r="J91" s="511">
        <v>164084</v>
      </c>
      <c r="K91" s="511"/>
      <c r="L91" s="541">
        <f t="shared" si="20"/>
        <v>3.1986232271081834E-2</v>
      </c>
      <c r="M91" s="522">
        <v>118815.429</v>
      </c>
      <c r="N91" s="511">
        <v>119653</v>
      </c>
      <c r="O91" s="520">
        <v>970</v>
      </c>
      <c r="P91" s="511">
        <v>7308</v>
      </c>
      <c r="Q91" s="511">
        <v>5975</v>
      </c>
      <c r="R91" s="512">
        <f t="shared" si="29"/>
        <v>2598</v>
      </c>
      <c r="S91" s="510">
        <f t="shared" si="21"/>
        <v>10791</v>
      </c>
      <c r="T91" s="518">
        <f t="shared" si="25"/>
        <v>2.5206190343805022E-2</v>
      </c>
      <c r="U91" s="519">
        <f t="shared" si="26"/>
        <v>3.1986232271081834E-2</v>
      </c>
      <c r="V91" s="512">
        <f>SUM(B78:B91)/POBLA!$B$25*100000</f>
        <v>19.356476060100359</v>
      </c>
      <c r="W91" s="512">
        <f>B91/POBLA!$B$25*100000</f>
        <v>1.4036970913346913</v>
      </c>
      <c r="X91" s="513">
        <f t="shared" si="19"/>
        <v>2.6723456038941285</v>
      </c>
      <c r="Y91" s="520"/>
      <c r="Z91" s="520">
        <f t="shared" si="18"/>
        <v>0.15599686438463548</v>
      </c>
      <c r="AA91" s="517">
        <f t="shared" si="23"/>
        <v>682.28571428571433</v>
      </c>
      <c r="AB91" s="517">
        <f t="shared" si="24"/>
        <v>12.428571428571429</v>
      </c>
      <c r="AC91" s="517">
        <f t="shared" si="14"/>
        <v>13.410391858944914</v>
      </c>
      <c r="AD91" s="517">
        <f t="shared" si="32"/>
        <v>0.98182043037348521</v>
      </c>
      <c r="AE91" s="545">
        <f t="shared" si="33"/>
        <v>627.42857142857144</v>
      </c>
      <c r="AF91" s="520">
        <f t="shared" si="31"/>
        <v>1.191616766467066</v>
      </c>
      <c r="AG91" s="200">
        <f t="shared" si="30"/>
        <v>0.41521311475409828</v>
      </c>
      <c r="AH91" s="4"/>
      <c r="AI91" s="4"/>
      <c r="AJ91" s="332">
        <f>MAX($B$2:B91)</f>
        <v>795</v>
      </c>
      <c r="AP91" s="355">
        <f t="shared" si="27"/>
        <v>2.6723456038941285</v>
      </c>
      <c r="AT91" s="179">
        <f t="shared" si="28"/>
        <v>2.5643106386431875E-2</v>
      </c>
    </row>
    <row r="92" spans="1:46" hidden="1" x14ac:dyDescent="0.25">
      <c r="A92" s="259">
        <v>43983</v>
      </c>
      <c r="B92" s="668">
        <v>564</v>
      </c>
      <c r="C92" s="506">
        <v>17415</v>
      </c>
      <c r="D92" s="670">
        <v>17</v>
      </c>
      <c r="E92" s="506">
        <v>556</v>
      </c>
      <c r="F92" s="515">
        <f t="shared" si="22"/>
        <v>188</v>
      </c>
      <c r="G92" s="506">
        <v>5709</v>
      </c>
      <c r="H92" s="506">
        <v>271</v>
      </c>
      <c r="I92" s="515">
        <v>3715</v>
      </c>
      <c r="J92" s="511">
        <v>167799</v>
      </c>
      <c r="K92" s="511"/>
      <c r="L92" s="541">
        <f t="shared" si="20"/>
        <v>3.1926500143554408E-2</v>
      </c>
      <c r="M92" s="522">
        <v>121411</v>
      </c>
      <c r="N92" s="511">
        <v>122143</v>
      </c>
      <c r="O92" s="509">
        <v>974</v>
      </c>
      <c r="P92" s="507">
        <v>7532</v>
      </c>
      <c r="Q92" s="507">
        <v>6263</v>
      </c>
      <c r="R92" s="512">
        <f t="shared" si="29"/>
        <v>2646</v>
      </c>
      <c r="S92" s="510">
        <f t="shared" si="21"/>
        <v>11150</v>
      </c>
      <c r="T92" s="518">
        <f t="shared" si="25"/>
        <v>2.430493273542601E-2</v>
      </c>
      <c r="U92" s="519">
        <f t="shared" si="26"/>
        <v>3.1926500143554408E-2</v>
      </c>
      <c r="V92" s="512">
        <f>SUM(B79:B92)/POBLA!$B$25*100000</f>
        <v>19.931617254509078</v>
      </c>
      <c r="W92" s="512">
        <f>B92/POBLA!$B$25*100000</f>
        <v>1.2428338453889576</v>
      </c>
      <c r="X92" s="513">
        <f t="shared" si="19"/>
        <v>2.5946643717728053</v>
      </c>
      <c r="Y92" s="520"/>
      <c r="Z92" s="520">
        <f t="shared" si="18"/>
        <v>0.15377203969553907</v>
      </c>
      <c r="AA92" s="517">
        <f t="shared" si="23"/>
        <v>684</v>
      </c>
      <c r="AB92" s="517">
        <f t="shared" si="24"/>
        <v>12.714285714285714</v>
      </c>
      <c r="AC92" s="517">
        <f t="shared" si="14"/>
        <v>13.651006024199193</v>
      </c>
      <c r="AD92" s="517">
        <f t="shared" si="32"/>
        <v>0.9367203099134791</v>
      </c>
      <c r="AE92" s="545">
        <f t="shared" si="33"/>
        <v>646.07142857142856</v>
      </c>
      <c r="AF92" s="520">
        <f t="shared" si="31"/>
        <v>1.1247357293868923</v>
      </c>
      <c r="AG92" s="200">
        <f t="shared" si="30"/>
        <v>0.39479609707280461</v>
      </c>
      <c r="AH92" s="4"/>
      <c r="AI92" s="4"/>
      <c r="AJ92" s="332">
        <f>MAX($B$2:B92)</f>
        <v>795</v>
      </c>
      <c r="AP92" s="355">
        <f t="shared" si="27"/>
        <v>2.5946643717728053</v>
      </c>
      <c r="AT92" s="179">
        <f t="shared" si="28"/>
        <v>2.5200188412623645E-2</v>
      </c>
    </row>
    <row r="93" spans="1:46" hidden="1" x14ac:dyDescent="0.25">
      <c r="A93" s="259">
        <v>43984</v>
      </c>
      <c r="B93" s="668">
        <v>904</v>
      </c>
      <c r="C93" s="506">
        <v>18319</v>
      </c>
      <c r="D93" s="670">
        <v>13</v>
      </c>
      <c r="E93" s="506">
        <v>569</v>
      </c>
      <c r="F93" s="515">
        <f t="shared" si="22"/>
        <v>187</v>
      </c>
      <c r="G93" s="506">
        <v>5896</v>
      </c>
      <c r="H93" s="506">
        <v>288</v>
      </c>
      <c r="I93" s="515">
        <v>5148</v>
      </c>
      <c r="J93" s="511">
        <v>172947</v>
      </c>
      <c r="K93" s="511"/>
      <c r="L93" s="541">
        <f t="shared" si="20"/>
        <v>3.1060647415251923E-2</v>
      </c>
      <c r="M93" s="522">
        <v>124692</v>
      </c>
      <c r="N93" s="511">
        <v>125571</v>
      </c>
      <c r="O93" s="509">
        <v>974</v>
      </c>
      <c r="P93" s="511">
        <v>7854</v>
      </c>
      <c r="Q93" s="511">
        <v>6596</v>
      </c>
      <c r="R93" s="512">
        <f t="shared" si="29"/>
        <v>2895</v>
      </c>
      <c r="S93" s="510">
        <f t="shared" si="21"/>
        <v>11854</v>
      </c>
      <c r="T93" s="518">
        <f t="shared" si="25"/>
        <v>2.4295596423148304E-2</v>
      </c>
      <c r="U93" s="519">
        <f t="shared" si="26"/>
        <v>3.1060647415251923E-2</v>
      </c>
      <c r="V93" s="512">
        <f>SUM(B80:B93)/POBLA!$B$25*100000</f>
        <v>20.958497701231163</v>
      </c>
      <c r="W93" s="512">
        <f>B93/POBLA!$B$25*100000</f>
        <v>1.992059922396485</v>
      </c>
      <c r="X93" s="513">
        <f t="shared" si="19"/>
        <v>2.5094986807387865</v>
      </c>
      <c r="Y93" s="520"/>
      <c r="Z93" s="520">
        <f t="shared" si="18"/>
        <v>0.15558067768645545</v>
      </c>
      <c r="AA93" s="517">
        <f t="shared" si="23"/>
        <v>727.42857142857144</v>
      </c>
      <c r="AB93" s="517">
        <f t="shared" si="24"/>
        <v>11.285714285714286</v>
      </c>
      <c r="AC93" s="517">
        <f t="shared" si="14"/>
        <v>14.320921784538539</v>
      </c>
      <c r="AD93" s="517">
        <f t="shared" si="32"/>
        <v>3.0352074988242528</v>
      </c>
      <c r="AE93" s="545">
        <f t="shared" si="33"/>
        <v>679.35714285714289</v>
      </c>
      <c r="AF93" s="520">
        <f t="shared" si="31"/>
        <v>1.1522968997510747</v>
      </c>
      <c r="AG93" s="200">
        <f t="shared" si="30"/>
        <v>0.41304088687567053</v>
      </c>
      <c r="AH93" s="4"/>
      <c r="AI93" s="4"/>
      <c r="AJ93" s="332">
        <f>MAX($B$2:B93)</f>
        <v>904</v>
      </c>
      <c r="AP93" s="355">
        <f t="shared" si="27"/>
        <v>2.5094986807387865</v>
      </c>
      <c r="AT93" s="179">
        <f t="shared" si="28"/>
        <v>2.4004727084718222E-2</v>
      </c>
    </row>
    <row r="94" spans="1:46" hidden="1" x14ac:dyDescent="0.25">
      <c r="A94" s="259">
        <v>43985</v>
      </c>
      <c r="B94" s="668">
        <v>949</v>
      </c>
      <c r="C94" s="506">
        <v>19268</v>
      </c>
      <c r="D94" s="670">
        <v>14</v>
      </c>
      <c r="E94" s="515">
        <v>583</v>
      </c>
      <c r="F94" s="515">
        <f t="shared" si="22"/>
        <v>97</v>
      </c>
      <c r="G94" s="506">
        <v>5993</v>
      </c>
      <c r="H94" s="506">
        <v>293</v>
      </c>
      <c r="I94" s="515">
        <v>5501</v>
      </c>
      <c r="J94" s="511">
        <v>178448</v>
      </c>
      <c r="K94" s="511"/>
      <c r="L94" s="541">
        <f t="shared" si="20"/>
        <v>3.0257421631720988E-2</v>
      </c>
      <c r="M94" s="522">
        <v>128031</v>
      </c>
      <c r="N94" s="511">
        <v>128933</v>
      </c>
      <c r="O94" s="509">
        <v>977</v>
      </c>
      <c r="P94" s="507">
        <v>8217</v>
      </c>
      <c r="Q94" s="507">
        <v>6941</v>
      </c>
      <c r="R94" s="512">
        <f t="shared" si="29"/>
        <v>3133</v>
      </c>
      <c r="S94" s="510">
        <f t="shared" si="21"/>
        <v>12692</v>
      </c>
      <c r="T94" s="518">
        <f t="shared" si="25"/>
        <v>2.3085408131106207E-2</v>
      </c>
      <c r="U94" s="519">
        <f t="shared" si="26"/>
        <v>3.0257421631720988E-2</v>
      </c>
      <c r="V94" s="512">
        <f>SUM(B81:B94)/POBLA!$B$25*100000</f>
        <v>22.005210602932852</v>
      </c>
      <c r="W94" s="512">
        <f>B94/POBLA!$B$25*100000</f>
        <v>2.09122219729454</v>
      </c>
      <c r="X94" s="513">
        <f t="shared" si="19"/>
        <v>2.4499509322865554</v>
      </c>
      <c r="Y94" s="520"/>
      <c r="Z94" s="520">
        <f t="shared" si="18"/>
        <v>0.15988851260227172</v>
      </c>
      <c r="AA94" s="517">
        <f t="shared" si="23"/>
        <v>762.14285714285711</v>
      </c>
      <c r="AB94" s="517">
        <f t="shared" si="24"/>
        <v>11.857142857142858</v>
      </c>
      <c r="AC94" s="517">
        <f t="shared" si="14"/>
        <v>14.915359874424832</v>
      </c>
      <c r="AD94" s="517">
        <f t="shared" si="32"/>
        <v>3.058217017281974</v>
      </c>
      <c r="AE94" s="545">
        <f t="shared" si="33"/>
        <v>713.28571428571433</v>
      </c>
      <c r="AF94" s="520">
        <f t="shared" si="31"/>
        <v>1.1470651472801547</v>
      </c>
      <c r="AG94" s="200">
        <f t="shared" si="30"/>
        <v>0.43965517241379315</v>
      </c>
      <c r="AH94" s="4"/>
      <c r="AI94" s="4"/>
      <c r="AJ94" s="332">
        <f>MAX($B$2:B94)</f>
        <v>949</v>
      </c>
      <c r="AP94" s="355">
        <f t="shared" si="27"/>
        <v>2.4499509322865554</v>
      </c>
      <c r="AT94" s="179">
        <f t="shared" si="28"/>
        <v>2.2594549499443825E-2</v>
      </c>
    </row>
    <row r="95" spans="1:46" hidden="1" x14ac:dyDescent="0.25">
      <c r="A95" s="259">
        <v>43986</v>
      </c>
      <c r="B95" s="668">
        <v>929</v>
      </c>
      <c r="C95" s="515">
        <v>20197</v>
      </c>
      <c r="D95" s="670">
        <v>25</v>
      </c>
      <c r="E95" s="515">
        <v>608</v>
      </c>
      <c r="F95" s="515">
        <f t="shared" si="22"/>
        <v>95</v>
      </c>
      <c r="G95" s="506">
        <v>6088</v>
      </c>
      <c r="H95" s="506">
        <v>248</v>
      </c>
      <c r="I95" s="515">
        <v>5414</v>
      </c>
      <c r="J95" s="511">
        <v>183862</v>
      </c>
      <c r="K95" s="511"/>
      <c r="L95" s="541">
        <f t="shared" si="20"/>
        <v>3.0103480714957668E-2</v>
      </c>
      <c r="M95" s="522">
        <v>131608</v>
      </c>
      <c r="N95" s="511">
        <v>132402</v>
      </c>
      <c r="O95" s="509">
        <v>978</v>
      </c>
      <c r="P95" s="511">
        <v>8541</v>
      </c>
      <c r="Q95" s="511">
        <v>7349</v>
      </c>
      <c r="R95" s="512">
        <f t="shared" si="29"/>
        <v>3329</v>
      </c>
      <c r="S95" s="510">
        <f t="shared" si="21"/>
        <v>13501</v>
      </c>
      <c r="T95" s="518">
        <f t="shared" si="25"/>
        <v>1.8369009702984964E-2</v>
      </c>
      <c r="U95" s="519">
        <f t="shared" si="26"/>
        <v>3.0103480714957668E-2</v>
      </c>
      <c r="V95" s="512">
        <f>SUM(B82:B95)/POBLA!$B$25*100000</f>
        <v>22.624423919518488</v>
      </c>
      <c r="W95" s="512">
        <f>B95/POBLA!$B$25*100000</f>
        <v>2.0471500751176266</v>
      </c>
      <c r="X95" s="513">
        <f t="shared" si="19"/>
        <v>2.2510414382810788</v>
      </c>
      <c r="Y95" s="520"/>
      <c r="Z95" s="520">
        <f t="shared" si="18"/>
        <v>0.16463926174496643</v>
      </c>
      <c r="AA95" s="517">
        <f t="shared" si="23"/>
        <v>785</v>
      </c>
      <c r="AB95" s="517">
        <f t="shared" si="24"/>
        <v>14.285714285714286</v>
      </c>
      <c r="AC95" s="517">
        <f t="shared" si="14"/>
        <v>16.743645439245075</v>
      </c>
      <c r="AD95" s="517">
        <f t="shared" si="32"/>
        <v>2.4579311535307884</v>
      </c>
      <c r="AE95" s="545">
        <f t="shared" si="33"/>
        <v>733.35714285714289</v>
      </c>
      <c r="AF95" s="520">
        <f t="shared" si="31"/>
        <v>1.1515088013411567</v>
      </c>
      <c r="AG95" s="200">
        <f t="shared" si="30"/>
        <v>0.43536040825005307</v>
      </c>
      <c r="AH95" s="4"/>
      <c r="AI95" s="4"/>
      <c r="AJ95" s="332">
        <f>MAX($B$2:B95)</f>
        <v>949</v>
      </c>
      <c r="AP95" s="355">
        <f t="shared" si="27"/>
        <v>2.2510414382810788</v>
      </c>
      <c r="AT95" s="179">
        <f t="shared" si="28"/>
        <v>2.2794650503985769E-2</v>
      </c>
    </row>
    <row r="96" spans="1:46" hidden="1" x14ac:dyDescent="0.25">
      <c r="A96" s="259">
        <v>43987</v>
      </c>
      <c r="B96" s="668">
        <v>840</v>
      </c>
      <c r="C96" s="506">
        <v>21037</v>
      </c>
      <c r="D96" s="670">
        <v>24</v>
      </c>
      <c r="E96" s="515">
        <v>632</v>
      </c>
      <c r="F96" s="515">
        <f t="shared" si="22"/>
        <v>92</v>
      </c>
      <c r="G96" s="506">
        <v>6180</v>
      </c>
      <c r="H96" s="506">
        <v>249</v>
      </c>
      <c r="I96" s="515">
        <v>5416</v>
      </c>
      <c r="J96" s="511">
        <v>189278</v>
      </c>
      <c r="K96" s="511"/>
      <c r="L96" s="541">
        <f t="shared" si="20"/>
        <v>3.004230641251129E-2</v>
      </c>
      <c r="M96" s="522">
        <v>134642</v>
      </c>
      <c r="N96" s="511">
        <v>135454</v>
      </c>
      <c r="O96" s="485">
        <v>980</v>
      </c>
      <c r="P96" s="8">
        <v>8883</v>
      </c>
      <c r="Q96" s="8">
        <v>7770</v>
      </c>
      <c r="R96" s="512">
        <f t="shared" si="29"/>
        <v>3404</v>
      </c>
      <c r="S96" s="510">
        <f t="shared" si="21"/>
        <v>14225</v>
      </c>
      <c r="T96" s="518">
        <f t="shared" si="25"/>
        <v>1.750439367311072E-2</v>
      </c>
      <c r="U96" s="519">
        <f t="shared" si="26"/>
        <v>3.004230641251129E-2</v>
      </c>
      <c r="V96" s="512">
        <f>SUM(B83:B96)/POBLA!$B$25*100000</f>
        <v>22.89326386479766</v>
      </c>
      <c r="W96" s="512">
        <f>B96/POBLA!$B$25*100000</f>
        <v>1.8510291314303624</v>
      </c>
      <c r="X96" s="513">
        <f t="shared" ref="X96:X140" si="34">SUM(B83:B96)/SUM(B69:B82)</f>
        <v>2.0617185949593173</v>
      </c>
      <c r="Y96" s="520"/>
      <c r="Z96" s="520">
        <f t="shared" si="18"/>
        <v>0.16586460393847244</v>
      </c>
      <c r="AA96" s="517">
        <f t="shared" si="23"/>
        <v>802.57142857142856</v>
      </c>
      <c r="AB96" s="517">
        <f t="shared" si="24"/>
        <v>16</v>
      </c>
      <c r="AC96" s="517">
        <f t="shared" si="14"/>
        <v>18.419476007136819</v>
      </c>
      <c r="AD96" s="517">
        <f t="shared" si="32"/>
        <v>2.4194760071368187</v>
      </c>
      <c r="AE96" s="545">
        <f t="shared" si="33"/>
        <v>742.07142857142856</v>
      </c>
      <c r="AF96" s="520">
        <f t="shared" si="31"/>
        <v>1.1775309159505345</v>
      </c>
      <c r="AG96" s="200">
        <f t="shared" si="30"/>
        <v>0.45167874272884978</v>
      </c>
      <c r="AH96" s="4"/>
      <c r="AI96" s="4"/>
      <c r="AJ96" s="332">
        <f>MAX($B$2:B96)</f>
        <v>949</v>
      </c>
      <c r="AP96" s="355">
        <f t="shared" si="27"/>
        <v>2.0617185949593173</v>
      </c>
      <c r="AT96" s="179">
        <f t="shared" si="28"/>
        <v>2.2803360495230875E-2</v>
      </c>
    </row>
    <row r="97" spans="1:46" hidden="1" x14ac:dyDescent="0.25">
      <c r="A97" s="259">
        <v>43988</v>
      </c>
      <c r="B97" s="668">
        <v>983</v>
      </c>
      <c r="C97" s="506">
        <v>22020</v>
      </c>
      <c r="D97" s="670">
        <v>16</v>
      </c>
      <c r="E97" s="515">
        <v>648</v>
      </c>
      <c r="F97" s="515">
        <f t="shared" si="22"/>
        <v>729</v>
      </c>
      <c r="G97" s="506">
        <v>6909</v>
      </c>
      <c r="H97" s="506">
        <v>247</v>
      </c>
      <c r="I97" s="515">
        <v>4635</v>
      </c>
      <c r="J97" s="511">
        <v>193923</v>
      </c>
      <c r="K97" s="511"/>
      <c r="L97" s="541">
        <f t="shared" si="20"/>
        <v>2.9427792915531336E-2</v>
      </c>
      <c r="M97" s="522">
        <v>137840</v>
      </c>
      <c r="N97" s="511">
        <v>138672</v>
      </c>
      <c r="O97" s="520">
        <v>983</v>
      </c>
      <c r="P97" s="511">
        <v>9219</v>
      </c>
      <c r="Q97" s="511">
        <v>8141</v>
      </c>
      <c r="R97" s="512">
        <f t="shared" si="29"/>
        <v>3677</v>
      </c>
      <c r="S97" s="510">
        <f t="shared" si="21"/>
        <v>14463</v>
      </c>
      <c r="T97" s="518">
        <f t="shared" si="25"/>
        <v>1.7078061259766301E-2</v>
      </c>
      <c r="U97" s="519">
        <f t="shared" si="26"/>
        <v>2.9427792915531336E-2</v>
      </c>
      <c r="V97" s="512">
        <f>SUM(B84:B97)/POBLA!$B$25*100000</f>
        <v>23.508069969165604</v>
      </c>
      <c r="W97" s="512">
        <f>B97/POBLA!$B$25*100000</f>
        <v>2.1661448049952932</v>
      </c>
      <c r="X97" s="513">
        <f t="shared" si="34"/>
        <v>1.912513445679455</v>
      </c>
      <c r="Y97" s="520"/>
      <c r="Z97" s="520">
        <f t="shared" si="18"/>
        <v>0.17155689507431374</v>
      </c>
      <c r="AA97" s="517">
        <f t="shared" si="23"/>
        <v>829.42857142857144</v>
      </c>
      <c r="AB97" s="517">
        <f t="shared" si="24"/>
        <v>17.142857142857142</v>
      </c>
      <c r="AC97" s="517">
        <f t="shared" si="14"/>
        <v>19.867121339859825</v>
      </c>
      <c r="AD97" s="517">
        <f t="shared" si="32"/>
        <v>2.7242641970026824</v>
      </c>
      <c r="AE97" s="545">
        <f t="shared" si="33"/>
        <v>762</v>
      </c>
      <c r="AF97" s="520">
        <f t="shared" si="31"/>
        <v>1.1941587823940765</v>
      </c>
      <c r="AG97" s="200">
        <f t="shared" si="30"/>
        <v>0.3973913043478261</v>
      </c>
      <c r="AH97" s="4"/>
      <c r="AI97" s="4"/>
      <c r="AJ97" s="332">
        <f>MAX($B$2:B97)</f>
        <v>983</v>
      </c>
      <c r="AP97" s="355">
        <f t="shared" si="27"/>
        <v>1.912513445679455</v>
      </c>
      <c r="AT97" s="179">
        <f t="shared" si="28"/>
        <v>2.2100774728244552E-2</v>
      </c>
    </row>
    <row r="98" spans="1:46" hidden="1" x14ac:dyDescent="0.25">
      <c r="A98" s="259">
        <v>43989</v>
      </c>
      <c r="B98" s="668">
        <v>774</v>
      </c>
      <c r="C98" s="506">
        <v>22794</v>
      </c>
      <c r="D98" s="670">
        <v>15</v>
      </c>
      <c r="E98" s="515">
        <v>664</v>
      </c>
      <c r="F98" s="515">
        <f t="shared" si="22"/>
        <v>396</v>
      </c>
      <c r="G98" s="506">
        <v>7305</v>
      </c>
      <c r="H98" s="506">
        <v>235</v>
      </c>
      <c r="I98" s="515">
        <v>4607</v>
      </c>
      <c r="J98" s="511">
        <v>198520</v>
      </c>
      <c r="K98" s="511"/>
      <c r="L98" s="541">
        <f t="shared" si="20"/>
        <v>2.9130472931473195E-2</v>
      </c>
      <c r="M98" s="522">
        <v>140401.50599999999</v>
      </c>
      <c r="N98" s="511">
        <v>141249</v>
      </c>
      <c r="O98" s="520">
        <v>985</v>
      </c>
      <c r="P98" s="511">
        <v>9476</v>
      </c>
      <c r="Q98" s="511">
        <v>8441</v>
      </c>
      <c r="R98" s="512">
        <f t="shared" si="29"/>
        <v>3892</v>
      </c>
      <c r="S98" s="510">
        <f t="shared" si="21"/>
        <v>14825</v>
      </c>
      <c r="T98" s="518">
        <f t="shared" si="25"/>
        <v>1.5851602023608771E-2</v>
      </c>
      <c r="U98" s="519">
        <f t="shared" si="26"/>
        <v>2.9130472931473195E-2</v>
      </c>
      <c r="V98" s="512">
        <f>SUM(B85:B98)/POBLA!$B$25*100000</f>
        <v>23.620453880716727</v>
      </c>
      <c r="W98" s="512">
        <f>B98/POBLA!$B$25*100000</f>
        <v>1.7055911282465481</v>
      </c>
      <c r="X98" s="513">
        <f t="shared" si="34"/>
        <v>1.7737878537150422</v>
      </c>
      <c r="Y98" s="520"/>
      <c r="Z98" s="520">
        <f t="shared" si="18"/>
        <v>0.17258101986293414</v>
      </c>
      <c r="AA98" s="517">
        <f t="shared" si="23"/>
        <v>849</v>
      </c>
      <c r="AB98" s="517">
        <f t="shared" si="24"/>
        <v>17.714285714285715</v>
      </c>
      <c r="AC98" s="517">
        <f t="shared" ref="AC98:AC161" si="35">AA84*L84</f>
        <v>21.431126673922304</v>
      </c>
      <c r="AD98" s="517">
        <f t="shared" si="32"/>
        <v>3.7168409596365883</v>
      </c>
      <c r="AE98" s="545">
        <f t="shared" si="33"/>
        <v>765.64285714285711</v>
      </c>
      <c r="AF98" s="520">
        <f t="shared" si="31"/>
        <v>1.2443467336683416</v>
      </c>
      <c r="AG98" s="200">
        <f t="shared" si="30"/>
        <v>0.37383004355481431</v>
      </c>
      <c r="AH98" s="4"/>
      <c r="AI98" s="4"/>
      <c r="AJ98" s="332">
        <f>MAX($B$2:B98)</f>
        <v>983</v>
      </c>
      <c r="AP98" s="355">
        <f t="shared" si="27"/>
        <v>1.773787853715042</v>
      </c>
      <c r="AT98" s="179">
        <f t="shared" si="28"/>
        <v>2.1646784986907187E-2</v>
      </c>
    </row>
    <row r="99" spans="1:46" hidden="1" x14ac:dyDescent="0.25">
      <c r="A99" s="259">
        <v>43990</v>
      </c>
      <c r="B99" s="681">
        <v>826</v>
      </c>
      <c r="C99" s="523">
        <v>23620</v>
      </c>
      <c r="D99" s="670">
        <v>29</v>
      </c>
      <c r="E99" s="515">
        <v>693</v>
      </c>
      <c r="F99" s="515">
        <f t="shared" si="22"/>
        <v>263</v>
      </c>
      <c r="G99" s="506">
        <v>7568</v>
      </c>
      <c r="H99" s="506">
        <v>265</v>
      </c>
      <c r="I99" s="515">
        <v>4531</v>
      </c>
      <c r="J99" s="511">
        <v>203810</v>
      </c>
      <c r="K99" s="511"/>
      <c r="L99" s="541">
        <f t="shared" si="20"/>
        <v>2.9339542760372567E-2</v>
      </c>
      <c r="M99" s="522">
        <v>143482</v>
      </c>
      <c r="N99" s="511">
        <v>144348</v>
      </c>
      <c r="O99" s="520">
        <v>986</v>
      </c>
      <c r="P99" s="511">
        <v>9822</v>
      </c>
      <c r="Q99" s="511">
        <v>8919</v>
      </c>
      <c r="R99" s="512">
        <f t="shared" si="29"/>
        <v>3893</v>
      </c>
      <c r="S99" s="510">
        <f t="shared" si="21"/>
        <v>15359</v>
      </c>
      <c r="T99" s="518">
        <f t="shared" si="25"/>
        <v>1.7253727456214597E-2</v>
      </c>
      <c r="U99" s="519">
        <f t="shared" si="26"/>
        <v>2.9339542760372567E-2</v>
      </c>
      <c r="V99" s="512">
        <f>SUM(B86:B99)/POBLA!$B$25*100000</f>
        <v>24.224241954540442</v>
      </c>
      <c r="W99" s="512">
        <f>B99/POBLA!$B$25*100000</f>
        <v>1.8201786459065228</v>
      </c>
      <c r="X99" s="513">
        <f t="shared" si="34"/>
        <v>1.730908518343568</v>
      </c>
      <c r="Y99" s="520"/>
      <c r="Z99" s="520">
        <f t="shared" si="18"/>
        <v>0.17601838193577668</v>
      </c>
      <c r="AA99" s="517">
        <f t="shared" si="23"/>
        <v>886.42857142857144</v>
      </c>
      <c r="AB99" s="517">
        <f t="shared" si="24"/>
        <v>19.428571428571427</v>
      </c>
      <c r="AC99" s="517">
        <f t="shared" si="35"/>
        <v>22.489920358387256</v>
      </c>
      <c r="AD99" s="517">
        <f t="shared" si="32"/>
        <v>3.0613489298158285</v>
      </c>
      <c r="AE99" s="545">
        <f t="shared" si="33"/>
        <v>785.21428571428567</v>
      </c>
      <c r="AF99" s="520">
        <f t="shared" si="31"/>
        <v>1.2959482038429406</v>
      </c>
      <c r="AG99" s="200">
        <f t="shared" si="30"/>
        <v>0.37748878923766815</v>
      </c>
      <c r="AH99" s="4"/>
      <c r="AI99" s="4"/>
      <c r="AJ99" s="332">
        <f>MAX($B$2:B99)</f>
        <v>983</v>
      </c>
      <c r="AP99" s="355">
        <f t="shared" si="27"/>
        <v>1.7309085183435677</v>
      </c>
      <c r="AT99" s="179">
        <f t="shared" si="28"/>
        <v>2.2077776532556315E-2</v>
      </c>
    </row>
    <row r="100" spans="1:46" hidden="1" x14ac:dyDescent="0.25">
      <c r="A100" s="259">
        <v>43991</v>
      </c>
      <c r="B100" s="681">
        <v>1141</v>
      </c>
      <c r="C100" s="523">
        <v>24761</v>
      </c>
      <c r="D100" s="670">
        <v>24</v>
      </c>
      <c r="E100" s="524">
        <v>717</v>
      </c>
      <c r="F100" s="515">
        <f t="shared" si="22"/>
        <v>423</v>
      </c>
      <c r="G100" s="506">
        <v>7991</v>
      </c>
      <c r="H100" s="506">
        <v>263</v>
      </c>
      <c r="I100" s="515">
        <v>5468</v>
      </c>
      <c r="J100" s="511">
        <v>208519</v>
      </c>
      <c r="K100" s="511"/>
      <c r="L100" s="541">
        <f t="shared" si="20"/>
        <v>2.8956827268688663E-2</v>
      </c>
      <c r="M100" s="522">
        <v>147178</v>
      </c>
      <c r="N100" s="511">
        <v>147917</v>
      </c>
      <c r="O100" s="520">
        <v>992</v>
      </c>
      <c r="P100" s="511">
        <v>10260</v>
      </c>
      <c r="Q100" s="511">
        <v>9406</v>
      </c>
      <c r="R100" s="512">
        <f t="shared" si="29"/>
        <v>4103</v>
      </c>
      <c r="S100" s="510">
        <f t="shared" si="21"/>
        <v>16053</v>
      </c>
      <c r="T100" s="518">
        <f t="shared" si="25"/>
        <v>1.6383230548807078E-2</v>
      </c>
      <c r="U100" s="519">
        <f t="shared" si="26"/>
        <v>2.8956827268688663E-2</v>
      </c>
      <c r="V100" s="512">
        <f>SUM(B87:B100)/POBLA!$B$25*100000</f>
        <v>25.416392859425951</v>
      </c>
      <c r="W100" s="512">
        <f>B100/POBLA!$B$25*100000</f>
        <v>2.5143145701929086</v>
      </c>
      <c r="X100" s="513">
        <f t="shared" si="34"/>
        <v>1.7302730273027302</v>
      </c>
      <c r="Y100" s="520"/>
      <c r="Z100" s="520">
        <f t="shared" si="18"/>
        <v>0.18109749240976047</v>
      </c>
      <c r="AA100" s="517">
        <f t="shared" si="23"/>
        <v>920.28571428571433</v>
      </c>
      <c r="AB100" s="517">
        <f t="shared" si="24"/>
        <v>21</v>
      </c>
      <c r="AC100" s="517">
        <f t="shared" si="35"/>
        <v>23.384487450861808</v>
      </c>
      <c r="AD100" s="517">
        <f t="shared" si="32"/>
        <v>2.3844874508618084</v>
      </c>
      <c r="AE100" s="545">
        <f t="shared" si="33"/>
        <v>823.85714285714289</v>
      </c>
      <c r="AF100" s="520">
        <f t="shared" si="31"/>
        <v>1.265121759622938</v>
      </c>
      <c r="AG100" s="200">
        <f t="shared" si="30"/>
        <v>0.35422642146111016</v>
      </c>
      <c r="AH100" s="4"/>
      <c r="AI100" s="4"/>
      <c r="AJ100" s="332">
        <f>MAX($B$2:B100)</f>
        <v>1141</v>
      </c>
      <c r="AP100" s="355">
        <f t="shared" si="27"/>
        <v>1.7302730273027302</v>
      </c>
      <c r="AT100" s="179">
        <f t="shared" si="28"/>
        <v>2.205136419456458E-2</v>
      </c>
    </row>
    <row r="101" spans="1:46" hidden="1" x14ac:dyDescent="0.25">
      <c r="A101" s="259">
        <v>43992</v>
      </c>
      <c r="B101" s="681">
        <v>1226</v>
      </c>
      <c r="C101" s="515">
        <v>25987</v>
      </c>
      <c r="D101" s="670">
        <v>18</v>
      </c>
      <c r="E101" s="524">
        <v>735</v>
      </c>
      <c r="F101" s="515">
        <f t="shared" si="22"/>
        <v>341</v>
      </c>
      <c r="G101" s="506">
        <v>8332</v>
      </c>
      <c r="H101" s="506">
        <v>325</v>
      </c>
      <c r="I101" s="515">
        <v>6288</v>
      </c>
      <c r="J101" s="511">
        <v>214807</v>
      </c>
      <c r="K101" s="511"/>
      <c r="L101" s="541">
        <f t="shared" si="20"/>
        <v>2.8283372455458498E-2</v>
      </c>
      <c r="M101" s="522">
        <v>150755</v>
      </c>
      <c r="N101" s="511">
        <v>151512</v>
      </c>
      <c r="O101" s="520">
        <v>996</v>
      </c>
      <c r="P101" s="511">
        <v>10657</v>
      </c>
      <c r="Q101" s="511">
        <v>9948</v>
      </c>
      <c r="R101" s="512">
        <f t="shared" si="29"/>
        <v>4386</v>
      </c>
      <c r="S101" s="510">
        <f t="shared" si="21"/>
        <v>16920</v>
      </c>
      <c r="T101" s="518">
        <f t="shared" si="25"/>
        <v>1.9208037825059102E-2</v>
      </c>
      <c r="U101" s="519">
        <f t="shared" si="26"/>
        <v>2.8283372455458498E-2</v>
      </c>
      <c r="V101" s="512">
        <f>SUM(B88:B101)/POBLA!$B$25*100000</f>
        <v>26.562268036025699</v>
      </c>
      <c r="W101" s="512">
        <f>B101/POBLA!$B$25*100000</f>
        <v>2.7016210894447905</v>
      </c>
      <c r="X101" s="513">
        <f t="shared" si="34"/>
        <v>1.7083333333333333</v>
      </c>
      <c r="Y101" s="520"/>
      <c r="Z101" s="520">
        <f t="shared" si="18"/>
        <v>0.18479606149784097</v>
      </c>
      <c r="AA101" s="517">
        <f t="shared" si="23"/>
        <v>959.85714285714289</v>
      </c>
      <c r="AB101" s="517">
        <f t="shared" si="24"/>
        <v>21.571428571428573</v>
      </c>
      <c r="AC101" s="517">
        <f t="shared" si="35"/>
        <v>23.843700977125224</v>
      </c>
      <c r="AD101" s="517">
        <f t="shared" si="32"/>
        <v>2.2722724056966506</v>
      </c>
      <c r="AE101" s="545">
        <f t="shared" si="33"/>
        <v>861</v>
      </c>
      <c r="AF101" s="520">
        <f t="shared" si="31"/>
        <v>1.2594189315838802</v>
      </c>
      <c r="AG101" s="200">
        <f t="shared" si="30"/>
        <v>0.33312322722975107</v>
      </c>
      <c r="AH101" s="4"/>
      <c r="AI101" s="4"/>
      <c r="AJ101" s="332">
        <f>MAX($B$2:B101)</f>
        <v>1226</v>
      </c>
      <c r="AP101" s="355">
        <f t="shared" si="27"/>
        <v>1.7083333333333333</v>
      </c>
      <c r="AT101" s="179">
        <f t="shared" si="28"/>
        <v>2.1409365329004108E-2</v>
      </c>
    </row>
    <row r="102" spans="1:46" hidden="1" x14ac:dyDescent="0.25">
      <c r="A102" s="259">
        <v>43993</v>
      </c>
      <c r="B102" s="681">
        <v>1386</v>
      </c>
      <c r="C102" s="515">
        <v>27373</v>
      </c>
      <c r="D102" s="670">
        <v>30</v>
      </c>
      <c r="E102" s="524">
        <v>765</v>
      </c>
      <c r="F102" s="515">
        <f t="shared" si="22"/>
        <v>411</v>
      </c>
      <c r="G102" s="506">
        <v>8743</v>
      </c>
      <c r="H102" s="506">
        <v>295</v>
      </c>
      <c r="I102" s="515">
        <v>6498</v>
      </c>
      <c r="J102" s="511">
        <v>221305</v>
      </c>
      <c r="K102" s="511"/>
      <c r="L102" s="541">
        <f t="shared" si="20"/>
        <v>2.7947247287473057E-2</v>
      </c>
      <c r="M102" s="522">
        <v>154725</v>
      </c>
      <c r="N102" s="511">
        <v>155502</v>
      </c>
      <c r="O102" s="520">
        <v>999</v>
      </c>
      <c r="P102" s="511">
        <v>11091</v>
      </c>
      <c r="Q102" s="511">
        <v>10542</v>
      </c>
      <c r="R102" s="512">
        <f t="shared" si="29"/>
        <v>4741</v>
      </c>
      <c r="S102" s="510">
        <f t="shared" si="21"/>
        <v>17865</v>
      </c>
      <c r="T102" s="518">
        <f t="shared" si="25"/>
        <v>1.6512734396865379E-2</v>
      </c>
      <c r="U102" s="519">
        <f t="shared" si="26"/>
        <v>2.7947247287473057E-2</v>
      </c>
      <c r="V102" s="512">
        <f>SUM(B89:B102)/POBLA!$B$25*100000</f>
        <v>27.921893005183477</v>
      </c>
      <c r="W102" s="512">
        <f>B102/POBLA!$B$25*100000</f>
        <v>3.0541980668600974</v>
      </c>
      <c r="X102" s="513">
        <f t="shared" si="34"/>
        <v>1.6738441215323645</v>
      </c>
      <c r="Y102" s="520"/>
      <c r="Z102" s="520">
        <f t="shared" si="18"/>
        <v>0.1916513099911866</v>
      </c>
      <c r="AA102" s="517">
        <f t="shared" si="23"/>
        <v>1025.1428571428571</v>
      </c>
      <c r="AB102" s="517">
        <f t="shared" si="24"/>
        <v>22.285714285714285</v>
      </c>
      <c r="AC102" s="517">
        <f t="shared" si="35"/>
        <v>23.555356899935866</v>
      </c>
      <c r="AD102" s="517">
        <f t="shared" si="32"/>
        <v>1.2696426142215813</v>
      </c>
      <c r="AE102" s="545">
        <f t="shared" si="33"/>
        <v>905.07142857142856</v>
      </c>
      <c r="AF102" s="520">
        <f t="shared" si="31"/>
        <v>1.3059144676979071</v>
      </c>
      <c r="AG102" s="200">
        <f t="shared" si="30"/>
        <v>0.32323531590252563</v>
      </c>
      <c r="AH102" s="4"/>
      <c r="AI102" s="4"/>
      <c r="AJ102" s="332">
        <f>MAX($B$2:B102)</f>
        <v>1386</v>
      </c>
      <c r="AP102" s="355">
        <f t="shared" si="27"/>
        <v>1.6738441215323647</v>
      </c>
      <c r="AT102" s="179">
        <f t="shared" si="28"/>
        <v>2.1477993465308477E-2</v>
      </c>
    </row>
    <row r="103" spans="1:46" hidden="1" x14ac:dyDescent="0.25">
      <c r="A103" s="259">
        <v>43994</v>
      </c>
      <c r="B103" s="681">
        <v>1391</v>
      </c>
      <c r="C103" s="515">
        <v>28764</v>
      </c>
      <c r="D103" s="670">
        <v>20</v>
      </c>
      <c r="E103" s="524">
        <v>785</v>
      </c>
      <c r="F103" s="515">
        <f t="shared" si="22"/>
        <v>340</v>
      </c>
      <c r="G103" s="506">
        <v>9083</v>
      </c>
      <c r="H103" s="506">
        <v>280</v>
      </c>
      <c r="I103" s="515">
        <v>7019</v>
      </c>
      <c r="J103" s="511">
        <v>228324</v>
      </c>
      <c r="K103" s="511"/>
      <c r="L103" s="541">
        <f t="shared" si="20"/>
        <v>2.7291058267278543E-2</v>
      </c>
      <c r="M103" s="24">
        <v>158691</v>
      </c>
      <c r="N103" s="511">
        <v>159488</v>
      </c>
      <c r="O103" s="520">
        <v>1005</v>
      </c>
      <c r="P103" s="511">
        <v>11529</v>
      </c>
      <c r="Q103" s="511">
        <v>11161</v>
      </c>
      <c r="R103" s="512">
        <f t="shared" si="29"/>
        <v>5069</v>
      </c>
      <c r="S103" s="510">
        <f t="shared" si="21"/>
        <v>18896</v>
      </c>
      <c r="T103" s="518">
        <f t="shared" si="25"/>
        <v>1.4817950889077053E-2</v>
      </c>
      <c r="U103" s="519">
        <f t="shared" si="26"/>
        <v>2.7291058267278543E-2</v>
      </c>
      <c r="V103" s="512">
        <f>SUM(B90:B103)/POBLA!$B$25*100000</f>
        <v>29.407123522545458</v>
      </c>
      <c r="W103" s="512">
        <f>B103/POBLA!$B$25*100000</f>
        <v>3.0652160974043263</v>
      </c>
      <c r="X103" s="513">
        <f t="shared" si="34"/>
        <v>1.6803072273986401</v>
      </c>
      <c r="Y103" s="520"/>
      <c r="Z103" s="520">
        <f t="shared" si="18"/>
        <v>0.19789479075961686</v>
      </c>
      <c r="AA103" s="517">
        <f t="shared" si="23"/>
        <v>1103.8571428571429</v>
      </c>
      <c r="AB103" s="517">
        <f t="shared" si="24"/>
        <v>21.714285714285715</v>
      </c>
      <c r="AC103" s="517">
        <f t="shared" si="35"/>
        <v>22.985741154234574</v>
      </c>
      <c r="AD103" s="517">
        <f t="shared" si="32"/>
        <v>1.2714554399488591</v>
      </c>
      <c r="AE103" s="545">
        <f t="shared" si="33"/>
        <v>953.21428571428567</v>
      </c>
      <c r="AF103" s="520">
        <f t="shared" si="31"/>
        <v>1.3754004983980064</v>
      </c>
      <c r="AG103" s="200">
        <f t="shared" si="30"/>
        <v>0.32836555360281205</v>
      </c>
      <c r="AH103" s="4"/>
      <c r="AI103" s="4"/>
      <c r="AJ103" s="332">
        <f>MAX($B$2:B103)</f>
        <v>1391</v>
      </c>
      <c r="AP103" s="355">
        <f t="shared" si="27"/>
        <v>1.6803072273986399</v>
      </c>
      <c r="AT103" s="179">
        <f t="shared" si="28"/>
        <v>2.0879974414035728E-2</v>
      </c>
    </row>
    <row r="104" spans="1:46" hidden="1" x14ac:dyDescent="0.25">
      <c r="A104" s="259">
        <v>43995</v>
      </c>
      <c r="B104" s="682">
        <v>1531</v>
      </c>
      <c r="C104" s="515">
        <v>30295</v>
      </c>
      <c r="D104" s="670">
        <v>30</v>
      </c>
      <c r="E104" s="515">
        <v>815</v>
      </c>
      <c r="F104" s="515">
        <f t="shared" si="22"/>
        <v>481</v>
      </c>
      <c r="G104" s="150">
        <v>9564</v>
      </c>
      <c r="H104" s="150">
        <v>293</v>
      </c>
      <c r="I104" s="515">
        <v>6046</v>
      </c>
      <c r="J104" s="511">
        <v>234370</v>
      </c>
      <c r="K104" s="511"/>
      <c r="L104" s="541">
        <f t="shared" si="20"/>
        <v>2.6902129064202012E-2</v>
      </c>
      <c r="M104" s="24">
        <v>162346</v>
      </c>
      <c r="N104" s="511">
        <v>163161</v>
      </c>
      <c r="O104" s="520">
        <v>1011</v>
      </c>
      <c r="P104" s="511">
        <v>11950</v>
      </c>
      <c r="Q104" s="511">
        <v>11707</v>
      </c>
      <c r="R104" s="512">
        <f t="shared" si="29"/>
        <v>5627</v>
      </c>
      <c r="S104" s="510">
        <f t="shared" si="21"/>
        <v>19916</v>
      </c>
      <c r="T104" s="518">
        <f t="shared" si="25"/>
        <v>1.4711789515967062E-2</v>
      </c>
      <c r="U104" s="519">
        <f t="shared" si="26"/>
        <v>2.6902129064202012E-2</v>
      </c>
      <c r="V104" s="512">
        <f>SUM(B91:B104)/POBLA!$B$25*100000</f>
        <v>31.028977618655873</v>
      </c>
      <c r="W104" s="512">
        <f>B104/POBLA!$B$25*100000</f>
        <v>3.3737209526427199</v>
      </c>
      <c r="X104" s="513">
        <f t="shared" si="34"/>
        <v>1.6743162901307966</v>
      </c>
      <c r="Y104" s="520"/>
      <c r="Z104" s="520">
        <f t="shared" si="18"/>
        <v>0.20453815161776701</v>
      </c>
      <c r="AA104" s="517">
        <f t="shared" si="23"/>
        <v>1182.1428571428571</v>
      </c>
      <c r="AB104" s="517">
        <f t="shared" si="24"/>
        <v>23.714285714285715</v>
      </c>
      <c r="AC104" s="517">
        <f t="shared" si="35"/>
        <v>22.6183368869936</v>
      </c>
      <c r="AD104" s="517">
        <f t="shared" si="32"/>
        <v>-1.0959488272921156</v>
      </c>
      <c r="AE104" s="545">
        <f t="shared" si="33"/>
        <v>1005.7857142857143</v>
      </c>
      <c r="AF104" s="520">
        <f t="shared" si="31"/>
        <v>1.4252497416465724</v>
      </c>
      <c r="AG104" s="200">
        <f t="shared" si="30"/>
        <v>0.37703104473484061</v>
      </c>
      <c r="AH104" s="4"/>
      <c r="AI104" s="4"/>
      <c r="AJ104" s="332">
        <f>MAX($B$2:B104)</f>
        <v>1531</v>
      </c>
      <c r="AP104" s="355">
        <f t="shared" si="27"/>
        <v>1.6743162901307969</v>
      </c>
      <c r="AT104" s="179">
        <f t="shared" si="28"/>
        <v>1.9988775201830504E-2</v>
      </c>
    </row>
    <row r="105" spans="1:46" hidden="1" x14ac:dyDescent="0.25">
      <c r="A105" s="259">
        <v>43996</v>
      </c>
      <c r="B105" s="681">
        <v>1282</v>
      </c>
      <c r="C105" s="515">
        <v>31577</v>
      </c>
      <c r="D105" s="670">
        <v>18</v>
      </c>
      <c r="E105" s="515">
        <v>833</v>
      </c>
      <c r="F105" s="515">
        <f t="shared" si="22"/>
        <v>327</v>
      </c>
      <c r="G105" s="150">
        <v>9891</v>
      </c>
      <c r="H105" s="151">
        <v>316</v>
      </c>
      <c r="I105" s="515">
        <v>5571</v>
      </c>
      <c r="J105" s="511">
        <v>239941</v>
      </c>
      <c r="K105" s="511"/>
      <c r="L105" s="541">
        <f t="shared" si="20"/>
        <v>2.6379960097539349E-2</v>
      </c>
      <c r="M105" s="522">
        <v>165611</v>
      </c>
      <c r="N105" s="511">
        <v>166443</v>
      </c>
      <c r="O105" s="520">
        <v>1022</v>
      </c>
      <c r="P105" s="511">
        <v>12386</v>
      </c>
      <c r="Q105" s="511">
        <v>12167</v>
      </c>
      <c r="R105" s="512">
        <f t="shared" si="29"/>
        <v>6002</v>
      </c>
      <c r="S105" s="510">
        <f t="shared" si="21"/>
        <v>20853</v>
      </c>
      <c r="T105" s="518">
        <f t="shared" si="25"/>
        <v>1.5153694912003069E-2</v>
      </c>
      <c r="U105" s="519">
        <f t="shared" si="26"/>
        <v>2.6379960097539349E-2</v>
      </c>
      <c r="V105" s="512">
        <f>SUM(B92:B105)/POBLA!$B$25*100000</f>
        <v>32.450303558861329</v>
      </c>
      <c r="W105" s="512">
        <f>B105/POBLA!$B$25*100000</f>
        <v>2.8250230315401481</v>
      </c>
      <c r="X105" s="513">
        <f t="shared" si="34"/>
        <v>1.6764571948998179</v>
      </c>
      <c r="Y105" s="520"/>
      <c r="Z105" s="520">
        <f t="shared" si="18"/>
        <v>0.21204220081601119</v>
      </c>
      <c r="AA105" s="517">
        <f t="shared" si="23"/>
        <v>1254.7142857142858</v>
      </c>
      <c r="AB105" s="517">
        <f t="shared" si="24"/>
        <v>24.142857142857142</v>
      </c>
      <c r="AC105" s="517">
        <f t="shared" si="35"/>
        <v>21.823749332383837</v>
      </c>
      <c r="AD105" s="517">
        <f t="shared" si="32"/>
        <v>-2.3191078104733052</v>
      </c>
      <c r="AE105" s="545">
        <f t="shared" si="33"/>
        <v>1051.8571428571429</v>
      </c>
      <c r="AF105" s="520">
        <f t="shared" si="31"/>
        <v>1.4778731280498065</v>
      </c>
      <c r="AG105" s="200">
        <f t="shared" si="30"/>
        <v>0.40661045531197293</v>
      </c>
      <c r="AH105" s="4"/>
      <c r="AI105" s="4"/>
      <c r="AJ105" s="332">
        <f>MAX($B$2:B105)</f>
        <v>1531</v>
      </c>
      <c r="AP105" s="355">
        <f t="shared" si="27"/>
        <v>1.6764571948998179</v>
      </c>
      <c r="AT105" s="179">
        <f t="shared" si="28"/>
        <v>1.983402489626556E-2</v>
      </c>
    </row>
    <row r="106" spans="1:46" hidden="1" x14ac:dyDescent="0.25">
      <c r="A106" s="259">
        <v>43997</v>
      </c>
      <c r="B106" s="681">
        <v>1208</v>
      </c>
      <c r="C106" s="515">
        <v>32785</v>
      </c>
      <c r="D106" s="670">
        <v>21</v>
      </c>
      <c r="E106" s="515">
        <v>854</v>
      </c>
      <c r="F106" s="515">
        <f t="shared" si="22"/>
        <v>273</v>
      </c>
      <c r="G106" s="150">
        <v>10164</v>
      </c>
      <c r="H106" s="152">
        <v>324</v>
      </c>
      <c r="I106" s="515">
        <v>5118</v>
      </c>
      <c r="J106" s="511">
        <v>245059</v>
      </c>
      <c r="K106" s="511"/>
      <c r="L106" s="541">
        <f t="shared" si="20"/>
        <v>2.6048497788622844E-2</v>
      </c>
      <c r="M106" s="522">
        <v>168596</v>
      </c>
      <c r="N106" s="511">
        <v>169443</v>
      </c>
      <c r="O106" s="520">
        <v>1028</v>
      </c>
      <c r="P106" s="511">
        <v>12835</v>
      </c>
      <c r="Q106" s="511">
        <v>12828</v>
      </c>
      <c r="R106" s="512">
        <f t="shared" si="29"/>
        <v>6094</v>
      </c>
      <c r="S106" s="510">
        <f t="shared" si="21"/>
        <v>21767</v>
      </c>
      <c r="T106" s="518">
        <f t="shared" si="25"/>
        <v>1.4884917535719208E-2</v>
      </c>
      <c r="U106" s="519">
        <f t="shared" si="26"/>
        <v>2.6048497788622844E-2</v>
      </c>
      <c r="V106" s="512">
        <f>SUM(B93:B106)/POBLA!$B$25*100000</f>
        <v>33.869425892957942</v>
      </c>
      <c r="W106" s="512">
        <f>B106/POBLA!$B$25*100000</f>
        <v>2.6619561794855686</v>
      </c>
      <c r="X106" s="513">
        <f t="shared" si="34"/>
        <v>1.699281370923162</v>
      </c>
      <c r="Y106" s="520"/>
      <c r="Z106" s="520">
        <f t="shared" si="18"/>
        <v>0.21817272900399923</v>
      </c>
      <c r="AA106" s="517">
        <f t="shared" si="23"/>
        <v>1309.2857142857142</v>
      </c>
      <c r="AB106" s="517">
        <f t="shared" si="24"/>
        <v>23</v>
      </c>
      <c r="AC106" s="517">
        <f t="shared" si="35"/>
        <v>21.837726098191215</v>
      </c>
      <c r="AD106" s="517">
        <f t="shared" si="32"/>
        <v>-1.1622739018087849</v>
      </c>
      <c r="AE106" s="545">
        <f t="shared" si="33"/>
        <v>1097.8571428571429</v>
      </c>
      <c r="AF106" s="520">
        <f t="shared" si="31"/>
        <v>1.4770346494762288</v>
      </c>
      <c r="AG106" s="200">
        <f t="shared" si="30"/>
        <v>0.4172146624129176</v>
      </c>
      <c r="AH106" s="4"/>
      <c r="AI106" s="4"/>
      <c r="AJ106" s="332">
        <f>MAX($B$2:B106)</f>
        <v>1531</v>
      </c>
      <c r="AP106" s="355">
        <f t="shared" si="27"/>
        <v>1.699281370923162</v>
      </c>
      <c r="AT106" s="179">
        <f t="shared" si="28"/>
        <v>1.9694968175813617E-2</v>
      </c>
    </row>
    <row r="107" spans="1:46" hidden="1" x14ac:dyDescent="0.25">
      <c r="A107" s="259">
        <v>43998</v>
      </c>
      <c r="B107" s="681">
        <v>1374</v>
      </c>
      <c r="C107" s="515">
        <v>34159</v>
      </c>
      <c r="D107" s="670">
        <v>24</v>
      </c>
      <c r="E107" s="524">
        <v>878</v>
      </c>
      <c r="F107" s="515">
        <f t="shared" si="22"/>
        <v>348</v>
      </c>
      <c r="G107" s="150">
        <v>10512</v>
      </c>
      <c r="H107" s="152">
        <v>345</v>
      </c>
      <c r="I107" s="524">
        <v>5556</v>
      </c>
      <c r="J107" s="511">
        <v>250615</v>
      </c>
      <c r="K107" s="511"/>
      <c r="L107" s="541">
        <f t="shared" si="20"/>
        <v>2.5703328551772594E-2</v>
      </c>
      <c r="M107" s="522">
        <v>171855</v>
      </c>
      <c r="N107" s="511">
        <v>172718</v>
      </c>
      <c r="O107" s="520">
        <v>1030</v>
      </c>
      <c r="P107" s="511">
        <v>13340</v>
      </c>
      <c r="Q107" s="511">
        <v>13602</v>
      </c>
      <c r="R107" s="512">
        <f t="shared" si="29"/>
        <v>6187</v>
      </c>
      <c r="S107" s="510">
        <f t="shared" si="21"/>
        <v>22769</v>
      </c>
      <c r="T107" s="518">
        <f t="shared" si="25"/>
        <v>1.5152180596424964E-2</v>
      </c>
      <c r="U107" s="519">
        <f t="shared" si="26"/>
        <v>2.5703328551772594E-2</v>
      </c>
      <c r="V107" s="512">
        <f>SUM(B94:B107)/POBLA!$B$25*100000</f>
        <v>34.905120764115402</v>
      </c>
      <c r="W107" s="512">
        <f>B107/POBLA!$B$25*100000</f>
        <v>3.0277547935539495</v>
      </c>
      <c r="X107" s="513">
        <f t="shared" si="34"/>
        <v>1.6654400168226264</v>
      </c>
      <c r="Y107" s="520"/>
      <c r="Z107" s="520">
        <f t="shared" si="18"/>
        <v>0.22325161535537819</v>
      </c>
      <c r="AA107" s="517">
        <f t="shared" si="23"/>
        <v>1342.5714285714287</v>
      </c>
      <c r="AB107" s="517">
        <f t="shared" si="24"/>
        <v>23</v>
      </c>
      <c r="AC107" s="517">
        <f t="shared" si="35"/>
        <v>22.594402376923256</v>
      </c>
      <c r="AD107" s="517">
        <f t="shared" si="32"/>
        <v>-0.40559762307674418</v>
      </c>
      <c r="AE107" s="545">
        <f t="shared" si="33"/>
        <v>1131.4285714285713</v>
      </c>
      <c r="AF107" s="520">
        <f t="shared" si="31"/>
        <v>1.4588637069233157</v>
      </c>
      <c r="AG107" s="200">
        <f t="shared" si="30"/>
        <v>0.41836416869121029</v>
      </c>
      <c r="AH107" s="4"/>
      <c r="AI107" s="4"/>
      <c r="AJ107" s="332">
        <f>MAX($B$2:B107)</f>
        <v>1531</v>
      </c>
      <c r="AP107" s="355">
        <f t="shared" si="27"/>
        <v>1.6654400168226262</v>
      </c>
      <c r="AT107" s="179">
        <f t="shared" si="28"/>
        <v>1.93929173693086E-2</v>
      </c>
    </row>
    <row r="108" spans="1:46" hidden="1" x14ac:dyDescent="0.25">
      <c r="A108" s="259">
        <v>43999</v>
      </c>
      <c r="B108" s="670">
        <v>1393</v>
      </c>
      <c r="C108" s="515">
        <v>35552</v>
      </c>
      <c r="D108" s="670">
        <v>35</v>
      </c>
      <c r="E108" s="524">
        <v>913</v>
      </c>
      <c r="F108" s="515">
        <f t="shared" si="22"/>
        <v>209</v>
      </c>
      <c r="G108" s="150">
        <v>10721</v>
      </c>
      <c r="H108" s="152">
        <v>353</v>
      </c>
      <c r="I108" s="515">
        <v>6477</v>
      </c>
      <c r="J108" s="511">
        <v>257092</v>
      </c>
      <c r="K108" s="511"/>
      <c r="L108" s="541">
        <f t="shared" si="20"/>
        <v>2.5680693069306929E-2</v>
      </c>
      <c r="M108" s="522">
        <v>175554</v>
      </c>
      <c r="N108" s="511">
        <v>176436</v>
      </c>
      <c r="O108" s="520">
        <v>1036</v>
      </c>
      <c r="P108" s="511">
        <v>13805</v>
      </c>
      <c r="Q108" s="511">
        <v>14433</v>
      </c>
      <c r="R108" s="512">
        <f t="shared" si="29"/>
        <v>6278</v>
      </c>
      <c r="S108" s="510">
        <f t="shared" si="21"/>
        <v>23918</v>
      </c>
      <c r="T108" s="518">
        <f t="shared" si="25"/>
        <v>1.4758759093569697E-2</v>
      </c>
      <c r="U108" s="519">
        <f t="shared" si="26"/>
        <v>2.5680693069306929E-2</v>
      </c>
      <c r="V108" s="512">
        <f>SUM(B95:B108)/POBLA!$B$25*100000</f>
        <v>35.883521876442877</v>
      </c>
      <c r="W108" s="512">
        <f>B108/POBLA!$B$25*100000</f>
        <v>3.0696233096220173</v>
      </c>
      <c r="X108" s="513">
        <f t="shared" si="34"/>
        <v>1.630682956138594</v>
      </c>
      <c r="Y108" s="520"/>
      <c r="Z108" s="520">
        <f t="shared" si="18"/>
        <v>0.22620314532340074</v>
      </c>
      <c r="AA108" s="517">
        <f t="shared" si="23"/>
        <v>1366.4285714285713</v>
      </c>
      <c r="AB108" s="517">
        <f t="shared" si="24"/>
        <v>25.428571428571427</v>
      </c>
      <c r="AC108" s="517">
        <f t="shared" si="35"/>
        <v>23.060477772175922</v>
      </c>
      <c r="AD108" s="517">
        <f t="shared" si="32"/>
        <v>-2.3680936563955051</v>
      </c>
      <c r="AE108" s="545">
        <f t="shared" si="33"/>
        <v>1163.1428571428571</v>
      </c>
      <c r="AF108" s="520">
        <f t="shared" si="31"/>
        <v>1.4235749367465396</v>
      </c>
      <c r="AG108" s="200">
        <f t="shared" si="30"/>
        <v>0.41359338061465722</v>
      </c>
      <c r="AH108" s="4"/>
      <c r="AI108" s="4"/>
      <c r="AJ108" s="488">
        <f>MAX($B$2:B108)</f>
        <v>1531</v>
      </c>
      <c r="AP108" s="355">
        <f t="shared" si="27"/>
        <v>1.6306829561385938</v>
      </c>
      <c r="AT108" s="179">
        <f t="shared" si="28"/>
        <v>1.9571775439629166E-2</v>
      </c>
    </row>
    <row r="109" spans="1:46" hidden="1" x14ac:dyDescent="0.25">
      <c r="A109" s="259">
        <v>44000</v>
      </c>
      <c r="B109" s="681">
        <v>1958</v>
      </c>
      <c r="C109" s="515">
        <v>37510</v>
      </c>
      <c r="D109" s="670">
        <v>35</v>
      </c>
      <c r="E109" s="524">
        <v>948</v>
      </c>
      <c r="F109" s="515">
        <f t="shared" si="22"/>
        <v>1130</v>
      </c>
      <c r="G109" s="150">
        <v>11851</v>
      </c>
      <c r="H109" s="515">
        <v>364</v>
      </c>
      <c r="I109" s="515">
        <v>7512</v>
      </c>
      <c r="J109" s="511">
        <v>264604</v>
      </c>
      <c r="K109" s="511"/>
      <c r="L109" s="541">
        <f t="shared" si="20"/>
        <v>2.5273260463876301E-2</v>
      </c>
      <c r="M109" s="522">
        <v>180447</v>
      </c>
      <c r="N109" s="511">
        <v>181353</v>
      </c>
      <c r="O109" s="520">
        <v>1049</v>
      </c>
      <c r="P109" s="511">
        <v>14420</v>
      </c>
      <c r="Q109" s="511">
        <v>15347</v>
      </c>
      <c r="R109" s="512">
        <f t="shared" si="29"/>
        <v>6694</v>
      </c>
      <c r="S109" s="510">
        <f t="shared" si="21"/>
        <v>24711</v>
      </c>
      <c r="T109" s="518">
        <f t="shared" si="25"/>
        <v>1.4730282060620777E-2</v>
      </c>
      <c r="U109" s="519">
        <f t="shared" si="26"/>
        <v>2.5273260463876301E-2</v>
      </c>
      <c r="V109" s="512">
        <f>SUM(B96:B109)/POBLA!$B$25*100000</f>
        <v>38.151032562445074</v>
      </c>
      <c r="W109" s="512">
        <f>B109/POBLA!$B$25*100000</f>
        <v>4.3146607611198213</v>
      </c>
      <c r="X109" s="513">
        <f t="shared" si="34"/>
        <v>1.6862764195967663</v>
      </c>
      <c r="Y109" s="520"/>
      <c r="Z109" s="520">
        <f t="shared" si="18"/>
        <v>0.2341162613455276</v>
      </c>
      <c r="AA109" s="517">
        <f t="shared" si="23"/>
        <v>1448.1428571428571</v>
      </c>
      <c r="AB109" s="517">
        <f t="shared" si="24"/>
        <v>26.142857142857142</v>
      </c>
      <c r="AC109" s="517">
        <f t="shared" si="35"/>
        <v>23.631232361241768</v>
      </c>
      <c r="AD109" s="517">
        <f t="shared" si="32"/>
        <v>-2.5116247816153745</v>
      </c>
      <c r="AE109" s="545">
        <f t="shared" si="33"/>
        <v>1236.6428571428571</v>
      </c>
      <c r="AF109" s="520">
        <f t="shared" si="31"/>
        <v>1.4126254180602007</v>
      </c>
      <c r="AG109" s="200">
        <f t="shared" si="30"/>
        <v>0.38320738874895044</v>
      </c>
      <c r="AH109" s="4"/>
      <c r="AI109" s="4"/>
      <c r="AJ109" s="488">
        <f>MAX($B$2:B109)</f>
        <v>1958</v>
      </c>
      <c r="AP109" s="355">
        <f t="shared" si="27"/>
        <v>1.6862764195967663</v>
      </c>
      <c r="AT109" s="179">
        <f t="shared" si="28"/>
        <v>1.9371472371263326E-2</v>
      </c>
    </row>
    <row r="110" spans="1:46" hidden="1" x14ac:dyDescent="0.25">
      <c r="A110" s="259">
        <v>44001</v>
      </c>
      <c r="B110" s="681">
        <v>2060</v>
      </c>
      <c r="C110" s="515">
        <v>39570</v>
      </c>
      <c r="D110" s="670">
        <v>31</v>
      </c>
      <c r="E110" s="524">
        <v>979</v>
      </c>
      <c r="F110" s="515">
        <f t="shared" si="22"/>
        <v>355</v>
      </c>
      <c r="G110" s="150">
        <v>12206</v>
      </c>
      <c r="H110" s="515">
        <v>364</v>
      </c>
      <c r="I110" s="515">
        <v>8625</v>
      </c>
      <c r="J110" s="511">
        <v>273229</v>
      </c>
      <c r="K110" s="511"/>
      <c r="L110" s="541">
        <f t="shared" si="20"/>
        <v>2.4740965377811473E-2</v>
      </c>
      <c r="M110" s="522">
        <v>185302</v>
      </c>
      <c r="N110" s="511">
        <v>186233</v>
      </c>
      <c r="O110" s="520">
        <v>1044</v>
      </c>
      <c r="P110" s="511">
        <v>15003</v>
      </c>
      <c r="Q110" s="511">
        <v>16383</v>
      </c>
      <c r="R110" s="512">
        <f t="shared" si="29"/>
        <v>7140</v>
      </c>
      <c r="S110" s="510">
        <f t="shared" si="21"/>
        <v>26385</v>
      </c>
      <c r="T110" s="518">
        <f t="shared" si="25"/>
        <v>1.3795717263596741E-2</v>
      </c>
      <c r="U110" s="519">
        <f t="shared" ref="U110:U141" si="36">E110/C110</f>
        <v>2.4740965377811473E-2</v>
      </c>
      <c r="V110" s="512">
        <f>SUM(B97:B110)/POBLA!$B$25*100000</f>
        <v>40.839432015236788</v>
      </c>
      <c r="W110" s="512">
        <f>B110/POBLA!$B$25*100000</f>
        <v>4.5394285842220787</v>
      </c>
      <c r="X110" s="513">
        <f t="shared" si="34"/>
        <v>1.7839060544807008</v>
      </c>
      <c r="Y110" s="520"/>
      <c r="Z110" s="520">
        <f t="shared" si="18"/>
        <v>0.24064135396949116</v>
      </c>
      <c r="AA110" s="517">
        <f t="shared" si="23"/>
        <v>1543.7142857142858</v>
      </c>
      <c r="AB110" s="517">
        <f t="shared" si="24"/>
        <v>27.714285714285715</v>
      </c>
      <c r="AC110" s="517">
        <f t="shared" si="35"/>
        <v>24.111096775069775</v>
      </c>
      <c r="AD110" s="517">
        <f t="shared" si="32"/>
        <v>-3.60318893921594</v>
      </c>
      <c r="AE110" s="545">
        <f t="shared" si="33"/>
        <v>1323.7857142857142</v>
      </c>
      <c r="AF110" s="520">
        <f t="shared" si="31"/>
        <v>1.3984728872783745</v>
      </c>
      <c r="AG110" s="200">
        <f t="shared" si="30"/>
        <v>0.39632726502963589</v>
      </c>
      <c r="AH110" s="4"/>
      <c r="AI110" s="4"/>
      <c r="AJ110" s="488">
        <f>MAX($B$2:B110)</f>
        <v>2060</v>
      </c>
      <c r="AP110" s="355">
        <f t="shared" si="27"/>
        <v>1.7839060544807006</v>
      </c>
      <c r="AT110" s="179">
        <f t="shared" si="28"/>
        <v>1.9050449022715268E-2</v>
      </c>
    </row>
    <row r="111" spans="1:46" hidden="1" x14ac:dyDescent="0.25">
      <c r="A111" s="259">
        <v>44002</v>
      </c>
      <c r="B111" s="681">
        <v>1634</v>
      </c>
      <c r="C111" s="524">
        <v>41204</v>
      </c>
      <c r="D111" s="671">
        <v>12</v>
      </c>
      <c r="E111" s="524">
        <v>991</v>
      </c>
      <c r="F111" s="515">
        <f t="shared" si="22"/>
        <v>522</v>
      </c>
      <c r="G111" s="150">
        <v>12728</v>
      </c>
      <c r="H111" s="515">
        <v>381</v>
      </c>
      <c r="I111" s="515">
        <v>6443</v>
      </c>
      <c r="J111" s="511">
        <v>279672</v>
      </c>
      <c r="K111" s="511"/>
      <c r="L111" s="541">
        <f t="shared" si="20"/>
        <v>2.4051063003591885E-2</v>
      </c>
      <c r="M111" s="522">
        <v>188951</v>
      </c>
      <c r="N111" s="511">
        <v>189901</v>
      </c>
      <c r="O111" s="520">
        <v>1046</v>
      </c>
      <c r="P111" s="511">
        <v>15528</v>
      </c>
      <c r="Q111" s="511">
        <v>17095</v>
      </c>
      <c r="R111" s="512">
        <f t="shared" si="29"/>
        <v>7535</v>
      </c>
      <c r="S111" s="510">
        <f t="shared" si="21"/>
        <v>27485</v>
      </c>
      <c r="T111" s="518">
        <f t="shared" si="25"/>
        <v>1.3862106603601964E-2</v>
      </c>
      <c r="U111" s="519">
        <f t="shared" si="36"/>
        <v>2.4051063003591885E-2</v>
      </c>
      <c r="V111" s="512">
        <f>SUM(B98:B111)/POBLA!$B$25*100000</f>
        <v>42.273979592095323</v>
      </c>
      <c r="W111" s="512">
        <f>B111/POBLA!$B$25*100000</f>
        <v>3.6006923818538237</v>
      </c>
      <c r="X111" s="513">
        <f t="shared" si="34"/>
        <v>1.7982752155980501</v>
      </c>
      <c r="Y111" s="520"/>
      <c r="Z111" s="520">
        <f t="shared" si="18"/>
        <v>0.24080614542404308</v>
      </c>
      <c r="AA111" s="517">
        <f t="shared" si="23"/>
        <v>1558.4285714285713</v>
      </c>
      <c r="AB111" s="517">
        <f t="shared" si="24"/>
        <v>25.142857142857142</v>
      </c>
      <c r="AC111" s="517">
        <f t="shared" si="35"/>
        <v>24.408252238224993</v>
      </c>
      <c r="AD111" s="517">
        <f t="shared" si="32"/>
        <v>-0.73460490463214967</v>
      </c>
      <c r="AE111" s="545">
        <f t="shared" si="33"/>
        <v>1370.2857142857142</v>
      </c>
      <c r="AF111" s="520">
        <f t="shared" si="31"/>
        <v>1.3183081570996977</v>
      </c>
      <c r="AG111" s="200">
        <f t="shared" si="30"/>
        <v>0.3800461940148625</v>
      </c>
      <c r="AH111" s="4"/>
      <c r="AI111" s="4"/>
      <c r="AJ111" s="488">
        <f>MAX($B$2:B111)</f>
        <v>2060</v>
      </c>
      <c r="AP111" s="355">
        <f t="shared" si="27"/>
        <v>1.7982752155980501</v>
      </c>
      <c r="AT111" s="179">
        <f t="shared" si="28"/>
        <v>1.8417855087292958E-2</v>
      </c>
    </row>
    <row r="112" spans="1:46" hidden="1" x14ac:dyDescent="0.25">
      <c r="A112" s="259">
        <v>44003</v>
      </c>
      <c r="B112" s="681">
        <v>1581</v>
      </c>
      <c r="C112" s="515">
        <v>42785</v>
      </c>
      <c r="D112" s="671">
        <v>19</v>
      </c>
      <c r="E112" s="515">
        <v>1011</v>
      </c>
      <c r="F112" s="515">
        <f t="shared" si="22"/>
        <v>425</v>
      </c>
      <c r="G112" s="515">
        <v>13153</v>
      </c>
      <c r="H112" s="515">
        <v>397</v>
      </c>
      <c r="I112" s="515">
        <v>5719</v>
      </c>
      <c r="J112" s="522">
        <v>285391</v>
      </c>
      <c r="K112" s="522"/>
      <c r="L112" s="541">
        <f t="shared" si="20"/>
        <v>2.3629776790931402E-2</v>
      </c>
      <c r="M112" s="522">
        <v>192543.73199999999</v>
      </c>
      <c r="N112" s="511">
        <v>193317</v>
      </c>
      <c r="O112" s="520">
        <v>1047</v>
      </c>
      <c r="P112" s="511">
        <v>16101</v>
      </c>
      <c r="Q112" s="511">
        <v>17750</v>
      </c>
      <c r="R112" s="512">
        <f t="shared" si="29"/>
        <v>7887</v>
      </c>
      <c r="S112" s="510">
        <f t="shared" si="21"/>
        <v>28621</v>
      </c>
      <c r="T112" s="518">
        <f t="shared" si="25"/>
        <v>1.3870933929632089E-2</v>
      </c>
      <c r="U112" s="519">
        <f t="shared" si="36"/>
        <v>2.3629776790931402E-2</v>
      </c>
      <c r="V112" s="512">
        <f>SUM(B99:B112)/POBLA!$B$25*100000</f>
        <v>44.052289721933775</v>
      </c>
      <c r="W112" s="512">
        <f>B112/POBLA!$B$25*100000</f>
        <v>3.4839012580850035</v>
      </c>
      <c r="X112" s="513">
        <f t="shared" si="34"/>
        <v>1.8650060639985073</v>
      </c>
      <c r="Y112" s="519">
        <f t="shared" ref="Y112:Y175" si="37">H112/S112</f>
        <v>1.3870933929632089E-2</v>
      </c>
      <c r="Z112" s="520">
        <f t="shared" si="18"/>
        <v>0.24660066006600659</v>
      </c>
      <c r="AA112" s="517">
        <f t="shared" si="23"/>
        <v>1601.1428571428571</v>
      </c>
      <c r="AB112" s="517">
        <f t="shared" si="24"/>
        <v>25.285714285714285</v>
      </c>
      <c r="AC112" s="517">
        <f t="shared" si="35"/>
        <v>24.731771518820743</v>
      </c>
      <c r="AD112" s="517">
        <f t="shared" si="32"/>
        <v>-0.55394276689354172</v>
      </c>
      <c r="AE112" s="545">
        <f t="shared" si="33"/>
        <v>1427.9285714285713</v>
      </c>
      <c r="AF112" s="520">
        <f t="shared" si="31"/>
        <v>1.2761015598314926</v>
      </c>
      <c r="AG112" s="200">
        <f t="shared" si="30"/>
        <v>0.37251234834316405</v>
      </c>
      <c r="AH112" s="4"/>
      <c r="AI112" s="4"/>
      <c r="AJ112" s="488">
        <f>MAX($B$2:B112)</f>
        <v>2060</v>
      </c>
      <c r="AP112" s="355">
        <f t="shared" si="27"/>
        <v>1.8650060639985073</v>
      </c>
      <c r="AT112" s="179">
        <f t="shared" si="28"/>
        <v>1.7954382798643309E-2</v>
      </c>
    </row>
    <row r="113" spans="1:46" hidden="1" x14ac:dyDescent="0.25">
      <c r="A113" s="259">
        <v>44004</v>
      </c>
      <c r="B113" s="681">
        <v>2146</v>
      </c>
      <c r="C113" s="524">
        <v>44931</v>
      </c>
      <c r="D113" s="670">
        <v>32</v>
      </c>
      <c r="E113" s="515">
        <f>E112+D113</f>
        <v>1043</v>
      </c>
      <c r="F113" s="515">
        <f t="shared" si="22"/>
        <v>423</v>
      </c>
      <c r="G113" s="515">
        <v>13576</v>
      </c>
      <c r="H113" s="515">
        <v>414</v>
      </c>
      <c r="I113" s="515">
        <v>7120</v>
      </c>
      <c r="J113" s="522">
        <v>292511</v>
      </c>
      <c r="K113" s="522"/>
      <c r="L113" s="541">
        <f t="shared" si="20"/>
        <v>2.3213371614252964E-2</v>
      </c>
      <c r="M113" s="508">
        <v>196839</v>
      </c>
      <c r="N113" s="511">
        <v>197629</v>
      </c>
      <c r="O113" s="520">
        <v>1050</v>
      </c>
      <c r="P113" s="512">
        <v>16924</v>
      </c>
      <c r="Q113" s="512">
        <v>18537</v>
      </c>
      <c r="R113" s="512">
        <f t="shared" ref="R113:R125" si="38">C113-Q113-P113-O113</f>
        <v>8420</v>
      </c>
      <c r="S113" s="510">
        <f t="shared" si="21"/>
        <v>30312</v>
      </c>
      <c r="T113" s="518">
        <f t="shared" si="25"/>
        <v>1.3657957244655582E-2</v>
      </c>
      <c r="U113" s="519">
        <f t="shared" si="36"/>
        <v>2.3213371614252964E-2</v>
      </c>
      <c r="V113" s="512">
        <f>SUM(B100:B113)/POBLA!$B$25*100000</f>
        <v>46.961049785610058</v>
      </c>
      <c r="W113" s="512">
        <f>B113/POBLA!$B$25*100000</f>
        <v>4.7289387095828062</v>
      </c>
      <c r="X113" s="513">
        <f t="shared" si="34"/>
        <v>1.9385972891840262</v>
      </c>
      <c r="Y113" s="519">
        <f t="shared" si="37"/>
        <v>1.3657957244655582E-2</v>
      </c>
      <c r="Z113" s="520">
        <f t="shared" si="18"/>
        <v>0.2559639214363989</v>
      </c>
      <c r="AA113" s="517">
        <f t="shared" si="23"/>
        <v>1735.1428571428571</v>
      </c>
      <c r="AB113" s="517">
        <f t="shared" si="24"/>
        <v>26.857142857142858</v>
      </c>
      <c r="AC113" s="517">
        <f t="shared" si="35"/>
        <v>26.007408975444541</v>
      </c>
      <c r="AD113" s="517">
        <f t="shared" si="32"/>
        <v>-0.84973388169831665</v>
      </c>
      <c r="AE113" s="545">
        <f t="shared" si="33"/>
        <v>1522.2142857142858</v>
      </c>
      <c r="AF113" s="520">
        <f t="shared" si="31"/>
        <v>1.3252591380250955</v>
      </c>
      <c r="AG113" s="200">
        <f t="shared" si="30"/>
        <v>0.39256672945284143</v>
      </c>
      <c r="AH113" s="4"/>
      <c r="AI113" s="4"/>
      <c r="AJ113" s="488">
        <f>MAX($B$2:B113)</f>
        <v>2146</v>
      </c>
      <c r="AP113" s="355">
        <f t="shared" si="27"/>
        <v>1.9385972891840264</v>
      </c>
      <c r="AT113" s="179">
        <f t="shared" si="28"/>
        <v>1.7778968998481193E-2</v>
      </c>
    </row>
    <row r="114" spans="1:46" hidden="1" x14ac:dyDescent="0.25">
      <c r="A114" s="259">
        <v>44005</v>
      </c>
      <c r="B114" s="670">
        <v>2285</v>
      </c>
      <c r="C114" s="515">
        <f>C113+B114</f>
        <v>47216</v>
      </c>
      <c r="D114" s="670">
        <v>35</v>
      </c>
      <c r="E114" s="515">
        <f>E113+D114</f>
        <v>1078</v>
      </c>
      <c r="F114" s="515">
        <f t="shared" si="22"/>
        <v>240</v>
      </c>
      <c r="G114" s="515">
        <v>13816</v>
      </c>
      <c r="H114" s="515">
        <v>433</v>
      </c>
      <c r="I114" s="515">
        <v>7832</v>
      </c>
      <c r="J114" s="512">
        <v>300343</v>
      </c>
      <c r="K114" s="512"/>
      <c r="L114" s="541">
        <f t="shared" si="20"/>
        <v>2.2831243646221619E-2</v>
      </c>
      <c r="M114" s="31">
        <v>202380</v>
      </c>
      <c r="N114" s="512">
        <v>203192</v>
      </c>
      <c r="O114" s="520">
        <v>1052</v>
      </c>
      <c r="P114" s="512">
        <v>17655</v>
      </c>
      <c r="Q114" s="512">
        <v>19603</v>
      </c>
      <c r="R114" s="512">
        <f t="shared" si="38"/>
        <v>8906</v>
      </c>
      <c r="S114" s="510">
        <f t="shared" si="21"/>
        <v>32322</v>
      </c>
      <c r="T114" s="518">
        <f t="shared" si="25"/>
        <v>1.3396448239589135E-2</v>
      </c>
      <c r="U114" s="519">
        <f t="shared" si="36"/>
        <v>2.2831243646221619E-2</v>
      </c>
      <c r="V114" s="512">
        <f>SUM(B101:B114)/POBLA!$B$25*100000</f>
        <v>49.481975174129502</v>
      </c>
      <c r="W114" s="512">
        <f>B114/POBLA!$B$25*100000</f>
        <v>5.0352399587123546</v>
      </c>
      <c r="X114" s="513">
        <f t="shared" si="34"/>
        <v>1.9468527830761229</v>
      </c>
      <c r="Y114" s="519">
        <f t="shared" si="37"/>
        <v>1.3396448239589135E-2</v>
      </c>
      <c r="Z114" s="520">
        <f t="shared" si="18"/>
        <v>0.26256837194337196</v>
      </c>
      <c r="AA114" s="517">
        <f t="shared" si="23"/>
        <v>1865.2857142857142</v>
      </c>
      <c r="AB114" s="517">
        <f t="shared" si="24"/>
        <v>28.428571428571427</v>
      </c>
      <c r="AC114" s="517">
        <f t="shared" si="35"/>
        <v>26.648554466413195</v>
      </c>
      <c r="AD114" s="517">
        <f t="shared" si="32"/>
        <v>-1.780016962158232</v>
      </c>
      <c r="AE114" s="545">
        <f t="shared" si="33"/>
        <v>1603.9285714285713</v>
      </c>
      <c r="AF114" s="520">
        <f t="shared" si="31"/>
        <v>1.3893381570546923</v>
      </c>
      <c r="AG114" s="200">
        <f t="shared" si="30"/>
        <v>0.41956168474680489</v>
      </c>
      <c r="AH114" s="4"/>
      <c r="AI114" s="4"/>
      <c r="AJ114" s="488">
        <f>MAX($B$2:B114)</f>
        <v>2285</v>
      </c>
      <c r="AP114" s="355">
        <f t="shared" si="27"/>
        <v>1.9468527830761226</v>
      </c>
      <c r="AT114" s="179">
        <f t="shared" si="28"/>
        <v>1.7757035940923708E-2</v>
      </c>
    </row>
    <row r="115" spans="1:46" hidden="1" x14ac:dyDescent="0.25">
      <c r="A115" s="259">
        <v>44006</v>
      </c>
      <c r="B115" s="681">
        <v>2635</v>
      </c>
      <c r="C115" s="515">
        <v>49851</v>
      </c>
      <c r="D115" s="670">
        <v>38</v>
      </c>
      <c r="E115" s="515">
        <v>1116</v>
      </c>
      <c r="F115" s="515">
        <f t="shared" si="22"/>
        <v>972</v>
      </c>
      <c r="G115" s="515">
        <v>14788</v>
      </c>
      <c r="H115" s="515">
        <v>457</v>
      </c>
      <c r="I115" s="515">
        <v>9258</v>
      </c>
      <c r="J115" s="511">
        <v>309601</v>
      </c>
      <c r="K115" s="511"/>
      <c r="L115" s="541">
        <f t="shared" si="20"/>
        <v>2.2386712402960824E-2</v>
      </c>
      <c r="M115" s="508">
        <v>207399.07199999999</v>
      </c>
      <c r="N115" s="507">
        <v>208232</v>
      </c>
      <c r="O115" s="509">
        <v>1060</v>
      </c>
      <c r="P115" s="507">
        <v>18460</v>
      </c>
      <c r="Q115" s="507">
        <v>20816</v>
      </c>
      <c r="R115" s="512">
        <f t="shared" si="38"/>
        <v>9515</v>
      </c>
      <c r="S115" s="510">
        <f t="shared" si="21"/>
        <v>33947</v>
      </c>
      <c r="T115" s="518">
        <f t="shared" si="25"/>
        <v>1.3462161604854627E-2</v>
      </c>
      <c r="U115" s="519">
        <f t="shared" si="36"/>
        <v>2.2386712402960824E-2</v>
      </c>
      <c r="V115" s="512">
        <f>SUM(B102:B115)/POBLA!$B$25*100000</f>
        <v>52.586856181493047</v>
      </c>
      <c r="W115" s="512">
        <f>B115/POBLA!$B$25*100000</f>
        <v>5.8065020968083392</v>
      </c>
      <c r="X115" s="513">
        <f t="shared" si="34"/>
        <v>1.979757756761241</v>
      </c>
      <c r="Y115" s="519">
        <f t="shared" si="37"/>
        <v>1.3462161604854627E-2</v>
      </c>
      <c r="Z115" s="520">
        <f t="shared" si="18"/>
        <v>0.2723152221523929</v>
      </c>
      <c r="AA115" s="517">
        <f t="shared" si="23"/>
        <v>2042.7142857142858</v>
      </c>
      <c r="AB115" s="517">
        <f t="shared" si="24"/>
        <v>28.857142857142858</v>
      </c>
      <c r="AC115" s="517">
        <f t="shared" si="35"/>
        <v>27.147997075460808</v>
      </c>
      <c r="AD115" s="517">
        <f t="shared" si="32"/>
        <v>-1.7091457816820501</v>
      </c>
      <c r="AE115" s="545">
        <f t="shared" si="33"/>
        <v>1704.5714285714287</v>
      </c>
      <c r="AF115" s="520">
        <f t="shared" si="31"/>
        <v>1.4949294302143232</v>
      </c>
      <c r="AG115" s="200">
        <f t="shared" si="30"/>
        <v>0.41930763441759344</v>
      </c>
      <c r="AH115" s="4"/>
      <c r="AI115" s="4"/>
      <c r="AJ115" s="488">
        <f>MAX($B$2:B115)</f>
        <v>2635</v>
      </c>
      <c r="AP115" s="355">
        <f t="shared" si="27"/>
        <v>1.9797577567612412</v>
      </c>
      <c r="AT115" s="179">
        <f t="shared" si="28"/>
        <v>1.7381259402535997E-2</v>
      </c>
    </row>
    <row r="116" spans="1:46" hidden="1" x14ac:dyDescent="0.25">
      <c r="A116" s="259">
        <v>44007</v>
      </c>
      <c r="B116" s="670">
        <v>2606</v>
      </c>
      <c r="C116" s="524">
        <v>52457</v>
      </c>
      <c r="D116" s="670">
        <v>34</v>
      </c>
      <c r="E116" s="515">
        <v>1150</v>
      </c>
      <c r="F116" s="515">
        <f t="shared" si="22"/>
        <v>3628</v>
      </c>
      <c r="G116" s="515">
        <v>18416</v>
      </c>
      <c r="H116" s="515">
        <v>472</v>
      </c>
      <c r="I116" s="515">
        <v>9120</v>
      </c>
      <c r="J116" s="511">
        <v>318721</v>
      </c>
      <c r="K116" s="511"/>
      <c r="L116" s="541">
        <f t="shared" si="20"/>
        <v>2.1922717654459842E-2</v>
      </c>
      <c r="M116" s="522">
        <v>212323</v>
      </c>
      <c r="N116" s="511">
        <v>213175</v>
      </c>
      <c r="O116" s="520">
        <v>1061</v>
      </c>
      <c r="P116" s="511">
        <v>19202</v>
      </c>
      <c r="Q116" s="511">
        <v>22078</v>
      </c>
      <c r="R116" s="512">
        <f t="shared" si="38"/>
        <v>10116</v>
      </c>
      <c r="S116" s="510">
        <f t="shared" si="21"/>
        <v>32891</v>
      </c>
      <c r="T116" s="518">
        <f t="shared" si="25"/>
        <v>1.4350430208871728E-2</v>
      </c>
      <c r="U116" s="519">
        <f t="shared" si="36"/>
        <v>2.1922717654459842E-2</v>
      </c>
      <c r="V116" s="512">
        <f>SUM(B103:B116)/POBLA!$B$25*100000</f>
        <v>55.275255634284768</v>
      </c>
      <c r="W116" s="512">
        <f>B116/POBLA!$B$25*100000</f>
        <v>5.742597519651814</v>
      </c>
      <c r="X116" s="513">
        <f t="shared" si="34"/>
        <v>1.9796385447083893</v>
      </c>
      <c r="Y116" s="519">
        <f t="shared" si="37"/>
        <v>1.4350430208871728E-2</v>
      </c>
      <c r="Z116" s="520">
        <f t="shared" si="18"/>
        <v>0.27619786758319936</v>
      </c>
      <c r="AA116" s="517">
        <f t="shared" si="23"/>
        <v>2135.2857142857142</v>
      </c>
      <c r="AB116" s="517">
        <f t="shared" si="24"/>
        <v>28.714285714285715</v>
      </c>
      <c r="AC116" s="517">
        <f t="shared" si="35"/>
        <v>28.649920933558093</v>
      </c>
      <c r="AD116" s="517">
        <f t="shared" si="32"/>
        <v>-6.4364780727622417E-2</v>
      </c>
      <c r="AE116" s="545">
        <f t="shared" si="33"/>
        <v>1791.7142857142858</v>
      </c>
      <c r="AF116" s="520">
        <f t="shared" si="31"/>
        <v>1.4744993587846502</v>
      </c>
      <c r="AG116" s="200">
        <f t="shared" si="30"/>
        <v>0.33102666828537908</v>
      </c>
      <c r="AH116" s="4"/>
      <c r="AI116" s="4"/>
      <c r="AJ116" s="488">
        <f>MAX($B$2:B116)</f>
        <v>2635</v>
      </c>
      <c r="AP116" s="355">
        <f t="shared" si="27"/>
        <v>1.9796385447083893</v>
      </c>
      <c r="AT116" s="179">
        <f t="shared" si="28"/>
        <v>1.6772877899566659E-2</v>
      </c>
    </row>
    <row r="117" spans="1:46" hidden="1" x14ac:dyDescent="0.25">
      <c r="A117" s="259">
        <v>44008</v>
      </c>
      <c r="B117" s="681">
        <v>2886</v>
      </c>
      <c r="C117" s="515">
        <v>55343</v>
      </c>
      <c r="D117" s="671">
        <v>34</v>
      </c>
      <c r="E117" s="524">
        <v>1184</v>
      </c>
      <c r="F117" s="515">
        <f t="shared" si="22"/>
        <v>727</v>
      </c>
      <c r="G117" s="515">
        <v>19143</v>
      </c>
      <c r="H117" s="515">
        <v>507</v>
      </c>
      <c r="I117" s="515">
        <v>10315</v>
      </c>
      <c r="J117" s="511">
        <v>329036</v>
      </c>
      <c r="K117" s="511"/>
      <c r="L117" s="541">
        <f t="shared" si="20"/>
        <v>2.1393852881123176E-2</v>
      </c>
      <c r="M117" s="522">
        <v>217766</v>
      </c>
      <c r="N117" s="511">
        <v>218640</v>
      </c>
      <c r="O117" s="520">
        <v>1061</v>
      </c>
      <c r="P117" s="511">
        <v>20095</v>
      </c>
      <c r="Q117" s="511">
        <v>23464</v>
      </c>
      <c r="R117" s="512">
        <f t="shared" si="38"/>
        <v>10723</v>
      </c>
      <c r="S117" s="510">
        <f t="shared" si="21"/>
        <v>35016</v>
      </c>
      <c r="T117" s="518">
        <f t="shared" si="25"/>
        <v>1.4479095270733379E-2</v>
      </c>
      <c r="U117" s="519">
        <f t="shared" si="36"/>
        <v>2.1393852881123176E-2</v>
      </c>
      <c r="V117" s="512">
        <f>SUM(B104:B117)/POBLA!$B$25*100000</f>
        <v>58.569646767009047</v>
      </c>
      <c r="W117" s="512">
        <f>B117/POBLA!$B$25*100000</f>
        <v>6.359607230128602</v>
      </c>
      <c r="X117" s="513">
        <f t="shared" si="34"/>
        <v>1.991682278006744</v>
      </c>
      <c r="Y117" s="519">
        <f t="shared" si="37"/>
        <v>1.4479095270733379E-2</v>
      </c>
      <c r="Z117" s="520">
        <f t="shared" si="18"/>
        <v>0.28263479491820021</v>
      </c>
      <c r="AA117" s="517">
        <f t="shared" si="23"/>
        <v>2253.2857142857142</v>
      </c>
      <c r="AB117" s="517">
        <f t="shared" si="24"/>
        <v>29.142857142857142</v>
      </c>
      <c r="AC117" s="517">
        <f t="shared" si="35"/>
        <v>30.1254296044659</v>
      </c>
      <c r="AD117" s="517">
        <f t="shared" si="32"/>
        <v>0.98257246160875766</v>
      </c>
      <c r="AE117" s="545">
        <f t="shared" si="33"/>
        <v>1898.5</v>
      </c>
      <c r="AF117" s="520">
        <f t="shared" si="31"/>
        <v>1.4596520451600961</v>
      </c>
      <c r="AG117" s="200">
        <f t="shared" si="30"/>
        <v>0.32711768050028422</v>
      </c>
      <c r="AH117" s="4"/>
      <c r="AI117" s="4"/>
      <c r="AJ117" s="488">
        <f>MAX($B$2:B117)</f>
        <v>2886</v>
      </c>
      <c r="AP117" s="355">
        <f t="shared" si="27"/>
        <v>1.9916822780067442</v>
      </c>
      <c r="AT117" s="179">
        <f t="shared" si="28"/>
        <v>1.6469451823231104E-2</v>
      </c>
    </row>
    <row r="118" spans="1:46" hidden="1" x14ac:dyDescent="0.25">
      <c r="A118" s="259">
        <v>44009</v>
      </c>
      <c r="B118" s="671">
        <v>2401</v>
      </c>
      <c r="C118" s="515">
        <v>57744</v>
      </c>
      <c r="D118" s="670">
        <v>23</v>
      </c>
      <c r="E118" s="524">
        <v>1207</v>
      </c>
      <c r="F118" s="515">
        <f t="shared" si="22"/>
        <v>991</v>
      </c>
      <c r="G118" s="515">
        <v>20134</v>
      </c>
      <c r="H118" s="515">
        <v>542</v>
      </c>
      <c r="I118" s="515">
        <v>7915</v>
      </c>
      <c r="J118" s="511">
        <v>336951</v>
      </c>
      <c r="K118" s="511"/>
      <c r="L118" s="541">
        <f t="shared" si="20"/>
        <v>2.090260459961208E-2</v>
      </c>
      <c r="M118" s="522">
        <v>222328.11600000001</v>
      </c>
      <c r="N118" s="511">
        <v>223221</v>
      </c>
      <c r="O118" s="520">
        <v>1062</v>
      </c>
      <c r="P118" s="511">
        <v>20807</v>
      </c>
      <c r="Q118" s="511">
        <v>24743</v>
      </c>
      <c r="R118" s="512">
        <f t="shared" si="38"/>
        <v>11132</v>
      </c>
      <c r="S118" s="510">
        <f t="shared" si="21"/>
        <v>36403</v>
      </c>
      <c r="T118" s="518">
        <f t="shared" si="25"/>
        <v>1.4888882784385903E-2</v>
      </c>
      <c r="U118" s="519">
        <f t="shared" si="36"/>
        <v>2.090260459961208E-2</v>
      </c>
      <c r="V118" s="512">
        <f>SUM(B105:B118)/POBLA!$B$25*100000</f>
        <v>60.486784081704776</v>
      </c>
      <c r="W118" s="512">
        <f>B118/POBLA!$B$25*100000</f>
        <v>5.2908582673384519</v>
      </c>
      <c r="X118" s="513">
        <f t="shared" si="34"/>
        <v>1.9493643917335417</v>
      </c>
      <c r="Y118" s="519">
        <f t="shared" si="37"/>
        <v>1.4888882784385903E-2</v>
      </c>
      <c r="Z118" s="520">
        <f t="shared" si="18"/>
        <v>0.28876202447668431</v>
      </c>
      <c r="AA118" s="517">
        <f t="shared" si="23"/>
        <v>2362.8571428571427</v>
      </c>
      <c r="AB118" s="517">
        <f t="shared" si="24"/>
        <v>30.714285714285715</v>
      </c>
      <c r="AC118" s="517">
        <f t="shared" si="35"/>
        <v>31.802159715181663</v>
      </c>
      <c r="AD118" s="517">
        <f t="shared" si="32"/>
        <v>1.0878740008959475</v>
      </c>
      <c r="AE118" s="545">
        <f t="shared" si="33"/>
        <v>1960.6428571428571</v>
      </c>
      <c r="AF118" s="520">
        <f t="shared" si="31"/>
        <v>1.5161793014941791</v>
      </c>
      <c r="AG118" s="200">
        <f t="shared" si="30"/>
        <v>0.32446789157722389</v>
      </c>
      <c r="AH118" s="4"/>
      <c r="AI118" s="4"/>
      <c r="AJ118" s="488">
        <f>MAX($B$2:B118)</f>
        <v>2886</v>
      </c>
      <c r="AP118" s="355">
        <f t="shared" si="27"/>
        <v>1.9493643917335415</v>
      </c>
      <c r="AT118" s="179">
        <f t="shared" si="28"/>
        <v>1.6193485432833048E-2</v>
      </c>
    </row>
    <row r="119" spans="1:46" hidden="1" x14ac:dyDescent="0.25">
      <c r="A119" s="259">
        <v>44010</v>
      </c>
      <c r="B119" s="681">
        <v>2189</v>
      </c>
      <c r="C119" s="515">
        <f>C118+B119</f>
        <v>59933</v>
      </c>
      <c r="D119" s="670">
        <v>26</v>
      </c>
      <c r="E119" s="515">
        <f>E118+D119</f>
        <v>1233</v>
      </c>
      <c r="F119" s="515">
        <f t="shared" si="22"/>
        <v>1004</v>
      </c>
      <c r="G119" s="515">
        <v>21138</v>
      </c>
      <c r="H119" s="515">
        <v>535</v>
      </c>
      <c r="I119" s="515">
        <v>7458</v>
      </c>
      <c r="J119" s="511">
        <v>344409</v>
      </c>
      <c r="K119" s="511"/>
      <c r="L119" s="541">
        <f t="shared" si="20"/>
        <v>2.057297315335458E-2</v>
      </c>
      <c r="M119" s="522">
        <v>226138</v>
      </c>
      <c r="N119" s="511">
        <v>227046</v>
      </c>
      <c r="O119" s="520">
        <v>1063</v>
      </c>
      <c r="P119" s="511">
        <v>21599</v>
      </c>
      <c r="Q119" s="511">
        <v>25600</v>
      </c>
      <c r="R119" s="512">
        <f t="shared" si="38"/>
        <v>11671</v>
      </c>
      <c r="S119" s="510">
        <f t="shared" si="21"/>
        <v>37562</v>
      </c>
      <c r="T119" s="518">
        <f t="shared" si="25"/>
        <v>1.4243118044832543E-2</v>
      </c>
      <c r="U119" s="519">
        <f t="shared" si="36"/>
        <v>2.057297315335458E-2</v>
      </c>
      <c r="V119" s="512">
        <f>SUM(B106:B119)/POBLA!$B$25*100000</f>
        <v>62.485454822427805</v>
      </c>
      <c r="W119" s="512">
        <f>B119/POBLA!$B$25*100000</f>
        <v>4.8236937722631703</v>
      </c>
      <c r="X119" s="513">
        <f t="shared" si="34"/>
        <v>1.9255738150210513</v>
      </c>
      <c r="Y119" s="519">
        <f t="shared" si="37"/>
        <v>1.4243118044832543E-2</v>
      </c>
      <c r="Z119" s="520">
        <f t="shared" si="18"/>
        <v>0.29055542376901961</v>
      </c>
      <c r="AA119" s="517">
        <f t="shared" si="23"/>
        <v>2449.7142857142858</v>
      </c>
      <c r="AB119" s="517">
        <f t="shared" si="24"/>
        <v>31.714285714285715</v>
      </c>
      <c r="AC119" s="517">
        <f t="shared" si="35"/>
        <v>33.099312790955445</v>
      </c>
      <c r="AD119" s="517">
        <f t="shared" si="32"/>
        <v>1.3850270766697292</v>
      </c>
      <c r="AE119" s="545">
        <f t="shared" si="33"/>
        <v>2025.4285714285713</v>
      </c>
      <c r="AF119" s="520">
        <f t="shared" si="31"/>
        <v>1.5299785867237687</v>
      </c>
      <c r="AG119" s="200">
        <f t="shared" si="30"/>
        <v>0.31239299814821275</v>
      </c>
      <c r="AH119" s="4"/>
      <c r="AI119" s="4"/>
      <c r="AJ119" s="488">
        <f>MAX($B$2:B119)</f>
        <v>2886</v>
      </c>
      <c r="AP119" s="355">
        <f t="shared" si="27"/>
        <v>1.9255738150210511</v>
      </c>
      <c r="AT119" s="179">
        <f t="shared" si="28"/>
        <v>1.597250303275374E-2</v>
      </c>
    </row>
    <row r="120" spans="1:46" hidden="1" x14ac:dyDescent="0.25">
      <c r="A120" s="525">
        <v>44011</v>
      </c>
      <c r="B120" s="671">
        <v>2335</v>
      </c>
      <c r="C120" s="515">
        <f>C119+B120</f>
        <v>62268</v>
      </c>
      <c r="D120" s="670">
        <v>48</v>
      </c>
      <c r="E120" s="515">
        <f>E119+D120</f>
        <v>1281</v>
      </c>
      <c r="F120" s="515">
        <f t="shared" si="22"/>
        <v>890</v>
      </c>
      <c r="G120" s="515">
        <v>22028</v>
      </c>
      <c r="H120" s="515">
        <v>555</v>
      </c>
      <c r="I120" s="515">
        <v>7933</v>
      </c>
      <c r="J120" s="511">
        <v>350402</v>
      </c>
      <c r="K120" s="511"/>
      <c r="L120" s="541">
        <f t="shared" si="20"/>
        <v>2.0572364617460013E-2</v>
      </c>
      <c r="M120" s="522">
        <f>N120-L120</f>
        <v>232015.97942763538</v>
      </c>
      <c r="N120" s="511">
        <v>232016</v>
      </c>
      <c r="O120" s="520">
        <v>1064</v>
      </c>
      <c r="P120" s="511">
        <v>22481</v>
      </c>
      <c r="Q120" s="511">
        <v>27136</v>
      </c>
      <c r="R120" s="512">
        <f t="shared" si="38"/>
        <v>11587</v>
      </c>
      <c r="S120" s="510">
        <f t="shared" si="21"/>
        <v>38959</v>
      </c>
      <c r="T120" s="518">
        <f t="shared" si="25"/>
        <v>1.4245745527349264E-2</v>
      </c>
      <c r="U120" s="519">
        <f t="shared" si="36"/>
        <v>2.0572364617460013E-2</v>
      </c>
      <c r="V120" s="512">
        <f>SUM(B107:B120)/POBLA!$B$25*100000</f>
        <v>64.968918907096864</v>
      </c>
      <c r="W120" s="512">
        <f>B120/POBLA!$B$25*100000</f>
        <v>5.1454202641546374</v>
      </c>
      <c r="X120" s="513">
        <f t="shared" si="34"/>
        <v>1.918217306441119</v>
      </c>
      <c r="Y120" s="519">
        <f t="shared" si="37"/>
        <v>1.4245745527349264E-2</v>
      </c>
      <c r="Z120" s="520">
        <f t="shared" si="18"/>
        <v>0.28976617472547678</v>
      </c>
      <c r="AA120" s="517">
        <f t="shared" si="23"/>
        <v>2476.7142857142858</v>
      </c>
      <c r="AB120" s="517">
        <f t="shared" si="24"/>
        <v>34</v>
      </c>
      <c r="AC120" s="517">
        <f t="shared" si="35"/>
        <v>34.104926033246912</v>
      </c>
      <c r="AD120" s="517">
        <f t="shared" si="32"/>
        <v>0.10492603324691174</v>
      </c>
      <c r="AE120" s="545">
        <f t="shared" si="33"/>
        <v>2105.9285714285716</v>
      </c>
      <c r="AF120" s="520">
        <f t="shared" si="31"/>
        <v>1.4273835007409847</v>
      </c>
      <c r="AG120" s="200">
        <f t="shared" si="30"/>
        <v>0.28526656109791504</v>
      </c>
      <c r="AH120" s="4"/>
      <c r="AI120" s="4"/>
      <c r="AJ120" s="488">
        <f>MAX($B$2:B120)</f>
        <v>2886</v>
      </c>
      <c r="AP120" s="355">
        <f t="shared" si="27"/>
        <v>1.9182173064411192</v>
      </c>
      <c r="AT120" s="179">
        <f t="shared" si="28"/>
        <v>1.6306944022234766E-2</v>
      </c>
    </row>
    <row r="121" spans="1:46" hidden="1" x14ac:dyDescent="0.25">
      <c r="A121" s="259">
        <v>44012</v>
      </c>
      <c r="B121" s="670">
        <v>2262</v>
      </c>
      <c r="C121" s="515">
        <v>64530</v>
      </c>
      <c r="D121" s="670">
        <v>27</v>
      </c>
      <c r="E121" s="515">
        <v>1307</v>
      </c>
      <c r="F121" s="515">
        <f t="shared" si="22"/>
        <v>1012</v>
      </c>
      <c r="G121" s="515">
        <v>23040</v>
      </c>
      <c r="H121" s="515">
        <v>576</v>
      </c>
      <c r="I121" s="515">
        <v>10506</v>
      </c>
      <c r="J121" s="511">
        <v>362908</v>
      </c>
      <c r="K121" s="511"/>
      <c r="L121" s="541">
        <f t="shared" si="20"/>
        <v>2.0254145358747869E-2</v>
      </c>
      <c r="M121" s="522">
        <f>N121-L121</f>
        <v>236562.97974585465</v>
      </c>
      <c r="N121" s="511">
        <v>236563</v>
      </c>
      <c r="O121" s="520">
        <v>1065</v>
      </c>
      <c r="P121" s="511">
        <v>23565</v>
      </c>
      <c r="Q121" s="512">
        <v>28732</v>
      </c>
      <c r="R121" s="512">
        <f t="shared" si="38"/>
        <v>11168</v>
      </c>
      <c r="S121" s="510">
        <f t="shared" si="21"/>
        <v>40183</v>
      </c>
      <c r="T121" s="518">
        <f t="shared" si="25"/>
        <v>1.4334420028370206E-2</v>
      </c>
      <c r="U121" s="519">
        <f t="shared" si="36"/>
        <v>2.0254145358747869E-2</v>
      </c>
      <c r="V121" s="512">
        <f>SUM(B108:B121)/POBLA!$B$25*100000</f>
        <v>66.925721131751814</v>
      </c>
      <c r="W121" s="512">
        <f>B121/POBLA!$B$25*100000</f>
        <v>4.9845570182089034</v>
      </c>
      <c r="X121" s="513">
        <f t="shared" si="34"/>
        <v>1.9173611111111111</v>
      </c>
      <c r="Y121" s="519">
        <f t="shared" si="37"/>
        <v>1.4334420028370206E-2</v>
      </c>
      <c r="Z121" s="520">
        <f t="shared" si="18"/>
        <v>0.27700183985281179</v>
      </c>
      <c r="AA121" s="517">
        <f t="shared" si="23"/>
        <v>2473.4285714285716</v>
      </c>
      <c r="AB121" s="517">
        <f t="shared" si="24"/>
        <v>32.857142857142854</v>
      </c>
      <c r="AC121" s="517">
        <f t="shared" si="35"/>
        <v>34.508554532794122</v>
      </c>
      <c r="AD121" s="517">
        <f t="shared" si="32"/>
        <v>1.6514116756512678</v>
      </c>
      <c r="AE121" s="545">
        <f t="shared" si="33"/>
        <v>2169.3571428571427</v>
      </c>
      <c r="AF121" s="520">
        <f t="shared" si="31"/>
        <v>1.32603201347936</v>
      </c>
      <c r="AG121" s="200">
        <f t="shared" si="30"/>
        <v>0.24320895984159385</v>
      </c>
      <c r="AH121" s="4"/>
      <c r="AI121" s="4"/>
      <c r="AJ121" s="488">
        <f>MAX($B$2:B121)</f>
        <v>2886</v>
      </c>
      <c r="AP121" s="355">
        <f t="shared" si="27"/>
        <v>1.9173611111111111</v>
      </c>
      <c r="AT121" s="179">
        <f t="shared" si="28"/>
        <v>1.6086746785796684E-2</v>
      </c>
    </row>
    <row r="122" spans="1:46" hidden="1" x14ac:dyDescent="0.25">
      <c r="A122" s="259">
        <v>44013</v>
      </c>
      <c r="B122" s="671">
        <v>2667</v>
      </c>
      <c r="C122" s="515">
        <f>C121+B122</f>
        <v>67197</v>
      </c>
      <c r="D122" s="670">
        <v>44</v>
      </c>
      <c r="E122" s="515">
        <f>E121+D122</f>
        <v>1351</v>
      </c>
      <c r="F122" s="515">
        <f t="shared" si="22"/>
        <v>1146</v>
      </c>
      <c r="G122" s="515">
        <v>24186</v>
      </c>
      <c r="H122" s="515">
        <v>594</v>
      </c>
      <c r="I122" s="515">
        <v>9200</v>
      </c>
      <c r="J122" s="511">
        <v>372108</v>
      </c>
      <c r="K122" s="511"/>
      <c r="L122" s="541">
        <f t="shared" si="20"/>
        <v>2.0105064214176228E-2</v>
      </c>
      <c r="M122" s="522">
        <v>240610</v>
      </c>
      <c r="N122" s="511">
        <v>246576</v>
      </c>
      <c r="O122" s="520">
        <v>1066</v>
      </c>
      <c r="P122" s="511">
        <v>24124</v>
      </c>
      <c r="Q122" s="511">
        <v>30493</v>
      </c>
      <c r="R122" s="512">
        <f t="shared" si="38"/>
        <v>11514</v>
      </c>
      <c r="S122" s="510">
        <f t="shared" si="21"/>
        <v>41660</v>
      </c>
      <c r="T122" s="518">
        <f t="shared" si="25"/>
        <v>1.4258281325012001E-2</v>
      </c>
      <c r="U122" s="519">
        <f t="shared" si="36"/>
        <v>2.0105064214176228E-2</v>
      </c>
      <c r="V122" s="512">
        <f>SUM(B109:B122)/POBLA!$B$25*100000</f>
        <v>69.733115314421212</v>
      </c>
      <c r="W122" s="512">
        <f>B122/POBLA!$B$25*100000</f>
        <v>5.8770174922914009</v>
      </c>
      <c r="X122" s="513">
        <f t="shared" si="34"/>
        <v>1.9433185949398182</v>
      </c>
      <c r="Y122" s="519">
        <f t="shared" si="37"/>
        <v>1.4258281325012001E-2</v>
      </c>
      <c r="Z122" s="520">
        <f t="shared" ref="Z122:Z185" si="39">SUM(B116:B122)/SUM(I116:I122)</f>
        <v>0.27777155027463291</v>
      </c>
      <c r="AA122" s="517">
        <f t="shared" si="23"/>
        <v>2478</v>
      </c>
      <c r="AB122" s="517">
        <f t="shared" si="24"/>
        <v>33.714285714285715</v>
      </c>
      <c r="AC122" s="517">
        <f t="shared" si="35"/>
        <v>35.090832743988678</v>
      </c>
      <c r="AD122" s="517">
        <f t="shared" si="32"/>
        <v>1.3765470297029623</v>
      </c>
      <c r="AE122" s="545">
        <f t="shared" si="33"/>
        <v>2260.3571428571427</v>
      </c>
      <c r="AF122" s="520">
        <f t="shared" si="31"/>
        <v>1.213091824603119</v>
      </c>
      <c r="AG122" s="200">
        <f t="shared" si="30"/>
        <v>0.22720711697646334</v>
      </c>
      <c r="AH122" s="4"/>
      <c r="AI122" s="4"/>
      <c r="AJ122" s="488">
        <f>MAX($B$2:B122)</f>
        <v>2886</v>
      </c>
      <c r="AP122" s="355">
        <f t="shared" si="27"/>
        <v>1.9433185949398182</v>
      </c>
      <c r="AT122" s="179">
        <f t="shared" si="28"/>
        <v>1.5949539994375476E-2</v>
      </c>
    </row>
    <row r="123" spans="1:46" hidden="1" x14ac:dyDescent="0.25">
      <c r="A123" s="259">
        <v>44014</v>
      </c>
      <c r="B123" s="671">
        <v>2744</v>
      </c>
      <c r="C123" s="515">
        <f>C122+B123</f>
        <v>69941</v>
      </c>
      <c r="D123" s="670">
        <v>34</v>
      </c>
      <c r="E123" s="515">
        <f>D123+E122</f>
        <v>1385</v>
      </c>
      <c r="F123" s="515">
        <f t="shared" si="22"/>
        <v>1038</v>
      </c>
      <c r="G123" s="515">
        <v>25224</v>
      </c>
      <c r="H123" s="515">
        <v>620</v>
      </c>
      <c r="I123" s="515">
        <v>9323</v>
      </c>
      <c r="J123" s="511">
        <v>381431</v>
      </c>
      <c r="K123" s="511"/>
      <c r="L123" s="541">
        <f t="shared" si="20"/>
        <v>1.9802404884116612E-2</v>
      </c>
      <c r="M123" s="522">
        <f>N123*0.997</f>
        <v>245114.44399999999</v>
      </c>
      <c r="N123" s="511">
        <v>245852</v>
      </c>
      <c r="O123" s="520">
        <v>1067</v>
      </c>
      <c r="P123" s="511">
        <v>24969</v>
      </c>
      <c r="Q123" s="511">
        <v>32144</v>
      </c>
      <c r="R123" s="512">
        <f t="shared" si="38"/>
        <v>11761</v>
      </c>
      <c r="S123" s="510">
        <f t="shared" si="21"/>
        <v>43332</v>
      </c>
      <c r="T123" s="518">
        <f t="shared" si="25"/>
        <v>1.4308132557924859E-2</v>
      </c>
      <c r="U123" s="519">
        <f t="shared" si="36"/>
        <v>1.9802404884116612E-2</v>
      </c>
      <c r="V123" s="512">
        <f>SUM(B110:B123)/POBLA!$B$25*100000</f>
        <v>71.465149715973894</v>
      </c>
      <c r="W123" s="512">
        <f>B123/POBLA!$B$25*100000</f>
        <v>6.0466951626725169</v>
      </c>
      <c r="X123" s="513">
        <f t="shared" si="34"/>
        <v>1.873216658002657</v>
      </c>
      <c r="Y123" s="519">
        <f t="shared" si="37"/>
        <v>1.4308132557924859E-2</v>
      </c>
      <c r="Z123" s="520">
        <f t="shared" si="39"/>
        <v>0.27907422186751796</v>
      </c>
      <c r="AA123" s="517">
        <f t="shared" si="23"/>
        <v>2497.7142857142858</v>
      </c>
      <c r="AB123" s="517">
        <f t="shared" si="24"/>
        <v>33.714285714285715</v>
      </c>
      <c r="AC123" s="517">
        <f t="shared" si="35"/>
        <v>36.599291617473433</v>
      </c>
      <c r="AD123" s="517">
        <f t="shared" si="32"/>
        <v>2.885005903187718</v>
      </c>
      <c r="AE123" s="545">
        <f t="shared" si="33"/>
        <v>2316.5</v>
      </c>
      <c r="AF123" s="520">
        <f t="shared" si="31"/>
        <v>1.1697330568006958</v>
      </c>
      <c r="AG123" s="200">
        <f t="shared" si="30"/>
        <v>0.31744246146362221</v>
      </c>
      <c r="AH123" s="4"/>
      <c r="AI123" s="4"/>
      <c r="AJ123" s="488">
        <f>MAX($B$2:B123)</f>
        <v>2886</v>
      </c>
      <c r="AP123" s="355">
        <f t="shared" si="27"/>
        <v>1.873216658002657</v>
      </c>
      <c r="AT123" s="179">
        <f t="shared" si="28"/>
        <v>1.5787842392778272E-2</v>
      </c>
    </row>
    <row r="124" spans="1:46" ht="16.5" hidden="1" customHeight="1" x14ac:dyDescent="0.25">
      <c r="A124" s="259">
        <v>44015</v>
      </c>
      <c r="B124" s="681">
        <v>2845</v>
      </c>
      <c r="C124" s="506">
        <f>C123+B124</f>
        <v>72786</v>
      </c>
      <c r="D124" s="670">
        <v>52</v>
      </c>
      <c r="E124" s="506">
        <f>E123+D124</f>
        <v>1437</v>
      </c>
      <c r="F124" s="515">
        <f t="shared" si="22"/>
        <v>706</v>
      </c>
      <c r="G124" s="515">
        <v>25930</v>
      </c>
      <c r="H124" s="506">
        <v>637</v>
      </c>
      <c r="I124" s="515">
        <v>8951</v>
      </c>
      <c r="J124" s="511">
        <v>390382</v>
      </c>
      <c r="K124" s="511"/>
      <c r="L124" s="541">
        <f t="shared" si="20"/>
        <v>1.9742807682796144E-2</v>
      </c>
      <c r="M124" s="522">
        <v>249794</v>
      </c>
      <c r="N124" s="511">
        <f>M124+L124</f>
        <v>249794.01974280769</v>
      </c>
      <c r="O124" s="520">
        <v>1068</v>
      </c>
      <c r="P124" s="511">
        <v>25848</v>
      </c>
      <c r="Q124" s="511">
        <v>33867</v>
      </c>
      <c r="R124" s="512">
        <f t="shared" si="38"/>
        <v>12003</v>
      </c>
      <c r="S124" s="510">
        <f t="shared" si="21"/>
        <v>45419</v>
      </c>
      <c r="T124" s="518">
        <f t="shared" si="25"/>
        <v>1.4024967524604241E-2</v>
      </c>
      <c r="U124" s="519">
        <f t="shared" si="36"/>
        <v>1.9742807682796144E-2</v>
      </c>
      <c r="V124" s="512">
        <f>SUM(B111:B124)/POBLA!$B$25*100000</f>
        <v>73.194980511417754</v>
      </c>
      <c r="W124" s="512">
        <f>B124/POBLA!$B$25*100000</f>
        <v>6.2692593796659288</v>
      </c>
      <c r="X124" s="513">
        <f t="shared" si="34"/>
        <v>1.792262450763503</v>
      </c>
      <c r="Y124" s="519">
        <f t="shared" si="37"/>
        <v>1.4024967524604241E-2</v>
      </c>
      <c r="Z124" s="520">
        <f t="shared" si="39"/>
        <v>0.28461638873478445</v>
      </c>
      <c r="AA124" s="517">
        <f t="shared" si="23"/>
        <v>2491.8571428571427</v>
      </c>
      <c r="AB124" s="517">
        <f t="shared" si="24"/>
        <v>36.285714285714285</v>
      </c>
      <c r="AC124" s="517">
        <f t="shared" si="35"/>
        <v>38.192981696090115</v>
      </c>
      <c r="AD124" s="517">
        <f t="shared" si="32"/>
        <v>1.9072674103758303</v>
      </c>
      <c r="AE124" s="545">
        <f t="shared" si="33"/>
        <v>2372.5714285714284</v>
      </c>
      <c r="AF124" s="520">
        <f t="shared" si="31"/>
        <v>1.1058771318075191</v>
      </c>
      <c r="AG124" s="200">
        <f t="shared" si="30"/>
        <v>0.2970927575965272</v>
      </c>
      <c r="AH124" s="4"/>
      <c r="AI124" s="4"/>
      <c r="AJ124" s="488">
        <f>MAX($B$2:B124)</f>
        <v>2886</v>
      </c>
      <c r="AP124" s="355">
        <f t="shared" si="27"/>
        <v>1.792262450763503</v>
      </c>
      <c r="AT124" s="179">
        <f t="shared" si="28"/>
        <v>1.5938562726559288E-2</v>
      </c>
    </row>
    <row r="125" spans="1:46" hidden="1" x14ac:dyDescent="0.25">
      <c r="A125" s="259">
        <v>44016</v>
      </c>
      <c r="B125" s="681">
        <v>2590</v>
      </c>
      <c r="C125" s="506">
        <f>C124+B125</f>
        <v>75376</v>
      </c>
      <c r="D125" s="670">
        <v>44</v>
      </c>
      <c r="E125" s="506">
        <f>E124+D125</f>
        <v>1481</v>
      </c>
      <c r="F125" s="515">
        <f t="shared" si="22"/>
        <v>1667</v>
      </c>
      <c r="G125" s="515">
        <v>27597</v>
      </c>
      <c r="H125" s="506">
        <v>658</v>
      </c>
      <c r="I125" s="515">
        <v>9072</v>
      </c>
      <c r="J125" s="511">
        <v>399454</v>
      </c>
      <c r="K125" s="511"/>
      <c r="L125" s="541">
        <f t="shared" si="20"/>
        <v>1.9648163871789429E-2</v>
      </c>
      <c r="M125" s="522">
        <v>254498</v>
      </c>
      <c r="N125" s="511">
        <v>255263</v>
      </c>
      <c r="O125" s="520">
        <v>1069</v>
      </c>
      <c r="P125" s="511">
        <v>26548</v>
      </c>
      <c r="Q125" s="511">
        <v>35186</v>
      </c>
      <c r="R125" s="512">
        <f t="shared" si="38"/>
        <v>12573</v>
      </c>
      <c r="S125" s="510">
        <f t="shared" si="21"/>
        <v>46298</v>
      </c>
      <c r="T125" s="518">
        <f t="shared" si="25"/>
        <v>1.4212276988206833E-2</v>
      </c>
      <c r="U125" s="519">
        <f t="shared" si="36"/>
        <v>1.9648163871789429E-2</v>
      </c>
      <c r="V125" s="512">
        <f>SUM(B112:B125)/POBLA!$B$25*100000</f>
        <v>75.301627951474217</v>
      </c>
      <c r="W125" s="512">
        <f>B125/POBLA!$B$25*100000</f>
        <v>5.7073398219102831</v>
      </c>
      <c r="X125" s="513">
        <f t="shared" si="34"/>
        <v>1.7812760633861551</v>
      </c>
      <c r="Y125" s="519">
        <f t="shared" si="37"/>
        <v>1.4212276988206833E-2</v>
      </c>
      <c r="Z125" s="520">
        <f t="shared" si="39"/>
        <v>0.28236952100315488</v>
      </c>
      <c r="AA125" s="517">
        <f t="shared" si="23"/>
        <v>2518.8571428571427</v>
      </c>
      <c r="AB125" s="517">
        <f t="shared" si="24"/>
        <v>39.285714285714285</v>
      </c>
      <c r="AC125" s="517">
        <f t="shared" si="35"/>
        <v>37.481863758026265</v>
      </c>
      <c r="AD125" s="517">
        <f t="shared" si="32"/>
        <v>-1.8038505276880201</v>
      </c>
      <c r="AE125" s="545">
        <f t="shared" si="33"/>
        <v>2440.8571428571427</v>
      </c>
      <c r="AF125" s="520">
        <f t="shared" si="31"/>
        <v>1.0660217654171704</v>
      </c>
      <c r="AG125" s="200">
        <f t="shared" si="30"/>
        <v>0.27181825673708215</v>
      </c>
      <c r="AH125" s="4"/>
      <c r="AI125" s="4"/>
      <c r="AJ125" s="488">
        <f>MAX($B$2:B125)</f>
        <v>2886</v>
      </c>
      <c r="AP125" s="355">
        <f t="shared" si="27"/>
        <v>1.7812760633861551</v>
      </c>
      <c r="AT125" s="179">
        <f t="shared" si="28"/>
        <v>1.5803113503325542E-2</v>
      </c>
    </row>
    <row r="126" spans="1:46" hidden="1" x14ac:dyDescent="0.25">
      <c r="A126" s="259">
        <v>44017</v>
      </c>
      <c r="B126" s="671">
        <v>2439</v>
      </c>
      <c r="C126" s="515">
        <v>77815</v>
      </c>
      <c r="D126" s="670">
        <v>26</v>
      </c>
      <c r="E126" s="515">
        <f>E125+D126</f>
        <v>1507</v>
      </c>
      <c r="F126" s="515">
        <f t="shared" si="22"/>
        <v>934</v>
      </c>
      <c r="G126" s="515">
        <v>28531</v>
      </c>
      <c r="H126" s="506">
        <v>676</v>
      </c>
      <c r="I126" s="515">
        <v>6756</v>
      </c>
      <c r="J126" s="511">
        <v>406210</v>
      </c>
      <c r="K126" s="511"/>
      <c r="L126" s="541">
        <f t="shared" si="20"/>
        <v>1.9366446057957978E-2</v>
      </c>
      <c r="M126" s="522">
        <v>258025</v>
      </c>
      <c r="N126" s="511">
        <v>258801</v>
      </c>
      <c r="O126" s="520">
        <v>1072</v>
      </c>
      <c r="P126" s="511">
        <v>27239</v>
      </c>
      <c r="Q126" s="511">
        <v>36235</v>
      </c>
      <c r="R126" s="511">
        <f>77815-Q126-P126-O126</f>
        <v>13269</v>
      </c>
      <c r="S126" s="510">
        <f t="shared" si="21"/>
        <v>47777</v>
      </c>
      <c r="T126" s="518">
        <f t="shared" si="25"/>
        <v>1.4149067542960001E-2</v>
      </c>
      <c r="U126" s="519">
        <f t="shared" si="36"/>
        <v>1.9366446057957978E-2</v>
      </c>
      <c r="V126" s="512">
        <f>SUM(B113:B126)/POBLA!$B$25*100000</f>
        <v>77.192321992863796</v>
      </c>
      <c r="W126" s="512">
        <f>B126/POBLA!$B$25*100000</f>
        <v>5.3745952994745876</v>
      </c>
      <c r="X126" s="513">
        <f t="shared" si="34"/>
        <v>1.7522885298384272</v>
      </c>
      <c r="Y126" s="519">
        <f t="shared" si="37"/>
        <v>1.4149067542960001E-2</v>
      </c>
      <c r="Z126" s="520">
        <f t="shared" si="39"/>
        <v>0.28962925770557651</v>
      </c>
      <c r="AA126" s="517">
        <f t="shared" si="23"/>
        <v>2554.5714285714284</v>
      </c>
      <c r="AB126" s="517">
        <f t="shared" si="24"/>
        <v>39.285714285714285</v>
      </c>
      <c r="AC126" s="517">
        <f t="shared" si="35"/>
        <v>37.834648324679875</v>
      </c>
      <c r="AD126" s="517">
        <f t="shared" si="32"/>
        <v>-1.4510659610344092</v>
      </c>
      <c r="AE126" s="545">
        <f t="shared" si="33"/>
        <v>2502.1428571428573</v>
      </c>
      <c r="AF126" s="520">
        <f t="shared" si="31"/>
        <v>1.0428038255190109</v>
      </c>
      <c r="AG126" s="200">
        <f t="shared" si="30"/>
        <v>0.27195037537937283</v>
      </c>
      <c r="AH126" s="4"/>
      <c r="AI126" s="4"/>
      <c r="AJ126" s="488">
        <f>MAX($B$2:B126)</f>
        <v>2886</v>
      </c>
      <c r="AP126" s="355">
        <f t="shared" si="27"/>
        <v>1.7522885298384276</v>
      </c>
      <c r="AT126" s="179">
        <f t="shared" si="28"/>
        <v>1.5393286131952517E-2</v>
      </c>
    </row>
    <row r="127" spans="1:46" hidden="1" x14ac:dyDescent="0.25">
      <c r="A127" s="525">
        <v>44018</v>
      </c>
      <c r="B127" s="670">
        <v>2632</v>
      </c>
      <c r="C127" s="515">
        <v>80447</v>
      </c>
      <c r="D127" s="670">
        <v>75</v>
      </c>
      <c r="E127" s="515">
        <v>1582</v>
      </c>
      <c r="F127" s="515">
        <f t="shared" si="22"/>
        <v>1564</v>
      </c>
      <c r="G127" s="515">
        <v>30095</v>
      </c>
      <c r="H127" s="506">
        <v>688</v>
      </c>
      <c r="I127" s="515">
        <v>8487</v>
      </c>
      <c r="J127" s="511">
        <v>414697</v>
      </c>
      <c r="K127" s="511"/>
      <c r="L127" s="541">
        <f t="shared" si="20"/>
        <v>1.966512113565453E-2</v>
      </c>
      <c r="M127" s="522">
        <f>N127-L127</f>
        <v>263155.98033487884</v>
      </c>
      <c r="N127" s="511">
        <v>263156</v>
      </c>
      <c r="O127" s="520">
        <v>1073</v>
      </c>
      <c r="P127" s="511">
        <v>27991</v>
      </c>
      <c r="Q127" s="511">
        <v>38006</v>
      </c>
      <c r="R127" s="511">
        <f>80447-Q127-P127-O127</f>
        <v>13377</v>
      </c>
      <c r="S127" s="510">
        <f t="shared" si="21"/>
        <v>48770</v>
      </c>
      <c r="T127" s="518">
        <f t="shared" si="25"/>
        <v>1.41070330120976E-2</v>
      </c>
      <c r="U127" s="519">
        <f t="shared" si="36"/>
        <v>1.966512113565453E-2</v>
      </c>
      <c r="V127" s="512">
        <f>SUM(B114:B127)/POBLA!$B$25*100000</f>
        <v>78.263274561762799</v>
      </c>
      <c r="W127" s="512">
        <f>B127/POBLA!$B$25*100000</f>
        <v>5.7998912784818017</v>
      </c>
      <c r="X127" s="513">
        <f t="shared" si="34"/>
        <v>1.6665571770447187</v>
      </c>
      <c r="Y127" s="519">
        <f t="shared" si="37"/>
        <v>1.41070330120976E-2</v>
      </c>
      <c r="Z127" s="520">
        <f t="shared" si="39"/>
        <v>0.29182117344891245</v>
      </c>
      <c r="AA127" s="517">
        <f t="shared" si="23"/>
        <v>2597</v>
      </c>
      <c r="AB127" s="517">
        <f t="shared" si="24"/>
        <v>43.142857142857146</v>
      </c>
      <c r="AC127" s="517">
        <f t="shared" si="35"/>
        <v>40.278515946673785</v>
      </c>
      <c r="AD127" s="517">
        <f t="shared" si="32"/>
        <v>-2.8643411961833607</v>
      </c>
      <c r="AE127" s="545">
        <f t="shared" si="33"/>
        <v>2536.8571428571427</v>
      </c>
      <c r="AF127" s="520">
        <f t="shared" si="31"/>
        <v>1.0485666493626349</v>
      </c>
      <c r="AG127" s="200">
        <f t="shared" si="30"/>
        <v>0.25182884570959208</v>
      </c>
      <c r="AH127" s="4"/>
      <c r="AI127" s="4"/>
      <c r="AJ127" s="488">
        <f>MAX($B$2:B127)</f>
        <v>2886</v>
      </c>
      <c r="AP127" s="355">
        <f t="shared" si="27"/>
        <v>1.6665571770447185</v>
      </c>
      <c r="AT127" s="179">
        <f t="shared" si="28"/>
        <v>1.5968644633474249E-2</v>
      </c>
    </row>
    <row r="128" spans="1:46" hidden="1" x14ac:dyDescent="0.25">
      <c r="A128" s="259">
        <v>44019</v>
      </c>
      <c r="B128" s="670">
        <v>2979</v>
      </c>
      <c r="C128" s="515">
        <v>83426</v>
      </c>
      <c r="D128" s="670">
        <v>62</v>
      </c>
      <c r="E128" s="524">
        <v>1644</v>
      </c>
      <c r="F128" s="515">
        <f t="shared" si="22"/>
        <v>6407</v>
      </c>
      <c r="G128" s="515">
        <v>36502</v>
      </c>
      <c r="H128" s="515">
        <v>646</v>
      </c>
      <c r="I128" s="515">
        <v>9805</v>
      </c>
      <c r="J128" s="511">
        <v>423782</v>
      </c>
      <c r="K128" s="511"/>
      <c r="L128" s="541">
        <f t="shared" si="20"/>
        <v>1.9706086831443436E-2</v>
      </c>
      <c r="M128" s="522">
        <v>266938</v>
      </c>
      <c r="N128" s="511">
        <v>267741</v>
      </c>
      <c r="O128" s="520">
        <v>1074</v>
      </c>
      <c r="P128" s="511">
        <v>28792</v>
      </c>
      <c r="Q128" s="511">
        <v>39718</v>
      </c>
      <c r="R128" s="511">
        <f>83426-Q128-P128-O128</f>
        <v>13842</v>
      </c>
      <c r="S128" s="510">
        <f t="shared" si="21"/>
        <v>45280</v>
      </c>
      <c r="T128" s="518">
        <f t="shared" si="25"/>
        <v>1.4266784452296819E-2</v>
      </c>
      <c r="U128" s="519">
        <f t="shared" si="36"/>
        <v>1.9706086831443436E-2</v>
      </c>
      <c r="V128" s="512">
        <f>SUM(B115:B128)/POBLA!$B$25*100000</f>
        <v>79.792577201301683</v>
      </c>
      <c r="W128" s="512">
        <f>B128/POBLA!$B$25*100000</f>
        <v>6.5645425982512489</v>
      </c>
      <c r="X128" s="513">
        <f t="shared" si="34"/>
        <v>1.6125584502338008</v>
      </c>
      <c r="Y128" s="519">
        <f t="shared" si="37"/>
        <v>1.4266784452296819E-2</v>
      </c>
      <c r="Z128" s="520">
        <f t="shared" si="39"/>
        <v>0.30678312822677534</v>
      </c>
      <c r="AA128" s="517">
        <f t="shared" si="23"/>
        <v>2699.4285714285716</v>
      </c>
      <c r="AB128" s="517">
        <f t="shared" si="24"/>
        <v>48.142857142857146</v>
      </c>
      <c r="AC128" s="517">
        <f t="shared" si="35"/>
        <v>42.586792612673669</v>
      </c>
      <c r="AD128" s="517">
        <f t="shared" si="32"/>
        <v>-5.5560645301834768</v>
      </c>
      <c r="AE128" s="545">
        <f t="shared" si="33"/>
        <v>2586.4285714285716</v>
      </c>
      <c r="AF128" s="520">
        <f t="shared" si="31"/>
        <v>1.0913711447383621</v>
      </c>
      <c r="AG128" s="200">
        <f t="shared" si="30"/>
        <v>0.12684468556354678</v>
      </c>
      <c r="AH128" s="4"/>
      <c r="AI128" s="4"/>
      <c r="AJ128" s="488">
        <f>MAX($B$2:B128)</f>
        <v>2979</v>
      </c>
      <c r="AP128" s="355">
        <f t="shared" si="27"/>
        <v>1.6125584502338011</v>
      </c>
      <c r="AT128" s="179">
        <f t="shared" si="28"/>
        <v>1.6163082200818048E-2</v>
      </c>
    </row>
    <row r="129" spans="1:46" hidden="1" x14ac:dyDescent="0.25">
      <c r="A129" s="259">
        <v>44020</v>
      </c>
      <c r="B129" s="670">
        <v>3604</v>
      </c>
      <c r="C129" s="524">
        <v>87030</v>
      </c>
      <c r="D129" s="670">
        <v>51</v>
      </c>
      <c r="E129" s="526">
        <v>1695</v>
      </c>
      <c r="F129" s="515">
        <f t="shared" si="22"/>
        <v>1811</v>
      </c>
      <c r="G129" s="515">
        <v>38313</v>
      </c>
      <c r="H129" s="515">
        <v>671</v>
      </c>
      <c r="I129" s="515">
        <v>10910</v>
      </c>
      <c r="J129" s="511">
        <v>434692</v>
      </c>
      <c r="K129" s="511"/>
      <c r="L129" s="541">
        <f t="shared" si="20"/>
        <v>1.9476042743881421E-2</v>
      </c>
      <c r="M129" s="522">
        <v>272349</v>
      </c>
      <c r="N129" s="511">
        <v>273168</v>
      </c>
      <c r="O129" s="520">
        <v>1074</v>
      </c>
      <c r="P129" s="511">
        <v>29747</v>
      </c>
      <c r="Q129" s="511">
        <v>41495</v>
      </c>
      <c r="R129" s="511">
        <f>87030-Q129-P129-O129</f>
        <v>14714</v>
      </c>
      <c r="S129" s="510">
        <f t="shared" si="21"/>
        <v>47022</v>
      </c>
      <c r="T129" s="518">
        <f t="shared" si="25"/>
        <v>1.4269916209433882E-2</v>
      </c>
      <c r="U129" s="519">
        <f t="shared" si="36"/>
        <v>1.9476042743881421E-2</v>
      </c>
      <c r="V129" s="512">
        <f>SUM(B116:B129)/POBLA!$B$25*100000</f>
        <v>81.927871520773138</v>
      </c>
      <c r="W129" s="512">
        <f>B129/POBLA!$B$25*100000</f>
        <v>7.9417964162797929</v>
      </c>
      <c r="X129" s="513">
        <f t="shared" si="34"/>
        <v>1.5579534026148174</v>
      </c>
      <c r="Y129" s="519">
        <f t="shared" si="37"/>
        <v>1.4269916209433882E-2</v>
      </c>
      <c r="Z129" s="520">
        <f t="shared" si="39"/>
        <v>0.31329773789965881</v>
      </c>
      <c r="AA129" s="517">
        <f t="shared" si="23"/>
        <v>2833.2857142857142</v>
      </c>
      <c r="AB129" s="517">
        <f t="shared" si="24"/>
        <v>49.142857142857146</v>
      </c>
      <c r="AC129" s="517">
        <f t="shared" si="35"/>
        <v>45.729657235705261</v>
      </c>
      <c r="AD129" s="517">
        <f t="shared" si="32"/>
        <v>-3.4131999071518848</v>
      </c>
      <c r="AE129" s="545">
        <f t="shared" si="33"/>
        <v>2655.6428571428573</v>
      </c>
      <c r="AF129" s="520">
        <f t="shared" si="31"/>
        <v>1.1433759944655828</v>
      </c>
      <c r="AG129" s="200">
        <f t="shared" si="30"/>
        <v>0.12870859337493989</v>
      </c>
      <c r="AH129" s="4"/>
      <c r="AI129" s="4"/>
      <c r="AJ129" s="488">
        <f>MAX($B$2:B129)</f>
        <v>3604</v>
      </c>
      <c r="AP129" s="355">
        <f t="shared" si="27"/>
        <v>1.5579534026148174</v>
      </c>
      <c r="AT129" s="179">
        <f t="shared" si="28"/>
        <v>1.580192398675288E-2</v>
      </c>
    </row>
    <row r="130" spans="1:46" hidden="1" x14ac:dyDescent="0.25">
      <c r="A130" s="259">
        <v>44021</v>
      </c>
      <c r="B130" s="671">
        <v>3663</v>
      </c>
      <c r="C130" s="524">
        <v>90693</v>
      </c>
      <c r="D130" s="670">
        <v>26</v>
      </c>
      <c r="E130" s="524">
        <v>1721</v>
      </c>
      <c r="F130" s="515">
        <f t="shared" si="22"/>
        <v>671</v>
      </c>
      <c r="G130" s="515">
        <v>38984</v>
      </c>
      <c r="H130" s="515">
        <v>662</v>
      </c>
      <c r="I130" s="515">
        <v>11041</v>
      </c>
      <c r="J130" s="511">
        <v>445733</v>
      </c>
      <c r="K130" s="511"/>
      <c r="L130" s="541">
        <f t="shared" ref="L130:L193" si="40">E130/C130</f>
        <v>1.8976106204447972E-2</v>
      </c>
      <c r="M130" s="522">
        <v>277811</v>
      </c>
      <c r="N130" s="511">
        <v>278647</v>
      </c>
      <c r="O130" s="520">
        <v>1076</v>
      </c>
      <c r="P130" s="511">
        <v>30597</v>
      </c>
      <c r="Q130" s="511">
        <v>43374</v>
      </c>
      <c r="R130" s="511">
        <f>90693-Q130-P130-O130</f>
        <v>15646</v>
      </c>
      <c r="S130" s="510">
        <f t="shared" ref="S130:S193" si="41">C130-E130-G130</f>
        <v>49988</v>
      </c>
      <c r="T130" s="518">
        <f t="shared" si="25"/>
        <v>1.3243178362807074E-2</v>
      </c>
      <c r="U130" s="519">
        <f t="shared" si="36"/>
        <v>1.8976106204447972E-2</v>
      </c>
      <c r="V130" s="512">
        <f>SUM(B117:B130)/POBLA!$B$25*100000</f>
        <v>84.257083177823006</v>
      </c>
      <c r="W130" s="512">
        <f>B130/POBLA!$B$25*100000</f>
        <v>8.071809176701688</v>
      </c>
      <c r="X130" s="513">
        <f t="shared" si="34"/>
        <v>1.5243182905437729</v>
      </c>
      <c r="Y130" s="519">
        <f t="shared" si="37"/>
        <v>1.3243178362807074E-2</v>
      </c>
      <c r="Z130" s="520">
        <f t="shared" si="39"/>
        <v>0.31915351727107749</v>
      </c>
      <c r="AA130" s="517">
        <f t="shared" si="23"/>
        <v>2964.5714285714284</v>
      </c>
      <c r="AB130" s="517">
        <f t="shared" si="24"/>
        <v>48</v>
      </c>
      <c r="AC130" s="517">
        <f t="shared" si="35"/>
        <v>46.811265825887318</v>
      </c>
      <c r="AD130" s="517">
        <f t="shared" si="32"/>
        <v>-1.1887341741126818</v>
      </c>
      <c r="AE130" s="545">
        <f t="shared" si="33"/>
        <v>2731.1428571428573</v>
      </c>
      <c r="AF130" s="520">
        <f t="shared" si="31"/>
        <v>1.1869137497140241</v>
      </c>
      <c r="AG130" s="200">
        <f t="shared" si="30"/>
        <v>0.1536047262992708</v>
      </c>
      <c r="AH130" s="4"/>
      <c r="AI130" s="4"/>
      <c r="AJ130" s="488">
        <f>MAX($B$2:B130)</f>
        <v>3663</v>
      </c>
      <c r="AP130" s="355">
        <f t="shared" si="27"/>
        <v>1.5243182905437729</v>
      </c>
      <c r="AT130" s="179">
        <f t="shared" si="28"/>
        <v>1.522781047139477E-2</v>
      </c>
    </row>
    <row r="131" spans="1:46" hidden="1" x14ac:dyDescent="0.25">
      <c r="A131" s="259">
        <v>44022</v>
      </c>
      <c r="B131" s="671">
        <v>3367</v>
      </c>
      <c r="C131" s="515">
        <v>94060</v>
      </c>
      <c r="D131" s="670">
        <v>54</v>
      </c>
      <c r="E131" s="524">
        <v>1775</v>
      </c>
      <c r="F131" s="515">
        <f t="shared" ref="F131:F194" si="42">G131-G130</f>
        <v>2424</v>
      </c>
      <c r="G131" s="515">
        <v>41408</v>
      </c>
      <c r="H131" s="515">
        <v>686</v>
      </c>
      <c r="I131" s="515">
        <v>10309</v>
      </c>
      <c r="J131" s="511">
        <v>456042</v>
      </c>
      <c r="K131" s="511"/>
      <c r="L131" s="541">
        <f t="shared" si="40"/>
        <v>1.8870933446736127E-2</v>
      </c>
      <c r="M131" s="522">
        <v>283021</v>
      </c>
      <c r="N131" s="511">
        <f>M131+L131</f>
        <v>283021.01887093345</v>
      </c>
      <c r="O131" s="520">
        <v>1078</v>
      </c>
      <c r="P131" s="511">
        <v>31739</v>
      </c>
      <c r="Q131" s="511">
        <v>45328</v>
      </c>
      <c r="R131" s="511">
        <v>15915</v>
      </c>
      <c r="S131" s="510">
        <f t="shared" si="41"/>
        <v>50877</v>
      </c>
      <c r="T131" s="518">
        <f t="shared" si="25"/>
        <v>1.3483499420170214E-2</v>
      </c>
      <c r="U131" s="519">
        <f t="shared" si="36"/>
        <v>1.8870933446736127E-2</v>
      </c>
      <c r="V131" s="512">
        <f>SUM(B118:B131)/POBLA!$B$25*100000</f>
        <v>85.317017716177787</v>
      </c>
      <c r="W131" s="512">
        <f>B131/POBLA!$B$25*100000</f>
        <v>7.4195417684833691</v>
      </c>
      <c r="X131" s="513">
        <f t="shared" si="34"/>
        <v>1.456676323413221</v>
      </c>
      <c r="Y131" s="519">
        <f t="shared" si="37"/>
        <v>1.3483499420170214E-2</v>
      </c>
      <c r="Z131" s="520">
        <f t="shared" si="39"/>
        <v>0.32048809882494728</v>
      </c>
      <c r="AA131" s="517">
        <f t="shared" si="23"/>
        <v>3039.1428571428573</v>
      </c>
      <c r="AB131" s="517">
        <f t="shared" si="24"/>
        <v>48.285714285714285</v>
      </c>
      <c r="AC131" s="517">
        <f t="shared" si="35"/>
        <v>48.206463070565121</v>
      </c>
      <c r="AD131" s="517">
        <f t="shared" si="32"/>
        <v>-7.9251215149163556E-2</v>
      </c>
      <c r="AE131" s="545">
        <f t="shared" si="33"/>
        <v>2765.5</v>
      </c>
      <c r="AF131" s="520">
        <f t="shared" si="31"/>
        <v>1.2196296508628104</v>
      </c>
      <c r="AG131" s="200">
        <f t="shared" si="30"/>
        <v>0.12016997291882259</v>
      </c>
      <c r="AH131" s="4"/>
      <c r="AI131" s="4"/>
      <c r="AJ131" s="488">
        <f>MAX($B$2:B131)</f>
        <v>3663</v>
      </c>
      <c r="AP131" s="355">
        <f t="shared" si="27"/>
        <v>1.456676323413221</v>
      </c>
      <c r="AT131" s="179">
        <f t="shared" si="28"/>
        <v>1.5277716568977421E-2</v>
      </c>
    </row>
    <row r="132" spans="1:46" hidden="1" x14ac:dyDescent="0.25">
      <c r="A132" s="259">
        <v>44023</v>
      </c>
      <c r="B132" s="671">
        <v>3449</v>
      </c>
      <c r="C132" s="524">
        <v>97509</v>
      </c>
      <c r="D132" s="670">
        <v>36</v>
      </c>
      <c r="E132" s="524">
        <v>1811</v>
      </c>
      <c r="F132" s="515">
        <f t="shared" si="42"/>
        <v>1286</v>
      </c>
      <c r="G132" s="515">
        <v>42694</v>
      </c>
      <c r="H132" s="515">
        <v>701</v>
      </c>
      <c r="I132" s="515">
        <v>10266</v>
      </c>
      <c r="J132" s="511">
        <v>466308</v>
      </c>
      <c r="K132" s="511"/>
      <c r="L132" s="541">
        <f t="shared" si="40"/>
        <v>1.8572644576398074E-2</v>
      </c>
      <c r="M132" s="522">
        <v>288165</v>
      </c>
      <c r="N132" s="511">
        <f>M132+L132</f>
        <v>288165.01857264456</v>
      </c>
      <c r="O132" s="520">
        <v>1080</v>
      </c>
      <c r="P132" s="511">
        <v>32616</v>
      </c>
      <c r="Q132" s="511">
        <v>46824</v>
      </c>
      <c r="R132" s="511">
        <v>16989</v>
      </c>
      <c r="S132" s="510">
        <f t="shared" si="41"/>
        <v>53004</v>
      </c>
      <c r="T132" s="518">
        <f t="shared" si="25"/>
        <v>1.3225416949664176E-2</v>
      </c>
      <c r="U132" s="519">
        <f t="shared" si="36"/>
        <v>1.8572644576398074E-2</v>
      </c>
      <c r="V132" s="512">
        <f>SUM(B119:B132)/POBLA!$B$25*100000</f>
        <v>87.626396918248048</v>
      </c>
      <c r="W132" s="512">
        <f>B132/POBLA!$B$25*100000</f>
        <v>7.6002374694087136</v>
      </c>
      <c r="X132" s="513">
        <f t="shared" si="34"/>
        <v>1.4486866552515574</v>
      </c>
      <c r="Y132" s="519">
        <f t="shared" si="37"/>
        <v>1.3225416949664176E-2</v>
      </c>
      <c r="Z132" s="520">
        <f t="shared" si="39"/>
        <v>0.32753721845680289</v>
      </c>
      <c r="AA132" s="517">
        <f t="shared" si="23"/>
        <v>3161.8571428571427</v>
      </c>
      <c r="AB132" s="517">
        <f t="shared" si="24"/>
        <v>47.142857142857146</v>
      </c>
      <c r="AC132" s="517">
        <f t="shared" si="35"/>
        <v>49.389868582511966</v>
      </c>
      <c r="AD132" s="517">
        <f t="shared" si="32"/>
        <v>2.2470114396548198</v>
      </c>
      <c r="AE132" s="545">
        <f t="shared" si="33"/>
        <v>2840.3571428571427</v>
      </c>
      <c r="AF132" s="520">
        <f t="shared" si="31"/>
        <v>1.2552745009074411</v>
      </c>
      <c r="AG132" s="200">
        <f t="shared" si="30"/>
        <v>0.14484426973087383</v>
      </c>
      <c r="AH132" s="4"/>
      <c r="AI132" s="4"/>
      <c r="AJ132" s="488">
        <f>MAX($B$2:B132)</f>
        <v>3663</v>
      </c>
      <c r="AP132" s="355">
        <f t="shared" si="27"/>
        <v>1.4486866552515574</v>
      </c>
      <c r="AT132" s="179">
        <f t="shared" si="28"/>
        <v>1.4913881601460021E-2</v>
      </c>
    </row>
    <row r="133" spans="1:46" hidden="1" x14ac:dyDescent="0.25">
      <c r="A133" s="259">
        <v>44024</v>
      </c>
      <c r="B133" s="671">
        <v>2657</v>
      </c>
      <c r="C133" s="524">
        <v>100166</v>
      </c>
      <c r="D133" s="671">
        <v>34</v>
      </c>
      <c r="E133" s="524">
        <v>1845</v>
      </c>
      <c r="F133" s="515">
        <f t="shared" si="42"/>
        <v>1479</v>
      </c>
      <c r="G133" s="515">
        <v>44173</v>
      </c>
      <c r="H133" s="515">
        <v>735</v>
      </c>
      <c r="I133" s="515">
        <v>8114</v>
      </c>
      <c r="J133" s="511">
        <v>474422</v>
      </c>
      <c r="K133" s="511"/>
      <c r="L133" s="541">
        <f t="shared" si="40"/>
        <v>1.8419423756564104E-2</v>
      </c>
      <c r="M133" s="522">
        <v>292418</v>
      </c>
      <c r="N133" s="511">
        <f>M133+L133</f>
        <v>292418.01841942378</v>
      </c>
      <c r="O133" s="520">
        <v>1081</v>
      </c>
      <c r="P133" s="511">
        <v>33376</v>
      </c>
      <c r="Q133" s="511">
        <v>48213</v>
      </c>
      <c r="R133" s="511">
        <f>100166-Q133-P133-O133</f>
        <v>17496</v>
      </c>
      <c r="S133" s="510">
        <f t="shared" si="41"/>
        <v>54148</v>
      </c>
      <c r="T133" s="518">
        <f t="shared" si="25"/>
        <v>1.3573908546945408E-2</v>
      </c>
      <c r="U133" s="519">
        <f t="shared" si="36"/>
        <v>1.8419423756564104E-2</v>
      </c>
      <c r="V133" s="512">
        <f>SUM(B120:B133)/POBLA!$B$25*100000</f>
        <v>88.657684577187808</v>
      </c>
      <c r="W133" s="512">
        <f>B133/POBLA!$B$25*100000</f>
        <v>5.8549814312029431</v>
      </c>
      <c r="X133" s="513">
        <f t="shared" si="34"/>
        <v>1.4188531527719002</v>
      </c>
      <c r="Y133" s="519">
        <f t="shared" si="37"/>
        <v>1.3573908546945408E-2</v>
      </c>
      <c r="Z133" s="520">
        <f t="shared" si="39"/>
        <v>0.32424708408286429</v>
      </c>
      <c r="AA133" s="517">
        <f t="shared" si="23"/>
        <v>3193</v>
      </c>
      <c r="AB133" s="517">
        <f t="shared" si="24"/>
        <v>48.285714285714285</v>
      </c>
      <c r="AC133" s="517">
        <f t="shared" si="35"/>
        <v>50.397906233389193</v>
      </c>
      <c r="AD133" s="517">
        <f t="shared" si="32"/>
        <v>2.1121919476749085</v>
      </c>
      <c r="AE133" s="545">
        <f t="shared" si="33"/>
        <v>2873.7857142857142</v>
      </c>
      <c r="AF133" s="520">
        <f t="shared" si="31"/>
        <v>1.2499161167654624</v>
      </c>
      <c r="AG133" s="200">
        <f t="shared" si="30"/>
        <v>0.13334868242041154</v>
      </c>
      <c r="AH133" s="4"/>
      <c r="AI133" s="4"/>
      <c r="AJ133" s="488">
        <f>MAX($B$2:B133)</f>
        <v>3663</v>
      </c>
      <c r="AP133" s="355">
        <f t="shared" si="27"/>
        <v>1.4188531527719002</v>
      </c>
      <c r="AT133" s="179">
        <f t="shared" si="28"/>
        <v>1.484552253438279E-2</v>
      </c>
    </row>
    <row r="134" spans="1:46" hidden="1" x14ac:dyDescent="0.25">
      <c r="A134" s="525">
        <v>44025</v>
      </c>
      <c r="B134" s="670">
        <v>3099</v>
      </c>
      <c r="C134" s="515">
        <v>103265</v>
      </c>
      <c r="D134" s="670">
        <v>58</v>
      </c>
      <c r="E134" s="515">
        <v>1903</v>
      </c>
      <c r="F134" s="515">
        <f t="shared" si="42"/>
        <v>1294</v>
      </c>
      <c r="G134" s="515">
        <v>45467</v>
      </c>
      <c r="H134" s="515">
        <v>752</v>
      </c>
      <c r="I134" s="515">
        <v>9377</v>
      </c>
      <c r="J134" s="511">
        <v>483799</v>
      </c>
      <c r="K134" s="511"/>
      <c r="L134" s="541">
        <f t="shared" si="40"/>
        <v>1.8428315498958989E-2</v>
      </c>
      <c r="M134" s="522">
        <f>N134-L134</f>
        <v>298085.98157168448</v>
      </c>
      <c r="N134" s="511">
        <v>298086</v>
      </c>
      <c r="O134" s="520">
        <v>1082</v>
      </c>
      <c r="P134" s="511">
        <v>34293</v>
      </c>
      <c r="Q134" s="511">
        <v>50637</v>
      </c>
      <c r="R134" s="511">
        <f>103265-Q134-P134-O134</f>
        <v>17253</v>
      </c>
      <c r="S134" s="510">
        <f t="shared" si="41"/>
        <v>55895</v>
      </c>
      <c r="T134" s="518">
        <f t="shared" si="25"/>
        <v>1.3453797298506128E-2</v>
      </c>
      <c r="U134" s="519">
        <f t="shared" si="36"/>
        <v>1.8428315498958989E-2</v>
      </c>
      <c r="V134" s="512">
        <f>SUM(B121:B134)/POBLA!$B$25*100000</f>
        <v>90.341239644345904</v>
      </c>
      <c r="W134" s="512">
        <f>B134/POBLA!$B$25*100000</f>
        <v>6.828975331312729</v>
      </c>
      <c r="X134" s="513">
        <f t="shared" si="34"/>
        <v>1.3905301360105824</v>
      </c>
      <c r="Y134" s="519">
        <f t="shared" si="37"/>
        <v>1.3453797298506128E-2</v>
      </c>
      <c r="Z134" s="520">
        <f t="shared" si="39"/>
        <v>0.32680244049153562</v>
      </c>
      <c r="AA134" s="517">
        <f t="shared" si="23"/>
        <v>3259.7142857142858</v>
      </c>
      <c r="AB134" s="517">
        <f t="shared" si="24"/>
        <v>45.857142857142854</v>
      </c>
      <c r="AC134" s="517">
        <f t="shared" si="35"/>
        <v>50.95186933898632</v>
      </c>
      <c r="AD134" s="517">
        <f t="shared" si="32"/>
        <v>5.0947264818434661</v>
      </c>
      <c r="AE134" s="545">
        <f t="shared" si="33"/>
        <v>2928.3571428571427</v>
      </c>
      <c r="AF134" s="520">
        <f t="shared" si="31"/>
        <v>1.2551845536058088</v>
      </c>
      <c r="AG134" s="200">
        <f t="shared" si="30"/>
        <v>0.14609391019069107</v>
      </c>
      <c r="AH134" s="4"/>
      <c r="AI134" s="4"/>
      <c r="AJ134" s="488">
        <f>MAX($B$2:B134)</f>
        <v>3663</v>
      </c>
      <c r="AP134" s="355">
        <f t="shared" si="27"/>
        <v>1.3905301360105822</v>
      </c>
      <c r="AT134" s="179">
        <f t="shared" si="28"/>
        <v>1.4910237083733041E-2</v>
      </c>
    </row>
    <row r="135" spans="1:46" hidden="1" x14ac:dyDescent="0.25">
      <c r="A135" s="259">
        <v>44026</v>
      </c>
      <c r="B135" s="670">
        <v>3645</v>
      </c>
      <c r="C135" s="524">
        <v>106910</v>
      </c>
      <c r="D135" s="670">
        <v>65</v>
      </c>
      <c r="E135" s="515">
        <v>1968</v>
      </c>
      <c r="F135" s="515">
        <f t="shared" si="42"/>
        <v>1831</v>
      </c>
      <c r="G135" s="515">
        <v>47298</v>
      </c>
      <c r="H135" s="515">
        <v>772</v>
      </c>
      <c r="I135" s="515">
        <v>11266</v>
      </c>
      <c r="J135" s="511">
        <v>495065</v>
      </c>
      <c r="K135" s="511"/>
      <c r="L135" s="541">
        <f t="shared" si="40"/>
        <v>1.840800673463661E-2</v>
      </c>
      <c r="M135" s="522">
        <f>N135-L135</f>
        <v>303986.98159199324</v>
      </c>
      <c r="N135" s="511">
        <v>303987</v>
      </c>
      <c r="O135" s="520">
        <v>1083</v>
      </c>
      <c r="P135" s="511">
        <v>35260</v>
      </c>
      <c r="Q135" s="511">
        <v>53247</v>
      </c>
      <c r="R135" s="511">
        <f>106910-Q135-P135-O135</f>
        <v>17320</v>
      </c>
      <c r="S135" s="510">
        <f t="shared" si="41"/>
        <v>57644</v>
      </c>
      <c r="T135" s="518">
        <f t="shared" si="25"/>
        <v>1.3392547359655818E-2</v>
      </c>
      <c r="U135" s="519">
        <f t="shared" si="36"/>
        <v>1.840800673463661E-2</v>
      </c>
      <c r="V135" s="512">
        <f>SUM(B122:B135)/POBLA!$B$25*100000</f>
        <v>93.388826892879479</v>
      </c>
      <c r="W135" s="512">
        <f>B135/POBLA!$B$25*100000</f>
        <v>8.0321442667424652</v>
      </c>
      <c r="X135" s="513">
        <f t="shared" si="34"/>
        <v>1.3954100951565638</v>
      </c>
      <c r="Y135" s="519">
        <f t="shared" si="37"/>
        <v>1.3392547359655818E-2</v>
      </c>
      <c r="Z135" s="520">
        <f t="shared" si="39"/>
        <v>0.32944741382938431</v>
      </c>
      <c r="AA135" s="517">
        <f t="shared" si="23"/>
        <v>3354.8571428571427</v>
      </c>
      <c r="AB135" s="517">
        <f t="shared" si="24"/>
        <v>46.285714285714285</v>
      </c>
      <c r="AC135" s="517">
        <f t="shared" si="35"/>
        <v>50.097181820194379</v>
      </c>
      <c r="AD135" s="517">
        <f t="shared" si="32"/>
        <v>3.8114675344800943</v>
      </c>
      <c r="AE135" s="545">
        <f t="shared" si="33"/>
        <v>3027.1428571428573</v>
      </c>
      <c r="AF135" s="520">
        <f t="shared" si="31"/>
        <v>1.2428027095681624</v>
      </c>
      <c r="AG135" s="200">
        <f t="shared" si="30"/>
        <v>0.27305653710247357</v>
      </c>
      <c r="AH135" s="4"/>
      <c r="AI135" s="4"/>
      <c r="AJ135" s="488">
        <f>MAX($B$2:B135)</f>
        <v>3663</v>
      </c>
      <c r="AP135" s="355">
        <f t="shared" si="27"/>
        <v>1.395410095156564</v>
      </c>
      <c r="AT135" s="179">
        <f t="shared" si="28"/>
        <v>1.5066438347072332E-2</v>
      </c>
    </row>
    <row r="136" spans="1:46" hidden="1" x14ac:dyDescent="0.25">
      <c r="A136" s="259">
        <v>44027</v>
      </c>
      <c r="B136" s="671">
        <v>4250</v>
      </c>
      <c r="C136" s="515">
        <f>C135+B136</f>
        <v>111160</v>
      </c>
      <c r="D136" s="670">
        <v>82</v>
      </c>
      <c r="E136" s="515">
        <v>2050</v>
      </c>
      <c r="F136" s="515">
        <f t="shared" si="42"/>
        <v>1822</v>
      </c>
      <c r="G136" s="515">
        <v>49120</v>
      </c>
      <c r="H136" s="515">
        <v>783</v>
      </c>
      <c r="I136" s="515">
        <v>13163</v>
      </c>
      <c r="J136" s="511">
        <v>508228</v>
      </c>
      <c r="K136" s="511"/>
      <c r="L136" s="541">
        <f t="shared" si="40"/>
        <v>1.8441885570349047E-2</v>
      </c>
      <c r="M136" s="522">
        <f>N136-L136</f>
        <v>309746.98155811441</v>
      </c>
      <c r="N136" s="511">
        <v>309747</v>
      </c>
      <c r="O136" s="520">
        <v>1085</v>
      </c>
      <c r="P136" s="511">
        <v>36398</v>
      </c>
      <c r="Q136" s="511">
        <v>55836</v>
      </c>
      <c r="R136" s="511">
        <v>17841</v>
      </c>
      <c r="S136" s="510">
        <f t="shared" si="41"/>
        <v>59990</v>
      </c>
      <c r="T136" s="518">
        <f t="shared" si="25"/>
        <v>1.3052175362560427E-2</v>
      </c>
      <c r="U136" s="519">
        <f t="shared" si="36"/>
        <v>1.8441885570349047E-2</v>
      </c>
      <c r="V136" s="512">
        <f>SUM(B123:B136)/POBLA!$B$25*100000</f>
        <v>96.877135363182163</v>
      </c>
      <c r="W136" s="512">
        <f>B136/POBLA!$B$25*100000</f>
        <v>9.3653259625940954</v>
      </c>
      <c r="X136" s="513">
        <f t="shared" si="34"/>
        <v>1.3892558066045189</v>
      </c>
      <c r="Y136" s="519">
        <f t="shared" si="37"/>
        <v>1.3052175362560427E-2</v>
      </c>
      <c r="Z136" s="520">
        <f t="shared" si="39"/>
        <v>0.32813859878154916</v>
      </c>
      <c r="AA136" s="517">
        <f t="shared" si="23"/>
        <v>3447.1428571428573</v>
      </c>
      <c r="AB136" s="517">
        <f t="shared" si="24"/>
        <v>50.714285714285715</v>
      </c>
      <c r="AC136" s="517">
        <f t="shared" si="35"/>
        <v>49.820349122728693</v>
      </c>
      <c r="AD136" s="517">
        <f t="shared" si="32"/>
        <v>-0.8939365915570221</v>
      </c>
      <c r="AE136" s="545">
        <f t="shared" si="33"/>
        <v>3140.2142857142858</v>
      </c>
      <c r="AF136" s="520">
        <f t="shared" si="31"/>
        <v>1.2166591035143448</v>
      </c>
      <c r="AG136" s="200">
        <f t="shared" si="30"/>
        <v>0.27578580239037054</v>
      </c>
      <c r="AH136" s="4"/>
      <c r="AI136" s="4"/>
      <c r="AJ136" s="488">
        <f>MAX($B$2:B136)</f>
        <v>4250</v>
      </c>
      <c r="AK136" s="179">
        <f t="shared" ref="AK136:AK199" si="43">AB136/AA117</f>
        <v>2.250681544411336E-2</v>
      </c>
      <c r="AL136" s="179"/>
      <c r="AM136" s="179"/>
      <c r="AN136" s="179"/>
      <c r="AP136" s="355">
        <f t="shared" si="27"/>
        <v>1.3892558066045191</v>
      </c>
      <c r="AT136" s="179">
        <f t="shared" si="28"/>
        <v>1.5259968102073366E-2</v>
      </c>
    </row>
    <row r="137" spans="1:46" s="23" customFormat="1" hidden="1" x14ac:dyDescent="0.25">
      <c r="A137" s="259">
        <v>44028</v>
      </c>
      <c r="B137" s="670">
        <v>3624</v>
      </c>
      <c r="C137" s="523">
        <v>114783</v>
      </c>
      <c r="D137" s="670">
        <v>62</v>
      </c>
      <c r="E137" s="515">
        <v>2112</v>
      </c>
      <c r="F137" s="515">
        <f t="shared" si="42"/>
        <v>660</v>
      </c>
      <c r="G137" s="515">
        <v>49780</v>
      </c>
      <c r="H137" s="515">
        <v>793</v>
      </c>
      <c r="I137" s="515">
        <v>11053</v>
      </c>
      <c r="J137" s="522">
        <v>519281</v>
      </c>
      <c r="K137" s="522"/>
      <c r="L137" s="541">
        <f t="shared" si="40"/>
        <v>1.8399937272941116E-2</v>
      </c>
      <c r="M137" s="522">
        <f>N137*0.997</f>
        <v>315396.962</v>
      </c>
      <c r="N137" s="522">
        <v>316346</v>
      </c>
      <c r="O137" s="520">
        <v>1086</v>
      </c>
      <c r="P137" s="522">
        <v>37225</v>
      </c>
      <c r="Q137" s="522">
        <v>57961</v>
      </c>
      <c r="R137" s="522">
        <f>114783-Q137-P137-O137</f>
        <v>18511</v>
      </c>
      <c r="S137" s="510">
        <f t="shared" si="41"/>
        <v>62891</v>
      </c>
      <c r="T137" s="518">
        <f t="shared" si="25"/>
        <v>1.2609117361784675E-2</v>
      </c>
      <c r="U137" s="519">
        <f t="shared" si="36"/>
        <v>1.8399937272941116E-2</v>
      </c>
      <c r="V137" s="512">
        <f>SUM(B124:B137)/POBLA!$B$25*100000</f>
        <v>98.816308738966342</v>
      </c>
      <c r="W137" s="512">
        <f>B137/POBLA!$B$25*100000</f>
        <v>7.9858685384567059</v>
      </c>
      <c r="X137" s="513">
        <f t="shared" si="34"/>
        <v>1.3827202368104592</v>
      </c>
      <c r="Y137" s="519">
        <f t="shared" si="37"/>
        <v>1.2609117361784675E-2</v>
      </c>
      <c r="Z137" s="520">
        <f t="shared" si="39"/>
        <v>0.3275547941480394</v>
      </c>
      <c r="AA137" s="517">
        <f t="shared" ref="AA137:AA200" si="44">AVERAGE(B131:B137)</f>
        <v>3441.5714285714284</v>
      </c>
      <c r="AB137" s="517">
        <f t="shared" ref="AB137:AB200" si="45">AVERAGE(D131:D137)</f>
        <v>55.857142857142854</v>
      </c>
      <c r="AC137" s="517">
        <f t="shared" si="35"/>
        <v>49.460749570556409</v>
      </c>
      <c r="AD137" s="517">
        <f t="shared" si="32"/>
        <v>-6.396393286586445</v>
      </c>
      <c r="AE137" s="545">
        <f t="shared" si="33"/>
        <v>3203.0714285714284</v>
      </c>
      <c r="AF137" s="520">
        <f t="shared" si="31"/>
        <v>1.1609001542020045</v>
      </c>
      <c r="AG137" s="200">
        <f t="shared" si="30"/>
        <v>0.25812194926782417</v>
      </c>
      <c r="AH137" s="7"/>
      <c r="AI137" s="7"/>
      <c r="AJ137" s="488">
        <f>MAX($B$2:B137)</f>
        <v>4250</v>
      </c>
      <c r="AK137" s="179">
        <f t="shared" si="43"/>
        <v>2.3639661426844014E-2</v>
      </c>
      <c r="AL137" s="179"/>
      <c r="AM137" s="179"/>
      <c r="AN137" s="179"/>
      <c r="AP137" s="355">
        <f t="shared" si="27"/>
        <v>1.382720236810459</v>
      </c>
      <c r="AT137" s="179">
        <f t="shared" si="28"/>
        <v>1.5305426356589148E-2</v>
      </c>
    </row>
    <row r="138" spans="1:46" hidden="1" x14ac:dyDescent="0.25">
      <c r="A138" s="259">
        <v>44029</v>
      </c>
      <c r="B138" s="671">
        <v>4518</v>
      </c>
      <c r="C138" s="515">
        <f>C137+B138</f>
        <v>119301</v>
      </c>
      <c r="D138" s="670">
        <v>66</v>
      </c>
      <c r="E138" s="515">
        <v>2178</v>
      </c>
      <c r="F138" s="515">
        <f t="shared" si="42"/>
        <v>0</v>
      </c>
      <c r="G138" s="515">
        <v>49780</v>
      </c>
      <c r="H138" s="515">
        <v>823</v>
      </c>
      <c r="I138" s="515">
        <v>12472</v>
      </c>
      <c r="J138" s="522">
        <v>531753</v>
      </c>
      <c r="K138" s="522"/>
      <c r="L138" s="541">
        <f t="shared" si="40"/>
        <v>1.825634319913496E-2</v>
      </c>
      <c r="M138" s="522">
        <v>321616</v>
      </c>
      <c r="N138" s="522">
        <v>322583</v>
      </c>
      <c r="O138" s="520">
        <v>1093</v>
      </c>
      <c r="P138" s="522">
        <v>38304</v>
      </c>
      <c r="Q138" s="522">
        <v>60041</v>
      </c>
      <c r="R138" s="511">
        <f>119301-Q138-P138-O138</f>
        <v>19863</v>
      </c>
      <c r="S138" s="510">
        <f t="shared" si="41"/>
        <v>67343</v>
      </c>
      <c r="T138" s="518">
        <f t="shared" si="25"/>
        <v>1.2221017774675913E-2</v>
      </c>
      <c r="U138" s="519">
        <f t="shared" si="36"/>
        <v>1.825634319913496E-2</v>
      </c>
      <c r="V138" s="512">
        <f>SUM(B125:B138)/POBLA!$B$25*100000</f>
        <v>102.50294175906515</v>
      </c>
      <c r="W138" s="512">
        <f>B138/POBLA!$B$25*100000</f>
        <v>9.9558923997647337</v>
      </c>
      <c r="X138" s="513">
        <f t="shared" si="34"/>
        <v>1.4004094412331407</v>
      </c>
      <c r="Y138" s="519">
        <f t="shared" si="37"/>
        <v>1.2221017774675913E-2</v>
      </c>
      <c r="Z138" s="520">
        <f t="shared" si="39"/>
        <v>0.33339937393509528</v>
      </c>
      <c r="AA138" s="517">
        <f t="shared" si="44"/>
        <v>3606</v>
      </c>
      <c r="AB138" s="517">
        <f t="shared" si="45"/>
        <v>57.571428571428569</v>
      </c>
      <c r="AC138" s="517">
        <f t="shared" si="35"/>
        <v>49.196256344430445</v>
      </c>
      <c r="AD138" s="517">
        <f t="shared" si="32"/>
        <v>-8.3751722269981244</v>
      </c>
      <c r="AE138" s="545">
        <f t="shared" si="33"/>
        <v>3322.5714285714284</v>
      </c>
      <c r="AF138" s="520">
        <f t="shared" si="31"/>
        <v>1.1865187552881451</v>
      </c>
      <c r="AG138" s="200">
        <f t="shared" si="30"/>
        <v>0.3236432965780216</v>
      </c>
      <c r="AH138" s="4"/>
      <c r="AI138" s="200">
        <f t="shared" ref="AI138:AI201" si="46">AB138/AB131</f>
        <v>1.1923076923076923</v>
      </c>
      <c r="AJ138" s="488">
        <f>MAX($B$2:B138)</f>
        <v>4518</v>
      </c>
      <c r="AK138" s="179">
        <f t="shared" si="43"/>
        <v>2.3501282948448797E-2</v>
      </c>
      <c r="AL138" s="179"/>
      <c r="AM138" s="179"/>
      <c r="AN138" s="179"/>
      <c r="AP138" s="355">
        <f t="shared" si="27"/>
        <v>1.4004094412331407</v>
      </c>
      <c r="AT138" s="179">
        <f t="shared" si="28"/>
        <v>1.5104477611940299E-2</v>
      </c>
    </row>
    <row r="139" spans="1:46" hidden="1" x14ac:dyDescent="0.25">
      <c r="A139" s="259">
        <v>44030</v>
      </c>
      <c r="B139" s="670">
        <f>3223+82</f>
        <v>3305</v>
      </c>
      <c r="C139" s="515">
        <f>C138+B139</f>
        <v>122606</v>
      </c>
      <c r="D139" s="670">
        <v>42</v>
      </c>
      <c r="E139" s="515">
        <v>2220</v>
      </c>
      <c r="F139" s="515">
        <f t="shared" si="42"/>
        <v>2827</v>
      </c>
      <c r="G139" s="515">
        <v>52607</v>
      </c>
      <c r="H139" s="515">
        <v>824</v>
      </c>
      <c r="I139" s="515">
        <v>9485</v>
      </c>
      <c r="J139" s="522">
        <v>541238</v>
      </c>
      <c r="K139" s="522"/>
      <c r="L139" s="541">
        <f t="shared" si="40"/>
        <v>1.8106781071073195E-2</v>
      </c>
      <c r="M139" s="522">
        <f>N139-L139</f>
        <v>326365.98189321894</v>
      </c>
      <c r="N139" s="522">
        <v>326366</v>
      </c>
      <c r="O139" s="520">
        <v>1093</v>
      </c>
      <c r="P139" s="522">
        <v>39113</v>
      </c>
      <c r="Q139" s="522">
        <v>62057</v>
      </c>
      <c r="R139" s="522">
        <v>20261</v>
      </c>
      <c r="S139" s="510">
        <f t="shared" si="41"/>
        <v>67779</v>
      </c>
      <c r="T139" s="518">
        <f t="shared" si="25"/>
        <v>1.2157157821744199E-2</v>
      </c>
      <c r="U139" s="519">
        <f t="shared" si="36"/>
        <v>1.8106781071073195E-2</v>
      </c>
      <c r="V139" s="512">
        <f>SUM(B126:B139)/POBLA!$B$25*100000</f>
        <v>104.0785201268898</v>
      </c>
      <c r="W139" s="512">
        <f>B139/POBLA!$B$25*100000</f>
        <v>7.2829181897349375</v>
      </c>
      <c r="X139" s="513">
        <f t="shared" si="34"/>
        <v>1.3821549806859417</v>
      </c>
      <c r="Y139" s="519">
        <f t="shared" si="37"/>
        <v>1.2157157821744199E-2</v>
      </c>
      <c r="Z139" s="520">
        <f t="shared" si="39"/>
        <v>0.33495262244761775</v>
      </c>
      <c r="AA139" s="517">
        <f t="shared" si="44"/>
        <v>3585.4285714285716</v>
      </c>
      <c r="AB139" s="517">
        <f t="shared" si="45"/>
        <v>58.428571428571431</v>
      </c>
      <c r="AC139" s="517">
        <f t="shared" si="35"/>
        <v>49.490917912484456</v>
      </c>
      <c r="AD139" s="517">
        <f t="shared" si="32"/>
        <v>-8.937653516086975</v>
      </c>
      <c r="AE139" s="545">
        <f t="shared" si="33"/>
        <v>3373.6428571428573</v>
      </c>
      <c r="AF139" s="520">
        <f t="shared" si="31"/>
        <v>1.1339628608864591</v>
      </c>
      <c r="AG139" s="200">
        <f t="shared" si="30"/>
        <v>0.27875254697758667</v>
      </c>
      <c r="AH139" s="4"/>
      <c r="AI139" s="200">
        <f t="shared" si="46"/>
        <v>1.2393939393939393</v>
      </c>
      <c r="AJ139" s="488">
        <f>MAX($B$2:B139)</f>
        <v>4518</v>
      </c>
      <c r="AK139" s="179">
        <f t="shared" si="43"/>
        <v>2.3591163407740669E-2</v>
      </c>
      <c r="AL139" s="179"/>
      <c r="AM139" s="179"/>
      <c r="AN139" s="179"/>
      <c r="AP139" s="355">
        <f t="shared" si="27"/>
        <v>1.3821549806859419</v>
      </c>
      <c r="AT139" s="179">
        <f t="shared" si="28"/>
        <v>1.4947647978189595E-2</v>
      </c>
    </row>
    <row r="140" spans="1:46" hidden="1" x14ac:dyDescent="0.25">
      <c r="A140" s="259">
        <v>44031</v>
      </c>
      <c r="B140" s="670">
        <v>4231</v>
      </c>
      <c r="C140" s="515">
        <f>C139+B140</f>
        <v>126837</v>
      </c>
      <c r="D140" s="670">
        <v>40</v>
      </c>
      <c r="E140" s="515">
        <v>2260</v>
      </c>
      <c r="F140" s="515">
        <f t="shared" si="42"/>
        <v>3306</v>
      </c>
      <c r="G140" s="515">
        <v>55913</v>
      </c>
      <c r="H140" s="515">
        <v>842</v>
      </c>
      <c r="I140" s="515">
        <v>11068</v>
      </c>
      <c r="J140" s="511">
        <v>552306</v>
      </c>
      <c r="K140" s="511"/>
      <c r="L140" s="541">
        <f t="shared" si="40"/>
        <v>1.7818144547726608E-2</v>
      </c>
      <c r="M140" s="522">
        <v>331436</v>
      </c>
      <c r="N140" s="511">
        <v>332433</v>
      </c>
      <c r="O140" s="520">
        <v>1095</v>
      </c>
      <c r="P140" s="511">
        <v>40138</v>
      </c>
      <c r="Q140" s="511">
        <v>63648</v>
      </c>
      <c r="R140" s="511">
        <f>126755-Q140-P140-O140</f>
        <v>21874</v>
      </c>
      <c r="S140" s="510">
        <f t="shared" si="41"/>
        <v>68664</v>
      </c>
      <c r="T140" s="518">
        <f t="shared" si="25"/>
        <v>1.2262612140277292E-2</v>
      </c>
      <c r="U140" s="519">
        <f t="shared" si="36"/>
        <v>1.7818144547726608E-2</v>
      </c>
      <c r="V140" s="512">
        <f>SUM(B127:B140)/POBLA!$B$25*100000</f>
        <v>108.02738227394124</v>
      </c>
      <c r="W140" s="512">
        <f>B140/POBLA!$B$25*100000</f>
        <v>9.3234574465260263</v>
      </c>
      <c r="X140" s="513">
        <f t="shared" si="34"/>
        <v>1.3994576077647731</v>
      </c>
      <c r="Y140" s="519">
        <f t="shared" si="37"/>
        <v>1.2262612140277292E-2</v>
      </c>
      <c r="Z140" s="520">
        <f t="shared" si="39"/>
        <v>0.34245801448307739</v>
      </c>
      <c r="AA140" s="517">
        <f t="shared" si="44"/>
        <v>3810.2857142857142</v>
      </c>
      <c r="AB140" s="517">
        <f t="shared" si="45"/>
        <v>59.285714285714285</v>
      </c>
      <c r="AC140" s="517">
        <f t="shared" si="35"/>
        <v>49.47296977262922</v>
      </c>
      <c r="AD140" s="517">
        <f t="shared" si="32"/>
        <v>-9.8127445130850646</v>
      </c>
      <c r="AE140" s="545">
        <f t="shared" si="33"/>
        <v>3501.6428571428573</v>
      </c>
      <c r="AF140" s="520">
        <f t="shared" si="31"/>
        <v>1.1933246834593529</v>
      </c>
      <c r="AG140" s="200">
        <f t="shared" si="30"/>
        <v>0.2680800768264755</v>
      </c>
      <c r="AH140" s="4"/>
      <c r="AI140" s="200">
        <f t="shared" si="46"/>
        <v>1.2278106508875739</v>
      </c>
      <c r="AJ140" s="488">
        <f>MAX($B$2:B140)</f>
        <v>4518</v>
      </c>
      <c r="AK140" s="179">
        <f t="shared" si="43"/>
        <v>2.3969042393438833E-2</v>
      </c>
      <c r="AL140" s="179"/>
      <c r="AM140" s="179"/>
      <c r="AN140" s="179"/>
      <c r="AP140" s="355">
        <f t="shared" si="27"/>
        <v>1.3994576077647731</v>
      </c>
      <c r="AT140" s="179">
        <f t="shared" si="28"/>
        <v>1.4678920108172526E-2</v>
      </c>
    </row>
    <row r="141" spans="1:46" hidden="1" x14ac:dyDescent="0.25">
      <c r="A141" s="525">
        <v>44032</v>
      </c>
      <c r="B141" s="670">
        <v>3937</v>
      </c>
      <c r="C141" s="515">
        <v>130774</v>
      </c>
      <c r="D141" s="670">
        <v>113</v>
      </c>
      <c r="E141" s="515">
        <f t="shared" ref="E141:E148" si="47">E140+D141</f>
        <v>2373</v>
      </c>
      <c r="F141" s="515">
        <f t="shared" si="42"/>
        <v>2685</v>
      </c>
      <c r="G141" s="515">
        <v>58598</v>
      </c>
      <c r="H141" s="515">
        <v>853</v>
      </c>
      <c r="I141" s="515">
        <v>11207</v>
      </c>
      <c r="J141" s="511">
        <v>563513</v>
      </c>
      <c r="K141" s="511"/>
      <c r="L141" s="541">
        <f t="shared" si="40"/>
        <v>1.8145808799914356E-2</v>
      </c>
      <c r="M141" s="522">
        <v>337237</v>
      </c>
      <c r="N141" s="511">
        <v>338251</v>
      </c>
      <c r="O141" s="520">
        <v>1095</v>
      </c>
      <c r="P141" s="511">
        <v>41086</v>
      </c>
      <c r="Q141" s="511">
        <v>66293</v>
      </c>
      <c r="R141" s="511">
        <f>130744-Q141-O141-P141</f>
        <v>22270</v>
      </c>
      <c r="S141" s="510">
        <f t="shared" si="41"/>
        <v>69803</v>
      </c>
      <c r="T141" s="518">
        <f t="shared" si="25"/>
        <v>1.2220105153073649E-2</v>
      </c>
      <c r="U141" s="519">
        <f t="shared" si="36"/>
        <v>1.8145808799914356E-2</v>
      </c>
      <c r="V141" s="512">
        <f>SUM(B128:B141)/POBLA!$B$25*100000</f>
        <v>110.90308824598485</v>
      </c>
      <c r="W141" s="512">
        <f>B141/POBLA!$B$25*100000</f>
        <v>8.6755972505253993</v>
      </c>
      <c r="X141" s="513">
        <f t="shared" ref="X141:X204" si="48">SUM(B128:B141)/SUM(B114:B127)</f>
        <v>1.4170514697601082</v>
      </c>
      <c r="Y141" s="519">
        <f t="shared" si="37"/>
        <v>1.2220105153073649E-2</v>
      </c>
      <c r="Z141" s="520">
        <f t="shared" si="39"/>
        <v>0.34510876383069472</v>
      </c>
      <c r="AA141" s="517">
        <f t="shared" si="44"/>
        <v>3930</v>
      </c>
      <c r="AB141" s="517">
        <f t="shared" si="45"/>
        <v>67.142857142857139</v>
      </c>
      <c r="AC141" s="517">
        <f t="shared" si="35"/>
        <v>51.070319589294812</v>
      </c>
      <c r="AD141" s="517">
        <f t="shared" si="32"/>
        <v>-16.072537553562327</v>
      </c>
      <c r="AE141" s="545">
        <f t="shared" si="33"/>
        <v>3594.8571428571427</v>
      </c>
      <c r="AF141" s="520">
        <f t="shared" si="31"/>
        <v>1.205627136471207</v>
      </c>
      <c r="AG141" s="200">
        <f t="shared" si="30"/>
        <v>0.24882368727077564</v>
      </c>
      <c r="AH141" s="4"/>
      <c r="AI141" s="200">
        <f t="shared" si="46"/>
        <v>1.4641744548286604</v>
      </c>
      <c r="AJ141" s="488">
        <f>MAX($B$2:B141)</f>
        <v>4518</v>
      </c>
      <c r="AK141" s="179">
        <f t="shared" si="43"/>
        <v>2.7095583996310388E-2</v>
      </c>
      <c r="AL141" s="179"/>
      <c r="AM141" s="179"/>
      <c r="AN141" s="179"/>
      <c r="AP141" s="355">
        <f t="shared" si="27"/>
        <v>1.4170514697601082</v>
      </c>
      <c r="AT141" s="179">
        <f t="shared" si="28"/>
        <v>1.5429100936687097E-2</v>
      </c>
    </row>
    <row r="142" spans="1:46" hidden="1" x14ac:dyDescent="0.25">
      <c r="A142" s="259">
        <v>44033</v>
      </c>
      <c r="B142" s="670">
        <v>5344</v>
      </c>
      <c r="C142" s="515">
        <f t="shared" ref="C142:C159" si="49">C141+B142</f>
        <v>136118</v>
      </c>
      <c r="D142" s="670">
        <v>117</v>
      </c>
      <c r="E142" s="515">
        <f t="shared" si="47"/>
        <v>2490</v>
      </c>
      <c r="F142" s="515">
        <f t="shared" si="42"/>
        <v>1933</v>
      </c>
      <c r="G142" s="515">
        <v>60531</v>
      </c>
      <c r="H142" s="515">
        <v>890</v>
      </c>
      <c r="I142" s="515">
        <v>14689</v>
      </c>
      <c r="J142" s="511">
        <v>578202</v>
      </c>
      <c r="K142" s="511"/>
      <c r="L142" s="541">
        <f t="shared" si="40"/>
        <v>1.8292951703668875E-2</v>
      </c>
      <c r="M142" s="522">
        <v>344681</v>
      </c>
      <c r="N142" s="511">
        <v>345718</v>
      </c>
      <c r="O142" s="520">
        <v>1096</v>
      </c>
      <c r="P142" s="511">
        <v>42253</v>
      </c>
      <c r="Q142" s="511">
        <v>69442</v>
      </c>
      <c r="R142" s="511">
        <v>23327</v>
      </c>
      <c r="S142" s="510">
        <f t="shared" si="41"/>
        <v>73097</v>
      </c>
      <c r="T142" s="518">
        <f t="shared" ref="T142:T205" si="50">H142/(C142-E142-G142)</f>
        <v>1.2175602281899393E-2</v>
      </c>
      <c r="U142" s="519">
        <f t="shared" ref="U142:U173" si="51">E142/C142</f>
        <v>1.8292951703668875E-2</v>
      </c>
      <c r="V142" s="512">
        <f>SUM(B129:B142)/POBLA!$B$25*100000</f>
        <v>116.11461669340484</v>
      </c>
      <c r="W142" s="512">
        <f>B142/POBLA!$B$25*100000</f>
        <v>11.776071045671257</v>
      </c>
      <c r="X142" s="513">
        <f t="shared" si="48"/>
        <v>1.4552057442695387</v>
      </c>
      <c r="Y142" s="519">
        <f t="shared" si="37"/>
        <v>1.2175602281899393E-2</v>
      </c>
      <c r="Z142" s="520">
        <f t="shared" si="39"/>
        <v>0.35133574701997905</v>
      </c>
      <c r="AA142" s="517">
        <f t="shared" si="44"/>
        <v>4172.7142857142853</v>
      </c>
      <c r="AB142" s="517">
        <f t="shared" si="45"/>
        <v>74.571428571428569</v>
      </c>
      <c r="AC142" s="517">
        <f t="shared" si="35"/>
        <v>53.195173823850737</v>
      </c>
      <c r="AD142" s="517">
        <f t="shared" si="32"/>
        <v>-21.376254747577832</v>
      </c>
      <c r="AE142" s="545">
        <f t="shared" si="33"/>
        <v>3763.7857142857142</v>
      </c>
      <c r="AF142" s="520">
        <f t="shared" si="31"/>
        <v>1.243783001192301</v>
      </c>
      <c r="AG142" s="200">
        <f t="shared" si="30"/>
        <v>0.26807646936368057</v>
      </c>
      <c r="AH142" s="4"/>
      <c r="AI142" s="200">
        <f t="shared" si="46"/>
        <v>1.6111111111111112</v>
      </c>
      <c r="AJ142" s="488">
        <f>MAX($B$2:B142)</f>
        <v>5344</v>
      </c>
      <c r="AK142" s="179">
        <f t="shared" si="43"/>
        <v>2.9855868222374741E-2</v>
      </c>
      <c r="AL142" s="179"/>
      <c r="AM142" s="179"/>
      <c r="AN142" s="179"/>
      <c r="AP142" s="355">
        <f t="shared" si="27"/>
        <v>1.4552057442695387</v>
      </c>
      <c r="AT142" s="179">
        <f t="shared" si="28"/>
        <v>1.5857029592645767E-2</v>
      </c>
    </row>
    <row r="143" spans="1:46" hidden="1" x14ac:dyDescent="0.25">
      <c r="A143" s="259">
        <v>44034</v>
      </c>
      <c r="B143" s="670">
        <v>5782</v>
      </c>
      <c r="C143" s="515">
        <f t="shared" si="49"/>
        <v>141900</v>
      </c>
      <c r="D143" s="670">
        <v>98</v>
      </c>
      <c r="E143" s="515">
        <f t="shared" si="47"/>
        <v>2588</v>
      </c>
      <c r="F143" s="515">
        <f t="shared" si="42"/>
        <v>2284</v>
      </c>
      <c r="G143" s="515">
        <v>62815</v>
      </c>
      <c r="H143" s="515">
        <v>902</v>
      </c>
      <c r="I143" s="515">
        <v>14842</v>
      </c>
      <c r="J143" s="511">
        <f>J142+I143</f>
        <v>593044</v>
      </c>
      <c r="K143" s="511"/>
      <c r="L143" s="541">
        <f t="shared" si="40"/>
        <v>1.8238195912614517E-2</v>
      </c>
      <c r="M143" s="522">
        <v>351858</v>
      </c>
      <c r="N143" s="511">
        <v>352916</v>
      </c>
      <c r="O143" s="520">
        <v>1096</v>
      </c>
      <c r="P143" s="511">
        <v>43748</v>
      </c>
      <c r="Q143" s="511">
        <v>72527</v>
      </c>
      <c r="R143" s="511">
        <f>141900-Q143-P143-O143</f>
        <v>24529</v>
      </c>
      <c r="S143" s="510">
        <f t="shared" si="41"/>
        <v>76497</v>
      </c>
      <c r="T143" s="518">
        <f t="shared" si="50"/>
        <v>1.1791312077597814E-2</v>
      </c>
      <c r="U143" s="519">
        <f t="shared" si="51"/>
        <v>1.8238195912614517E-2</v>
      </c>
      <c r="V143" s="512">
        <f>SUM(B130:B143)/POBLA!$B$25*100000</f>
        <v>120.91407079847072</v>
      </c>
      <c r="W143" s="512">
        <f>B143/POBLA!$B$25*100000</f>
        <v>12.741250521345661</v>
      </c>
      <c r="X143" s="513">
        <f t="shared" si="48"/>
        <v>1.4758600285107184</v>
      </c>
      <c r="Y143" s="519">
        <f t="shared" si="37"/>
        <v>1.1791312077597814E-2</v>
      </c>
      <c r="Z143" s="520">
        <f t="shared" si="39"/>
        <v>0.36244340690435767</v>
      </c>
      <c r="AA143" s="517">
        <f t="shared" si="44"/>
        <v>4391.5714285714284</v>
      </c>
      <c r="AB143" s="517">
        <f t="shared" si="45"/>
        <v>76.857142857142861</v>
      </c>
      <c r="AC143" s="517">
        <f t="shared" si="35"/>
        <v>55.181193677057173</v>
      </c>
      <c r="AD143" s="517">
        <f t="shared" si="32"/>
        <v>-21.675949180085688</v>
      </c>
      <c r="AE143" s="545">
        <f t="shared" si="33"/>
        <v>3919.3571428571427</v>
      </c>
      <c r="AF143" s="520">
        <f t="shared" si="31"/>
        <v>1.2739743058433484</v>
      </c>
      <c r="AG143" s="200">
        <f t="shared" si="30"/>
        <v>0.27516252708784794</v>
      </c>
      <c r="AH143" s="4"/>
      <c r="AI143" s="200">
        <f t="shared" si="46"/>
        <v>1.5154929577464789</v>
      </c>
      <c r="AJ143" s="488">
        <f>MAX($B$2:B143)</f>
        <v>5782</v>
      </c>
      <c r="AK143" s="179">
        <f t="shared" si="43"/>
        <v>3.0843318236541885E-2</v>
      </c>
      <c r="AL143" s="179"/>
      <c r="AM143" s="179"/>
      <c r="AN143" s="179"/>
      <c r="AP143" s="355">
        <f t="shared" ref="AP143:AP206" si="52">AE143/AE129</f>
        <v>1.4758600285107182</v>
      </c>
      <c r="AT143" s="179">
        <f t="shared" si="28"/>
        <v>1.5943075177890068E-2</v>
      </c>
    </row>
    <row r="144" spans="1:46" hidden="1" x14ac:dyDescent="0.25">
      <c r="A144" s="259">
        <v>44035</v>
      </c>
      <c r="B144" s="670">
        <v>6127</v>
      </c>
      <c r="C144" s="515">
        <f t="shared" si="49"/>
        <v>148027</v>
      </c>
      <c r="D144" s="670">
        <f>29+85</f>
        <v>114</v>
      </c>
      <c r="E144" s="515">
        <f t="shared" si="47"/>
        <v>2702</v>
      </c>
      <c r="F144" s="515">
        <f t="shared" si="42"/>
        <v>2632</v>
      </c>
      <c r="G144" s="515">
        <v>65447</v>
      </c>
      <c r="H144" s="515">
        <v>913</v>
      </c>
      <c r="I144" s="524">
        <v>16218</v>
      </c>
      <c r="J144" s="511">
        <v>609262</v>
      </c>
      <c r="K144" s="511"/>
      <c r="L144" s="541">
        <f t="shared" si="40"/>
        <v>1.8253426739716402E-2</v>
      </c>
      <c r="M144" s="522">
        <v>359756</v>
      </c>
      <c r="N144" s="511">
        <v>360838</v>
      </c>
      <c r="O144" s="520">
        <v>1101</v>
      </c>
      <c r="P144" s="511">
        <v>45026</v>
      </c>
      <c r="Q144" s="511">
        <v>76114</v>
      </c>
      <c r="R144" s="511">
        <f>148027-Q144-P144-O144</f>
        <v>25786</v>
      </c>
      <c r="S144" s="510">
        <f t="shared" si="41"/>
        <v>79878</v>
      </c>
      <c r="T144" s="518">
        <f t="shared" si="50"/>
        <v>1.1429930644232455E-2</v>
      </c>
      <c r="U144" s="519">
        <f t="shared" si="51"/>
        <v>1.8253426739716402E-2</v>
      </c>
      <c r="V144" s="512">
        <f>SUM(B131:B144)/POBLA!$B$25*100000</f>
        <v>126.34375625066646</v>
      </c>
      <c r="W144" s="512">
        <f>B144/POBLA!$B$25*100000</f>
        <v>13.501494628897415</v>
      </c>
      <c r="X144" s="513">
        <f t="shared" si="48"/>
        <v>1.4995030860968721</v>
      </c>
      <c r="Y144" s="519">
        <f t="shared" si="37"/>
        <v>1.1429930644232455E-2</v>
      </c>
      <c r="Z144" s="520">
        <f t="shared" si="39"/>
        <v>0.36945577399673263</v>
      </c>
      <c r="AA144" s="517">
        <f t="shared" si="44"/>
        <v>4749.1428571428569</v>
      </c>
      <c r="AB144" s="517">
        <f t="shared" si="45"/>
        <v>84.285714285714292</v>
      </c>
      <c r="AC144" s="517">
        <f t="shared" si="35"/>
        <v>56.256022279243474</v>
      </c>
      <c r="AD144" s="517">
        <f t="shared" si="32"/>
        <v>-28.029692006470817</v>
      </c>
      <c r="AE144" s="545">
        <f t="shared" si="33"/>
        <v>4095.3571428571427</v>
      </c>
      <c r="AF144" s="520">
        <f t="shared" si="31"/>
        <v>1.3799344153418289</v>
      </c>
      <c r="AG144" s="200">
        <f t="shared" si="30"/>
        <v>0.27010224038415664</v>
      </c>
      <c r="AH144" s="4"/>
      <c r="AI144" s="200">
        <f t="shared" si="46"/>
        <v>1.5089514066496166</v>
      </c>
      <c r="AJ144" s="488">
        <f>MAX($B$2:B144)</f>
        <v>6127</v>
      </c>
      <c r="AK144" s="179">
        <f t="shared" si="43"/>
        <v>3.3461887477313983E-2</v>
      </c>
      <c r="AL144" s="179"/>
      <c r="AM144" s="179"/>
      <c r="AN144" s="179"/>
      <c r="AP144" s="355">
        <f t="shared" si="52"/>
        <v>1.4995030860968719</v>
      </c>
      <c r="AT144" s="179">
        <f t="shared" ref="AT144:AT207" si="53">SUM(D115:D144)/SUM(B115:B144)</f>
        <v>1.6119112804031267E-2</v>
      </c>
    </row>
    <row r="145" spans="1:46" hidden="1" x14ac:dyDescent="0.25">
      <c r="A145" s="259">
        <v>44036</v>
      </c>
      <c r="B145" s="670">
        <v>5493</v>
      </c>
      <c r="C145" s="515">
        <f t="shared" si="49"/>
        <v>153520</v>
      </c>
      <c r="D145" s="670">
        <f>20+85</f>
        <v>105</v>
      </c>
      <c r="E145" s="515">
        <f t="shared" si="47"/>
        <v>2807</v>
      </c>
      <c r="F145" s="515">
        <f t="shared" si="42"/>
        <v>2575</v>
      </c>
      <c r="G145" s="515">
        <v>68022</v>
      </c>
      <c r="H145" s="515">
        <v>955</v>
      </c>
      <c r="I145" s="515">
        <v>14631</v>
      </c>
      <c r="J145" s="511">
        <f>J144+I145</f>
        <v>623893</v>
      </c>
      <c r="K145" s="511"/>
      <c r="L145" s="541">
        <f t="shared" si="40"/>
        <v>1.8284262636789995E-2</v>
      </c>
      <c r="M145" s="522">
        <v>367243</v>
      </c>
      <c r="N145" s="511">
        <v>367979</v>
      </c>
      <c r="O145" s="520">
        <v>1105</v>
      </c>
      <c r="P145" s="511">
        <v>46528</v>
      </c>
      <c r="Q145" s="511">
        <v>79424</v>
      </c>
      <c r="R145" s="511">
        <f>153520-Q145-P145-O145</f>
        <v>26463</v>
      </c>
      <c r="S145" s="510">
        <f t="shared" si="41"/>
        <v>82691</v>
      </c>
      <c r="T145" s="518">
        <f t="shared" si="50"/>
        <v>1.1549019844964991E-2</v>
      </c>
      <c r="U145" s="519">
        <f t="shared" si="51"/>
        <v>1.8284262636789995E-2</v>
      </c>
      <c r="V145" s="512">
        <f>SUM(B132:B145)/POBLA!$B$25*100000</f>
        <v>131.02862283807235</v>
      </c>
      <c r="W145" s="512">
        <f>B145/POBLA!$B$25*100000</f>
        <v>12.104408355889262</v>
      </c>
      <c r="X145" s="513">
        <f t="shared" si="48"/>
        <v>1.5357853139447788</v>
      </c>
      <c r="Y145" s="519">
        <f t="shared" si="37"/>
        <v>1.1549019844964991E-2</v>
      </c>
      <c r="Z145" s="520">
        <f t="shared" si="39"/>
        <v>0.37138050792272631</v>
      </c>
      <c r="AA145" s="517">
        <f t="shared" si="44"/>
        <v>4888.4285714285716</v>
      </c>
      <c r="AB145" s="517">
        <f t="shared" si="45"/>
        <v>89.857142857142861</v>
      </c>
      <c r="AC145" s="517">
        <f t="shared" si="35"/>
        <v>57.351462592266344</v>
      </c>
      <c r="AD145" s="517">
        <f t="shared" si="32"/>
        <v>-32.505680264876517</v>
      </c>
      <c r="AE145" s="545">
        <f t="shared" si="33"/>
        <v>4247.2142857142853</v>
      </c>
      <c r="AF145" s="520">
        <f t="shared" si="31"/>
        <v>1.355637429680691</v>
      </c>
      <c r="AG145" s="200">
        <f t="shared" ref="AG145:AG208" si="54">S145/S138-1</f>
        <v>0.22790787461206063</v>
      </c>
      <c r="AH145" s="4"/>
      <c r="AI145" s="200">
        <f t="shared" si="46"/>
        <v>1.5607940446650126</v>
      </c>
      <c r="AJ145" s="488">
        <f>MAX($B$2:B145)</f>
        <v>6127</v>
      </c>
      <c r="AK145" s="179">
        <f t="shared" si="43"/>
        <v>3.5175036349401639E-2</v>
      </c>
      <c r="AL145" s="179"/>
      <c r="AM145" s="179"/>
      <c r="AN145" s="179"/>
      <c r="AP145" s="355">
        <f t="shared" si="52"/>
        <v>1.5357853139447786</v>
      </c>
      <c r="AT145" s="179">
        <f t="shared" si="53"/>
        <v>1.6321018616764733E-2</v>
      </c>
    </row>
    <row r="146" spans="1:46" hidden="1" x14ac:dyDescent="0.25">
      <c r="A146" s="259">
        <v>44037</v>
      </c>
      <c r="B146" s="670">
        <v>4814</v>
      </c>
      <c r="C146" s="515">
        <f t="shared" si="49"/>
        <v>158334</v>
      </c>
      <c r="D146" s="670">
        <v>86</v>
      </c>
      <c r="E146" s="515">
        <f t="shared" si="47"/>
        <v>2893</v>
      </c>
      <c r="F146" s="515">
        <f t="shared" si="42"/>
        <v>2496</v>
      </c>
      <c r="G146" s="515">
        <v>70518</v>
      </c>
      <c r="H146" s="515">
        <v>980</v>
      </c>
      <c r="I146" s="515">
        <v>12951</v>
      </c>
      <c r="J146" s="511">
        <v>636844</v>
      </c>
      <c r="K146" s="511"/>
      <c r="L146" s="541">
        <f t="shared" si="40"/>
        <v>1.8271502014728359E-2</v>
      </c>
      <c r="M146" s="522">
        <f>N146*0.998</f>
        <v>373724.054</v>
      </c>
      <c r="N146" s="511">
        <v>374473</v>
      </c>
      <c r="O146" s="520">
        <v>1107</v>
      </c>
      <c r="P146" s="511">
        <v>47659</v>
      </c>
      <c r="Q146" s="511">
        <v>81828</v>
      </c>
      <c r="R146" s="511">
        <f>158334-Q146-P146-O146</f>
        <v>27740</v>
      </c>
      <c r="S146" s="510">
        <f t="shared" si="41"/>
        <v>84923</v>
      </c>
      <c r="T146" s="518">
        <f t="shared" si="50"/>
        <v>1.1539865525240512E-2</v>
      </c>
      <c r="U146" s="519">
        <f t="shared" si="51"/>
        <v>1.8271502014728359E-2</v>
      </c>
      <c r="V146" s="512">
        <f>SUM(B133:B146)/POBLA!$B$25*100000</f>
        <v>134.03654517664668</v>
      </c>
      <c r="W146" s="512">
        <f>B146/POBLA!$B$25*100000</f>
        <v>10.608159807983052</v>
      </c>
      <c r="X146" s="513">
        <f t="shared" si="48"/>
        <v>1.5296366151137935</v>
      </c>
      <c r="Y146" s="519">
        <f t="shared" si="37"/>
        <v>1.1539865525240512E-2</v>
      </c>
      <c r="Z146" s="520">
        <f t="shared" si="39"/>
        <v>0.37370039537267535</v>
      </c>
      <c r="AA146" s="517">
        <f t="shared" si="44"/>
        <v>5104</v>
      </c>
      <c r="AB146" s="517">
        <f t="shared" si="45"/>
        <v>96.142857142857139</v>
      </c>
      <c r="AC146" s="517">
        <f t="shared" si="35"/>
        <v>58.724048915631222</v>
      </c>
      <c r="AD146" s="517">
        <f t="shared" si="32"/>
        <v>-37.418808227225917</v>
      </c>
      <c r="AE146" s="545">
        <f t="shared" si="33"/>
        <v>4344.7142857142853</v>
      </c>
      <c r="AF146" s="520">
        <f t="shared" si="31"/>
        <v>1.4235397242808192</v>
      </c>
      <c r="AG146" s="200">
        <f t="shared" si="54"/>
        <v>0.25293970108735753</v>
      </c>
      <c r="AH146" s="4"/>
      <c r="AI146" s="200">
        <f t="shared" si="46"/>
        <v>1.6454767726161368</v>
      </c>
      <c r="AJ146" s="488">
        <f>MAX($B$2:B146)</f>
        <v>6127</v>
      </c>
      <c r="AK146" s="179">
        <f t="shared" si="43"/>
        <v>3.7020738214423234E-2</v>
      </c>
      <c r="AL146" s="179"/>
      <c r="AM146" s="179"/>
      <c r="AN146" s="179"/>
      <c r="AP146" s="355">
        <f t="shared" si="52"/>
        <v>1.5296366151137935</v>
      </c>
      <c r="AT146" s="179">
        <f t="shared" si="53"/>
        <v>1.6471788284629481E-2</v>
      </c>
    </row>
    <row r="147" spans="1:46" hidden="1" x14ac:dyDescent="0.25">
      <c r="A147" s="259">
        <v>44038</v>
      </c>
      <c r="B147" s="670">
        <v>4192</v>
      </c>
      <c r="C147" s="515">
        <f t="shared" si="49"/>
        <v>162526</v>
      </c>
      <c r="D147" s="670">
        <v>45</v>
      </c>
      <c r="E147" s="515">
        <f t="shared" si="47"/>
        <v>2938</v>
      </c>
      <c r="F147" s="515">
        <f t="shared" si="42"/>
        <v>2057</v>
      </c>
      <c r="G147" s="515">
        <v>72575</v>
      </c>
      <c r="H147" s="515">
        <v>993</v>
      </c>
      <c r="I147" s="515">
        <v>10870</v>
      </c>
      <c r="J147" s="511">
        <v>647714</v>
      </c>
      <c r="K147" s="511"/>
      <c r="L147" s="541">
        <f t="shared" si="40"/>
        <v>1.8077107662773956E-2</v>
      </c>
      <c r="M147" s="522">
        <f>0.998*N147</f>
        <v>378939.60200000001</v>
      </c>
      <c r="N147" s="511">
        <v>379699</v>
      </c>
      <c r="O147" s="520">
        <v>1109</v>
      </c>
      <c r="P147" s="511">
        <v>46698</v>
      </c>
      <c r="Q147" s="511">
        <v>84358</v>
      </c>
      <c r="R147" s="511">
        <f>162526-Q147-P147-O147</f>
        <v>30361</v>
      </c>
      <c r="S147" s="510">
        <f t="shared" si="41"/>
        <v>87013</v>
      </c>
      <c r="T147" s="518">
        <f t="shared" si="50"/>
        <v>1.1412087848942112E-2</v>
      </c>
      <c r="U147" s="519">
        <f t="shared" si="51"/>
        <v>1.8077107662773956E-2</v>
      </c>
      <c r="V147" s="512">
        <f>SUM(B134:B147)/POBLA!$B$25*100000</f>
        <v>137.4190805537248</v>
      </c>
      <c r="W147" s="512">
        <f>B147/POBLA!$B$25*100000</f>
        <v>9.237516808281045</v>
      </c>
      <c r="X147" s="513">
        <f t="shared" si="48"/>
        <v>1.5499962717172471</v>
      </c>
      <c r="Y147" s="519">
        <f t="shared" si="37"/>
        <v>1.1412087848942112E-2</v>
      </c>
      <c r="Z147" s="520">
        <f t="shared" si="39"/>
        <v>0.37406716417910446</v>
      </c>
      <c r="AA147" s="517">
        <f t="shared" si="44"/>
        <v>5098.4285714285716</v>
      </c>
      <c r="AB147" s="517">
        <f t="shared" si="45"/>
        <v>96.857142857142861</v>
      </c>
      <c r="AC147" s="517">
        <f t="shared" si="35"/>
        <v>58.813220054709184</v>
      </c>
      <c r="AD147" s="517">
        <f t="shared" si="32"/>
        <v>-38.043922802433677</v>
      </c>
      <c r="AE147" s="545">
        <f t="shared" si="33"/>
        <v>4454.3571428571431</v>
      </c>
      <c r="AF147" s="520">
        <f t="shared" si="31"/>
        <v>1.3380698860227955</v>
      </c>
      <c r="AG147" s="200">
        <f t="shared" si="54"/>
        <v>0.26722882442036577</v>
      </c>
      <c r="AH147" s="4"/>
      <c r="AI147" s="200">
        <f t="shared" si="46"/>
        <v>1.6337349397590362</v>
      </c>
      <c r="AJ147" s="488">
        <f>MAX($B$2:B147)</f>
        <v>6127</v>
      </c>
      <c r="AK147" s="179">
        <f t="shared" si="43"/>
        <v>3.5880609652836577E-2</v>
      </c>
      <c r="AL147" s="179"/>
      <c r="AM147" s="179"/>
      <c r="AN147" s="179"/>
      <c r="AP147" s="355">
        <f t="shared" si="52"/>
        <v>1.5499962717172471</v>
      </c>
      <c r="AT147" s="179">
        <f t="shared" si="53"/>
        <v>1.637371249440215E-2</v>
      </c>
    </row>
    <row r="148" spans="1:46" hidden="1" x14ac:dyDescent="0.25">
      <c r="A148" s="525">
        <v>44039</v>
      </c>
      <c r="B148" s="670">
        <v>4890</v>
      </c>
      <c r="C148" s="515">
        <f t="shared" si="49"/>
        <v>167416</v>
      </c>
      <c r="D148" s="670">
        <f>17+104</f>
        <v>121</v>
      </c>
      <c r="E148" s="515">
        <f t="shared" si="47"/>
        <v>3059</v>
      </c>
      <c r="F148" s="515">
        <f t="shared" si="42"/>
        <v>2508</v>
      </c>
      <c r="G148" s="515">
        <v>75083</v>
      </c>
      <c r="H148" s="515">
        <v>1002</v>
      </c>
      <c r="I148" s="515">
        <v>12398</v>
      </c>
      <c r="J148" s="511">
        <f>J147+I148</f>
        <v>660112</v>
      </c>
      <c r="K148" s="511"/>
      <c r="L148" s="541">
        <f t="shared" si="40"/>
        <v>1.8271849763463469E-2</v>
      </c>
      <c r="M148" s="522">
        <f>N148-L148</f>
        <v>385642.98172815022</v>
      </c>
      <c r="N148" s="511">
        <v>385643</v>
      </c>
      <c r="O148" s="520">
        <v>1112</v>
      </c>
      <c r="P148" s="511">
        <v>49648</v>
      </c>
      <c r="Q148" s="511">
        <v>88238</v>
      </c>
      <c r="R148" s="511">
        <f>167416-Q148-P148-O148</f>
        <v>28418</v>
      </c>
      <c r="S148" s="510">
        <f t="shared" si="41"/>
        <v>89274</v>
      </c>
      <c r="T148" s="518">
        <f t="shared" si="50"/>
        <v>1.1223872572081458E-2</v>
      </c>
      <c r="U148" s="519">
        <f t="shared" si="51"/>
        <v>1.8271849763463469E-2</v>
      </c>
      <c r="V148" s="512">
        <f>SUM(B135:B148)/POBLA!$B$25*100000</f>
        <v>141.36573909466736</v>
      </c>
      <c r="W148" s="512">
        <f>B148/POBLA!$B$25*100000</f>
        <v>10.775633872255323</v>
      </c>
      <c r="X148" s="513">
        <f t="shared" si="48"/>
        <v>1.5647974242017708</v>
      </c>
      <c r="Y148" s="519">
        <f t="shared" si="37"/>
        <v>1.1223872572081458E-2</v>
      </c>
      <c r="Z148" s="520">
        <f t="shared" si="39"/>
        <v>0.37932069690162423</v>
      </c>
      <c r="AA148" s="517">
        <f t="shared" si="44"/>
        <v>5234.5714285714284</v>
      </c>
      <c r="AB148" s="517">
        <f t="shared" si="45"/>
        <v>98</v>
      </c>
      <c r="AC148" s="517">
        <f t="shared" si="35"/>
        <v>60.071043293606607</v>
      </c>
      <c r="AD148" s="517">
        <f t="shared" si="32"/>
        <v>-37.928956706393393</v>
      </c>
      <c r="AE148" s="545">
        <f t="shared" si="33"/>
        <v>4582.2857142857147</v>
      </c>
      <c r="AF148" s="520">
        <f t="shared" si="31"/>
        <v>1.3319520174482007</v>
      </c>
      <c r="AG148" s="200">
        <f t="shared" si="54"/>
        <v>0.27894216580949238</v>
      </c>
      <c r="AH148" s="4"/>
      <c r="AI148" s="200">
        <f t="shared" si="46"/>
        <v>1.4595744680851064</v>
      </c>
      <c r="AJ148" s="488">
        <f>MAX($B$2:B148)</f>
        <v>6127</v>
      </c>
      <c r="AK148" s="179">
        <f t="shared" si="43"/>
        <v>3.4588816618766706E-2</v>
      </c>
      <c r="AL148" s="179"/>
      <c r="AM148" s="179"/>
      <c r="AN148" s="179"/>
      <c r="AP148" s="355">
        <f t="shared" si="52"/>
        <v>1.564797424201771</v>
      </c>
      <c r="AT148" s="179">
        <f t="shared" si="53"/>
        <v>1.6895680796549743E-2</v>
      </c>
    </row>
    <row r="149" spans="1:46" hidden="1" x14ac:dyDescent="0.25">
      <c r="A149" s="259">
        <v>44040</v>
      </c>
      <c r="B149" s="670">
        <v>5939</v>
      </c>
      <c r="C149" s="515">
        <f t="shared" si="49"/>
        <v>173355</v>
      </c>
      <c r="D149" s="670">
        <f>23+97</f>
        <v>120</v>
      </c>
      <c r="E149" s="515">
        <v>3178</v>
      </c>
      <c r="F149" s="515">
        <f t="shared" si="42"/>
        <v>2772</v>
      </c>
      <c r="G149" s="515">
        <v>77855</v>
      </c>
      <c r="H149" s="515">
        <v>1024</v>
      </c>
      <c r="I149" s="515">
        <v>14899</v>
      </c>
      <c r="J149" s="511">
        <v>675011</v>
      </c>
      <c r="K149" s="511"/>
      <c r="L149" s="541">
        <f t="shared" si="40"/>
        <v>1.8332323844134867E-2</v>
      </c>
      <c r="M149" s="522">
        <f t="shared" ref="M149:M178" si="55">0.998*N149</f>
        <v>391958.51199999999</v>
      </c>
      <c r="N149" s="511">
        <v>392744</v>
      </c>
      <c r="O149" s="520">
        <v>1119</v>
      </c>
      <c r="P149" s="511">
        <v>51090</v>
      </c>
      <c r="Q149" s="511">
        <v>92345</v>
      </c>
      <c r="R149" s="511">
        <f>173355-Q149-P149-O149</f>
        <v>28801</v>
      </c>
      <c r="S149" s="510">
        <f t="shared" si="41"/>
        <v>92322</v>
      </c>
      <c r="T149" s="518">
        <f t="shared" si="50"/>
        <v>1.1091614133142696E-2</v>
      </c>
      <c r="U149" s="519">
        <f t="shared" si="51"/>
        <v>1.8332323844134867E-2</v>
      </c>
      <c r="V149" s="512">
        <f>SUM(B136:B149)/POBLA!$B$25*100000</f>
        <v>146.42081150835935</v>
      </c>
      <c r="W149" s="512">
        <f>B149/POBLA!$B$25*100000</f>
        <v>13.087216680434429</v>
      </c>
      <c r="X149" s="513">
        <f t="shared" si="48"/>
        <v>1.5678621991505428</v>
      </c>
      <c r="Y149" s="519">
        <f t="shared" si="37"/>
        <v>1.1091614133142696E-2</v>
      </c>
      <c r="Z149" s="520">
        <f t="shared" si="39"/>
        <v>0.38464398971170038</v>
      </c>
      <c r="AA149" s="517">
        <f t="shared" si="44"/>
        <v>5319.5714285714284</v>
      </c>
      <c r="AB149" s="517">
        <f t="shared" si="45"/>
        <v>98.428571428571431</v>
      </c>
      <c r="AC149" s="517">
        <f t="shared" si="35"/>
        <v>61.756232879458018</v>
      </c>
      <c r="AD149" s="517">
        <f t="shared" si="32"/>
        <v>-36.672338549113412</v>
      </c>
      <c r="AE149" s="545">
        <f t="shared" si="33"/>
        <v>4746.1428571428569</v>
      </c>
      <c r="AF149" s="520">
        <f t="shared" ref="AF149:AF212" si="56">AA149/AA142</f>
        <v>1.2748467937964327</v>
      </c>
      <c r="AG149" s="200">
        <f t="shared" si="54"/>
        <v>0.26300668974102903</v>
      </c>
      <c r="AH149" s="4"/>
      <c r="AI149" s="200">
        <f t="shared" si="46"/>
        <v>1.3199233716475096</v>
      </c>
      <c r="AJ149" s="488">
        <f>MAX($B$2:B149)</f>
        <v>6127</v>
      </c>
      <c r="AK149" s="179">
        <f t="shared" si="43"/>
        <v>3.3201619121048576E-2</v>
      </c>
      <c r="AL149" s="179"/>
      <c r="AM149" s="179"/>
      <c r="AN149" s="179"/>
      <c r="AP149" s="355">
        <f t="shared" si="52"/>
        <v>1.5678621991505426</v>
      </c>
      <c r="AT149" s="179">
        <f t="shared" si="53"/>
        <v>1.7165830563465965E-2</v>
      </c>
    </row>
    <row r="150" spans="1:46" hidden="1" x14ac:dyDescent="0.25">
      <c r="A150" s="259">
        <v>44041</v>
      </c>
      <c r="B150" s="670">
        <v>5641</v>
      </c>
      <c r="C150" s="515">
        <f t="shared" si="49"/>
        <v>178996</v>
      </c>
      <c r="D150" s="670">
        <v>110</v>
      </c>
      <c r="E150" s="515">
        <f>E149+D150</f>
        <v>3288</v>
      </c>
      <c r="F150" s="515">
        <f t="shared" si="42"/>
        <v>2741</v>
      </c>
      <c r="G150" s="515">
        <v>80596</v>
      </c>
      <c r="H150" s="515">
        <v>1057</v>
      </c>
      <c r="I150" s="515">
        <v>15812</v>
      </c>
      <c r="J150" s="511">
        <v>690823</v>
      </c>
      <c r="K150" s="511"/>
      <c r="L150" s="541">
        <f t="shared" si="40"/>
        <v>1.8369125567051777E-2</v>
      </c>
      <c r="M150" s="522">
        <f t="shared" si="55"/>
        <v>400029.33799999999</v>
      </c>
      <c r="N150" s="511">
        <v>400831</v>
      </c>
      <c r="O150" s="520">
        <v>1115</v>
      </c>
      <c r="P150" s="511">
        <v>52375</v>
      </c>
      <c r="Q150" s="511">
        <v>96710</v>
      </c>
      <c r="R150" s="511">
        <f>178996-Q150-P150-O150</f>
        <v>28796</v>
      </c>
      <c r="S150" s="510">
        <f t="shared" si="41"/>
        <v>95112</v>
      </c>
      <c r="T150" s="518">
        <f t="shared" si="50"/>
        <v>1.1113213895197241E-2</v>
      </c>
      <c r="U150" s="519">
        <f t="shared" si="51"/>
        <v>1.8369125567051777E-2</v>
      </c>
      <c r="V150" s="512">
        <f>SUM(B137:B150)/POBLA!$B$25*100000</f>
        <v>149.48602760576367</v>
      </c>
      <c r="W150" s="512">
        <f>B150/POBLA!$B$25*100000</f>
        <v>12.430542059998421</v>
      </c>
      <c r="X150" s="513">
        <f t="shared" si="48"/>
        <v>1.543047562723199</v>
      </c>
      <c r="Y150" s="519">
        <f t="shared" si="37"/>
        <v>1.1113213895197241E-2</v>
      </c>
      <c r="Z150" s="520">
        <f t="shared" si="39"/>
        <v>0.37938616676382453</v>
      </c>
      <c r="AA150" s="517">
        <f t="shared" si="44"/>
        <v>5299.4285714285716</v>
      </c>
      <c r="AB150" s="517">
        <f t="shared" si="45"/>
        <v>100.14285714285714</v>
      </c>
      <c r="AC150" s="517">
        <f t="shared" si="35"/>
        <v>63.571814116074648</v>
      </c>
      <c r="AD150" s="517">
        <f t="shared" ref="AD150:AD213" si="57">AC150-AB150</f>
        <v>-36.57104302678249</v>
      </c>
      <c r="AE150" s="545">
        <f t="shared" ref="AE150:AE194" si="58">AVERAGE(B137:B150)</f>
        <v>4845.5</v>
      </c>
      <c r="AF150" s="520">
        <f t="shared" si="56"/>
        <v>1.2067271721804758</v>
      </c>
      <c r="AG150" s="200">
        <f t="shared" si="54"/>
        <v>0.24334287619122308</v>
      </c>
      <c r="AH150" s="4"/>
      <c r="AI150" s="200">
        <f t="shared" si="46"/>
        <v>1.3029739776951672</v>
      </c>
      <c r="AJ150" s="488">
        <f>MAX($B$2:B150)</f>
        <v>6127</v>
      </c>
      <c r="AK150" s="179">
        <f t="shared" si="43"/>
        <v>3.295102002444298E-2</v>
      </c>
      <c r="AL150" s="179"/>
      <c r="AM150" s="179"/>
      <c r="AN150" s="179"/>
      <c r="AP150" s="355">
        <f t="shared" si="52"/>
        <v>1.543047562723199</v>
      </c>
      <c r="AT150" s="179">
        <f t="shared" si="53"/>
        <v>1.721080451301733E-2</v>
      </c>
    </row>
    <row r="151" spans="1:46" hidden="1" x14ac:dyDescent="0.25">
      <c r="A151" s="259">
        <v>44042</v>
      </c>
      <c r="B151" s="670">
        <v>6377</v>
      </c>
      <c r="C151" s="515">
        <f t="shared" si="49"/>
        <v>185373</v>
      </c>
      <c r="D151" s="670">
        <f>23+131</f>
        <v>154</v>
      </c>
      <c r="E151" s="515">
        <f>E150+D151</f>
        <v>3442</v>
      </c>
      <c r="F151" s="515">
        <f t="shared" si="42"/>
        <v>3184</v>
      </c>
      <c r="G151" s="515">
        <v>83780</v>
      </c>
      <c r="H151" s="515">
        <v>1076</v>
      </c>
      <c r="I151" s="515">
        <v>16685</v>
      </c>
      <c r="J151" s="511">
        <v>707508</v>
      </c>
      <c r="K151" s="511"/>
      <c r="L151" s="541">
        <f t="shared" si="40"/>
        <v>1.8567968366482713E-2</v>
      </c>
      <c r="M151" s="522">
        <f t="shared" si="55"/>
        <v>408221.92</v>
      </c>
      <c r="N151" s="511">
        <v>409040</v>
      </c>
      <c r="O151" s="520">
        <v>1117</v>
      </c>
      <c r="P151" s="511">
        <v>53660</v>
      </c>
      <c r="Q151" s="511">
        <v>100811</v>
      </c>
      <c r="R151" s="511">
        <f>185373-Q151-P151-O151</f>
        <v>29785</v>
      </c>
      <c r="S151" s="510">
        <f t="shared" si="41"/>
        <v>98151</v>
      </c>
      <c r="T151" s="518">
        <f t="shared" si="50"/>
        <v>1.0962700329084777E-2</v>
      </c>
      <c r="U151" s="519">
        <f t="shared" si="51"/>
        <v>1.8567968366482713E-2</v>
      </c>
      <c r="V151" s="512">
        <f>SUM(B138:B151)/POBLA!$B$25*100000</f>
        <v>155.55255522341579</v>
      </c>
      <c r="W151" s="512">
        <f>B151/POBLA!$B$25*100000</f>
        <v>14.052396156108832</v>
      </c>
      <c r="X151" s="513">
        <f t="shared" si="48"/>
        <v>1.5741587315746048</v>
      </c>
      <c r="Y151" s="519">
        <f t="shared" si="37"/>
        <v>1.0962700329084777E-2</v>
      </c>
      <c r="Z151" s="520">
        <f t="shared" si="39"/>
        <v>0.38012743521364739</v>
      </c>
      <c r="AA151" s="517">
        <f t="shared" si="44"/>
        <v>5335.1428571428569</v>
      </c>
      <c r="AB151" s="517">
        <f t="shared" si="45"/>
        <v>105.85714285714286</v>
      </c>
      <c r="AC151" s="517">
        <f t="shared" si="35"/>
        <v>63.324698406060627</v>
      </c>
      <c r="AD151" s="517">
        <f t="shared" si="57"/>
        <v>-42.532444451082235</v>
      </c>
      <c r="AE151" s="545">
        <f t="shared" si="58"/>
        <v>5042.1428571428569</v>
      </c>
      <c r="AF151" s="520">
        <f t="shared" si="56"/>
        <v>1.1233906870412707</v>
      </c>
      <c r="AG151" s="200">
        <f t="shared" si="54"/>
        <v>0.22876136107564027</v>
      </c>
      <c r="AH151" s="4"/>
      <c r="AI151" s="200">
        <f t="shared" si="46"/>
        <v>1.2559322033898304</v>
      </c>
      <c r="AJ151" s="488">
        <f>MAX($B$2:B151)</f>
        <v>6377</v>
      </c>
      <c r="AK151" s="179">
        <f t="shared" si="43"/>
        <v>3.3479419870781187E-2</v>
      </c>
      <c r="AL151" s="179"/>
      <c r="AM151" s="179"/>
      <c r="AN151" s="179"/>
      <c r="AP151" s="355">
        <f t="shared" si="52"/>
        <v>1.5741587315746046</v>
      </c>
      <c r="AT151" s="179">
        <f t="shared" si="53"/>
        <v>1.7675681043328589E-2</v>
      </c>
    </row>
    <row r="152" spans="1:46" hidden="1" x14ac:dyDescent="0.25">
      <c r="A152" s="259">
        <v>44043</v>
      </c>
      <c r="B152" s="670">
        <v>5929</v>
      </c>
      <c r="C152" s="515">
        <f t="shared" si="49"/>
        <v>191302</v>
      </c>
      <c r="D152" s="670">
        <f>25+77</f>
        <v>102</v>
      </c>
      <c r="E152" s="515">
        <f>E151+D152</f>
        <v>3544</v>
      </c>
      <c r="F152" s="515">
        <f t="shared" si="42"/>
        <v>2719</v>
      </c>
      <c r="G152" s="515">
        <v>86499</v>
      </c>
      <c r="H152" s="515">
        <v>1104</v>
      </c>
      <c r="I152" s="515">
        <v>15442</v>
      </c>
      <c r="J152" s="511">
        <f>J151+I152</f>
        <v>722950</v>
      </c>
      <c r="K152" s="511"/>
      <c r="L152" s="541">
        <f t="shared" si="40"/>
        <v>1.852568190609612E-2</v>
      </c>
      <c r="M152" s="522">
        <f t="shared" si="55"/>
        <v>416154.02399999998</v>
      </c>
      <c r="N152" s="511">
        <v>416988</v>
      </c>
      <c r="O152" s="520">
        <v>1122</v>
      </c>
      <c r="P152" s="511">
        <v>54915</v>
      </c>
      <c r="Q152" s="511">
        <v>104695</v>
      </c>
      <c r="R152" s="511">
        <f>191302-Q152-P152-O152</f>
        <v>30570</v>
      </c>
      <c r="S152" s="510">
        <f t="shared" si="41"/>
        <v>101259</v>
      </c>
      <c r="T152" s="518">
        <f t="shared" si="50"/>
        <v>1.0902734571741771E-2</v>
      </c>
      <c r="U152" s="519">
        <f t="shared" si="51"/>
        <v>1.852568190609612E-2</v>
      </c>
      <c r="V152" s="512">
        <f>SUM(B139:B152)/POBLA!$B$25*100000</f>
        <v>158.66184344299705</v>
      </c>
      <c r="W152" s="512">
        <f>B152/POBLA!$B$25*100000</f>
        <v>13.065180619345975</v>
      </c>
      <c r="X152" s="513">
        <f t="shared" si="48"/>
        <v>1.5478759996560323</v>
      </c>
      <c r="Y152" s="519">
        <f t="shared" si="37"/>
        <v>1.0902734571741771E-2</v>
      </c>
      <c r="Z152" s="520">
        <f t="shared" si="39"/>
        <v>0.38141676004724551</v>
      </c>
      <c r="AA152" s="517">
        <f t="shared" si="44"/>
        <v>5397.4285714285716</v>
      </c>
      <c r="AB152" s="517">
        <f t="shared" si="45"/>
        <v>105.42857142857143</v>
      </c>
      <c r="AC152" s="517">
        <f t="shared" si="35"/>
        <v>65.83237357608067</v>
      </c>
      <c r="AD152" s="517">
        <f t="shared" si="57"/>
        <v>-39.596197852490761</v>
      </c>
      <c r="AE152" s="545">
        <f t="shared" si="58"/>
        <v>5142.9285714285716</v>
      </c>
      <c r="AF152" s="520">
        <f t="shared" si="56"/>
        <v>1.1041234401940443</v>
      </c>
      <c r="AG152" s="200">
        <f t="shared" si="54"/>
        <v>0.22454680678671202</v>
      </c>
      <c r="AH152" s="4"/>
      <c r="AI152" s="200">
        <f t="shared" si="46"/>
        <v>1.1732909379968204</v>
      </c>
      <c r="AJ152" s="488">
        <f>MAX($B$2:B152)</f>
        <v>6377</v>
      </c>
      <c r="AK152" s="179">
        <f t="shared" si="43"/>
        <v>3.3018656883360926E-2</v>
      </c>
      <c r="AL152" s="179"/>
      <c r="AM152" s="179"/>
      <c r="AN152" s="179"/>
      <c r="AP152" s="355">
        <f t="shared" si="52"/>
        <v>1.5478759996560325</v>
      </c>
      <c r="AT152" s="179">
        <f t="shared" si="53"/>
        <v>1.7678436175527373E-2</v>
      </c>
    </row>
    <row r="153" spans="1:46" hidden="1" x14ac:dyDescent="0.25">
      <c r="A153" s="259">
        <v>44044</v>
      </c>
      <c r="B153" s="670">
        <v>5241</v>
      </c>
      <c r="C153" s="515">
        <f t="shared" si="49"/>
        <v>196543</v>
      </c>
      <c r="D153" s="670">
        <f>15+38</f>
        <v>53</v>
      </c>
      <c r="E153" s="515">
        <v>3596</v>
      </c>
      <c r="F153" s="515">
        <f t="shared" si="42"/>
        <v>2527</v>
      </c>
      <c r="G153" s="515">
        <v>89026</v>
      </c>
      <c r="H153" s="515">
        <v>1128</v>
      </c>
      <c r="I153" s="515">
        <v>13057</v>
      </c>
      <c r="J153" s="511">
        <v>736007</v>
      </c>
      <c r="K153" s="511"/>
      <c r="L153" s="541">
        <f t="shared" si="40"/>
        <v>1.8296250693232523E-2</v>
      </c>
      <c r="M153" s="522">
        <f t="shared" si="55"/>
        <v>422276.75400000002</v>
      </c>
      <c r="N153" s="511">
        <v>423123</v>
      </c>
      <c r="O153" s="520">
        <v>1123</v>
      </c>
      <c r="P153" s="511">
        <v>55946</v>
      </c>
      <c r="Q153" s="511">
        <v>107909</v>
      </c>
      <c r="R153" s="511">
        <f>196543-Q153-P153-O153</f>
        <v>31565</v>
      </c>
      <c r="S153" s="510">
        <f t="shared" si="41"/>
        <v>103921</v>
      </c>
      <c r="T153" s="518">
        <f t="shared" si="50"/>
        <v>1.0854399014636118E-2</v>
      </c>
      <c r="U153" s="519">
        <f t="shared" si="51"/>
        <v>1.8296250693232523E-2</v>
      </c>
      <c r="V153" s="512">
        <f>SUM(B140:B153)/POBLA!$B$25*100000</f>
        <v>162.92802486972226</v>
      </c>
      <c r="W153" s="512">
        <f>B153/POBLA!$B$25*100000</f>
        <v>11.549099616460152</v>
      </c>
      <c r="X153" s="513">
        <f t="shared" si="48"/>
        <v>1.5654337193792214</v>
      </c>
      <c r="Y153" s="519">
        <f t="shared" si="37"/>
        <v>1.0854399014636118E-2</v>
      </c>
      <c r="Z153" s="520">
        <f t="shared" si="39"/>
        <v>0.38531508728053809</v>
      </c>
      <c r="AA153" s="517">
        <f t="shared" si="44"/>
        <v>5458.4285714285716</v>
      </c>
      <c r="AB153" s="517">
        <f t="shared" si="45"/>
        <v>100.71428571428571</v>
      </c>
      <c r="AC153" s="517">
        <f t="shared" si="35"/>
        <v>64.920570188827867</v>
      </c>
      <c r="AD153" s="517">
        <f t="shared" si="57"/>
        <v>-35.793715525457841</v>
      </c>
      <c r="AE153" s="545">
        <f t="shared" si="58"/>
        <v>5281.2142857142853</v>
      </c>
      <c r="AF153" s="520">
        <f t="shared" si="56"/>
        <v>1.0694413345275415</v>
      </c>
      <c r="AG153" s="200">
        <f t="shared" si="54"/>
        <v>0.22370853596787676</v>
      </c>
      <c r="AH153" s="4"/>
      <c r="AI153" s="200">
        <f t="shared" si="46"/>
        <v>1.0475482912332839</v>
      </c>
      <c r="AJ153" s="488">
        <f>MAX($B$2:B153)</f>
        <v>6377</v>
      </c>
      <c r="AK153" s="179">
        <f t="shared" si="43"/>
        <v>3.0896660531159609E-2</v>
      </c>
      <c r="AL153" s="179"/>
      <c r="AM153" s="179"/>
      <c r="AN153" s="179"/>
      <c r="AP153" s="355">
        <f t="shared" si="52"/>
        <v>1.5654337193792212</v>
      </c>
      <c r="AT153" s="179">
        <f t="shared" si="53"/>
        <v>1.7479838550429293E-2</v>
      </c>
    </row>
    <row r="154" spans="1:46" hidden="1" x14ac:dyDescent="0.25">
      <c r="A154" s="259">
        <v>44045</v>
      </c>
      <c r="B154" s="670">
        <v>5376</v>
      </c>
      <c r="C154" s="515">
        <f t="shared" si="49"/>
        <v>201919</v>
      </c>
      <c r="D154" s="670">
        <f>15+36</f>
        <v>51</v>
      </c>
      <c r="E154" s="515">
        <f t="shared" ref="E154:E175" si="59">E153+D154</f>
        <v>3647</v>
      </c>
      <c r="F154" s="515">
        <f t="shared" si="42"/>
        <v>2276</v>
      </c>
      <c r="G154" s="515">
        <v>91302</v>
      </c>
      <c r="H154" s="515">
        <v>1112</v>
      </c>
      <c r="I154" s="515">
        <v>11900</v>
      </c>
      <c r="J154" s="511">
        <v>747907</v>
      </c>
      <c r="K154" s="511"/>
      <c r="L154" s="541">
        <f t="shared" si="40"/>
        <v>1.8061698007616915E-2</v>
      </c>
      <c r="M154" s="522">
        <f t="shared" si="55"/>
        <v>427487.31199999998</v>
      </c>
      <c r="N154" s="511">
        <v>428344</v>
      </c>
      <c r="O154" s="520">
        <v>1123</v>
      </c>
      <c r="P154" s="511">
        <v>56975</v>
      </c>
      <c r="Q154" s="511">
        <v>110459</v>
      </c>
      <c r="R154" s="511">
        <f>201919-Q154-P154-O154</f>
        <v>33362</v>
      </c>
      <c r="S154" s="510">
        <f t="shared" si="41"/>
        <v>106970</v>
      </c>
      <c r="T154" s="518">
        <f t="shared" si="50"/>
        <v>1.0395437973263533E-2</v>
      </c>
      <c r="U154" s="519">
        <f t="shared" si="51"/>
        <v>1.8061698007616915E-2</v>
      </c>
      <c r="V154" s="512">
        <f>SUM(B141:B154)/POBLA!$B$25*100000</f>
        <v>165.45115386435054</v>
      </c>
      <c r="W154" s="512">
        <f>B154/POBLA!$B$25*100000</f>
        <v>11.846586441154319</v>
      </c>
      <c r="X154" s="513">
        <f t="shared" si="48"/>
        <v>1.5315668155763622</v>
      </c>
      <c r="Y154" s="519">
        <f t="shared" si="37"/>
        <v>1.0395437973263533E-2</v>
      </c>
      <c r="Z154" s="520">
        <f t="shared" si="39"/>
        <v>0.39317117962332698</v>
      </c>
      <c r="AA154" s="517">
        <f t="shared" si="44"/>
        <v>5627.5714285714284</v>
      </c>
      <c r="AB154" s="517">
        <f t="shared" si="45"/>
        <v>101.57142857142857</v>
      </c>
      <c r="AC154" s="517">
        <f t="shared" si="35"/>
        <v>67.892221625280584</v>
      </c>
      <c r="AD154" s="517">
        <f t="shared" si="57"/>
        <v>-33.679206946147985</v>
      </c>
      <c r="AE154" s="545">
        <f t="shared" si="58"/>
        <v>5363</v>
      </c>
      <c r="AF154" s="520">
        <f t="shared" si="56"/>
        <v>1.1037854801199249</v>
      </c>
      <c r="AG154" s="200">
        <f t="shared" si="54"/>
        <v>0.22935653293186076</v>
      </c>
      <c r="AH154" s="4"/>
      <c r="AI154" s="200">
        <f t="shared" si="46"/>
        <v>1.0486725663716814</v>
      </c>
      <c r="AJ154" s="488">
        <f>MAX($B$2:B154)</f>
        <v>6377</v>
      </c>
      <c r="AK154" s="179">
        <f t="shared" si="43"/>
        <v>3.0275932549821156E-2</v>
      </c>
      <c r="AL154" s="179"/>
      <c r="AM154" s="179"/>
      <c r="AN154" s="179"/>
      <c r="AP154" s="355">
        <f t="shared" si="52"/>
        <v>1.531566815576362</v>
      </c>
      <c r="AT154" s="179">
        <f t="shared" si="53"/>
        <v>1.7129493394458468E-2</v>
      </c>
    </row>
    <row r="155" spans="1:46" hidden="1" x14ac:dyDescent="0.25">
      <c r="A155" s="525">
        <v>44046</v>
      </c>
      <c r="B155" s="671">
        <v>4824</v>
      </c>
      <c r="C155" s="515">
        <f t="shared" si="49"/>
        <v>206743</v>
      </c>
      <c r="D155" s="670">
        <v>164</v>
      </c>
      <c r="E155" s="515">
        <f t="shared" si="59"/>
        <v>3811</v>
      </c>
      <c r="F155" s="515">
        <f t="shared" si="42"/>
        <v>2827</v>
      </c>
      <c r="G155" s="515">
        <v>94129</v>
      </c>
      <c r="H155" s="515">
        <v>1150</v>
      </c>
      <c r="I155" s="515">
        <v>12839</v>
      </c>
      <c r="J155" s="511">
        <v>760746</v>
      </c>
      <c r="K155" s="511"/>
      <c r="L155" s="541">
        <f t="shared" si="40"/>
        <v>1.8433514073027867E-2</v>
      </c>
      <c r="M155" s="522">
        <f t="shared" si="55"/>
        <v>434069.12199999997</v>
      </c>
      <c r="N155" s="511">
        <v>434939</v>
      </c>
      <c r="O155" s="520">
        <v>1123</v>
      </c>
      <c r="P155" s="511">
        <v>58084</v>
      </c>
      <c r="Q155" s="511">
        <v>114826</v>
      </c>
      <c r="R155" s="511">
        <f>206743-O155-P155-Q155</f>
        <v>32710</v>
      </c>
      <c r="S155" s="510">
        <f t="shared" si="41"/>
        <v>108803</v>
      </c>
      <c r="T155" s="518">
        <f t="shared" si="50"/>
        <v>1.0569561501061552E-2</v>
      </c>
      <c r="U155" s="519">
        <f t="shared" si="51"/>
        <v>1.8433514073027867E-2</v>
      </c>
      <c r="V155" s="512">
        <f>SUM(B142:B155)/POBLA!$B$25*100000</f>
        <v>167.40575248289665</v>
      </c>
      <c r="W155" s="512">
        <f>B155/POBLA!$B$25*100000</f>
        <v>10.63019586907151</v>
      </c>
      <c r="X155" s="513">
        <f t="shared" si="48"/>
        <v>1.5094778254649499</v>
      </c>
      <c r="Y155" s="519">
        <f t="shared" si="37"/>
        <v>1.0569561501061552E-2</v>
      </c>
      <c r="Z155" s="520">
        <f t="shared" si="39"/>
        <v>0.39079237633404218</v>
      </c>
      <c r="AA155" s="517">
        <f t="shared" si="44"/>
        <v>5618.1428571428569</v>
      </c>
      <c r="AB155" s="517">
        <f t="shared" si="45"/>
        <v>107.71428571428571</v>
      </c>
      <c r="AC155" s="517">
        <f t="shared" si="35"/>
        <v>71.313028583663424</v>
      </c>
      <c r="AD155" s="517">
        <f t="shared" si="57"/>
        <v>-36.401257130622284</v>
      </c>
      <c r="AE155" s="545">
        <f t="shared" si="58"/>
        <v>5426.3571428571431</v>
      </c>
      <c r="AF155" s="520">
        <f t="shared" si="56"/>
        <v>1.0732765678729326</v>
      </c>
      <c r="AG155" s="200">
        <f t="shared" si="54"/>
        <v>0.21875350045926023</v>
      </c>
      <c r="AH155" s="4"/>
      <c r="AI155" s="200">
        <f t="shared" si="46"/>
        <v>1.0991253644314869</v>
      </c>
      <c r="AJ155" s="488">
        <f>MAX($B$2:B155)</f>
        <v>6377</v>
      </c>
      <c r="AK155" s="179">
        <f t="shared" si="43"/>
        <v>3.1247409863240774E-2</v>
      </c>
      <c r="AL155" s="179"/>
      <c r="AM155" s="179"/>
      <c r="AN155" s="179"/>
      <c r="AP155" s="355">
        <f t="shared" si="52"/>
        <v>1.5094778254649501</v>
      </c>
      <c r="AT155" s="179">
        <f t="shared" si="53"/>
        <v>1.7751659460446989E-2</v>
      </c>
    </row>
    <row r="156" spans="1:46" hidden="1" x14ac:dyDescent="0.25">
      <c r="A156" s="259">
        <v>44047</v>
      </c>
      <c r="B156" s="671">
        <v>6792</v>
      </c>
      <c r="C156" s="515">
        <f t="shared" si="49"/>
        <v>213535</v>
      </c>
      <c r="D156" s="672">
        <f>116+52</f>
        <v>168</v>
      </c>
      <c r="E156" s="515">
        <f t="shared" si="59"/>
        <v>3979</v>
      </c>
      <c r="F156" s="515">
        <f t="shared" si="42"/>
        <v>2819</v>
      </c>
      <c r="G156" s="515">
        <v>96948</v>
      </c>
      <c r="H156" s="515">
        <v>1207</v>
      </c>
      <c r="I156" s="515">
        <v>16532</v>
      </c>
      <c r="J156" s="511">
        <f>J155+I156</f>
        <v>777278</v>
      </c>
      <c r="K156" s="511"/>
      <c r="L156" s="541">
        <f t="shared" si="40"/>
        <v>1.8633947596412764E-2</v>
      </c>
      <c r="M156" s="522">
        <f t="shared" si="55"/>
        <v>441995.23800000001</v>
      </c>
      <c r="N156" s="511">
        <v>442881</v>
      </c>
      <c r="O156" s="520">
        <v>1123</v>
      </c>
      <c r="P156" s="511">
        <v>59408</v>
      </c>
      <c r="Q156" s="511">
        <v>119544</v>
      </c>
      <c r="R156" s="511">
        <f>213535-Q156-P156-O156</f>
        <v>33460</v>
      </c>
      <c r="S156" s="510">
        <f t="shared" si="41"/>
        <v>112608</v>
      </c>
      <c r="T156" s="518">
        <f t="shared" si="50"/>
        <v>1.0718599033816426E-2</v>
      </c>
      <c r="U156" s="519">
        <f t="shared" si="51"/>
        <v>1.8633947596412764E-2</v>
      </c>
      <c r="V156" s="512">
        <f>SUM(B143:B156)/POBLA!$B$25*100000</f>
        <v>170.59657412850518</v>
      </c>
      <c r="W156" s="512">
        <f>B156/POBLA!$B$25*100000</f>
        <v>14.966892691279787</v>
      </c>
      <c r="X156" s="513">
        <f t="shared" si="48"/>
        <v>1.4692084337578046</v>
      </c>
      <c r="Y156" s="519">
        <f t="shared" si="37"/>
        <v>1.0718599033816426E-2</v>
      </c>
      <c r="Z156" s="520">
        <f t="shared" si="39"/>
        <v>0.39289311312544611</v>
      </c>
      <c r="AA156" s="517">
        <f t="shared" si="44"/>
        <v>5740</v>
      </c>
      <c r="AB156" s="517">
        <f t="shared" si="45"/>
        <v>114.57142857142857</v>
      </c>
      <c r="AC156" s="517">
        <f t="shared" si="35"/>
        <v>76.331260901780581</v>
      </c>
      <c r="AD156" s="517">
        <f t="shared" si="57"/>
        <v>-38.240167669647988</v>
      </c>
      <c r="AE156" s="545">
        <f t="shared" si="58"/>
        <v>5529.7857142857147</v>
      </c>
      <c r="AF156" s="520">
        <f t="shared" si="56"/>
        <v>1.0790342938475173</v>
      </c>
      <c r="AG156" s="200">
        <f t="shared" si="54"/>
        <v>0.21973094170403584</v>
      </c>
      <c r="AH156" s="4"/>
      <c r="AI156" s="200">
        <f t="shared" si="46"/>
        <v>1.1640058055152394</v>
      </c>
      <c r="AJ156" s="488">
        <f>MAX($B$2:B156)</f>
        <v>6792</v>
      </c>
      <c r="AK156" s="179">
        <f t="shared" si="43"/>
        <v>3.3290440413432404E-2</v>
      </c>
      <c r="AL156" s="179"/>
      <c r="AM156" s="179"/>
      <c r="AN156" s="179"/>
      <c r="AP156" s="355">
        <f t="shared" si="52"/>
        <v>1.4692084337578049</v>
      </c>
      <c r="AT156" s="179">
        <f t="shared" si="53"/>
        <v>1.822857184960323E-2</v>
      </c>
    </row>
    <row r="157" spans="1:46" hidden="1" x14ac:dyDescent="0.25">
      <c r="A157" s="259">
        <v>44048</v>
      </c>
      <c r="B157" s="671">
        <v>7147</v>
      </c>
      <c r="C157" s="515">
        <f t="shared" si="49"/>
        <v>220682</v>
      </c>
      <c r="D157" s="670">
        <f>30+97</f>
        <v>127</v>
      </c>
      <c r="E157" s="515">
        <f t="shared" si="59"/>
        <v>4106</v>
      </c>
      <c r="F157" s="515">
        <f t="shared" si="42"/>
        <v>2904</v>
      </c>
      <c r="G157" s="515">
        <v>99852</v>
      </c>
      <c r="H157" s="515">
        <v>1219</v>
      </c>
      <c r="I157" s="515">
        <v>17266</v>
      </c>
      <c r="J157" s="511">
        <f>J156+I157</f>
        <v>794544</v>
      </c>
      <c r="K157" s="511"/>
      <c r="L157" s="541">
        <f t="shared" si="40"/>
        <v>1.8605957894164454E-2</v>
      </c>
      <c r="M157" s="522">
        <f t="shared" si="55"/>
        <v>450552.09</v>
      </c>
      <c r="N157" s="511">
        <v>451455</v>
      </c>
      <c r="O157" s="520">
        <v>1124</v>
      </c>
      <c r="P157" s="511">
        <v>60922</v>
      </c>
      <c r="Q157" s="511">
        <v>124163</v>
      </c>
      <c r="R157" s="511">
        <f>220682-Q157-P157-O157</f>
        <v>34473</v>
      </c>
      <c r="S157" s="510">
        <f t="shared" si="41"/>
        <v>116724</v>
      </c>
      <c r="T157" s="518">
        <f t="shared" si="50"/>
        <v>1.0443439224152702E-2</v>
      </c>
      <c r="U157" s="519">
        <f t="shared" si="51"/>
        <v>1.8605957894164454E-2</v>
      </c>
      <c r="V157" s="512">
        <f>SUM(B144:B157)/POBLA!$B$25*100000</f>
        <v>173.60449646707951</v>
      </c>
      <c r="W157" s="512">
        <f>B157/POBLA!$B$25*100000</f>
        <v>15.749172859919998</v>
      </c>
      <c r="X157" s="513">
        <f t="shared" si="48"/>
        <v>1.4357675274735289</v>
      </c>
      <c r="Y157" s="519">
        <f t="shared" si="37"/>
        <v>1.0443439224152702E-2</v>
      </c>
      <c r="Z157" s="520">
        <f t="shared" si="39"/>
        <v>0.40190511082615865</v>
      </c>
      <c r="AA157" s="517">
        <f t="shared" si="44"/>
        <v>5955.1428571428569</v>
      </c>
      <c r="AB157" s="517">
        <f t="shared" si="45"/>
        <v>117</v>
      </c>
      <c r="AC157" s="517">
        <f t="shared" si="35"/>
        <v>80.094340078526116</v>
      </c>
      <c r="AD157" s="517">
        <f t="shared" si="57"/>
        <v>-36.905659921473884</v>
      </c>
      <c r="AE157" s="545">
        <f t="shared" si="58"/>
        <v>5627.2857142857147</v>
      </c>
      <c r="AF157" s="520">
        <f t="shared" si="56"/>
        <v>1.1237330170368771</v>
      </c>
      <c r="AG157" s="200">
        <f t="shared" si="54"/>
        <v>0.22722684834721174</v>
      </c>
      <c r="AH157" s="4"/>
      <c r="AI157" s="200">
        <f t="shared" si="46"/>
        <v>1.1683309557774608</v>
      </c>
      <c r="AJ157" s="488">
        <f>MAX($B$2:B157)</f>
        <v>7147</v>
      </c>
      <c r="AK157" s="179">
        <f t="shared" si="43"/>
        <v>3.2445923460898501E-2</v>
      </c>
      <c r="AL157" s="179"/>
      <c r="AM157" s="179"/>
      <c r="AN157" s="179"/>
      <c r="AP157" s="355">
        <f t="shared" si="52"/>
        <v>1.4357675274735291</v>
      </c>
      <c r="AT157" s="179">
        <f t="shared" si="53"/>
        <v>1.801249322570524E-2</v>
      </c>
    </row>
    <row r="158" spans="1:46" hidden="1" x14ac:dyDescent="0.25">
      <c r="A158" s="259">
        <v>44049</v>
      </c>
      <c r="B158" s="671">
        <v>7513</v>
      </c>
      <c r="C158" s="515">
        <f t="shared" si="49"/>
        <v>228195</v>
      </c>
      <c r="D158" s="670">
        <v>145</v>
      </c>
      <c r="E158" s="515">
        <f t="shared" si="59"/>
        <v>4251</v>
      </c>
      <c r="F158" s="515">
        <f t="shared" si="42"/>
        <v>3445</v>
      </c>
      <c r="G158" s="515">
        <v>103297</v>
      </c>
      <c r="H158" s="515">
        <v>1245</v>
      </c>
      <c r="I158" s="515">
        <v>18020</v>
      </c>
      <c r="J158" s="511">
        <v>812564</v>
      </c>
      <c r="K158" s="511"/>
      <c r="L158" s="541">
        <f t="shared" si="40"/>
        <v>1.8628804312101493E-2</v>
      </c>
      <c r="M158" s="522">
        <f t="shared" si="55"/>
        <v>458766.62800000003</v>
      </c>
      <c r="N158" s="511">
        <v>459686</v>
      </c>
      <c r="O158" s="520">
        <v>1127</v>
      </c>
      <c r="P158" s="511">
        <v>62150</v>
      </c>
      <c r="Q158" s="511">
        <v>128781</v>
      </c>
      <c r="R158" s="511">
        <f>228195-Q158-P158-O158</f>
        <v>36137</v>
      </c>
      <c r="S158" s="510">
        <f t="shared" si="41"/>
        <v>120647</v>
      </c>
      <c r="T158" s="518">
        <f t="shared" si="50"/>
        <v>1.0319361442887101E-2</v>
      </c>
      <c r="U158" s="519">
        <f t="shared" si="51"/>
        <v>1.8628804312101493E-2</v>
      </c>
      <c r="V158" s="512">
        <f>SUM(B145:B158)/POBLA!$B$25*100000</f>
        <v>176.65869453393964</v>
      </c>
      <c r="W158" s="512">
        <f>B158/POBLA!$B$25*100000</f>
        <v>16.555692695757514</v>
      </c>
      <c r="X158" s="513">
        <f t="shared" si="48"/>
        <v>1.3982384233016483</v>
      </c>
      <c r="Y158" s="519">
        <f t="shared" si="37"/>
        <v>1.0319361442887101E-2</v>
      </c>
      <c r="Z158" s="520">
        <f t="shared" si="39"/>
        <v>0.40761117879987818</v>
      </c>
      <c r="AA158" s="517">
        <f t="shared" si="44"/>
        <v>6117.4285714285716</v>
      </c>
      <c r="AB158" s="517">
        <f t="shared" si="45"/>
        <v>115.71428571428571</v>
      </c>
      <c r="AC158" s="517">
        <f t="shared" si="35"/>
        <v>86.68813121930458</v>
      </c>
      <c r="AD158" s="517">
        <f t="shared" si="57"/>
        <v>-29.026154494981128</v>
      </c>
      <c r="AE158" s="545">
        <f t="shared" si="58"/>
        <v>5726.2857142857147</v>
      </c>
      <c r="AF158" s="520">
        <f t="shared" si="56"/>
        <v>1.146628822363841</v>
      </c>
      <c r="AG158" s="200">
        <f t="shared" si="54"/>
        <v>0.22919786859023339</v>
      </c>
      <c r="AH158" s="4"/>
      <c r="AI158" s="200">
        <f t="shared" si="46"/>
        <v>1.0931174089068825</v>
      </c>
      <c r="AJ158" s="488">
        <f>MAX($B$2:B158)</f>
        <v>7513</v>
      </c>
      <c r="AK158" s="179">
        <f t="shared" si="43"/>
        <v>3.2273487927324887E-2</v>
      </c>
      <c r="AL158" s="179"/>
      <c r="AM158" s="179"/>
      <c r="AN158" s="179"/>
      <c r="AP158" s="355">
        <f t="shared" si="52"/>
        <v>1.3982384233016483</v>
      </c>
      <c r="AT158" s="179">
        <f t="shared" si="53"/>
        <v>1.802168957656973E-2</v>
      </c>
    </row>
    <row r="159" spans="1:46" hidden="1" x14ac:dyDescent="0.25">
      <c r="A159" s="259">
        <v>44050</v>
      </c>
      <c r="B159" s="671">
        <v>7482</v>
      </c>
      <c r="C159" s="515">
        <f t="shared" si="49"/>
        <v>235677</v>
      </c>
      <c r="D159" s="670">
        <v>160</v>
      </c>
      <c r="E159" s="515">
        <f t="shared" si="59"/>
        <v>4411</v>
      </c>
      <c r="F159" s="515">
        <f t="shared" si="42"/>
        <v>4945</v>
      </c>
      <c r="G159" s="515">
        <v>108242</v>
      </c>
      <c r="H159" s="515">
        <v>1293</v>
      </c>
      <c r="I159" s="515">
        <v>17493</v>
      </c>
      <c r="J159" s="511">
        <f>J158+I159</f>
        <v>830057</v>
      </c>
      <c r="K159" s="511"/>
      <c r="L159" s="541">
        <f t="shared" si="40"/>
        <v>1.8716293910733758E-2</v>
      </c>
      <c r="M159" s="522">
        <f t="shared" si="55"/>
        <v>469222.674</v>
      </c>
      <c r="N159" s="511">
        <v>470163</v>
      </c>
      <c r="O159" s="520">
        <v>1130</v>
      </c>
      <c r="P159" s="511">
        <v>63695</v>
      </c>
      <c r="Q159" s="511">
        <v>133585</v>
      </c>
      <c r="R159" s="511">
        <f>235677-Q159-P159-O159</f>
        <v>37267</v>
      </c>
      <c r="S159" s="510">
        <f t="shared" si="41"/>
        <v>123024</v>
      </c>
      <c r="T159" s="518">
        <f t="shared" si="50"/>
        <v>1.0510144362075693E-2</v>
      </c>
      <c r="U159" s="519">
        <f t="shared" si="51"/>
        <v>1.8716293910733758E-2</v>
      </c>
      <c r="V159" s="512">
        <f>SUM(B146:B159)/POBLA!$B$25*100000</f>
        <v>181.04166708443364</v>
      </c>
      <c r="W159" s="512">
        <f>B159/POBLA!$B$25*100000</f>
        <v>16.487380906383297</v>
      </c>
      <c r="X159" s="513">
        <f t="shared" si="48"/>
        <v>1.3816955651603573</v>
      </c>
      <c r="Y159" s="519">
        <f t="shared" si="37"/>
        <v>1.0510144362075693E-2</v>
      </c>
      <c r="Z159" s="520">
        <f t="shared" si="39"/>
        <v>0.41430532084737692</v>
      </c>
      <c r="AA159" s="517">
        <f t="shared" si="44"/>
        <v>6339.2857142857147</v>
      </c>
      <c r="AB159" s="517">
        <f t="shared" si="45"/>
        <v>124</v>
      </c>
      <c r="AC159" s="517">
        <f t="shared" si="35"/>
        <v>89.381311881188125</v>
      </c>
      <c r="AD159" s="517">
        <f t="shared" si="57"/>
        <v>-34.618688118811875</v>
      </c>
      <c r="AE159" s="545">
        <f t="shared" si="58"/>
        <v>5868.3571428571431</v>
      </c>
      <c r="AF159" s="520">
        <f t="shared" si="56"/>
        <v>1.1745010851728337</v>
      </c>
      <c r="AG159" s="200">
        <f t="shared" si="54"/>
        <v>0.21494385684235473</v>
      </c>
      <c r="AH159" s="4"/>
      <c r="AI159" s="200">
        <f t="shared" si="46"/>
        <v>1.1761517615176151</v>
      </c>
      <c r="AJ159" s="488">
        <f>MAX($B$2:B159)</f>
        <v>7513</v>
      </c>
      <c r="AK159" s="179">
        <f t="shared" si="43"/>
        <v>3.2543491301739655E-2</v>
      </c>
      <c r="AL159" s="179"/>
      <c r="AM159" s="179"/>
      <c r="AN159" s="179"/>
      <c r="AP159" s="355">
        <f t="shared" si="52"/>
        <v>1.3816955651603573</v>
      </c>
      <c r="AT159" s="179">
        <f t="shared" si="53"/>
        <v>1.8284807060976266E-2</v>
      </c>
    </row>
    <row r="160" spans="1:46" hidden="1" x14ac:dyDescent="0.25">
      <c r="A160" s="259">
        <v>44051</v>
      </c>
      <c r="B160" s="671">
        <v>6134</v>
      </c>
      <c r="C160" s="515">
        <f>B160+C159</f>
        <v>241811</v>
      </c>
      <c r="D160" s="670">
        <v>112</v>
      </c>
      <c r="E160" s="515">
        <f t="shared" si="59"/>
        <v>4523</v>
      </c>
      <c r="F160" s="515">
        <f t="shared" si="42"/>
        <v>61867</v>
      </c>
      <c r="G160" s="515">
        <v>170109</v>
      </c>
      <c r="H160" s="515">
        <v>1502</v>
      </c>
      <c r="I160" s="515">
        <v>15163</v>
      </c>
      <c r="J160" s="511">
        <v>845220</v>
      </c>
      <c r="K160" s="511"/>
      <c r="L160" s="541">
        <f t="shared" si="40"/>
        <v>1.870469085360054E-2</v>
      </c>
      <c r="M160" s="522">
        <f t="shared" si="55"/>
        <v>476941.20600000001</v>
      </c>
      <c r="N160" s="511">
        <v>477897</v>
      </c>
      <c r="O160" s="520">
        <v>1130</v>
      </c>
      <c r="P160" s="511">
        <v>64762</v>
      </c>
      <c r="Q160" s="511">
        <v>136987</v>
      </c>
      <c r="R160" s="511">
        <f>241811-Q160-P160-O160</f>
        <v>38932</v>
      </c>
      <c r="S160" s="510">
        <f t="shared" si="41"/>
        <v>67179</v>
      </c>
      <c r="T160" s="518">
        <f t="shared" si="50"/>
        <v>2.2358177406630049E-2</v>
      </c>
      <c r="U160" s="519">
        <f t="shared" si="51"/>
        <v>1.870469085360054E-2</v>
      </c>
      <c r="V160" s="512">
        <f>SUM(B147:B160)/POBLA!$B$25*100000</f>
        <v>183.95042714810992</v>
      </c>
      <c r="W160" s="512">
        <f>B160/POBLA!$B$25*100000</f>
        <v>13.516919871659336</v>
      </c>
      <c r="X160" s="513">
        <f t="shared" si="48"/>
        <v>1.3723900963403808</v>
      </c>
      <c r="Y160" s="519">
        <f t="shared" si="37"/>
        <v>2.2358177406630049E-2</v>
      </c>
      <c r="Z160" s="520">
        <f t="shared" si="39"/>
        <v>0.41449278016353364</v>
      </c>
      <c r="AA160" s="517">
        <f t="shared" si="44"/>
        <v>6466.8571428571431</v>
      </c>
      <c r="AB160" s="517">
        <f t="shared" si="45"/>
        <v>132.42857142857142</v>
      </c>
      <c r="AC160" s="517">
        <f t="shared" si="35"/>
        <v>93.257746283173546</v>
      </c>
      <c r="AD160" s="517">
        <f t="shared" si="57"/>
        <v>-39.17082514539787</v>
      </c>
      <c r="AE160" s="545">
        <f t="shared" si="58"/>
        <v>5962.6428571428569</v>
      </c>
      <c r="AF160" s="520">
        <f t="shared" si="56"/>
        <v>1.1847470491245518</v>
      </c>
      <c r="AG160" s="200">
        <f t="shared" si="54"/>
        <v>-0.35355702889695062</v>
      </c>
      <c r="AH160" s="4"/>
      <c r="AI160" s="200">
        <f t="shared" si="46"/>
        <v>1.3148936170212766</v>
      </c>
      <c r="AJ160" s="488">
        <f>MAX($B$2:B160)</f>
        <v>7513</v>
      </c>
      <c r="AK160" s="179">
        <f t="shared" si="43"/>
        <v>3.3696837513631402E-2</v>
      </c>
      <c r="AL160" s="179"/>
      <c r="AM160" s="179"/>
      <c r="AN160" s="179"/>
      <c r="AP160" s="355">
        <f t="shared" si="52"/>
        <v>1.3723900963403808</v>
      </c>
      <c r="AT160" s="179">
        <f t="shared" si="53"/>
        <v>1.855491367730067E-2</v>
      </c>
    </row>
    <row r="161" spans="1:46" hidden="1" x14ac:dyDescent="0.25">
      <c r="A161" s="259">
        <v>44052</v>
      </c>
      <c r="B161" s="671">
        <v>4688</v>
      </c>
      <c r="C161" s="515">
        <f t="shared" ref="C161:C224" si="60">C160+B161</f>
        <v>246499</v>
      </c>
      <c r="D161" s="670">
        <v>83</v>
      </c>
      <c r="E161" s="515">
        <f t="shared" si="59"/>
        <v>4606</v>
      </c>
      <c r="F161" s="515">
        <f t="shared" si="42"/>
        <v>4865</v>
      </c>
      <c r="G161" s="515">
        <v>174974</v>
      </c>
      <c r="H161" s="515">
        <v>1565</v>
      </c>
      <c r="I161" s="515">
        <v>10835</v>
      </c>
      <c r="J161" s="511">
        <v>856055</v>
      </c>
      <c r="K161" s="511"/>
      <c r="L161" s="541">
        <f t="shared" si="40"/>
        <v>1.8685674181233999E-2</v>
      </c>
      <c r="M161" s="522">
        <f t="shared" si="55"/>
        <v>482084.89799999999</v>
      </c>
      <c r="N161" s="511">
        <v>483051</v>
      </c>
      <c r="O161" s="520">
        <v>1131</v>
      </c>
      <c r="P161" s="511">
        <v>65737</v>
      </c>
      <c r="Q161" s="511">
        <v>139746</v>
      </c>
      <c r="R161" s="511">
        <f>246499-Q161-P161-O161</f>
        <v>39885</v>
      </c>
      <c r="S161" s="510">
        <f t="shared" si="41"/>
        <v>66919</v>
      </c>
      <c r="T161" s="518">
        <f t="shared" si="50"/>
        <v>2.3386482165005454E-2</v>
      </c>
      <c r="U161" s="519">
        <f t="shared" si="51"/>
        <v>1.8685674181233999E-2</v>
      </c>
      <c r="V161" s="512">
        <f>SUM(B148:B161)/POBLA!$B$25*100000</f>
        <v>185.0434157780974</v>
      </c>
      <c r="W161" s="512">
        <f>B161/POBLA!$B$25*100000</f>
        <v>10.330505438268498</v>
      </c>
      <c r="X161" s="513">
        <f t="shared" si="48"/>
        <v>1.3465627555683841</v>
      </c>
      <c r="Y161" s="519">
        <f t="shared" si="37"/>
        <v>2.3386482165005454E-2</v>
      </c>
      <c r="Z161" s="520">
        <f t="shared" si="39"/>
        <v>0.41221289344231976</v>
      </c>
      <c r="AA161" s="517">
        <f t="shared" si="44"/>
        <v>6368.5714285714284</v>
      </c>
      <c r="AB161" s="517">
        <f t="shared" si="45"/>
        <v>137</v>
      </c>
      <c r="AC161" s="517">
        <f t="shared" si="35"/>
        <v>92.1648421966771</v>
      </c>
      <c r="AD161" s="517">
        <f t="shared" si="57"/>
        <v>-44.8351578033229</v>
      </c>
      <c r="AE161" s="545">
        <f t="shared" si="58"/>
        <v>5998.0714285714284</v>
      </c>
      <c r="AF161" s="520">
        <f t="shared" si="56"/>
        <v>1.1316731398979514</v>
      </c>
      <c r="AG161" s="200">
        <f t="shared" si="54"/>
        <v>-0.37441338693091519</v>
      </c>
      <c r="AH161" s="4"/>
      <c r="AI161" s="200">
        <f t="shared" si="46"/>
        <v>1.348804500703235</v>
      </c>
      <c r="AJ161" s="488">
        <f>MAX($B$2:B161)</f>
        <v>7513</v>
      </c>
      <c r="AK161" s="179">
        <f t="shared" si="43"/>
        <v>3.2832346194666032E-2</v>
      </c>
      <c r="AL161" s="179"/>
      <c r="AM161" s="179"/>
      <c r="AN161" s="179"/>
      <c r="AP161" s="355">
        <f t="shared" si="52"/>
        <v>1.3465627555683839</v>
      </c>
      <c r="AT161" s="179">
        <f t="shared" si="53"/>
        <v>1.8584361060089215E-2</v>
      </c>
    </row>
    <row r="162" spans="1:46" hidden="1" x14ac:dyDescent="0.25">
      <c r="A162" s="525">
        <v>44053</v>
      </c>
      <c r="B162" s="671">
        <v>7369</v>
      </c>
      <c r="C162" s="515">
        <f t="shared" si="60"/>
        <v>253868</v>
      </c>
      <c r="D162" s="670">
        <f>27+131</f>
        <v>158</v>
      </c>
      <c r="E162" s="515">
        <f t="shared" si="59"/>
        <v>4764</v>
      </c>
      <c r="F162" s="515">
        <f t="shared" si="42"/>
        <v>6424</v>
      </c>
      <c r="G162" s="515">
        <v>181398</v>
      </c>
      <c r="H162" s="515">
        <v>1569</v>
      </c>
      <c r="I162" s="515">
        <v>16588</v>
      </c>
      <c r="J162" s="511">
        <v>872643</v>
      </c>
      <c r="K162" s="511"/>
      <c r="L162" s="541">
        <f t="shared" si="40"/>
        <v>1.8765657743394205E-2</v>
      </c>
      <c r="M162" s="522">
        <f t="shared" si="55"/>
        <v>490542.94799999997</v>
      </c>
      <c r="N162" s="511">
        <v>491526</v>
      </c>
      <c r="O162" s="520">
        <v>1136</v>
      </c>
      <c r="P162" s="511">
        <v>67245</v>
      </c>
      <c r="Q162" s="511">
        <v>144896</v>
      </c>
      <c r="R162" s="511">
        <f>253686-Q162-P162-O162</f>
        <v>40409</v>
      </c>
      <c r="S162" s="510">
        <f t="shared" si="41"/>
        <v>67706</v>
      </c>
      <c r="T162" s="518">
        <f t="shared" si="50"/>
        <v>2.3173721679024015E-2</v>
      </c>
      <c r="U162" s="519">
        <f t="shared" si="51"/>
        <v>1.8765657743394205E-2</v>
      </c>
      <c r="V162" s="512">
        <f>SUM(B149:B162)/POBLA!$B$25*100000</f>
        <v>190.5061553219258</v>
      </c>
      <c r="W162" s="512">
        <f>B162/POBLA!$B$25*100000</f>
        <v>16.238373416083736</v>
      </c>
      <c r="X162" s="513">
        <f t="shared" si="48"/>
        <v>1.3476119216859959</v>
      </c>
      <c r="Y162" s="519">
        <f t="shared" si="37"/>
        <v>2.3173721679024015E-2</v>
      </c>
      <c r="Z162" s="520">
        <f t="shared" si="39"/>
        <v>0.42114623269614021</v>
      </c>
      <c r="AA162" s="517">
        <f t="shared" si="44"/>
        <v>6732.1428571428569</v>
      </c>
      <c r="AB162" s="517">
        <f t="shared" si="45"/>
        <v>136.14285714285714</v>
      </c>
      <c r="AC162" s="517">
        <f t="shared" ref="AC162:AC225" si="61">AA148*L148</f>
        <v>95.645302718975486</v>
      </c>
      <c r="AD162" s="517">
        <f t="shared" si="57"/>
        <v>-40.497554423881652</v>
      </c>
      <c r="AE162" s="545">
        <f t="shared" si="58"/>
        <v>6175.1428571428569</v>
      </c>
      <c r="AF162" s="520">
        <f t="shared" si="56"/>
        <v>1.1982861647214382</v>
      </c>
      <c r="AG162" s="200">
        <f t="shared" si="54"/>
        <v>-0.37771936435576225</v>
      </c>
      <c r="AH162" s="4"/>
      <c r="AI162" s="200">
        <f t="shared" si="46"/>
        <v>1.2639257294429709</v>
      </c>
      <c r="AJ162" s="488">
        <f>MAX($B$2:B162)</f>
        <v>7513</v>
      </c>
      <c r="AK162" s="179">
        <f t="shared" si="43"/>
        <v>3.1000943365537881E-2</v>
      </c>
      <c r="AL162" s="179"/>
      <c r="AM162" s="179"/>
      <c r="AN162" s="179"/>
      <c r="AP162" s="355">
        <f t="shared" si="52"/>
        <v>1.3476119216859956</v>
      </c>
      <c r="AT162" s="179">
        <f t="shared" si="53"/>
        <v>1.8898695318495778E-2</v>
      </c>
    </row>
    <row r="163" spans="1:46" hidden="1" x14ac:dyDescent="0.25">
      <c r="A163" s="259">
        <v>44054</v>
      </c>
      <c r="B163" s="671">
        <v>7043</v>
      </c>
      <c r="C163" s="515">
        <f t="shared" si="60"/>
        <v>260911</v>
      </c>
      <c r="D163" s="670">
        <f>21+220</f>
        <v>241</v>
      </c>
      <c r="E163" s="515">
        <f t="shared" si="59"/>
        <v>5005</v>
      </c>
      <c r="F163" s="515">
        <f t="shared" si="42"/>
        <v>5885</v>
      </c>
      <c r="G163" s="515">
        <v>187283</v>
      </c>
      <c r="H163" s="515">
        <v>1585</v>
      </c>
      <c r="I163" s="515">
        <v>19174</v>
      </c>
      <c r="J163" s="511">
        <f>J162+I163</f>
        <v>891817</v>
      </c>
      <c r="K163" s="511"/>
      <c r="L163" s="541">
        <f t="shared" si="40"/>
        <v>1.9182786467416092E-2</v>
      </c>
      <c r="M163" s="522">
        <f t="shared" si="55"/>
        <v>500648.696</v>
      </c>
      <c r="N163" s="511">
        <v>501652</v>
      </c>
      <c r="O163" s="520">
        <v>1137</v>
      </c>
      <c r="P163" s="511">
        <v>68717</v>
      </c>
      <c r="Q163" s="511">
        <v>151086</v>
      </c>
      <c r="R163" s="511">
        <f>260911-Q163-P163-O163</f>
        <v>39971</v>
      </c>
      <c r="S163" s="510">
        <f t="shared" si="41"/>
        <v>68623</v>
      </c>
      <c r="T163" s="518">
        <f t="shared" si="50"/>
        <v>2.3097212304912348E-2</v>
      </c>
      <c r="U163" s="519">
        <f t="shared" si="51"/>
        <v>1.9182786467416092E-2</v>
      </c>
      <c r="V163" s="512">
        <f>SUM(B150:B163)/POBLA!$B$25*100000</f>
        <v>192.93893646609143</v>
      </c>
      <c r="W163" s="512">
        <f>B163/POBLA!$B$25*100000</f>
        <v>15.519997824600051</v>
      </c>
      <c r="X163" s="513">
        <f t="shared" si="48"/>
        <v>1.3177015922704152</v>
      </c>
      <c r="Y163" s="519">
        <f t="shared" si="37"/>
        <v>2.3097212304912348E-2</v>
      </c>
      <c r="Z163" s="520">
        <f t="shared" si="39"/>
        <v>0.41362330734509645</v>
      </c>
      <c r="AA163" s="517">
        <f t="shared" si="44"/>
        <v>6768</v>
      </c>
      <c r="AB163" s="517">
        <f t="shared" si="45"/>
        <v>146.57142857142858</v>
      </c>
      <c r="AC163" s="517">
        <f t="shared" si="61"/>
        <v>97.520106140578577</v>
      </c>
      <c r="AD163" s="517">
        <f t="shared" si="57"/>
        <v>-49.051322430850007</v>
      </c>
      <c r="AE163" s="545">
        <f t="shared" si="58"/>
        <v>6254</v>
      </c>
      <c r="AF163" s="520">
        <f t="shared" si="56"/>
        <v>1.1790940766550522</v>
      </c>
      <c r="AG163" s="200">
        <f t="shared" si="54"/>
        <v>-0.39060279909065077</v>
      </c>
      <c r="AH163" s="4"/>
      <c r="AI163" s="200">
        <f t="shared" si="46"/>
        <v>1.2793017456359104</v>
      </c>
      <c r="AJ163" s="488">
        <f>MAX($B$2:B163)</f>
        <v>7513</v>
      </c>
      <c r="AK163" s="179">
        <f t="shared" si="43"/>
        <v>3.0862712068343165E-2</v>
      </c>
      <c r="AL163" s="179"/>
      <c r="AM163" s="179"/>
      <c r="AN163" s="179"/>
      <c r="AP163" s="355">
        <f t="shared" si="52"/>
        <v>1.3177015922704152</v>
      </c>
      <c r="AT163" s="179">
        <f t="shared" si="53"/>
        <v>1.9670784965100219E-2</v>
      </c>
    </row>
    <row r="164" spans="1:46" hidden="1" x14ac:dyDescent="0.25">
      <c r="A164" s="259">
        <v>44055</v>
      </c>
      <c r="B164" s="671">
        <v>7663</v>
      </c>
      <c r="C164" s="515">
        <f t="shared" si="60"/>
        <v>268574</v>
      </c>
      <c r="D164" s="670">
        <f>84+125</f>
        <v>209</v>
      </c>
      <c r="E164" s="515">
        <f t="shared" si="59"/>
        <v>5214</v>
      </c>
      <c r="F164" s="515">
        <f t="shared" si="42"/>
        <v>5151</v>
      </c>
      <c r="G164" s="515">
        <v>192434</v>
      </c>
      <c r="H164" s="515">
        <v>1662</v>
      </c>
      <c r="I164" s="515">
        <v>19779</v>
      </c>
      <c r="J164" s="511">
        <v>911596</v>
      </c>
      <c r="K164" s="511"/>
      <c r="L164" s="541">
        <f t="shared" si="40"/>
        <v>1.9413643911919992E-2</v>
      </c>
      <c r="M164" s="522">
        <f t="shared" si="55"/>
        <v>511092.766</v>
      </c>
      <c r="N164" s="511">
        <v>512117</v>
      </c>
      <c r="O164" s="520">
        <v>1142</v>
      </c>
      <c r="P164" s="511">
        <v>70280</v>
      </c>
      <c r="Q164" s="511">
        <v>156764</v>
      </c>
      <c r="R164" s="511">
        <f>268574-Q164-P164-O164</f>
        <v>40388</v>
      </c>
      <c r="S164" s="510">
        <f t="shared" si="41"/>
        <v>70926</v>
      </c>
      <c r="T164" s="518">
        <f t="shared" si="50"/>
        <v>2.3432873699348617E-2</v>
      </c>
      <c r="U164" s="519">
        <f t="shared" si="51"/>
        <v>1.9413643911919992E-2</v>
      </c>
      <c r="V164" s="512">
        <f>SUM(B151:B164)/POBLA!$B$25*100000</f>
        <v>197.3946280181774</v>
      </c>
      <c r="W164" s="512">
        <f>B164/POBLA!$B$25*100000</f>
        <v>16.886233612084364</v>
      </c>
      <c r="X164" s="513">
        <f t="shared" si="48"/>
        <v>1.3204888187862081</v>
      </c>
      <c r="Y164" s="519">
        <f t="shared" si="37"/>
        <v>2.3432873699348617E-2</v>
      </c>
      <c r="Z164" s="520">
        <f t="shared" si="39"/>
        <v>0.40915148822745445</v>
      </c>
      <c r="AA164" s="517">
        <f t="shared" si="44"/>
        <v>6841.7142857142853</v>
      </c>
      <c r="AB164" s="517">
        <f t="shared" si="45"/>
        <v>158.28571428571428</v>
      </c>
      <c r="AC164" s="517">
        <f t="shared" si="61"/>
        <v>97.345868862193242</v>
      </c>
      <c r="AD164" s="517">
        <f t="shared" si="57"/>
        <v>-60.939845423521035</v>
      </c>
      <c r="AE164" s="545">
        <f t="shared" si="58"/>
        <v>6398.4285714285716</v>
      </c>
      <c r="AF164" s="520">
        <f t="shared" si="56"/>
        <v>1.1488749220361751</v>
      </c>
      <c r="AG164" s="200">
        <f t="shared" si="54"/>
        <v>-0.39236146807854422</v>
      </c>
      <c r="AH164" s="4"/>
      <c r="AI164" s="200">
        <f t="shared" si="46"/>
        <v>1.3528693528693527</v>
      </c>
      <c r="AJ164" s="488">
        <f>MAX($B$2:B164)</f>
        <v>7663</v>
      </c>
      <c r="AK164" s="179">
        <f t="shared" si="43"/>
        <v>3.2379672111984566E-2</v>
      </c>
      <c r="AL164" s="179"/>
      <c r="AM164" s="179"/>
      <c r="AN164" s="179"/>
      <c r="AP164" s="355">
        <f t="shared" si="52"/>
        <v>1.3204888187862081</v>
      </c>
      <c r="AT164" s="179">
        <f t="shared" si="53"/>
        <v>2.0041134837577884E-2</v>
      </c>
    </row>
    <row r="165" spans="1:46" hidden="1" x14ac:dyDescent="0.25">
      <c r="A165" s="259">
        <v>44056</v>
      </c>
      <c r="B165" s="671">
        <v>7498</v>
      </c>
      <c r="C165" s="515">
        <f t="shared" si="60"/>
        <v>276072</v>
      </c>
      <c r="D165" s="670">
        <f>33+116</f>
        <v>149</v>
      </c>
      <c r="E165" s="515">
        <f t="shared" si="59"/>
        <v>5363</v>
      </c>
      <c r="F165" s="515">
        <f t="shared" si="42"/>
        <v>6571</v>
      </c>
      <c r="G165" s="515">
        <v>199005</v>
      </c>
      <c r="H165" s="515">
        <v>1682</v>
      </c>
      <c r="I165" s="515">
        <v>18501</v>
      </c>
      <c r="J165" s="511">
        <v>930097</v>
      </c>
      <c r="K165" s="511"/>
      <c r="L165" s="541">
        <f t="shared" si="40"/>
        <v>1.9426091744182677E-2</v>
      </c>
      <c r="M165" s="522">
        <f t="shared" si="55"/>
        <v>521870.16800000001</v>
      </c>
      <c r="N165" s="511">
        <v>522916</v>
      </c>
      <c r="O165" s="520">
        <v>1143</v>
      </c>
      <c r="P165" s="511">
        <v>71620</v>
      </c>
      <c r="Q165" s="511">
        <v>162959</v>
      </c>
      <c r="R165" s="511">
        <f>276072-Q165-P165-O165</f>
        <v>40350</v>
      </c>
      <c r="S165" s="510">
        <f t="shared" si="41"/>
        <v>71704</v>
      </c>
      <c r="T165" s="518">
        <f t="shared" si="50"/>
        <v>2.3457547696083901E-2</v>
      </c>
      <c r="U165" s="519">
        <f t="shared" si="51"/>
        <v>1.9426091744182677E-2</v>
      </c>
      <c r="V165" s="512">
        <f>SUM(B152:B165)/POBLA!$B$25*100000</f>
        <v>199.86487046619339</v>
      </c>
      <c r="W165" s="512">
        <f>B165/POBLA!$B$25*100000</f>
        <v>16.522638604124829</v>
      </c>
      <c r="X165" s="513">
        <f t="shared" si="48"/>
        <v>1.284870378240544</v>
      </c>
      <c r="Y165" s="519">
        <f t="shared" si="37"/>
        <v>2.3457547696083901E-2</v>
      </c>
      <c r="Z165" s="520">
        <f t="shared" si="39"/>
        <v>0.40734942526779711</v>
      </c>
      <c r="AA165" s="517">
        <f t="shared" si="44"/>
        <v>6839.5714285714284</v>
      </c>
      <c r="AB165" s="517">
        <f t="shared" si="45"/>
        <v>158.85714285714286</v>
      </c>
      <c r="AC165" s="517">
        <f t="shared" si="61"/>
        <v>99.062763802094764</v>
      </c>
      <c r="AD165" s="517">
        <f t="shared" si="57"/>
        <v>-59.794379055048097</v>
      </c>
      <c r="AE165" s="545">
        <f t="shared" si="58"/>
        <v>6478.5</v>
      </c>
      <c r="AF165" s="520">
        <f t="shared" si="56"/>
        <v>1.1180467983746671</v>
      </c>
      <c r="AG165" s="200">
        <f t="shared" si="54"/>
        <v>-0.40567109003953683</v>
      </c>
      <c r="AH165" s="4"/>
      <c r="AI165" s="200">
        <f t="shared" si="46"/>
        <v>1.3728395061728396</v>
      </c>
      <c r="AJ165" s="488">
        <f>MAX($B$2:B165)</f>
        <v>7663</v>
      </c>
      <c r="AK165" s="179">
        <f t="shared" si="43"/>
        <v>3.1124048365427676E-2</v>
      </c>
      <c r="AL165" s="179"/>
      <c r="AM165" s="179"/>
      <c r="AN165" s="179"/>
      <c r="AP165" s="355">
        <f t="shared" si="52"/>
        <v>1.284870378240544</v>
      </c>
      <c r="AT165" s="179">
        <f t="shared" si="53"/>
        <v>2.0081223435384807E-2</v>
      </c>
    </row>
    <row r="166" spans="1:46" hidden="1" x14ac:dyDescent="0.25">
      <c r="A166" s="259">
        <v>44057</v>
      </c>
      <c r="B166" s="671">
        <v>6365</v>
      </c>
      <c r="C166" s="515">
        <f t="shared" si="60"/>
        <v>282437</v>
      </c>
      <c r="D166" s="670">
        <f>66+99</f>
        <v>165</v>
      </c>
      <c r="E166" s="515">
        <f t="shared" si="59"/>
        <v>5528</v>
      </c>
      <c r="F166" s="515">
        <f t="shared" si="42"/>
        <v>6692</v>
      </c>
      <c r="G166" s="515">
        <v>205697</v>
      </c>
      <c r="H166" s="515">
        <v>1718</v>
      </c>
      <c r="I166" s="515">
        <v>19073</v>
      </c>
      <c r="J166" s="511">
        <v>949170</v>
      </c>
      <c r="K166" s="511"/>
      <c r="L166" s="541">
        <f t="shared" si="40"/>
        <v>1.9572506435063395E-2</v>
      </c>
      <c r="M166" s="522">
        <f t="shared" si="55"/>
        <v>532412.04200000002</v>
      </c>
      <c r="N166" s="511">
        <v>533479</v>
      </c>
      <c r="O166" s="520">
        <v>1148</v>
      </c>
      <c r="P166" s="511">
        <v>72902</v>
      </c>
      <c r="Q166" s="511">
        <v>168252</v>
      </c>
      <c r="R166" s="511">
        <f>282437-Q166-P166-O166</f>
        <v>40135</v>
      </c>
      <c r="S166" s="510">
        <f t="shared" si="41"/>
        <v>71212</v>
      </c>
      <c r="T166" s="518">
        <f t="shared" si="50"/>
        <v>2.4125147447059483E-2</v>
      </c>
      <c r="U166" s="519">
        <f t="shared" si="51"/>
        <v>1.9572506435063395E-2</v>
      </c>
      <c r="V166" s="512">
        <f>SUM(B153:B166)/POBLA!$B$25*100000</f>
        <v>200.82564272965007</v>
      </c>
      <c r="W166" s="512">
        <f>B166/POBLA!$B$25*100000</f>
        <v>14.025952882802686</v>
      </c>
      <c r="X166" s="513">
        <f t="shared" si="48"/>
        <v>1.2657463090790406</v>
      </c>
      <c r="Y166" s="519">
        <f t="shared" si="37"/>
        <v>2.4125147447059483E-2</v>
      </c>
      <c r="Z166" s="520">
        <f t="shared" si="39"/>
        <v>0.39256840143393246</v>
      </c>
      <c r="AA166" s="517">
        <f t="shared" si="44"/>
        <v>6680</v>
      </c>
      <c r="AB166" s="517">
        <f t="shared" si="45"/>
        <v>159.57142857142858</v>
      </c>
      <c r="AC166" s="517">
        <f t="shared" si="61"/>
        <v>99.991044825160515</v>
      </c>
      <c r="AD166" s="517">
        <f t="shared" si="57"/>
        <v>-59.580383746268069</v>
      </c>
      <c r="AE166" s="545">
        <f t="shared" si="58"/>
        <v>6509.6428571428569</v>
      </c>
      <c r="AF166" s="520">
        <f t="shared" si="56"/>
        <v>1.0537464788732394</v>
      </c>
      <c r="AG166" s="200">
        <f t="shared" si="54"/>
        <v>-0.42115359604629987</v>
      </c>
      <c r="AH166" s="4"/>
      <c r="AI166" s="200">
        <f t="shared" si="46"/>
        <v>1.2868663594470047</v>
      </c>
      <c r="AJ166" s="488">
        <f>MAX($B$2:B166)</f>
        <v>7663</v>
      </c>
      <c r="AK166" s="179">
        <f t="shared" si="43"/>
        <v>3.1298159096640424E-2</v>
      </c>
      <c r="AL166" s="179"/>
      <c r="AM166" s="179"/>
      <c r="AN166" s="179"/>
      <c r="AP166" s="355">
        <f t="shared" si="52"/>
        <v>1.2657463090790404</v>
      </c>
      <c r="AT166" s="179">
        <f t="shared" si="53"/>
        <v>2.031784584126391E-2</v>
      </c>
    </row>
    <row r="167" spans="1:46" hidden="1" x14ac:dyDescent="0.25">
      <c r="A167" s="259">
        <v>44058</v>
      </c>
      <c r="B167" s="670">
        <v>6663</v>
      </c>
      <c r="C167" s="515">
        <f t="shared" si="60"/>
        <v>289100</v>
      </c>
      <c r="D167" s="670">
        <f>38+72-1</f>
        <v>109</v>
      </c>
      <c r="E167" s="515">
        <f t="shared" si="59"/>
        <v>5637</v>
      </c>
      <c r="F167" s="515">
        <f t="shared" si="42"/>
        <v>6005</v>
      </c>
      <c r="G167" s="515">
        <v>211702</v>
      </c>
      <c r="H167" s="515">
        <v>1716</v>
      </c>
      <c r="I167" s="515">
        <v>17756</v>
      </c>
      <c r="J167" s="511">
        <f>J166+I167</f>
        <v>966926</v>
      </c>
      <c r="K167" s="511"/>
      <c r="L167" s="541">
        <f t="shared" si="40"/>
        <v>1.9498443445174679E-2</v>
      </c>
      <c r="M167" s="522">
        <f t="shared" si="55"/>
        <v>542007.81200000003</v>
      </c>
      <c r="N167" s="511">
        <v>543094</v>
      </c>
      <c r="O167" s="520">
        <v>1151</v>
      </c>
      <c r="P167" s="511">
        <v>74109</v>
      </c>
      <c r="Q167" s="511">
        <v>171954</v>
      </c>
      <c r="R167" s="511">
        <f>289100-Q167-P167-O167</f>
        <v>41886</v>
      </c>
      <c r="S167" s="510">
        <f t="shared" si="41"/>
        <v>71761</v>
      </c>
      <c r="T167" s="518">
        <f t="shared" si="50"/>
        <v>2.3912710246512731E-2</v>
      </c>
      <c r="U167" s="519">
        <f t="shared" si="51"/>
        <v>1.9498443445174679E-2</v>
      </c>
      <c r="V167" s="512">
        <f>SUM(B154:B167)/POBLA!$B$25*100000</f>
        <v>203.95917061642862</v>
      </c>
      <c r="W167" s="512">
        <f>B167/POBLA!$B$25*100000</f>
        <v>14.682627503238693</v>
      </c>
      <c r="X167" s="513">
        <f t="shared" si="48"/>
        <v>1.2518360225597469</v>
      </c>
      <c r="Y167" s="519">
        <f t="shared" si="37"/>
        <v>2.3912710246512731E-2</v>
      </c>
      <c r="Z167" s="520">
        <f t="shared" si="39"/>
        <v>0.38855109854896225</v>
      </c>
      <c r="AA167" s="517">
        <f t="shared" si="44"/>
        <v>6755.5714285714284</v>
      </c>
      <c r="AB167" s="517">
        <f t="shared" si="45"/>
        <v>159.14285714285714</v>
      </c>
      <c r="AC167" s="517">
        <f t="shared" si="61"/>
        <v>99.868777533960213</v>
      </c>
      <c r="AD167" s="517">
        <f t="shared" si="57"/>
        <v>-59.274079608896926</v>
      </c>
      <c r="AE167" s="545">
        <f t="shared" si="58"/>
        <v>6611.2142857142853</v>
      </c>
      <c r="AF167" s="520">
        <f t="shared" si="56"/>
        <v>1.0446452239992929</v>
      </c>
      <c r="AG167" s="200">
        <f t="shared" si="54"/>
        <v>6.8205838133940766E-2</v>
      </c>
      <c r="AH167" s="4"/>
      <c r="AI167" s="200">
        <f t="shared" si="46"/>
        <v>1.2017259978425028</v>
      </c>
      <c r="AJ167" s="488">
        <f>MAX($B$2:B167)</f>
        <v>7663</v>
      </c>
      <c r="AK167" s="179">
        <f t="shared" si="43"/>
        <v>3.0402270618416025E-2</v>
      </c>
      <c r="AL167" s="179"/>
      <c r="AM167" s="179"/>
      <c r="AN167" s="179"/>
      <c r="AP167" s="355">
        <f t="shared" si="52"/>
        <v>1.2518360225597469</v>
      </c>
      <c r="AT167" s="179">
        <f t="shared" si="53"/>
        <v>2.0233253211103908E-2</v>
      </c>
    </row>
    <row r="168" spans="1:46" hidden="1" x14ac:dyDescent="0.25">
      <c r="A168" s="259">
        <v>44059</v>
      </c>
      <c r="B168" s="670">
        <v>5469</v>
      </c>
      <c r="C168" s="515">
        <f t="shared" si="60"/>
        <v>294569</v>
      </c>
      <c r="D168" s="670">
        <f>20+46</f>
        <v>66</v>
      </c>
      <c r="E168" s="515">
        <f t="shared" si="59"/>
        <v>5703</v>
      </c>
      <c r="F168" s="515">
        <f t="shared" si="42"/>
        <v>6148</v>
      </c>
      <c r="G168" s="515">
        <v>217850</v>
      </c>
      <c r="H168" s="515">
        <v>1708</v>
      </c>
      <c r="I168" s="515">
        <v>14533</v>
      </c>
      <c r="J168" s="527">
        <v>981459</v>
      </c>
      <c r="K168" s="527"/>
      <c r="L168" s="541">
        <f t="shared" si="40"/>
        <v>1.9360489392977537E-2</v>
      </c>
      <c r="M168" s="522">
        <f t="shared" si="55"/>
        <v>549523.75</v>
      </c>
      <c r="N168" s="511">
        <v>550625</v>
      </c>
      <c r="O168" s="520">
        <v>1154</v>
      </c>
      <c r="P168" s="511">
        <v>75051</v>
      </c>
      <c r="Q168" s="511">
        <v>175520</v>
      </c>
      <c r="R168" s="511">
        <f>294569-Q168-P168-O168</f>
        <v>42844</v>
      </c>
      <c r="S168" s="510">
        <f t="shared" si="41"/>
        <v>71016</v>
      </c>
      <c r="T168" s="518">
        <f t="shared" si="50"/>
        <v>2.4050918102962712E-2</v>
      </c>
      <c r="U168" s="519">
        <f t="shared" si="51"/>
        <v>1.9360489392977537E-2</v>
      </c>
      <c r="V168" s="512">
        <f>SUM(B155:B168)/POBLA!$B$25*100000</f>
        <v>204.16410598455124</v>
      </c>
      <c r="W168" s="512">
        <f>B168/POBLA!$B$25*100000</f>
        <v>12.051521809276965</v>
      </c>
      <c r="X168" s="513">
        <f t="shared" si="48"/>
        <v>1.233984177299486</v>
      </c>
      <c r="Y168" s="519">
        <f t="shared" si="37"/>
        <v>2.4050918102962712E-2</v>
      </c>
      <c r="Z168" s="520">
        <f t="shared" si="39"/>
        <v>0.38332110618481069</v>
      </c>
      <c r="AA168" s="517">
        <f t="shared" si="44"/>
        <v>6867.1428571428569</v>
      </c>
      <c r="AB168" s="517">
        <f t="shared" si="45"/>
        <v>156.71428571428572</v>
      </c>
      <c r="AC168" s="517">
        <f t="shared" si="61"/>
        <v>101.64349565915045</v>
      </c>
      <c r="AD168" s="517">
        <f t="shared" si="57"/>
        <v>-55.070790055135276</v>
      </c>
      <c r="AE168" s="545">
        <f t="shared" si="58"/>
        <v>6617.8571428571431</v>
      </c>
      <c r="AF168" s="520">
        <f t="shared" si="56"/>
        <v>1.0782862270076268</v>
      </c>
      <c r="AG168" s="200">
        <f t="shared" si="54"/>
        <v>6.1223269923340151E-2</v>
      </c>
      <c r="AH168" s="4"/>
      <c r="AI168" s="200">
        <f t="shared" si="46"/>
        <v>1.1438998957247133</v>
      </c>
      <c r="AJ168" s="488">
        <f>MAX($B$2:B168)</f>
        <v>7663</v>
      </c>
      <c r="AK168" s="179">
        <f t="shared" si="43"/>
        <v>2.94599457528802E-2</v>
      </c>
      <c r="AL168" s="179"/>
      <c r="AM168" s="179"/>
      <c r="AN168" s="179"/>
      <c r="AP168" s="355">
        <f t="shared" si="52"/>
        <v>1.233984177299486</v>
      </c>
      <c r="AT168" s="179">
        <f t="shared" si="53"/>
        <v>2.0123468060341876E-2</v>
      </c>
    </row>
    <row r="169" spans="1:46" hidden="1" x14ac:dyDescent="0.25">
      <c r="A169" s="525">
        <v>44060</v>
      </c>
      <c r="B169" s="670">
        <v>4557</v>
      </c>
      <c r="C169" s="515">
        <f t="shared" si="60"/>
        <v>299126</v>
      </c>
      <c r="D169" s="670">
        <f>47+64</f>
        <v>111</v>
      </c>
      <c r="E169" s="515">
        <f t="shared" si="59"/>
        <v>5814</v>
      </c>
      <c r="F169" s="515">
        <f t="shared" si="42"/>
        <v>5681</v>
      </c>
      <c r="G169" s="515">
        <v>223531</v>
      </c>
      <c r="H169" s="515">
        <v>1749</v>
      </c>
      <c r="I169" s="515">
        <v>13483</v>
      </c>
      <c r="J169" s="511">
        <f>J168+I169</f>
        <v>994942</v>
      </c>
      <c r="K169" s="511"/>
      <c r="L169" s="541">
        <f t="shared" si="40"/>
        <v>1.9436625368573778E-2</v>
      </c>
      <c r="M169" s="522">
        <f t="shared" si="55"/>
        <v>557198.37</v>
      </c>
      <c r="N169" s="511">
        <v>558315</v>
      </c>
      <c r="O169" s="520">
        <v>1157</v>
      </c>
      <c r="P169" s="511">
        <v>76226</v>
      </c>
      <c r="Q169" s="511">
        <v>180483</v>
      </c>
      <c r="R169" s="511">
        <f>299126-Q169-P169-O169</f>
        <v>41260</v>
      </c>
      <c r="S169" s="510">
        <f t="shared" si="41"/>
        <v>69781</v>
      </c>
      <c r="T169" s="518">
        <f t="shared" si="50"/>
        <v>2.5064129204224645E-2</v>
      </c>
      <c r="U169" s="519">
        <f t="shared" si="51"/>
        <v>1.9436625368573778E-2</v>
      </c>
      <c r="V169" s="512">
        <f>SUM(B156:B169)/POBLA!$B$25*100000</f>
        <v>203.57574315348947</v>
      </c>
      <c r="W169" s="512">
        <f>B169/POBLA!$B$25*100000</f>
        <v>10.041833038009715</v>
      </c>
      <c r="X169" s="513">
        <f t="shared" si="48"/>
        <v>1.2160618146875699</v>
      </c>
      <c r="Y169" s="519">
        <f t="shared" si="37"/>
        <v>2.5064129204224645E-2</v>
      </c>
      <c r="Z169" s="520">
        <f t="shared" si="39"/>
        <v>0.37006026214441656</v>
      </c>
      <c r="AA169" s="517">
        <f t="shared" si="44"/>
        <v>6465.4285714285716</v>
      </c>
      <c r="AB169" s="517">
        <f t="shared" si="45"/>
        <v>150</v>
      </c>
      <c r="AC169" s="517">
        <f t="shared" si="61"/>
        <v>103.56211542142384</v>
      </c>
      <c r="AD169" s="517">
        <f t="shared" si="57"/>
        <v>-46.43788457857616</v>
      </c>
      <c r="AE169" s="545">
        <f t="shared" si="58"/>
        <v>6598.7857142857147</v>
      </c>
      <c r="AF169" s="520">
        <f t="shared" si="56"/>
        <v>0.96038196286472155</v>
      </c>
      <c r="AG169" s="200">
        <f t="shared" si="54"/>
        <v>3.0647209996159885E-2</v>
      </c>
      <c r="AH169" s="4"/>
      <c r="AI169" s="200">
        <f t="shared" si="46"/>
        <v>1.1017838405036726</v>
      </c>
      <c r="AJ169" s="488">
        <f>MAX($B$2:B169)</f>
        <v>7663</v>
      </c>
      <c r="AK169" s="179">
        <f t="shared" si="43"/>
        <v>2.8304938537847747E-2</v>
      </c>
      <c r="AL169" s="179"/>
      <c r="AM169" s="179"/>
      <c r="AN169" s="179"/>
      <c r="AP169" s="355">
        <f t="shared" si="52"/>
        <v>1.2160618146875699</v>
      </c>
      <c r="AT169" s="179">
        <f t="shared" si="53"/>
        <v>2.0371629277135737E-2</v>
      </c>
    </row>
    <row r="170" spans="1:46" hidden="1" x14ac:dyDescent="0.25">
      <c r="A170" s="259">
        <v>44061</v>
      </c>
      <c r="B170" s="670">
        <v>6840</v>
      </c>
      <c r="C170" s="515">
        <f t="shared" si="60"/>
        <v>305966</v>
      </c>
      <c r="D170" s="670">
        <f>63+170</f>
        <v>233</v>
      </c>
      <c r="E170" s="515">
        <f t="shared" si="59"/>
        <v>6047</v>
      </c>
      <c r="F170" s="515">
        <f t="shared" si="42"/>
        <v>5194</v>
      </c>
      <c r="G170" s="515">
        <v>228725</v>
      </c>
      <c r="H170" s="515">
        <v>1799</v>
      </c>
      <c r="I170" s="515">
        <v>18037</v>
      </c>
      <c r="J170" s="511">
        <f t="shared" ref="J170:J233" si="62">J171-I171</f>
        <v>969683</v>
      </c>
      <c r="K170" s="511"/>
      <c r="L170" s="541">
        <f t="shared" si="40"/>
        <v>1.9763633867815378E-2</v>
      </c>
      <c r="M170" s="522">
        <f t="shared" si="55"/>
        <v>567083.56000000006</v>
      </c>
      <c r="N170" s="511">
        <v>568220</v>
      </c>
      <c r="O170" s="520">
        <v>1161</v>
      </c>
      <c r="P170" s="511">
        <v>77895</v>
      </c>
      <c r="Q170" s="511">
        <v>185880</v>
      </c>
      <c r="R170" s="511">
        <f>305966-Q170-P170-O170</f>
        <v>41030</v>
      </c>
      <c r="S170" s="510">
        <f t="shared" si="41"/>
        <v>71194</v>
      </c>
      <c r="T170" s="518">
        <f t="shared" si="50"/>
        <v>2.5268983341292805E-2</v>
      </c>
      <c r="U170" s="519">
        <f t="shared" si="51"/>
        <v>1.9763633867815378E-2</v>
      </c>
      <c r="V170" s="512">
        <f>SUM(B157:B170)/POBLA!$B$25*100000</f>
        <v>203.6815162467141</v>
      </c>
      <c r="W170" s="512">
        <f>B170/POBLA!$B$25*100000</f>
        <v>15.072665784504377</v>
      </c>
      <c r="X170" s="513">
        <f t="shared" si="48"/>
        <v>1.1939367322422723</v>
      </c>
      <c r="Y170" s="519">
        <f t="shared" si="37"/>
        <v>2.5268983341292805E-2</v>
      </c>
      <c r="Z170" s="520">
        <f t="shared" si="39"/>
        <v>0.37185751308165926</v>
      </c>
      <c r="AA170" s="517">
        <f t="shared" si="44"/>
        <v>6436.4285714285716</v>
      </c>
      <c r="AB170" s="517">
        <f t="shared" si="45"/>
        <v>148.85714285714286</v>
      </c>
      <c r="AC170" s="517">
        <f t="shared" si="61"/>
        <v>106.95885920340926</v>
      </c>
      <c r="AD170" s="517">
        <f t="shared" si="57"/>
        <v>-41.8982836537336</v>
      </c>
      <c r="AE170" s="545">
        <f t="shared" si="58"/>
        <v>6602.2142857142853</v>
      </c>
      <c r="AF170" s="520">
        <f t="shared" si="56"/>
        <v>0.9510089496791625</v>
      </c>
      <c r="AG170" s="200">
        <f t="shared" si="54"/>
        <v>3.7465572767148014E-2</v>
      </c>
      <c r="AH170" s="4"/>
      <c r="AI170" s="200">
        <f t="shared" si="46"/>
        <v>1.0155945419103314</v>
      </c>
      <c r="AJ170" s="488">
        <f>MAX($B$2:B170)</f>
        <v>7663</v>
      </c>
      <c r="AK170" s="179">
        <f t="shared" si="43"/>
        <v>2.7901247790928081E-2</v>
      </c>
      <c r="AL170" s="179"/>
      <c r="AM170" s="179"/>
      <c r="AN170" s="179"/>
      <c r="AP170" s="355">
        <f t="shared" si="52"/>
        <v>1.1939367322422723</v>
      </c>
      <c r="AT170" s="179">
        <f t="shared" si="53"/>
        <v>2.1152353890213197E-2</v>
      </c>
    </row>
    <row r="171" spans="1:46" hidden="1" x14ac:dyDescent="0.25">
      <c r="A171" s="259">
        <v>44062</v>
      </c>
      <c r="B171" s="670">
        <v>6693</v>
      </c>
      <c r="C171" s="515">
        <f t="shared" si="60"/>
        <v>312659</v>
      </c>
      <c r="D171" s="670">
        <f>217+66</f>
        <v>283</v>
      </c>
      <c r="E171" s="515">
        <f t="shared" si="59"/>
        <v>6330</v>
      </c>
      <c r="F171" s="515">
        <f t="shared" si="42"/>
        <v>4926</v>
      </c>
      <c r="G171" s="515">
        <v>233651</v>
      </c>
      <c r="H171" s="515">
        <v>1795</v>
      </c>
      <c r="I171" s="515">
        <v>18013</v>
      </c>
      <c r="J171" s="511">
        <f t="shared" si="62"/>
        <v>987696</v>
      </c>
      <c r="K171" s="511"/>
      <c r="L171" s="541">
        <f t="shared" si="40"/>
        <v>2.0245698988354724E-2</v>
      </c>
      <c r="M171" s="522">
        <f t="shared" si="55"/>
        <v>576886.91399999999</v>
      </c>
      <c r="N171" s="511">
        <v>578043</v>
      </c>
      <c r="O171" s="520">
        <v>1163</v>
      </c>
      <c r="P171" s="511">
        <v>79219</v>
      </c>
      <c r="Q171" s="511">
        <v>191037</v>
      </c>
      <c r="R171" s="522">
        <f t="shared" ref="R171:R202" si="63">C171-Q171-P171-O171</f>
        <v>41240</v>
      </c>
      <c r="S171" s="510">
        <f t="shared" si="41"/>
        <v>72678</v>
      </c>
      <c r="T171" s="518">
        <f t="shared" si="50"/>
        <v>2.4697982883403507E-2</v>
      </c>
      <c r="U171" s="519">
        <f t="shared" si="51"/>
        <v>2.0245698988354724E-2</v>
      </c>
      <c r="V171" s="512">
        <f>SUM(B158:B171)/POBLA!$B$25*100000</f>
        <v>202.68107907329812</v>
      </c>
      <c r="W171" s="512">
        <f>B171/POBLA!$B$25*100000</f>
        <v>14.748735686504066</v>
      </c>
      <c r="X171" s="513">
        <f t="shared" si="48"/>
        <v>1.1674874971440177</v>
      </c>
      <c r="Y171" s="519">
        <f t="shared" si="37"/>
        <v>2.4697982883403507E-2</v>
      </c>
      <c r="Z171" s="520">
        <f t="shared" si="39"/>
        <v>0.36923347515829674</v>
      </c>
      <c r="AA171" s="517">
        <f t="shared" si="44"/>
        <v>6297.8571428571431</v>
      </c>
      <c r="AB171" s="517">
        <f t="shared" si="45"/>
        <v>159.42857142857142</v>
      </c>
      <c r="AC171" s="517">
        <f t="shared" si="61"/>
        <v>110.8011372537342</v>
      </c>
      <c r="AD171" s="517">
        <f t="shared" si="57"/>
        <v>-48.627434174837219</v>
      </c>
      <c r="AE171" s="545">
        <f t="shared" si="58"/>
        <v>6569.7857142857147</v>
      </c>
      <c r="AF171" s="520">
        <f t="shared" si="56"/>
        <v>0.92050864445001257</v>
      </c>
      <c r="AG171" s="200">
        <f t="shared" si="54"/>
        <v>2.4701801878013629E-2</v>
      </c>
      <c r="AH171" s="4"/>
      <c r="AI171" s="200">
        <f t="shared" si="46"/>
        <v>1.0072202166064981</v>
      </c>
      <c r="AJ171" s="488">
        <f>MAX($B$2:B171)</f>
        <v>7663</v>
      </c>
      <c r="AK171" s="179">
        <f t="shared" si="43"/>
        <v>2.9537875178656501E-2</v>
      </c>
      <c r="AL171" s="179"/>
      <c r="AM171" s="179"/>
      <c r="AN171" s="179"/>
      <c r="AP171" s="355">
        <f t="shared" si="52"/>
        <v>1.1674874971440177</v>
      </c>
      <c r="AT171" s="179">
        <f t="shared" si="53"/>
        <v>2.1766500810951977E-2</v>
      </c>
    </row>
    <row r="172" spans="1:46" hidden="1" x14ac:dyDescent="0.25">
      <c r="A172" s="259">
        <v>44063</v>
      </c>
      <c r="B172" s="683">
        <v>8225</v>
      </c>
      <c r="C172" s="515">
        <f t="shared" si="60"/>
        <v>320884</v>
      </c>
      <c r="D172" s="670">
        <f>111+75</f>
        <v>186</v>
      </c>
      <c r="E172" s="515">
        <f t="shared" si="59"/>
        <v>6516</v>
      </c>
      <c r="F172" s="515">
        <f t="shared" si="42"/>
        <v>6155</v>
      </c>
      <c r="G172" s="515">
        <v>239806</v>
      </c>
      <c r="H172" s="515">
        <v>1832</v>
      </c>
      <c r="I172" s="515">
        <v>21695</v>
      </c>
      <c r="J172" s="511">
        <f t="shared" si="62"/>
        <v>1009391</v>
      </c>
      <c r="K172" s="511"/>
      <c r="L172" s="541">
        <f t="shared" si="40"/>
        <v>2.0306403560165043E-2</v>
      </c>
      <c r="M172" s="522">
        <f t="shared" si="55"/>
        <v>588274.09400000004</v>
      </c>
      <c r="N172" s="511">
        <v>589453</v>
      </c>
      <c r="O172" s="520">
        <v>1172</v>
      </c>
      <c r="P172" s="511">
        <v>80662</v>
      </c>
      <c r="Q172" s="511">
        <v>196370</v>
      </c>
      <c r="R172" s="522">
        <f t="shared" si="63"/>
        <v>42680</v>
      </c>
      <c r="S172" s="510">
        <f t="shared" si="41"/>
        <v>74562</v>
      </c>
      <c r="T172" s="518">
        <f t="shared" si="50"/>
        <v>2.4570156379925431E-2</v>
      </c>
      <c r="U172" s="519">
        <f t="shared" si="51"/>
        <v>2.0306403560165043E-2</v>
      </c>
      <c r="V172" s="512">
        <f>SUM(B159:B172)/POBLA!$B$25*100000</f>
        <v>204.25004662279625</v>
      </c>
      <c r="W172" s="512">
        <f>B172/POBLA!$B$25*100000</f>
        <v>18.12466024525563</v>
      </c>
      <c r="X172" s="513">
        <f t="shared" si="48"/>
        <v>1.1561845125237002</v>
      </c>
      <c r="Y172" s="519">
        <f t="shared" si="37"/>
        <v>2.4570156379925431E-2</v>
      </c>
      <c r="Z172" s="520">
        <f t="shared" si="39"/>
        <v>0.36554368219267475</v>
      </c>
      <c r="AA172" s="517">
        <f t="shared" si="44"/>
        <v>6401.7142857142853</v>
      </c>
      <c r="AB172" s="517">
        <f t="shared" si="45"/>
        <v>164.71428571428572</v>
      </c>
      <c r="AC172" s="517">
        <f t="shared" si="61"/>
        <v>113.96037975040144</v>
      </c>
      <c r="AD172" s="517">
        <f t="shared" si="57"/>
        <v>-50.753905963884279</v>
      </c>
      <c r="AE172" s="545">
        <f t="shared" si="58"/>
        <v>6620.6428571428569</v>
      </c>
      <c r="AF172" s="520">
        <f t="shared" si="56"/>
        <v>0.93598178666165377</v>
      </c>
      <c r="AG172" s="200">
        <f t="shared" si="54"/>
        <v>3.9858306370634811E-2</v>
      </c>
      <c r="AH172" s="4"/>
      <c r="AI172" s="200">
        <f t="shared" si="46"/>
        <v>1.0368705035971224</v>
      </c>
      <c r="AJ172" s="488">
        <f>MAX($B$2:B172)</f>
        <v>8225</v>
      </c>
      <c r="AK172" s="179">
        <f t="shared" si="43"/>
        <v>3.0176136512340024E-2</v>
      </c>
      <c r="AL172" s="179"/>
      <c r="AM172" s="179"/>
      <c r="AN172" s="179"/>
      <c r="AP172" s="355">
        <f t="shared" si="52"/>
        <v>1.1561845125237</v>
      </c>
      <c r="AT172" s="179">
        <f t="shared" si="53"/>
        <v>2.180054771981858E-2</v>
      </c>
    </row>
    <row r="173" spans="1:46" hidden="1" x14ac:dyDescent="0.25">
      <c r="A173" s="259">
        <v>44064</v>
      </c>
      <c r="B173" s="670">
        <v>8159</v>
      </c>
      <c r="C173" s="515">
        <f t="shared" si="60"/>
        <v>329043</v>
      </c>
      <c r="D173" s="670">
        <f>50+164</f>
        <v>214</v>
      </c>
      <c r="E173" s="515">
        <f t="shared" si="59"/>
        <v>6730</v>
      </c>
      <c r="F173" s="515">
        <f t="shared" si="42"/>
        <v>5975</v>
      </c>
      <c r="G173" s="515">
        <v>245781</v>
      </c>
      <c r="H173" s="515">
        <v>1853</v>
      </c>
      <c r="I173" s="515">
        <v>21032</v>
      </c>
      <c r="J173" s="511">
        <f t="shared" si="62"/>
        <v>1030423</v>
      </c>
      <c r="K173" s="511"/>
      <c r="L173" s="541">
        <f t="shared" si="40"/>
        <v>2.0453253830046529E-2</v>
      </c>
      <c r="M173" s="522">
        <f t="shared" si="55"/>
        <v>599304.98800000001</v>
      </c>
      <c r="N173" s="511">
        <v>600506</v>
      </c>
      <c r="O173" s="520">
        <v>1175</v>
      </c>
      <c r="P173" s="511">
        <v>82187</v>
      </c>
      <c r="Q173" s="511">
        <v>201933</v>
      </c>
      <c r="R173" s="522">
        <f t="shared" si="63"/>
        <v>43748</v>
      </c>
      <c r="S173" s="510">
        <f t="shared" si="41"/>
        <v>76532</v>
      </c>
      <c r="T173" s="518">
        <f t="shared" si="50"/>
        <v>2.4212094287356923E-2</v>
      </c>
      <c r="U173" s="519">
        <f t="shared" si="51"/>
        <v>2.0453253830046529E-2</v>
      </c>
      <c r="V173" s="512">
        <f>SUM(B160:B173)/POBLA!$B$25*100000</f>
        <v>205.74188795848477</v>
      </c>
      <c r="W173" s="512">
        <f>B173/POBLA!$B$25*100000</f>
        <v>17.979222242071817</v>
      </c>
      <c r="X173" s="513">
        <f t="shared" si="48"/>
        <v>1.1364339009457503</v>
      </c>
      <c r="Y173" s="519">
        <f t="shared" si="37"/>
        <v>2.4212094287356923E-2</v>
      </c>
      <c r="Z173" s="520">
        <f t="shared" si="39"/>
        <v>0.37419810676922338</v>
      </c>
      <c r="AA173" s="517">
        <f t="shared" si="44"/>
        <v>6658</v>
      </c>
      <c r="AB173" s="517">
        <f t="shared" si="45"/>
        <v>171.71428571428572</v>
      </c>
      <c r="AC173" s="517">
        <f t="shared" si="61"/>
        <v>118.64793461268722</v>
      </c>
      <c r="AD173" s="517">
        <f t="shared" si="57"/>
        <v>-53.066351101598499</v>
      </c>
      <c r="AE173" s="545">
        <f t="shared" si="58"/>
        <v>6669</v>
      </c>
      <c r="AF173" s="520">
        <f t="shared" si="56"/>
        <v>0.99670658682634727</v>
      </c>
      <c r="AG173" s="200">
        <f t="shared" si="54"/>
        <v>7.4706510138740745E-2</v>
      </c>
      <c r="AH173" s="4"/>
      <c r="AI173" s="200">
        <f t="shared" si="46"/>
        <v>1.0760966875559534</v>
      </c>
      <c r="AJ173" s="488">
        <f>MAX($B$2:B173)</f>
        <v>8225</v>
      </c>
      <c r="AK173" s="179">
        <f t="shared" si="43"/>
        <v>3.051303531084203E-2</v>
      </c>
      <c r="AL173" s="179"/>
      <c r="AM173" s="179"/>
      <c r="AN173" s="179"/>
      <c r="AP173" s="355">
        <f t="shared" si="52"/>
        <v>1.1364339009457503</v>
      </c>
      <c r="AT173" s="179">
        <f t="shared" si="53"/>
        <v>2.2143494546950727E-2</v>
      </c>
    </row>
    <row r="174" spans="1:46" hidden="1" x14ac:dyDescent="0.25">
      <c r="A174" s="259">
        <v>44065</v>
      </c>
      <c r="B174" s="670">
        <v>7759</v>
      </c>
      <c r="C174" s="515">
        <f t="shared" si="60"/>
        <v>336802</v>
      </c>
      <c r="D174" s="670">
        <v>118</v>
      </c>
      <c r="E174" s="515">
        <f t="shared" si="59"/>
        <v>6848</v>
      </c>
      <c r="F174" s="515">
        <f t="shared" si="42"/>
        <v>5619</v>
      </c>
      <c r="G174" s="515">
        <v>251400</v>
      </c>
      <c r="H174" s="515">
        <v>1907</v>
      </c>
      <c r="I174" s="515">
        <v>18837</v>
      </c>
      <c r="J174" s="511">
        <f t="shared" si="62"/>
        <v>1049260</v>
      </c>
      <c r="K174" s="511"/>
      <c r="L174" s="541">
        <f t="shared" si="40"/>
        <v>2.0332420828854936E-2</v>
      </c>
      <c r="M174" s="522">
        <f t="shared" si="55"/>
        <v>608940.67799999996</v>
      </c>
      <c r="N174" s="511">
        <v>610161</v>
      </c>
      <c r="O174" s="520">
        <v>1178</v>
      </c>
      <c r="P174" s="511">
        <v>83443</v>
      </c>
      <c r="Q174" s="511">
        <v>205996</v>
      </c>
      <c r="R174" s="522">
        <f t="shared" si="63"/>
        <v>46185</v>
      </c>
      <c r="S174" s="510">
        <f t="shared" si="41"/>
        <v>78554</v>
      </c>
      <c r="T174" s="518">
        <f t="shared" si="50"/>
        <v>2.4276294014308628E-2</v>
      </c>
      <c r="U174" s="519">
        <f t="shared" ref="U174:U196" si="64">E174/C174</f>
        <v>2.0332420828854936E-2</v>
      </c>
      <c r="V174" s="512">
        <f>SUM(B161:B174)/POBLA!$B$25*100000</f>
        <v>209.32274788535895</v>
      </c>
      <c r="W174" s="512">
        <f>B174/POBLA!$B$25*100000</f>
        <v>17.097779798533551</v>
      </c>
      <c r="X174" s="513">
        <f t="shared" si="48"/>
        <v>1.1379302083208549</v>
      </c>
      <c r="Y174" s="519">
        <f t="shared" si="37"/>
        <v>2.4276294014308628E-2</v>
      </c>
      <c r="Z174" s="520">
        <f t="shared" si="39"/>
        <v>0.37970230040595399</v>
      </c>
      <c r="AA174" s="517">
        <f t="shared" si="44"/>
        <v>6814.5714285714284</v>
      </c>
      <c r="AB174" s="517">
        <f t="shared" si="45"/>
        <v>173</v>
      </c>
      <c r="AC174" s="517">
        <f t="shared" si="61"/>
        <v>120.96056365154134</v>
      </c>
      <c r="AD174" s="517">
        <f t="shared" si="57"/>
        <v>-52.039436348458665</v>
      </c>
      <c r="AE174" s="545">
        <f t="shared" si="58"/>
        <v>6785.0714285714284</v>
      </c>
      <c r="AF174" s="520">
        <f t="shared" si="56"/>
        <v>1.0087335321110618</v>
      </c>
      <c r="AG174" s="200">
        <f t="shared" si="54"/>
        <v>9.4661445632028496E-2</v>
      </c>
      <c r="AH174" s="4"/>
      <c r="AI174" s="200">
        <f t="shared" si="46"/>
        <v>1.0870736086175943</v>
      </c>
      <c r="AJ174" s="488">
        <f>MAX($B$2:B174)</f>
        <v>8225</v>
      </c>
      <c r="AK174" s="179">
        <f t="shared" si="43"/>
        <v>3.0793093803239507E-2</v>
      </c>
      <c r="AL174" s="179"/>
      <c r="AM174" s="179"/>
      <c r="AN174" s="179"/>
      <c r="AP174" s="355">
        <f t="shared" si="52"/>
        <v>1.1379302083208549</v>
      </c>
      <c r="AT174" s="179">
        <f t="shared" si="53"/>
        <v>2.1973248576347505E-2</v>
      </c>
    </row>
    <row r="175" spans="1:46" hidden="1" x14ac:dyDescent="0.25">
      <c r="A175" s="259">
        <v>44066</v>
      </c>
      <c r="B175" s="670">
        <v>5352</v>
      </c>
      <c r="C175" s="515">
        <f t="shared" si="60"/>
        <v>342154</v>
      </c>
      <c r="D175" s="670">
        <f>99+37</f>
        <v>136</v>
      </c>
      <c r="E175" s="515">
        <f t="shared" si="59"/>
        <v>6984</v>
      </c>
      <c r="F175" s="515">
        <f t="shared" si="42"/>
        <v>5389</v>
      </c>
      <c r="G175" s="515">
        <v>256789</v>
      </c>
      <c r="H175" s="515">
        <v>1922</v>
      </c>
      <c r="I175" s="515">
        <v>13322</v>
      </c>
      <c r="J175" s="511">
        <f t="shared" si="62"/>
        <v>1062582</v>
      </c>
      <c r="K175" s="511"/>
      <c r="L175" s="541">
        <f t="shared" si="40"/>
        <v>2.041186132560192E-2</v>
      </c>
      <c r="M175" s="522">
        <f t="shared" si="55"/>
        <v>615967.59600000002</v>
      </c>
      <c r="N175" s="511">
        <v>617202</v>
      </c>
      <c r="O175" s="520">
        <v>1179</v>
      </c>
      <c r="P175" s="511">
        <v>84223</v>
      </c>
      <c r="Q175" s="511">
        <v>209236</v>
      </c>
      <c r="R175" s="522">
        <f t="shared" si="63"/>
        <v>47516</v>
      </c>
      <c r="S175" s="510">
        <f t="shared" si="41"/>
        <v>78381</v>
      </c>
      <c r="T175" s="518">
        <f t="shared" si="50"/>
        <v>2.4521248772023833E-2</v>
      </c>
      <c r="U175" s="519">
        <f t="shared" si="64"/>
        <v>2.041186132560192E-2</v>
      </c>
      <c r="V175" s="512">
        <f>SUM(B162:B175)/POBLA!$B$25*100000</f>
        <v>210.78594234163251</v>
      </c>
      <c r="W175" s="512">
        <f>B175/POBLA!$B$25*100000</f>
        <v>11.793699894542023</v>
      </c>
      <c r="X175" s="513">
        <f t="shared" si="48"/>
        <v>1.1391161444750098</v>
      </c>
      <c r="Y175" s="519">
        <f t="shared" si="37"/>
        <v>2.4521248772023833E-2</v>
      </c>
      <c r="Z175" s="520">
        <f t="shared" si="39"/>
        <v>0.38245766321864022</v>
      </c>
      <c r="AA175" s="517">
        <f t="shared" si="44"/>
        <v>6797.8571428571431</v>
      </c>
      <c r="AB175" s="517">
        <f t="shared" si="45"/>
        <v>183</v>
      </c>
      <c r="AC175" s="517">
        <f t="shared" si="61"/>
        <v>119.00105071420167</v>
      </c>
      <c r="AD175" s="517">
        <f t="shared" si="57"/>
        <v>-63.998949285798332</v>
      </c>
      <c r="AE175" s="545">
        <f t="shared" si="58"/>
        <v>6832.5</v>
      </c>
      <c r="AF175" s="520">
        <f t="shared" si="56"/>
        <v>0.98991054711878523</v>
      </c>
      <c r="AG175" s="200">
        <f t="shared" si="54"/>
        <v>0.10370902331868881</v>
      </c>
      <c r="AH175" s="4"/>
      <c r="AI175" s="200">
        <f t="shared" si="46"/>
        <v>1.1677301731996352</v>
      </c>
      <c r="AJ175" s="488">
        <f>MAX($B$2:B175)</f>
        <v>8225</v>
      </c>
      <c r="AK175" s="179">
        <f t="shared" si="43"/>
        <v>3.1881533101045294E-2</v>
      </c>
      <c r="AL175" s="179"/>
      <c r="AM175" s="179"/>
      <c r="AN175" s="179"/>
      <c r="AP175" s="355">
        <f t="shared" si="52"/>
        <v>1.1391161444750098</v>
      </c>
      <c r="AT175" s="179">
        <f t="shared" si="53"/>
        <v>2.2154012532205222E-2</v>
      </c>
    </row>
    <row r="176" spans="1:46" hidden="1" x14ac:dyDescent="0.25">
      <c r="A176" s="525">
        <v>44067</v>
      </c>
      <c r="B176" s="670">
        <v>8713</v>
      </c>
      <c r="C176" s="515">
        <f t="shared" si="60"/>
        <v>350867</v>
      </c>
      <c r="D176" s="670">
        <f>95+286</f>
        <v>381</v>
      </c>
      <c r="E176" s="515">
        <f>D176+E175</f>
        <v>7365</v>
      </c>
      <c r="F176" s="515">
        <f t="shared" si="42"/>
        <v>6413</v>
      </c>
      <c r="G176" s="515">
        <v>263202</v>
      </c>
      <c r="H176" s="515">
        <v>1960</v>
      </c>
      <c r="I176" s="515">
        <v>21220</v>
      </c>
      <c r="J176" s="511">
        <f t="shared" si="62"/>
        <v>1083802</v>
      </c>
      <c r="K176" s="511"/>
      <c r="L176" s="541">
        <f t="shared" si="40"/>
        <v>2.0990859784476738E-2</v>
      </c>
      <c r="M176" s="522">
        <f t="shared" si="55"/>
        <v>627136.21400000004</v>
      </c>
      <c r="N176" s="511">
        <v>628393</v>
      </c>
      <c r="O176" s="520">
        <v>1180</v>
      </c>
      <c r="P176" s="511">
        <v>85600</v>
      </c>
      <c r="Q176" s="511">
        <v>213348</v>
      </c>
      <c r="R176" s="522">
        <f t="shared" si="63"/>
        <v>50739</v>
      </c>
      <c r="S176" s="510">
        <f t="shared" si="41"/>
        <v>80300</v>
      </c>
      <c r="T176" s="518">
        <f t="shared" si="50"/>
        <v>2.4408468244084682E-2</v>
      </c>
      <c r="U176" s="519">
        <f t="shared" si="64"/>
        <v>2.0990859784476738E-2</v>
      </c>
      <c r="V176" s="512">
        <f>SUM(B163:B176)/POBLA!$B$25*100000</f>
        <v>213.74758895192107</v>
      </c>
      <c r="W176" s="512">
        <f>B176/POBLA!$B$25*100000</f>
        <v>19.200020026372318</v>
      </c>
      <c r="X176" s="513">
        <f t="shared" si="48"/>
        <v>1.1219983343358164</v>
      </c>
      <c r="Y176" s="519">
        <f t="shared" ref="Y176:Y239" si="65">H176/S176</f>
        <v>2.4408468244084682E-2</v>
      </c>
      <c r="Z176" s="520">
        <f t="shared" si="39"/>
        <v>0.39151457368564424</v>
      </c>
      <c r="AA176" s="517">
        <f t="shared" si="44"/>
        <v>7391.5714285714284</v>
      </c>
      <c r="AB176" s="517">
        <f t="shared" si="45"/>
        <v>221.57142857142858</v>
      </c>
      <c r="AC176" s="517">
        <f t="shared" si="61"/>
        <v>126.33308873677885</v>
      </c>
      <c r="AD176" s="517">
        <f t="shared" si="57"/>
        <v>-95.238339834649736</v>
      </c>
      <c r="AE176" s="545">
        <f t="shared" si="58"/>
        <v>6928.5</v>
      </c>
      <c r="AF176" s="520">
        <f t="shared" si="56"/>
        <v>1.1432453930796764</v>
      </c>
      <c r="AG176" s="200">
        <f t="shared" si="54"/>
        <v>0.15074303893610019</v>
      </c>
      <c r="AH176" s="4"/>
      <c r="AI176" s="200">
        <f t="shared" si="46"/>
        <v>1.4771428571428573</v>
      </c>
      <c r="AJ176" s="488">
        <f>MAX($B$2:B176)</f>
        <v>8713</v>
      </c>
      <c r="AK176" s="179">
        <f t="shared" si="43"/>
        <v>3.7206736074461455E-2</v>
      </c>
      <c r="AL176" s="179"/>
      <c r="AM176" s="179"/>
      <c r="AN176" s="179"/>
      <c r="AP176" s="355">
        <f t="shared" si="52"/>
        <v>1.1219983343358164</v>
      </c>
      <c r="AT176" s="179">
        <f t="shared" si="53"/>
        <v>2.3237574857297192E-2</v>
      </c>
    </row>
    <row r="177" spans="1:46" s="32" customFormat="1" hidden="1" x14ac:dyDescent="0.25">
      <c r="A177" s="259">
        <v>44068</v>
      </c>
      <c r="B177" s="670">
        <v>8771</v>
      </c>
      <c r="C177" s="515">
        <f t="shared" si="60"/>
        <v>359638</v>
      </c>
      <c r="D177" s="670">
        <f>36+162</f>
        <v>198</v>
      </c>
      <c r="E177" s="515">
        <f t="shared" ref="E177:E240" si="66">E176+D177</f>
        <v>7563</v>
      </c>
      <c r="F177" s="515">
        <f t="shared" si="42"/>
        <v>5599</v>
      </c>
      <c r="G177" s="515">
        <v>268801</v>
      </c>
      <c r="H177" s="515">
        <v>1990</v>
      </c>
      <c r="I177" s="515">
        <v>21476</v>
      </c>
      <c r="J177" s="511">
        <f t="shared" si="62"/>
        <v>1105278</v>
      </c>
      <c r="K177" s="511"/>
      <c r="L177" s="541">
        <f t="shared" si="40"/>
        <v>2.1029479643419217E-2</v>
      </c>
      <c r="M177" s="522">
        <f t="shared" si="55"/>
        <v>637823.79599999997</v>
      </c>
      <c r="N177" s="511">
        <v>639102</v>
      </c>
      <c r="O177" s="520">
        <v>1183</v>
      </c>
      <c r="P177" s="511">
        <v>87216</v>
      </c>
      <c r="Q177" s="511">
        <v>219449</v>
      </c>
      <c r="R177" s="511">
        <f t="shared" si="63"/>
        <v>51790</v>
      </c>
      <c r="S177" s="510">
        <f t="shared" si="41"/>
        <v>83274</v>
      </c>
      <c r="T177" s="518">
        <f t="shared" si="50"/>
        <v>2.3897014674448207E-2</v>
      </c>
      <c r="U177" s="519">
        <f t="shared" si="64"/>
        <v>2.1029479643419217E-2</v>
      </c>
      <c r="V177" s="512">
        <f>SUM(B164:B177)/POBLA!$B$25*100000</f>
        <v>217.5554203080064</v>
      </c>
      <c r="W177" s="512">
        <f>B177/POBLA!$B$25*100000</f>
        <v>19.327829180685367</v>
      </c>
      <c r="X177" s="513">
        <f t="shared" si="48"/>
        <v>1.1275869158024578</v>
      </c>
      <c r="Y177" s="519">
        <f t="shared" si="65"/>
        <v>2.3897014674448207E-2</v>
      </c>
      <c r="Z177" s="520">
        <f t="shared" si="39"/>
        <v>0.39582580478631219</v>
      </c>
      <c r="AA177" s="517">
        <f t="shared" si="44"/>
        <v>7667.4285714285716</v>
      </c>
      <c r="AB177" s="517">
        <f t="shared" si="45"/>
        <v>216.57142857142858</v>
      </c>
      <c r="AC177" s="517">
        <f t="shared" si="61"/>
        <v>129.82909881147211</v>
      </c>
      <c r="AD177" s="517">
        <f t="shared" si="57"/>
        <v>-86.742329759956476</v>
      </c>
      <c r="AE177" s="545">
        <f t="shared" si="58"/>
        <v>7051.9285714285716</v>
      </c>
      <c r="AF177" s="520">
        <f t="shared" si="56"/>
        <v>1.1912551326156919</v>
      </c>
      <c r="AG177" s="200">
        <f t="shared" si="54"/>
        <v>0.1696772199904486</v>
      </c>
      <c r="AH177" s="4"/>
      <c r="AI177" s="200">
        <f t="shared" si="46"/>
        <v>1.45489443378119</v>
      </c>
      <c r="AJ177" s="488">
        <f>MAX($B$2:B177)</f>
        <v>8771</v>
      </c>
      <c r="AK177" s="179">
        <f t="shared" si="43"/>
        <v>3.540236327121573E-2</v>
      </c>
      <c r="AL177" s="179"/>
      <c r="AM177" s="179"/>
      <c r="AN177" s="179"/>
      <c r="AP177" s="355">
        <f t="shared" si="52"/>
        <v>1.1275869158024578</v>
      </c>
      <c r="AT177" s="179">
        <f t="shared" si="53"/>
        <v>2.3473964040748408E-2</v>
      </c>
    </row>
    <row r="178" spans="1:46" hidden="1" x14ac:dyDescent="0.25">
      <c r="A178" s="259">
        <v>44069</v>
      </c>
      <c r="B178" s="670">
        <v>10550</v>
      </c>
      <c r="C178" s="515">
        <f t="shared" si="60"/>
        <v>370188</v>
      </c>
      <c r="D178" s="670">
        <f>98+178</f>
        <v>276</v>
      </c>
      <c r="E178" s="515">
        <f t="shared" si="66"/>
        <v>7839</v>
      </c>
      <c r="F178" s="515">
        <f t="shared" si="42"/>
        <v>5657</v>
      </c>
      <c r="G178" s="515">
        <v>274458</v>
      </c>
      <c r="H178" s="515">
        <v>2022</v>
      </c>
      <c r="I178" s="515">
        <v>24237</v>
      </c>
      <c r="J178" s="511">
        <f t="shared" si="62"/>
        <v>1129515</v>
      </c>
      <c r="K178" s="511"/>
      <c r="L178" s="541">
        <f t="shared" si="40"/>
        <v>2.1175726927939318E-2</v>
      </c>
      <c r="M178" s="522">
        <f t="shared" si="55"/>
        <v>649593.21</v>
      </c>
      <c r="N178" s="511">
        <v>650895</v>
      </c>
      <c r="O178" s="520">
        <v>1187</v>
      </c>
      <c r="P178" s="511">
        <v>88811</v>
      </c>
      <c r="Q178" s="511">
        <v>226073</v>
      </c>
      <c r="R178" s="511">
        <f t="shared" si="63"/>
        <v>54117</v>
      </c>
      <c r="S178" s="510">
        <f t="shared" si="41"/>
        <v>87891</v>
      </c>
      <c r="T178" s="518">
        <f t="shared" si="50"/>
        <v>2.300576850872103E-2</v>
      </c>
      <c r="U178" s="519">
        <f t="shared" si="64"/>
        <v>2.1175726927939318E-2</v>
      </c>
      <c r="V178" s="512">
        <f>SUM(B165:B178)/POBLA!$B$25*100000</f>
        <v>223.91723114424386</v>
      </c>
      <c r="W178" s="512">
        <f>B178/POBLA!$B$25*100000</f>
        <v>23.24804444832181</v>
      </c>
      <c r="X178" s="513">
        <f t="shared" si="48"/>
        <v>1.1343633481435174</v>
      </c>
      <c r="Y178" s="519">
        <f t="shared" si="65"/>
        <v>2.300576850872103E-2</v>
      </c>
      <c r="Z178" s="520">
        <f t="shared" si="39"/>
        <v>0.40565086483475415</v>
      </c>
      <c r="AA178" s="517">
        <f t="shared" si="44"/>
        <v>8218.4285714285706</v>
      </c>
      <c r="AB178" s="517">
        <f t="shared" si="45"/>
        <v>215.57142857142858</v>
      </c>
      <c r="AC178" s="517">
        <f t="shared" si="61"/>
        <v>132.82260488995317</v>
      </c>
      <c r="AD178" s="517">
        <f t="shared" si="57"/>
        <v>-82.748823681475415</v>
      </c>
      <c r="AE178" s="545">
        <f t="shared" si="58"/>
        <v>7258.1428571428569</v>
      </c>
      <c r="AF178" s="520">
        <f t="shared" si="56"/>
        <v>1.3049563343540884</v>
      </c>
      <c r="AG178" s="200">
        <f t="shared" si="54"/>
        <v>0.20932056468257243</v>
      </c>
      <c r="AH178" s="4"/>
      <c r="AI178" s="200">
        <f t="shared" si="46"/>
        <v>1.3521505376344087</v>
      </c>
      <c r="AJ178" s="488">
        <f>MAX($B$2:B178)</f>
        <v>10550</v>
      </c>
      <c r="AK178" s="179">
        <f t="shared" si="43"/>
        <v>3.4005633802816904E-2</v>
      </c>
      <c r="AL178" s="179"/>
      <c r="AM178" s="179"/>
      <c r="AN178" s="179"/>
      <c r="AP178" s="355">
        <f t="shared" si="52"/>
        <v>1.1343633481435174</v>
      </c>
      <c r="AT178" s="179">
        <f t="shared" si="53"/>
        <v>2.3583137711321089E-2</v>
      </c>
    </row>
    <row r="179" spans="1:46" hidden="1" x14ac:dyDescent="0.25">
      <c r="A179" s="259">
        <v>44070</v>
      </c>
      <c r="B179" s="670">
        <v>10104</v>
      </c>
      <c r="C179" s="515">
        <f t="shared" si="60"/>
        <v>380292</v>
      </c>
      <c r="D179" s="670">
        <f>105+106</f>
        <v>211</v>
      </c>
      <c r="E179" s="515">
        <f t="shared" si="66"/>
        <v>8050</v>
      </c>
      <c r="F179" s="515">
        <f t="shared" si="42"/>
        <v>0</v>
      </c>
      <c r="G179" s="515">
        <v>274458</v>
      </c>
      <c r="H179" s="515">
        <v>2075</v>
      </c>
      <c r="I179" s="515">
        <v>24067</v>
      </c>
      <c r="J179" s="511">
        <f t="shared" si="62"/>
        <v>1153582</v>
      </c>
      <c r="K179" s="511"/>
      <c r="L179" s="541">
        <f t="shared" si="40"/>
        <v>2.1167944632019604E-2</v>
      </c>
      <c r="M179" s="522">
        <f t="shared" ref="M179:M202" si="67">0.9984*N179</f>
        <v>662167.83360000001</v>
      </c>
      <c r="N179" s="511">
        <v>663229</v>
      </c>
      <c r="O179" s="520">
        <v>1187</v>
      </c>
      <c r="P179" s="511">
        <v>90269</v>
      </c>
      <c r="Q179" s="511">
        <v>232379</v>
      </c>
      <c r="R179" s="511">
        <f t="shared" si="63"/>
        <v>56457</v>
      </c>
      <c r="S179" s="510">
        <f t="shared" si="41"/>
        <v>97784</v>
      </c>
      <c r="T179" s="518">
        <f t="shared" si="50"/>
        <v>2.1220240530148083E-2</v>
      </c>
      <c r="U179" s="519">
        <f t="shared" si="64"/>
        <v>2.1167944632019604E-2</v>
      </c>
      <c r="V179" s="512">
        <f>SUM(B166:B179)/POBLA!$B$25*100000</f>
        <v>229.65982866389564</v>
      </c>
      <c r="W179" s="512">
        <f>B179/POBLA!$B$25*100000</f>
        <v>22.265236123776642</v>
      </c>
      <c r="X179" s="513">
        <f t="shared" si="48"/>
        <v>1.1490755135117257</v>
      </c>
      <c r="Y179" s="519">
        <f t="shared" si="65"/>
        <v>2.1220240530148083E-2</v>
      </c>
      <c r="Z179" s="520">
        <f t="shared" si="39"/>
        <v>0.41200907130126013</v>
      </c>
      <c r="AA179" s="517">
        <f t="shared" si="44"/>
        <v>8486.8571428571431</v>
      </c>
      <c r="AB179" s="517">
        <f t="shared" si="45"/>
        <v>219.14285714285714</v>
      </c>
      <c r="AC179" s="517">
        <f t="shared" si="61"/>
        <v>132.86614206231914</v>
      </c>
      <c r="AD179" s="517">
        <f t="shared" si="57"/>
        <v>-86.276715080537997</v>
      </c>
      <c r="AE179" s="545">
        <f t="shared" si="58"/>
        <v>7444.2857142857147</v>
      </c>
      <c r="AF179" s="520">
        <f t="shared" si="56"/>
        <v>1.3257163259841116</v>
      </c>
      <c r="AG179" s="200">
        <f t="shared" si="54"/>
        <v>0.31144550843593244</v>
      </c>
      <c r="AH179" s="4"/>
      <c r="AI179" s="200">
        <f t="shared" si="46"/>
        <v>1.3304423243712054</v>
      </c>
      <c r="AJ179" s="488">
        <f>MAX($B$2:B179)</f>
        <v>10550</v>
      </c>
      <c r="AK179" s="179">
        <f t="shared" si="43"/>
        <v>3.3887072545727662E-2</v>
      </c>
      <c r="AL179" s="179"/>
      <c r="AM179" s="179"/>
      <c r="AN179" s="179"/>
      <c r="AP179" s="355">
        <f t="shared" si="52"/>
        <v>1.1490755135117257</v>
      </c>
      <c r="AT179" s="179">
        <f t="shared" si="53"/>
        <v>2.3548229654435891E-2</v>
      </c>
    </row>
    <row r="180" spans="1:46" hidden="1" x14ac:dyDescent="0.25">
      <c r="A180" s="259">
        <v>44071</v>
      </c>
      <c r="B180" s="684">
        <v>11717</v>
      </c>
      <c r="C180" s="515">
        <f t="shared" si="60"/>
        <v>392009</v>
      </c>
      <c r="D180" s="670">
        <f>80+142</f>
        <v>222</v>
      </c>
      <c r="E180" s="515">
        <f t="shared" si="66"/>
        <v>8272</v>
      </c>
      <c r="F180" s="515">
        <f t="shared" si="42"/>
        <v>12762</v>
      </c>
      <c r="G180" s="515">
        <v>287220</v>
      </c>
      <c r="H180" s="515">
        <v>2114</v>
      </c>
      <c r="I180" s="515">
        <v>25481</v>
      </c>
      <c r="J180" s="511">
        <f t="shared" si="62"/>
        <v>1179063</v>
      </c>
      <c r="K180" s="511"/>
      <c r="L180" s="541">
        <f t="shared" si="40"/>
        <v>2.1101556341818681E-2</v>
      </c>
      <c r="M180" s="522">
        <f t="shared" si="67"/>
        <v>675065.16479999991</v>
      </c>
      <c r="N180" s="511">
        <v>676147</v>
      </c>
      <c r="O180" s="520">
        <v>1190</v>
      </c>
      <c r="P180" s="511">
        <v>92043</v>
      </c>
      <c r="Q180" s="511">
        <v>239019</v>
      </c>
      <c r="R180" s="511">
        <f t="shared" si="63"/>
        <v>59757</v>
      </c>
      <c r="S180" s="510">
        <f t="shared" si="41"/>
        <v>96517</v>
      </c>
      <c r="T180" s="518">
        <f t="shared" si="50"/>
        <v>2.1902877213340655E-2</v>
      </c>
      <c r="U180" s="519">
        <f t="shared" si="64"/>
        <v>2.1101556341818681E-2</v>
      </c>
      <c r="V180" s="512">
        <f>SUM(B167:B180)/POBLA!$B$25*100000</f>
        <v>241.45352855843765</v>
      </c>
      <c r="W180" s="512">
        <f>B180/POBLA!$B$25*100000</f>
        <v>25.819652777344711</v>
      </c>
      <c r="X180" s="513">
        <f t="shared" si="48"/>
        <v>1.2023042738794096</v>
      </c>
      <c r="Y180" s="519">
        <f t="shared" si="65"/>
        <v>2.1902877213340655E-2</v>
      </c>
      <c r="Z180" s="520">
        <f t="shared" si="39"/>
        <v>0.42361410118406889</v>
      </c>
      <c r="AA180" s="517">
        <f t="shared" si="44"/>
        <v>8995.1428571428569</v>
      </c>
      <c r="AB180" s="517">
        <f t="shared" si="45"/>
        <v>220.28571428571428</v>
      </c>
      <c r="AC180" s="517">
        <f t="shared" si="61"/>
        <v>130.74434298622347</v>
      </c>
      <c r="AD180" s="517">
        <f t="shared" si="57"/>
        <v>-89.541371299490805</v>
      </c>
      <c r="AE180" s="545">
        <f t="shared" si="58"/>
        <v>7826.5714285714284</v>
      </c>
      <c r="AF180" s="520">
        <f t="shared" si="56"/>
        <v>1.3510277646654936</v>
      </c>
      <c r="AG180" s="200">
        <f t="shared" si="54"/>
        <v>0.26113259812888723</v>
      </c>
      <c r="AH180" s="4"/>
      <c r="AI180" s="200">
        <f t="shared" si="46"/>
        <v>1.2828618968386023</v>
      </c>
      <c r="AJ180" s="488">
        <f>MAX($B$2:B180)</f>
        <v>11717</v>
      </c>
      <c r="AK180" s="179">
        <f t="shared" si="43"/>
        <v>3.4589502018842533E-2</v>
      </c>
      <c r="AL180" s="179"/>
      <c r="AM180" s="179"/>
      <c r="AN180" s="179"/>
      <c r="AP180" s="355">
        <f t="shared" si="52"/>
        <v>1.2023042738794096</v>
      </c>
      <c r="AT180" s="179">
        <f t="shared" si="53"/>
        <v>2.340232755747302E-2</v>
      </c>
    </row>
    <row r="181" spans="1:46" hidden="1" x14ac:dyDescent="0.25">
      <c r="A181" s="259">
        <v>44072</v>
      </c>
      <c r="B181" s="670">
        <v>9230</v>
      </c>
      <c r="C181" s="515">
        <f t="shared" si="60"/>
        <v>401239</v>
      </c>
      <c r="D181" s="670">
        <f>34+47</f>
        <v>81</v>
      </c>
      <c r="E181" s="515">
        <f t="shared" si="66"/>
        <v>8353</v>
      </c>
      <c r="F181" s="515">
        <f t="shared" si="42"/>
        <v>6787</v>
      </c>
      <c r="G181" s="515">
        <v>294007</v>
      </c>
      <c r="H181" s="515">
        <v>2192</v>
      </c>
      <c r="I181" s="515">
        <v>19910</v>
      </c>
      <c r="J181" s="511">
        <f t="shared" si="62"/>
        <v>1198973</v>
      </c>
      <c r="K181" s="511"/>
      <c r="L181" s="541">
        <f t="shared" si="40"/>
        <v>2.0818016194836492E-2</v>
      </c>
      <c r="M181" s="522">
        <f t="shared" si="67"/>
        <v>684751.64159999997</v>
      </c>
      <c r="N181" s="522">
        <v>685849</v>
      </c>
      <c r="O181" s="520">
        <v>1191</v>
      </c>
      <c r="P181" s="511">
        <v>93278</v>
      </c>
      <c r="Q181" s="511">
        <v>244308</v>
      </c>
      <c r="R181" s="511">
        <f t="shared" si="63"/>
        <v>62462</v>
      </c>
      <c r="S181" s="510">
        <f t="shared" si="41"/>
        <v>98879</v>
      </c>
      <c r="T181" s="518">
        <f t="shared" si="50"/>
        <v>2.2168508985730032E-2</v>
      </c>
      <c r="U181" s="519">
        <f t="shared" si="64"/>
        <v>2.0818016194836492E-2</v>
      </c>
      <c r="V181" s="512">
        <f>SUM(B168:B181)/POBLA!$B$25*100000</f>
        <v>247.11018543984451</v>
      </c>
      <c r="W181" s="512">
        <f>B181/POBLA!$B$25*100000</f>
        <v>20.339284384645527</v>
      </c>
      <c r="X181" s="513">
        <f t="shared" si="48"/>
        <v>1.2115669263264799</v>
      </c>
      <c r="Y181" s="519">
        <f t="shared" si="65"/>
        <v>2.2168508985730032E-2</v>
      </c>
      <c r="Z181" s="520">
        <f t="shared" si="39"/>
        <v>0.43040350537361483</v>
      </c>
      <c r="AA181" s="517">
        <f t="shared" si="44"/>
        <v>9205.2857142857138</v>
      </c>
      <c r="AB181" s="517">
        <f t="shared" si="45"/>
        <v>215</v>
      </c>
      <c r="AC181" s="517">
        <f t="shared" si="61"/>
        <v>131.72312743983792</v>
      </c>
      <c r="AD181" s="517">
        <f t="shared" si="57"/>
        <v>-83.276872560162076</v>
      </c>
      <c r="AE181" s="545">
        <f t="shared" si="58"/>
        <v>8009.9285714285716</v>
      </c>
      <c r="AF181" s="520">
        <f t="shared" si="56"/>
        <v>1.3508238648274704</v>
      </c>
      <c r="AG181" s="200">
        <f t="shared" si="54"/>
        <v>0.25873921124322119</v>
      </c>
      <c r="AH181" s="4"/>
      <c r="AI181" s="200">
        <f t="shared" si="46"/>
        <v>1.2427745664739884</v>
      </c>
      <c r="AJ181" s="488">
        <f>MAX($B$2:B181)</f>
        <v>11717</v>
      </c>
      <c r="AK181" s="179">
        <f t="shared" si="43"/>
        <v>3.1936339522546417E-2</v>
      </c>
      <c r="AL181" s="179"/>
      <c r="AM181" s="179"/>
      <c r="AN181" s="179"/>
      <c r="AP181" s="355">
        <f t="shared" si="52"/>
        <v>1.2115669263264799</v>
      </c>
      <c r="AT181" s="179">
        <f t="shared" si="53"/>
        <v>2.2754857179917171E-2</v>
      </c>
    </row>
    <row r="182" spans="1:46" hidden="1" x14ac:dyDescent="0.25">
      <c r="A182" s="259">
        <v>44073</v>
      </c>
      <c r="B182" s="670">
        <v>7187</v>
      </c>
      <c r="C182" s="515">
        <f t="shared" si="60"/>
        <v>408426</v>
      </c>
      <c r="D182" s="670">
        <f>48+55</f>
        <v>103</v>
      </c>
      <c r="E182" s="515">
        <f t="shared" si="66"/>
        <v>8456</v>
      </c>
      <c r="F182" s="515">
        <f t="shared" si="42"/>
        <v>6188</v>
      </c>
      <c r="G182" s="515">
        <v>300195</v>
      </c>
      <c r="H182" s="515">
        <v>2232</v>
      </c>
      <c r="I182" s="515">
        <v>15637</v>
      </c>
      <c r="J182" s="511">
        <f t="shared" si="62"/>
        <v>1214610</v>
      </c>
      <c r="K182" s="511"/>
      <c r="L182" s="541">
        <f t="shared" si="40"/>
        <v>2.0703872917003326E-2</v>
      </c>
      <c r="M182" s="522">
        <f t="shared" si="67"/>
        <v>692041.9584</v>
      </c>
      <c r="N182" s="511">
        <v>693151</v>
      </c>
      <c r="O182" s="520">
        <v>1191</v>
      </c>
      <c r="P182" s="511">
        <v>94301</v>
      </c>
      <c r="Q182" s="511">
        <v>247931</v>
      </c>
      <c r="R182" s="511">
        <f t="shared" si="63"/>
        <v>65003</v>
      </c>
      <c r="S182" s="510">
        <f t="shared" si="41"/>
        <v>99775</v>
      </c>
      <c r="T182" s="518">
        <f t="shared" si="50"/>
        <v>2.2370333249812076E-2</v>
      </c>
      <c r="U182" s="519">
        <f t="shared" si="64"/>
        <v>2.0703872917003326E-2</v>
      </c>
      <c r="V182" s="512">
        <f>SUM(B169:B182)/POBLA!$B$25*100000</f>
        <v>250.89598073484137</v>
      </c>
      <c r="W182" s="512">
        <f>B182/POBLA!$B$25*100000</f>
        <v>15.837317104273826</v>
      </c>
      <c r="X182" s="513">
        <f t="shared" si="48"/>
        <v>1.2288936859147328</v>
      </c>
      <c r="Y182" s="519">
        <f t="shared" si="65"/>
        <v>2.2370333249812076E-2</v>
      </c>
      <c r="Z182" s="520">
        <f t="shared" si="39"/>
        <v>0.4359196990028153</v>
      </c>
      <c r="AA182" s="517">
        <f t="shared" si="44"/>
        <v>9467.4285714285706</v>
      </c>
      <c r="AB182" s="517">
        <f t="shared" si="45"/>
        <v>210.28571428571428</v>
      </c>
      <c r="AC182" s="517">
        <f t="shared" si="61"/>
        <v>132.95124644577575</v>
      </c>
      <c r="AD182" s="517">
        <f t="shared" si="57"/>
        <v>-77.334467839938526</v>
      </c>
      <c r="AE182" s="545">
        <f t="shared" si="58"/>
        <v>8132.6428571428569</v>
      </c>
      <c r="AF182" s="520">
        <f t="shared" si="56"/>
        <v>1.3927077860670378</v>
      </c>
      <c r="AG182" s="200">
        <f t="shared" si="54"/>
        <v>0.27294880136767841</v>
      </c>
      <c r="AH182" s="4"/>
      <c r="AI182" s="200">
        <f t="shared" si="46"/>
        <v>1.1491022638563622</v>
      </c>
      <c r="AJ182" s="488">
        <f>MAX($B$2:B182)</f>
        <v>11717</v>
      </c>
      <c r="AK182" s="179">
        <f t="shared" si="43"/>
        <v>3.1070584262073622E-2</v>
      </c>
      <c r="AL182" s="179"/>
      <c r="AM182" s="179"/>
      <c r="AN182" s="179"/>
      <c r="AP182" s="355">
        <f t="shared" si="52"/>
        <v>1.2288936859147328</v>
      </c>
      <c r="AT182" s="179">
        <f t="shared" si="53"/>
        <v>2.2627622925148763E-2</v>
      </c>
    </row>
    <row r="183" spans="1:46" hidden="1" x14ac:dyDescent="0.25">
      <c r="A183" s="525">
        <v>44074</v>
      </c>
      <c r="B183" s="670">
        <v>9309</v>
      </c>
      <c r="C183" s="515">
        <f t="shared" si="60"/>
        <v>417735</v>
      </c>
      <c r="D183" s="670">
        <f>41+162</f>
        <v>203</v>
      </c>
      <c r="E183" s="515">
        <f t="shared" si="66"/>
        <v>8659</v>
      </c>
      <c r="F183" s="515">
        <f t="shared" si="42"/>
        <v>8181</v>
      </c>
      <c r="G183" s="515">
        <v>308376</v>
      </c>
      <c r="H183" s="515">
        <v>2273</v>
      </c>
      <c r="I183" s="515">
        <v>19845</v>
      </c>
      <c r="J183" s="511">
        <f t="shared" si="62"/>
        <v>1234455</v>
      </c>
      <c r="K183" s="511"/>
      <c r="L183" s="541">
        <f t="shared" si="40"/>
        <v>2.0728452248435014E-2</v>
      </c>
      <c r="M183" s="522">
        <f t="shared" si="67"/>
        <v>702178.71360000002</v>
      </c>
      <c r="N183" s="511">
        <v>703304</v>
      </c>
      <c r="O183" s="520">
        <v>1197</v>
      </c>
      <c r="P183" s="511">
        <v>95857</v>
      </c>
      <c r="Q183" s="511">
        <v>255688</v>
      </c>
      <c r="R183" s="511">
        <f t="shared" si="63"/>
        <v>64993</v>
      </c>
      <c r="S183" s="510">
        <f t="shared" si="41"/>
        <v>100700</v>
      </c>
      <c r="T183" s="518">
        <f t="shared" si="50"/>
        <v>2.2571996027805363E-2</v>
      </c>
      <c r="U183" s="519">
        <f t="shared" si="64"/>
        <v>2.0728452248435014E-2</v>
      </c>
      <c r="V183" s="512">
        <f>SUM(B170:B183)/POBLA!$B$25*100000</f>
        <v>261.367516964076</v>
      </c>
      <c r="W183" s="512">
        <f>B183/POBLA!$B$25*100000</f>
        <v>20.513369267244336</v>
      </c>
      <c r="X183" s="513">
        <f t="shared" si="48"/>
        <v>1.2838833984607558</v>
      </c>
      <c r="Y183" s="519">
        <f t="shared" si="65"/>
        <v>2.2571996027805363E-2</v>
      </c>
      <c r="Z183" s="520">
        <f t="shared" si="39"/>
        <v>0.44385442042309148</v>
      </c>
      <c r="AA183" s="517">
        <f t="shared" si="44"/>
        <v>9552.5714285714294</v>
      </c>
      <c r="AB183" s="517">
        <f t="shared" si="45"/>
        <v>184.85714285714286</v>
      </c>
      <c r="AC183" s="517">
        <f t="shared" si="61"/>
        <v>125.6661129901303</v>
      </c>
      <c r="AD183" s="517">
        <f t="shared" si="57"/>
        <v>-59.19102986701256</v>
      </c>
      <c r="AE183" s="545">
        <f t="shared" si="58"/>
        <v>8472.0714285714294</v>
      </c>
      <c r="AF183" s="520">
        <f t="shared" si="56"/>
        <v>1.2923600239655206</v>
      </c>
      <c r="AG183" s="200">
        <f t="shared" si="54"/>
        <v>0.25404732254047313</v>
      </c>
      <c r="AH183" s="4"/>
      <c r="AI183" s="200">
        <f t="shared" si="46"/>
        <v>0.83430045132172792</v>
      </c>
      <c r="AJ183" s="488">
        <f>MAX($B$2:B183)</f>
        <v>11717</v>
      </c>
      <c r="AK183" s="179">
        <f t="shared" si="43"/>
        <v>2.7019126367660573E-2</v>
      </c>
      <c r="AL183" s="179"/>
      <c r="AM183" s="179"/>
      <c r="AN183" s="179"/>
      <c r="AP183" s="355">
        <f t="shared" si="52"/>
        <v>1.2838833984607558</v>
      </c>
      <c r="AT183" s="179">
        <f t="shared" si="53"/>
        <v>2.2889616260985932E-2</v>
      </c>
    </row>
    <row r="184" spans="1:46" hidden="1" x14ac:dyDescent="0.25">
      <c r="A184" s="259">
        <v>44075</v>
      </c>
      <c r="B184" s="670">
        <v>10504</v>
      </c>
      <c r="C184" s="515">
        <f t="shared" si="60"/>
        <v>428239</v>
      </c>
      <c r="D184" s="670">
        <f>70+189</f>
        <v>259</v>
      </c>
      <c r="E184" s="515">
        <f t="shared" si="66"/>
        <v>8918</v>
      </c>
      <c r="F184" s="515">
        <f t="shared" si="42"/>
        <v>7154</v>
      </c>
      <c r="G184" s="515">
        <v>315530</v>
      </c>
      <c r="H184" s="515">
        <v>2314</v>
      </c>
      <c r="I184" s="515">
        <v>23115</v>
      </c>
      <c r="J184" s="511">
        <f t="shared" si="62"/>
        <v>1257570</v>
      </c>
      <c r="K184" s="511"/>
      <c r="L184" s="541">
        <f t="shared" si="40"/>
        <v>2.0824819785213396E-2</v>
      </c>
      <c r="M184" s="522">
        <f t="shared" si="67"/>
        <v>716416.89599999995</v>
      </c>
      <c r="N184" s="511">
        <v>717565</v>
      </c>
      <c r="O184" s="520">
        <v>1200</v>
      </c>
      <c r="P184" s="511">
        <v>97726</v>
      </c>
      <c r="Q184" s="511">
        <v>263555</v>
      </c>
      <c r="R184" s="511">
        <f t="shared" si="63"/>
        <v>65758</v>
      </c>
      <c r="S184" s="510">
        <f t="shared" si="41"/>
        <v>103791</v>
      </c>
      <c r="T184" s="518">
        <f t="shared" si="50"/>
        <v>2.2294803981077357E-2</v>
      </c>
      <c r="U184" s="519">
        <f t="shared" si="64"/>
        <v>2.0824819785213396E-2</v>
      </c>
      <c r="V184" s="512">
        <f>SUM(B171:B184)/POBLA!$B$25*100000</f>
        <v>269.44152974688654</v>
      </c>
      <c r="W184" s="512">
        <f>B184/POBLA!$B$25*100000</f>
        <v>23.146678567314911</v>
      </c>
      <c r="X184" s="513">
        <f t="shared" si="48"/>
        <v>1.3228570501238761</v>
      </c>
      <c r="Y184" s="519">
        <f t="shared" si="65"/>
        <v>2.2294803981077357E-2</v>
      </c>
      <c r="Z184" s="520">
        <f t="shared" si="39"/>
        <v>0.45045701678354738</v>
      </c>
      <c r="AA184" s="517">
        <f t="shared" si="44"/>
        <v>9800.1428571428569</v>
      </c>
      <c r="AB184" s="517">
        <f t="shared" si="45"/>
        <v>193.57142857142858</v>
      </c>
      <c r="AC184" s="517">
        <f t="shared" si="61"/>
        <v>127.20721770206026</v>
      </c>
      <c r="AD184" s="517">
        <f t="shared" si="57"/>
        <v>-66.364210869368321</v>
      </c>
      <c r="AE184" s="545">
        <f t="shared" si="58"/>
        <v>8733.7857142857138</v>
      </c>
      <c r="AF184" s="520">
        <f t="shared" si="56"/>
        <v>1.2781524817409449</v>
      </c>
      <c r="AG184" s="200">
        <f t="shared" si="54"/>
        <v>0.24637942214856978</v>
      </c>
      <c r="AH184" s="4"/>
      <c r="AI184" s="200">
        <f t="shared" si="46"/>
        <v>0.89379947229551449</v>
      </c>
      <c r="AJ184" s="488">
        <f>MAX($B$2:B184)</f>
        <v>11717</v>
      </c>
      <c r="AK184" s="179">
        <f t="shared" si="43"/>
        <v>2.830168974664244E-2</v>
      </c>
      <c r="AL184" s="179"/>
      <c r="AM184" s="179"/>
      <c r="AN184" s="179"/>
      <c r="AP184" s="355">
        <f t="shared" si="52"/>
        <v>1.3228570501238761</v>
      </c>
      <c r="AT184" s="179">
        <f t="shared" si="53"/>
        <v>2.3290031813361613E-2</v>
      </c>
    </row>
    <row r="185" spans="1:46" hidden="1" x14ac:dyDescent="0.25">
      <c r="A185" s="259">
        <v>44076</v>
      </c>
      <c r="B185" s="670">
        <v>10933</v>
      </c>
      <c r="C185" s="515">
        <f t="shared" si="60"/>
        <v>439172</v>
      </c>
      <c r="D185" s="670">
        <f>52+146</f>
        <v>198</v>
      </c>
      <c r="E185" s="515">
        <f t="shared" si="66"/>
        <v>9116</v>
      </c>
      <c r="F185" s="515">
        <f t="shared" si="42"/>
        <v>6931</v>
      </c>
      <c r="G185" s="515">
        <v>322461</v>
      </c>
      <c r="H185" s="515">
        <v>2359</v>
      </c>
      <c r="I185" s="515">
        <v>23821</v>
      </c>
      <c r="J185" s="511">
        <f t="shared" si="62"/>
        <v>1281391</v>
      </c>
      <c r="K185" s="511"/>
      <c r="L185" s="541">
        <f t="shared" si="40"/>
        <v>2.075724317579445E-2</v>
      </c>
      <c r="M185" s="522">
        <f t="shared" si="67"/>
        <v>727965.38879999996</v>
      </c>
      <c r="N185" s="511">
        <v>729132</v>
      </c>
      <c r="O185" s="520">
        <v>1200</v>
      </c>
      <c r="P185" s="511">
        <v>99630</v>
      </c>
      <c r="Q185" s="511">
        <v>272419</v>
      </c>
      <c r="R185" s="511">
        <f t="shared" si="63"/>
        <v>65923</v>
      </c>
      <c r="S185" s="510">
        <f t="shared" si="41"/>
        <v>107595</v>
      </c>
      <c r="T185" s="518">
        <f t="shared" si="50"/>
        <v>2.1924810632464334E-2</v>
      </c>
      <c r="U185" s="519">
        <f t="shared" si="64"/>
        <v>2.075724317579445E-2</v>
      </c>
      <c r="V185" s="512">
        <f>SUM(B172:B185)/POBLA!$B$25*100000</f>
        <v>278.78481964839216</v>
      </c>
      <c r="W185" s="512">
        <f>B185/POBLA!$B$25*100000</f>
        <v>24.092025588009701</v>
      </c>
      <c r="X185" s="513">
        <f t="shared" si="48"/>
        <v>1.3754851756417366</v>
      </c>
      <c r="Y185" s="519">
        <f t="shared" si="65"/>
        <v>2.1924810632464334E-2</v>
      </c>
      <c r="Z185" s="520">
        <f t="shared" si="39"/>
        <v>0.45421264715952486</v>
      </c>
      <c r="AA185" s="517">
        <f t="shared" si="44"/>
        <v>9854.8571428571431</v>
      </c>
      <c r="AB185" s="517">
        <f t="shared" si="45"/>
        <v>182.42857142857142</v>
      </c>
      <c r="AC185" s="517">
        <f t="shared" si="61"/>
        <v>127.50451998594544</v>
      </c>
      <c r="AD185" s="517">
        <f t="shared" si="57"/>
        <v>-54.924051442625981</v>
      </c>
      <c r="AE185" s="545">
        <f t="shared" si="58"/>
        <v>9036.6428571428569</v>
      </c>
      <c r="AF185" s="520">
        <f t="shared" si="56"/>
        <v>1.1991169670948567</v>
      </c>
      <c r="AG185" s="200">
        <f t="shared" si="54"/>
        <v>0.22418677680308563</v>
      </c>
      <c r="AH185" s="4"/>
      <c r="AI185" s="200">
        <f t="shared" si="46"/>
        <v>0.84625579854208077</v>
      </c>
      <c r="AJ185" s="488">
        <f>MAX($B$2:B185)</f>
        <v>11717</v>
      </c>
      <c r="AK185" s="179">
        <f t="shared" si="43"/>
        <v>2.7309666381522667E-2</v>
      </c>
      <c r="AL185" s="179"/>
      <c r="AM185" s="179"/>
      <c r="AN185" s="179"/>
      <c r="AP185" s="355">
        <f t="shared" si="52"/>
        <v>1.3754851756417363</v>
      </c>
      <c r="AT185" s="179">
        <f t="shared" si="53"/>
        <v>2.2824174263968783E-2</v>
      </c>
    </row>
    <row r="186" spans="1:46" hidden="1" x14ac:dyDescent="0.25">
      <c r="A186" s="259">
        <v>44077</v>
      </c>
      <c r="B186" s="684">
        <v>12026</v>
      </c>
      <c r="C186" s="515">
        <f t="shared" si="60"/>
        <v>451198</v>
      </c>
      <c r="D186" s="670">
        <f>38+206</f>
        <v>244</v>
      </c>
      <c r="E186" s="515">
        <f t="shared" si="66"/>
        <v>9360</v>
      </c>
      <c r="F186" s="515">
        <f t="shared" si="42"/>
        <v>9160</v>
      </c>
      <c r="G186" s="515">
        <v>331621</v>
      </c>
      <c r="H186" s="515">
        <v>2394</v>
      </c>
      <c r="I186" s="515">
        <v>25351</v>
      </c>
      <c r="J186" s="511">
        <f t="shared" si="62"/>
        <v>1306742</v>
      </c>
      <c r="K186" s="511"/>
      <c r="L186" s="541">
        <f t="shared" si="40"/>
        <v>2.0744772804843992E-2</v>
      </c>
      <c r="M186" s="522">
        <f t="shared" si="67"/>
        <v>739980.13439999998</v>
      </c>
      <c r="N186" s="511">
        <v>741166</v>
      </c>
      <c r="O186" s="520">
        <v>1202</v>
      </c>
      <c r="P186" s="511">
        <v>101394</v>
      </c>
      <c r="Q186" s="511">
        <v>280927</v>
      </c>
      <c r="R186" s="511">
        <f t="shared" si="63"/>
        <v>67675</v>
      </c>
      <c r="S186" s="510">
        <f t="shared" si="41"/>
        <v>110217</v>
      </c>
      <c r="T186" s="518">
        <f t="shared" si="50"/>
        <v>2.1720787174392336E-2</v>
      </c>
      <c r="U186" s="519">
        <f t="shared" si="64"/>
        <v>2.0744772804843992E-2</v>
      </c>
      <c r="V186" s="512">
        <f>SUM(B173:B186)/POBLA!$B$25*100000</f>
        <v>287.16072646811455</v>
      </c>
      <c r="W186" s="512">
        <f>B186/POBLA!$B$25*100000</f>
        <v>26.500567064978018</v>
      </c>
      <c r="X186" s="513">
        <f t="shared" si="48"/>
        <v>1.4059273484447994</v>
      </c>
      <c r="Y186" s="519">
        <f t="shared" si="65"/>
        <v>2.1720787174392336E-2</v>
      </c>
      <c r="Z186" s="520">
        <f t="shared" ref="Z186:Z249" si="68">SUM(B180:B186)/SUM(I180:I186)</f>
        <v>0.46295377383128755</v>
      </c>
      <c r="AA186" s="517">
        <f t="shared" si="44"/>
        <v>10129.428571428571</v>
      </c>
      <c r="AB186" s="517">
        <f t="shared" si="45"/>
        <v>187.14285714285714</v>
      </c>
      <c r="AC186" s="517">
        <f t="shared" si="61"/>
        <v>129.99579376258799</v>
      </c>
      <c r="AD186" s="517">
        <f t="shared" si="57"/>
        <v>-57.147063380269145</v>
      </c>
      <c r="AE186" s="545">
        <f t="shared" si="58"/>
        <v>9308.1428571428569</v>
      </c>
      <c r="AF186" s="520">
        <f t="shared" si="56"/>
        <v>1.1935429571774845</v>
      </c>
      <c r="AG186" s="200">
        <f t="shared" si="54"/>
        <v>0.12714759060787051</v>
      </c>
      <c r="AH186" s="4"/>
      <c r="AI186" s="200">
        <f t="shared" si="46"/>
        <v>0.85397653194263368</v>
      </c>
      <c r="AJ186" s="488">
        <f>MAX($B$2:B186)</f>
        <v>12026</v>
      </c>
      <c r="AK186" s="179">
        <f t="shared" si="43"/>
        <v>2.7702002579881157E-2</v>
      </c>
      <c r="AL186" s="179"/>
      <c r="AM186" s="179"/>
      <c r="AN186" s="179"/>
      <c r="AP186" s="355">
        <f t="shared" si="52"/>
        <v>1.4059273484447994</v>
      </c>
      <c r="AT186" s="179">
        <f t="shared" si="53"/>
        <v>2.264130302150524E-2</v>
      </c>
    </row>
    <row r="187" spans="1:46" hidden="1" x14ac:dyDescent="0.25">
      <c r="A187" s="259">
        <v>44078</v>
      </c>
      <c r="B187" s="670">
        <v>10684</v>
      </c>
      <c r="C187" s="515">
        <f t="shared" si="60"/>
        <v>461882</v>
      </c>
      <c r="D187" s="670">
        <f>107+155</f>
        <v>262</v>
      </c>
      <c r="E187" s="515">
        <f t="shared" si="66"/>
        <v>9622</v>
      </c>
      <c r="F187" s="515">
        <f t="shared" si="42"/>
        <v>8760</v>
      </c>
      <c r="G187" s="515">
        <v>340381</v>
      </c>
      <c r="H187" s="515">
        <v>2425</v>
      </c>
      <c r="I187" s="515">
        <v>24486</v>
      </c>
      <c r="J187" s="511">
        <f t="shared" si="62"/>
        <v>1331228</v>
      </c>
      <c r="K187" s="511"/>
      <c r="L187" s="541">
        <f t="shared" si="40"/>
        <v>2.0832160595130357E-2</v>
      </c>
      <c r="M187" s="522">
        <f t="shared" si="67"/>
        <v>752440.16639999999</v>
      </c>
      <c r="N187" s="511">
        <v>753646</v>
      </c>
      <c r="O187" s="520">
        <v>1205</v>
      </c>
      <c r="P187" s="511">
        <v>103049</v>
      </c>
      <c r="Q187" s="511">
        <v>289005</v>
      </c>
      <c r="R187" s="511">
        <f t="shared" si="63"/>
        <v>68623</v>
      </c>
      <c r="S187" s="510">
        <f t="shared" si="41"/>
        <v>111879</v>
      </c>
      <c r="T187" s="518">
        <f t="shared" si="50"/>
        <v>2.167520267431779E-2</v>
      </c>
      <c r="U187" s="519">
        <f t="shared" si="64"/>
        <v>2.0832160595130357E-2</v>
      </c>
      <c r="V187" s="512">
        <f>SUM(B174:B187)/POBLA!$B$25*100000</f>
        <v>292.72483189294985</v>
      </c>
      <c r="W187" s="512">
        <f>B187/POBLA!$B$25*100000</f>
        <v>23.543327666907132</v>
      </c>
      <c r="X187" s="513">
        <f t="shared" si="48"/>
        <v>1.4227770280401859</v>
      </c>
      <c r="Y187" s="519">
        <f t="shared" si="65"/>
        <v>2.167520267431779E-2</v>
      </c>
      <c r="Z187" s="520">
        <f t="shared" si="68"/>
        <v>0.45919232412184141</v>
      </c>
      <c r="AA187" s="517">
        <f t="shared" si="44"/>
        <v>9981.8571428571431</v>
      </c>
      <c r="AB187" s="517">
        <f t="shared" si="45"/>
        <v>192.85714285714286</v>
      </c>
      <c r="AC187" s="517">
        <f t="shared" si="61"/>
        <v>136.1777640004498</v>
      </c>
      <c r="AD187" s="517">
        <f t="shared" si="57"/>
        <v>-56.679378856693063</v>
      </c>
      <c r="AE187" s="545">
        <f t="shared" si="58"/>
        <v>9488.5</v>
      </c>
      <c r="AF187" s="520">
        <f t="shared" si="56"/>
        <v>1.1096941206365341</v>
      </c>
      <c r="AG187" s="200">
        <f t="shared" si="54"/>
        <v>0.15916367064869408</v>
      </c>
      <c r="AH187" s="4"/>
      <c r="AI187" s="200">
        <f t="shared" si="46"/>
        <v>0.8754863813229572</v>
      </c>
      <c r="AJ187" s="488">
        <f>MAX($B$2:B187)</f>
        <v>12026</v>
      </c>
      <c r="AK187" s="179">
        <f t="shared" si="43"/>
        <v>2.8084044102350741E-2</v>
      </c>
      <c r="AL187" s="179"/>
      <c r="AM187" s="179"/>
      <c r="AN187" s="179"/>
      <c r="AP187" s="355">
        <f t="shared" si="52"/>
        <v>1.4227770280401859</v>
      </c>
      <c r="AT187" s="179">
        <f t="shared" si="53"/>
        <v>2.2868988391376452E-2</v>
      </c>
    </row>
    <row r="188" spans="1:46" hidden="1" x14ac:dyDescent="0.25">
      <c r="A188" s="259">
        <v>44079</v>
      </c>
      <c r="B188" s="670">
        <v>9924</v>
      </c>
      <c r="C188" s="515">
        <f t="shared" si="60"/>
        <v>471806</v>
      </c>
      <c r="D188" s="670">
        <f>62+55</f>
        <v>117</v>
      </c>
      <c r="E188" s="515">
        <f t="shared" si="66"/>
        <v>9739</v>
      </c>
      <c r="F188" s="515">
        <f t="shared" si="42"/>
        <v>8751</v>
      </c>
      <c r="G188" s="515">
        <v>349132</v>
      </c>
      <c r="H188" s="515">
        <v>2456</v>
      </c>
      <c r="I188" s="515">
        <v>22363</v>
      </c>
      <c r="J188" s="511">
        <f t="shared" si="62"/>
        <v>1353591</v>
      </c>
      <c r="K188" s="511"/>
      <c r="L188" s="541">
        <f t="shared" si="40"/>
        <v>2.0641958771189853E-2</v>
      </c>
      <c r="M188" s="522">
        <f t="shared" si="67"/>
        <v>763591.29599999997</v>
      </c>
      <c r="N188" s="522">
        <v>764815</v>
      </c>
      <c r="O188" s="520">
        <v>1207</v>
      </c>
      <c r="P188" s="511">
        <v>104581</v>
      </c>
      <c r="Q188" s="511">
        <v>294844</v>
      </c>
      <c r="R188" s="511">
        <f t="shared" si="63"/>
        <v>71174</v>
      </c>
      <c r="S188" s="510">
        <f t="shared" si="41"/>
        <v>112935</v>
      </c>
      <c r="T188" s="518">
        <f t="shared" si="50"/>
        <v>2.1747022623633063E-2</v>
      </c>
      <c r="U188" s="519">
        <f t="shared" si="64"/>
        <v>2.0641958771189853E-2</v>
      </c>
      <c r="V188" s="512">
        <f>SUM(B175:B188)/POBLA!$B$25*100000</f>
        <v>297.49563911860076</v>
      </c>
      <c r="W188" s="512">
        <f>B188/POBLA!$B$25*100000</f>
        <v>21.868587024184421</v>
      </c>
      <c r="X188" s="513">
        <f t="shared" si="48"/>
        <v>1.4212293796254383</v>
      </c>
      <c r="Y188" s="519">
        <f t="shared" si="65"/>
        <v>2.1747022623633063E-2</v>
      </c>
      <c r="Z188" s="520">
        <f t="shared" si="68"/>
        <v>0.45639576245973951</v>
      </c>
      <c r="AA188" s="517">
        <f t="shared" si="44"/>
        <v>10081</v>
      </c>
      <c r="AB188" s="517">
        <f t="shared" si="45"/>
        <v>198</v>
      </c>
      <c r="AC188" s="517">
        <f t="shared" si="61"/>
        <v>138.55673405400546</v>
      </c>
      <c r="AD188" s="517">
        <f t="shared" si="57"/>
        <v>-59.44326594599454</v>
      </c>
      <c r="AE188" s="545">
        <f t="shared" si="58"/>
        <v>9643.1428571428569</v>
      </c>
      <c r="AF188" s="520">
        <f t="shared" si="56"/>
        <v>1.0951316790042989</v>
      </c>
      <c r="AG188" s="200">
        <f t="shared" si="54"/>
        <v>0.14215354119681622</v>
      </c>
      <c r="AH188" s="4"/>
      <c r="AI188" s="200">
        <f t="shared" si="46"/>
        <v>0.92093023255813955</v>
      </c>
      <c r="AJ188" s="488">
        <f>MAX($B$2:B188)</f>
        <v>12026</v>
      </c>
      <c r="AK188" s="179">
        <f t="shared" si="43"/>
        <v>3.0624419992045605E-2</v>
      </c>
      <c r="AL188" s="179"/>
      <c r="AM188" s="179"/>
      <c r="AN188" s="179"/>
      <c r="AP188" s="355">
        <f t="shared" si="52"/>
        <v>1.4212293796254383</v>
      </c>
      <c r="AT188" s="179">
        <f t="shared" si="53"/>
        <v>2.2527718370681127E-2</v>
      </c>
    </row>
    <row r="189" spans="1:46" hidden="1" x14ac:dyDescent="0.25">
      <c r="A189" s="259">
        <v>44080</v>
      </c>
      <c r="B189" s="670">
        <v>6986</v>
      </c>
      <c r="C189" s="515">
        <f t="shared" si="60"/>
        <v>478792</v>
      </c>
      <c r="D189" s="670">
        <f>67+51+1</f>
        <v>119</v>
      </c>
      <c r="E189" s="515">
        <f t="shared" si="66"/>
        <v>9858</v>
      </c>
      <c r="F189" s="515">
        <f t="shared" si="42"/>
        <v>8256</v>
      </c>
      <c r="G189" s="515">
        <v>357388</v>
      </c>
      <c r="H189" s="515">
        <v>2512</v>
      </c>
      <c r="I189" s="515">
        <v>15262</v>
      </c>
      <c r="J189" s="511">
        <f t="shared" si="62"/>
        <v>1368853</v>
      </c>
      <c r="K189" s="511"/>
      <c r="L189" s="541">
        <f t="shared" si="40"/>
        <v>2.0589316446390081E-2</v>
      </c>
      <c r="M189" s="522">
        <f t="shared" si="67"/>
        <v>771258.00959999999</v>
      </c>
      <c r="N189" s="522">
        <v>772494</v>
      </c>
      <c r="O189" s="520">
        <v>1210</v>
      </c>
      <c r="P189" s="511">
        <v>105702</v>
      </c>
      <c r="Q189" s="511">
        <v>299270</v>
      </c>
      <c r="R189" s="511">
        <f t="shared" si="63"/>
        <v>72610</v>
      </c>
      <c r="S189" s="510">
        <f t="shared" si="41"/>
        <v>111546</v>
      </c>
      <c r="T189" s="518">
        <f t="shared" si="50"/>
        <v>2.2519857278611513E-2</v>
      </c>
      <c r="U189" s="519">
        <f t="shared" si="64"/>
        <v>2.0589316446390081E-2</v>
      </c>
      <c r="V189" s="512">
        <f>SUM(B176:B189)/POBLA!$B$25*100000</f>
        <v>301.09633150045454</v>
      </c>
      <c r="W189" s="512">
        <f>B189/POBLA!$B$25*100000</f>
        <v>15.394392276395845</v>
      </c>
      <c r="X189" s="513">
        <f t="shared" si="48"/>
        <v>1.4284459777324761</v>
      </c>
      <c r="Y189" s="519">
        <f t="shared" si="65"/>
        <v>2.2519857278611513E-2</v>
      </c>
      <c r="Z189" s="520">
        <f t="shared" si="68"/>
        <v>0.45620222635711183</v>
      </c>
      <c r="AA189" s="517">
        <f t="shared" si="44"/>
        <v>10052.285714285714</v>
      </c>
      <c r="AB189" s="517">
        <f t="shared" si="45"/>
        <v>200.28571428571428</v>
      </c>
      <c r="AC189" s="517">
        <f t="shared" si="61"/>
        <v>138.75691731125249</v>
      </c>
      <c r="AD189" s="517">
        <f t="shared" si="57"/>
        <v>-61.528796974461784</v>
      </c>
      <c r="AE189" s="545">
        <f t="shared" si="58"/>
        <v>9759.8571428571431</v>
      </c>
      <c r="AF189" s="520">
        <f t="shared" si="56"/>
        <v>1.0617757122163207</v>
      </c>
      <c r="AG189" s="200">
        <f t="shared" si="54"/>
        <v>0.11797544475068911</v>
      </c>
      <c r="AH189" s="4"/>
      <c r="AI189" s="200">
        <f t="shared" si="46"/>
        <v>0.95244565217391308</v>
      </c>
      <c r="AJ189" s="488">
        <f>MAX($B$2:B189)</f>
        <v>12026</v>
      </c>
      <c r="AK189" s="179">
        <f t="shared" si="43"/>
        <v>3.1117523027410939E-2</v>
      </c>
      <c r="AL189" s="179"/>
      <c r="AM189" s="179"/>
      <c r="AN189" s="179"/>
      <c r="AP189" s="355">
        <f t="shared" si="52"/>
        <v>1.4284459777324761</v>
      </c>
      <c r="AT189" s="179">
        <f t="shared" si="53"/>
        <v>2.2405034654381671E-2</v>
      </c>
    </row>
    <row r="190" spans="1:46" hidden="1" x14ac:dyDescent="0.25">
      <c r="A190" s="259">
        <v>44081</v>
      </c>
      <c r="B190" s="670">
        <v>9215</v>
      </c>
      <c r="C190" s="515">
        <f t="shared" si="60"/>
        <v>488007</v>
      </c>
      <c r="D190" s="670">
        <f>53+215</f>
        <v>268</v>
      </c>
      <c r="E190" s="515">
        <f t="shared" si="66"/>
        <v>10126</v>
      </c>
      <c r="F190" s="515">
        <f t="shared" si="42"/>
        <v>9202</v>
      </c>
      <c r="G190" s="515">
        <v>366590</v>
      </c>
      <c r="H190" s="515">
        <v>2698</v>
      </c>
      <c r="I190" s="515">
        <v>20475</v>
      </c>
      <c r="J190" s="511">
        <f t="shared" si="62"/>
        <v>1389328</v>
      </c>
      <c r="K190" s="511"/>
      <c r="L190" s="541">
        <f t="shared" si="40"/>
        <v>2.074970236082679E-2</v>
      </c>
      <c r="M190" s="522">
        <f t="shared" si="67"/>
        <v>781672.32</v>
      </c>
      <c r="N190" s="511">
        <v>782925</v>
      </c>
      <c r="O190" s="520">
        <v>1217</v>
      </c>
      <c r="P190" s="511">
        <v>107504</v>
      </c>
      <c r="Q190" s="511">
        <v>307566</v>
      </c>
      <c r="R190" s="511">
        <f t="shared" si="63"/>
        <v>71720</v>
      </c>
      <c r="S190" s="510">
        <f t="shared" si="41"/>
        <v>111291</v>
      </c>
      <c r="T190" s="518">
        <f t="shared" si="50"/>
        <v>2.4242750986153416E-2</v>
      </c>
      <c r="U190" s="519">
        <f t="shared" si="64"/>
        <v>2.074970236082679E-2</v>
      </c>
      <c r="V190" s="512">
        <f>SUM(B177:B190)/POBLA!$B$25*100000</f>
        <v>302.20254176709511</v>
      </c>
      <c r="W190" s="512">
        <f>B190/POBLA!$B$25*100000</f>
        <v>20.306230293012845</v>
      </c>
      <c r="X190" s="513">
        <f t="shared" si="48"/>
        <v>1.41382900854648</v>
      </c>
      <c r="Y190" s="519">
        <f t="shared" si="65"/>
        <v>2.4242750986153416E-2</v>
      </c>
      <c r="Z190" s="520">
        <f t="shared" si="68"/>
        <v>0.45373951560310705</v>
      </c>
      <c r="AA190" s="517">
        <f t="shared" si="44"/>
        <v>10038.857142857143</v>
      </c>
      <c r="AB190" s="517">
        <f t="shared" si="45"/>
        <v>209.57142857142858</v>
      </c>
      <c r="AC190" s="517">
        <f t="shared" si="61"/>
        <v>155.15543944408728</v>
      </c>
      <c r="AD190" s="517">
        <f t="shared" si="57"/>
        <v>-54.415989127341305</v>
      </c>
      <c r="AE190" s="545">
        <f t="shared" si="58"/>
        <v>9795.7142857142862</v>
      </c>
      <c r="AF190" s="520">
        <f t="shared" si="56"/>
        <v>1.0509062630854817</v>
      </c>
      <c r="AG190" s="200">
        <f t="shared" si="54"/>
        <v>0.10517378351539231</v>
      </c>
      <c r="AH190" s="4"/>
      <c r="AI190" s="200">
        <f t="shared" si="46"/>
        <v>1.1336939721792891</v>
      </c>
      <c r="AJ190" s="488">
        <f>MAX($B$2:B190)</f>
        <v>12026</v>
      </c>
      <c r="AK190" s="179">
        <f t="shared" si="43"/>
        <v>3.327662470227969E-2</v>
      </c>
      <c r="AL190" s="179"/>
      <c r="AM190" s="179"/>
      <c r="AN190" s="179"/>
      <c r="AP190" s="355">
        <f t="shared" si="52"/>
        <v>1.41382900854648</v>
      </c>
      <c r="AT190" s="179">
        <f t="shared" si="53"/>
        <v>2.2758290142813043E-2</v>
      </c>
    </row>
    <row r="191" spans="1:46" hidden="1" x14ac:dyDescent="0.25">
      <c r="A191" s="259">
        <v>44082</v>
      </c>
      <c r="B191" s="670">
        <v>12027</v>
      </c>
      <c r="C191" s="515">
        <f t="shared" si="60"/>
        <v>500034</v>
      </c>
      <c r="D191" s="670">
        <f>50+227</f>
        <v>277</v>
      </c>
      <c r="E191" s="515">
        <f t="shared" si="66"/>
        <v>10403</v>
      </c>
      <c r="F191" s="515">
        <f t="shared" si="42"/>
        <v>15900</v>
      </c>
      <c r="G191" s="515">
        <v>382490</v>
      </c>
      <c r="H191" s="515">
        <v>2719</v>
      </c>
      <c r="I191" s="515">
        <v>25995</v>
      </c>
      <c r="J191" s="511">
        <f t="shared" si="62"/>
        <v>1415323</v>
      </c>
      <c r="K191" s="511"/>
      <c r="L191" s="541">
        <f t="shared" si="40"/>
        <v>2.0804585288200401E-2</v>
      </c>
      <c r="M191" s="522">
        <f t="shared" si="67"/>
        <v>794674.48320000002</v>
      </c>
      <c r="N191" s="511">
        <v>795948</v>
      </c>
      <c r="O191" s="520">
        <v>1221</v>
      </c>
      <c r="P191" s="511">
        <v>109701</v>
      </c>
      <c r="Q191" s="511">
        <v>316074</v>
      </c>
      <c r="R191" s="511">
        <f t="shared" si="63"/>
        <v>73038</v>
      </c>
      <c r="S191" s="510">
        <f t="shared" si="41"/>
        <v>107141</v>
      </c>
      <c r="T191" s="518">
        <f t="shared" si="50"/>
        <v>2.5377773214735722E-2</v>
      </c>
      <c r="U191" s="519">
        <f t="shared" si="64"/>
        <v>2.0804585288200401E-2</v>
      </c>
      <c r="V191" s="512">
        <f>SUM(B178:B191)/POBLA!$B$25*100000</f>
        <v>309.37748325749664</v>
      </c>
      <c r="W191" s="512">
        <f>B191/POBLA!$B$25*100000</f>
        <v>26.502770671086868</v>
      </c>
      <c r="X191" s="513">
        <f t="shared" si="48"/>
        <v>1.4220628602104795</v>
      </c>
      <c r="Y191" s="519">
        <f t="shared" si="65"/>
        <v>2.5377773214735722E-2</v>
      </c>
      <c r="Z191" s="520">
        <f t="shared" si="68"/>
        <v>0.45511020392639123</v>
      </c>
      <c r="AA191" s="517">
        <f t="shared" si="44"/>
        <v>10256.428571428571</v>
      </c>
      <c r="AB191" s="517">
        <f t="shared" si="45"/>
        <v>212.14285714285714</v>
      </c>
      <c r="AC191" s="517">
        <f t="shared" si="61"/>
        <v>161.24203306022804</v>
      </c>
      <c r="AD191" s="517">
        <f t="shared" si="57"/>
        <v>-50.9008240826291</v>
      </c>
      <c r="AE191" s="545">
        <f t="shared" si="58"/>
        <v>10028.285714285714</v>
      </c>
      <c r="AF191" s="520">
        <f t="shared" si="56"/>
        <v>1.0465590880599407</v>
      </c>
      <c r="AG191" s="200">
        <f t="shared" si="54"/>
        <v>3.2276401614783623E-2</v>
      </c>
      <c r="AH191" s="4"/>
      <c r="AI191" s="200">
        <f t="shared" si="46"/>
        <v>1.0959409594095939</v>
      </c>
      <c r="AJ191" s="488">
        <f>MAX($B$2:B191)</f>
        <v>12027</v>
      </c>
      <c r="AK191" s="179">
        <f t="shared" si="43"/>
        <v>3.3138445059359103E-2</v>
      </c>
      <c r="AL191" s="179"/>
      <c r="AM191" s="179"/>
      <c r="AN191" s="179"/>
      <c r="AP191" s="355">
        <f t="shared" si="52"/>
        <v>1.4220628602104792</v>
      </c>
      <c r="AT191" s="179">
        <f t="shared" si="53"/>
        <v>2.2864693237620054E-2</v>
      </c>
    </row>
    <row r="192" spans="1:46" hidden="1" x14ac:dyDescent="0.25">
      <c r="A192" s="259">
        <v>44083</v>
      </c>
      <c r="B192" s="670">
        <v>12259</v>
      </c>
      <c r="C192" s="515">
        <f t="shared" si="60"/>
        <v>512293</v>
      </c>
      <c r="D192" s="670">
        <f>52+202</f>
        <v>254</v>
      </c>
      <c r="E192" s="515">
        <f t="shared" si="66"/>
        <v>10657</v>
      </c>
      <c r="F192" s="515">
        <f t="shared" si="42"/>
        <v>7608</v>
      </c>
      <c r="G192" s="515">
        <v>390098</v>
      </c>
      <c r="H192" s="515">
        <v>2829</v>
      </c>
      <c r="I192" s="515">
        <v>27171</v>
      </c>
      <c r="J192" s="511">
        <f t="shared" si="62"/>
        <v>1442494</v>
      </c>
      <c r="K192" s="511"/>
      <c r="L192" s="541">
        <f t="shared" si="40"/>
        <v>2.0802548541557272E-2</v>
      </c>
      <c r="M192" s="522">
        <f t="shared" si="67"/>
        <v>807283.27679999999</v>
      </c>
      <c r="N192" s="511">
        <v>808577</v>
      </c>
      <c r="O192" s="520">
        <v>1222</v>
      </c>
      <c r="P192" s="511">
        <v>112220</v>
      </c>
      <c r="Q192" s="511">
        <v>324064</v>
      </c>
      <c r="R192" s="511">
        <f t="shared" si="63"/>
        <v>74787</v>
      </c>
      <c r="S192" s="510">
        <f t="shared" si="41"/>
        <v>111538</v>
      </c>
      <c r="T192" s="518">
        <f t="shared" si="50"/>
        <v>2.5363553228496118E-2</v>
      </c>
      <c r="U192" s="519">
        <f t="shared" si="64"/>
        <v>2.0802548541557272E-2</v>
      </c>
      <c r="V192" s="512">
        <f>SUM(B179:B192)/POBLA!$B$25*100000</f>
        <v>313.14344609751384</v>
      </c>
      <c r="W192" s="512">
        <f>B192/POBLA!$B$25*100000</f>
        <v>27.014007288339062</v>
      </c>
      <c r="X192" s="513">
        <f t="shared" si="48"/>
        <v>1.3984785561044737</v>
      </c>
      <c r="Y192" s="519">
        <f t="shared" si="65"/>
        <v>2.5363553228496118E-2</v>
      </c>
      <c r="Z192" s="520">
        <f t="shared" si="68"/>
        <v>0.45387733313470263</v>
      </c>
      <c r="AA192" s="517">
        <f t="shared" si="44"/>
        <v>10445.857142857143</v>
      </c>
      <c r="AB192" s="517">
        <f t="shared" si="45"/>
        <v>220.14285714285714</v>
      </c>
      <c r="AC192" s="517">
        <f t="shared" si="61"/>
        <v>174.03119920534584</v>
      </c>
      <c r="AD192" s="517">
        <f t="shared" si="57"/>
        <v>-46.111657937511296</v>
      </c>
      <c r="AE192" s="545">
        <f t="shared" si="58"/>
        <v>10150.357142857143</v>
      </c>
      <c r="AF192" s="520">
        <f t="shared" si="56"/>
        <v>1.0599704279253159</v>
      </c>
      <c r="AG192" s="200">
        <f t="shared" si="54"/>
        <v>3.6646684325479795E-2</v>
      </c>
      <c r="AH192" s="4"/>
      <c r="AI192" s="200">
        <f t="shared" si="46"/>
        <v>1.206734534064213</v>
      </c>
      <c r="AJ192" s="488">
        <f>MAX($B$2:B192)</f>
        <v>12259</v>
      </c>
      <c r="AK192" s="179">
        <f t="shared" si="43"/>
        <v>3.306441230742823E-2</v>
      </c>
      <c r="AL192" s="179"/>
      <c r="AM192" s="179"/>
      <c r="AN192" s="179"/>
      <c r="AP192" s="355">
        <f t="shared" si="52"/>
        <v>1.3984785561044739</v>
      </c>
      <c r="AT192" s="179">
        <f t="shared" si="53"/>
        <v>2.2803521331140563E-2</v>
      </c>
    </row>
    <row r="193" spans="1:46" hidden="1" x14ac:dyDescent="0.25">
      <c r="A193" s="259">
        <v>44084</v>
      </c>
      <c r="B193" s="670">
        <v>11905</v>
      </c>
      <c r="C193" s="515">
        <f t="shared" si="60"/>
        <v>524198</v>
      </c>
      <c r="D193" s="670">
        <f>55+195</f>
        <v>250</v>
      </c>
      <c r="E193" s="515">
        <f t="shared" si="66"/>
        <v>10907</v>
      </c>
      <c r="F193" s="515">
        <f t="shared" si="42"/>
        <v>10023</v>
      </c>
      <c r="G193" s="515">
        <v>400121</v>
      </c>
      <c r="H193" s="515">
        <v>2880</v>
      </c>
      <c r="I193" s="515">
        <v>28057</v>
      </c>
      <c r="J193" s="511">
        <f t="shared" si="62"/>
        <v>1470551</v>
      </c>
      <c r="K193" s="511"/>
      <c r="L193" s="541">
        <f t="shared" si="40"/>
        <v>2.0807023300355974E-2</v>
      </c>
      <c r="M193" s="522">
        <f t="shared" si="67"/>
        <v>821027.25119999994</v>
      </c>
      <c r="N193" s="511">
        <v>822343</v>
      </c>
      <c r="O193" s="520">
        <v>1227</v>
      </c>
      <c r="P193" s="511">
        <v>114335</v>
      </c>
      <c r="Q193" s="511">
        <v>332280</v>
      </c>
      <c r="R193" s="511">
        <f t="shared" si="63"/>
        <v>76356</v>
      </c>
      <c r="S193" s="510">
        <f t="shared" si="41"/>
        <v>113170</v>
      </c>
      <c r="T193" s="518">
        <f t="shared" si="50"/>
        <v>2.5448440399399135E-2</v>
      </c>
      <c r="U193" s="519">
        <f t="shared" si="64"/>
        <v>2.0807023300355974E-2</v>
      </c>
      <c r="V193" s="512">
        <f>SUM(B180:B193)/POBLA!$B$25*100000</f>
        <v>317.11214069954491</v>
      </c>
      <c r="W193" s="512">
        <f>B193/POBLA!$B$25*100000</f>
        <v>26.233930725807696</v>
      </c>
      <c r="X193" s="513">
        <f t="shared" si="48"/>
        <v>1.3807906351947803</v>
      </c>
      <c r="Y193" s="519">
        <f t="shared" si="65"/>
        <v>2.5448440399399135E-2</v>
      </c>
      <c r="Z193" s="520">
        <f t="shared" si="68"/>
        <v>0.44564095989841829</v>
      </c>
      <c r="AA193" s="517">
        <f t="shared" si="44"/>
        <v>10428.571428571429</v>
      </c>
      <c r="AB193" s="517">
        <f t="shared" si="45"/>
        <v>221</v>
      </c>
      <c r="AC193" s="517">
        <f t="shared" si="61"/>
        <v>179.64932209986009</v>
      </c>
      <c r="AD193" s="517">
        <f t="shared" si="57"/>
        <v>-41.350677900139914</v>
      </c>
      <c r="AE193" s="545">
        <f t="shared" si="58"/>
        <v>10279</v>
      </c>
      <c r="AF193" s="520">
        <f t="shared" si="56"/>
        <v>1.029532056525541</v>
      </c>
      <c r="AG193" s="200">
        <f t="shared" si="54"/>
        <v>2.6792600052623516E-2</v>
      </c>
      <c r="AH193" s="4"/>
      <c r="AI193" s="200">
        <f t="shared" si="46"/>
        <v>1.1809160305343511</v>
      </c>
      <c r="AJ193" s="488">
        <f>MAX($B$2:B193)</f>
        <v>12259</v>
      </c>
      <c r="AK193" s="179">
        <f t="shared" si="43"/>
        <v>3.243050605844619E-2</v>
      </c>
      <c r="AL193" s="179"/>
      <c r="AM193" s="179"/>
      <c r="AN193" s="179"/>
      <c r="AP193" s="355">
        <f t="shared" si="52"/>
        <v>1.3807906351947803</v>
      </c>
      <c r="AT193" s="179">
        <f t="shared" si="53"/>
        <v>2.2416602414855272E-2</v>
      </c>
    </row>
    <row r="194" spans="1:46" hidden="1" x14ac:dyDescent="0.25">
      <c r="A194" s="259">
        <v>44085</v>
      </c>
      <c r="B194" s="668">
        <v>11507</v>
      </c>
      <c r="C194" s="506">
        <f t="shared" si="60"/>
        <v>535705</v>
      </c>
      <c r="D194" s="670">
        <f>87+154</f>
        <v>241</v>
      </c>
      <c r="E194" s="506">
        <f t="shared" si="66"/>
        <v>11148</v>
      </c>
      <c r="F194" s="515">
        <f t="shared" si="42"/>
        <v>9650</v>
      </c>
      <c r="G194" s="515">
        <v>409771</v>
      </c>
      <c r="H194" s="506">
        <v>3093</v>
      </c>
      <c r="I194" s="515">
        <v>26254</v>
      </c>
      <c r="J194" s="511">
        <f t="shared" si="62"/>
        <v>1496805</v>
      </c>
      <c r="K194" s="511"/>
      <c r="L194" s="541">
        <f t="shared" ref="L194:L257" si="69">E194/C194</f>
        <v>2.0809960705985571E-2</v>
      </c>
      <c r="M194" s="522">
        <f t="shared" si="67"/>
        <v>834922.98239999998</v>
      </c>
      <c r="N194" s="511">
        <v>836261</v>
      </c>
      <c r="O194" s="520">
        <v>1229</v>
      </c>
      <c r="P194" s="511">
        <v>116159</v>
      </c>
      <c r="Q194" s="511">
        <v>340885</v>
      </c>
      <c r="R194" s="511">
        <f t="shared" si="63"/>
        <v>77432</v>
      </c>
      <c r="S194" s="510">
        <f t="shared" ref="S194:S257" si="70">C194-E194-G194</f>
        <v>114786</v>
      </c>
      <c r="T194" s="518">
        <f t="shared" si="50"/>
        <v>2.6945794783335947E-2</v>
      </c>
      <c r="U194" s="519">
        <f t="shared" si="64"/>
        <v>2.0809960705985571E-2</v>
      </c>
      <c r="V194" s="512">
        <f>SUM(B181:B194)/POBLA!$B$25*100000</f>
        <v>316.64938341668727</v>
      </c>
      <c r="W194" s="512">
        <f>B194/POBLA!$B$25*100000</f>
        <v>25.356895494487119</v>
      </c>
      <c r="X194" s="513">
        <f t="shared" si="48"/>
        <v>1.3114299273537036</v>
      </c>
      <c r="Y194" s="519">
        <f t="shared" si="65"/>
        <v>2.6945794783335947E-2</v>
      </c>
      <c r="Z194" s="520">
        <f t="shared" si="68"/>
        <v>0.44585298682788066</v>
      </c>
      <c r="AA194" s="517">
        <f t="shared" si="44"/>
        <v>10546.142857142857</v>
      </c>
      <c r="AB194" s="517">
        <f t="shared" si="45"/>
        <v>218</v>
      </c>
      <c r="AC194" s="517">
        <f t="shared" si="61"/>
        <v>189.81151380270788</v>
      </c>
      <c r="AD194" s="517">
        <f t="shared" si="57"/>
        <v>-28.188486197292121</v>
      </c>
      <c r="AE194" s="545">
        <f t="shared" si="58"/>
        <v>10264</v>
      </c>
      <c r="AF194" s="520">
        <f t="shared" si="56"/>
        <v>1.0565311350593218</v>
      </c>
      <c r="AG194" s="200">
        <f t="shared" si="54"/>
        <v>2.5983428525460539E-2</v>
      </c>
      <c r="AH194" s="4"/>
      <c r="AI194" s="200">
        <f t="shared" si="46"/>
        <v>1.1303703703703702</v>
      </c>
      <c r="AJ194" s="488">
        <f>MAX($B$2:B194)</f>
        <v>12259</v>
      </c>
      <c r="AK194" s="179">
        <f t="shared" si="43"/>
        <v>3.2068929284438372E-2</v>
      </c>
      <c r="AL194" s="179"/>
      <c r="AM194" s="179"/>
      <c r="AN194" s="179"/>
      <c r="AP194" s="355">
        <f t="shared" si="52"/>
        <v>1.3114299273537036</v>
      </c>
      <c r="AT194" s="179">
        <f t="shared" si="53"/>
        <v>2.2213820185601821E-2</v>
      </c>
    </row>
    <row r="195" spans="1:46" hidden="1" x14ac:dyDescent="0.25">
      <c r="A195" s="259">
        <v>44086</v>
      </c>
      <c r="B195" s="668">
        <v>10776</v>
      </c>
      <c r="C195" s="506">
        <f t="shared" si="60"/>
        <v>546481</v>
      </c>
      <c r="D195" s="670">
        <f>57+58</f>
        <v>115</v>
      </c>
      <c r="E195" s="506">
        <f t="shared" si="66"/>
        <v>11263</v>
      </c>
      <c r="F195" s="515">
        <f t="shared" ref="F195:F258" si="71">G195-G194</f>
        <v>9742</v>
      </c>
      <c r="G195" s="515">
        <v>419513</v>
      </c>
      <c r="H195" s="506">
        <v>2962</v>
      </c>
      <c r="I195" s="515">
        <v>23140</v>
      </c>
      <c r="J195" s="511">
        <f t="shared" si="62"/>
        <v>1519945</v>
      </c>
      <c r="K195" s="511"/>
      <c r="L195" s="541">
        <f t="shared" si="69"/>
        <v>2.0610048656769402E-2</v>
      </c>
      <c r="M195" s="522">
        <f t="shared" si="67"/>
        <v>845888.40960000001</v>
      </c>
      <c r="N195" s="511">
        <v>847244</v>
      </c>
      <c r="O195" s="520">
        <v>1232</v>
      </c>
      <c r="P195" s="511">
        <v>117339</v>
      </c>
      <c r="Q195" s="511">
        <v>347893</v>
      </c>
      <c r="R195" s="511">
        <f t="shared" si="63"/>
        <v>80017</v>
      </c>
      <c r="S195" s="510">
        <f t="shared" si="70"/>
        <v>115705</v>
      </c>
      <c r="T195" s="518">
        <f t="shared" si="50"/>
        <v>2.5599585151894904E-2</v>
      </c>
      <c r="U195" s="519">
        <f t="shared" si="64"/>
        <v>2.0610048656769402E-2</v>
      </c>
      <c r="V195" s="512">
        <f>SUM(B182:B195)/POBLA!$B$25*100000</f>
        <v>320.05615846096271</v>
      </c>
      <c r="W195" s="512">
        <f>B195/POBLA!$B$25*100000</f>
        <v>23.746059428920933</v>
      </c>
      <c r="X195" s="513">
        <f t="shared" si="48"/>
        <v>1.2951961405041956</v>
      </c>
      <c r="Y195" s="519">
        <f t="shared" si="65"/>
        <v>2.5599585151894904E-2</v>
      </c>
      <c r="Z195" s="520">
        <f t="shared" si="68"/>
        <v>0.4488921216201594</v>
      </c>
      <c r="AA195" s="517">
        <f t="shared" si="44"/>
        <v>10667.857142857143</v>
      </c>
      <c r="AB195" s="517">
        <f t="shared" si="45"/>
        <v>217.71428571428572</v>
      </c>
      <c r="AC195" s="517">
        <f t="shared" si="61"/>
        <v>191.635787078097</v>
      </c>
      <c r="AD195" s="517">
        <f t="shared" si="57"/>
        <v>-26.078498636188726</v>
      </c>
      <c r="AE195" s="545">
        <f t="shared" ref="AE195:AE258" si="72">AVERAGE(B182:B195)</f>
        <v>10374.428571428571</v>
      </c>
      <c r="AF195" s="520">
        <f t="shared" si="56"/>
        <v>1.0582141794323126</v>
      </c>
      <c r="AG195" s="200">
        <f t="shared" si="54"/>
        <v>2.4527383007924897E-2</v>
      </c>
      <c r="AH195" s="4"/>
      <c r="AI195" s="200">
        <f t="shared" si="46"/>
        <v>1.0995670995670996</v>
      </c>
      <c r="AJ195" s="488">
        <f>MAX($B$2:B195)</f>
        <v>12259</v>
      </c>
      <c r="AK195" s="179">
        <f t="shared" si="43"/>
        <v>2.9454397866295588E-2</v>
      </c>
      <c r="AL195" s="179"/>
      <c r="AM195" s="179"/>
      <c r="AN195" s="179"/>
      <c r="AP195" s="355">
        <f t="shared" si="52"/>
        <v>1.2951961405041956</v>
      </c>
      <c r="AT195" s="179">
        <f t="shared" si="53"/>
        <v>2.1818800409749674E-2</v>
      </c>
    </row>
    <row r="196" spans="1:46" hidden="1" x14ac:dyDescent="0.25">
      <c r="A196" s="259">
        <v>44087</v>
      </c>
      <c r="B196" s="668">
        <v>9056</v>
      </c>
      <c r="C196" s="528">
        <f t="shared" si="60"/>
        <v>555537</v>
      </c>
      <c r="D196" s="670">
        <f>44+45</f>
        <v>89</v>
      </c>
      <c r="E196" s="506">
        <f t="shared" si="66"/>
        <v>11352</v>
      </c>
      <c r="F196" s="515">
        <f t="shared" si="71"/>
        <v>9440</v>
      </c>
      <c r="G196" s="515">
        <v>428953</v>
      </c>
      <c r="H196" s="506">
        <v>2984</v>
      </c>
      <c r="I196" s="515">
        <v>17955</v>
      </c>
      <c r="J196" s="511">
        <f t="shared" si="62"/>
        <v>1537900</v>
      </c>
      <c r="K196" s="511"/>
      <c r="L196" s="541">
        <f t="shared" si="69"/>
        <v>2.0434282505035668E-2</v>
      </c>
      <c r="M196" s="522">
        <f t="shared" si="67"/>
        <v>853755.80160000001</v>
      </c>
      <c r="N196" s="511">
        <v>855124</v>
      </c>
      <c r="O196" s="520">
        <v>1235</v>
      </c>
      <c r="P196" s="511">
        <v>118561</v>
      </c>
      <c r="Q196" s="511">
        <v>353007</v>
      </c>
      <c r="R196" s="511">
        <f t="shared" si="63"/>
        <v>82734</v>
      </c>
      <c r="S196" s="510">
        <f t="shared" si="70"/>
        <v>115232</v>
      </c>
      <c r="T196" s="518">
        <f t="shared" si="50"/>
        <v>2.5895584559844486E-2</v>
      </c>
      <c r="U196" s="519">
        <f t="shared" si="64"/>
        <v>2.0434282505035668E-2</v>
      </c>
      <c r="V196" s="512">
        <f>SUM(B183:B196)/POBLA!$B$25*100000</f>
        <v>324.17469827839523</v>
      </c>
      <c r="W196" s="512">
        <f>B196/POBLA!$B$25*100000</f>
        <v>19.955856921706381</v>
      </c>
      <c r="X196" s="513">
        <f t="shared" si="48"/>
        <v>1.2920681205371651</v>
      </c>
      <c r="Y196" s="519">
        <f t="shared" si="65"/>
        <v>2.5895584559844486E-2</v>
      </c>
      <c r="Z196" s="520">
        <f t="shared" si="68"/>
        <v>0.45398616952681797</v>
      </c>
      <c r="AA196" s="517">
        <f t="shared" si="44"/>
        <v>10963.571428571429</v>
      </c>
      <c r="AB196" s="517">
        <f t="shared" si="45"/>
        <v>213.42857142857142</v>
      </c>
      <c r="AC196" s="517">
        <f t="shared" si="61"/>
        <v>196.01243799366347</v>
      </c>
      <c r="AD196" s="517">
        <f t="shared" si="57"/>
        <v>-17.416133434907948</v>
      </c>
      <c r="AE196" s="545">
        <f t="shared" si="72"/>
        <v>10507.928571428571</v>
      </c>
      <c r="AF196" s="520">
        <f t="shared" si="56"/>
        <v>1.0906545774948129</v>
      </c>
      <c r="AG196" s="200">
        <f t="shared" si="54"/>
        <v>3.3044663188281032E-2</v>
      </c>
      <c r="AH196" s="4"/>
      <c r="AI196" s="200">
        <f t="shared" si="46"/>
        <v>1.0656205420827389</v>
      </c>
      <c r="AJ196" s="488">
        <f>MAX($B$2:B196)</f>
        <v>12259</v>
      </c>
      <c r="AK196" s="179">
        <f t="shared" si="43"/>
        <v>2.7835743031748395E-2</v>
      </c>
      <c r="AL196" s="179"/>
      <c r="AM196" s="179"/>
      <c r="AN196" s="179"/>
      <c r="AP196" s="355">
        <f t="shared" si="52"/>
        <v>1.2920681205371649</v>
      </c>
      <c r="AT196" s="179">
        <f t="shared" si="53"/>
        <v>2.132552178689125E-2</v>
      </c>
    </row>
    <row r="197" spans="1:46" hidden="1" x14ac:dyDescent="0.25">
      <c r="A197" s="259">
        <v>44088</v>
      </c>
      <c r="B197" s="670">
        <v>9909</v>
      </c>
      <c r="C197" s="528">
        <f t="shared" si="60"/>
        <v>565446</v>
      </c>
      <c r="D197" s="670">
        <f>60+254</f>
        <v>314</v>
      </c>
      <c r="E197" s="515">
        <f t="shared" si="66"/>
        <v>11666</v>
      </c>
      <c r="F197" s="515">
        <f t="shared" si="71"/>
        <v>9930</v>
      </c>
      <c r="G197" s="515">
        <v>438883</v>
      </c>
      <c r="H197" s="515">
        <v>2992</v>
      </c>
      <c r="I197" s="515">
        <v>21207</v>
      </c>
      <c r="J197" s="511">
        <f t="shared" si="62"/>
        <v>1559107</v>
      </c>
      <c r="K197" s="511"/>
      <c r="L197" s="541">
        <f t="shared" si="69"/>
        <v>2.0631501505006668E-2</v>
      </c>
      <c r="M197" s="522">
        <f t="shared" si="67"/>
        <v>864437.68319999997</v>
      </c>
      <c r="N197" s="511">
        <v>865823</v>
      </c>
      <c r="O197" s="520">
        <v>1236</v>
      </c>
      <c r="P197" s="511">
        <v>120192</v>
      </c>
      <c r="Q197" s="511">
        <v>361677</v>
      </c>
      <c r="R197" s="511">
        <f t="shared" si="63"/>
        <v>82341</v>
      </c>
      <c r="S197" s="510">
        <f t="shared" si="70"/>
        <v>114897</v>
      </c>
      <c r="T197" s="518">
        <f t="shared" si="50"/>
        <v>2.6040714727103405E-2</v>
      </c>
      <c r="U197" s="519">
        <f t="shared" ref="U197:U214" si="73">E197/C187</f>
        <v>2.525753330937339E-2</v>
      </c>
      <c r="V197" s="512">
        <f>SUM(B184:B197)/POBLA!$B$25*100000</f>
        <v>325.4968619437027</v>
      </c>
      <c r="W197" s="512">
        <f>B197/POBLA!$B$25*100000</f>
        <v>21.835532932551736</v>
      </c>
      <c r="X197" s="513">
        <f t="shared" si="48"/>
        <v>1.2453608073586322</v>
      </c>
      <c r="Y197" s="519">
        <f t="shared" si="65"/>
        <v>2.6040714727103405E-2</v>
      </c>
      <c r="Z197" s="520">
        <f t="shared" si="68"/>
        <v>0.45611648083685263</v>
      </c>
      <c r="AA197" s="517">
        <f t="shared" si="44"/>
        <v>11062.714285714286</v>
      </c>
      <c r="AB197" s="517">
        <f t="shared" si="45"/>
        <v>220</v>
      </c>
      <c r="AC197" s="517">
        <f t="shared" si="61"/>
        <v>198.01002070690751</v>
      </c>
      <c r="AD197" s="517">
        <f t="shared" si="57"/>
        <v>-21.989979293092489</v>
      </c>
      <c r="AE197" s="545">
        <f t="shared" si="72"/>
        <v>10550.785714285714</v>
      </c>
      <c r="AF197" s="520">
        <f t="shared" si="56"/>
        <v>1.1019894125683061</v>
      </c>
      <c r="AG197" s="200">
        <f t="shared" si="54"/>
        <v>3.2401541903658071E-2</v>
      </c>
      <c r="AH197" s="4"/>
      <c r="AI197" s="200">
        <f t="shared" si="46"/>
        <v>1.0497614178595773</v>
      </c>
      <c r="AJ197" s="488">
        <f>MAX($B$2:B197)</f>
        <v>12259</v>
      </c>
      <c r="AK197" s="179">
        <f t="shared" si="43"/>
        <v>2.6769107754349982E-2</v>
      </c>
      <c r="AL197" s="179"/>
      <c r="AM197" s="179"/>
      <c r="AN197" s="179"/>
      <c r="AP197" s="355">
        <f t="shared" si="52"/>
        <v>1.245360807358632</v>
      </c>
      <c r="AT197" s="179">
        <f t="shared" si="53"/>
        <v>2.1816852786000158E-2</v>
      </c>
    </row>
    <row r="198" spans="1:46" hidden="1" x14ac:dyDescent="0.25">
      <c r="A198" s="259">
        <v>44089</v>
      </c>
      <c r="B198" s="670">
        <v>11892</v>
      </c>
      <c r="C198" s="528">
        <f t="shared" si="60"/>
        <v>577338</v>
      </c>
      <c r="D198" s="670">
        <f>43+142</f>
        <v>185</v>
      </c>
      <c r="E198" s="515">
        <f t="shared" si="66"/>
        <v>11851</v>
      </c>
      <c r="F198" s="515">
        <f t="shared" si="71"/>
        <v>9380</v>
      </c>
      <c r="G198" s="515">
        <v>448263</v>
      </c>
      <c r="H198" s="515">
        <v>3049</v>
      </c>
      <c r="I198" s="515">
        <v>25791</v>
      </c>
      <c r="J198" s="511">
        <f t="shared" si="62"/>
        <v>1584898</v>
      </c>
      <c r="K198" s="511"/>
      <c r="L198" s="541">
        <f t="shared" si="69"/>
        <v>2.0526970336267488E-2</v>
      </c>
      <c r="M198" s="522">
        <f t="shared" si="67"/>
        <v>878182.65599999996</v>
      </c>
      <c r="N198" s="511">
        <v>879590</v>
      </c>
      <c r="O198" s="520">
        <v>1242</v>
      </c>
      <c r="P198" s="511">
        <v>125970</v>
      </c>
      <c r="Q198" s="511">
        <v>371507</v>
      </c>
      <c r="R198" s="511">
        <f t="shared" si="63"/>
        <v>78619</v>
      </c>
      <c r="S198" s="510">
        <f t="shared" si="70"/>
        <v>117224</v>
      </c>
      <c r="T198" s="518">
        <f t="shared" si="50"/>
        <v>2.6010032075342932E-2</v>
      </c>
      <c r="U198" s="519">
        <f t="shared" si="73"/>
        <v>2.5118374925287089E-2</v>
      </c>
      <c r="V198" s="512">
        <f>SUM(B185:B198)/POBLA!$B$25*100000</f>
        <v>328.55546722278046</v>
      </c>
      <c r="W198" s="512">
        <f>B198/POBLA!$B$25*100000</f>
        <v>26.2052838463927</v>
      </c>
      <c r="X198" s="513">
        <f t="shared" si="48"/>
        <v>1.2193943061837036</v>
      </c>
      <c r="Y198" s="519">
        <f t="shared" si="65"/>
        <v>2.6010032075342932E-2</v>
      </c>
      <c r="Z198" s="520">
        <f t="shared" si="68"/>
        <v>0.45586908447589564</v>
      </c>
      <c r="AA198" s="517">
        <f t="shared" si="44"/>
        <v>11043.428571428571</v>
      </c>
      <c r="AB198" s="517">
        <f t="shared" si="45"/>
        <v>206.85714285714286</v>
      </c>
      <c r="AC198" s="517">
        <f t="shared" si="61"/>
        <v>204.08620886934631</v>
      </c>
      <c r="AD198" s="517">
        <f t="shared" si="57"/>
        <v>-2.7709339877965533</v>
      </c>
      <c r="AE198" s="545">
        <f t="shared" si="72"/>
        <v>10649.928571428571</v>
      </c>
      <c r="AF198" s="520">
        <f t="shared" si="56"/>
        <v>1.0767323629779233</v>
      </c>
      <c r="AG198" s="200">
        <f t="shared" si="54"/>
        <v>9.4109631233608049E-2</v>
      </c>
      <c r="AH198" s="4"/>
      <c r="AI198" s="200">
        <f t="shared" si="46"/>
        <v>0.97508417508417511</v>
      </c>
      <c r="AJ198" s="488">
        <f>MAX($B$2:B198)</f>
        <v>12259</v>
      </c>
      <c r="AK198" s="179">
        <f t="shared" si="43"/>
        <v>2.4373821707514138E-2</v>
      </c>
      <c r="AL198" s="179"/>
      <c r="AM198" s="179"/>
      <c r="AN198" s="179"/>
      <c r="AP198" s="355">
        <f t="shared" si="52"/>
        <v>1.2193943061837036</v>
      </c>
      <c r="AT198" s="179">
        <f t="shared" si="53"/>
        <v>2.1742128734055007E-2</v>
      </c>
    </row>
    <row r="199" spans="1:46" hidden="1" x14ac:dyDescent="0.25">
      <c r="A199" s="259">
        <v>44090</v>
      </c>
      <c r="B199" s="670">
        <v>11674</v>
      </c>
      <c r="C199" s="528">
        <f t="shared" si="60"/>
        <v>589012</v>
      </c>
      <c r="D199" s="670">
        <f>58+206</f>
        <v>264</v>
      </c>
      <c r="E199" s="515">
        <f t="shared" si="66"/>
        <v>12115</v>
      </c>
      <c r="F199" s="515">
        <f t="shared" si="71"/>
        <v>8084</v>
      </c>
      <c r="G199" s="515">
        <v>456347</v>
      </c>
      <c r="H199" s="515">
        <v>3118</v>
      </c>
      <c r="I199" s="515">
        <v>25422</v>
      </c>
      <c r="J199" s="511">
        <f t="shared" si="62"/>
        <v>1610320</v>
      </c>
      <c r="K199" s="511"/>
      <c r="L199" s="541">
        <f t="shared" si="69"/>
        <v>2.0568341561801796E-2</v>
      </c>
      <c r="M199" s="522">
        <f t="shared" si="67"/>
        <v>892009.4976</v>
      </c>
      <c r="N199" s="511">
        <v>893439</v>
      </c>
      <c r="O199" s="520">
        <v>1247</v>
      </c>
      <c r="P199" s="511">
        <v>128236</v>
      </c>
      <c r="Q199" s="511">
        <v>380805</v>
      </c>
      <c r="R199" s="522">
        <f t="shared" si="63"/>
        <v>78724</v>
      </c>
      <c r="S199" s="510">
        <f t="shared" si="70"/>
        <v>120550</v>
      </c>
      <c r="T199" s="518">
        <f t="shared" si="50"/>
        <v>2.5864786395686436E-2</v>
      </c>
      <c r="U199" s="519">
        <f t="shared" si="73"/>
        <v>2.530326321241792E-2</v>
      </c>
      <c r="V199" s="512">
        <f>SUM(B186:B199)/POBLA!$B$25*100000</f>
        <v>330.18833934943513</v>
      </c>
      <c r="W199" s="512">
        <f>B199/POBLA!$B$25*100000</f>
        <v>25.724897714664344</v>
      </c>
      <c r="X199" s="513">
        <f t="shared" si="48"/>
        <v>1.1843842134800375</v>
      </c>
      <c r="Y199" s="519">
        <f t="shared" si="65"/>
        <v>2.5864786395686436E-2</v>
      </c>
      <c r="Z199" s="520">
        <f t="shared" si="68"/>
        <v>0.45713417468091955</v>
      </c>
      <c r="AA199" s="517">
        <f t="shared" si="44"/>
        <v>10959.857142857143</v>
      </c>
      <c r="AB199" s="517">
        <f t="shared" si="45"/>
        <v>208.28571428571428</v>
      </c>
      <c r="AC199" s="517">
        <f t="shared" si="61"/>
        <v>204.55966617700062</v>
      </c>
      <c r="AD199" s="517">
        <f t="shared" si="57"/>
        <v>-3.7260481087136554</v>
      </c>
      <c r="AE199" s="545">
        <f t="shared" si="72"/>
        <v>10702.857142857143</v>
      </c>
      <c r="AF199" s="520">
        <f t="shared" si="56"/>
        <v>1.0492061104197152</v>
      </c>
      <c r="AG199" s="200">
        <f t="shared" si="54"/>
        <v>8.0797575714106395E-2</v>
      </c>
      <c r="AH199" s="4"/>
      <c r="AI199" s="200">
        <f t="shared" si="46"/>
        <v>0.94613887086307591</v>
      </c>
      <c r="AJ199" s="488">
        <f>MAX($B$2:B199)</f>
        <v>12259</v>
      </c>
      <c r="AK199" s="179">
        <f t="shared" si="43"/>
        <v>2.315535368294E-2</v>
      </c>
      <c r="AL199" s="179"/>
      <c r="AM199" s="179"/>
      <c r="AN199" s="179"/>
      <c r="AP199" s="355">
        <f t="shared" si="52"/>
        <v>1.1843842134800378</v>
      </c>
      <c r="AT199" s="179">
        <f t="shared" si="53"/>
        <v>2.1736130754848457E-2</v>
      </c>
    </row>
    <row r="200" spans="1:46" hidden="1" x14ac:dyDescent="0.25">
      <c r="A200" s="259">
        <v>44091</v>
      </c>
      <c r="B200" s="670">
        <v>12701</v>
      </c>
      <c r="C200" s="528">
        <f t="shared" si="60"/>
        <v>601713</v>
      </c>
      <c r="D200" s="670">
        <v>345</v>
      </c>
      <c r="E200" s="515">
        <f t="shared" si="66"/>
        <v>12460</v>
      </c>
      <c r="F200" s="515">
        <f t="shared" si="71"/>
        <v>10939</v>
      </c>
      <c r="G200" s="515">
        <v>467286</v>
      </c>
      <c r="H200" s="515">
        <v>3108</v>
      </c>
      <c r="I200" s="515">
        <v>28633</v>
      </c>
      <c r="J200" s="511">
        <f t="shared" si="62"/>
        <v>1638953</v>
      </c>
      <c r="K200" s="511"/>
      <c r="L200" s="541">
        <f t="shared" si="69"/>
        <v>2.0707546621063531E-2</v>
      </c>
      <c r="M200" s="522">
        <f t="shared" si="67"/>
        <v>905987.09759999998</v>
      </c>
      <c r="N200" s="511">
        <v>907439</v>
      </c>
      <c r="O200" s="520">
        <v>1251</v>
      </c>
      <c r="P200" s="511">
        <v>130230</v>
      </c>
      <c r="Q200" s="511">
        <v>390634</v>
      </c>
      <c r="R200" s="511">
        <f t="shared" si="63"/>
        <v>79598</v>
      </c>
      <c r="S200" s="510">
        <f t="shared" si="70"/>
        <v>121967</v>
      </c>
      <c r="T200" s="518">
        <f t="shared" si="50"/>
        <v>2.5482302590044848E-2</v>
      </c>
      <c r="U200" s="519">
        <f t="shared" si="73"/>
        <v>2.5532420641507191E-2</v>
      </c>
      <c r="V200" s="512">
        <f>SUM(B187:B200)/POBLA!$B$25*100000</f>
        <v>331.67577347290592</v>
      </c>
      <c r="W200" s="512">
        <f>B200/POBLA!$B$25*100000</f>
        <v>27.988001188448845</v>
      </c>
      <c r="X200" s="513">
        <f t="shared" si="48"/>
        <v>1.1550178798901116</v>
      </c>
      <c r="Y200" s="519">
        <f t="shared" si="65"/>
        <v>2.5482302590044848E-2</v>
      </c>
      <c r="Z200" s="520">
        <f t="shared" si="68"/>
        <v>0.46029738364152445</v>
      </c>
      <c r="AA200" s="517">
        <f t="shared" si="44"/>
        <v>11073.571428571429</v>
      </c>
      <c r="AB200" s="517">
        <f t="shared" si="45"/>
        <v>221.85714285714286</v>
      </c>
      <c r="AC200" s="517">
        <f t="shared" si="61"/>
        <v>210.13269435718115</v>
      </c>
      <c r="AD200" s="517">
        <f t="shared" si="57"/>
        <v>-11.72444849996171</v>
      </c>
      <c r="AE200" s="545">
        <f t="shared" si="72"/>
        <v>10751.071428571429</v>
      </c>
      <c r="AF200" s="520">
        <f t="shared" si="56"/>
        <v>1.0618493150684931</v>
      </c>
      <c r="AG200" s="200">
        <f t="shared" si="54"/>
        <v>7.7732614650525722E-2</v>
      </c>
      <c r="AH200" s="4"/>
      <c r="AI200" s="200">
        <f t="shared" si="46"/>
        <v>1.0038784744667097</v>
      </c>
      <c r="AJ200" s="488">
        <f>MAX($B$2:B200)</f>
        <v>12701</v>
      </c>
      <c r="AK200" s="179">
        <f t="shared" ref="AK200:AK263" si="74">AB200/AA181</f>
        <v>2.4101059950028713E-2</v>
      </c>
      <c r="AL200" s="179"/>
      <c r="AM200" s="179"/>
      <c r="AN200" s="179"/>
      <c r="AP200" s="355">
        <f t="shared" si="52"/>
        <v>1.1550178798901116</v>
      </c>
      <c r="AT200" s="179">
        <f t="shared" si="53"/>
        <v>2.168407456373184E-2</v>
      </c>
    </row>
    <row r="201" spans="1:46" hidden="1" x14ac:dyDescent="0.25">
      <c r="A201" s="259">
        <v>44092</v>
      </c>
      <c r="B201" s="670">
        <v>11945</v>
      </c>
      <c r="C201" s="528">
        <f t="shared" si="60"/>
        <v>613658</v>
      </c>
      <c r="D201" s="670">
        <f>31+166</f>
        <v>197</v>
      </c>
      <c r="E201" s="515">
        <f t="shared" si="66"/>
        <v>12657</v>
      </c>
      <c r="F201" s="515">
        <f t="shared" si="71"/>
        <v>10791</v>
      </c>
      <c r="G201" s="515">
        <v>478077</v>
      </c>
      <c r="H201" s="515">
        <v>3225</v>
      </c>
      <c r="I201" s="515">
        <v>25698</v>
      </c>
      <c r="J201" s="511">
        <f t="shared" si="62"/>
        <v>1664651</v>
      </c>
      <c r="K201" s="511"/>
      <c r="L201" s="541">
        <f t="shared" si="69"/>
        <v>2.0625494982547281E-2</v>
      </c>
      <c r="M201" s="522">
        <f t="shared" si="67"/>
        <v>919991.6544</v>
      </c>
      <c r="N201" s="511">
        <v>921466</v>
      </c>
      <c r="O201" s="520">
        <v>1254</v>
      </c>
      <c r="P201" s="511">
        <v>132427</v>
      </c>
      <c r="Q201" s="511">
        <v>400216</v>
      </c>
      <c r="R201" s="511">
        <f t="shared" si="63"/>
        <v>79761</v>
      </c>
      <c r="S201" s="510">
        <f t="shared" si="70"/>
        <v>122924</v>
      </c>
      <c r="T201" s="518">
        <f t="shared" si="50"/>
        <v>2.6235722885685465E-2</v>
      </c>
      <c r="U201" s="519">
        <f t="shared" si="73"/>
        <v>2.5312278765043977E-2</v>
      </c>
      <c r="V201" s="512">
        <f>SUM(B188:B201)/POBLA!$B$25*100000</f>
        <v>334.45452077616028</v>
      </c>
      <c r="W201" s="512">
        <f>B201/POBLA!$B$25*100000</f>
        <v>26.322074970161523</v>
      </c>
      <c r="X201" s="513">
        <f t="shared" si="48"/>
        <v>1.1425560264681307</v>
      </c>
      <c r="Y201" s="519">
        <f t="shared" si="65"/>
        <v>2.6235722885685465E-2</v>
      </c>
      <c r="Z201" s="520">
        <f t="shared" si="68"/>
        <v>0.4644316814222561</v>
      </c>
      <c r="AA201" s="517">
        <f t="shared" ref="AA201:AA264" si="75">AVERAGE(B195:B201)</f>
        <v>11136.142857142857</v>
      </c>
      <c r="AB201" s="517">
        <f t="shared" ref="AB201:AB264" si="76">AVERAGE(D195:D201)</f>
        <v>215.57142857142858</v>
      </c>
      <c r="AC201" s="517">
        <f t="shared" si="61"/>
        <v>207.94365103764906</v>
      </c>
      <c r="AD201" s="517">
        <f t="shared" si="57"/>
        <v>-7.6277775337795219</v>
      </c>
      <c r="AE201" s="545">
        <f t="shared" si="72"/>
        <v>10841.142857142857</v>
      </c>
      <c r="AF201" s="520">
        <f t="shared" si="56"/>
        <v>1.0559446243040786</v>
      </c>
      <c r="AG201" s="200">
        <f t="shared" si="54"/>
        <v>7.0897147735786703E-2</v>
      </c>
      <c r="AH201" s="4"/>
      <c r="AI201" s="200">
        <f t="shared" si="46"/>
        <v>0.98885976408912191</v>
      </c>
      <c r="AJ201" s="488">
        <f>MAX($B$2:B201)</f>
        <v>12701</v>
      </c>
      <c r="AK201" s="179">
        <f t="shared" si="74"/>
        <v>2.2769797199420572E-2</v>
      </c>
      <c r="AL201" s="179"/>
      <c r="AM201" s="179"/>
      <c r="AN201" s="179"/>
      <c r="AP201" s="355">
        <f t="shared" si="52"/>
        <v>1.1425560264681305</v>
      </c>
      <c r="AT201" s="179">
        <f t="shared" si="53"/>
        <v>2.1020003388715576E-2</v>
      </c>
    </row>
    <row r="202" spans="1:46" hidden="1" x14ac:dyDescent="0.25">
      <c r="A202" s="259">
        <v>44093</v>
      </c>
      <c r="B202" s="670">
        <v>9276</v>
      </c>
      <c r="C202" s="515">
        <f t="shared" si="60"/>
        <v>622934</v>
      </c>
      <c r="D202" s="670">
        <f>49+94</f>
        <v>143</v>
      </c>
      <c r="E202" s="515">
        <f t="shared" si="66"/>
        <v>12800</v>
      </c>
      <c r="F202" s="515">
        <f t="shared" si="71"/>
        <v>10154</v>
      </c>
      <c r="G202" s="515">
        <v>488231</v>
      </c>
      <c r="H202" s="515">
        <v>3213</v>
      </c>
      <c r="I202" s="515">
        <v>21093</v>
      </c>
      <c r="J202" s="511">
        <f t="shared" si="62"/>
        <v>1685744</v>
      </c>
      <c r="K202" s="511"/>
      <c r="L202" s="541">
        <f t="shared" si="69"/>
        <v>2.0547923214979436E-2</v>
      </c>
      <c r="M202" s="522">
        <f t="shared" si="67"/>
        <v>931028.96639999992</v>
      </c>
      <c r="N202" s="511">
        <v>932521</v>
      </c>
      <c r="O202" s="520">
        <v>1261</v>
      </c>
      <c r="P202" s="511">
        <v>133793</v>
      </c>
      <c r="Q202" s="511">
        <v>406757</v>
      </c>
      <c r="R202" s="511">
        <f t="shared" si="63"/>
        <v>81123</v>
      </c>
      <c r="S202" s="510">
        <f t="shared" si="70"/>
        <v>121903</v>
      </c>
      <c r="T202" s="518">
        <f t="shared" si="50"/>
        <v>2.6357021566327327E-2</v>
      </c>
      <c r="U202" s="519">
        <f t="shared" si="73"/>
        <v>2.4985701541891066E-2</v>
      </c>
      <c r="V202" s="512">
        <f>SUM(B189:B202)/POBLA!$B$25*100000</f>
        <v>333.02658401762835</v>
      </c>
      <c r="W202" s="512">
        <f>B202/POBLA!$B$25*100000</f>
        <v>20.44065026565243</v>
      </c>
      <c r="X202" s="513">
        <f t="shared" si="48"/>
        <v>1.119433498266718</v>
      </c>
      <c r="Y202" s="519">
        <f t="shared" si="65"/>
        <v>2.6357021566327327E-2</v>
      </c>
      <c r="Z202" s="520">
        <f t="shared" si="68"/>
        <v>0.46111858334489353</v>
      </c>
      <c r="AA202" s="517">
        <f t="shared" si="75"/>
        <v>10921.857142857143</v>
      </c>
      <c r="AB202" s="517">
        <f t="shared" si="76"/>
        <v>219.57142857142858</v>
      </c>
      <c r="AC202" s="517">
        <f t="shared" si="61"/>
        <v>208.0915863723649</v>
      </c>
      <c r="AD202" s="517">
        <f t="shared" si="57"/>
        <v>-11.479842199063683</v>
      </c>
      <c r="AE202" s="545">
        <f t="shared" si="72"/>
        <v>10794.857142857143</v>
      </c>
      <c r="AF202" s="520">
        <f t="shared" si="56"/>
        <v>1.0238098426514899</v>
      </c>
      <c r="AG202" s="200">
        <f t="shared" si="54"/>
        <v>5.3567261570372837E-2</v>
      </c>
      <c r="AH202" s="4"/>
      <c r="AI202" s="200">
        <f t="shared" ref="AI202:AI265" si="77">AB202/AB195</f>
        <v>1.0085301837270342</v>
      </c>
      <c r="AJ202" s="488">
        <f>MAX($B$2:B202)</f>
        <v>12701</v>
      </c>
      <c r="AK202" s="179">
        <f t="shared" si="74"/>
        <v>2.2985583537716098E-2</v>
      </c>
      <c r="AL202" s="179"/>
      <c r="AM202" s="179"/>
      <c r="AN202" s="179"/>
      <c r="AP202" s="355">
        <f t="shared" si="52"/>
        <v>1.119433498266718</v>
      </c>
      <c r="AT202" s="179">
        <f t="shared" si="53"/>
        <v>2.0804502565800364E-2</v>
      </c>
    </row>
    <row r="203" spans="1:46" hidden="1" x14ac:dyDescent="0.25">
      <c r="A203" s="259">
        <v>44094</v>
      </c>
      <c r="B203" s="670">
        <v>8431</v>
      </c>
      <c r="C203" s="515">
        <f t="shared" si="60"/>
        <v>631365</v>
      </c>
      <c r="D203" s="670">
        <f>110+143</f>
        <v>253</v>
      </c>
      <c r="E203" s="515">
        <f t="shared" si="66"/>
        <v>13053</v>
      </c>
      <c r="F203" s="515">
        <f t="shared" si="71"/>
        <v>10148</v>
      </c>
      <c r="G203" s="515">
        <v>498379</v>
      </c>
      <c r="H203" s="515">
        <v>3261</v>
      </c>
      <c r="I203" s="515">
        <v>15454</v>
      </c>
      <c r="J203" s="511">
        <f t="shared" si="62"/>
        <v>1701198</v>
      </c>
      <c r="K203" s="511"/>
      <c r="L203" s="541">
        <f t="shared" si="69"/>
        <v>2.0674253403340382E-2</v>
      </c>
      <c r="M203" s="522">
        <v>939868</v>
      </c>
      <c r="N203" s="522">
        <f t="shared" ref="N203:N225" si="78">M203+L203</f>
        <v>939868.02067425335</v>
      </c>
      <c r="O203" s="520">
        <v>1262</v>
      </c>
      <c r="P203" s="511">
        <v>134820</v>
      </c>
      <c r="Q203" s="511">
        <v>412203</v>
      </c>
      <c r="R203" s="511">
        <f t="shared" ref="R203:R231" si="79">C203-Q203-P203-O203</f>
        <v>83080</v>
      </c>
      <c r="S203" s="510">
        <f t="shared" si="70"/>
        <v>119933</v>
      </c>
      <c r="T203" s="518">
        <f t="shared" si="50"/>
        <v>2.7190181184494677E-2</v>
      </c>
      <c r="U203" s="519">
        <f t="shared" si="73"/>
        <v>2.4900896226235127E-2</v>
      </c>
      <c r="V203" s="512">
        <f>SUM(B190:B203)/POBLA!$B$25*100000</f>
        <v>336.21079484491031</v>
      </c>
      <c r="W203" s="512">
        <f>B203/POBLA!$B$25*100000</f>
        <v>18.578603103677839</v>
      </c>
      <c r="X203" s="513">
        <f t="shared" si="48"/>
        <v>1.1166220231560766</v>
      </c>
      <c r="Y203" s="519">
        <f t="shared" si="65"/>
        <v>2.7190181184494677E-2</v>
      </c>
      <c r="Z203" s="520">
        <f t="shared" si="68"/>
        <v>0.46435351320897988</v>
      </c>
      <c r="AA203" s="517">
        <f t="shared" si="75"/>
        <v>10832.571428571429</v>
      </c>
      <c r="AB203" s="517">
        <f t="shared" si="76"/>
        <v>243</v>
      </c>
      <c r="AC203" s="517">
        <f t="shared" si="61"/>
        <v>206.9696915809549</v>
      </c>
      <c r="AD203" s="517">
        <f t="shared" si="57"/>
        <v>-36.030308419045099</v>
      </c>
      <c r="AE203" s="545">
        <f t="shared" si="72"/>
        <v>10898.071428571429</v>
      </c>
      <c r="AF203" s="520">
        <f t="shared" si="56"/>
        <v>0.98805133884943641</v>
      </c>
      <c r="AG203" s="200">
        <f t="shared" si="54"/>
        <v>4.0795959455706798E-2</v>
      </c>
      <c r="AH203" s="4"/>
      <c r="AI203" s="200">
        <f t="shared" si="77"/>
        <v>1.13855421686747</v>
      </c>
      <c r="AJ203" s="488">
        <f>MAX($B$2:B203)</f>
        <v>12701</v>
      </c>
      <c r="AK203" s="179">
        <f t="shared" si="74"/>
        <v>2.4795556916079941E-2</v>
      </c>
      <c r="AL203" s="179"/>
      <c r="AM203" s="179"/>
      <c r="AN203" s="179"/>
      <c r="AP203" s="355">
        <f t="shared" si="52"/>
        <v>1.1166220231560766</v>
      </c>
      <c r="AT203" s="179">
        <f t="shared" si="53"/>
        <v>2.0914786221313698E-2</v>
      </c>
    </row>
    <row r="204" spans="1:46" hidden="1" x14ac:dyDescent="0.25">
      <c r="A204" s="259">
        <v>44095</v>
      </c>
      <c r="B204" s="670">
        <v>8782</v>
      </c>
      <c r="C204" s="515">
        <f t="shared" si="60"/>
        <v>640147</v>
      </c>
      <c r="D204" s="670">
        <v>427</v>
      </c>
      <c r="E204" s="515">
        <f t="shared" si="66"/>
        <v>13480</v>
      </c>
      <c r="F204" s="515">
        <f t="shared" si="71"/>
        <v>10184</v>
      </c>
      <c r="G204" s="515">
        <v>508563</v>
      </c>
      <c r="H204" s="515">
        <v>3387</v>
      </c>
      <c r="I204" s="515">
        <v>18575</v>
      </c>
      <c r="J204" s="511">
        <f t="shared" si="62"/>
        <v>1719773</v>
      </c>
      <c r="K204" s="511"/>
      <c r="L204" s="541">
        <f t="shared" si="69"/>
        <v>2.1057663317956658E-2</v>
      </c>
      <c r="M204" s="522">
        <v>949102</v>
      </c>
      <c r="N204" s="522">
        <f t="shared" si="78"/>
        <v>949102.02105766337</v>
      </c>
      <c r="O204" s="529">
        <v>6401</v>
      </c>
      <c r="P204" s="530">
        <v>138272</v>
      </c>
      <c r="Q204" s="99">
        <v>417376</v>
      </c>
      <c r="R204" s="511">
        <f t="shared" si="79"/>
        <v>78098</v>
      </c>
      <c r="S204" s="510">
        <f t="shared" si="70"/>
        <v>118104</v>
      </c>
      <c r="T204" s="518">
        <f t="shared" si="50"/>
        <v>2.8678114204429995E-2</v>
      </c>
      <c r="U204" s="519">
        <f t="shared" si="73"/>
        <v>2.5163102827115671E-2</v>
      </c>
      <c r="V204" s="512">
        <f>SUM(B191:B204)/POBLA!$B$25*100000</f>
        <v>335.25663339978013</v>
      </c>
      <c r="W204" s="512">
        <f>B204/POBLA!$B$25*100000</f>
        <v>19.35206884788267</v>
      </c>
      <c r="X204" s="513">
        <f t="shared" si="48"/>
        <v>1.109377278693306</v>
      </c>
      <c r="Y204" s="519">
        <f t="shared" si="65"/>
        <v>2.8678114204429995E-2</v>
      </c>
      <c r="Z204" s="520">
        <f t="shared" si="68"/>
        <v>0.46494591263864166</v>
      </c>
      <c r="AA204" s="517">
        <f t="shared" si="75"/>
        <v>10671.571428571429</v>
      </c>
      <c r="AB204" s="517">
        <f t="shared" si="76"/>
        <v>259.14285714285717</v>
      </c>
      <c r="AC204" s="517">
        <f t="shared" si="61"/>
        <v>208.30329775714574</v>
      </c>
      <c r="AD204" s="517">
        <f t="shared" si="57"/>
        <v>-50.839559385711425</v>
      </c>
      <c r="AE204" s="545">
        <f t="shared" si="72"/>
        <v>10867.142857142857</v>
      </c>
      <c r="AF204" s="520">
        <f t="shared" si="56"/>
        <v>0.96464313847027983</v>
      </c>
      <c r="AG204" s="200">
        <f t="shared" si="54"/>
        <v>2.7911955925742138E-2</v>
      </c>
      <c r="AH204" s="4"/>
      <c r="AI204" s="200">
        <f t="shared" si="77"/>
        <v>1.177922077922078</v>
      </c>
      <c r="AJ204" s="488">
        <f>MAX($B$2:B204)</f>
        <v>12701</v>
      </c>
      <c r="AK204" s="179">
        <f t="shared" si="74"/>
        <v>2.6295952684680508E-2</v>
      </c>
      <c r="AL204" s="179"/>
      <c r="AM204" s="179"/>
      <c r="AN204" s="179"/>
      <c r="AP204" s="355">
        <f t="shared" si="52"/>
        <v>1.109377278693306</v>
      </c>
      <c r="AT204" s="179">
        <f t="shared" si="53"/>
        <v>2.1862895383144603E-2</v>
      </c>
    </row>
    <row r="205" spans="1:46" hidden="1" x14ac:dyDescent="0.25">
      <c r="A205" s="259">
        <v>44096</v>
      </c>
      <c r="B205" s="670">
        <v>12027</v>
      </c>
      <c r="C205" s="515">
        <f t="shared" si="60"/>
        <v>652174</v>
      </c>
      <c r="D205" s="670">
        <v>469</v>
      </c>
      <c r="E205" s="515">
        <f t="shared" si="66"/>
        <v>13949</v>
      </c>
      <c r="F205" s="515">
        <f t="shared" si="71"/>
        <v>8665</v>
      </c>
      <c r="G205" s="515">
        <v>517228</v>
      </c>
      <c r="H205" s="515">
        <v>3362</v>
      </c>
      <c r="I205" s="515">
        <v>25766</v>
      </c>
      <c r="J205" s="511">
        <f t="shared" si="62"/>
        <v>1745539</v>
      </c>
      <c r="K205" s="511"/>
      <c r="L205" s="541">
        <f t="shared" si="69"/>
        <v>2.138846381487149E-2</v>
      </c>
      <c r="M205" s="522">
        <v>961776</v>
      </c>
      <c r="N205" s="522">
        <f t="shared" si="78"/>
        <v>961776.02138846379</v>
      </c>
      <c r="O205" s="485">
        <v>6521</v>
      </c>
      <c r="P205" s="8">
        <v>140870</v>
      </c>
      <c r="Q205" s="8">
        <v>425218</v>
      </c>
      <c r="R205" s="511">
        <f t="shared" si="79"/>
        <v>79565</v>
      </c>
      <c r="S205" s="510">
        <f t="shared" si="70"/>
        <v>120997</v>
      </c>
      <c r="T205" s="518">
        <f t="shared" si="50"/>
        <v>2.7785812871393506E-2</v>
      </c>
      <c r="U205" s="519">
        <f t="shared" si="73"/>
        <v>2.5525132621262221E-2</v>
      </c>
      <c r="V205" s="512">
        <f>SUM(B192:B205)/POBLA!$B$25*100000</f>
        <v>335.25663339978013</v>
      </c>
      <c r="W205" s="512">
        <f>B205/POBLA!$B$25*100000</f>
        <v>26.502770671086868</v>
      </c>
      <c r="X205" s="513">
        <f t="shared" ref="X205:X268" si="80">SUM(B192:B205)/SUM(B178:B191)</f>
        <v>1.0836491068121599</v>
      </c>
      <c r="Y205" s="519">
        <f t="shared" si="65"/>
        <v>2.7785812871393506E-2</v>
      </c>
      <c r="Z205" s="520">
        <f t="shared" si="68"/>
        <v>0.46585865376834057</v>
      </c>
      <c r="AA205" s="517">
        <f t="shared" si="75"/>
        <v>10690.857142857143</v>
      </c>
      <c r="AB205" s="517">
        <f t="shared" si="76"/>
        <v>299.71428571428572</v>
      </c>
      <c r="AC205" s="517">
        <f t="shared" si="61"/>
        <v>213.38074296662111</v>
      </c>
      <c r="AD205" s="517">
        <f t="shared" si="57"/>
        <v>-86.333542747664609</v>
      </c>
      <c r="AE205" s="545">
        <f t="shared" si="72"/>
        <v>10867.142857142857</v>
      </c>
      <c r="AF205" s="520">
        <f t="shared" si="56"/>
        <v>0.96807409707130299</v>
      </c>
      <c r="AG205" s="200">
        <f t="shared" si="54"/>
        <v>3.2186241725243869E-2</v>
      </c>
      <c r="AH205" s="4"/>
      <c r="AI205" s="200">
        <f t="shared" si="77"/>
        <v>1.4488950276243093</v>
      </c>
      <c r="AJ205" s="488">
        <f>MAX($B$2:B205)</f>
        <v>12701</v>
      </c>
      <c r="AK205" s="179">
        <f t="shared" si="74"/>
        <v>2.9588469240966916E-2</v>
      </c>
      <c r="AL205" s="179"/>
      <c r="AM205" s="179"/>
      <c r="AN205" s="179"/>
      <c r="AP205" s="355">
        <f t="shared" si="52"/>
        <v>1.0836491068121599</v>
      </c>
      <c r="AT205" s="179">
        <f t="shared" si="53"/>
        <v>2.246629249725824E-2</v>
      </c>
    </row>
    <row r="206" spans="1:46" hidden="1" x14ac:dyDescent="0.25">
      <c r="A206" s="259">
        <v>44097</v>
      </c>
      <c r="B206" s="670">
        <v>12625</v>
      </c>
      <c r="C206" s="515">
        <f t="shared" si="60"/>
        <v>664799</v>
      </c>
      <c r="D206" s="670">
        <v>423</v>
      </c>
      <c r="E206" s="515">
        <f t="shared" si="66"/>
        <v>14372</v>
      </c>
      <c r="F206" s="515">
        <f t="shared" si="71"/>
        <v>8258</v>
      </c>
      <c r="G206" s="515">
        <v>525486</v>
      </c>
      <c r="H206" s="515">
        <v>3511</v>
      </c>
      <c r="I206" s="515">
        <v>24903</v>
      </c>
      <c r="J206" s="511">
        <f t="shared" si="62"/>
        <v>1770442</v>
      </c>
      <c r="K206" s="511"/>
      <c r="L206" s="541">
        <f t="shared" si="69"/>
        <v>2.1618564408189545E-2</v>
      </c>
      <c r="M206" s="522">
        <v>974788</v>
      </c>
      <c r="N206" s="522">
        <f t="shared" si="78"/>
        <v>974788.02161856438</v>
      </c>
      <c r="O206" s="485">
        <v>6647</v>
      </c>
      <c r="P206" s="8">
        <v>143597</v>
      </c>
      <c r="Q206" s="8">
        <v>433450</v>
      </c>
      <c r="R206" s="511">
        <f t="shared" si="79"/>
        <v>81105</v>
      </c>
      <c r="S206" s="510">
        <f t="shared" si="70"/>
        <v>124941</v>
      </c>
      <c r="T206" s="518">
        <f t="shared" ref="T206:T245" si="81">H206/(C206-E206-G206)</f>
        <v>2.8101263796511955E-2</v>
      </c>
      <c r="U206" s="519">
        <f t="shared" si="73"/>
        <v>2.5870464073500056E-2</v>
      </c>
      <c r="V206" s="512">
        <f>SUM(B193:B206)/POBLA!$B$25*100000</f>
        <v>336.06315323561768</v>
      </c>
      <c r="W206" s="512">
        <f>B206/POBLA!$B$25*100000</f>
        <v>27.820527124176575</v>
      </c>
      <c r="X206" s="513">
        <f t="shared" si="80"/>
        <v>1.0731923577636255</v>
      </c>
      <c r="Y206" s="519">
        <f t="shared" si="65"/>
        <v>2.8101263796511955E-2</v>
      </c>
      <c r="Z206" s="520">
        <f t="shared" si="68"/>
        <v>0.47330785276226878</v>
      </c>
      <c r="AA206" s="517">
        <f t="shared" si="75"/>
        <v>10826.714285714286</v>
      </c>
      <c r="AB206" s="517">
        <f t="shared" si="76"/>
        <v>322.42857142857144</v>
      </c>
      <c r="AC206" s="517">
        <f t="shared" si="61"/>
        <v>217.30045027245848</v>
      </c>
      <c r="AD206" s="517">
        <f t="shared" si="57"/>
        <v>-105.12812115611297</v>
      </c>
      <c r="AE206" s="545">
        <f t="shared" si="72"/>
        <v>10893.285714285714</v>
      </c>
      <c r="AF206" s="520">
        <f t="shared" si="56"/>
        <v>0.98785177074779396</v>
      </c>
      <c r="AG206" s="200">
        <f t="shared" si="54"/>
        <v>3.6424720033181313E-2</v>
      </c>
      <c r="AH206" s="4"/>
      <c r="AI206" s="200">
        <f t="shared" si="77"/>
        <v>1.5480109739368999</v>
      </c>
      <c r="AJ206" s="488">
        <f>MAX($B$2:B206)</f>
        <v>12701</v>
      </c>
      <c r="AK206" s="179">
        <f t="shared" si="74"/>
        <v>3.2301461222503686E-2</v>
      </c>
      <c r="AL206" s="179"/>
      <c r="AM206" s="179"/>
      <c r="AN206" s="179"/>
      <c r="AP206" s="355">
        <f t="shared" si="52"/>
        <v>1.0731923577636253</v>
      </c>
      <c r="AT206" s="179">
        <f t="shared" si="53"/>
        <v>2.2320120280825147E-2</v>
      </c>
    </row>
    <row r="207" spans="1:46" hidden="1" x14ac:dyDescent="0.25">
      <c r="A207" s="259">
        <v>44098</v>
      </c>
      <c r="B207" s="685">
        <v>13467</v>
      </c>
      <c r="C207" s="531">
        <f t="shared" si="60"/>
        <v>678266</v>
      </c>
      <c r="D207" s="670">
        <v>391</v>
      </c>
      <c r="E207" s="515">
        <f t="shared" si="66"/>
        <v>14763</v>
      </c>
      <c r="F207" s="515">
        <f t="shared" si="71"/>
        <v>11103</v>
      </c>
      <c r="G207" s="515">
        <v>536589</v>
      </c>
      <c r="H207" s="515">
        <v>3527</v>
      </c>
      <c r="I207" s="515">
        <v>27253</v>
      </c>
      <c r="J207" s="511">
        <f t="shared" si="62"/>
        <v>1797695</v>
      </c>
      <c r="K207" s="511"/>
      <c r="L207" s="541">
        <f t="shared" si="69"/>
        <v>2.17657968997414E-2</v>
      </c>
      <c r="M207" s="522">
        <v>988976</v>
      </c>
      <c r="N207" s="511">
        <f t="shared" si="78"/>
        <v>988976.02176579693</v>
      </c>
      <c r="O207" s="485">
        <v>6740</v>
      </c>
      <c r="P207" s="8">
        <v>143045</v>
      </c>
      <c r="Q207" s="8">
        <v>449054</v>
      </c>
      <c r="R207" s="511">
        <f t="shared" si="79"/>
        <v>79427</v>
      </c>
      <c r="S207" s="510">
        <f t="shared" si="70"/>
        <v>126914</v>
      </c>
      <c r="T207" s="518">
        <f t="shared" si="81"/>
        <v>2.7790472288321225E-2</v>
      </c>
      <c r="U207" s="519">
        <f t="shared" si="73"/>
        <v>2.6108593924088243E-2</v>
      </c>
      <c r="V207" s="512">
        <f>SUM(B194:B207)/POBLA!$B$25*100000</f>
        <v>339.50518597763454</v>
      </c>
      <c r="W207" s="512">
        <f>B207/POBLA!$B$25*100000</f>
        <v>29.675963467824626</v>
      </c>
      <c r="X207" s="513">
        <f t="shared" si="80"/>
        <v>1.0706155407001794</v>
      </c>
      <c r="Y207" s="519">
        <f t="shared" si="65"/>
        <v>2.7790472288321225E-2</v>
      </c>
      <c r="Z207" s="520">
        <f t="shared" si="68"/>
        <v>0.48224792430484686</v>
      </c>
      <c r="AA207" s="517">
        <f t="shared" si="75"/>
        <v>10936.142857142857</v>
      </c>
      <c r="AB207" s="517">
        <f t="shared" si="76"/>
        <v>329</v>
      </c>
      <c r="AC207" s="517">
        <f t="shared" si="61"/>
        <v>216.98752870371231</v>
      </c>
      <c r="AD207" s="517">
        <f t="shared" si="57"/>
        <v>-112.01247129628769</v>
      </c>
      <c r="AE207" s="545">
        <f t="shared" si="72"/>
        <v>11004.857142857143</v>
      </c>
      <c r="AF207" s="520">
        <f t="shared" si="56"/>
        <v>0.98758949880668245</v>
      </c>
      <c r="AG207" s="200">
        <f t="shared" si="54"/>
        <v>4.0560151516393805E-2</v>
      </c>
      <c r="AH207" s="4"/>
      <c r="AI207" s="200">
        <f t="shared" si="77"/>
        <v>1.4829362524146812</v>
      </c>
      <c r="AJ207" s="488">
        <f>MAX($B$2:B207)</f>
        <v>13467</v>
      </c>
      <c r="AK207" s="179">
        <f t="shared" si="74"/>
        <v>3.2635651225076875E-2</v>
      </c>
      <c r="AL207" s="179"/>
      <c r="AM207" s="179"/>
      <c r="AN207" s="179"/>
      <c r="AP207" s="355">
        <f t="shared" ref="AP207:AP270" si="82">AE207/AE193</f>
        <v>1.0706155407001794</v>
      </c>
      <c r="AT207" s="179">
        <f t="shared" si="53"/>
        <v>2.2596884140753479E-2</v>
      </c>
    </row>
    <row r="208" spans="1:46" hidden="1" x14ac:dyDescent="0.25">
      <c r="A208" s="259">
        <v>44099</v>
      </c>
      <c r="B208" s="670">
        <v>12969</v>
      </c>
      <c r="C208" s="515">
        <f t="shared" si="60"/>
        <v>691235</v>
      </c>
      <c r="D208" s="670">
        <v>442</v>
      </c>
      <c r="E208" s="515">
        <f t="shared" si="66"/>
        <v>15205</v>
      </c>
      <c r="F208" s="515">
        <f t="shared" si="71"/>
        <v>10335</v>
      </c>
      <c r="G208" s="515">
        <v>546924</v>
      </c>
      <c r="H208" s="515">
        <v>3595</v>
      </c>
      <c r="I208" s="515">
        <v>25098</v>
      </c>
      <c r="J208" s="511">
        <f t="shared" si="62"/>
        <v>1822793</v>
      </c>
      <c r="K208" s="511"/>
      <c r="L208" s="541">
        <f t="shared" si="69"/>
        <v>2.1996860691371242E-2</v>
      </c>
      <c r="M208" s="522">
        <v>1001959</v>
      </c>
      <c r="N208" s="511">
        <f t="shared" si="78"/>
        <v>1001959.0219968607</v>
      </c>
      <c r="O208" s="485">
        <v>6798</v>
      </c>
      <c r="P208" s="8">
        <v>145075</v>
      </c>
      <c r="Q208" s="8">
        <v>458440</v>
      </c>
      <c r="R208" s="511">
        <f t="shared" si="79"/>
        <v>80922</v>
      </c>
      <c r="S208" s="510">
        <f t="shared" si="70"/>
        <v>129106</v>
      </c>
      <c r="T208" s="518">
        <f t="shared" si="81"/>
        <v>2.7845336390252971E-2</v>
      </c>
      <c r="U208" s="519">
        <f t="shared" si="73"/>
        <v>2.633639220006305E-2</v>
      </c>
      <c r="V208" s="512">
        <f>SUM(B195:B208)/POBLA!$B$25*100000</f>
        <v>342.72685810876698</v>
      </c>
      <c r="W208" s="512">
        <f>B208/POBLA!$B$25*100000</f>
        <v>28.578567625619485</v>
      </c>
      <c r="X208" s="513">
        <f t="shared" si="80"/>
        <v>1.082354414875849</v>
      </c>
      <c r="Y208" s="519">
        <f t="shared" si="65"/>
        <v>2.7845336390252971E-2</v>
      </c>
      <c r="Z208" s="520">
        <f t="shared" si="68"/>
        <v>0.49055279432408849</v>
      </c>
      <c r="AA208" s="517">
        <f t="shared" si="75"/>
        <v>11082.428571428571</v>
      </c>
      <c r="AB208" s="517">
        <f t="shared" si="76"/>
        <v>364</v>
      </c>
      <c r="AC208" s="517">
        <f t="shared" si="61"/>
        <v>219.46481845685327</v>
      </c>
      <c r="AD208" s="517">
        <f t="shared" si="57"/>
        <v>-144.53518154314673</v>
      </c>
      <c r="AE208" s="545">
        <f t="shared" si="72"/>
        <v>11109.285714285714</v>
      </c>
      <c r="AF208" s="520">
        <f t="shared" si="56"/>
        <v>0.99517658076020166</v>
      </c>
      <c r="AG208" s="200">
        <f t="shared" si="54"/>
        <v>5.0291236861800703E-2</v>
      </c>
      <c r="AH208" s="4"/>
      <c r="AI208" s="200">
        <f t="shared" si="77"/>
        <v>1.6885354539430084</v>
      </c>
      <c r="AJ208" s="488">
        <f>MAX($B$2:B208)</f>
        <v>13467</v>
      </c>
      <c r="AK208" s="179">
        <f t="shared" si="74"/>
        <v>3.6210669925816445E-2</v>
      </c>
      <c r="AL208" s="179"/>
      <c r="AM208" s="179"/>
      <c r="AN208" s="179"/>
      <c r="AP208" s="355">
        <f t="shared" si="82"/>
        <v>1.082354414875849</v>
      </c>
      <c r="AT208" s="179">
        <f t="shared" ref="AT208:AT271" si="83">SUM(D179:D208)/SUM(B179:B208)</f>
        <v>2.2943681143259398E-2</v>
      </c>
    </row>
    <row r="209" spans="1:46" hidden="1" x14ac:dyDescent="0.25">
      <c r="A209" s="259">
        <v>44100</v>
      </c>
      <c r="B209" s="670">
        <v>11249</v>
      </c>
      <c r="C209" s="515">
        <f t="shared" si="60"/>
        <v>702484</v>
      </c>
      <c r="D209" s="670">
        <v>337</v>
      </c>
      <c r="E209" s="515">
        <f t="shared" si="66"/>
        <v>15542</v>
      </c>
      <c r="F209" s="515">
        <f t="shared" si="71"/>
        <v>9565</v>
      </c>
      <c r="G209" s="515">
        <v>556489</v>
      </c>
      <c r="H209" s="515">
        <v>3633</v>
      </c>
      <c r="I209" s="515">
        <v>22101</v>
      </c>
      <c r="J209" s="511">
        <f t="shared" si="62"/>
        <v>1844894</v>
      </c>
      <c r="K209" s="511"/>
      <c r="L209" s="541">
        <f t="shared" si="69"/>
        <v>2.2124347316095454E-2</v>
      </c>
      <c r="M209" s="522">
        <v>1014163</v>
      </c>
      <c r="N209" s="511">
        <f t="shared" si="78"/>
        <v>1014163.0221243473</v>
      </c>
      <c r="O209" s="485">
        <v>6835</v>
      </c>
      <c r="P209" s="8">
        <v>146416</v>
      </c>
      <c r="Q209" s="8">
        <v>464913</v>
      </c>
      <c r="R209" s="511">
        <f t="shared" si="79"/>
        <v>84320</v>
      </c>
      <c r="S209" s="510">
        <f t="shared" si="70"/>
        <v>130453</v>
      </c>
      <c r="T209" s="518">
        <f t="shared" si="81"/>
        <v>2.7849110407579741E-2</v>
      </c>
      <c r="U209" s="519">
        <f t="shared" si="73"/>
        <v>2.6386559187249158E-2</v>
      </c>
      <c r="V209" s="512">
        <f>SUM(B196:B209)/POBLA!$B$25*100000</f>
        <v>343.76916379825093</v>
      </c>
      <c r="W209" s="512">
        <f>B209/POBLA!$B$25*100000</f>
        <v>24.788365118404936</v>
      </c>
      <c r="X209" s="513">
        <f t="shared" si="80"/>
        <v>1.0740901392159292</v>
      </c>
      <c r="Y209" s="519">
        <f t="shared" si="65"/>
        <v>2.7849110407579741E-2</v>
      </c>
      <c r="Z209" s="520">
        <f t="shared" si="68"/>
        <v>0.49984291548853282</v>
      </c>
      <c r="AA209" s="517">
        <f t="shared" si="75"/>
        <v>11364.285714285714</v>
      </c>
      <c r="AB209" s="517">
        <f t="shared" si="76"/>
        <v>391.71428571428572</v>
      </c>
      <c r="AC209" s="517">
        <f t="shared" si="61"/>
        <v>219.86505477775074</v>
      </c>
      <c r="AD209" s="517">
        <f t="shared" si="57"/>
        <v>-171.84923093653498</v>
      </c>
      <c r="AE209" s="545">
        <f t="shared" si="72"/>
        <v>11143.071428571429</v>
      </c>
      <c r="AF209" s="520">
        <f t="shared" si="56"/>
        <v>1.0405085477352098</v>
      </c>
      <c r="AG209" s="200">
        <f t="shared" ref="AG209:AG272" si="84">S209/S202-1</f>
        <v>7.0137732459414348E-2</v>
      </c>
      <c r="AH209" s="4"/>
      <c r="AI209" s="200">
        <f t="shared" si="77"/>
        <v>1.7839947950553026</v>
      </c>
      <c r="AJ209" s="488">
        <f>MAX($B$2:B209)</f>
        <v>13467</v>
      </c>
      <c r="AK209" s="179">
        <f t="shared" si="74"/>
        <v>3.9019808743169397E-2</v>
      </c>
      <c r="AL209" s="179"/>
      <c r="AM209" s="179"/>
      <c r="AN209" s="179"/>
      <c r="AP209" s="355">
        <f t="shared" si="82"/>
        <v>1.0740901392159294</v>
      </c>
      <c r="AT209" s="179">
        <f t="shared" si="83"/>
        <v>2.3253215474003081E-2</v>
      </c>
    </row>
    <row r="210" spans="1:46" hidden="1" x14ac:dyDescent="0.25">
      <c r="A210" s="259">
        <v>44101</v>
      </c>
      <c r="B210" s="670">
        <v>8841</v>
      </c>
      <c r="C210" s="515">
        <f t="shared" si="60"/>
        <v>711325</v>
      </c>
      <c r="D210" s="670">
        <v>206</v>
      </c>
      <c r="E210" s="515">
        <f t="shared" si="66"/>
        <v>15748</v>
      </c>
      <c r="F210" s="515">
        <f t="shared" si="71"/>
        <v>9446</v>
      </c>
      <c r="G210" s="515">
        <v>565935</v>
      </c>
      <c r="H210" s="515">
        <v>3604</v>
      </c>
      <c r="I210" s="515">
        <v>15171</v>
      </c>
      <c r="J210" s="511">
        <f t="shared" si="62"/>
        <v>1860065</v>
      </c>
      <c r="K210" s="511"/>
      <c r="L210" s="541">
        <f t="shared" si="69"/>
        <v>2.2138966014128562E-2</v>
      </c>
      <c r="M210" s="522">
        <v>1021244</v>
      </c>
      <c r="N210" s="511">
        <f t="shared" si="78"/>
        <v>1021244.022138966</v>
      </c>
      <c r="O210" s="485">
        <v>6874</v>
      </c>
      <c r="P210" s="8">
        <v>147538</v>
      </c>
      <c r="Q210" s="8">
        <v>469799</v>
      </c>
      <c r="R210" s="511">
        <f t="shared" si="79"/>
        <v>87114</v>
      </c>
      <c r="S210" s="510">
        <f t="shared" si="70"/>
        <v>129642</v>
      </c>
      <c r="T210" s="518">
        <f t="shared" si="81"/>
        <v>2.779963283503803E-2</v>
      </c>
      <c r="U210" s="519">
        <f t="shared" si="73"/>
        <v>2.6171945761517535E-2</v>
      </c>
      <c r="V210" s="512">
        <f>SUM(B197:B210)/POBLA!$B$25*100000</f>
        <v>343.29538848484913</v>
      </c>
      <c r="W210" s="512">
        <f>B210/POBLA!$B$25*100000</f>
        <v>19.482081608304561</v>
      </c>
      <c r="X210" s="513">
        <f t="shared" si="80"/>
        <v>1.0589826729476381</v>
      </c>
      <c r="Y210" s="519">
        <f t="shared" si="65"/>
        <v>2.779963283503803E-2</v>
      </c>
      <c r="Z210" s="520">
        <f t="shared" si="68"/>
        <v>0.50331409292049323</v>
      </c>
      <c r="AA210" s="517">
        <f t="shared" si="75"/>
        <v>11422.857142857143</v>
      </c>
      <c r="AB210" s="517">
        <f t="shared" si="76"/>
        <v>385</v>
      </c>
      <c r="AC210" s="517">
        <f t="shared" si="61"/>
        <v>224.03271583556605</v>
      </c>
      <c r="AD210" s="517">
        <f t="shared" si="57"/>
        <v>-160.96728416443395</v>
      </c>
      <c r="AE210" s="545">
        <f t="shared" si="72"/>
        <v>11127.714285714286</v>
      </c>
      <c r="AF210" s="520">
        <f t="shared" si="56"/>
        <v>1.0544917444743367</v>
      </c>
      <c r="AG210" s="200">
        <f t="shared" si="84"/>
        <v>8.0953532388917226E-2</v>
      </c>
      <c r="AH210" s="4"/>
      <c r="AI210" s="200">
        <f t="shared" si="77"/>
        <v>1.5843621399176955</v>
      </c>
      <c r="AJ210" s="488">
        <f>MAX($B$2:B210)</f>
        <v>13467</v>
      </c>
      <c r="AK210" s="179">
        <f t="shared" si="74"/>
        <v>3.7537432968869702E-2</v>
      </c>
      <c r="AL210" s="179"/>
      <c r="AM210" s="179"/>
      <c r="AN210" s="179"/>
      <c r="AP210" s="355">
        <f t="shared" si="82"/>
        <v>1.0589826729476384</v>
      </c>
      <c r="AT210" s="179">
        <f t="shared" si="83"/>
        <v>2.3412544313470042E-2</v>
      </c>
    </row>
    <row r="211" spans="1:46" hidden="1" x14ac:dyDescent="0.25">
      <c r="A211" s="259">
        <v>44102</v>
      </c>
      <c r="B211" s="670">
        <v>11807</v>
      </c>
      <c r="C211" s="515">
        <f t="shared" si="60"/>
        <v>723132</v>
      </c>
      <c r="D211" s="670">
        <v>365</v>
      </c>
      <c r="E211" s="515">
        <f t="shared" si="66"/>
        <v>16113</v>
      </c>
      <c r="F211" s="515">
        <f t="shared" si="71"/>
        <v>10780</v>
      </c>
      <c r="G211" s="515">
        <v>576715</v>
      </c>
      <c r="H211" s="515">
        <v>3678</v>
      </c>
      <c r="I211" s="515">
        <v>21356</v>
      </c>
      <c r="J211" s="511">
        <f t="shared" si="62"/>
        <v>1881421</v>
      </c>
      <c r="K211" s="511"/>
      <c r="L211" s="541">
        <f t="shared" si="69"/>
        <v>2.2282238927332769E-2</v>
      </c>
      <c r="M211" s="522">
        <v>1031143</v>
      </c>
      <c r="N211" s="511">
        <f t="shared" si="78"/>
        <v>1031143.0222822389</v>
      </c>
      <c r="O211" s="485">
        <v>6984</v>
      </c>
      <c r="P211" s="8">
        <v>149538</v>
      </c>
      <c r="Q211" s="8">
        <v>478119</v>
      </c>
      <c r="R211" s="511">
        <f t="shared" si="79"/>
        <v>88491</v>
      </c>
      <c r="S211" s="510">
        <f t="shared" si="70"/>
        <v>130304</v>
      </c>
      <c r="T211" s="518">
        <f t="shared" si="81"/>
        <v>2.8226301571709234E-2</v>
      </c>
      <c r="U211" s="519">
        <f t="shared" si="73"/>
        <v>2.6257296409400676E-2</v>
      </c>
      <c r="V211" s="512">
        <f>SUM(B198:B211)/POBLA!$B$25*100000</f>
        <v>347.47783287943821</v>
      </c>
      <c r="W211" s="512">
        <f>B211/POBLA!$B$25*100000</f>
        <v>26.017977327140819</v>
      </c>
      <c r="X211" s="513">
        <f t="shared" si="80"/>
        <v>1.0675305156691106</v>
      </c>
      <c r="Y211" s="519">
        <f t="shared" si="65"/>
        <v>2.8226301571709234E-2</v>
      </c>
      <c r="Z211" s="520">
        <f t="shared" si="68"/>
        <v>0.51336855389488267</v>
      </c>
      <c r="AA211" s="517">
        <f t="shared" si="75"/>
        <v>11855</v>
      </c>
      <c r="AB211" s="517">
        <f t="shared" si="76"/>
        <v>376.14285714285717</v>
      </c>
      <c r="AC211" s="517">
        <f t="shared" si="61"/>
        <v>228.24040643517307</v>
      </c>
      <c r="AD211" s="517">
        <f t="shared" si="57"/>
        <v>-147.9024507076841</v>
      </c>
      <c r="AE211" s="545">
        <f t="shared" si="72"/>
        <v>11263.285714285714</v>
      </c>
      <c r="AF211" s="520">
        <f t="shared" si="56"/>
        <v>1.1108954364734072</v>
      </c>
      <c r="AG211" s="200">
        <f t="shared" si="84"/>
        <v>0.10329878750931387</v>
      </c>
      <c r="AH211" s="4"/>
      <c r="AI211" s="200">
        <f t="shared" si="77"/>
        <v>1.4514884233737595</v>
      </c>
      <c r="AJ211" s="488">
        <f>MAX($B$2:B211)</f>
        <v>13467</v>
      </c>
      <c r="AK211" s="179">
        <f t="shared" si="74"/>
        <v>3.6008807319374739E-2</v>
      </c>
      <c r="AL211" s="179"/>
      <c r="AM211" s="179"/>
      <c r="AN211" s="179"/>
      <c r="AP211" s="355">
        <f t="shared" si="82"/>
        <v>1.0675305156691106</v>
      </c>
      <c r="AT211" s="179">
        <f t="shared" si="83"/>
        <v>2.4107389722671818E-2</v>
      </c>
    </row>
    <row r="212" spans="1:46" hidden="1" x14ac:dyDescent="0.25">
      <c r="A212" s="259">
        <v>44103</v>
      </c>
      <c r="B212" s="670">
        <v>13477</v>
      </c>
      <c r="C212" s="515">
        <f t="shared" si="60"/>
        <v>736609</v>
      </c>
      <c r="D212" s="670">
        <v>405</v>
      </c>
      <c r="E212" s="515">
        <f t="shared" si="66"/>
        <v>16518</v>
      </c>
      <c r="F212" s="515">
        <f t="shared" si="71"/>
        <v>9142</v>
      </c>
      <c r="G212" s="515">
        <v>585857</v>
      </c>
      <c r="H212" s="515">
        <v>3768</v>
      </c>
      <c r="I212" s="515">
        <v>25072</v>
      </c>
      <c r="J212" s="511">
        <f t="shared" si="62"/>
        <v>1906493</v>
      </c>
      <c r="K212" s="511"/>
      <c r="L212" s="541">
        <f t="shared" si="69"/>
        <v>2.2424379827018132E-2</v>
      </c>
      <c r="M212" s="522">
        <v>1043210</v>
      </c>
      <c r="N212" s="511">
        <f t="shared" si="78"/>
        <v>1043210.0224243798</v>
      </c>
      <c r="O212" s="485">
        <v>7083</v>
      </c>
      <c r="P212" s="8">
        <v>151787</v>
      </c>
      <c r="Q212" s="8">
        <v>487971</v>
      </c>
      <c r="R212" s="511">
        <f t="shared" si="79"/>
        <v>89768</v>
      </c>
      <c r="S212" s="510">
        <f t="shared" si="70"/>
        <v>134234</v>
      </c>
      <c r="T212" s="518">
        <f t="shared" si="81"/>
        <v>2.8070384552348882E-2</v>
      </c>
      <c r="U212" s="519">
        <f t="shared" si="73"/>
        <v>2.6516452786330493E-2</v>
      </c>
      <c r="V212" s="512">
        <f>SUM(B199:B212)/POBLA!$B$25*100000</f>
        <v>350.97054856195859</v>
      </c>
      <c r="W212" s="512">
        <f>B212/POBLA!$B$25*100000</f>
        <v>29.697999528913083</v>
      </c>
      <c r="X212" s="513">
        <f t="shared" si="80"/>
        <v>1.0682231269156734</v>
      </c>
      <c r="Y212" s="519">
        <f t="shared" si="65"/>
        <v>2.8070384552348882E-2</v>
      </c>
      <c r="Z212" s="520">
        <f t="shared" si="68"/>
        <v>0.52459087689650463</v>
      </c>
      <c r="AA212" s="517">
        <f t="shared" si="75"/>
        <v>12062.142857142857</v>
      </c>
      <c r="AB212" s="517">
        <f t="shared" si="76"/>
        <v>367</v>
      </c>
      <c r="AC212" s="517">
        <f t="shared" si="61"/>
        <v>226.68813069640311</v>
      </c>
      <c r="AD212" s="517">
        <f t="shared" si="57"/>
        <v>-140.31186930359689</v>
      </c>
      <c r="AE212" s="545">
        <f t="shared" si="72"/>
        <v>11376.5</v>
      </c>
      <c r="AF212" s="520">
        <f t="shared" si="56"/>
        <v>1.1282671441552194</v>
      </c>
      <c r="AG212" s="200">
        <f t="shared" si="84"/>
        <v>0.10939940659685776</v>
      </c>
      <c r="AH212" s="4"/>
      <c r="AI212" s="200">
        <f t="shared" si="77"/>
        <v>1.2244995233555767</v>
      </c>
      <c r="AJ212" s="488">
        <f>MAX($B$2:B212)</f>
        <v>13477</v>
      </c>
      <c r="AK212" s="179">
        <f t="shared" si="74"/>
        <v>3.5191780821917804E-2</v>
      </c>
      <c r="AL212" s="179"/>
      <c r="AM212" s="179"/>
      <c r="AN212" s="179"/>
      <c r="AP212" s="355">
        <f t="shared" si="82"/>
        <v>1.0682231269156734</v>
      </c>
      <c r="AT212" s="179">
        <f t="shared" si="83"/>
        <v>2.4565562506284604E-2</v>
      </c>
    </row>
    <row r="213" spans="1:46" hidden="1" x14ac:dyDescent="0.25">
      <c r="A213" s="259">
        <v>44104</v>
      </c>
      <c r="B213" s="670">
        <v>14392</v>
      </c>
      <c r="C213" s="515">
        <f t="shared" si="60"/>
        <v>751001</v>
      </c>
      <c r="D213" s="670">
        <v>418</v>
      </c>
      <c r="E213" s="515">
        <f t="shared" si="66"/>
        <v>16936</v>
      </c>
      <c r="F213" s="515">
        <f t="shared" si="71"/>
        <v>8788</v>
      </c>
      <c r="G213" s="515">
        <v>594645</v>
      </c>
      <c r="H213" s="515">
        <v>3792</v>
      </c>
      <c r="I213" s="515">
        <v>26524</v>
      </c>
      <c r="J213" s="511">
        <f t="shared" si="62"/>
        <v>1933017</v>
      </c>
      <c r="K213" s="511"/>
      <c r="L213" s="541">
        <f t="shared" si="69"/>
        <v>2.2551234951751063E-2</v>
      </c>
      <c r="M213" s="8">
        <v>1055774</v>
      </c>
      <c r="N213" s="511">
        <f t="shared" si="78"/>
        <v>1055774.022551235</v>
      </c>
      <c r="O213" s="485">
        <v>7162</v>
      </c>
      <c r="P213" s="8">
        <v>153949</v>
      </c>
      <c r="Q213" s="8">
        <v>498519</v>
      </c>
      <c r="R213" s="511">
        <f t="shared" si="79"/>
        <v>91371</v>
      </c>
      <c r="S213" s="510">
        <f t="shared" si="70"/>
        <v>139420</v>
      </c>
      <c r="T213" s="518">
        <f t="shared" si="81"/>
        <v>2.7198393343853107E-2</v>
      </c>
      <c r="U213" s="519">
        <f t="shared" si="73"/>
        <v>2.682442010564412E-2</v>
      </c>
      <c r="V213" s="512">
        <f>SUM(B200:B213)/POBLA!$B$25*100000</f>
        <v>356.95994996580112</v>
      </c>
      <c r="W213" s="512">
        <f>B213/POBLA!$B$25*100000</f>
        <v>31.714299118506872</v>
      </c>
      <c r="X213" s="513">
        <f t="shared" si="80"/>
        <v>1.0810798184730379</v>
      </c>
      <c r="Y213" s="519">
        <f t="shared" si="65"/>
        <v>2.7198393343853107E-2</v>
      </c>
      <c r="Z213" s="520">
        <f t="shared" si="68"/>
        <v>0.53022912501922193</v>
      </c>
      <c r="AA213" s="517">
        <f t="shared" si="75"/>
        <v>12314.571428571429</v>
      </c>
      <c r="AB213" s="517">
        <f t="shared" si="76"/>
        <v>366.28571428571428</v>
      </c>
      <c r="AC213" s="517">
        <f t="shared" si="61"/>
        <v>225.42608518283888</v>
      </c>
      <c r="AD213" s="517">
        <f t="shared" si="57"/>
        <v>-140.8596291028754</v>
      </c>
      <c r="AE213" s="545">
        <f t="shared" si="72"/>
        <v>11570.642857142857</v>
      </c>
      <c r="AF213" s="520">
        <f t="shared" ref="AF213:AF276" si="85">AA213/AA206</f>
        <v>1.1374246242759312</v>
      </c>
      <c r="AG213" s="200">
        <f t="shared" si="84"/>
        <v>0.11588669852170219</v>
      </c>
      <c r="AH213" s="4"/>
      <c r="AI213" s="200">
        <f t="shared" si="77"/>
        <v>1.1360212671688081</v>
      </c>
      <c r="AJ213" s="488">
        <f>MAX($B$2:B213)</f>
        <v>14392</v>
      </c>
      <c r="AK213" s="179">
        <f t="shared" si="74"/>
        <v>3.4731723175704048E-2</v>
      </c>
      <c r="AL213" s="179"/>
      <c r="AM213" s="200">
        <f t="shared" ref="AM213:AM276" si="86">H213/H206</f>
        <v>1.0800341782967815</v>
      </c>
      <c r="AN213" s="200">
        <f t="shared" ref="AN213:AN276" si="87">AB213/AB206</f>
        <v>1.1360212671688081</v>
      </c>
      <c r="AP213" s="355">
        <f t="shared" si="82"/>
        <v>1.0810798184730379</v>
      </c>
      <c r="AT213" s="179">
        <f t="shared" si="83"/>
        <v>2.4836016875408831E-2</v>
      </c>
    </row>
    <row r="214" spans="1:46" hidden="1" x14ac:dyDescent="0.25">
      <c r="A214" s="259">
        <v>44105</v>
      </c>
      <c r="B214" s="670">
        <v>14001</v>
      </c>
      <c r="C214" s="515">
        <f t="shared" si="60"/>
        <v>765002</v>
      </c>
      <c r="D214" s="673">
        <v>3351</v>
      </c>
      <c r="E214" s="515">
        <f t="shared" si="66"/>
        <v>20287</v>
      </c>
      <c r="F214" s="515">
        <f t="shared" si="71"/>
        <v>8495</v>
      </c>
      <c r="G214" s="515">
        <v>603140</v>
      </c>
      <c r="H214" s="515">
        <v>3799</v>
      </c>
      <c r="I214" s="515">
        <v>26662</v>
      </c>
      <c r="J214" s="511">
        <f t="shared" si="62"/>
        <v>1959679</v>
      </c>
      <c r="K214" s="511"/>
      <c r="L214" s="541">
        <f t="shared" si="69"/>
        <v>2.6518884917947926E-2</v>
      </c>
      <c r="M214" s="8">
        <v>1068705</v>
      </c>
      <c r="N214" s="511">
        <f t="shared" si="78"/>
        <v>1068705.0265188848</v>
      </c>
      <c r="O214" s="485">
        <v>7226</v>
      </c>
      <c r="P214" s="8">
        <v>155848</v>
      </c>
      <c r="Q214" s="8">
        <v>508945</v>
      </c>
      <c r="R214" s="511">
        <f t="shared" si="79"/>
        <v>92983</v>
      </c>
      <c r="S214" s="510">
        <f t="shared" si="70"/>
        <v>141575</v>
      </c>
      <c r="T214" s="518">
        <f t="shared" si="81"/>
        <v>2.6833833657072224E-2</v>
      </c>
      <c r="U214" s="519">
        <f t="shared" si="73"/>
        <v>3.1691158437046493E-2</v>
      </c>
      <c r="V214" s="512">
        <f>SUM(B201:B214)/POBLA!$B$25*100000</f>
        <v>359.82463790730048</v>
      </c>
      <c r="W214" s="512">
        <f>B214/POBLA!$B$25*100000</f>
        <v>30.852689129948217</v>
      </c>
      <c r="X214" s="513">
        <f t="shared" si="80"/>
        <v>1.0848686177457396</v>
      </c>
      <c r="Y214" s="519">
        <f t="shared" si="65"/>
        <v>2.6833833657072224E-2</v>
      </c>
      <c r="Z214" s="520">
        <f t="shared" si="68"/>
        <v>0.5354602923745555</v>
      </c>
      <c r="AA214" s="517">
        <f t="shared" si="75"/>
        <v>12390.857142857143</v>
      </c>
      <c r="AB214" s="517">
        <f t="shared" si="76"/>
        <v>789.14285714285711</v>
      </c>
      <c r="AC214" s="517">
        <f t="shared" si="61"/>
        <v>229.30649661881995</v>
      </c>
      <c r="AD214" s="517">
        <f t="shared" ref="AD214:AD277" si="88">AC214-AB214</f>
        <v>-559.83636052403722</v>
      </c>
      <c r="AE214" s="545">
        <f t="shared" si="72"/>
        <v>11663.5</v>
      </c>
      <c r="AF214" s="520">
        <f t="shared" si="85"/>
        <v>1.1330189541886013</v>
      </c>
      <c r="AG214" s="200">
        <f t="shared" si="84"/>
        <v>0.11551917046188764</v>
      </c>
      <c r="AH214" s="4"/>
      <c r="AI214" s="200">
        <f t="shared" si="77"/>
        <v>2.3986105080330002</v>
      </c>
      <c r="AJ214" s="488">
        <f>MAX($B$2:B214)</f>
        <v>14392</v>
      </c>
      <c r="AK214" s="179">
        <f t="shared" si="74"/>
        <v>7.3973886842986267E-2</v>
      </c>
      <c r="AL214" s="179"/>
      <c r="AM214" s="200">
        <f t="shared" si="86"/>
        <v>1.0771193648993478</v>
      </c>
      <c r="AN214" s="200">
        <f t="shared" si="87"/>
        <v>2.3986105080330002</v>
      </c>
      <c r="AP214" s="355">
        <f t="shared" si="82"/>
        <v>1.0848686177457396</v>
      </c>
      <c r="AT214" s="179">
        <f t="shared" si="83"/>
        <v>3.3759646992098304E-2</v>
      </c>
    </row>
    <row r="215" spans="1:46" hidden="1" x14ac:dyDescent="0.25">
      <c r="A215" s="259">
        <v>44106</v>
      </c>
      <c r="B215" s="685">
        <v>14687</v>
      </c>
      <c r="C215" s="515">
        <f t="shared" si="60"/>
        <v>779689</v>
      </c>
      <c r="D215" s="670">
        <v>309</v>
      </c>
      <c r="E215" s="515">
        <f t="shared" si="66"/>
        <v>20596</v>
      </c>
      <c r="F215" s="515">
        <f t="shared" si="71"/>
        <v>11375</v>
      </c>
      <c r="G215" s="515">
        <v>614515</v>
      </c>
      <c r="H215" s="515">
        <v>3828</v>
      </c>
      <c r="I215" s="515">
        <v>27537</v>
      </c>
      <c r="J215" s="511">
        <f t="shared" si="62"/>
        <v>1987216</v>
      </c>
      <c r="K215" s="511"/>
      <c r="L215" s="541">
        <f t="shared" si="69"/>
        <v>2.6415660603137919E-2</v>
      </c>
      <c r="M215" s="8">
        <v>1082729</v>
      </c>
      <c r="N215" s="511">
        <f t="shared" si="78"/>
        <v>1082729.0264156605</v>
      </c>
      <c r="O215" s="485">
        <v>7323</v>
      </c>
      <c r="P215" s="8">
        <v>158001</v>
      </c>
      <c r="Q215" s="8">
        <v>520163</v>
      </c>
      <c r="R215" s="511">
        <f t="shared" si="79"/>
        <v>94202</v>
      </c>
      <c r="S215" s="510">
        <f t="shared" si="70"/>
        <v>144578</v>
      </c>
      <c r="T215" s="518">
        <f t="shared" si="81"/>
        <v>2.6477057366957629E-2</v>
      </c>
      <c r="U215" s="519">
        <f t="shared" ref="U215:U245" si="89">E215/C195</f>
        <v>3.7688410027064072E-2</v>
      </c>
      <c r="V215" s="512">
        <f>SUM(B202:B215)/POBLA!$B$25*100000</f>
        <v>365.86692585775535</v>
      </c>
      <c r="W215" s="512">
        <f>B215/POBLA!$B$25*100000</f>
        <v>32.364362920616344</v>
      </c>
      <c r="X215" s="513">
        <f t="shared" si="80"/>
        <v>1.0939213050811722</v>
      </c>
      <c r="Y215" s="519">
        <f t="shared" si="65"/>
        <v>2.6477057366957629E-2</v>
      </c>
      <c r="Z215" s="520">
        <f t="shared" si="68"/>
        <v>0.53796609963326303</v>
      </c>
      <c r="AA215" s="517">
        <f t="shared" si="75"/>
        <v>12636.285714285714</v>
      </c>
      <c r="AB215" s="517">
        <f t="shared" si="76"/>
        <v>770.14285714285711</v>
      </c>
      <c r="AC215" s="517">
        <f t="shared" si="61"/>
        <v>229.68845862492972</v>
      </c>
      <c r="AD215" s="517">
        <f t="shared" si="88"/>
        <v>-540.45439851792742</v>
      </c>
      <c r="AE215" s="545">
        <f t="shared" si="72"/>
        <v>11859.357142857143</v>
      </c>
      <c r="AF215" s="520">
        <f t="shared" si="85"/>
        <v>1.1402090825889117</v>
      </c>
      <c r="AG215" s="200">
        <f t="shared" si="84"/>
        <v>0.11983951171905249</v>
      </c>
      <c r="AH215" s="4"/>
      <c r="AI215" s="200">
        <f t="shared" si="77"/>
        <v>2.1157770800627942</v>
      </c>
      <c r="AJ215" s="488">
        <f>MAX($B$2:B215)</f>
        <v>14687</v>
      </c>
      <c r="AK215" s="179">
        <f t="shared" si="74"/>
        <v>7.0245618607075372E-2</v>
      </c>
      <c r="AL215" s="179"/>
      <c r="AM215" s="200">
        <f t="shared" si="86"/>
        <v>1.0648122392211405</v>
      </c>
      <c r="AN215" s="200">
        <f t="shared" si="87"/>
        <v>2.1157770800627942</v>
      </c>
      <c r="AP215" s="355">
        <f t="shared" si="82"/>
        <v>1.0939213050811722</v>
      </c>
      <c r="AT215" s="179">
        <f t="shared" si="83"/>
        <v>3.3713441619654817E-2</v>
      </c>
    </row>
    <row r="216" spans="1:46" hidden="1" x14ac:dyDescent="0.25">
      <c r="A216" s="259">
        <v>44107</v>
      </c>
      <c r="B216" s="670">
        <v>11129</v>
      </c>
      <c r="C216" s="515">
        <f t="shared" si="60"/>
        <v>790818</v>
      </c>
      <c r="D216" s="670">
        <v>195</v>
      </c>
      <c r="E216" s="515">
        <f t="shared" si="66"/>
        <v>20791</v>
      </c>
      <c r="F216" s="515">
        <f t="shared" si="71"/>
        <v>11599</v>
      </c>
      <c r="G216" s="515">
        <v>626114</v>
      </c>
      <c r="H216" s="515">
        <v>3820</v>
      </c>
      <c r="I216" s="515">
        <v>20525</v>
      </c>
      <c r="J216" s="511">
        <f t="shared" si="62"/>
        <v>2007741</v>
      </c>
      <c r="K216" s="511"/>
      <c r="L216" s="541">
        <f t="shared" si="69"/>
        <v>2.6290499204621037E-2</v>
      </c>
      <c r="M216" s="522">
        <v>1095695</v>
      </c>
      <c r="N216" s="511">
        <f t="shared" si="78"/>
        <v>1095695.0262904991</v>
      </c>
      <c r="O216" s="485">
        <v>7387</v>
      </c>
      <c r="P216" s="8">
        <v>159347</v>
      </c>
      <c r="Q216" s="8">
        <v>527803</v>
      </c>
      <c r="R216" s="511">
        <f t="shared" si="79"/>
        <v>96281</v>
      </c>
      <c r="S216" s="510">
        <f t="shared" si="70"/>
        <v>143913</v>
      </c>
      <c r="T216" s="518">
        <f t="shared" si="81"/>
        <v>2.6543814665805035E-2</v>
      </c>
      <c r="U216" s="519">
        <f t="shared" si="89"/>
        <v>3.7425049996669887E-2</v>
      </c>
      <c r="V216" s="512">
        <f>SUM(B203:B216)/POBLA!$B$25*100000</f>
        <v>369.95020797744633</v>
      </c>
      <c r="W216" s="512">
        <f>B216/POBLA!$B$25*100000</f>
        <v>24.523932385343453</v>
      </c>
      <c r="X216" s="513">
        <f t="shared" si="80"/>
        <v>1.1108729024403154</v>
      </c>
      <c r="Y216" s="519">
        <f t="shared" si="65"/>
        <v>2.6543814665805035E-2</v>
      </c>
      <c r="Z216" s="520">
        <f t="shared" si="68"/>
        <v>0.54243553765190644</v>
      </c>
      <c r="AA216" s="517">
        <f t="shared" si="75"/>
        <v>12619.142857142857</v>
      </c>
      <c r="AB216" s="517">
        <f t="shared" si="76"/>
        <v>749.85714285714289</v>
      </c>
      <c r="AC216" s="517">
        <f t="shared" si="61"/>
        <v>224.42148193640327</v>
      </c>
      <c r="AD216" s="517">
        <f t="shared" si="88"/>
        <v>-525.43566092073956</v>
      </c>
      <c r="AE216" s="545">
        <f t="shared" si="72"/>
        <v>11991.714285714286</v>
      </c>
      <c r="AF216" s="520">
        <f t="shared" si="85"/>
        <v>1.1104211187932118</v>
      </c>
      <c r="AG216" s="200">
        <f t="shared" si="84"/>
        <v>0.10317892267713269</v>
      </c>
      <c r="AH216" s="4"/>
      <c r="AI216" s="200">
        <f t="shared" si="77"/>
        <v>1.9142961342086069</v>
      </c>
      <c r="AJ216" s="488">
        <f>MAX($B$2:B216)</f>
        <v>14687</v>
      </c>
      <c r="AK216" s="179">
        <f t="shared" si="74"/>
        <v>6.7782383553506631E-2</v>
      </c>
      <c r="AL216" s="179"/>
      <c r="AM216" s="200">
        <f t="shared" si="86"/>
        <v>1.0514726121662539</v>
      </c>
      <c r="AN216" s="200">
        <f t="shared" si="87"/>
        <v>1.9142961342086069</v>
      </c>
      <c r="AP216" s="355">
        <f t="shared" si="82"/>
        <v>1.1108729024403154</v>
      </c>
      <c r="AT216" s="179">
        <f t="shared" si="83"/>
        <v>3.3658206230492906E-2</v>
      </c>
    </row>
    <row r="217" spans="1:46" hidden="1" x14ac:dyDescent="0.25">
      <c r="A217" s="259">
        <v>44108</v>
      </c>
      <c r="B217" s="670">
        <v>7668</v>
      </c>
      <c r="C217" s="515">
        <f t="shared" si="60"/>
        <v>798486</v>
      </c>
      <c r="D217" s="670">
        <v>222</v>
      </c>
      <c r="E217" s="515">
        <f t="shared" si="66"/>
        <v>21013</v>
      </c>
      <c r="F217" s="515">
        <f t="shared" si="71"/>
        <v>10558</v>
      </c>
      <c r="G217" s="515">
        <v>636672</v>
      </c>
      <c r="H217" s="515">
        <v>3950</v>
      </c>
      <c r="I217" s="515">
        <v>13213</v>
      </c>
      <c r="J217" s="511">
        <f t="shared" si="62"/>
        <v>2020954</v>
      </c>
      <c r="K217" s="511"/>
      <c r="L217" s="541">
        <f t="shared" si="69"/>
        <v>2.6316053130549567E-2</v>
      </c>
      <c r="M217" s="522">
        <v>1103068</v>
      </c>
      <c r="N217" s="511">
        <f t="shared" si="78"/>
        <v>1103068.0263160532</v>
      </c>
      <c r="O217" s="485">
        <v>7425</v>
      </c>
      <c r="P217" s="8">
        <v>160401</v>
      </c>
      <c r="Q217" s="8">
        <v>533573</v>
      </c>
      <c r="R217" s="511">
        <f t="shared" si="79"/>
        <v>97087</v>
      </c>
      <c r="S217" s="510">
        <f t="shared" si="70"/>
        <v>140801</v>
      </c>
      <c r="T217" s="518">
        <f t="shared" si="81"/>
        <v>2.8053778027144694E-2</v>
      </c>
      <c r="U217" s="519">
        <f t="shared" si="89"/>
        <v>3.7161815628724934E-2</v>
      </c>
      <c r="V217" s="512">
        <f>SUM(B204:B217)/POBLA!$B$25*100000</f>
        <v>368.26885651639714</v>
      </c>
      <c r="W217" s="512">
        <f>B217/POBLA!$B$25*100000</f>
        <v>16.897251642628593</v>
      </c>
      <c r="X217" s="513">
        <f t="shared" si="80"/>
        <v>1.0953510778447038</v>
      </c>
      <c r="Y217" s="519">
        <f t="shared" si="65"/>
        <v>2.8053778027144694E-2</v>
      </c>
      <c r="Z217" s="520">
        <f t="shared" si="68"/>
        <v>0.5417461728272287</v>
      </c>
      <c r="AA217" s="517">
        <f t="shared" si="75"/>
        <v>12451.571428571429</v>
      </c>
      <c r="AB217" s="517">
        <f t="shared" si="76"/>
        <v>752.14285714285711</v>
      </c>
      <c r="AC217" s="517">
        <f t="shared" si="61"/>
        <v>223.95532672407066</v>
      </c>
      <c r="AD217" s="517">
        <f t="shared" si="88"/>
        <v>-528.18753041878642</v>
      </c>
      <c r="AE217" s="545">
        <f t="shared" si="72"/>
        <v>11937.214285714286</v>
      </c>
      <c r="AF217" s="520">
        <f t="shared" si="85"/>
        <v>1.0900575287643823</v>
      </c>
      <c r="AG217" s="200">
        <f t="shared" si="84"/>
        <v>8.6075500223693036E-2</v>
      </c>
      <c r="AH217" s="4"/>
      <c r="AI217" s="200">
        <f t="shared" si="77"/>
        <v>1.9536178107606679</v>
      </c>
      <c r="AJ217" s="488">
        <f>MAX($B$2:B217)</f>
        <v>14687</v>
      </c>
      <c r="AK217" s="179">
        <f t="shared" si="74"/>
        <v>6.810773051847252E-2</v>
      </c>
      <c r="AL217" s="179"/>
      <c r="AM217" s="200">
        <f t="shared" si="86"/>
        <v>1.0960044395116537</v>
      </c>
      <c r="AN217" s="200">
        <f t="shared" si="87"/>
        <v>1.9536178107606679</v>
      </c>
      <c r="AP217" s="355">
        <f t="shared" si="82"/>
        <v>1.0953510778447038</v>
      </c>
      <c r="AT217" s="179">
        <f t="shared" si="83"/>
        <v>3.3840952573350284E-2</v>
      </c>
    </row>
    <row r="218" spans="1:46" hidden="1" x14ac:dyDescent="0.25">
      <c r="A218" s="259">
        <v>44109</v>
      </c>
      <c r="B218" s="685">
        <v>11242</v>
      </c>
      <c r="C218" s="515">
        <f t="shared" si="60"/>
        <v>809728</v>
      </c>
      <c r="D218" s="670">
        <v>450</v>
      </c>
      <c r="E218" s="515">
        <f t="shared" si="66"/>
        <v>21463</v>
      </c>
      <c r="F218" s="515">
        <f t="shared" si="71"/>
        <v>12345</v>
      </c>
      <c r="G218" s="515">
        <v>649017</v>
      </c>
      <c r="H218" s="515">
        <v>3978</v>
      </c>
      <c r="I218" s="515">
        <v>20263</v>
      </c>
      <c r="J218" s="511">
        <f t="shared" si="62"/>
        <v>2041217</v>
      </c>
      <c r="K218" s="511"/>
      <c r="L218" s="541">
        <f t="shared" si="69"/>
        <v>2.6506431789440406E-2</v>
      </c>
      <c r="M218" s="522">
        <v>1113469</v>
      </c>
      <c r="N218" s="511">
        <f t="shared" si="78"/>
        <v>1113469.0265064319</v>
      </c>
      <c r="O218" s="485">
        <v>7503</v>
      </c>
      <c r="P218" s="8">
        <v>162682</v>
      </c>
      <c r="Q218" s="8">
        <v>544916</v>
      </c>
      <c r="R218" s="511">
        <f t="shared" si="79"/>
        <v>94627</v>
      </c>
      <c r="S218" s="510">
        <f t="shared" si="70"/>
        <v>139248</v>
      </c>
      <c r="T218" s="518">
        <f t="shared" si="81"/>
        <v>2.8567735263702172E-2</v>
      </c>
      <c r="U218" s="519">
        <f t="shared" si="89"/>
        <v>3.7175796500490181E-2</v>
      </c>
      <c r="V218" s="512">
        <f>SUM(B205:B218)/POBLA!$B$25*100000</f>
        <v>373.68972754415745</v>
      </c>
      <c r="W218" s="512">
        <f>B218/POBLA!$B$25*100000</f>
        <v>24.772939875643015</v>
      </c>
      <c r="X218" s="513">
        <f t="shared" si="80"/>
        <v>1.1146378335743394</v>
      </c>
      <c r="Y218" s="519">
        <f t="shared" si="65"/>
        <v>2.8567735263702172E-2</v>
      </c>
      <c r="Z218" s="520">
        <f t="shared" si="68"/>
        <v>0.54191594282710454</v>
      </c>
      <c r="AA218" s="517">
        <f t="shared" si="75"/>
        <v>12370.857142857143</v>
      </c>
      <c r="AB218" s="517">
        <f t="shared" si="76"/>
        <v>764.28571428571433</v>
      </c>
      <c r="AC218" s="517">
        <f t="shared" si="61"/>
        <v>224.71835821638291</v>
      </c>
      <c r="AD218" s="517">
        <f t="shared" si="88"/>
        <v>-539.56735606933148</v>
      </c>
      <c r="AE218" s="545">
        <f t="shared" si="72"/>
        <v>12112.928571428571</v>
      </c>
      <c r="AF218" s="520">
        <f t="shared" si="85"/>
        <v>1.0435138880520576</v>
      </c>
      <c r="AG218" s="200">
        <f t="shared" si="84"/>
        <v>6.8639489194499026E-2</v>
      </c>
      <c r="AH218" s="4"/>
      <c r="AI218" s="200">
        <f t="shared" si="77"/>
        <v>2.0319027725028485</v>
      </c>
      <c r="AJ218" s="488">
        <f>MAX($B$2:B218)</f>
        <v>14687</v>
      </c>
      <c r="AK218" s="179">
        <f t="shared" si="74"/>
        <v>6.9735006973500699E-2</v>
      </c>
      <c r="AL218" s="179"/>
      <c r="AM218" s="200">
        <f t="shared" si="86"/>
        <v>1.0815660685154975</v>
      </c>
      <c r="AN218" s="200">
        <f t="shared" si="87"/>
        <v>2.0319027725028485</v>
      </c>
      <c r="AP218" s="355">
        <f t="shared" si="82"/>
        <v>1.1146378335743394</v>
      </c>
      <c r="AT218" s="179">
        <f t="shared" si="83"/>
        <v>3.469439693183634E-2</v>
      </c>
    </row>
    <row r="219" spans="1:46" hidden="1" x14ac:dyDescent="0.25">
      <c r="A219" s="259">
        <v>44110</v>
      </c>
      <c r="B219" s="685">
        <v>14740</v>
      </c>
      <c r="C219" s="515">
        <f t="shared" si="60"/>
        <v>824468</v>
      </c>
      <c r="D219" s="670">
        <v>359</v>
      </c>
      <c r="E219" s="515">
        <f t="shared" si="66"/>
        <v>21822</v>
      </c>
      <c r="F219" s="515">
        <f t="shared" si="71"/>
        <v>11255</v>
      </c>
      <c r="G219" s="515">
        <v>660272</v>
      </c>
      <c r="H219" s="515">
        <v>4007</v>
      </c>
      <c r="I219" s="515">
        <v>26481</v>
      </c>
      <c r="J219" s="511">
        <f t="shared" si="62"/>
        <v>2067698</v>
      </c>
      <c r="K219" s="511"/>
      <c r="L219" s="541">
        <f t="shared" si="69"/>
        <v>2.6467976925726649E-2</v>
      </c>
      <c r="M219" s="522">
        <v>1127417</v>
      </c>
      <c r="N219" s="511">
        <f t="shared" si="78"/>
        <v>1127417.0264679769</v>
      </c>
      <c r="O219" s="485">
        <v>7581</v>
      </c>
      <c r="P219" s="8">
        <v>165737</v>
      </c>
      <c r="Q219" s="8">
        <v>556132</v>
      </c>
      <c r="R219" s="511">
        <f t="shared" si="79"/>
        <v>95018</v>
      </c>
      <c r="S219" s="510">
        <f t="shared" si="70"/>
        <v>142374</v>
      </c>
      <c r="T219" s="518">
        <f t="shared" si="81"/>
        <v>2.8144183629033391E-2</v>
      </c>
      <c r="U219" s="519">
        <f t="shared" si="89"/>
        <v>3.7048481185442739E-2</v>
      </c>
      <c r="V219" s="512">
        <f>SUM(B206:B219)/POBLA!$B$25*100000</f>
        <v>379.66811091745575</v>
      </c>
      <c r="W219" s="512">
        <f>B219/POBLA!$B$25*100000</f>
        <v>32.481154044385164</v>
      </c>
      <c r="X219" s="513">
        <f t="shared" si="80"/>
        <v>1.1324700933350862</v>
      </c>
      <c r="Y219" s="519">
        <f t="shared" si="65"/>
        <v>2.8144183629033391E-2</v>
      </c>
      <c r="Z219" s="520">
        <f t="shared" si="68"/>
        <v>0.54501411246549425</v>
      </c>
      <c r="AA219" s="517">
        <f t="shared" si="75"/>
        <v>12551.285714285714</v>
      </c>
      <c r="AB219" s="517">
        <f t="shared" si="76"/>
        <v>757.71428571428567</v>
      </c>
      <c r="AC219" s="517">
        <f t="shared" si="61"/>
        <v>228.66101114996042</v>
      </c>
      <c r="AD219" s="517">
        <f t="shared" si="88"/>
        <v>-529.05327456432519</v>
      </c>
      <c r="AE219" s="545">
        <f t="shared" si="72"/>
        <v>12306.714285714286</v>
      </c>
      <c r="AF219" s="520">
        <f t="shared" si="85"/>
        <v>1.0405519038313495</v>
      </c>
      <c r="AG219" s="200">
        <f t="shared" si="84"/>
        <v>6.0640374271794029E-2</v>
      </c>
      <c r="AH219" s="4"/>
      <c r="AI219" s="200">
        <f t="shared" si="77"/>
        <v>2.064616582327754</v>
      </c>
      <c r="AJ219" s="488">
        <f>MAX($B$2:B219)</f>
        <v>14740</v>
      </c>
      <c r="AK219" s="179">
        <f t="shared" si="74"/>
        <v>6.8425466038831179E-2</v>
      </c>
      <c r="AL219" s="179"/>
      <c r="AM219" s="200">
        <f t="shared" si="86"/>
        <v>1.0634288747346072</v>
      </c>
      <c r="AN219" s="200">
        <f t="shared" si="87"/>
        <v>2.064616582327754</v>
      </c>
      <c r="AP219" s="355">
        <f t="shared" si="82"/>
        <v>1.1324700933350862</v>
      </c>
      <c r="AT219" s="179">
        <f t="shared" si="83"/>
        <v>3.4610444462444601E-2</v>
      </c>
    </row>
    <row r="220" spans="1:46" hidden="1" x14ac:dyDescent="0.25">
      <c r="A220" s="259">
        <v>44111</v>
      </c>
      <c r="B220" s="685">
        <v>16447</v>
      </c>
      <c r="C220" s="515">
        <f t="shared" si="60"/>
        <v>840915</v>
      </c>
      <c r="D220" s="670">
        <v>401</v>
      </c>
      <c r="E220" s="515">
        <f t="shared" si="66"/>
        <v>22223</v>
      </c>
      <c r="F220" s="515">
        <f t="shared" si="71"/>
        <v>10453</v>
      </c>
      <c r="G220" s="515">
        <v>670725</v>
      </c>
      <c r="H220" s="515">
        <v>3997</v>
      </c>
      <c r="I220" s="532">
        <v>29441</v>
      </c>
      <c r="J220" s="511">
        <f t="shared" si="62"/>
        <v>2097139</v>
      </c>
      <c r="K220" s="511"/>
      <c r="L220" s="541">
        <f t="shared" si="69"/>
        <v>2.6427165646944101E-2</v>
      </c>
      <c r="M220" s="522">
        <v>1142661</v>
      </c>
      <c r="N220" s="511">
        <f t="shared" si="78"/>
        <v>1142661.0264271656</v>
      </c>
      <c r="O220" s="485">
        <v>7669</v>
      </c>
      <c r="P220" s="8">
        <v>168593</v>
      </c>
      <c r="Q220" s="8">
        <v>568246</v>
      </c>
      <c r="R220" s="511">
        <f t="shared" si="79"/>
        <v>96407</v>
      </c>
      <c r="S220" s="510">
        <f t="shared" si="70"/>
        <v>147967</v>
      </c>
      <c r="T220" s="518">
        <f t="shared" si="81"/>
        <v>2.7012779876594107E-2</v>
      </c>
      <c r="U220" s="519">
        <f t="shared" si="89"/>
        <v>3.6932889932575833E-2</v>
      </c>
      <c r="V220" s="512">
        <f>SUM(B207:B220)/POBLA!$B$25*100000</f>
        <v>388.0902934654639</v>
      </c>
      <c r="W220" s="512">
        <f>B220/POBLA!$B$25*100000</f>
        <v>36.242709672184724</v>
      </c>
      <c r="X220" s="513">
        <f t="shared" si="80"/>
        <v>1.1548135811050058</v>
      </c>
      <c r="Y220" s="519">
        <f t="shared" si="65"/>
        <v>2.7012779876594107E-2</v>
      </c>
      <c r="Z220" s="520">
        <f t="shared" si="68"/>
        <v>0.54784855168715951</v>
      </c>
      <c r="AA220" s="517">
        <f t="shared" si="75"/>
        <v>12844.857142857143</v>
      </c>
      <c r="AB220" s="517">
        <f t="shared" si="76"/>
        <v>755.28571428571433</v>
      </c>
      <c r="AC220" s="517">
        <f t="shared" si="61"/>
        <v>234.05802011478016</v>
      </c>
      <c r="AD220" s="517">
        <f t="shared" si="88"/>
        <v>-521.22769417093423</v>
      </c>
      <c r="AE220" s="545">
        <f t="shared" si="72"/>
        <v>12579.714285714286</v>
      </c>
      <c r="AF220" s="520">
        <f t="shared" si="85"/>
        <v>1.0430616459014872</v>
      </c>
      <c r="AG220" s="200">
        <f t="shared" si="84"/>
        <v>6.1303973604934781E-2</v>
      </c>
      <c r="AH220" s="4"/>
      <c r="AI220" s="200">
        <f t="shared" si="77"/>
        <v>2.0620124804992201</v>
      </c>
      <c r="AJ220" s="488">
        <f>MAX($B$2:B220)</f>
        <v>16447</v>
      </c>
      <c r="AK220" s="179">
        <f t="shared" si="74"/>
        <v>6.7822918938334642E-2</v>
      </c>
      <c r="AL220" s="179"/>
      <c r="AM220" s="200">
        <f t="shared" si="86"/>
        <v>1.0540611814345993</v>
      </c>
      <c r="AN220" s="200">
        <f t="shared" si="87"/>
        <v>2.0620124804992201</v>
      </c>
      <c r="AP220" s="355">
        <f t="shared" si="82"/>
        <v>1.1548135811050058</v>
      </c>
      <c r="AT220" s="179">
        <f t="shared" si="83"/>
        <v>3.4278055470547568E-2</v>
      </c>
    </row>
    <row r="221" spans="1:46" hidden="1" x14ac:dyDescent="0.25">
      <c r="A221" s="259">
        <v>44112</v>
      </c>
      <c r="B221" s="670">
        <v>15454</v>
      </c>
      <c r="C221" s="515">
        <f t="shared" si="60"/>
        <v>856369</v>
      </c>
      <c r="D221" s="670">
        <v>484</v>
      </c>
      <c r="E221" s="515">
        <f t="shared" si="66"/>
        <v>22707</v>
      </c>
      <c r="F221" s="515">
        <f t="shared" si="71"/>
        <v>14119</v>
      </c>
      <c r="G221" s="515">
        <v>684844</v>
      </c>
      <c r="H221" s="515">
        <v>4043</v>
      </c>
      <c r="I221" s="515">
        <v>25841</v>
      </c>
      <c r="J221" s="511">
        <f t="shared" si="62"/>
        <v>2122980</v>
      </c>
      <c r="K221" s="511"/>
      <c r="L221" s="541">
        <f t="shared" si="69"/>
        <v>2.6515439022197208E-2</v>
      </c>
      <c r="M221" s="522">
        <v>1155668</v>
      </c>
      <c r="N221" s="511">
        <f t="shared" si="78"/>
        <v>1155668.0265154389</v>
      </c>
      <c r="O221" s="485">
        <v>7761</v>
      </c>
      <c r="P221" s="8">
        <v>171322</v>
      </c>
      <c r="Q221" s="8">
        <v>578517</v>
      </c>
      <c r="R221" s="511">
        <f t="shared" si="79"/>
        <v>98769</v>
      </c>
      <c r="S221" s="510">
        <f t="shared" si="70"/>
        <v>148818</v>
      </c>
      <c r="T221" s="518">
        <f t="shared" si="81"/>
        <v>2.7167412544181483E-2</v>
      </c>
      <c r="U221" s="519">
        <f t="shared" si="89"/>
        <v>3.7002695312372692E-2</v>
      </c>
      <c r="V221" s="512">
        <f>SUM(B208:B221)/POBLA!$B$25*100000</f>
        <v>392.46885880374026</v>
      </c>
      <c r="W221" s="512">
        <f>B221/POBLA!$B$25*100000</f>
        <v>34.054528806100976</v>
      </c>
      <c r="X221" s="513">
        <f t="shared" si="80"/>
        <v>1.1560025443310746</v>
      </c>
      <c r="Y221" s="519">
        <f t="shared" si="65"/>
        <v>2.7167412544181483E-2</v>
      </c>
      <c r="Z221" s="520">
        <f t="shared" si="68"/>
        <v>0.55950055419133993</v>
      </c>
      <c r="AA221" s="517">
        <f t="shared" si="75"/>
        <v>13052.428571428571</v>
      </c>
      <c r="AB221" s="517">
        <f t="shared" si="76"/>
        <v>345.71428571428572</v>
      </c>
      <c r="AC221" s="517">
        <f t="shared" si="61"/>
        <v>238.03386429512904</v>
      </c>
      <c r="AD221" s="517">
        <f t="shared" si="88"/>
        <v>-107.68042141915669</v>
      </c>
      <c r="AE221" s="545">
        <f t="shared" si="72"/>
        <v>12721.642857142857</v>
      </c>
      <c r="AF221" s="520">
        <f t="shared" si="85"/>
        <v>1.0533919018631248</v>
      </c>
      <c r="AG221" s="200">
        <f t="shared" si="84"/>
        <v>5.1160162458061098E-2</v>
      </c>
      <c r="AH221" s="4"/>
      <c r="AI221" s="200">
        <f t="shared" si="77"/>
        <v>0.43808834178131789</v>
      </c>
      <c r="AJ221" s="488">
        <f>MAX($B$2:B221)</f>
        <v>16447</v>
      </c>
      <c r="AK221" s="179">
        <f t="shared" si="74"/>
        <v>3.1653434136005125E-2</v>
      </c>
      <c r="AL221" s="179"/>
      <c r="AM221" s="200">
        <f t="shared" si="86"/>
        <v>1.0642274282705975</v>
      </c>
      <c r="AN221" s="200">
        <f t="shared" si="87"/>
        <v>0.43808834178131789</v>
      </c>
      <c r="AP221" s="355">
        <f t="shared" si="82"/>
        <v>1.1560025443310746</v>
      </c>
      <c r="AT221" s="179">
        <f t="shared" si="83"/>
        <v>3.4529305288562726E-2</v>
      </c>
    </row>
    <row r="222" spans="1:46" hidden="1" x14ac:dyDescent="0.25">
      <c r="A222" s="259">
        <v>44113</v>
      </c>
      <c r="B222" s="670">
        <v>15099</v>
      </c>
      <c r="C222" s="515">
        <f t="shared" si="60"/>
        <v>871468</v>
      </c>
      <c r="D222" s="673">
        <v>514</v>
      </c>
      <c r="E222" s="515">
        <f t="shared" si="66"/>
        <v>23221</v>
      </c>
      <c r="F222" s="515">
        <f t="shared" si="71"/>
        <v>12297</v>
      </c>
      <c r="G222" s="515">
        <v>697141</v>
      </c>
      <c r="H222" s="515">
        <v>4092</v>
      </c>
      <c r="I222" s="515">
        <v>25174</v>
      </c>
      <c r="J222" s="511">
        <f t="shared" si="62"/>
        <v>2148154</v>
      </c>
      <c r="K222" s="511"/>
      <c r="L222" s="541">
        <f t="shared" si="69"/>
        <v>2.6645843565110825E-2</v>
      </c>
      <c r="M222" s="522">
        <v>1172099</v>
      </c>
      <c r="N222" s="511">
        <f t="shared" si="78"/>
        <v>1172099.0266458436</v>
      </c>
      <c r="O222" s="485">
        <v>7817</v>
      </c>
      <c r="P222" s="8">
        <v>174267</v>
      </c>
      <c r="Q222" s="8">
        <v>588788</v>
      </c>
      <c r="R222" s="511">
        <f t="shared" si="79"/>
        <v>100596</v>
      </c>
      <c r="S222" s="510">
        <f t="shared" si="70"/>
        <v>151106</v>
      </c>
      <c r="T222" s="518">
        <f t="shared" si="81"/>
        <v>2.7080327716966897E-2</v>
      </c>
      <c r="U222" s="519">
        <f t="shared" si="89"/>
        <v>3.7276822263674805E-2</v>
      </c>
      <c r="V222" s="512">
        <f>SUM(B209:B222)/POBLA!$B$25*100000</f>
        <v>397.16253981558151</v>
      </c>
      <c r="W222" s="512">
        <f>B222/POBLA!$B$25*100000</f>
        <v>33.272248637460763</v>
      </c>
      <c r="X222" s="513">
        <f t="shared" si="80"/>
        <v>1.158831093679676</v>
      </c>
      <c r="Y222" s="519">
        <f t="shared" si="65"/>
        <v>2.7080327716966897E-2</v>
      </c>
      <c r="Z222" s="520">
        <f t="shared" si="68"/>
        <v>0.57027550982365882</v>
      </c>
      <c r="AA222" s="517">
        <f t="shared" si="75"/>
        <v>13111.285714285714</v>
      </c>
      <c r="AB222" s="517">
        <f t="shared" si="76"/>
        <v>375</v>
      </c>
      <c r="AC222" s="517">
        <f t="shared" si="61"/>
        <v>243.77863740778668</v>
      </c>
      <c r="AD222" s="517">
        <f t="shared" si="88"/>
        <v>-131.22136259221332</v>
      </c>
      <c r="AE222" s="545">
        <f t="shared" si="72"/>
        <v>12873.785714285714</v>
      </c>
      <c r="AF222" s="520">
        <f t="shared" si="85"/>
        <v>1.0375901598571009</v>
      </c>
      <c r="AG222" s="200">
        <f t="shared" si="84"/>
        <v>4.5152097829545212E-2</v>
      </c>
      <c r="AH222" s="4"/>
      <c r="AI222" s="200">
        <f t="shared" si="77"/>
        <v>0.48692264885920983</v>
      </c>
      <c r="AJ222" s="488">
        <f>MAX($B$2:B222)</f>
        <v>16447</v>
      </c>
      <c r="AK222" s="179">
        <f t="shared" si="74"/>
        <v>3.4617819275201772E-2</v>
      </c>
      <c r="AL222" s="179"/>
      <c r="AM222" s="200">
        <f t="shared" si="86"/>
        <v>1.0689655172413792</v>
      </c>
      <c r="AN222" s="200">
        <f t="shared" si="87"/>
        <v>0.48692264885920983</v>
      </c>
      <c r="AP222" s="355">
        <f t="shared" si="82"/>
        <v>1.158831093679676</v>
      </c>
      <c r="AT222" s="179">
        <f t="shared" si="83"/>
        <v>3.4980162873251203E-2</v>
      </c>
    </row>
    <row r="223" spans="1:46" hidden="1" x14ac:dyDescent="0.25">
      <c r="A223" s="259">
        <v>44114</v>
      </c>
      <c r="B223" s="670">
        <v>12414</v>
      </c>
      <c r="C223" s="515">
        <f t="shared" si="60"/>
        <v>883882</v>
      </c>
      <c r="D223" s="670">
        <v>357</v>
      </c>
      <c r="E223" s="515">
        <f t="shared" si="66"/>
        <v>23578</v>
      </c>
      <c r="F223" s="515">
        <f t="shared" si="71"/>
        <v>12323</v>
      </c>
      <c r="G223" s="515">
        <v>709464</v>
      </c>
      <c r="H223" s="515">
        <v>4200</v>
      </c>
      <c r="I223" s="515">
        <v>19871</v>
      </c>
      <c r="J223" s="511">
        <f t="shared" si="62"/>
        <v>2168025</v>
      </c>
      <c r="K223" s="511"/>
      <c r="L223" s="541">
        <f t="shared" si="69"/>
        <v>2.6675506459006973E-2</v>
      </c>
      <c r="M223" s="522">
        <v>1182752</v>
      </c>
      <c r="N223" s="511">
        <f t="shared" si="78"/>
        <v>1182752.0266755065</v>
      </c>
      <c r="O223" s="485">
        <v>7886</v>
      </c>
      <c r="P223" s="8">
        <v>176230</v>
      </c>
      <c r="Q223" s="8">
        <v>594738</v>
      </c>
      <c r="R223" s="511">
        <f t="shared" si="79"/>
        <v>105028</v>
      </c>
      <c r="S223" s="510">
        <f t="shared" si="70"/>
        <v>150840</v>
      </c>
      <c r="T223" s="518">
        <f t="shared" si="81"/>
        <v>2.7844073190135241E-2</v>
      </c>
      <c r="U223" s="519">
        <f t="shared" si="89"/>
        <v>3.7344483777212861E-2</v>
      </c>
      <c r="V223" s="512">
        <f>SUM(B210:B223)/POBLA!$B$25*100000</f>
        <v>399.72974093238679</v>
      </c>
      <c r="W223" s="512">
        <f>B223/POBLA!$B$25*100000</f>
        <v>27.355566235210141</v>
      </c>
      <c r="X223" s="513">
        <f t="shared" si="80"/>
        <v>1.1627853310513259</v>
      </c>
      <c r="Y223" s="519">
        <f t="shared" si="65"/>
        <v>2.7844073190135241E-2</v>
      </c>
      <c r="Z223" s="520">
        <f t="shared" si="68"/>
        <v>0.58061940056399886</v>
      </c>
      <c r="AA223" s="517">
        <f t="shared" si="75"/>
        <v>13294.857142857143</v>
      </c>
      <c r="AB223" s="517">
        <f t="shared" si="76"/>
        <v>398.14285714285717</v>
      </c>
      <c r="AC223" s="517">
        <f t="shared" si="61"/>
        <v>251.42740414219904</v>
      </c>
      <c r="AD223" s="517">
        <f t="shared" si="88"/>
        <v>-146.71545300065813</v>
      </c>
      <c r="AE223" s="545">
        <f t="shared" si="72"/>
        <v>12957</v>
      </c>
      <c r="AF223" s="520">
        <f t="shared" si="85"/>
        <v>1.0535467656847872</v>
      </c>
      <c r="AG223" s="200">
        <f t="shared" si="84"/>
        <v>4.8133247170165205E-2</v>
      </c>
      <c r="AH223" s="4"/>
      <c r="AI223" s="200">
        <f t="shared" si="77"/>
        <v>0.53095827776719373</v>
      </c>
      <c r="AJ223" s="488">
        <f>MAX($B$2:B223)</f>
        <v>16447</v>
      </c>
      <c r="AK223" s="179">
        <f t="shared" si="74"/>
        <v>3.7308737500167333E-2</v>
      </c>
      <c r="AL223" s="179"/>
      <c r="AM223" s="200">
        <f t="shared" si="86"/>
        <v>1.0994764397905759</v>
      </c>
      <c r="AN223" s="200">
        <f t="shared" si="87"/>
        <v>0.53095827776719373</v>
      </c>
      <c r="AP223" s="355">
        <f t="shared" si="82"/>
        <v>1.1627853310513259</v>
      </c>
      <c r="AT223" s="179">
        <f t="shared" si="83"/>
        <v>3.5228144704796432E-2</v>
      </c>
    </row>
    <row r="224" spans="1:46" hidden="1" x14ac:dyDescent="0.25">
      <c r="A224" s="259">
        <v>44115</v>
      </c>
      <c r="B224" s="670">
        <v>10324</v>
      </c>
      <c r="C224" s="515">
        <f t="shared" si="60"/>
        <v>894206</v>
      </c>
      <c r="D224" s="670">
        <v>283</v>
      </c>
      <c r="E224" s="515">
        <f t="shared" si="66"/>
        <v>23861</v>
      </c>
      <c r="F224" s="515">
        <f t="shared" si="71"/>
        <v>11916</v>
      </c>
      <c r="G224" s="515">
        <v>721380</v>
      </c>
      <c r="H224" s="515">
        <v>4237</v>
      </c>
      <c r="I224" s="515">
        <v>14237</v>
      </c>
      <c r="J224" s="511">
        <f t="shared" si="62"/>
        <v>2182262</v>
      </c>
      <c r="K224" s="511"/>
      <c r="L224" s="541">
        <f t="shared" si="69"/>
        <v>2.6684007935531634E-2</v>
      </c>
      <c r="M224" s="522">
        <v>1189378</v>
      </c>
      <c r="N224" s="511">
        <f t="shared" si="78"/>
        <v>1189378.0266840078</v>
      </c>
      <c r="O224" s="485">
        <v>7932</v>
      </c>
      <c r="P224" s="8">
        <v>177557</v>
      </c>
      <c r="Q224" s="8">
        <v>599352</v>
      </c>
      <c r="R224" s="511">
        <f t="shared" si="79"/>
        <v>109365</v>
      </c>
      <c r="S224" s="510">
        <f t="shared" si="70"/>
        <v>148965</v>
      </c>
      <c r="T224" s="518">
        <f t="shared" si="81"/>
        <v>2.8442922834222804E-2</v>
      </c>
      <c r="U224" s="519">
        <f t="shared" si="89"/>
        <v>3.7274251070457252E-2</v>
      </c>
      <c r="V224" s="512">
        <f>SUM(B211:B224)/POBLA!$B$25*100000</f>
        <v>402.99768879180482</v>
      </c>
      <c r="W224" s="512">
        <f>B224/POBLA!$B$25*100000</f>
        <v>22.75002946772269</v>
      </c>
      <c r="X224" s="513">
        <f t="shared" si="80"/>
        <v>1.1739094153593346</v>
      </c>
      <c r="Y224" s="519">
        <f t="shared" si="65"/>
        <v>2.8442922834222804E-2</v>
      </c>
      <c r="Z224" s="520">
        <f t="shared" si="68"/>
        <v>0.59339896347360332</v>
      </c>
      <c r="AA224" s="517">
        <f t="shared" si="75"/>
        <v>13674.285714285714</v>
      </c>
      <c r="AB224" s="517">
        <f t="shared" si="76"/>
        <v>406.85714285714283</v>
      </c>
      <c r="AC224" s="517">
        <f t="shared" si="61"/>
        <v>252.89024606995997</v>
      </c>
      <c r="AD224" s="517">
        <f t="shared" si="88"/>
        <v>-153.96689678718286</v>
      </c>
      <c r="AE224" s="545">
        <f t="shared" si="72"/>
        <v>13062.928571428571</v>
      </c>
      <c r="AF224" s="520">
        <f t="shared" si="85"/>
        <v>1.0981975883709456</v>
      </c>
      <c r="AG224" s="200">
        <f t="shared" si="84"/>
        <v>5.79825427376226E-2</v>
      </c>
      <c r="AH224" s="4"/>
      <c r="AI224" s="200">
        <f t="shared" si="77"/>
        <v>0.54093067426400754</v>
      </c>
      <c r="AJ224" s="488">
        <f>MAX($B$2:B224)</f>
        <v>16447</v>
      </c>
      <c r="AK224" s="179">
        <f t="shared" si="74"/>
        <v>3.8056550323373774E-2</v>
      </c>
      <c r="AL224" s="179"/>
      <c r="AM224" s="200">
        <f t="shared" si="86"/>
        <v>1.0726582278481012</v>
      </c>
      <c r="AN224" s="200">
        <f t="shared" si="87"/>
        <v>0.54093067426400754</v>
      </c>
      <c r="AP224" s="355">
        <f t="shared" si="82"/>
        <v>1.1739094153593344</v>
      </c>
      <c r="AT224" s="179">
        <f t="shared" si="83"/>
        <v>3.5461546829715959E-2</v>
      </c>
    </row>
    <row r="225" spans="1:46" hidden="1" x14ac:dyDescent="0.25">
      <c r="A225" s="259">
        <v>44116</v>
      </c>
      <c r="B225" s="670">
        <v>9524</v>
      </c>
      <c r="C225" s="515">
        <f t="shared" ref="C225:C288" si="90">C224+B225</f>
        <v>903730</v>
      </c>
      <c r="D225" s="670">
        <v>318</v>
      </c>
      <c r="E225" s="515">
        <f t="shared" si="66"/>
        <v>24179</v>
      </c>
      <c r="F225" s="515">
        <f t="shared" si="71"/>
        <v>11202</v>
      </c>
      <c r="G225" s="515">
        <v>732582</v>
      </c>
      <c r="H225" s="515">
        <v>4287</v>
      </c>
      <c r="I225" s="515">
        <v>13956</v>
      </c>
      <c r="J225" s="511">
        <f t="shared" si="62"/>
        <v>2196218</v>
      </c>
      <c r="K225" s="511"/>
      <c r="L225" s="541">
        <f t="shared" si="69"/>
        <v>2.6754672302568245E-2</v>
      </c>
      <c r="M225" s="522">
        <v>1196534</v>
      </c>
      <c r="N225" s="511">
        <f t="shared" si="78"/>
        <v>1196534.0267546724</v>
      </c>
      <c r="O225" s="485">
        <v>7963</v>
      </c>
      <c r="P225" s="8">
        <v>179298</v>
      </c>
      <c r="Q225" s="8">
        <v>608522</v>
      </c>
      <c r="R225" s="511">
        <f t="shared" si="79"/>
        <v>107947</v>
      </c>
      <c r="S225" s="510">
        <f t="shared" si="70"/>
        <v>146969</v>
      </c>
      <c r="T225" s="518">
        <f t="shared" si="81"/>
        <v>2.9169416679707967E-2</v>
      </c>
      <c r="U225" s="519">
        <f t="shared" si="89"/>
        <v>3.7074461723405103E-2</v>
      </c>
      <c r="V225" s="512">
        <f>SUM(B212:B225)/POBLA!$B$25*100000</f>
        <v>397.96685604531018</v>
      </c>
      <c r="W225" s="512">
        <f>B225/POBLA!$B$25*100000</f>
        <v>20.987144580646156</v>
      </c>
      <c r="X225" s="513">
        <f t="shared" si="80"/>
        <v>1.14530142181297</v>
      </c>
      <c r="Y225" s="519">
        <f t="shared" si="65"/>
        <v>2.9169416679707967E-2</v>
      </c>
      <c r="Z225" s="520">
        <f t="shared" si="68"/>
        <v>0.60646060347997754</v>
      </c>
      <c r="AA225" s="517">
        <f t="shared" si="75"/>
        <v>13428.857142857143</v>
      </c>
      <c r="AB225" s="517">
        <f t="shared" si="76"/>
        <v>388</v>
      </c>
      <c r="AC225" s="517">
        <f t="shared" si="61"/>
        <v>264.15594248353</v>
      </c>
      <c r="AD225" s="517">
        <f t="shared" si="88"/>
        <v>-123.84405751647</v>
      </c>
      <c r="AE225" s="545">
        <f t="shared" si="72"/>
        <v>12899.857142857143</v>
      </c>
      <c r="AF225" s="520">
        <f t="shared" si="85"/>
        <v>1.0855235807658552</v>
      </c>
      <c r="AG225" s="200">
        <f t="shared" si="84"/>
        <v>5.5447834080202263E-2</v>
      </c>
      <c r="AH225" s="4"/>
      <c r="AI225" s="200">
        <f t="shared" si="77"/>
        <v>0.50766355140186914</v>
      </c>
      <c r="AJ225" s="488">
        <f>MAX($B$2:B225)</f>
        <v>16447</v>
      </c>
      <c r="AK225" s="179">
        <f t="shared" si="74"/>
        <v>3.5837280800137226E-2</v>
      </c>
      <c r="AL225" s="179"/>
      <c r="AM225" s="200">
        <f t="shared" si="86"/>
        <v>1.0776772247360482</v>
      </c>
      <c r="AN225" s="200">
        <f t="shared" si="87"/>
        <v>0.50766355140186914</v>
      </c>
      <c r="AP225" s="355">
        <f t="shared" si="82"/>
        <v>1.1453014218129702</v>
      </c>
      <c r="AT225" s="179">
        <f t="shared" si="83"/>
        <v>3.6154055014849584E-2</v>
      </c>
    </row>
    <row r="226" spans="1:46" hidden="1" x14ac:dyDescent="0.25">
      <c r="A226" s="259">
        <v>44117</v>
      </c>
      <c r="B226" s="670">
        <v>13305</v>
      </c>
      <c r="C226" s="515">
        <f t="shared" si="90"/>
        <v>917035</v>
      </c>
      <c r="D226" s="670">
        <v>384</v>
      </c>
      <c r="E226" s="515">
        <f t="shared" si="66"/>
        <v>24563</v>
      </c>
      <c r="F226" s="515">
        <f t="shared" si="71"/>
        <v>9653</v>
      </c>
      <c r="G226" s="515">
        <v>742235</v>
      </c>
      <c r="H226" s="515">
        <v>4294</v>
      </c>
      <c r="I226" s="515">
        <v>20544</v>
      </c>
      <c r="J226" s="511">
        <f t="shared" si="62"/>
        <v>2216762</v>
      </c>
      <c r="K226" s="511"/>
      <c r="L226" s="541">
        <f t="shared" si="69"/>
        <v>2.6785237204686844E-2</v>
      </c>
      <c r="M226" s="522">
        <v>1207475</v>
      </c>
      <c r="N226" s="522">
        <f t="shared" ref="N226:N231" si="91">L226+M226</f>
        <v>1207475.0267852372</v>
      </c>
      <c r="O226" s="485">
        <v>8033</v>
      </c>
      <c r="P226" s="8">
        <v>182045</v>
      </c>
      <c r="Q226" s="8">
        <v>619199</v>
      </c>
      <c r="R226" s="511">
        <f t="shared" si="79"/>
        <v>107758</v>
      </c>
      <c r="S226" s="510">
        <f t="shared" si="70"/>
        <v>150237</v>
      </c>
      <c r="T226" s="518">
        <f t="shared" si="81"/>
        <v>2.8581507884209614E-2</v>
      </c>
      <c r="U226" s="519">
        <f t="shared" si="89"/>
        <v>3.6948009849593635E-2</v>
      </c>
      <c r="V226" s="512">
        <f>SUM(B213:B226)/POBLA!$B$25*100000</f>
        <v>397.58783579458878</v>
      </c>
      <c r="W226" s="512">
        <f>B226/POBLA!$B$25*100000</f>
        <v>29.31897927819163</v>
      </c>
      <c r="X226" s="513">
        <f t="shared" si="80"/>
        <v>1.1328239290266275</v>
      </c>
      <c r="Y226" s="519">
        <f t="shared" si="65"/>
        <v>2.8581507884209614E-2</v>
      </c>
      <c r="Z226" s="520">
        <f t="shared" si="68"/>
        <v>0.62098830032737617</v>
      </c>
      <c r="AA226" s="517">
        <f t="shared" si="75"/>
        <v>13223.857142857143</v>
      </c>
      <c r="AB226" s="517">
        <f t="shared" si="76"/>
        <v>391.57142857142856</v>
      </c>
      <c r="AC226" s="517">
        <f t="shared" ref="AC226:AC289" si="92">AA212*L212</f>
        <v>270.48607295632513</v>
      </c>
      <c r="AD226" s="517">
        <f t="shared" si="88"/>
        <v>-121.08535561510342</v>
      </c>
      <c r="AE226" s="545">
        <f t="shared" si="72"/>
        <v>12887.571428571429</v>
      </c>
      <c r="AF226" s="520">
        <f t="shared" si="85"/>
        <v>1.0535858591607008</v>
      </c>
      <c r="AG226" s="200">
        <f t="shared" si="84"/>
        <v>5.5227780353154454E-2</v>
      </c>
      <c r="AH226" s="4"/>
      <c r="AI226" s="200">
        <f t="shared" si="77"/>
        <v>0.51677978883861242</v>
      </c>
      <c r="AJ226" s="488">
        <f>MAX($B$2:B226)</f>
        <v>16447</v>
      </c>
      <c r="AK226" s="179">
        <f t="shared" si="74"/>
        <v>3.58052591015375E-2</v>
      </c>
      <c r="AL226" s="179"/>
      <c r="AM226" s="200">
        <f t="shared" si="86"/>
        <v>1.0716246568505117</v>
      </c>
      <c r="AN226" s="200">
        <f t="shared" si="87"/>
        <v>0.51677978883861242</v>
      </c>
      <c r="AP226" s="355">
        <f t="shared" si="82"/>
        <v>1.1328239290266275</v>
      </c>
      <c r="AT226" s="179">
        <f t="shared" si="83"/>
        <v>3.6545153776784384E-2</v>
      </c>
    </row>
    <row r="227" spans="1:46" hidden="1" x14ac:dyDescent="0.25">
      <c r="A227" s="259">
        <v>44118</v>
      </c>
      <c r="B227" s="670">
        <v>14932</v>
      </c>
      <c r="C227" s="515">
        <f t="shared" si="90"/>
        <v>931967</v>
      </c>
      <c r="D227" s="670">
        <v>350</v>
      </c>
      <c r="E227" s="515">
        <f t="shared" si="66"/>
        <v>24913</v>
      </c>
      <c r="F227" s="515">
        <f t="shared" si="71"/>
        <v>8911</v>
      </c>
      <c r="G227" s="515">
        <v>751146</v>
      </c>
      <c r="H227" s="515">
        <v>4316</v>
      </c>
      <c r="I227" s="515">
        <v>23519</v>
      </c>
      <c r="J227" s="511">
        <f t="shared" si="62"/>
        <v>2240281</v>
      </c>
      <c r="K227" s="511"/>
      <c r="L227" s="541">
        <f t="shared" si="69"/>
        <v>2.6731633201604779E-2</v>
      </c>
      <c r="M227" s="522">
        <v>1219715</v>
      </c>
      <c r="N227" s="522">
        <f t="shared" si="91"/>
        <v>1219715.0267316331</v>
      </c>
      <c r="O227" s="485">
        <v>8098</v>
      </c>
      <c r="P227" s="8">
        <v>184890</v>
      </c>
      <c r="Q227" s="8">
        <v>629734</v>
      </c>
      <c r="R227" s="511">
        <f t="shared" si="79"/>
        <v>109245</v>
      </c>
      <c r="S227" s="510">
        <f t="shared" si="70"/>
        <v>155908</v>
      </c>
      <c r="T227" s="518">
        <f t="shared" si="81"/>
        <v>2.7682992534058547E-2</v>
      </c>
      <c r="U227" s="519">
        <f t="shared" si="89"/>
        <v>3.673042729548584E-2</v>
      </c>
      <c r="V227" s="512">
        <f>SUM(B214:B227)/POBLA!$B$25*100000</f>
        <v>398.77778309336537</v>
      </c>
      <c r="W227" s="512">
        <f>B227/POBLA!$B$25*100000</f>
        <v>32.904246417283538</v>
      </c>
      <c r="X227" s="513">
        <f t="shared" si="80"/>
        <v>1.1171499299335139</v>
      </c>
      <c r="Y227" s="519">
        <f t="shared" si="65"/>
        <v>2.7682992534058547E-2</v>
      </c>
      <c r="Z227" s="520">
        <f t="shared" si="68"/>
        <v>0.63609562532310571</v>
      </c>
      <c r="AA227" s="517">
        <f t="shared" si="75"/>
        <v>13007.428571428571</v>
      </c>
      <c r="AB227" s="517">
        <f t="shared" si="76"/>
        <v>384.28571428571428</v>
      </c>
      <c r="AC227" s="517">
        <f t="shared" si="92"/>
        <v>277.70879361583502</v>
      </c>
      <c r="AD227" s="517">
        <f t="shared" si="88"/>
        <v>-106.57692066987926</v>
      </c>
      <c r="AE227" s="545">
        <f t="shared" si="72"/>
        <v>12926.142857142857</v>
      </c>
      <c r="AF227" s="520">
        <f t="shared" si="85"/>
        <v>1.0126565384700936</v>
      </c>
      <c r="AG227" s="200">
        <f t="shared" si="84"/>
        <v>5.366737177884251E-2</v>
      </c>
      <c r="AH227" s="4"/>
      <c r="AI227" s="200">
        <f t="shared" si="77"/>
        <v>0.50879515793455643</v>
      </c>
      <c r="AJ227" s="488">
        <f>MAX($B$2:B227)</f>
        <v>16447</v>
      </c>
      <c r="AK227" s="179">
        <f t="shared" si="74"/>
        <v>3.4675225904585126E-2</v>
      </c>
      <c r="AL227" s="179"/>
      <c r="AM227" s="200">
        <f t="shared" si="86"/>
        <v>1.0798098573930448</v>
      </c>
      <c r="AN227" s="200">
        <f t="shared" si="87"/>
        <v>0.50879515793455643</v>
      </c>
      <c r="AP227" s="355">
        <f t="shared" si="82"/>
        <v>1.1171499299335139</v>
      </c>
      <c r="AT227" s="179">
        <f t="shared" si="83"/>
        <v>3.6142540263722954E-2</v>
      </c>
    </row>
    <row r="228" spans="1:46" hidden="1" x14ac:dyDescent="0.25">
      <c r="A228" s="259">
        <v>44119</v>
      </c>
      <c r="B228" s="673">
        <v>17096</v>
      </c>
      <c r="C228" s="515">
        <f t="shared" si="90"/>
        <v>949063</v>
      </c>
      <c r="D228" s="670">
        <v>421</v>
      </c>
      <c r="E228" s="515">
        <f t="shared" si="66"/>
        <v>25334</v>
      </c>
      <c r="F228" s="515">
        <f t="shared" si="71"/>
        <v>13713</v>
      </c>
      <c r="G228" s="515">
        <v>764859</v>
      </c>
      <c r="H228" s="515">
        <v>4278</v>
      </c>
      <c r="I228" s="515">
        <v>27662</v>
      </c>
      <c r="J228" s="511">
        <f t="shared" si="62"/>
        <v>2267943</v>
      </c>
      <c r="K228" s="511"/>
      <c r="L228" s="541">
        <f t="shared" si="69"/>
        <v>2.6693696835721127E-2</v>
      </c>
      <c r="M228" s="522">
        <v>1234321</v>
      </c>
      <c r="N228" s="522">
        <f t="shared" si="91"/>
        <v>1234321.0266936969</v>
      </c>
      <c r="O228" s="485">
        <v>8172</v>
      </c>
      <c r="P228" s="8">
        <v>187747</v>
      </c>
      <c r="Q228" s="8">
        <v>642465</v>
      </c>
      <c r="R228" s="511">
        <f t="shared" si="79"/>
        <v>110679</v>
      </c>
      <c r="S228" s="510">
        <f t="shared" si="70"/>
        <v>158870</v>
      </c>
      <c r="T228" s="518">
        <f t="shared" si="81"/>
        <v>2.6927676716812489E-2</v>
      </c>
      <c r="U228" s="519">
        <f t="shared" si="89"/>
        <v>3.6650343226254455E-2</v>
      </c>
      <c r="V228" s="512">
        <f>SUM(B215:B228)/POBLA!$B$25*100000</f>
        <v>405.59794400024271</v>
      </c>
      <c r="W228" s="512">
        <f>B228/POBLA!$B$25*100000</f>
        <v>37.672850036825565</v>
      </c>
      <c r="X228" s="513">
        <f t="shared" si="80"/>
        <v>1.1272100386431418</v>
      </c>
      <c r="Y228" s="519">
        <f t="shared" si="65"/>
        <v>2.6927676716812489E-2</v>
      </c>
      <c r="Z228" s="520">
        <f t="shared" si="68"/>
        <v>0.63943213095755469</v>
      </c>
      <c r="AA228" s="517">
        <f t="shared" si="75"/>
        <v>13242</v>
      </c>
      <c r="AB228" s="517">
        <f t="shared" si="76"/>
        <v>375.28571428571428</v>
      </c>
      <c r="AC228" s="517">
        <f t="shared" si="92"/>
        <v>328.59171460616164</v>
      </c>
      <c r="AD228" s="517">
        <f t="shared" si="88"/>
        <v>-46.693999679552633</v>
      </c>
      <c r="AE228" s="545">
        <f t="shared" si="72"/>
        <v>13147.214285714286</v>
      </c>
      <c r="AF228" s="520">
        <f t="shared" si="85"/>
        <v>1.0145238434007904</v>
      </c>
      <c r="AG228" s="200">
        <f t="shared" si="84"/>
        <v>6.7545592603045268E-2</v>
      </c>
      <c r="AH228" s="4"/>
      <c r="AI228" s="200">
        <f t="shared" si="77"/>
        <v>1.0855371900826445</v>
      </c>
      <c r="AJ228" s="488">
        <f>MAX($B$2:B228)</f>
        <v>17096</v>
      </c>
      <c r="AK228" s="179">
        <f t="shared" si="74"/>
        <v>3.3023255813953489E-2</v>
      </c>
      <c r="AL228" s="179"/>
      <c r="AM228" s="200">
        <f t="shared" si="86"/>
        <v>1.0581251545881771</v>
      </c>
      <c r="AN228" s="200">
        <f t="shared" si="87"/>
        <v>1.0855371900826445</v>
      </c>
      <c r="AP228" s="355">
        <f t="shared" si="82"/>
        <v>1.1272100386431421</v>
      </c>
      <c r="AT228" s="179">
        <f t="shared" si="83"/>
        <v>3.6271437218373795E-2</v>
      </c>
    </row>
    <row r="229" spans="1:46" hidden="1" x14ac:dyDescent="0.25">
      <c r="A229" s="259">
        <v>44120</v>
      </c>
      <c r="B229" s="670">
        <v>16546</v>
      </c>
      <c r="C229" s="515">
        <f t="shared" si="90"/>
        <v>965609</v>
      </c>
      <c r="D229" s="670">
        <v>379</v>
      </c>
      <c r="E229" s="515">
        <f t="shared" si="66"/>
        <v>25713</v>
      </c>
      <c r="F229" s="515">
        <f t="shared" si="71"/>
        <v>13642</v>
      </c>
      <c r="G229" s="515">
        <v>778501</v>
      </c>
      <c r="H229" s="515">
        <v>4346</v>
      </c>
      <c r="I229" s="515">
        <v>27412</v>
      </c>
      <c r="J229" s="511">
        <f t="shared" si="62"/>
        <v>2295355</v>
      </c>
      <c r="K229" s="511"/>
      <c r="L229" s="541">
        <f t="shared" si="69"/>
        <v>2.6628790742422657E-2</v>
      </c>
      <c r="M229" s="522">
        <v>1248101</v>
      </c>
      <c r="N229" s="522">
        <f t="shared" si="91"/>
        <v>1248101.0266287907</v>
      </c>
      <c r="O229" s="485">
        <v>8249</v>
      </c>
      <c r="P229" s="8">
        <v>190484</v>
      </c>
      <c r="Q229" s="8">
        <v>653179</v>
      </c>
      <c r="R229" s="511">
        <f t="shared" si="79"/>
        <v>113697</v>
      </c>
      <c r="S229" s="510">
        <f t="shared" si="70"/>
        <v>161395</v>
      </c>
      <c r="T229" s="518">
        <f t="shared" si="81"/>
        <v>2.6927723907184238E-2</v>
      </c>
      <c r="U229" s="519">
        <f t="shared" si="89"/>
        <v>3.6602968893241696E-2</v>
      </c>
      <c r="V229" s="512">
        <f>SUM(B216:B229)/POBLA!$B$25*100000</f>
        <v>409.6944477565869</v>
      </c>
      <c r="W229" s="512">
        <f>B229/POBLA!$B$25*100000</f>
        <v>36.46086667696045</v>
      </c>
      <c r="X229" s="513">
        <f t="shared" si="80"/>
        <v>1.1197908824255711</v>
      </c>
      <c r="Y229" s="519">
        <f t="shared" si="65"/>
        <v>2.6927723907184238E-2</v>
      </c>
      <c r="Z229" s="520">
        <f t="shared" si="68"/>
        <v>0.63954049225209064</v>
      </c>
      <c r="AA229" s="517">
        <f t="shared" si="75"/>
        <v>13448.714285714286</v>
      </c>
      <c r="AB229" s="517">
        <f t="shared" si="76"/>
        <v>356</v>
      </c>
      <c r="AC229" s="517">
        <f t="shared" si="92"/>
        <v>333.79583471285162</v>
      </c>
      <c r="AD229" s="517">
        <f t="shared" si="88"/>
        <v>-22.204165287148385</v>
      </c>
      <c r="AE229" s="545">
        <f t="shared" si="72"/>
        <v>13280</v>
      </c>
      <c r="AF229" s="520">
        <f t="shared" si="85"/>
        <v>1.0257357347541378</v>
      </c>
      <c r="AG229" s="200">
        <f t="shared" si="84"/>
        <v>6.8091273675433106E-2</v>
      </c>
      <c r="AH229" s="4"/>
      <c r="AI229" s="200">
        <f t="shared" si="77"/>
        <v>0.94933333333333336</v>
      </c>
      <c r="AJ229" s="488">
        <f>MAX($B$2:B229)</f>
        <v>17096</v>
      </c>
      <c r="AK229" s="179">
        <f t="shared" si="74"/>
        <v>3.1165582791395696E-2</v>
      </c>
      <c r="AL229" s="179"/>
      <c r="AM229" s="200">
        <f t="shared" si="86"/>
        <v>1.0620723362658846</v>
      </c>
      <c r="AN229" s="200">
        <f t="shared" si="87"/>
        <v>0.94933333333333336</v>
      </c>
      <c r="AP229" s="355">
        <f t="shared" si="82"/>
        <v>1.1197908824255711</v>
      </c>
      <c r="AT229" s="179">
        <f t="shared" si="83"/>
        <v>3.6107563257275016E-2</v>
      </c>
    </row>
    <row r="230" spans="1:46" hidden="1" x14ac:dyDescent="0.25">
      <c r="A230" s="259">
        <v>44121</v>
      </c>
      <c r="B230" s="670">
        <v>13510</v>
      </c>
      <c r="C230" s="515">
        <f t="shared" si="90"/>
        <v>979119</v>
      </c>
      <c r="D230" s="670">
        <v>383</v>
      </c>
      <c r="E230" s="515">
        <f t="shared" si="66"/>
        <v>26096</v>
      </c>
      <c r="F230" s="515">
        <f t="shared" si="71"/>
        <v>12673</v>
      </c>
      <c r="G230" s="515">
        <v>791174</v>
      </c>
      <c r="H230" s="515">
        <v>4386</v>
      </c>
      <c r="I230" s="515">
        <v>20955</v>
      </c>
      <c r="J230" s="511">
        <f t="shared" si="62"/>
        <v>2316310</v>
      </c>
      <c r="K230" s="511"/>
      <c r="L230" s="541">
        <f t="shared" si="69"/>
        <v>2.6652531510470128E-2</v>
      </c>
      <c r="M230" s="522">
        <v>1260920</v>
      </c>
      <c r="N230" s="522">
        <f t="shared" si="91"/>
        <v>1260920.0266525315</v>
      </c>
      <c r="O230" s="485">
        <v>8311</v>
      </c>
      <c r="P230" s="8">
        <v>192192</v>
      </c>
      <c r="Q230" s="8">
        <v>661955</v>
      </c>
      <c r="R230" s="511">
        <f t="shared" si="79"/>
        <v>116661</v>
      </c>
      <c r="S230" s="510">
        <f t="shared" si="70"/>
        <v>161849</v>
      </c>
      <c r="T230" s="518">
        <f t="shared" si="81"/>
        <v>2.7099333329214267E-2</v>
      </c>
      <c r="U230" s="519">
        <f t="shared" si="89"/>
        <v>3.6686465399079181E-2</v>
      </c>
      <c r="V230" s="512">
        <f>SUM(B217:B230)/POBLA!$B$25*100000</f>
        <v>414.94123390174843</v>
      </c>
      <c r="W230" s="512">
        <f>B230/POBLA!$B$25*100000</f>
        <v>29.770718530504993</v>
      </c>
      <c r="X230" s="513">
        <f t="shared" si="80"/>
        <v>1.1216137332920351</v>
      </c>
      <c r="Y230" s="519">
        <f t="shared" si="65"/>
        <v>2.7099333329214267E-2</v>
      </c>
      <c r="Z230" s="520">
        <f t="shared" si="68"/>
        <v>0.64225646558991134</v>
      </c>
      <c r="AA230" s="517">
        <f t="shared" si="75"/>
        <v>13605.285714285714</v>
      </c>
      <c r="AB230" s="517">
        <f t="shared" si="76"/>
        <v>359.71428571428572</v>
      </c>
      <c r="AC230" s="517">
        <f t="shared" si="92"/>
        <v>331.76356524871352</v>
      </c>
      <c r="AD230" s="517">
        <f t="shared" si="88"/>
        <v>-27.950720465572203</v>
      </c>
      <c r="AE230" s="545">
        <f t="shared" si="72"/>
        <v>13450.071428571429</v>
      </c>
      <c r="AF230" s="520">
        <f t="shared" si="85"/>
        <v>1.0233495229089657</v>
      </c>
      <c r="AG230" s="200">
        <f t="shared" si="84"/>
        <v>7.29846194643331E-2</v>
      </c>
      <c r="AH230" s="4"/>
      <c r="AI230" s="200">
        <f t="shared" si="77"/>
        <v>0.90348044492285606</v>
      </c>
      <c r="AJ230" s="488">
        <f>MAX($B$2:B230)</f>
        <v>17096</v>
      </c>
      <c r="AK230" s="179">
        <f t="shared" si="74"/>
        <v>3.0342833042116046E-2</v>
      </c>
      <c r="AL230" s="179"/>
      <c r="AM230" s="200">
        <f t="shared" si="86"/>
        <v>1.0442857142857143</v>
      </c>
      <c r="AN230" s="200">
        <f t="shared" si="87"/>
        <v>0.90348044492285606</v>
      </c>
      <c r="AP230" s="355">
        <f t="shared" si="82"/>
        <v>1.1216137332920351</v>
      </c>
      <c r="AT230" s="179">
        <f t="shared" si="83"/>
        <v>3.6130851125843258E-2</v>
      </c>
    </row>
    <row r="231" spans="1:46" hidden="1" x14ac:dyDescent="0.25">
      <c r="A231" s="259">
        <v>44122</v>
      </c>
      <c r="B231" s="670">
        <v>10561</v>
      </c>
      <c r="C231" s="515">
        <f t="shared" si="90"/>
        <v>989680</v>
      </c>
      <c r="D231" s="670">
        <v>159</v>
      </c>
      <c r="E231" s="515">
        <f t="shared" si="66"/>
        <v>26255</v>
      </c>
      <c r="F231" s="515">
        <f t="shared" si="71"/>
        <v>12791</v>
      </c>
      <c r="G231" s="515">
        <v>803965</v>
      </c>
      <c r="H231" s="515">
        <v>4387</v>
      </c>
      <c r="I231" s="515">
        <v>13890</v>
      </c>
      <c r="J231" s="511">
        <f t="shared" si="62"/>
        <v>2330200</v>
      </c>
      <c r="K231" s="511"/>
      <c r="L231" s="541">
        <f t="shared" si="69"/>
        <v>2.6528776978417268E-2</v>
      </c>
      <c r="M231" s="522">
        <v>1269203</v>
      </c>
      <c r="N231" s="511">
        <f t="shared" si="91"/>
        <v>1269203.0265287771</v>
      </c>
      <c r="O231" s="485">
        <v>8370</v>
      </c>
      <c r="P231" s="8">
        <v>193297</v>
      </c>
      <c r="Q231" s="8">
        <v>669231</v>
      </c>
      <c r="R231" s="511">
        <f t="shared" si="79"/>
        <v>118782</v>
      </c>
      <c r="S231" s="510">
        <f t="shared" si="70"/>
        <v>159460</v>
      </c>
      <c r="T231" s="518">
        <f t="shared" si="81"/>
        <v>2.7511601655587609E-2</v>
      </c>
      <c r="U231" s="519">
        <f t="shared" si="89"/>
        <v>3.6307340845101586E-2</v>
      </c>
      <c r="V231" s="512">
        <f>SUM(B218:B231)/POBLA!$B$25*100000</f>
        <v>421.31626637463887</v>
      </c>
      <c r="W231" s="512">
        <f>B231/POBLA!$B$25*100000</f>
        <v>23.272284115519113</v>
      </c>
      <c r="X231" s="513">
        <f t="shared" si="80"/>
        <v>1.1440453324238127</v>
      </c>
      <c r="Y231" s="519">
        <f t="shared" si="65"/>
        <v>2.7511601655587609E-2</v>
      </c>
      <c r="Z231" s="533">
        <f t="shared" si="68"/>
        <v>0.64536495018183293</v>
      </c>
      <c r="AA231" s="517">
        <f t="shared" si="75"/>
        <v>13639.142857142857</v>
      </c>
      <c r="AB231" s="517">
        <f t="shared" si="76"/>
        <v>342</v>
      </c>
      <c r="AC231" s="517">
        <f t="shared" si="92"/>
        <v>327.67621527311871</v>
      </c>
      <c r="AD231" s="517">
        <f t="shared" si="88"/>
        <v>-14.323784726881286</v>
      </c>
      <c r="AE231" s="545">
        <f t="shared" si="72"/>
        <v>13656.714285714286</v>
      </c>
      <c r="AF231" s="520">
        <f t="shared" si="85"/>
        <v>0.99743000417885497</v>
      </c>
      <c r="AG231" s="200">
        <f t="shared" si="84"/>
        <v>7.0452790924042663E-2</v>
      </c>
      <c r="AH231" s="4"/>
      <c r="AI231" s="200">
        <f t="shared" si="77"/>
        <v>0.84058988764044951</v>
      </c>
      <c r="AJ231" s="488">
        <f>MAX($B$2:B231)</f>
        <v>17096</v>
      </c>
      <c r="AK231" s="179">
        <f t="shared" si="74"/>
        <v>2.8353171078344289E-2</v>
      </c>
      <c r="AL231" s="179"/>
      <c r="AM231" s="200">
        <f t="shared" si="86"/>
        <v>1.0354024073637007</v>
      </c>
      <c r="AN231" s="200">
        <f t="shared" si="87"/>
        <v>0.84058988764044951</v>
      </c>
      <c r="AP231" s="355">
        <f t="shared" si="82"/>
        <v>1.1440453324238127</v>
      </c>
      <c r="AT231" s="179">
        <f t="shared" si="83"/>
        <v>3.6162777709814853E-2</v>
      </c>
    </row>
    <row r="232" spans="1:46" hidden="1" x14ac:dyDescent="0.25">
      <c r="A232" s="259">
        <v>44123</v>
      </c>
      <c r="B232" s="670">
        <v>12982</v>
      </c>
      <c r="C232" s="515">
        <f t="shared" si="90"/>
        <v>1002662</v>
      </c>
      <c r="D232" s="670">
        <v>448</v>
      </c>
      <c r="E232" s="515">
        <f t="shared" si="66"/>
        <v>26703</v>
      </c>
      <c r="F232" s="515">
        <f t="shared" si="71"/>
        <v>12282</v>
      </c>
      <c r="G232" s="515">
        <v>816247</v>
      </c>
      <c r="H232" s="515">
        <v>4392</v>
      </c>
      <c r="I232" s="515">
        <v>28395</v>
      </c>
      <c r="J232" s="511">
        <f t="shared" si="62"/>
        <v>2358595</v>
      </c>
      <c r="K232" s="511"/>
      <c r="L232" s="541">
        <f t="shared" si="69"/>
        <v>2.663210533559664E-2</v>
      </c>
      <c r="M232" s="522">
        <v>1281757</v>
      </c>
      <c r="N232" s="511">
        <v>1283413</v>
      </c>
      <c r="O232" s="520">
        <v>8406</v>
      </c>
      <c r="P232" s="511">
        <v>195959</v>
      </c>
      <c r="Q232" s="511">
        <v>676839</v>
      </c>
      <c r="R232" s="511">
        <v>121458</v>
      </c>
      <c r="S232" s="510">
        <f t="shared" si="70"/>
        <v>159712</v>
      </c>
      <c r="T232" s="518">
        <f t="shared" si="81"/>
        <v>2.7499499098377077E-2</v>
      </c>
      <c r="U232" s="519">
        <f t="shared" si="89"/>
        <v>3.6251254057444317E-2</v>
      </c>
      <c r="V232" s="512">
        <f>SUM(B219:B232)/POBLA!$B$25*100000</f>
        <v>425.1505410040304</v>
      </c>
      <c r="W232" s="512">
        <f>B232/POBLA!$B$25*100000</f>
        <v>28.607214505034477</v>
      </c>
      <c r="X232" s="513">
        <f t="shared" si="80"/>
        <v>1.1377100028894747</v>
      </c>
      <c r="Y232" s="519">
        <f t="shared" si="65"/>
        <v>2.7499499098377077E-2</v>
      </c>
      <c r="Z232" s="520">
        <f t="shared" si="68"/>
        <v>0.60927348085012045</v>
      </c>
      <c r="AA232" s="517">
        <f t="shared" si="75"/>
        <v>14133.142857142857</v>
      </c>
      <c r="AB232" s="517">
        <f t="shared" si="76"/>
        <v>360.57142857142856</v>
      </c>
      <c r="AC232" s="517">
        <f t="shared" si="92"/>
        <v>327.90728103405451</v>
      </c>
      <c r="AD232" s="517">
        <f t="shared" si="88"/>
        <v>-32.664147537374049</v>
      </c>
      <c r="AE232" s="545">
        <f t="shared" si="72"/>
        <v>13781</v>
      </c>
      <c r="AF232" s="520">
        <f t="shared" si="85"/>
        <v>1.0524456926448373</v>
      </c>
      <c r="AG232" s="200">
        <f t="shared" si="84"/>
        <v>8.6705359633664214E-2</v>
      </c>
      <c r="AH232" s="4"/>
      <c r="AI232" s="200">
        <f t="shared" si="77"/>
        <v>0.92930780559646531</v>
      </c>
      <c r="AJ232" s="488">
        <f>MAX($B$2:B232)</f>
        <v>17096</v>
      </c>
      <c r="AK232" s="179">
        <f t="shared" si="74"/>
        <v>2.9280063107584509E-2</v>
      </c>
      <c r="AL232" s="179"/>
      <c r="AM232" s="200">
        <f t="shared" si="86"/>
        <v>1.0244926522043387</v>
      </c>
      <c r="AN232" s="200">
        <f t="shared" si="87"/>
        <v>0.92930780559646531</v>
      </c>
      <c r="AP232" s="355">
        <f t="shared" si="82"/>
        <v>1.1377100028894747</v>
      </c>
      <c r="AT232" s="179">
        <f t="shared" si="83"/>
        <v>3.6613049340580628E-2</v>
      </c>
    </row>
    <row r="233" spans="1:46" hidden="1" x14ac:dyDescent="0.25">
      <c r="A233" s="259">
        <v>44124</v>
      </c>
      <c r="B233" s="670">
        <v>16337</v>
      </c>
      <c r="C233" s="515">
        <f t="shared" si="90"/>
        <v>1018999</v>
      </c>
      <c r="D233" s="670">
        <v>381</v>
      </c>
      <c r="E233" s="515">
        <f t="shared" si="66"/>
        <v>27084</v>
      </c>
      <c r="F233" s="515">
        <f t="shared" si="71"/>
        <v>13400</v>
      </c>
      <c r="G233" s="515">
        <v>829647</v>
      </c>
      <c r="H233" s="515">
        <v>4451</v>
      </c>
      <c r="I233" s="515">
        <v>37474</v>
      </c>
      <c r="J233" s="511">
        <f t="shared" si="62"/>
        <v>2396069</v>
      </c>
      <c r="K233" s="511"/>
      <c r="L233" s="541">
        <f t="shared" si="69"/>
        <v>2.6579025102085478E-2</v>
      </c>
      <c r="M233" s="522">
        <v>1298433</v>
      </c>
      <c r="N233" s="511">
        <v>1283413</v>
      </c>
      <c r="O233" s="520">
        <v>8482</v>
      </c>
      <c r="P233" s="511">
        <v>199382</v>
      </c>
      <c r="Q233" s="511">
        <v>689632</v>
      </c>
      <c r="R233" s="512">
        <f t="shared" ref="R233:R264" si="93">C233-O233-P233-Q233</f>
        <v>121503</v>
      </c>
      <c r="S233" s="510">
        <f t="shared" si="70"/>
        <v>162268</v>
      </c>
      <c r="T233" s="518">
        <f t="shared" si="81"/>
        <v>2.7429930731875662E-2</v>
      </c>
      <c r="U233" s="519">
        <f t="shared" si="89"/>
        <v>3.6063866759165432E-2</v>
      </c>
      <c r="V233" s="512">
        <f>SUM(B220:B233)/POBLA!$B$25*100000</f>
        <v>428.66969995985693</v>
      </c>
      <c r="W233" s="512">
        <f>B233/POBLA!$B$25*100000</f>
        <v>36.000313000211698</v>
      </c>
      <c r="X233" s="513">
        <f t="shared" si="80"/>
        <v>1.1290642738574761</v>
      </c>
      <c r="Y233" s="519">
        <f t="shared" si="65"/>
        <v>2.7429930731875662E-2</v>
      </c>
      <c r="Z233" s="520">
        <f t="shared" si="68"/>
        <v>0.56865599223677832</v>
      </c>
      <c r="AA233" s="517">
        <f t="shared" si="75"/>
        <v>14566.285714285714</v>
      </c>
      <c r="AB233" s="517">
        <f t="shared" si="76"/>
        <v>360.14285714285717</v>
      </c>
      <c r="AC233" s="517">
        <f t="shared" si="92"/>
        <v>332.2071406739168</v>
      </c>
      <c r="AD233" s="517">
        <f t="shared" si="88"/>
        <v>-27.93571646894037</v>
      </c>
      <c r="AE233" s="545">
        <f t="shared" si="72"/>
        <v>13895.071428571429</v>
      </c>
      <c r="AF233" s="520">
        <f t="shared" si="85"/>
        <v>1.1015156589281276</v>
      </c>
      <c r="AG233" s="200">
        <f t="shared" si="84"/>
        <v>8.0080140045394987E-2</v>
      </c>
      <c r="AH233" s="4"/>
      <c r="AI233" s="200">
        <f t="shared" si="77"/>
        <v>0.91973732214520254</v>
      </c>
      <c r="AJ233" s="488">
        <f>MAX($B$2:B233)</f>
        <v>17096</v>
      </c>
      <c r="AK233" s="179">
        <f t="shared" si="74"/>
        <v>2.9065209370964767E-2</v>
      </c>
      <c r="AL233" s="179"/>
      <c r="AM233" s="200">
        <f t="shared" si="86"/>
        <v>1.036562645551933</v>
      </c>
      <c r="AN233" s="200">
        <f t="shared" si="87"/>
        <v>0.91973732214520254</v>
      </c>
      <c r="AP233" s="355">
        <f t="shared" si="82"/>
        <v>1.1290642738574761</v>
      </c>
      <c r="AT233" s="179">
        <f t="shared" si="83"/>
        <v>3.6196515269558395E-2</v>
      </c>
    </row>
    <row r="234" spans="1:46" hidden="1" x14ac:dyDescent="0.25">
      <c r="A234" s="259">
        <v>44125</v>
      </c>
      <c r="B234" s="673">
        <v>18326</v>
      </c>
      <c r="C234" s="515">
        <f t="shared" si="90"/>
        <v>1037325</v>
      </c>
      <c r="D234" s="670">
        <v>421</v>
      </c>
      <c r="E234" s="515">
        <f t="shared" si="66"/>
        <v>27505</v>
      </c>
      <c r="F234" s="515">
        <f t="shared" si="71"/>
        <v>10873</v>
      </c>
      <c r="G234" s="515">
        <v>840520</v>
      </c>
      <c r="H234" s="515">
        <v>4573</v>
      </c>
      <c r="I234" s="515">
        <v>38340</v>
      </c>
      <c r="J234" s="511">
        <f t="shared" ref="J234:J297" si="94">J235-I235</f>
        <v>2434409</v>
      </c>
      <c r="K234" s="511"/>
      <c r="L234" s="541">
        <f t="shared" si="69"/>
        <v>2.651531583640614E-2</v>
      </c>
      <c r="M234" s="522">
        <v>1314443</v>
      </c>
      <c r="N234" s="522">
        <f>L234+M234</f>
        <v>1314443.0265153158</v>
      </c>
      <c r="O234" s="520">
        <v>8552</v>
      </c>
      <c r="P234" s="511">
        <v>202216</v>
      </c>
      <c r="Q234" s="511">
        <v>702103</v>
      </c>
      <c r="R234" s="512">
        <f t="shared" si="93"/>
        <v>124454</v>
      </c>
      <c r="S234" s="510">
        <f t="shared" si="70"/>
        <v>169300</v>
      </c>
      <c r="T234" s="518">
        <f t="shared" si="81"/>
        <v>2.7011222681630243E-2</v>
      </c>
      <c r="U234" s="519">
        <f t="shared" si="89"/>
        <v>3.5954154368223877E-2</v>
      </c>
      <c r="V234" s="512">
        <f>SUM(B221:B234)/POBLA!$B$25*100000</f>
        <v>432.81027583837789</v>
      </c>
      <c r="W234" s="512">
        <f>B234/POBLA!$B$25*100000</f>
        <v>40.383285550705736</v>
      </c>
      <c r="X234" s="513">
        <f t="shared" si="80"/>
        <v>1.1152308705625837</v>
      </c>
      <c r="Y234" s="519">
        <f t="shared" si="65"/>
        <v>2.7011222681630243E-2</v>
      </c>
      <c r="Z234" s="520">
        <f t="shared" si="68"/>
        <v>0.54272438803263823</v>
      </c>
      <c r="AA234" s="517">
        <f t="shared" si="75"/>
        <v>15051.142857142857</v>
      </c>
      <c r="AB234" s="517">
        <f t="shared" si="76"/>
        <v>370.28571428571428</v>
      </c>
      <c r="AC234" s="517">
        <f t="shared" si="92"/>
        <v>339.45316742561886</v>
      </c>
      <c r="AD234" s="517">
        <f t="shared" si="88"/>
        <v>-30.83254686009542</v>
      </c>
      <c r="AE234" s="545">
        <f t="shared" si="72"/>
        <v>14029.285714285714</v>
      </c>
      <c r="AF234" s="520">
        <f t="shared" si="85"/>
        <v>1.157119008917981</v>
      </c>
      <c r="AG234" s="200">
        <f t="shared" si="84"/>
        <v>8.5896810939785073E-2</v>
      </c>
      <c r="AH234" s="4"/>
      <c r="AI234" s="200">
        <f t="shared" si="77"/>
        <v>0.96356877323420076</v>
      </c>
      <c r="AJ234" s="488">
        <f>MAX($B$2:B234)</f>
        <v>18326</v>
      </c>
      <c r="AK234" s="179">
        <f t="shared" si="74"/>
        <v>2.9303366721685847E-2</v>
      </c>
      <c r="AL234" s="179"/>
      <c r="AM234" s="200">
        <f t="shared" si="86"/>
        <v>1.059545875810936</v>
      </c>
      <c r="AN234" s="200">
        <f t="shared" si="87"/>
        <v>0.96356877323420076</v>
      </c>
      <c r="AP234" s="355">
        <f t="shared" si="82"/>
        <v>1.1152308705625837</v>
      </c>
      <c r="AT234" s="179">
        <f t="shared" si="83"/>
        <v>3.5311623503819445E-2</v>
      </c>
    </row>
    <row r="235" spans="1:46" hidden="1" x14ac:dyDescent="0.25">
      <c r="A235" s="259">
        <v>44126</v>
      </c>
      <c r="B235" s="670">
        <v>16325</v>
      </c>
      <c r="C235" s="515">
        <f t="shared" si="90"/>
        <v>1053650</v>
      </c>
      <c r="D235" s="670">
        <v>437</v>
      </c>
      <c r="E235" s="506">
        <f t="shared" si="66"/>
        <v>27942</v>
      </c>
      <c r="F235" s="515">
        <f t="shared" si="71"/>
        <v>11334</v>
      </c>
      <c r="G235" s="506">
        <v>851854</v>
      </c>
      <c r="H235" s="506">
        <v>4611</v>
      </c>
      <c r="I235" s="506">
        <v>39196</v>
      </c>
      <c r="J235" s="511">
        <f t="shared" si="94"/>
        <v>2473605</v>
      </c>
      <c r="K235" s="511"/>
      <c r="L235" s="541">
        <f t="shared" si="69"/>
        <v>2.651924263275281E-2</v>
      </c>
      <c r="M235" s="510">
        <v>1332741</v>
      </c>
      <c r="N235" s="510">
        <f>M235+L235</f>
        <v>1332741.0265192427</v>
      </c>
      <c r="O235" s="509">
        <v>8614</v>
      </c>
      <c r="P235" s="510">
        <v>205085</v>
      </c>
      <c r="Q235" s="510">
        <v>714929</v>
      </c>
      <c r="R235" s="510">
        <f t="shared" si="93"/>
        <v>125022</v>
      </c>
      <c r="S235" s="510">
        <f t="shared" si="70"/>
        <v>173854</v>
      </c>
      <c r="T235" s="518">
        <f t="shared" si="81"/>
        <v>2.6522254305336661E-2</v>
      </c>
      <c r="U235" s="519">
        <f t="shared" si="89"/>
        <v>3.5837365924105635E-2</v>
      </c>
      <c r="V235" s="512">
        <f>SUM(B222:B235)/POBLA!$B$25*100000</f>
        <v>434.72961675918248</v>
      </c>
      <c r="W235" s="512">
        <f>B235/POBLA!$B$25*100000</f>
        <v>35.973869726905548</v>
      </c>
      <c r="X235" s="513">
        <f t="shared" si="80"/>
        <v>1.1076792642459701</v>
      </c>
      <c r="Y235" s="519">
        <f t="shared" si="65"/>
        <v>2.6522254305336661E-2</v>
      </c>
      <c r="Z235" s="520">
        <f t="shared" si="68"/>
        <v>0.50853828125759737</v>
      </c>
      <c r="AA235" s="517">
        <f t="shared" si="75"/>
        <v>14941</v>
      </c>
      <c r="AB235" s="517">
        <f t="shared" si="76"/>
        <v>372.57142857142856</v>
      </c>
      <c r="AC235" s="517">
        <f t="shared" si="92"/>
        <v>346.09087387729886</v>
      </c>
      <c r="AD235" s="517">
        <f t="shared" si="88"/>
        <v>-26.480554694129694</v>
      </c>
      <c r="AE235" s="545">
        <f t="shared" si="72"/>
        <v>14091.5</v>
      </c>
      <c r="AF235" s="520">
        <f t="shared" si="85"/>
        <v>1.128303881588884</v>
      </c>
      <c r="AG235" s="200">
        <f t="shared" si="84"/>
        <v>9.431610750928443E-2</v>
      </c>
      <c r="AH235" s="4"/>
      <c r="AI235" s="200">
        <f t="shared" si="77"/>
        <v>0.99276741530262658</v>
      </c>
      <c r="AJ235" s="488">
        <f>MAX($B$2:B235)</f>
        <v>18326</v>
      </c>
      <c r="AK235" s="179">
        <f t="shared" si="74"/>
        <v>2.9524305476939797E-2</v>
      </c>
      <c r="AL235" s="179"/>
      <c r="AM235" s="200">
        <f t="shared" si="86"/>
        <v>1.0778401122019636</v>
      </c>
      <c r="AN235" s="200">
        <f t="shared" si="87"/>
        <v>0.99276741530262658</v>
      </c>
      <c r="AP235" s="355">
        <f t="shared" si="82"/>
        <v>1.1076792642459701</v>
      </c>
      <c r="AT235" s="179">
        <f t="shared" si="83"/>
        <v>3.4853889149040043E-2</v>
      </c>
    </row>
    <row r="236" spans="1:46" hidden="1" x14ac:dyDescent="0.25">
      <c r="A236" s="259">
        <v>44127</v>
      </c>
      <c r="B236" s="670">
        <v>15718</v>
      </c>
      <c r="C236" s="515">
        <f t="shared" si="90"/>
        <v>1069368</v>
      </c>
      <c r="D236" s="670">
        <v>380</v>
      </c>
      <c r="E236" s="506">
        <f t="shared" si="66"/>
        <v>28322</v>
      </c>
      <c r="F236" s="515">
        <f t="shared" si="71"/>
        <v>14841</v>
      </c>
      <c r="G236" s="506">
        <v>866695</v>
      </c>
      <c r="H236" s="506">
        <v>4696</v>
      </c>
      <c r="I236" s="506">
        <v>35671</v>
      </c>
      <c r="J236" s="511">
        <f t="shared" si="94"/>
        <v>2509276</v>
      </c>
      <c r="K236" s="511"/>
      <c r="L236" s="541">
        <f t="shared" si="69"/>
        <v>2.6484802238331426E-2</v>
      </c>
      <c r="M236" s="510">
        <v>1348372</v>
      </c>
      <c r="N236" s="510">
        <f t="shared" ref="N236:N299" si="95">M236+L236</f>
        <v>1348372.0264848021</v>
      </c>
      <c r="O236" s="509">
        <v>8671</v>
      </c>
      <c r="P236" s="97">
        <v>208116</v>
      </c>
      <c r="Q236" s="97">
        <v>727467</v>
      </c>
      <c r="R236" s="510">
        <f t="shared" si="93"/>
        <v>125114</v>
      </c>
      <c r="S236" s="510">
        <f t="shared" si="70"/>
        <v>174351</v>
      </c>
      <c r="T236" s="518">
        <f t="shared" si="81"/>
        <v>2.6934173018795419E-2</v>
      </c>
      <c r="U236" s="519">
        <f t="shared" si="89"/>
        <v>3.5813550020358666E-2</v>
      </c>
      <c r="V236" s="512">
        <f>SUM(B223:B236)/POBLA!$B$25*100000</f>
        <v>436.09364894055796</v>
      </c>
      <c r="W236" s="512">
        <f>B236/POBLA!$B$25*100000</f>
        <v>34.636280818836234</v>
      </c>
      <c r="X236" s="513">
        <f t="shared" si="80"/>
        <v>1.0980231145239774</v>
      </c>
      <c r="Y236" s="519">
        <f t="shared" si="65"/>
        <v>2.6934173018795419E-2</v>
      </c>
      <c r="Z236" s="520">
        <f t="shared" si="68"/>
        <v>0.48503419486632915</v>
      </c>
      <c r="AA236" s="517">
        <f t="shared" si="75"/>
        <v>14822.714285714286</v>
      </c>
      <c r="AB236" s="517">
        <f t="shared" si="76"/>
        <v>372.71428571428572</v>
      </c>
      <c r="AC236" s="517">
        <f t="shared" si="92"/>
        <v>349.36126808032947</v>
      </c>
      <c r="AD236" s="517">
        <f t="shared" si="88"/>
        <v>-23.353017633956256</v>
      </c>
      <c r="AE236" s="545">
        <f t="shared" si="72"/>
        <v>14135.714285714286</v>
      </c>
      <c r="AF236" s="520">
        <f t="shared" si="85"/>
        <v>1.1021659000860411</v>
      </c>
      <c r="AG236" s="200">
        <f t="shared" si="84"/>
        <v>8.0275101459152953E-2</v>
      </c>
      <c r="AH236" s="4"/>
      <c r="AI236" s="200">
        <f t="shared" si="77"/>
        <v>1.0469502407704656</v>
      </c>
      <c r="AJ236" s="488">
        <f>MAX($B$2:B236)</f>
        <v>18326</v>
      </c>
      <c r="AK236" s="179">
        <f t="shared" si="74"/>
        <v>2.9933112286458393E-2</v>
      </c>
      <c r="AL236" s="179"/>
      <c r="AM236" s="200">
        <f t="shared" si="86"/>
        <v>1.0805338242061666</v>
      </c>
      <c r="AN236" s="200">
        <f t="shared" si="87"/>
        <v>1.0469502407704656</v>
      </c>
      <c r="AP236" s="355">
        <f t="shared" si="82"/>
        <v>1.0980231145239774</v>
      </c>
      <c r="AT236" s="179">
        <f t="shared" si="83"/>
        <v>3.4481139187629302E-2</v>
      </c>
    </row>
    <row r="237" spans="1:46" hidden="1" x14ac:dyDescent="0.25">
      <c r="A237" s="259">
        <v>44128</v>
      </c>
      <c r="B237" s="670">
        <v>11968</v>
      </c>
      <c r="C237" s="515">
        <f t="shared" si="90"/>
        <v>1081336</v>
      </c>
      <c r="D237" s="670">
        <v>273</v>
      </c>
      <c r="E237" s="506">
        <f t="shared" si="66"/>
        <v>28595</v>
      </c>
      <c r="F237" s="515">
        <f t="shared" si="71"/>
        <v>14418</v>
      </c>
      <c r="G237" s="506">
        <v>881113</v>
      </c>
      <c r="H237" s="506">
        <v>4850</v>
      </c>
      <c r="I237" s="506">
        <v>27027</v>
      </c>
      <c r="J237" s="511">
        <f t="shared" si="94"/>
        <v>2536303</v>
      </c>
      <c r="K237" s="511"/>
      <c r="L237" s="541">
        <f t="shared" si="69"/>
        <v>2.6444139471912521E-2</v>
      </c>
      <c r="M237" s="510">
        <v>1359984</v>
      </c>
      <c r="N237" s="510">
        <f t="shared" si="95"/>
        <v>1359984.0264441394</v>
      </c>
      <c r="O237" s="509">
        <v>8708</v>
      </c>
      <c r="P237" s="97">
        <v>210053</v>
      </c>
      <c r="Q237" s="97">
        <v>735763</v>
      </c>
      <c r="R237" s="510">
        <f t="shared" si="93"/>
        <v>126812</v>
      </c>
      <c r="S237" s="510">
        <f t="shared" si="70"/>
        <v>171628</v>
      </c>
      <c r="T237" s="518">
        <f t="shared" si="81"/>
        <v>2.8258792271657306E-2</v>
      </c>
      <c r="U237" s="519">
        <f t="shared" si="89"/>
        <v>3.5811523307860124E-2</v>
      </c>
      <c r="V237" s="512">
        <f>SUM(B224:B237)/POBLA!$B$25*100000</f>
        <v>435.11084061601281</v>
      </c>
      <c r="W237" s="512">
        <f>B237/POBLA!$B$25*100000</f>
        <v>26.372757910664969</v>
      </c>
      <c r="X237" s="513">
        <f t="shared" si="80"/>
        <v>1.0885125525088479</v>
      </c>
      <c r="Y237" s="519">
        <f t="shared" si="65"/>
        <v>2.8258792271657306E-2</v>
      </c>
      <c r="Z237" s="520">
        <f t="shared" si="68"/>
        <v>0.46463751119353797</v>
      </c>
      <c r="AA237" s="517">
        <f t="shared" si="75"/>
        <v>14602.428571428571</v>
      </c>
      <c r="AB237" s="517">
        <f t="shared" si="76"/>
        <v>357</v>
      </c>
      <c r="AC237" s="517">
        <f t="shared" si="92"/>
        <v>354.64704758586072</v>
      </c>
      <c r="AD237" s="517">
        <f t="shared" si="88"/>
        <v>-2.3529524141392812</v>
      </c>
      <c r="AE237" s="545">
        <f t="shared" si="72"/>
        <v>14103.857142857143</v>
      </c>
      <c r="AF237" s="520">
        <f t="shared" si="85"/>
        <v>1.0732908428446928</v>
      </c>
      <c r="AG237" s="200">
        <f t="shared" si="84"/>
        <v>6.0420515418692755E-2</v>
      </c>
      <c r="AH237" s="4"/>
      <c r="AI237" s="200">
        <f t="shared" si="77"/>
        <v>0.9924543288324067</v>
      </c>
      <c r="AJ237" s="488">
        <f>MAX($B$2:B237)</f>
        <v>18326</v>
      </c>
      <c r="AK237" s="179">
        <f t="shared" si="74"/>
        <v>2.8858145872788579E-2</v>
      </c>
      <c r="AL237" s="179"/>
      <c r="AM237" s="200">
        <f t="shared" si="86"/>
        <v>1.1057911536707707</v>
      </c>
      <c r="AN237" s="200">
        <f t="shared" si="87"/>
        <v>0.9924543288324067</v>
      </c>
      <c r="AP237" s="355">
        <f t="shared" si="82"/>
        <v>1.0885125525088479</v>
      </c>
      <c r="AT237" s="179">
        <f t="shared" si="83"/>
        <v>3.431661994194557E-2</v>
      </c>
    </row>
    <row r="238" spans="1:46" hidden="1" x14ac:dyDescent="0.25">
      <c r="A238" s="259">
        <v>44129</v>
      </c>
      <c r="B238" s="670">
        <v>9253</v>
      </c>
      <c r="C238" s="515">
        <f t="shared" si="90"/>
        <v>1090589</v>
      </c>
      <c r="D238" s="670">
        <v>282</v>
      </c>
      <c r="E238" s="506">
        <f t="shared" si="66"/>
        <v>28877</v>
      </c>
      <c r="F238" s="515">
        <f t="shared" si="71"/>
        <v>13706</v>
      </c>
      <c r="G238" s="506">
        <v>894819</v>
      </c>
      <c r="H238" s="506">
        <v>4863</v>
      </c>
      <c r="I238" s="506">
        <v>20303</v>
      </c>
      <c r="J238" s="511">
        <f t="shared" si="94"/>
        <v>2556606</v>
      </c>
      <c r="K238" s="511"/>
      <c r="L238" s="541">
        <f t="shared" si="69"/>
        <v>2.6478352523269535E-2</v>
      </c>
      <c r="M238" s="510">
        <v>1367953</v>
      </c>
      <c r="N238" s="510">
        <f t="shared" si="95"/>
        <v>1367953.0264783525</v>
      </c>
      <c r="O238" s="509">
        <v>8749</v>
      </c>
      <c r="P238" s="510">
        <v>211123</v>
      </c>
      <c r="Q238" s="510">
        <v>741313</v>
      </c>
      <c r="R238" s="510">
        <f t="shared" si="93"/>
        <v>129404</v>
      </c>
      <c r="S238" s="510">
        <f t="shared" si="70"/>
        <v>166893</v>
      </c>
      <c r="T238" s="518">
        <f t="shared" si="81"/>
        <v>2.9138430012043644E-2</v>
      </c>
      <c r="U238" s="519">
        <f t="shared" si="89"/>
        <v>3.5662592870692379E-2</v>
      </c>
      <c r="V238" s="512">
        <f>SUM(B225:B238)/POBLA!$B$25*100000</f>
        <v>432.75077847343908</v>
      </c>
      <c r="W238" s="512">
        <f>B238/POBLA!$B$25*100000</f>
        <v>20.389967325148977</v>
      </c>
      <c r="X238" s="513">
        <f t="shared" si="80"/>
        <v>1.0738294300665461</v>
      </c>
      <c r="Y238" s="519">
        <f t="shared" si="65"/>
        <v>2.9138430012043644E-2</v>
      </c>
      <c r="Z238" s="520">
        <f t="shared" si="68"/>
        <v>0.44569931892264342</v>
      </c>
      <c r="AA238" s="517">
        <f t="shared" si="75"/>
        <v>14415.571428571429</v>
      </c>
      <c r="AB238" s="517">
        <f t="shared" si="76"/>
        <v>374.57142857142856</v>
      </c>
      <c r="AC238" s="517">
        <f t="shared" si="92"/>
        <v>364.88474851272684</v>
      </c>
      <c r="AD238" s="517">
        <f t="shared" si="88"/>
        <v>-9.686680058701711</v>
      </c>
      <c r="AE238" s="545">
        <f t="shared" si="72"/>
        <v>14027.357142857143</v>
      </c>
      <c r="AF238" s="520">
        <f t="shared" si="85"/>
        <v>1.0569264930766493</v>
      </c>
      <c r="AG238" s="200">
        <f t="shared" si="84"/>
        <v>4.6613570801455007E-2</v>
      </c>
      <c r="AH238" s="4"/>
      <c r="AI238" s="200">
        <f t="shared" si="77"/>
        <v>1.0952380952380951</v>
      </c>
      <c r="AJ238" s="488">
        <f>MAX($B$2:B238)</f>
        <v>18326</v>
      </c>
      <c r="AK238" s="179">
        <f t="shared" si="74"/>
        <v>2.9843271605640858E-2</v>
      </c>
      <c r="AL238" s="179"/>
      <c r="AM238" s="200">
        <f t="shared" si="86"/>
        <v>1.1085023934351492</v>
      </c>
      <c r="AN238" s="200">
        <f t="shared" si="87"/>
        <v>1.0952380952380951</v>
      </c>
      <c r="AP238" s="355">
        <f t="shared" si="82"/>
        <v>1.0738294300665461</v>
      </c>
      <c r="AT238" s="179">
        <f t="shared" si="83"/>
        <v>3.4235289993339246E-2</v>
      </c>
    </row>
    <row r="239" spans="1:46" hidden="1" x14ac:dyDescent="0.25">
      <c r="A239" s="259">
        <v>44130</v>
      </c>
      <c r="B239" s="670">
        <v>11712</v>
      </c>
      <c r="C239" s="515">
        <f t="shared" si="90"/>
        <v>1102301</v>
      </c>
      <c r="D239" s="670">
        <v>405</v>
      </c>
      <c r="E239" s="506">
        <f t="shared" si="66"/>
        <v>29282</v>
      </c>
      <c r="F239" s="515">
        <f t="shared" si="71"/>
        <v>14767</v>
      </c>
      <c r="G239" s="506">
        <v>909586</v>
      </c>
      <c r="H239" s="506">
        <v>5038</v>
      </c>
      <c r="I239" s="506">
        <v>26448</v>
      </c>
      <c r="J239" s="511">
        <f t="shared" si="94"/>
        <v>2583054</v>
      </c>
      <c r="K239" s="511"/>
      <c r="L239" s="541">
        <f t="shared" si="69"/>
        <v>2.6564432038073085E-2</v>
      </c>
      <c r="M239" s="510">
        <v>1378916</v>
      </c>
      <c r="N239" s="510">
        <f t="shared" si="95"/>
        <v>1378916.0265644321</v>
      </c>
      <c r="O239" s="484">
        <v>8816</v>
      </c>
      <c r="P239" s="97">
        <v>213578</v>
      </c>
      <c r="Q239" s="97">
        <v>753406</v>
      </c>
      <c r="R239" s="510">
        <f t="shared" si="93"/>
        <v>126501</v>
      </c>
      <c r="S239" s="510">
        <f t="shared" si="70"/>
        <v>163433</v>
      </c>
      <c r="T239" s="518">
        <f t="shared" si="81"/>
        <v>3.0826087754615043E-2</v>
      </c>
      <c r="U239" s="519">
        <f t="shared" si="89"/>
        <v>3.5516235924256609E-2</v>
      </c>
      <c r="V239" s="512">
        <f>SUM(B226:B239)/POBLA!$B$25*100000</f>
        <v>437.5722686395934</v>
      </c>
      <c r="W239" s="512">
        <f>B239/POBLA!$B$25*100000</f>
        <v>25.808634746800482</v>
      </c>
      <c r="X239" s="513">
        <f t="shared" si="80"/>
        <v>1.0995193745224199</v>
      </c>
      <c r="Y239" s="519">
        <f t="shared" si="65"/>
        <v>3.0826087754615043E-2</v>
      </c>
      <c r="Z239" s="520">
        <f t="shared" si="68"/>
        <v>0.44390735056290903</v>
      </c>
      <c r="AA239" s="517">
        <f t="shared" si="75"/>
        <v>14234.142857142857</v>
      </c>
      <c r="AB239" s="517">
        <f t="shared" si="76"/>
        <v>368.42857142857144</v>
      </c>
      <c r="AC239" s="517">
        <f t="shared" si="92"/>
        <v>359.28467225514572</v>
      </c>
      <c r="AD239" s="517">
        <f t="shared" si="88"/>
        <v>-9.1438991734257229</v>
      </c>
      <c r="AE239" s="545">
        <f t="shared" si="72"/>
        <v>14183.642857142857</v>
      </c>
      <c r="AF239" s="520">
        <f t="shared" si="85"/>
        <v>1.0071463227267214</v>
      </c>
      <c r="AG239" s="200">
        <f t="shared" si="84"/>
        <v>2.3298186736125048E-2</v>
      </c>
      <c r="AH239" s="4"/>
      <c r="AI239" s="200">
        <f t="shared" si="77"/>
        <v>1.0217908082408875</v>
      </c>
      <c r="AJ239" s="488">
        <f>MAX($B$2:B239)</f>
        <v>18326</v>
      </c>
      <c r="AK239" s="179">
        <f t="shared" si="74"/>
        <v>2.8682963720888851E-2</v>
      </c>
      <c r="AL239" s="179"/>
      <c r="AM239" s="200">
        <f t="shared" si="86"/>
        <v>1.1470856102003644</v>
      </c>
      <c r="AN239" s="200">
        <f t="shared" si="87"/>
        <v>1.0217908082408875</v>
      </c>
      <c r="AP239" s="355">
        <f t="shared" si="82"/>
        <v>1.0995193745224199</v>
      </c>
      <c r="AT239" s="179">
        <f t="shared" si="83"/>
        <v>3.4365722317960465E-2</v>
      </c>
    </row>
    <row r="240" spans="1:46" hidden="1" x14ac:dyDescent="0.25">
      <c r="A240" s="259">
        <v>44131</v>
      </c>
      <c r="B240" s="670">
        <v>14308</v>
      </c>
      <c r="C240" s="515">
        <f t="shared" si="90"/>
        <v>1116609</v>
      </c>
      <c r="D240" s="670">
        <v>425</v>
      </c>
      <c r="E240" s="506">
        <f t="shared" si="66"/>
        <v>29707</v>
      </c>
      <c r="F240" s="515">
        <f t="shared" si="71"/>
        <v>11758</v>
      </c>
      <c r="G240" s="506">
        <v>921344</v>
      </c>
      <c r="H240" s="506">
        <v>4952</v>
      </c>
      <c r="I240" s="506">
        <v>32847</v>
      </c>
      <c r="J240" s="511">
        <f t="shared" si="94"/>
        <v>2615901</v>
      </c>
      <c r="K240" s="511"/>
      <c r="L240" s="541">
        <f t="shared" si="69"/>
        <v>2.6604657494252688E-2</v>
      </c>
      <c r="M240" s="510">
        <v>1392805</v>
      </c>
      <c r="N240" s="510">
        <f t="shared" si="95"/>
        <v>1392805.0266046575</v>
      </c>
      <c r="O240" s="509">
        <v>8868</v>
      </c>
      <c r="P240" s="510">
        <v>216480</v>
      </c>
      <c r="Q240" s="510">
        <v>765831</v>
      </c>
      <c r="R240" s="510">
        <f t="shared" si="93"/>
        <v>125430</v>
      </c>
      <c r="S240" s="510">
        <f t="shared" si="70"/>
        <v>165558</v>
      </c>
      <c r="T240" s="518">
        <f t="shared" si="81"/>
        <v>2.9910967757523044E-2</v>
      </c>
      <c r="U240" s="519">
        <f t="shared" si="89"/>
        <v>3.5326994999494599E-2</v>
      </c>
      <c r="V240" s="512">
        <f>SUM(B227:B240)/POBLA!$B$25*100000</f>
        <v>439.78248556676562</v>
      </c>
      <c r="W240" s="512">
        <f>B240/POBLA!$B$25*100000</f>
        <v>31.529196205363835</v>
      </c>
      <c r="X240" s="513">
        <f t="shared" si="80"/>
        <v>1.1061266114639796</v>
      </c>
      <c r="Y240" s="519">
        <f t="shared" ref="Y240:Y303" si="96">H240/S240</f>
        <v>2.9910967757523044E-2</v>
      </c>
      <c r="Z240" s="520">
        <f t="shared" si="68"/>
        <v>0.44402088867862732</v>
      </c>
      <c r="AA240" s="517">
        <f t="shared" si="75"/>
        <v>13944.285714285714</v>
      </c>
      <c r="AB240" s="517">
        <f t="shared" si="76"/>
        <v>374.71428571428572</v>
      </c>
      <c r="AC240" s="517">
        <f t="shared" si="92"/>
        <v>354.20415033232103</v>
      </c>
      <c r="AD240" s="517">
        <f t="shared" si="88"/>
        <v>-20.510135381964687</v>
      </c>
      <c r="AE240" s="545">
        <f t="shared" si="72"/>
        <v>14255.285714285714</v>
      </c>
      <c r="AF240" s="520">
        <f t="shared" si="85"/>
        <v>0.95729865442705264</v>
      </c>
      <c r="AG240" s="200">
        <f t="shared" si="84"/>
        <v>2.0275100451105477E-2</v>
      </c>
      <c r="AH240" s="4"/>
      <c r="AI240" s="200">
        <f t="shared" si="77"/>
        <v>1.0404601348671161</v>
      </c>
      <c r="AJ240" s="488">
        <f>MAX($B$2:B240)</f>
        <v>18326</v>
      </c>
      <c r="AK240" s="179">
        <f t="shared" si="74"/>
        <v>2.8708395810303503E-2</v>
      </c>
      <c r="AL240" s="179"/>
      <c r="AM240" s="200">
        <f t="shared" si="86"/>
        <v>1.1125589755111212</v>
      </c>
      <c r="AN240" s="200">
        <f t="shared" si="87"/>
        <v>1.0404601348671161</v>
      </c>
      <c r="AP240" s="355">
        <f t="shared" si="82"/>
        <v>1.1061266114639796</v>
      </c>
      <c r="AT240" s="179">
        <f t="shared" si="83"/>
        <v>3.444251438497449E-2</v>
      </c>
    </row>
    <row r="241" spans="1:46" hidden="1" x14ac:dyDescent="0.25">
      <c r="A241" s="259">
        <v>44132</v>
      </c>
      <c r="B241" s="670">
        <v>13924</v>
      </c>
      <c r="C241" s="515">
        <f t="shared" si="90"/>
        <v>1130533</v>
      </c>
      <c r="D241" s="670">
        <v>345</v>
      </c>
      <c r="E241" s="506">
        <f t="shared" ref="E241:E304" si="97">E240+D241</f>
        <v>30052</v>
      </c>
      <c r="F241" s="515">
        <f t="shared" si="71"/>
        <v>9803</v>
      </c>
      <c r="G241" s="506">
        <v>931147</v>
      </c>
      <c r="H241" s="506">
        <v>5037</v>
      </c>
      <c r="I241" s="506">
        <v>32827</v>
      </c>
      <c r="J241" s="511">
        <f t="shared" si="94"/>
        <v>2648728</v>
      </c>
      <c r="K241" s="511"/>
      <c r="L241" s="541">
        <f t="shared" si="69"/>
        <v>2.6582151958412535E-2</v>
      </c>
      <c r="M241" s="510">
        <v>1406416</v>
      </c>
      <c r="N241" s="510">
        <f t="shared" si="95"/>
        <v>1406416.0265821519</v>
      </c>
      <c r="O241" s="484">
        <v>8959</v>
      </c>
      <c r="P241" s="97">
        <v>219233</v>
      </c>
      <c r="Q241" s="97">
        <v>777424</v>
      </c>
      <c r="R241" s="510">
        <f t="shared" si="93"/>
        <v>124917</v>
      </c>
      <c r="S241" s="510">
        <f t="shared" si="70"/>
        <v>169334</v>
      </c>
      <c r="T241" s="518">
        <f t="shared" si="81"/>
        <v>2.9745945882102828E-2</v>
      </c>
      <c r="U241" s="519">
        <f t="shared" si="89"/>
        <v>3.5092349209277778E-2</v>
      </c>
      <c r="V241" s="512">
        <f>SUM(B228:B241)/POBLA!$B$25*100000</f>
        <v>437.56125060904918</v>
      </c>
      <c r="W241" s="512">
        <f>B241/POBLA!$B$25*100000</f>
        <v>30.683011459567101</v>
      </c>
      <c r="X241" s="513">
        <f t="shared" si="80"/>
        <v>1.0972558381132367</v>
      </c>
      <c r="Y241" s="519">
        <f t="shared" si="96"/>
        <v>2.9745945882102828E-2</v>
      </c>
      <c r="Z241" s="520">
        <f t="shared" si="68"/>
        <v>0.4349031117166467</v>
      </c>
      <c r="AA241" s="517">
        <f t="shared" si="75"/>
        <v>13315.428571428571</v>
      </c>
      <c r="AB241" s="517">
        <f t="shared" si="76"/>
        <v>363.85714285714283</v>
      </c>
      <c r="AC241" s="517">
        <f t="shared" si="92"/>
        <v>347.70980946750262</v>
      </c>
      <c r="AD241" s="517">
        <f t="shared" si="88"/>
        <v>-16.14733338964021</v>
      </c>
      <c r="AE241" s="545">
        <f t="shared" si="72"/>
        <v>14183.285714285714</v>
      </c>
      <c r="AF241" s="520">
        <f t="shared" si="85"/>
        <v>0.88467890430721918</v>
      </c>
      <c r="AG241" s="200">
        <f t="shared" si="84"/>
        <v>2.0082693443601585E-4</v>
      </c>
      <c r="AH241" s="4"/>
      <c r="AI241" s="200">
        <f t="shared" si="77"/>
        <v>0.98263888888888884</v>
      </c>
      <c r="AJ241" s="488">
        <f>MAX($B$2:B241)</f>
        <v>18326</v>
      </c>
      <c r="AK241" s="179">
        <f t="shared" si="74"/>
        <v>2.7751446409309318E-2</v>
      </c>
      <c r="AL241" s="179"/>
      <c r="AM241" s="200">
        <f t="shared" si="86"/>
        <v>1.101465121364531</v>
      </c>
      <c r="AN241" s="200">
        <f t="shared" si="87"/>
        <v>0.98263888888888884</v>
      </c>
      <c r="AP241" s="355">
        <f t="shared" si="82"/>
        <v>1.0972558381132367</v>
      </c>
      <c r="AT241" s="179">
        <f t="shared" si="83"/>
        <v>3.4214447190851274E-2</v>
      </c>
    </row>
    <row r="242" spans="1:46" hidden="1" x14ac:dyDescent="0.25">
      <c r="A242" s="259">
        <v>44133</v>
      </c>
      <c r="B242" s="670">
        <v>13267</v>
      </c>
      <c r="C242" s="515">
        <f t="shared" si="90"/>
        <v>1143800</v>
      </c>
      <c r="D242" s="670">
        <v>370</v>
      </c>
      <c r="E242" s="506">
        <f t="shared" si="97"/>
        <v>30422</v>
      </c>
      <c r="F242" s="515">
        <f t="shared" si="71"/>
        <v>14987</v>
      </c>
      <c r="G242" s="506">
        <v>946134</v>
      </c>
      <c r="H242" s="506">
        <v>4981</v>
      </c>
      <c r="I242" s="506">
        <v>31568</v>
      </c>
      <c r="J242" s="511">
        <f t="shared" si="94"/>
        <v>2680296</v>
      </c>
      <c r="K242" s="511"/>
      <c r="L242" s="541">
        <f t="shared" si="69"/>
        <v>2.6597307221542226E-2</v>
      </c>
      <c r="M242" s="510">
        <v>1420288</v>
      </c>
      <c r="N242" s="510">
        <f t="shared" si="95"/>
        <v>1420288.0265973073</v>
      </c>
      <c r="O242" s="509">
        <v>9010</v>
      </c>
      <c r="P242" s="510">
        <v>221851</v>
      </c>
      <c r="Q242" s="510">
        <v>788337</v>
      </c>
      <c r="R242" s="510">
        <f t="shared" si="93"/>
        <v>124602</v>
      </c>
      <c r="S242" s="510">
        <f t="shared" si="70"/>
        <v>167244</v>
      </c>
      <c r="T242" s="518">
        <f t="shared" si="81"/>
        <v>2.9782832269020114E-2</v>
      </c>
      <c r="U242" s="519">
        <f t="shared" si="89"/>
        <v>3.4908912318065609E-2</v>
      </c>
      <c r="V242" s="512">
        <f>SUM(B229:B242)/POBLA!$B$25*100000</f>
        <v>429.12364281827905</v>
      </c>
      <c r="W242" s="512">
        <f>B242/POBLA!$B$25*100000</f>
        <v>29.235242246055495</v>
      </c>
      <c r="X242" s="513">
        <f t="shared" si="80"/>
        <v>1.0580025100374333</v>
      </c>
      <c r="Y242" s="519">
        <f t="shared" si="96"/>
        <v>2.9782832269020114E-2</v>
      </c>
      <c r="Z242" s="520">
        <f t="shared" si="68"/>
        <v>0.4361583232941928</v>
      </c>
      <c r="AA242" s="517">
        <f t="shared" si="75"/>
        <v>12878.571428571429</v>
      </c>
      <c r="AB242" s="517">
        <f t="shared" si="76"/>
        <v>354.28571428571428</v>
      </c>
      <c r="AC242" s="517">
        <f t="shared" si="92"/>
        <v>353.47793349861917</v>
      </c>
      <c r="AD242" s="517">
        <f t="shared" si="88"/>
        <v>-0.80778078709511192</v>
      </c>
      <c r="AE242" s="545">
        <f t="shared" si="72"/>
        <v>13909.785714285714</v>
      </c>
      <c r="AF242" s="520">
        <f t="shared" si="85"/>
        <v>0.86196181169743857</v>
      </c>
      <c r="AG242" s="200">
        <f t="shared" si="84"/>
        <v>-3.8020407928491706E-2</v>
      </c>
      <c r="AH242" s="4"/>
      <c r="AI242" s="200">
        <f t="shared" si="77"/>
        <v>0.95092024539877307</v>
      </c>
      <c r="AJ242" s="488">
        <f>MAX($B$2:B242)</f>
        <v>18326</v>
      </c>
      <c r="AK242" s="179">
        <f t="shared" si="74"/>
        <v>2.6648328032321842E-2</v>
      </c>
      <c r="AL242" s="179"/>
      <c r="AM242" s="200">
        <f t="shared" si="86"/>
        <v>1.0802428974192149</v>
      </c>
      <c r="AN242" s="200">
        <f t="shared" si="87"/>
        <v>0.95092024539877307</v>
      </c>
      <c r="AP242" s="355">
        <f t="shared" si="82"/>
        <v>1.0580025100374331</v>
      </c>
      <c r="AT242" s="179">
        <f t="shared" si="83"/>
        <v>3.4146137807564508E-2</v>
      </c>
    </row>
    <row r="243" spans="1:46" hidden="1" x14ac:dyDescent="0.25">
      <c r="A243" s="259">
        <v>44134</v>
      </c>
      <c r="B243" s="670">
        <v>13379</v>
      </c>
      <c r="C243" s="515">
        <f t="shared" si="90"/>
        <v>1157179</v>
      </c>
      <c r="D243" s="670">
        <v>349</v>
      </c>
      <c r="E243" s="506">
        <f t="shared" si="97"/>
        <v>30771</v>
      </c>
      <c r="F243" s="515">
        <f t="shared" si="71"/>
        <v>14967</v>
      </c>
      <c r="G243" s="506">
        <v>961101</v>
      </c>
      <c r="H243" s="506">
        <v>4981</v>
      </c>
      <c r="I243" s="506">
        <v>32761</v>
      </c>
      <c r="J243" s="511">
        <f t="shared" si="94"/>
        <v>2713057</v>
      </c>
      <c r="K243" s="511"/>
      <c r="L243" s="541">
        <f t="shared" si="69"/>
        <v>2.6591391651594094E-2</v>
      </c>
      <c r="M243" s="510">
        <v>1435121</v>
      </c>
      <c r="N243" s="510">
        <f t="shared" si="95"/>
        <v>1435121.0265913915</v>
      </c>
      <c r="O243" s="509">
        <v>9073</v>
      </c>
      <c r="P243" s="510">
        <v>224367</v>
      </c>
      <c r="Q243" s="510">
        <v>799735</v>
      </c>
      <c r="R243" s="510">
        <f t="shared" si="93"/>
        <v>124004</v>
      </c>
      <c r="S243" s="510">
        <f t="shared" si="70"/>
        <v>165307</v>
      </c>
      <c r="T243" s="518">
        <f t="shared" si="81"/>
        <v>3.0131815349622219E-2</v>
      </c>
      <c r="U243" s="519">
        <f t="shared" si="89"/>
        <v>3.4813470576389158E-2</v>
      </c>
      <c r="V243" s="512">
        <f>SUM(B230:B243)/POBLA!$B$25*100000</f>
        <v>422.14482227156492</v>
      </c>
      <c r="W243" s="512">
        <f>B243/POBLA!$B$25*100000</f>
        <v>29.482046130246211</v>
      </c>
      <c r="X243" s="513">
        <f t="shared" si="80"/>
        <v>1.0303894148020654</v>
      </c>
      <c r="Y243" s="519">
        <f t="shared" si="96"/>
        <v>3.0131815349622219E-2</v>
      </c>
      <c r="Z243" s="520">
        <f t="shared" si="68"/>
        <v>0.43090867156408103</v>
      </c>
      <c r="AA243" s="517">
        <f t="shared" si="75"/>
        <v>12544.428571428571</v>
      </c>
      <c r="AB243" s="517">
        <f t="shared" si="76"/>
        <v>349.85714285714283</v>
      </c>
      <c r="AC243" s="517">
        <f t="shared" si="92"/>
        <v>358.12299846891591</v>
      </c>
      <c r="AD243" s="517">
        <f t="shared" si="88"/>
        <v>8.2658556117730768</v>
      </c>
      <c r="AE243" s="545">
        <f t="shared" si="72"/>
        <v>13683.571428571429</v>
      </c>
      <c r="AF243" s="520">
        <f t="shared" si="85"/>
        <v>0.84629767056351735</v>
      </c>
      <c r="AG243" s="200">
        <f t="shared" si="84"/>
        <v>-5.1872372398208189E-2</v>
      </c>
      <c r="AH243" s="4"/>
      <c r="AI243" s="200">
        <f t="shared" si="77"/>
        <v>0.93867382138750466</v>
      </c>
      <c r="AJ243" s="488">
        <f>MAX($B$2:B243)</f>
        <v>18326</v>
      </c>
      <c r="AK243" s="179">
        <f t="shared" si="74"/>
        <v>2.5585039699122441E-2</v>
      </c>
      <c r="AL243" s="179"/>
      <c r="AM243" s="200">
        <f t="shared" si="86"/>
        <v>1.0606899488926746</v>
      </c>
      <c r="AN243" s="200">
        <f t="shared" si="87"/>
        <v>0.93867382138750466</v>
      </c>
      <c r="AP243" s="355">
        <f t="shared" si="82"/>
        <v>1.0303894148020654</v>
      </c>
      <c r="AT243" s="179">
        <f t="shared" si="83"/>
        <v>3.4061421347291086E-2</v>
      </c>
    </row>
    <row r="244" spans="1:46" hidden="1" x14ac:dyDescent="0.25">
      <c r="A244" s="105">
        <v>44135</v>
      </c>
      <c r="B244" s="670">
        <v>9745</v>
      </c>
      <c r="C244" s="515">
        <f t="shared" si="90"/>
        <v>1166924</v>
      </c>
      <c r="D244" s="670">
        <v>210</v>
      </c>
      <c r="E244" s="506">
        <f t="shared" si="97"/>
        <v>30981</v>
      </c>
      <c r="F244" s="515">
        <f t="shared" si="71"/>
        <v>12838</v>
      </c>
      <c r="G244" s="506">
        <v>973939</v>
      </c>
      <c r="H244" s="506">
        <v>4969</v>
      </c>
      <c r="I244" s="506">
        <v>26699</v>
      </c>
      <c r="J244" s="511">
        <f t="shared" si="94"/>
        <v>2739756</v>
      </c>
      <c r="K244" s="511"/>
      <c r="L244" s="541">
        <f t="shared" si="69"/>
        <v>2.6549286843016339E-2</v>
      </c>
      <c r="M244" s="97">
        <v>1447945</v>
      </c>
      <c r="N244" s="510">
        <f t="shared" si="95"/>
        <v>1447945.0265492869</v>
      </c>
      <c r="O244" s="484">
        <v>9103</v>
      </c>
      <c r="P244" s="97">
        <v>225845</v>
      </c>
      <c r="Q244" s="97">
        <v>808139</v>
      </c>
      <c r="R244" s="510">
        <f t="shared" si="93"/>
        <v>123837</v>
      </c>
      <c r="S244" s="510">
        <f t="shared" si="70"/>
        <v>162004</v>
      </c>
      <c r="T244" s="518">
        <f t="shared" si="81"/>
        <v>3.0672082170810598E-2</v>
      </c>
      <c r="U244" s="519">
        <f t="shared" si="89"/>
        <v>3.4646379022283458E-2</v>
      </c>
      <c r="V244" s="512">
        <f>SUM(B231:B244)/POBLA!$B$25*100000</f>
        <v>413.84824527176096</v>
      </c>
      <c r="W244" s="512">
        <f>B244/POBLA!$B$25*100000</f>
        <v>21.474141530701047</v>
      </c>
      <c r="X244" s="513">
        <f t="shared" si="80"/>
        <v>0.99736591945873898</v>
      </c>
      <c r="Y244" s="519">
        <f t="shared" si="96"/>
        <v>3.0672082170810598E-2</v>
      </c>
      <c r="Z244" s="520">
        <f t="shared" si="68"/>
        <v>0.4206770113982099</v>
      </c>
      <c r="AA244" s="517">
        <f t="shared" si="75"/>
        <v>12226.857142857143</v>
      </c>
      <c r="AB244" s="517">
        <f t="shared" si="76"/>
        <v>340.85714285714283</v>
      </c>
      <c r="AC244" s="517">
        <f t="shared" si="92"/>
        <v>362.61530620894905</v>
      </c>
      <c r="AD244" s="517">
        <f t="shared" si="88"/>
        <v>21.758163351806218</v>
      </c>
      <c r="AE244" s="545">
        <f t="shared" si="72"/>
        <v>13414.642857142857</v>
      </c>
      <c r="AF244" s="520">
        <f t="shared" si="85"/>
        <v>0.83731668900476441</v>
      </c>
      <c r="AG244" s="200">
        <f t="shared" si="84"/>
        <v>-5.6074766355140193E-2</v>
      </c>
      <c r="AH244" s="4"/>
      <c r="AI244" s="200">
        <f t="shared" si="77"/>
        <v>0.95478191276510593</v>
      </c>
      <c r="AJ244" s="488">
        <f>MAX($B$2:B244)</f>
        <v>18326</v>
      </c>
      <c r="AK244" s="179">
        <f t="shared" si="74"/>
        <v>2.5382438671517626E-2</v>
      </c>
      <c r="AL244" s="179"/>
      <c r="AM244" s="200">
        <f t="shared" si="86"/>
        <v>1.0245360824742269</v>
      </c>
      <c r="AN244" s="200">
        <f t="shared" si="87"/>
        <v>0.95478191276510593</v>
      </c>
      <c r="AP244" s="355">
        <f t="shared" si="82"/>
        <v>0.99736591945873887</v>
      </c>
      <c r="AT244" s="179">
        <f t="shared" si="83"/>
        <v>2.6607152631605138E-2</v>
      </c>
    </row>
    <row r="245" spans="1:46" hidden="1" x14ac:dyDescent="0.25">
      <c r="A245" s="105">
        <v>44136</v>
      </c>
      <c r="B245" s="670">
        <v>6609</v>
      </c>
      <c r="C245" s="515">
        <f t="shared" si="90"/>
        <v>1173533</v>
      </c>
      <c r="D245" s="670">
        <v>135</v>
      </c>
      <c r="E245" s="506">
        <f t="shared" si="97"/>
        <v>31116</v>
      </c>
      <c r="F245" s="515">
        <f t="shared" si="71"/>
        <v>11377</v>
      </c>
      <c r="G245" s="506">
        <v>985316</v>
      </c>
      <c r="H245" s="506">
        <v>5119</v>
      </c>
      <c r="I245" s="506">
        <v>15645</v>
      </c>
      <c r="J245" s="511">
        <f t="shared" si="94"/>
        <v>2755401</v>
      </c>
      <c r="K245" s="511"/>
      <c r="L245" s="541">
        <f t="shared" si="69"/>
        <v>2.6514806145204267E-2</v>
      </c>
      <c r="M245" s="97">
        <v>1455146</v>
      </c>
      <c r="N245" s="510">
        <f t="shared" si="95"/>
        <v>1455146.0265148061</v>
      </c>
      <c r="O245" s="484">
        <v>9123</v>
      </c>
      <c r="P245" s="97">
        <v>226864</v>
      </c>
      <c r="Q245" s="97">
        <v>813376</v>
      </c>
      <c r="R245" s="510">
        <f t="shared" si="93"/>
        <v>124170</v>
      </c>
      <c r="S245" s="510">
        <f t="shared" si="70"/>
        <v>157101</v>
      </c>
      <c r="T245" s="518">
        <f t="shared" si="81"/>
        <v>3.2584133773814299E-2</v>
      </c>
      <c r="U245" s="519">
        <f t="shared" si="89"/>
        <v>3.443063746915561E-2</v>
      </c>
      <c r="V245" s="512">
        <f>SUM(B232:B245)/POBLA!$B$25*100000</f>
        <v>405.13959392960282</v>
      </c>
      <c r="W245" s="512">
        <f>B245/POBLA!$B$25*100000</f>
        <v>14.563632773361029</v>
      </c>
      <c r="X245" s="513">
        <f t="shared" si="80"/>
        <v>0.96160444365408959</v>
      </c>
      <c r="Y245" s="519">
        <f t="shared" si="96"/>
        <v>3.2584133773814299E-2</v>
      </c>
      <c r="Z245" s="520">
        <f t="shared" si="68"/>
        <v>0.41723383384893986</v>
      </c>
      <c r="AA245" s="517">
        <f t="shared" si="75"/>
        <v>11849.142857142857</v>
      </c>
      <c r="AB245" s="517">
        <f t="shared" si="76"/>
        <v>319.85714285714283</v>
      </c>
      <c r="AC245" s="517">
        <f t="shared" si="92"/>
        <v>361.82977903391571</v>
      </c>
      <c r="AD245" s="517">
        <f t="shared" si="88"/>
        <v>41.97263617677288</v>
      </c>
      <c r="AE245" s="545">
        <f t="shared" si="72"/>
        <v>13132.357142857143</v>
      </c>
      <c r="AF245" s="520">
        <f t="shared" si="85"/>
        <v>0.82196830807955679</v>
      </c>
      <c r="AG245" s="200">
        <f t="shared" si="84"/>
        <v>-5.8672322985385827E-2</v>
      </c>
      <c r="AH245" s="4"/>
      <c r="AI245" s="200">
        <f t="shared" si="77"/>
        <v>0.85392829900839051</v>
      </c>
      <c r="AJ245" s="488">
        <f>MAX($B$2:B245)</f>
        <v>18326</v>
      </c>
      <c r="AK245" s="179">
        <f t="shared" si="74"/>
        <v>2.418788553156092E-2</v>
      </c>
      <c r="AL245" s="179"/>
      <c r="AM245" s="200">
        <f t="shared" si="86"/>
        <v>1.0526424018095826</v>
      </c>
      <c r="AN245" s="200">
        <f t="shared" si="87"/>
        <v>0.85392829900839051</v>
      </c>
      <c r="AP245" s="355">
        <f t="shared" si="82"/>
        <v>0.96160444365408959</v>
      </c>
      <c r="AT245" s="179">
        <f t="shared" si="83"/>
        <v>2.6711083576238307E-2</v>
      </c>
    </row>
    <row r="246" spans="1:46" hidden="1" x14ac:dyDescent="0.25">
      <c r="A246" s="259">
        <v>44137</v>
      </c>
      <c r="B246" s="670">
        <v>9598</v>
      </c>
      <c r="C246" s="515">
        <f t="shared" si="90"/>
        <v>1183131</v>
      </c>
      <c r="D246" s="670">
        <v>479</v>
      </c>
      <c r="E246" s="506">
        <f t="shared" si="97"/>
        <v>31595</v>
      </c>
      <c r="F246" s="515">
        <f t="shared" si="71"/>
        <v>12700</v>
      </c>
      <c r="G246" s="506">
        <v>998016</v>
      </c>
      <c r="H246" s="506">
        <v>4992</v>
      </c>
      <c r="I246" s="506">
        <v>249864</v>
      </c>
      <c r="J246" s="511">
        <f t="shared" si="94"/>
        <v>3005265</v>
      </c>
      <c r="K246" s="511"/>
      <c r="L246" s="541">
        <f t="shared" si="69"/>
        <v>2.6704566104683251E-2</v>
      </c>
      <c r="M246" s="97">
        <v>1467420</v>
      </c>
      <c r="N246" s="510">
        <f t="shared" si="95"/>
        <v>1467420.0267045661</v>
      </c>
      <c r="O246" s="484">
        <v>9159</v>
      </c>
      <c r="P246" s="97">
        <v>229301</v>
      </c>
      <c r="Q246" s="97">
        <v>822808</v>
      </c>
      <c r="R246" s="510">
        <f t="shared" si="93"/>
        <v>121863</v>
      </c>
      <c r="S246" s="510">
        <f t="shared" si="70"/>
        <v>153520</v>
      </c>
      <c r="T246" s="8">
        <f t="shared" ref="T246:T277" si="98">H246-H245</f>
        <v>-127</v>
      </c>
      <c r="U246" s="511"/>
      <c r="V246" s="512">
        <f>SUM(B233:B246)/POBLA!$B$25*100000</f>
        <v>397.68259085726908</v>
      </c>
      <c r="W246" s="512">
        <f>B246/POBLA!$B$25*100000</f>
        <v>21.150211432700736</v>
      </c>
      <c r="X246" s="513">
        <f t="shared" si="80"/>
        <v>0.93539241398612993</v>
      </c>
      <c r="Y246" s="519">
        <f t="shared" si="96"/>
        <v>3.251693590411673E-2</v>
      </c>
      <c r="Z246" s="520">
        <f t="shared" si="68"/>
        <v>0.19144456207915</v>
      </c>
      <c r="AA246" s="517">
        <f t="shared" si="75"/>
        <v>11547.142857142857</v>
      </c>
      <c r="AB246" s="517">
        <f t="shared" si="76"/>
        <v>330.42857142857144</v>
      </c>
      <c r="AC246" s="517">
        <f t="shared" si="92"/>
        <v>376.39534929446381</v>
      </c>
      <c r="AD246" s="517">
        <f t="shared" si="88"/>
        <v>45.966777865892368</v>
      </c>
      <c r="AE246" s="545">
        <f t="shared" si="72"/>
        <v>12890.642857142857</v>
      </c>
      <c r="AF246" s="520">
        <f t="shared" si="85"/>
        <v>0.81122853501139114</v>
      </c>
      <c r="AG246" s="200">
        <f t="shared" si="84"/>
        <v>-6.0654824912961258E-2</v>
      </c>
      <c r="AH246" s="4"/>
      <c r="AI246" s="200">
        <f t="shared" si="77"/>
        <v>0.89685924777045367</v>
      </c>
      <c r="AJ246" s="488">
        <f>MAX($B$2:B246)</f>
        <v>18326</v>
      </c>
      <c r="AK246" s="179">
        <f t="shared" si="74"/>
        <v>2.5403066379651191E-2</v>
      </c>
      <c r="AL246" s="179"/>
      <c r="AM246" s="200">
        <f t="shared" si="86"/>
        <v>0.99086939261611751</v>
      </c>
      <c r="AN246" s="200">
        <f t="shared" si="87"/>
        <v>0.89685924777045367</v>
      </c>
      <c r="AP246" s="355">
        <f t="shared" si="82"/>
        <v>0.93539241398612993</v>
      </c>
      <c r="AT246" s="179">
        <f t="shared" si="83"/>
        <v>2.7539235253483826E-2</v>
      </c>
    </row>
    <row r="247" spans="1:46" hidden="1" x14ac:dyDescent="0.25">
      <c r="A247" s="259">
        <v>44138</v>
      </c>
      <c r="B247" s="670">
        <v>12145</v>
      </c>
      <c r="C247" s="515">
        <f t="shared" si="90"/>
        <v>1195276</v>
      </c>
      <c r="D247" s="670">
        <v>429</v>
      </c>
      <c r="E247" s="506">
        <f t="shared" si="97"/>
        <v>32024</v>
      </c>
      <c r="F247" s="515">
        <f t="shared" si="71"/>
        <v>11262</v>
      </c>
      <c r="G247" s="506">
        <v>1009278</v>
      </c>
      <c r="H247" s="506">
        <v>4854</v>
      </c>
      <c r="I247" s="506">
        <v>30999</v>
      </c>
      <c r="J247" s="511">
        <f t="shared" si="94"/>
        <v>3036264</v>
      </c>
      <c r="K247" s="511"/>
      <c r="L247" s="541">
        <f t="shared" si="69"/>
        <v>2.679213838477473E-2</v>
      </c>
      <c r="M247" s="97">
        <v>1482833</v>
      </c>
      <c r="N247" s="510">
        <f t="shared" si="95"/>
        <v>1482833.0267921383</v>
      </c>
      <c r="O247" s="484">
        <v>9211</v>
      </c>
      <c r="P247" s="97">
        <v>232229</v>
      </c>
      <c r="Q247" s="97">
        <v>832741</v>
      </c>
      <c r="R247" s="510">
        <f t="shared" si="93"/>
        <v>121095</v>
      </c>
      <c r="S247" s="510">
        <f t="shared" si="70"/>
        <v>153974</v>
      </c>
      <c r="T247" s="8">
        <f t="shared" si="98"/>
        <v>-138</v>
      </c>
      <c r="U247" s="511"/>
      <c r="V247" s="512">
        <f>SUM(B234:B247)/POBLA!$B$25*100000</f>
        <v>388.44507404898803</v>
      </c>
      <c r="W247" s="512">
        <f>B247/POBLA!$B$25*100000</f>
        <v>26.762796191930658</v>
      </c>
      <c r="X247" s="513">
        <f t="shared" si="80"/>
        <v>0.90616405611444961</v>
      </c>
      <c r="Y247" s="519">
        <f t="shared" si="96"/>
        <v>3.1524802888799407E-2</v>
      </c>
      <c r="Z247" s="520">
        <f t="shared" si="68"/>
        <v>0.18714063797241909</v>
      </c>
      <c r="AA247" s="517">
        <f t="shared" si="75"/>
        <v>11238.142857142857</v>
      </c>
      <c r="AB247" s="517">
        <f t="shared" si="76"/>
        <v>331</v>
      </c>
      <c r="AC247" s="517">
        <f t="shared" si="92"/>
        <v>387.1576736441491</v>
      </c>
      <c r="AD247" s="517">
        <f t="shared" si="88"/>
        <v>56.157673644149099</v>
      </c>
      <c r="AE247" s="545">
        <f t="shared" si="72"/>
        <v>12591.214285714286</v>
      </c>
      <c r="AF247" s="520">
        <f t="shared" si="85"/>
        <v>0.8059317692859338</v>
      </c>
      <c r="AG247" s="200">
        <f t="shared" si="84"/>
        <v>-6.9969436692881026E-2</v>
      </c>
      <c r="AH247" s="4"/>
      <c r="AI247" s="200">
        <f t="shared" si="77"/>
        <v>0.88333968738086155</v>
      </c>
      <c r="AJ247" s="488">
        <f>MAX($B$2:B247)</f>
        <v>18326</v>
      </c>
      <c r="AK247" s="179">
        <f t="shared" si="74"/>
        <v>2.499622413532699E-2</v>
      </c>
      <c r="AL247" s="179"/>
      <c r="AM247" s="200">
        <f t="shared" si="86"/>
        <v>0.98021001615508885</v>
      </c>
      <c r="AN247" s="200">
        <f t="shared" si="87"/>
        <v>0.88333968738086155</v>
      </c>
      <c r="AP247" s="355">
        <f t="shared" si="82"/>
        <v>0.90616405611444961</v>
      </c>
      <c r="AT247" s="179">
        <f t="shared" si="83"/>
        <v>2.7750195317422312E-2</v>
      </c>
    </row>
    <row r="248" spans="1:46" hidden="1" x14ac:dyDescent="0.25">
      <c r="A248" s="259">
        <v>44139</v>
      </c>
      <c r="B248" s="670">
        <v>10652</v>
      </c>
      <c r="C248" s="515">
        <f t="shared" si="90"/>
        <v>1205928</v>
      </c>
      <c r="D248" s="670">
        <v>464</v>
      </c>
      <c r="E248" s="506">
        <f t="shared" si="97"/>
        <v>32488</v>
      </c>
      <c r="F248" s="515">
        <f t="shared" si="71"/>
        <v>8369</v>
      </c>
      <c r="G248" s="506">
        <v>1017647</v>
      </c>
      <c r="H248" s="506">
        <v>4816</v>
      </c>
      <c r="I248" s="506">
        <v>36435</v>
      </c>
      <c r="J248" s="511">
        <f t="shared" si="94"/>
        <v>3072699</v>
      </c>
      <c r="K248" s="511"/>
      <c r="L248" s="541">
        <f t="shared" si="69"/>
        <v>2.6940248505715102E-2</v>
      </c>
      <c r="M248" s="97">
        <v>1503103</v>
      </c>
      <c r="N248" s="510">
        <f t="shared" si="95"/>
        <v>1503103.0269402484</v>
      </c>
      <c r="O248" s="484">
        <v>9251</v>
      </c>
      <c r="P248" s="97">
        <v>234718</v>
      </c>
      <c r="Q248" s="97">
        <v>842950</v>
      </c>
      <c r="R248" s="510">
        <f t="shared" si="93"/>
        <v>119009</v>
      </c>
      <c r="S248" s="510">
        <f t="shared" si="70"/>
        <v>155793</v>
      </c>
      <c r="T248" s="507">
        <f t="shared" si="98"/>
        <v>-38</v>
      </c>
      <c r="U248" s="511"/>
      <c r="V248" s="512">
        <f>SUM(B235:B248)/POBLA!$B$25*100000</f>
        <v>371.5346007697064</v>
      </c>
      <c r="W248" s="512">
        <f>B248/POBLA!$B$25*100000</f>
        <v>23.472812271424068</v>
      </c>
      <c r="X248" s="513">
        <f t="shared" si="80"/>
        <v>0.85842370551397584</v>
      </c>
      <c r="Y248" s="519">
        <f t="shared" si="96"/>
        <v>3.0912813797795792E-2</v>
      </c>
      <c r="Z248" s="520">
        <f t="shared" si="68"/>
        <v>0.17783055916560331</v>
      </c>
      <c r="AA248" s="517">
        <f t="shared" si="75"/>
        <v>10770.714285714286</v>
      </c>
      <c r="AB248" s="517">
        <f t="shared" si="76"/>
        <v>348</v>
      </c>
      <c r="AC248" s="517">
        <f t="shared" si="92"/>
        <v>399.08580655601116</v>
      </c>
      <c r="AD248" s="517">
        <f t="shared" si="88"/>
        <v>51.085806556011164</v>
      </c>
      <c r="AE248" s="545">
        <f t="shared" si="72"/>
        <v>12043.071428571429</v>
      </c>
      <c r="AF248" s="520">
        <f t="shared" si="85"/>
        <v>0.80888979486739343</v>
      </c>
      <c r="AG248" s="200">
        <f t="shared" si="84"/>
        <v>-7.9966220605430682E-2</v>
      </c>
      <c r="AH248" s="4"/>
      <c r="AI248" s="200">
        <f t="shared" si="77"/>
        <v>0.95641931684334514</v>
      </c>
      <c r="AJ248" s="488">
        <f>MAX($B$2:B248)</f>
        <v>18326</v>
      </c>
      <c r="AK248" s="179">
        <f t="shared" si="74"/>
        <v>2.5876079497774613E-2</v>
      </c>
      <c r="AL248" s="179"/>
      <c r="AM248" s="200">
        <f t="shared" si="86"/>
        <v>0.95612467738733375</v>
      </c>
      <c r="AN248" s="200">
        <f t="shared" si="87"/>
        <v>0.95641931684334514</v>
      </c>
      <c r="AP248" s="355">
        <f t="shared" si="82"/>
        <v>0.85842370551397595</v>
      </c>
      <c r="AT248" s="179">
        <f t="shared" si="83"/>
        <v>2.7826855123674912E-2</v>
      </c>
    </row>
    <row r="249" spans="1:46" hidden="1" x14ac:dyDescent="0.25">
      <c r="A249" s="259">
        <v>44140</v>
      </c>
      <c r="B249" s="670">
        <v>11100</v>
      </c>
      <c r="C249" s="515">
        <f t="shared" si="90"/>
        <v>1217028</v>
      </c>
      <c r="D249" s="670">
        <v>246</v>
      </c>
      <c r="E249" s="506">
        <f t="shared" si="97"/>
        <v>32734</v>
      </c>
      <c r="F249" s="515">
        <f t="shared" si="71"/>
        <v>12490</v>
      </c>
      <c r="G249" s="506">
        <v>1030137</v>
      </c>
      <c r="H249" s="506">
        <v>4713</v>
      </c>
      <c r="I249" s="506">
        <v>28900</v>
      </c>
      <c r="J249" s="511">
        <f t="shared" si="94"/>
        <v>3101599</v>
      </c>
      <c r="K249" s="511"/>
      <c r="L249" s="541">
        <f t="shared" si="69"/>
        <v>2.6896669591825333E-2</v>
      </c>
      <c r="M249" s="97">
        <v>1516132</v>
      </c>
      <c r="N249" s="510">
        <f t="shared" si="95"/>
        <v>1516132.0268966695</v>
      </c>
      <c r="O249" s="484">
        <v>9294</v>
      </c>
      <c r="P249" s="97">
        <v>237018</v>
      </c>
      <c r="Q249" s="97">
        <v>851916</v>
      </c>
      <c r="R249" s="510">
        <f t="shared" si="93"/>
        <v>118800</v>
      </c>
      <c r="S249" s="510">
        <f t="shared" si="70"/>
        <v>154157</v>
      </c>
      <c r="T249" s="507">
        <f t="shared" si="98"/>
        <v>-103</v>
      </c>
      <c r="U249" s="511"/>
      <c r="V249" s="512">
        <f>SUM(B236:B249)/POBLA!$B$25*100000</f>
        <v>360.02075885098776</v>
      </c>
      <c r="W249" s="512">
        <f>B249/POBLA!$B$25*100000</f>
        <v>24.460027808186929</v>
      </c>
      <c r="X249" s="513">
        <f t="shared" si="80"/>
        <v>0.82814868132258046</v>
      </c>
      <c r="Y249" s="519">
        <f t="shared" si="96"/>
        <v>3.0572727803473084E-2</v>
      </c>
      <c r="Z249" s="520">
        <f t="shared" si="68"/>
        <v>0.17381314635784698</v>
      </c>
      <c r="AA249" s="517">
        <f t="shared" si="75"/>
        <v>10461.142857142857</v>
      </c>
      <c r="AB249" s="517">
        <f t="shared" si="76"/>
        <v>330.28571428571428</v>
      </c>
      <c r="AC249" s="517">
        <f t="shared" si="92"/>
        <v>396.22400417595975</v>
      </c>
      <c r="AD249" s="517">
        <f t="shared" si="88"/>
        <v>65.938289890245471</v>
      </c>
      <c r="AE249" s="545">
        <f t="shared" si="72"/>
        <v>11669.857142857143</v>
      </c>
      <c r="AF249" s="520">
        <f t="shared" si="85"/>
        <v>0.81229062673322239</v>
      </c>
      <c r="AG249" s="200">
        <f t="shared" si="84"/>
        <v>-7.8250938748176346E-2</v>
      </c>
      <c r="AH249" s="4"/>
      <c r="AI249" s="200">
        <f t="shared" si="77"/>
        <v>0.93225806451612903</v>
      </c>
      <c r="AJ249" s="488">
        <f>MAX($B$2:B249)</f>
        <v>18326</v>
      </c>
      <c r="AK249" s="179">
        <f t="shared" si="74"/>
        <v>2.4276279177210539E-2</v>
      </c>
      <c r="AL249" s="179"/>
      <c r="AM249" s="200">
        <f t="shared" si="86"/>
        <v>0.94619554306364184</v>
      </c>
      <c r="AN249" s="200">
        <f t="shared" si="87"/>
        <v>0.93225806451612903</v>
      </c>
      <c r="AP249" s="355">
        <f t="shared" si="82"/>
        <v>0.82814868132258046</v>
      </c>
      <c r="AT249" s="179">
        <f t="shared" si="83"/>
        <v>2.7797024658650908E-2</v>
      </c>
    </row>
    <row r="250" spans="1:46" hidden="1" x14ac:dyDescent="0.25">
      <c r="A250" s="259">
        <v>44141</v>
      </c>
      <c r="B250" s="670">
        <v>11786</v>
      </c>
      <c r="C250" s="515">
        <f t="shared" si="90"/>
        <v>1228814</v>
      </c>
      <c r="D250" s="670">
        <v>369</v>
      </c>
      <c r="E250" s="506">
        <f t="shared" si="97"/>
        <v>33103</v>
      </c>
      <c r="F250" s="515">
        <f t="shared" si="71"/>
        <v>12100</v>
      </c>
      <c r="G250" s="506">
        <v>1042237</v>
      </c>
      <c r="H250" s="506">
        <v>4666</v>
      </c>
      <c r="I250" s="506">
        <v>34727</v>
      </c>
      <c r="J250" s="511">
        <f t="shared" si="94"/>
        <v>3136326</v>
      </c>
      <c r="K250" s="511"/>
      <c r="L250" s="541">
        <f t="shared" si="69"/>
        <v>2.6938983442571455E-2</v>
      </c>
      <c r="M250" s="97">
        <v>1534460</v>
      </c>
      <c r="N250" s="510">
        <f t="shared" si="95"/>
        <v>1534460.0269389835</v>
      </c>
      <c r="O250" s="484">
        <v>9349</v>
      </c>
      <c r="P250" s="97">
        <v>239488</v>
      </c>
      <c r="Q250" s="97">
        <v>861070</v>
      </c>
      <c r="R250" s="510">
        <f t="shared" si="93"/>
        <v>118907</v>
      </c>
      <c r="S250" s="510">
        <f t="shared" si="70"/>
        <v>153474</v>
      </c>
      <c r="T250" s="507">
        <f t="shared" si="98"/>
        <v>-47</v>
      </c>
      <c r="U250" s="511"/>
      <c r="V250" s="512">
        <f>SUM(B237:B250)/POBLA!$B$25*100000</f>
        <v>351.35617963100663</v>
      </c>
      <c r="W250" s="512">
        <f>B250/POBLA!$B$25*100000</f>
        <v>25.971701598855056</v>
      </c>
      <c r="X250" s="513">
        <f t="shared" si="80"/>
        <v>0.80568974229408796</v>
      </c>
      <c r="Y250" s="519">
        <f t="shared" si="96"/>
        <v>3.0402543753339329E-2</v>
      </c>
      <c r="Z250" s="520">
        <f t="shared" ref="Z250:Z313" si="99">SUM(B244:B250)/SUM(I244:I250)</f>
        <v>0.1692422549253548</v>
      </c>
      <c r="AA250" s="517">
        <f t="shared" si="75"/>
        <v>10233.571428571429</v>
      </c>
      <c r="AB250" s="517">
        <f t="shared" si="76"/>
        <v>333.14285714285717</v>
      </c>
      <c r="AC250" s="517">
        <f t="shared" si="92"/>
        <v>392.5766564924329</v>
      </c>
      <c r="AD250" s="517">
        <f t="shared" si="88"/>
        <v>59.433799349575736</v>
      </c>
      <c r="AE250" s="545">
        <f t="shared" si="72"/>
        <v>11389</v>
      </c>
      <c r="AF250" s="520">
        <f t="shared" si="85"/>
        <v>0.815786177130428</v>
      </c>
      <c r="AG250" s="200">
        <f t="shared" si="84"/>
        <v>-7.1581965675984738E-2</v>
      </c>
      <c r="AH250" s="4"/>
      <c r="AI250" s="200">
        <f t="shared" si="77"/>
        <v>0.9522253981216825</v>
      </c>
      <c r="AJ250" s="488">
        <f>MAX($B$2:B250)</f>
        <v>18326</v>
      </c>
      <c r="AK250" s="179">
        <f t="shared" si="74"/>
        <v>2.4425498041351575E-2</v>
      </c>
      <c r="AL250" s="179"/>
      <c r="AM250" s="200">
        <f t="shared" si="86"/>
        <v>0.93675968680987753</v>
      </c>
      <c r="AN250" s="200">
        <f t="shared" si="87"/>
        <v>0.9522253981216825</v>
      </c>
      <c r="AP250" s="355">
        <f t="shared" si="82"/>
        <v>0.80568974229408785</v>
      </c>
      <c r="AT250" s="179">
        <f t="shared" si="83"/>
        <v>2.8048538408193886E-2</v>
      </c>
    </row>
    <row r="251" spans="1:46" hidden="1" x14ac:dyDescent="0.25">
      <c r="A251" s="105">
        <v>44142</v>
      </c>
      <c r="B251" s="670">
        <v>8037</v>
      </c>
      <c r="C251" s="515">
        <f t="shared" si="90"/>
        <v>1236851</v>
      </c>
      <c r="D251" s="670">
        <v>212</v>
      </c>
      <c r="E251" s="506">
        <f t="shared" si="97"/>
        <v>33315</v>
      </c>
      <c r="F251" s="515">
        <f t="shared" si="71"/>
        <v>11076</v>
      </c>
      <c r="G251" s="506">
        <v>1053313</v>
      </c>
      <c r="H251" s="506">
        <v>4593</v>
      </c>
      <c r="I251" s="506">
        <v>37062</v>
      </c>
      <c r="J251" s="511">
        <f t="shared" si="94"/>
        <v>3173388</v>
      </c>
      <c r="K251" s="511"/>
      <c r="L251" s="541">
        <f t="shared" si="69"/>
        <v>2.6935338209695427E-2</v>
      </c>
      <c r="M251" s="97">
        <v>1559126</v>
      </c>
      <c r="N251" s="510">
        <f t="shared" si="95"/>
        <v>1559126.0269353383</v>
      </c>
      <c r="O251" s="484">
        <v>9387</v>
      </c>
      <c r="P251" s="97">
        <v>240865</v>
      </c>
      <c r="Q251" s="97">
        <v>866690</v>
      </c>
      <c r="R251" s="510">
        <f t="shared" si="93"/>
        <v>119909</v>
      </c>
      <c r="S251" s="510">
        <f t="shared" si="70"/>
        <v>150223</v>
      </c>
      <c r="T251" s="507">
        <f t="shared" si="98"/>
        <v>-73</v>
      </c>
      <c r="U251" s="511"/>
      <c r="V251" s="512">
        <f>SUM(B238:B251)/POBLA!$B$25*100000</f>
        <v>342.69380401713431</v>
      </c>
      <c r="W251" s="512">
        <f>B251/POBLA!$B$25*100000</f>
        <v>17.710382296792645</v>
      </c>
      <c r="X251" s="513">
        <f t="shared" si="80"/>
        <v>0.7876011628024755</v>
      </c>
      <c r="Y251" s="519">
        <f t="shared" si="96"/>
        <v>3.0574545841848454E-2</v>
      </c>
      <c r="Z251" s="520">
        <f t="shared" si="99"/>
        <v>0.16125885543502325</v>
      </c>
      <c r="AA251" s="517">
        <f t="shared" si="75"/>
        <v>9989.5714285714294</v>
      </c>
      <c r="AB251" s="517">
        <f t="shared" si="76"/>
        <v>333.42857142857144</v>
      </c>
      <c r="AC251" s="517">
        <f t="shared" si="92"/>
        <v>386.14865777149743</v>
      </c>
      <c r="AD251" s="517">
        <f t="shared" si="88"/>
        <v>52.720086342925981</v>
      </c>
      <c r="AE251" s="545">
        <f t="shared" si="72"/>
        <v>11108.214285714286</v>
      </c>
      <c r="AF251" s="520">
        <f t="shared" si="85"/>
        <v>0.81701874094499238</v>
      </c>
      <c r="AG251" s="200">
        <f t="shared" si="84"/>
        <v>-7.2720426656131987E-2</v>
      </c>
      <c r="AH251" s="4"/>
      <c r="AI251" s="200">
        <f t="shared" si="77"/>
        <v>0.97820620284995818</v>
      </c>
      <c r="AJ251" s="488">
        <f>MAX($B$2:B251)</f>
        <v>18326</v>
      </c>
      <c r="AK251" s="179">
        <f t="shared" si="74"/>
        <v>2.3591962155824205E-2</v>
      </c>
      <c r="AL251" s="179"/>
      <c r="AM251" s="200">
        <f t="shared" si="86"/>
        <v>0.92433085127792314</v>
      </c>
      <c r="AN251" s="200">
        <f t="shared" si="87"/>
        <v>0.97820620284995818</v>
      </c>
      <c r="AP251" s="355">
        <f t="shared" si="82"/>
        <v>0.7876011628024755</v>
      </c>
      <c r="AT251" s="179">
        <f t="shared" si="83"/>
        <v>2.7880425355207343E-2</v>
      </c>
    </row>
    <row r="252" spans="1:46" hidden="1" x14ac:dyDescent="0.25">
      <c r="A252" s="105">
        <v>44143</v>
      </c>
      <c r="B252" s="670">
        <v>5331</v>
      </c>
      <c r="C252" s="515">
        <f t="shared" si="90"/>
        <v>1242182</v>
      </c>
      <c r="D252" s="670">
        <v>211</v>
      </c>
      <c r="E252" s="506">
        <f t="shared" si="97"/>
        <v>33526</v>
      </c>
      <c r="F252" s="515">
        <f t="shared" si="71"/>
        <v>9598</v>
      </c>
      <c r="G252" s="506">
        <v>1062911</v>
      </c>
      <c r="H252" s="506">
        <v>4608</v>
      </c>
      <c r="I252" s="506">
        <v>14025</v>
      </c>
      <c r="J252" s="511">
        <f t="shared" si="94"/>
        <v>3187413</v>
      </c>
      <c r="K252" s="511"/>
      <c r="L252" s="541">
        <f t="shared" si="69"/>
        <v>2.6989603777868298E-2</v>
      </c>
      <c r="M252" s="97">
        <v>1566231</v>
      </c>
      <c r="N252" s="510">
        <f t="shared" si="95"/>
        <v>1566231.0269896039</v>
      </c>
      <c r="O252" s="484">
        <v>9403</v>
      </c>
      <c r="P252" s="97">
        <v>241673</v>
      </c>
      <c r="Q252" s="97">
        <v>871132</v>
      </c>
      <c r="R252" s="510">
        <f t="shared" si="93"/>
        <v>119974</v>
      </c>
      <c r="S252" s="510">
        <f t="shared" si="70"/>
        <v>145745</v>
      </c>
      <c r="T252" s="507">
        <f t="shared" si="98"/>
        <v>15</v>
      </c>
      <c r="U252" s="511"/>
      <c r="V252" s="512">
        <f>SUM(B239:B252)/POBLA!$B$25*100000</f>
        <v>334.05126085824156</v>
      </c>
      <c r="W252" s="512">
        <f>B252/POBLA!$B$25*100000</f>
        <v>11.747424166256264</v>
      </c>
      <c r="X252" s="513">
        <f t="shared" si="80"/>
        <v>0.77192526848046927</v>
      </c>
      <c r="Y252" s="519">
        <f t="shared" si="96"/>
        <v>3.1616865072558238E-2</v>
      </c>
      <c r="Z252" s="520">
        <f t="shared" si="99"/>
        <v>0.15890530818588372</v>
      </c>
      <c r="AA252" s="517">
        <f t="shared" si="75"/>
        <v>9807</v>
      </c>
      <c r="AB252" s="517">
        <f t="shared" si="76"/>
        <v>344.28571428571428</v>
      </c>
      <c r="AC252" s="517">
        <f t="shared" si="92"/>
        <v>381.70058211008654</v>
      </c>
      <c r="AD252" s="517">
        <f t="shared" si="88"/>
        <v>37.414867824372266</v>
      </c>
      <c r="AE252" s="545">
        <f t="shared" si="72"/>
        <v>10828.071428571429</v>
      </c>
      <c r="AF252" s="520">
        <f t="shared" si="85"/>
        <v>0.82765480324074081</v>
      </c>
      <c r="AG252" s="200">
        <f t="shared" si="84"/>
        <v>-7.2284708563280953E-2</v>
      </c>
      <c r="AH252" s="4"/>
      <c r="AI252" s="200">
        <f t="shared" si="77"/>
        <v>1.0763733809736491</v>
      </c>
      <c r="AJ252" s="488">
        <f>MAX($B$2:B252)</f>
        <v>18326</v>
      </c>
      <c r="AK252" s="179">
        <f t="shared" si="74"/>
        <v>2.3635793024989211E-2</v>
      </c>
      <c r="AL252" s="179"/>
      <c r="AM252" s="200">
        <f t="shared" si="86"/>
        <v>0.90017581558898219</v>
      </c>
      <c r="AN252" s="200">
        <f t="shared" si="87"/>
        <v>1.0763733809736491</v>
      </c>
      <c r="AP252" s="355">
        <f t="shared" si="82"/>
        <v>0.77192526848046927</v>
      </c>
      <c r="AT252" s="179">
        <f t="shared" si="83"/>
        <v>2.7797709285325076E-2</v>
      </c>
    </row>
    <row r="253" spans="1:46" hidden="1" x14ac:dyDescent="0.25">
      <c r="A253" s="259">
        <v>44144</v>
      </c>
      <c r="B253" s="670">
        <v>8317</v>
      </c>
      <c r="C253" s="515">
        <f t="shared" si="90"/>
        <v>1250499</v>
      </c>
      <c r="D253" s="670">
        <v>348</v>
      </c>
      <c r="E253" s="506">
        <f t="shared" si="97"/>
        <v>33874</v>
      </c>
      <c r="F253" s="515">
        <f t="shared" si="71"/>
        <v>10666</v>
      </c>
      <c r="G253" s="506">
        <v>1073577</v>
      </c>
      <c r="H253" s="506">
        <v>4577</v>
      </c>
      <c r="I253" s="506">
        <v>29570</v>
      </c>
      <c r="J253" s="511">
        <f t="shared" si="94"/>
        <v>3216983</v>
      </c>
      <c r="K253" s="511"/>
      <c r="L253" s="541">
        <f t="shared" si="69"/>
        <v>2.7088386316182579E-2</v>
      </c>
      <c r="M253" s="97">
        <v>1581460</v>
      </c>
      <c r="N253" s="510">
        <f t="shared" si="95"/>
        <v>1581460.0270883862</v>
      </c>
      <c r="O253" s="484">
        <v>9444</v>
      </c>
      <c r="P253" s="97">
        <v>243982</v>
      </c>
      <c r="Q253" s="97">
        <v>878724</v>
      </c>
      <c r="R253" s="510">
        <f t="shared" si="93"/>
        <v>118349</v>
      </c>
      <c r="S253" s="510">
        <f t="shared" si="70"/>
        <v>143048</v>
      </c>
      <c r="T253" s="507">
        <f t="shared" si="98"/>
        <v>-31</v>
      </c>
      <c r="U253" s="511"/>
      <c r="V253" s="512">
        <f>SUM(B240:B253)/POBLA!$B$25*100000</f>
        <v>326.57001811871049</v>
      </c>
      <c r="W253" s="512">
        <f>B253/POBLA!$B$25*100000</f>
        <v>18.327392007269431</v>
      </c>
      <c r="X253" s="513">
        <f t="shared" si="80"/>
        <v>0.74632247407728214</v>
      </c>
      <c r="Y253" s="519">
        <f t="shared" si="96"/>
        <v>3.1996253005984007E-2</v>
      </c>
      <c r="Z253" s="520">
        <f t="shared" si="99"/>
        <v>0.31819684674897741</v>
      </c>
      <c r="AA253" s="517">
        <f t="shared" si="75"/>
        <v>9624</v>
      </c>
      <c r="AB253" s="517">
        <f t="shared" si="76"/>
        <v>325.57142857142856</v>
      </c>
      <c r="AC253" s="517">
        <f t="shared" si="92"/>
        <v>378.12192054879489</v>
      </c>
      <c r="AD253" s="517">
        <f t="shared" si="88"/>
        <v>52.550491977366335</v>
      </c>
      <c r="AE253" s="545">
        <f t="shared" si="72"/>
        <v>10585.571428571429</v>
      </c>
      <c r="AF253" s="520">
        <f t="shared" si="85"/>
        <v>0.83345292589385134</v>
      </c>
      <c r="AG253" s="200">
        <f t="shared" si="84"/>
        <v>-6.8212610734757706E-2</v>
      </c>
      <c r="AH253" s="4"/>
      <c r="AI253" s="200">
        <f t="shared" si="77"/>
        <v>0.98530047557284905</v>
      </c>
      <c r="AJ253" s="488">
        <f>MAX($B$2:B253)</f>
        <v>18326</v>
      </c>
      <c r="AK253" s="179">
        <f t="shared" si="74"/>
        <v>2.1631010459575922E-2</v>
      </c>
      <c r="AL253" s="179"/>
      <c r="AM253" s="200">
        <f t="shared" si="86"/>
        <v>0.91686698717948723</v>
      </c>
      <c r="AN253" s="200">
        <f t="shared" si="87"/>
        <v>0.98530047557284905</v>
      </c>
      <c r="AP253" s="355">
        <f t="shared" si="82"/>
        <v>0.74632247407728225</v>
      </c>
      <c r="AT253" s="179">
        <f t="shared" si="83"/>
        <v>2.8083804078916145E-2</v>
      </c>
    </row>
    <row r="254" spans="1:46" hidden="1" x14ac:dyDescent="0.25">
      <c r="A254" s="259">
        <v>44145</v>
      </c>
      <c r="B254" s="670">
        <v>11977</v>
      </c>
      <c r="C254" s="515">
        <f t="shared" si="90"/>
        <v>1262476</v>
      </c>
      <c r="D254" s="670">
        <v>279</v>
      </c>
      <c r="E254" s="506">
        <f t="shared" si="97"/>
        <v>34153</v>
      </c>
      <c r="F254" s="515">
        <f t="shared" si="71"/>
        <v>8320</v>
      </c>
      <c r="G254" s="506">
        <v>1081897</v>
      </c>
      <c r="H254" s="515">
        <v>4494</v>
      </c>
      <c r="I254" s="515">
        <v>31535</v>
      </c>
      <c r="J254" s="511">
        <f t="shared" si="94"/>
        <v>3248518</v>
      </c>
      <c r="K254" s="511"/>
      <c r="L254" s="541">
        <f t="shared" si="69"/>
        <v>2.705239545147789E-2</v>
      </c>
      <c r="M254" s="522">
        <v>1599337</v>
      </c>
      <c r="N254" s="510">
        <f t="shared" si="95"/>
        <v>1599337.0270523955</v>
      </c>
      <c r="O254" s="520">
        <v>9481</v>
      </c>
      <c r="P254" s="511">
        <v>246898</v>
      </c>
      <c r="Q254" s="511">
        <v>885833</v>
      </c>
      <c r="R254" s="510">
        <f t="shared" si="93"/>
        <v>120264</v>
      </c>
      <c r="S254" s="510">
        <f t="shared" si="70"/>
        <v>146426</v>
      </c>
      <c r="T254" s="507">
        <f t="shared" si="98"/>
        <v>-83</v>
      </c>
      <c r="U254" s="511"/>
      <c r="V254" s="512">
        <f>SUM(B241:B254)/POBLA!$B$25*100000</f>
        <v>321.43341227899123</v>
      </c>
      <c r="W254" s="512">
        <f>B254/POBLA!$B$25*100000</f>
        <v>26.392590365644583</v>
      </c>
      <c r="X254" s="513">
        <f t="shared" si="80"/>
        <v>0.73089179953300532</v>
      </c>
      <c r="Y254" s="519">
        <f t="shared" si="96"/>
        <v>3.0691270675972847E-2</v>
      </c>
      <c r="Z254" s="520">
        <f t="shared" si="99"/>
        <v>0.31660180726864984</v>
      </c>
      <c r="AA254" s="517">
        <f t="shared" si="75"/>
        <v>9600</v>
      </c>
      <c r="AB254" s="517">
        <f t="shared" si="76"/>
        <v>304.14285714285717</v>
      </c>
      <c r="AC254" s="517">
        <f t="shared" si="92"/>
        <v>370.9829454305721</v>
      </c>
      <c r="AD254" s="517">
        <f t="shared" si="88"/>
        <v>66.840088287714934</v>
      </c>
      <c r="AE254" s="545">
        <f t="shared" si="72"/>
        <v>10419.071428571429</v>
      </c>
      <c r="AF254" s="520">
        <f t="shared" si="85"/>
        <v>0.8542336685014047</v>
      </c>
      <c r="AG254" s="200">
        <f t="shared" si="84"/>
        <v>-4.9021263330172649E-2</v>
      </c>
      <c r="AH254" s="4"/>
      <c r="AI254" s="200">
        <f t="shared" si="77"/>
        <v>0.91886059559775579</v>
      </c>
      <c r="AJ254" s="488">
        <f>MAX($B$2:B254)</f>
        <v>18326</v>
      </c>
      <c r="AK254" s="179">
        <f t="shared" si="74"/>
        <v>2.0356258425999408E-2</v>
      </c>
      <c r="AL254" s="179"/>
      <c r="AM254" s="200">
        <f t="shared" si="86"/>
        <v>0.92583436341161929</v>
      </c>
      <c r="AN254" s="200">
        <f t="shared" si="87"/>
        <v>0.91886059559775579</v>
      </c>
      <c r="AP254" s="355">
        <f t="shared" si="82"/>
        <v>0.73089179953300543</v>
      </c>
      <c r="AT254" s="179">
        <f t="shared" si="83"/>
        <v>2.7946886795014527E-2</v>
      </c>
    </row>
    <row r="255" spans="1:46" hidden="1" x14ac:dyDescent="0.25">
      <c r="A255" s="259">
        <v>44146</v>
      </c>
      <c r="B255" s="670">
        <v>10880</v>
      </c>
      <c r="C255" s="515">
        <f t="shared" si="90"/>
        <v>1273356</v>
      </c>
      <c r="D255" s="670">
        <v>348</v>
      </c>
      <c r="E255" s="506">
        <f t="shared" si="97"/>
        <v>34501</v>
      </c>
      <c r="F255" s="515">
        <f t="shared" si="71"/>
        <v>7632</v>
      </c>
      <c r="G255" s="515">
        <v>1089529</v>
      </c>
      <c r="H255" s="515">
        <v>4418</v>
      </c>
      <c r="I255" s="515">
        <v>56473</v>
      </c>
      <c r="J255" s="511">
        <f t="shared" si="94"/>
        <v>3304991</v>
      </c>
      <c r="K255" s="511"/>
      <c r="L255" s="541">
        <f t="shared" si="69"/>
        <v>2.7094543866758393E-2</v>
      </c>
      <c r="M255" s="522">
        <v>1635003</v>
      </c>
      <c r="N255" s="510">
        <f t="shared" si="95"/>
        <v>1635003.0270945439</v>
      </c>
      <c r="O255" s="520">
        <v>9521</v>
      </c>
      <c r="P255" s="511">
        <v>249148</v>
      </c>
      <c r="Q255" s="511">
        <v>892532</v>
      </c>
      <c r="R255" s="510">
        <f t="shared" si="93"/>
        <v>122155</v>
      </c>
      <c r="S255" s="510">
        <f t="shared" si="70"/>
        <v>149326</v>
      </c>
      <c r="T255" s="507">
        <f t="shared" si="98"/>
        <v>-76</v>
      </c>
      <c r="U255" s="511"/>
      <c r="V255" s="512">
        <f>SUM(B242:B255)/POBLA!$B$25*100000</f>
        <v>314.72563528366504</v>
      </c>
      <c r="W255" s="512">
        <f>B255/POBLA!$B$25*100000</f>
        <v>23.975234464240884</v>
      </c>
      <c r="X255" s="513">
        <f t="shared" si="80"/>
        <v>0.71927218154165362</v>
      </c>
      <c r="Y255" s="519">
        <f t="shared" si="96"/>
        <v>2.9586274325971364E-2</v>
      </c>
      <c r="Z255" s="520">
        <f t="shared" si="99"/>
        <v>0.29027258794964955</v>
      </c>
      <c r="AA255" s="517">
        <f t="shared" si="75"/>
        <v>9632.5714285714294</v>
      </c>
      <c r="AB255" s="517">
        <f t="shared" si="76"/>
        <v>287.57142857142856</v>
      </c>
      <c r="AC255" s="517">
        <f t="shared" si="92"/>
        <v>353.9527456771022</v>
      </c>
      <c r="AD255" s="517">
        <f t="shared" si="88"/>
        <v>66.381317105673645</v>
      </c>
      <c r="AE255" s="545">
        <f t="shared" si="72"/>
        <v>10201.642857142857</v>
      </c>
      <c r="AF255" s="520">
        <f t="shared" si="85"/>
        <v>0.89432986272299231</v>
      </c>
      <c r="AG255" s="200">
        <f t="shared" si="84"/>
        <v>-4.1510209059457126E-2</v>
      </c>
      <c r="AH255" s="4"/>
      <c r="AI255" s="200">
        <f t="shared" si="77"/>
        <v>0.82635467980295563</v>
      </c>
      <c r="AJ255" s="488">
        <f>MAX($B$2:B255)</f>
        <v>18326</v>
      </c>
      <c r="AK255" s="179">
        <f t="shared" si="74"/>
        <v>1.9400726683950306E-2</v>
      </c>
      <c r="AL255" s="179"/>
      <c r="AM255" s="200">
        <f t="shared" si="86"/>
        <v>0.91735880398671099</v>
      </c>
      <c r="AN255" s="200">
        <f t="shared" si="87"/>
        <v>0.82635467980295563</v>
      </c>
      <c r="AP255" s="355">
        <f t="shared" si="82"/>
        <v>0.71927218154165362</v>
      </c>
      <c r="AT255" s="179">
        <f t="shared" si="83"/>
        <v>2.7925524719581415E-2</v>
      </c>
    </row>
    <row r="256" spans="1:46" hidden="1" x14ac:dyDescent="0.25">
      <c r="A256" s="259">
        <v>44147</v>
      </c>
      <c r="B256" s="670">
        <v>11163</v>
      </c>
      <c r="C256" s="515">
        <f t="shared" si="90"/>
        <v>1284519</v>
      </c>
      <c r="D256" s="670">
        <v>249</v>
      </c>
      <c r="E256" s="506">
        <f t="shared" si="97"/>
        <v>34750</v>
      </c>
      <c r="F256" s="515">
        <f t="shared" si="71"/>
        <v>10651</v>
      </c>
      <c r="G256" s="515">
        <v>1100180</v>
      </c>
      <c r="H256" s="515">
        <v>4397</v>
      </c>
      <c r="I256" s="515">
        <v>31520</v>
      </c>
      <c r="J256" s="511">
        <f t="shared" si="94"/>
        <v>3336511</v>
      </c>
      <c r="K256" s="511"/>
      <c r="L256" s="541">
        <f t="shared" si="69"/>
        <v>2.7052927983159454E-2</v>
      </c>
      <c r="M256" s="522">
        <v>1655824</v>
      </c>
      <c r="N256" s="510">
        <f t="shared" si="95"/>
        <v>1655824.027052928</v>
      </c>
      <c r="O256" s="520">
        <v>9553</v>
      </c>
      <c r="P256" s="511">
        <v>251515</v>
      </c>
      <c r="Q256" s="511">
        <v>901700</v>
      </c>
      <c r="R256" s="510">
        <f t="shared" si="93"/>
        <v>121751</v>
      </c>
      <c r="S256" s="510">
        <f t="shared" si="70"/>
        <v>149589</v>
      </c>
      <c r="T256" s="507">
        <f t="shared" si="98"/>
        <v>-21</v>
      </c>
      <c r="U256" s="511"/>
      <c r="V256" s="512">
        <f>SUM(B243:B256)/POBLA!$B$25*100000</f>
        <v>310.08924803065378</v>
      </c>
      <c r="W256" s="512">
        <f>B256/POBLA!$B$25*100000</f>
        <v>24.598854993044206</v>
      </c>
      <c r="X256" s="513">
        <f t="shared" si="80"/>
        <v>0.72261049518067955</v>
      </c>
      <c r="Y256" s="519">
        <f t="shared" si="96"/>
        <v>2.939387254410418E-2</v>
      </c>
      <c r="Z256" s="520">
        <f t="shared" si="99"/>
        <v>0.28730333060890889</v>
      </c>
      <c r="AA256" s="517">
        <f t="shared" si="75"/>
        <v>9641.5714285714294</v>
      </c>
      <c r="AB256" s="517">
        <f t="shared" si="76"/>
        <v>288</v>
      </c>
      <c r="AC256" s="517">
        <f t="shared" si="92"/>
        <v>342.53532086029026</v>
      </c>
      <c r="AD256" s="517">
        <f t="shared" si="88"/>
        <v>54.535320860290255</v>
      </c>
      <c r="AE256" s="545">
        <f t="shared" si="72"/>
        <v>10051.357142857143</v>
      </c>
      <c r="AF256" s="520">
        <f t="shared" si="85"/>
        <v>0.92165565084393952</v>
      </c>
      <c r="AG256" s="200">
        <f t="shared" si="84"/>
        <v>-2.9632128284800552E-2</v>
      </c>
      <c r="AH256" s="4"/>
      <c r="AI256" s="200">
        <f t="shared" si="77"/>
        <v>0.87197231833910038</v>
      </c>
      <c r="AJ256" s="488">
        <f>MAX($B$2:B256)</f>
        <v>18326</v>
      </c>
      <c r="AK256" s="179">
        <f t="shared" si="74"/>
        <v>1.9722746705538217E-2</v>
      </c>
      <c r="AL256" s="179"/>
      <c r="AM256" s="200">
        <f t="shared" si="86"/>
        <v>0.93295141099087631</v>
      </c>
      <c r="AN256" s="200">
        <f t="shared" si="87"/>
        <v>0.87197231833910038</v>
      </c>
      <c r="AP256" s="355">
        <f t="shared" si="82"/>
        <v>0.72261049518067966</v>
      </c>
      <c r="AT256" s="179">
        <f t="shared" si="83"/>
        <v>2.7720934788997616E-2</v>
      </c>
    </row>
    <row r="257" spans="1:46" hidden="1" x14ac:dyDescent="0.25">
      <c r="A257" s="259">
        <v>44148</v>
      </c>
      <c r="B257" s="670">
        <v>11859</v>
      </c>
      <c r="C257" s="515">
        <f t="shared" si="90"/>
        <v>1296378</v>
      </c>
      <c r="D257" s="670">
        <v>264</v>
      </c>
      <c r="E257" s="515">
        <f t="shared" si="97"/>
        <v>35014</v>
      </c>
      <c r="F257" s="515">
        <f t="shared" si="71"/>
        <v>10297</v>
      </c>
      <c r="G257" s="515">
        <v>1110477</v>
      </c>
      <c r="H257" s="515">
        <v>4381</v>
      </c>
      <c r="I257" s="515">
        <v>31738</v>
      </c>
      <c r="J257" s="511">
        <f t="shared" si="94"/>
        <v>3368249</v>
      </c>
      <c r="K257" s="511"/>
      <c r="L257" s="541">
        <f t="shared" si="69"/>
        <v>2.7009097655159221E-2</v>
      </c>
      <c r="M257" s="99">
        <v>1671421</v>
      </c>
      <c r="N257" s="510">
        <f t="shared" si="95"/>
        <v>1671421.0270090976</v>
      </c>
      <c r="O257" s="485">
        <v>9613</v>
      </c>
      <c r="P257" s="8">
        <v>253981</v>
      </c>
      <c r="Q257" s="8">
        <v>910204</v>
      </c>
      <c r="R257" s="510">
        <f t="shared" si="93"/>
        <v>122580</v>
      </c>
      <c r="S257" s="510">
        <f t="shared" si="70"/>
        <v>150887</v>
      </c>
      <c r="T257" s="507">
        <f t="shared" si="98"/>
        <v>-16</v>
      </c>
      <c r="U257" s="511"/>
      <c r="V257" s="512">
        <f>SUM(B244:B257)/POBLA!$B$25*100000</f>
        <v>306.73976674520833</v>
      </c>
      <c r="W257" s="512">
        <f>B257/POBLA!$B$25*100000</f>
        <v>26.132564844800793</v>
      </c>
      <c r="X257" s="513">
        <f t="shared" si="80"/>
        <v>0.72662212246176328</v>
      </c>
      <c r="Y257" s="519">
        <f t="shared" si="96"/>
        <v>2.9034973191858809E-2</v>
      </c>
      <c r="Z257" s="520">
        <f t="shared" si="99"/>
        <v>0.2913208263087318</v>
      </c>
      <c r="AA257" s="517">
        <f t="shared" si="75"/>
        <v>9652</v>
      </c>
      <c r="AB257" s="517">
        <f t="shared" si="76"/>
        <v>273</v>
      </c>
      <c r="AC257" s="517">
        <f t="shared" si="92"/>
        <v>333.57381318830414</v>
      </c>
      <c r="AD257" s="517">
        <f t="shared" si="88"/>
        <v>60.573813188304143</v>
      </c>
      <c r="AE257" s="545">
        <f t="shared" si="72"/>
        <v>9942.7857142857138</v>
      </c>
      <c r="AF257" s="520">
        <f t="shared" si="85"/>
        <v>0.94317023801214483</v>
      </c>
      <c r="AG257" s="200">
        <f t="shared" si="84"/>
        <v>-1.6856275330023318E-2</v>
      </c>
      <c r="AH257" s="4"/>
      <c r="AI257" s="200">
        <f t="shared" si="77"/>
        <v>0.81946826758147506</v>
      </c>
      <c r="AJ257" s="488">
        <f>MAX($B$2:B257)</f>
        <v>18326</v>
      </c>
      <c r="AK257" s="179">
        <f t="shared" si="74"/>
        <v>1.8937854898968376E-2</v>
      </c>
      <c r="AL257" s="179"/>
      <c r="AM257" s="200">
        <f t="shared" si="86"/>
        <v>0.93891984569224174</v>
      </c>
      <c r="AN257" s="200">
        <f t="shared" si="87"/>
        <v>0.81946826758147506</v>
      </c>
      <c r="AP257" s="355">
        <f t="shared" si="82"/>
        <v>0.72662212246176328</v>
      </c>
      <c r="AT257" s="179">
        <f t="shared" si="83"/>
        <v>2.7718702234564817E-2</v>
      </c>
    </row>
    <row r="258" spans="1:46" hidden="1" x14ac:dyDescent="0.25">
      <c r="A258" s="105">
        <v>44149</v>
      </c>
      <c r="B258" s="670">
        <v>8468</v>
      </c>
      <c r="C258" s="515">
        <f t="shared" si="90"/>
        <v>1304846</v>
      </c>
      <c r="D258" s="670">
        <v>262</v>
      </c>
      <c r="E258" s="515">
        <f t="shared" si="97"/>
        <v>35276</v>
      </c>
      <c r="F258" s="515">
        <f t="shared" si="71"/>
        <v>8889</v>
      </c>
      <c r="G258" s="515">
        <v>1119366</v>
      </c>
      <c r="H258" s="515">
        <v>4346</v>
      </c>
      <c r="I258" s="515">
        <v>25314</v>
      </c>
      <c r="J258" s="511">
        <f t="shared" si="94"/>
        <v>3393563</v>
      </c>
      <c r="K258" s="511"/>
      <c r="L258" s="541">
        <f t="shared" ref="L258:L321" si="100">E258/C258</f>
        <v>2.7034607915416838E-2</v>
      </c>
      <c r="M258" s="8">
        <v>1683861</v>
      </c>
      <c r="N258" s="510">
        <f t="shared" si="95"/>
        <v>1683861.0270346079</v>
      </c>
      <c r="O258" s="485">
        <v>9646</v>
      </c>
      <c r="P258" s="8">
        <v>255493</v>
      </c>
      <c r="Q258" s="8">
        <v>915339</v>
      </c>
      <c r="R258" s="510">
        <f t="shared" si="93"/>
        <v>124368</v>
      </c>
      <c r="S258" s="510">
        <f t="shared" ref="S258:S321" si="101">C258-E258-G258</f>
        <v>150204</v>
      </c>
      <c r="T258" s="507">
        <f t="shared" si="98"/>
        <v>-35</v>
      </c>
      <c r="U258" s="511"/>
      <c r="V258" s="512">
        <f>SUM(B245:B258)/POBLA!$B$25*100000</f>
        <v>303.92576174421242</v>
      </c>
      <c r="W258" s="512">
        <f>B258/POBLA!$B$25*100000</f>
        <v>18.660136529705127</v>
      </c>
      <c r="X258" s="513">
        <f t="shared" si="80"/>
        <v>0.73438939325364072</v>
      </c>
      <c r="Y258" s="519">
        <f t="shared" si="96"/>
        <v>2.8933983116295171E-2</v>
      </c>
      <c r="Z258" s="520">
        <f t="shared" si="99"/>
        <v>0.3088225275349154</v>
      </c>
      <c r="AA258" s="517">
        <f t="shared" si="75"/>
        <v>9713.5714285714294</v>
      </c>
      <c r="AB258" s="517">
        <f t="shared" si="76"/>
        <v>280.14285714285717</v>
      </c>
      <c r="AC258" s="517">
        <f t="shared" si="92"/>
        <v>324.61433747429749</v>
      </c>
      <c r="AD258" s="517">
        <f t="shared" si="88"/>
        <v>44.471480331440318</v>
      </c>
      <c r="AE258" s="545">
        <f t="shared" si="72"/>
        <v>9851.5714285714294</v>
      </c>
      <c r="AF258" s="520">
        <f t="shared" si="85"/>
        <v>0.9723711870951135</v>
      </c>
      <c r="AG258" s="200">
        <f t="shared" si="84"/>
        <v>-1.2647863509585022E-4</v>
      </c>
      <c r="AH258" s="4"/>
      <c r="AI258" s="200">
        <f t="shared" si="77"/>
        <v>0.84018851756640966</v>
      </c>
      <c r="AJ258" s="488">
        <f>MAX($B$2:B258)</f>
        <v>18326</v>
      </c>
      <c r="AK258" s="179">
        <f t="shared" si="74"/>
        <v>1.9681048585393272E-2</v>
      </c>
      <c r="AL258" s="179"/>
      <c r="AM258" s="200">
        <f t="shared" si="86"/>
        <v>0.94622251251905076</v>
      </c>
      <c r="AN258" s="200">
        <f t="shared" si="87"/>
        <v>0.84018851756640966</v>
      </c>
      <c r="AP258" s="355">
        <f t="shared" si="82"/>
        <v>0.73438939325364083</v>
      </c>
      <c r="AT258" s="179">
        <f t="shared" si="83"/>
        <v>2.7943999572773291E-2</v>
      </c>
    </row>
    <row r="259" spans="1:46" hidden="1" x14ac:dyDescent="0.25">
      <c r="A259" s="105">
        <v>44150</v>
      </c>
      <c r="B259" s="670">
        <v>5645</v>
      </c>
      <c r="C259" s="515">
        <f t="shared" si="90"/>
        <v>1310491</v>
      </c>
      <c r="D259" s="670">
        <v>128</v>
      </c>
      <c r="E259" s="515">
        <f t="shared" si="97"/>
        <v>35404</v>
      </c>
      <c r="F259" s="515">
        <f t="shared" ref="F259:F322" si="102">G259-G258</f>
        <v>9736</v>
      </c>
      <c r="G259" s="515">
        <v>1129102</v>
      </c>
      <c r="H259" s="515">
        <v>4365</v>
      </c>
      <c r="I259" s="515">
        <v>17718</v>
      </c>
      <c r="J259" s="511">
        <f t="shared" si="94"/>
        <v>3411281</v>
      </c>
      <c r="K259" s="511"/>
      <c r="L259" s="541">
        <f t="shared" si="100"/>
        <v>2.7015828418508789E-2</v>
      </c>
      <c r="M259" s="8">
        <v>1693448</v>
      </c>
      <c r="N259" s="510">
        <f t="shared" si="95"/>
        <v>1693448.0270158285</v>
      </c>
      <c r="O259" s="485">
        <v>9672</v>
      </c>
      <c r="P259" s="8">
        <v>256696</v>
      </c>
      <c r="Q259" s="8">
        <v>918729</v>
      </c>
      <c r="R259" s="510">
        <f t="shared" si="93"/>
        <v>125394</v>
      </c>
      <c r="S259" s="510">
        <f t="shared" si="101"/>
        <v>145985</v>
      </c>
      <c r="T259" s="507">
        <f t="shared" si="98"/>
        <v>19</v>
      </c>
      <c r="U259" s="511"/>
      <c r="V259" s="512">
        <f>SUM(B246:B259)/POBLA!$B$25*100000</f>
        <v>301.80148545528522</v>
      </c>
      <c r="W259" s="512">
        <f>B259/POBLA!$B$25*100000</f>
        <v>12.439356484433803</v>
      </c>
      <c r="X259" s="513">
        <f t="shared" si="80"/>
        <v>0.74493209248693248</v>
      </c>
      <c r="Y259" s="519">
        <f t="shared" si="96"/>
        <v>2.9900332225913623E-2</v>
      </c>
      <c r="Z259" s="520">
        <f t="shared" si="99"/>
        <v>0.3051307020208337</v>
      </c>
      <c r="AA259" s="517">
        <f t="shared" si="75"/>
        <v>9758.4285714285706</v>
      </c>
      <c r="AB259" s="517">
        <f t="shared" si="76"/>
        <v>268.28571428571428</v>
      </c>
      <c r="AC259" s="517">
        <f t="shared" si="92"/>
        <v>314.17772584397466</v>
      </c>
      <c r="AD259" s="517">
        <f t="shared" si="88"/>
        <v>45.892011558260378</v>
      </c>
      <c r="AE259" s="545">
        <f t="shared" ref="AE259:AE322" si="103">AVERAGE(B246:B259)</f>
        <v>9782.7142857142862</v>
      </c>
      <c r="AF259" s="520">
        <f t="shared" si="85"/>
        <v>0.99504726944310906</v>
      </c>
      <c r="AG259" s="200">
        <f t="shared" si="84"/>
        <v>1.6467117225291705E-3</v>
      </c>
      <c r="AH259" s="4"/>
      <c r="AI259" s="200">
        <f t="shared" si="77"/>
        <v>0.77925311203319503</v>
      </c>
      <c r="AJ259" s="488">
        <f>MAX($B$2:B259)</f>
        <v>18326</v>
      </c>
      <c r="AK259" s="179">
        <f t="shared" si="74"/>
        <v>1.9239831984427826E-2</v>
      </c>
      <c r="AL259" s="179"/>
      <c r="AM259" s="200">
        <f t="shared" si="86"/>
        <v>0.947265625</v>
      </c>
      <c r="AN259" s="200">
        <f t="shared" si="87"/>
        <v>0.77925311203319503</v>
      </c>
      <c r="AP259" s="355">
        <f t="shared" si="82"/>
        <v>0.74493209248693248</v>
      </c>
      <c r="AT259" s="179">
        <f t="shared" si="83"/>
        <v>2.8099465904280304E-2</v>
      </c>
    </row>
    <row r="260" spans="1:46" hidden="1" x14ac:dyDescent="0.25">
      <c r="A260" s="259">
        <v>44151</v>
      </c>
      <c r="B260" s="670">
        <v>7893</v>
      </c>
      <c r="C260" s="515">
        <f t="shared" si="90"/>
        <v>1318384</v>
      </c>
      <c r="D260" s="670">
        <v>292</v>
      </c>
      <c r="E260" s="515">
        <f t="shared" si="97"/>
        <v>35696</v>
      </c>
      <c r="F260" s="515">
        <f t="shared" si="102"/>
        <v>11094</v>
      </c>
      <c r="G260" s="515">
        <v>1140196</v>
      </c>
      <c r="H260" s="515">
        <v>4322</v>
      </c>
      <c r="I260" s="515">
        <v>21572</v>
      </c>
      <c r="J260" s="511">
        <f t="shared" si="94"/>
        <v>3432853</v>
      </c>
      <c r="K260" s="511"/>
      <c r="L260" s="541">
        <f t="shared" si="100"/>
        <v>2.7075571305477008E-2</v>
      </c>
      <c r="M260" s="522">
        <v>1704129</v>
      </c>
      <c r="N260" s="510">
        <f t="shared" si="95"/>
        <v>1704129.0270755712</v>
      </c>
      <c r="O260" s="520">
        <v>9692</v>
      </c>
      <c r="P260" s="511">
        <v>258870</v>
      </c>
      <c r="Q260" s="511">
        <v>926820</v>
      </c>
      <c r="R260" s="510">
        <f t="shared" si="93"/>
        <v>123002</v>
      </c>
      <c r="S260" s="510">
        <f t="shared" si="101"/>
        <v>142492</v>
      </c>
      <c r="T260" s="507">
        <f t="shared" si="98"/>
        <v>-43</v>
      </c>
      <c r="U260" s="511"/>
      <c r="V260" s="512">
        <f>SUM(B247:B260)/POBLA!$B$25*100000</f>
        <v>298.04433703970329</v>
      </c>
      <c r="W260" s="512">
        <f>B260/POBLA!$B$25*100000</f>
        <v>17.39306301711887</v>
      </c>
      <c r="X260" s="513">
        <f t="shared" si="80"/>
        <v>0.74945281461081958</v>
      </c>
      <c r="Y260" s="519">
        <f t="shared" si="96"/>
        <v>3.0331527383993487E-2</v>
      </c>
      <c r="Z260" s="520">
        <f t="shared" si="99"/>
        <v>0.31447167276601656</v>
      </c>
      <c r="AA260" s="517">
        <f t="shared" si="75"/>
        <v>9697.8571428571431</v>
      </c>
      <c r="AB260" s="517">
        <f t="shared" si="76"/>
        <v>260.28571428571428</v>
      </c>
      <c r="AC260" s="517">
        <f t="shared" si="92"/>
        <v>308.36143974879246</v>
      </c>
      <c r="AD260" s="517">
        <f t="shared" si="88"/>
        <v>48.075725463078186</v>
      </c>
      <c r="AE260" s="545">
        <f t="shared" si="103"/>
        <v>9660.9285714285706</v>
      </c>
      <c r="AF260" s="520">
        <f t="shared" si="85"/>
        <v>1.0076742667141669</v>
      </c>
      <c r="AG260" s="200">
        <f t="shared" si="84"/>
        <v>-3.8868072255466846E-3</v>
      </c>
      <c r="AH260" s="4"/>
      <c r="AI260" s="200">
        <f t="shared" si="77"/>
        <v>0.79947345326897767</v>
      </c>
      <c r="AJ260" s="488">
        <f>MAX($B$2:B260)</f>
        <v>18326</v>
      </c>
      <c r="AK260" s="179">
        <f t="shared" si="74"/>
        <v>1.9547678310874603E-2</v>
      </c>
      <c r="AL260" s="179"/>
      <c r="AM260" s="200">
        <f t="shared" si="86"/>
        <v>0.94428665064452699</v>
      </c>
      <c r="AN260" s="200">
        <f t="shared" si="87"/>
        <v>0.79947345326897767</v>
      </c>
      <c r="AP260" s="355">
        <f t="shared" si="82"/>
        <v>0.74945281461081958</v>
      </c>
      <c r="AT260" s="179">
        <f t="shared" si="83"/>
        <v>2.8296464415722224E-2</v>
      </c>
    </row>
    <row r="261" spans="1:46" hidden="1" x14ac:dyDescent="0.25">
      <c r="A261" s="259">
        <v>44152</v>
      </c>
      <c r="B261" s="670">
        <v>10621</v>
      </c>
      <c r="C261" s="515">
        <f t="shared" si="90"/>
        <v>1329005</v>
      </c>
      <c r="D261" s="670">
        <v>378</v>
      </c>
      <c r="E261" s="515">
        <f t="shared" si="97"/>
        <v>36074</v>
      </c>
      <c r="F261" s="515">
        <f t="shared" si="102"/>
        <v>8637</v>
      </c>
      <c r="G261" s="515">
        <v>1148833</v>
      </c>
      <c r="H261" s="515">
        <v>4379</v>
      </c>
      <c r="I261" s="515">
        <v>34573</v>
      </c>
      <c r="J261" s="511">
        <f t="shared" si="94"/>
        <v>3467426</v>
      </c>
      <c r="K261" s="511"/>
      <c r="L261" s="541">
        <f t="shared" si="100"/>
        <v>2.7143614960064108E-2</v>
      </c>
      <c r="M261" s="522">
        <v>1716729</v>
      </c>
      <c r="N261" s="510">
        <f t="shared" si="95"/>
        <v>1716729.0271436151</v>
      </c>
      <c r="O261" s="520">
        <v>9722</v>
      </c>
      <c r="P261" s="511">
        <v>261348</v>
      </c>
      <c r="Q261" s="511">
        <v>934997</v>
      </c>
      <c r="R261" s="510">
        <f t="shared" si="93"/>
        <v>122938</v>
      </c>
      <c r="S261" s="510">
        <f t="shared" si="101"/>
        <v>144098</v>
      </c>
      <c r="T261" s="507">
        <f t="shared" si="98"/>
        <v>57</v>
      </c>
      <c r="U261" s="511"/>
      <c r="V261" s="512">
        <f>SUM(B248:B261)/POBLA!$B$25*100000</f>
        <v>294.6860413298225</v>
      </c>
      <c r="W261" s="512">
        <f>B261/POBLA!$B$25*100000</f>
        <v>23.404500482049855</v>
      </c>
      <c r="X261" s="513">
        <f t="shared" si="80"/>
        <v>0.75862988364902961</v>
      </c>
      <c r="Y261" s="519">
        <f t="shared" si="96"/>
        <v>3.0389040791683437E-2</v>
      </c>
      <c r="Z261" s="520">
        <f t="shared" si="99"/>
        <v>0.30391305936740548</v>
      </c>
      <c r="AA261" s="517">
        <f t="shared" si="75"/>
        <v>9504.1428571428569</v>
      </c>
      <c r="AB261" s="517">
        <f t="shared" si="76"/>
        <v>274.42857142857144</v>
      </c>
      <c r="AC261" s="517">
        <f t="shared" si="92"/>
        <v>301.0938786164391</v>
      </c>
      <c r="AD261" s="517">
        <f t="shared" si="88"/>
        <v>26.665307187867654</v>
      </c>
      <c r="AE261" s="545">
        <f t="shared" si="103"/>
        <v>9552.0714285714294</v>
      </c>
      <c r="AF261" s="520">
        <f t="shared" si="85"/>
        <v>0.99001488095238088</v>
      </c>
      <c r="AG261" s="200">
        <f t="shared" si="84"/>
        <v>-1.5898815784082032E-2</v>
      </c>
      <c r="AH261" s="4"/>
      <c r="AI261" s="200">
        <f t="shared" si="77"/>
        <v>0.90230155002348522</v>
      </c>
      <c r="AJ261" s="488">
        <f>MAX($B$2:B261)</f>
        <v>18326</v>
      </c>
      <c r="AK261" s="179">
        <f t="shared" si="74"/>
        <v>2.1308929561841376E-2</v>
      </c>
      <c r="AL261" s="179"/>
      <c r="AM261" s="200">
        <f t="shared" si="86"/>
        <v>0.97441032487761459</v>
      </c>
      <c r="AN261" s="200">
        <f t="shared" si="87"/>
        <v>0.90230155002348522</v>
      </c>
      <c r="AP261" s="355">
        <f t="shared" si="82"/>
        <v>0.75862988364902972</v>
      </c>
      <c r="AT261" s="179">
        <f t="shared" si="83"/>
        <v>2.8936859942532971E-2</v>
      </c>
    </row>
    <row r="262" spans="1:46" hidden="1" x14ac:dyDescent="0.25">
      <c r="A262" s="259">
        <v>44153</v>
      </c>
      <c r="B262" s="670">
        <v>10332</v>
      </c>
      <c r="C262" s="515">
        <f t="shared" si="90"/>
        <v>1339337</v>
      </c>
      <c r="D262" s="670">
        <v>240</v>
      </c>
      <c r="E262" s="515">
        <f t="shared" si="97"/>
        <v>36314</v>
      </c>
      <c r="F262" s="515">
        <f t="shared" si="102"/>
        <v>7641</v>
      </c>
      <c r="G262" s="515">
        <v>1156474</v>
      </c>
      <c r="H262" s="515">
        <v>4267</v>
      </c>
      <c r="I262" s="515">
        <v>34573</v>
      </c>
      <c r="J262" s="511">
        <f t="shared" si="94"/>
        <v>3501999</v>
      </c>
      <c r="K262" s="511"/>
      <c r="L262" s="541">
        <f t="shared" si="100"/>
        <v>2.7113415070292243E-2</v>
      </c>
      <c r="M262" s="522">
        <v>1734731</v>
      </c>
      <c r="N262" s="510">
        <f t="shared" si="95"/>
        <v>1734731.0271134151</v>
      </c>
      <c r="O262" s="520">
        <v>9766</v>
      </c>
      <c r="P262" s="511">
        <v>264014</v>
      </c>
      <c r="Q262" s="511">
        <v>943339</v>
      </c>
      <c r="R262" s="510">
        <f t="shared" si="93"/>
        <v>122218</v>
      </c>
      <c r="S262" s="510">
        <f t="shared" si="101"/>
        <v>146549</v>
      </c>
      <c r="T262" s="507">
        <f t="shared" si="98"/>
        <v>-112</v>
      </c>
      <c r="U262" s="511"/>
      <c r="V262" s="512">
        <f>SUM(B249:B262)/POBLA!$B$25*100000</f>
        <v>293.98088737499194</v>
      </c>
      <c r="W262" s="512">
        <f>B262/POBLA!$B$25*100000</f>
        <v>22.767658316593455</v>
      </c>
      <c r="X262" s="513">
        <f t="shared" si="80"/>
        <v>0.791261128212428</v>
      </c>
      <c r="Y262" s="519">
        <f t="shared" si="96"/>
        <v>2.9116541225119242E-2</v>
      </c>
      <c r="Z262" s="520">
        <f t="shared" si="99"/>
        <v>0.33491533338747664</v>
      </c>
      <c r="AA262" s="517">
        <f t="shared" si="75"/>
        <v>9425.8571428571431</v>
      </c>
      <c r="AB262" s="517">
        <f t="shared" si="76"/>
        <v>259</v>
      </c>
      <c r="AC262" s="517">
        <f t="shared" si="92"/>
        <v>290.16571944119858</v>
      </c>
      <c r="AD262" s="517">
        <f t="shared" si="88"/>
        <v>31.165719441198576</v>
      </c>
      <c r="AE262" s="545">
        <f t="shared" si="103"/>
        <v>9529.2142857142862</v>
      </c>
      <c r="AF262" s="520">
        <f t="shared" si="85"/>
        <v>0.97854007237349461</v>
      </c>
      <c r="AG262" s="200">
        <f t="shared" si="84"/>
        <v>-1.8596895383255374E-2</v>
      </c>
      <c r="AH262" s="4"/>
      <c r="AI262" s="200">
        <f t="shared" si="77"/>
        <v>0.90064580228514657</v>
      </c>
      <c r="AJ262" s="488">
        <f>MAX($B$2:B262)</f>
        <v>18326</v>
      </c>
      <c r="AK262" s="179">
        <f t="shared" si="74"/>
        <v>2.0646616027604744E-2</v>
      </c>
      <c r="AL262" s="179"/>
      <c r="AM262" s="200">
        <f t="shared" si="86"/>
        <v>0.96582163875056581</v>
      </c>
      <c r="AN262" s="200">
        <f t="shared" si="87"/>
        <v>0.90064580228514657</v>
      </c>
      <c r="AP262" s="355">
        <f t="shared" si="82"/>
        <v>0.791261128212428</v>
      </c>
      <c r="AT262" s="179">
        <f t="shared" si="83"/>
        <v>2.8546818148065641E-2</v>
      </c>
    </row>
    <row r="263" spans="1:46" hidden="1" x14ac:dyDescent="0.25">
      <c r="A263" s="259">
        <v>44154</v>
      </c>
      <c r="B263" s="670">
        <v>10097</v>
      </c>
      <c r="C263" s="515">
        <f t="shared" si="90"/>
        <v>1349434</v>
      </c>
      <c r="D263" s="670">
        <v>184</v>
      </c>
      <c r="E263" s="515">
        <f t="shared" si="97"/>
        <v>36498</v>
      </c>
      <c r="F263" s="515">
        <f t="shared" si="102"/>
        <v>11040</v>
      </c>
      <c r="G263" s="515">
        <v>1167514</v>
      </c>
      <c r="H263" s="515">
        <v>4292</v>
      </c>
      <c r="I263" s="515">
        <v>48691</v>
      </c>
      <c r="J263" s="511">
        <f t="shared" si="94"/>
        <v>3550690</v>
      </c>
      <c r="K263" s="511"/>
      <c r="L263" s="541">
        <f t="shared" si="100"/>
        <v>2.7046895216809419E-2</v>
      </c>
      <c r="M263" s="522">
        <v>1767560</v>
      </c>
      <c r="N263" s="510">
        <f t="shared" si="95"/>
        <v>1767560.0270468951</v>
      </c>
      <c r="O263" s="520">
        <v>9802</v>
      </c>
      <c r="P263" s="511">
        <v>266642</v>
      </c>
      <c r="Q263" s="511">
        <v>951081</v>
      </c>
      <c r="R263" s="510">
        <f t="shared" si="93"/>
        <v>121909</v>
      </c>
      <c r="S263" s="510">
        <f t="shared" si="101"/>
        <v>145422</v>
      </c>
      <c r="T263" s="507">
        <f t="shared" si="98"/>
        <v>25</v>
      </c>
      <c r="U263" s="511"/>
      <c r="V263" s="512">
        <f>SUM(B250:B263)/POBLA!$B$25*100000</f>
        <v>291.77067044781973</v>
      </c>
      <c r="W263" s="512">
        <f>B263/POBLA!$B$25*100000</f>
        <v>22.249810881014724</v>
      </c>
      <c r="X263" s="513">
        <f t="shared" si="80"/>
        <v>0.81042735251992315</v>
      </c>
      <c r="Y263" s="519">
        <f t="shared" si="96"/>
        <v>2.9514103780720936E-2</v>
      </c>
      <c r="Z263" s="520">
        <f t="shared" si="99"/>
        <v>0.30308760429360487</v>
      </c>
      <c r="AA263" s="517">
        <f t="shared" si="75"/>
        <v>9273.5714285714294</v>
      </c>
      <c r="AB263" s="517">
        <f t="shared" si="76"/>
        <v>249.71428571428572</v>
      </c>
      <c r="AC263" s="517">
        <f t="shared" si="92"/>
        <v>281.36990298145508</v>
      </c>
      <c r="AD263" s="517">
        <f t="shared" si="88"/>
        <v>31.655617267169362</v>
      </c>
      <c r="AE263" s="545">
        <f t="shared" si="103"/>
        <v>9457.5714285714294</v>
      </c>
      <c r="AF263" s="520">
        <f t="shared" si="85"/>
        <v>0.96183194796343219</v>
      </c>
      <c r="AG263" s="200">
        <f t="shared" si="84"/>
        <v>-2.7856326334155579E-2</v>
      </c>
      <c r="AH263" s="4"/>
      <c r="AI263" s="200">
        <f t="shared" si="77"/>
        <v>0.86706349206349209</v>
      </c>
      <c r="AJ263" s="488">
        <f>MAX($B$2:B263)</f>
        <v>18326</v>
      </c>
      <c r="AK263" s="179">
        <f t="shared" si="74"/>
        <v>2.0423423844464179E-2</v>
      </c>
      <c r="AL263" s="179"/>
      <c r="AM263" s="200">
        <f t="shared" si="86"/>
        <v>0.97612008187400501</v>
      </c>
      <c r="AN263" s="200">
        <f t="shared" si="87"/>
        <v>0.86706349206349209</v>
      </c>
      <c r="AP263" s="355">
        <f t="shared" si="82"/>
        <v>0.81042735251992315</v>
      </c>
      <c r="AT263" s="179">
        <f t="shared" si="83"/>
        <v>2.848971809886967E-2</v>
      </c>
    </row>
    <row r="264" spans="1:46" hidden="1" x14ac:dyDescent="0.25">
      <c r="A264" s="259">
        <v>44155</v>
      </c>
      <c r="B264" s="670">
        <v>9608</v>
      </c>
      <c r="C264" s="515">
        <f t="shared" si="90"/>
        <v>1359042</v>
      </c>
      <c r="D264" s="670">
        <v>261</v>
      </c>
      <c r="E264" s="515">
        <f t="shared" si="97"/>
        <v>36759</v>
      </c>
      <c r="F264" s="515">
        <f t="shared" si="102"/>
        <v>10305</v>
      </c>
      <c r="G264" s="515">
        <v>1177819</v>
      </c>
      <c r="H264" s="515">
        <v>4187</v>
      </c>
      <c r="I264" s="515">
        <v>37816</v>
      </c>
      <c r="J264" s="511">
        <f t="shared" si="94"/>
        <v>3588506</v>
      </c>
      <c r="K264" s="511"/>
      <c r="L264" s="541">
        <f t="shared" si="100"/>
        <v>2.704772920925181E-2</v>
      </c>
      <c r="M264" s="522">
        <v>1789964</v>
      </c>
      <c r="N264" s="510">
        <f t="shared" si="95"/>
        <v>1789964.0270477291</v>
      </c>
      <c r="O264" s="520">
        <v>9840</v>
      </c>
      <c r="P264" s="511">
        <v>268940</v>
      </c>
      <c r="Q264" s="511">
        <v>957937</v>
      </c>
      <c r="R264" s="510">
        <f t="shared" si="93"/>
        <v>122325</v>
      </c>
      <c r="S264" s="510">
        <f t="shared" si="101"/>
        <v>144464</v>
      </c>
      <c r="T264" s="507">
        <f t="shared" si="98"/>
        <v>-105</v>
      </c>
      <c r="U264" s="511"/>
      <c r="V264" s="512">
        <f>SUM(B251:B264)/POBLA!$B$25*100000</f>
        <v>286.97121634275385</v>
      </c>
      <c r="W264" s="512">
        <f>B264/POBLA!$B$25*100000</f>
        <v>21.17224749378919</v>
      </c>
      <c r="X264" s="513">
        <f t="shared" si="80"/>
        <v>0.81675300728773381</v>
      </c>
      <c r="Y264" s="519">
        <f t="shared" si="96"/>
        <v>2.8982999224720345E-2</v>
      </c>
      <c r="Z264" s="520">
        <f t="shared" si="99"/>
        <v>0.28450401122325286</v>
      </c>
      <c r="AA264" s="517">
        <f t="shared" si="75"/>
        <v>8952</v>
      </c>
      <c r="AB264" s="517">
        <f t="shared" si="76"/>
        <v>249.28571428571428</v>
      </c>
      <c r="AC264" s="517">
        <f t="shared" si="92"/>
        <v>275.68201127265803</v>
      </c>
      <c r="AD264" s="517">
        <f t="shared" si="88"/>
        <v>26.396296986943753</v>
      </c>
      <c r="AE264" s="545">
        <f t="shared" si="103"/>
        <v>9302</v>
      </c>
      <c r="AF264" s="520">
        <f t="shared" si="85"/>
        <v>0.92747617074181521</v>
      </c>
      <c r="AG264" s="200">
        <f t="shared" si="84"/>
        <v>-4.2568279573455658E-2</v>
      </c>
      <c r="AH264" s="4"/>
      <c r="AI264" s="200">
        <f t="shared" si="77"/>
        <v>0.91313448456305601</v>
      </c>
      <c r="AJ264" s="488">
        <f>MAX($B$2:B264)</f>
        <v>18326</v>
      </c>
      <c r="AK264" s="179">
        <f t="shared" ref="AK264:AK327" si="104">AB264/AA245</f>
        <v>2.1038290895061727E-2</v>
      </c>
      <c r="AL264" s="179"/>
      <c r="AM264" s="200">
        <f t="shared" si="86"/>
        <v>0.95571787263181918</v>
      </c>
      <c r="AN264" s="200">
        <f t="shared" si="87"/>
        <v>0.91313448456305601</v>
      </c>
      <c r="AP264" s="355">
        <f t="shared" si="82"/>
        <v>0.81675300728773381</v>
      </c>
      <c r="AT264" s="179">
        <f t="shared" si="83"/>
        <v>2.87644109574564E-2</v>
      </c>
    </row>
    <row r="265" spans="1:46" hidden="1" x14ac:dyDescent="0.25">
      <c r="A265" s="105">
        <v>44156</v>
      </c>
      <c r="B265" s="670">
        <v>7140</v>
      </c>
      <c r="C265" s="515">
        <f t="shared" si="90"/>
        <v>1366182</v>
      </c>
      <c r="D265" s="670">
        <v>112</v>
      </c>
      <c r="E265" s="515">
        <f t="shared" si="97"/>
        <v>36871</v>
      </c>
      <c r="F265" s="515">
        <f t="shared" si="102"/>
        <v>9234</v>
      </c>
      <c r="G265" s="515">
        <v>1187053</v>
      </c>
      <c r="H265" s="515">
        <v>4132</v>
      </c>
      <c r="I265" s="515">
        <v>39055</v>
      </c>
      <c r="J265" s="511">
        <f t="shared" si="94"/>
        <v>3627561</v>
      </c>
      <c r="K265" s="511"/>
      <c r="L265" s="541">
        <f t="shared" si="100"/>
        <v>2.6988351478792721E-2</v>
      </c>
      <c r="M265" s="522">
        <v>1815364</v>
      </c>
      <c r="N265" s="510">
        <f t="shared" si="95"/>
        <v>1815364.0269883515</v>
      </c>
      <c r="O265" s="520">
        <v>9862</v>
      </c>
      <c r="P265" s="511">
        <v>270149</v>
      </c>
      <c r="Q265" s="511">
        <v>962192</v>
      </c>
      <c r="R265" s="510">
        <f t="shared" ref="R265:R296" si="105">C265-O265-P265-Q265</f>
        <v>123979</v>
      </c>
      <c r="S265" s="510">
        <f t="shared" si="101"/>
        <v>142258</v>
      </c>
      <c r="T265" s="507">
        <f t="shared" si="98"/>
        <v>-55</v>
      </c>
      <c r="U265" s="511"/>
      <c r="V265" s="512">
        <f>SUM(B252:B265)/POBLA!$B$25*100000</f>
        <v>284.99458166311928</v>
      </c>
      <c r="W265" s="512">
        <f>B265/POBLA!$B$25*100000</f>
        <v>15.73374761715808</v>
      </c>
      <c r="X265" s="513">
        <f t="shared" si="80"/>
        <v>0.83163038935150946</v>
      </c>
      <c r="Y265" s="519">
        <f t="shared" si="96"/>
        <v>2.904581816136878E-2</v>
      </c>
      <c r="Z265" s="520">
        <f t="shared" si="99"/>
        <v>0.26212189847776479</v>
      </c>
      <c r="AA265" s="517">
        <f t="shared" ref="AA265:AA328" si="106">AVERAGE(B259:B265)</f>
        <v>8762.2857142857138</v>
      </c>
      <c r="AB265" s="517">
        <f t="shared" ref="AB265:AB328" si="107">AVERAGE(D259:D265)</f>
        <v>227.85714285714286</v>
      </c>
      <c r="AC265" s="517">
        <f t="shared" si="92"/>
        <v>269.07248499848174</v>
      </c>
      <c r="AD265" s="517">
        <f t="shared" si="88"/>
        <v>41.21534214133888</v>
      </c>
      <c r="AE265" s="545">
        <f t="shared" si="103"/>
        <v>9237.9285714285706</v>
      </c>
      <c r="AF265" s="520">
        <f t="shared" si="85"/>
        <v>0.90206632840650036</v>
      </c>
      <c r="AG265" s="200">
        <f t="shared" si="84"/>
        <v>-5.2901387446406267E-2</v>
      </c>
      <c r="AH265" s="4"/>
      <c r="AI265" s="200">
        <f t="shared" si="77"/>
        <v>0.81336053034166234</v>
      </c>
      <c r="AJ265" s="488">
        <f>MAX($B$2:B265)</f>
        <v>18326</v>
      </c>
      <c r="AK265" s="179">
        <f t="shared" si="104"/>
        <v>1.9732772485463318E-2</v>
      </c>
      <c r="AL265" s="179"/>
      <c r="AM265" s="200">
        <f t="shared" si="86"/>
        <v>0.95075931891394383</v>
      </c>
      <c r="AN265" s="200">
        <f t="shared" si="87"/>
        <v>0.81336053034166234</v>
      </c>
      <c r="AP265" s="355">
        <f t="shared" si="82"/>
        <v>0.83163038935150935</v>
      </c>
      <c r="AT265" s="179">
        <f t="shared" si="83"/>
        <v>2.8569874444856848E-2</v>
      </c>
    </row>
    <row r="266" spans="1:46" hidden="1" x14ac:dyDescent="0.25">
      <c r="A266" s="105">
        <v>44157</v>
      </c>
      <c r="B266" s="670">
        <v>4184</v>
      </c>
      <c r="C266" s="515">
        <f t="shared" si="90"/>
        <v>1370366</v>
      </c>
      <c r="D266" s="670">
        <v>100</v>
      </c>
      <c r="E266" s="515">
        <f t="shared" si="97"/>
        <v>36971</v>
      </c>
      <c r="F266" s="515">
        <f t="shared" si="102"/>
        <v>8439</v>
      </c>
      <c r="G266" s="515">
        <v>1195492</v>
      </c>
      <c r="H266" s="515">
        <v>4245</v>
      </c>
      <c r="I266" s="515">
        <v>15740</v>
      </c>
      <c r="J266" s="511">
        <f t="shared" si="94"/>
        <v>3643301</v>
      </c>
      <c r="K266" s="511"/>
      <c r="L266" s="541">
        <f t="shared" si="100"/>
        <v>2.6978923878730209E-2</v>
      </c>
      <c r="M266" s="522">
        <v>1823849</v>
      </c>
      <c r="N266" s="510">
        <f t="shared" si="95"/>
        <v>1823849.0269789239</v>
      </c>
      <c r="O266" s="520">
        <v>9876</v>
      </c>
      <c r="P266" s="511">
        <v>270893</v>
      </c>
      <c r="Q266" s="511">
        <v>965274</v>
      </c>
      <c r="R266" s="510">
        <f t="shared" si="105"/>
        <v>124323</v>
      </c>
      <c r="S266" s="510">
        <f t="shared" si="101"/>
        <v>137903</v>
      </c>
      <c r="T266" s="507">
        <f t="shared" si="98"/>
        <v>113</v>
      </c>
      <c r="U266" s="511"/>
      <c r="V266" s="512">
        <f>SUM(B253:B266)/POBLA!$B$25*100000</f>
        <v>282.4670454562733</v>
      </c>
      <c r="W266" s="512">
        <f>B266/POBLA!$B$25*100000</f>
        <v>9.2198879594102809</v>
      </c>
      <c r="X266" s="513">
        <f t="shared" si="80"/>
        <v>0.84557994102630074</v>
      </c>
      <c r="Y266" s="519">
        <f t="shared" si="96"/>
        <v>3.0782506544455159E-2</v>
      </c>
      <c r="Z266" s="520">
        <f t="shared" si="99"/>
        <v>0.25805965003016984</v>
      </c>
      <c r="AA266" s="517">
        <f t="shared" si="106"/>
        <v>8553.5714285714294</v>
      </c>
      <c r="AB266" s="517">
        <f t="shared" si="107"/>
        <v>223.85714285714286</v>
      </c>
      <c r="AC266" s="517">
        <f t="shared" si="92"/>
        <v>264.68704424955439</v>
      </c>
      <c r="AD266" s="517">
        <f t="shared" si="88"/>
        <v>40.829901392411529</v>
      </c>
      <c r="AE266" s="545">
        <f t="shared" si="103"/>
        <v>9156</v>
      </c>
      <c r="AF266" s="520">
        <f t="shared" si="85"/>
        <v>0.8765316429753035</v>
      </c>
      <c r="AG266" s="200">
        <f t="shared" si="84"/>
        <v>-5.5361852245093712E-2</v>
      </c>
      <c r="AH266" s="4"/>
      <c r="AI266" s="200">
        <f t="shared" ref="AI266:AI329" si="108">AB266/AB259</f>
        <v>0.834398296059638</v>
      </c>
      <c r="AJ266" s="488">
        <f>MAX($B$2:B266)</f>
        <v>18326</v>
      </c>
      <c r="AK266" s="179">
        <f t="shared" si="104"/>
        <v>1.9919407121156266E-2</v>
      </c>
      <c r="AL266" s="179"/>
      <c r="AM266" s="200">
        <f t="shared" si="86"/>
        <v>0.97250859106529208</v>
      </c>
      <c r="AN266" s="200">
        <f t="shared" si="87"/>
        <v>0.834398296059638</v>
      </c>
      <c r="AP266" s="355">
        <f t="shared" si="82"/>
        <v>0.84557994102630063</v>
      </c>
      <c r="AT266" s="179">
        <f t="shared" si="83"/>
        <v>2.8734410195416581E-2</v>
      </c>
    </row>
    <row r="267" spans="1:46" hidden="1" x14ac:dyDescent="0.25">
      <c r="A267" s="259">
        <v>44158</v>
      </c>
      <c r="B267" s="670">
        <v>4265</v>
      </c>
      <c r="C267" s="515">
        <f t="shared" si="90"/>
        <v>1374631</v>
      </c>
      <c r="D267" s="670">
        <v>119</v>
      </c>
      <c r="E267" s="515">
        <f t="shared" si="97"/>
        <v>37090</v>
      </c>
      <c r="F267" s="515">
        <f t="shared" si="102"/>
        <v>8308</v>
      </c>
      <c r="G267" s="515">
        <v>1203800</v>
      </c>
      <c r="H267" s="515">
        <v>4165</v>
      </c>
      <c r="I267" s="515">
        <v>13149</v>
      </c>
      <c r="J267" s="511">
        <f t="shared" si="94"/>
        <v>3656450</v>
      </c>
      <c r="K267" s="511"/>
      <c r="L267" s="541">
        <f t="shared" si="100"/>
        <v>2.698178638485528E-2</v>
      </c>
      <c r="M267" s="522">
        <v>1830584</v>
      </c>
      <c r="N267" s="510">
        <f t="shared" si="95"/>
        <v>1830584.0269817864</v>
      </c>
      <c r="O267" s="520">
        <v>9894</v>
      </c>
      <c r="P267" s="511">
        <v>272054</v>
      </c>
      <c r="Q267" s="511">
        <v>972396</v>
      </c>
      <c r="R267" s="510">
        <f t="shared" si="105"/>
        <v>120287</v>
      </c>
      <c r="S267" s="510">
        <f t="shared" si="101"/>
        <v>133741</v>
      </c>
      <c r="T267" s="507">
        <f t="shared" si="98"/>
        <v>-80</v>
      </c>
      <c r="U267" s="511"/>
      <c r="V267" s="512">
        <f>SUM(B254:B267)/POBLA!$B$25*100000</f>
        <v>273.53803350323068</v>
      </c>
      <c r="W267" s="512">
        <f>B267/POBLA!$B$25*100000</f>
        <v>9.398380054226779</v>
      </c>
      <c r="X267" s="513">
        <f t="shared" si="80"/>
        <v>0.83760914452286805</v>
      </c>
      <c r="Y267" s="519">
        <f t="shared" si="96"/>
        <v>3.1142282471343867E-2</v>
      </c>
      <c r="Z267" s="520">
        <f t="shared" si="99"/>
        <v>0.25155525342468815</v>
      </c>
      <c r="AA267" s="517">
        <f t="shared" si="106"/>
        <v>8035.2857142857147</v>
      </c>
      <c r="AB267" s="517">
        <f t="shared" si="107"/>
        <v>199.14285714285714</v>
      </c>
      <c r="AC267" s="517">
        <f t="shared" si="92"/>
        <v>260.69862990694116</v>
      </c>
      <c r="AD267" s="517">
        <f t="shared" si="88"/>
        <v>61.555772764084026</v>
      </c>
      <c r="AE267" s="545">
        <f t="shared" si="103"/>
        <v>8866.5714285714294</v>
      </c>
      <c r="AF267" s="520">
        <f t="shared" si="85"/>
        <v>0.82856301097444207</v>
      </c>
      <c r="AG267" s="200">
        <f t="shared" si="84"/>
        <v>-6.1413974117845216E-2</v>
      </c>
      <c r="AH267" s="4"/>
      <c r="AI267" s="200">
        <f t="shared" si="108"/>
        <v>0.76509330406147091</v>
      </c>
      <c r="AJ267" s="488">
        <f>MAX($B$2:B267)</f>
        <v>18326</v>
      </c>
      <c r="AK267" s="179">
        <f t="shared" si="104"/>
        <v>1.8489289740698984E-2</v>
      </c>
      <c r="AL267" s="179"/>
      <c r="AM267" s="200">
        <f t="shared" si="86"/>
        <v>0.9636742248958815</v>
      </c>
      <c r="AN267" s="200">
        <f t="shared" si="87"/>
        <v>0.76509330406147091</v>
      </c>
      <c r="AP267" s="355">
        <f t="shared" si="82"/>
        <v>0.83760914452286805</v>
      </c>
      <c r="AT267" s="179">
        <f t="shared" si="83"/>
        <v>2.8964012342522036E-2</v>
      </c>
    </row>
    <row r="268" spans="1:46" hidden="1" x14ac:dyDescent="0.25">
      <c r="A268" s="259">
        <v>44159</v>
      </c>
      <c r="B268" s="670">
        <v>7164</v>
      </c>
      <c r="C268" s="515">
        <f t="shared" si="90"/>
        <v>1381795</v>
      </c>
      <c r="D268" s="670">
        <v>311</v>
      </c>
      <c r="E268" s="515">
        <f t="shared" si="97"/>
        <v>37401</v>
      </c>
      <c r="F268" s="515">
        <f t="shared" si="102"/>
        <v>6834</v>
      </c>
      <c r="G268" s="515">
        <v>1210634</v>
      </c>
      <c r="H268" s="515">
        <v>4148</v>
      </c>
      <c r="I268" s="515">
        <v>22043</v>
      </c>
      <c r="J268" s="511">
        <f t="shared" si="94"/>
        <v>3678493</v>
      </c>
      <c r="K268" s="511"/>
      <c r="L268" s="541">
        <f t="shared" si="100"/>
        <v>2.7066967241884649E-2</v>
      </c>
      <c r="M268" s="8">
        <v>1842058</v>
      </c>
      <c r="N268" s="510">
        <f t="shared" si="95"/>
        <v>1842058.0270669672</v>
      </c>
      <c r="O268" s="520">
        <v>9912</v>
      </c>
      <c r="P268" s="511">
        <v>273939</v>
      </c>
      <c r="Q268" s="511">
        <v>979797</v>
      </c>
      <c r="R268" s="510">
        <f t="shared" si="105"/>
        <v>118147</v>
      </c>
      <c r="S268" s="510">
        <f t="shared" si="101"/>
        <v>133760</v>
      </c>
      <c r="T268" s="507">
        <f t="shared" si="98"/>
        <v>-17</v>
      </c>
      <c r="U268" s="511"/>
      <c r="V268" s="512">
        <f>SUM(B255:B268)/POBLA!$B$25*100000</f>
        <v>262.9320773013564</v>
      </c>
      <c r="W268" s="512">
        <f>B268/POBLA!$B$25*100000</f>
        <v>15.786634163770374</v>
      </c>
      <c r="X268" s="513">
        <f t="shared" si="80"/>
        <v>0.81799858775459833</v>
      </c>
      <c r="Y268" s="519">
        <f t="shared" si="96"/>
        <v>3.1010765550239235E-2</v>
      </c>
      <c r="Z268" s="520">
        <f t="shared" si="99"/>
        <v>0.25011015459546021</v>
      </c>
      <c r="AA268" s="517">
        <f t="shared" si="106"/>
        <v>7541.4285714285716</v>
      </c>
      <c r="AB268" s="517">
        <f t="shared" si="107"/>
        <v>189.57142857142858</v>
      </c>
      <c r="AC268" s="517">
        <f t="shared" si="92"/>
        <v>259.70299633418773</v>
      </c>
      <c r="AD268" s="517">
        <f t="shared" si="88"/>
        <v>70.131567762759147</v>
      </c>
      <c r="AE268" s="545">
        <f t="shared" si="103"/>
        <v>8522.7857142857138</v>
      </c>
      <c r="AF268" s="520">
        <f t="shared" si="85"/>
        <v>0.79348855386372863</v>
      </c>
      <c r="AG268" s="200">
        <f t="shared" si="84"/>
        <v>-7.1742841677191915E-2</v>
      </c>
      <c r="AH268" s="4"/>
      <c r="AI268" s="200">
        <f t="shared" si="108"/>
        <v>0.69078604893284745</v>
      </c>
      <c r="AJ268" s="488">
        <f>MAX($B$2:B268)</f>
        <v>18326</v>
      </c>
      <c r="AK268" s="179">
        <f t="shared" si="104"/>
        <v>1.8121483585513739E-2</v>
      </c>
      <c r="AL268" s="179"/>
      <c r="AM268" s="200">
        <f t="shared" si="86"/>
        <v>0.94724823018954096</v>
      </c>
      <c r="AN268" s="200">
        <f t="shared" si="87"/>
        <v>0.69078604893284745</v>
      </c>
      <c r="AP268" s="355">
        <f t="shared" si="82"/>
        <v>0.81799858775459822</v>
      </c>
      <c r="AT268" s="179">
        <f t="shared" si="83"/>
        <v>2.9271374902989637E-2</v>
      </c>
    </row>
    <row r="269" spans="1:46" hidden="1" x14ac:dyDescent="0.25">
      <c r="A269" s="259">
        <v>44160</v>
      </c>
      <c r="B269" s="670">
        <v>8593</v>
      </c>
      <c r="C269" s="515">
        <f t="shared" si="90"/>
        <v>1390388</v>
      </c>
      <c r="D269" s="670">
        <v>280</v>
      </c>
      <c r="E269" s="515">
        <f t="shared" si="97"/>
        <v>37681</v>
      </c>
      <c r="F269" s="515">
        <f t="shared" si="102"/>
        <v>6650</v>
      </c>
      <c r="G269" s="515">
        <v>1217284</v>
      </c>
      <c r="H269" s="515">
        <v>4039</v>
      </c>
      <c r="I269" s="515">
        <v>29437</v>
      </c>
      <c r="J269" s="511">
        <f t="shared" si="94"/>
        <v>3707930</v>
      </c>
      <c r="K269" s="511"/>
      <c r="L269" s="541">
        <f t="shared" si="100"/>
        <v>2.710106819103732E-2</v>
      </c>
      <c r="M269" s="8">
        <v>1855809</v>
      </c>
      <c r="N269" s="510">
        <f t="shared" si="95"/>
        <v>1855809.0271010683</v>
      </c>
      <c r="O269" s="520">
        <v>9949</v>
      </c>
      <c r="P269" s="511">
        <v>275968</v>
      </c>
      <c r="Q269" s="511">
        <v>986401</v>
      </c>
      <c r="R269" s="510">
        <f t="shared" si="105"/>
        <v>118070</v>
      </c>
      <c r="S269" s="510">
        <f t="shared" si="101"/>
        <v>135423</v>
      </c>
      <c r="T269" s="507">
        <f t="shared" si="98"/>
        <v>-109</v>
      </c>
      <c r="U269" s="511"/>
      <c r="V269" s="512">
        <f>SUM(B256:B269)/POBLA!$B$25*100000</f>
        <v>257.89243013042636</v>
      </c>
      <c r="W269" s="512">
        <f>B269/POBLA!$B$25*100000</f>
        <v>18.935587293310835</v>
      </c>
      <c r="X269" s="513">
        <f t="shared" ref="X269:X332" si="109">SUM(B256:B269)/SUM(B242:B255)</f>
        <v>0.81941984134208079</v>
      </c>
      <c r="Y269" s="519">
        <f t="shared" si="96"/>
        <v>2.9825066643037003E-2</v>
      </c>
      <c r="Z269" s="520">
        <f t="shared" si="99"/>
        <v>0.24790342396239518</v>
      </c>
      <c r="AA269" s="517">
        <f t="shared" si="106"/>
        <v>7293</v>
      </c>
      <c r="AB269" s="517">
        <f t="shared" si="107"/>
        <v>195.28571428571428</v>
      </c>
      <c r="AC269" s="517">
        <f t="shared" si="92"/>
        <v>260.99012912111215</v>
      </c>
      <c r="AD269" s="517">
        <f t="shared" si="88"/>
        <v>65.70441483539787</v>
      </c>
      <c r="AE269" s="545">
        <f t="shared" si="103"/>
        <v>8359.4285714285706</v>
      </c>
      <c r="AF269" s="520">
        <f t="shared" si="85"/>
        <v>0.77372273836407446</v>
      </c>
      <c r="AG269" s="200">
        <f t="shared" si="84"/>
        <v>-7.5919999454107545E-2</v>
      </c>
      <c r="AH269" s="4"/>
      <c r="AI269" s="200">
        <f t="shared" si="108"/>
        <v>0.75399889685603971</v>
      </c>
      <c r="AJ269" s="488">
        <f>MAX($B$2:B269)</f>
        <v>18326</v>
      </c>
      <c r="AK269" s="179">
        <f t="shared" si="104"/>
        <v>1.9082850561876176E-2</v>
      </c>
      <c r="AL269" s="179"/>
      <c r="AM269" s="200">
        <f t="shared" si="86"/>
        <v>0.94656667447855636</v>
      </c>
      <c r="AN269" s="200">
        <f t="shared" si="87"/>
        <v>0.75399889685603971</v>
      </c>
      <c r="AP269" s="355">
        <f t="shared" si="82"/>
        <v>0.81941984134208068</v>
      </c>
      <c r="AT269" s="179">
        <f t="shared" si="83"/>
        <v>2.9154387389920405E-2</v>
      </c>
    </row>
    <row r="270" spans="1:46" hidden="1" x14ac:dyDescent="0.25">
      <c r="A270" s="259">
        <v>44161</v>
      </c>
      <c r="B270" s="670">
        <v>9043</v>
      </c>
      <c r="C270" s="515">
        <f t="shared" si="90"/>
        <v>1399431</v>
      </c>
      <c r="D270" s="670">
        <v>229</v>
      </c>
      <c r="E270" s="515">
        <f t="shared" si="97"/>
        <v>37910</v>
      </c>
      <c r="F270" s="515">
        <f t="shared" si="102"/>
        <v>9378</v>
      </c>
      <c r="G270" s="515">
        <v>1226662</v>
      </c>
      <c r="H270" s="515">
        <v>3960</v>
      </c>
      <c r="I270" s="515">
        <v>32781</v>
      </c>
      <c r="J270" s="511">
        <f t="shared" si="94"/>
        <v>3740711</v>
      </c>
      <c r="K270" s="511"/>
      <c r="L270" s="541">
        <f t="shared" si="100"/>
        <v>2.708958140844386E-2</v>
      </c>
      <c r="M270" s="8">
        <v>1871509</v>
      </c>
      <c r="N270" s="510">
        <f t="shared" si="95"/>
        <v>1871509.0270895814</v>
      </c>
      <c r="O270" s="520">
        <v>9979</v>
      </c>
      <c r="P270" s="511">
        <v>278371</v>
      </c>
      <c r="Q270" s="511">
        <v>992925</v>
      </c>
      <c r="R270" s="510">
        <f t="shared" si="105"/>
        <v>118156</v>
      </c>
      <c r="S270" s="510">
        <f t="shared" si="101"/>
        <v>134859</v>
      </c>
      <c r="T270" s="507">
        <f t="shared" si="98"/>
        <v>-79</v>
      </c>
      <c r="U270" s="511"/>
      <c r="V270" s="512">
        <f>SUM(B257:B270)/POBLA!$B$25*100000</f>
        <v>253.22078517967356</v>
      </c>
      <c r="W270" s="512">
        <f>B270/POBLA!$B$25*100000</f>
        <v>19.927210042291389</v>
      </c>
      <c r="X270" s="513">
        <f t="shared" si="109"/>
        <v>0.81660614415963728</v>
      </c>
      <c r="Y270" s="519">
        <f t="shared" si="96"/>
        <v>2.9364002402509286E-2</v>
      </c>
      <c r="Z270" s="520">
        <f t="shared" si="99"/>
        <v>0.26311302434994027</v>
      </c>
      <c r="AA270" s="517">
        <f t="shared" si="106"/>
        <v>7142.4285714285716</v>
      </c>
      <c r="AB270" s="517">
        <f t="shared" si="107"/>
        <v>201.71428571428572</v>
      </c>
      <c r="AC270" s="517">
        <f t="shared" si="92"/>
        <v>260.83273750163067</v>
      </c>
      <c r="AD270" s="517">
        <f t="shared" si="88"/>
        <v>59.118451787344952</v>
      </c>
      <c r="AE270" s="545">
        <f t="shared" si="103"/>
        <v>8208</v>
      </c>
      <c r="AF270" s="520">
        <f t="shared" si="85"/>
        <v>0.77019178926288223</v>
      </c>
      <c r="AG270" s="200">
        <f t="shared" si="84"/>
        <v>-7.2636877501340957E-2</v>
      </c>
      <c r="AH270" s="4"/>
      <c r="AI270" s="200">
        <f t="shared" si="108"/>
        <v>0.80778032036613268</v>
      </c>
      <c r="AJ270" s="488">
        <f>MAX($B$2:B270)</f>
        <v>18326</v>
      </c>
      <c r="AK270" s="179">
        <f t="shared" si="104"/>
        <v>2.0192486450155162E-2</v>
      </c>
      <c r="AL270" s="179"/>
      <c r="AM270" s="200">
        <f t="shared" si="86"/>
        <v>0.92264678471575023</v>
      </c>
      <c r="AN270" s="200">
        <f t="shared" si="87"/>
        <v>0.80778032036613268</v>
      </c>
      <c r="AP270" s="355">
        <f t="shared" si="82"/>
        <v>0.81660614415963728</v>
      </c>
      <c r="AT270" s="179">
        <f t="shared" si="83"/>
        <v>2.900410859126942E-2</v>
      </c>
    </row>
    <row r="271" spans="1:46" hidden="1" x14ac:dyDescent="0.25">
      <c r="A271" s="259">
        <v>44162</v>
      </c>
      <c r="B271" s="670">
        <v>7846</v>
      </c>
      <c r="C271" s="515">
        <f t="shared" si="90"/>
        <v>1407277</v>
      </c>
      <c r="D271" s="670">
        <v>275</v>
      </c>
      <c r="E271" s="515">
        <f t="shared" si="97"/>
        <v>38185</v>
      </c>
      <c r="F271" s="515">
        <f t="shared" si="102"/>
        <v>8595</v>
      </c>
      <c r="G271" s="515">
        <v>1235257</v>
      </c>
      <c r="H271" s="515">
        <v>4120</v>
      </c>
      <c r="I271" s="515">
        <v>55323</v>
      </c>
      <c r="J271" s="511">
        <f t="shared" si="94"/>
        <v>3796034</v>
      </c>
      <c r="K271" s="511"/>
      <c r="L271" s="541">
        <f t="shared" si="100"/>
        <v>2.7133961544173607E-2</v>
      </c>
      <c r="M271" s="8">
        <v>1912056</v>
      </c>
      <c r="N271" s="510">
        <f t="shared" si="95"/>
        <v>1912056.0271339614</v>
      </c>
      <c r="O271" s="520">
        <v>10016</v>
      </c>
      <c r="P271" s="511">
        <v>280344</v>
      </c>
      <c r="Q271" s="511">
        <v>999456</v>
      </c>
      <c r="R271" s="510">
        <f t="shared" si="105"/>
        <v>117461</v>
      </c>
      <c r="S271" s="510">
        <f t="shared" si="101"/>
        <v>133835</v>
      </c>
      <c r="T271" s="507">
        <f t="shared" si="98"/>
        <v>160</v>
      </c>
      <c r="U271" s="511"/>
      <c r="V271" s="512">
        <f>SUM(B258:B271)/POBLA!$B$25*100000</f>
        <v>244.37771386487589</v>
      </c>
      <c r="W271" s="512">
        <f>B271/POBLA!$B$25*100000</f>
        <v>17.289493530003121</v>
      </c>
      <c r="X271" s="513">
        <f t="shared" si="109"/>
        <v>0.79669394176682307</v>
      </c>
      <c r="Y271" s="519">
        <f t="shared" si="96"/>
        <v>3.0784174543280907E-2</v>
      </c>
      <c r="Z271" s="520">
        <f t="shared" si="99"/>
        <v>0.23242646775374889</v>
      </c>
      <c r="AA271" s="517">
        <f t="shared" si="106"/>
        <v>6890.7142857142853</v>
      </c>
      <c r="AB271" s="517">
        <f t="shared" si="107"/>
        <v>203.71428571428572</v>
      </c>
      <c r="AC271" s="517">
        <f t="shared" si="92"/>
        <v>260.6918105675968</v>
      </c>
      <c r="AD271" s="517">
        <f t="shared" si="88"/>
        <v>56.977524853311081</v>
      </c>
      <c r="AE271" s="545">
        <f t="shared" si="103"/>
        <v>7921.3571428571431</v>
      </c>
      <c r="AF271" s="520">
        <f t="shared" si="85"/>
        <v>0.769740201710711</v>
      </c>
      <c r="AG271" s="200">
        <f t="shared" si="84"/>
        <v>-7.3575423634954062E-2</v>
      </c>
      <c r="AH271" s="4"/>
      <c r="AI271" s="200">
        <f t="shared" si="108"/>
        <v>0.81719197707736391</v>
      </c>
      <c r="AJ271" s="488">
        <f>MAX($B$2:B271)</f>
        <v>18326</v>
      </c>
      <c r="AK271" s="179">
        <f t="shared" si="104"/>
        <v>2.0772334629783392E-2</v>
      </c>
      <c r="AL271" s="179"/>
      <c r="AM271" s="200">
        <f t="shared" si="86"/>
        <v>0.98399808932409838</v>
      </c>
      <c r="AN271" s="200">
        <f t="shared" si="87"/>
        <v>0.81719197707736391</v>
      </c>
      <c r="AP271" s="355">
        <f t="shared" ref="AP271:AP334" si="110">AE271/AE257</f>
        <v>0.79669394176682307</v>
      </c>
      <c r="AT271" s="179">
        <f t="shared" si="83"/>
        <v>2.9388171017257828E-2</v>
      </c>
    </row>
    <row r="272" spans="1:46" hidden="1" x14ac:dyDescent="0.25">
      <c r="A272" s="105">
        <v>44163</v>
      </c>
      <c r="B272" s="670">
        <v>6098</v>
      </c>
      <c r="C272" s="515">
        <f t="shared" si="90"/>
        <v>1413375</v>
      </c>
      <c r="D272" s="670">
        <v>106</v>
      </c>
      <c r="E272" s="515">
        <f t="shared" si="97"/>
        <v>38291</v>
      </c>
      <c r="F272" s="515">
        <f t="shared" si="102"/>
        <v>7620</v>
      </c>
      <c r="G272" s="515">
        <v>1242877</v>
      </c>
      <c r="H272" s="515">
        <v>4021</v>
      </c>
      <c r="I272" s="515">
        <v>25472</v>
      </c>
      <c r="J272" s="511">
        <f t="shared" si="94"/>
        <v>3821506</v>
      </c>
      <c r="K272" s="511"/>
      <c r="L272" s="541">
        <f t="shared" si="100"/>
        <v>2.7091889979658619E-2</v>
      </c>
      <c r="M272" s="8">
        <v>1926130</v>
      </c>
      <c r="N272" s="510">
        <f t="shared" si="95"/>
        <v>1926130.0270918899</v>
      </c>
      <c r="O272" s="520">
        <v>10046</v>
      </c>
      <c r="P272" s="511">
        <v>281257</v>
      </c>
      <c r="Q272" s="511">
        <v>1003512</v>
      </c>
      <c r="R272" s="510">
        <f t="shared" si="105"/>
        <v>118560</v>
      </c>
      <c r="S272" s="510">
        <f t="shared" si="101"/>
        <v>132207</v>
      </c>
      <c r="T272" s="507">
        <f t="shared" si="98"/>
        <v>-99</v>
      </c>
      <c r="U272" s="511"/>
      <c r="V272" s="512">
        <f>SUM(B259:B272)/POBLA!$B$25*100000</f>
        <v>239.15516738691164</v>
      </c>
      <c r="W272" s="512">
        <f>B272/POBLA!$B$25*100000</f>
        <v>13.437590051740891</v>
      </c>
      <c r="X272" s="513">
        <f t="shared" si="109"/>
        <v>0.78688679108481607</v>
      </c>
      <c r="Y272" s="519">
        <f t="shared" si="96"/>
        <v>3.0414425862473244E-2</v>
      </c>
      <c r="Z272" s="520">
        <f t="shared" si="99"/>
        <v>0.24333187243806234</v>
      </c>
      <c r="AA272" s="517">
        <f t="shared" si="106"/>
        <v>6741.8571428571431</v>
      </c>
      <c r="AB272" s="517">
        <f t="shared" si="107"/>
        <v>202.85714285714286</v>
      </c>
      <c r="AC272" s="517">
        <f t="shared" si="92"/>
        <v>262.60259502982399</v>
      </c>
      <c r="AD272" s="517">
        <f t="shared" si="88"/>
        <v>59.745452172681127</v>
      </c>
      <c r="AE272" s="545">
        <f t="shared" si="103"/>
        <v>7752.0714285714284</v>
      </c>
      <c r="AF272" s="520">
        <f t="shared" si="85"/>
        <v>0.76941763401591245</v>
      </c>
      <c r="AG272" s="200">
        <f t="shared" si="84"/>
        <v>-7.0653320024181454E-2</v>
      </c>
      <c r="AH272" s="4"/>
      <c r="AI272" s="200">
        <f t="shared" si="108"/>
        <v>0.89028213166144199</v>
      </c>
      <c r="AJ272" s="488">
        <f>MAX($B$2:B272)</f>
        <v>18326</v>
      </c>
      <c r="AK272" s="179">
        <f t="shared" si="104"/>
        <v>2.1078256739104621E-2</v>
      </c>
      <c r="AL272" s="179"/>
      <c r="AM272" s="200">
        <f t="shared" si="86"/>
        <v>0.97313649564375604</v>
      </c>
      <c r="AN272" s="200">
        <f t="shared" si="87"/>
        <v>0.89028213166144199</v>
      </c>
      <c r="AP272" s="355">
        <f t="shared" si="110"/>
        <v>0.78688679108481596</v>
      </c>
      <c r="AT272" s="179">
        <f t="shared" ref="AT272:AT335" si="111">SUM(D243:D272)/SUM(B243:B272)</f>
        <v>2.919039228415098E-2</v>
      </c>
    </row>
    <row r="273" spans="1:46" hidden="1" x14ac:dyDescent="0.25">
      <c r="A273" s="105">
        <v>44164</v>
      </c>
      <c r="B273" s="670">
        <v>5432</v>
      </c>
      <c r="C273" s="515">
        <f t="shared" si="90"/>
        <v>1418807</v>
      </c>
      <c r="D273" s="670">
        <v>151</v>
      </c>
      <c r="E273" s="515">
        <f t="shared" si="97"/>
        <v>38442</v>
      </c>
      <c r="F273" s="515">
        <f t="shared" si="102"/>
        <v>6966</v>
      </c>
      <c r="G273" s="515">
        <v>1249843</v>
      </c>
      <c r="H273" s="515">
        <v>4013</v>
      </c>
      <c r="I273" s="515">
        <v>17338</v>
      </c>
      <c r="J273" s="511">
        <f t="shared" si="94"/>
        <v>3838844</v>
      </c>
      <c r="K273" s="511"/>
      <c r="L273" s="541">
        <f t="shared" si="100"/>
        <v>2.7094594261234967E-2</v>
      </c>
      <c r="M273" s="522">
        <v>1935553</v>
      </c>
      <c r="N273" s="510">
        <f t="shared" si="95"/>
        <v>1935553.0270945942</v>
      </c>
      <c r="O273" s="520">
        <v>10067</v>
      </c>
      <c r="P273" s="511">
        <v>281995</v>
      </c>
      <c r="Q273" s="511">
        <v>1006055</v>
      </c>
      <c r="R273" s="510">
        <f t="shared" si="105"/>
        <v>120690</v>
      </c>
      <c r="S273" s="510">
        <f t="shared" si="101"/>
        <v>130522</v>
      </c>
      <c r="T273" s="507">
        <f t="shared" si="98"/>
        <v>-8</v>
      </c>
      <c r="U273" s="511"/>
      <c r="V273" s="512">
        <f>SUM(B260:B273)/POBLA!$B$25*100000</f>
        <v>238.68579928572751</v>
      </c>
      <c r="W273" s="512">
        <f>B273/POBLA!$B$25*100000</f>
        <v>11.969988383249676</v>
      </c>
      <c r="X273" s="513">
        <f t="shared" si="109"/>
        <v>0.79087019378203538</v>
      </c>
      <c r="Y273" s="519">
        <f t="shared" si="96"/>
        <v>3.074577465867823E-2</v>
      </c>
      <c r="Z273" s="520">
        <f t="shared" si="99"/>
        <v>0.24772556419815592</v>
      </c>
      <c r="AA273" s="517">
        <f t="shared" si="106"/>
        <v>6920.1428571428569</v>
      </c>
      <c r="AB273" s="517">
        <f t="shared" si="107"/>
        <v>210.14285714285714</v>
      </c>
      <c r="AC273" s="517">
        <f t="shared" si="92"/>
        <v>263.63203191998809</v>
      </c>
      <c r="AD273" s="517">
        <f t="shared" si="88"/>
        <v>53.489174777130955</v>
      </c>
      <c r="AE273" s="545">
        <f t="shared" si="103"/>
        <v>7736.8571428571431</v>
      </c>
      <c r="AF273" s="520">
        <f t="shared" si="85"/>
        <v>0.8090354906054279</v>
      </c>
      <c r="AG273" s="200">
        <f t="shared" ref="AG273:AG336" si="112">S273/S266-1</f>
        <v>-5.3523128575883039E-2</v>
      </c>
      <c r="AH273" s="4"/>
      <c r="AI273" s="200">
        <f t="shared" si="108"/>
        <v>0.93873643905552007</v>
      </c>
      <c r="AJ273" s="488">
        <f>MAX($B$2:B273)</f>
        <v>18326</v>
      </c>
      <c r="AK273" s="179">
        <f t="shared" si="104"/>
        <v>2.1889880952380952E-2</v>
      </c>
      <c r="AL273" s="179"/>
      <c r="AM273" s="200">
        <f t="shared" si="86"/>
        <v>0.94534746760895172</v>
      </c>
      <c r="AN273" s="200">
        <f t="shared" si="87"/>
        <v>0.93873643905552007</v>
      </c>
      <c r="AP273" s="355">
        <f t="shared" si="110"/>
        <v>0.79087019378203538</v>
      </c>
      <c r="AT273" s="179">
        <f t="shared" si="111"/>
        <v>2.932025624168667E-2</v>
      </c>
    </row>
    <row r="274" spans="1:46" hidden="1" x14ac:dyDescent="0.25">
      <c r="A274" s="259">
        <v>44165</v>
      </c>
      <c r="B274" s="670">
        <v>5726</v>
      </c>
      <c r="C274" s="515">
        <f t="shared" si="90"/>
        <v>1424533</v>
      </c>
      <c r="D274" s="670">
        <v>257</v>
      </c>
      <c r="E274" s="515">
        <f t="shared" si="97"/>
        <v>38699</v>
      </c>
      <c r="F274" s="515">
        <f t="shared" si="102"/>
        <v>7384</v>
      </c>
      <c r="G274" s="515">
        <v>1257227</v>
      </c>
      <c r="H274" s="515">
        <v>4062</v>
      </c>
      <c r="I274" s="515">
        <v>19291</v>
      </c>
      <c r="J274" s="511">
        <f t="shared" si="94"/>
        <v>3858135</v>
      </c>
      <c r="K274" s="511"/>
      <c r="L274" s="541">
        <f t="shared" si="100"/>
        <v>2.7166095836319692E-2</v>
      </c>
      <c r="M274" s="522">
        <v>1945524</v>
      </c>
      <c r="N274" s="510">
        <f t="shared" si="95"/>
        <v>1945524.0271660958</v>
      </c>
      <c r="O274" s="520">
        <v>10089</v>
      </c>
      <c r="P274" s="511">
        <v>283567</v>
      </c>
      <c r="Q274" s="511">
        <v>1009382</v>
      </c>
      <c r="R274" s="510">
        <f t="shared" si="105"/>
        <v>121495</v>
      </c>
      <c r="S274" s="510">
        <f t="shared" si="101"/>
        <v>128607</v>
      </c>
      <c r="T274" s="507">
        <f t="shared" si="98"/>
        <v>49</v>
      </c>
      <c r="U274" s="511"/>
      <c r="V274" s="512">
        <f>SUM(B261:B274)/POBLA!$B$25*100000</f>
        <v>233.91058484785896</v>
      </c>
      <c r="W274" s="512">
        <f>B274/POBLA!$B$25*100000</f>
        <v>12.617848579250301</v>
      </c>
      <c r="X274" s="513">
        <f t="shared" si="109"/>
        <v>0.78481808166916811</v>
      </c>
      <c r="Y274" s="519">
        <f t="shared" si="96"/>
        <v>3.158459492873638E-2</v>
      </c>
      <c r="Z274" s="520">
        <f t="shared" si="99"/>
        <v>0.24742544066241912</v>
      </c>
      <c r="AA274" s="517">
        <f t="shared" si="106"/>
        <v>7128.8571428571431</v>
      </c>
      <c r="AB274" s="517">
        <f t="shared" si="107"/>
        <v>229.85714285714286</v>
      </c>
      <c r="AC274" s="517">
        <f t="shared" si="92"/>
        <v>262.57502258175811</v>
      </c>
      <c r="AD274" s="517">
        <f t="shared" si="88"/>
        <v>32.717879724615244</v>
      </c>
      <c r="AE274" s="545">
        <f t="shared" si="103"/>
        <v>7582.0714285714284</v>
      </c>
      <c r="AF274" s="520">
        <f t="shared" si="85"/>
        <v>0.88719398367912949</v>
      </c>
      <c r="AG274" s="200">
        <f t="shared" si="112"/>
        <v>-3.8387629821819758E-2</v>
      </c>
      <c r="AH274" s="4"/>
      <c r="AI274" s="200">
        <f t="shared" si="108"/>
        <v>1.154232424677188</v>
      </c>
      <c r="AJ274" s="488">
        <f>MAX($B$2:B274)</f>
        <v>18326</v>
      </c>
      <c r="AK274" s="179">
        <f t="shared" si="104"/>
        <v>2.3862490360087796E-2</v>
      </c>
      <c r="AL274" s="179"/>
      <c r="AM274" s="200">
        <f t="shared" si="86"/>
        <v>0.97527010804321723</v>
      </c>
      <c r="AN274" s="200">
        <f t="shared" si="87"/>
        <v>1.154232424677188</v>
      </c>
      <c r="AP274" s="355">
        <f t="shared" si="110"/>
        <v>0.78481808166916822</v>
      </c>
      <c r="AT274" s="179">
        <f t="shared" si="111"/>
        <v>2.9960133380433136E-2</v>
      </c>
    </row>
    <row r="275" spans="1:46" hidden="1" x14ac:dyDescent="0.25">
      <c r="A275" s="259">
        <v>44166</v>
      </c>
      <c r="B275" s="670">
        <v>8037</v>
      </c>
      <c r="C275" s="515">
        <f t="shared" si="90"/>
        <v>1432570</v>
      </c>
      <c r="D275" s="670">
        <v>198</v>
      </c>
      <c r="E275" s="515">
        <f t="shared" si="97"/>
        <v>38897</v>
      </c>
      <c r="F275" s="515">
        <f t="shared" si="102"/>
        <v>6024</v>
      </c>
      <c r="G275" s="515">
        <v>1263251</v>
      </c>
      <c r="H275" s="515">
        <v>3946</v>
      </c>
      <c r="I275" s="515">
        <v>33764</v>
      </c>
      <c r="J275" s="511">
        <f t="shared" si="94"/>
        <v>3891899</v>
      </c>
      <c r="K275" s="511"/>
      <c r="L275" s="541">
        <f t="shared" si="100"/>
        <v>2.7151901826786822E-2</v>
      </c>
      <c r="M275" s="522">
        <v>1964346</v>
      </c>
      <c r="N275" s="510">
        <f t="shared" si="95"/>
        <v>1964346.0271519017</v>
      </c>
      <c r="O275" s="520">
        <v>10120</v>
      </c>
      <c r="P275" s="511">
        <v>285518</v>
      </c>
      <c r="Q275" s="511">
        <v>1015923</v>
      </c>
      <c r="R275" s="510">
        <f t="shared" si="105"/>
        <v>121009</v>
      </c>
      <c r="S275" s="510">
        <f t="shared" si="101"/>
        <v>130422</v>
      </c>
      <c r="T275" s="507">
        <f t="shared" si="98"/>
        <v>-116</v>
      </c>
      <c r="U275" s="511"/>
      <c r="V275" s="512">
        <f>SUM(B262:B275)/POBLA!$B$25*100000</f>
        <v>228.21646666260176</v>
      </c>
      <c r="W275" s="512">
        <f>B275/POBLA!$B$25*100000</f>
        <v>17.710382296792645</v>
      </c>
      <c r="X275" s="513">
        <f t="shared" si="109"/>
        <v>0.7744393512252391</v>
      </c>
      <c r="Y275" s="519">
        <f t="shared" si="96"/>
        <v>3.0255631718575086E-2</v>
      </c>
      <c r="Z275" s="520">
        <f t="shared" si="99"/>
        <v>0.23792676869441345</v>
      </c>
      <c r="AA275" s="517">
        <f t="shared" si="106"/>
        <v>7253.5714285714284</v>
      </c>
      <c r="AB275" s="517">
        <f t="shared" si="107"/>
        <v>213.71428571428572</v>
      </c>
      <c r="AC275" s="517">
        <f t="shared" si="92"/>
        <v>257.97679423972926</v>
      </c>
      <c r="AD275" s="517">
        <f t="shared" si="88"/>
        <v>44.262508525443536</v>
      </c>
      <c r="AE275" s="545">
        <f t="shared" si="103"/>
        <v>7397.5</v>
      </c>
      <c r="AF275" s="520">
        <f t="shared" si="85"/>
        <v>0.96182989202500468</v>
      </c>
      <c r="AG275" s="200">
        <f t="shared" si="112"/>
        <v>-2.4955143540669855E-2</v>
      </c>
      <c r="AH275" s="4"/>
      <c r="AI275" s="200">
        <f t="shared" si="108"/>
        <v>1.1273549359457422</v>
      </c>
      <c r="AJ275" s="488">
        <f>MAX($B$2:B275)</f>
        <v>18326</v>
      </c>
      <c r="AK275" s="179">
        <f t="shared" si="104"/>
        <v>2.216591841875213E-2</v>
      </c>
      <c r="AL275" s="179"/>
      <c r="AM275" s="200">
        <f t="shared" si="86"/>
        <v>0.95130183220829312</v>
      </c>
      <c r="AN275" s="200">
        <f t="shared" si="87"/>
        <v>1.1273549359457422</v>
      </c>
      <c r="AP275" s="355">
        <f t="shared" si="110"/>
        <v>0.77443935122523899</v>
      </c>
      <c r="AT275" s="179">
        <f t="shared" si="111"/>
        <v>3.0038179873917624E-2</v>
      </c>
    </row>
    <row r="276" spans="1:46" hidden="1" x14ac:dyDescent="0.25">
      <c r="A276" s="259">
        <v>44167</v>
      </c>
      <c r="B276" s="670">
        <v>7533</v>
      </c>
      <c r="C276" s="515">
        <f t="shared" si="90"/>
        <v>1440103</v>
      </c>
      <c r="D276" s="670">
        <v>228</v>
      </c>
      <c r="E276" s="515">
        <f t="shared" si="97"/>
        <v>39125</v>
      </c>
      <c r="F276" s="515">
        <f t="shared" si="102"/>
        <v>5107</v>
      </c>
      <c r="G276" s="515">
        <v>1268358</v>
      </c>
      <c r="H276" s="515">
        <v>3983</v>
      </c>
      <c r="I276" s="515">
        <v>49474</v>
      </c>
      <c r="J276" s="511">
        <f t="shared" si="94"/>
        <v>3941373</v>
      </c>
      <c r="K276" s="511"/>
      <c r="L276" s="541">
        <f t="shared" si="100"/>
        <v>2.7168195608230802E-2</v>
      </c>
      <c r="M276" s="522">
        <v>2000098</v>
      </c>
      <c r="N276" s="510">
        <f t="shared" si="95"/>
        <v>2000098.0271681957</v>
      </c>
      <c r="O276" s="520">
        <v>10155</v>
      </c>
      <c r="P276" s="511">
        <v>287233</v>
      </c>
      <c r="Q276" s="511">
        <v>1022204</v>
      </c>
      <c r="R276" s="510">
        <f t="shared" si="105"/>
        <v>120511</v>
      </c>
      <c r="S276" s="510">
        <f t="shared" si="101"/>
        <v>132620</v>
      </c>
      <c r="T276" s="507">
        <f t="shared" si="98"/>
        <v>37</v>
      </c>
      <c r="U276" s="511"/>
      <c r="V276" s="512">
        <f>SUM(B263:B276)/POBLA!$B$25*100000</f>
        <v>222.04857316394273</v>
      </c>
      <c r="W276" s="512">
        <f>B276/POBLA!$B$25*100000</f>
        <v>16.599764817934428</v>
      </c>
      <c r="X276" s="513">
        <f t="shared" si="109"/>
        <v>0.75531635796685381</v>
      </c>
      <c r="Y276" s="519">
        <f t="shared" si="96"/>
        <v>3.0033177499622983E-2</v>
      </c>
      <c r="Z276" s="520">
        <f t="shared" si="99"/>
        <v>0.21296419254379012</v>
      </c>
      <c r="AA276" s="517">
        <f t="shared" si="106"/>
        <v>7102.1428571428569</v>
      </c>
      <c r="AB276" s="517">
        <f t="shared" si="107"/>
        <v>206.28571428571428</v>
      </c>
      <c r="AC276" s="517">
        <f t="shared" si="92"/>
        <v>255.56717710756465</v>
      </c>
      <c r="AD276" s="517">
        <f t="shared" si="88"/>
        <v>49.281462821850369</v>
      </c>
      <c r="AE276" s="545">
        <f t="shared" si="103"/>
        <v>7197.5714285714284</v>
      </c>
      <c r="AF276" s="520">
        <f t="shared" si="85"/>
        <v>0.97383009147715027</v>
      </c>
      <c r="AG276" s="200">
        <f t="shared" si="112"/>
        <v>-2.069810888844581E-2</v>
      </c>
      <c r="AH276" s="4"/>
      <c r="AI276" s="200">
        <f t="shared" si="108"/>
        <v>1.0563277249451353</v>
      </c>
      <c r="AJ276" s="488">
        <f>MAX($B$2:B276)</f>
        <v>18326</v>
      </c>
      <c r="AK276" s="179">
        <f t="shared" si="104"/>
        <v>2.137232845894263E-2</v>
      </c>
      <c r="AL276" s="179"/>
      <c r="AM276" s="200">
        <f t="shared" si="86"/>
        <v>0.98613518197573657</v>
      </c>
      <c r="AN276" s="200">
        <f t="shared" si="87"/>
        <v>1.0563277249451353</v>
      </c>
      <c r="AP276" s="355">
        <f t="shared" si="110"/>
        <v>0.7553163579668537</v>
      </c>
      <c r="AT276" s="179">
        <f t="shared" si="111"/>
        <v>2.930280341827125E-2</v>
      </c>
    </row>
    <row r="277" spans="1:46" hidden="1" x14ac:dyDescent="0.25">
      <c r="A277" s="259">
        <v>44168</v>
      </c>
      <c r="B277" s="670">
        <v>7629</v>
      </c>
      <c r="C277" s="515">
        <f t="shared" si="90"/>
        <v>1447732</v>
      </c>
      <c r="D277" s="670">
        <v>148</v>
      </c>
      <c r="E277" s="515">
        <f t="shared" si="97"/>
        <v>39273</v>
      </c>
      <c r="F277" s="515">
        <f t="shared" si="102"/>
        <v>6317</v>
      </c>
      <c r="G277" s="515">
        <v>1274675</v>
      </c>
      <c r="H277" s="515">
        <v>3916</v>
      </c>
      <c r="I277" s="515">
        <v>47112</v>
      </c>
      <c r="J277" s="511">
        <f t="shared" si="94"/>
        <v>3988485</v>
      </c>
      <c r="K277" s="511"/>
      <c r="L277" s="541">
        <f t="shared" si="100"/>
        <v>2.7127258359972702E-2</v>
      </c>
      <c r="M277" s="522">
        <v>2033435</v>
      </c>
      <c r="N277" s="510">
        <f t="shared" si="95"/>
        <v>2033435.0271272582</v>
      </c>
      <c r="O277" s="520">
        <v>10186</v>
      </c>
      <c r="P277" s="511">
        <v>288999</v>
      </c>
      <c r="Q277" s="511">
        <v>1028077</v>
      </c>
      <c r="R277" s="510">
        <f t="shared" si="105"/>
        <v>120470</v>
      </c>
      <c r="S277" s="510">
        <f t="shared" si="101"/>
        <v>133784</v>
      </c>
      <c r="T277" s="507">
        <f t="shared" si="98"/>
        <v>-67</v>
      </c>
      <c r="U277" s="511"/>
      <c r="V277" s="512">
        <f>SUM(B264:B277)/POBLA!$B$25*100000</f>
        <v>216.61007328731162</v>
      </c>
      <c r="W277" s="512">
        <f>B277/POBLA!$B$25*100000</f>
        <v>16.811311004383612</v>
      </c>
      <c r="X277" s="513">
        <f t="shared" si="109"/>
        <v>0.74239838073803299</v>
      </c>
      <c r="Y277" s="519">
        <f t="shared" si="96"/>
        <v>2.9271063804341326E-2</v>
      </c>
      <c r="Z277" s="520">
        <f t="shared" si="99"/>
        <v>0.1949397434759095</v>
      </c>
      <c r="AA277" s="517">
        <f t="shared" si="106"/>
        <v>6900.1428571428569</v>
      </c>
      <c r="AB277" s="517">
        <f t="shared" si="107"/>
        <v>194.71428571428572</v>
      </c>
      <c r="AC277" s="517">
        <f t="shared" si="92"/>
        <v>250.82131471416909</v>
      </c>
      <c r="AD277" s="517">
        <f t="shared" si="88"/>
        <v>56.107028999883369</v>
      </c>
      <c r="AE277" s="545">
        <f t="shared" si="103"/>
        <v>7021.2857142857147</v>
      </c>
      <c r="AF277" s="520">
        <f t="shared" ref="AF277:AF340" si="113">AA277/AA270</f>
        <v>0.96607796467788065</v>
      </c>
      <c r="AG277" s="200">
        <f t="shared" si="112"/>
        <v>-7.9712885309841663E-3</v>
      </c>
      <c r="AH277" s="4"/>
      <c r="AI277" s="200">
        <f t="shared" si="108"/>
        <v>0.9652974504249292</v>
      </c>
      <c r="AJ277" s="488">
        <f>MAX($B$2:B277)</f>
        <v>18326</v>
      </c>
      <c r="AK277" s="179">
        <f t="shared" si="104"/>
        <v>2.0045591587616735E-2</v>
      </c>
      <c r="AL277" s="179"/>
      <c r="AM277" s="200">
        <f t="shared" ref="AM277:AM340" si="114">H277/H270</f>
        <v>0.98888888888888893</v>
      </c>
      <c r="AN277" s="200">
        <f t="shared" ref="AN277:AN340" si="115">AB277/AB270</f>
        <v>0.9652974504249292</v>
      </c>
      <c r="AP277" s="355">
        <f t="shared" si="110"/>
        <v>0.74239838073803299</v>
      </c>
      <c r="AT277" s="179">
        <f t="shared" si="111"/>
        <v>2.8713914503913553E-2</v>
      </c>
    </row>
    <row r="278" spans="1:46" hidden="1" x14ac:dyDescent="0.25">
      <c r="A278" s="259">
        <v>44169</v>
      </c>
      <c r="B278" s="670">
        <v>6899</v>
      </c>
      <c r="C278" s="515">
        <f t="shared" si="90"/>
        <v>1454631</v>
      </c>
      <c r="D278" s="674">
        <v>207</v>
      </c>
      <c r="E278" s="515">
        <f t="shared" si="97"/>
        <v>39480</v>
      </c>
      <c r="F278" s="515">
        <f t="shared" si="102"/>
        <v>7280</v>
      </c>
      <c r="G278" s="515">
        <v>1281955</v>
      </c>
      <c r="H278" s="515">
        <v>3929</v>
      </c>
      <c r="I278" s="515">
        <v>32923</v>
      </c>
      <c r="J278" s="511">
        <f t="shared" si="94"/>
        <v>4021408</v>
      </c>
      <c r="K278" s="511"/>
      <c r="L278" s="541">
        <f t="shared" si="100"/>
        <v>2.7140903775596699E-2</v>
      </c>
      <c r="M278" s="522">
        <v>2054205</v>
      </c>
      <c r="N278" s="510">
        <f t="shared" si="95"/>
        <v>2054205.0271409038</v>
      </c>
      <c r="O278" s="520">
        <v>10211</v>
      </c>
      <c r="P278" s="511">
        <v>290538</v>
      </c>
      <c r="Q278" s="511">
        <v>1033772</v>
      </c>
      <c r="R278" s="510">
        <f t="shared" si="105"/>
        <v>120110</v>
      </c>
      <c r="S278" s="510">
        <f t="shared" si="101"/>
        <v>133196</v>
      </c>
      <c r="T278" s="507">
        <f t="shared" ref="T278:T299" si="116">H278-H277</f>
        <v>13</v>
      </c>
      <c r="U278" s="512">
        <f t="shared" ref="U278:U309" si="117">(C278-G278-E278)-(C277-E277-G277)</f>
        <v>-588</v>
      </c>
      <c r="V278" s="512">
        <f>SUM(B265:B278)/POBLA!$B$25*100000</f>
        <v>210.64050433844869</v>
      </c>
      <c r="W278" s="512">
        <f>B278/POBLA!$B$25*100000</f>
        <v>15.202678544926274</v>
      </c>
      <c r="X278" s="513">
        <f t="shared" si="109"/>
        <v>0.73401265472862975</v>
      </c>
      <c r="Y278" s="519">
        <f t="shared" si="96"/>
        <v>2.9497882819303885E-2</v>
      </c>
      <c r="Z278" s="520">
        <f t="shared" si="99"/>
        <v>0.21011296777800456</v>
      </c>
      <c r="AA278" s="517">
        <f t="shared" si="106"/>
        <v>6764.8571428571431</v>
      </c>
      <c r="AB278" s="517">
        <f t="shared" si="107"/>
        <v>185</v>
      </c>
      <c r="AC278" s="517">
        <f t="shared" si="92"/>
        <v>242.1312718812222</v>
      </c>
      <c r="AD278" s="517">
        <f t="shared" ref="AD278:AD341" si="118">AC278-AB278</f>
        <v>57.131271881222204</v>
      </c>
      <c r="AE278" s="545">
        <f t="shared" si="103"/>
        <v>6827.7857142857147</v>
      </c>
      <c r="AF278" s="520">
        <f t="shared" si="113"/>
        <v>0.98173525448325916</v>
      </c>
      <c r="AG278" s="200">
        <f t="shared" si="112"/>
        <v>-4.774535809018543E-3</v>
      </c>
      <c r="AH278" s="4"/>
      <c r="AI278" s="200">
        <f t="shared" si="108"/>
        <v>0.9081346423562412</v>
      </c>
      <c r="AJ278" s="488">
        <f>MAX($B$2:B278)</f>
        <v>18326</v>
      </c>
      <c r="AK278" s="179">
        <f t="shared" si="104"/>
        <v>1.8957970399215332E-2</v>
      </c>
      <c r="AL278" s="179"/>
      <c r="AM278" s="200">
        <f t="shared" si="114"/>
        <v>0.95364077669902914</v>
      </c>
      <c r="AN278" s="200">
        <f t="shared" si="115"/>
        <v>0.9081346423562412</v>
      </c>
      <c r="AP278" s="355">
        <f t="shared" si="110"/>
        <v>0.73401265472862987</v>
      </c>
      <c r="AT278" s="179">
        <f t="shared" si="111"/>
        <v>2.8113854678069827E-2</v>
      </c>
    </row>
    <row r="279" spans="1:46" hidden="1" x14ac:dyDescent="0.25">
      <c r="A279" s="105">
        <v>44170</v>
      </c>
      <c r="B279" s="670">
        <v>5201</v>
      </c>
      <c r="C279" s="515">
        <f t="shared" si="90"/>
        <v>1459832</v>
      </c>
      <c r="D279" s="670">
        <v>121</v>
      </c>
      <c r="E279" s="515">
        <f t="shared" si="97"/>
        <v>39601</v>
      </c>
      <c r="F279" s="515">
        <f t="shared" si="102"/>
        <v>6830</v>
      </c>
      <c r="G279" s="515">
        <v>1288785</v>
      </c>
      <c r="H279" s="515">
        <v>3757</v>
      </c>
      <c r="I279" s="515">
        <v>28567</v>
      </c>
      <c r="J279" s="511">
        <f t="shared" si="94"/>
        <v>4049975</v>
      </c>
      <c r="K279" s="511"/>
      <c r="L279" s="541">
        <f t="shared" si="100"/>
        <v>2.7127094076578675E-2</v>
      </c>
      <c r="M279" s="522">
        <v>2072109</v>
      </c>
      <c r="N279" s="510">
        <f t="shared" si="95"/>
        <v>2072109.0271270941</v>
      </c>
      <c r="O279" s="520">
        <v>10228</v>
      </c>
      <c r="P279" s="511">
        <v>291315</v>
      </c>
      <c r="Q279" s="511">
        <v>1037782</v>
      </c>
      <c r="R279" s="510">
        <f t="shared" si="105"/>
        <v>120507</v>
      </c>
      <c r="S279" s="510">
        <f t="shared" si="101"/>
        <v>131446</v>
      </c>
      <c r="T279" s="507">
        <f t="shared" si="116"/>
        <v>-172</v>
      </c>
      <c r="U279" s="512">
        <f t="shared" si="117"/>
        <v>-1750</v>
      </c>
      <c r="V279" s="512">
        <f>SUM(B266:B279)/POBLA!$B$25*100000</f>
        <v>206.36771209339693</v>
      </c>
      <c r="W279" s="512">
        <f>B279/POBLA!$B$25*100000</f>
        <v>11.460955372106326</v>
      </c>
      <c r="X279" s="513">
        <f t="shared" si="109"/>
        <v>0.72411100200261347</v>
      </c>
      <c r="Y279" s="519">
        <f t="shared" si="96"/>
        <v>2.8582079332958022E-2</v>
      </c>
      <c r="Z279" s="520">
        <f t="shared" si="99"/>
        <v>0.20334049696020029</v>
      </c>
      <c r="AA279" s="517">
        <f t="shared" si="106"/>
        <v>6636.7142857142853</v>
      </c>
      <c r="AB279" s="517">
        <f t="shared" si="107"/>
        <v>187.14285714285714</v>
      </c>
      <c r="AC279" s="517">
        <f t="shared" si="92"/>
        <v>236.47964661474717</v>
      </c>
      <c r="AD279" s="517">
        <f t="shared" si="118"/>
        <v>49.336789471890029</v>
      </c>
      <c r="AE279" s="545">
        <f t="shared" si="103"/>
        <v>6689.2857142857147</v>
      </c>
      <c r="AF279" s="520">
        <f t="shared" si="113"/>
        <v>0.98440446676413862</v>
      </c>
      <c r="AG279" s="200">
        <f t="shared" si="112"/>
        <v>-5.7561248647953756E-3</v>
      </c>
      <c r="AH279" s="4"/>
      <c r="AI279" s="200">
        <f t="shared" si="108"/>
        <v>0.92253521126760563</v>
      </c>
      <c r="AJ279" s="488">
        <f>MAX($B$2:B279)</f>
        <v>18326</v>
      </c>
      <c r="AK279" s="179">
        <f t="shared" si="104"/>
        <v>1.9297341091551887E-2</v>
      </c>
      <c r="AL279" s="179"/>
      <c r="AM279" s="200">
        <f t="shared" si="114"/>
        <v>0.93434469037552847</v>
      </c>
      <c r="AN279" s="200">
        <f t="shared" si="115"/>
        <v>0.92253521126760563</v>
      </c>
      <c r="AP279" s="355">
        <f t="shared" si="110"/>
        <v>0.72411100200261358</v>
      </c>
      <c r="AT279" s="179">
        <f t="shared" si="111"/>
        <v>2.8282071135566137E-2</v>
      </c>
    </row>
    <row r="280" spans="1:46" hidden="1" x14ac:dyDescent="0.25">
      <c r="A280" s="105">
        <v>44171</v>
      </c>
      <c r="B280" s="670">
        <v>3278</v>
      </c>
      <c r="C280" s="515">
        <f t="shared" si="90"/>
        <v>1463110</v>
      </c>
      <c r="D280" s="670">
        <v>138</v>
      </c>
      <c r="E280" s="515">
        <f t="shared" si="97"/>
        <v>39739</v>
      </c>
      <c r="F280" s="515">
        <f t="shared" si="102"/>
        <v>5907</v>
      </c>
      <c r="G280" s="515">
        <v>1294692</v>
      </c>
      <c r="H280" s="515">
        <v>3735</v>
      </c>
      <c r="I280" s="515">
        <v>16826</v>
      </c>
      <c r="J280" s="511">
        <f t="shared" si="94"/>
        <v>4066801</v>
      </c>
      <c r="K280" s="511"/>
      <c r="L280" s="541">
        <f t="shared" si="100"/>
        <v>2.7160637272658925E-2</v>
      </c>
      <c r="M280" s="522">
        <v>2083087</v>
      </c>
      <c r="N280" s="510">
        <f t="shared" si="95"/>
        <v>2083087.0271606373</v>
      </c>
      <c r="O280" s="520">
        <v>10245</v>
      </c>
      <c r="P280" s="511">
        <v>291769</v>
      </c>
      <c r="Q280" s="511">
        <v>1041718</v>
      </c>
      <c r="R280" s="510">
        <f t="shared" si="105"/>
        <v>119378</v>
      </c>
      <c r="S280" s="510">
        <f t="shared" si="101"/>
        <v>128679</v>
      </c>
      <c r="T280" s="507">
        <f t="shared" si="116"/>
        <v>-22</v>
      </c>
      <c r="U280" s="512">
        <f t="shared" si="117"/>
        <v>-2767</v>
      </c>
      <c r="V280" s="512">
        <f>SUM(B267:B280)/POBLA!$B$25*100000</f>
        <v>204.37124495878274</v>
      </c>
      <c r="W280" s="512">
        <f>B280/POBLA!$B$25*100000</f>
        <v>7.2234208247961043</v>
      </c>
      <c r="X280" s="513">
        <f t="shared" si="109"/>
        <v>0.72352243649753478</v>
      </c>
      <c r="Y280" s="519">
        <f t="shared" si="96"/>
        <v>2.9025715151656448E-2</v>
      </c>
      <c r="Z280" s="520">
        <f t="shared" si="99"/>
        <v>0.19434805687037468</v>
      </c>
      <c r="AA280" s="517">
        <f t="shared" si="106"/>
        <v>6329</v>
      </c>
      <c r="AB280" s="517">
        <f t="shared" si="107"/>
        <v>185.28571428571428</v>
      </c>
      <c r="AC280" s="517">
        <f t="shared" si="92"/>
        <v>230.76615246271021</v>
      </c>
      <c r="AD280" s="517">
        <f t="shared" si="118"/>
        <v>45.480438176995932</v>
      </c>
      <c r="AE280" s="545">
        <f t="shared" si="103"/>
        <v>6624.5714285714284</v>
      </c>
      <c r="AF280" s="520">
        <f t="shared" si="113"/>
        <v>0.91457649511777217</v>
      </c>
      <c r="AG280" s="200">
        <f t="shared" si="112"/>
        <v>-1.4120224942921533E-2</v>
      </c>
      <c r="AH280" s="4"/>
      <c r="AI280" s="200">
        <f t="shared" si="108"/>
        <v>0.88171312032630866</v>
      </c>
      <c r="AJ280" s="488">
        <f>MAX($B$2:B280)</f>
        <v>18326</v>
      </c>
      <c r="AK280" s="179">
        <f t="shared" si="104"/>
        <v>1.9495257707165297E-2</v>
      </c>
      <c r="AL280" s="179"/>
      <c r="AM280" s="200">
        <f t="shared" si="114"/>
        <v>0.93072514328432598</v>
      </c>
      <c r="AN280" s="200">
        <f t="shared" si="115"/>
        <v>0.88171312032630866</v>
      </c>
      <c r="AP280" s="355">
        <f t="shared" si="110"/>
        <v>0.72352243649753478</v>
      </c>
      <c r="AT280" s="179">
        <f t="shared" si="111"/>
        <v>2.8323146788677572E-2</v>
      </c>
    </row>
    <row r="281" spans="1:46" hidden="1" x14ac:dyDescent="0.25">
      <c r="A281" s="105">
        <v>44172</v>
      </c>
      <c r="B281" s="670">
        <v>3199</v>
      </c>
      <c r="C281" s="534">
        <f t="shared" si="90"/>
        <v>1466309</v>
      </c>
      <c r="D281" s="670">
        <v>118</v>
      </c>
      <c r="E281" s="515">
        <f t="shared" si="97"/>
        <v>39857</v>
      </c>
      <c r="F281" s="515">
        <f t="shared" si="102"/>
        <v>6004</v>
      </c>
      <c r="G281" s="515">
        <v>1300696</v>
      </c>
      <c r="H281" s="515">
        <v>3723</v>
      </c>
      <c r="I281" s="515">
        <v>9951</v>
      </c>
      <c r="J281" s="511">
        <f t="shared" si="94"/>
        <v>4076752</v>
      </c>
      <c r="K281" s="511"/>
      <c r="L281" s="541">
        <f t="shared" si="100"/>
        <v>2.7181855938959661E-2</v>
      </c>
      <c r="M281" s="522">
        <v>2088287</v>
      </c>
      <c r="N281" s="510">
        <f t="shared" si="95"/>
        <v>2088287.0271818559</v>
      </c>
      <c r="O281" s="520">
        <v>10262</v>
      </c>
      <c r="P281" s="511">
        <v>292290</v>
      </c>
      <c r="Q281" s="511">
        <v>1047405</v>
      </c>
      <c r="R281" s="510">
        <f t="shared" si="105"/>
        <v>116352</v>
      </c>
      <c r="S281" s="510">
        <f t="shared" si="101"/>
        <v>125756</v>
      </c>
      <c r="T281" s="507">
        <f t="shared" si="116"/>
        <v>-12</v>
      </c>
      <c r="U281" s="512">
        <f t="shared" si="117"/>
        <v>-2923</v>
      </c>
      <c r="V281" s="512">
        <f>SUM(B268:B281)/POBLA!$B$25*100000</f>
        <v>202.02220084675326</v>
      </c>
      <c r="W281" s="512">
        <f>B281/POBLA!$B$25*100000</f>
        <v>7.0493359421972972</v>
      </c>
      <c r="X281" s="513">
        <f t="shared" si="109"/>
        <v>0.73855250861985633</v>
      </c>
      <c r="Y281" s="519">
        <f t="shared" si="96"/>
        <v>2.9604949266834185E-2</v>
      </c>
      <c r="Z281" s="520">
        <f t="shared" si="99"/>
        <v>0.19109218404790113</v>
      </c>
      <c r="AA281" s="517">
        <f t="shared" si="106"/>
        <v>5968</v>
      </c>
      <c r="AB281" s="517">
        <f t="shared" si="107"/>
        <v>165.42857142857142</v>
      </c>
      <c r="AC281" s="517">
        <f t="shared" si="92"/>
        <v>216.80636268413645</v>
      </c>
      <c r="AD281" s="517">
        <f t="shared" si="118"/>
        <v>51.377791255565029</v>
      </c>
      <c r="AE281" s="545">
        <f t="shared" si="103"/>
        <v>6548.4285714285716</v>
      </c>
      <c r="AF281" s="520">
        <f t="shared" si="113"/>
        <v>0.83716083523706464</v>
      </c>
      <c r="AG281" s="200">
        <f t="shared" si="112"/>
        <v>-2.216831121167584E-2</v>
      </c>
      <c r="AH281" s="4"/>
      <c r="AI281" s="200">
        <f t="shared" si="108"/>
        <v>0.71970167806090735</v>
      </c>
      <c r="AJ281" s="488">
        <f>MAX($B$2:B281)</f>
        <v>18326</v>
      </c>
      <c r="AK281" s="179">
        <f t="shared" si="104"/>
        <v>1.7550506964126033E-2</v>
      </c>
      <c r="AL281" s="179"/>
      <c r="AM281" s="200">
        <f t="shared" si="114"/>
        <v>0.91654357459379621</v>
      </c>
      <c r="AN281" s="200">
        <f t="shared" si="115"/>
        <v>0.71970167806090735</v>
      </c>
      <c r="AP281" s="355">
        <f t="shared" si="110"/>
        <v>0.73855250861985622</v>
      </c>
      <c r="AT281" s="179">
        <f t="shared" si="111"/>
        <v>2.8510664260997656E-2</v>
      </c>
    </row>
    <row r="282" spans="1:46" hidden="1" x14ac:dyDescent="0.25">
      <c r="A282" s="105">
        <v>44173</v>
      </c>
      <c r="B282" s="670">
        <v>3610</v>
      </c>
      <c r="C282" s="515">
        <f t="shared" si="90"/>
        <v>1469919</v>
      </c>
      <c r="D282" s="670">
        <v>120</v>
      </c>
      <c r="E282" s="515">
        <f t="shared" si="97"/>
        <v>39977</v>
      </c>
      <c r="F282" s="515">
        <f t="shared" si="102"/>
        <v>4891</v>
      </c>
      <c r="G282" s="515">
        <v>1305587</v>
      </c>
      <c r="H282" s="515">
        <v>3715</v>
      </c>
      <c r="I282" s="515">
        <v>13302</v>
      </c>
      <c r="J282" s="511">
        <f t="shared" si="94"/>
        <v>4090054</v>
      </c>
      <c r="K282" s="511"/>
      <c r="L282" s="541">
        <f t="shared" si="100"/>
        <v>2.719673669093331E-2</v>
      </c>
      <c r="M282" s="522">
        <v>2095475</v>
      </c>
      <c r="N282" s="510">
        <f t="shared" si="95"/>
        <v>2095475.0271967368</v>
      </c>
      <c r="O282" s="520">
        <v>10276</v>
      </c>
      <c r="P282" s="511">
        <v>292866</v>
      </c>
      <c r="Q282" s="511">
        <v>1053314</v>
      </c>
      <c r="R282" s="510">
        <f t="shared" si="105"/>
        <v>113463</v>
      </c>
      <c r="S282" s="510">
        <f t="shared" si="101"/>
        <v>124355</v>
      </c>
      <c r="T282" s="507">
        <f t="shared" si="116"/>
        <v>-8</v>
      </c>
      <c r="U282" s="512">
        <f t="shared" si="117"/>
        <v>-1401</v>
      </c>
      <c r="V282" s="512">
        <f>SUM(B269:B282)/POBLA!$B$25*100000</f>
        <v>194.19058473591576</v>
      </c>
      <c r="W282" s="512">
        <f>B282/POBLA!$B$25*100000</f>
        <v>7.955018052932866</v>
      </c>
      <c r="X282" s="513">
        <f t="shared" si="109"/>
        <v>0.73855798322144839</v>
      </c>
      <c r="Y282" s="519">
        <f t="shared" si="96"/>
        <v>2.9874150617184674E-2</v>
      </c>
      <c r="Z282" s="520">
        <f t="shared" si="99"/>
        <v>0.18848376271100906</v>
      </c>
      <c r="AA282" s="517">
        <f t="shared" si="106"/>
        <v>5335.5714285714284</v>
      </c>
      <c r="AB282" s="517">
        <f t="shared" si="107"/>
        <v>154.28571428571428</v>
      </c>
      <c r="AC282" s="517">
        <f t="shared" si="92"/>
        <v>204.12360009987009</v>
      </c>
      <c r="AD282" s="517">
        <f t="shared" si="118"/>
        <v>49.837885814155811</v>
      </c>
      <c r="AE282" s="545">
        <f t="shared" si="103"/>
        <v>6294.5714285714284</v>
      </c>
      <c r="AF282" s="520">
        <f t="shared" si="113"/>
        <v>0.73557853274249141</v>
      </c>
      <c r="AG282" s="200">
        <f t="shared" si="112"/>
        <v>-4.6518225452761075E-2</v>
      </c>
      <c r="AH282" s="4"/>
      <c r="AI282" s="200">
        <f t="shared" si="108"/>
        <v>0.72192513368983946</v>
      </c>
      <c r="AJ282" s="488">
        <f>MAX($B$2:B282)</f>
        <v>18326</v>
      </c>
      <c r="AK282" s="179">
        <f t="shared" si="104"/>
        <v>1.6637140876530846E-2</v>
      </c>
      <c r="AL282" s="179"/>
      <c r="AM282" s="200">
        <f t="shared" si="114"/>
        <v>0.94145970603142426</v>
      </c>
      <c r="AN282" s="200">
        <f t="shared" si="115"/>
        <v>0.72192513368983946</v>
      </c>
      <c r="AP282" s="355">
        <f t="shared" si="110"/>
        <v>0.73855798322144839</v>
      </c>
      <c r="AT282" s="179">
        <f t="shared" si="111"/>
        <v>2.8326534555210614E-2</v>
      </c>
    </row>
    <row r="283" spans="1:46" hidden="1" x14ac:dyDescent="0.25">
      <c r="A283" s="259">
        <v>44174</v>
      </c>
      <c r="B283" s="670">
        <v>5303</v>
      </c>
      <c r="C283" s="515">
        <f t="shared" si="90"/>
        <v>1475222</v>
      </c>
      <c r="D283" s="670">
        <v>212</v>
      </c>
      <c r="E283" s="515">
        <f t="shared" si="97"/>
        <v>40189</v>
      </c>
      <c r="F283" s="515">
        <f t="shared" si="102"/>
        <v>5901</v>
      </c>
      <c r="G283" s="515">
        <v>1311488</v>
      </c>
      <c r="H283" s="515">
        <v>3688</v>
      </c>
      <c r="I283" s="515">
        <v>20785</v>
      </c>
      <c r="J283" s="511">
        <f t="shared" si="94"/>
        <v>4110839</v>
      </c>
      <c r="K283" s="511"/>
      <c r="L283" s="541">
        <f t="shared" si="100"/>
        <v>2.7242679406896047E-2</v>
      </c>
      <c r="M283" s="522">
        <v>2108441</v>
      </c>
      <c r="N283" s="510">
        <f t="shared" si="95"/>
        <v>2108441.0272426796</v>
      </c>
      <c r="O283" s="520">
        <v>10316</v>
      </c>
      <c r="P283" s="511">
        <v>294068</v>
      </c>
      <c r="Q283" s="511">
        <v>1058646</v>
      </c>
      <c r="R283" s="510">
        <f t="shared" si="105"/>
        <v>112192</v>
      </c>
      <c r="S283" s="510">
        <f t="shared" si="101"/>
        <v>123545</v>
      </c>
      <c r="T283" s="507">
        <f t="shared" si="116"/>
        <v>-27</v>
      </c>
      <c r="U283" s="512">
        <f t="shared" si="117"/>
        <v>-810</v>
      </c>
      <c r="V283" s="512">
        <f>SUM(B270:B283)/POBLA!$B$25*100000</f>
        <v>186.94072063781351</v>
      </c>
      <c r="W283" s="512">
        <f>B283/POBLA!$B$25*100000</f>
        <v>11.685723195208585</v>
      </c>
      <c r="X283" s="513">
        <f t="shared" si="109"/>
        <v>0.72487866566409187</v>
      </c>
      <c r="Y283" s="519">
        <f t="shared" si="96"/>
        <v>2.9851471123881985E-2</v>
      </c>
      <c r="Z283" s="520">
        <f t="shared" si="99"/>
        <v>0.20723330933638606</v>
      </c>
      <c r="AA283" s="517">
        <f t="shared" si="106"/>
        <v>5017</v>
      </c>
      <c r="AB283" s="517">
        <f t="shared" si="107"/>
        <v>152</v>
      </c>
      <c r="AC283" s="517">
        <f t="shared" si="92"/>
        <v>197.64809031723519</v>
      </c>
      <c r="AD283" s="517">
        <f t="shared" si="118"/>
        <v>45.648090317235187</v>
      </c>
      <c r="AE283" s="545">
        <f t="shared" si="103"/>
        <v>6059.5714285714284</v>
      </c>
      <c r="AF283" s="520">
        <f t="shared" si="113"/>
        <v>0.70640651714774216</v>
      </c>
      <c r="AG283" s="200">
        <f t="shared" si="112"/>
        <v>-6.8428592972402336E-2</v>
      </c>
      <c r="AH283" s="4"/>
      <c r="AI283" s="200">
        <f t="shared" si="108"/>
        <v>0.73684210526315796</v>
      </c>
      <c r="AJ283" s="488">
        <f>MAX($B$2:B283)</f>
        <v>18326</v>
      </c>
      <c r="AK283" s="179">
        <f t="shared" si="104"/>
        <v>1.6979445933869526E-2</v>
      </c>
      <c r="AL283" s="179"/>
      <c r="AM283" s="200">
        <f t="shared" si="114"/>
        <v>0.92593522470499623</v>
      </c>
      <c r="AN283" s="200">
        <f t="shared" si="115"/>
        <v>0.73684210526315796</v>
      </c>
      <c r="AP283" s="355">
        <f t="shared" si="110"/>
        <v>0.72487866566409187</v>
      </c>
      <c r="AT283" s="179">
        <f t="shared" si="111"/>
        <v>2.8101262443096613E-2</v>
      </c>
    </row>
    <row r="284" spans="1:46" hidden="1" x14ac:dyDescent="0.25">
      <c r="A284" s="259">
        <v>44175</v>
      </c>
      <c r="B284" s="670">
        <v>6994</v>
      </c>
      <c r="C284" s="515">
        <f t="shared" si="90"/>
        <v>1482216</v>
      </c>
      <c r="D284" s="670">
        <v>209</v>
      </c>
      <c r="E284" s="515">
        <f t="shared" si="97"/>
        <v>40398</v>
      </c>
      <c r="F284" s="515">
        <f t="shared" si="102"/>
        <v>6699</v>
      </c>
      <c r="G284" s="515">
        <v>1318187</v>
      </c>
      <c r="H284" s="515">
        <v>3665</v>
      </c>
      <c r="I284" s="515">
        <v>28166</v>
      </c>
      <c r="J284" s="511">
        <f t="shared" si="94"/>
        <v>4139005</v>
      </c>
      <c r="K284" s="511"/>
      <c r="L284" s="541">
        <f t="shared" si="100"/>
        <v>2.7255136903123433E-2</v>
      </c>
      <c r="M284" s="522">
        <v>2124880</v>
      </c>
      <c r="N284" s="510">
        <f t="shared" si="95"/>
        <v>2124880.027255137</v>
      </c>
      <c r="O284" s="520">
        <v>10335</v>
      </c>
      <c r="P284" s="511">
        <v>295491</v>
      </c>
      <c r="Q284" s="511">
        <v>1064115</v>
      </c>
      <c r="R284" s="510">
        <f t="shared" si="105"/>
        <v>112275</v>
      </c>
      <c r="S284" s="510">
        <f t="shared" si="101"/>
        <v>123631</v>
      </c>
      <c r="T284" s="507">
        <f t="shared" si="116"/>
        <v>-23</v>
      </c>
      <c r="U284" s="512">
        <f t="shared" si="117"/>
        <v>86</v>
      </c>
      <c r="V284" s="512">
        <f>SUM(B271:B284)/POBLA!$B$25*100000</f>
        <v>182.42553172078874</v>
      </c>
      <c r="W284" s="512">
        <f>B284/POBLA!$B$25*100000</f>
        <v>15.412021125266612</v>
      </c>
      <c r="X284" s="513">
        <f t="shared" si="109"/>
        <v>0.72042084377610693</v>
      </c>
      <c r="Y284" s="519">
        <f t="shared" si="96"/>
        <v>2.9644668408408893E-2</v>
      </c>
      <c r="Z284" s="520">
        <f t="shared" si="99"/>
        <v>0.22909912304012756</v>
      </c>
      <c r="AA284" s="517">
        <f t="shared" si="106"/>
        <v>4926.2857142857147</v>
      </c>
      <c r="AB284" s="517">
        <f t="shared" si="107"/>
        <v>160.71428571428572</v>
      </c>
      <c r="AC284" s="517">
        <f t="shared" si="92"/>
        <v>193.48540023970966</v>
      </c>
      <c r="AD284" s="517">
        <f t="shared" si="118"/>
        <v>32.77111452542394</v>
      </c>
      <c r="AE284" s="545">
        <f t="shared" si="103"/>
        <v>5913.2142857142853</v>
      </c>
      <c r="AF284" s="520">
        <f t="shared" si="113"/>
        <v>0.71393966998612879</v>
      </c>
      <c r="AG284" s="200">
        <f t="shared" si="112"/>
        <v>-7.5890988459008546E-2</v>
      </c>
      <c r="AH284" s="4"/>
      <c r="AI284" s="200">
        <f t="shared" si="108"/>
        <v>0.82538517975055026</v>
      </c>
      <c r="AJ284" s="488">
        <f>MAX($B$2:B284)</f>
        <v>18326</v>
      </c>
      <c r="AK284" s="179">
        <f t="shared" si="104"/>
        <v>1.8341593843745927E-2</v>
      </c>
      <c r="AL284" s="179"/>
      <c r="AM284" s="200">
        <f t="shared" si="114"/>
        <v>0.93590398365679262</v>
      </c>
      <c r="AN284" s="200">
        <f t="shared" si="115"/>
        <v>0.82538517975055026</v>
      </c>
      <c r="AP284" s="355">
        <f t="shared" si="110"/>
        <v>0.72042084377610693</v>
      </c>
      <c r="AT284" s="179">
        <f t="shared" si="111"/>
        <v>2.8419950851005734E-2</v>
      </c>
    </row>
    <row r="285" spans="1:46" hidden="1" x14ac:dyDescent="0.25">
      <c r="A285" s="259">
        <v>44176</v>
      </c>
      <c r="B285" s="670">
        <v>7112</v>
      </c>
      <c r="C285" s="515">
        <f t="shared" si="90"/>
        <v>1489328</v>
      </c>
      <c r="D285" s="670">
        <v>177</v>
      </c>
      <c r="E285" s="515">
        <f t="shared" si="97"/>
        <v>40575</v>
      </c>
      <c r="F285" s="515">
        <f t="shared" si="102"/>
        <v>6605</v>
      </c>
      <c r="G285" s="515">
        <v>1324792</v>
      </c>
      <c r="H285" s="515">
        <v>3620</v>
      </c>
      <c r="I285" s="515">
        <v>36805</v>
      </c>
      <c r="J285" s="511">
        <f t="shared" si="94"/>
        <v>4175810</v>
      </c>
      <c r="K285" s="511"/>
      <c r="L285" s="541">
        <f t="shared" si="100"/>
        <v>2.7243830774684959E-2</v>
      </c>
      <c r="M285" s="522">
        <v>2147972</v>
      </c>
      <c r="N285" s="510">
        <f t="shared" si="95"/>
        <v>2147972.0272438307</v>
      </c>
      <c r="O285" s="520">
        <v>10375</v>
      </c>
      <c r="P285" s="511">
        <v>296884</v>
      </c>
      <c r="Q285" s="511">
        <v>1068414</v>
      </c>
      <c r="R285" s="510">
        <f t="shared" si="105"/>
        <v>113655</v>
      </c>
      <c r="S285" s="510">
        <f t="shared" si="101"/>
        <v>123961</v>
      </c>
      <c r="T285" s="507">
        <f t="shared" si="116"/>
        <v>-45</v>
      </c>
      <c r="U285" s="512">
        <f t="shared" si="117"/>
        <v>330</v>
      </c>
      <c r="V285" s="512">
        <f>SUM(B272:B285)/POBLA!$B$25*100000</f>
        <v>180.80808483689603</v>
      </c>
      <c r="W285" s="512">
        <f>B285/POBLA!$B$25*100000</f>
        <v>15.672046646110401</v>
      </c>
      <c r="X285" s="513">
        <f t="shared" si="109"/>
        <v>0.73987141453033844</v>
      </c>
      <c r="Y285" s="519">
        <f t="shared" si="96"/>
        <v>2.9202733117674108E-2</v>
      </c>
      <c r="Z285" s="520">
        <f t="shared" si="99"/>
        <v>0.22471859172808642</v>
      </c>
      <c r="AA285" s="517">
        <f t="shared" si="106"/>
        <v>4956.7142857142853</v>
      </c>
      <c r="AB285" s="517">
        <f t="shared" si="107"/>
        <v>156.42857142857142</v>
      </c>
      <c r="AC285" s="517">
        <f t="shared" si="92"/>
        <v>186.97237644045913</v>
      </c>
      <c r="AD285" s="517">
        <f t="shared" si="118"/>
        <v>30.543805011887713</v>
      </c>
      <c r="AE285" s="545">
        <f t="shared" si="103"/>
        <v>5860.7857142857147</v>
      </c>
      <c r="AF285" s="520">
        <f t="shared" si="113"/>
        <v>0.73271529332263374</v>
      </c>
      <c r="AG285" s="200">
        <f t="shared" si="112"/>
        <v>-6.9333913931349245E-2</v>
      </c>
      <c r="AH285" s="4"/>
      <c r="AI285" s="200">
        <f t="shared" si="108"/>
        <v>0.84555984555984554</v>
      </c>
      <c r="AJ285" s="488">
        <f>MAX($B$2:B285)</f>
        <v>18326</v>
      </c>
      <c r="AK285" s="179">
        <f t="shared" si="104"/>
        <v>1.8288100208768265E-2</v>
      </c>
      <c r="AL285" s="179"/>
      <c r="AM285" s="200">
        <f t="shared" si="114"/>
        <v>0.92135403410537031</v>
      </c>
      <c r="AN285" s="200">
        <f t="shared" si="115"/>
        <v>0.84555984555984554</v>
      </c>
      <c r="AP285" s="355">
        <f t="shared" si="110"/>
        <v>0.73987141453033844</v>
      </c>
      <c r="AT285" s="179">
        <f t="shared" si="111"/>
        <v>2.8124016076158019E-2</v>
      </c>
    </row>
    <row r="286" spans="1:46" hidden="1" x14ac:dyDescent="0.25">
      <c r="A286" s="106">
        <v>44177</v>
      </c>
      <c r="B286" s="670">
        <v>5274</v>
      </c>
      <c r="C286" s="515">
        <f t="shared" si="90"/>
        <v>1494602</v>
      </c>
      <c r="D286" s="670">
        <v>62</v>
      </c>
      <c r="E286" s="515">
        <f t="shared" si="97"/>
        <v>40637</v>
      </c>
      <c r="F286" s="515">
        <f t="shared" si="102"/>
        <v>5368</v>
      </c>
      <c r="G286" s="515">
        <v>1330160</v>
      </c>
      <c r="H286" s="515">
        <v>3594</v>
      </c>
      <c r="I286" s="515">
        <v>27204</v>
      </c>
      <c r="J286" s="511">
        <f t="shared" si="94"/>
        <v>4203014</v>
      </c>
      <c r="K286" s="511"/>
      <c r="L286" s="541">
        <f t="shared" si="100"/>
        <v>2.7189178122336247E-2</v>
      </c>
      <c r="M286" s="522">
        <v>2164993</v>
      </c>
      <c r="N286" s="510">
        <f t="shared" si="95"/>
        <v>2164993.0271891779</v>
      </c>
      <c r="O286" s="520">
        <v>10396</v>
      </c>
      <c r="P286" s="511">
        <v>297737</v>
      </c>
      <c r="Q286" s="511">
        <v>1071431</v>
      </c>
      <c r="R286" s="510">
        <f t="shared" si="105"/>
        <v>115038</v>
      </c>
      <c r="S286" s="510">
        <f t="shared" si="101"/>
        <v>123805</v>
      </c>
      <c r="T286" s="507">
        <f t="shared" si="116"/>
        <v>-26</v>
      </c>
      <c r="U286" s="512">
        <f t="shared" si="117"/>
        <v>-156</v>
      </c>
      <c r="V286" s="512">
        <f>SUM(B273:B286)/POBLA!$B$25*100000</f>
        <v>178.99231340320719</v>
      </c>
      <c r="W286" s="512">
        <f>B286/POBLA!$B$25*100000</f>
        <v>11.62181861805206</v>
      </c>
      <c r="X286" s="513">
        <f t="shared" si="109"/>
        <v>0.74843590192483112</v>
      </c>
      <c r="Y286" s="519">
        <f t="shared" si="96"/>
        <v>2.9029522232543112E-2</v>
      </c>
      <c r="Z286" s="520">
        <f t="shared" si="99"/>
        <v>0.22719698900280322</v>
      </c>
      <c r="AA286" s="517">
        <f t="shared" si="106"/>
        <v>4967.1428571428569</v>
      </c>
      <c r="AB286" s="517">
        <f t="shared" si="107"/>
        <v>148</v>
      </c>
      <c r="AC286" s="517">
        <f t="shared" si="92"/>
        <v>182.64965197286134</v>
      </c>
      <c r="AD286" s="517">
        <f t="shared" si="118"/>
        <v>34.649651972861335</v>
      </c>
      <c r="AE286" s="545">
        <f t="shared" si="103"/>
        <v>5801.9285714285716</v>
      </c>
      <c r="AF286" s="520">
        <f t="shared" si="113"/>
        <v>0.74843403577501777</v>
      </c>
      <c r="AG286" s="200">
        <f t="shared" si="112"/>
        <v>-5.8130334890373225E-2</v>
      </c>
      <c r="AH286" s="4"/>
      <c r="AI286" s="200">
        <f t="shared" si="108"/>
        <v>0.79083969465648851</v>
      </c>
      <c r="AJ286" s="488">
        <f>MAX($B$2:B286)</f>
        <v>18326</v>
      </c>
      <c r="AK286" s="179">
        <f t="shared" si="104"/>
        <v>1.8418760111650397E-2</v>
      </c>
      <c r="AL286" s="179"/>
      <c r="AM286" s="200">
        <f t="shared" si="114"/>
        <v>0.95661431993611923</v>
      </c>
      <c r="AN286" s="200">
        <f t="shared" si="115"/>
        <v>0.79083969465648851</v>
      </c>
      <c r="AP286" s="355">
        <f t="shared" si="110"/>
        <v>0.74843590192483123</v>
      </c>
      <c r="AT286" s="179">
        <f t="shared" si="111"/>
        <v>2.8022257869508717E-2</v>
      </c>
    </row>
    <row r="287" spans="1:46" hidden="1" x14ac:dyDescent="0.25">
      <c r="A287" s="106">
        <v>44178</v>
      </c>
      <c r="B287" s="670">
        <v>3558</v>
      </c>
      <c r="C287" s="515">
        <f t="shared" si="90"/>
        <v>1498160</v>
      </c>
      <c r="D287" s="670">
        <v>98</v>
      </c>
      <c r="E287" s="515">
        <f t="shared" si="97"/>
        <v>40735</v>
      </c>
      <c r="F287" s="515">
        <f t="shared" si="102"/>
        <v>5157</v>
      </c>
      <c r="G287" s="515">
        <v>1335317</v>
      </c>
      <c r="H287" s="515">
        <v>3537</v>
      </c>
      <c r="I287" s="515">
        <v>21793</v>
      </c>
      <c r="J287" s="511">
        <f t="shared" si="94"/>
        <v>4224807</v>
      </c>
      <c r="K287" s="511"/>
      <c r="L287" s="541">
        <f t="shared" si="100"/>
        <v>2.7190019757569284E-2</v>
      </c>
      <c r="M287" s="522">
        <v>2180522</v>
      </c>
      <c r="N287" s="510">
        <f t="shared" si="95"/>
        <v>2180522.0271900198</v>
      </c>
      <c r="O287" s="520">
        <v>10424</v>
      </c>
      <c r="P287" s="511">
        <v>298310</v>
      </c>
      <c r="Q287" s="511">
        <v>1073462</v>
      </c>
      <c r="R287" s="510">
        <f t="shared" si="105"/>
        <v>115964</v>
      </c>
      <c r="S287" s="510">
        <f t="shared" si="101"/>
        <v>122108</v>
      </c>
      <c r="T287" s="507">
        <f t="shared" si="116"/>
        <v>-57</v>
      </c>
      <c r="U287" s="512">
        <f t="shared" si="117"/>
        <v>-1697</v>
      </c>
      <c r="V287" s="512">
        <f>SUM(B274:B287)/POBLA!$B$25*100000</f>
        <v>174.86275555523039</v>
      </c>
      <c r="W287" s="512">
        <f>B287/POBLA!$B$25*100000</f>
        <v>7.8404305352728922</v>
      </c>
      <c r="X287" s="513">
        <f t="shared" si="109"/>
        <v>0.73260644780087891</v>
      </c>
      <c r="Y287" s="519">
        <f t="shared" si="96"/>
        <v>2.8966161103285617E-2</v>
      </c>
      <c r="Z287" s="520">
        <f t="shared" si="99"/>
        <v>0.22182701922711795</v>
      </c>
      <c r="AA287" s="517">
        <f t="shared" si="106"/>
        <v>5007.1428571428569</v>
      </c>
      <c r="AB287" s="517">
        <f t="shared" si="107"/>
        <v>142.28571428571428</v>
      </c>
      <c r="AC287" s="517">
        <f t="shared" si="92"/>
        <v>187.49846294406899</v>
      </c>
      <c r="AD287" s="517">
        <f t="shared" si="118"/>
        <v>45.212748658354712</v>
      </c>
      <c r="AE287" s="545">
        <f t="shared" si="103"/>
        <v>5668.0714285714284</v>
      </c>
      <c r="AF287" s="520">
        <f t="shared" si="113"/>
        <v>0.79114281199918735</v>
      </c>
      <c r="AG287" s="200">
        <f t="shared" si="112"/>
        <v>-5.1065053349808487E-2</v>
      </c>
      <c r="AH287" s="4"/>
      <c r="AI287" s="200">
        <f t="shared" si="108"/>
        <v>0.76792598303777948</v>
      </c>
      <c r="AJ287" s="488">
        <f>MAX($B$2:B287)</f>
        <v>18326</v>
      </c>
      <c r="AK287" s="179">
        <f t="shared" si="104"/>
        <v>1.8867209698806592E-2</v>
      </c>
      <c r="AL287" s="179"/>
      <c r="AM287" s="200">
        <f t="shared" si="114"/>
        <v>0.94698795180722894</v>
      </c>
      <c r="AN287" s="200">
        <f t="shared" si="115"/>
        <v>0.76792598303777948</v>
      </c>
      <c r="AP287" s="355">
        <f t="shared" si="110"/>
        <v>0.73260644780087891</v>
      </c>
      <c r="AT287" s="179">
        <f t="shared" si="111"/>
        <v>2.8352380291601829E-2</v>
      </c>
    </row>
    <row r="288" spans="1:46" hidden="1" x14ac:dyDescent="0.25">
      <c r="A288" s="107">
        <v>44179</v>
      </c>
      <c r="B288" s="670">
        <v>5062</v>
      </c>
      <c r="C288" s="515">
        <f t="shared" si="90"/>
        <v>1503222</v>
      </c>
      <c r="D288" s="670">
        <v>274</v>
      </c>
      <c r="E288" s="515">
        <f t="shared" si="97"/>
        <v>41009</v>
      </c>
      <c r="F288" s="515">
        <f t="shared" si="102"/>
        <v>4803</v>
      </c>
      <c r="G288" s="515">
        <v>1340120</v>
      </c>
      <c r="H288" s="515">
        <v>3478</v>
      </c>
      <c r="I288" s="515">
        <v>43000</v>
      </c>
      <c r="J288" s="511">
        <f t="shared" si="94"/>
        <v>4267807</v>
      </c>
      <c r="K288" s="511"/>
      <c r="L288" s="541">
        <f t="shared" si="100"/>
        <v>2.7280734316022518E-2</v>
      </c>
      <c r="M288" s="522">
        <v>2215097</v>
      </c>
      <c r="N288" s="510">
        <f t="shared" si="95"/>
        <v>2215097.0272807344</v>
      </c>
      <c r="O288" s="520">
        <v>10451</v>
      </c>
      <c r="P288" s="511">
        <v>299430</v>
      </c>
      <c r="Q288" s="511">
        <v>1076117</v>
      </c>
      <c r="R288" s="510">
        <f t="shared" si="105"/>
        <v>117224</v>
      </c>
      <c r="S288" s="510">
        <f t="shared" si="101"/>
        <v>122093</v>
      </c>
      <c r="T288" s="507">
        <f t="shared" si="116"/>
        <v>-59</v>
      </c>
      <c r="U288" s="512">
        <f t="shared" si="117"/>
        <v>-15</v>
      </c>
      <c r="V288" s="512">
        <f>SUM(B275:B288)/POBLA!$B$25*100000</f>
        <v>173.39956109895687</v>
      </c>
      <c r="W288" s="512">
        <f>B288/POBLA!$B$25*100000</f>
        <v>11.154654122976778</v>
      </c>
      <c r="X288" s="513">
        <f t="shared" si="109"/>
        <v>0.74130703068328485</v>
      </c>
      <c r="Y288" s="519">
        <f t="shared" si="96"/>
        <v>2.848648161647269E-2</v>
      </c>
      <c r="Z288" s="520">
        <f t="shared" si="99"/>
        <v>0.19320614482740572</v>
      </c>
      <c r="AA288" s="517">
        <f t="shared" si="106"/>
        <v>5273.2857142857147</v>
      </c>
      <c r="AB288" s="517">
        <f t="shared" si="107"/>
        <v>164.57142857142858</v>
      </c>
      <c r="AC288" s="517">
        <f t="shared" si="92"/>
        <v>193.66321634628932</v>
      </c>
      <c r="AD288" s="517">
        <f t="shared" si="118"/>
        <v>29.091787774860734</v>
      </c>
      <c r="AE288" s="545">
        <f t="shared" si="103"/>
        <v>5620.6428571428569</v>
      </c>
      <c r="AF288" s="520">
        <f t="shared" si="113"/>
        <v>0.88359345078513984</v>
      </c>
      <c r="AG288" s="200">
        <f t="shared" si="112"/>
        <v>-2.9127834854798196E-2</v>
      </c>
      <c r="AH288" s="4"/>
      <c r="AI288" s="200">
        <f t="shared" si="108"/>
        <v>0.99481865284974103</v>
      </c>
      <c r="AJ288" s="488">
        <f>MAX($B$2:B288)</f>
        <v>18326</v>
      </c>
      <c r="AK288" s="179">
        <f t="shared" si="104"/>
        <v>2.2565669624493155E-2</v>
      </c>
      <c r="AL288" s="179"/>
      <c r="AM288" s="200">
        <f t="shared" si="114"/>
        <v>0.93419285522428153</v>
      </c>
      <c r="AN288" s="200">
        <f t="shared" si="115"/>
        <v>0.99481865284974103</v>
      </c>
      <c r="AP288" s="355">
        <f t="shared" si="110"/>
        <v>0.74130703068328474</v>
      </c>
      <c r="AT288" s="179">
        <f t="shared" si="111"/>
        <v>2.8899665282090575E-2</v>
      </c>
    </row>
    <row r="289" spans="1:46" hidden="1" x14ac:dyDescent="0.25">
      <c r="A289" s="107">
        <v>44180</v>
      </c>
      <c r="B289" s="670">
        <v>6981</v>
      </c>
      <c r="C289" s="515">
        <f t="shared" ref="C289:C352" si="119">C288+B289</f>
        <v>1510203</v>
      </c>
      <c r="D289" s="670">
        <v>165</v>
      </c>
      <c r="E289" s="515">
        <f t="shared" si="97"/>
        <v>41174</v>
      </c>
      <c r="F289" s="515">
        <f t="shared" si="102"/>
        <v>4180</v>
      </c>
      <c r="G289" s="515">
        <v>1344300</v>
      </c>
      <c r="H289" s="515">
        <v>3475</v>
      </c>
      <c r="I289" s="515">
        <v>36591</v>
      </c>
      <c r="J289" s="511">
        <f t="shared" si="94"/>
        <v>4304398</v>
      </c>
      <c r="K289" s="511"/>
      <c r="L289" s="541">
        <f t="shared" si="100"/>
        <v>2.7263884391700983E-2</v>
      </c>
      <c r="M289" s="522">
        <v>2238751</v>
      </c>
      <c r="N289" s="510">
        <f t="shared" si="95"/>
        <v>2238751.0272638844</v>
      </c>
      <c r="O289" s="520">
        <v>10483</v>
      </c>
      <c r="P289" s="511">
        <v>301009</v>
      </c>
      <c r="Q289" s="511">
        <v>1078240</v>
      </c>
      <c r="R289" s="510">
        <f t="shared" si="105"/>
        <v>120471</v>
      </c>
      <c r="S289" s="510">
        <f t="shared" si="101"/>
        <v>124729</v>
      </c>
      <c r="T289" s="507">
        <f t="shared" si="116"/>
        <v>-3</v>
      </c>
      <c r="U289" s="512">
        <f t="shared" si="117"/>
        <v>2636</v>
      </c>
      <c r="V289" s="512">
        <f>SUM(B276:B289)/POBLA!$B$25*100000</f>
        <v>171.07255304801583</v>
      </c>
      <c r="W289" s="512">
        <f>B289/POBLA!$B$25*100000</f>
        <v>15.383374245851616</v>
      </c>
      <c r="X289" s="513">
        <f t="shared" si="109"/>
        <v>0.74960652730169464</v>
      </c>
      <c r="Y289" s="519">
        <f t="shared" si="96"/>
        <v>2.7860401350127077E-2</v>
      </c>
      <c r="Z289" s="520">
        <f t="shared" si="99"/>
        <v>0.18794088008061807</v>
      </c>
      <c r="AA289" s="517">
        <f t="shared" si="106"/>
        <v>5754.8571428571431</v>
      </c>
      <c r="AB289" s="517">
        <f t="shared" si="107"/>
        <v>171</v>
      </c>
      <c r="AC289" s="517">
        <f t="shared" si="92"/>
        <v>196.94825932215727</v>
      </c>
      <c r="AD289" s="517">
        <f t="shared" si="118"/>
        <v>25.94825932215727</v>
      </c>
      <c r="AE289" s="545">
        <f t="shared" si="103"/>
        <v>5545.2142857142853</v>
      </c>
      <c r="AF289" s="520">
        <f t="shared" si="113"/>
        <v>1.078583094594233</v>
      </c>
      <c r="AG289" s="200">
        <f t="shared" si="112"/>
        <v>3.0075187969924588E-3</v>
      </c>
      <c r="AH289" s="4"/>
      <c r="AI289" s="200">
        <f t="shared" si="108"/>
        <v>1.1083333333333334</v>
      </c>
      <c r="AJ289" s="488">
        <f>MAX($B$2:B289)</f>
        <v>18326</v>
      </c>
      <c r="AK289" s="179">
        <f t="shared" si="104"/>
        <v>2.3941436486189172E-2</v>
      </c>
      <c r="AL289" s="179"/>
      <c r="AM289" s="200">
        <f t="shared" si="114"/>
        <v>0.93539703903095561</v>
      </c>
      <c r="AN289" s="200">
        <f t="shared" si="115"/>
        <v>1.1083333333333334</v>
      </c>
      <c r="AP289" s="355">
        <f t="shared" si="110"/>
        <v>0.74960652730169453</v>
      </c>
      <c r="AT289" s="179">
        <f t="shared" si="111"/>
        <v>2.8891603909629866E-2</v>
      </c>
    </row>
    <row r="290" spans="1:46" hidden="1" x14ac:dyDescent="0.25">
      <c r="A290" s="107">
        <v>44181</v>
      </c>
      <c r="B290" s="670">
        <v>6843</v>
      </c>
      <c r="C290" s="515">
        <f t="shared" si="119"/>
        <v>1517046</v>
      </c>
      <c r="D290" s="670">
        <v>162</v>
      </c>
      <c r="E290" s="515">
        <f t="shared" si="97"/>
        <v>41336</v>
      </c>
      <c r="F290" s="515">
        <f t="shared" si="102"/>
        <v>3614</v>
      </c>
      <c r="G290" s="515">
        <v>1347914</v>
      </c>
      <c r="H290" s="515">
        <v>3443</v>
      </c>
      <c r="I290" s="515">
        <v>34599</v>
      </c>
      <c r="J290" s="511">
        <f t="shared" si="94"/>
        <v>4338997</v>
      </c>
      <c r="K290" s="511"/>
      <c r="L290" s="541">
        <f t="shared" si="100"/>
        <v>2.7247690577609382E-2</v>
      </c>
      <c r="M290" s="522">
        <v>2259690</v>
      </c>
      <c r="N290" s="510">
        <f t="shared" si="95"/>
        <v>2259690.0272476906</v>
      </c>
      <c r="O290" s="520">
        <v>10548</v>
      </c>
      <c r="P290" s="511">
        <v>302498</v>
      </c>
      <c r="Q290" s="511">
        <v>1083034</v>
      </c>
      <c r="R290" s="510">
        <f t="shared" si="105"/>
        <v>120966</v>
      </c>
      <c r="S290" s="510">
        <f t="shared" si="101"/>
        <v>127796</v>
      </c>
      <c r="T290" s="507">
        <f t="shared" si="116"/>
        <v>-32</v>
      </c>
      <c r="U290" s="512">
        <f t="shared" si="117"/>
        <v>3067</v>
      </c>
      <c r="V290" s="512">
        <f>SUM(B277:B290)/POBLA!$B$25*100000</f>
        <v>169.55206483291232</v>
      </c>
      <c r="W290" s="512">
        <f>B290/POBLA!$B$25*100000</f>
        <v>15.079276602830916</v>
      </c>
      <c r="X290" s="513">
        <f t="shared" si="109"/>
        <v>0.76358096977154988</v>
      </c>
      <c r="Y290" s="519">
        <f t="shared" si="96"/>
        <v>2.6941375316911327E-2</v>
      </c>
      <c r="Z290" s="520">
        <f t="shared" si="99"/>
        <v>0.18331156479281902</v>
      </c>
      <c r="AA290" s="517">
        <f t="shared" si="106"/>
        <v>5974.8571428571431</v>
      </c>
      <c r="AB290" s="517">
        <f t="shared" si="107"/>
        <v>163.85714285714286</v>
      </c>
      <c r="AC290" s="517">
        <f t="shared" ref="AC290:AC353" si="120">AA276*L276</f>
        <v>192.95240638045632</v>
      </c>
      <c r="AD290" s="517">
        <f t="shared" si="118"/>
        <v>29.095263523313463</v>
      </c>
      <c r="AE290" s="545">
        <f t="shared" si="103"/>
        <v>5495.9285714285716</v>
      </c>
      <c r="AF290" s="535">
        <f t="shared" si="113"/>
        <v>1.1909222927759902</v>
      </c>
      <c r="AG290" s="200">
        <f t="shared" si="112"/>
        <v>3.4408515115949667E-2</v>
      </c>
      <c r="AH290" s="4"/>
      <c r="AI290" s="200">
        <f t="shared" si="108"/>
        <v>1.0780075187969924</v>
      </c>
      <c r="AJ290" s="488">
        <f>MAX($B$2:B290)</f>
        <v>18326</v>
      </c>
      <c r="AK290" s="179">
        <f t="shared" si="104"/>
        <v>2.3779413289105423E-2</v>
      </c>
      <c r="AL290" s="179"/>
      <c r="AM290" s="200">
        <f t="shared" si="114"/>
        <v>0.9335683297180043</v>
      </c>
      <c r="AN290" s="200">
        <f t="shared" si="115"/>
        <v>1.0780075187969924</v>
      </c>
      <c r="AP290" s="355">
        <f t="shared" si="110"/>
        <v>0.76358096977154999</v>
      </c>
      <c r="AT290" s="179">
        <f t="shared" si="111"/>
        <v>2.838992862248442E-2</v>
      </c>
    </row>
    <row r="291" spans="1:46" hidden="1" x14ac:dyDescent="0.25">
      <c r="A291" s="107">
        <v>44182</v>
      </c>
      <c r="B291" s="670">
        <v>7326</v>
      </c>
      <c r="C291" s="515">
        <f t="shared" si="119"/>
        <v>1524372</v>
      </c>
      <c r="D291" s="670">
        <v>169</v>
      </c>
      <c r="E291" s="515">
        <f t="shared" si="97"/>
        <v>41505</v>
      </c>
      <c r="F291" s="515">
        <f t="shared" si="102"/>
        <v>4642</v>
      </c>
      <c r="G291" s="515">
        <v>1352556</v>
      </c>
      <c r="H291" s="515">
        <v>3471</v>
      </c>
      <c r="I291" s="515">
        <v>31936</v>
      </c>
      <c r="J291" s="511">
        <f t="shared" si="94"/>
        <v>4370933</v>
      </c>
      <c r="K291" s="511"/>
      <c r="L291" s="541">
        <f t="shared" si="100"/>
        <v>2.7227605859986931E-2</v>
      </c>
      <c r="M291" s="522">
        <v>2279140</v>
      </c>
      <c r="N291" s="510">
        <f t="shared" si="95"/>
        <v>2279140.0272276057</v>
      </c>
      <c r="O291" s="520">
        <v>10614</v>
      </c>
      <c r="P291" s="511">
        <v>304151</v>
      </c>
      <c r="Q291" s="511">
        <v>1088190</v>
      </c>
      <c r="R291" s="510">
        <f t="shared" si="105"/>
        <v>121417</v>
      </c>
      <c r="S291" s="510">
        <f t="shared" si="101"/>
        <v>130311</v>
      </c>
      <c r="T291" s="507">
        <f t="shared" si="116"/>
        <v>28</v>
      </c>
      <c r="U291" s="512">
        <f t="shared" si="117"/>
        <v>2515</v>
      </c>
      <c r="V291" s="512">
        <f>SUM(B278:B291)/POBLA!$B$25*100000</f>
        <v>168.88437218193212</v>
      </c>
      <c r="W291" s="512">
        <f>B291/POBLA!$B$25*100000</f>
        <v>16.143618353403376</v>
      </c>
      <c r="X291" s="513">
        <f t="shared" si="109"/>
        <v>0.77966998311257607</v>
      </c>
      <c r="Y291" s="519">
        <f t="shared" si="96"/>
        <v>2.6636277827658449E-2</v>
      </c>
      <c r="Z291" s="520">
        <f t="shared" si="99"/>
        <v>0.18176330585354075</v>
      </c>
      <c r="AA291" s="517">
        <f t="shared" si="106"/>
        <v>6022.2857142857147</v>
      </c>
      <c r="AB291" s="517">
        <f t="shared" si="107"/>
        <v>158.14285714285714</v>
      </c>
      <c r="AC291" s="517">
        <f t="shared" si="120"/>
        <v>187.18195800643448</v>
      </c>
      <c r="AD291" s="517">
        <f t="shared" si="118"/>
        <v>29.039100863577346</v>
      </c>
      <c r="AE291" s="545">
        <f t="shared" si="103"/>
        <v>5474.2857142857147</v>
      </c>
      <c r="AF291" s="535">
        <f t="shared" si="113"/>
        <v>1.2224799907203341</v>
      </c>
      <c r="AG291" s="200">
        <f t="shared" si="112"/>
        <v>5.4031755789405667E-2</v>
      </c>
      <c r="AH291" s="4"/>
      <c r="AI291" s="200">
        <f t="shared" si="108"/>
        <v>0.98399999999999987</v>
      </c>
      <c r="AJ291" s="488">
        <f>MAX($B$2:B291)</f>
        <v>18326</v>
      </c>
      <c r="AK291" s="179">
        <f t="shared" si="104"/>
        <v>2.3456868603394569E-2</v>
      </c>
      <c r="AL291" s="179"/>
      <c r="AM291" s="200">
        <f t="shared" si="114"/>
        <v>0.94706684856753065</v>
      </c>
      <c r="AN291" s="200">
        <f t="shared" si="115"/>
        <v>0.98399999999999987</v>
      </c>
      <c r="AP291" s="355">
        <f t="shared" si="110"/>
        <v>0.77966998311257607</v>
      </c>
      <c r="AT291" s="179">
        <f t="shared" si="111"/>
        <v>2.7798962977370795E-2</v>
      </c>
    </row>
    <row r="292" spans="1:46" hidden="1" x14ac:dyDescent="0.25">
      <c r="A292" s="107">
        <v>44183</v>
      </c>
      <c r="B292" s="670">
        <v>7002</v>
      </c>
      <c r="C292" s="515">
        <f t="shared" si="119"/>
        <v>1531374</v>
      </c>
      <c r="D292" s="670">
        <v>138</v>
      </c>
      <c r="E292" s="515">
        <f t="shared" si="97"/>
        <v>41643</v>
      </c>
      <c r="F292" s="515">
        <f t="shared" si="102"/>
        <v>4199</v>
      </c>
      <c r="G292" s="515">
        <v>1356755</v>
      </c>
      <c r="H292" s="515">
        <v>3434</v>
      </c>
      <c r="I292" s="515">
        <v>32002</v>
      </c>
      <c r="J292" s="511">
        <f t="shared" si="94"/>
        <v>4402935</v>
      </c>
      <c r="K292" s="511"/>
      <c r="L292" s="541">
        <f t="shared" si="100"/>
        <v>2.7193226475047898E-2</v>
      </c>
      <c r="M292" s="522">
        <v>2298394</v>
      </c>
      <c r="N292" s="510">
        <f t="shared" si="95"/>
        <v>2298394.0271932264</v>
      </c>
      <c r="O292" s="520">
        <v>10658</v>
      </c>
      <c r="P292" s="511">
        <v>305458</v>
      </c>
      <c r="Q292" s="511">
        <v>1093180</v>
      </c>
      <c r="R292" s="510">
        <f t="shared" si="105"/>
        <v>122078</v>
      </c>
      <c r="S292" s="510">
        <f t="shared" si="101"/>
        <v>132976</v>
      </c>
      <c r="T292" s="507">
        <f t="shared" si="116"/>
        <v>-37</v>
      </c>
      <c r="U292" s="512">
        <f t="shared" si="117"/>
        <v>2665</v>
      </c>
      <c r="V292" s="512">
        <f>SUM(B279:B292)/POBLA!$B$25*100000</f>
        <v>169.11134361114321</v>
      </c>
      <c r="W292" s="512">
        <f>B292/POBLA!$B$25*100000</f>
        <v>15.429649974137376</v>
      </c>
      <c r="X292" s="513">
        <f t="shared" si="109"/>
        <v>0.80284342340645887</v>
      </c>
      <c r="Y292" s="519">
        <f t="shared" si="96"/>
        <v>2.5824208879797857E-2</v>
      </c>
      <c r="Z292" s="520">
        <f t="shared" si="99"/>
        <v>0.18512272977435332</v>
      </c>
      <c r="AA292" s="517">
        <f t="shared" si="106"/>
        <v>6006.5714285714284</v>
      </c>
      <c r="AB292" s="517">
        <f t="shared" si="107"/>
        <v>152.57142857142858</v>
      </c>
      <c r="AC292" s="517">
        <f t="shared" si="120"/>
        <v>183.60433676994373</v>
      </c>
      <c r="AD292" s="517">
        <f t="shared" si="118"/>
        <v>31.032908198515145</v>
      </c>
      <c r="AE292" s="545">
        <f t="shared" si="103"/>
        <v>5481.6428571428569</v>
      </c>
      <c r="AF292" s="535">
        <f t="shared" si="113"/>
        <v>1.2118050551920916</v>
      </c>
      <c r="AG292" s="200">
        <f t="shared" si="112"/>
        <v>7.2724485927025517E-2</v>
      </c>
      <c r="AH292" s="4"/>
      <c r="AI292" s="200">
        <f t="shared" si="108"/>
        <v>0.97534246575342476</v>
      </c>
      <c r="AJ292" s="488">
        <f>MAX($B$2:B292)</f>
        <v>18326</v>
      </c>
      <c r="AK292" s="179">
        <f t="shared" si="104"/>
        <v>2.2047439152783802E-2</v>
      </c>
      <c r="AL292" s="179"/>
      <c r="AM292" s="200">
        <f t="shared" si="114"/>
        <v>0.94861878453038673</v>
      </c>
      <c r="AN292" s="200">
        <f t="shared" si="115"/>
        <v>0.97534246575342476</v>
      </c>
      <c r="AP292" s="355">
        <f t="shared" si="110"/>
        <v>0.80284342340645887</v>
      </c>
      <c r="AT292" s="179">
        <f t="shared" si="111"/>
        <v>2.7749860703926849E-2</v>
      </c>
    </row>
    <row r="293" spans="1:46" hidden="1" x14ac:dyDescent="0.25">
      <c r="A293" s="105">
        <v>44184</v>
      </c>
      <c r="B293" s="670">
        <v>5795</v>
      </c>
      <c r="C293" s="515">
        <f t="shared" si="119"/>
        <v>1537169</v>
      </c>
      <c r="D293" s="670">
        <v>91</v>
      </c>
      <c r="E293" s="515">
        <f t="shared" si="97"/>
        <v>41734</v>
      </c>
      <c r="F293" s="515">
        <f t="shared" si="102"/>
        <v>5862</v>
      </c>
      <c r="G293" s="515">
        <v>1362617</v>
      </c>
      <c r="H293" s="515">
        <v>3452</v>
      </c>
      <c r="I293" s="515">
        <v>27403</v>
      </c>
      <c r="J293" s="511">
        <f t="shared" si="94"/>
        <v>4430338</v>
      </c>
      <c r="K293" s="511"/>
      <c r="L293" s="541">
        <f t="shared" si="100"/>
        <v>2.7149909996883881E-2</v>
      </c>
      <c r="M293" s="522">
        <v>2314565</v>
      </c>
      <c r="N293" s="510">
        <f t="shared" si="95"/>
        <v>2314565.0271499101</v>
      </c>
      <c r="O293" s="520">
        <v>10688</v>
      </c>
      <c r="P293" s="511">
        <v>306243</v>
      </c>
      <c r="Q293" s="511">
        <v>1096091</v>
      </c>
      <c r="R293" s="510">
        <f t="shared" si="105"/>
        <v>124147</v>
      </c>
      <c r="S293" s="510">
        <f t="shared" si="101"/>
        <v>132818</v>
      </c>
      <c r="T293" s="507">
        <f t="shared" si="116"/>
        <v>18</v>
      </c>
      <c r="U293" s="512">
        <f t="shared" si="117"/>
        <v>-158</v>
      </c>
      <c r="V293" s="512">
        <f>SUM(B280:B293)/POBLA!$B$25*100000</f>
        <v>170.42028563979753</v>
      </c>
      <c r="W293" s="512">
        <f>B293/POBLA!$B$25*100000</f>
        <v>12.769897400760653</v>
      </c>
      <c r="X293" s="513">
        <f t="shared" si="109"/>
        <v>0.82580886278697274</v>
      </c>
      <c r="Y293" s="519">
        <f t="shared" si="96"/>
        <v>2.599045310123628E-2</v>
      </c>
      <c r="Z293" s="520">
        <f t="shared" si="99"/>
        <v>0.18725255582340625</v>
      </c>
      <c r="AA293" s="517">
        <f t="shared" si="106"/>
        <v>6081</v>
      </c>
      <c r="AB293" s="517">
        <f t="shared" si="107"/>
        <v>156.71428571428572</v>
      </c>
      <c r="AC293" s="517">
        <f t="shared" si="120"/>
        <v>180.03477278794506</v>
      </c>
      <c r="AD293" s="517">
        <f t="shared" si="118"/>
        <v>23.320487073659336</v>
      </c>
      <c r="AE293" s="545">
        <f t="shared" si="103"/>
        <v>5524.0714285714284</v>
      </c>
      <c r="AF293" s="535">
        <f t="shared" si="113"/>
        <v>1.2242450388265746</v>
      </c>
      <c r="AG293" s="200">
        <f t="shared" si="112"/>
        <v>7.2799967691127065E-2</v>
      </c>
      <c r="AH293" s="4"/>
      <c r="AI293" s="200">
        <f t="shared" si="108"/>
        <v>1.0588803088803089</v>
      </c>
      <c r="AJ293" s="488">
        <f>MAX($B$2:B293)</f>
        <v>18326</v>
      </c>
      <c r="AK293" s="179">
        <f t="shared" si="104"/>
        <v>2.1983086850226444E-2</v>
      </c>
      <c r="AL293" s="179"/>
      <c r="AM293" s="200">
        <f t="shared" si="114"/>
        <v>0.96048970506399556</v>
      </c>
      <c r="AN293" s="200">
        <f t="shared" si="115"/>
        <v>1.0588803088803089</v>
      </c>
      <c r="AP293" s="355">
        <f t="shared" si="110"/>
        <v>0.82580886278697274</v>
      </c>
      <c r="AT293" s="179">
        <f t="shared" si="111"/>
        <v>2.7890377393666604E-2</v>
      </c>
    </row>
    <row r="294" spans="1:46" hidden="1" x14ac:dyDescent="0.25">
      <c r="A294" s="105">
        <v>44185</v>
      </c>
      <c r="B294" s="670">
        <v>4116</v>
      </c>
      <c r="C294" s="515">
        <f t="shared" si="119"/>
        <v>1541285</v>
      </c>
      <c r="D294" s="670">
        <v>50</v>
      </c>
      <c r="E294" s="515">
        <f t="shared" si="97"/>
        <v>41784</v>
      </c>
      <c r="F294" s="515">
        <f t="shared" si="102"/>
        <v>5729</v>
      </c>
      <c r="G294" s="515">
        <v>1368346</v>
      </c>
      <c r="H294" s="515">
        <v>3462</v>
      </c>
      <c r="I294" s="515">
        <v>32148</v>
      </c>
      <c r="J294" s="511">
        <f t="shared" si="94"/>
        <v>4462486</v>
      </c>
      <c r="K294" s="511"/>
      <c r="L294" s="541">
        <f t="shared" si="100"/>
        <v>2.7109846653928377E-2</v>
      </c>
      <c r="M294" s="522">
        <v>2338847</v>
      </c>
      <c r="N294" s="510">
        <f t="shared" si="95"/>
        <v>2338847.0271098465</v>
      </c>
      <c r="O294" s="520">
        <v>10715</v>
      </c>
      <c r="P294" s="511">
        <v>306830</v>
      </c>
      <c r="Q294" s="511">
        <v>1098359</v>
      </c>
      <c r="R294" s="510">
        <f t="shared" si="105"/>
        <v>125381</v>
      </c>
      <c r="S294" s="510">
        <f t="shared" si="101"/>
        <v>131155</v>
      </c>
      <c r="T294" s="507">
        <f t="shared" si="116"/>
        <v>10</v>
      </c>
      <c r="U294" s="512">
        <f t="shared" si="117"/>
        <v>-1663</v>
      </c>
      <c r="V294" s="512">
        <f>SUM(B281:B294)/POBLA!$B$25*100000</f>
        <v>172.26690755901021</v>
      </c>
      <c r="W294" s="512">
        <f>B294/POBLA!$B$25*100000</f>
        <v>9.0700427440087754</v>
      </c>
      <c r="X294" s="513">
        <f t="shared" si="109"/>
        <v>0.84291167083584917</v>
      </c>
      <c r="Y294" s="519">
        <f t="shared" si="96"/>
        <v>2.6396248713354428E-2</v>
      </c>
      <c r="Z294" s="520">
        <f t="shared" si="99"/>
        <v>0.18144219724923111</v>
      </c>
      <c r="AA294" s="517">
        <f t="shared" si="106"/>
        <v>6160.7142857142853</v>
      </c>
      <c r="AB294" s="517">
        <f t="shared" si="107"/>
        <v>149.85714285714286</v>
      </c>
      <c r="AC294" s="517">
        <f t="shared" si="120"/>
        <v>171.89967329865834</v>
      </c>
      <c r="AD294" s="517">
        <f t="shared" si="118"/>
        <v>22.042530441515481</v>
      </c>
      <c r="AE294" s="545">
        <f t="shared" si="103"/>
        <v>5583.9285714285716</v>
      </c>
      <c r="AF294" s="535">
        <f t="shared" si="113"/>
        <v>1.2303851640513552</v>
      </c>
      <c r="AG294" s="200">
        <f t="shared" si="112"/>
        <v>7.4090149703541108E-2</v>
      </c>
      <c r="AH294" s="4"/>
      <c r="AI294" s="200">
        <f t="shared" si="108"/>
        <v>1.0532128514056225</v>
      </c>
      <c r="AJ294" s="488">
        <f>MAX($B$2:B294)</f>
        <v>18326</v>
      </c>
      <c r="AK294" s="179">
        <f t="shared" si="104"/>
        <v>2.065977351058592E-2</v>
      </c>
      <c r="AL294" s="179"/>
      <c r="AM294" s="200">
        <f t="shared" si="114"/>
        <v>0.97879558948261236</v>
      </c>
      <c r="AN294" s="200">
        <f t="shared" si="115"/>
        <v>1.0532128514056225</v>
      </c>
      <c r="AP294" s="355">
        <f t="shared" si="110"/>
        <v>0.84291167083584928</v>
      </c>
      <c r="AT294" s="179">
        <f t="shared" si="111"/>
        <v>2.757307550907305E-2</v>
      </c>
    </row>
    <row r="295" spans="1:46" hidden="1" x14ac:dyDescent="0.25">
      <c r="A295" s="107">
        <v>44186</v>
      </c>
      <c r="B295" s="670">
        <v>5853</v>
      </c>
      <c r="C295" s="515">
        <f t="shared" si="119"/>
        <v>1547138</v>
      </c>
      <c r="D295" s="670">
        <v>184</v>
      </c>
      <c r="E295" s="515">
        <f t="shared" si="97"/>
        <v>41968</v>
      </c>
      <c r="F295" s="515">
        <f t="shared" si="102"/>
        <v>6055</v>
      </c>
      <c r="G295" s="515">
        <v>1374401</v>
      </c>
      <c r="H295" s="515">
        <v>3367</v>
      </c>
      <c r="I295" s="515">
        <v>24076</v>
      </c>
      <c r="J295" s="511">
        <f t="shared" si="94"/>
        <v>4486562</v>
      </c>
      <c r="K295" s="511"/>
      <c r="L295" s="541">
        <f t="shared" si="100"/>
        <v>2.7126216278056645E-2</v>
      </c>
      <c r="M295" s="522">
        <v>2353622</v>
      </c>
      <c r="N295" s="510">
        <f t="shared" si="95"/>
        <v>2353622.0271262163</v>
      </c>
      <c r="O295" s="520">
        <v>10750</v>
      </c>
      <c r="P295" s="511">
        <v>308256</v>
      </c>
      <c r="Q295" s="511">
        <v>1103443</v>
      </c>
      <c r="R295" s="510">
        <f t="shared" si="105"/>
        <v>124689</v>
      </c>
      <c r="S295" s="510">
        <f t="shared" si="101"/>
        <v>130769</v>
      </c>
      <c r="T295" s="507">
        <f t="shared" si="116"/>
        <v>-95</v>
      </c>
      <c r="U295" s="512">
        <f t="shared" si="117"/>
        <v>-386</v>
      </c>
      <c r="V295" s="512">
        <f>SUM(B282:B295)/POBLA!$B$25*100000</f>
        <v>178.11527817188662</v>
      </c>
      <c r="W295" s="512">
        <f>B295/POBLA!$B$25*100000</f>
        <v>12.897706555073702</v>
      </c>
      <c r="X295" s="513">
        <f t="shared" si="109"/>
        <v>0.88166190361918895</v>
      </c>
      <c r="Y295" s="519">
        <f t="shared" si="96"/>
        <v>2.5747692495927933E-2</v>
      </c>
      <c r="Z295" s="520">
        <f t="shared" si="99"/>
        <v>0.20075426847386346</v>
      </c>
      <c r="AA295" s="517">
        <f t="shared" si="106"/>
        <v>6273.7142857142853</v>
      </c>
      <c r="AB295" s="517">
        <f t="shared" si="107"/>
        <v>137</v>
      </c>
      <c r="AC295" s="517">
        <f t="shared" si="120"/>
        <v>162.22131624371127</v>
      </c>
      <c r="AD295" s="517">
        <f t="shared" si="118"/>
        <v>25.221316243711271</v>
      </c>
      <c r="AE295" s="545">
        <f t="shared" si="103"/>
        <v>5773.5</v>
      </c>
      <c r="AF295" s="535">
        <f t="shared" si="113"/>
        <v>1.189716360089941</v>
      </c>
      <c r="AG295" s="200">
        <f t="shared" si="112"/>
        <v>7.1060584963920981E-2</v>
      </c>
      <c r="AH295" s="4"/>
      <c r="AI295" s="200">
        <f t="shared" si="108"/>
        <v>0.83246527777777768</v>
      </c>
      <c r="AJ295" s="488">
        <f>MAX($B$2:B295)</f>
        <v>18326</v>
      </c>
      <c r="AK295" s="179">
        <f t="shared" si="104"/>
        <v>1.9289952730564216E-2</v>
      </c>
      <c r="AL295" s="179"/>
      <c r="AM295" s="200">
        <f t="shared" si="114"/>
        <v>0.96808510638297873</v>
      </c>
      <c r="AN295" s="200">
        <f t="shared" si="115"/>
        <v>0.83246527777777768</v>
      </c>
      <c r="AP295" s="355">
        <f t="shared" si="110"/>
        <v>0.88166190361918884</v>
      </c>
      <c r="AT295" s="179">
        <f t="shared" si="111"/>
        <v>2.8167068237582617E-2</v>
      </c>
    </row>
    <row r="296" spans="1:46" hidden="1" x14ac:dyDescent="0.25">
      <c r="A296" s="107">
        <v>44187</v>
      </c>
      <c r="B296" s="670">
        <v>8141</v>
      </c>
      <c r="C296" s="515">
        <f t="shared" si="119"/>
        <v>1555279</v>
      </c>
      <c r="D296" s="670">
        <v>255</v>
      </c>
      <c r="E296" s="515">
        <f t="shared" si="97"/>
        <v>42223</v>
      </c>
      <c r="F296" s="515">
        <f t="shared" si="102"/>
        <v>5325</v>
      </c>
      <c r="G296" s="515">
        <v>1379726</v>
      </c>
      <c r="H296" s="515">
        <v>3399</v>
      </c>
      <c r="I296" s="515">
        <v>37688</v>
      </c>
      <c r="J296" s="511">
        <f t="shared" si="94"/>
        <v>4524250</v>
      </c>
      <c r="K296" s="511"/>
      <c r="L296" s="541">
        <f t="shared" si="100"/>
        <v>2.7148183702088179E-2</v>
      </c>
      <c r="M296" s="522">
        <v>2390200</v>
      </c>
      <c r="N296" s="510">
        <f t="shared" si="95"/>
        <v>2390200.0271481839</v>
      </c>
      <c r="O296" s="520">
        <v>10808</v>
      </c>
      <c r="P296" s="511">
        <v>309842</v>
      </c>
      <c r="Q296" s="511">
        <v>1109025</v>
      </c>
      <c r="R296" s="510">
        <f t="shared" si="105"/>
        <v>125604</v>
      </c>
      <c r="S296" s="510">
        <f t="shared" si="101"/>
        <v>133330</v>
      </c>
      <c r="T296" s="507">
        <f t="shared" si="116"/>
        <v>32</v>
      </c>
      <c r="U296" s="512">
        <f t="shared" si="117"/>
        <v>2561</v>
      </c>
      <c r="V296" s="512">
        <f>SUM(B283:B296)/POBLA!$B$25*100000</f>
        <v>188.09981745106634</v>
      </c>
      <c r="W296" s="512">
        <f>B296/POBLA!$B$25*100000</f>
        <v>17.939557332112596</v>
      </c>
      <c r="X296" s="513">
        <f t="shared" si="109"/>
        <v>0.96863510507920658</v>
      </c>
      <c r="Y296" s="519">
        <f t="shared" si="96"/>
        <v>2.549313732843321E-2</v>
      </c>
      <c r="Z296" s="520">
        <f t="shared" si="99"/>
        <v>0.20502883758164583</v>
      </c>
      <c r="AA296" s="517">
        <f t="shared" si="106"/>
        <v>6439.4285714285716</v>
      </c>
      <c r="AB296" s="517">
        <f t="shared" si="107"/>
        <v>149.85714285714286</v>
      </c>
      <c r="AC296" s="517">
        <f t="shared" si="120"/>
        <v>145.11013123852402</v>
      </c>
      <c r="AD296" s="517">
        <f t="shared" si="118"/>
        <v>-4.747011618618842</v>
      </c>
      <c r="AE296" s="545">
        <f t="shared" si="103"/>
        <v>6097.1428571428569</v>
      </c>
      <c r="AF296" s="535">
        <f t="shared" si="113"/>
        <v>1.1189554165425479</v>
      </c>
      <c r="AG296" s="200">
        <f t="shared" si="112"/>
        <v>6.8957499859695792E-2</v>
      </c>
      <c r="AH296" s="4"/>
      <c r="AI296" s="200">
        <f t="shared" si="108"/>
        <v>0.87635756056808689</v>
      </c>
      <c r="AJ296" s="488">
        <f>MAX($B$2:B296)</f>
        <v>18326</v>
      </c>
      <c r="AK296" s="179">
        <f t="shared" si="104"/>
        <v>2.1717976853481296E-2</v>
      </c>
      <c r="AL296" s="179"/>
      <c r="AM296" s="200">
        <f t="shared" si="114"/>
        <v>0.97812949640287772</v>
      </c>
      <c r="AN296" s="200">
        <f t="shared" si="115"/>
        <v>0.87635756056808689</v>
      </c>
      <c r="AP296" s="355">
        <f t="shared" si="110"/>
        <v>0.96863510507920658</v>
      </c>
      <c r="AT296" s="179">
        <f t="shared" si="111"/>
        <v>2.8402546062202223E-2</v>
      </c>
    </row>
    <row r="297" spans="1:46" hidden="1" x14ac:dyDescent="0.25">
      <c r="A297" s="107">
        <v>44188</v>
      </c>
      <c r="B297" s="670">
        <v>8586</v>
      </c>
      <c r="C297" s="515">
        <f t="shared" si="119"/>
        <v>1563865</v>
      </c>
      <c r="D297" s="670">
        <v>60</v>
      </c>
      <c r="E297" s="515">
        <f t="shared" si="97"/>
        <v>42283</v>
      </c>
      <c r="F297" s="515">
        <f t="shared" si="102"/>
        <v>4551</v>
      </c>
      <c r="G297" s="515">
        <v>1384277</v>
      </c>
      <c r="H297" s="515">
        <v>3390</v>
      </c>
      <c r="I297" s="515">
        <v>39323</v>
      </c>
      <c r="J297" s="511">
        <f t="shared" si="94"/>
        <v>4563573</v>
      </c>
      <c r="K297" s="511"/>
      <c r="L297" s="541">
        <f t="shared" si="100"/>
        <v>2.7037500039965086E-2</v>
      </c>
      <c r="M297" s="522">
        <v>2402139</v>
      </c>
      <c r="N297" s="510">
        <f t="shared" si="95"/>
        <v>2402139.0270374999</v>
      </c>
      <c r="O297" s="520">
        <v>10873</v>
      </c>
      <c r="P297" s="511">
        <v>311072</v>
      </c>
      <c r="Q297" s="511">
        <v>1114236</v>
      </c>
      <c r="R297" s="510">
        <f t="shared" ref="R297:R324" si="121">C297-O297-P297-Q297</f>
        <v>127684</v>
      </c>
      <c r="S297" s="510">
        <f t="shared" si="101"/>
        <v>137305</v>
      </c>
      <c r="T297" s="507">
        <f t="shared" si="116"/>
        <v>-9</v>
      </c>
      <c r="U297" s="512">
        <f t="shared" si="117"/>
        <v>3975</v>
      </c>
      <c r="V297" s="512">
        <f>SUM(B284:B297)/POBLA!$B$25*100000</f>
        <v>195.33425630640664</v>
      </c>
      <c r="W297" s="512">
        <f>B297/POBLA!$B$25*100000</f>
        <v>18.920162050548917</v>
      </c>
      <c r="X297" s="513">
        <f t="shared" si="109"/>
        <v>1.0448994506919396</v>
      </c>
      <c r="Y297" s="519">
        <f t="shared" si="96"/>
        <v>2.4689559739266596E-2</v>
      </c>
      <c r="Z297" s="520">
        <f t="shared" si="99"/>
        <v>0.20847730834995726</v>
      </c>
      <c r="AA297" s="517">
        <f t="shared" si="106"/>
        <v>6688.4285714285716</v>
      </c>
      <c r="AB297" s="517">
        <f t="shared" si="107"/>
        <v>135.28571428571428</v>
      </c>
      <c r="AC297" s="517">
        <f t="shared" si="120"/>
        <v>136.67652258439747</v>
      </c>
      <c r="AD297" s="517">
        <f t="shared" si="118"/>
        <v>1.3908082986831971</v>
      </c>
      <c r="AE297" s="545">
        <f t="shared" si="103"/>
        <v>6331.6428571428569</v>
      </c>
      <c r="AF297" s="520">
        <f t="shared" si="113"/>
        <v>1.1194290359602141</v>
      </c>
      <c r="AG297" s="200">
        <f t="shared" si="112"/>
        <v>7.4407649691696109E-2</v>
      </c>
      <c r="AH297" s="4"/>
      <c r="AI297" s="200">
        <f t="shared" si="108"/>
        <v>0.82563208369659979</v>
      </c>
      <c r="AJ297" s="488">
        <f>MAX($B$2:B297)</f>
        <v>18326</v>
      </c>
      <c r="AK297" s="179">
        <f t="shared" si="104"/>
        <v>1.9998310596781685E-2</v>
      </c>
      <c r="AL297" s="179"/>
      <c r="AM297" s="200">
        <f t="shared" si="114"/>
        <v>0.98460644786523377</v>
      </c>
      <c r="AN297" s="200">
        <f t="shared" si="115"/>
        <v>0.82563208369659979</v>
      </c>
      <c r="AP297" s="355">
        <f t="shared" si="110"/>
        <v>1.0448994506919396</v>
      </c>
      <c r="AT297" s="179">
        <f t="shared" si="111"/>
        <v>2.7442214401217541E-2</v>
      </c>
    </row>
    <row r="298" spans="1:46" hidden="1" x14ac:dyDescent="0.25">
      <c r="A298" s="107">
        <v>44189</v>
      </c>
      <c r="B298" s="670">
        <v>7815</v>
      </c>
      <c r="C298" s="515">
        <f t="shared" si="119"/>
        <v>1571680</v>
      </c>
      <c r="D298" s="670">
        <v>78</v>
      </c>
      <c r="E298" s="515">
        <f t="shared" si="97"/>
        <v>42361</v>
      </c>
      <c r="F298" s="515">
        <f t="shared" si="102"/>
        <v>6439</v>
      </c>
      <c r="G298" s="515">
        <v>1390716</v>
      </c>
      <c r="H298" s="515">
        <v>3390</v>
      </c>
      <c r="I298" s="515">
        <v>24457</v>
      </c>
      <c r="J298" s="511">
        <f t="shared" ref="J298:J361" si="122">J299-I299</f>
        <v>4588030</v>
      </c>
      <c r="K298" s="511"/>
      <c r="L298" s="541">
        <f t="shared" si="100"/>
        <v>2.6952687569988802E-2</v>
      </c>
      <c r="M298" s="522">
        <v>2423214</v>
      </c>
      <c r="N298" s="510">
        <f t="shared" si="95"/>
        <v>2423214.0269526877</v>
      </c>
      <c r="O298" s="520">
        <v>10910</v>
      </c>
      <c r="P298" s="511">
        <v>311984</v>
      </c>
      <c r="Q298" s="511">
        <v>1119801</v>
      </c>
      <c r="R298" s="510">
        <f t="shared" si="121"/>
        <v>128985</v>
      </c>
      <c r="S298" s="510">
        <f t="shared" si="101"/>
        <v>138603</v>
      </c>
      <c r="T298" s="507">
        <f t="shared" si="116"/>
        <v>0</v>
      </c>
      <c r="U298" s="512">
        <f t="shared" si="117"/>
        <v>1298</v>
      </c>
      <c r="V298" s="512">
        <f>SUM(B285:B298)/POBLA!$B$25*100000</f>
        <v>197.14341692176896</v>
      </c>
      <c r="W298" s="512">
        <f>B298/POBLA!$B$25*100000</f>
        <v>17.221181740628904</v>
      </c>
      <c r="X298" s="513">
        <f t="shared" si="109"/>
        <v>1.0806788669444947</v>
      </c>
      <c r="Y298" s="519">
        <f t="shared" si="96"/>
        <v>2.4458345057466288E-2</v>
      </c>
      <c r="Z298" s="520">
        <f t="shared" si="99"/>
        <v>0.21791180900703372</v>
      </c>
      <c r="AA298" s="517">
        <f t="shared" si="106"/>
        <v>6758.2857142857147</v>
      </c>
      <c r="AB298" s="517">
        <f t="shared" si="107"/>
        <v>122.28571428571429</v>
      </c>
      <c r="AC298" s="517">
        <f t="shared" si="120"/>
        <v>134.26659156675836</v>
      </c>
      <c r="AD298" s="517">
        <f t="shared" si="118"/>
        <v>11.980877281044073</v>
      </c>
      <c r="AE298" s="545">
        <f t="shared" si="103"/>
        <v>6390.2857142857147</v>
      </c>
      <c r="AF298" s="520">
        <f t="shared" si="113"/>
        <v>1.1222127336559446</v>
      </c>
      <c r="AG298" s="200">
        <f t="shared" si="112"/>
        <v>6.3632387135391433E-2</v>
      </c>
      <c r="AH298" s="4"/>
      <c r="AI298" s="200">
        <f t="shared" si="108"/>
        <v>0.7732610659439928</v>
      </c>
      <c r="AJ298" s="488">
        <f>MAX($B$2:B298)</f>
        <v>18326</v>
      </c>
      <c r="AK298" s="179">
        <f t="shared" si="104"/>
        <v>1.8425640915254969E-2</v>
      </c>
      <c r="AL298" s="179"/>
      <c r="AM298" s="200">
        <f t="shared" si="114"/>
        <v>0.97666378565254974</v>
      </c>
      <c r="AN298" s="200">
        <f t="shared" si="115"/>
        <v>0.7732610659439928</v>
      </c>
      <c r="AP298" s="355">
        <f t="shared" si="110"/>
        <v>1.0806788669444949</v>
      </c>
      <c r="AT298" s="179">
        <f t="shared" si="111"/>
        <v>2.6121073281196512E-2</v>
      </c>
    </row>
    <row r="299" spans="1:46" hidden="1" x14ac:dyDescent="0.25">
      <c r="A299" s="107">
        <v>44190</v>
      </c>
      <c r="B299" s="670">
        <v>2874</v>
      </c>
      <c r="C299" s="515">
        <f t="shared" si="119"/>
        <v>1574554</v>
      </c>
      <c r="D299" s="670">
        <v>30</v>
      </c>
      <c r="E299" s="515">
        <f t="shared" si="97"/>
        <v>42391</v>
      </c>
      <c r="F299" s="515">
        <f t="shared" si="102"/>
        <v>5946</v>
      </c>
      <c r="G299" s="515">
        <v>1396662</v>
      </c>
      <c r="H299" s="515">
        <v>3390</v>
      </c>
      <c r="I299" s="515">
        <v>24454</v>
      </c>
      <c r="J299" s="511">
        <f t="shared" si="122"/>
        <v>4612484</v>
      </c>
      <c r="K299" s="511"/>
      <c r="L299" s="541">
        <f t="shared" si="100"/>
        <v>2.6922544415752016E-2</v>
      </c>
      <c r="M299" s="522">
        <v>2430506</v>
      </c>
      <c r="N299" s="510">
        <f t="shared" si="95"/>
        <v>2430506.0269225445</v>
      </c>
      <c r="O299" s="520">
        <v>10934</v>
      </c>
      <c r="P299" s="511">
        <v>312308</v>
      </c>
      <c r="Q299" s="511">
        <v>1125100</v>
      </c>
      <c r="R299" s="510">
        <f t="shared" si="121"/>
        <v>126212</v>
      </c>
      <c r="S299" s="510">
        <f t="shared" si="101"/>
        <v>135501</v>
      </c>
      <c r="T299" s="507">
        <f t="shared" si="116"/>
        <v>0</v>
      </c>
      <c r="U299" s="512">
        <f t="shared" si="117"/>
        <v>-3102</v>
      </c>
      <c r="V299" s="512">
        <f>SUM(B286:B299)/POBLA!$B$25*100000</f>
        <v>187.80453423248102</v>
      </c>
      <c r="W299" s="512">
        <f>B299/POBLA!$B$25*100000</f>
        <v>6.3331639568224531</v>
      </c>
      <c r="X299" s="513">
        <f t="shared" si="109"/>
        <v>1.0386954455155939</v>
      </c>
      <c r="Y299" s="519">
        <f t="shared" si="96"/>
        <v>2.5018265547855734E-2</v>
      </c>
      <c r="Z299" s="520">
        <f t="shared" si="99"/>
        <v>0.20606158941345462</v>
      </c>
      <c r="AA299" s="517">
        <f t="shared" si="106"/>
        <v>6168.5714285714284</v>
      </c>
      <c r="AB299" s="517">
        <f t="shared" si="107"/>
        <v>106.85714285714286</v>
      </c>
      <c r="AC299" s="517">
        <f t="shared" si="120"/>
        <v>135.03988519846342</v>
      </c>
      <c r="AD299" s="517">
        <f t="shared" si="118"/>
        <v>28.182742341320562</v>
      </c>
      <c r="AE299" s="545">
        <f t="shared" si="103"/>
        <v>6087.5714285714284</v>
      </c>
      <c r="AF299" s="520">
        <f t="shared" si="113"/>
        <v>1.0269704609237502</v>
      </c>
      <c r="AG299" s="200">
        <f t="shared" si="112"/>
        <v>1.8988388882204221E-2</v>
      </c>
      <c r="AH299" s="4"/>
      <c r="AI299" s="200">
        <f t="shared" si="108"/>
        <v>0.70037453183520593</v>
      </c>
      <c r="AJ299" s="488">
        <f>MAX($B$2:B299)</f>
        <v>18326</v>
      </c>
      <c r="AK299" s="179">
        <f t="shared" si="104"/>
        <v>1.6883732478613186E-2</v>
      </c>
      <c r="AL299" s="179"/>
      <c r="AM299" s="200">
        <f t="shared" si="114"/>
        <v>0.98718695398951661</v>
      </c>
      <c r="AN299" s="200">
        <f t="shared" si="115"/>
        <v>0.70037453183520593</v>
      </c>
      <c r="AP299" s="355">
        <f t="shared" si="110"/>
        <v>1.0386954455155939</v>
      </c>
      <c r="AT299" s="179">
        <f t="shared" si="111"/>
        <v>2.5574753211776331E-2</v>
      </c>
    </row>
    <row r="300" spans="1:46" hidden="1" x14ac:dyDescent="0.25">
      <c r="A300" s="107">
        <v>44191</v>
      </c>
      <c r="B300" s="670">
        <v>3713</v>
      </c>
      <c r="C300" s="515">
        <f t="shared" si="119"/>
        <v>1578267</v>
      </c>
      <c r="D300" s="670">
        <v>79</v>
      </c>
      <c r="E300" s="515">
        <f t="shared" si="97"/>
        <v>42470</v>
      </c>
      <c r="F300" s="515">
        <f t="shared" si="102"/>
        <v>5565</v>
      </c>
      <c r="G300" s="515">
        <v>1402227</v>
      </c>
      <c r="H300" s="515">
        <v>3262</v>
      </c>
      <c r="I300" s="515">
        <v>14984</v>
      </c>
      <c r="J300" s="511">
        <f t="shared" si="122"/>
        <v>4627468</v>
      </c>
      <c r="K300" s="511"/>
      <c r="L300" s="541">
        <f t="shared" si="100"/>
        <v>2.6909261867605418E-2</v>
      </c>
      <c r="M300" s="522">
        <v>2439459</v>
      </c>
      <c r="N300" s="510">
        <f>M300+L300</f>
        <v>2439459.0269092619</v>
      </c>
      <c r="O300" s="520">
        <v>10957</v>
      </c>
      <c r="P300" s="511">
        <v>312971</v>
      </c>
      <c r="Q300" s="511">
        <v>1128587</v>
      </c>
      <c r="R300" s="510">
        <f t="shared" si="121"/>
        <v>125752</v>
      </c>
      <c r="S300" s="510">
        <f t="shared" si="101"/>
        <v>133570</v>
      </c>
      <c r="T300" s="507">
        <f>H300-H297</f>
        <v>-128</v>
      </c>
      <c r="U300" s="512">
        <f t="shared" si="117"/>
        <v>-1931</v>
      </c>
      <c r="V300" s="512">
        <f>SUM(B287:B300)/POBLA!$B$25*100000</f>
        <v>184.36470509657295</v>
      </c>
      <c r="W300" s="512">
        <f>B300/POBLA!$B$25*100000</f>
        <v>8.1819894821439707</v>
      </c>
      <c r="X300" s="513">
        <f t="shared" si="109"/>
        <v>1.0300146503010084</v>
      </c>
      <c r="Y300" s="519">
        <f t="shared" si="96"/>
        <v>2.4421651568465971E-2</v>
      </c>
      <c r="Z300" s="520">
        <f t="shared" si="99"/>
        <v>0.20848171257545781</v>
      </c>
      <c r="AA300" s="517">
        <f t="shared" si="106"/>
        <v>5871.1428571428569</v>
      </c>
      <c r="AB300" s="517">
        <f t="shared" si="107"/>
        <v>105.14285714285714</v>
      </c>
      <c r="AC300" s="517">
        <f t="shared" si="120"/>
        <v>135.05253190194733</v>
      </c>
      <c r="AD300" s="517">
        <f t="shared" si="118"/>
        <v>29.909674759090194</v>
      </c>
      <c r="AE300" s="545">
        <f t="shared" si="103"/>
        <v>5976.0714285714284</v>
      </c>
      <c r="AF300" s="520">
        <f t="shared" si="113"/>
        <v>0.96548969859280664</v>
      </c>
      <c r="AG300" s="200">
        <f t="shared" si="112"/>
        <v>5.6618831784849277E-3</v>
      </c>
      <c r="AH300" s="4"/>
      <c r="AI300" s="200">
        <f t="shared" si="108"/>
        <v>0.67092069279854138</v>
      </c>
      <c r="AJ300" s="488">
        <f>MAX($B$2:B300)</f>
        <v>18326</v>
      </c>
      <c r="AK300" s="179">
        <f t="shared" si="104"/>
        <v>1.7617770968977403E-2</v>
      </c>
      <c r="AL300" s="179"/>
      <c r="AM300" s="200">
        <f t="shared" si="114"/>
        <v>0.9449594438006953</v>
      </c>
      <c r="AN300" s="200">
        <f t="shared" si="115"/>
        <v>0.67092069279854138</v>
      </c>
      <c r="AP300" s="355">
        <f t="shared" si="110"/>
        <v>1.0300146503010081</v>
      </c>
      <c r="AT300" s="179">
        <f t="shared" si="111"/>
        <v>2.549822183452996E-2</v>
      </c>
    </row>
    <row r="301" spans="1:46" hidden="1" x14ac:dyDescent="0.25">
      <c r="A301" s="107">
        <v>44192</v>
      </c>
      <c r="B301" s="670">
        <v>5030</v>
      </c>
      <c r="C301" s="515">
        <f t="shared" si="119"/>
        <v>1583297</v>
      </c>
      <c r="D301" s="670">
        <v>149</v>
      </c>
      <c r="E301" s="515">
        <f t="shared" si="97"/>
        <v>42619</v>
      </c>
      <c r="F301" s="515">
        <f t="shared" si="102"/>
        <v>5699</v>
      </c>
      <c r="G301" s="515">
        <v>1407926</v>
      </c>
      <c r="H301" s="515">
        <v>3313</v>
      </c>
      <c r="I301" s="515">
        <v>21455</v>
      </c>
      <c r="J301" s="511">
        <f t="shared" si="122"/>
        <v>4648923</v>
      </c>
      <c r="K301" s="511"/>
      <c r="L301" s="541">
        <f t="shared" si="100"/>
        <v>2.6917880852423772E-2</v>
      </c>
      <c r="M301" s="522">
        <v>2453195</v>
      </c>
      <c r="N301" s="510">
        <f>M301+L301</f>
        <v>2453195.0269178809</v>
      </c>
      <c r="O301" s="520">
        <v>10979</v>
      </c>
      <c r="P301" s="511">
        <v>313631</v>
      </c>
      <c r="Q301" s="511">
        <v>1131589</v>
      </c>
      <c r="R301" s="510">
        <f t="shared" si="121"/>
        <v>127098</v>
      </c>
      <c r="S301" s="510">
        <f t="shared" si="101"/>
        <v>132752</v>
      </c>
      <c r="T301" s="507">
        <f t="shared" ref="T301:T332" si="123">H301-H300</f>
        <v>51</v>
      </c>
      <c r="U301" s="512">
        <f t="shared" si="117"/>
        <v>-818</v>
      </c>
      <c r="V301" s="512">
        <f>SUM(B288:B301)/POBLA!$B$25*100000</f>
        <v>187.60841328879374</v>
      </c>
      <c r="W301" s="512">
        <f>B301/POBLA!$B$25*100000</f>
        <v>11.084138727493716</v>
      </c>
      <c r="X301" s="513">
        <f t="shared" si="109"/>
        <v>1.0728894937809534</v>
      </c>
      <c r="Y301" s="519">
        <f t="shared" si="96"/>
        <v>2.495630950946125E-2</v>
      </c>
      <c r="Z301" s="520">
        <f t="shared" si="99"/>
        <v>0.22534153628303394</v>
      </c>
      <c r="AA301" s="517">
        <f t="shared" si="106"/>
        <v>6001.7142857142853</v>
      </c>
      <c r="AB301" s="517">
        <f t="shared" si="107"/>
        <v>119.28571428571429</v>
      </c>
      <c r="AC301" s="517">
        <f t="shared" si="120"/>
        <v>136.14431321468621</v>
      </c>
      <c r="AD301" s="517">
        <f t="shared" si="118"/>
        <v>16.858598928971915</v>
      </c>
      <c r="AE301" s="545">
        <f t="shared" si="103"/>
        <v>6081.2142857142853</v>
      </c>
      <c r="AF301" s="520">
        <f t="shared" si="113"/>
        <v>0.97419130434782608</v>
      </c>
      <c r="AG301" s="200">
        <f t="shared" si="112"/>
        <v>1.2176432465403453E-2</v>
      </c>
      <c r="AH301" s="4"/>
      <c r="AI301" s="200">
        <f t="shared" si="108"/>
        <v>0.79599618684461393</v>
      </c>
      <c r="AJ301" s="488">
        <f>MAX($B$2:B301)</f>
        <v>18326</v>
      </c>
      <c r="AK301" s="179">
        <f t="shared" si="104"/>
        <v>2.2356689603469974E-2</v>
      </c>
      <c r="AL301" s="179"/>
      <c r="AM301" s="200">
        <f t="shared" si="114"/>
        <v>0.95696129404968222</v>
      </c>
      <c r="AN301" s="200">
        <f t="shared" si="115"/>
        <v>0.79599618684461393</v>
      </c>
      <c r="AP301" s="355">
        <f t="shared" si="110"/>
        <v>1.0728894937809534</v>
      </c>
      <c r="AT301" s="179">
        <f t="shared" si="111"/>
        <v>2.5190319281899784E-2</v>
      </c>
    </row>
    <row r="302" spans="1:46" hidden="1" x14ac:dyDescent="0.25">
      <c r="A302" s="107">
        <v>44193</v>
      </c>
      <c r="B302" s="670">
        <v>7216</v>
      </c>
      <c r="C302" s="515">
        <f t="shared" si="119"/>
        <v>1590513</v>
      </c>
      <c r="D302" s="670">
        <v>218</v>
      </c>
      <c r="E302" s="515">
        <f t="shared" si="97"/>
        <v>42837</v>
      </c>
      <c r="F302" s="515">
        <f t="shared" si="102"/>
        <v>6754</v>
      </c>
      <c r="G302" s="515">
        <v>1414680</v>
      </c>
      <c r="H302" s="515">
        <v>3319</v>
      </c>
      <c r="I302" s="515">
        <v>28978</v>
      </c>
      <c r="J302" s="511">
        <f t="shared" si="122"/>
        <v>4677901</v>
      </c>
      <c r="K302" s="511"/>
      <c r="L302" s="541">
        <f t="shared" si="100"/>
        <v>2.6932819788332445E-2</v>
      </c>
      <c r="M302" s="522">
        <v>2470756</v>
      </c>
      <c r="N302" s="510">
        <f>M302+L302</f>
        <v>2470756.0269328197</v>
      </c>
      <c r="O302" s="520">
        <v>11048</v>
      </c>
      <c r="P302" s="511">
        <v>315189</v>
      </c>
      <c r="Q302" s="511">
        <v>1138116</v>
      </c>
      <c r="R302" s="510">
        <f t="shared" si="121"/>
        <v>126160</v>
      </c>
      <c r="S302" s="510">
        <f t="shared" si="101"/>
        <v>132996</v>
      </c>
      <c r="T302" s="507">
        <f t="shared" si="123"/>
        <v>6</v>
      </c>
      <c r="U302" s="512">
        <f t="shared" si="117"/>
        <v>244</v>
      </c>
      <c r="V302" s="512">
        <f>SUM(B289:B302)/POBLA!$B$25*100000</f>
        <v>192.35498084724733</v>
      </c>
      <c r="W302" s="512">
        <f>B302/POBLA!$B$25*100000</f>
        <v>15.90122168143035</v>
      </c>
      <c r="X302" s="513">
        <f t="shared" si="109"/>
        <v>1.109316422879945</v>
      </c>
      <c r="Y302" s="519">
        <f t="shared" si="96"/>
        <v>2.495563776354176E-2</v>
      </c>
      <c r="Z302" s="520">
        <f t="shared" si="99"/>
        <v>0.2266918924003993</v>
      </c>
      <c r="AA302" s="517">
        <f t="shared" si="106"/>
        <v>6196.4285714285716</v>
      </c>
      <c r="AB302" s="517">
        <f t="shared" si="107"/>
        <v>124.14285714285714</v>
      </c>
      <c r="AC302" s="517">
        <f t="shared" si="120"/>
        <v>143.85910654390563</v>
      </c>
      <c r="AD302" s="517">
        <f t="shared" si="118"/>
        <v>19.716249401048486</v>
      </c>
      <c r="AE302" s="545">
        <f t="shared" si="103"/>
        <v>6235.0714285714284</v>
      </c>
      <c r="AF302" s="520">
        <f t="shared" si="113"/>
        <v>0.98768102741597608</v>
      </c>
      <c r="AG302" s="200">
        <f t="shared" si="112"/>
        <v>1.7030030052994194E-2</v>
      </c>
      <c r="AH302" s="4"/>
      <c r="AI302" s="200">
        <f t="shared" si="108"/>
        <v>0.90615224191866528</v>
      </c>
      <c r="AJ302" s="488">
        <f>MAX($B$2:B302)</f>
        <v>18326</v>
      </c>
      <c r="AK302" s="179">
        <f t="shared" si="104"/>
        <v>2.4744440331444517E-2</v>
      </c>
      <c r="AL302" s="179"/>
      <c r="AM302" s="200">
        <f t="shared" si="114"/>
        <v>0.9857439857439857</v>
      </c>
      <c r="AN302" s="200">
        <f t="shared" si="115"/>
        <v>0.90615224191866528</v>
      </c>
      <c r="AP302" s="355">
        <f t="shared" si="110"/>
        <v>1.109316422879945</v>
      </c>
      <c r="AT302" s="179">
        <f t="shared" si="111"/>
        <v>2.566360690535063E-2</v>
      </c>
    </row>
    <row r="303" spans="1:46" hidden="1" x14ac:dyDescent="0.25">
      <c r="A303" s="107">
        <v>44194</v>
      </c>
      <c r="B303" s="670">
        <v>11650</v>
      </c>
      <c r="C303" s="515">
        <f t="shared" si="119"/>
        <v>1602163</v>
      </c>
      <c r="D303" s="670">
        <v>151</v>
      </c>
      <c r="E303" s="515">
        <f t="shared" si="97"/>
        <v>42988</v>
      </c>
      <c r="F303" s="515">
        <f t="shared" si="102"/>
        <v>6205</v>
      </c>
      <c r="G303" s="515">
        <v>1420885</v>
      </c>
      <c r="H303" s="515">
        <v>3345</v>
      </c>
      <c r="I303" s="515">
        <v>45084</v>
      </c>
      <c r="J303" s="511">
        <f t="shared" si="122"/>
        <v>4722985</v>
      </c>
      <c r="K303" s="511"/>
      <c r="L303" s="541">
        <f t="shared" si="100"/>
        <v>2.6831227534277097E-2</v>
      </c>
      <c r="M303" s="522">
        <v>2494970</v>
      </c>
      <c r="N303" s="510">
        <f>M303+L303</f>
        <v>2494970.0268312274</v>
      </c>
      <c r="O303" s="520">
        <v>11121</v>
      </c>
      <c r="P303" s="511">
        <v>316933</v>
      </c>
      <c r="Q303" s="511">
        <v>1144766</v>
      </c>
      <c r="R303" s="510">
        <f t="shared" si="121"/>
        <v>129343</v>
      </c>
      <c r="S303" s="510">
        <f t="shared" si="101"/>
        <v>138290</v>
      </c>
      <c r="T303" s="507">
        <f t="shared" si="123"/>
        <v>26</v>
      </c>
      <c r="U303" s="512">
        <f t="shared" si="117"/>
        <v>5294</v>
      </c>
      <c r="V303" s="512">
        <f>SUM(B290:B303)/POBLA!$B$25*100000</f>
        <v>202.64361776944776</v>
      </c>
      <c r="W303" s="512">
        <f>B303/POBLA!$B$25*100000</f>
        <v>25.672011168052045</v>
      </c>
      <c r="X303" s="513">
        <f t="shared" si="109"/>
        <v>1.1845478082774079</v>
      </c>
      <c r="Y303" s="519">
        <f t="shared" si="96"/>
        <v>2.4188299949381733E-2</v>
      </c>
      <c r="Z303" s="520">
        <f t="shared" si="99"/>
        <v>0.23591214431277832</v>
      </c>
      <c r="AA303" s="517">
        <f t="shared" si="106"/>
        <v>6697.7142857142853</v>
      </c>
      <c r="AB303" s="517">
        <f t="shared" si="107"/>
        <v>109.28571428571429</v>
      </c>
      <c r="AC303" s="517">
        <f t="shared" si="120"/>
        <v>156.89975983361177</v>
      </c>
      <c r="AD303" s="517">
        <f t="shared" si="118"/>
        <v>47.614045547897476</v>
      </c>
      <c r="AE303" s="545">
        <f t="shared" si="103"/>
        <v>6568.5714285714284</v>
      </c>
      <c r="AF303" s="520">
        <f t="shared" si="113"/>
        <v>1.0401100363829976</v>
      </c>
      <c r="AG303" s="200">
        <f t="shared" si="112"/>
        <v>3.7200930023250534E-2</v>
      </c>
      <c r="AH303" s="4"/>
      <c r="AI303" s="200">
        <f t="shared" si="108"/>
        <v>0.72926596758817919</v>
      </c>
      <c r="AJ303" s="488">
        <f>MAX($B$2:B303)</f>
        <v>18326</v>
      </c>
      <c r="AK303" s="179">
        <f t="shared" si="104"/>
        <v>2.2184201368750725E-2</v>
      </c>
      <c r="AL303" s="179"/>
      <c r="AM303" s="200">
        <f t="shared" si="114"/>
        <v>0.98411297440423651</v>
      </c>
      <c r="AN303" s="200">
        <f t="shared" si="115"/>
        <v>0.72926596758817919</v>
      </c>
      <c r="AP303" s="355">
        <f t="shared" si="110"/>
        <v>1.1845478082774079</v>
      </c>
      <c r="AT303" s="179">
        <f t="shared" si="111"/>
        <v>2.4793298283121358E-2</v>
      </c>
    </row>
    <row r="304" spans="1:46" hidden="1" x14ac:dyDescent="0.25">
      <c r="A304" s="107">
        <v>44195</v>
      </c>
      <c r="B304" s="670">
        <v>11765</v>
      </c>
      <c r="C304" s="515">
        <f t="shared" si="119"/>
        <v>1613928</v>
      </c>
      <c r="D304" s="670">
        <v>145</v>
      </c>
      <c r="E304" s="515">
        <f t="shared" si="97"/>
        <v>43133</v>
      </c>
      <c r="F304" s="515">
        <f t="shared" si="102"/>
        <v>5791</v>
      </c>
      <c r="G304" s="515">
        <v>1426676</v>
      </c>
      <c r="H304" s="515">
        <v>3440</v>
      </c>
      <c r="I304" s="515">
        <v>54126</v>
      </c>
      <c r="J304" s="511">
        <f t="shared" si="122"/>
        <v>4777111</v>
      </c>
      <c r="K304" s="511"/>
      <c r="L304" s="541">
        <f t="shared" si="100"/>
        <v>2.6725479699218305E-2</v>
      </c>
      <c r="M304" s="522">
        <v>2530000</v>
      </c>
      <c r="N304" s="511">
        <f>M304+L304</f>
        <v>2530000.0267254799</v>
      </c>
      <c r="O304" s="520">
        <v>11167</v>
      </c>
      <c r="P304" s="511">
        <v>318837</v>
      </c>
      <c r="Q304" s="511">
        <v>1151278</v>
      </c>
      <c r="R304" s="510">
        <f t="shared" si="121"/>
        <v>132646</v>
      </c>
      <c r="S304" s="510">
        <f t="shared" si="101"/>
        <v>144119</v>
      </c>
      <c r="T304" s="507">
        <f t="shared" si="123"/>
        <v>95</v>
      </c>
      <c r="U304" s="512">
        <f t="shared" si="117"/>
        <v>5829</v>
      </c>
      <c r="V304" s="512">
        <f>SUM(B291:B304)/POBLA!$B$25*100000</f>
        <v>213.48976703718614</v>
      </c>
      <c r="W304" s="512">
        <f>B304/POBLA!$B$25*100000</f>
        <v>25.925425870569299</v>
      </c>
      <c r="X304" s="513">
        <f t="shared" si="109"/>
        <v>1.2591398827703624</v>
      </c>
      <c r="Y304" s="519">
        <f t="shared" ref="Y304:Y367" si="124">H304/S304</f>
        <v>2.3869163677238948E-2</v>
      </c>
      <c r="Z304" s="520">
        <f t="shared" si="99"/>
        <v>0.23444539145257517</v>
      </c>
      <c r="AA304" s="517">
        <f t="shared" si="106"/>
        <v>7151.8571428571431</v>
      </c>
      <c r="AB304" s="517">
        <f t="shared" si="107"/>
        <v>121.42857142857143</v>
      </c>
      <c r="AC304" s="517">
        <f t="shared" si="120"/>
        <v>162.8010586739907</v>
      </c>
      <c r="AD304" s="517">
        <f t="shared" si="118"/>
        <v>41.372487245419265</v>
      </c>
      <c r="AE304" s="545">
        <f t="shared" si="103"/>
        <v>6920.1428571428569</v>
      </c>
      <c r="AF304" s="520">
        <f t="shared" si="113"/>
        <v>1.069288109528183</v>
      </c>
      <c r="AG304" s="200">
        <f t="shared" si="112"/>
        <v>4.9626743381522953E-2</v>
      </c>
      <c r="AH304" s="4"/>
      <c r="AI304" s="200">
        <f t="shared" si="108"/>
        <v>0.89757127771911305</v>
      </c>
      <c r="AJ304" s="488">
        <f>MAX($B$2:B304)</f>
        <v>18326</v>
      </c>
      <c r="AK304" s="179">
        <f t="shared" si="104"/>
        <v>2.4497795198432145E-2</v>
      </c>
      <c r="AL304" s="179"/>
      <c r="AM304" s="200">
        <f t="shared" si="114"/>
        <v>1.0147492625368733</v>
      </c>
      <c r="AN304" s="200">
        <f t="shared" si="115"/>
        <v>0.89757127771911305</v>
      </c>
      <c r="AP304" s="355">
        <f t="shared" si="110"/>
        <v>1.2591398827703624</v>
      </c>
      <c r="AT304" s="179">
        <f t="shared" si="111"/>
        <v>2.3411388896222182E-2</v>
      </c>
    </row>
    <row r="305" spans="1:46" hidden="1" x14ac:dyDescent="0.25">
      <c r="A305" s="107">
        <v>44196</v>
      </c>
      <c r="B305" s="670">
        <v>11587</v>
      </c>
      <c r="C305" s="515">
        <f t="shared" si="119"/>
        <v>1625515</v>
      </c>
      <c r="D305" s="670">
        <v>83</v>
      </c>
      <c r="E305" s="515">
        <f t="shared" ref="E305:E368" si="125">E304+D305</f>
        <v>43216</v>
      </c>
      <c r="F305" s="515">
        <f t="shared" si="102"/>
        <v>7240</v>
      </c>
      <c r="G305" s="515">
        <v>1433916</v>
      </c>
      <c r="H305" s="515">
        <v>3440</v>
      </c>
      <c r="I305" s="536">
        <v>42835</v>
      </c>
      <c r="J305" s="511">
        <f t="shared" si="122"/>
        <v>4819946</v>
      </c>
      <c r="K305" s="511"/>
      <c r="L305" s="541">
        <f t="shared" si="100"/>
        <v>2.6586035810189385E-2</v>
      </c>
      <c r="M305" s="522">
        <v>2558714</v>
      </c>
      <c r="N305" s="511">
        <f t="shared" ref="N305:N329" si="126">M305+L305</f>
        <v>2558714.0265860357</v>
      </c>
      <c r="O305" s="520">
        <v>11236</v>
      </c>
      <c r="P305" s="511">
        <v>320315</v>
      </c>
      <c r="Q305" s="511">
        <v>1155875</v>
      </c>
      <c r="R305" s="510">
        <f t="shared" si="121"/>
        <v>138089</v>
      </c>
      <c r="S305" s="510">
        <f t="shared" si="101"/>
        <v>148383</v>
      </c>
      <c r="T305" s="507">
        <f t="shared" si="123"/>
        <v>0</v>
      </c>
      <c r="U305" s="512">
        <f t="shared" si="117"/>
        <v>4264</v>
      </c>
      <c r="V305" s="512">
        <f>SUM(B292:B305)/POBLA!$B$25*100000</f>
        <v>222.87933266697752</v>
      </c>
      <c r="W305" s="512">
        <f>B305/POBLA!$B$25*100000</f>
        <v>25.533183983194771</v>
      </c>
      <c r="X305" s="513">
        <f t="shared" si="109"/>
        <v>1.3197155532359082</v>
      </c>
      <c r="Y305" s="519">
        <f t="shared" si="124"/>
        <v>2.3183248754911276E-2</v>
      </c>
      <c r="Z305" s="520">
        <f t="shared" si="99"/>
        <v>0.23213146139119337</v>
      </c>
      <c r="AA305" s="517">
        <f t="shared" si="106"/>
        <v>7690.7142857142853</v>
      </c>
      <c r="AB305" s="517">
        <f t="shared" si="107"/>
        <v>122.14285714285714</v>
      </c>
      <c r="AC305" s="517">
        <f t="shared" si="120"/>
        <v>163.97242180480131</v>
      </c>
      <c r="AD305" s="517">
        <f t="shared" si="118"/>
        <v>41.829564661944175</v>
      </c>
      <c r="AE305" s="545">
        <f t="shared" si="103"/>
        <v>7224.5</v>
      </c>
      <c r="AF305" s="520">
        <f t="shared" si="113"/>
        <v>1.1379682083368563</v>
      </c>
      <c r="AG305" s="200">
        <f t="shared" si="112"/>
        <v>7.0561243263132845E-2</v>
      </c>
      <c r="AH305" s="4"/>
      <c r="AI305" s="200">
        <f t="shared" si="108"/>
        <v>0.99883177570093451</v>
      </c>
      <c r="AJ305" s="488">
        <f>MAX($B$2:B305)</f>
        <v>18326</v>
      </c>
      <c r="AK305" s="179">
        <f t="shared" si="104"/>
        <v>2.4590163934426229E-2</v>
      </c>
      <c r="AL305" s="179"/>
      <c r="AM305" s="200">
        <f t="shared" si="114"/>
        <v>1.0147492625368733</v>
      </c>
      <c r="AN305" s="200">
        <f t="shared" si="115"/>
        <v>0.99883177570093451</v>
      </c>
      <c r="AP305" s="355">
        <f t="shared" si="110"/>
        <v>1.3197155532359079</v>
      </c>
      <c r="AT305" s="179">
        <f t="shared" si="111"/>
        <v>2.2384617378009276E-2</v>
      </c>
    </row>
    <row r="306" spans="1:46" hidden="1" x14ac:dyDescent="0.25">
      <c r="A306" s="107">
        <v>44197</v>
      </c>
      <c r="B306" s="670">
        <v>4079</v>
      </c>
      <c r="C306" s="515">
        <f t="shared" si="119"/>
        <v>1629594</v>
      </c>
      <c r="D306" s="670">
        <v>73</v>
      </c>
      <c r="E306" s="515">
        <f t="shared" si="125"/>
        <v>43289</v>
      </c>
      <c r="F306" s="515">
        <f t="shared" si="102"/>
        <v>6235</v>
      </c>
      <c r="G306" s="515">
        <v>1440151</v>
      </c>
      <c r="H306" s="515">
        <v>3440</v>
      </c>
      <c r="I306" s="536">
        <v>42835</v>
      </c>
      <c r="J306" s="511">
        <f t="shared" si="122"/>
        <v>4862781</v>
      </c>
      <c r="K306" s="511"/>
      <c r="L306" s="541">
        <f t="shared" si="100"/>
        <v>2.6564285337329421E-2</v>
      </c>
      <c r="M306" s="522">
        <v>2565699</v>
      </c>
      <c r="N306" s="511">
        <f t="shared" si="126"/>
        <v>2565699.0265642852</v>
      </c>
      <c r="O306" s="520">
        <v>11273</v>
      </c>
      <c r="P306" s="511">
        <v>320768</v>
      </c>
      <c r="Q306" s="511">
        <v>1157648</v>
      </c>
      <c r="R306" s="510">
        <f t="shared" si="121"/>
        <v>139905</v>
      </c>
      <c r="S306" s="510">
        <f t="shared" si="101"/>
        <v>146154</v>
      </c>
      <c r="T306" s="507">
        <f t="shared" si="123"/>
        <v>0</v>
      </c>
      <c r="U306" s="512">
        <f t="shared" si="117"/>
        <v>-2229</v>
      </c>
      <c r="V306" s="512">
        <f>SUM(B293:B306)/POBLA!$B$25*100000</f>
        <v>216.43819201082167</v>
      </c>
      <c r="W306" s="512">
        <f>B306/POBLA!$B$25*100000</f>
        <v>8.9885093179814852</v>
      </c>
      <c r="X306" s="513">
        <f t="shared" si="109"/>
        <v>1.2798561432313045</v>
      </c>
      <c r="Y306" s="519">
        <f t="shared" si="124"/>
        <v>2.353681732966597E-2</v>
      </c>
      <c r="Z306" s="520">
        <f t="shared" si="99"/>
        <v>0.21989876027279592</v>
      </c>
      <c r="AA306" s="517">
        <f t="shared" si="106"/>
        <v>7862.8571428571431</v>
      </c>
      <c r="AB306" s="517">
        <f t="shared" si="107"/>
        <v>128.28571428571428</v>
      </c>
      <c r="AC306" s="517">
        <f t="shared" si="120"/>
        <v>163.33805719569483</v>
      </c>
      <c r="AD306" s="517">
        <f t="shared" si="118"/>
        <v>35.052342909980553</v>
      </c>
      <c r="AE306" s="545">
        <f t="shared" si="103"/>
        <v>7015.7142857142853</v>
      </c>
      <c r="AF306" s="537">
        <f t="shared" si="113"/>
        <v>1.2746641963872163</v>
      </c>
      <c r="AG306" s="200">
        <f t="shared" si="112"/>
        <v>7.8619345982686495E-2</v>
      </c>
      <c r="AH306" s="4"/>
      <c r="AI306" s="200">
        <f t="shared" si="108"/>
        <v>1.2005347593582887</v>
      </c>
      <c r="AJ306" s="488">
        <f>MAX($B$2:B306)</f>
        <v>18326</v>
      </c>
      <c r="AK306" s="179">
        <f t="shared" si="104"/>
        <v>2.5620542082738944E-2</v>
      </c>
      <c r="AL306" s="179"/>
      <c r="AM306" s="200">
        <f t="shared" si="114"/>
        <v>1.0147492625368733</v>
      </c>
      <c r="AN306" s="200">
        <f t="shared" si="115"/>
        <v>1.2005347593582887</v>
      </c>
      <c r="AP306" s="355">
        <f t="shared" si="110"/>
        <v>1.2798561432313045</v>
      </c>
      <c r="AQ306" s="166">
        <f>MAX(AA8:AA306)</f>
        <v>15051.142857142857</v>
      </c>
      <c r="AT306" s="179">
        <f t="shared" si="111"/>
        <v>2.1974658427049307E-2</v>
      </c>
    </row>
    <row r="307" spans="1:46" hidden="1" x14ac:dyDescent="0.25">
      <c r="A307" s="107">
        <v>44198</v>
      </c>
      <c r="B307" s="670">
        <v>5240</v>
      </c>
      <c r="C307" s="515">
        <f t="shared" si="119"/>
        <v>1634834</v>
      </c>
      <c r="D307" s="670">
        <v>56</v>
      </c>
      <c r="E307" s="515">
        <f t="shared" si="125"/>
        <v>43345</v>
      </c>
      <c r="F307" s="515">
        <f t="shared" si="102"/>
        <v>6941</v>
      </c>
      <c r="G307" s="515">
        <v>1447092</v>
      </c>
      <c r="H307" s="515">
        <v>3438</v>
      </c>
      <c r="I307" s="515">
        <v>17270</v>
      </c>
      <c r="J307" s="511">
        <f t="shared" si="122"/>
        <v>4880051</v>
      </c>
      <c r="K307" s="511"/>
      <c r="L307" s="541">
        <f t="shared" si="100"/>
        <v>2.6513395243798452E-2</v>
      </c>
      <c r="M307" s="522"/>
      <c r="N307" s="511"/>
      <c r="O307" s="520">
        <v>11297</v>
      </c>
      <c r="P307" s="511">
        <v>321585</v>
      </c>
      <c r="Q307" s="511">
        <v>1162294</v>
      </c>
      <c r="R307" s="510">
        <f t="shared" si="121"/>
        <v>139658</v>
      </c>
      <c r="S307" s="510">
        <f t="shared" si="101"/>
        <v>144397</v>
      </c>
      <c r="T307" s="507">
        <f t="shared" si="123"/>
        <v>-2</v>
      </c>
      <c r="U307" s="512">
        <f t="shared" si="117"/>
        <v>-1757</v>
      </c>
      <c r="V307" s="512">
        <f>SUM(B294:B307)/POBLA!$B$25*100000</f>
        <v>215.21519062041233</v>
      </c>
      <c r="W307" s="512">
        <f>B307/POBLA!$B$25*100000</f>
        <v>11.546896010351308</v>
      </c>
      <c r="X307" s="513">
        <f t="shared" si="109"/>
        <v>1.2628496062686683</v>
      </c>
      <c r="Y307" s="519">
        <f t="shared" si="124"/>
        <v>2.3809358920199173E-2</v>
      </c>
      <c r="Z307" s="520">
        <f t="shared" si="99"/>
        <v>0.22395410617499989</v>
      </c>
      <c r="AA307" s="517">
        <f t="shared" si="106"/>
        <v>8081</v>
      </c>
      <c r="AB307" s="517">
        <f t="shared" si="107"/>
        <v>125</v>
      </c>
      <c r="AC307" s="517">
        <f t="shared" si="120"/>
        <v>165.09860269105087</v>
      </c>
      <c r="AD307" s="517">
        <f t="shared" si="118"/>
        <v>40.098602691050871</v>
      </c>
      <c r="AE307" s="545">
        <f t="shared" si="103"/>
        <v>6976.0714285714284</v>
      </c>
      <c r="AF307" s="537">
        <f t="shared" si="113"/>
        <v>1.3763930118253931</v>
      </c>
      <c r="AG307" s="200">
        <f t="shared" si="112"/>
        <v>8.1058620947817683E-2</v>
      </c>
      <c r="AH307" s="4"/>
      <c r="AI307" s="200">
        <f t="shared" si="108"/>
        <v>1.1888586956521741</v>
      </c>
      <c r="AJ307" s="488">
        <f>MAX($B$2:B307)</f>
        <v>18326</v>
      </c>
      <c r="AK307" s="179">
        <f t="shared" si="104"/>
        <v>2.3704385988676073E-2</v>
      </c>
      <c r="AL307" s="179"/>
      <c r="AM307" s="200">
        <f t="shared" si="114"/>
        <v>1.0539546290619253</v>
      </c>
      <c r="AN307" s="200">
        <f t="shared" si="115"/>
        <v>1.1888586956521741</v>
      </c>
      <c r="AP307" s="355">
        <f t="shared" si="110"/>
        <v>1.2628496062686683</v>
      </c>
      <c r="AQ307" s="166">
        <f>MAX(AA307:AA507)</f>
        <v>33171.285714285717</v>
      </c>
      <c r="AT307" s="179">
        <f t="shared" si="111"/>
        <v>2.1763530053126104E-2</v>
      </c>
    </row>
    <row r="308" spans="1:46" hidden="1" x14ac:dyDescent="0.25">
      <c r="A308" s="107">
        <v>44199</v>
      </c>
      <c r="B308" s="670">
        <v>5884</v>
      </c>
      <c r="C308" s="515">
        <f t="shared" si="119"/>
        <v>1640718</v>
      </c>
      <c r="D308" s="670">
        <v>107</v>
      </c>
      <c r="E308" s="515">
        <f t="shared" si="125"/>
        <v>43452</v>
      </c>
      <c r="F308" s="515">
        <f t="shared" si="102"/>
        <v>5868</v>
      </c>
      <c r="G308" s="515">
        <v>1452960</v>
      </c>
      <c r="H308" s="515">
        <v>3433</v>
      </c>
      <c r="I308" s="515">
        <v>22180</v>
      </c>
      <c r="J308" s="511">
        <f t="shared" si="122"/>
        <v>4902231</v>
      </c>
      <c r="K308" s="511"/>
      <c r="L308" s="541">
        <f t="shared" si="100"/>
        <v>2.6483527333764852E-2</v>
      </c>
      <c r="M308" s="522"/>
      <c r="N308" s="511"/>
      <c r="O308" s="520">
        <v>11322</v>
      </c>
      <c r="P308" s="511">
        <v>322365</v>
      </c>
      <c r="Q308" s="511">
        <v>1165866</v>
      </c>
      <c r="R308" s="510">
        <f t="shared" si="121"/>
        <v>141165</v>
      </c>
      <c r="S308" s="510">
        <f t="shared" si="101"/>
        <v>144306</v>
      </c>
      <c r="T308" s="507">
        <f t="shared" si="123"/>
        <v>-5</v>
      </c>
      <c r="U308" s="512">
        <f t="shared" si="117"/>
        <v>-91</v>
      </c>
      <c r="V308" s="512">
        <f>SUM(B295:B308)/POBLA!$B$25*100000</f>
        <v>219.11116622085146</v>
      </c>
      <c r="W308" s="512">
        <f>B308/POBLA!$B$25*100000</f>
        <v>12.966018344447917</v>
      </c>
      <c r="X308" s="513">
        <f t="shared" si="109"/>
        <v>1.2719283658458587</v>
      </c>
      <c r="Y308" s="519">
        <f t="shared" si="124"/>
        <v>2.3789724612975207E-2</v>
      </c>
      <c r="Z308" s="520">
        <f t="shared" si="99"/>
        <v>0.2266845105563188</v>
      </c>
      <c r="AA308" s="517">
        <f t="shared" si="106"/>
        <v>8203</v>
      </c>
      <c r="AB308" s="517">
        <f t="shared" si="107"/>
        <v>119</v>
      </c>
      <c r="AC308" s="517">
        <f t="shared" si="120"/>
        <v>167.01601956438017</v>
      </c>
      <c r="AD308" s="517">
        <f t="shared" si="118"/>
        <v>48.016019564380173</v>
      </c>
      <c r="AE308" s="545">
        <f t="shared" si="103"/>
        <v>7102.3571428571431</v>
      </c>
      <c r="AF308" s="537">
        <f t="shared" si="113"/>
        <v>1.3667761591926118</v>
      </c>
      <c r="AG308" s="200">
        <f t="shared" si="112"/>
        <v>8.7034470290466404E-2</v>
      </c>
      <c r="AH308" s="4"/>
      <c r="AI308" s="200">
        <f t="shared" si="108"/>
        <v>0.99760479041916161</v>
      </c>
      <c r="AJ308" s="488">
        <f>MAX($B$2:B308)</f>
        <v>18326</v>
      </c>
      <c r="AK308" s="179">
        <f t="shared" si="104"/>
        <v>2.067818488730017E-2</v>
      </c>
      <c r="AL308" s="179"/>
      <c r="AM308" s="200">
        <f t="shared" si="114"/>
        <v>1.036220947781467</v>
      </c>
      <c r="AN308" s="200">
        <f t="shared" si="115"/>
        <v>0.99760479041916161</v>
      </c>
      <c r="AP308" s="355">
        <f t="shared" si="110"/>
        <v>1.2719283658458587</v>
      </c>
      <c r="AT308" s="179">
        <f t="shared" si="111"/>
        <v>2.1344854825968498E-2</v>
      </c>
    </row>
    <row r="309" spans="1:46" hidden="1" x14ac:dyDescent="0.25">
      <c r="A309" s="107">
        <v>44200</v>
      </c>
      <c r="B309" s="670">
        <v>8222</v>
      </c>
      <c r="C309" s="515">
        <f t="shared" si="119"/>
        <v>1648940</v>
      </c>
      <c r="D309" s="670">
        <v>152</v>
      </c>
      <c r="E309" s="515">
        <f t="shared" si="125"/>
        <v>43604</v>
      </c>
      <c r="F309" s="515">
        <f t="shared" si="102"/>
        <v>5123</v>
      </c>
      <c r="G309" s="515">
        <v>1458083</v>
      </c>
      <c r="H309" s="515">
        <v>3502</v>
      </c>
      <c r="I309" s="515">
        <v>31819</v>
      </c>
      <c r="J309" s="511">
        <f t="shared" si="122"/>
        <v>4934050</v>
      </c>
      <c r="K309" s="511"/>
      <c r="L309" s="541">
        <f t="shared" si="100"/>
        <v>2.6443654711511638E-2</v>
      </c>
      <c r="M309" s="522">
        <v>2612496</v>
      </c>
      <c r="N309" s="522">
        <f>M309+L309</f>
        <v>2612496.0264436547</v>
      </c>
      <c r="O309" s="520">
        <v>11385</v>
      </c>
      <c r="P309" s="511">
        <v>323665</v>
      </c>
      <c r="Q309" s="511">
        <v>1174600</v>
      </c>
      <c r="R309" s="510">
        <f t="shared" si="121"/>
        <v>139290</v>
      </c>
      <c r="S309" s="510">
        <f t="shared" si="101"/>
        <v>147253</v>
      </c>
      <c r="T309" s="507">
        <f t="shared" si="123"/>
        <v>69</v>
      </c>
      <c r="U309" s="512">
        <f t="shared" si="117"/>
        <v>2947</v>
      </c>
      <c r="V309" s="512">
        <f>SUM(B296:B309)/POBLA!$B$25*100000</f>
        <v>224.33150909270685</v>
      </c>
      <c r="W309" s="512">
        <f>B309/POBLA!$B$25*100000</f>
        <v>18.118049426929094</v>
      </c>
      <c r="X309" s="513">
        <f t="shared" si="109"/>
        <v>1.2594737037449431</v>
      </c>
      <c r="Y309" s="519">
        <f t="shared" si="124"/>
        <v>2.3782197985779577E-2</v>
      </c>
      <c r="Z309" s="520">
        <f t="shared" si="99"/>
        <v>0.22809770875545093</v>
      </c>
      <c r="AA309" s="517">
        <f t="shared" si="106"/>
        <v>8346.7142857142862</v>
      </c>
      <c r="AB309" s="517">
        <f t="shared" si="107"/>
        <v>109.57142857142857</v>
      </c>
      <c r="AC309" s="517">
        <f t="shared" si="120"/>
        <v>170.18213058101938</v>
      </c>
      <c r="AD309" s="517">
        <f t="shared" si="118"/>
        <v>60.61070200959081</v>
      </c>
      <c r="AE309" s="545">
        <f t="shared" si="103"/>
        <v>7271.5714285714284</v>
      </c>
      <c r="AF309" s="537">
        <f t="shared" si="113"/>
        <v>1.3470201729106628</v>
      </c>
      <c r="AG309" s="200">
        <f t="shared" si="112"/>
        <v>0.10719871274324033</v>
      </c>
      <c r="AH309" s="4"/>
      <c r="AI309" s="200">
        <f t="shared" si="108"/>
        <v>0.88262370540851554</v>
      </c>
      <c r="AJ309" s="488">
        <f>MAX($B$2:B309)</f>
        <v>18326</v>
      </c>
      <c r="AK309" s="179">
        <f t="shared" si="104"/>
        <v>1.8338752869166027E-2</v>
      </c>
      <c r="AL309" s="179"/>
      <c r="AM309" s="200">
        <f t="shared" si="114"/>
        <v>1.0551370894847845</v>
      </c>
      <c r="AN309" s="200">
        <f t="shared" si="115"/>
        <v>0.88262370540851554</v>
      </c>
      <c r="AP309" s="355">
        <f t="shared" si="110"/>
        <v>1.2594737037449431</v>
      </c>
      <c r="AT309" s="179">
        <f t="shared" si="111"/>
        <v>2.116779829515409E-2</v>
      </c>
    </row>
    <row r="310" spans="1:46" hidden="1" x14ac:dyDescent="0.25">
      <c r="A310" s="107">
        <v>44201</v>
      </c>
      <c r="B310" s="670">
        <v>13790</v>
      </c>
      <c r="C310" s="515">
        <f t="shared" si="119"/>
        <v>1662730</v>
      </c>
      <c r="D310" s="670">
        <v>151</v>
      </c>
      <c r="E310" s="515">
        <f t="shared" si="125"/>
        <v>43755</v>
      </c>
      <c r="F310" s="515">
        <f t="shared" si="102"/>
        <v>8533</v>
      </c>
      <c r="G310" s="515">
        <v>1466616</v>
      </c>
      <c r="H310" s="515">
        <v>3460</v>
      </c>
      <c r="I310" s="515">
        <v>50068</v>
      </c>
      <c r="J310" s="511">
        <f t="shared" si="122"/>
        <v>4984118</v>
      </c>
      <c r="K310" s="511"/>
      <c r="L310" s="541">
        <f t="shared" si="100"/>
        <v>2.631515639941542E-2</v>
      </c>
      <c r="M310" s="522">
        <v>2640401</v>
      </c>
      <c r="N310" s="511">
        <f t="shared" si="126"/>
        <v>2640401.0263151564</v>
      </c>
      <c r="O310" s="520">
        <v>11472</v>
      </c>
      <c r="P310" s="511">
        <v>325591</v>
      </c>
      <c r="Q310" s="511">
        <v>1184842</v>
      </c>
      <c r="R310" s="510">
        <f t="shared" si="121"/>
        <v>140825</v>
      </c>
      <c r="S310" s="510">
        <f t="shared" si="101"/>
        <v>152359</v>
      </c>
      <c r="T310" s="507">
        <f t="shared" si="123"/>
        <v>-42</v>
      </c>
      <c r="U310" s="512">
        <f t="shared" ref="U310:U341" si="127">(C310-G310-E310)-(C309-E309-G309)</f>
        <v>5106</v>
      </c>
      <c r="V310" s="512">
        <f>SUM(B297:B310)/POBLA!$B$25*100000</f>
        <v>236.77968000157603</v>
      </c>
      <c r="W310" s="512">
        <f>B310/POBLA!$B$25*100000</f>
        <v>30.387728240981779</v>
      </c>
      <c r="X310" s="513">
        <f t="shared" si="109"/>
        <v>1.2587980318650422</v>
      </c>
      <c r="Y310" s="519">
        <f t="shared" si="124"/>
        <v>2.2709521590454126E-2</v>
      </c>
      <c r="Z310" s="520">
        <f t="shared" si="99"/>
        <v>0.23193927998376307</v>
      </c>
      <c r="AA310" s="517">
        <f t="shared" si="106"/>
        <v>8652.4285714285706</v>
      </c>
      <c r="AB310" s="517">
        <f t="shared" si="107"/>
        <v>109.57142857142857</v>
      </c>
      <c r="AC310" s="517">
        <f t="shared" si="120"/>
        <v>174.81878979361812</v>
      </c>
      <c r="AD310" s="517">
        <f t="shared" si="118"/>
        <v>65.247361222189554</v>
      </c>
      <c r="AE310" s="545">
        <f t="shared" si="103"/>
        <v>7675.0714285714284</v>
      </c>
      <c r="AF310" s="537">
        <f t="shared" si="113"/>
        <v>1.2918479651906833</v>
      </c>
      <c r="AG310" s="200">
        <f t="shared" si="112"/>
        <v>0.10173548340443994</v>
      </c>
      <c r="AH310" s="4"/>
      <c r="AI310" s="200">
        <f t="shared" si="108"/>
        <v>1.0026143790849673</v>
      </c>
      <c r="AJ310" s="488">
        <f>MAX($B$2:B310)</f>
        <v>18326</v>
      </c>
      <c r="AK310" s="179">
        <f t="shared" si="104"/>
        <v>1.8194325837365972E-2</v>
      </c>
      <c r="AL310" s="179"/>
      <c r="AM310" s="200">
        <f t="shared" si="114"/>
        <v>1.0343796711509716</v>
      </c>
      <c r="AN310" s="200">
        <f t="shared" si="115"/>
        <v>1.0026143790849673</v>
      </c>
      <c r="AP310" s="355">
        <f t="shared" si="110"/>
        <v>1.2587980318650422</v>
      </c>
      <c r="AT310" s="179">
        <f t="shared" si="111"/>
        <v>2.0118224626790904E-2</v>
      </c>
    </row>
    <row r="311" spans="1:46" hidden="1" x14ac:dyDescent="0.25">
      <c r="A311" s="107">
        <v>44202</v>
      </c>
      <c r="B311" s="670">
        <v>13441</v>
      </c>
      <c r="C311" s="515">
        <f t="shared" si="119"/>
        <v>1676171</v>
      </c>
      <c r="D311" s="670">
        <v>191</v>
      </c>
      <c r="E311" s="515">
        <f t="shared" si="125"/>
        <v>43946</v>
      </c>
      <c r="F311" s="515">
        <f t="shared" si="102"/>
        <v>7432</v>
      </c>
      <c r="G311" s="515">
        <v>1474048</v>
      </c>
      <c r="H311" s="515">
        <v>3521</v>
      </c>
      <c r="I311" s="515">
        <v>49116</v>
      </c>
      <c r="J311" s="511">
        <f t="shared" si="122"/>
        <v>5033234</v>
      </c>
      <c r="K311" s="511"/>
      <c r="L311" s="541">
        <f t="shared" si="100"/>
        <v>2.6218088727224132E-2</v>
      </c>
      <c r="M311" s="522">
        <v>2668047</v>
      </c>
      <c r="N311" s="511">
        <f t="shared" si="126"/>
        <v>2668047.0262180888</v>
      </c>
      <c r="O311" s="520">
        <v>11560</v>
      </c>
      <c r="P311" s="511">
        <v>327631</v>
      </c>
      <c r="Q311" s="511">
        <v>1194273</v>
      </c>
      <c r="R311" s="510">
        <f t="shared" si="121"/>
        <v>142707</v>
      </c>
      <c r="S311" s="510">
        <f t="shared" si="101"/>
        <v>158177</v>
      </c>
      <c r="T311" s="507">
        <f t="shared" si="123"/>
        <v>61</v>
      </c>
      <c r="U311" s="512">
        <f t="shared" si="127"/>
        <v>5818</v>
      </c>
      <c r="V311" s="512">
        <f>SUM(B298:B311)/POBLA!$B$25*100000</f>
        <v>247.47818766002175</v>
      </c>
      <c r="W311" s="512">
        <f>B311/POBLA!$B$25*100000</f>
        <v>29.618669708994641</v>
      </c>
      <c r="X311" s="513">
        <f t="shared" si="109"/>
        <v>1.2669471926717282</v>
      </c>
      <c r="Y311" s="519">
        <f t="shared" si="124"/>
        <v>2.2259873432926406E-2</v>
      </c>
      <c r="Z311" s="520">
        <f t="shared" si="99"/>
        <v>0.24301995525587317</v>
      </c>
      <c r="AA311" s="517">
        <f t="shared" si="106"/>
        <v>8891.8571428571431</v>
      </c>
      <c r="AB311" s="517">
        <f t="shared" si="107"/>
        <v>116.14285714285714</v>
      </c>
      <c r="AC311" s="517">
        <f t="shared" si="120"/>
        <v>180.83838776730363</v>
      </c>
      <c r="AD311" s="517">
        <f t="shared" si="118"/>
        <v>64.695530624446491</v>
      </c>
      <c r="AE311" s="545">
        <f t="shared" si="103"/>
        <v>8021.8571428571431</v>
      </c>
      <c r="AF311" s="537">
        <f t="shared" si="113"/>
        <v>1.2432934502526816</v>
      </c>
      <c r="AG311" s="200">
        <f t="shared" si="112"/>
        <v>9.7544390399600278E-2</v>
      </c>
      <c r="AH311" s="4"/>
      <c r="AI311" s="200">
        <f t="shared" si="108"/>
        <v>0.95647058823529407</v>
      </c>
      <c r="AJ311" s="488">
        <f>MAX($B$2:B311)</f>
        <v>18326</v>
      </c>
      <c r="AK311" s="179">
        <f t="shared" si="104"/>
        <v>1.9335965371260047E-2</v>
      </c>
      <c r="AL311" s="179"/>
      <c r="AM311" s="200">
        <f t="shared" si="114"/>
        <v>1.023546511627907</v>
      </c>
      <c r="AN311" s="200">
        <f t="shared" si="115"/>
        <v>0.95647058823529407</v>
      </c>
      <c r="AP311" s="355">
        <f t="shared" si="110"/>
        <v>1.2669471926717282</v>
      </c>
      <c r="AT311" s="179">
        <f t="shared" si="111"/>
        <v>1.9484232495639991E-2</v>
      </c>
    </row>
    <row r="312" spans="1:46" hidden="1" x14ac:dyDescent="0.25">
      <c r="A312" s="107">
        <v>44203</v>
      </c>
      <c r="B312" s="670">
        <v>13835</v>
      </c>
      <c r="C312" s="515">
        <f t="shared" si="119"/>
        <v>1690006</v>
      </c>
      <c r="D312" s="670">
        <v>146</v>
      </c>
      <c r="E312" s="515">
        <f t="shared" si="125"/>
        <v>44092</v>
      </c>
      <c r="F312" s="515">
        <f t="shared" si="102"/>
        <v>10746</v>
      </c>
      <c r="G312" s="515">
        <v>1484794</v>
      </c>
      <c r="H312" s="515">
        <v>3559</v>
      </c>
      <c r="I312" s="515">
        <v>49166</v>
      </c>
      <c r="J312" s="511">
        <f t="shared" si="122"/>
        <v>5082400</v>
      </c>
      <c r="K312" s="511"/>
      <c r="L312" s="541">
        <f t="shared" si="100"/>
        <v>2.608984820172236E-2</v>
      </c>
      <c r="M312" s="522">
        <v>2696083</v>
      </c>
      <c r="N312" s="511">
        <f t="shared" si="126"/>
        <v>2696083.026089848</v>
      </c>
      <c r="O312" s="520">
        <v>11682</v>
      </c>
      <c r="P312" s="511">
        <v>329806</v>
      </c>
      <c r="Q312" s="511">
        <v>1200435</v>
      </c>
      <c r="R312" s="510">
        <f t="shared" si="121"/>
        <v>148083</v>
      </c>
      <c r="S312" s="510">
        <f t="shared" si="101"/>
        <v>161120</v>
      </c>
      <c r="T312" s="507">
        <f t="shared" si="123"/>
        <v>38</v>
      </c>
      <c r="U312" s="512">
        <f t="shared" si="127"/>
        <v>2943</v>
      </c>
      <c r="V312" s="512">
        <f>SUM(B299:B312)/POBLA!$B$25*100000</f>
        <v>260.74389643527269</v>
      </c>
      <c r="W312" s="512">
        <f>B312/POBLA!$B$25*100000</f>
        <v>30.486890515879836</v>
      </c>
      <c r="X312" s="513">
        <f t="shared" si="109"/>
        <v>1.3226102119288206</v>
      </c>
      <c r="Y312" s="519">
        <f t="shared" si="124"/>
        <v>2.2089126117179742E-2</v>
      </c>
      <c r="Z312" s="520">
        <f t="shared" si="99"/>
        <v>0.24572306004099767</v>
      </c>
      <c r="AA312" s="517">
        <f t="shared" si="106"/>
        <v>9213</v>
      </c>
      <c r="AB312" s="517">
        <f t="shared" si="107"/>
        <v>125.14285714285714</v>
      </c>
      <c r="AC312" s="517">
        <f t="shared" si="120"/>
        <v>182.15396336586147</v>
      </c>
      <c r="AD312" s="517">
        <f t="shared" si="118"/>
        <v>57.011106223004333</v>
      </c>
      <c r="AE312" s="545">
        <f t="shared" si="103"/>
        <v>8451.8571428571431</v>
      </c>
      <c r="AF312" s="537">
        <f t="shared" si="113"/>
        <v>1.1979381443298969</v>
      </c>
      <c r="AG312" s="200">
        <f t="shared" si="112"/>
        <v>8.5838674241658364E-2</v>
      </c>
      <c r="AH312" s="4"/>
      <c r="AI312" s="200">
        <f t="shared" si="108"/>
        <v>1.024561403508772</v>
      </c>
      <c r="AJ312" s="488">
        <f>MAX($B$2:B312)</f>
        <v>18326</v>
      </c>
      <c r="AK312" s="179">
        <f t="shared" si="104"/>
        <v>2.0579322010007752E-2</v>
      </c>
      <c r="AL312" s="179"/>
      <c r="AM312" s="200">
        <f t="shared" si="114"/>
        <v>1.034593023255814</v>
      </c>
      <c r="AN312" s="200">
        <f t="shared" si="115"/>
        <v>1.024561403508772</v>
      </c>
      <c r="AP312" s="355">
        <f t="shared" si="110"/>
        <v>1.3226102119288206</v>
      </c>
      <c r="AT312" s="179">
        <f t="shared" si="111"/>
        <v>1.8697151580965708E-2</v>
      </c>
    </row>
    <row r="313" spans="1:46" hidden="1" x14ac:dyDescent="0.25">
      <c r="A313" s="107">
        <v>44204</v>
      </c>
      <c r="B313" s="670">
        <v>13346</v>
      </c>
      <c r="C313" s="515">
        <f t="shared" si="119"/>
        <v>1703352</v>
      </c>
      <c r="D313" s="670">
        <v>151</v>
      </c>
      <c r="E313" s="515">
        <f t="shared" si="125"/>
        <v>44243</v>
      </c>
      <c r="F313" s="515">
        <f t="shared" si="102"/>
        <v>10102</v>
      </c>
      <c r="G313" s="515">
        <v>1494896</v>
      </c>
      <c r="H313" s="515">
        <v>3602</v>
      </c>
      <c r="I313" s="515">
        <v>58329</v>
      </c>
      <c r="J313" s="511">
        <f t="shared" si="122"/>
        <v>5140729</v>
      </c>
      <c r="K313" s="511"/>
      <c r="L313" s="541">
        <f t="shared" si="100"/>
        <v>2.5974079344727338E-2</v>
      </c>
      <c r="M313" s="522">
        <v>2723301</v>
      </c>
      <c r="N313" s="511">
        <f t="shared" si="126"/>
        <v>2723301.0259740795</v>
      </c>
      <c r="O313" s="520">
        <v>11779</v>
      </c>
      <c r="P313" s="511">
        <v>332037</v>
      </c>
      <c r="Q313" s="511">
        <v>1203533</v>
      </c>
      <c r="R313" s="510">
        <f t="shared" si="121"/>
        <v>156003</v>
      </c>
      <c r="S313" s="510">
        <f t="shared" si="101"/>
        <v>164213</v>
      </c>
      <c r="T313" s="507">
        <f t="shared" si="123"/>
        <v>43</v>
      </c>
      <c r="U313" s="512">
        <f t="shared" si="127"/>
        <v>3093</v>
      </c>
      <c r="V313" s="512">
        <f>SUM(B300:B313)/POBLA!$B$25*100000</f>
        <v>283.82005960710455</v>
      </c>
      <c r="W313" s="512">
        <f>B313/POBLA!$B$25*100000</f>
        <v>29.409327128654304</v>
      </c>
      <c r="X313" s="513">
        <f t="shared" si="109"/>
        <v>1.5112524347030249</v>
      </c>
      <c r="Y313" s="519">
        <f t="shared" si="124"/>
        <v>2.1934925980281707E-2</v>
      </c>
      <c r="Z313" s="520">
        <f t="shared" si="99"/>
        <v>0.26536618360268827</v>
      </c>
      <c r="AA313" s="517">
        <f t="shared" si="106"/>
        <v>10536.857142857143</v>
      </c>
      <c r="AB313" s="517">
        <f t="shared" si="107"/>
        <v>136.28571428571428</v>
      </c>
      <c r="AC313" s="517">
        <f t="shared" si="120"/>
        <v>166.07363826745313</v>
      </c>
      <c r="AD313" s="517">
        <f t="shared" si="118"/>
        <v>29.787923981738857</v>
      </c>
      <c r="AE313" s="545">
        <f t="shared" si="103"/>
        <v>9199.8571428571431</v>
      </c>
      <c r="AF313" s="537">
        <f t="shared" si="113"/>
        <v>1.3400799418604652</v>
      </c>
      <c r="AG313" s="200">
        <f t="shared" si="112"/>
        <v>0.12356144888268528</v>
      </c>
      <c r="AH313" s="4"/>
      <c r="AI313" s="200">
        <f t="shared" si="108"/>
        <v>1.0623608017817372</v>
      </c>
      <c r="AJ313" s="488">
        <f>MAX($B$2:B313)</f>
        <v>18326</v>
      </c>
      <c r="AK313" s="179">
        <f t="shared" si="104"/>
        <v>2.2121739130434782E-2</v>
      </c>
      <c r="AL313" s="179"/>
      <c r="AM313" s="200">
        <f t="shared" si="114"/>
        <v>1.047093023255814</v>
      </c>
      <c r="AN313" s="200">
        <f t="shared" si="115"/>
        <v>1.0623608017817372</v>
      </c>
      <c r="AP313" s="355">
        <f t="shared" si="110"/>
        <v>1.5112524347030249</v>
      </c>
      <c r="AT313" s="179">
        <f t="shared" si="111"/>
        <v>1.7770569412177268E-2</v>
      </c>
    </row>
    <row r="314" spans="1:46" hidden="1" x14ac:dyDescent="0.25">
      <c r="A314" s="107">
        <v>44205</v>
      </c>
      <c r="B314" s="670">
        <v>11057</v>
      </c>
      <c r="C314" s="515">
        <f t="shared" si="119"/>
        <v>1714409</v>
      </c>
      <c r="D314" s="670">
        <v>144</v>
      </c>
      <c r="E314" s="515">
        <f t="shared" si="125"/>
        <v>44387</v>
      </c>
      <c r="F314" s="515">
        <f t="shared" si="102"/>
        <v>9434</v>
      </c>
      <c r="G314" s="515">
        <v>1504330</v>
      </c>
      <c r="H314" s="515">
        <v>3597</v>
      </c>
      <c r="I314" s="515">
        <v>31990</v>
      </c>
      <c r="J314" s="511">
        <f t="shared" si="122"/>
        <v>5172719</v>
      </c>
      <c r="K314" s="511"/>
      <c r="L314" s="541">
        <f t="shared" si="100"/>
        <v>2.5890554704274184E-2</v>
      </c>
      <c r="M314" s="522">
        <v>2743144</v>
      </c>
      <c r="N314" s="511">
        <f t="shared" si="126"/>
        <v>2743144.0258905548</v>
      </c>
      <c r="O314" s="520">
        <v>11857</v>
      </c>
      <c r="P314" s="511">
        <v>333247</v>
      </c>
      <c r="Q314" s="511">
        <v>1209389</v>
      </c>
      <c r="R314" s="510">
        <f t="shared" si="121"/>
        <v>159916</v>
      </c>
      <c r="S314" s="510">
        <f t="shared" si="101"/>
        <v>165692</v>
      </c>
      <c r="T314" s="507">
        <f t="shared" si="123"/>
        <v>-5</v>
      </c>
      <c r="U314" s="512">
        <f t="shared" si="127"/>
        <v>1479</v>
      </c>
      <c r="V314" s="512">
        <f>SUM(B301:B314)/POBLA!$B$25*100000</f>
        <v>300.00334287046712</v>
      </c>
      <c r="W314" s="512">
        <f>B314/POBLA!$B$25*100000</f>
        <v>24.365272745506566</v>
      </c>
      <c r="X314" s="513">
        <f t="shared" si="109"/>
        <v>1.6272276340166139</v>
      </c>
      <c r="Y314" s="519">
        <f t="shared" si="124"/>
        <v>2.1708953962774304E-2</v>
      </c>
      <c r="Z314" s="520">
        <f t="shared" ref="Z314:Z377" si="128">SUM(B308:B314)/SUM(I308:I314)</f>
        <v>0.27189511665094918</v>
      </c>
      <c r="AA314" s="517">
        <f t="shared" si="106"/>
        <v>11367.857142857143</v>
      </c>
      <c r="AB314" s="517">
        <f t="shared" si="107"/>
        <v>148.85714285714286</v>
      </c>
      <c r="AC314" s="517">
        <f t="shared" si="120"/>
        <v>157.98812060497821</v>
      </c>
      <c r="AD314" s="517">
        <f t="shared" si="118"/>
        <v>9.1309777478353453</v>
      </c>
      <c r="AE314" s="545">
        <f t="shared" si="103"/>
        <v>9724.4285714285706</v>
      </c>
      <c r="AF314" s="537">
        <f t="shared" si="113"/>
        <v>1.4067389113794262</v>
      </c>
      <c r="AG314" s="200">
        <f t="shared" si="112"/>
        <v>0.14747536306155951</v>
      </c>
      <c r="AH314" s="4"/>
      <c r="AI314" s="200">
        <f t="shared" si="108"/>
        <v>1.1908571428571428</v>
      </c>
      <c r="AJ314" s="488">
        <f>MAX($B$2:B314)</f>
        <v>18326</v>
      </c>
      <c r="AK314" s="179">
        <f t="shared" si="104"/>
        <v>2.3727115402131342E-2</v>
      </c>
      <c r="AL314" s="179"/>
      <c r="AM314" s="200">
        <f t="shared" si="114"/>
        <v>1.0462478184991273</v>
      </c>
      <c r="AN314" s="200">
        <f t="shared" si="115"/>
        <v>1.1908571428571428</v>
      </c>
      <c r="AP314" s="355">
        <f t="shared" si="110"/>
        <v>1.6272276340166139</v>
      </c>
      <c r="AT314" s="179">
        <f t="shared" si="111"/>
        <v>1.7179673805842552E-2</v>
      </c>
    </row>
    <row r="315" spans="1:46" hidden="1" x14ac:dyDescent="0.25">
      <c r="A315" s="107">
        <v>44206</v>
      </c>
      <c r="B315" s="670">
        <v>7808</v>
      </c>
      <c r="C315" s="515">
        <f t="shared" si="119"/>
        <v>1722217</v>
      </c>
      <c r="D315" s="670">
        <v>78</v>
      </c>
      <c r="E315" s="515">
        <f t="shared" si="125"/>
        <v>44465</v>
      </c>
      <c r="F315" s="515">
        <f t="shared" si="102"/>
        <v>7420</v>
      </c>
      <c r="G315" s="515">
        <v>1511750</v>
      </c>
      <c r="H315" s="515">
        <v>3612</v>
      </c>
      <c r="I315" s="515">
        <v>38365</v>
      </c>
      <c r="J315" s="511">
        <f t="shared" si="122"/>
        <v>5211084</v>
      </c>
      <c r="K315" s="511"/>
      <c r="L315" s="541">
        <f t="shared" si="100"/>
        <v>2.581846538502407E-2</v>
      </c>
      <c r="M315" s="522">
        <v>2767568</v>
      </c>
      <c r="N315" s="511">
        <f t="shared" si="126"/>
        <v>2767568.0258184653</v>
      </c>
      <c r="O315" s="520">
        <v>11922</v>
      </c>
      <c r="P315" s="511">
        <v>334269</v>
      </c>
      <c r="Q315" s="511">
        <v>1213524</v>
      </c>
      <c r="R315" s="510">
        <f t="shared" si="121"/>
        <v>162502</v>
      </c>
      <c r="S315" s="510">
        <f t="shared" si="101"/>
        <v>166002</v>
      </c>
      <c r="T315" s="507">
        <f t="shared" si="123"/>
        <v>15</v>
      </c>
      <c r="U315" s="512">
        <f t="shared" si="127"/>
        <v>310</v>
      </c>
      <c r="V315" s="512">
        <f>SUM(B302:B315)/POBLA!$B$25*100000</f>
        <v>306.12496064084036</v>
      </c>
      <c r="W315" s="512">
        <f>B315/POBLA!$B$25*100000</f>
        <v>17.205756497866986</v>
      </c>
      <c r="X315" s="513">
        <f t="shared" si="109"/>
        <v>1.6317229876551911</v>
      </c>
      <c r="Y315" s="519">
        <f t="shared" si="124"/>
        <v>2.1758773990674812E-2</v>
      </c>
      <c r="Z315" s="520">
        <f t="shared" si="128"/>
        <v>0.26387634246712838</v>
      </c>
      <c r="AA315" s="517">
        <f t="shared" si="106"/>
        <v>11642.714285714286</v>
      </c>
      <c r="AB315" s="517">
        <f t="shared" si="107"/>
        <v>144.71428571428572</v>
      </c>
      <c r="AC315" s="517">
        <f t="shared" si="120"/>
        <v>161.55343005314677</v>
      </c>
      <c r="AD315" s="517">
        <f t="shared" si="118"/>
        <v>16.839144338861047</v>
      </c>
      <c r="AE315" s="545">
        <f t="shared" si="103"/>
        <v>9922.8571428571431</v>
      </c>
      <c r="AF315" s="537">
        <f t="shared" si="113"/>
        <v>1.4193239407185525</v>
      </c>
      <c r="AG315" s="200">
        <f t="shared" si="112"/>
        <v>0.15034717891147986</v>
      </c>
      <c r="AH315" s="4"/>
      <c r="AI315" s="200">
        <f t="shared" si="108"/>
        <v>1.2160864345738296</v>
      </c>
      <c r="AJ315" s="488">
        <f>MAX($B$2:B315)</f>
        <v>18326</v>
      </c>
      <c r="AK315" s="179">
        <f t="shared" si="104"/>
        <v>2.24731564468897E-2</v>
      </c>
      <c r="AL315" s="179"/>
      <c r="AM315" s="200">
        <f t="shared" si="114"/>
        <v>1.0521409845616079</v>
      </c>
      <c r="AN315" s="200">
        <f t="shared" si="115"/>
        <v>1.2160864345738296</v>
      </c>
      <c r="AP315" s="355">
        <f t="shared" si="110"/>
        <v>1.6317229876551911</v>
      </c>
      <c r="AT315" s="179">
        <f t="shared" si="111"/>
        <v>1.6703236305707869E-2</v>
      </c>
    </row>
    <row r="316" spans="1:46" hidden="1" x14ac:dyDescent="0.25">
      <c r="A316" s="107">
        <v>44207</v>
      </c>
      <c r="B316" s="670">
        <v>8704</v>
      </c>
      <c r="C316" s="515">
        <f t="shared" si="119"/>
        <v>1730921</v>
      </c>
      <c r="D316" s="670">
        <v>160</v>
      </c>
      <c r="E316" s="515">
        <f t="shared" si="125"/>
        <v>44625</v>
      </c>
      <c r="F316" s="515">
        <f t="shared" si="102"/>
        <v>6965</v>
      </c>
      <c r="G316" s="515">
        <v>1518715</v>
      </c>
      <c r="H316" s="515">
        <v>3606</v>
      </c>
      <c r="I316" s="515">
        <v>32363</v>
      </c>
      <c r="J316" s="511">
        <f t="shared" si="122"/>
        <v>5243447</v>
      </c>
      <c r="K316" s="511"/>
      <c r="L316" s="541">
        <f t="shared" si="100"/>
        <v>2.5781072619720947E-2</v>
      </c>
      <c r="M316" s="522">
        <v>2785278</v>
      </c>
      <c r="N316" s="511">
        <f t="shared" si="126"/>
        <v>2785278.0257810727</v>
      </c>
      <c r="O316" s="520">
        <v>11973</v>
      </c>
      <c r="P316" s="511">
        <v>335669</v>
      </c>
      <c r="Q316" s="511">
        <v>1223533</v>
      </c>
      <c r="R316" s="510">
        <f t="shared" si="121"/>
        <v>159746</v>
      </c>
      <c r="S316" s="510">
        <f t="shared" si="101"/>
        <v>167581</v>
      </c>
      <c r="T316" s="507">
        <f t="shared" si="123"/>
        <v>-6</v>
      </c>
      <c r="U316" s="512">
        <f t="shared" si="127"/>
        <v>1579</v>
      </c>
      <c r="V316" s="512">
        <f>SUM(B303:B316)/POBLA!$B$25*100000</f>
        <v>309.40392653080278</v>
      </c>
      <c r="W316" s="512">
        <f>B316/POBLA!$B$25*100000</f>
        <v>19.180187571392707</v>
      </c>
      <c r="X316" s="513">
        <f t="shared" si="109"/>
        <v>1.6085048859561697</v>
      </c>
      <c r="Y316" s="519">
        <f t="shared" si="124"/>
        <v>2.1517952512516335E-2</v>
      </c>
      <c r="Z316" s="520">
        <f t="shared" si="128"/>
        <v>0.26497024858030299</v>
      </c>
      <c r="AA316" s="517">
        <f t="shared" si="106"/>
        <v>11711.571428571429</v>
      </c>
      <c r="AB316" s="517">
        <f t="shared" si="107"/>
        <v>145.85714285714286</v>
      </c>
      <c r="AC316" s="517">
        <f t="shared" si="120"/>
        <v>166.88729404555997</v>
      </c>
      <c r="AD316" s="517">
        <f t="shared" si="118"/>
        <v>21.030151188417108</v>
      </c>
      <c r="AE316" s="545">
        <f t="shared" si="103"/>
        <v>10029.142857142857</v>
      </c>
      <c r="AF316" s="537">
        <f t="shared" si="113"/>
        <v>1.4031355366525751</v>
      </c>
      <c r="AG316" s="200">
        <f t="shared" si="112"/>
        <v>0.13804812126068744</v>
      </c>
      <c r="AH316" s="4"/>
      <c r="AI316" s="200">
        <f t="shared" si="108"/>
        <v>1.3311603650586703</v>
      </c>
      <c r="AJ316" s="488">
        <f>MAX($B$2:B316)</f>
        <v>18326</v>
      </c>
      <c r="AK316" s="179">
        <f t="shared" si="104"/>
        <v>2.1807385890343665E-2</v>
      </c>
      <c r="AL316" s="179"/>
      <c r="AM316" s="200">
        <f t="shared" si="114"/>
        <v>1.0296973158195317</v>
      </c>
      <c r="AN316" s="200">
        <f t="shared" si="115"/>
        <v>1.3311603650586703</v>
      </c>
      <c r="AP316" s="355">
        <f t="shared" si="110"/>
        <v>1.6085048859561697</v>
      </c>
      <c r="AT316" s="179">
        <f t="shared" si="111"/>
        <v>1.687549456455046E-2</v>
      </c>
    </row>
    <row r="317" spans="1:46" hidden="1" x14ac:dyDescent="0.25">
      <c r="A317" s="107">
        <v>44208</v>
      </c>
      <c r="B317" s="670">
        <v>13783</v>
      </c>
      <c r="C317" s="515">
        <f t="shared" si="119"/>
        <v>1744704</v>
      </c>
      <c r="D317" s="670">
        <v>192</v>
      </c>
      <c r="E317" s="515">
        <f t="shared" si="125"/>
        <v>44817</v>
      </c>
      <c r="F317" s="515">
        <f t="shared" si="102"/>
        <v>9146</v>
      </c>
      <c r="G317" s="515">
        <v>1527861</v>
      </c>
      <c r="H317" s="515">
        <v>3619</v>
      </c>
      <c r="I317" s="515">
        <v>54031</v>
      </c>
      <c r="J317" s="511">
        <f t="shared" si="122"/>
        <v>5297478</v>
      </c>
      <c r="K317" s="511"/>
      <c r="L317" s="541">
        <f t="shared" si="100"/>
        <v>2.5687451854297348E-2</v>
      </c>
      <c r="M317" s="522">
        <v>2816031</v>
      </c>
      <c r="N317" s="511">
        <f t="shared" si="126"/>
        <v>2816031.0256874519</v>
      </c>
      <c r="O317" s="520">
        <v>12085</v>
      </c>
      <c r="P317" s="511">
        <v>337864</v>
      </c>
      <c r="Q317" s="511">
        <v>1234734</v>
      </c>
      <c r="R317" s="510">
        <f t="shared" si="121"/>
        <v>160021</v>
      </c>
      <c r="S317" s="510">
        <f t="shared" si="101"/>
        <v>172026</v>
      </c>
      <c r="T317" s="507">
        <f t="shared" si="123"/>
        <v>13</v>
      </c>
      <c r="U317" s="512">
        <f t="shared" si="127"/>
        <v>4445</v>
      </c>
      <c r="V317" s="512">
        <f>SUM(B304:B317)/POBLA!$B$25*100000</f>
        <v>314.10421836097055</v>
      </c>
      <c r="W317" s="512">
        <f>B317/POBLA!$B$25*100000</f>
        <v>30.372302998219862</v>
      </c>
      <c r="X317" s="513">
        <f t="shared" si="109"/>
        <v>1.5500326228795129</v>
      </c>
      <c r="Y317" s="519">
        <f t="shared" si="124"/>
        <v>2.1037517584551173E-2</v>
      </c>
      <c r="Z317" s="520">
        <f t="shared" si="128"/>
        <v>0.26159688537145775</v>
      </c>
      <c r="AA317" s="517">
        <f t="shared" si="106"/>
        <v>11710.571428571429</v>
      </c>
      <c r="AB317" s="517">
        <f t="shared" si="107"/>
        <v>151.71428571428572</v>
      </c>
      <c r="AC317" s="517">
        <f t="shared" si="120"/>
        <v>179.7078959595782</v>
      </c>
      <c r="AD317" s="517">
        <f t="shared" si="118"/>
        <v>27.993610245292473</v>
      </c>
      <c r="AE317" s="545">
        <f t="shared" si="103"/>
        <v>10181.5</v>
      </c>
      <c r="AF317" s="537">
        <f t="shared" si="113"/>
        <v>1.353443294203114</v>
      </c>
      <c r="AG317" s="200">
        <f t="shared" si="112"/>
        <v>0.129083283560538</v>
      </c>
      <c r="AH317" s="4"/>
      <c r="AI317" s="200">
        <f t="shared" si="108"/>
        <v>1.3846153846153848</v>
      </c>
      <c r="AJ317" s="488">
        <f>MAX($B$2:B317)</f>
        <v>18326</v>
      </c>
      <c r="AK317" s="179">
        <f t="shared" si="104"/>
        <v>2.2448634480426142E-2</v>
      </c>
      <c r="AL317" s="179"/>
      <c r="AM317" s="200">
        <f t="shared" si="114"/>
        <v>1.0459537572254336</v>
      </c>
      <c r="AN317" s="200">
        <f t="shared" si="115"/>
        <v>1.3846153846153848</v>
      </c>
      <c r="AP317" s="355">
        <f t="shared" si="110"/>
        <v>1.5500326228795129</v>
      </c>
      <c r="AT317" s="179">
        <f t="shared" si="111"/>
        <v>1.6556882341488742E-2</v>
      </c>
    </row>
    <row r="318" spans="1:46" hidden="1" x14ac:dyDescent="0.25">
      <c r="A318" s="107">
        <v>44209</v>
      </c>
      <c r="B318" s="670">
        <v>12725</v>
      </c>
      <c r="C318" s="515">
        <f t="shared" si="119"/>
        <v>1757429</v>
      </c>
      <c r="D318" s="670">
        <v>134</v>
      </c>
      <c r="E318" s="515">
        <f t="shared" si="125"/>
        <v>44951</v>
      </c>
      <c r="F318" s="515">
        <f t="shared" si="102"/>
        <v>8562</v>
      </c>
      <c r="G318" s="515">
        <v>1536423</v>
      </c>
      <c r="H318" s="515">
        <v>3636</v>
      </c>
      <c r="I318" s="515">
        <v>50648</v>
      </c>
      <c r="J318" s="511">
        <f t="shared" si="122"/>
        <v>5348126</v>
      </c>
      <c r="K318" s="511"/>
      <c r="L318" s="541">
        <f t="shared" si="100"/>
        <v>2.5577704703860015E-2</v>
      </c>
      <c r="M318" s="522">
        <v>2845101</v>
      </c>
      <c r="N318" s="511">
        <f t="shared" si="126"/>
        <v>2845101.0255777049</v>
      </c>
      <c r="O318" s="520">
        <v>12177</v>
      </c>
      <c r="P318" s="511">
        <v>339755</v>
      </c>
      <c r="Q318" s="511">
        <v>1245296</v>
      </c>
      <c r="R318" s="510">
        <f t="shared" si="121"/>
        <v>160201</v>
      </c>
      <c r="S318" s="510">
        <f t="shared" si="101"/>
        <v>176055</v>
      </c>
      <c r="T318" s="507">
        <f t="shared" si="123"/>
        <v>17</v>
      </c>
      <c r="U318" s="512">
        <f t="shared" si="127"/>
        <v>4029</v>
      </c>
      <c r="V318" s="512">
        <f>SUM(B305:B318)/POBLA!$B$25*100000</f>
        <v>316.21968022546241</v>
      </c>
      <c r="W318" s="512">
        <f>B318/POBLA!$B$25*100000</f>
        <v>28.040887735061144</v>
      </c>
      <c r="X318" s="513">
        <f t="shared" si="109"/>
        <v>1.4811936169773539</v>
      </c>
      <c r="Y318" s="519">
        <f t="shared" si="124"/>
        <v>2.0652636960040896E-2</v>
      </c>
      <c r="Z318" s="520">
        <f t="shared" si="128"/>
        <v>0.2580503791776228</v>
      </c>
      <c r="AA318" s="517">
        <f t="shared" si="106"/>
        <v>11608.285714285714</v>
      </c>
      <c r="AB318" s="517">
        <f t="shared" si="107"/>
        <v>143.57142857142858</v>
      </c>
      <c r="AC318" s="517">
        <f t="shared" si="120"/>
        <v>191.13681288313799</v>
      </c>
      <c r="AD318" s="517">
        <f t="shared" si="118"/>
        <v>47.565384311709408</v>
      </c>
      <c r="AE318" s="545">
        <f t="shared" si="103"/>
        <v>10250.071428571429</v>
      </c>
      <c r="AF318" s="537">
        <f t="shared" si="113"/>
        <v>1.3054962003759458</v>
      </c>
      <c r="AG318" s="200">
        <f t="shared" si="112"/>
        <v>0.11302528180456073</v>
      </c>
      <c r="AH318" s="4"/>
      <c r="AI318" s="200">
        <f t="shared" si="108"/>
        <v>1.2361623616236164</v>
      </c>
      <c r="AJ318" s="488">
        <f>MAX($B$2:B318)</f>
        <v>18326</v>
      </c>
      <c r="AK318" s="179">
        <f t="shared" si="104"/>
        <v>2.3274664196387219E-2</v>
      </c>
      <c r="AL318" s="179"/>
      <c r="AM318" s="200">
        <f t="shared" si="114"/>
        <v>1.032661175802329</v>
      </c>
      <c r="AN318" s="200">
        <f t="shared" si="115"/>
        <v>1.2361623616236164</v>
      </c>
      <c r="AP318" s="355">
        <f t="shared" si="110"/>
        <v>1.4811936169773541</v>
      </c>
      <c r="AT318" s="179">
        <f t="shared" si="111"/>
        <v>1.5507047406247663E-2</v>
      </c>
    </row>
    <row r="319" spans="1:46" hidden="1" x14ac:dyDescent="0.25">
      <c r="A319" s="107">
        <v>44210</v>
      </c>
      <c r="B319" s="670">
        <v>13286</v>
      </c>
      <c r="C319" s="515">
        <f t="shared" si="119"/>
        <v>1770715</v>
      </c>
      <c r="D319" s="675">
        <v>142</v>
      </c>
      <c r="E319" s="515">
        <f t="shared" si="125"/>
        <v>45093</v>
      </c>
      <c r="F319" s="515">
        <f t="shared" si="102"/>
        <v>13067</v>
      </c>
      <c r="G319" s="515">
        <v>1549490</v>
      </c>
      <c r="H319" s="515">
        <v>3634</v>
      </c>
      <c r="I319" s="515">
        <v>50729</v>
      </c>
      <c r="J319" s="511">
        <f t="shared" si="122"/>
        <v>5398855</v>
      </c>
      <c r="K319" s="511"/>
      <c r="L319" s="541">
        <f t="shared" si="100"/>
        <v>2.5465984079877338E-2</v>
      </c>
      <c r="M319" s="522">
        <v>2874691</v>
      </c>
      <c r="N319" s="511">
        <f t="shared" si="126"/>
        <v>2874691.0254659839</v>
      </c>
      <c r="O319" s="520">
        <v>12303</v>
      </c>
      <c r="P319" s="511">
        <v>342210</v>
      </c>
      <c r="Q319" s="511">
        <v>1255146</v>
      </c>
      <c r="R319" s="510">
        <f t="shared" si="121"/>
        <v>161056</v>
      </c>
      <c r="S319" s="510">
        <f t="shared" si="101"/>
        <v>176132</v>
      </c>
      <c r="T319" s="507">
        <f t="shared" si="123"/>
        <v>-2</v>
      </c>
      <c r="U319" s="512">
        <f t="shared" si="127"/>
        <v>77</v>
      </c>
      <c r="V319" s="512">
        <f>SUM(B306:B319)/POBLA!$B$25*100000</f>
        <v>319.96360700439124</v>
      </c>
      <c r="W319" s="512">
        <f>B319/POBLA!$B$25*100000</f>
        <v>29.277110762123563</v>
      </c>
      <c r="X319" s="513">
        <f t="shared" si="109"/>
        <v>1.4355911926678069</v>
      </c>
      <c r="Y319" s="519">
        <f t="shared" si="124"/>
        <v>2.0632253082915088E-2</v>
      </c>
      <c r="Z319" s="520">
        <f t="shared" si="128"/>
        <v>0.25504100109020239</v>
      </c>
      <c r="AA319" s="517">
        <f t="shared" si="106"/>
        <v>11529.857142857143</v>
      </c>
      <c r="AB319" s="517">
        <f t="shared" si="107"/>
        <v>143</v>
      </c>
      <c r="AC319" s="517">
        <f t="shared" si="120"/>
        <v>204.46560540593507</v>
      </c>
      <c r="AD319" s="517">
        <f t="shared" si="118"/>
        <v>61.465605405935065</v>
      </c>
      <c r="AE319" s="545">
        <f t="shared" si="103"/>
        <v>10371.428571428571</v>
      </c>
      <c r="AF319" s="537">
        <f t="shared" si="113"/>
        <v>1.251476950272131</v>
      </c>
      <c r="AG319" s="200">
        <f t="shared" si="112"/>
        <v>9.3172790466732769E-2</v>
      </c>
      <c r="AH319" s="4"/>
      <c r="AI319" s="200">
        <f t="shared" si="108"/>
        <v>1.1426940639269407</v>
      </c>
      <c r="AJ319" s="488">
        <f>MAX($B$2:B319)</f>
        <v>18326</v>
      </c>
      <c r="AK319" s="179">
        <f t="shared" si="104"/>
        <v>2.435641637062631E-2</v>
      </c>
      <c r="AL319" s="179"/>
      <c r="AM319" s="200">
        <f t="shared" si="114"/>
        <v>1.0210733352065187</v>
      </c>
      <c r="AN319" s="200">
        <f t="shared" si="115"/>
        <v>1.1426940639269407</v>
      </c>
      <c r="AP319" s="355">
        <f t="shared" si="110"/>
        <v>1.4355911926678069</v>
      </c>
      <c r="AT319" s="179">
        <f t="shared" si="111"/>
        <v>1.5043452892765017E-2</v>
      </c>
    </row>
    <row r="320" spans="1:46" hidden="1" x14ac:dyDescent="0.25">
      <c r="A320" s="107">
        <v>44211</v>
      </c>
      <c r="B320" s="670">
        <v>12332</v>
      </c>
      <c r="C320" s="515">
        <f t="shared" si="119"/>
        <v>1783047</v>
      </c>
      <c r="D320" s="670">
        <v>103</v>
      </c>
      <c r="E320" s="515">
        <f t="shared" si="125"/>
        <v>45196</v>
      </c>
      <c r="F320" s="515">
        <f t="shared" si="102"/>
        <v>12473</v>
      </c>
      <c r="G320" s="515">
        <v>1561963</v>
      </c>
      <c r="H320" s="515">
        <v>3578</v>
      </c>
      <c r="I320" s="515">
        <v>52120</v>
      </c>
      <c r="J320" s="511">
        <f t="shared" si="122"/>
        <v>5450975</v>
      </c>
      <c r="K320" s="511"/>
      <c r="L320" s="541">
        <f t="shared" si="100"/>
        <v>2.5347621234886125E-2</v>
      </c>
      <c r="M320" s="522">
        <v>2906590</v>
      </c>
      <c r="N320" s="511">
        <f t="shared" si="126"/>
        <v>2906590.0253476212</v>
      </c>
      <c r="O320" s="520">
        <v>12408</v>
      </c>
      <c r="P320" s="511">
        <v>344202</v>
      </c>
      <c r="Q320" s="511">
        <v>1264935</v>
      </c>
      <c r="R320" s="510">
        <f t="shared" si="121"/>
        <v>161502</v>
      </c>
      <c r="S320" s="510">
        <f t="shared" si="101"/>
        <v>175888</v>
      </c>
      <c r="T320" s="507">
        <f t="shared" si="123"/>
        <v>-56</v>
      </c>
      <c r="U320" s="512">
        <f t="shared" si="127"/>
        <v>-244</v>
      </c>
      <c r="V320" s="512">
        <f>SUM(B307:B320)/POBLA!$B$25*100000</f>
        <v>338.14996822069452</v>
      </c>
      <c r="W320" s="512">
        <f>B320/POBLA!$B$25*100000</f>
        <v>27.174870534284796</v>
      </c>
      <c r="X320" s="513">
        <f t="shared" si="109"/>
        <v>1.5623396456933414</v>
      </c>
      <c r="Y320" s="519">
        <f t="shared" si="124"/>
        <v>2.0342490675884655E-2</v>
      </c>
      <c r="Z320" s="520">
        <f t="shared" si="128"/>
        <v>0.25687680099018201</v>
      </c>
      <c r="AA320" s="517">
        <f t="shared" si="106"/>
        <v>11385</v>
      </c>
      <c r="AB320" s="517">
        <f t="shared" si="107"/>
        <v>136.14285714285714</v>
      </c>
      <c r="AC320" s="517">
        <f t="shared" si="120"/>
        <v>208.87118070951593</v>
      </c>
      <c r="AD320" s="517">
        <f t="shared" si="118"/>
        <v>72.728323566658787</v>
      </c>
      <c r="AE320" s="545">
        <f t="shared" si="103"/>
        <v>10960.928571428571</v>
      </c>
      <c r="AF320" s="520">
        <f t="shared" si="113"/>
        <v>1.0804929634751483</v>
      </c>
      <c r="AG320" s="200">
        <f t="shared" si="112"/>
        <v>7.1096685402495474E-2</v>
      </c>
      <c r="AH320" s="4"/>
      <c r="AI320" s="200">
        <f t="shared" si="108"/>
        <v>0.99895178197064993</v>
      </c>
      <c r="AJ320" s="488">
        <f>MAX($B$2:B320)</f>
        <v>18326</v>
      </c>
      <c r="AK320" s="179">
        <f t="shared" si="104"/>
        <v>2.2683995049033609E-2</v>
      </c>
      <c r="AL320" s="179"/>
      <c r="AM320" s="200">
        <f t="shared" si="114"/>
        <v>0.99333703498056636</v>
      </c>
      <c r="AN320" s="200">
        <f t="shared" si="115"/>
        <v>0.99895178197064993</v>
      </c>
      <c r="AP320" s="355">
        <f t="shared" si="110"/>
        <v>1.5623396456933414</v>
      </c>
      <c r="AT320" s="179">
        <f t="shared" si="111"/>
        <v>1.4511223642016383E-2</v>
      </c>
    </row>
    <row r="321" spans="1:46" hidden="1" x14ac:dyDescent="0.25">
      <c r="A321" s="107">
        <v>44212</v>
      </c>
      <c r="B321" s="670">
        <v>8932</v>
      </c>
      <c r="C321" s="515">
        <f t="shared" si="119"/>
        <v>1791979</v>
      </c>
      <c r="D321" s="670">
        <v>68</v>
      </c>
      <c r="E321" s="515">
        <f t="shared" si="125"/>
        <v>45264</v>
      </c>
      <c r="F321" s="515">
        <f t="shared" si="102"/>
        <v>11141</v>
      </c>
      <c r="G321" s="515">
        <v>1573104</v>
      </c>
      <c r="H321" s="515">
        <v>3578</v>
      </c>
      <c r="I321" s="515">
        <v>43513</v>
      </c>
      <c r="J321" s="511">
        <f t="shared" si="122"/>
        <v>5494488</v>
      </c>
      <c r="K321" s="511"/>
      <c r="L321" s="541">
        <f t="shared" si="100"/>
        <v>2.5259224577966595E-2</v>
      </c>
      <c r="M321" s="522">
        <v>2934432</v>
      </c>
      <c r="N321" s="511">
        <f t="shared" si="126"/>
        <v>2934432.0252592247</v>
      </c>
      <c r="O321" s="520">
        <v>12474</v>
      </c>
      <c r="P321" s="511">
        <v>345365</v>
      </c>
      <c r="Q321" s="511">
        <v>1271065</v>
      </c>
      <c r="R321" s="510">
        <f t="shared" si="121"/>
        <v>163075</v>
      </c>
      <c r="S321" s="510">
        <f t="shared" si="101"/>
        <v>173611</v>
      </c>
      <c r="T321" s="507">
        <f t="shared" si="123"/>
        <v>0</v>
      </c>
      <c r="U321" s="512">
        <f t="shared" si="127"/>
        <v>-2277</v>
      </c>
      <c r="V321" s="512">
        <f>SUM(B308:B321)/POBLA!$B$25*100000</f>
        <v>346.28568197455269</v>
      </c>
      <c r="W321" s="512">
        <f>B321/POBLA!$B$25*100000</f>
        <v>19.68260976420952</v>
      </c>
      <c r="X321" s="513">
        <f t="shared" si="109"/>
        <v>1.6090206317513951</v>
      </c>
      <c r="Y321" s="519">
        <f t="shared" si="124"/>
        <v>2.0609293189947642E-2</v>
      </c>
      <c r="Z321" s="520">
        <f t="shared" si="128"/>
        <v>0.24107356519739317</v>
      </c>
      <c r="AA321" s="517">
        <f t="shared" si="106"/>
        <v>11081.428571428571</v>
      </c>
      <c r="AB321" s="517">
        <f t="shared" si="107"/>
        <v>125.28571428571429</v>
      </c>
      <c r="AC321" s="517">
        <f t="shared" si="120"/>
        <v>214.2547469651353</v>
      </c>
      <c r="AD321" s="517">
        <f t="shared" si="118"/>
        <v>88.969032679421005</v>
      </c>
      <c r="AE321" s="545">
        <f t="shared" si="103"/>
        <v>11224.642857142857</v>
      </c>
      <c r="AF321" s="520">
        <f t="shared" si="113"/>
        <v>0.97480364436066591</v>
      </c>
      <c r="AG321" s="200">
        <f t="shared" si="112"/>
        <v>4.7793496366752786E-2</v>
      </c>
      <c r="AH321" s="4"/>
      <c r="AI321" s="200">
        <f t="shared" si="108"/>
        <v>0.84165067178502884</v>
      </c>
      <c r="AJ321" s="488">
        <f>MAX($B$2:B321)</f>
        <v>18326</v>
      </c>
      <c r="AK321" s="179">
        <f t="shared" si="104"/>
        <v>2.0219020172910662E-2</v>
      </c>
      <c r="AL321" s="179"/>
      <c r="AM321" s="200">
        <f t="shared" si="114"/>
        <v>0.99471782040589385</v>
      </c>
      <c r="AN321" s="200">
        <f t="shared" si="115"/>
        <v>0.84165067178502884</v>
      </c>
      <c r="AP321" s="355">
        <f t="shared" si="110"/>
        <v>1.6090206317513951</v>
      </c>
      <c r="AT321" s="179">
        <f t="shared" si="111"/>
        <v>1.4046717761493533E-2</v>
      </c>
    </row>
    <row r="322" spans="1:46" hidden="1" x14ac:dyDescent="0.25">
      <c r="A322" s="107">
        <v>44213</v>
      </c>
      <c r="B322" s="670">
        <v>7264</v>
      </c>
      <c r="C322" s="515">
        <f t="shared" si="119"/>
        <v>1799243</v>
      </c>
      <c r="D322" s="670">
        <v>112</v>
      </c>
      <c r="E322" s="515">
        <f t="shared" si="125"/>
        <v>45376</v>
      </c>
      <c r="F322" s="515">
        <f t="shared" si="102"/>
        <v>10361</v>
      </c>
      <c r="G322" s="515">
        <v>1583465</v>
      </c>
      <c r="H322" s="515">
        <v>3547</v>
      </c>
      <c r="I322" s="515">
        <v>39591</v>
      </c>
      <c r="J322" s="511">
        <f t="shared" si="122"/>
        <v>5534079</v>
      </c>
      <c r="K322" s="511"/>
      <c r="L322" s="541">
        <f t="shared" ref="L322:L385" si="129">E322/C322</f>
        <v>2.5219495087656307E-2</v>
      </c>
      <c r="M322" s="522">
        <v>2961095</v>
      </c>
      <c r="N322" s="511">
        <f t="shared" si="126"/>
        <v>2961095.0252194949</v>
      </c>
      <c r="O322" s="520">
        <v>12530</v>
      </c>
      <c r="P322" s="511">
        <v>346241</v>
      </c>
      <c r="Q322" s="511">
        <v>1275780</v>
      </c>
      <c r="R322" s="510">
        <f t="shared" si="121"/>
        <v>164692</v>
      </c>
      <c r="S322" s="510">
        <f t="shared" ref="S322:S385" si="130">C322-E322-G322</f>
        <v>170402</v>
      </c>
      <c r="T322" s="507">
        <f t="shared" si="123"/>
        <v>-31</v>
      </c>
      <c r="U322" s="512">
        <f t="shared" si="127"/>
        <v>-3209</v>
      </c>
      <c r="V322" s="512">
        <f>SUM(B309:B322)/POBLA!$B$25*100000</f>
        <v>349.32665840475971</v>
      </c>
      <c r="W322" s="512">
        <f>B322/POBLA!$B$25*100000</f>
        <v>16.006994774654942</v>
      </c>
      <c r="X322" s="513">
        <f t="shared" si="109"/>
        <v>1.5942896221576337</v>
      </c>
      <c r="Y322" s="519">
        <f t="shared" si="124"/>
        <v>2.0815483386345229E-2</v>
      </c>
      <c r="Z322" s="520">
        <f t="shared" si="128"/>
        <v>0.23847427978761282</v>
      </c>
      <c r="AA322" s="517">
        <f t="shared" si="106"/>
        <v>11003.714285714286</v>
      </c>
      <c r="AB322" s="517">
        <f t="shared" si="107"/>
        <v>130.14285714285714</v>
      </c>
      <c r="AC322" s="517">
        <f t="shared" si="120"/>
        <v>217.24437471887308</v>
      </c>
      <c r="AD322" s="517">
        <f t="shared" si="118"/>
        <v>87.101517576015937</v>
      </c>
      <c r="AE322" s="545">
        <f t="shared" si="103"/>
        <v>11323.214285714286</v>
      </c>
      <c r="AF322" s="520">
        <f t="shared" si="113"/>
        <v>0.94511589099252746</v>
      </c>
      <c r="AG322" s="200">
        <f t="shared" si="112"/>
        <v>2.6505704750545256E-2</v>
      </c>
      <c r="AH322" s="4"/>
      <c r="AI322" s="200">
        <f t="shared" si="108"/>
        <v>0.89930898321816377</v>
      </c>
      <c r="AJ322" s="488">
        <f>MAX($B$2:B322)</f>
        <v>18326</v>
      </c>
      <c r="AK322" s="179">
        <f t="shared" si="104"/>
        <v>1.9430935926968689E-2</v>
      </c>
      <c r="AL322" s="179"/>
      <c r="AM322" s="200">
        <f t="shared" si="114"/>
        <v>0.98200442967884827</v>
      </c>
      <c r="AN322" s="200">
        <f t="shared" si="115"/>
        <v>0.89930898321816377</v>
      </c>
      <c r="AP322" s="355">
        <f t="shared" si="110"/>
        <v>1.5942896221576337</v>
      </c>
      <c r="AT322" s="179">
        <f t="shared" si="111"/>
        <v>1.3935916436765733E-2</v>
      </c>
    </row>
    <row r="323" spans="1:46" hidden="1" x14ac:dyDescent="0.25">
      <c r="A323" s="107">
        <v>44214</v>
      </c>
      <c r="B323" s="670">
        <v>8185</v>
      </c>
      <c r="C323" s="515">
        <f t="shared" si="119"/>
        <v>1807428</v>
      </c>
      <c r="D323" s="670">
        <v>424</v>
      </c>
      <c r="E323" s="515">
        <f t="shared" si="125"/>
        <v>45800</v>
      </c>
      <c r="F323" s="515">
        <f t="shared" ref="F323:F386" si="131">G323-G322</f>
        <v>11303</v>
      </c>
      <c r="G323" s="515">
        <v>1594768</v>
      </c>
      <c r="H323" s="515">
        <v>3564</v>
      </c>
      <c r="I323" s="515">
        <v>41451</v>
      </c>
      <c r="J323" s="511">
        <f t="shared" si="122"/>
        <v>5575530</v>
      </c>
      <c r="K323" s="511"/>
      <c r="L323" s="541">
        <f t="shared" si="129"/>
        <v>2.533987522601177E-2</v>
      </c>
      <c r="M323" s="522">
        <v>2987077</v>
      </c>
      <c r="N323" s="511">
        <f t="shared" si="126"/>
        <v>2987077.0253398754</v>
      </c>
      <c r="O323" s="520">
        <v>12585</v>
      </c>
      <c r="P323" s="511">
        <v>347936</v>
      </c>
      <c r="Q323" s="511">
        <v>1285430</v>
      </c>
      <c r="R323" s="510">
        <f t="shared" si="121"/>
        <v>161477</v>
      </c>
      <c r="S323" s="510">
        <f t="shared" si="130"/>
        <v>166860</v>
      </c>
      <c r="T323" s="507">
        <f t="shared" si="123"/>
        <v>17</v>
      </c>
      <c r="U323" s="512">
        <f t="shared" si="127"/>
        <v>-3542</v>
      </c>
      <c r="V323" s="512">
        <f>SUM(B310:B323)/POBLA!$B$25*100000</f>
        <v>349.24512497873246</v>
      </c>
      <c r="W323" s="512">
        <f>B323/POBLA!$B$25*100000</f>
        <v>18.036516000901806</v>
      </c>
      <c r="X323" s="513">
        <f t="shared" si="109"/>
        <v>1.5568259955600086</v>
      </c>
      <c r="Y323" s="519">
        <f t="shared" si="124"/>
        <v>2.1359223300970873E-2</v>
      </c>
      <c r="Z323" s="520">
        <f t="shared" si="128"/>
        <v>0.23038517479063969</v>
      </c>
      <c r="AA323" s="517">
        <f t="shared" si="106"/>
        <v>10929.571428571429</v>
      </c>
      <c r="AB323" s="517">
        <f t="shared" si="107"/>
        <v>167.85714285714286</v>
      </c>
      <c r="AC323" s="517">
        <f t="shared" si="120"/>
        <v>220.71763054707009</v>
      </c>
      <c r="AD323" s="517">
        <f t="shared" si="118"/>
        <v>52.860487689927226</v>
      </c>
      <c r="AE323" s="545">
        <f t="shared" ref="AE323:AE386" si="132">AVERAGE(B310:B323)</f>
        <v>11320.571428571429</v>
      </c>
      <c r="AF323" s="520">
        <f t="shared" si="113"/>
        <v>0.93322843097790953</v>
      </c>
      <c r="AG323" s="200">
        <f t="shared" si="112"/>
        <v>-4.3023970497848563E-3</v>
      </c>
      <c r="AH323" s="4"/>
      <c r="AI323" s="200">
        <f t="shared" si="108"/>
        <v>1.1508325171400589</v>
      </c>
      <c r="AJ323" s="488">
        <f>MAX($B$2:B323)</f>
        <v>18326</v>
      </c>
      <c r="AK323" s="179">
        <f t="shared" si="104"/>
        <v>2.3470427261650322E-2</v>
      </c>
      <c r="AL323" s="179"/>
      <c r="AM323" s="200">
        <f t="shared" si="114"/>
        <v>0.98835274542429286</v>
      </c>
      <c r="AN323" s="200">
        <f t="shared" si="115"/>
        <v>1.1508325171400589</v>
      </c>
      <c r="AP323" s="355">
        <f t="shared" si="110"/>
        <v>1.5568259955600088</v>
      </c>
      <c r="AT323" s="179">
        <f t="shared" si="111"/>
        <v>1.50448273693013E-2</v>
      </c>
    </row>
    <row r="324" spans="1:46" hidden="1" x14ac:dyDescent="0.25">
      <c r="A324" s="107">
        <v>44215</v>
      </c>
      <c r="B324" s="670">
        <v>12141</v>
      </c>
      <c r="C324" s="515">
        <f t="shared" si="119"/>
        <v>1819569</v>
      </c>
      <c r="D324" s="670">
        <v>235</v>
      </c>
      <c r="E324" s="515">
        <f t="shared" si="125"/>
        <v>46035</v>
      </c>
      <c r="F324" s="515">
        <f t="shared" si="131"/>
        <v>9605</v>
      </c>
      <c r="G324" s="515">
        <v>1604373</v>
      </c>
      <c r="H324" s="515">
        <v>3562</v>
      </c>
      <c r="I324" s="515">
        <v>49566</v>
      </c>
      <c r="J324" s="511">
        <f t="shared" si="122"/>
        <v>5625096</v>
      </c>
      <c r="K324" s="511"/>
      <c r="L324" s="541">
        <f t="shared" si="129"/>
        <v>2.5299947405127258E-2</v>
      </c>
      <c r="M324" s="522">
        <v>3016503</v>
      </c>
      <c r="N324" s="511">
        <f t="shared" si="126"/>
        <v>3016503.0252999472</v>
      </c>
      <c r="O324" s="520">
        <v>12688</v>
      </c>
      <c r="P324" s="511">
        <v>349683</v>
      </c>
      <c r="Q324" s="511">
        <v>1295213</v>
      </c>
      <c r="R324" s="510">
        <f t="shared" si="121"/>
        <v>161985</v>
      </c>
      <c r="S324" s="510">
        <f t="shared" si="130"/>
        <v>169161</v>
      </c>
      <c r="T324" s="507">
        <f t="shared" si="123"/>
        <v>-2</v>
      </c>
      <c r="U324" s="512">
        <f t="shared" si="127"/>
        <v>2301</v>
      </c>
      <c r="V324" s="512">
        <f>SUM(B311:B324)/POBLA!$B$25*100000</f>
        <v>345.61137850524597</v>
      </c>
      <c r="W324" s="512">
        <f>B324/POBLA!$B$25*100000</f>
        <v>26.753981767495272</v>
      </c>
      <c r="X324" s="513">
        <f t="shared" si="109"/>
        <v>1.4596327628407366</v>
      </c>
      <c r="Y324" s="519">
        <f t="shared" si="124"/>
        <v>2.1056862988513902E-2</v>
      </c>
      <c r="Z324" s="520">
        <f t="shared" si="128"/>
        <v>0.22851308536161016</v>
      </c>
      <c r="AA324" s="517">
        <f t="shared" si="106"/>
        <v>10695</v>
      </c>
      <c r="AB324" s="517">
        <f t="shared" si="107"/>
        <v>174</v>
      </c>
      <c r="AC324" s="517">
        <f t="shared" si="120"/>
        <v>227.69001109191336</v>
      </c>
      <c r="AD324" s="517">
        <f t="shared" si="118"/>
        <v>53.690011091913362</v>
      </c>
      <c r="AE324" s="545">
        <f t="shared" si="132"/>
        <v>11202.785714285714</v>
      </c>
      <c r="AF324" s="520">
        <f t="shared" si="113"/>
        <v>0.91327738063288355</v>
      </c>
      <c r="AG324" s="200">
        <f t="shared" si="112"/>
        <v>-1.665445920965436E-2</v>
      </c>
      <c r="AH324" s="4"/>
      <c r="AI324" s="200">
        <f t="shared" si="108"/>
        <v>1.1468926553672316</v>
      </c>
      <c r="AJ324" s="488">
        <f>MAX($B$2:B324)</f>
        <v>18326</v>
      </c>
      <c r="AK324" s="179">
        <f t="shared" si="104"/>
        <v>2.2624686542212318E-2</v>
      </c>
      <c r="AL324" s="179"/>
      <c r="AM324" s="200">
        <f t="shared" si="114"/>
        <v>0.98424979276043101</v>
      </c>
      <c r="AN324" s="200">
        <f t="shared" si="115"/>
        <v>1.1468926553672316</v>
      </c>
      <c r="AP324" s="355">
        <f t="shared" si="110"/>
        <v>1.4596327628407366</v>
      </c>
      <c r="AT324" s="179">
        <f t="shared" si="111"/>
        <v>1.5275761452329275E-2</v>
      </c>
    </row>
    <row r="325" spans="1:46" hidden="1" x14ac:dyDescent="0.25">
      <c r="A325" s="107">
        <v>44216</v>
      </c>
      <c r="B325" s="670">
        <v>12112</v>
      </c>
      <c r="C325" s="515">
        <f t="shared" si="119"/>
        <v>1831681</v>
      </c>
      <c r="D325" s="670">
        <v>149</v>
      </c>
      <c r="E325" s="515">
        <f t="shared" si="125"/>
        <v>46184</v>
      </c>
      <c r="F325" s="515">
        <f t="shared" si="131"/>
        <v>9400</v>
      </c>
      <c r="G325" s="515">
        <v>1613773</v>
      </c>
      <c r="H325" s="515">
        <v>3605</v>
      </c>
      <c r="I325" s="515">
        <v>54998</v>
      </c>
      <c r="J325" s="511">
        <f t="shared" si="122"/>
        <v>5680094</v>
      </c>
      <c r="K325" s="511"/>
      <c r="L325" s="541">
        <f t="shared" si="129"/>
        <v>2.5213997415488833E-2</v>
      </c>
      <c r="M325" s="522">
        <v>3071885</v>
      </c>
      <c r="N325" s="511">
        <f t="shared" si="126"/>
        <v>3071885.0252139973</v>
      </c>
      <c r="O325" s="520"/>
      <c r="P325" s="511"/>
      <c r="Q325" s="511"/>
      <c r="R325" s="511"/>
      <c r="S325" s="516">
        <f t="shared" si="130"/>
        <v>171724</v>
      </c>
      <c r="T325" s="507">
        <f t="shared" si="123"/>
        <v>43</v>
      </c>
      <c r="U325" s="512">
        <f t="shared" si="127"/>
        <v>2563</v>
      </c>
      <c r="V325" s="512">
        <f>SUM(B312:B325)/POBLA!$B$25*100000</f>
        <v>342.68278598659003</v>
      </c>
      <c r="W325" s="512">
        <f>B325/POBLA!$B$25*100000</f>
        <v>26.690077190338748</v>
      </c>
      <c r="X325" s="513">
        <f t="shared" si="109"/>
        <v>1.3846989475183873</v>
      </c>
      <c r="Y325" s="519">
        <f t="shared" si="124"/>
        <v>2.0992988749388555E-2</v>
      </c>
      <c r="Z325" s="520">
        <f t="shared" si="128"/>
        <v>0.22367216117216118</v>
      </c>
      <c r="AA325" s="517">
        <f t="shared" si="106"/>
        <v>10607.428571428571</v>
      </c>
      <c r="AB325" s="517">
        <f t="shared" si="107"/>
        <v>176.14285714285714</v>
      </c>
      <c r="AC325" s="517">
        <f t="shared" si="120"/>
        <v>233.12749952123025</v>
      </c>
      <c r="AD325" s="517">
        <f t="shared" si="118"/>
        <v>56.98464237837311</v>
      </c>
      <c r="AE325" s="545">
        <f t="shared" si="132"/>
        <v>11107.857142857143</v>
      </c>
      <c r="AF325" s="520">
        <f t="shared" si="113"/>
        <v>0.91378079696768311</v>
      </c>
      <c r="AG325" s="200">
        <f t="shared" si="112"/>
        <v>-2.4600266962028883E-2</v>
      </c>
      <c r="AH325" s="4"/>
      <c r="AI325" s="200">
        <f t="shared" si="108"/>
        <v>1.2268656716417909</v>
      </c>
      <c r="AJ325" s="488">
        <f>MAX($B$2:B325)</f>
        <v>18326</v>
      </c>
      <c r="AK325" s="179">
        <f t="shared" si="104"/>
        <v>2.2401889534883718E-2</v>
      </c>
      <c r="AL325" s="179"/>
      <c r="AM325" s="200">
        <f t="shared" si="114"/>
        <v>0.99147414741474149</v>
      </c>
      <c r="AN325" s="200">
        <f t="shared" si="115"/>
        <v>1.2268656716417909</v>
      </c>
      <c r="AP325" s="355">
        <f t="shared" si="110"/>
        <v>1.3846989475183873</v>
      </c>
      <c r="AT325" s="179">
        <f t="shared" si="111"/>
        <v>1.4816741230675152E-2</v>
      </c>
    </row>
    <row r="326" spans="1:46" hidden="1" x14ac:dyDescent="0.25">
      <c r="A326" s="107">
        <v>44217</v>
      </c>
      <c r="B326" s="676">
        <v>11396</v>
      </c>
      <c r="C326" s="515">
        <f t="shared" si="119"/>
        <v>1843077</v>
      </c>
      <c r="D326" s="670">
        <v>142</v>
      </c>
      <c r="E326" s="515">
        <f t="shared" si="125"/>
        <v>46326</v>
      </c>
      <c r="F326" s="515">
        <f t="shared" si="131"/>
        <v>11982</v>
      </c>
      <c r="G326" s="515">
        <v>1625755</v>
      </c>
      <c r="H326" s="515">
        <v>3616</v>
      </c>
      <c r="I326" s="515">
        <v>53963</v>
      </c>
      <c r="J326" s="511">
        <f t="shared" si="122"/>
        <v>5734057</v>
      </c>
      <c r="K326" s="511"/>
      <c r="L326" s="541">
        <f t="shared" si="129"/>
        <v>2.5135140854126006E-2</v>
      </c>
      <c r="M326" s="522">
        <v>3085519</v>
      </c>
      <c r="N326" s="511">
        <f t="shared" si="126"/>
        <v>3085519.0251351409</v>
      </c>
      <c r="O326" s="520"/>
      <c r="P326" s="511"/>
      <c r="Q326" s="511"/>
      <c r="R326" s="511"/>
      <c r="S326" s="516">
        <f t="shared" si="130"/>
        <v>170996</v>
      </c>
      <c r="T326" s="507">
        <f t="shared" si="123"/>
        <v>11</v>
      </c>
      <c r="U326" s="512">
        <f t="shared" si="127"/>
        <v>-728</v>
      </c>
      <c r="V326" s="512">
        <f>SUM(B313:B326)/POBLA!$B$25*100000</f>
        <v>337.30819068711543</v>
      </c>
      <c r="W326" s="512">
        <f>B326/POBLA!$B$25*100000</f>
        <v>25.112295216405247</v>
      </c>
      <c r="X326" s="513">
        <f t="shared" si="109"/>
        <v>1.2936379155891351</v>
      </c>
      <c r="Y326" s="519">
        <f t="shared" si="124"/>
        <v>2.1146693489906197E-2</v>
      </c>
      <c r="Z326" s="520">
        <f t="shared" si="128"/>
        <v>0.21587580026372158</v>
      </c>
      <c r="AA326" s="517">
        <f t="shared" si="106"/>
        <v>10337.428571428571</v>
      </c>
      <c r="AB326" s="517">
        <f t="shared" si="107"/>
        <v>176.14285714285714</v>
      </c>
      <c r="AC326" s="517">
        <f t="shared" si="120"/>
        <v>240.36577148246809</v>
      </c>
      <c r="AD326" s="517">
        <f t="shared" si="118"/>
        <v>64.222914339610952</v>
      </c>
      <c r="AE326" s="545">
        <f t="shared" si="132"/>
        <v>10933.642857142857</v>
      </c>
      <c r="AF326" s="520">
        <f t="shared" si="113"/>
        <v>0.89657906800976339</v>
      </c>
      <c r="AG326" s="200">
        <f t="shared" si="112"/>
        <v>-2.9159948220652709E-2</v>
      </c>
      <c r="AH326" s="4"/>
      <c r="AI326" s="200">
        <f t="shared" si="108"/>
        <v>1.2317682317682317</v>
      </c>
      <c r="AJ326" s="488">
        <f>MAX($B$2:B326)</f>
        <v>18326</v>
      </c>
      <c r="AK326" s="179">
        <f t="shared" si="104"/>
        <v>2.1797160888857459E-2</v>
      </c>
      <c r="AL326" s="179"/>
      <c r="AM326" s="200">
        <f t="shared" si="114"/>
        <v>0.99504678040726469</v>
      </c>
      <c r="AN326" s="200">
        <f t="shared" si="115"/>
        <v>1.2317682317682317</v>
      </c>
      <c r="AP326" s="355">
        <f t="shared" si="110"/>
        <v>1.2936379155891351</v>
      </c>
      <c r="AT326" s="179">
        <f t="shared" si="111"/>
        <v>1.4256527147513187E-2</v>
      </c>
    </row>
    <row r="327" spans="1:46" hidden="1" x14ac:dyDescent="0.25">
      <c r="A327" s="107">
        <v>44218</v>
      </c>
      <c r="B327" s="670">
        <v>10753</v>
      </c>
      <c r="C327" s="515">
        <f t="shared" si="119"/>
        <v>1853830</v>
      </c>
      <c r="D327" s="670">
        <v>220</v>
      </c>
      <c r="E327" s="515">
        <f t="shared" si="125"/>
        <v>46546</v>
      </c>
      <c r="F327" s="515">
        <f t="shared" si="131"/>
        <v>11071</v>
      </c>
      <c r="G327" s="515">
        <v>1636826</v>
      </c>
      <c r="H327" s="515">
        <v>3631</v>
      </c>
      <c r="I327" s="515">
        <v>55439</v>
      </c>
      <c r="J327" s="511">
        <f t="shared" si="122"/>
        <v>5789496</v>
      </c>
      <c r="K327" s="511"/>
      <c r="L327" s="541">
        <f t="shared" si="129"/>
        <v>2.5108019613448915E-2</v>
      </c>
      <c r="M327" s="522">
        <v>3122500</v>
      </c>
      <c r="N327" s="511">
        <f t="shared" si="126"/>
        <v>3122500.0251080198</v>
      </c>
      <c r="O327" s="520"/>
      <c r="P327" s="511"/>
      <c r="Q327" s="511"/>
      <c r="R327" s="511"/>
      <c r="S327" s="516">
        <f t="shared" si="130"/>
        <v>170458</v>
      </c>
      <c r="T327" s="507">
        <f t="shared" si="123"/>
        <v>15</v>
      </c>
      <c r="U327" s="512">
        <f t="shared" si="127"/>
        <v>-538</v>
      </c>
      <c r="V327" s="512">
        <f>SUM(B314:B327)/POBLA!$B$25*100000</f>
        <v>331.59424004687861</v>
      </c>
      <c r="W327" s="512">
        <f>B327/POBLA!$B$25*100000</f>
        <v>23.695376488417484</v>
      </c>
      <c r="X327" s="513">
        <f t="shared" si="109"/>
        <v>1.1683255951179365</v>
      </c>
      <c r="Y327" s="519">
        <f t="shared" si="124"/>
        <v>2.130143495758486E-2</v>
      </c>
      <c r="Z327" s="520">
        <f t="shared" si="128"/>
        <v>0.20909485674448558</v>
      </c>
      <c r="AA327" s="517">
        <f t="shared" si="106"/>
        <v>10111.857142857143</v>
      </c>
      <c r="AB327" s="517">
        <f t="shared" si="107"/>
        <v>192.85714285714286</v>
      </c>
      <c r="AC327" s="517">
        <f t="shared" si="120"/>
        <v>273.6851634726284</v>
      </c>
      <c r="AD327" s="517">
        <f t="shared" si="118"/>
        <v>80.828020615485542</v>
      </c>
      <c r="AE327" s="545">
        <f t="shared" si="132"/>
        <v>10748.428571428571</v>
      </c>
      <c r="AF327" s="520">
        <f t="shared" si="113"/>
        <v>0.88817366208670556</v>
      </c>
      <c r="AG327" s="200">
        <f t="shared" si="112"/>
        <v>-3.0871918493586836E-2</v>
      </c>
      <c r="AH327" s="4"/>
      <c r="AI327" s="200">
        <f t="shared" si="108"/>
        <v>1.4165792235047221</v>
      </c>
      <c r="AJ327" s="488">
        <f>MAX($B$2:B327)</f>
        <v>18326</v>
      </c>
      <c r="AK327" s="179">
        <f t="shared" si="104"/>
        <v>2.3510562337820659E-2</v>
      </c>
      <c r="AL327" s="179"/>
      <c r="AM327" s="200">
        <f t="shared" si="114"/>
        <v>1.0148127445500279</v>
      </c>
      <c r="AN327" s="200">
        <f t="shared" si="115"/>
        <v>1.4165792235047221</v>
      </c>
      <c r="AP327" s="355">
        <f t="shared" si="110"/>
        <v>1.1683255951179365</v>
      </c>
      <c r="AT327" s="179">
        <f t="shared" si="111"/>
        <v>1.4701774352076974E-2</v>
      </c>
    </row>
    <row r="328" spans="1:46" hidden="1" x14ac:dyDescent="0.25">
      <c r="A328" s="107">
        <v>44219</v>
      </c>
      <c r="B328" s="670">
        <v>8362</v>
      </c>
      <c r="C328" s="515">
        <f t="shared" si="119"/>
        <v>1862192</v>
      </c>
      <c r="D328" s="670">
        <v>162</v>
      </c>
      <c r="E328" s="515">
        <f t="shared" si="125"/>
        <v>46708</v>
      </c>
      <c r="F328" s="515">
        <f t="shared" si="131"/>
        <v>9842</v>
      </c>
      <c r="G328" s="515">
        <v>1646668</v>
      </c>
      <c r="H328" s="515">
        <v>3618</v>
      </c>
      <c r="I328" s="515">
        <v>46643</v>
      </c>
      <c r="J328" s="511">
        <f t="shared" si="122"/>
        <v>5836139</v>
      </c>
      <c r="K328" s="511"/>
      <c r="L328" s="541">
        <f t="shared" si="129"/>
        <v>2.5082268638249975E-2</v>
      </c>
      <c r="M328" s="522">
        <v>3152824</v>
      </c>
      <c r="N328" s="511">
        <f t="shared" si="126"/>
        <v>3152824.0250822688</v>
      </c>
      <c r="O328" s="520"/>
      <c r="P328" s="511"/>
      <c r="Q328" s="511"/>
      <c r="R328" s="511"/>
      <c r="S328" s="516">
        <f t="shared" si="130"/>
        <v>168816</v>
      </c>
      <c r="T328" s="507">
        <f t="shared" si="123"/>
        <v>-13</v>
      </c>
      <c r="U328" s="512">
        <f t="shared" si="127"/>
        <v>-1642</v>
      </c>
      <c r="V328" s="512">
        <f>SUM(B315:B328)/POBLA!$B$25*100000</f>
        <v>325.65552158353955</v>
      </c>
      <c r="W328" s="512">
        <f>B328/POBLA!$B$25*100000</f>
        <v>18.426554282167487</v>
      </c>
      <c r="X328" s="513">
        <f t="shared" si="109"/>
        <v>1.0855063095885178</v>
      </c>
      <c r="Y328" s="519">
        <f t="shared" si="124"/>
        <v>2.1431617856127381E-2</v>
      </c>
      <c r="Z328" s="520">
        <f t="shared" si="128"/>
        <v>0.2055108868406649</v>
      </c>
      <c r="AA328" s="517">
        <f t="shared" si="106"/>
        <v>10030.428571428571</v>
      </c>
      <c r="AB328" s="517">
        <f t="shared" si="107"/>
        <v>206.28571428571428</v>
      </c>
      <c r="AC328" s="517">
        <f t="shared" si="120"/>
        <v>294.32012722751688</v>
      </c>
      <c r="AD328" s="517">
        <f t="shared" si="118"/>
        <v>88.0344129418026</v>
      </c>
      <c r="AE328" s="545">
        <f t="shared" si="132"/>
        <v>10555.928571428571</v>
      </c>
      <c r="AF328" s="520">
        <f t="shared" si="113"/>
        <v>0.90515663271883462</v>
      </c>
      <c r="AG328" s="200">
        <f t="shared" si="112"/>
        <v>-2.7619217676299268E-2</v>
      </c>
      <c r="AH328" s="4"/>
      <c r="AI328" s="200">
        <f t="shared" si="108"/>
        <v>1.6465222348916759</v>
      </c>
      <c r="AJ328" s="488">
        <f>MAX($B$2:B328)</f>
        <v>18326</v>
      </c>
      <c r="AK328" s="179">
        <f t="shared" ref="AK328:AK391" si="133">AB328/AA309</f>
        <v>2.4714601126191657E-2</v>
      </c>
      <c r="AL328" s="179"/>
      <c r="AM328" s="200">
        <f t="shared" si="114"/>
        <v>1.0111794298490777</v>
      </c>
      <c r="AN328" s="200">
        <f t="shared" si="115"/>
        <v>1.6465222348916759</v>
      </c>
      <c r="AP328" s="355">
        <f t="shared" si="110"/>
        <v>1.0855063095885178</v>
      </c>
      <c r="AT328" s="179">
        <f t="shared" si="111"/>
        <v>1.4963237318940354E-2</v>
      </c>
    </row>
    <row r="329" spans="1:46" hidden="1" x14ac:dyDescent="0.25">
      <c r="A329" s="107">
        <v>44220</v>
      </c>
      <c r="B329" s="670">
        <v>5031</v>
      </c>
      <c r="C329" s="515">
        <f t="shared" si="119"/>
        <v>1867223</v>
      </c>
      <c r="D329" s="670">
        <v>90</v>
      </c>
      <c r="E329" s="515">
        <f t="shared" si="125"/>
        <v>46798</v>
      </c>
      <c r="F329" s="515">
        <f t="shared" si="131"/>
        <v>9481</v>
      </c>
      <c r="G329" s="515">
        <v>1656149</v>
      </c>
      <c r="H329" s="515">
        <v>3619</v>
      </c>
      <c r="I329" s="515">
        <v>29659</v>
      </c>
      <c r="J329" s="511">
        <f t="shared" si="122"/>
        <v>5865798</v>
      </c>
      <c r="K329" s="511"/>
      <c r="L329" s="541">
        <f t="shared" si="129"/>
        <v>2.5062887507276848E-2</v>
      </c>
      <c r="M329" s="522">
        <v>3173796</v>
      </c>
      <c r="N329" s="511">
        <f t="shared" si="126"/>
        <v>3173796.0250628875</v>
      </c>
      <c r="O329" s="520"/>
      <c r="P329" s="511"/>
      <c r="Q329" s="511"/>
      <c r="R329" s="511"/>
      <c r="S329" s="516">
        <f t="shared" si="130"/>
        <v>164276</v>
      </c>
      <c r="T329" s="507">
        <f t="shared" si="123"/>
        <v>1</v>
      </c>
      <c r="U329" s="512">
        <f t="shared" si="127"/>
        <v>-4540</v>
      </c>
      <c r="V329" s="512">
        <f>SUM(B316:B329)/POBLA!$B$25*100000</f>
        <v>319.53610741927514</v>
      </c>
      <c r="W329" s="512">
        <f>B329/POBLA!$B$25*100000</f>
        <v>11.086342333602563</v>
      </c>
      <c r="X329" s="513">
        <f t="shared" si="109"/>
        <v>1.0438093866973799</v>
      </c>
      <c r="Y329" s="519">
        <f t="shared" si="124"/>
        <v>2.2029998295551387E-2</v>
      </c>
      <c r="Z329" s="520">
        <f t="shared" si="128"/>
        <v>0.20493248803957567</v>
      </c>
      <c r="AA329" s="517">
        <f t="shared" ref="AA329:AA392" si="134">AVERAGE(B323:B329)</f>
        <v>9711.4285714285706</v>
      </c>
      <c r="AB329" s="517">
        <f t="shared" ref="AB329:AB392" si="135">AVERAGE(D323:D329)</f>
        <v>203.14285714285714</v>
      </c>
      <c r="AC329" s="517">
        <f t="shared" si="120"/>
        <v>300.59701577343952</v>
      </c>
      <c r="AD329" s="517">
        <f t="shared" si="118"/>
        <v>97.454158630582384</v>
      </c>
      <c r="AE329" s="545">
        <f t="shared" si="132"/>
        <v>10357.571428571429</v>
      </c>
      <c r="AF329" s="520">
        <f t="shared" si="113"/>
        <v>0.8825591358761975</v>
      </c>
      <c r="AG329" s="200">
        <f t="shared" si="112"/>
        <v>-3.5950282273682244E-2</v>
      </c>
      <c r="AH329" s="4"/>
      <c r="AI329" s="200">
        <f t="shared" si="108"/>
        <v>1.5609220636663008</v>
      </c>
      <c r="AJ329" s="488">
        <f>MAX($B$2:B329)</f>
        <v>18326</v>
      </c>
      <c r="AK329" s="179">
        <f t="shared" si="133"/>
        <v>2.3478131655852198E-2</v>
      </c>
      <c r="AL329" s="179"/>
      <c r="AM329" s="200">
        <f t="shared" si="114"/>
        <v>1.0202988440936003</v>
      </c>
      <c r="AN329" s="200">
        <f t="shared" si="115"/>
        <v>1.5609220636663008</v>
      </c>
      <c r="AP329" s="355">
        <f t="shared" si="110"/>
        <v>1.0438093866973799</v>
      </c>
      <c r="AT329" s="179">
        <f t="shared" si="111"/>
        <v>1.5057966508239684E-2</v>
      </c>
    </row>
    <row r="330" spans="1:46" hidden="1" x14ac:dyDescent="0.25">
      <c r="A330" s="107">
        <v>44221</v>
      </c>
      <c r="B330" s="670">
        <v>7578</v>
      </c>
      <c r="C330" s="515">
        <f t="shared" si="119"/>
        <v>1874801</v>
      </c>
      <c r="D330" s="670">
        <v>208</v>
      </c>
      <c r="E330" s="515">
        <f t="shared" si="125"/>
        <v>47006</v>
      </c>
      <c r="F330" s="515">
        <f t="shared" si="131"/>
        <v>10378</v>
      </c>
      <c r="G330" s="515">
        <v>1666527</v>
      </c>
      <c r="H330" s="515">
        <v>3598</v>
      </c>
      <c r="I330" s="515">
        <v>36906</v>
      </c>
      <c r="J330" s="511">
        <f t="shared" si="122"/>
        <v>5902704</v>
      </c>
      <c r="K330" s="511"/>
      <c r="L330" s="541">
        <f t="shared" si="129"/>
        <v>2.5072527697606307E-2</v>
      </c>
      <c r="M330" s="522">
        <v>3197613</v>
      </c>
      <c r="N330" s="522">
        <f>M330+L330</f>
        <v>3197613.0250725276</v>
      </c>
      <c r="O330" s="520"/>
      <c r="P330" s="511"/>
      <c r="Q330" s="511"/>
      <c r="R330" s="511"/>
      <c r="S330" s="516">
        <f t="shared" si="130"/>
        <v>161268</v>
      </c>
      <c r="T330" s="507">
        <f t="shared" si="123"/>
        <v>-21</v>
      </c>
      <c r="U330" s="512">
        <f t="shared" si="127"/>
        <v>-3008</v>
      </c>
      <c r="V330" s="512">
        <f>SUM(B317:B330)/POBLA!$B$25*100000</f>
        <v>317.05484694071492</v>
      </c>
      <c r="W330" s="512">
        <f>B330/POBLA!$B$25*100000</f>
        <v>16.698927092832481</v>
      </c>
      <c r="X330" s="513">
        <f t="shared" si="109"/>
        <v>1.0247279357301577</v>
      </c>
      <c r="Y330" s="519">
        <f t="shared" si="124"/>
        <v>2.2310687799191407E-2</v>
      </c>
      <c r="Z330" s="520">
        <f t="shared" si="128"/>
        <v>0.20592406487068043</v>
      </c>
      <c r="AA330" s="517">
        <f t="shared" si="134"/>
        <v>9624.7142857142862</v>
      </c>
      <c r="AB330" s="517">
        <f t="shared" si="135"/>
        <v>172.28571428571428</v>
      </c>
      <c r="AC330" s="517">
        <f t="shared" si="120"/>
        <v>301.93687349104903</v>
      </c>
      <c r="AD330" s="517">
        <f t="shared" si="118"/>
        <v>129.65115920533475</v>
      </c>
      <c r="AE330" s="545">
        <f t="shared" si="132"/>
        <v>10277.142857142857</v>
      </c>
      <c r="AF330" s="520">
        <f t="shared" si="113"/>
        <v>0.88061223156051083</v>
      </c>
      <c r="AG330" s="200">
        <f t="shared" si="112"/>
        <v>-3.3513124775260694E-2</v>
      </c>
      <c r="AH330" s="4"/>
      <c r="AI330" s="200">
        <f t="shared" ref="AI330:AI393" si="136">AB330/AB323</f>
        <v>1.0263829787234042</v>
      </c>
      <c r="AJ330" s="488">
        <f>MAX($B$2:B330)</f>
        <v>18326</v>
      </c>
      <c r="AK330" s="179">
        <f t="shared" si="133"/>
        <v>1.9375672766415501E-2</v>
      </c>
      <c r="AL330" s="179"/>
      <c r="AM330" s="200">
        <f t="shared" si="114"/>
        <v>1.0095398428731761</v>
      </c>
      <c r="AN330" s="200">
        <f t="shared" si="115"/>
        <v>1.0263829787234042</v>
      </c>
      <c r="AP330" s="355">
        <f t="shared" si="110"/>
        <v>1.0247279357301577</v>
      </c>
      <c r="AT330" s="179">
        <f t="shared" si="111"/>
        <v>1.5296728199801709E-2</v>
      </c>
    </row>
    <row r="331" spans="1:46" hidden="1" x14ac:dyDescent="0.25">
      <c r="A331" s="107">
        <v>44222</v>
      </c>
      <c r="B331" s="670">
        <v>10409</v>
      </c>
      <c r="C331" s="515">
        <f t="shared" si="119"/>
        <v>1885210</v>
      </c>
      <c r="D331" s="670">
        <v>219</v>
      </c>
      <c r="E331" s="515">
        <f t="shared" si="125"/>
        <v>47225</v>
      </c>
      <c r="F331" s="515">
        <f t="shared" si="131"/>
        <v>8028</v>
      </c>
      <c r="G331" s="515">
        <v>1674555</v>
      </c>
      <c r="H331" s="515">
        <v>3614</v>
      </c>
      <c r="I331" s="515">
        <v>55123</v>
      </c>
      <c r="J331" s="511">
        <f t="shared" si="122"/>
        <v>5957827</v>
      </c>
      <c r="K331" s="511"/>
      <c r="L331" s="541">
        <f t="shared" si="129"/>
        <v>2.505025965277078E-2</v>
      </c>
      <c r="M331" s="522">
        <v>3232986</v>
      </c>
      <c r="N331" s="522">
        <f t="shared" ref="N331:N395" si="137">M331+L331</f>
        <v>3232986.0250502597</v>
      </c>
      <c r="O331" s="520"/>
      <c r="P331" s="511"/>
      <c r="Q331" s="511"/>
      <c r="R331" s="511"/>
      <c r="S331" s="511">
        <f t="shared" si="130"/>
        <v>163430</v>
      </c>
      <c r="T331" s="507">
        <f t="shared" si="123"/>
        <v>16</v>
      </c>
      <c r="U331" s="512">
        <f t="shared" si="127"/>
        <v>2162</v>
      </c>
      <c r="V331" s="512">
        <f>SUM(B318:B331)/POBLA!$B$25*100000</f>
        <v>309.61987992946962</v>
      </c>
      <c r="W331" s="512">
        <f>B331/POBLA!$B$25*100000</f>
        <v>22.937335986974571</v>
      </c>
      <c r="X331" s="513">
        <f t="shared" si="109"/>
        <v>0.9857234058972506</v>
      </c>
      <c r="Y331" s="519">
        <f t="shared" si="124"/>
        <v>2.2113443064308878E-2</v>
      </c>
      <c r="Z331" s="520">
        <f t="shared" si="128"/>
        <v>0.19727948402763795</v>
      </c>
      <c r="AA331" s="517">
        <f t="shared" si="134"/>
        <v>9377.2857142857138</v>
      </c>
      <c r="AB331" s="517">
        <f t="shared" si="135"/>
        <v>170</v>
      </c>
      <c r="AC331" s="517">
        <f t="shared" si="120"/>
        <v>300.81473975773872</v>
      </c>
      <c r="AD331" s="517">
        <f t="shared" si="118"/>
        <v>130.81473975773872</v>
      </c>
      <c r="AE331" s="545">
        <f t="shared" si="132"/>
        <v>10036.142857142857</v>
      </c>
      <c r="AF331" s="520">
        <f t="shared" si="113"/>
        <v>0.8767915581379816</v>
      </c>
      <c r="AG331" s="200">
        <f t="shared" si="112"/>
        <v>-3.3878967374276536E-2</v>
      </c>
      <c r="AH331" s="4"/>
      <c r="AI331" s="200">
        <f t="shared" si="136"/>
        <v>0.97701149425287359</v>
      </c>
      <c r="AJ331" s="488">
        <f>MAX($B$2:B331)</f>
        <v>18326</v>
      </c>
      <c r="AK331" s="179">
        <f t="shared" si="133"/>
        <v>1.8452187126885924E-2</v>
      </c>
      <c r="AL331" s="179"/>
      <c r="AM331" s="200">
        <f t="shared" si="114"/>
        <v>1.0145985401459854</v>
      </c>
      <c r="AN331" s="200">
        <f t="shared" si="115"/>
        <v>0.97701149425287359</v>
      </c>
      <c r="AP331" s="355">
        <f t="shared" si="110"/>
        <v>0.9857234058972506</v>
      </c>
      <c r="AT331" s="179">
        <f t="shared" si="111"/>
        <v>1.5256050584108668E-2</v>
      </c>
    </row>
    <row r="332" spans="1:46" hidden="1" x14ac:dyDescent="0.25">
      <c r="A332" s="107">
        <v>44223</v>
      </c>
      <c r="B332" s="670">
        <v>10843</v>
      </c>
      <c r="C332" s="515">
        <f t="shared" si="119"/>
        <v>1896053</v>
      </c>
      <c r="D332" s="670">
        <v>182</v>
      </c>
      <c r="E332" s="515">
        <f t="shared" si="125"/>
        <v>47407</v>
      </c>
      <c r="F332" s="515">
        <f t="shared" si="131"/>
        <v>8008</v>
      </c>
      <c r="G332" s="515">
        <v>1682563</v>
      </c>
      <c r="H332" s="515">
        <v>3627</v>
      </c>
      <c r="I332" s="515">
        <v>49154</v>
      </c>
      <c r="J332" s="511">
        <f t="shared" si="122"/>
        <v>6006981</v>
      </c>
      <c r="K332" s="511"/>
      <c r="L332" s="541">
        <f t="shared" si="129"/>
        <v>2.5002993059793161E-2</v>
      </c>
      <c r="M332" s="522">
        <v>3261828</v>
      </c>
      <c r="N332" s="522">
        <f t="shared" si="137"/>
        <v>3261828.0250029932</v>
      </c>
      <c r="O332" s="520"/>
      <c r="P332" s="511"/>
      <c r="Q332" s="511"/>
      <c r="R332" s="511"/>
      <c r="S332" s="511">
        <f t="shared" si="130"/>
        <v>166083</v>
      </c>
      <c r="T332" s="507">
        <f t="shared" si="123"/>
        <v>13</v>
      </c>
      <c r="U332" s="512">
        <f t="shared" si="127"/>
        <v>2653</v>
      </c>
      <c r="V332" s="512">
        <f>SUM(B319:B332)/POBLA!$B$25*100000</f>
        <v>305.47269323262208</v>
      </c>
      <c r="W332" s="512">
        <f>B332/POBLA!$B$25*100000</f>
        <v>23.893701038213592</v>
      </c>
      <c r="X332" s="513">
        <f t="shared" si="109"/>
        <v>0.96601417411725354</v>
      </c>
      <c r="Y332" s="519">
        <f t="shared" si="124"/>
        <v>2.1838478351185853E-2</v>
      </c>
      <c r="Z332" s="520">
        <f t="shared" si="128"/>
        <v>0.19692431941313054</v>
      </c>
      <c r="AA332" s="517">
        <f t="shared" si="134"/>
        <v>9196</v>
      </c>
      <c r="AB332" s="517">
        <f t="shared" si="135"/>
        <v>174.71428571428572</v>
      </c>
      <c r="AC332" s="517">
        <f t="shared" si="120"/>
        <v>296.91330411803671</v>
      </c>
      <c r="AD332" s="517">
        <f t="shared" si="118"/>
        <v>122.19901840375098</v>
      </c>
      <c r="AE332" s="545">
        <f t="shared" si="132"/>
        <v>9901.7142857142862</v>
      </c>
      <c r="AF332" s="520">
        <f t="shared" si="113"/>
        <v>0.86693961105424777</v>
      </c>
      <c r="AG332" s="200">
        <f t="shared" si="112"/>
        <v>-3.2849223172066844E-2</v>
      </c>
      <c r="AH332" s="4"/>
      <c r="AI332" s="200">
        <f t="shared" si="136"/>
        <v>0.99188969991889708</v>
      </c>
      <c r="AJ332" s="488">
        <f>MAX($B$2:B332)</f>
        <v>18326</v>
      </c>
      <c r="AK332" s="179">
        <f t="shared" si="133"/>
        <v>1.6581252203150845E-2</v>
      </c>
      <c r="AL332" s="179"/>
      <c r="AM332" s="200">
        <f t="shared" si="114"/>
        <v>1.0061026352288489</v>
      </c>
      <c r="AN332" s="200">
        <f t="shared" si="115"/>
        <v>0.99188969991889708</v>
      </c>
      <c r="AP332" s="355">
        <f t="shared" si="110"/>
        <v>0.96601417411725354</v>
      </c>
      <c r="AT332" s="179">
        <f t="shared" si="111"/>
        <v>1.4957125090004582E-2</v>
      </c>
    </row>
    <row r="333" spans="1:46" hidden="1" x14ac:dyDescent="0.25">
      <c r="A333" s="107">
        <v>44224</v>
      </c>
      <c r="B333" s="676">
        <v>9471</v>
      </c>
      <c r="C333" s="515">
        <f t="shared" si="119"/>
        <v>1905524</v>
      </c>
      <c r="D333" s="670">
        <v>166</v>
      </c>
      <c r="E333" s="515">
        <f t="shared" si="125"/>
        <v>47573</v>
      </c>
      <c r="F333" s="515">
        <f t="shared" si="131"/>
        <v>10583</v>
      </c>
      <c r="G333" s="515">
        <v>1693146</v>
      </c>
      <c r="H333" s="515">
        <v>3607</v>
      </c>
      <c r="I333" s="515">
        <v>46742</v>
      </c>
      <c r="J333" s="511">
        <f t="shared" si="122"/>
        <v>6053723</v>
      </c>
      <c r="K333" s="511"/>
      <c r="L333" s="541">
        <f t="shared" si="129"/>
        <v>2.4965836168948805E-2</v>
      </c>
      <c r="M333" s="522">
        <v>3289093</v>
      </c>
      <c r="N333" s="522">
        <f t="shared" si="137"/>
        <v>3289093.0249658362</v>
      </c>
      <c r="O333" s="520"/>
      <c r="P333" s="511"/>
      <c r="Q333" s="511"/>
      <c r="R333" s="511"/>
      <c r="S333" s="511">
        <f t="shared" si="130"/>
        <v>164805</v>
      </c>
      <c r="T333" s="507">
        <f t="shared" ref="T333:T364" si="138">H333-H332</f>
        <v>-20</v>
      </c>
      <c r="U333" s="512">
        <f t="shared" si="127"/>
        <v>-1278</v>
      </c>
      <c r="V333" s="512">
        <f>SUM(B320:B333)/POBLA!$B$25*100000</f>
        <v>297.06593592737585</v>
      </c>
      <c r="W333" s="512">
        <f>B333/POBLA!$B$25*100000</f>
        <v>20.870353456877336</v>
      </c>
      <c r="X333" s="513">
        <f t="shared" ref="X333:X396" si="139">SUM(B320:B333)/SUM(B306:B319)</f>
        <v>0.92843663911845731</v>
      </c>
      <c r="Y333" s="519">
        <f t="shared" si="124"/>
        <v>2.1886471891022725E-2</v>
      </c>
      <c r="Z333" s="520">
        <f t="shared" si="128"/>
        <v>0.19535077236865978</v>
      </c>
      <c r="AA333" s="517">
        <f t="shared" si="134"/>
        <v>8921</v>
      </c>
      <c r="AB333" s="517">
        <f t="shared" si="135"/>
        <v>178.14285714285714</v>
      </c>
      <c r="AC333" s="517">
        <f t="shared" si="120"/>
        <v>293.61915844326001</v>
      </c>
      <c r="AD333" s="517">
        <f t="shared" si="118"/>
        <v>115.47630130040287</v>
      </c>
      <c r="AE333" s="545">
        <f t="shared" si="132"/>
        <v>9629.2142857142862</v>
      </c>
      <c r="AF333" s="520">
        <f t="shared" si="113"/>
        <v>0.86298056991238503</v>
      </c>
      <c r="AG333" s="200">
        <f t="shared" si="112"/>
        <v>-3.6205525275445072E-2</v>
      </c>
      <c r="AH333" s="4"/>
      <c r="AI333" s="200">
        <f t="shared" si="136"/>
        <v>1.0113544201135443</v>
      </c>
      <c r="AJ333" s="488">
        <f>MAX($B$2:B333)</f>
        <v>18326</v>
      </c>
      <c r="AK333" s="179">
        <f t="shared" si="133"/>
        <v>1.5670750863964814E-2</v>
      </c>
      <c r="AL333" s="179"/>
      <c r="AM333" s="200">
        <f t="shared" si="114"/>
        <v>0.99751106194690264</v>
      </c>
      <c r="AN333" s="200">
        <f t="shared" si="115"/>
        <v>1.0113544201135443</v>
      </c>
      <c r="AP333" s="355">
        <f t="shared" si="110"/>
        <v>0.92843663911845742</v>
      </c>
      <c r="AT333" s="179">
        <f t="shared" si="111"/>
        <v>1.5114006085159266E-2</v>
      </c>
    </row>
    <row r="334" spans="1:46" hidden="1" x14ac:dyDescent="0.25">
      <c r="A334" s="107">
        <v>44225</v>
      </c>
      <c r="B334" s="670">
        <v>9838</v>
      </c>
      <c r="C334" s="515">
        <f t="shared" si="119"/>
        <v>1915362</v>
      </c>
      <c r="D334" s="670">
        <v>174</v>
      </c>
      <c r="E334" s="515">
        <f t="shared" si="125"/>
        <v>47747</v>
      </c>
      <c r="F334" s="515">
        <f t="shared" si="131"/>
        <v>10313</v>
      </c>
      <c r="G334" s="515">
        <v>1703459</v>
      </c>
      <c r="H334" s="515">
        <v>3628</v>
      </c>
      <c r="I334" s="515">
        <v>45809</v>
      </c>
      <c r="J334" s="511">
        <f t="shared" si="122"/>
        <v>6099532</v>
      </c>
      <c r="K334" s="511"/>
      <c r="L334" s="541">
        <f t="shared" si="129"/>
        <v>2.4928446946321375E-2</v>
      </c>
      <c r="M334" s="522">
        <v>3315527</v>
      </c>
      <c r="N334" s="522">
        <f t="shared" si="137"/>
        <v>3315527.0249284469</v>
      </c>
      <c r="O334" s="520"/>
      <c r="P334" s="511"/>
      <c r="Q334" s="511"/>
      <c r="R334" s="511"/>
      <c r="S334" s="511">
        <f t="shared" si="130"/>
        <v>164156</v>
      </c>
      <c r="T334" s="507">
        <f t="shared" si="138"/>
        <v>21</v>
      </c>
      <c r="U334" s="512">
        <f t="shared" si="127"/>
        <v>-649</v>
      </c>
      <c r="V334" s="512">
        <f>SUM(B321:B334)/POBLA!$B$25*100000</f>
        <v>291.57014229191475</v>
      </c>
      <c r="W334" s="512">
        <f>B334/POBLA!$B$25*100000</f>
        <v>21.679076898823695</v>
      </c>
      <c r="X334" s="513">
        <f t="shared" si="139"/>
        <v>0.86225098238548614</v>
      </c>
      <c r="Y334" s="519">
        <f t="shared" si="124"/>
        <v>2.210092838519457E-2</v>
      </c>
      <c r="Z334" s="520">
        <f t="shared" si="128"/>
        <v>0.19846727476809145</v>
      </c>
      <c r="AA334" s="517">
        <f t="shared" si="134"/>
        <v>8790.2857142857138</v>
      </c>
      <c r="AB334" s="517">
        <f t="shared" si="135"/>
        <v>171.57142857142858</v>
      </c>
      <c r="AC334" s="517">
        <f t="shared" si="120"/>
        <v>288.58266775917855</v>
      </c>
      <c r="AD334" s="517">
        <f t="shared" si="118"/>
        <v>117.01123918774996</v>
      </c>
      <c r="AE334" s="545">
        <f t="shared" si="132"/>
        <v>9451.0714285714294</v>
      </c>
      <c r="AF334" s="520">
        <f t="shared" si="113"/>
        <v>0.86930477657064542</v>
      </c>
      <c r="AG334" s="200">
        <f t="shared" si="112"/>
        <v>-3.697098405472321E-2</v>
      </c>
      <c r="AH334" s="4"/>
      <c r="AI334" s="200">
        <f t="shared" si="136"/>
        <v>0.88962962962962966</v>
      </c>
      <c r="AJ334" s="488">
        <f>MAX($B$2:B334)</f>
        <v>18326</v>
      </c>
      <c r="AK334" s="179">
        <f t="shared" si="133"/>
        <v>1.4736377133461761E-2</v>
      </c>
      <c r="AL334" s="179"/>
      <c r="AM334" s="200">
        <f t="shared" si="114"/>
        <v>0.99917378132745804</v>
      </c>
      <c r="AN334" s="200">
        <f t="shared" si="115"/>
        <v>0.88962962962962966</v>
      </c>
      <c r="AP334" s="355">
        <f t="shared" si="110"/>
        <v>0.86225098238548625</v>
      </c>
      <c r="AT334" s="179">
        <f t="shared" si="111"/>
        <v>1.5306833336650809E-2</v>
      </c>
    </row>
    <row r="335" spans="1:46" hidden="1" x14ac:dyDescent="0.25">
      <c r="A335" s="107">
        <v>44226</v>
      </c>
      <c r="B335" s="670">
        <v>6902</v>
      </c>
      <c r="C335" s="515">
        <f t="shared" si="119"/>
        <v>1922264</v>
      </c>
      <c r="D335" s="670">
        <v>156</v>
      </c>
      <c r="E335" s="515">
        <f t="shared" si="125"/>
        <v>47903</v>
      </c>
      <c r="F335" s="515">
        <f t="shared" si="131"/>
        <v>9409</v>
      </c>
      <c r="G335" s="515">
        <v>1712868</v>
      </c>
      <c r="H335" s="515">
        <v>3624</v>
      </c>
      <c r="I335" s="515">
        <v>40578</v>
      </c>
      <c r="J335" s="511">
        <f t="shared" si="122"/>
        <v>6140110</v>
      </c>
      <c r="K335" s="511"/>
      <c r="L335" s="541">
        <f t="shared" si="129"/>
        <v>2.492009422222962E-2</v>
      </c>
      <c r="M335" s="522">
        <v>3342833</v>
      </c>
      <c r="N335" s="522">
        <f t="shared" si="137"/>
        <v>3342833.0249200943</v>
      </c>
      <c r="O335" s="520"/>
      <c r="P335" s="511"/>
      <c r="Q335" s="511"/>
      <c r="R335" s="511"/>
      <c r="S335" s="511">
        <f t="shared" si="130"/>
        <v>161493</v>
      </c>
      <c r="T335" s="507">
        <f t="shared" si="138"/>
        <v>-4</v>
      </c>
      <c r="U335" s="512">
        <f t="shared" si="127"/>
        <v>-2663</v>
      </c>
      <c r="V335" s="512">
        <f>SUM(B322:B335)/POBLA!$B$25*100000</f>
        <v>287.09682189095804</v>
      </c>
      <c r="W335" s="512">
        <f>B335/POBLA!$B$25*100000</f>
        <v>15.209289363252811</v>
      </c>
      <c r="X335" s="513">
        <f t="shared" si="139"/>
        <v>0.82907505806739001</v>
      </c>
      <c r="Y335" s="519">
        <f t="shared" si="124"/>
        <v>2.2440601140606715E-2</v>
      </c>
      <c r="Z335" s="520">
        <f t="shared" si="128"/>
        <v>0.19762411545838254</v>
      </c>
      <c r="AA335" s="517">
        <f t="shared" si="134"/>
        <v>8581.7142857142862</v>
      </c>
      <c r="AB335" s="517">
        <f t="shared" si="135"/>
        <v>170.71428571428572</v>
      </c>
      <c r="AC335" s="517">
        <f t="shared" si="120"/>
        <v>279.9082929304098</v>
      </c>
      <c r="AD335" s="517">
        <f t="shared" si="118"/>
        <v>109.19400721612408</v>
      </c>
      <c r="AE335" s="545">
        <f t="shared" si="132"/>
        <v>9306.0714285714294</v>
      </c>
      <c r="AF335" s="520">
        <f t="shared" si="113"/>
        <v>0.85556805719738527</v>
      </c>
      <c r="AG335" s="200">
        <f t="shared" si="112"/>
        <v>-4.3378589707136817E-2</v>
      </c>
      <c r="AH335" s="4"/>
      <c r="AI335" s="200">
        <f t="shared" si="136"/>
        <v>0.82756232686980613</v>
      </c>
      <c r="AJ335" s="488">
        <f>MAX($B$2:B335)</f>
        <v>18326</v>
      </c>
      <c r="AK335" s="179">
        <f t="shared" si="133"/>
        <v>1.4576548224588624E-2</v>
      </c>
      <c r="AL335" s="179"/>
      <c r="AM335" s="200">
        <f t="shared" si="114"/>
        <v>1.0016583747927033</v>
      </c>
      <c r="AN335" s="200">
        <f t="shared" si="115"/>
        <v>0.82756232686980613</v>
      </c>
      <c r="AP335" s="355">
        <f t="shared" ref="AP335:AP398" si="140">AE335/AE321</f>
        <v>0.82907505806739012</v>
      </c>
      <c r="AT335" s="179">
        <f t="shared" si="111"/>
        <v>1.5794492989024394E-2</v>
      </c>
    </row>
    <row r="336" spans="1:46" hidden="1" x14ac:dyDescent="0.25">
      <c r="A336" s="107">
        <v>44227</v>
      </c>
      <c r="B336" s="670">
        <v>4975</v>
      </c>
      <c r="C336" s="515">
        <f t="shared" si="119"/>
        <v>1927239</v>
      </c>
      <c r="D336" s="670">
        <v>43</v>
      </c>
      <c r="E336" s="515">
        <f t="shared" si="125"/>
        <v>47946</v>
      </c>
      <c r="F336" s="515">
        <f t="shared" si="131"/>
        <v>8782</v>
      </c>
      <c r="G336" s="515">
        <v>1721650</v>
      </c>
      <c r="H336" s="515">
        <v>3617</v>
      </c>
      <c r="I336" s="515">
        <v>34412</v>
      </c>
      <c r="J336" s="511">
        <f t="shared" si="122"/>
        <v>6174522</v>
      </c>
      <c r="K336" s="511"/>
      <c r="L336" s="541">
        <f t="shared" si="129"/>
        <v>2.4878076875779288E-2</v>
      </c>
      <c r="M336" s="522">
        <v>3366882</v>
      </c>
      <c r="N336" s="522">
        <f t="shared" si="137"/>
        <v>3366882.0248780767</v>
      </c>
      <c r="O336" s="520"/>
      <c r="P336" s="511"/>
      <c r="Q336" s="511"/>
      <c r="R336" s="511"/>
      <c r="S336" s="511">
        <f t="shared" si="130"/>
        <v>157643</v>
      </c>
      <c r="T336" s="507">
        <f t="shared" si="138"/>
        <v>-7</v>
      </c>
      <c r="U336" s="512">
        <f t="shared" si="127"/>
        <v>-3850</v>
      </c>
      <c r="V336" s="512">
        <f>SUM(B323:B336)/POBLA!$B$25*100000</f>
        <v>282.0527675078103</v>
      </c>
      <c r="W336" s="512">
        <f>B336/POBLA!$B$25*100000</f>
        <v>10.962940391507205</v>
      </c>
      <c r="X336" s="513">
        <f t="shared" si="139"/>
        <v>0.80741838826683487</v>
      </c>
      <c r="Y336" s="519">
        <f t="shared" si="124"/>
        <v>2.2944247445176761E-2</v>
      </c>
      <c r="Z336" s="520">
        <f t="shared" si="128"/>
        <v>0.19440017620917066</v>
      </c>
      <c r="AA336" s="517">
        <f t="shared" si="134"/>
        <v>8573.7142857142862</v>
      </c>
      <c r="AB336" s="517">
        <f t="shared" si="135"/>
        <v>164</v>
      </c>
      <c r="AC336" s="517">
        <f t="shared" si="120"/>
        <v>277.50811837454495</v>
      </c>
      <c r="AD336" s="517">
        <f t="shared" si="118"/>
        <v>113.50811837454495</v>
      </c>
      <c r="AE336" s="545">
        <f t="shared" si="132"/>
        <v>9142.5714285714294</v>
      </c>
      <c r="AF336" s="520">
        <f t="shared" si="113"/>
        <v>0.88284789644012962</v>
      </c>
      <c r="AG336" s="200">
        <f t="shared" si="112"/>
        <v>-4.037717012832065E-2</v>
      </c>
      <c r="AH336" s="4"/>
      <c r="AI336" s="200">
        <f t="shared" si="136"/>
        <v>0.80731364275668072</v>
      </c>
      <c r="AJ336" s="488">
        <f>MAX($B$2:B336)</f>
        <v>18326</v>
      </c>
      <c r="AK336" s="179">
        <f t="shared" si="133"/>
        <v>1.4004440432332201E-2</v>
      </c>
      <c r="AL336" s="179"/>
      <c r="AM336" s="200">
        <f t="shared" si="114"/>
        <v>0.99944736114948884</v>
      </c>
      <c r="AN336" s="200">
        <f t="shared" si="115"/>
        <v>0.80731364275668072</v>
      </c>
      <c r="AP336" s="355">
        <f t="shared" si="140"/>
        <v>0.80741838826683487</v>
      </c>
      <c r="AT336" s="179">
        <f t="shared" ref="AT336:AT399" si="141">SUM(D307:D336)/SUM(B307:B336)</f>
        <v>1.5646155655226864E-2</v>
      </c>
    </row>
    <row r="337" spans="1:46" hidden="1" x14ac:dyDescent="0.25">
      <c r="A337" s="107">
        <v>44228</v>
      </c>
      <c r="B337" s="670">
        <v>6614</v>
      </c>
      <c r="C337" s="515">
        <f t="shared" si="119"/>
        <v>1933853</v>
      </c>
      <c r="D337" s="670">
        <v>275</v>
      </c>
      <c r="E337" s="515">
        <f t="shared" si="125"/>
        <v>48221</v>
      </c>
      <c r="F337" s="515">
        <f t="shared" si="131"/>
        <v>8349</v>
      </c>
      <c r="G337" s="515">
        <v>1729999</v>
      </c>
      <c r="H337" s="515">
        <v>3554</v>
      </c>
      <c r="I337" s="515">
        <v>34947</v>
      </c>
      <c r="J337" s="511">
        <f t="shared" si="122"/>
        <v>6209469</v>
      </c>
      <c r="K337" s="511"/>
      <c r="L337" s="541">
        <f t="shared" si="129"/>
        <v>2.4935194143505219E-2</v>
      </c>
      <c r="M337" s="522">
        <v>3389599</v>
      </c>
      <c r="N337" s="511">
        <f t="shared" si="137"/>
        <v>3389599.0249351943</v>
      </c>
      <c r="O337" s="520"/>
      <c r="P337" s="511"/>
      <c r="Q337" s="511"/>
      <c r="R337" s="511"/>
      <c r="S337" s="511">
        <f t="shared" si="130"/>
        <v>155633</v>
      </c>
      <c r="T337" s="507">
        <f t="shared" si="138"/>
        <v>-63</v>
      </c>
      <c r="U337" s="512">
        <f t="shared" si="127"/>
        <v>-2010</v>
      </c>
      <c r="V337" s="512">
        <f>SUM(B324:B337)/POBLA!$B$25*100000</f>
        <v>278.59090231081376</v>
      </c>
      <c r="W337" s="512">
        <f>B337/POBLA!$B$25*100000</f>
        <v>14.574650803905257</v>
      </c>
      <c r="X337" s="513">
        <f t="shared" si="139"/>
        <v>0.79769446267225275</v>
      </c>
      <c r="Y337" s="519">
        <f t="shared" si="124"/>
        <v>2.2835773903992083E-2</v>
      </c>
      <c r="Z337" s="520">
        <f t="shared" si="128"/>
        <v>0.19249914429612244</v>
      </c>
      <c r="AA337" s="517">
        <f t="shared" si="134"/>
        <v>8436</v>
      </c>
      <c r="AB337" s="517">
        <f t="shared" si="135"/>
        <v>173.57142857142858</v>
      </c>
      <c r="AC337" s="517">
        <f t="shared" si="120"/>
        <v>276.95397627378321</v>
      </c>
      <c r="AD337" s="517">
        <f t="shared" si="118"/>
        <v>103.38254770235463</v>
      </c>
      <c r="AE337" s="545">
        <f t="shared" si="132"/>
        <v>9030.3571428571431</v>
      </c>
      <c r="AF337" s="520">
        <f t="shared" si="113"/>
        <v>0.87649355082896707</v>
      </c>
      <c r="AG337" s="200">
        <f t="shared" ref="AG337:AG400" si="142">S337/S330-1</f>
        <v>-3.4941835950095479E-2</v>
      </c>
      <c r="AH337" s="4"/>
      <c r="AI337" s="200">
        <f t="shared" si="136"/>
        <v>1.0074626865671643</v>
      </c>
      <c r="AJ337" s="488">
        <f>MAX($B$2:B337)</f>
        <v>18326</v>
      </c>
      <c r="AK337" s="179">
        <f t="shared" si="133"/>
        <v>1.4952373920106329E-2</v>
      </c>
      <c r="AL337" s="179"/>
      <c r="AM337" s="200">
        <f t="shared" si="114"/>
        <v>0.98777098387993334</v>
      </c>
      <c r="AN337" s="200">
        <f t="shared" si="115"/>
        <v>1.0074626865671643</v>
      </c>
      <c r="AP337" s="355">
        <f t="shared" si="140"/>
        <v>0.79769446267225275</v>
      </c>
      <c r="AT337" s="179">
        <f t="shared" si="141"/>
        <v>1.6306656098776334E-2</v>
      </c>
    </row>
    <row r="338" spans="1:46" hidden="1" x14ac:dyDescent="0.25">
      <c r="A338" s="107">
        <v>44229</v>
      </c>
      <c r="B338" s="670">
        <v>9695</v>
      </c>
      <c r="C338" s="515">
        <f t="shared" si="119"/>
        <v>1943548</v>
      </c>
      <c r="D338" s="670">
        <v>176</v>
      </c>
      <c r="E338" s="515">
        <f t="shared" si="125"/>
        <v>48397</v>
      </c>
      <c r="F338" s="515">
        <f t="shared" si="131"/>
        <v>8769</v>
      </c>
      <c r="G338" s="515">
        <v>1738768</v>
      </c>
      <c r="H338" s="515">
        <v>3586</v>
      </c>
      <c r="I338" s="515">
        <v>66202</v>
      </c>
      <c r="J338" s="511">
        <f t="shared" si="122"/>
        <v>6275671</v>
      </c>
      <c r="K338" s="511"/>
      <c r="L338" s="541">
        <f t="shared" si="129"/>
        <v>2.490136595545878E-2</v>
      </c>
      <c r="M338" s="522">
        <v>3427133</v>
      </c>
      <c r="N338" s="511">
        <f t="shared" si="137"/>
        <v>3427133.0249013659</v>
      </c>
      <c r="O338" s="520"/>
      <c r="P338" s="511"/>
      <c r="Q338" s="511"/>
      <c r="R338" s="511"/>
      <c r="S338" s="511">
        <f t="shared" si="130"/>
        <v>156383</v>
      </c>
      <c r="T338" s="507">
        <f t="shared" si="138"/>
        <v>32</v>
      </c>
      <c r="U338" s="512">
        <f t="shared" si="127"/>
        <v>750</v>
      </c>
      <c r="V338" s="512">
        <f>SUM(B325:B338)/POBLA!$B$25*100000</f>
        <v>273.20088176857723</v>
      </c>
      <c r="W338" s="512">
        <f>B338/POBLA!$B$25*100000</f>
        <v>21.363961225258763</v>
      </c>
      <c r="X338" s="513">
        <f t="shared" si="139"/>
        <v>0.79048578478567189</v>
      </c>
      <c r="Y338" s="519">
        <f t="shared" si="124"/>
        <v>2.293088123389371E-2</v>
      </c>
      <c r="Z338" s="520">
        <f t="shared" si="128"/>
        <v>0.1835428700872126</v>
      </c>
      <c r="AA338" s="517">
        <f t="shared" si="134"/>
        <v>8334</v>
      </c>
      <c r="AB338" s="517">
        <f t="shared" si="135"/>
        <v>167.42857142857142</v>
      </c>
      <c r="AC338" s="517">
        <f t="shared" si="120"/>
        <v>270.58293749783604</v>
      </c>
      <c r="AD338" s="517">
        <f t="shared" si="118"/>
        <v>103.15436606926463</v>
      </c>
      <c r="AE338" s="545">
        <f t="shared" si="132"/>
        <v>8855.6428571428569</v>
      </c>
      <c r="AF338" s="520">
        <f t="shared" si="113"/>
        <v>0.88874331591535782</v>
      </c>
      <c r="AG338" s="200">
        <f t="shared" si="142"/>
        <v>-4.3119378327112545E-2</v>
      </c>
      <c r="AH338" s="4"/>
      <c r="AI338" s="200">
        <f t="shared" si="136"/>
        <v>0.98487394957983188</v>
      </c>
      <c r="AJ338" s="488">
        <f>MAX($B$2:B338)</f>
        <v>18326</v>
      </c>
      <c r="AK338" s="179">
        <f t="shared" si="133"/>
        <v>1.4521304935013442E-2</v>
      </c>
      <c r="AL338" s="179"/>
      <c r="AM338" s="200">
        <f t="shared" si="114"/>
        <v>0.99225235196458217</v>
      </c>
      <c r="AN338" s="200">
        <f t="shared" si="115"/>
        <v>0.98487394957983188</v>
      </c>
      <c r="AP338" s="355">
        <f t="shared" si="140"/>
        <v>0.790485784785672</v>
      </c>
      <c r="AT338" s="179">
        <f t="shared" si="141"/>
        <v>1.6329293663111318E-2</v>
      </c>
    </row>
    <row r="339" spans="1:46" hidden="1" x14ac:dyDescent="0.25">
      <c r="A339" s="107">
        <v>44230</v>
      </c>
      <c r="B339" s="670">
        <v>9196</v>
      </c>
      <c r="C339" s="515">
        <f t="shared" si="119"/>
        <v>1952744</v>
      </c>
      <c r="D339" s="670">
        <v>113</v>
      </c>
      <c r="E339" s="515">
        <f t="shared" si="125"/>
        <v>48510</v>
      </c>
      <c r="F339" s="515">
        <f t="shared" si="131"/>
        <v>6440</v>
      </c>
      <c r="G339" s="515">
        <v>1745208</v>
      </c>
      <c r="H339" s="515">
        <v>3571</v>
      </c>
      <c r="I339" s="515">
        <v>48160</v>
      </c>
      <c r="J339" s="511">
        <f t="shared" si="122"/>
        <v>6323831</v>
      </c>
      <c r="K339" s="511"/>
      <c r="L339" s="541">
        <f t="shared" si="129"/>
        <v>2.4841965971986086E-2</v>
      </c>
      <c r="M339" s="522">
        <v>3462532</v>
      </c>
      <c r="N339" s="511">
        <f t="shared" si="137"/>
        <v>3462532.0248419661</v>
      </c>
      <c r="O339" s="520"/>
      <c r="P339" s="511"/>
      <c r="Q339" s="511"/>
      <c r="R339" s="511"/>
      <c r="S339" s="511">
        <f t="shared" si="130"/>
        <v>159026</v>
      </c>
      <c r="T339" s="507">
        <f t="shared" si="138"/>
        <v>-15</v>
      </c>
      <c r="U339" s="512">
        <f t="shared" si="127"/>
        <v>2643</v>
      </c>
      <c r="V339" s="512">
        <f>SUM(B326:B339)/POBLA!$B$25*100000</f>
        <v>266.77516635518327</v>
      </c>
      <c r="W339" s="512">
        <f>B339/POBLA!$B$25*100000</f>
        <v>20.264361776944774</v>
      </c>
      <c r="X339" s="513">
        <f t="shared" si="139"/>
        <v>0.77849012925213812</v>
      </c>
      <c r="Y339" s="519">
        <f t="shared" si="124"/>
        <v>2.2455447536880762E-2</v>
      </c>
      <c r="Z339" s="520">
        <f t="shared" si="128"/>
        <v>0.17892062490137289</v>
      </c>
      <c r="AA339" s="517">
        <f t="shared" si="134"/>
        <v>8098.7142857142853</v>
      </c>
      <c r="AB339" s="517">
        <f t="shared" si="135"/>
        <v>157.57142857142858</v>
      </c>
      <c r="AC339" s="517">
        <f t="shared" si="120"/>
        <v>267.45567658498237</v>
      </c>
      <c r="AD339" s="517">
        <f t="shared" si="118"/>
        <v>109.88424801355379</v>
      </c>
      <c r="AE339" s="545">
        <f t="shared" si="132"/>
        <v>8647.3571428571431</v>
      </c>
      <c r="AF339" s="520">
        <f t="shared" si="113"/>
        <v>0.88067793450568566</v>
      </c>
      <c r="AG339" s="200">
        <f t="shared" si="142"/>
        <v>-4.2490802791375404E-2</v>
      </c>
      <c r="AH339" s="4"/>
      <c r="AI339" s="200">
        <f t="shared" si="136"/>
        <v>0.90188062142273107</v>
      </c>
      <c r="AJ339" s="488">
        <f>MAX($B$2:B339)</f>
        <v>18326</v>
      </c>
      <c r="AK339" s="179">
        <f t="shared" si="133"/>
        <v>1.3840266014179059E-2</v>
      </c>
      <c r="AL339" s="179"/>
      <c r="AM339" s="200">
        <f t="shared" si="114"/>
        <v>0.98456024262475872</v>
      </c>
      <c r="AN339" s="200">
        <f t="shared" si="115"/>
        <v>0.90188062142273107</v>
      </c>
      <c r="AP339" s="355">
        <f t="shared" si="140"/>
        <v>0.77849012925213812</v>
      </c>
      <c r="AT339" s="179">
        <f t="shared" si="141"/>
        <v>1.6148569472423008E-2</v>
      </c>
    </row>
    <row r="340" spans="1:46" hidden="1" x14ac:dyDescent="0.25">
      <c r="A340" s="107">
        <v>44231</v>
      </c>
      <c r="B340" s="676">
        <v>8891</v>
      </c>
      <c r="C340" s="515">
        <f t="shared" si="119"/>
        <v>1961635</v>
      </c>
      <c r="D340" s="670">
        <v>162</v>
      </c>
      <c r="E340" s="515">
        <f t="shared" si="125"/>
        <v>48672</v>
      </c>
      <c r="F340" s="515">
        <f t="shared" si="131"/>
        <v>9497</v>
      </c>
      <c r="G340" s="515">
        <v>1754705</v>
      </c>
      <c r="H340" s="515">
        <v>3570</v>
      </c>
      <c r="I340" s="515">
        <v>52557</v>
      </c>
      <c r="J340" s="511">
        <f t="shared" si="122"/>
        <v>6376388</v>
      </c>
      <c r="K340" s="511"/>
      <c r="L340" s="541">
        <f t="shared" si="129"/>
        <v>2.48119553331787E-2</v>
      </c>
      <c r="M340" s="522">
        <v>3486103</v>
      </c>
      <c r="N340" s="511">
        <f t="shared" si="137"/>
        <v>3486103.0248119552</v>
      </c>
      <c r="O340" s="520"/>
      <c r="P340" s="511"/>
      <c r="Q340" s="511"/>
      <c r="R340" s="511"/>
      <c r="S340" s="511">
        <f t="shared" si="130"/>
        <v>158258</v>
      </c>
      <c r="T340" s="507">
        <f t="shared" si="138"/>
        <v>-1</v>
      </c>
      <c r="U340" s="512">
        <f t="shared" si="127"/>
        <v>-768</v>
      </c>
      <c r="V340" s="512">
        <f>SUM(B327:B340)/POBLA!$B$25*100000</f>
        <v>261.25513305252485</v>
      </c>
      <c r="W340" s="512">
        <f>B340/POBLA!$B$25*100000</f>
        <v>19.592261913746846</v>
      </c>
      <c r="X340" s="513">
        <f t="shared" si="139"/>
        <v>0.77452946671805889</v>
      </c>
      <c r="Y340" s="519">
        <f t="shared" si="124"/>
        <v>2.2558101328210897E-2</v>
      </c>
      <c r="Z340" s="520">
        <f t="shared" si="128"/>
        <v>0.17389862550942928</v>
      </c>
      <c r="AA340" s="517">
        <f t="shared" si="134"/>
        <v>8015.8571428571431</v>
      </c>
      <c r="AB340" s="517">
        <f t="shared" si="135"/>
        <v>157</v>
      </c>
      <c r="AC340" s="517">
        <f t="shared" si="120"/>
        <v>259.83272321232369</v>
      </c>
      <c r="AD340" s="517">
        <f t="shared" si="118"/>
        <v>102.83272321232369</v>
      </c>
      <c r="AE340" s="545">
        <f t="shared" si="132"/>
        <v>8468.4285714285706</v>
      </c>
      <c r="AF340" s="520">
        <f t="shared" si="113"/>
        <v>0.89853796019024135</v>
      </c>
      <c r="AG340" s="200">
        <f t="shared" si="142"/>
        <v>-3.9725736476441842E-2</v>
      </c>
      <c r="AH340" s="4"/>
      <c r="AI340" s="200">
        <f t="shared" si="136"/>
        <v>0.88131515637530078</v>
      </c>
      <c r="AJ340" s="488">
        <f>MAX($B$2:B340)</f>
        <v>18326</v>
      </c>
      <c r="AK340" s="179">
        <f t="shared" si="133"/>
        <v>1.4167848394998067E-2</v>
      </c>
      <c r="AL340" s="179"/>
      <c r="AM340" s="200">
        <f t="shared" si="114"/>
        <v>0.98974216800665371</v>
      </c>
      <c r="AN340" s="200">
        <f t="shared" si="115"/>
        <v>0.88131515637530078</v>
      </c>
      <c r="AP340" s="355">
        <f t="shared" si="140"/>
        <v>0.77452946671805889</v>
      </c>
      <c r="AT340" s="179">
        <f t="shared" si="141"/>
        <v>1.6450042655693279E-2</v>
      </c>
    </row>
    <row r="341" spans="1:46" hidden="1" x14ac:dyDescent="0.25">
      <c r="A341" s="107">
        <v>44232</v>
      </c>
      <c r="B341" s="670">
        <v>8374</v>
      </c>
      <c r="C341" s="515">
        <f t="shared" si="119"/>
        <v>1970009</v>
      </c>
      <c r="D341" s="670">
        <v>285</v>
      </c>
      <c r="E341" s="515">
        <f t="shared" si="125"/>
        <v>48957</v>
      </c>
      <c r="F341" s="515">
        <f t="shared" si="131"/>
        <v>9057</v>
      </c>
      <c r="G341" s="515">
        <v>1763762</v>
      </c>
      <c r="H341" s="515">
        <v>3550</v>
      </c>
      <c r="I341" s="515">
        <v>47745</v>
      </c>
      <c r="J341" s="511">
        <f t="shared" si="122"/>
        <v>6424133</v>
      </c>
      <c r="K341" s="511"/>
      <c r="L341" s="541">
        <f t="shared" si="129"/>
        <v>2.4851155502335267E-2</v>
      </c>
      <c r="M341" s="522">
        <v>3524708</v>
      </c>
      <c r="N341" s="511">
        <f t="shared" si="137"/>
        <v>3524708.0248511555</v>
      </c>
      <c r="O341" s="520"/>
      <c r="P341" s="511"/>
      <c r="Q341" s="511"/>
      <c r="R341" s="511"/>
      <c r="S341" s="511">
        <f t="shared" si="130"/>
        <v>157290</v>
      </c>
      <c r="T341" s="507">
        <f t="shared" si="138"/>
        <v>-20</v>
      </c>
      <c r="U341" s="512">
        <f t="shared" si="127"/>
        <v>-968</v>
      </c>
      <c r="V341" s="512">
        <f>SUM(B328:B341)/POBLA!$B$25*100000</f>
        <v>256.01275411958102</v>
      </c>
      <c r="W341" s="512">
        <f>B341/POBLA!$B$25*100000</f>
        <v>18.452997555473633</v>
      </c>
      <c r="X341" s="513">
        <f t="shared" si="139"/>
        <v>0.77206634856922607</v>
      </c>
      <c r="Y341" s="519">
        <f t="shared" si="124"/>
        <v>2.2569775573780915E-2</v>
      </c>
      <c r="Z341" s="520">
        <f t="shared" si="128"/>
        <v>0.16835129897936235</v>
      </c>
      <c r="AA341" s="517">
        <f t="shared" si="134"/>
        <v>7806.7142857142853</v>
      </c>
      <c r="AB341" s="517">
        <f t="shared" si="135"/>
        <v>172.85714285714286</v>
      </c>
      <c r="AC341" s="517">
        <f t="shared" si="120"/>
        <v>253.88870747125065</v>
      </c>
      <c r="AD341" s="517">
        <f t="shared" si="118"/>
        <v>81.031564614107793</v>
      </c>
      <c r="AE341" s="545">
        <f t="shared" si="132"/>
        <v>8298.5</v>
      </c>
      <c r="AF341" s="520">
        <f t="shared" ref="AF341:AF404" si="143">AA341/AA334</f>
        <v>0.88810700123512964</v>
      </c>
      <c r="AG341" s="200">
        <f t="shared" si="142"/>
        <v>-4.1826067886644447E-2</v>
      </c>
      <c r="AH341" s="4"/>
      <c r="AI341" s="200">
        <f t="shared" si="136"/>
        <v>1.0074937552039966</v>
      </c>
      <c r="AJ341" s="488">
        <f>MAX($B$2:B341)</f>
        <v>18326</v>
      </c>
      <c r="AK341" s="179">
        <f t="shared" si="133"/>
        <v>1.5708981382909666E-2</v>
      </c>
      <c r="AL341" s="179"/>
      <c r="AM341" s="200">
        <f t="shared" ref="AM341:AM404" si="144">H341/H334</f>
        <v>0.97850055126791624</v>
      </c>
      <c r="AN341" s="200">
        <f t="shared" ref="AN341:AN404" si="145">AB341/AB334</f>
        <v>1.0074937552039966</v>
      </c>
      <c r="AP341" s="355">
        <f t="shared" si="140"/>
        <v>0.77206634856922607</v>
      </c>
      <c r="AT341" s="179">
        <f t="shared" si="141"/>
        <v>1.7053614576739564E-2</v>
      </c>
    </row>
    <row r="342" spans="1:46" hidden="1" x14ac:dyDescent="0.25">
      <c r="A342" s="107">
        <v>44233</v>
      </c>
      <c r="B342" s="670">
        <v>6680</v>
      </c>
      <c r="C342" s="515">
        <f t="shared" si="119"/>
        <v>1976689</v>
      </c>
      <c r="D342" s="670">
        <v>125</v>
      </c>
      <c r="E342" s="515">
        <f t="shared" si="125"/>
        <v>49082</v>
      </c>
      <c r="F342" s="515">
        <f t="shared" si="131"/>
        <v>8297</v>
      </c>
      <c r="G342" s="515">
        <v>1772059</v>
      </c>
      <c r="H342" s="515">
        <v>3550</v>
      </c>
      <c r="I342" s="515">
        <v>42244</v>
      </c>
      <c r="J342" s="511">
        <f t="shared" si="122"/>
        <v>6466377</v>
      </c>
      <c r="K342" s="511"/>
      <c r="L342" s="541">
        <f t="shared" si="129"/>
        <v>2.4830410853705364E-2</v>
      </c>
      <c r="M342" s="522">
        <v>3551197</v>
      </c>
      <c r="N342" s="511">
        <f t="shared" si="137"/>
        <v>3551197.0248304107</v>
      </c>
      <c r="O342" s="520"/>
      <c r="P342" s="511"/>
      <c r="Q342" s="511"/>
      <c r="R342" s="511"/>
      <c r="S342" s="511">
        <f t="shared" si="130"/>
        <v>155548</v>
      </c>
      <c r="T342" s="507">
        <f t="shared" si="138"/>
        <v>0</v>
      </c>
      <c r="U342" s="512">
        <f t="shared" ref="U342:U373" si="146">(C342-G342-E342)-(C341-E341-G341)</f>
        <v>-1742</v>
      </c>
      <c r="V342" s="512">
        <f>SUM(B329:B342)/POBLA!$B$25*100000</f>
        <v>252.30628864450259</v>
      </c>
      <c r="W342" s="512">
        <f>B342/POBLA!$B$25*100000</f>
        <v>14.720088807089072</v>
      </c>
      <c r="X342" s="513">
        <f t="shared" si="139"/>
        <v>0.77476435043272907</v>
      </c>
      <c r="Y342" s="519">
        <f t="shared" si="124"/>
        <v>2.2822537094658882E-2</v>
      </c>
      <c r="Z342" s="520">
        <f t="shared" si="128"/>
        <v>0.16681123129216255</v>
      </c>
      <c r="AA342" s="517">
        <f t="shared" si="134"/>
        <v>7775</v>
      </c>
      <c r="AB342" s="517">
        <f t="shared" si="135"/>
        <v>168.42857142857142</v>
      </c>
      <c r="AC342" s="517">
        <f t="shared" si="120"/>
        <v>251.58590398534935</v>
      </c>
      <c r="AD342" s="517">
        <f t="shared" ref="AD342:AD405" si="147">AC342-AB342</f>
        <v>83.157332556777931</v>
      </c>
      <c r="AE342" s="545">
        <f t="shared" si="132"/>
        <v>8178.3571428571431</v>
      </c>
      <c r="AF342" s="520">
        <f t="shared" si="143"/>
        <v>0.9059961379677719</v>
      </c>
      <c r="AG342" s="200">
        <f t="shared" si="142"/>
        <v>-3.6812741109521818E-2</v>
      </c>
      <c r="AH342" s="4"/>
      <c r="AI342" s="200">
        <f t="shared" si="136"/>
        <v>0.98661087866108776</v>
      </c>
      <c r="AJ342" s="488">
        <f>MAX($B$2:B342)</f>
        <v>18326</v>
      </c>
      <c r="AK342" s="179">
        <f t="shared" si="133"/>
        <v>1.5410354608075076E-2</v>
      </c>
      <c r="AL342" s="28">
        <f t="shared" ref="AL342:AL373" si="148">H342/S335</f>
        <v>2.1982376945130749E-2</v>
      </c>
      <c r="AM342" s="200">
        <f t="shared" si="144"/>
        <v>0.97958057395143483</v>
      </c>
      <c r="AN342" s="200">
        <f t="shared" si="145"/>
        <v>0.98661087866108776</v>
      </c>
      <c r="AP342" s="355">
        <f t="shared" si="140"/>
        <v>0.77476435043272918</v>
      </c>
      <c r="AT342" s="179">
        <f t="shared" si="141"/>
        <v>1.740598500783095E-2</v>
      </c>
    </row>
    <row r="343" spans="1:46" hidden="1" x14ac:dyDescent="0.25">
      <c r="A343" s="107">
        <v>44234</v>
      </c>
      <c r="B343" s="670">
        <v>3658</v>
      </c>
      <c r="C343" s="515">
        <f t="shared" si="119"/>
        <v>1980347</v>
      </c>
      <c r="D343" s="670">
        <v>61</v>
      </c>
      <c r="E343" s="515">
        <f t="shared" si="125"/>
        <v>49143</v>
      </c>
      <c r="F343" s="515">
        <f t="shared" si="131"/>
        <v>6906</v>
      </c>
      <c r="G343" s="515">
        <v>1778965</v>
      </c>
      <c r="H343" s="515">
        <v>3550</v>
      </c>
      <c r="I343" s="515">
        <v>24721</v>
      </c>
      <c r="J343" s="511">
        <f t="shared" si="122"/>
        <v>6491098</v>
      </c>
      <c r="K343" s="511"/>
      <c r="L343" s="541">
        <f t="shared" si="129"/>
        <v>2.4815348017291919E-2</v>
      </c>
      <c r="M343" s="522">
        <v>3568763</v>
      </c>
      <c r="N343" s="511">
        <f t="shared" si="137"/>
        <v>3568763.024815348</v>
      </c>
      <c r="O343" s="520"/>
      <c r="P343" s="511"/>
      <c r="Q343" s="511"/>
      <c r="R343" s="511"/>
      <c r="S343" s="511">
        <f t="shared" si="130"/>
        <v>152239</v>
      </c>
      <c r="T343" s="507">
        <f t="shared" si="138"/>
        <v>0</v>
      </c>
      <c r="U343" s="512">
        <f t="shared" si="146"/>
        <v>-3309</v>
      </c>
      <c r="V343" s="512">
        <f>SUM(B330:B343)/POBLA!$B$25*100000</f>
        <v>249.28073745705751</v>
      </c>
      <c r="W343" s="512">
        <f>B343/POBLA!$B$25*100000</f>
        <v>8.0607911461574595</v>
      </c>
      <c r="X343" s="513">
        <f t="shared" si="139"/>
        <v>0.78013323586610206</v>
      </c>
      <c r="Y343" s="519">
        <f t="shared" si="124"/>
        <v>2.3318597731198969E-2</v>
      </c>
      <c r="Z343" s="520">
        <f t="shared" si="128"/>
        <v>0.16775750530678257</v>
      </c>
      <c r="AA343" s="517">
        <f t="shared" si="134"/>
        <v>7586.8571428571431</v>
      </c>
      <c r="AB343" s="517">
        <f t="shared" si="135"/>
        <v>171</v>
      </c>
      <c r="AC343" s="517">
        <f t="shared" si="120"/>
        <v>243.39644182066857</v>
      </c>
      <c r="AD343" s="517">
        <f t="shared" si="147"/>
        <v>72.396441820668571</v>
      </c>
      <c r="AE343" s="545">
        <f t="shared" si="132"/>
        <v>8080.2857142857147</v>
      </c>
      <c r="AF343" s="520">
        <f t="shared" si="143"/>
        <v>0.88489736070381231</v>
      </c>
      <c r="AG343" s="200">
        <f t="shared" si="142"/>
        <v>-3.42799870593683E-2</v>
      </c>
      <c r="AH343" s="4"/>
      <c r="AI343" s="200">
        <f t="shared" si="136"/>
        <v>1.0426829268292683</v>
      </c>
      <c r="AJ343" s="488">
        <f>MAX($B$2:B343)</f>
        <v>18326</v>
      </c>
      <c r="AK343" s="179">
        <f t="shared" si="133"/>
        <v>1.5988779803646564E-2</v>
      </c>
      <c r="AL343" s="28">
        <f t="shared" si="148"/>
        <v>2.2519236502730855E-2</v>
      </c>
      <c r="AM343" s="200">
        <f t="shared" si="144"/>
        <v>0.98147636162565666</v>
      </c>
      <c r="AN343" s="200">
        <f t="shared" si="145"/>
        <v>1.0426829268292683</v>
      </c>
      <c r="AP343" s="355">
        <f t="shared" si="140"/>
        <v>0.78013323586610206</v>
      </c>
      <c r="AT343" s="179">
        <f t="shared" si="141"/>
        <v>1.7689849997292371E-2</v>
      </c>
    </row>
    <row r="344" spans="1:46" hidden="1" x14ac:dyDescent="0.25">
      <c r="A344" s="107">
        <v>44235</v>
      </c>
      <c r="B344" s="670">
        <v>5154</v>
      </c>
      <c r="C344" s="515">
        <f t="shared" si="119"/>
        <v>1985501</v>
      </c>
      <c r="D344" s="670">
        <v>227</v>
      </c>
      <c r="E344" s="515">
        <f t="shared" si="125"/>
        <v>49370</v>
      </c>
      <c r="F344" s="515">
        <f t="shared" si="131"/>
        <v>7213</v>
      </c>
      <c r="G344" s="515">
        <v>1786178</v>
      </c>
      <c r="H344" s="515">
        <v>3526</v>
      </c>
      <c r="I344" s="515">
        <v>30651</v>
      </c>
      <c r="J344" s="511">
        <f t="shared" si="122"/>
        <v>6521749</v>
      </c>
      <c r="K344" s="511"/>
      <c r="L344" s="541">
        <f t="shared" si="129"/>
        <v>2.4865260707499014E-2</v>
      </c>
      <c r="M344" s="522">
        <v>3587360</v>
      </c>
      <c r="N344" s="511">
        <f t="shared" si="137"/>
        <v>3587360.0248652608</v>
      </c>
      <c r="O344" s="520"/>
      <c r="P344" s="511"/>
      <c r="Q344" s="511"/>
      <c r="R344" s="511"/>
      <c r="S344" s="511">
        <f t="shared" si="130"/>
        <v>149953</v>
      </c>
      <c r="T344" s="507">
        <f t="shared" si="138"/>
        <v>-24</v>
      </c>
      <c r="U344" s="512">
        <f t="shared" si="146"/>
        <v>-2286</v>
      </c>
      <c r="V344" s="512">
        <f>SUM(B331:B344)/POBLA!$B$25*100000</f>
        <v>243.93919624921557</v>
      </c>
      <c r="W344" s="512">
        <f>B344/POBLA!$B$25*100000</f>
        <v>11.357385884990581</v>
      </c>
      <c r="X344" s="513">
        <f t="shared" si="139"/>
        <v>0.76939115929941615</v>
      </c>
      <c r="Y344" s="519">
        <f t="shared" si="124"/>
        <v>2.3514034397444532E-2</v>
      </c>
      <c r="Z344" s="520">
        <f t="shared" si="128"/>
        <v>0.16539003458434737</v>
      </c>
      <c r="AA344" s="517">
        <f t="shared" si="134"/>
        <v>7378.2857142857147</v>
      </c>
      <c r="AB344" s="517">
        <f t="shared" si="135"/>
        <v>164.14285714285714</v>
      </c>
      <c r="AC344" s="517">
        <f t="shared" si="120"/>
        <v>241.31591551011854</v>
      </c>
      <c r="AD344" s="517">
        <f t="shared" si="147"/>
        <v>77.173058367261405</v>
      </c>
      <c r="AE344" s="545">
        <f t="shared" si="132"/>
        <v>7907.1428571428569</v>
      </c>
      <c r="AF344" s="520">
        <f t="shared" si="143"/>
        <v>0.87461897988213777</v>
      </c>
      <c r="AG344" s="200">
        <f t="shared" si="142"/>
        <v>-3.6496115862317158E-2</v>
      </c>
      <c r="AH344" s="4"/>
      <c r="AI344" s="200">
        <f t="shared" si="136"/>
        <v>0.94567901234567897</v>
      </c>
      <c r="AJ344" s="488">
        <f>MAX($B$2:B344)</f>
        <v>18326</v>
      </c>
      <c r="AK344" s="179">
        <f t="shared" si="133"/>
        <v>1.5474330657760061E-2</v>
      </c>
      <c r="AL344" s="28">
        <f t="shared" si="148"/>
        <v>2.2655863473684888E-2</v>
      </c>
      <c r="AM344" s="200">
        <f t="shared" si="144"/>
        <v>0.992121553179516</v>
      </c>
      <c r="AN344" s="200">
        <f t="shared" si="145"/>
        <v>0.94567901234567897</v>
      </c>
      <c r="AP344" s="355">
        <f t="shared" si="140"/>
        <v>0.76939115929941615</v>
      </c>
      <c r="AT344" s="179">
        <f t="shared" si="141"/>
        <v>1.8381213757691115E-2</v>
      </c>
    </row>
    <row r="345" spans="1:46" hidden="1" x14ac:dyDescent="0.25">
      <c r="A345" s="107">
        <v>44236</v>
      </c>
      <c r="B345" s="670">
        <v>7794</v>
      </c>
      <c r="C345" s="515">
        <f t="shared" si="119"/>
        <v>1993295</v>
      </c>
      <c r="D345" s="670">
        <v>168</v>
      </c>
      <c r="E345" s="515">
        <f t="shared" si="125"/>
        <v>49538</v>
      </c>
      <c r="F345" s="515">
        <f t="shared" si="131"/>
        <v>6143</v>
      </c>
      <c r="G345" s="515">
        <v>1792321</v>
      </c>
      <c r="H345" s="515">
        <v>3553</v>
      </c>
      <c r="I345" s="515">
        <v>49781</v>
      </c>
      <c r="J345" s="511">
        <f t="shared" si="122"/>
        <v>6571530</v>
      </c>
      <c r="K345" s="511"/>
      <c r="L345" s="541">
        <f t="shared" si="129"/>
        <v>2.4852317394063596E-2</v>
      </c>
      <c r="M345" s="522">
        <v>3619021</v>
      </c>
      <c r="N345" s="511">
        <f t="shared" si="137"/>
        <v>3619021.0248523173</v>
      </c>
      <c r="O345" s="520"/>
      <c r="P345" s="511"/>
      <c r="Q345" s="511"/>
      <c r="R345" s="511"/>
      <c r="S345" s="511">
        <f t="shared" si="130"/>
        <v>151436</v>
      </c>
      <c r="T345" s="507">
        <f t="shared" si="138"/>
        <v>27</v>
      </c>
      <c r="U345" s="512">
        <f t="shared" si="146"/>
        <v>1483</v>
      </c>
      <c r="V345" s="512">
        <f>SUM(B332:B345)/POBLA!$B$25*100000</f>
        <v>238.17676627458417</v>
      </c>
      <c r="W345" s="512">
        <f>B345/POBLA!$B$25*100000</f>
        <v>17.174906012343147</v>
      </c>
      <c r="X345" s="513">
        <f t="shared" si="139"/>
        <v>0.76925540546311189</v>
      </c>
      <c r="Y345" s="519">
        <f t="shared" si="124"/>
        <v>2.3462056578356535E-2</v>
      </c>
      <c r="Z345" s="520">
        <f t="shared" si="128"/>
        <v>0.16814428494654549</v>
      </c>
      <c r="AA345" s="517">
        <f t="shared" si="134"/>
        <v>7106.7142857142853</v>
      </c>
      <c r="AB345" s="517">
        <f t="shared" si="135"/>
        <v>163</v>
      </c>
      <c r="AC345" s="517">
        <f t="shared" si="120"/>
        <v>234.90344198107525</v>
      </c>
      <c r="AD345" s="517">
        <f t="shared" si="147"/>
        <v>71.903441981075247</v>
      </c>
      <c r="AE345" s="545">
        <f t="shared" si="132"/>
        <v>7720.3571428571431</v>
      </c>
      <c r="AF345" s="520">
        <f t="shared" si="143"/>
        <v>0.85273749528609133</v>
      </c>
      <c r="AG345" s="200">
        <f t="shared" si="142"/>
        <v>-3.1633873247092104E-2</v>
      </c>
      <c r="AH345" s="4"/>
      <c r="AI345" s="200">
        <f t="shared" si="136"/>
        <v>0.97354948805460761</v>
      </c>
      <c r="AJ345" s="488">
        <f>MAX($B$2:B345)</f>
        <v>18326</v>
      </c>
      <c r="AK345" s="179">
        <f t="shared" si="133"/>
        <v>1.5767944501257566E-2</v>
      </c>
      <c r="AL345" s="28">
        <f t="shared" si="148"/>
        <v>2.27198608544407E-2</v>
      </c>
      <c r="AM345" s="200">
        <f t="shared" si="144"/>
        <v>0.99079754601226999</v>
      </c>
      <c r="AN345" s="200">
        <f t="shared" si="145"/>
        <v>0.97354948805460761</v>
      </c>
      <c r="AP345" s="355">
        <f t="shared" si="140"/>
        <v>0.769255405463112</v>
      </c>
      <c r="AT345" s="179">
        <f t="shared" si="141"/>
        <v>1.8714170829060271E-2</v>
      </c>
    </row>
    <row r="346" spans="1:46" hidden="1" x14ac:dyDescent="0.25">
      <c r="A346" s="107">
        <v>44237</v>
      </c>
      <c r="B346" s="670">
        <v>7739</v>
      </c>
      <c r="C346" s="515">
        <f t="shared" si="119"/>
        <v>2001034</v>
      </c>
      <c r="D346" s="670">
        <v>109</v>
      </c>
      <c r="E346" s="515">
        <f t="shared" si="125"/>
        <v>49647</v>
      </c>
      <c r="F346" s="515">
        <f t="shared" si="131"/>
        <v>5799</v>
      </c>
      <c r="G346" s="515">
        <v>1798120</v>
      </c>
      <c r="H346" s="515">
        <v>3561</v>
      </c>
      <c r="I346" s="515">
        <v>50352</v>
      </c>
      <c r="J346" s="511">
        <f t="shared" si="122"/>
        <v>6621882</v>
      </c>
      <c r="K346" s="511"/>
      <c r="L346" s="541">
        <f t="shared" si="129"/>
        <v>2.4810672882119945E-2</v>
      </c>
      <c r="M346" s="522">
        <v>3639228</v>
      </c>
      <c r="N346" s="511">
        <f t="shared" si="137"/>
        <v>3639228.0248106727</v>
      </c>
      <c r="O346" s="520"/>
      <c r="P346" s="511"/>
      <c r="Q346" s="511"/>
      <c r="R346" s="511"/>
      <c r="S346" s="511">
        <f t="shared" si="130"/>
        <v>153267</v>
      </c>
      <c r="T346" s="507">
        <f t="shared" si="138"/>
        <v>8</v>
      </c>
      <c r="U346" s="512">
        <f t="shared" si="146"/>
        <v>1831</v>
      </c>
      <c r="V346" s="512">
        <f>SUM(B333:B346)/POBLA!$B$25*100000</f>
        <v>231.33677291272721</v>
      </c>
      <c r="W346" s="512">
        <f>B346/POBLA!$B$25*100000</f>
        <v>17.053707676356634</v>
      </c>
      <c r="X346" s="513">
        <f t="shared" si="139"/>
        <v>0.75730753693444142</v>
      </c>
      <c r="Y346" s="519">
        <f t="shared" si="124"/>
        <v>2.3233964258450937E-2</v>
      </c>
      <c r="Z346" s="520">
        <f t="shared" si="128"/>
        <v>0.16201925173879639</v>
      </c>
      <c r="AA346" s="517">
        <f t="shared" si="134"/>
        <v>6898.5714285714284</v>
      </c>
      <c r="AB346" s="517">
        <f t="shared" si="135"/>
        <v>162.42857142857142</v>
      </c>
      <c r="AC346" s="517">
        <f t="shared" si="120"/>
        <v>229.92752417785792</v>
      </c>
      <c r="AD346" s="517">
        <f t="shared" si="147"/>
        <v>67.498952749286502</v>
      </c>
      <c r="AE346" s="545">
        <f t="shared" si="132"/>
        <v>7498.6428571428569</v>
      </c>
      <c r="AF346" s="520">
        <f t="shared" si="143"/>
        <v>0.85181069305533508</v>
      </c>
      <c r="AG346" s="200">
        <f t="shared" si="142"/>
        <v>-3.6214203966646985E-2</v>
      </c>
      <c r="AH346" s="4"/>
      <c r="AI346" s="200">
        <f t="shared" si="136"/>
        <v>1.0308250226654576</v>
      </c>
      <c r="AJ346" s="488">
        <f>MAX($B$2:B346)</f>
        <v>18326</v>
      </c>
      <c r="AK346" s="179">
        <f t="shared" si="133"/>
        <v>1.6063179011909637E-2</v>
      </c>
      <c r="AL346" s="28">
        <f t="shared" si="148"/>
        <v>2.2392564737841611E-2</v>
      </c>
      <c r="AM346" s="200">
        <f t="shared" si="144"/>
        <v>0.99719966395967519</v>
      </c>
      <c r="AN346" s="200">
        <f t="shared" si="145"/>
        <v>1.0308250226654576</v>
      </c>
      <c r="AP346" s="355">
        <f t="shared" si="140"/>
        <v>0.75730753693444131</v>
      </c>
      <c r="AT346" s="179">
        <f t="shared" si="141"/>
        <v>1.8592218812126776E-2</v>
      </c>
    </row>
    <row r="347" spans="1:46" hidden="1" x14ac:dyDescent="0.25">
      <c r="A347" s="107">
        <v>44238</v>
      </c>
      <c r="B347" s="676">
        <v>7311</v>
      </c>
      <c r="C347" s="515">
        <f t="shared" si="119"/>
        <v>2008345</v>
      </c>
      <c r="D347" s="676">
        <v>195</v>
      </c>
      <c r="E347" s="515">
        <f t="shared" si="125"/>
        <v>49842</v>
      </c>
      <c r="F347" s="515">
        <f t="shared" si="131"/>
        <v>8140</v>
      </c>
      <c r="G347" s="515">
        <v>1806260</v>
      </c>
      <c r="H347" s="515">
        <v>3541</v>
      </c>
      <c r="I347" s="515">
        <v>51007</v>
      </c>
      <c r="J347" s="511">
        <f t="shared" si="122"/>
        <v>6672889</v>
      </c>
      <c r="K347" s="511"/>
      <c r="L347" s="541">
        <f t="shared" si="129"/>
        <v>2.4817449193241203E-2</v>
      </c>
      <c r="M347" s="522">
        <v>3684608</v>
      </c>
      <c r="N347" s="511">
        <f t="shared" si="137"/>
        <v>3684608.024817449</v>
      </c>
      <c r="O347" s="520"/>
      <c r="P347" s="511"/>
      <c r="Q347" s="511"/>
      <c r="R347" s="511"/>
      <c r="S347" s="511">
        <f t="shared" si="130"/>
        <v>152243</v>
      </c>
      <c r="T347" s="507">
        <f t="shared" si="138"/>
        <v>-20</v>
      </c>
      <c r="U347" s="512">
        <f t="shared" si="146"/>
        <v>-1024</v>
      </c>
      <c r="V347" s="512">
        <f>SUM(B334:B347)/POBLA!$B$25*100000</f>
        <v>226.57698371762058</v>
      </c>
      <c r="W347" s="512">
        <f>B347/POBLA!$B$25*100000</f>
        <v>16.110564261770687</v>
      </c>
      <c r="X347" s="513">
        <f t="shared" si="139"/>
        <v>0.76271613913017677</v>
      </c>
      <c r="Y347" s="519">
        <f t="shared" si="124"/>
        <v>2.3258869044882197E-2</v>
      </c>
      <c r="Z347" s="520">
        <f t="shared" si="128"/>
        <v>0.15753741134093982</v>
      </c>
      <c r="AA347" s="517">
        <f t="shared" si="134"/>
        <v>6672.8571428571431</v>
      </c>
      <c r="AB347" s="517">
        <f t="shared" si="135"/>
        <v>167.14285714285714</v>
      </c>
      <c r="AC347" s="517">
        <f t="shared" si="120"/>
        <v>222.7202244631923</v>
      </c>
      <c r="AD347" s="517">
        <f t="shared" si="147"/>
        <v>55.577367320335156</v>
      </c>
      <c r="AE347" s="545">
        <f t="shared" si="132"/>
        <v>7344.3571428571431</v>
      </c>
      <c r="AF347" s="520">
        <f t="shared" si="143"/>
        <v>0.83245709397444356</v>
      </c>
      <c r="AG347" s="200">
        <f t="shared" si="142"/>
        <v>-3.8007557279884696E-2</v>
      </c>
      <c r="AH347" s="4"/>
      <c r="AI347" s="200">
        <f t="shared" si="136"/>
        <v>1.064604185623294</v>
      </c>
      <c r="AJ347" s="488">
        <f>MAX($B$2:B347)</f>
        <v>18326</v>
      </c>
      <c r="AK347" s="179">
        <f t="shared" si="133"/>
        <v>1.6663580818366969E-2</v>
      </c>
      <c r="AL347" s="28">
        <f t="shared" si="148"/>
        <v>2.2374856247393497E-2</v>
      </c>
      <c r="AM347" s="200">
        <f t="shared" si="144"/>
        <v>0.99187675070028014</v>
      </c>
      <c r="AN347" s="200">
        <f t="shared" si="145"/>
        <v>1.064604185623294</v>
      </c>
      <c r="AP347" s="355">
        <f t="shared" si="140"/>
        <v>0.76271613913017677</v>
      </c>
      <c r="AT347" s="179">
        <f t="shared" si="141"/>
        <v>1.9060009634313327E-2</v>
      </c>
    </row>
    <row r="348" spans="1:46" hidden="1" x14ac:dyDescent="0.25">
      <c r="A348" s="107">
        <v>44239</v>
      </c>
      <c r="B348" s="670">
        <v>7151</v>
      </c>
      <c r="C348" s="515">
        <f t="shared" si="119"/>
        <v>2015496</v>
      </c>
      <c r="D348" s="674">
        <v>155</v>
      </c>
      <c r="E348" s="515">
        <f t="shared" si="125"/>
        <v>49997</v>
      </c>
      <c r="F348" s="515">
        <f t="shared" si="131"/>
        <v>7900</v>
      </c>
      <c r="G348" s="515">
        <v>1814160</v>
      </c>
      <c r="H348" s="515">
        <v>3538</v>
      </c>
      <c r="I348" s="515">
        <v>49074</v>
      </c>
      <c r="J348" s="511">
        <f t="shared" si="122"/>
        <v>6721963</v>
      </c>
      <c r="K348" s="511"/>
      <c r="L348" s="541">
        <f t="shared" si="129"/>
        <v>2.4806300781544593E-2</v>
      </c>
      <c r="M348" s="522">
        <v>3716607</v>
      </c>
      <c r="N348" s="511">
        <f t="shared" si="137"/>
        <v>3716607.0248063006</v>
      </c>
      <c r="O348" s="520"/>
      <c r="P348" s="511"/>
      <c r="Q348" s="511"/>
      <c r="R348" s="511"/>
      <c r="S348" s="511">
        <f t="shared" si="130"/>
        <v>151339</v>
      </c>
      <c r="T348" s="507">
        <f t="shared" si="138"/>
        <v>-3</v>
      </c>
      <c r="U348" s="512">
        <f t="shared" si="146"/>
        <v>-904</v>
      </c>
      <c r="V348" s="512">
        <f>SUM(B335:B348)/POBLA!$B$25*100000</f>
        <v>220.65589410315226</v>
      </c>
      <c r="W348" s="512">
        <f>B348/POBLA!$B$25*100000</f>
        <v>15.757987284355382</v>
      </c>
      <c r="X348" s="513">
        <f t="shared" si="139"/>
        <v>0.75678494501757165</v>
      </c>
      <c r="Y348" s="519">
        <f t="shared" si="124"/>
        <v>2.3377979238662871E-2</v>
      </c>
      <c r="Z348" s="520">
        <f t="shared" si="128"/>
        <v>0.15272806634657354</v>
      </c>
      <c r="AA348" s="517">
        <f t="shared" si="134"/>
        <v>6498.1428571428569</v>
      </c>
      <c r="AB348" s="517">
        <f t="shared" si="135"/>
        <v>148.57142857142858</v>
      </c>
      <c r="AC348" s="517">
        <f t="shared" si="120"/>
        <v>219.12817107157812</v>
      </c>
      <c r="AD348" s="517">
        <f t="shared" si="147"/>
        <v>70.556742500149539</v>
      </c>
      <c r="AE348" s="545">
        <f t="shared" si="132"/>
        <v>7152.4285714285716</v>
      </c>
      <c r="AF348" s="520">
        <f t="shared" si="143"/>
        <v>0.83237872161326332</v>
      </c>
      <c r="AG348" s="200">
        <f t="shared" si="142"/>
        <v>-3.7834573081569123E-2</v>
      </c>
      <c r="AH348" s="4"/>
      <c r="AI348" s="200">
        <f t="shared" si="136"/>
        <v>0.85950413223140498</v>
      </c>
      <c r="AJ348" s="488">
        <f>MAX($B$2:B348)</f>
        <v>18326</v>
      </c>
      <c r="AK348" s="179">
        <f t="shared" si="133"/>
        <v>1.5298617240364815E-2</v>
      </c>
      <c r="AL348" s="28">
        <f t="shared" si="148"/>
        <v>2.2493483374658275E-2</v>
      </c>
      <c r="AM348" s="200">
        <f t="shared" si="144"/>
        <v>0.99661971830985918</v>
      </c>
      <c r="AN348" s="200">
        <f t="shared" si="145"/>
        <v>0.85950413223140498</v>
      </c>
      <c r="AP348" s="355">
        <f t="shared" si="140"/>
        <v>0.75678494501757165</v>
      </c>
      <c r="AT348" s="179">
        <f t="shared" si="141"/>
        <v>1.9553061801780156E-2</v>
      </c>
    </row>
    <row r="349" spans="1:46" hidden="1" x14ac:dyDescent="0.25">
      <c r="A349" s="107">
        <v>44240</v>
      </c>
      <c r="B349" s="670">
        <v>6057</v>
      </c>
      <c r="C349" s="515">
        <f t="shared" si="119"/>
        <v>2021553</v>
      </c>
      <c r="D349" s="674">
        <v>158</v>
      </c>
      <c r="E349" s="515">
        <f t="shared" si="125"/>
        <v>50155</v>
      </c>
      <c r="F349" s="515">
        <f t="shared" si="131"/>
        <v>6805</v>
      </c>
      <c r="G349" s="515">
        <v>1820965</v>
      </c>
      <c r="H349" s="515">
        <v>3514</v>
      </c>
      <c r="I349" s="515">
        <v>54719</v>
      </c>
      <c r="J349" s="511">
        <f t="shared" si="122"/>
        <v>6776682</v>
      </c>
      <c r="K349" s="511"/>
      <c r="L349" s="541">
        <f t="shared" si="129"/>
        <v>2.481013359531014E-2</v>
      </c>
      <c r="M349" s="522"/>
      <c r="N349" s="511"/>
      <c r="O349" s="520"/>
      <c r="P349" s="511"/>
      <c r="Q349" s="511"/>
      <c r="R349" s="511"/>
      <c r="S349" s="511">
        <f t="shared" si="130"/>
        <v>150433</v>
      </c>
      <c r="T349" s="507">
        <f t="shared" si="138"/>
        <v>-24</v>
      </c>
      <c r="U349" s="512">
        <f t="shared" si="146"/>
        <v>-906</v>
      </c>
      <c r="V349" s="512">
        <f>SUM(B336:B349)/POBLA!$B$25*100000</f>
        <v>218.79384694117766</v>
      </c>
      <c r="W349" s="512">
        <f>B349/POBLA!$B$25*100000</f>
        <v>13.347242201278219</v>
      </c>
      <c r="X349" s="513">
        <f t="shared" si="139"/>
        <v>0.76209080093640869</v>
      </c>
      <c r="Y349" s="519">
        <f t="shared" si="124"/>
        <v>2.3359236337771632E-2</v>
      </c>
      <c r="Z349" s="520">
        <f t="shared" si="128"/>
        <v>0.14458033225375033</v>
      </c>
      <c r="AA349" s="517">
        <f t="shared" si="134"/>
        <v>6409.1428571428569</v>
      </c>
      <c r="AB349" s="517">
        <f t="shared" si="135"/>
        <v>153.28571428571428</v>
      </c>
      <c r="AC349" s="517">
        <f t="shared" si="120"/>
        <v>213.85712858825397</v>
      </c>
      <c r="AD349" s="517">
        <f t="shared" si="147"/>
        <v>60.571414302539694</v>
      </c>
      <c r="AE349" s="545">
        <f t="shared" si="132"/>
        <v>7092.0714285714284</v>
      </c>
      <c r="AF349" s="520">
        <f t="shared" si="143"/>
        <v>0.82432705558107489</v>
      </c>
      <c r="AG349" s="200">
        <f t="shared" si="142"/>
        <v>-3.2883740067374712E-2</v>
      </c>
      <c r="AH349" s="4"/>
      <c r="AI349" s="200">
        <f t="shared" si="136"/>
        <v>0.91009329940627648</v>
      </c>
      <c r="AJ349" s="488">
        <f>MAX($B$2:B349)</f>
        <v>18326</v>
      </c>
      <c r="AK349" s="179">
        <f t="shared" si="133"/>
        <v>1.592626126192985E-2</v>
      </c>
      <c r="AL349" s="28">
        <f t="shared" si="148"/>
        <v>2.2591097281867978E-2</v>
      </c>
      <c r="AM349" s="200">
        <f t="shared" si="144"/>
        <v>0.98985915492957743</v>
      </c>
      <c r="AN349" s="200">
        <f t="shared" si="145"/>
        <v>0.91009329940627648</v>
      </c>
      <c r="AP349" s="355">
        <f t="shared" si="140"/>
        <v>0.76209080093640857</v>
      </c>
      <c r="AT349" s="179">
        <f t="shared" si="141"/>
        <v>2.0180355448536507E-2</v>
      </c>
    </row>
    <row r="350" spans="1:46" hidden="1" x14ac:dyDescent="0.25">
      <c r="A350" s="107">
        <v>44241</v>
      </c>
      <c r="B350" s="670">
        <v>4245</v>
      </c>
      <c r="C350" s="515">
        <f t="shared" si="119"/>
        <v>2025798</v>
      </c>
      <c r="D350" s="674">
        <v>48</v>
      </c>
      <c r="E350" s="515">
        <f t="shared" si="125"/>
        <v>50203</v>
      </c>
      <c r="F350" s="515">
        <f t="shared" si="131"/>
        <v>6153</v>
      </c>
      <c r="G350" s="515">
        <v>1827118</v>
      </c>
      <c r="H350" s="515">
        <v>3547</v>
      </c>
      <c r="I350" s="515">
        <v>41673</v>
      </c>
      <c r="J350" s="511">
        <f t="shared" si="122"/>
        <v>6818355</v>
      </c>
      <c r="K350" s="511"/>
      <c r="L350" s="541">
        <f t="shared" si="129"/>
        <v>2.4781839057990973E-2</v>
      </c>
      <c r="M350" s="522">
        <v>3778940</v>
      </c>
      <c r="N350" s="511">
        <f t="shared" si="137"/>
        <v>3778940.024781839</v>
      </c>
      <c r="O350" s="520"/>
      <c r="P350" s="511"/>
      <c r="Q350" s="511"/>
      <c r="R350" s="511"/>
      <c r="S350" s="511">
        <f t="shared" si="130"/>
        <v>148477</v>
      </c>
      <c r="T350" s="507">
        <f t="shared" si="138"/>
        <v>33</v>
      </c>
      <c r="U350" s="512">
        <f t="shared" si="146"/>
        <v>-1956</v>
      </c>
      <c r="V350" s="512">
        <f>SUM(B337:B350)/POBLA!$B$25*100000</f>
        <v>217.18521448172032</v>
      </c>
      <c r="W350" s="512">
        <f>B350/POBLA!$B$25*100000</f>
        <v>9.354307932049867</v>
      </c>
      <c r="X350" s="513">
        <f t="shared" si="139"/>
        <v>0.7700162505078284</v>
      </c>
      <c r="Y350" s="519">
        <f t="shared" si="124"/>
        <v>2.3889221899688166E-2</v>
      </c>
      <c r="Z350" s="520">
        <f t="shared" si="128"/>
        <v>0.13888472973840132</v>
      </c>
      <c r="AA350" s="517">
        <f t="shared" si="134"/>
        <v>6493</v>
      </c>
      <c r="AB350" s="517">
        <f t="shared" si="135"/>
        <v>151.42857142857142</v>
      </c>
      <c r="AC350" s="517">
        <f t="shared" si="120"/>
        <v>213.29752311096712</v>
      </c>
      <c r="AD350" s="517">
        <f t="shared" si="147"/>
        <v>61.868951682395704</v>
      </c>
      <c r="AE350" s="545">
        <f t="shared" si="132"/>
        <v>7039.9285714285716</v>
      </c>
      <c r="AF350" s="520">
        <f t="shared" si="143"/>
        <v>0.85582209836559464</v>
      </c>
      <c r="AG350" s="200">
        <f t="shared" si="142"/>
        <v>-2.4711144975991695E-2</v>
      </c>
      <c r="AH350" s="4"/>
      <c r="AI350" s="200">
        <f t="shared" si="136"/>
        <v>0.88554720133667497</v>
      </c>
      <c r="AJ350" s="488">
        <f>MAX($B$2:B350)</f>
        <v>18326</v>
      </c>
      <c r="AK350" s="179">
        <f t="shared" si="133"/>
        <v>1.6148443807985861E-2</v>
      </c>
      <c r="AL350" s="28">
        <f t="shared" si="148"/>
        <v>2.3298891873961336E-2</v>
      </c>
      <c r="AM350" s="200">
        <f t="shared" si="144"/>
        <v>0.99915492957746477</v>
      </c>
      <c r="AN350" s="200">
        <f t="shared" si="145"/>
        <v>0.88554720133667497</v>
      </c>
      <c r="AP350" s="355">
        <f t="shared" si="140"/>
        <v>0.77001625050782829</v>
      </c>
      <c r="AT350" s="179">
        <f t="shared" si="141"/>
        <v>2.0626073631004611E-2</v>
      </c>
    </row>
    <row r="351" spans="1:46" hidden="1" x14ac:dyDescent="0.25">
      <c r="A351" s="107">
        <v>44242</v>
      </c>
      <c r="B351" s="670">
        <v>3259</v>
      </c>
      <c r="C351" s="515">
        <f t="shared" si="119"/>
        <v>2029057</v>
      </c>
      <c r="D351" s="674">
        <v>91</v>
      </c>
      <c r="E351" s="515">
        <f t="shared" si="125"/>
        <v>50294</v>
      </c>
      <c r="F351" s="515">
        <f t="shared" si="131"/>
        <v>6324</v>
      </c>
      <c r="G351" s="515">
        <v>1833442</v>
      </c>
      <c r="H351" s="515">
        <v>3538</v>
      </c>
      <c r="I351" s="515">
        <v>30040</v>
      </c>
      <c r="J351" s="511">
        <f t="shared" si="122"/>
        <v>6848395</v>
      </c>
      <c r="K351" s="511"/>
      <c r="L351" s="541">
        <f t="shared" si="129"/>
        <v>2.4786883759302967E-2</v>
      </c>
      <c r="M351" s="522">
        <v>3807948</v>
      </c>
      <c r="N351" s="511">
        <f t="shared" si="137"/>
        <v>3807948.024786884</v>
      </c>
      <c r="O351" s="520"/>
      <c r="P351" s="511"/>
      <c r="Q351" s="511"/>
      <c r="R351" s="511"/>
      <c r="S351" s="511">
        <f t="shared" si="130"/>
        <v>145321</v>
      </c>
      <c r="T351" s="507">
        <f t="shared" si="138"/>
        <v>-9</v>
      </c>
      <c r="U351" s="512">
        <f t="shared" si="146"/>
        <v>-3156</v>
      </c>
      <c r="V351" s="512">
        <f>SUM(B338:B351)/POBLA!$B$25*100000</f>
        <v>209.79211598654311</v>
      </c>
      <c r="W351" s="512">
        <f>B351/POBLA!$B$25*100000</f>
        <v>7.181552308728036</v>
      </c>
      <c r="X351" s="513">
        <f t="shared" si="139"/>
        <v>0.75304726122206844</v>
      </c>
      <c r="Y351" s="519">
        <f t="shared" si="124"/>
        <v>2.4346102765601667E-2</v>
      </c>
      <c r="Z351" s="520">
        <f t="shared" si="128"/>
        <v>0.13334312987148167</v>
      </c>
      <c r="AA351" s="517">
        <f t="shared" si="134"/>
        <v>6222.2857142857147</v>
      </c>
      <c r="AB351" s="517">
        <f t="shared" si="135"/>
        <v>132</v>
      </c>
      <c r="AC351" s="517">
        <f t="shared" si="120"/>
        <v>210.35329779461003</v>
      </c>
      <c r="AD351" s="517">
        <f t="shared" si="147"/>
        <v>78.353297794610029</v>
      </c>
      <c r="AE351" s="545">
        <f t="shared" si="132"/>
        <v>6800.2857142857147</v>
      </c>
      <c r="AF351" s="520">
        <f t="shared" si="143"/>
        <v>0.84332403965303593</v>
      </c>
      <c r="AG351" s="200">
        <f t="shared" si="142"/>
        <v>-3.088967876601334E-2</v>
      </c>
      <c r="AH351" s="4"/>
      <c r="AI351" s="200">
        <f t="shared" si="136"/>
        <v>0.80417754569190603</v>
      </c>
      <c r="AJ351" s="488">
        <f>MAX($B$2:B351)</f>
        <v>18326</v>
      </c>
      <c r="AK351" s="179">
        <f t="shared" si="133"/>
        <v>1.4354066985645933E-2</v>
      </c>
      <c r="AL351" s="28">
        <f t="shared" si="148"/>
        <v>2.3594059471967882E-2</v>
      </c>
      <c r="AM351" s="200">
        <f t="shared" si="144"/>
        <v>1.0034032898468519</v>
      </c>
      <c r="AN351" s="200">
        <f t="shared" si="145"/>
        <v>0.80417754569190603</v>
      </c>
      <c r="AP351" s="355">
        <f t="shared" si="140"/>
        <v>0.75304726122206844</v>
      </c>
      <c r="AT351" s="179">
        <f t="shared" si="141"/>
        <v>2.1216645998363409E-2</v>
      </c>
    </row>
    <row r="352" spans="1:46" hidden="1" x14ac:dyDescent="0.25">
      <c r="A352" s="107">
        <v>44243</v>
      </c>
      <c r="B352" s="670">
        <v>4003</v>
      </c>
      <c r="C352" s="515">
        <f t="shared" si="119"/>
        <v>2033060</v>
      </c>
      <c r="D352" s="674">
        <v>105</v>
      </c>
      <c r="E352" s="515">
        <f t="shared" si="125"/>
        <v>50399</v>
      </c>
      <c r="F352" s="515">
        <f t="shared" si="131"/>
        <v>4849</v>
      </c>
      <c r="G352" s="515">
        <v>1838291</v>
      </c>
      <c r="H352" s="515">
        <v>3581</v>
      </c>
      <c r="I352" s="515">
        <v>36282</v>
      </c>
      <c r="J352" s="511">
        <f t="shared" si="122"/>
        <v>6884677</v>
      </c>
      <c r="K352" s="511"/>
      <c r="L352" s="541">
        <f t="shared" si="129"/>
        <v>2.4789725831997088E-2</v>
      </c>
      <c r="M352" s="522">
        <v>3832083</v>
      </c>
      <c r="N352" s="511">
        <f t="shared" si="137"/>
        <v>3832083.0247897259</v>
      </c>
      <c r="O352" s="520"/>
      <c r="P352" s="511"/>
      <c r="Q352" s="511"/>
      <c r="R352" s="511"/>
      <c r="S352" s="511">
        <f t="shared" si="130"/>
        <v>144370</v>
      </c>
      <c r="T352" s="507">
        <f t="shared" si="138"/>
        <v>43</v>
      </c>
      <c r="U352" s="512">
        <f t="shared" si="146"/>
        <v>-951</v>
      </c>
      <c r="V352" s="512">
        <f>SUM(B339:B352)/POBLA!$B$25*100000</f>
        <v>197.24919001499359</v>
      </c>
      <c r="W352" s="512">
        <f>B352/POBLA!$B$25*100000</f>
        <v>8.8210352537092138</v>
      </c>
      <c r="X352" s="513">
        <f t="shared" si="139"/>
        <v>0.72199324079077909</v>
      </c>
      <c r="Y352" s="519">
        <f t="shared" si="124"/>
        <v>2.4804322227609615E-2</v>
      </c>
      <c r="Z352" s="520">
        <f t="shared" si="128"/>
        <v>0.12698509006952008</v>
      </c>
      <c r="AA352" s="517">
        <f t="shared" si="134"/>
        <v>5680.7142857142853</v>
      </c>
      <c r="AB352" s="517">
        <f t="shared" si="135"/>
        <v>123</v>
      </c>
      <c r="AC352" s="517">
        <f t="shared" si="120"/>
        <v>207.52798387279347</v>
      </c>
      <c r="AD352" s="517">
        <f t="shared" si="147"/>
        <v>84.52798387279347</v>
      </c>
      <c r="AE352" s="545">
        <f t="shared" si="132"/>
        <v>6393.7142857142853</v>
      </c>
      <c r="AF352" s="520">
        <f t="shared" si="143"/>
        <v>0.7993446841015539</v>
      </c>
      <c r="AG352" s="200">
        <f t="shared" si="142"/>
        <v>-4.6659975171029378E-2</v>
      </c>
      <c r="AH352" s="4"/>
      <c r="AI352" s="200">
        <f t="shared" si="136"/>
        <v>0.754601226993865</v>
      </c>
      <c r="AJ352" s="488">
        <f>MAX($B$2:B352)</f>
        <v>18326</v>
      </c>
      <c r="AK352" s="179">
        <f t="shared" si="133"/>
        <v>1.3787691962784442E-2</v>
      </c>
      <c r="AL352" s="28">
        <f t="shared" si="148"/>
        <v>2.3646953168335139E-2</v>
      </c>
      <c r="AM352" s="200">
        <f t="shared" si="144"/>
        <v>1.0078806642274134</v>
      </c>
      <c r="AN352" s="200">
        <f t="shared" si="145"/>
        <v>0.754601226993865</v>
      </c>
      <c r="AP352" s="355">
        <f t="shared" si="140"/>
        <v>0.72199324079077909</v>
      </c>
      <c r="AT352" s="179">
        <f t="shared" si="141"/>
        <v>2.1482612470436282E-2</v>
      </c>
    </row>
    <row r="353" spans="1:46" hidden="1" x14ac:dyDescent="0.25">
      <c r="A353" s="107">
        <v>44244</v>
      </c>
      <c r="B353" s="670">
        <v>6064</v>
      </c>
      <c r="C353" s="515">
        <f t="shared" ref="C353:C399" si="149">C352+B353</f>
        <v>2039124</v>
      </c>
      <c r="D353" s="670">
        <v>183</v>
      </c>
      <c r="E353" s="515">
        <f t="shared" si="125"/>
        <v>50582</v>
      </c>
      <c r="F353" s="515">
        <f t="shared" si="131"/>
        <v>4587</v>
      </c>
      <c r="G353" s="515">
        <v>1842878</v>
      </c>
      <c r="H353" s="515">
        <v>3573</v>
      </c>
      <c r="I353" s="515">
        <v>45882</v>
      </c>
      <c r="J353" s="511">
        <f t="shared" si="122"/>
        <v>6930559</v>
      </c>
      <c r="K353" s="511"/>
      <c r="L353" s="541">
        <f t="shared" si="129"/>
        <v>2.4805749920063715E-2</v>
      </c>
      <c r="M353" s="522">
        <v>3860961</v>
      </c>
      <c r="N353" s="511">
        <f t="shared" si="137"/>
        <v>3860961.0248057498</v>
      </c>
      <c r="O353" s="520"/>
      <c r="P353" s="511"/>
      <c r="Q353" s="511"/>
      <c r="R353" s="511"/>
      <c r="S353" s="511">
        <f t="shared" si="130"/>
        <v>145664</v>
      </c>
      <c r="T353" s="507">
        <f t="shared" si="138"/>
        <v>-8</v>
      </c>
      <c r="U353" s="512">
        <f t="shared" si="146"/>
        <v>1294</v>
      </c>
      <c r="V353" s="512">
        <f>SUM(B340:B353)/POBLA!$B$25*100000</f>
        <v>190.34749568208892</v>
      </c>
      <c r="W353" s="512">
        <f>B353/POBLA!$B$25*100000</f>
        <v>13.36266744404014</v>
      </c>
      <c r="X353" s="513">
        <f t="shared" si="139"/>
        <v>0.71351279912111876</v>
      </c>
      <c r="Y353" s="519">
        <f t="shared" si="124"/>
        <v>2.4529053163444638E-2</v>
      </c>
      <c r="Z353" s="520">
        <f t="shared" si="128"/>
        <v>0.12339759684071051</v>
      </c>
      <c r="AA353" s="517">
        <f t="shared" si="134"/>
        <v>5441.4285714285716</v>
      </c>
      <c r="AB353" s="517">
        <f t="shared" si="135"/>
        <v>133.57142857142858</v>
      </c>
      <c r="AC353" s="517">
        <f t="shared" si="120"/>
        <v>201.18798470255189</v>
      </c>
      <c r="AD353" s="517">
        <f t="shared" si="147"/>
        <v>67.616556131123303</v>
      </c>
      <c r="AE353" s="545">
        <f t="shared" si="132"/>
        <v>6170</v>
      </c>
      <c r="AF353" s="520">
        <f t="shared" si="143"/>
        <v>0.78877614412921937</v>
      </c>
      <c r="AG353" s="200">
        <f t="shared" si="142"/>
        <v>-4.9606242700646619E-2</v>
      </c>
      <c r="AH353" s="4"/>
      <c r="AI353" s="200">
        <f t="shared" si="136"/>
        <v>0.82233948988566419</v>
      </c>
      <c r="AJ353" s="488">
        <f>MAX($B$2:B353)</f>
        <v>18326</v>
      </c>
      <c r="AK353" s="179">
        <f t="shared" si="133"/>
        <v>1.5195345511278687E-2</v>
      </c>
      <c r="AL353" s="28">
        <f t="shared" si="148"/>
        <v>2.3312258999001741E-2</v>
      </c>
      <c r="AM353" s="200">
        <f t="shared" si="144"/>
        <v>1.0033698399326032</v>
      </c>
      <c r="AN353" s="200">
        <f t="shared" si="145"/>
        <v>0.82233948988566419</v>
      </c>
      <c r="AP353" s="355">
        <f t="shared" si="140"/>
        <v>0.71351279912111876</v>
      </c>
      <c r="AT353" s="179">
        <f t="shared" si="141"/>
        <v>2.0639113320903252E-2</v>
      </c>
    </row>
    <row r="354" spans="1:46" hidden="1" x14ac:dyDescent="0.25">
      <c r="A354" s="107">
        <v>44245</v>
      </c>
      <c r="B354" s="670">
        <v>7671</v>
      </c>
      <c r="C354" s="515">
        <f t="shared" si="149"/>
        <v>2046795</v>
      </c>
      <c r="D354" s="670">
        <v>242</v>
      </c>
      <c r="E354" s="515">
        <f t="shared" si="125"/>
        <v>50824</v>
      </c>
      <c r="F354" s="515">
        <f t="shared" si="131"/>
        <v>6573</v>
      </c>
      <c r="G354" s="515">
        <v>1849451</v>
      </c>
      <c r="H354" s="515">
        <v>3595</v>
      </c>
      <c r="I354" s="515">
        <v>54375</v>
      </c>
      <c r="J354" s="511">
        <f t="shared" si="122"/>
        <v>6984934</v>
      </c>
      <c r="K354" s="511"/>
      <c r="L354" s="541">
        <f t="shared" si="129"/>
        <v>2.483101629620944E-2</v>
      </c>
      <c r="M354" s="522">
        <v>3886419</v>
      </c>
      <c r="N354" s="511">
        <f t="shared" si="137"/>
        <v>3886419.0248310161</v>
      </c>
      <c r="O354" s="520"/>
      <c r="P354" s="511"/>
      <c r="Q354" s="511"/>
      <c r="R354" s="511"/>
      <c r="S354" s="511">
        <f t="shared" si="130"/>
        <v>146520</v>
      </c>
      <c r="T354" s="507">
        <f t="shared" si="138"/>
        <v>22</v>
      </c>
      <c r="U354" s="512">
        <f t="shared" si="146"/>
        <v>856</v>
      </c>
      <c r="V354" s="512">
        <f>SUM(B341:B354)/POBLA!$B$25*100000</f>
        <v>187.65909622929721</v>
      </c>
      <c r="W354" s="512">
        <f>B354/POBLA!$B$25*100000</f>
        <v>16.903862460955128</v>
      </c>
      <c r="X354" s="513">
        <f t="shared" si="139"/>
        <v>0.71829821690649298</v>
      </c>
      <c r="Y354" s="519">
        <f t="shared" si="124"/>
        <v>2.4535899535899536E-2</v>
      </c>
      <c r="Z354" s="520">
        <f t="shared" si="128"/>
        <v>0.12321940745725776</v>
      </c>
      <c r="AA354" s="517">
        <f t="shared" si="134"/>
        <v>5492.8571428571431</v>
      </c>
      <c r="AB354" s="517">
        <f t="shared" si="135"/>
        <v>140.28571428571428</v>
      </c>
      <c r="AC354" s="517">
        <f t="shared" ref="AC354:AC417" si="150">AA340*L340</f>
        <v>198.88908938571288</v>
      </c>
      <c r="AD354" s="517">
        <f t="shared" si="147"/>
        <v>58.603375099998601</v>
      </c>
      <c r="AE354" s="545">
        <f t="shared" si="132"/>
        <v>6082.8571428571431</v>
      </c>
      <c r="AF354" s="520">
        <f t="shared" si="143"/>
        <v>0.82316420466709483</v>
      </c>
      <c r="AG354" s="200">
        <f t="shared" si="142"/>
        <v>-3.7591219300723178E-2</v>
      </c>
      <c r="AH354" s="4"/>
      <c r="AI354" s="200">
        <f t="shared" si="136"/>
        <v>0.83931623931623933</v>
      </c>
      <c r="AJ354" s="488">
        <f>MAX($B$2:B354)</f>
        <v>18326</v>
      </c>
      <c r="AK354" s="179">
        <f t="shared" si="133"/>
        <v>1.6347050206418964E-2</v>
      </c>
      <c r="AL354" s="28">
        <f t="shared" si="148"/>
        <v>2.3613565155705025E-2</v>
      </c>
      <c r="AM354" s="200">
        <f t="shared" si="144"/>
        <v>1.0152499293984749</v>
      </c>
      <c r="AN354" s="200">
        <f t="shared" si="145"/>
        <v>0.83931623931623933</v>
      </c>
      <c r="AP354" s="355">
        <f t="shared" si="140"/>
        <v>0.71829821690649309</v>
      </c>
      <c r="AT354" s="179">
        <f t="shared" si="141"/>
        <v>2.1075933211868361E-2</v>
      </c>
    </row>
    <row r="355" spans="1:46" hidden="1" x14ac:dyDescent="0.25">
      <c r="A355" s="107">
        <v>44246</v>
      </c>
      <c r="B355" s="670">
        <v>7886</v>
      </c>
      <c r="C355" s="515">
        <f t="shared" si="149"/>
        <v>2054681</v>
      </c>
      <c r="D355" s="670">
        <v>143</v>
      </c>
      <c r="E355" s="515">
        <f t="shared" si="125"/>
        <v>50967</v>
      </c>
      <c r="F355" s="515">
        <f t="shared" si="131"/>
        <v>6194</v>
      </c>
      <c r="G355" s="515">
        <v>1855645</v>
      </c>
      <c r="H355" s="515">
        <v>3608</v>
      </c>
      <c r="I355" s="515">
        <v>59570</v>
      </c>
      <c r="J355" s="511">
        <f t="shared" si="122"/>
        <v>7044504</v>
      </c>
      <c r="K355" s="511"/>
      <c r="L355" s="541">
        <f t="shared" si="129"/>
        <v>2.4805310410715823E-2</v>
      </c>
      <c r="M355" s="522">
        <v>3936801</v>
      </c>
      <c r="N355" s="511">
        <f t="shared" si="137"/>
        <v>3936801.0248053102</v>
      </c>
      <c r="O355" s="520"/>
      <c r="P355" s="511"/>
      <c r="Q355" s="511"/>
      <c r="R355" s="511"/>
      <c r="S355" s="511">
        <f t="shared" si="130"/>
        <v>148069</v>
      </c>
      <c r="T355" s="507">
        <f t="shared" si="138"/>
        <v>13</v>
      </c>
      <c r="U355" s="512">
        <f t="shared" si="146"/>
        <v>1549</v>
      </c>
      <c r="V355" s="512">
        <f>SUM(B342:B355)/POBLA!$B$25*100000</f>
        <v>186.5837364481805</v>
      </c>
      <c r="W355" s="512">
        <f>B355/POBLA!$B$25*100000</f>
        <v>17.377637774356948</v>
      </c>
      <c r="X355" s="513">
        <f t="shared" si="139"/>
        <v>0.72880641079713204</v>
      </c>
      <c r="Y355" s="519">
        <f t="shared" si="124"/>
        <v>2.4367018079408925E-2</v>
      </c>
      <c r="Z355" s="520">
        <f t="shared" si="128"/>
        <v>0.12148843092816107</v>
      </c>
      <c r="AA355" s="517">
        <f t="shared" si="134"/>
        <v>5597.8571428571431</v>
      </c>
      <c r="AB355" s="517">
        <f t="shared" si="135"/>
        <v>138.57142857142858</v>
      </c>
      <c r="AC355" s="517">
        <f t="shared" si="150"/>
        <v>194.0058706765879</v>
      </c>
      <c r="AD355" s="517">
        <f t="shared" si="147"/>
        <v>55.43444210515932</v>
      </c>
      <c r="AE355" s="545">
        <f t="shared" si="132"/>
        <v>6048</v>
      </c>
      <c r="AF355" s="520">
        <f t="shared" si="143"/>
        <v>0.86145492118627309</v>
      </c>
      <c r="AG355" s="200">
        <f t="shared" si="142"/>
        <v>-2.1607120438221439E-2</v>
      </c>
      <c r="AH355" s="4"/>
      <c r="AI355" s="200">
        <f t="shared" si="136"/>
        <v>0.93269230769230771</v>
      </c>
      <c r="AJ355" s="488">
        <f>MAX($B$2:B355)</f>
        <v>18326</v>
      </c>
      <c r="AK355" s="179">
        <f t="shared" si="133"/>
        <v>1.61623567048787E-2</v>
      </c>
      <c r="AL355" s="28">
        <f t="shared" si="148"/>
        <v>2.3840516985046814E-2</v>
      </c>
      <c r="AM355" s="200">
        <f t="shared" si="144"/>
        <v>1.0197851893725269</v>
      </c>
      <c r="AN355" s="200">
        <f t="shared" si="145"/>
        <v>0.93269230769230771</v>
      </c>
      <c r="AP355" s="355">
        <f t="shared" si="140"/>
        <v>0.72880641079713204</v>
      </c>
      <c r="AT355" s="179">
        <f t="shared" si="141"/>
        <v>2.1448430493273541E-2</v>
      </c>
    </row>
    <row r="356" spans="1:46" hidden="1" x14ac:dyDescent="0.25">
      <c r="A356" s="107">
        <v>44247</v>
      </c>
      <c r="B356" s="670">
        <v>5944</v>
      </c>
      <c r="C356" s="515">
        <f t="shared" si="149"/>
        <v>2060625</v>
      </c>
      <c r="D356" s="670">
        <v>122</v>
      </c>
      <c r="E356" s="515">
        <f t="shared" si="125"/>
        <v>51089</v>
      </c>
      <c r="F356" s="515">
        <f t="shared" si="131"/>
        <v>5788</v>
      </c>
      <c r="G356" s="515">
        <v>1861433</v>
      </c>
      <c r="H356" s="515">
        <v>3605</v>
      </c>
      <c r="I356" s="515">
        <v>51122</v>
      </c>
      <c r="J356" s="511">
        <f t="shared" si="122"/>
        <v>7095626</v>
      </c>
      <c r="K356" s="511"/>
      <c r="L356" s="541">
        <f t="shared" si="129"/>
        <v>2.4792963299969668E-2</v>
      </c>
      <c r="M356" s="522">
        <v>3966620</v>
      </c>
      <c r="N356" s="511">
        <f t="shared" si="137"/>
        <v>3966620.0247929632</v>
      </c>
      <c r="O356" s="520"/>
      <c r="P356" s="511"/>
      <c r="Q356" s="511"/>
      <c r="R356" s="511"/>
      <c r="S356" s="511">
        <f t="shared" si="130"/>
        <v>148103</v>
      </c>
      <c r="T356" s="507">
        <f t="shared" si="138"/>
        <v>-3</v>
      </c>
      <c r="U356" s="512">
        <f t="shared" si="146"/>
        <v>34</v>
      </c>
      <c r="V356" s="512">
        <f>SUM(B343:B356)/POBLA!$B$25*100000</f>
        <v>184.96188235207009</v>
      </c>
      <c r="W356" s="512">
        <f>B356/POBLA!$B$25*100000</f>
        <v>13.098234710978659</v>
      </c>
      <c r="X356" s="513">
        <f t="shared" si="139"/>
        <v>0.73308470964304739</v>
      </c>
      <c r="Y356" s="519">
        <f t="shared" si="124"/>
        <v>2.4341167970939145E-2</v>
      </c>
      <c r="Z356" s="520">
        <f t="shared" si="128"/>
        <v>0.12250426407143573</v>
      </c>
      <c r="AA356" s="517">
        <f t="shared" si="134"/>
        <v>5581.7142857142853</v>
      </c>
      <c r="AB356" s="517">
        <f t="shared" si="135"/>
        <v>133.42857142857142</v>
      </c>
      <c r="AC356" s="517">
        <f t="shared" si="150"/>
        <v>193.0564443875592</v>
      </c>
      <c r="AD356" s="517">
        <f t="shared" si="147"/>
        <v>59.62787295898778</v>
      </c>
      <c r="AE356" s="545">
        <f t="shared" si="132"/>
        <v>5995.4285714285716</v>
      </c>
      <c r="AF356" s="520">
        <f t="shared" si="143"/>
        <v>0.87089871611982883</v>
      </c>
      <c r="AG356" s="200">
        <f t="shared" si="142"/>
        <v>-1.5488622842062538E-2</v>
      </c>
      <c r="AH356" s="4"/>
      <c r="AI356" s="200">
        <f t="shared" si="136"/>
        <v>0.87045666356011175</v>
      </c>
      <c r="AJ356" s="488">
        <f>MAX($B$2:B356)</f>
        <v>18326</v>
      </c>
      <c r="AK356" s="179">
        <f t="shared" si="133"/>
        <v>1.5816568448147394E-2</v>
      </c>
      <c r="AL356" s="28">
        <f t="shared" si="148"/>
        <v>2.3964156800701974E-2</v>
      </c>
      <c r="AM356" s="200">
        <f t="shared" si="144"/>
        <v>1.0258964143426295</v>
      </c>
      <c r="AN356" s="200">
        <f t="shared" si="145"/>
        <v>0.87045666356011175</v>
      </c>
      <c r="AP356" s="355">
        <f t="shared" si="140"/>
        <v>0.73308470964304739</v>
      </c>
      <c r="AT356" s="179">
        <f t="shared" si="141"/>
        <v>2.1894018791255264E-2</v>
      </c>
    </row>
    <row r="357" spans="1:46" hidden="1" x14ac:dyDescent="0.25">
      <c r="A357" s="107">
        <v>44248</v>
      </c>
      <c r="B357" s="670">
        <v>3709</v>
      </c>
      <c r="C357" s="515">
        <f t="shared" si="149"/>
        <v>2064334</v>
      </c>
      <c r="D357" s="670">
        <v>77</v>
      </c>
      <c r="E357" s="515">
        <f t="shared" si="125"/>
        <v>51166</v>
      </c>
      <c r="F357" s="515">
        <f t="shared" si="131"/>
        <v>5068</v>
      </c>
      <c r="G357" s="515">
        <v>1866501</v>
      </c>
      <c r="H357" s="515">
        <v>3605</v>
      </c>
      <c r="I357" s="515">
        <v>25350</v>
      </c>
      <c r="J357" s="511">
        <f t="shared" si="122"/>
        <v>7120976</v>
      </c>
      <c r="K357" s="511"/>
      <c r="L357" s="541">
        <f t="shared" si="129"/>
        <v>2.4785717815043497E-2</v>
      </c>
      <c r="M357" s="522">
        <v>3982551</v>
      </c>
      <c r="N357" s="511">
        <f t="shared" si="137"/>
        <v>3982551.0247857179</v>
      </c>
      <c r="O357" s="520"/>
      <c r="P357" s="511"/>
      <c r="Q357" s="511"/>
      <c r="R357" s="511"/>
      <c r="S357" s="511">
        <f t="shared" si="130"/>
        <v>146667</v>
      </c>
      <c r="T357" s="507">
        <f t="shared" si="138"/>
        <v>0</v>
      </c>
      <c r="U357" s="512">
        <f t="shared" si="146"/>
        <v>-1436</v>
      </c>
      <c r="V357" s="512">
        <f>SUM(B344:B357)/POBLA!$B$25*100000</f>
        <v>185.07426626362121</v>
      </c>
      <c r="W357" s="512">
        <f>B357/POBLA!$B$25*100000</f>
        <v>8.1731750577085869</v>
      </c>
      <c r="X357" s="513">
        <f t="shared" si="139"/>
        <v>0.74243308228139038</v>
      </c>
      <c r="Y357" s="519">
        <f t="shared" si="124"/>
        <v>2.4579489592069109E-2</v>
      </c>
      <c r="Z357" s="520">
        <f t="shared" si="128"/>
        <v>0.12734079921750308</v>
      </c>
      <c r="AA357" s="517">
        <f t="shared" si="134"/>
        <v>5505.1428571428569</v>
      </c>
      <c r="AB357" s="517">
        <f t="shared" si="135"/>
        <v>137.57142857142858</v>
      </c>
      <c r="AC357" s="517">
        <f t="shared" si="150"/>
        <v>188.27050035747703</v>
      </c>
      <c r="AD357" s="517">
        <f t="shared" si="147"/>
        <v>50.699071786048449</v>
      </c>
      <c r="AE357" s="545">
        <f t="shared" si="132"/>
        <v>5999.0714285714284</v>
      </c>
      <c r="AF357" s="520">
        <f t="shared" si="143"/>
        <v>0.84785813293436885</v>
      </c>
      <c r="AG357" s="200">
        <f t="shared" si="142"/>
        <v>-1.2190440270210212E-2</v>
      </c>
      <c r="AH357" s="4"/>
      <c r="AI357" s="200">
        <f t="shared" si="136"/>
        <v>0.90849056603773604</v>
      </c>
      <c r="AJ357" s="488">
        <f>MAX($B$2:B357)</f>
        <v>18326</v>
      </c>
      <c r="AK357" s="179">
        <f t="shared" si="133"/>
        <v>1.650725084850355E-2</v>
      </c>
      <c r="AL357" s="28">
        <f t="shared" si="148"/>
        <v>2.4279854792324737E-2</v>
      </c>
      <c r="AM357" s="200">
        <f t="shared" si="144"/>
        <v>1.0163518466309558</v>
      </c>
      <c r="AN357" s="200">
        <f t="shared" si="145"/>
        <v>0.90849056603773604</v>
      </c>
      <c r="AP357" s="355">
        <f t="shared" si="140"/>
        <v>0.74243308228139027</v>
      </c>
      <c r="AT357" s="179">
        <f t="shared" si="141"/>
        <v>2.194732641660016E-2</v>
      </c>
    </row>
    <row r="358" spans="1:46" hidden="1" x14ac:dyDescent="0.25">
      <c r="A358" s="107">
        <v>44249</v>
      </c>
      <c r="B358" s="670">
        <v>5417</v>
      </c>
      <c r="C358" s="515">
        <f t="shared" si="149"/>
        <v>2069751</v>
      </c>
      <c r="D358" s="670">
        <v>161</v>
      </c>
      <c r="E358" s="515">
        <f t="shared" si="125"/>
        <v>51327</v>
      </c>
      <c r="F358" s="515">
        <f t="shared" si="131"/>
        <v>5712</v>
      </c>
      <c r="G358" s="515">
        <v>1872213</v>
      </c>
      <c r="H358" s="515">
        <v>3550</v>
      </c>
      <c r="I358" s="515">
        <v>42145</v>
      </c>
      <c r="J358" s="511">
        <f t="shared" si="122"/>
        <v>7163121</v>
      </c>
      <c r="K358" s="511"/>
      <c r="L358" s="541">
        <f t="shared" si="129"/>
        <v>2.4798635198147023E-2</v>
      </c>
      <c r="M358" s="522">
        <v>4011747</v>
      </c>
      <c r="N358" s="511">
        <f t="shared" si="137"/>
        <v>4011747.0247986354</v>
      </c>
      <c r="O358" s="520"/>
      <c r="P358" s="511"/>
      <c r="Q358" s="511"/>
      <c r="R358" s="511"/>
      <c r="S358" s="511">
        <f t="shared" si="130"/>
        <v>146211</v>
      </c>
      <c r="T358" s="507">
        <f t="shared" si="138"/>
        <v>-55</v>
      </c>
      <c r="U358" s="512">
        <f t="shared" si="146"/>
        <v>-456</v>
      </c>
      <c r="V358" s="512">
        <f>SUM(B345:B358)/POBLA!$B$25*100000</f>
        <v>185.65381467024764</v>
      </c>
      <c r="W358" s="512">
        <f>B358/POBLA!$B$25*100000</f>
        <v>11.936934291616991</v>
      </c>
      <c r="X358" s="513">
        <f t="shared" si="139"/>
        <v>0.76106594399277328</v>
      </c>
      <c r="Y358" s="519">
        <f t="shared" si="124"/>
        <v>2.4279978934553487E-2</v>
      </c>
      <c r="Z358" s="520">
        <f t="shared" si="128"/>
        <v>0.12929977186505087</v>
      </c>
      <c r="AA358" s="517">
        <f t="shared" si="134"/>
        <v>5813.4285714285716</v>
      </c>
      <c r="AB358" s="517">
        <f t="shared" si="135"/>
        <v>147.57142857142858</v>
      </c>
      <c r="AC358" s="517">
        <f t="shared" si="150"/>
        <v>183.46299786012989</v>
      </c>
      <c r="AD358" s="517">
        <f t="shared" si="147"/>
        <v>35.891569288701305</v>
      </c>
      <c r="AE358" s="545">
        <f t="shared" si="132"/>
        <v>6017.8571428571431</v>
      </c>
      <c r="AF358" s="520">
        <f t="shared" si="143"/>
        <v>0.93429148682156304</v>
      </c>
      <c r="AG358" s="200">
        <f t="shared" si="142"/>
        <v>6.1243729399054203E-3</v>
      </c>
      <c r="AH358" s="4"/>
      <c r="AI358" s="200">
        <f t="shared" si="136"/>
        <v>1.1179653679653681</v>
      </c>
      <c r="AJ358" s="488">
        <f>MAX($B$2:B358)</f>
        <v>18326</v>
      </c>
      <c r="AK358" s="179">
        <f t="shared" si="133"/>
        <v>1.822158720079025E-2</v>
      </c>
      <c r="AL358" s="28">
        <f t="shared" si="148"/>
        <v>2.4428678580521741E-2</v>
      </c>
      <c r="AM358" s="200">
        <f t="shared" si="144"/>
        <v>1.0033917467495761</v>
      </c>
      <c r="AN358" s="200">
        <f t="shared" si="145"/>
        <v>1.1179653679653681</v>
      </c>
      <c r="AP358" s="355">
        <f t="shared" si="140"/>
        <v>0.76106594399277328</v>
      </c>
      <c r="AT358" s="179">
        <f t="shared" si="141"/>
        <v>2.2253913345121147E-2</v>
      </c>
    </row>
    <row r="359" spans="1:46" hidden="1" x14ac:dyDescent="0.25">
      <c r="A359" s="107">
        <v>44250</v>
      </c>
      <c r="B359" s="670">
        <v>7477</v>
      </c>
      <c r="C359" s="515">
        <f t="shared" si="149"/>
        <v>2077228</v>
      </c>
      <c r="D359" s="670">
        <v>155</v>
      </c>
      <c r="E359" s="515">
        <f t="shared" si="125"/>
        <v>51482</v>
      </c>
      <c r="F359" s="515">
        <f t="shared" si="131"/>
        <v>5685</v>
      </c>
      <c r="G359" s="515">
        <v>1877898</v>
      </c>
      <c r="H359" s="515">
        <v>3529</v>
      </c>
      <c r="I359" s="515">
        <v>50888</v>
      </c>
      <c r="J359" s="511">
        <f t="shared" si="122"/>
        <v>7214009</v>
      </c>
      <c r="K359" s="511"/>
      <c r="L359" s="541">
        <f t="shared" si="129"/>
        <v>2.4783990972584619E-2</v>
      </c>
      <c r="M359" s="522">
        <v>4042409</v>
      </c>
      <c r="N359" s="511">
        <f t="shared" si="137"/>
        <v>4042409.0247839908</v>
      </c>
      <c r="O359" s="520"/>
      <c r="P359" s="511"/>
      <c r="Q359" s="511"/>
      <c r="R359" s="511"/>
      <c r="S359" s="511">
        <f t="shared" si="130"/>
        <v>147848</v>
      </c>
      <c r="T359" s="507">
        <f t="shared" si="138"/>
        <v>-21</v>
      </c>
      <c r="U359" s="512">
        <f t="shared" si="146"/>
        <v>1637</v>
      </c>
      <c r="V359" s="512">
        <f>SUM(B346:B359)/POBLA!$B$25*100000</f>
        <v>184.95527153374357</v>
      </c>
      <c r="W359" s="512">
        <f>B359/POBLA!$B$25*100000</f>
        <v>16.476362875839072</v>
      </c>
      <c r="X359" s="513">
        <f t="shared" si="139"/>
        <v>0.77654623675810708</v>
      </c>
      <c r="Y359" s="519">
        <f t="shared" si="124"/>
        <v>2.3869108814458091E-2</v>
      </c>
      <c r="Z359" s="520">
        <f t="shared" si="128"/>
        <v>0.13411390329515505</v>
      </c>
      <c r="AA359" s="517">
        <f t="shared" si="134"/>
        <v>6309.7142857142853</v>
      </c>
      <c r="AB359" s="517">
        <f t="shared" si="135"/>
        <v>154.71428571428572</v>
      </c>
      <c r="AC359" s="517">
        <f t="shared" si="150"/>
        <v>176.61831905749739</v>
      </c>
      <c r="AD359" s="517">
        <f t="shared" si="147"/>
        <v>21.904033343211665</v>
      </c>
      <c r="AE359" s="545">
        <f t="shared" si="132"/>
        <v>5995.2142857142853</v>
      </c>
      <c r="AF359" s="520">
        <f t="shared" si="143"/>
        <v>1.1107255123852635</v>
      </c>
      <c r="AG359" s="200">
        <f t="shared" si="142"/>
        <v>2.4090877606150807E-2</v>
      </c>
      <c r="AH359" s="4"/>
      <c r="AI359" s="200">
        <f t="shared" si="136"/>
        <v>1.2578397212543555</v>
      </c>
      <c r="AJ359" s="488">
        <f>MAX($B$2:B359)</f>
        <v>18326</v>
      </c>
      <c r="AK359" s="179">
        <f t="shared" si="133"/>
        <v>1.9301028318867958E-2</v>
      </c>
      <c r="AL359" s="28">
        <f t="shared" si="148"/>
        <v>2.4444136593475097E-2</v>
      </c>
      <c r="AM359" s="200">
        <f t="shared" si="144"/>
        <v>0.98547891650376984</v>
      </c>
      <c r="AN359" s="200">
        <f t="shared" si="145"/>
        <v>1.2578397212543555</v>
      </c>
      <c r="AP359" s="355">
        <f t="shared" si="140"/>
        <v>0.77654623675810697</v>
      </c>
      <c r="AT359" s="179">
        <f t="shared" si="141"/>
        <v>2.230423085164639E-2</v>
      </c>
    </row>
    <row r="360" spans="1:46" hidden="1" x14ac:dyDescent="0.25">
      <c r="A360" s="107">
        <v>44251</v>
      </c>
      <c r="B360" s="670">
        <v>8183</v>
      </c>
      <c r="C360" s="515">
        <f t="shared" si="149"/>
        <v>2085411</v>
      </c>
      <c r="D360" s="670">
        <v>140</v>
      </c>
      <c r="E360" s="515">
        <f t="shared" si="125"/>
        <v>51622</v>
      </c>
      <c r="F360" s="515">
        <f t="shared" si="131"/>
        <v>4670</v>
      </c>
      <c r="G360" s="515">
        <v>1882568</v>
      </c>
      <c r="H360" s="515">
        <v>3504</v>
      </c>
      <c r="I360" s="515">
        <v>46790</v>
      </c>
      <c r="J360" s="511">
        <f t="shared" si="122"/>
        <v>7260799</v>
      </c>
      <c r="K360" s="511"/>
      <c r="L360" s="541">
        <f t="shared" si="129"/>
        <v>2.4753873457078725E-2</v>
      </c>
      <c r="M360" s="522">
        <v>4062615</v>
      </c>
      <c r="N360" s="511">
        <f t="shared" si="137"/>
        <v>4062615.0247538732</v>
      </c>
      <c r="O360" s="520"/>
      <c r="P360" s="511"/>
      <c r="Q360" s="511"/>
      <c r="R360" s="511"/>
      <c r="S360" s="511">
        <f t="shared" si="130"/>
        <v>151221</v>
      </c>
      <c r="T360" s="507">
        <f t="shared" si="138"/>
        <v>-25</v>
      </c>
      <c r="U360" s="512">
        <f t="shared" si="146"/>
        <v>3373</v>
      </c>
      <c r="V360" s="512">
        <f>SUM(B347:B360)/POBLA!$B$25*100000</f>
        <v>185.93367264607105</v>
      </c>
      <c r="W360" s="512">
        <f>B360/POBLA!$B$25*100000</f>
        <v>18.032108788684113</v>
      </c>
      <c r="X360" s="513">
        <f t="shared" si="139"/>
        <v>0.80373591411779277</v>
      </c>
      <c r="Y360" s="519">
        <f t="shared" si="124"/>
        <v>2.3171384926696688E-2</v>
      </c>
      <c r="Z360" s="520">
        <f t="shared" si="128"/>
        <v>0.14016170058139535</v>
      </c>
      <c r="AA360" s="517">
        <f t="shared" si="134"/>
        <v>6612.4285714285716</v>
      </c>
      <c r="AB360" s="517">
        <f t="shared" si="135"/>
        <v>148.57142857142858</v>
      </c>
      <c r="AC360" s="517">
        <f t="shared" si="150"/>
        <v>171.1581990682246</v>
      </c>
      <c r="AD360" s="517">
        <f t="shared" si="147"/>
        <v>22.586770496796021</v>
      </c>
      <c r="AE360" s="545">
        <f t="shared" si="132"/>
        <v>6026.9285714285716</v>
      </c>
      <c r="AF360" s="520">
        <f t="shared" si="143"/>
        <v>1.2152008401155159</v>
      </c>
      <c r="AG360" s="200">
        <f t="shared" si="142"/>
        <v>3.8149439806678398E-2</v>
      </c>
      <c r="AH360" s="4"/>
      <c r="AI360" s="200">
        <f t="shared" si="136"/>
        <v>1.1122994652406417</v>
      </c>
      <c r="AJ360" s="488">
        <f>MAX($B$2:B360)</f>
        <v>18326</v>
      </c>
      <c r="AK360" s="179">
        <f t="shared" si="133"/>
        <v>1.9031236847402423E-2</v>
      </c>
      <c r="AL360" s="28">
        <f t="shared" si="148"/>
        <v>2.4055360281195079E-2</v>
      </c>
      <c r="AM360" s="200">
        <f t="shared" si="144"/>
        <v>0.98068849706129302</v>
      </c>
      <c r="AN360" s="200">
        <f t="shared" si="145"/>
        <v>1.1122994652406417</v>
      </c>
      <c r="AP360" s="355">
        <f t="shared" si="140"/>
        <v>0.80373591411779277</v>
      </c>
      <c r="AT360" s="179">
        <f t="shared" si="141"/>
        <v>2.1917287878068469E-2</v>
      </c>
    </row>
    <row r="361" spans="1:46" hidden="1" x14ac:dyDescent="0.25">
      <c r="A361" s="107">
        <v>44252</v>
      </c>
      <c r="B361" s="670">
        <v>8234</v>
      </c>
      <c r="C361" s="515">
        <f t="shared" si="149"/>
        <v>2093645</v>
      </c>
      <c r="D361" s="670">
        <v>145</v>
      </c>
      <c r="E361" s="515">
        <f t="shared" si="125"/>
        <v>51767</v>
      </c>
      <c r="F361" s="515">
        <f t="shared" si="131"/>
        <v>5279</v>
      </c>
      <c r="G361" s="515">
        <v>1887847</v>
      </c>
      <c r="H361" s="515">
        <v>3467</v>
      </c>
      <c r="I361" s="515">
        <v>50336</v>
      </c>
      <c r="J361" s="511">
        <f t="shared" si="122"/>
        <v>7311135</v>
      </c>
      <c r="K361" s="511"/>
      <c r="L361" s="541">
        <f t="shared" si="129"/>
        <v>2.4725777292711994E-2</v>
      </c>
      <c r="M361" s="522">
        <v>4093490</v>
      </c>
      <c r="N361" s="511">
        <f t="shared" si="137"/>
        <v>4093490.0247257771</v>
      </c>
      <c r="O361" s="520"/>
      <c r="P361" s="511"/>
      <c r="Q361" s="511"/>
      <c r="R361" s="511"/>
      <c r="S361" s="511">
        <f t="shared" si="130"/>
        <v>154031</v>
      </c>
      <c r="T361" s="507">
        <f t="shared" si="138"/>
        <v>-37</v>
      </c>
      <c r="U361" s="512">
        <f t="shared" si="146"/>
        <v>2810</v>
      </c>
      <c r="V361" s="512">
        <f>SUM(B348:B361)/POBLA!$B$25*100000</f>
        <v>187.9676010845356</v>
      </c>
      <c r="W361" s="512">
        <f>B361/POBLA!$B$25*100000</f>
        <v>18.14449270023524</v>
      </c>
      <c r="X361" s="513">
        <f t="shared" si="139"/>
        <v>0.82959706674706524</v>
      </c>
      <c r="Y361" s="519">
        <f t="shared" si="124"/>
        <v>2.2508456090007855E-2</v>
      </c>
      <c r="Z361" s="520">
        <f t="shared" si="128"/>
        <v>0.14362310354658631</v>
      </c>
      <c r="AA361" s="517">
        <f t="shared" si="134"/>
        <v>6692.8571428571431</v>
      </c>
      <c r="AB361" s="517">
        <f t="shared" si="135"/>
        <v>134.71428571428572</v>
      </c>
      <c r="AC361" s="517">
        <f t="shared" si="150"/>
        <v>165.6032931166138</v>
      </c>
      <c r="AD361" s="517">
        <f t="shared" si="147"/>
        <v>30.889007402328076</v>
      </c>
      <c r="AE361" s="545">
        <f t="shared" si="132"/>
        <v>6092.8571428571431</v>
      </c>
      <c r="AF361" s="520">
        <f t="shared" si="143"/>
        <v>1.2184655396618986</v>
      </c>
      <c r="AG361" s="200">
        <f t="shared" si="142"/>
        <v>5.1262626262626343E-2</v>
      </c>
      <c r="AH361" s="4"/>
      <c r="AI361" s="200">
        <f t="shared" si="136"/>
        <v>0.96028513238289215</v>
      </c>
      <c r="AJ361" s="488">
        <f>MAX($B$2:B361)</f>
        <v>18326</v>
      </c>
      <c r="AK361" s="179">
        <f t="shared" si="133"/>
        <v>1.7326596233348646E-2</v>
      </c>
      <c r="AL361" s="28">
        <f t="shared" si="148"/>
        <v>2.3662298662298662E-2</v>
      </c>
      <c r="AM361" s="200">
        <f t="shared" si="144"/>
        <v>0.96439499304589704</v>
      </c>
      <c r="AN361" s="200">
        <f t="shared" si="145"/>
        <v>0.96028513238289215</v>
      </c>
      <c r="AP361" s="355">
        <f t="shared" si="140"/>
        <v>0.82959706674706535</v>
      </c>
      <c r="AT361" s="179">
        <f t="shared" si="141"/>
        <v>2.1790966008587809E-2</v>
      </c>
    </row>
    <row r="362" spans="1:46" hidden="1" x14ac:dyDescent="0.25">
      <c r="A362" s="107">
        <v>44253</v>
      </c>
      <c r="B362" s="670">
        <v>5083</v>
      </c>
      <c r="C362" s="515">
        <f t="shared" si="149"/>
        <v>2098728</v>
      </c>
      <c r="D362" s="670">
        <v>92</v>
      </c>
      <c r="E362" s="515">
        <f t="shared" si="125"/>
        <v>51859</v>
      </c>
      <c r="F362" s="515">
        <f t="shared" si="131"/>
        <v>4987</v>
      </c>
      <c r="G362" s="515">
        <v>1892834</v>
      </c>
      <c r="H362" s="515">
        <v>3475</v>
      </c>
      <c r="I362" s="515">
        <v>43445</v>
      </c>
      <c r="J362" s="511">
        <f t="shared" ref="J362:J388" si="151">J363-I363</f>
        <v>7354580</v>
      </c>
      <c r="K362" s="511"/>
      <c r="L362" s="541">
        <f t="shared" si="129"/>
        <v>2.4709728940577338E-2</v>
      </c>
      <c r="M362" s="522">
        <v>4129185</v>
      </c>
      <c r="N362" s="511">
        <f t="shared" si="137"/>
        <v>4129185.024709729</v>
      </c>
      <c r="O362" s="520"/>
      <c r="P362" s="511"/>
      <c r="Q362" s="511"/>
      <c r="R362" s="511"/>
      <c r="S362" s="511">
        <f t="shared" si="130"/>
        <v>154035</v>
      </c>
      <c r="T362" s="507">
        <f t="shared" si="138"/>
        <v>8</v>
      </c>
      <c r="U362" s="512">
        <f t="shared" si="146"/>
        <v>4</v>
      </c>
      <c r="V362" s="512">
        <f>SUM(B349:B362)/POBLA!$B$25*100000</f>
        <v>183.41054365144277</v>
      </c>
      <c r="W362" s="512">
        <f>B362/POBLA!$B$25*100000</f>
        <v>11.200929851262538</v>
      </c>
      <c r="X362" s="513">
        <f t="shared" si="139"/>
        <v>0.83120618371382349</v>
      </c>
      <c r="Y362" s="519">
        <f t="shared" si="124"/>
        <v>2.2559807835881455E-2</v>
      </c>
      <c r="Z362" s="520">
        <f t="shared" si="128"/>
        <v>0.14205227105612817</v>
      </c>
      <c r="AA362" s="517">
        <f t="shared" si="134"/>
        <v>6292.4285714285716</v>
      </c>
      <c r="AB362" s="517">
        <f t="shared" si="135"/>
        <v>127.42857142857143</v>
      </c>
      <c r="AC362" s="517">
        <f t="shared" si="150"/>
        <v>161.19488623573127</v>
      </c>
      <c r="AD362" s="517">
        <f t="shared" si="147"/>
        <v>33.766314807159844</v>
      </c>
      <c r="AE362" s="545">
        <f t="shared" si="132"/>
        <v>5945.1428571428569</v>
      </c>
      <c r="AF362" s="520">
        <f t="shared" si="143"/>
        <v>1.1240780911062906</v>
      </c>
      <c r="AG362" s="200">
        <f t="shared" si="142"/>
        <v>4.0292026014898452E-2</v>
      </c>
      <c r="AH362" s="4"/>
      <c r="AI362" s="200">
        <f t="shared" si="136"/>
        <v>0.91958762886597933</v>
      </c>
      <c r="AJ362" s="488">
        <f>MAX($B$2:B362)</f>
        <v>18326</v>
      </c>
      <c r="AK362" s="179">
        <f t="shared" si="133"/>
        <v>1.6795962943436018E-2</v>
      </c>
      <c r="AL362" s="28">
        <f t="shared" si="148"/>
        <v>2.3468788200095902E-2</v>
      </c>
      <c r="AM362" s="200">
        <f t="shared" si="144"/>
        <v>0.96313747228381374</v>
      </c>
      <c r="AN362" s="200">
        <f t="shared" si="145"/>
        <v>0.91958762886597933</v>
      </c>
      <c r="AP362" s="355">
        <f t="shared" si="140"/>
        <v>0.83120618371382338</v>
      </c>
      <c r="AT362" s="179">
        <f t="shared" si="141"/>
        <v>2.1966202047613174E-2</v>
      </c>
    </row>
    <row r="363" spans="1:46" hidden="1" x14ac:dyDescent="0.25">
      <c r="A363" s="107">
        <v>44254</v>
      </c>
      <c r="B363" s="670">
        <v>5469</v>
      </c>
      <c r="C363" s="515">
        <f t="shared" si="149"/>
        <v>2104197</v>
      </c>
      <c r="D363" s="670">
        <v>59</v>
      </c>
      <c r="E363" s="515">
        <f t="shared" si="125"/>
        <v>51918</v>
      </c>
      <c r="F363" s="515">
        <f t="shared" si="131"/>
        <v>6253</v>
      </c>
      <c r="G363" s="515">
        <v>1899087</v>
      </c>
      <c r="H363" s="515">
        <v>3494</v>
      </c>
      <c r="I363" s="515">
        <v>40095</v>
      </c>
      <c r="J363" s="511">
        <f t="shared" si="151"/>
        <v>7394675</v>
      </c>
      <c r="K363" s="511"/>
      <c r="L363" s="541">
        <f t="shared" si="129"/>
        <v>2.4673545300178644E-2</v>
      </c>
      <c r="M363" s="522">
        <v>4146549</v>
      </c>
      <c r="N363" s="511">
        <f t="shared" si="137"/>
        <v>4146549.0246735453</v>
      </c>
      <c r="O363" s="520"/>
      <c r="P363" s="511"/>
      <c r="Q363" s="511"/>
      <c r="R363" s="511"/>
      <c r="S363" s="511">
        <f t="shared" si="130"/>
        <v>153192</v>
      </c>
      <c r="T363" s="507">
        <f t="shared" si="138"/>
        <v>19</v>
      </c>
      <c r="U363" s="512">
        <f t="shared" si="146"/>
        <v>-843</v>
      </c>
      <c r="V363" s="512">
        <f>SUM(B350:B363)/POBLA!$B$25*100000</f>
        <v>182.11482325944149</v>
      </c>
      <c r="W363" s="512">
        <f>B363/POBLA!$B$25*100000</f>
        <v>12.051521809276965</v>
      </c>
      <c r="X363" s="513">
        <f t="shared" si="139"/>
        <v>0.83235806584818062</v>
      </c>
      <c r="Y363" s="519">
        <f t="shared" si="124"/>
        <v>2.2807979528957127E-2</v>
      </c>
      <c r="Z363" s="520">
        <f t="shared" si="128"/>
        <v>0.14570187494357112</v>
      </c>
      <c r="AA363" s="517">
        <f t="shared" si="134"/>
        <v>6224.5714285714284</v>
      </c>
      <c r="AB363" s="517">
        <f t="shared" si="135"/>
        <v>118.42857142857143</v>
      </c>
      <c r="AC363" s="517">
        <f t="shared" si="150"/>
        <v>159.011690517142</v>
      </c>
      <c r="AD363" s="517">
        <f t="shared" si="147"/>
        <v>40.583119088570569</v>
      </c>
      <c r="AE363" s="545">
        <f t="shared" si="132"/>
        <v>5903.1428571428569</v>
      </c>
      <c r="AF363" s="520">
        <f t="shared" si="143"/>
        <v>1.1151719901719903</v>
      </c>
      <c r="AG363" s="200">
        <f t="shared" si="142"/>
        <v>3.4361221582277279E-2</v>
      </c>
      <c r="AH363" s="4"/>
      <c r="AI363" s="200">
        <f t="shared" si="136"/>
        <v>0.88758029978586739</v>
      </c>
      <c r="AJ363" s="488">
        <f>MAX($B$2:B363)</f>
        <v>18326</v>
      </c>
      <c r="AK363" s="179">
        <f t="shared" si="133"/>
        <v>1.6050960346964065E-2</v>
      </c>
      <c r="AL363" s="28">
        <f t="shared" si="148"/>
        <v>2.3591689567395664E-2</v>
      </c>
      <c r="AM363" s="200">
        <f t="shared" si="144"/>
        <v>0.96920943134535364</v>
      </c>
      <c r="AN363" s="200">
        <f t="shared" si="145"/>
        <v>0.88758029978586739</v>
      </c>
      <c r="AP363" s="355">
        <f t="shared" si="140"/>
        <v>0.83235806584818051</v>
      </c>
      <c r="AT363" s="179">
        <f t="shared" si="141"/>
        <v>2.187010816769264E-2</v>
      </c>
    </row>
    <row r="364" spans="1:46" hidden="1" x14ac:dyDescent="0.25">
      <c r="A364" s="107">
        <v>44255</v>
      </c>
      <c r="B364" s="670">
        <v>3168</v>
      </c>
      <c r="C364" s="515">
        <f t="shared" si="149"/>
        <v>2107365</v>
      </c>
      <c r="D364" s="670">
        <v>19</v>
      </c>
      <c r="E364" s="515">
        <f t="shared" si="125"/>
        <v>51937</v>
      </c>
      <c r="F364" s="515">
        <f t="shared" si="131"/>
        <v>5934</v>
      </c>
      <c r="G364" s="515">
        <v>1905021</v>
      </c>
      <c r="H364" s="515">
        <v>3505</v>
      </c>
      <c r="I364" s="515">
        <v>30915</v>
      </c>
      <c r="J364" s="511">
        <f t="shared" si="151"/>
        <v>7425590</v>
      </c>
      <c r="K364" s="511"/>
      <c r="L364" s="541">
        <f t="shared" si="129"/>
        <v>2.4645469579308757E-2</v>
      </c>
      <c r="M364" s="522">
        <v>4175784</v>
      </c>
      <c r="N364" s="511">
        <f t="shared" si="137"/>
        <v>4175784.0246454696</v>
      </c>
      <c r="O364" s="520"/>
      <c r="P364" s="511"/>
      <c r="Q364" s="511"/>
      <c r="R364" s="511"/>
      <c r="S364" s="511">
        <f t="shared" si="130"/>
        <v>150407</v>
      </c>
      <c r="T364" s="507">
        <f t="shared" si="138"/>
        <v>11</v>
      </c>
      <c r="U364" s="512">
        <f t="shared" si="146"/>
        <v>-2785</v>
      </c>
      <c r="V364" s="512">
        <f>SUM(B351:B364)/POBLA!$B$25*100000</f>
        <v>179.7415394802147</v>
      </c>
      <c r="W364" s="512">
        <f>B364/POBLA!$B$25*100000</f>
        <v>6.9810241528230801</v>
      </c>
      <c r="X364" s="513">
        <f t="shared" si="139"/>
        <v>0.82759565336498953</v>
      </c>
      <c r="Y364" s="519">
        <f t="shared" si="124"/>
        <v>2.3303436675154748E-2</v>
      </c>
      <c r="Z364" s="520">
        <f t="shared" si="128"/>
        <v>0.14126402594759269</v>
      </c>
      <c r="AA364" s="517">
        <f t="shared" si="134"/>
        <v>6147.2857142857147</v>
      </c>
      <c r="AB364" s="517">
        <f t="shared" si="135"/>
        <v>110.14285714285714</v>
      </c>
      <c r="AC364" s="517">
        <f t="shared" si="150"/>
        <v>160.9084810035354</v>
      </c>
      <c r="AD364" s="517">
        <f t="shared" si="147"/>
        <v>50.765623860678261</v>
      </c>
      <c r="AE364" s="545">
        <f t="shared" si="132"/>
        <v>5826.2142857142853</v>
      </c>
      <c r="AF364" s="520">
        <f t="shared" si="143"/>
        <v>1.1166441768735729</v>
      </c>
      <c r="AG364" s="200">
        <f t="shared" si="142"/>
        <v>2.5499942045586366E-2</v>
      </c>
      <c r="AH364" s="4"/>
      <c r="AI364" s="200">
        <f t="shared" si="136"/>
        <v>0.80062305295950142</v>
      </c>
      <c r="AJ364" s="488">
        <f>MAX($B$2:B364)</f>
        <v>18326</v>
      </c>
      <c r="AK364" s="179">
        <f t="shared" si="133"/>
        <v>1.5498422015397913E-2</v>
      </c>
      <c r="AL364" s="28">
        <f t="shared" si="148"/>
        <v>2.3897672959834183E-2</v>
      </c>
      <c r="AM364" s="200">
        <f t="shared" si="144"/>
        <v>0.9722607489597781</v>
      </c>
      <c r="AN364" s="200">
        <f t="shared" si="145"/>
        <v>0.80062305295950142</v>
      </c>
      <c r="AP364" s="355">
        <f t="shared" si="140"/>
        <v>0.82759565336498941</v>
      </c>
      <c r="AT364" s="179">
        <f t="shared" si="141"/>
        <v>2.1822575688921528E-2</v>
      </c>
    </row>
    <row r="365" spans="1:46" hidden="1" x14ac:dyDescent="0.25">
      <c r="A365" s="107">
        <v>44256</v>
      </c>
      <c r="B365" s="670">
        <v>4658</v>
      </c>
      <c r="C365" s="515">
        <f t="shared" si="149"/>
        <v>2112023</v>
      </c>
      <c r="D365" s="670">
        <v>112</v>
      </c>
      <c r="E365" s="515">
        <f t="shared" si="125"/>
        <v>52049</v>
      </c>
      <c r="F365" s="515">
        <f t="shared" si="131"/>
        <v>6317</v>
      </c>
      <c r="G365" s="515">
        <v>1911338</v>
      </c>
      <c r="H365" s="515">
        <v>3505</v>
      </c>
      <c r="I365" s="515">
        <v>30136</v>
      </c>
      <c r="J365" s="511">
        <f t="shared" si="151"/>
        <v>7455726</v>
      </c>
      <c r="K365" s="511"/>
      <c r="L365" s="541">
        <f t="shared" si="129"/>
        <v>2.4644144500320309E-2</v>
      </c>
      <c r="M365" s="522">
        <v>4195306</v>
      </c>
      <c r="N365" s="511">
        <f t="shared" si="137"/>
        <v>4195306.0246441448</v>
      </c>
      <c r="O365" s="520"/>
      <c r="P365" s="511"/>
      <c r="Q365" s="511"/>
      <c r="R365" s="511"/>
      <c r="S365" s="511">
        <f t="shared" si="130"/>
        <v>148636</v>
      </c>
      <c r="T365" s="507">
        <f t="shared" ref="T365:T397" si="152">H365-H364</f>
        <v>0</v>
      </c>
      <c r="U365" s="512">
        <f t="shared" si="146"/>
        <v>-1771</v>
      </c>
      <c r="V365" s="512">
        <f>SUM(B352:B365)/POBLA!$B$25*100000</f>
        <v>182.82438442648981</v>
      </c>
      <c r="W365" s="512">
        <f>B365/POBLA!$B$25*100000</f>
        <v>10.264397255003129</v>
      </c>
      <c r="X365" s="513">
        <f t="shared" si="139"/>
        <v>0.8714549808831562</v>
      </c>
      <c r="Y365" s="519">
        <f t="shared" si="124"/>
        <v>2.358109744610996E-2</v>
      </c>
      <c r="Z365" s="520">
        <f t="shared" si="128"/>
        <v>0.14446779788452008</v>
      </c>
      <c r="AA365" s="517">
        <f t="shared" si="134"/>
        <v>6038.8571428571431</v>
      </c>
      <c r="AB365" s="517">
        <f t="shared" si="135"/>
        <v>103.14285714285714</v>
      </c>
      <c r="AC365" s="517">
        <f t="shared" si="150"/>
        <v>154.23107271717143</v>
      </c>
      <c r="AD365" s="517">
        <f t="shared" si="147"/>
        <v>51.08821557431429</v>
      </c>
      <c r="AE365" s="545">
        <f t="shared" si="132"/>
        <v>5926.1428571428569</v>
      </c>
      <c r="AF365" s="520">
        <f t="shared" si="143"/>
        <v>1.0387772153142969</v>
      </c>
      <c r="AG365" s="200">
        <f t="shared" si="142"/>
        <v>1.6585619413040043E-2</v>
      </c>
      <c r="AH365" s="4"/>
      <c r="AI365" s="200">
        <f t="shared" si="136"/>
        <v>0.69893514036786053</v>
      </c>
      <c r="AJ365" s="488">
        <f>MAX($B$2:B365)</f>
        <v>18326</v>
      </c>
      <c r="AK365" s="179">
        <f t="shared" si="133"/>
        <v>1.4951335680265064E-2</v>
      </c>
      <c r="AL365" s="28">
        <f t="shared" si="148"/>
        <v>2.397220455369295E-2</v>
      </c>
      <c r="AM365" s="200">
        <f t="shared" si="144"/>
        <v>0.98732394366197185</v>
      </c>
      <c r="AN365" s="200">
        <f t="shared" si="145"/>
        <v>0.69893514036786053</v>
      </c>
      <c r="AP365" s="355">
        <f t="shared" si="140"/>
        <v>0.87145498088315609</v>
      </c>
      <c r="AT365" s="179">
        <f t="shared" si="141"/>
        <v>2.1848766066431633E-2</v>
      </c>
    </row>
    <row r="366" spans="1:46" hidden="1" x14ac:dyDescent="0.25">
      <c r="A366" s="107">
        <v>44257</v>
      </c>
      <c r="B366" s="670">
        <v>6653</v>
      </c>
      <c r="C366" s="515">
        <f t="shared" si="149"/>
        <v>2118676</v>
      </c>
      <c r="D366" s="670">
        <v>116</v>
      </c>
      <c r="E366" s="515">
        <f t="shared" si="125"/>
        <v>52165</v>
      </c>
      <c r="F366" s="515">
        <f t="shared" si="131"/>
        <v>5598</v>
      </c>
      <c r="G366" s="515">
        <v>1916936</v>
      </c>
      <c r="H366" s="515">
        <v>3527</v>
      </c>
      <c r="I366" s="515">
        <v>43912</v>
      </c>
      <c r="J366" s="511">
        <f t="shared" si="151"/>
        <v>7499638</v>
      </c>
      <c r="K366" s="511"/>
      <c r="L366" s="541">
        <f t="shared" si="129"/>
        <v>2.4621508904617791E-2</v>
      </c>
      <c r="M366" s="522">
        <v>4221954</v>
      </c>
      <c r="N366" s="511">
        <f t="shared" si="137"/>
        <v>4221954.024621509</v>
      </c>
      <c r="O366" s="520"/>
      <c r="P366" s="511"/>
      <c r="Q366" s="511"/>
      <c r="R366" s="511"/>
      <c r="S366" s="511">
        <f t="shared" si="130"/>
        <v>149575</v>
      </c>
      <c r="T366" s="507">
        <f t="shared" si="152"/>
        <v>22</v>
      </c>
      <c r="U366" s="512">
        <f t="shared" si="146"/>
        <v>939</v>
      </c>
      <c r="V366" s="512">
        <f>SUM(B353:B366)/POBLA!$B$25*100000</f>
        <v>188.66394061493082</v>
      </c>
      <c r="W366" s="512">
        <f>B366/POBLA!$B$25*100000</f>
        <v>14.66059144215024</v>
      </c>
      <c r="X366" s="513">
        <f t="shared" si="139"/>
        <v>0.95647510948252745</v>
      </c>
      <c r="Y366" s="519">
        <f t="shared" si="124"/>
        <v>2.3580143740598362E-2</v>
      </c>
      <c r="Z366" s="520">
        <f t="shared" si="128"/>
        <v>0.14511131572774474</v>
      </c>
      <c r="AA366" s="517">
        <f t="shared" si="134"/>
        <v>5921.1428571428569</v>
      </c>
      <c r="AB366" s="517">
        <f t="shared" si="135"/>
        <v>97.571428571428569</v>
      </c>
      <c r="AC366" s="517">
        <f t="shared" si="150"/>
        <v>140.82334967276631</v>
      </c>
      <c r="AD366" s="517">
        <f t="shared" si="147"/>
        <v>43.251921101337743</v>
      </c>
      <c r="AE366" s="545">
        <f t="shared" si="132"/>
        <v>6115.4285714285716</v>
      </c>
      <c r="AF366" s="520">
        <f t="shared" si="143"/>
        <v>0.93841695345046194</v>
      </c>
      <c r="AG366" s="200">
        <f t="shared" si="142"/>
        <v>1.1680915534873604E-2</v>
      </c>
      <c r="AH366" s="4"/>
      <c r="AI366" s="200">
        <f t="shared" si="136"/>
        <v>0.63065558633425667</v>
      </c>
      <c r="AJ366" s="488">
        <f>MAX($B$2:B366)</f>
        <v>18326</v>
      </c>
      <c r="AK366" s="179">
        <f t="shared" si="133"/>
        <v>1.4622136587454506E-2</v>
      </c>
      <c r="AL366" s="28">
        <f t="shared" si="148"/>
        <v>2.385558140793247E-2</v>
      </c>
      <c r="AM366" s="200">
        <f t="shared" si="144"/>
        <v>0.99943326721450831</v>
      </c>
      <c r="AN366" s="200">
        <f t="shared" si="145"/>
        <v>0.63065558633425667</v>
      </c>
      <c r="AP366" s="355">
        <f t="shared" si="140"/>
        <v>0.95647510948252756</v>
      </c>
      <c r="AT366" s="179">
        <f t="shared" si="141"/>
        <v>2.2038581883334987E-2</v>
      </c>
    </row>
    <row r="367" spans="1:46" hidden="1" x14ac:dyDescent="0.25">
      <c r="A367" s="107">
        <v>44258</v>
      </c>
      <c r="B367" s="670">
        <v>7855</v>
      </c>
      <c r="C367" s="515">
        <f t="shared" si="149"/>
        <v>2126531</v>
      </c>
      <c r="D367" s="670">
        <v>262</v>
      </c>
      <c r="E367" s="515">
        <f t="shared" si="125"/>
        <v>52427</v>
      </c>
      <c r="F367" s="515">
        <f t="shared" si="131"/>
        <v>4653</v>
      </c>
      <c r="G367" s="515">
        <v>1921589</v>
      </c>
      <c r="H367" s="515">
        <v>3521</v>
      </c>
      <c r="I367" s="515">
        <v>54559</v>
      </c>
      <c r="J367" s="511">
        <f t="shared" si="151"/>
        <v>7554197</v>
      </c>
      <c r="K367" s="511"/>
      <c r="L367" s="541">
        <f t="shared" si="129"/>
        <v>2.4653767097681623E-2</v>
      </c>
      <c r="M367" s="522">
        <v>4258155</v>
      </c>
      <c r="N367" s="511">
        <f t="shared" si="137"/>
        <v>4258155.0246537672</v>
      </c>
      <c r="O367" s="520"/>
      <c r="P367" s="511"/>
      <c r="Q367" s="511"/>
      <c r="R367" s="511"/>
      <c r="S367" s="511">
        <f t="shared" si="130"/>
        <v>152515</v>
      </c>
      <c r="T367" s="507">
        <f t="shared" si="152"/>
        <v>-6</v>
      </c>
      <c r="U367" s="512">
        <f t="shared" si="146"/>
        <v>2940</v>
      </c>
      <c r="V367" s="512">
        <f>SUM(B354:B367)/POBLA!$B$25*100000</f>
        <v>192.61059915587342</v>
      </c>
      <c r="W367" s="512">
        <f>B367/POBLA!$B$25*100000</f>
        <v>17.309325984982731</v>
      </c>
      <c r="X367" s="513">
        <f t="shared" si="139"/>
        <v>1.0118893262329243</v>
      </c>
      <c r="Y367" s="519">
        <f t="shared" si="124"/>
        <v>2.3086253811100549E-2</v>
      </c>
      <c r="Z367" s="520">
        <f t="shared" si="128"/>
        <v>0.14015092127417364</v>
      </c>
      <c r="AA367" s="517">
        <f t="shared" si="134"/>
        <v>5874.2857142857147</v>
      </c>
      <c r="AB367" s="517">
        <f t="shared" si="135"/>
        <v>115</v>
      </c>
      <c r="AC367" s="517">
        <f t="shared" si="150"/>
        <v>134.97871635074671</v>
      </c>
      <c r="AD367" s="517">
        <f t="shared" si="147"/>
        <v>19.978716350746708</v>
      </c>
      <c r="AE367" s="545">
        <f t="shared" si="132"/>
        <v>6243.3571428571431</v>
      </c>
      <c r="AF367" s="520">
        <f t="shared" si="143"/>
        <v>0.88837038477326247</v>
      </c>
      <c r="AG367" s="200">
        <f t="shared" si="142"/>
        <v>8.5570125842309164E-3</v>
      </c>
      <c r="AH367" s="4"/>
      <c r="AI367" s="200">
        <f t="shared" si="136"/>
        <v>0.77403846153846145</v>
      </c>
      <c r="AJ367" s="488">
        <f>MAX($B$2:B367)</f>
        <v>18326</v>
      </c>
      <c r="AK367" s="179">
        <f t="shared" si="133"/>
        <v>1.7697364082045419E-2</v>
      </c>
      <c r="AL367" s="28">
        <f t="shared" si="148"/>
        <v>2.3283803175484886E-2</v>
      </c>
      <c r="AM367" s="200">
        <f t="shared" si="144"/>
        <v>1.004851598173516</v>
      </c>
      <c r="AN367" s="200">
        <f t="shared" si="145"/>
        <v>0.77403846153846145</v>
      </c>
      <c r="AP367" s="355">
        <f t="shared" si="140"/>
        <v>1.0118893262329243</v>
      </c>
      <c r="AT367" s="179">
        <f t="shared" si="141"/>
        <v>2.1829165758415595E-2</v>
      </c>
    </row>
    <row r="368" spans="1:46" hidden="1" x14ac:dyDescent="0.25">
      <c r="A368" s="107">
        <v>44259</v>
      </c>
      <c r="B368" s="670">
        <v>7432</v>
      </c>
      <c r="C368" s="515">
        <f t="shared" si="149"/>
        <v>2133963</v>
      </c>
      <c r="D368" s="670">
        <v>191</v>
      </c>
      <c r="E368" s="515">
        <f t="shared" si="125"/>
        <v>52618</v>
      </c>
      <c r="F368" s="515">
        <f t="shared" si="131"/>
        <v>6788</v>
      </c>
      <c r="G368" s="515">
        <v>1928377</v>
      </c>
      <c r="H368" s="515">
        <v>3489</v>
      </c>
      <c r="I368" s="515">
        <v>52553</v>
      </c>
      <c r="J368" s="511">
        <f t="shared" si="151"/>
        <v>7606750</v>
      </c>
      <c r="K368" s="511"/>
      <c r="L368" s="541">
        <f t="shared" si="129"/>
        <v>2.4657409711414866E-2</v>
      </c>
      <c r="M368" s="522">
        <v>4288679</v>
      </c>
      <c r="N368" s="511">
        <f t="shared" si="137"/>
        <v>4288679.0246574096</v>
      </c>
      <c r="O368" s="520"/>
      <c r="P368" s="511"/>
      <c r="Q368" s="511"/>
      <c r="R368" s="511"/>
      <c r="S368" s="511">
        <f t="shared" si="130"/>
        <v>152968</v>
      </c>
      <c r="T368" s="507">
        <f t="shared" si="152"/>
        <v>-32</v>
      </c>
      <c r="U368" s="512">
        <f t="shared" si="146"/>
        <v>453</v>
      </c>
      <c r="V368" s="512">
        <f>SUM(B355:B368)/POBLA!$B$25*100000</f>
        <v>192.0839372958593</v>
      </c>
      <c r="W368" s="512">
        <f>B368/POBLA!$B$25*100000</f>
        <v>16.377200600941013</v>
      </c>
      <c r="X368" s="513">
        <f t="shared" si="139"/>
        <v>1.0235791451385627</v>
      </c>
      <c r="Y368" s="519">
        <f t="shared" ref="Y368:Y397" si="153">H368/S368</f>
        <v>2.2808692014016002E-2</v>
      </c>
      <c r="Z368" s="520">
        <f t="shared" si="128"/>
        <v>0.13638685452362026</v>
      </c>
      <c r="AA368" s="517">
        <f t="shared" si="134"/>
        <v>5759.7142857142853</v>
      </c>
      <c r="AB368" s="517">
        <f t="shared" si="135"/>
        <v>121.57142857142857</v>
      </c>
      <c r="AC368" s="517">
        <f t="shared" si="150"/>
        <v>136.39322522703614</v>
      </c>
      <c r="AD368" s="517">
        <f t="shared" si="147"/>
        <v>14.821796655607571</v>
      </c>
      <c r="AE368" s="545">
        <f t="shared" si="132"/>
        <v>6226.2857142857147</v>
      </c>
      <c r="AF368" s="520">
        <f t="shared" si="143"/>
        <v>0.86057630736392732</v>
      </c>
      <c r="AG368" s="200">
        <f t="shared" si="142"/>
        <v>-6.9012081983497175E-3</v>
      </c>
      <c r="AH368" s="4"/>
      <c r="AI368" s="200">
        <f t="shared" si="136"/>
        <v>0.90243902439024382</v>
      </c>
      <c r="AJ368" s="488">
        <f>MAX($B$2:B368)</f>
        <v>18326</v>
      </c>
      <c r="AK368" s="28">
        <f t="shared" si="133"/>
        <v>1.8968437945791727E-2</v>
      </c>
      <c r="AL368" s="28">
        <f t="shared" si="148"/>
        <v>2.2651284481695243E-2</v>
      </c>
      <c r="AM368" s="200">
        <f t="shared" si="144"/>
        <v>1.0063455436977213</v>
      </c>
      <c r="AN368" s="200">
        <f t="shared" si="145"/>
        <v>0.90243902439024382</v>
      </c>
      <c r="AO368" s="4"/>
      <c r="AP368" s="355">
        <f t="shared" si="140"/>
        <v>1.0235791451385627</v>
      </c>
      <c r="AQ368" s="4"/>
      <c r="AR368" s="4"/>
      <c r="AT368" s="179">
        <f t="shared" si="141"/>
        <v>2.2167371268019851E-2</v>
      </c>
    </row>
    <row r="369" spans="1:46" hidden="1" x14ac:dyDescent="0.25">
      <c r="A369" s="107">
        <v>44260</v>
      </c>
      <c r="B369" s="670">
        <v>7891</v>
      </c>
      <c r="C369" s="515">
        <f t="shared" si="149"/>
        <v>2141854</v>
      </c>
      <c r="D369" s="670">
        <v>140</v>
      </c>
      <c r="E369" s="515">
        <f t="shared" ref="E369:E399" si="154">E368+D369</f>
        <v>52758</v>
      </c>
      <c r="F369" s="515">
        <f t="shared" si="131"/>
        <v>6468</v>
      </c>
      <c r="G369" s="515">
        <v>1934845</v>
      </c>
      <c r="H369" s="515">
        <v>3485</v>
      </c>
      <c r="I369" s="515">
        <v>42063</v>
      </c>
      <c r="J369" s="511">
        <f t="shared" si="151"/>
        <v>7648813</v>
      </c>
      <c r="K369" s="511"/>
      <c r="L369" s="541">
        <f t="shared" si="129"/>
        <v>2.4631931027978563E-2</v>
      </c>
      <c r="M369" s="522">
        <v>4316933</v>
      </c>
      <c r="N369" s="511">
        <f t="shared" si="137"/>
        <v>4316933.0246319314</v>
      </c>
      <c r="O369" s="520"/>
      <c r="P369" s="511"/>
      <c r="Q369" s="511"/>
      <c r="R369" s="511"/>
      <c r="S369" s="511">
        <f t="shared" si="130"/>
        <v>154251</v>
      </c>
      <c r="T369" s="507">
        <f t="shared" si="152"/>
        <v>-4</v>
      </c>
      <c r="U369" s="512">
        <f t="shared" si="146"/>
        <v>1283</v>
      </c>
      <c r="V369" s="512">
        <f>SUM(B356:B369)/POBLA!$B$25*100000</f>
        <v>192.09495532640355</v>
      </c>
      <c r="W369" s="512">
        <f>B369/POBLA!$B$25*100000</f>
        <v>17.388655804901177</v>
      </c>
      <c r="X369" s="513">
        <f t="shared" si="139"/>
        <v>1.0295375094482238</v>
      </c>
      <c r="Y369" s="519">
        <f t="shared" si="153"/>
        <v>2.2593046398402605E-2</v>
      </c>
      <c r="Z369" s="520">
        <f t="shared" si="128"/>
        <v>0.14657091488718124</v>
      </c>
      <c r="AA369" s="517">
        <f t="shared" si="134"/>
        <v>6160.8571428571431</v>
      </c>
      <c r="AB369" s="517">
        <f t="shared" si="135"/>
        <v>128.42857142857142</v>
      </c>
      <c r="AC369" s="517">
        <f t="shared" si="150"/>
        <v>138.85658406341423</v>
      </c>
      <c r="AD369" s="517">
        <f t="shared" si="147"/>
        <v>10.428012634842815</v>
      </c>
      <c r="AE369" s="545">
        <f t="shared" si="132"/>
        <v>6226.6428571428569</v>
      </c>
      <c r="AF369" s="520">
        <f t="shared" si="143"/>
        <v>0.9790905169478058</v>
      </c>
      <c r="AG369" s="200">
        <f t="shared" si="142"/>
        <v>1.4022787028922234E-3</v>
      </c>
      <c r="AH369" s="4"/>
      <c r="AI369" s="200">
        <f t="shared" si="136"/>
        <v>1.007847533632287</v>
      </c>
      <c r="AJ369" s="488">
        <f>MAX($B$2:B369)</f>
        <v>18326</v>
      </c>
      <c r="AK369" s="28">
        <f t="shared" si="133"/>
        <v>1.9779542804338735E-2</v>
      </c>
      <c r="AL369" s="28">
        <f t="shared" si="148"/>
        <v>2.2624728146200538E-2</v>
      </c>
      <c r="AM369" s="200">
        <f t="shared" si="144"/>
        <v>1.0028776978417266</v>
      </c>
      <c r="AN369" s="200">
        <f t="shared" si="145"/>
        <v>1.007847533632287</v>
      </c>
      <c r="AO369" s="4"/>
      <c r="AP369" s="355">
        <f t="shared" si="140"/>
        <v>1.0295375094482238</v>
      </c>
      <c r="AQ369" s="4"/>
      <c r="AR369" s="4"/>
      <c r="AT369" s="179">
        <f t="shared" si="141"/>
        <v>2.2463116704563482E-2</v>
      </c>
    </row>
    <row r="370" spans="1:46" hidden="1" x14ac:dyDescent="0.25">
      <c r="A370" s="107">
        <v>44261</v>
      </c>
      <c r="B370" s="670">
        <v>4860</v>
      </c>
      <c r="C370" s="515">
        <f t="shared" si="149"/>
        <v>2146714</v>
      </c>
      <c r="D370" s="670">
        <v>86</v>
      </c>
      <c r="E370" s="515">
        <f t="shared" si="154"/>
        <v>52844</v>
      </c>
      <c r="F370" s="515">
        <f t="shared" si="131"/>
        <v>5472</v>
      </c>
      <c r="G370" s="515">
        <v>1940317</v>
      </c>
      <c r="H370" s="515">
        <v>3475</v>
      </c>
      <c r="I370" s="515">
        <v>37730</v>
      </c>
      <c r="J370" s="511">
        <f t="shared" si="151"/>
        <v>7686543</v>
      </c>
      <c r="K370" s="511"/>
      <c r="L370" s="541">
        <f t="shared" si="129"/>
        <v>2.461622740616589E-2</v>
      </c>
      <c r="M370" s="522"/>
      <c r="N370" s="511"/>
      <c r="O370" s="520"/>
      <c r="P370" s="511"/>
      <c r="Q370" s="511"/>
      <c r="R370" s="511"/>
      <c r="S370" s="511">
        <f t="shared" si="130"/>
        <v>153553</v>
      </c>
      <c r="T370" s="507">
        <f t="shared" si="152"/>
        <v>-10</v>
      </c>
      <c r="U370" s="512">
        <f t="shared" si="146"/>
        <v>-698</v>
      </c>
      <c r="V370" s="512">
        <f>SUM(B357:B370)/POBLA!$B$25*100000</f>
        <v>189.70624630441483</v>
      </c>
      <c r="W370" s="512">
        <f>B370/POBLA!$B$25*100000</f>
        <v>10.709525688989954</v>
      </c>
      <c r="X370" s="513">
        <f t="shared" si="139"/>
        <v>1.0256504956157073</v>
      </c>
      <c r="Y370" s="519">
        <f t="shared" si="153"/>
        <v>2.2630622651462363E-2</v>
      </c>
      <c r="Z370" s="520">
        <f t="shared" si="128"/>
        <v>0.14567201611687475</v>
      </c>
      <c r="AA370" s="517">
        <f t="shared" si="134"/>
        <v>6073.8571428571431</v>
      </c>
      <c r="AB370" s="517">
        <f t="shared" si="135"/>
        <v>132.28571428571428</v>
      </c>
      <c r="AC370" s="517">
        <f t="shared" si="150"/>
        <v>138.3872374366307</v>
      </c>
      <c r="AD370" s="517">
        <f t="shared" si="147"/>
        <v>6.1015231509164209</v>
      </c>
      <c r="AE370" s="545">
        <f t="shared" si="132"/>
        <v>6149.2142857142853</v>
      </c>
      <c r="AF370" s="520">
        <f t="shared" si="143"/>
        <v>0.97578720279078313</v>
      </c>
      <c r="AG370" s="200">
        <f t="shared" si="142"/>
        <v>2.3565199227113531E-3</v>
      </c>
      <c r="AH370" s="4"/>
      <c r="AI370" s="200">
        <f t="shared" si="136"/>
        <v>1.1170084439083232</v>
      </c>
      <c r="AJ370" s="488">
        <f>MAX($B$2:B370)</f>
        <v>18326</v>
      </c>
      <c r="AK370" s="28">
        <f t="shared" si="133"/>
        <v>2.1259987142988334E-2</v>
      </c>
      <c r="AL370" s="28">
        <f t="shared" si="148"/>
        <v>2.2683952164603897E-2</v>
      </c>
      <c r="AM370" s="200">
        <f t="shared" si="144"/>
        <v>0.99456210646823129</v>
      </c>
      <c r="AN370" s="200">
        <f t="shared" si="145"/>
        <v>1.1170084439083232</v>
      </c>
      <c r="AO370" s="4"/>
      <c r="AP370" s="355">
        <f t="shared" si="140"/>
        <v>1.0256504956157071</v>
      </c>
      <c r="AQ370" s="4"/>
      <c r="AR370" s="4"/>
      <c r="AT370" s="179">
        <f t="shared" si="141"/>
        <v>2.2541725425358899E-2</v>
      </c>
    </row>
    <row r="371" spans="1:46" hidden="1" x14ac:dyDescent="0.25">
      <c r="A371" s="107">
        <v>44262</v>
      </c>
      <c r="B371" s="670">
        <v>2922</v>
      </c>
      <c r="C371" s="515">
        <f t="shared" si="149"/>
        <v>2149636</v>
      </c>
      <c r="D371" s="670">
        <v>10</v>
      </c>
      <c r="E371" s="515">
        <f t="shared" si="154"/>
        <v>52854</v>
      </c>
      <c r="F371" s="515">
        <f t="shared" si="131"/>
        <v>5499</v>
      </c>
      <c r="G371" s="515">
        <v>1945816</v>
      </c>
      <c r="H371" s="515">
        <v>3467</v>
      </c>
      <c r="I371" s="515">
        <v>22839</v>
      </c>
      <c r="J371" s="511">
        <f t="shared" si="151"/>
        <v>7709382</v>
      </c>
      <c r="K371" s="511"/>
      <c r="L371" s="541">
        <f t="shared" si="129"/>
        <v>2.4587418521089151E-2</v>
      </c>
      <c r="M371" s="522">
        <v>4351403</v>
      </c>
      <c r="N371" s="511">
        <f t="shared" si="137"/>
        <v>4351403.0245874189</v>
      </c>
      <c r="O371" s="520"/>
      <c r="P371" s="511"/>
      <c r="Q371" s="511"/>
      <c r="R371" s="511"/>
      <c r="S371" s="511">
        <f t="shared" si="130"/>
        <v>150966</v>
      </c>
      <c r="T371" s="507">
        <f t="shared" si="152"/>
        <v>-8</v>
      </c>
      <c r="U371" s="512">
        <f t="shared" si="146"/>
        <v>-2587</v>
      </c>
      <c r="V371" s="512">
        <f>SUM(B358:B371)/POBLA!$B$25*100000</f>
        <v>187.9720082967533</v>
      </c>
      <c r="W371" s="512">
        <f>B371/POBLA!$B$25*100000</f>
        <v>6.4389370500470458</v>
      </c>
      <c r="X371" s="513">
        <f t="shared" si="139"/>
        <v>1.015657185040542</v>
      </c>
      <c r="Y371" s="519">
        <f t="shared" si="153"/>
        <v>2.2965435925970085E-2</v>
      </c>
      <c r="Z371" s="520">
        <f t="shared" si="128"/>
        <v>0.14895063990528273</v>
      </c>
      <c r="AA371" s="517">
        <f t="shared" si="134"/>
        <v>6038.7142857142853</v>
      </c>
      <c r="AB371" s="517">
        <f t="shared" si="135"/>
        <v>131</v>
      </c>
      <c r="AC371" s="517">
        <f t="shared" si="150"/>
        <v>136.44891738864516</v>
      </c>
      <c r="AD371" s="517">
        <f t="shared" si="147"/>
        <v>5.4489173886451567</v>
      </c>
      <c r="AE371" s="545">
        <f t="shared" si="132"/>
        <v>6093</v>
      </c>
      <c r="AF371" s="520">
        <f t="shared" si="143"/>
        <v>0.9823383142385721</v>
      </c>
      <c r="AG371" s="200">
        <f t="shared" si="142"/>
        <v>3.7165823399176734E-3</v>
      </c>
      <c r="AH371" s="4"/>
      <c r="AI371" s="200">
        <f t="shared" si="136"/>
        <v>1.1893644617380026</v>
      </c>
      <c r="AJ371" s="489">
        <f t="shared" ref="AJ371:AJ402" si="155">1-AF371</f>
        <v>1.7661685761427903E-2</v>
      </c>
      <c r="AK371" s="28">
        <f t="shared" si="133"/>
        <v>2.3060480321891112E-2</v>
      </c>
      <c r="AL371" s="28">
        <f t="shared" si="148"/>
        <v>2.3050788859561057E-2</v>
      </c>
      <c r="AM371" s="200">
        <f t="shared" si="144"/>
        <v>0.98915834522111268</v>
      </c>
      <c r="AN371" s="200">
        <f t="shared" si="145"/>
        <v>1.1893644617380026</v>
      </c>
      <c r="AO371" s="4"/>
      <c r="AP371" s="355">
        <f t="shared" si="140"/>
        <v>1.015657185040542</v>
      </c>
      <c r="AQ371" s="4"/>
      <c r="AR371" s="4"/>
      <c r="AT371" s="179">
        <f t="shared" si="141"/>
        <v>2.1694956771532121E-2</v>
      </c>
    </row>
    <row r="372" spans="1:46" hidden="1" x14ac:dyDescent="0.25">
      <c r="A372" s="107">
        <v>44263</v>
      </c>
      <c r="B372" s="670">
        <v>5058</v>
      </c>
      <c r="C372" s="515">
        <f t="shared" si="149"/>
        <v>2154694</v>
      </c>
      <c r="D372" s="677">
        <v>239</v>
      </c>
      <c r="E372" s="515">
        <f t="shared" si="154"/>
        <v>53093</v>
      </c>
      <c r="F372" s="515">
        <f t="shared" si="131"/>
        <v>5724</v>
      </c>
      <c r="G372" s="515">
        <v>1951540</v>
      </c>
      <c r="H372" s="515">
        <v>3484</v>
      </c>
      <c r="I372" s="515">
        <v>28407</v>
      </c>
      <c r="J372" s="511">
        <f t="shared" si="151"/>
        <v>7737789</v>
      </c>
      <c r="K372" s="511"/>
      <c r="L372" s="541">
        <f t="shared" si="129"/>
        <v>2.4640621823794933E-2</v>
      </c>
      <c r="M372" s="522">
        <v>4368459</v>
      </c>
      <c r="N372" s="511">
        <f t="shared" si="137"/>
        <v>4368459.0246406216</v>
      </c>
      <c r="O372" s="520"/>
      <c r="P372" s="511"/>
      <c r="Q372" s="511"/>
      <c r="R372" s="511"/>
      <c r="S372" s="511">
        <f t="shared" si="130"/>
        <v>150061</v>
      </c>
      <c r="T372" s="507">
        <f t="shared" si="152"/>
        <v>17</v>
      </c>
      <c r="U372" s="512">
        <f t="shared" si="146"/>
        <v>-905</v>
      </c>
      <c r="V372" s="512">
        <f>SUM(B359:B372)/POBLA!$B$25*100000</f>
        <v>187.1809137036777</v>
      </c>
      <c r="W372" s="512">
        <f>B372/POBLA!$B$25*100000</f>
        <v>11.145839698541396</v>
      </c>
      <c r="X372" s="513">
        <f t="shared" si="139"/>
        <v>1.0082255192878338</v>
      </c>
      <c r="Y372" s="519">
        <f t="shared" si="153"/>
        <v>2.3217224995168633E-2</v>
      </c>
      <c r="Z372" s="520">
        <f t="shared" si="128"/>
        <v>0.15128180583770293</v>
      </c>
      <c r="AA372" s="517">
        <f t="shared" si="134"/>
        <v>6095.8571428571431</v>
      </c>
      <c r="AB372" s="517">
        <f t="shared" si="135"/>
        <v>149.14285714285714</v>
      </c>
      <c r="AC372" s="517">
        <f t="shared" si="150"/>
        <v>144.16509439334214</v>
      </c>
      <c r="AD372" s="517">
        <f t="shared" si="147"/>
        <v>-4.9777627495149943</v>
      </c>
      <c r="AE372" s="545">
        <f t="shared" si="132"/>
        <v>6067.3571428571431</v>
      </c>
      <c r="AF372" s="520">
        <f t="shared" si="143"/>
        <v>1.0094388720666161</v>
      </c>
      <c r="AG372" s="200">
        <f t="shared" si="142"/>
        <v>9.587179418175884E-3</v>
      </c>
      <c r="AH372" s="4"/>
      <c r="AI372" s="200">
        <f t="shared" si="136"/>
        <v>1.445983379501385</v>
      </c>
      <c r="AJ372" s="489">
        <f t="shared" si="155"/>
        <v>-9.4388720666160886E-3</v>
      </c>
      <c r="AK372" s="28">
        <f t="shared" si="133"/>
        <v>2.7408768705697032E-2</v>
      </c>
      <c r="AL372" s="28">
        <f t="shared" si="148"/>
        <v>2.3439812696789471E-2</v>
      </c>
      <c r="AM372" s="200">
        <f t="shared" si="144"/>
        <v>0.99400855920114117</v>
      </c>
      <c r="AN372" s="200">
        <f t="shared" si="145"/>
        <v>1.445983379501385</v>
      </c>
      <c r="AO372" s="4"/>
      <c r="AP372" s="355">
        <f t="shared" si="140"/>
        <v>1.0082255192878338</v>
      </c>
      <c r="AQ372" s="4"/>
      <c r="AR372" s="4"/>
      <c r="AT372" s="179">
        <f t="shared" si="141"/>
        <v>2.2533074913626022E-2</v>
      </c>
    </row>
    <row r="373" spans="1:46" hidden="1" x14ac:dyDescent="0.25">
      <c r="A373" s="107">
        <v>44264</v>
      </c>
      <c r="B373" s="670">
        <v>7307</v>
      </c>
      <c r="C373" s="515">
        <f t="shared" si="149"/>
        <v>2162001</v>
      </c>
      <c r="D373" s="670">
        <v>131</v>
      </c>
      <c r="E373" s="515">
        <f t="shared" si="154"/>
        <v>53224</v>
      </c>
      <c r="F373" s="515">
        <f t="shared" si="131"/>
        <v>5051</v>
      </c>
      <c r="G373" s="515">
        <v>1956591</v>
      </c>
      <c r="H373" s="515">
        <v>3525</v>
      </c>
      <c r="I373" s="515">
        <v>42565</v>
      </c>
      <c r="J373" s="511">
        <f t="shared" si="151"/>
        <v>7780354</v>
      </c>
      <c r="K373" s="511"/>
      <c r="L373" s="541">
        <f t="shared" si="129"/>
        <v>2.4617934959327032E-2</v>
      </c>
      <c r="M373" s="522">
        <v>4392812</v>
      </c>
      <c r="N373" s="511">
        <f t="shared" si="137"/>
        <v>4392812.0246179346</v>
      </c>
      <c r="O373" s="520"/>
      <c r="P373" s="511"/>
      <c r="Q373" s="511"/>
      <c r="R373" s="511"/>
      <c r="S373" s="511">
        <f t="shared" si="130"/>
        <v>152186</v>
      </c>
      <c r="T373" s="507">
        <f t="shared" si="152"/>
        <v>41</v>
      </c>
      <c r="U373" s="512">
        <f t="shared" si="146"/>
        <v>2125</v>
      </c>
      <c r="V373" s="512">
        <f>SUM(B360:B373)/POBLA!$B$25*100000</f>
        <v>186.80630066517395</v>
      </c>
      <c r="W373" s="512">
        <f>B373/POBLA!$B$25*100000</f>
        <v>16.101749837335305</v>
      </c>
      <c r="X373" s="513">
        <f t="shared" si="139"/>
        <v>1.0100079825575161</v>
      </c>
      <c r="Y373" s="519">
        <f t="shared" si="153"/>
        <v>2.3162445954292774E-2</v>
      </c>
      <c r="Z373" s="520">
        <f t="shared" si="128"/>
        <v>0.15433747987289645</v>
      </c>
      <c r="AA373" s="517">
        <f t="shared" si="134"/>
        <v>6189.2857142857147</v>
      </c>
      <c r="AB373" s="517">
        <f t="shared" si="135"/>
        <v>151.28571428571428</v>
      </c>
      <c r="AC373" s="517">
        <f t="shared" si="150"/>
        <v>156.37990189673107</v>
      </c>
      <c r="AD373" s="517">
        <f t="shared" si="147"/>
        <v>5.0941876110167925</v>
      </c>
      <c r="AE373" s="545">
        <f t="shared" si="132"/>
        <v>6055.2142857142853</v>
      </c>
      <c r="AF373" s="520">
        <f t="shared" si="143"/>
        <v>1.0452856591391624</v>
      </c>
      <c r="AG373" s="200">
        <f t="shared" si="142"/>
        <v>1.7456125689453428E-2</v>
      </c>
      <c r="AH373" s="4"/>
      <c r="AI373" s="200">
        <f t="shared" si="136"/>
        <v>1.5505124450951684</v>
      </c>
      <c r="AJ373" s="489">
        <f t="shared" si="155"/>
        <v>-4.5285659139162382E-2</v>
      </c>
      <c r="AK373" s="28">
        <f t="shared" si="133"/>
        <v>2.754226267880364E-2</v>
      </c>
      <c r="AL373" s="28">
        <f t="shared" si="148"/>
        <v>2.356677252214608E-2</v>
      </c>
      <c r="AM373" s="200">
        <f t="shared" si="144"/>
        <v>0.99943294584632836</v>
      </c>
      <c r="AN373" s="200">
        <f t="shared" si="145"/>
        <v>1.5505124450951684</v>
      </c>
      <c r="AO373" s="4"/>
      <c r="AP373" s="355">
        <f t="shared" si="140"/>
        <v>1.0100079825575161</v>
      </c>
      <c r="AQ373" s="4"/>
      <c r="AR373" s="4"/>
      <c r="AT373" s="179">
        <f t="shared" si="141"/>
        <v>2.2465786605304589E-2</v>
      </c>
    </row>
    <row r="374" spans="1:46" hidden="1" x14ac:dyDescent="0.25">
      <c r="A374" s="107">
        <v>44265</v>
      </c>
      <c r="B374" s="670">
        <v>7693</v>
      </c>
      <c r="C374" s="515">
        <f t="shared" si="149"/>
        <v>2169694</v>
      </c>
      <c r="D374" s="670">
        <v>107</v>
      </c>
      <c r="E374" s="515">
        <f t="shared" si="154"/>
        <v>53331</v>
      </c>
      <c r="F374" s="515">
        <f t="shared" si="131"/>
        <v>5049</v>
      </c>
      <c r="G374" s="515">
        <v>1961640</v>
      </c>
      <c r="H374" s="515">
        <v>3491</v>
      </c>
      <c r="I374" s="515">
        <v>45460</v>
      </c>
      <c r="J374" s="511">
        <f t="shared" si="151"/>
        <v>7825814</v>
      </c>
      <c r="K374" s="511"/>
      <c r="L374" s="541">
        <f t="shared" si="129"/>
        <v>2.4579963810564993E-2</v>
      </c>
      <c r="M374" s="522">
        <v>4419508</v>
      </c>
      <c r="N374" s="511">
        <f t="shared" si="137"/>
        <v>4419508.0245799636</v>
      </c>
      <c r="O374" s="520"/>
      <c r="P374" s="511"/>
      <c r="Q374" s="511"/>
      <c r="R374" s="511"/>
      <c r="S374" s="511">
        <f t="shared" si="130"/>
        <v>154723</v>
      </c>
      <c r="T374" s="507">
        <f t="shared" si="152"/>
        <v>-34</v>
      </c>
      <c r="U374" s="512">
        <f t="shared" ref="U374:U397" si="156">(C374-G374-E374)-(C373-E373-G373)</f>
        <v>2537</v>
      </c>
      <c r="V374" s="512">
        <f>SUM(B361:B374)/POBLA!$B$25*100000</f>
        <v>185.72653367183955</v>
      </c>
      <c r="W374" s="512">
        <f>B374/POBLA!$B$25*100000</f>
        <v>16.952341795349735</v>
      </c>
      <c r="X374" s="513">
        <f t="shared" si="139"/>
        <v>0.99888595233298172</v>
      </c>
      <c r="Y374" s="519">
        <f t="shared" si="153"/>
        <v>2.2562902735856982E-2</v>
      </c>
      <c r="Z374" s="520">
        <f t="shared" si="128"/>
        <v>0.15891126107717854</v>
      </c>
      <c r="AA374" s="517">
        <f t="shared" si="134"/>
        <v>6166.1428571428569</v>
      </c>
      <c r="AB374" s="517">
        <f t="shared" si="135"/>
        <v>129.14285714285714</v>
      </c>
      <c r="AC374" s="517">
        <f t="shared" si="150"/>
        <v>163.6832201011147</v>
      </c>
      <c r="AD374" s="517">
        <f t="shared" si="147"/>
        <v>34.54036295825756</v>
      </c>
      <c r="AE374" s="545">
        <f t="shared" si="132"/>
        <v>6020.2142857142853</v>
      </c>
      <c r="AF374" s="520">
        <f t="shared" si="143"/>
        <v>1.0496838521400778</v>
      </c>
      <c r="AG374" s="200">
        <f t="shared" si="142"/>
        <v>1.4477264531357559E-2</v>
      </c>
      <c r="AH374" s="4"/>
      <c r="AI374" s="200">
        <f t="shared" si="136"/>
        <v>1.1229813664596273</v>
      </c>
      <c r="AJ374" s="489">
        <f t="shared" si="155"/>
        <v>-4.9683852140077756E-2</v>
      </c>
      <c r="AK374" s="28">
        <f t="shared" si="133"/>
        <v>2.3070052315937218E-2</v>
      </c>
      <c r="AL374" s="28">
        <f t="shared" ref="AL374:AL405" si="157">H374/S367</f>
        <v>2.2889551847359278E-2</v>
      </c>
      <c r="AM374" s="200">
        <f t="shared" si="144"/>
        <v>0.99147969326895768</v>
      </c>
      <c r="AN374" s="200">
        <f t="shared" si="145"/>
        <v>1.1229813664596273</v>
      </c>
      <c r="AO374" s="4"/>
      <c r="AP374" s="355">
        <f t="shared" si="140"/>
        <v>0.99888595233298161</v>
      </c>
      <c r="AQ374" s="4"/>
      <c r="AR374" s="4"/>
      <c r="AT374" s="179">
        <f t="shared" si="141"/>
        <v>2.1504617439316368E-2</v>
      </c>
    </row>
    <row r="375" spans="1:46" hidden="1" x14ac:dyDescent="0.25">
      <c r="A375" s="107">
        <v>44266</v>
      </c>
      <c r="B375" s="670">
        <v>8204</v>
      </c>
      <c r="C375" s="515">
        <f t="shared" si="149"/>
        <v>2177898</v>
      </c>
      <c r="D375" s="670">
        <v>134</v>
      </c>
      <c r="E375" s="515">
        <f t="shared" si="154"/>
        <v>53465</v>
      </c>
      <c r="F375" s="515">
        <f t="shared" si="131"/>
        <v>6822</v>
      </c>
      <c r="G375" s="515">
        <v>1968462</v>
      </c>
      <c r="H375" s="515">
        <v>3438</v>
      </c>
      <c r="I375" s="515">
        <v>50248</v>
      </c>
      <c r="J375" s="511">
        <f t="shared" si="151"/>
        <v>7876062</v>
      </c>
      <c r="K375" s="511"/>
      <c r="L375" s="541">
        <f t="shared" si="129"/>
        <v>2.4548899902566604E-2</v>
      </c>
      <c r="M375" s="522">
        <v>4452083</v>
      </c>
      <c r="N375" s="511">
        <f t="shared" si="137"/>
        <v>4452083.0245489003</v>
      </c>
      <c r="O375" s="520"/>
      <c r="P375" s="511"/>
      <c r="Q375" s="511"/>
      <c r="R375" s="511"/>
      <c r="S375" s="511">
        <f t="shared" si="130"/>
        <v>155971</v>
      </c>
      <c r="T375" s="507">
        <f t="shared" si="152"/>
        <v>-53</v>
      </c>
      <c r="U375" s="512">
        <f t="shared" si="156"/>
        <v>1248</v>
      </c>
      <c r="V375" s="512">
        <f>SUM(B362:B375)/POBLA!$B$25*100000</f>
        <v>185.66042548857419</v>
      </c>
      <c r="W375" s="512">
        <f>B375/POBLA!$B$25*100000</f>
        <v>18.078384516969873</v>
      </c>
      <c r="X375" s="513">
        <f t="shared" si="139"/>
        <v>0.98772567409144196</v>
      </c>
      <c r="Y375" s="519">
        <f t="shared" si="153"/>
        <v>2.2042559193696264E-2</v>
      </c>
      <c r="Z375" s="520">
        <f t="shared" si="128"/>
        <v>0.16313792181558937</v>
      </c>
      <c r="AA375" s="517">
        <f t="shared" si="134"/>
        <v>6276.4285714285716</v>
      </c>
      <c r="AB375" s="517">
        <f t="shared" si="135"/>
        <v>121</v>
      </c>
      <c r="AC375" s="517">
        <f t="shared" si="150"/>
        <v>165.48609516622241</v>
      </c>
      <c r="AD375" s="517">
        <f t="shared" si="147"/>
        <v>44.486095166222412</v>
      </c>
      <c r="AE375" s="545">
        <f t="shared" si="132"/>
        <v>6018.0714285714284</v>
      </c>
      <c r="AF375" s="520">
        <f t="shared" si="143"/>
        <v>1.0897117912594871</v>
      </c>
      <c r="AG375" s="200">
        <f t="shared" si="142"/>
        <v>1.9631556926938964E-2</v>
      </c>
      <c r="AH375" s="4"/>
      <c r="AI375" s="200">
        <f t="shared" si="136"/>
        <v>0.99529964747356048</v>
      </c>
      <c r="AJ375" s="489">
        <f t="shared" si="155"/>
        <v>-8.9711791259487139E-2</v>
      </c>
      <c r="AK375" s="28">
        <f t="shared" si="133"/>
        <v>2.1677927927927929E-2</v>
      </c>
      <c r="AL375" s="28">
        <f t="shared" si="157"/>
        <v>2.2475288949322735E-2</v>
      </c>
      <c r="AM375" s="200">
        <f t="shared" si="144"/>
        <v>0.98538263112639723</v>
      </c>
      <c r="AN375" s="200">
        <f t="shared" si="145"/>
        <v>0.99529964747356048</v>
      </c>
      <c r="AO375" s="4"/>
      <c r="AP375" s="355">
        <f t="shared" si="140"/>
        <v>0.98772567409144185</v>
      </c>
      <c r="AQ375" s="4"/>
      <c r="AR375" s="4"/>
      <c r="AT375" s="179">
        <f t="shared" si="141"/>
        <v>2.1272677042084905E-2</v>
      </c>
    </row>
    <row r="376" spans="1:46" hidden="1" x14ac:dyDescent="0.25">
      <c r="A376" s="107">
        <v>44267</v>
      </c>
      <c r="B376" s="670">
        <v>7849</v>
      </c>
      <c r="C376" s="515">
        <f t="shared" si="149"/>
        <v>2185747</v>
      </c>
      <c r="D376" s="670">
        <v>86</v>
      </c>
      <c r="E376" s="515">
        <f t="shared" si="154"/>
        <v>53551</v>
      </c>
      <c r="F376" s="515">
        <f t="shared" si="131"/>
        <v>6404</v>
      </c>
      <c r="G376" s="515">
        <v>1974866</v>
      </c>
      <c r="H376" s="515">
        <v>3417</v>
      </c>
      <c r="I376" s="515">
        <v>53578</v>
      </c>
      <c r="J376" s="511">
        <f t="shared" si="151"/>
        <v>7929640</v>
      </c>
      <c r="K376" s="511"/>
      <c r="L376" s="541">
        <f t="shared" si="129"/>
        <v>2.4500090815634198E-2</v>
      </c>
      <c r="M376" s="522">
        <v>4476389</v>
      </c>
      <c r="N376" s="511">
        <f t="shared" si="137"/>
        <v>4476389.0245000906</v>
      </c>
      <c r="O376" s="520"/>
      <c r="P376" s="511"/>
      <c r="Q376" s="511"/>
      <c r="R376" s="511"/>
      <c r="S376" s="511">
        <f t="shared" si="130"/>
        <v>157330</v>
      </c>
      <c r="T376" s="507">
        <f t="shared" si="152"/>
        <v>-21</v>
      </c>
      <c r="U376" s="512">
        <f t="shared" si="156"/>
        <v>1359</v>
      </c>
      <c r="V376" s="512">
        <f>SUM(B363:B376)/POBLA!$B$25*100000</f>
        <v>191.75559998564131</v>
      </c>
      <c r="W376" s="512">
        <f>B376/POBLA!$B$25*100000</f>
        <v>17.29610434832966</v>
      </c>
      <c r="X376" s="513">
        <f t="shared" si="139"/>
        <v>1.0454993271818531</v>
      </c>
      <c r="Y376" s="519">
        <f t="shared" si="153"/>
        <v>2.1718680480518657E-2</v>
      </c>
      <c r="Z376" s="520">
        <f t="shared" si="128"/>
        <v>0.15629907380700572</v>
      </c>
      <c r="AA376" s="517">
        <f t="shared" si="134"/>
        <v>6270.4285714285716</v>
      </c>
      <c r="AB376" s="517">
        <f t="shared" si="135"/>
        <v>113.28571428571429</v>
      </c>
      <c r="AC376" s="517">
        <f t="shared" si="150"/>
        <v>155.48420437794428</v>
      </c>
      <c r="AD376" s="517">
        <f t="shared" si="147"/>
        <v>42.198490092229989</v>
      </c>
      <c r="AE376" s="545">
        <f t="shared" si="132"/>
        <v>6215.6428571428569</v>
      </c>
      <c r="AF376" s="520">
        <f t="shared" si="143"/>
        <v>1.0177850948383806</v>
      </c>
      <c r="AG376" s="200">
        <f t="shared" si="142"/>
        <v>1.9960972700339141E-2</v>
      </c>
      <c r="AH376" s="4"/>
      <c r="AI376" s="200">
        <f t="shared" si="136"/>
        <v>0.88209121245828714</v>
      </c>
      <c r="AJ376" s="489">
        <f t="shared" si="155"/>
        <v>-1.7785094838380644E-2</v>
      </c>
      <c r="AK376" s="28">
        <f t="shared" si="133"/>
        <v>2.0578160680921737E-2</v>
      </c>
      <c r="AL376" s="28">
        <f t="shared" si="157"/>
        <v>2.2152206468677674E-2</v>
      </c>
      <c r="AM376" s="200">
        <f t="shared" si="144"/>
        <v>0.98048780487804876</v>
      </c>
      <c r="AN376" s="200">
        <f t="shared" si="145"/>
        <v>0.88209121245828714</v>
      </c>
      <c r="AO376" s="4"/>
      <c r="AP376" s="355">
        <f t="shared" si="140"/>
        <v>1.0454993271818531</v>
      </c>
      <c r="AQ376" s="4"/>
      <c r="AR376" s="4"/>
      <c r="AT376" s="179">
        <f t="shared" si="141"/>
        <v>2.1135491275654665E-2</v>
      </c>
    </row>
    <row r="377" spans="1:46" hidden="1" x14ac:dyDescent="0.25">
      <c r="A377" s="107">
        <v>44268</v>
      </c>
      <c r="B377" s="670">
        <v>6278</v>
      </c>
      <c r="C377" s="515">
        <f t="shared" si="149"/>
        <v>2192025</v>
      </c>
      <c r="D377" s="670">
        <v>68</v>
      </c>
      <c r="E377" s="515">
        <f t="shared" si="154"/>
        <v>53619</v>
      </c>
      <c r="F377" s="515">
        <f t="shared" si="131"/>
        <v>6291</v>
      </c>
      <c r="G377" s="515">
        <v>1981157</v>
      </c>
      <c r="H377" s="515">
        <v>3454</v>
      </c>
      <c r="I377" s="515">
        <v>42812</v>
      </c>
      <c r="J377" s="511">
        <f t="shared" si="151"/>
        <v>7972452</v>
      </c>
      <c r="K377" s="511"/>
      <c r="L377" s="541">
        <f t="shared" si="129"/>
        <v>2.4460943647996714E-2</v>
      </c>
      <c r="M377" s="522">
        <v>4502329</v>
      </c>
      <c r="N377" s="511">
        <f t="shared" si="137"/>
        <v>4502329.0244609434</v>
      </c>
      <c r="O377" s="520"/>
      <c r="P377" s="511"/>
      <c r="Q377" s="511"/>
      <c r="R377" s="511"/>
      <c r="S377" s="511">
        <f t="shared" si="130"/>
        <v>157249</v>
      </c>
      <c r="T377" s="507">
        <f t="shared" si="152"/>
        <v>37</v>
      </c>
      <c r="U377" s="512">
        <f t="shared" si="156"/>
        <v>-81</v>
      </c>
      <c r="V377" s="512">
        <f>SUM(B364:B377)/POBLA!$B$25*100000</f>
        <v>193.53831732769746</v>
      </c>
      <c r="W377" s="512">
        <f>B377/POBLA!$B$25*100000</f>
        <v>13.834239151333113</v>
      </c>
      <c r="X377" s="513">
        <f t="shared" si="139"/>
        <v>1.062726876724263</v>
      </c>
      <c r="Y377" s="519">
        <f t="shared" si="153"/>
        <v>2.1965163530451703E-2</v>
      </c>
      <c r="Z377" s="520">
        <f t="shared" si="128"/>
        <v>0.15848049554228794</v>
      </c>
      <c r="AA377" s="517">
        <f t="shared" si="134"/>
        <v>6473</v>
      </c>
      <c r="AB377" s="517">
        <f t="shared" si="135"/>
        <v>110.71428571428571</v>
      </c>
      <c r="AC377" s="517">
        <f t="shared" si="150"/>
        <v>153.58224511705484</v>
      </c>
      <c r="AD377" s="517">
        <f t="shared" si="147"/>
        <v>42.867959402769131</v>
      </c>
      <c r="AE377" s="545">
        <f t="shared" si="132"/>
        <v>6273.4285714285716</v>
      </c>
      <c r="AF377" s="520">
        <f t="shared" si="143"/>
        <v>1.0657148905143825</v>
      </c>
      <c r="AG377" s="200">
        <f t="shared" si="142"/>
        <v>2.4069865128001355E-2</v>
      </c>
      <c r="AH377" s="4"/>
      <c r="AI377" s="200">
        <f t="shared" si="136"/>
        <v>0.83693304535637147</v>
      </c>
      <c r="AJ377" s="489">
        <f t="shared" si="155"/>
        <v>-6.5714890514382507E-2</v>
      </c>
      <c r="AK377" s="28">
        <f t="shared" si="133"/>
        <v>1.9044576596058387E-2</v>
      </c>
      <c r="AL377" s="28">
        <f t="shared" si="157"/>
        <v>2.2493862054144172E-2</v>
      </c>
      <c r="AM377" s="200">
        <f t="shared" si="144"/>
        <v>0.99395683453237416</v>
      </c>
      <c r="AN377" s="200">
        <f t="shared" si="145"/>
        <v>0.83693304535637147</v>
      </c>
      <c r="AO377" s="4"/>
      <c r="AP377" s="355">
        <f t="shared" si="140"/>
        <v>1.0627268767242632</v>
      </c>
      <c r="AQ377" s="4"/>
      <c r="AR377" s="4"/>
      <c r="AT377" s="179">
        <f t="shared" si="141"/>
        <v>2.0562935540069688E-2</v>
      </c>
    </row>
    <row r="378" spans="1:46" hidden="1" x14ac:dyDescent="0.25">
      <c r="A378" s="107">
        <v>44269</v>
      </c>
      <c r="B378" s="670">
        <v>3697</v>
      </c>
      <c r="C378" s="515">
        <f t="shared" si="149"/>
        <v>2195722</v>
      </c>
      <c r="D378" s="670">
        <v>24</v>
      </c>
      <c r="E378" s="515">
        <f t="shared" si="154"/>
        <v>53643</v>
      </c>
      <c r="F378" s="515">
        <f t="shared" si="131"/>
        <v>5746</v>
      </c>
      <c r="G378" s="515">
        <v>1986903</v>
      </c>
      <c r="H378" s="515">
        <v>3479</v>
      </c>
      <c r="I378" s="511">
        <v>26221</v>
      </c>
      <c r="J378" s="511">
        <f t="shared" si="151"/>
        <v>7998673</v>
      </c>
      <c r="K378" s="511"/>
      <c r="L378" s="541">
        <f t="shared" si="129"/>
        <v>2.4430688402265862E-2</v>
      </c>
      <c r="M378" s="522">
        <v>4518854</v>
      </c>
      <c r="N378" s="511">
        <f t="shared" si="137"/>
        <v>4518854.0244306885</v>
      </c>
      <c r="O378" s="520"/>
      <c r="P378" s="511"/>
      <c r="Q378" s="511"/>
      <c r="R378" s="511"/>
      <c r="S378" s="511">
        <f t="shared" si="130"/>
        <v>155176</v>
      </c>
      <c r="T378" s="507">
        <f t="shared" si="152"/>
        <v>25</v>
      </c>
      <c r="U378" s="512">
        <f t="shared" si="156"/>
        <v>-2073</v>
      </c>
      <c r="V378" s="512">
        <f>SUM(B365:B378)/POBLA!$B$25*100000</f>
        <v>194.70402495927681</v>
      </c>
      <c r="W378" s="512">
        <f>B378/POBLA!$B$25*100000</f>
        <v>8.1467317844024407</v>
      </c>
      <c r="X378" s="513">
        <f t="shared" si="139"/>
        <v>1.0832444493483884</v>
      </c>
      <c r="Y378" s="519">
        <f t="shared" si="153"/>
        <v>2.2419704077950197E-2</v>
      </c>
      <c r="Z378" s="520">
        <f t="shared" ref="Z378:Z408" si="158">SUM(B372:B378)/SUM(I372:I378)</f>
        <v>0.15930671884019898</v>
      </c>
      <c r="AA378" s="517">
        <f t="shared" si="134"/>
        <v>6583.7142857142853</v>
      </c>
      <c r="AB378" s="517">
        <f t="shared" si="135"/>
        <v>112.71428571428571</v>
      </c>
      <c r="AC378" s="517">
        <f t="shared" si="150"/>
        <v>151.50274306674788</v>
      </c>
      <c r="AD378" s="517">
        <f t="shared" si="147"/>
        <v>38.788457352462174</v>
      </c>
      <c r="AE378" s="545">
        <f t="shared" si="132"/>
        <v>6311.2142857142853</v>
      </c>
      <c r="AF378" s="520">
        <f t="shared" si="143"/>
        <v>1.0902509995032055</v>
      </c>
      <c r="AG378" s="200">
        <f t="shared" si="142"/>
        <v>2.7887073910681792E-2</v>
      </c>
      <c r="AH378" s="4"/>
      <c r="AI378" s="200">
        <f t="shared" si="136"/>
        <v>0.86041439476553971</v>
      </c>
      <c r="AJ378" s="489">
        <f t="shared" si="155"/>
        <v>-9.0250999503205476E-2</v>
      </c>
      <c r="AK378" s="28">
        <f t="shared" si="133"/>
        <v>1.7863611664553525E-2</v>
      </c>
      <c r="AL378" s="28">
        <f t="shared" si="157"/>
        <v>2.3044924022627613E-2</v>
      </c>
      <c r="AM378" s="200">
        <f t="shared" si="144"/>
        <v>1.0034612056533025</v>
      </c>
      <c r="AN378" s="200">
        <f t="shared" si="145"/>
        <v>0.86041439476553971</v>
      </c>
      <c r="AO378" s="4"/>
      <c r="AP378" s="355">
        <f t="shared" si="140"/>
        <v>1.0832444493483884</v>
      </c>
      <c r="AQ378" s="4"/>
      <c r="AR378" s="4"/>
      <c r="AT378" s="179">
        <f t="shared" si="141"/>
        <v>2.0230155471463607E-2</v>
      </c>
    </row>
    <row r="379" spans="1:46" hidden="1" x14ac:dyDescent="0.25">
      <c r="A379" s="107">
        <v>44270</v>
      </c>
      <c r="B379" s="670">
        <v>6164</v>
      </c>
      <c r="C379" s="515">
        <f t="shared" si="149"/>
        <v>2201886</v>
      </c>
      <c r="D379" s="670">
        <v>166</v>
      </c>
      <c r="E379" s="515">
        <f t="shared" si="154"/>
        <v>53809</v>
      </c>
      <c r="F379" s="515">
        <f t="shared" si="131"/>
        <v>6312</v>
      </c>
      <c r="G379" s="515">
        <v>1993215</v>
      </c>
      <c r="H379" s="515">
        <v>3469</v>
      </c>
      <c r="I379" s="511">
        <v>34040</v>
      </c>
      <c r="J379" s="511">
        <f t="shared" si="151"/>
        <v>8032713</v>
      </c>
      <c r="K379" s="511"/>
      <c r="L379" s="541">
        <f t="shared" si="129"/>
        <v>2.443768660139535E-2</v>
      </c>
      <c r="M379" s="522">
        <v>4540295</v>
      </c>
      <c r="N379" s="511">
        <f t="shared" si="137"/>
        <v>4540295.0244376864</v>
      </c>
      <c r="O379" s="520"/>
      <c r="P379" s="511"/>
      <c r="Q379" s="511"/>
      <c r="R379" s="511"/>
      <c r="S379" s="511">
        <f t="shared" si="130"/>
        <v>154862</v>
      </c>
      <c r="T379" s="507">
        <f t="shared" si="152"/>
        <v>-10</v>
      </c>
      <c r="U379" s="512">
        <f t="shared" si="156"/>
        <v>-314</v>
      </c>
      <c r="V379" s="512">
        <f>SUM(B366:B379)/POBLA!$B$25*100000</f>
        <v>198.02265575919839</v>
      </c>
      <c r="W379" s="512">
        <f>B379/POBLA!$B$25*100000</f>
        <v>13.583028054924705</v>
      </c>
      <c r="X379" s="513">
        <f t="shared" si="139"/>
        <v>1.0831304389750018</v>
      </c>
      <c r="Y379" s="519">
        <f t="shared" si="153"/>
        <v>2.2400588911417909E-2</v>
      </c>
      <c r="Z379" s="520">
        <f t="shared" si="158"/>
        <v>0.16001410532883048</v>
      </c>
      <c r="AA379" s="517">
        <f t="shared" si="134"/>
        <v>6741.7142857142853</v>
      </c>
      <c r="AB379" s="517">
        <f t="shared" si="135"/>
        <v>102.28571428571429</v>
      </c>
      <c r="AC379" s="517">
        <f t="shared" si="150"/>
        <v>148.82246804536288</v>
      </c>
      <c r="AD379" s="517">
        <f t="shared" si="147"/>
        <v>46.53675375964859</v>
      </c>
      <c r="AE379" s="545">
        <f t="shared" si="132"/>
        <v>6418.7857142857147</v>
      </c>
      <c r="AF379" s="520">
        <f t="shared" si="143"/>
        <v>1.105950176935155</v>
      </c>
      <c r="AG379" s="200">
        <f t="shared" si="142"/>
        <v>3.1993655913261865E-2</v>
      </c>
      <c r="AH379" s="4"/>
      <c r="AI379" s="200">
        <f t="shared" si="136"/>
        <v>0.68582375478927204</v>
      </c>
      <c r="AJ379" s="489">
        <f t="shared" si="155"/>
        <v>-0.10595017693515496</v>
      </c>
      <c r="AK379" s="28">
        <f t="shared" si="133"/>
        <v>1.5468706116188131E-2</v>
      </c>
      <c r="AL379" s="28">
        <f t="shared" si="157"/>
        <v>2.3117265645304242E-2</v>
      </c>
      <c r="AM379" s="200">
        <f t="shared" si="144"/>
        <v>0.99569460390355913</v>
      </c>
      <c r="AN379" s="200">
        <f t="shared" si="145"/>
        <v>0.68582375478927204</v>
      </c>
      <c r="AO379" s="4"/>
      <c r="AP379" s="355">
        <f t="shared" si="140"/>
        <v>1.0831304389750018</v>
      </c>
      <c r="AQ379" s="4"/>
      <c r="AR379" s="4"/>
      <c r="AT379" s="179">
        <f t="shared" si="141"/>
        <v>2.0262514348455357E-2</v>
      </c>
    </row>
    <row r="380" spans="1:46" hidden="1" x14ac:dyDescent="0.25">
      <c r="A380" s="107">
        <v>44271</v>
      </c>
      <c r="B380" s="670">
        <v>8235</v>
      </c>
      <c r="C380" s="515">
        <f t="shared" si="149"/>
        <v>2210121</v>
      </c>
      <c r="D380" s="670">
        <v>202</v>
      </c>
      <c r="E380" s="515">
        <f t="shared" si="154"/>
        <v>54011</v>
      </c>
      <c r="F380" s="515">
        <f t="shared" si="131"/>
        <v>5379</v>
      </c>
      <c r="G380" s="515">
        <v>1998594</v>
      </c>
      <c r="H380" s="515">
        <v>3469</v>
      </c>
      <c r="I380" s="511">
        <v>49875</v>
      </c>
      <c r="J380" s="511">
        <f t="shared" si="151"/>
        <v>8082588</v>
      </c>
      <c r="K380" s="511"/>
      <c r="L380" s="541">
        <f t="shared" si="129"/>
        <v>2.4438028506131564E-2</v>
      </c>
      <c r="M380" s="522">
        <v>4569928</v>
      </c>
      <c r="N380" s="511">
        <f t="shared" si="137"/>
        <v>4569928.0244380282</v>
      </c>
      <c r="O380" s="520"/>
      <c r="P380" s="511"/>
      <c r="Q380" s="511"/>
      <c r="R380" s="511"/>
      <c r="S380" s="511">
        <f t="shared" si="130"/>
        <v>157516</v>
      </c>
      <c r="T380" s="507">
        <f t="shared" si="152"/>
        <v>0</v>
      </c>
      <c r="U380" s="512">
        <f t="shared" si="156"/>
        <v>2654</v>
      </c>
      <c r="V380" s="512">
        <f>SUM(B367:B380)/POBLA!$B$25*100000</f>
        <v>201.50876062339225</v>
      </c>
      <c r="W380" s="512">
        <f>B380/POBLA!$B$25*100000</f>
        <v>18.146696306344086</v>
      </c>
      <c r="X380" s="513">
        <f t="shared" si="139"/>
        <v>1.0680830685853111</v>
      </c>
      <c r="Y380" s="519">
        <f t="shared" si="153"/>
        <v>2.2023159552045507E-2</v>
      </c>
      <c r="Z380" s="520">
        <f t="shared" si="158"/>
        <v>0.15921438355711137</v>
      </c>
      <c r="AA380" s="517">
        <f t="shared" si="134"/>
        <v>6874.2857142857147</v>
      </c>
      <c r="AB380" s="517">
        <f t="shared" si="135"/>
        <v>112.42857142857143</v>
      </c>
      <c r="AC380" s="517">
        <f t="shared" si="150"/>
        <v>145.78747158265688</v>
      </c>
      <c r="AD380" s="517">
        <f t="shared" si="147"/>
        <v>33.358900154085447</v>
      </c>
      <c r="AE380" s="545">
        <f t="shared" si="132"/>
        <v>6531.7857142857147</v>
      </c>
      <c r="AF380" s="520">
        <f t="shared" si="143"/>
        <v>1.11067512983266</v>
      </c>
      <c r="AG380" s="200">
        <f t="shared" si="142"/>
        <v>3.5022932464221501E-2</v>
      </c>
      <c r="AH380" s="4"/>
      <c r="AI380" s="200">
        <f t="shared" si="136"/>
        <v>0.74315391879131265</v>
      </c>
      <c r="AJ380" s="489">
        <f t="shared" si="155"/>
        <v>-0.11067512983266004</v>
      </c>
      <c r="AK380" s="28">
        <f t="shared" si="133"/>
        <v>1.6798292422625399E-2</v>
      </c>
      <c r="AL380" s="28">
        <f t="shared" si="157"/>
        <v>2.2794475181685567E-2</v>
      </c>
      <c r="AM380" s="200">
        <f t="shared" si="144"/>
        <v>0.98411347517730496</v>
      </c>
      <c r="AN380" s="200">
        <f t="shared" si="145"/>
        <v>0.74315391879131265</v>
      </c>
      <c r="AO380" s="4"/>
      <c r="AP380" s="355">
        <f t="shared" si="140"/>
        <v>1.0680830685853111</v>
      </c>
      <c r="AQ380" s="4"/>
      <c r="AR380" s="4"/>
      <c r="AT380" s="179">
        <f t="shared" si="141"/>
        <v>2.0659385969195379E-2</v>
      </c>
    </row>
    <row r="381" spans="1:46" hidden="1" x14ac:dyDescent="0.25">
      <c r="A381" s="107">
        <v>44272</v>
      </c>
      <c r="B381" s="670">
        <v>8304</v>
      </c>
      <c r="C381" s="515">
        <f t="shared" si="149"/>
        <v>2218425</v>
      </c>
      <c r="D381" s="670">
        <v>195</v>
      </c>
      <c r="E381" s="515">
        <f t="shared" si="154"/>
        <v>54206</v>
      </c>
      <c r="F381" s="515">
        <f t="shared" si="131"/>
        <v>4527</v>
      </c>
      <c r="G381" s="515">
        <v>2003121</v>
      </c>
      <c r="H381" s="515">
        <v>3485</v>
      </c>
      <c r="I381" s="511">
        <v>55017</v>
      </c>
      <c r="J381" s="511">
        <f t="shared" si="151"/>
        <v>8137605</v>
      </c>
      <c r="K381" s="511"/>
      <c r="L381" s="541">
        <f t="shared" si="129"/>
        <v>2.4434452370488073E-2</v>
      </c>
      <c r="M381" s="522">
        <v>4602424</v>
      </c>
      <c r="N381" s="511">
        <f t="shared" si="137"/>
        <v>4602424.0244344519</v>
      </c>
      <c r="O381" s="520"/>
      <c r="P381" s="511"/>
      <c r="Q381" s="511"/>
      <c r="R381" s="511"/>
      <c r="S381" s="511">
        <f t="shared" si="130"/>
        <v>161098</v>
      </c>
      <c r="T381" s="507">
        <f t="shared" si="152"/>
        <v>16</v>
      </c>
      <c r="U381" s="512">
        <f t="shared" si="156"/>
        <v>3582</v>
      </c>
      <c r="V381" s="512">
        <f>SUM(B368:B381)/POBLA!$B$25*100000</f>
        <v>202.49817976626395</v>
      </c>
      <c r="W381" s="512">
        <f>B381/POBLA!$B$25*100000</f>
        <v>18.298745127854438</v>
      </c>
      <c r="X381" s="513">
        <f t="shared" si="139"/>
        <v>1.0513345613051586</v>
      </c>
      <c r="Y381" s="519">
        <f t="shared" si="153"/>
        <v>2.1632794944692051E-2</v>
      </c>
      <c r="Z381" s="520">
        <f t="shared" si="158"/>
        <v>0.15629379937201524</v>
      </c>
      <c r="AA381" s="517">
        <f t="shared" si="134"/>
        <v>6961.5714285714284</v>
      </c>
      <c r="AB381" s="517">
        <f t="shared" si="135"/>
        <v>125</v>
      </c>
      <c r="AC381" s="517">
        <f t="shared" si="150"/>
        <v>144.82327186523835</v>
      </c>
      <c r="AD381" s="517">
        <f t="shared" si="147"/>
        <v>19.823271865238354</v>
      </c>
      <c r="AE381" s="545">
        <f t="shared" si="132"/>
        <v>6563.8571428571431</v>
      </c>
      <c r="AF381" s="520">
        <f t="shared" si="143"/>
        <v>1.1289993744642401</v>
      </c>
      <c r="AG381" s="200">
        <f t="shared" si="142"/>
        <v>4.1202665408504258E-2</v>
      </c>
      <c r="AH381" s="4"/>
      <c r="AI381" s="200">
        <f t="shared" si="136"/>
        <v>0.96792035398230092</v>
      </c>
      <c r="AJ381" s="489">
        <f t="shared" si="155"/>
        <v>-0.12899937446424015</v>
      </c>
      <c r="AK381" s="28">
        <f t="shared" si="133"/>
        <v>1.9865144050673144E-2</v>
      </c>
      <c r="AL381" s="28">
        <f t="shared" si="157"/>
        <v>2.252412375664898E-2</v>
      </c>
      <c r="AM381" s="200">
        <f t="shared" si="144"/>
        <v>0.99828129475794902</v>
      </c>
      <c r="AN381" s="200">
        <f t="shared" si="145"/>
        <v>0.96792035398230092</v>
      </c>
      <c r="AO381" s="4"/>
      <c r="AP381" s="355">
        <f t="shared" si="140"/>
        <v>1.0513345613051586</v>
      </c>
      <c r="AQ381" s="4"/>
      <c r="AR381" s="4"/>
      <c r="AT381" s="179">
        <f t="shared" si="141"/>
        <v>2.0658189345612775E-2</v>
      </c>
    </row>
    <row r="382" spans="1:46" hidden="1" x14ac:dyDescent="0.25">
      <c r="A382" s="107">
        <v>44273</v>
      </c>
      <c r="B382" s="670">
        <v>8328</v>
      </c>
      <c r="C382" s="515">
        <f t="shared" si="149"/>
        <v>2226753</v>
      </c>
      <c r="D382" s="678">
        <v>153</v>
      </c>
      <c r="E382" s="515">
        <f t="shared" si="154"/>
        <v>54359</v>
      </c>
      <c r="F382" s="515">
        <f t="shared" si="131"/>
        <v>6756</v>
      </c>
      <c r="G382" s="515">
        <v>2009877</v>
      </c>
      <c r="H382" s="515">
        <v>3522</v>
      </c>
      <c r="I382" s="511">
        <v>52192</v>
      </c>
      <c r="J382" s="511">
        <f t="shared" si="151"/>
        <v>8189797</v>
      </c>
      <c r="K382" s="511"/>
      <c r="L382" s="541">
        <f t="shared" si="129"/>
        <v>2.441177804633024E-2</v>
      </c>
      <c r="M382" s="522">
        <v>4634650</v>
      </c>
      <c r="N382" s="511">
        <f t="shared" si="137"/>
        <v>4634650.024411778</v>
      </c>
      <c r="O382" s="520"/>
      <c r="P382" s="511"/>
      <c r="Q382" s="511"/>
      <c r="R382" s="511"/>
      <c r="S382" s="511">
        <f t="shared" si="130"/>
        <v>162517</v>
      </c>
      <c r="T382" s="507">
        <f t="shared" si="152"/>
        <v>37</v>
      </c>
      <c r="U382" s="512">
        <f t="shared" si="156"/>
        <v>1419</v>
      </c>
      <c r="V382" s="512">
        <f>SUM(B369:B382)/POBLA!$B$25*100000</f>
        <v>204.47261083978967</v>
      </c>
      <c r="W382" s="512">
        <f>B382/POBLA!$B$25*100000</f>
        <v>18.351631674466734</v>
      </c>
      <c r="X382" s="513">
        <f t="shared" si="139"/>
        <v>1.0644961453744493</v>
      </c>
      <c r="Y382" s="519">
        <f t="shared" si="153"/>
        <v>2.167157897327664E-2</v>
      </c>
      <c r="Z382" s="520">
        <f t="shared" si="158"/>
        <v>0.15572059221954834</v>
      </c>
      <c r="AA382" s="517">
        <f t="shared" si="134"/>
        <v>6979.2857142857147</v>
      </c>
      <c r="AB382" s="517">
        <f t="shared" si="135"/>
        <v>127.71428571428571</v>
      </c>
      <c r="AC382" s="517">
        <f t="shared" si="150"/>
        <v>142.01963496354637</v>
      </c>
      <c r="AD382" s="517">
        <f t="shared" si="147"/>
        <v>14.305349249260658</v>
      </c>
      <c r="AE382" s="545">
        <f t="shared" si="132"/>
        <v>6627.8571428571431</v>
      </c>
      <c r="AF382" s="520">
        <f t="shared" si="143"/>
        <v>1.111983612154319</v>
      </c>
      <c r="AG382" s="200">
        <f t="shared" si="142"/>
        <v>4.1969340454315329E-2</v>
      </c>
      <c r="AH382" s="4"/>
      <c r="AI382" s="200">
        <f t="shared" si="136"/>
        <v>1.0554899645808735</v>
      </c>
      <c r="AJ382" s="489">
        <f t="shared" si="155"/>
        <v>-0.11198361215431896</v>
      </c>
      <c r="AK382" s="28">
        <f t="shared" si="133"/>
        <v>2.0517763701459652E-2</v>
      </c>
      <c r="AL382" s="28">
        <f t="shared" si="157"/>
        <v>2.2581120849388667E-2</v>
      </c>
      <c r="AM382" s="200">
        <f t="shared" si="144"/>
        <v>1.0244328097731239</v>
      </c>
      <c r="AN382" s="200">
        <f t="shared" si="145"/>
        <v>1.0554899645808735</v>
      </c>
      <c r="AO382" s="4"/>
      <c r="AP382" s="355">
        <f t="shared" si="140"/>
        <v>1.0644961453744493</v>
      </c>
      <c r="AQ382" s="4"/>
      <c r="AR382" s="4"/>
      <c r="AT382" s="179">
        <f t="shared" si="141"/>
        <v>2.0444724383431513E-2</v>
      </c>
    </row>
    <row r="383" spans="1:46" hidden="1" x14ac:dyDescent="0.25">
      <c r="A383" s="107">
        <v>44274</v>
      </c>
      <c r="B383" s="670">
        <v>8160</v>
      </c>
      <c r="C383" s="515">
        <f t="shared" si="149"/>
        <v>2234913</v>
      </c>
      <c r="D383" s="670">
        <v>113</v>
      </c>
      <c r="E383" s="515">
        <f t="shared" si="154"/>
        <v>54472</v>
      </c>
      <c r="F383" s="515">
        <f t="shared" si="131"/>
        <v>6852</v>
      </c>
      <c r="G383" s="515">
        <v>2016729</v>
      </c>
      <c r="H383" s="515">
        <v>3534</v>
      </c>
      <c r="I383" s="511">
        <v>61579</v>
      </c>
      <c r="J383" s="511">
        <f t="shared" si="151"/>
        <v>8251376</v>
      </c>
      <c r="K383" s="511"/>
      <c r="L383" s="541">
        <f t="shared" si="129"/>
        <v>2.4373208263587888E-2</v>
      </c>
      <c r="M383" s="522">
        <v>4671212</v>
      </c>
      <c r="N383" s="511">
        <f t="shared" si="137"/>
        <v>4671212.0243732082</v>
      </c>
      <c r="O383" s="520"/>
      <c r="P383" s="511"/>
      <c r="Q383" s="511"/>
      <c r="R383" s="511"/>
      <c r="S383" s="511">
        <f t="shared" si="130"/>
        <v>163712</v>
      </c>
      <c r="T383" s="507">
        <f t="shared" si="152"/>
        <v>12</v>
      </c>
      <c r="U383" s="512">
        <f t="shared" si="156"/>
        <v>1195</v>
      </c>
      <c r="V383" s="512">
        <f>SUM(B370:B383)/POBLA!$B$25*100000</f>
        <v>205.06538088306917</v>
      </c>
      <c r="W383" s="512">
        <f>B383/POBLA!$B$25*100000</f>
        <v>17.98142584818066</v>
      </c>
      <c r="X383" s="513">
        <f t="shared" si="139"/>
        <v>1.0675209067027636</v>
      </c>
      <c r="Y383" s="519">
        <f t="shared" si="153"/>
        <v>2.1586688819390149E-2</v>
      </c>
      <c r="Z383" s="520">
        <f t="shared" si="158"/>
        <v>0.15281473008926574</v>
      </c>
      <c r="AA383" s="517">
        <f t="shared" si="134"/>
        <v>7023.7142857142853</v>
      </c>
      <c r="AB383" s="517">
        <f t="shared" si="135"/>
        <v>131.57142857142858</v>
      </c>
      <c r="AC383" s="517">
        <f t="shared" si="150"/>
        <v>151.75380821608621</v>
      </c>
      <c r="AD383" s="517">
        <f t="shared" si="147"/>
        <v>20.18237964465763</v>
      </c>
      <c r="AE383" s="545">
        <f t="shared" si="132"/>
        <v>6647.0714285714284</v>
      </c>
      <c r="AF383" s="520">
        <f t="shared" si="143"/>
        <v>1.1201330508281502</v>
      </c>
      <c r="AG383" s="200">
        <f t="shared" si="142"/>
        <v>4.0564418737685015E-2</v>
      </c>
      <c r="AH383" s="4"/>
      <c r="AI383" s="200">
        <f t="shared" si="136"/>
        <v>1.1614123581336697</v>
      </c>
      <c r="AJ383" s="489">
        <f t="shared" si="155"/>
        <v>-0.12013305082815018</v>
      </c>
      <c r="AK383" s="28">
        <f t="shared" si="133"/>
        <v>2.1403174455625014E-2</v>
      </c>
      <c r="AL383" s="28">
        <f t="shared" si="157"/>
        <v>2.2462340303819998E-2</v>
      </c>
      <c r="AM383" s="200">
        <f t="shared" si="144"/>
        <v>1.0342405618964003</v>
      </c>
      <c r="AN383" s="200">
        <f t="shared" si="145"/>
        <v>1.1614123581336697</v>
      </c>
      <c r="AO383" s="4"/>
      <c r="AP383" s="355">
        <f t="shared" si="140"/>
        <v>1.0675209067027636</v>
      </c>
      <c r="AQ383" s="4"/>
      <c r="AR383" s="4"/>
      <c r="AT383" s="179">
        <f t="shared" si="141"/>
        <v>1.9868327638427084E-2</v>
      </c>
    </row>
    <row r="384" spans="1:46" hidden="1" x14ac:dyDescent="0.25">
      <c r="A384" s="107">
        <v>44275</v>
      </c>
      <c r="B384" s="670">
        <v>6826</v>
      </c>
      <c r="C384" s="515">
        <f t="shared" si="149"/>
        <v>2241739</v>
      </c>
      <c r="D384" s="670">
        <v>42</v>
      </c>
      <c r="E384" s="515">
        <f t="shared" si="154"/>
        <v>54514</v>
      </c>
      <c r="F384" s="515">
        <f t="shared" si="131"/>
        <v>6935</v>
      </c>
      <c r="G384" s="515">
        <v>2023664</v>
      </c>
      <c r="H384" s="515">
        <v>3534</v>
      </c>
      <c r="I384" s="511">
        <v>57789</v>
      </c>
      <c r="J384" s="511">
        <f t="shared" si="151"/>
        <v>8309165</v>
      </c>
      <c r="K384" s="511"/>
      <c r="L384" s="541">
        <f t="shared" si="129"/>
        <v>2.4317728335011345E-2</v>
      </c>
      <c r="M384" s="522">
        <v>4709648</v>
      </c>
      <c r="N384" s="511">
        <f t="shared" si="137"/>
        <v>4709648.0243177284</v>
      </c>
      <c r="O384" s="520"/>
      <c r="P384" s="511"/>
      <c r="Q384" s="511"/>
      <c r="R384" s="511"/>
      <c r="S384" s="511">
        <f t="shared" si="130"/>
        <v>163561</v>
      </c>
      <c r="T384" s="507">
        <f t="shared" si="152"/>
        <v>0</v>
      </c>
      <c r="U384" s="512">
        <f t="shared" si="156"/>
        <v>-151</v>
      </c>
      <c r="V384" s="512">
        <f>SUM(B371:B384)/POBLA!$B$25*100000</f>
        <v>209.39767049305974</v>
      </c>
      <c r="W384" s="512">
        <f>B384/POBLA!$B$25*100000</f>
        <v>15.04181529898054</v>
      </c>
      <c r="X384" s="513">
        <f t="shared" si="139"/>
        <v>1.1037995562731591</v>
      </c>
      <c r="Y384" s="519">
        <f t="shared" si="153"/>
        <v>2.1606617714491842E-2</v>
      </c>
      <c r="Z384" s="520">
        <f t="shared" si="158"/>
        <v>0.14764502707053187</v>
      </c>
      <c r="AA384" s="517">
        <f t="shared" si="134"/>
        <v>7102</v>
      </c>
      <c r="AB384" s="517">
        <f t="shared" si="135"/>
        <v>127.85714285714286</v>
      </c>
      <c r="AC384" s="517">
        <f t="shared" si="150"/>
        <v>149.51544866113645</v>
      </c>
      <c r="AD384" s="517">
        <f t="shared" si="147"/>
        <v>21.658305803993585</v>
      </c>
      <c r="AE384" s="545">
        <f t="shared" si="132"/>
        <v>6787.5</v>
      </c>
      <c r="AF384" s="520">
        <f t="shared" si="143"/>
        <v>1.0971728719295535</v>
      </c>
      <c r="AG384" s="200">
        <f t="shared" si="142"/>
        <v>4.0140159873830683E-2</v>
      </c>
      <c r="AH384" s="4"/>
      <c r="AI384" s="200">
        <f t="shared" si="136"/>
        <v>1.1548387096774195</v>
      </c>
      <c r="AJ384" s="489">
        <f t="shared" si="155"/>
        <v>-9.7172871929553484E-2</v>
      </c>
      <c r="AK384" s="28">
        <f t="shared" si="133"/>
        <v>2.1172407267221801E-2</v>
      </c>
      <c r="AL384" s="28">
        <f t="shared" si="157"/>
        <v>2.2473910803884285E-2</v>
      </c>
      <c r="AM384" s="200">
        <f t="shared" si="144"/>
        <v>1.0231615518239723</v>
      </c>
      <c r="AN384" s="200">
        <f t="shared" si="145"/>
        <v>1.1548387096774195</v>
      </c>
      <c r="AO384" s="4"/>
      <c r="AP384" s="355">
        <f t="shared" si="140"/>
        <v>1.1037995562731593</v>
      </c>
      <c r="AQ384" s="4"/>
      <c r="AR384" s="4"/>
      <c r="AT384" s="179">
        <f t="shared" si="141"/>
        <v>1.8928512803676953E-2</v>
      </c>
    </row>
    <row r="385" spans="1:46" hidden="1" x14ac:dyDescent="0.25">
      <c r="A385" s="107">
        <v>44276</v>
      </c>
      <c r="B385" s="670">
        <v>4032</v>
      </c>
      <c r="C385" s="515">
        <f t="shared" si="149"/>
        <v>2245771</v>
      </c>
      <c r="D385" s="670">
        <v>28</v>
      </c>
      <c r="E385" s="515">
        <f t="shared" si="154"/>
        <v>54542</v>
      </c>
      <c r="F385" s="515">
        <f t="shared" si="131"/>
        <v>6489</v>
      </c>
      <c r="G385" s="515">
        <v>2030153</v>
      </c>
      <c r="H385" s="515">
        <v>3534</v>
      </c>
      <c r="I385" s="511">
        <v>31233</v>
      </c>
      <c r="J385" s="511">
        <f t="shared" si="151"/>
        <v>8340398</v>
      </c>
      <c r="K385" s="511"/>
      <c r="L385" s="541">
        <f t="shared" si="129"/>
        <v>2.4286536784026511E-2</v>
      </c>
      <c r="M385" s="522">
        <v>4732074</v>
      </c>
      <c r="N385" s="511">
        <f t="shared" si="137"/>
        <v>4732074.0242865365</v>
      </c>
      <c r="O385" s="520"/>
      <c r="P385" s="511"/>
      <c r="Q385" s="511"/>
      <c r="R385" s="511"/>
      <c r="S385" s="511">
        <f t="shared" si="130"/>
        <v>161076</v>
      </c>
      <c r="T385" s="507">
        <f t="shared" si="152"/>
        <v>0</v>
      </c>
      <c r="U385" s="512">
        <f t="shared" si="156"/>
        <v>-2485</v>
      </c>
      <c r="V385" s="512">
        <f>SUM(B372:B385)/POBLA!$B$25*100000</f>
        <v>211.84367327387841</v>
      </c>
      <c r="W385" s="512">
        <f>B385/POBLA!$B$25*100000</f>
        <v>8.8849398308657399</v>
      </c>
      <c r="X385" s="513">
        <f t="shared" si="139"/>
        <v>1.1269958500386861</v>
      </c>
      <c r="Y385" s="519">
        <f t="shared" si="153"/>
        <v>2.1939953810623556E-2</v>
      </c>
      <c r="Z385" s="520">
        <f t="shared" si="158"/>
        <v>0.14645987270466018</v>
      </c>
      <c r="AA385" s="517">
        <f t="shared" si="134"/>
        <v>7149.8571428571431</v>
      </c>
      <c r="AB385" s="517">
        <f t="shared" si="135"/>
        <v>128.42857142857142</v>
      </c>
      <c r="AC385" s="517">
        <f t="shared" si="150"/>
        <v>148.47639547213706</v>
      </c>
      <c r="AD385" s="517">
        <f t="shared" si="147"/>
        <v>20.04782404356564</v>
      </c>
      <c r="AE385" s="545">
        <f t="shared" si="132"/>
        <v>6866.7857142857147</v>
      </c>
      <c r="AF385" s="520">
        <f t="shared" si="143"/>
        <v>1.0859914073688324</v>
      </c>
      <c r="AG385" s="200">
        <f t="shared" si="142"/>
        <v>3.8021343506727812E-2</v>
      </c>
      <c r="AH385" s="4"/>
      <c r="AI385" s="200">
        <f t="shared" si="136"/>
        <v>1.1394169835234473</v>
      </c>
      <c r="AJ385" s="489">
        <f t="shared" si="155"/>
        <v>-8.5991407368832373E-2</v>
      </c>
      <c r="AK385" s="28">
        <f t="shared" si="133"/>
        <v>2.1689828218490637E-2</v>
      </c>
      <c r="AL385" s="28">
        <f t="shared" si="157"/>
        <v>2.2774140330979017E-2</v>
      </c>
      <c r="AM385" s="200">
        <f t="shared" si="144"/>
        <v>1.0158091405576315</v>
      </c>
      <c r="AN385" s="200">
        <f t="shared" si="145"/>
        <v>1.1394169835234473</v>
      </c>
      <c r="AO385" s="4"/>
      <c r="AP385" s="355">
        <f t="shared" si="140"/>
        <v>1.1269958500386861</v>
      </c>
      <c r="AQ385" s="4"/>
      <c r="AR385" s="4"/>
      <c r="AT385" s="179">
        <f t="shared" si="141"/>
        <v>1.8708461981265374E-2</v>
      </c>
    </row>
    <row r="386" spans="1:46" hidden="1" x14ac:dyDescent="0.25">
      <c r="A386" s="107">
        <v>44277</v>
      </c>
      <c r="B386" s="670">
        <v>6401</v>
      </c>
      <c r="C386" s="515">
        <f t="shared" si="149"/>
        <v>2252172</v>
      </c>
      <c r="D386" s="670">
        <v>125</v>
      </c>
      <c r="E386" s="515">
        <f t="shared" si="154"/>
        <v>54667</v>
      </c>
      <c r="F386" s="515">
        <f t="shared" si="131"/>
        <v>7533</v>
      </c>
      <c r="G386" s="515">
        <v>2037686</v>
      </c>
      <c r="H386" s="515">
        <v>3530</v>
      </c>
      <c r="I386" s="511">
        <v>43438</v>
      </c>
      <c r="J386" s="511">
        <f t="shared" si="151"/>
        <v>8383836</v>
      </c>
      <c r="K386" s="511"/>
      <c r="L386" s="541">
        <f t="shared" ref="L386:L391" si="159">E386/C386</f>
        <v>2.427301289599551E-2</v>
      </c>
      <c r="M386" s="522">
        <v>4756568</v>
      </c>
      <c r="N386" s="511">
        <f t="shared" si="137"/>
        <v>4756568.0242730128</v>
      </c>
      <c r="O386" s="520"/>
      <c r="P386" s="511"/>
      <c r="Q386" s="511"/>
      <c r="R386" s="511"/>
      <c r="S386" s="511">
        <f t="shared" ref="S386:S408" si="160">C386-E386-G386</f>
        <v>159819</v>
      </c>
      <c r="T386" s="507">
        <f t="shared" si="152"/>
        <v>-4</v>
      </c>
      <c r="U386" s="512">
        <f t="shared" si="156"/>
        <v>-1257</v>
      </c>
      <c r="V386" s="512">
        <f>SUM(B373:B386)/POBLA!$B$25*100000</f>
        <v>214.80311627805816</v>
      </c>
      <c r="W386" s="512">
        <f>B386/POBLA!$B$25*100000</f>
        <v>14.10528270272113</v>
      </c>
      <c r="X386" s="513">
        <f t="shared" si="139"/>
        <v>1.1475695466371567</v>
      </c>
      <c r="Y386" s="519">
        <f t="shared" si="153"/>
        <v>2.2087486469068135E-2</v>
      </c>
      <c r="Z386" s="520">
        <f t="shared" si="158"/>
        <v>0.14321477089225143</v>
      </c>
      <c r="AA386" s="517">
        <f t="shared" si="134"/>
        <v>7183.7142857142853</v>
      </c>
      <c r="AB386" s="517">
        <f t="shared" si="135"/>
        <v>122.57142857142857</v>
      </c>
      <c r="AC386" s="517">
        <f t="shared" si="150"/>
        <v>150.20571054902194</v>
      </c>
      <c r="AD386" s="517">
        <f t="shared" si="147"/>
        <v>27.634281977593375</v>
      </c>
      <c r="AE386" s="545">
        <f t="shared" si="132"/>
        <v>6962.7142857142853</v>
      </c>
      <c r="AF386" s="520">
        <f t="shared" si="143"/>
        <v>1.0655619596541788</v>
      </c>
      <c r="AG386" s="200">
        <f t="shared" si="142"/>
        <v>3.2009143624646352E-2</v>
      </c>
      <c r="AH386" s="4"/>
      <c r="AI386" s="200">
        <f t="shared" si="136"/>
        <v>1.1983240223463687</v>
      </c>
      <c r="AJ386" s="489">
        <f t="shared" si="155"/>
        <v>-6.556195965417877E-2</v>
      </c>
      <c r="AK386" s="28">
        <f t="shared" si="133"/>
        <v>2.0865758754863812E-2</v>
      </c>
      <c r="AL386" s="28">
        <f t="shared" si="157"/>
        <v>2.279448799576397E-2</v>
      </c>
      <c r="AM386" s="200">
        <f t="shared" si="144"/>
        <v>1.0175843182473334</v>
      </c>
      <c r="AN386" s="200">
        <f t="shared" si="145"/>
        <v>1.1983240223463687</v>
      </c>
      <c r="AO386" s="4"/>
      <c r="AP386" s="355">
        <f t="shared" si="140"/>
        <v>1.1475695466371565</v>
      </c>
      <c r="AQ386" s="4"/>
      <c r="AR386" s="4"/>
      <c r="AT386" s="179">
        <f t="shared" si="141"/>
        <v>1.8679488585047012E-2</v>
      </c>
    </row>
    <row r="387" spans="1:46" hidden="1" x14ac:dyDescent="0.25">
      <c r="A387" s="107">
        <v>44278</v>
      </c>
      <c r="B387" s="670">
        <v>9405</v>
      </c>
      <c r="C387" s="515">
        <f t="shared" si="149"/>
        <v>2261577</v>
      </c>
      <c r="D387" s="670">
        <v>153</v>
      </c>
      <c r="E387" s="515">
        <f t="shared" si="154"/>
        <v>54820</v>
      </c>
      <c r="F387" s="515">
        <f t="shared" ref="F387:F407" si="161">G387-G386</f>
        <v>6271</v>
      </c>
      <c r="G387" s="515">
        <v>2043957</v>
      </c>
      <c r="H387" s="515">
        <v>3591</v>
      </c>
      <c r="I387" s="511">
        <v>49703</v>
      </c>
      <c r="J387" s="511">
        <f t="shared" si="151"/>
        <v>8433539</v>
      </c>
      <c r="K387" s="511"/>
      <c r="L387" s="541">
        <f t="shared" si="159"/>
        <v>2.4239722989754495E-2</v>
      </c>
      <c r="M387" s="522">
        <v>4786032</v>
      </c>
      <c r="N387" s="511">
        <f t="shared" si="137"/>
        <v>4786032.0242397226</v>
      </c>
      <c r="O387" s="520"/>
      <c r="P387" s="511"/>
      <c r="Q387" s="511"/>
      <c r="R387" s="511"/>
      <c r="S387" s="511">
        <f t="shared" si="160"/>
        <v>162800</v>
      </c>
      <c r="T387" s="507">
        <f t="shared" si="152"/>
        <v>61</v>
      </c>
      <c r="U387" s="512">
        <f t="shared" si="156"/>
        <v>2981</v>
      </c>
      <c r="V387" s="512">
        <f>SUM(B374:B387)/POBLA!$B$25*100000</f>
        <v>219.42628189441635</v>
      </c>
      <c r="W387" s="512">
        <f>B387/POBLA!$B$25*100000</f>
        <v>20.724915453693519</v>
      </c>
      <c r="X387" s="513">
        <f t="shared" si="139"/>
        <v>1.1746192773642552</v>
      </c>
      <c r="Y387" s="519">
        <f t="shared" si="153"/>
        <v>2.2057739557739559E-2</v>
      </c>
      <c r="Z387" s="520">
        <f t="shared" si="158"/>
        <v>0.14661875874409819</v>
      </c>
      <c r="AA387" s="517">
        <f t="shared" si="134"/>
        <v>7350.8571428571431</v>
      </c>
      <c r="AB387" s="517">
        <f t="shared" si="135"/>
        <v>115.57142857142857</v>
      </c>
      <c r="AC387" s="517">
        <f t="shared" si="150"/>
        <v>152.36743315897769</v>
      </c>
      <c r="AD387" s="517">
        <f t="shared" si="147"/>
        <v>36.79600458754912</v>
      </c>
      <c r="AE387" s="545">
        <f t="shared" ref="AE387:AE450" si="162">AVERAGE(B374:B387)</f>
        <v>7112.5714285714284</v>
      </c>
      <c r="AF387" s="520">
        <f t="shared" si="143"/>
        <v>1.0693266832917705</v>
      </c>
      <c r="AG387" s="200">
        <f t="shared" si="142"/>
        <v>3.3545798522054859E-2</v>
      </c>
      <c r="AH387" s="4"/>
      <c r="AI387" s="200">
        <f t="shared" si="136"/>
        <v>1.0279542566709021</v>
      </c>
      <c r="AJ387" s="489">
        <f t="shared" si="155"/>
        <v>-6.9326683291770497E-2</v>
      </c>
      <c r="AK387" s="28">
        <f t="shared" si="133"/>
        <v>2.006547943846421E-2</v>
      </c>
      <c r="AL387" s="28">
        <f t="shared" si="157"/>
        <v>2.2797684044795451E-2</v>
      </c>
      <c r="AM387" s="200">
        <f t="shared" si="144"/>
        <v>1.0351686364946671</v>
      </c>
      <c r="AN387" s="200">
        <f t="shared" si="145"/>
        <v>1.0279542566709021</v>
      </c>
      <c r="AO387" s="4"/>
      <c r="AP387" s="355">
        <f t="shared" si="140"/>
        <v>1.1746192773642552</v>
      </c>
      <c r="AQ387" s="4"/>
      <c r="AR387" s="4"/>
      <c r="AT387" s="179">
        <f t="shared" si="141"/>
        <v>1.8525372256556632E-2</v>
      </c>
    </row>
    <row r="388" spans="1:46" hidden="1" x14ac:dyDescent="0.25">
      <c r="A388" s="107">
        <v>44279</v>
      </c>
      <c r="B388" s="670">
        <v>8300</v>
      </c>
      <c r="C388" s="515">
        <f t="shared" si="149"/>
        <v>2269877</v>
      </c>
      <c r="D388" s="670">
        <v>123</v>
      </c>
      <c r="E388" s="515">
        <f t="shared" si="154"/>
        <v>54943</v>
      </c>
      <c r="F388" s="515">
        <f t="shared" si="161"/>
        <v>5078</v>
      </c>
      <c r="G388" s="515">
        <v>2049035</v>
      </c>
      <c r="H388" s="515">
        <v>3574</v>
      </c>
      <c r="I388" s="511">
        <v>44058</v>
      </c>
      <c r="J388" s="511">
        <f t="shared" si="151"/>
        <v>8477597</v>
      </c>
      <c r="K388" s="511"/>
      <c r="L388" s="541">
        <f t="shared" si="159"/>
        <v>2.4205276321139869E-2</v>
      </c>
      <c r="M388" s="522">
        <v>4813948</v>
      </c>
      <c r="N388" s="511">
        <f t="shared" si="137"/>
        <v>4813948.0242052767</v>
      </c>
      <c r="O388" s="520"/>
      <c r="P388" s="511"/>
      <c r="Q388" s="511"/>
      <c r="R388" s="511"/>
      <c r="S388" s="511">
        <f t="shared" si="160"/>
        <v>165899</v>
      </c>
      <c r="T388" s="507">
        <f t="shared" si="152"/>
        <v>-17</v>
      </c>
      <c r="U388" s="512">
        <f t="shared" si="156"/>
        <v>3099</v>
      </c>
      <c r="V388" s="512">
        <f>SUM(B375:B388)/POBLA!$B$25*100000</f>
        <v>220.76387080248571</v>
      </c>
      <c r="W388" s="512">
        <f>B388/POBLA!$B$25*100000</f>
        <v>18.289930703419056</v>
      </c>
      <c r="X388" s="513">
        <f t="shared" si="139"/>
        <v>1.1886501429707059</v>
      </c>
      <c r="Y388" s="519">
        <f t="shared" si="153"/>
        <v>2.1543228108668527E-2</v>
      </c>
      <c r="Z388" s="520">
        <f t="shared" si="158"/>
        <v>0.15133297254053035</v>
      </c>
      <c r="AA388" s="517">
        <f t="shared" si="134"/>
        <v>7350.2857142857147</v>
      </c>
      <c r="AB388" s="517">
        <f t="shared" si="135"/>
        <v>105.28571428571429</v>
      </c>
      <c r="AC388" s="517">
        <f t="shared" si="150"/>
        <v>151.56356827934525</v>
      </c>
      <c r="AD388" s="517">
        <f t="shared" si="147"/>
        <v>46.277853993630956</v>
      </c>
      <c r="AE388" s="545">
        <f t="shared" si="162"/>
        <v>7155.9285714285716</v>
      </c>
      <c r="AF388" s="520">
        <f t="shared" si="143"/>
        <v>1.055837146785414</v>
      </c>
      <c r="AG388" s="200">
        <f t="shared" si="142"/>
        <v>2.9801735589517042E-2</v>
      </c>
      <c r="AH388" s="4"/>
      <c r="AI388" s="200">
        <f t="shared" si="136"/>
        <v>0.8422857142857143</v>
      </c>
      <c r="AJ388" s="489">
        <f t="shared" si="155"/>
        <v>-5.583714678541396E-2</v>
      </c>
      <c r="AK388" s="28">
        <f t="shared" si="133"/>
        <v>1.7089458795158375E-2</v>
      </c>
      <c r="AL388" s="28">
        <f t="shared" si="157"/>
        <v>2.2185253696507715E-2</v>
      </c>
      <c r="AM388" s="200">
        <f t="shared" si="144"/>
        <v>1.0255380200860833</v>
      </c>
      <c r="AN388" s="200">
        <f t="shared" si="145"/>
        <v>0.8422857142857143</v>
      </c>
      <c r="AO388" s="4"/>
      <c r="AP388" s="355">
        <f t="shared" si="140"/>
        <v>1.1886501429707059</v>
      </c>
      <c r="AQ388" s="4"/>
      <c r="AR388" s="4"/>
      <c r="AT388" s="179">
        <f t="shared" si="141"/>
        <v>1.8068616771433996E-2</v>
      </c>
    </row>
    <row r="389" spans="1:46" hidden="1" x14ac:dyDescent="0.25">
      <c r="A389" s="107">
        <v>44280</v>
      </c>
      <c r="B389" s="670">
        <v>8238</v>
      </c>
      <c r="C389" s="515">
        <f t="shared" si="149"/>
        <v>2278115</v>
      </c>
      <c r="D389" s="670">
        <v>146</v>
      </c>
      <c r="E389" s="515">
        <f t="shared" si="154"/>
        <v>55089</v>
      </c>
      <c r="F389" s="515">
        <f t="shared" si="161"/>
        <v>7437</v>
      </c>
      <c r="G389" s="515">
        <v>2056472</v>
      </c>
      <c r="H389" s="515">
        <v>3585</v>
      </c>
      <c r="I389" s="511">
        <v>40224</v>
      </c>
      <c r="J389" s="511">
        <v>8517821</v>
      </c>
      <c r="K389" s="511"/>
      <c r="L389" s="541">
        <f t="shared" si="159"/>
        <v>2.4181834543032289E-2</v>
      </c>
      <c r="M389" s="522">
        <v>4837873</v>
      </c>
      <c r="N389" s="511">
        <f t="shared" si="137"/>
        <v>4837873.0241818344</v>
      </c>
      <c r="O389" s="520"/>
      <c r="P389" s="511"/>
      <c r="Q389" s="511"/>
      <c r="R389" s="511"/>
      <c r="S389" s="511">
        <f t="shared" si="160"/>
        <v>166554</v>
      </c>
      <c r="T389" s="507">
        <f t="shared" si="152"/>
        <v>11</v>
      </c>
      <c r="U389" s="512">
        <f t="shared" si="156"/>
        <v>655</v>
      </c>
      <c r="V389" s="512">
        <f>SUM(B376:B389)/POBLA!$B$25*100000</f>
        <v>220.83879341018644</v>
      </c>
      <c r="W389" s="512">
        <f>B389/POBLA!$B$25*100000</f>
        <v>18.153307124670622</v>
      </c>
      <c r="X389" s="513">
        <f t="shared" si="139"/>
        <v>1.1894769325721339</v>
      </c>
      <c r="Y389" s="519">
        <f t="shared" si="153"/>
        <v>2.1524550596203035E-2</v>
      </c>
      <c r="Z389" s="520">
        <f t="shared" si="158"/>
        <v>0.15658000634099944</v>
      </c>
      <c r="AA389" s="517">
        <f t="shared" si="134"/>
        <v>7337.4285714285716</v>
      </c>
      <c r="AB389" s="517">
        <f t="shared" si="135"/>
        <v>104.28571428571429</v>
      </c>
      <c r="AC389" s="517">
        <f t="shared" si="150"/>
        <v>154.07941674560911</v>
      </c>
      <c r="AD389" s="517">
        <f t="shared" si="147"/>
        <v>49.793702459894817</v>
      </c>
      <c r="AE389" s="545">
        <f t="shared" si="162"/>
        <v>7158.3571428571431</v>
      </c>
      <c r="AF389" s="538">
        <f t="shared" si="143"/>
        <v>1.0513151161600656</v>
      </c>
      <c r="AG389" s="200">
        <f t="shared" si="142"/>
        <v>2.484047822689317E-2</v>
      </c>
      <c r="AH389" s="4"/>
      <c r="AI389" s="200">
        <f t="shared" si="136"/>
        <v>0.81655480984340056</v>
      </c>
      <c r="AJ389" s="489">
        <f t="shared" si="155"/>
        <v>-5.1315116160065566E-2</v>
      </c>
      <c r="AK389" s="28">
        <f t="shared" si="133"/>
        <v>1.7169602747136439E-2</v>
      </c>
      <c r="AL389" s="28">
        <f t="shared" si="157"/>
        <v>2.2059230726631674E-2</v>
      </c>
      <c r="AM389" s="200">
        <f t="shared" si="144"/>
        <v>1.0178875638841567</v>
      </c>
      <c r="AN389" s="200">
        <f t="shared" si="145"/>
        <v>0.81655480984340056</v>
      </c>
      <c r="AO389" s="4"/>
      <c r="AP389" s="355">
        <f t="shared" si="140"/>
        <v>1.1894769325721339</v>
      </c>
      <c r="AQ389" s="4"/>
      <c r="AR389" s="4"/>
      <c r="AT389" s="179">
        <f t="shared" si="141"/>
        <v>1.7955367943172033E-2</v>
      </c>
    </row>
    <row r="390" spans="1:46" hidden="1" x14ac:dyDescent="0.25">
      <c r="A390" s="107">
        <v>44281</v>
      </c>
      <c r="B390" s="670">
        <v>12936</v>
      </c>
      <c r="C390" s="515">
        <f t="shared" si="149"/>
        <v>2291051</v>
      </c>
      <c r="D390" s="670">
        <v>143</v>
      </c>
      <c r="E390" s="515">
        <f t="shared" si="154"/>
        <v>55232</v>
      </c>
      <c r="F390" s="515">
        <f t="shared" si="161"/>
        <v>8007</v>
      </c>
      <c r="G390" s="515">
        <v>2064479</v>
      </c>
      <c r="H390" s="515">
        <v>3508</v>
      </c>
      <c r="I390" s="511">
        <v>88074</v>
      </c>
      <c r="J390" s="511">
        <f t="shared" ref="J390:J408" si="163">J389+I390</f>
        <v>8605895</v>
      </c>
      <c r="K390" s="511"/>
      <c r="L390" s="541">
        <f t="shared" si="159"/>
        <v>2.4107713010317101E-2</v>
      </c>
      <c r="M390" s="522">
        <v>4887389</v>
      </c>
      <c r="N390" s="511">
        <f t="shared" si="137"/>
        <v>4887389.0241077133</v>
      </c>
      <c r="O390" s="520"/>
      <c r="P390" s="511"/>
      <c r="Q390" s="511"/>
      <c r="R390" s="511"/>
      <c r="S390" s="511">
        <f t="shared" si="160"/>
        <v>171340</v>
      </c>
      <c r="T390" s="507">
        <f t="shared" si="152"/>
        <v>-77</v>
      </c>
      <c r="U390" s="512">
        <f t="shared" si="156"/>
        <v>4786</v>
      </c>
      <c r="V390" s="512">
        <f>SUM(B377:B390)/POBLA!$B$25*100000</f>
        <v>232.04853768588438</v>
      </c>
      <c r="W390" s="512">
        <f>B390/POBLA!$B$25*100000</f>
        <v>28.505848624027578</v>
      </c>
      <c r="X390" s="513">
        <f t="shared" si="139"/>
        <v>1.2101265240924395</v>
      </c>
      <c r="Y390" s="519">
        <f t="shared" si="153"/>
        <v>2.0473911520952494E-2</v>
      </c>
      <c r="Z390" s="520">
        <f t="shared" si="158"/>
        <v>0.15834976404649681</v>
      </c>
      <c r="AA390" s="517">
        <f t="shared" si="134"/>
        <v>8019.7142857142853</v>
      </c>
      <c r="AB390" s="517">
        <f t="shared" si="135"/>
        <v>108.57142857142857</v>
      </c>
      <c r="AC390" s="517">
        <f t="shared" si="150"/>
        <v>153.62606945294741</v>
      </c>
      <c r="AD390" s="517">
        <f t="shared" si="147"/>
        <v>45.054640881518836</v>
      </c>
      <c r="AE390" s="545">
        <f t="shared" si="162"/>
        <v>7521.7142857142853</v>
      </c>
      <c r="AF390" s="538">
        <f t="shared" si="143"/>
        <v>1.1418053126144083</v>
      </c>
      <c r="AG390" s="200">
        <f t="shared" si="142"/>
        <v>4.659401876465985E-2</v>
      </c>
      <c r="AH390" s="4"/>
      <c r="AI390" s="200">
        <f t="shared" si="136"/>
        <v>0.82519001085776322</v>
      </c>
      <c r="AJ390" s="489">
        <f t="shared" si="155"/>
        <v>-0.14180531261440832</v>
      </c>
      <c r="AK390" s="28">
        <f t="shared" si="133"/>
        <v>1.7979229258829933E-2</v>
      </c>
      <c r="AL390" s="28">
        <f t="shared" si="157"/>
        <v>2.142787333854574E-2</v>
      </c>
      <c r="AM390" s="200">
        <f t="shared" si="144"/>
        <v>0.99264289756649693</v>
      </c>
      <c r="AN390" s="200">
        <f t="shared" si="145"/>
        <v>0.82519001085776322</v>
      </c>
      <c r="AO390" s="4"/>
      <c r="AP390" s="355">
        <f t="shared" si="140"/>
        <v>1.2101265240924395</v>
      </c>
      <c r="AQ390" s="4"/>
      <c r="AR390" s="4"/>
      <c r="AT390" s="179">
        <f t="shared" si="141"/>
        <v>1.7554950398755105E-2</v>
      </c>
    </row>
    <row r="391" spans="1:46" hidden="1" x14ac:dyDescent="0.25">
      <c r="A391" s="107">
        <v>44282</v>
      </c>
      <c r="B391" s="670">
        <v>10338</v>
      </c>
      <c r="C391" s="515">
        <f t="shared" si="149"/>
        <v>2301389</v>
      </c>
      <c r="D391" s="670">
        <v>133</v>
      </c>
      <c r="E391" s="515">
        <f t="shared" si="154"/>
        <v>55365</v>
      </c>
      <c r="F391" s="515">
        <f t="shared" si="161"/>
        <v>7749</v>
      </c>
      <c r="G391" s="515">
        <v>2072228</v>
      </c>
      <c r="H391" s="515">
        <v>3506</v>
      </c>
      <c r="I391" s="511">
        <v>44828</v>
      </c>
      <c r="J391" s="511">
        <f t="shared" si="163"/>
        <v>8650723</v>
      </c>
      <c r="K391" s="511"/>
      <c r="L391" s="541">
        <f t="shared" si="159"/>
        <v>2.4057210667123203E-2</v>
      </c>
      <c r="M391" s="522">
        <v>4915050</v>
      </c>
      <c r="N391" s="511">
        <f t="shared" si="137"/>
        <v>4915050.0240572104</v>
      </c>
      <c r="O391" s="520"/>
      <c r="P391" s="511"/>
      <c r="Q391" s="511"/>
      <c r="R391" s="511"/>
      <c r="S391" s="511">
        <f t="shared" si="160"/>
        <v>173796</v>
      </c>
      <c r="T391" s="507">
        <f t="shared" si="152"/>
        <v>-2</v>
      </c>
      <c r="U391" s="512">
        <f t="shared" si="156"/>
        <v>2456</v>
      </c>
      <c r="V391" s="512">
        <f>SUM(B378:B391)/POBLA!$B$25*100000</f>
        <v>240.99517848779777</v>
      </c>
      <c r="W391" s="512">
        <f>B391/POBLA!$B$25*100000</f>
        <v>22.780879953246529</v>
      </c>
      <c r="X391" s="513">
        <f t="shared" si="139"/>
        <v>1.2452065400555632</v>
      </c>
      <c r="Y391" s="519">
        <f t="shared" si="153"/>
        <v>2.0173076480471359E-2</v>
      </c>
      <c r="Z391" s="520">
        <f t="shared" si="158"/>
        <v>0.17464091018216527</v>
      </c>
      <c r="AA391" s="517">
        <f t="shared" si="134"/>
        <v>8521.4285714285706</v>
      </c>
      <c r="AB391" s="517">
        <f t="shared" si="135"/>
        <v>121.57142857142857</v>
      </c>
      <c r="AC391" s="517">
        <f t="shared" si="150"/>
        <v>158.33568823348273</v>
      </c>
      <c r="AD391" s="517">
        <f t="shared" si="147"/>
        <v>36.764259662054158</v>
      </c>
      <c r="AE391" s="545">
        <f t="shared" si="162"/>
        <v>7811.7142857142853</v>
      </c>
      <c r="AF391" s="538">
        <f t="shared" si="143"/>
        <v>1.1998632176046988</v>
      </c>
      <c r="AG391" s="200">
        <f t="shared" si="142"/>
        <v>6.2576041965994422E-2</v>
      </c>
      <c r="AH391" s="4"/>
      <c r="AI391" s="200">
        <f t="shared" si="136"/>
        <v>0.95083798882681558</v>
      </c>
      <c r="AJ391" s="489">
        <f t="shared" si="155"/>
        <v>-0.19986321760469883</v>
      </c>
      <c r="AK391" s="28">
        <f t="shared" si="133"/>
        <v>1.9943287009913054E-2</v>
      </c>
      <c r="AL391" s="28">
        <f t="shared" si="157"/>
        <v>2.1435427760896547E-2</v>
      </c>
      <c r="AM391" s="200">
        <f t="shared" si="144"/>
        <v>0.99207696661007361</v>
      </c>
      <c r="AN391" s="200">
        <f t="shared" si="145"/>
        <v>0.95083798882681558</v>
      </c>
      <c r="AO391" s="4"/>
      <c r="AP391" s="355">
        <f t="shared" si="140"/>
        <v>1.245206540055563</v>
      </c>
      <c r="AQ391" s="4"/>
      <c r="AR391" s="4"/>
      <c r="AT391" s="179">
        <f t="shared" si="141"/>
        <v>1.7319393099199012E-2</v>
      </c>
    </row>
    <row r="392" spans="1:46" hidden="1" x14ac:dyDescent="0.25">
      <c r="A392" s="107">
        <v>44283</v>
      </c>
      <c r="B392" s="670">
        <v>7208</v>
      </c>
      <c r="C392" s="515">
        <f t="shared" si="149"/>
        <v>2308597</v>
      </c>
      <c r="D392" s="670">
        <v>81</v>
      </c>
      <c r="E392" s="515">
        <f t="shared" si="154"/>
        <v>55446</v>
      </c>
      <c r="F392" s="515">
        <f t="shared" si="161"/>
        <v>7287</v>
      </c>
      <c r="G392" s="515">
        <v>2079515</v>
      </c>
      <c r="H392" s="515">
        <v>3505</v>
      </c>
      <c r="I392" s="511">
        <v>37193</v>
      </c>
      <c r="J392" s="511">
        <f t="shared" si="163"/>
        <v>8687916</v>
      </c>
      <c r="K392" s="511"/>
      <c r="L392" s="541">
        <f t="shared" ref="L392:L403" si="164">E392/C392</f>
        <v>2.4017184463117642E-2</v>
      </c>
      <c r="M392" s="522">
        <v>4937915</v>
      </c>
      <c r="N392" s="511">
        <f t="shared" si="137"/>
        <v>4937915.024017184</v>
      </c>
      <c r="O392" s="520"/>
      <c r="P392" s="511"/>
      <c r="Q392" s="511"/>
      <c r="R392" s="511"/>
      <c r="S392" s="511">
        <f t="shared" si="160"/>
        <v>173636</v>
      </c>
      <c r="T392" s="507">
        <f t="shared" si="152"/>
        <v>-1</v>
      </c>
      <c r="U392" s="512">
        <f t="shared" si="156"/>
        <v>-160</v>
      </c>
      <c r="V392" s="512">
        <f>SUM(B379:B392)/POBLA!$B$25*100000</f>
        <v>248.73203953595493</v>
      </c>
      <c r="W392" s="512">
        <f>B392/POBLA!$B$25*100000</f>
        <v>15.883592832559586</v>
      </c>
      <c r="X392" s="513">
        <f t="shared" si="139"/>
        <v>1.277487918331315</v>
      </c>
      <c r="Y392" s="519">
        <f t="shared" si="153"/>
        <v>2.0185906148494553E-2</v>
      </c>
      <c r="Z392" s="520">
        <f t="shared" si="158"/>
        <v>0.18078488020764391</v>
      </c>
      <c r="AA392" s="517">
        <f t="shared" si="134"/>
        <v>8975.1428571428569</v>
      </c>
      <c r="AB392" s="517">
        <f t="shared" si="135"/>
        <v>129.14285714285714</v>
      </c>
      <c r="AC392" s="517">
        <f t="shared" si="150"/>
        <v>160.84467224383206</v>
      </c>
      <c r="AD392" s="517">
        <f t="shared" si="147"/>
        <v>31.701815100974926</v>
      </c>
      <c r="AE392" s="545">
        <f t="shared" si="162"/>
        <v>8062.5</v>
      </c>
      <c r="AF392" s="538">
        <f t="shared" si="143"/>
        <v>1.2552898159803392</v>
      </c>
      <c r="AG392" s="200">
        <f t="shared" si="142"/>
        <v>7.7975613995877824E-2</v>
      </c>
      <c r="AH392" s="200">
        <f t="shared" ref="AH392:AH423" si="165">B392/B385-1</f>
        <v>0.78769841269841279</v>
      </c>
      <c r="AI392" s="200">
        <f t="shared" si="136"/>
        <v>1.0055617352614017</v>
      </c>
      <c r="AJ392" s="489">
        <f t="shared" si="155"/>
        <v>-0.25528981598033917</v>
      </c>
      <c r="AK392" s="28">
        <f t="shared" ref="AK392:AK402" si="166">AB392/AA373</f>
        <v>2.0865551067512981E-2</v>
      </c>
      <c r="AL392" s="28">
        <f t="shared" si="157"/>
        <v>2.1759914574486578E-2</v>
      </c>
      <c r="AM392" s="200">
        <f t="shared" si="144"/>
        <v>0.99179400113186189</v>
      </c>
      <c r="AN392" s="200">
        <f t="shared" si="145"/>
        <v>1.0055617352614017</v>
      </c>
      <c r="AO392" s="4"/>
      <c r="AP392" s="355">
        <f t="shared" si="140"/>
        <v>1.277487918331315</v>
      </c>
      <c r="AQ392" s="4"/>
      <c r="AR392" s="4"/>
      <c r="AT392" s="179">
        <f t="shared" si="141"/>
        <v>1.7091614292725463E-2</v>
      </c>
    </row>
    <row r="393" spans="1:46" hidden="1" x14ac:dyDescent="0.25">
      <c r="A393" s="107">
        <v>44284</v>
      </c>
      <c r="B393" s="670">
        <v>14014</v>
      </c>
      <c r="C393" s="515">
        <f t="shared" si="149"/>
        <v>2322611</v>
      </c>
      <c r="D393" s="670">
        <v>163</v>
      </c>
      <c r="E393" s="515">
        <f t="shared" si="154"/>
        <v>55609</v>
      </c>
      <c r="F393" s="515">
        <f t="shared" si="161"/>
        <v>8741</v>
      </c>
      <c r="G393" s="515">
        <v>2088256</v>
      </c>
      <c r="H393" s="515">
        <v>3639</v>
      </c>
      <c r="I393" s="511">
        <v>57830</v>
      </c>
      <c r="J393" s="511">
        <f t="shared" si="163"/>
        <v>8745746</v>
      </c>
      <c r="K393" s="511"/>
      <c r="L393" s="541">
        <f t="shared" si="164"/>
        <v>2.3942450974356017E-2</v>
      </c>
      <c r="M393" s="522">
        <v>4975797</v>
      </c>
      <c r="N393" s="511">
        <f t="shared" si="137"/>
        <v>4975797.023942451</v>
      </c>
      <c r="O393" s="520"/>
      <c r="P393" s="511"/>
      <c r="Q393" s="511"/>
      <c r="R393" s="511"/>
      <c r="S393" s="511">
        <f t="shared" si="160"/>
        <v>178746</v>
      </c>
      <c r="T393" s="507">
        <f t="shared" si="152"/>
        <v>134</v>
      </c>
      <c r="U393" s="512">
        <f t="shared" si="156"/>
        <v>5110</v>
      </c>
      <c r="V393" s="512">
        <f>SUM(B380:B393)/POBLA!$B$25*100000</f>
        <v>266.03034749039347</v>
      </c>
      <c r="W393" s="512">
        <f>B393/POBLA!$B$25*100000</f>
        <v>30.881336009363213</v>
      </c>
      <c r="X393" s="513">
        <f t="shared" si="139"/>
        <v>1.3434338938161423</v>
      </c>
      <c r="Y393" s="519">
        <f t="shared" si="153"/>
        <v>2.0358497532811923E-2</v>
      </c>
      <c r="Z393" s="520">
        <f t="shared" si="158"/>
        <v>0.19463126191594596</v>
      </c>
      <c r="AA393" s="517">
        <f t="shared" ref="AA393:AA416" si="167">AVERAGE(B387:B393)</f>
        <v>10062.714285714286</v>
      </c>
      <c r="AB393" s="517">
        <f t="shared" ref="AB393:AB416" si="168">AVERAGE(D387:D393)</f>
        <v>134.57142857142858</v>
      </c>
      <c r="AC393" s="517">
        <f t="shared" si="150"/>
        <v>164.75190087043561</v>
      </c>
      <c r="AD393" s="517">
        <f t="shared" si="147"/>
        <v>30.180472299007022</v>
      </c>
      <c r="AE393" s="545">
        <f t="shared" si="162"/>
        <v>8623.2142857142862</v>
      </c>
      <c r="AF393" s="538">
        <f t="shared" si="143"/>
        <v>1.4007676092749475</v>
      </c>
      <c r="AG393" s="200">
        <f t="shared" si="142"/>
        <v>0.11842772135978819</v>
      </c>
      <c r="AH393" s="200">
        <f t="shared" si="165"/>
        <v>1.1893454147789408</v>
      </c>
      <c r="AI393" s="200">
        <f t="shared" si="136"/>
        <v>1.0979020979020979</v>
      </c>
      <c r="AJ393" s="489">
        <f t="shared" si="155"/>
        <v>-0.40076760927494748</v>
      </c>
      <c r="AK393" s="28">
        <f t="shared" si="166"/>
        <v>2.1824247619488917E-2</v>
      </c>
      <c r="AL393" s="28">
        <f t="shared" si="157"/>
        <v>2.2769508005931711E-2</v>
      </c>
      <c r="AM393" s="200">
        <f t="shared" si="144"/>
        <v>1.0308781869688386</v>
      </c>
      <c r="AN393" s="200">
        <f t="shared" si="145"/>
        <v>1.0979020979020979</v>
      </c>
      <c r="AO393" s="4"/>
      <c r="AP393" s="355">
        <f t="shared" si="140"/>
        <v>1.3434338938161423</v>
      </c>
      <c r="AQ393" s="4"/>
      <c r="AR393" s="4"/>
      <c r="AT393" s="179">
        <f t="shared" si="141"/>
        <v>1.6899099874550166E-2</v>
      </c>
    </row>
    <row r="394" spans="1:46" hidden="1" x14ac:dyDescent="0.25">
      <c r="A394" s="107">
        <v>44285</v>
      </c>
      <c r="B394" s="670">
        <v>10154</v>
      </c>
      <c r="C394" s="515">
        <f t="shared" si="149"/>
        <v>2332765</v>
      </c>
      <c r="D394" s="670">
        <v>125</v>
      </c>
      <c r="E394" s="515">
        <f t="shared" si="154"/>
        <v>55734</v>
      </c>
      <c r="F394" s="515">
        <f t="shared" si="161"/>
        <v>7597</v>
      </c>
      <c r="G394" s="515">
        <v>2095853</v>
      </c>
      <c r="H394" s="515">
        <v>3702</v>
      </c>
      <c r="I394" s="511">
        <v>78400</v>
      </c>
      <c r="J394" s="511">
        <f t="shared" si="163"/>
        <v>8824146</v>
      </c>
      <c r="K394" s="511"/>
      <c r="L394" s="541">
        <f t="shared" si="164"/>
        <v>2.38918193645738E-2</v>
      </c>
      <c r="M394" s="522">
        <v>5003806</v>
      </c>
      <c r="N394" s="511">
        <f t="shared" si="137"/>
        <v>5003806.0238918196</v>
      </c>
      <c r="O394" s="520"/>
      <c r="P394" s="511"/>
      <c r="Q394" s="511"/>
      <c r="R394" s="511"/>
      <c r="S394" s="511">
        <f t="shared" si="160"/>
        <v>181178</v>
      </c>
      <c r="T394" s="507">
        <f t="shared" si="152"/>
        <v>63</v>
      </c>
      <c r="U394" s="512">
        <f t="shared" si="156"/>
        <v>2432</v>
      </c>
      <c r="V394" s="512">
        <f>SUM(B381:B394)/POBLA!$B$25*100000</f>
        <v>270.25906761326826</v>
      </c>
      <c r="W394" s="512">
        <f>B394/POBLA!$B$25*100000</f>
        <v>22.375416429218927</v>
      </c>
      <c r="X394" s="513">
        <f t="shared" si="139"/>
        <v>1.3411777571217671</v>
      </c>
      <c r="Y394" s="519">
        <f t="shared" si="153"/>
        <v>2.0432944397222621E-2</v>
      </c>
      <c r="Z394" s="520">
        <f t="shared" si="158"/>
        <v>0.18224967806516523</v>
      </c>
      <c r="AA394" s="517">
        <f t="shared" si="167"/>
        <v>10169.714285714286</v>
      </c>
      <c r="AB394" s="517">
        <f t="shared" si="168"/>
        <v>130.57142857142858</v>
      </c>
      <c r="AC394" s="517">
        <f t="shared" si="150"/>
        <v>167.99399024500727</v>
      </c>
      <c r="AD394" s="517">
        <f t="shared" si="147"/>
        <v>37.422561673578684</v>
      </c>
      <c r="AE394" s="545">
        <f t="shared" si="162"/>
        <v>8760.2857142857138</v>
      </c>
      <c r="AF394" s="538">
        <f t="shared" si="143"/>
        <v>1.3834732587064678</v>
      </c>
      <c r="AG394" s="200">
        <f t="shared" si="142"/>
        <v>0.11288697788697788</v>
      </c>
      <c r="AH394" s="200">
        <f t="shared" si="165"/>
        <v>7.9638490164805953E-2</v>
      </c>
      <c r="AI394" s="200">
        <f t="shared" ref="AI394:AI445" si="169">AB394/AB387</f>
        <v>1.1297898640296664</v>
      </c>
      <c r="AJ394" s="489">
        <f t="shared" si="155"/>
        <v>-0.38347325870646776</v>
      </c>
      <c r="AK394" s="28">
        <f t="shared" si="166"/>
        <v>2.0803459656310461E-2</v>
      </c>
      <c r="AL394" s="28">
        <f t="shared" si="157"/>
        <v>2.2739557739557738E-2</v>
      </c>
      <c r="AM394" s="200">
        <f t="shared" si="144"/>
        <v>1.0309106098579783</v>
      </c>
      <c r="AN394" s="200">
        <f t="shared" si="145"/>
        <v>1.1297898640296664</v>
      </c>
      <c r="AO394" s="4"/>
      <c r="AP394" s="355">
        <f t="shared" si="140"/>
        <v>1.3411777571217671</v>
      </c>
      <c r="AQ394" s="4"/>
      <c r="AR394" s="4"/>
      <c r="AT394" s="179">
        <f t="shared" si="141"/>
        <v>1.6845607808340726E-2</v>
      </c>
    </row>
    <row r="395" spans="1:46" hidden="1" x14ac:dyDescent="0.25">
      <c r="A395" s="107">
        <v>44286</v>
      </c>
      <c r="B395" s="670">
        <v>16056</v>
      </c>
      <c r="C395" s="515">
        <f t="shared" si="149"/>
        <v>2348821</v>
      </c>
      <c r="D395" s="670">
        <v>124</v>
      </c>
      <c r="E395" s="515">
        <f t="shared" si="154"/>
        <v>55858</v>
      </c>
      <c r="F395" s="515">
        <f t="shared" si="161"/>
        <v>6763</v>
      </c>
      <c r="G395" s="515">
        <v>2102616</v>
      </c>
      <c r="H395" s="515">
        <v>3638</v>
      </c>
      <c r="I395" s="511">
        <v>56334</v>
      </c>
      <c r="J395" s="511">
        <f t="shared" si="163"/>
        <v>8880480</v>
      </c>
      <c r="K395" s="511"/>
      <c r="L395" s="541">
        <f t="shared" si="164"/>
        <v>2.3781292827337631E-2</v>
      </c>
      <c r="M395" s="522">
        <v>5041337</v>
      </c>
      <c r="N395" s="511">
        <f t="shared" si="137"/>
        <v>5041337.0237812931</v>
      </c>
      <c r="O395" s="520"/>
      <c r="P395" s="511"/>
      <c r="Q395" s="511"/>
      <c r="R395" s="511"/>
      <c r="S395" s="511">
        <f t="shared" si="160"/>
        <v>190347</v>
      </c>
      <c r="T395" s="507">
        <f t="shared" si="152"/>
        <v>-64</v>
      </c>
      <c r="U395" s="512">
        <f t="shared" si="156"/>
        <v>9169</v>
      </c>
      <c r="V395" s="512">
        <f>SUM(B382:B395)/POBLA!$B$25*100000</f>
        <v>287.3414221690399</v>
      </c>
      <c r="W395" s="512">
        <f>B395/POBLA!$B$25*100000</f>
        <v>35.381099683626061</v>
      </c>
      <c r="X395" s="513">
        <f t="shared" si="139"/>
        <v>1.4189827409841773</v>
      </c>
      <c r="Y395" s="519">
        <f t="shared" si="153"/>
        <v>1.9112463028048775E-2</v>
      </c>
      <c r="Z395" s="520">
        <f t="shared" si="158"/>
        <v>0.19594770690250024</v>
      </c>
      <c r="AA395" s="517">
        <f t="shared" si="167"/>
        <v>11277.714285714286</v>
      </c>
      <c r="AB395" s="517">
        <f t="shared" si="168"/>
        <v>130.71428571428572</v>
      </c>
      <c r="AC395" s="517">
        <f t="shared" si="150"/>
        <v>170.10218549517919</v>
      </c>
      <c r="AD395" s="517">
        <f t="shared" si="147"/>
        <v>39.387899780893463</v>
      </c>
      <c r="AE395" s="545">
        <f t="shared" si="162"/>
        <v>9314</v>
      </c>
      <c r="AF395" s="538">
        <f t="shared" si="143"/>
        <v>1.5343232527404183</v>
      </c>
      <c r="AG395" s="200">
        <f t="shared" si="142"/>
        <v>0.14736677134883269</v>
      </c>
      <c r="AH395" s="200">
        <f t="shared" si="165"/>
        <v>0.93445783132530114</v>
      </c>
      <c r="AI395" s="200">
        <f t="shared" si="169"/>
        <v>1.2415196743554953</v>
      </c>
      <c r="AJ395" s="489">
        <f t="shared" si="155"/>
        <v>-0.53432325274041825</v>
      </c>
      <c r="AK395" s="28">
        <f t="shared" si="166"/>
        <v>2.0846148588613219E-2</v>
      </c>
      <c r="AL395" s="28">
        <f t="shared" si="157"/>
        <v>2.1929004997016256E-2</v>
      </c>
      <c r="AM395" s="200">
        <f t="shared" si="144"/>
        <v>1.0179071068830443</v>
      </c>
      <c r="AN395" s="200">
        <f t="shared" si="145"/>
        <v>1.2415196743554953</v>
      </c>
      <c r="AO395" s="4"/>
      <c r="AP395" s="355">
        <f t="shared" si="140"/>
        <v>1.4189827409841773</v>
      </c>
      <c r="AQ395" s="7">
        <f t="shared" ref="AQ395:AQ426" si="170">MAX(AA:AA)</f>
        <v>33171.285714285717</v>
      </c>
      <c r="AR395" s="4"/>
      <c r="AT395" s="179">
        <f t="shared" si="141"/>
        <v>1.6085439910810056E-2</v>
      </c>
    </row>
    <row r="396" spans="1:46" hidden="1" x14ac:dyDescent="0.25">
      <c r="A396" s="107">
        <v>44287</v>
      </c>
      <c r="B396" s="670">
        <v>14430</v>
      </c>
      <c r="C396" s="515">
        <f t="shared" si="149"/>
        <v>2363251</v>
      </c>
      <c r="D396" s="670">
        <v>83</v>
      </c>
      <c r="E396" s="515">
        <f t="shared" si="154"/>
        <v>55941</v>
      </c>
      <c r="F396" s="515">
        <f t="shared" si="161"/>
        <v>9650</v>
      </c>
      <c r="G396" s="515">
        <v>2112266</v>
      </c>
      <c r="H396" s="515">
        <v>3639</v>
      </c>
      <c r="I396" s="511">
        <v>52292</v>
      </c>
      <c r="J396" s="511">
        <f t="shared" si="163"/>
        <v>8932772</v>
      </c>
      <c r="K396" s="511"/>
      <c r="L396" s="541">
        <f t="shared" si="164"/>
        <v>2.3671205470768869E-2</v>
      </c>
      <c r="M396" s="522">
        <v>5072149</v>
      </c>
      <c r="N396" s="511">
        <f t="shared" ref="N396:N415" si="171">M396+L396</f>
        <v>5072149.0236712052</v>
      </c>
      <c r="O396" s="520"/>
      <c r="P396" s="511"/>
      <c r="Q396" s="511"/>
      <c r="R396" s="511"/>
      <c r="S396" s="511">
        <f t="shared" si="160"/>
        <v>195044</v>
      </c>
      <c r="T396" s="507">
        <f t="shared" si="152"/>
        <v>1</v>
      </c>
      <c r="U396" s="512">
        <f t="shared" si="156"/>
        <v>4697</v>
      </c>
      <c r="V396" s="512">
        <f>SUM(B383:B396)/POBLA!$B$25*100000</f>
        <v>300.78782664521617</v>
      </c>
      <c r="W396" s="512">
        <f>B396/POBLA!$B$25*100000</f>
        <v>31.798036150643007</v>
      </c>
      <c r="X396" s="513">
        <f t="shared" si="139"/>
        <v>1.4710421381614398</v>
      </c>
      <c r="Y396" s="519">
        <f t="shared" si="153"/>
        <v>1.8657328602776808E-2</v>
      </c>
      <c r="Z396" s="520">
        <f t="shared" si="158"/>
        <v>0.2051712129865936</v>
      </c>
      <c r="AA396" s="517">
        <f t="shared" si="167"/>
        <v>12162.285714285714</v>
      </c>
      <c r="AB396" s="517">
        <f t="shared" si="168"/>
        <v>121.71428571428571</v>
      </c>
      <c r="AC396" s="517">
        <f t="shared" si="150"/>
        <v>170.37677377906627</v>
      </c>
      <c r="AD396" s="517">
        <f t="shared" si="147"/>
        <v>48.662488064780561</v>
      </c>
      <c r="AE396" s="545">
        <f t="shared" si="162"/>
        <v>9749.8571428571431</v>
      </c>
      <c r="AF396" s="538">
        <f t="shared" si="143"/>
        <v>1.6575678517191696</v>
      </c>
      <c r="AG396" s="200">
        <f t="shared" si="142"/>
        <v>0.17105563360831932</v>
      </c>
      <c r="AH396" s="200">
        <f t="shared" si="165"/>
        <v>0.75163874726875446</v>
      </c>
      <c r="AI396" s="200">
        <f t="shared" si="169"/>
        <v>1.1671232876712327</v>
      </c>
      <c r="AJ396" s="489">
        <f t="shared" si="155"/>
        <v>-0.65756785171916965</v>
      </c>
      <c r="AK396" s="28">
        <f t="shared" si="166"/>
        <v>1.8803381077442564E-2</v>
      </c>
      <c r="AL396" s="28">
        <f t="shared" si="157"/>
        <v>2.1848769768363415E-2</v>
      </c>
      <c r="AM396" s="200">
        <f t="shared" si="144"/>
        <v>1.0150627615062762</v>
      </c>
      <c r="AN396" s="200">
        <f t="shared" si="145"/>
        <v>1.1671232876712327</v>
      </c>
      <c r="AO396" s="4"/>
      <c r="AP396" s="355">
        <f t="shared" si="140"/>
        <v>1.4710421381614398</v>
      </c>
      <c r="AQ396" s="7">
        <f t="shared" si="170"/>
        <v>33171.285714285717</v>
      </c>
      <c r="AR396" s="4"/>
      <c r="AT396" s="179">
        <f t="shared" si="141"/>
        <v>1.543902688336911E-2</v>
      </c>
    </row>
    <row r="397" spans="1:46" hidden="1" x14ac:dyDescent="0.25">
      <c r="A397" s="107">
        <v>44288</v>
      </c>
      <c r="B397" s="670">
        <v>9902</v>
      </c>
      <c r="C397" s="515">
        <f t="shared" si="149"/>
        <v>2373153</v>
      </c>
      <c r="D397" s="670">
        <v>82</v>
      </c>
      <c r="E397" s="515">
        <f t="shared" si="154"/>
        <v>56023</v>
      </c>
      <c r="F397" s="515">
        <f t="shared" si="161"/>
        <v>9688</v>
      </c>
      <c r="G397" s="515">
        <v>2121954</v>
      </c>
      <c r="H397" s="515">
        <v>3619</v>
      </c>
      <c r="I397" s="511">
        <v>50043</v>
      </c>
      <c r="J397" s="511">
        <f t="shared" si="163"/>
        <v>8982815</v>
      </c>
      <c r="K397" s="511"/>
      <c r="L397" s="541">
        <f t="shared" si="164"/>
        <v>2.3606990362610419E-2</v>
      </c>
      <c r="M397" s="522">
        <v>5096601</v>
      </c>
      <c r="N397" s="511">
        <f t="shared" si="171"/>
        <v>5096601.0236069905</v>
      </c>
      <c r="O397" s="520"/>
      <c r="P397" s="511"/>
      <c r="Q397" s="511"/>
      <c r="R397" s="511"/>
      <c r="S397" s="511">
        <f t="shared" si="160"/>
        <v>195176</v>
      </c>
      <c r="T397" s="507">
        <f t="shared" si="152"/>
        <v>-20</v>
      </c>
      <c r="U397" s="512">
        <f t="shared" si="156"/>
        <v>132</v>
      </c>
      <c r="V397" s="512">
        <f>SUM(B384:B397)/POBLA!$B$25*100000</f>
        <v>304.62650848682534</v>
      </c>
      <c r="W397" s="512">
        <f>B397/POBLA!$B$25*100000</f>
        <v>21.820107689789818</v>
      </c>
      <c r="X397" s="513">
        <f t="shared" ref="X397:X451" si="172">SUM(B384:B397)/SUM(B370:B383)</f>
        <v>1.4855091930925541</v>
      </c>
      <c r="Y397" s="519">
        <f t="shared" si="153"/>
        <v>1.854223879985244E-2</v>
      </c>
      <c r="Z397" s="520">
        <f t="shared" si="158"/>
        <v>0.21782341080335349</v>
      </c>
      <c r="AA397" s="517">
        <f t="shared" si="167"/>
        <v>11728.857142857143</v>
      </c>
      <c r="AB397" s="517">
        <f t="shared" si="168"/>
        <v>113</v>
      </c>
      <c r="AC397" s="517">
        <f t="shared" si="150"/>
        <v>171.19045106965171</v>
      </c>
      <c r="AD397" s="517">
        <f t="shared" si="147"/>
        <v>58.190451069651715</v>
      </c>
      <c r="AE397" s="545">
        <f t="shared" si="162"/>
        <v>9874.2857142857138</v>
      </c>
      <c r="AF397" s="538">
        <f t="shared" si="143"/>
        <v>1.4625031173180378</v>
      </c>
      <c r="AG397" s="200">
        <f t="shared" si="142"/>
        <v>0.13911520952492129</v>
      </c>
      <c r="AH397" s="200">
        <f t="shared" si="165"/>
        <v>-0.23453927025355592</v>
      </c>
      <c r="AI397" s="200">
        <f t="shared" si="169"/>
        <v>1.0407894736842105</v>
      </c>
      <c r="AJ397" s="489">
        <f t="shared" si="155"/>
        <v>-0.46250311731803784</v>
      </c>
      <c r="AK397" s="28">
        <f t="shared" si="166"/>
        <v>1.716356377207829E-2</v>
      </c>
      <c r="AL397" s="28">
        <f t="shared" si="157"/>
        <v>2.1121746235555038E-2</v>
      </c>
      <c r="AM397" s="200">
        <f t="shared" si="144"/>
        <v>1.0316419612314709</v>
      </c>
      <c r="AN397" s="200">
        <f t="shared" si="145"/>
        <v>1.0407894736842105</v>
      </c>
      <c r="AO397" s="4"/>
      <c r="AP397" s="355">
        <f t="shared" si="140"/>
        <v>1.4855091930925541</v>
      </c>
      <c r="AQ397" s="7">
        <f t="shared" si="170"/>
        <v>33171.285714285717</v>
      </c>
      <c r="AR397" s="4"/>
      <c r="AT397" s="179">
        <f t="shared" si="141"/>
        <v>1.4581018725012367E-2</v>
      </c>
    </row>
    <row r="398" spans="1:46" hidden="1" x14ac:dyDescent="0.25">
      <c r="A398" s="107">
        <v>44289</v>
      </c>
      <c r="B398" s="670">
        <v>10384</v>
      </c>
      <c r="C398" s="515">
        <f t="shared" si="149"/>
        <v>2383537</v>
      </c>
      <c r="D398" s="670">
        <v>83</v>
      </c>
      <c r="E398" s="515">
        <f t="shared" si="154"/>
        <v>56106</v>
      </c>
      <c r="F398" s="515">
        <f t="shared" si="161"/>
        <v>8686</v>
      </c>
      <c r="G398" s="515">
        <v>2130640</v>
      </c>
      <c r="H398" s="515">
        <v>3618</v>
      </c>
      <c r="I398" s="511">
        <v>54024</v>
      </c>
      <c r="J398" s="511">
        <f t="shared" si="163"/>
        <v>9036839</v>
      </c>
      <c r="K398" s="511"/>
      <c r="L398" s="541">
        <f t="shared" si="164"/>
        <v>2.3538967509210054E-2</v>
      </c>
      <c r="M398" s="522">
        <v>5127710</v>
      </c>
      <c r="N398" s="511">
        <f t="shared" si="171"/>
        <v>5127710.0235389676</v>
      </c>
      <c r="O398" s="520"/>
      <c r="P398" s="511"/>
      <c r="Q398" s="511"/>
      <c r="R398" s="511"/>
      <c r="S398" s="511">
        <f t="shared" si="160"/>
        <v>196791</v>
      </c>
      <c r="T398" s="507">
        <f t="shared" ref="T398:T420" si="173">H398-H397</f>
        <v>-1</v>
      </c>
      <c r="U398" s="512">
        <f t="shared" ref="U398:U416" si="174">(C398-G398-E398)-(C397-E397-G397)</f>
        <v>1615</v>
      </c>
      <c r="V398" s="512">
        <f>SUM(B385:B398)/POBLA!$B$25*100000</f>
        <v>312.46693902209825</v>
      </c>
      <c r="W398" s="512">
        <f>B398/POBLA!$B$25*100000</f>
        <v>22.882245834253432</v>
      </c>
      <c r="X398" s="513">
        <f t="shared" si="172"/>
        <v>1.4922178374112076</v>
      </c>
      <c r="Y398" s="519">
        <f t="shared" ref="Y398:Y417" si="175">H398/S398</f>
        <v>1.8384987118313337E-2</v>
      </c>
      <c r="Z398" s="520">
        <f t="shared" si="158"/>
        <v>0.21275471619927691</v>
      </c>
      <c r="AA398" s="517">
        <f t="shared" si="167"/>
        <v>11735.428571428571</v>
      </c>
      <c r="AB398" s="517">
        <f t="shared" si="168"/>
        <v>105.85714285714286</v>
      </c>
      <c r="AC398" s="517">
        <f t="shared" si="150"/>
        <v>172.70450663525057</v>
      </c>
      <c r="AD398" s="517">
        <f t="shared" si="147"/>
        <v>66.847363778107706</v>
      </c>
      <c r="AE398" s="545">
        <f t="shared" si="162"/>
        <v>10128.428571428571</v>
      </c>
      <c r="AF398" s="538">
        <f t="shared" si="143"/>
        <v>1.3771668063704945</v>
      </c>
      <c r="AG398" s="200">
        <f t="shared" si="142"/>
        <v>0.13231029482841961</v>
      </c>
      <c r="AH398" s="200">
        <f t="shared" si="165"/>
        <v>4.4496034049139599E-3</v>
      </c>
      <c r="AI398" s="200">
        <f t="shared" si="169"/>
        <v>0.87074030552291426</v>
      </c>
      <c r="AJ398" s="489">
        <f t="shared" si="155"/>
        <v>-0.37716680637049449</v>
      </c>
      <c r="AK398" s="28">
        <f t="shared" si="166"/>
        <v>1.5701813866757078E-2</v>
      </c>
      <c r="AL398" s="28">
        <f t="shared" si="157"/>
        <v>2.0817510184354071E-2</v>
      </c>
      <c r="AM398" s="200">
        <f t="shared" si="144"/>
        <v>1.0319452367370223</v>
      </c>
      <c r="AN398" s="200">
        <f t="shared" si="145"/>
        <v>0.87074030552291426</v>
      </c>
      <c r="AO398" s="4"/>
      <c r="AP398" s="355">
        <f t="shared" si="140"/>
        <v>1.4922178374112074</v>
      </c>
      <c r="AQ398" s="7">
        <f t="shared" si="170"/>
        <v>33171.285714285717</v>
      </c>
      <c r="AR398" s="290">
        <f t="shared" ref="AR398:AR429" si="176">AA377*0.028</f>
        <v>181.244</v>
      </c>
      <c r="AS398" s="68">
        <f t="shared" ref="AS398:AS429" si="177">AB398/AB391</f>
        <v>0.87074030552291426</v>
      </c>
      <c r="AT398" s="179">
        <f t="shared" si="141"/>
        <v>1.3975814788399432E-2</v>
      </c>
    </row>
    <row r="399" spans="1:46" hidden="1" x14ac:dyDescent="0.25">
      <c r="A399" s="107">
        <v>44290</v>
      </c>
      <c r="B399" s="670">
        <v>9955</v>
      </c>
      <c r="C399" s="515">
        <f t="shared" si="149"/>
        <v>2393492</v>
      </c>
      <c r="D399" s="670">
        <v>93</v>
      </c>
      <c r="E399" s="515">
        <f t="shared" si="154"/>
        <v>56199</v>
      </c>
      <c r="F399" s="515">
        <f t="shared" si="161"/>
        <v>9840</v>
      </c>
      <c r="G399" s="515">
        <v>2140480</v>
      </c>
      <c r="H399" s="515">
        <v>3626</v>
      </c>
      <c r="I399" s="511">
        <v>33159</v>
      </c>
      <c r="J399" s="511">
        <f t="shared" si="163"/>
        <v>9069998</v>
      </c>
      <c r="K399" s="511"/>
      <c r="L399" s="541">
        <f t="shared" si="164"/>
        <v>2.3479919715628881E-2</v>
      </c>
      <c r="M399" s="522">
        <v>5144935</v>
      </c>
      <c r="N399" s="511">
        <f t="shared" si="171"/>
        <v>5144935.0234799199</v>
      </c>
      <c r="O399" s="520"/>
      <c r="P399" s="511"/>
      <c r="Q399" s="511"/>
      <c r="R399" s="511"/>
      <c r="S399" s="511">
        <f t="shared" si="160"/>
        <v>196813</v>
      </c>
      <c r="T399" s="507">
        <f t="shared" si="173"/>
        <v>8</v>
      </c>
      <c r="U399" s="512">
        <f t="shared" si="174"/>
        <v>22</v>
      </c>
      <c r="V399" s="512">
        <f>SUM(B386:B399)/POBLA!$B$25*100000</f>
        <v>325.51889800479114</v>
      </c>
      <c r="W399" s="512">
        <f>B399/POBLA!$B$25*100000</f>
        <v>21.936898813558638</v>
      </c>
      <c r="X399" s="513">
        <f t="shared" si="172"/>
        <v>1.5365995735164093</v>
      </c>
      <c r="Y399" s="519">
        <f t="shared" si="175"/>
        <v>1.8423579743208018E-2</v>
      </c>
      <c r="Z399" s="520">
        <f t="shared" si="158"/>
        <v>0.22219052454708674</v>
      </c>
      <c r="AA399" s="517">
        <f t="shared" si="167"/>
        <v>12127.857142857143</v>
      </c>
      <c r="AB399" s="517">
        <f t="shared" si="168"/>
        <v>107.57142857142857</v>
      </c>
      <c r="AC399" s="517">
        <f t="shared" si="150"/>
        <v>173.64526850053471</v>
      </c>
      <c r="AD399" s="517">
        <f t="shared" si="147"/>
        <v>66.073839929106143</v>
      </c>
      <c r="AE399" s="545">
        <f t="shared" si="162"/>
        <v>10551.5</v>
      </c>
      <c r="AF399" s="538">
        <f t="shared" si="143"/>
        <v>1.3512717664661129</v>
      </c>
      <c r="AG399" s="200">
        <f t="shared" si="142"/>
        <v>0.13348038425211373</v>
      </c>
      <c r="AH399" s="200">
        <f t="shared" si="165"/>
        <v>0.38110432852386245</v>
      </c>
      <c r="AI399" s="200">
        <f t="shared" si="169"/>
        <v>0.83296460176991149</v>
      </c>
      <c r="AJ399" s="489">
        <f t="shared" si="155"/>
        <v>-0.35127176646611291</v>
      </c>
      <c r="AK399" s="28">
        <f t="shared" si="166"/>
        <v>1.5648379052369075E-2</v>
      </c>
      <c r="AL399" s="28">
        <f t="shared" si="157"/>
        <v>2.0882766246630883E-2</v>
      </c>
      <c r="AM399" s="200">
        <f t="shared" si="144"/>
        <v>1.0345221112696148</v>
      </c>
      <c r="AN399" s="200">
        <f t="shared" si="145"/>
        <v>0.83296460176991149</v>
      </c>
      <c r="AO399" s="4"/>
      <c r="AP399" s="355">
        <f t="shared" ref="AP399:AP462" si="178">AE399/AE385</f>
        <v>1.5365995735164091</v>
      </c>
      <c r="AQ399" s="7">
        <f t="shared" si="170"/>
        <v>33171.285714285717</v>
      </c>
      <c r="AR399" s="290">
        <f t="shared" si="176"/>
        <v>184.34399999999999</v>
      </c>
      <c r="AS399" s="68">
        <f t="shared" si="177"/>
        <v>0.83296460176991149</v>
      </c>
      <c r="AT399" s="179">
        <f t="shared" si="141"/>
        <v>1.367440529649735E-2</v>
      </c>
    </row>
    <row r="400" spans="1:46" hidden="1" x14ac:dyDescent="0.25">
      <c r="A400" s="107">
        <v>44291</v>
      </c>
      <c r="B400" s="670">
        <v>13667</v>
      </c>
      <c r="C400" s="515">
        <f t="shared" ref="C400:C436" si="179">C399+B400</f>
        <v>2407159</v>
      </c>
      <c r="D400" s="670">
        <v>272</v>
      </c>
      <c r="E400" s="515">
        <f t="shared" ref="E400:E429" si="180">E399+D400</f>
        <v>56471</v>
      </c>
      <c r="F400" s="515">
        <f t="shared" si="161"/>
        <v>13029</v>
      </c>
      <c r="G400" s="515">
        <v>2153509</v>
      </c>
      <c r="H400" s="515">
        <v>3652</v>
      </c>
      <c r="I400" s="511">
        <v>46037</v>
      </c>
      <c r="J400" s="511">
        <f t="shared" si="163"/>
        <v>9116035</v>
      </c>
      <c r="K400" s="511"/>
      <c r="L400" s="541">
        <f t="shared" si="164"/>
        <v>2.3459605285733098E-2</v>
      </c>
      <c r="M400" s="522">
        <v>5170951</v>
      </c>
      <c r="N400" s="511">
        <f t="shared" si="171"/>
        <v>5170951.0234596049</v>
      </c>
      <c r="O400" s="520"/>
      <c r="P400" s="511"/>
      <c r="Q400" s="511"/>
      <c r="R400" s="511"/>
      <c r="S400" s="522">
        <f t="shared" si="160"/>
        <v>197179</v>
      </c>
      <c r="T400" s="507">
        <f t="shared" si="173"/>
        <v>26</v>
      </c>
      <c r="U400" s="512">
        <f t="shared" si="174"/>
        <v>366</v>
      </c>
      <c r="V400" s="512">
        <f>SUM(B387:B400)/POBLA!$B$25*100000</f>
        <v>341.53029999166375</v>
      </c>
      <c r="W400" s="512">
        <f>B400/POBLA!$B$25*100000</f>
        <v>30.116684689593761</v>
      </c>
      <c r="X400" s="513">
        <f t="shared" si="172"/>
        <v>1.5899690186503621</v>
      </c>
      <c r="Y400" s="519">
        <f t="shared" si="175"/>
        <v>1.8521242120104069E-2</v>
      </c>
      <c r="Z400" s="520">
        <f t="shared" si="158"/>
        <v>0.22832976404916161</v>
      </c>
      <c r="AA400" s="517">
        <f t="shared" si="167"/>
        <v>12078.285714285714</v>
      </c>
      <c r="AB400" s="517">
        <f t="shared" si="168"/>
        <v>123.14285714285714</v>
      </c>
      <c r="AC400" s="517">
        <f t="shared" si="150"/>
        <v>174.37038949829002</v>
      </c>
      <c r="AD400" s="517">
        <f t="shared" si="147"/>
        <v>51.227532355432885</v>
      </c>
      <c r="AE400" s="545">
        <f t="shared" si="162"/>
        <v>11070.5</v>
      </c>
      <c r="AF400" s="538">
        <f t="shared" si="143"/>
        <v>1.2003009696332996</v>
      </c>
      <c r="AG400" s="200">
        <f t="shared" si="142"/>
        <v>0.10312398599129491</v>
      </c>
      <c r="AH400" s="200">
        <f t="shared" si="165"/>
        <v>-2.476095333238193E-2</v>
      </c>
      <c r="AI400" s="200">
        <f t="shared" si="169"/>
        <v>0.91507430997876849</v>
      </c>
      <c r="AJ400" s="489">
        <f t="shared" si="155"/>
        <v>-0.20030096963329957</v>
      </c>
      <c r="AK400" s="28">
        <f t="shared" si="166"/>
        <v>1.7688945435143953E-2</v>
      </c>
      <c r="AL400" s="28">
        <f t="shared" si="157"/>
        <v>2.043122643303906E-2</v>
      </c>
      <c r="AM400" s="200">
        <f t="shared" si="144"/>
        <v>1.0035724100027481</v>
      </c>
      <c r="AN400" s="200">
        <f t="shared" si="145"/>
        <v>0.91507430997876849</v>
      </c>
      <c r="AO400" s="4"/>
      <c r="AP400" s="355">
        <f t="shared" si="178"/>
        <v>1.5899690186503623</v>
      </c>
      <c r="AQ400" s="7">
        <f t="shared" si="170"/>
        <v>33171.285714285717</v>
      </c>
      <c r="AR400" s="290">
        <f t="shared" si="176"/>
        <v>188.768</v>
      </c>
      <c r="AS400" s="68">
        <f t="shared" si="177"/>
        <v>0.91507430997876849</v>
      </c>
      <c r="AT400" s="179">
        <f t="shared" ref="AT400:AT454" si="181">SUM(D371:D400)/SUM(B371:B400)</f>
        <v>1.3926164833266141E-2</v>
      </c>
    </row>
    <row r="401" spans="1:46" ht="16.5" hidden="1" customHeight="1" x14ac:dyDescent="0.25">
      <c r="A401" s="107">
        <v>44292</v>
      </c>
      <c r="B401" s="674">
        <v>20870</v>
      </c>
      <c r="C401" s="515">
        <f t="shared" si="179"/>
        <v>2428029</v>
      </c>
      <c r="D401" s="670">
        <v>163</v>
      </c>
      <c r="E401" s="515">
        <f t="shared" si="180"/>
        <v>56634</v>
      </c>
      <c r="F401" s="515">
        <f t="shared" si="161"/>
        <v>10536</v>
      </c>
      <c r="G401" s="515">
        <v>2164045</v>
      </c>
      <c r="H401" s="515">
        <v>3642</v>
      </c>
      <c r="I401" s="511">
        <v>75392</v>
      </c>
      <c r="J401" s="511">
        <f t="shared" si="163"/>
        <v>9191427</v>
      </c>
      <c r="K401" s="511"/>
      <c r="L401" s="541">
        <f t="shared" si="164"/>
        <v>2.332509208086065E-2</v>
      </c>
      <c r="M401" s="511">
        <v>5211391</v>
      </c>
      <c r="N401" s="511">
        <f t="shared" si="171"/>
        <v>5211391.0233250922</v>
      </c>
      <c r="O401" s="520" t="e">
        <f>#REF!-#REF!-G401</f>
        <v>#REF!</v>
      </c>
      <c r="P401" s="507">
        <f>H401-F400</f>
        <v>-9387</v>
      </c>
      <c r="Q401" s="512" t="e">
        <f>(#REF!-G401-#REF!)-(#REF!-D400-E400)</f>
        <v>#REF!</v>
      </c>
      <c r="R401" s="511"/>
      <c r="S401" s="522">
        <f t="shared" si="160"/>
        <v>207350</v>
      </c>
      <c r="T401" s="507">
        <f t="shared" si="173"/>
        <v>-10</v>
      </c>
      <c r="U401" s="512">
        <f t="shared" si="174"/>
        <v>10171</v>
      </c>
      <c r="V401" s="512">
        <f>SUM(B388:B401)/POBLA!$B$25*100000</f>
        <v>366.79464402957933</v>
      </c>
      <c r="W401" s="512">
        <f>B401/POBLA!$B$25*100000</f>
        <v>45.989259491609118</v>
      </c>
      <c r="X401" s="513">
        <f t="shared" si="172"/>
        <v>1.6716076162930826</v>
      </c>
      <c r="Y401" s="519">
        <f t="shared" si="175"/>
        <v>1.7564504461056184E-2</v>
      </c>
      <c r="Z401" s="520">
        <f t="shared" si="158"/>
        <v>0.25937633583005926</v>
      </c>
      <c r="AA401" s="517">
        <f t="shared" si="167"/>
        <v>13609.142857142857</v>
      </c>
      <c r="AB401" s="517">
        <f t="shared" si="168"/>
        <v>128.57142857142858</v>
      </c>
      <c r="AC401" s="517">
        <f t="shared" si="150"/>
        <v>178.18274088011535</v>
      </c>
      <c r="AD401" s="517">
        <f t="shared" si="147"/>
        <v>49.611312308686763</v>
      </c>
      <c r="AE401" s="545">
        <f t="shared" si="162"/>
        <v>11889.428571428571</v>
      </c>
      <c r="AF401" s="538">
        <f t="shared" si="143"/>
        <v>1.3382030679327976</v>
      </c>
      <c r="AG401" s="200">
        <f t="shared" ref="AG401:AG459" si="182">S401/S394-1</f>
        <v>0.14445462473368731</v>
      </c>
      <c r="AH401" s="200">
        <f t="shared" si="165"/>
        <v>1.055347646247784</v>
      </c>
      <c r="AI401" s="200">
        <f t="shared" si="169"/>
        <v>0.98468271334792123</v>
      </c>
      <c r="AJ401" s="489">
        <f t="shared" si="155"/>
        <v>-0.33820306793279764</v>
      </c>
      <c r="AK401" s="28">
        <f t="shared" si="166"/>
        <v>1.8421860607921402E-2</v>
      </c>
      <c r="AL401" s="28">
        <f t="shared" si="157"/>
        <v>2.0101778361611235E-2</v>
      </c>
      <c r="AM401" s="200">
        <f t="shared" si="144"/>
        <v>0.98379254457050247</v>
      </c>
      <c r="AN401" s="200">
        <f t="shared" si="145"/>
        <v>0.98468271334792123</v>
      </c>
      <c r="AO401" s="4"/>
      <c r="AP401" s="355">
        <f t="shared" si="178"/>
        <v>1.6716076162930826</v>
      </c>
      <c r="AQ401" s="7">
        <f t="shared" si="170"/>
        <v>33171.285714285717</v>
      </c>
      <c r="AR401" s="290">
        <f t="shared" si="176"/>
        <v>192.48000000000002</v>
      </c>
      <c r="AS401" s="68">
        <f t="shared" si="177"/>
        <v>0.98468271334792123</v>
      </c>
      <c r="AT401" s="179">
        <f t="shared" si="181"/>
        <v>1.3577927605938367E-2</v>
      </c>
    </row>
    <row r="402" spans="1:46" hidden="1" x14ac:dyDescent="0.25">
      <c r="A402" s="107">
        <v>44293</v>
      </c>
      <c r="B402" s="670">
        <v>22039</v>
      </c>
      <c r="C402" s="515">
        <f t="shared" si="179"/>
        <v>2450068</v>
      </c>
      <c r="D402" s="670">
        <v>199</v>
      </c>
      <c r="E402" s="515">
        <f t="shared" si="180"/>
        <v>56833</v>
      </c>
      <c r="F402" s="515">
        <f t="shared" si="161"/>
        <v>10580</v>
      </c>
      <c r="G402" s="515">
        <v>2174625</v>
      </c>
      <c r="H402" s="515">
        <v>3706</v>
      </c>
      <c r="I402" s="511">
        <v>74679</v>
      </c>
      <c r="J402" s="511">
        <f t="shared" si="163"/>
        <v>9266106</v>
      </c>
      <c r="K402" s="511"/>
      <c r="L402" s="541">
        <f t="shared" si="164"/>
        <v>2.3196499035945124E-2</v>
      </c>
      <c r="M402" s="511">
        <v>5249364</v>
      </c>
      <c r="N402" s="511">
        <f t="shared" si="171"/>
        <v>5249364.0231964989</v>
      </c>
      <c r="O402" s="520">
        <f>C402-F402-H402</f>
        <v>2435782</v>
      </c>
      <c r="P402" s="507">
        <f>I402-F401</f>
        <v>64143</v>
      </c>
      <c r="Q402" s="512" t="e">
        <f>(C402-H402-F402)-(#REF!-D401-E401)</f>
        <v>#REF!</v>
      </c>
      <c r="R402" s="511"/>
      <c r="S402" s="522">
        <f t="shared" si="160"/>
        <v>218610</v>
      </c>
      <c r="T402" s="507">
        <f t="shared" si="173"/>
        <v>64</v>
      </c>
      <c r="U402" s="512">
        <f t="shared" si="174"/>
        <v>11260</v>
      </c>
      <c r="V402" s="512">
        <f>SUM(B389:B402)/POBLA!$B$25*100000</f>
        <v>397.06998835900998</v>
      </c>
      <c r="W402" s="512">
        <f>B402/POBLA!$B$25*100000</f>
        <v>48.565275032849705</v>
      </c>
      <c r="X402" s="513">
        <f t="shared" si="172"/>
        <v>1.7986185280935887</v>
      </c>
      <c r="Y402" s="519">
        <f t="shared" si="175"/>
        <v>1.6952563926627327E-2</v>
      </c>
      <c r="Z402" s="520">
        <f t="shared" si="158"/>
        <v>0.26255231753045699</v>
      </c>
      <c r="AA402" s="517">
        <f t="shared" si="167"/>
        <v>14463.857142857143</v>
      </c>
      <c r="AB402" s="517">
        <f t="shared" si="168"/>
        <v>139.28571428571428</v>
      </c>
      <c r="AC402" s="517">
        <f t="shared" si="150"/>
        <v>177.91569675361265</v>
      </c>
      <c r="AD402" s="517">
        <f t="shared" si="147"/>
        <v>38.629982467898373</v>
      </c>
      <c r="AE402" s="545">
        <f t="shared" si="162"/>
        <v>12870.785714285714</v>
      </c>
      <c r="AF402" s="538">
        <f t="shared" si="143"/>
        <v>1.2825167207134172</v>
      </c>
      <c r="AG402" s="200">
        <f t="shared" si="182"/>
        <v>0.14848145754858222</v>
      </c>
      <c r="AH402" s="200">
        <f t="shared" si="165"/>
        <v>0.37263328350772307</v>
      </c>
      <c r="AI402" s="200">
        <f t="shared" si="169"/>
        <v>1.0655737704918031</v>
      </c>
      <c r="AJ402" s="489">
        <f t="shared" si="155"/>
        <v>-0.28251672071341716</v>
      </c>
      <c r="AK402" s="28">
        <f t="shared" si="166"/>
        <v>1.9830777366472766E-2</v>
      </c>
      <c r="AL402" s="28">
        <f t="shared" si="157"/>
        <v>1.9469705327638472E-2</v>
      </c>
      <c r="AM402" s="200">
        <f t="shared" si="144"/>
        <v>1.0186915887850467</v>
      </c>
      <c r="AN402" s="200">
        <f t="shared" si="145"/>
        <v>1.0655737704918031</v>
      </c>
      <c r="AO402" s="18">
        <f t="shared" ref="AO402:AO433" si="183">A401+20</f>
        <v>44312</v>
      </c>
      <c r="AP402" s="355">
        <f t="shared" si="178"/>
        <v>1.7986185280935887</v>
      </c>
      <c r="AQ402" s="7">
        <f t="shared" si="170"/>
        <v>33171.285714285717</v>
      </c>
      <c r="AR402" s="290">
        <f t="shared" si="176"/>
        <v>194.92400000000001</v>
      </c>
      <c r="AS402" s="68">
        <f t="shared" si="177"/>
        <v>1.0655737704918031</v>
      </c>
      <c r="AT402" s="179">
        <f t="shared" si="181"/>
        <v>1.2661913370845098E-2</v>
      </c>
    </row>
    <row r="403" spans="1:46" hidden="1" x14ac:dyDescent="0.25">
      <c r="A403" s="74">
        <v>44294</v>
      </c>
      <c r="B403" s="671">
        <v>23683</v>
      </c>
      <c r="C403" s="515">
        <f t="shared" si="179"/>
        <v>2473751</v>
      </c>
      <c r="D403" s="670">
        <v>290</v>
      </c>
      <c r="E403" s="515">
        <f t="shared" si="180"/>
        <v>57123</v>
      </c>
      <c r="F403" s="515">
        <f t="shared" si="161"/>
        <v>14358</v>
      </c>
      <c r="G403" s="515">
        <v>2188983</v>
      </c>
      <c r="H403" s="515">
        <v>3742</v>
      </c>
      <c r="I403" s="511">
        <v>94991</v>
      </c>
      <c r="J403" s="511">
        <f t="shared" si="163"/>
        <v>9361097</v>
      </c>
      <c r="K403" s="511"/>
      <c r="L403" s="541">
        <f t="shared" si="164"/>
        <v>2.309165312111041E-2</v>
      </c>
      <c r="M403" s="522">
        <v>5303093</v>
      </c>
      <c r="N403" s="511">
        <f t="shared" si="171"/>
        <v>5303093.0230916534</v>
      </c>
      <c r="O403" s="520"/>
      <c r="P403" s="511"/>
      <c r="Q403" s="511"/>
      <c r="R403" s="511"/>
      <c r="S403" s="522">
        <f t="shared" si="160"/>
        <v>227645</v>
      </c>
      <c r="T403" s="507">
        <f t="shared" si="173"/>
        <v>36</v>
      </c>
      <c r="U403" s="512">
        <f t="shared" si="174"/>
        <v>9035</v>
      </c>
      <c r="V403" s="512">
        <f>SUM(B390:B403)/POBLA!$B$25*100000</f>
        <v>431.10468471013132</v>
      </c>
      <c r="W403" s="512">
        <f>B403/POBLA!$B$25*100000</f>
        <v>52.188003475791994</v>
      </c>
      <c r="X403" s="513">
        <f t="shared" si="172"/>
        <v>1.9521238911561911</v>
      </c>
      <c r="Y403" s="519">
        <f t="shared" si="175"/>
        <v>1.6437874761141252E-2</v>
      </c>
      <c r="Z403" s="520">
        <f t="shared" si="158"/>
        <v>0.25798167279519058</v>
      </c>
      <c r="AA403" s="517">
        <f t="shared" si="167"/>
        <v>15785.714285714286</v>
      </c>
      <c r="AB403" s="517">
        <f t="shared" si="168"/>
        <v>168.85714285714286</v>
      </c>
      <c r="AC403" s="517">
        <f t="shared" si="150"/>
        <v>177.4324836856035</v>
      </c>
      <c r="AD403" s="517">
        <f t="shared" si="147"/>
        <v>8.5753408284606394</v>
      </c>
      <c r="AE403" s="545">
        <f>AVERAGE(B390:B403)</f>
        <v>13974</v>
      </c>
      <c r="AF403" s="538">
        <f t="shared" si="143"/>
        <v>1.2979233226837061</v>
      </c>
      <c r="AG403" s="200">
        <f t="shared" si="182"/>
        <v>0.16714690018662459</v>
      </c>
      <c r="AH403" s="200">
        <f t="shared" si="165"/>
        <v>0.64123354123354126</v>
      </c>
      <c r="AI403" s="200">
        <f t="shared" si="169"/>
        <v>1.387323943661972</v>
      </c>
      <c r="AJ403" s="489">
        <f t="shared" ref="AJ403:AJ426" si="184">AF403-1</f>
        <v>0.29792332268370614</v>
      </c>
      <c r="AK403" s="414">
        <f t="shared" ref="AK403:AK434" si="185">AB403/AA390</f>
        <v>2.1055256688873848E-2</v>
      </c>
      <c r="AL403" s="28">
        <f t="shared" si="157"/>
        <v>1.9185414573121961E-2</v>
      </c>
      <c r="AM403" s="200">
        <f t="shared" si="144"/>
        <v>1.028304479252542</v>
      </c>
      <c r="AN403" s="200">
        <f t="shared" si="145"/>
        <v>1.387323943661972</v>
      </c>
      <c r="AO403" s="18">
        <f t="shared" si="183"/>
        <v>44313</v>
      </c>
      <c r="AP403" s="355">
        <f t="shared" si="178"/>
        <v>1.9521238911561909</v>
      </c>
      <c r="AQ403" s="7">
        <f t="shared" si="170"/>
        <v>33171.285714285717</v>
      </c>
      <c r="AR403" s="290">
        <f t="shared" si="176"/>
        <v>195.42000000000002</v>
      </c>
      <c r="AS403" s="68">
        <f t="shared" si="177"/>
        <v>1.387323943661972</v>
      </c>
      <c r="AT403" s="179">
        <f t="shared" si="181"/>
        <v>1.250681635926223E-2</v>
      </c>
    </row>
    <row r="404" spans="1:46" hidden="1" x14ac:dyDescent="0.25">
      <c r="A404" s="74">
        <v>44295</v>
      </c>
      <c r="B404" s="671">
        <v>24130</v>
      </c>
      <c r="C404" s="515">
        <f t="shared" si="179"/>
        <v>2497881</v>
      </c>
      <c r="D404" s="670">
        <v>228</v>
      </c>
      <c r="E404" s="515">
        <f t="shared" si="180"/>
        <v>57351</v>
      </c>
      <c r="F404" s="515">
        <f t="shared" si="161"/>
        <v>14943</v>
      </c>
      <c r="G404" s="515">
        <v>2203926</v>
      </c>
      <c r="H404" s="515">
        <v>3718</v>
      </c>
      <c r="I404" s="511">
        <v>90657</v>
      </c>
      <c r="J404" s="511">
        <f t="shared" si="163"/>
        <v>9451754</v>
      </c>
      <c r="K404" s="511"/>
      <c r="L404" s="541">
        <f t="shared" ref="L404:L435" si="186">E404/C404</f>
        <v>2.2959860777995431E-2</v>
      </c>
      <c r="M404" s="522">
        <v>5344743</v>
      </c>
      <c r="N404" s="511">
        <f t="shared" si="171"/>
        <v>5344743.022959861</v>
      </c>
      <c r="O404" s="520"/>
      <c r="P404" s="511"/>
      <c r="Q404" s="511"/>
      <c r="R404" s="511"/>
      <c r="S404" s="522">
        <f t="shared" si="160"/>
        <v>236604</v>
      </c>
      <c r="T404" s="507">
        <f t="shared" si="173"/>
        <v>-24</v>
      </c>
      <c r="U404" s="512">
        <f t="shared" si="174"/>
        <v>8959</v>
      </c>
      <c r="V404" s="512">
        <f>SUM(B391:B404)/POBLA!$B$25*100000</f>
        <v>455.77185149254979</v>
      </c>
      <c r="W404" s="512">
        <f>B404/POBLA!$B$25*100000</f>
        <v>53.173015406445998</v>
      </c>
      <c r="X404" s="513">
        <f t="shared" si="172"/>
        <v>1.9641229203069208</v>
      </c>
      <c r="Y404" s="519">
        <f t="shared" si="175"/>
        <v>1.5714020050379536E-2</v>
      </c>
      <c r="Z404" s="520">
        <f t="shared" si="158"/>
        <v>0.26597915720381543</v>
      </c>
      <c r="AA404" s="517">
        <f t="shared" si="167"/>
        <v>17818.285714285714</v>
      </c>
      <c r="AB404" s="517">
        <f t="shared" si="168"/>
        <v>189.71428571428572</v>
      </c>
      <c r="AC404" s="517">
        <f t="shared" si="150"/>
        <v>193.3369704247402</v>
      </c>
      <c r="AD404" s="517">
        <f t="shared" si="147"/>
        <v>3.6226847104544788</v>
      </c>
      <c r="AE404" s="545">
        <f t="shared" si="162"/>
        <v>14773.571428571429</v>
      </c>
      <c r="AF404" s="535">
        <f t="shared" si="143"/>
        <v>1.5191834547270469</v>
      </c>
      <c r="AG404" s="200">
        <f t="shared" si="182"/>
        <v>0.21225970406197492</v>
      </c>
      <c r="AH404" s="200">
        <f t="shared" si="165"/>
        <v>1.4368814380933146</v>
      </c>
      <c r="AI404" s="200">
        <f t="shared" si="169"/>
        <v>1.6788874841972188</v>
      </c>
      <c r="AJ404" s="489">
        <f t="shared" si="184"/>
        <v>0.51918345472704686</v>
      </c>
      <c r="AK404" s="414">
        <f t="shared" si="185"/>
        <v>2.2263202011735126E-2</v>
      </c>
      <c r="AL404" s="28">
        <f t="shared" si="157"/>
        <v>1.9049473295897037E-2</v>
      </c>
      <c r="AM404" s="200">
        <f t="shared" si="144"/>
        <v>1.027355623100304</v>
      </c>
      <c r="AN404" s="200">
        <f t="shared" si="145"/>
        <v>1.6788874841972188</v>
      </c>
      <c r="AO404" s="18">
        <f t="shared" si="183"/>
        <v>44314</v>
      </c>
      <c r="AP404" s="355">
        <f t="shared" si="178"/>
        <v>1.964122920306921</v>
      </c>
      <c r="AQ404" s="7">
        <f t="shared" si="170"/>
        <v>33171.285714285717</v>
      </c>
      <c r="AR404" s="290">
        <f t="shared" si="176"/>
        <v>196.66399999999999</v>
      </c>
      <c r="AS404" s="68">
        <f t="shared" si="177"/>
        <v>1.6788874841972188</v>
      </c>
      <c r="AT404" s="179">
        <f t="shared" si="181"/>
        <v>1.224911407216008E-2</v>
      </c>
    </row>
    <row r="405" spans="1:46" hidden="1" x14ac:dyDescent="0.25">
      <c r="A405" s="74">
        <v>44296</v>
      </c>
      <c r="B405" s="671">
        <v>19419</v>
      </c>
      <c r="C405" s="515">
        <f t="shared" si="179"/>
        <v>2517300</v>
      </c>
      <c r="D405" s="670">
        <v>229</v>
      </c>
      <c r="E405" s="515">
        <f t="shared" si="180"/>
        <v>57580</v>
      </c>
      <c r="F405" s="515">
        <f t="shared" si="161"/>
        <v>13857</v>
      </c>
      <c r="G405" s="515">
        <v>2217783</v>
      </c>
      <c r="H405" s="515">
        <v>3761</v>
      </c>
      <c r="I405" s="511">
        <v>75713</v>
      </c>
      <c r="J405" s="511">
        <f t="shared" si="163"/>
        <v>9527467</v>
      </c>
      <c r="K405" s="511"/>
      <c r="L405" s="541">
        <f t="shared" si="186"/>
        <v>2.2873713899813294E-2</v>
      </c>
      <c r="M405" s="522">
        <v>5381903</v>
      </c>
      <c r="N405" s="511">
        <f t="shared" si="171"/>
        <v>5381903.0228737136</v>
      </c>
      <c r="O405" s="520"/>
      <c r="P405" s="511"/>
      <c r="Q405" s="511"/>
      <c r="R405" s="511"/>
      <c r="S405" s="522">
        <f t="shared" si="160"/>
        <v>241937</v>
      </c>
      <c r="T405" s="507">
        <f t="shared" si="173"/>
        <v>43</v>
      </c>
      <c r="U405" s="512">
        <f t="shared" si="174"/>
        <v>5333</v>
      </c>
      <c r="V405" s="512">
        <f>SUM(B392:B405)/POBLA!$B$25*100000</f>
        <v>475.78279856697731</v>
      </c>
      <c r="W405" s="512">
        <f>B405/POBLA!$B$25*100000</f>
        <v>42.791827027674053</v>
      </c>
      <c r="X405" s="513">
        <f t="shared" si="172"/>
        <v>1.9742419809077942</v>
      </c>
      <c r="Y405" s="519">
        <f t="shared" si="175"/>
        <v>1.5545369249019373E-2</v>
      </c>
      <c r="Z405" s="520">
        <f t="shared" si="158"/>
        <v>0.27263629470800688</v>
      </c>
      <c r="AA405" s="517">
        <f t="shared" si="167"/>
        <v>19109</v>
      </c>
      <c r="AB405" s="517">
        <f t="shared" si="168"/>
        <v>210.57142857142858</v>
      </c>
      <c r="AC405" s="517">
        <f t="shared" si="150"/>
        <v>205.00180232769983</v>
      </c>
      <c r="AD405" s="517">
        <f t="shared" si="147"/>
        <v>-5.5696262437287487</v>
      </c>
      <c r="AE405" s="545">
        <f t="shared" si="162"/>
        <v>15422.214285714286</v>
      </c>
      <c r="AF405" s="535">
        <f t="shared" ref="AF405:AF443" si="187">AA405/AA398</f>
        <v>1.6283171836198083</v>
      </c>
      <c r="AG405" s="200">
        <f t="shared" si="182"/>
        <v>0.22941089785610114</v>
      </c>
      <c r="AH405" s="200">
        <f t="shared" si="165"/>
        <v>0.87008859784283521</v>
      </c>
      <c r="AI405" s="200">
        <f t="shared" si="169"/>
        <v>1.989203778677463</v>
      </c>
      <c r="AJ405" s="489">
        <f t="shared" si="184"/>
        <v>0.62831718361980826</v>
      </c>
      <c r="AK405" s="414">
        <f t="shared" si="185"/>
        <v>2.3461624168337952E-2</v>
      </c>
      <c r="AL405" s="28">
        <f t="shared" si="157"/>
        <v>1.9111646365941534E-2</v>
      </c>
      <c r="AM405" s="200">
        <f t="shared" ref="AM405:AM459" si="188">H405/H398</f>
        <v>1.0395245992260918</v>
      </c>
      <c r="AN405" s="200">
        <f t="shared" ref="AN405:AN459" si="189">AB405/AB398</f>
        <v>1.989203778677463</v>
      </c>
      <c r="AO405" s="18">
        <f t="shared" si="183"/>
        <v>44315</v>
      </c>
      <c r="AP405" s="355">
        <f t="shared" si="178"/>
        <v>1.9742419809077942</v>
      </c>
      <c r="AQ405" s="7">
        <f t="shared" si="170"/>
        <v>33171.285714285717</v>
      </c>
      <c r="AR405" s="290">
        <f t="shared" si="176"/>
        <v>198.85599999999999</v>
      </c>
      <c r="AS405" s="68">
        <f t="shared" si="177"/>
        <v>1.989203778677463</v>
      </c>
      <c r="AT405" s="179">
        <f t="shared" si="181"/>
        <v>1.2124265620120093E-2</v>
      </c>
    </row>
    <row r="406" spans="1:46" hidden="1" x14ac:dyDescent="0.25">
      <c r="A406" s="74">
        <v>44297</v>
      </c>
      <c r="B406" s="671">
        <v>15262</v>
      </c>
      <c r="C406" s="515">
        <f t="shared" si="179"/>
        <v>2532562</v>
      </c>
      <c r="D406" s="670">
        <v>132</v>
      </c>
      <c r="E406" s="515">
        <f t="shared" si="180"/>
        <v>57712</v>
      </c>
      <c r="F406" s="515">
        <f t="shared" si="161"/>
        <v>15357</v>
      </c>
      <c r="G406" s="515">
        <v>2233140</v>
      </c>
      <c r="H406" s="515">
        <v>3789</v>
      </c>
      <c r="I406" s="511">
        <v>63270</v>
      </c>
      <c r="J406" s="511">
        <f t="shared" si="163"/>
        <v>9590737</v>
      </c>
      <c r="K406" s="511"/>
      <c r="L406" s="541">
        <f t="shared" si="186"/>
        <v>2.2787990975146905E-2</v>
      </c>
      <c r="M406" s="522">
        <v>5426954</v>
      </c>
      <c r="N406" s="511">
        <f t="shared" si="171"/>
        <v>5426954.022787991</v>
      </c>
      <c r="O406" s="520"/>
      <c r="P406" s="511"/>
      <c r="Q406" s="511"/>
      <c r="R406" s="511"/>
      <c r="S406" s="522">
        <f t="shared" si="160"/>
        <v>241710</v>
      </c>
      <c r="T406" s="507">
        <f t="shared" si="173"/>
        <v>28</v>
      </c>
      <c r="U406" s="512">
        <f t="shared" si="174"/>
        <v>-227</v>
      </c>
      <c r="V406" s="512">
        <f>SUM(B393:B406)/POBLA!$B$25*100000</f>
        <v>493.53064216762033</v>
      </c>
      <c r="W406" s="512">
        <f>B406/POBLA!$B$25*100000</f>
        <v>33.631436433202609</v>
      </c>
      <c r="X406" s="513">
        <f t="shared" si="172"/>
        <v>1.9841860465116279</v>
      </c>
      <c r="Y406" s="519">
        <f t="shared" si="175"/>
        <v>1.5675809854784659E-2</v>
      </c>
      <c r="Z406" s="520">
        <f t="shared" si="158"/>
        <v>0.26706277040897647</v>
      </c>
      <c r="AA406" s="517">
        <f t="shared" si="167"/>
        <v>19867.142857142859</v>
      </c>
      <c r="AB406" s="517">
        <f t="shared" si="168"/>
        <v>216.14285714285714</v>
      </c>
      <c r="AC406" s="517">
        <f t="shared" si="150"/>
        <v>215.55766158283271</v>
      </c>
      <c r="AD406" s="517">
        <f t="shared" ref="AD406:AD459" si="190">AC406-AB406</f>
        <v>-0.58519556002443096</v>
      </c>
      <c r="AE406" s="545">
        <f t="shared" si="162"/>
        <v>15997.5</v>
      </c>
      <c r="AF406" s="535">
        <f t="shared" si="187"/>
        <v>1.6381412332881795</v>
      </c>
      <c r="AG406" s="200">
        <f t="shared" si="182"/>
        <v>0.22812009369299791</v>
      </c>
      <c r="AH406" s="200">
        <f t="shared" si="165"/>
        <v>0.53309894525364143</v>
      </c>
      <c r="AI406" s="200">
        <f t="shared" si="169"/>
        <v>2.0092961487383798</v>
      </c>
      <c r="AJ406" s="489">
        <f t="shared" si="184"/>
        <v>0.63814123328817951</v>
      </c>
      <c r="AK406" s="414">
        <f t="shared" si="185"/>
        <v>2.1479578074646146E-2</v>
      </c>
      <c r="AL406" s="28">
        <f t="shared" ref="AL406:AL437" si="191">H406/S399</f>
        <v>1.9251777067571755E-2</v>
      </c>
      <c r="AM406" s="200">
        <f t="shared" si="188"/>
        <v>1.0449531163816879</v>
      </c>
      <c r="AN406" s="200">
        <f t="shared" si="189"/>
        <v>2.0092961487383798</v>
      </c>
      <c r="AO406" s="18">
        <f t="shared" si="183"/>
        <v>44316</v>
      </c>
      <c r="AP406" s="355">
        <f t="shared" si="178"/>
        <v>1.9841860465116279</v>
      </c>
      <c r="AQ406" s="7">
        <f t="shared" si="170"/>
        <v>33171.285714285717</v>
      </c>
      <c r="AR406" s="290">
        <f t="shared" si="176"/>
        <v>200.196</v>
      </c>
      <c r="AS406" s="68">
        <f t="shared" si="177"/>
        <v>2.0092961487383798</v>
      </c>
      <c r="AT406" s="179">
        <f t="shared" si="181"/>
        <v>1.1997750962328619E-2</v>
      </c>
    </row>
    <row r="407" spans="1:46" hidden="1" x14ac:dyDescent="0.25">
      <c r="A407" s="74">
        <v>44298</v>
      </c>
      <c r="B407" s="671">
        <v>19437</v>
      </c>
      <c r="C407" s="515">
        <f t="shared" si="179"/>
        <v>2551999</v>
      </c>
      <c r="D407" s="670">
        <v>179</v>
      </c>
      <c r="E407" s="515">
        <f t="shared" si="180"/>
        <v>57891</v>
      </c>
      <c r="F407" s="515">
        <f t="shared" si="161"/>
        <v>13984</v>
      </c>
      <c r="G407" s="515">
        <v>2247124</v>
      </c>
      <c r="H407" s="515">
        <v>3819</v>
      </c>
      <c r="I407" s="511">
        <v>64947</v>
      </c>
      <c r="J407" s="511">
        <f t="shared" si="163"/>
        <v>9655684</v>
      </c>
      <c r="K407" s="511"/>
      <c r="L407" s="541">
        <f t="shared" si="186"/>
        <v>2.2684570017464739E-2</v>
      </c>
      <c r="M407" s="522">
        <v>5439883</v>
      </c>
      <c r="N407" s="511">
        <f t="shared" si="171"/>
        <v>5439883.0226845704</v>
      </c>
      <c r="O407" s="520"/>
      <c r="P407" s="511"/>
      <c r="Q407" s="511"/>
      <c r="R407" s="511"/>
      <c r="S407" s="522">
        <f t="shared" si="160"/>
        <v>246984</v>
      </c>
      <c r="T407" s="507">
        <f t="shared" si="173"/>
        <v>30</v>
      </c>
      <c r="U407" s="512">
        <f t="shared" si="174"/>
        <v>5274</v>
      </c>
      <c r="V407" s="512">
        <f>SUM(B394:B407)/POBLA!$B$25*100000</f>
        <v>505.48079809589041</v>
      </c>
      <c r="W407" s="512">
        <f>B407/POBLA!$B$25*100000</f>
        <v>42.831491937633274</v>
      </c>
      <c r="X407" s="513">
        <f t="shared" si="172"/>
        <v>1.900086974528888</v>
      </c>
      <c r="Y407" s="519">
        <f t="shared" si="175"/>
        <v>1.5462540083568167E-2</v>
      </c>
      <c r="Z407" s="520">
        <f t="shared" si="158"/>
        <v>0.26839668006426398</v>
      </c>
      <c r="AA407" s="517">
        <f t="shared" si="167"/>
        <v>20691.428571428572</v>
      </c>
      <c r="AB407" s="517">
        <f t="shared" si="168"/>
        <v>202.85714285714286</v>
      </c>
      <c r="AC407" s="517">
        <f t="shared" si="150"/>
        <v>240.92604345466623</v>
      </c>
      <c r="AD407" s="517">
        <f t="shared" si="190"/>
        <v>38.068900597523367</v>
      </c>
      <c r="AE407" s="545">
        <f t="shared" si="162"/>
        <v>16384.857142857141</v>
      </c>
      <c r="AF407" s="535">
        <f t="shared" si="187"/>
        <v>1.7131097128258506</v>
      </c>
      <c r="AG407" s="200">
        <f t="shared" si="182"/>
        <v>0.25258775021680813</v>
      </c>
      <c r="AH407" s="200">
        <f t="shared" si="165"/>
        <v>0.42218482476037167</v>
      </c>
      <c r="AI407" s="200">
        <f t="shared" si="169"/>
        <v>1.6473317865429236</v>
      </c>
      <c r="AJ407" s="489">
        <f t="shared" si="184"/>
        <v>0.71310971282585056</v>
      </c>
      <c r="AK407" s="414">
        <f t="shared" si="185"/>
        <v>1.9947182109344271E-2</v>
      </c>
      <c r="AL407" s="28">
        <f t="shared" si="191"/>
        <v>1.9368188295913864E-2</v>
      </c>
      <c r="AM407" s="200">
        <f t="shared" si="188"/>
        <v>1.0457283680175247</v>
      </c>
      <c r="AN407" s="200">
        <f t="shared" si="189"/>
        <v>1.6473317865429236</v>
      </c>
      <c r="AO407" s="18">
        <f t="shared" si="183"/>
        <v>44317</v>
      </c>
      <c r="AP407" s="355">
        <f t="shared" si="178"/>
        <v>1.9000869745288878</v>
      </c>
      <c r="AQ407" s="7">
        <f t="shared" si="170"/>
        <v>33171.285714285717</v>
      </c>
      <c r="AR407" s="290">
        <f t="shared" si="176"/>
        <v>201.14400000000001</v>
      </c>
      <c r="AS407" s="68">
        <f t="shared" si="177"/>
        <v>1.6473317865429236</v>
      </c>
      <c r="AT407" s="179">
        <f t="shared" si="181"/>
        <v>1.1867523765605294E-2</v>
      </c>
    </row>
    <row r="408" spans="1:46" hidden="1" x14ac:dyDescent="0.25">
      <c r="A408" s="74">
        <v>44299</v>
      </c>
      <c r="B408" s="671">
        <v>27001</v>
      </c>
      <c r="C408" s="515">
        <f t="shared" si="179"/>
        <v>2579000</v>
      </c>
      <c r="D408" s="670">
        <v>217</v>
      </c>
      <c r="E408" s="515">
        <f t="shared" si="180"/>
        <v>58108</v>
      </c>
      <c r="F408" s="515">
        <f t="shared" ref="F408:F436" si="192">G408-G407</f>
        <v>15751</v>
      </c>
      <c r="G408" s="515">
        <v>2262875</v>
      </c>
      <c r="H408" s="515">
        <v>3836</v>
      </c>
      <c r="I408" s="511">
        <v>87661</v>
      </c>
      <c r="J408" s="511">
        <f t="shared" si="163"/>
        <v>9743345</v>
      </c>
      <c r="K408" s="511"/>
      <c r="L408" s="541">
        <f t="shared" si="186"/>
        <v>2.2531213648701046E-2</v>
      </c>
      <c r="M408" s="522">
        <v>5479564</v>
      </c>
      <c r="N408" s="511">
        <f t="shared" si="171"/>
        <v>5479564.0225312132</v>
      </c>
      <c r="O408" s="520"/>
      <c r="P408" s="511"/>
      <c r="Q408" s="511"/>
      <c r="R408" s="511"/>
      <c r="S408" s="522">
        <f t="shared" si="160"/>
        <v>258017</v>
      </c>
      <c r="T408" s="507">
        <f t="shared" si="173"/>
        <v>17</v>
      </c>
      <c r="U408" s="512">
        <f t="shared" si="174"/>
        <v>11033</v>
      </c>
      <c r="V408" s="512">
        <f>SUM(B395:B408)/POBLA!$B$25*100000</f>
        <v>542.60495021161341</v>
      </c>
      <c r="W408" s="512">
        <f>B408/POBLA!$B$25*100000</f>
        <v>59.499568544941923</v>
      </c>
      <c r="X408" s="513">
        <f t="shared" si="172"/>
        <v>2.0077215355011253</v>
      </c>
      <c r="Y408" s="519">
        <f t="shared" si="175"/>
        <v>1.4867237430091816E-2</v>
      </c>
      <c r="Z408" s="520">
        <f t="shared" si="158"/>
        <v>0.27353882279614</v>
      </c>
      <c r="AA408" s="517">
        <f t="shared" si="167"/>
        <v>21567.285714285714</v>
      </c>
      <c r="AB408" s="517">
        <f t="shared" si="168"/>
        <v>210.57142857142858</v>
      </c>
      <c r="AC408" s="517">
        <f t="shared" si="150"/>
        <v>242.97297670361138</v>
      </c>
      <c r="AD408" s="517">
        <f t="shared" si="190"/>
        <v>32.401548132182796</v>
      </c>
      <c r="AE408" s="545">
        <f t="shared" si="162"/>
        <v>17588.214285714286</v>
      </c>
      <c r="AF408" s="535">
        <f t="shared" si="187"/>
        <v>1.5847644440712125</v>
      </c>
      <c r="AG408" s="200">
        <f t="shared" si="182"/>
        <v>0.24435495538943819</v>
      </c>
      <c r="AH408" s="200">
        <f t="shared" si="165"/>
        <v>0.29377096310493522</v>
      </c>
      <c r="AI408" s="200">
        <f t="shared" si="169"/>
        <v>1.6377777777777778</v>
      </c>
      <c r="AJ408" s="489">
        <f t="shared" si="184"/>
        <v>0.58476444407121253</v>
      </c>
      <c r="AK408" s="414">
        <f t="shared" si="185"/>
        <v>1.867146331576814E-2</v>
      </c>
      <c r="AL408" s="28">
        <f t="shared" si="191"/>
        <v>1.8500120569086086E-2</v>
      </c>
      <c r="AM408" s="200">
        <f t="shared" si="188"/>
        <v>1.0532674354750138</v>
      </c>
      <c r="AN408" s="200">
        <f t="shared" si="189"/>
        <v>1.6377777777777778</v>
      </c>
      <c r="AO408" s="18">
        <f t="shared" si="183"/>
        <v>44318</v>
      </c>
      <c r="AP408" s="355">
        <f t="shared" si="178"/>
        <v>2.0077215355011253</v>
      </c>
      <c r="AQ408" s="7">
        <f t="shared" si="170"/>
        <v>33171.285714285717</v>
      </c>
      <c r="AR408" s="290">
        <f t="shared" si="176"/>
        <v>205.82400000000001</v>
      </c>
      <c r="AS408" s="68">
        <f t="shared" si="177"/>
        <v>1.6377777777777778</v>
      </c>
      <c r="AT408" s="179">
        <f t="shared" si="181"/>
        <v>1.1649507668063389E-2</v>
      </c>
    </row>
    <row r="409" spans="1:46" hidden="1" x14ac:dyDescent="0.25">
      <c r="A409" s="74">
        <v>44300</v>
      </c>
      <c r="B409" s="671">
        <v>25157</v>
      </c>
      <c r="C409" s="515">
        <f t="shared" si="179"/>
        <v>2604157</v>
      </c>
      <c r="D409" s="670">
        <v>368</v>
      </c>
      <c r="E409" s="515">
        <f t="shared" si="180"/>
        <v>58476</v>
      </c>
      <c r="F409" s="515">
        <f t="shared" si="192"/>
        <v>15611</v>
      </c>
      <c r="G409" s="515">
        <v>2278486</v>
      </c>
      <c r="H409" s="515">
        <v>3879</v>
      </c>
      <c r="I409" s="511">
        <v>89761</v>
      </c>
      <c r="J409" s="511">
        <f t="shared" ref="J409:J429" si="193">J408+I409</f>
        <v>9833106</v>
      </c>
      <c r="K409" s="511"/>
      <c r="L409" s="541">
        <f t="shared" si="186"/>
        <v>2.2454867352467614E-2</v>
      </c>
      <c r="M409" s="511">
        <v>5518723</v>
      </c>
      <c r="N409" s="511">
        <f t="shared" si="171"/>
        <v>5518723.0224548671</v>
      </c>
      <c r="O409" s="520"/>
      <c r="P409" s="511"/>
      <c r="Q409" s="511"/>
      <c r="R409" s="511"/>
      <c r="S409" s="522">
        <f t="shared" ref="S409:S420" si="194">C409-E409-G409</f>
        <v>267195</v>
      </c>
      <c r="T409" s="507">
        <f t="shared" si="173"/>
        <v>43</v>
      </c>
      <c r="U409" s="512">
        <f t="shared" si="174"/>
        <v>9178</v>
      </c>
      <c r="V409" s="512">
        <f>SUM(B396:B409)/POBLA!$B$25*100000</f>
        <v>562.65996940821788</v>
      </c>
      <c r="W409" s="512">
        <f>B409/POBLA!$B$25*100000</f>
        <v>55.436118880230502</v>
      </c>
      <c r="X409" s="513">
        <f t="shared" si="172"/>
        <v>1.9581582257124452</v>
      </c>
      <c r="Y409" s="519">
        <f t="shared" si="175"/>
        <v>1.4517487228428676E-2</v>
      </c>
      <c r="Z409" s="520">
        <f t="shared" ref="Z409:Z416" si="195">SUM(B403:B409)/SUM(I403:I409)</f>
        <v>0.27176190476190476</v>
      </c>
      <c r="AA409" s="517">
        <f t="shared" si="167"/>
        <v>22012.714285714286</v>
      </c>
      <c r="AB409" s="539">
        <f t="shared" si="168"/>
        <v>234.71428571428572</v>
      </c>
      <c r="AC409" s="517">
        <f t="shared" si="150"/>
        <v>268.19862585162031</v>
      </c>
      <c r="AD409" s="517">
        <f t="shared" si="190"/>
        <v>33.484340137334584</v>
      </c>
      <c r="AE409" s="545">
        <f>AVERAGE(B396:B409)</f>
        <v>18238.285714285714</v>
      </c>
      <c r="AF409" s="535">
        <f>AA409/AA402</f>
        <v>1.5219117603484549</v>
      </c>
      <c r="AG409" s="200">
        <f t="shared" si="182"/>
        <v>0.22224509400301917</v>
      </c>
      <c r="AH409" s="200">
        <f t="shared" si="165"/>
        <v>0.14147647352420711</v>
      </c>
      <c r="AI409" s="200">
        <f t="shared" si="169"/>
        <v>1.6851282051282053</v>
      </c>
      <c r="AJ409" s="489">
        <f t="shared" si="184"/>
        <v>0.52191176034845488</v>
      </c>
      <c r="AK409" s="414">
        <f t="shared" si="185"/>
        <v>1.9298534110129675E-2</v>
      </c>
      <c r="AL409" s="28">
        <f t="shared" si="191"/>
        <v>1.7743927542198435E-2</v>
      </c>
      <c r="AM409" s="200">
        <f t="shared" si="188"/>
        <v>1.0466810577441985</v>
      </c>
      <c r="AN409" s="200">
        <f t="shared" si="189"/>
        <v>1.6851282051282053</v>
      </c>
      <c r="AO409" s="18">
        <f t="shared" si="183"/>
        <v>44319</v>
      </c>
      <c r="AP409" s="355">
        <f t="shared" si="178"/>
        <v>1.958158225712445</v>
      </c>
      <c r="AQ409" s="7">
        <f t="shared" si="170"/>
        <v>33171.285714285717</v>
      </c>
      <c r="AR409" s="290">
        <f t="shared" si="176"/>
        <v>205.80800000000002</v>
      </c>
      <c r="AS409" s="68">
        <f t="shared" si="177"/>
        <v>1.6851282051282053</v>
      </c>
      <c r="AT409" s="179">
        <f t="shared" si="181"/>
        <v>1.1601631735819882E-2</v>
      </c>
    </row>
    <row r="410" spans="1:46" hidden="1" x14ac:dyDescent="0.25">
      <c r="A410" s="74">
        <v>44301</v>
      </c>
      <c r="B410" s="671">
        <v>24999</v>
      </c>
      <c r="C410" s="515">
        <f t="shared" si="179"/>
        <v>2629156</v>
      </c>
      <c r="D410" s="670">
        <v>383</v>
      </c>
      <c r="E410" s="515">
        <f t="shared" si="180"/>
        <v>58859</v>
      </c>
      <c r="F410" s="515">
        <f t="shared" si="192"/>
        <v>21746</v>
      </c>
      <c r="G410" s="515">
        <v>2300232</v>
      </c>
      <c r="H410" s="515">
        <v>3900</v>
      </c>
      <c r="I410" s="511">
        <v>70299</v>
      </c>
      <c r="J410" s="511">
        <f t="shared" si="193"/>
        <v>9903405</v>
      </c>
      <c r="K410" s="511"/>
      <c r="L410" s="541">
        <f t="shared" si="186"/>
        <v>2.2387032188276389E-2</v>
      </c>
      <c r="M410" s="511">
        <v>5547020</v>
      </c>
      <c r="N410" s="511">
        <f t="shared" si="171"/>
        <v>5547020.0223870324</v>
      </c>
      <c r="O410" s="520"/>
      <c r="P410" s="511"/>
      <c r="Q410" s="511"/>
      <c r="R410" s="511"/>
      <c r="S410" s="522">
        <f t="shared" si="194"/>
        <v>270065</v>
      </c>
      <c r="T410" s="507">
        <f t="shared" si="173"/>
        <v>21</v>
      </c>
      <c r="U410" s="512">
        <f t="shared" si="174"/>
        <v>2870</v>
      </c>
      <c r="V410" s="512">
        <f>SUM(B397:B410)/POBLA!$B$25*100000</f>
        <v>585.9498823726077</v>
      </c>
      <c r="W410" s="512">
        <f>B410/POBLA!$B$25*100000</f>
        <v>55.087949115032885</v>
      </c>
      <c r="X410" s="513">
        <f t="shared" si="172"/>
        <v>1.9480505208867529</v>
      </c>
      <c r="Y410" s="519">
        <f t="shared" si="175"/>
        <v>1.4440967915131542E-2</v>
      </c>
      <c r="Z410" s="520">
        <f t="shared" si="195"/>
        <v>0.28656224875900782</v>
      </c>
      <c r="AA410" s="517">
        <f t="shared" si="167"/>
        <v>22200.714285714286</v>
      </c>
      <c r="AB410" s="517">
        <f t="shared" si="168"/>
        <v>248</v>
      </c>
      <c r="AC410" s="517">
        <f t="shared" si="150"/>
        <v>287.89596413705402</v>
      </c>
      <c r="AD410" s="517">
        <f t="shared" si="190"/>
        <v>39.895964137054023</v>
      </c>
      <c r="AE410" s="545">
        <f t="shared" si="162"/>
        <v>18993.214285714286</v>
      </c>
      <c r="AF410" s="535">
        <f t="shared" si="187"/>
        <v>1.4063800904977375</v>
      </c>
      <c r="AG410" s="200">
        <f t="shared" si="182"/>
        <v>0.18634277054185255</v>
      </c>
      <c r="AH410" s="200">
        <f t="shared" si="165"/>
        <v>5.5567284550099183E-2</v>
      </c>
      <c r="AI410" s="200">
        <f t="shared" si="169"/>
        <v>1.4686971235194586</v>
      </c>
      <c r="AJ410" s="489">
        <f t="shared" si="184"/>
        <v>0.40638009049773749</v>
      </c>
      <c r="AK410" s="414">
        <f t="shared" si="185"/>
        <v>2.1144430099144965E-2</v>
      </c>
      <c r="AL410" s="28">
        <f t="shared" si="191"/>
        <v>1.7131937885743152E-2</v>
      </c>
      <c r="AM410" s="200">
        <f t="shared" si="188"/>
        <v>1.042223409941208</v>
      </c>
      <c r="AN410" s="200">
        <f t="shared" si="189"/>
        <v>1.4686971235194586</v>
      </c>
      <c r="AO410" s="18">
        <f t="shared" si="183"/>
        <v>44320</v>
      </c>
      <c r="AP410" s="355">
        <f t="shared" si="178"/>
        <v>1.9480505208867529</v>
      </c>
      <c r="AQ410" s="7">
        <f t="shared" si="170"/>
        <v>33171.285714285717</v>
      </c>
      <c r="AR410" s="290">
        <f t="shared" si="176"/>
        <v>205.44800000000001</v>
      </c>
      <c r="AS410" s="68">
        <f t="shared" si="177"/>
        <v>1.4686971235194586</v>
      </c>
      <c r="AT410" s="179">
        <f t="shared" si="181"/>
        <v>1.156943930697913E-2</v>
      </c>
    </row>
    <row r="411" spans="1:46" hidden="1" x14ac:dyDescent="0.25">
      <c r="A411" s="74">
        <v>44302</v>
      </c>
      <c r="B411" s="671">
        <v>29472</v>
      </c>
      <c r="C411" s="515">
        <f t="shared" si="179"/>
        <v>2658628</v>
      </c>
      <c r="D411" s="670">
        <v>160</v>
      </c>
      <c r="E411" s="515">
        <f t="shared" si="180"/>
        <v>59019</v>
      </c>
      <c r="F411" s="515">
        <f t="shared" si="192"/>
        <v>23875</v>
      </c>
      <c r="G411" s="515">
        <v>2324107</v>
      </c>
      <c r="H411" s="515">
        <v>3971</v>
      </c>
      <c r="I411" s="511">
        <v>120904</v>
      </c>
      <c r="J411" s="511">
        <f t="shared" si="193"/>
        <v>10024309</v>
      </c>
      <c r="K411" s="511"/>
      <c r="L411" s="541">
        <f t="shared" si="186"/>
        <v>2.2199044018192841E-2</v>
      </c>
      <c r="M411" s="511">
        <v>5601790</v>
      </c>
      <c r="N411" s="511">
        <f t="shared" si="171"/>
        <v>5601790.022199044</v>
      </c>
      <c r="O411" s="520"/>
      <c r="P411" s="511"/>
      <c r="Q411" s="511"/>
      <c r="R411" s="511"/>
      <c r="S411" s="522">
        <f t="shared" si="194"/>
        <v>275502</v>
      </c>
      <c r="T411" s="507">
        <f t="shared" si="173"/>
        <v>71</v>
      </c>
      <c r="U411" s="512">
        <f t="shared" si="174"/>
        <v>5437</v>
      </c>
      <c r="V411" s="512">
        <f>SUM(B398:B411)/POBLA!$B$25*100000</f>
        <v>629.07445392271745</v>
      </c>
      <c r="W411" s="512">
        <f>B411/POBLA!$B$25*100000</f>
        <v>64.944679239899557</v>
      </c>
      <c r="X411" s="513">
        <f t="shared" si="172"/>
        <v>2.0650679976851851</v>
      </c>
      <c r="Y411" s="519">
        <f t="shared" si="175"/>
        <v>1.4413688466871384E-2</v>
      </c>
      <c r="Z411" s="520">
        <f t="shared" si="195"/>
        <v>0.28075381404406563</v>
      </c>
      <c r="AA411" s="517">
        <f t="shared" si="167"/>
        <v>22963.857142857141</v>
      </c>
      <c r="AB411" s="517">
        <f t="shared" si="168"/>
        <v>238.28571428571428</v>
      </c>
      <c r="AC411" s="517">
        <f t="shared" si="150"/>
        <v>276.88301753586296</v>
      </c>
      <c r="AD411" s="517">
        <f t="shared" si="190"/>
        <v>38.597303250148684</v>
      </c>
      <c r="AE411" s="545">
        <f t="shared" si="162"/>
        <v>20391.071428571428</v>
      </c>
      <c r="AF411" s="538">
        <f t="shared" si="187"/>
        <v>1.2887803861201974</v>
      </c>
      <c r="AG411" s="200">
        <f t="shared" si="182"/>
        <v>0.16440127808490135</v>
      </c>
      <c r="AH411" s="200">
        <f t="shared" si="165"/>
        <v>0.22138416908412761</v>
      </c>
      <c r="AI411" s="200">
        <f t="shared" si="169"/>
        <v>1.256024096385542</v>
      </c>
      <c r="AJ411" s="489">
        <f t="shared" si="184"/>
        <v>0.28878038612019741</v>
      </c>
      <c r="AK411" s="414">
        <f t="shared" si="185"/>
        <v>2.0304815698495401E-2</v>
      </c>
      <c r="AL411" s="28">
        <f t="shared" si="191"/>
        <v>1.6783317272742643E-2</v>
      </c>
      <c r="AM411" s="200">
        <f t="shared" si="188"/>
        <v>1.0680473372781065</v>
      </c>
      <c r="AN411" s="200">
        <f t="shared" si="189"/>
        <v>1.256024096385542</v>
      </c>
      <c r="AO411" s="18">
        <f t="shared" si="183"/>
        <v>44321</v>
      </c>
      <c r="AP411" s="355">
        <f t="shared" si="178"/>
        <v>2.0650679976851851</v>
      </c>
      <c r="AQ411" s="7">
        <f t="shared" si="170"/>
        <v>33171.285714285717</v>
      </c>
      <c r="AR411" s="290">
        <f t="shared" si="176"/>
        <v>224.55199999999999</v>
      </c>
      <c r="AS411" s="68">
        <f t="shared" si="177"/>
        <v>1.256024096385542</v>
      </c>
      <c r="AT411" s="179">
        <f t="shared" si="181"/>
        <v>1.0933592001871864E-2</v>
      </c>
    </row>
    <row r="412" spans="1:46" hidden="1" x14ac:dyDescent="0.25">
      <c r="A412" s="74">
        <v>44303</v>
      </c>
      <c r="B412" s="671">
        <v>19119</v>
      </c>
      <c r="C412" s="515">
        <f t="shared" si="179"/>
        <v>2677747</v>
      </c>
      <c r="D412" s="670">
        <v>79</v>
      </c>
      <c r="E412" s="515">
        <f t="shared" si="180"/>
        <v>59098</v>
      </c>
      <c r="F412" s="515">
        <f t="shared" si="192"/>
        <v>19701</v>
      </c>
      <c r="G412" s="515">
        <v>2343808</v>
      </c>
      <c r="H412" s="515">
        <v>3977</v>
      </c>
      <c r="I412" s="511">
        <v>66458</v>
      </c>
      <c r="J412" s="511">
        <f t="shared" si="193"/>
        <v>10090767</v>
      </c>
      <c r="K412" s="511"/>
      <c r="L412" s="541">
        <f t="shared" si="186"/>
        <v>2.2070046199286191E-2</v>
      </c>
      <c r="M412" s="511">
        <v>5636711</v>
      </c>
      <c r="N412" s="511">
        <f t="shared" si="171"/>
        <v>5636711.0220700465</v>
      </c>
      <c r="O412" s="520"/>
      <c r="P412" s="511"/>
      <c r="Q412" s="511"/>
      <c r="R412" s="511"/>
      <c r="S412" s="522">
        <f t="shared" si="194"/>
        <v>274841</v>
      </c>
      <c r="T412" s="507">
        <f t="shared" si="173"/>
        <v>6</v>
      </c>
      <c r="U412" s="512">
        <f t="shared" si="174"/>
        <v>-661</v>
      </c>
      <c r="V412" s="512">
        <f>SUM(B399:B412)/POBLA!$B$25*100000</f>
        <v>648.32295328348437</v>
      </c>
      <c r="W412" s="512">
        <f>B412/POBLA!$B$25*100000</f>
        <v>42.130745195020353</v>
      </c>
      <c r="X412" s="513">
        <f t="shared" si="172"/>
        <v>2.0748529598442857</v>
      </c>
      <c r="Y412" s="519">
        <f t="shared" si="175"/>
        <v>1.4470184579447754E-2</v>
      </c>
      <c r="Z412" s="520">
        <f t="shared" si="195"/>
        <v>0.28483401384697321</v>
      </c>
      <c r="AA412" s="517">
        <f t="shared" si="167"/>
        <v>22921</v>
      </c>
      <c r="AB412" s="517">
        <f t="shared" si="168"/>
        <v>216.85714285714286</v>
      </c>
      <c r="AC412" s="517">
        <f t="shared" si="150"/>
        <v>276.2398718495125</v>
      </c>
      <c r="AD412" s="517">
        <f t="shared" si="190"/>
        <v>59.382728992369636</v>
      </c>
      <c r="AE412" s="545">
        <f t="shared" si="162"/>
        <v>21015</v>
      </c>
      <c r="AF412" s="538">
        <f t="shared" si="187"/>
        <v>1.1994871526505835</v>
      </c>
      <c r="AG412" s="200">
        <f t="shared" si="182"/>
        <v>0.13600234771862096</v>
      </c>
      <c r="AH412" s="200">
        <f t="shared" si="165"/>
        <v>-1.5448787270199271E-2</v>
      </c>
      <c r="AI412" s="200">
        <f t="shared" si="169"/>
        <v>1.0298507462686566</v>
      </c>
      <c r="AJ412" s="489">
        <f t="shared" si="184"/>
        <v>0.19948715265058348</v>
      </c>
      <c r="AK412" s="414">
        <f t="shared" si="185"/>
        <v>1.7880911714470815E-2</v>
      </c>
      <c r="AL412" s="28">
        <f t="shared" si="191"/>
        <v>1.6438163654174436E-2</v>
      </c>
      <c r="AM412" s="200">
        <f t="shared" si="188"/>
        <v>1.0574315341664451</v>
      </c>
      <c r="AN412" s="200">
        <f t="shared" si="189"/>
        <v>1.0298507462686566</v>
      </c>
      <c r="AO412" s="18">
        <f t="shared" si="183"/>
        <v>44322</v>
      </c>
      <c r="AP412" s="355">
        <f t="shared" si="178"/>
        <v>2.0748529598442857</v>
      </c>
      <c r="AQ412" s="7">
        <f t="shared" si="170"/>
        <v>33171.285714285717</v>
      </c>
      <c r="AR412" s="290">
        <f t="shared" si="176"/>
        <v>238.6</v>
      </c>
      <c r="AS412" s="68">
        <f t="shared" si="177"/>
        <v>1.0298507462686566</v>
      </c>
      <c r="AT412" s="179">
        <f t="shared" si="181"/>
        <v>1.0507900326833616E-2</v>
      </c>
    </row>
    <row r="413" spans="1:46" hidden="1" x14ac:dyDescent="0.25">
      <c r="A413" s="74">
        <v>44304</v>
      </c>
      <c r="B413" s="671">
        <v>16267</v>
      </c>
      <c r="C413" s="515">
        <f t="shared" si="179"/>
        <v>2694014</v>
      </c>
      <c r="D413" s="670">
        <v>65</v>
      </c>
      <c r="E413" s="515">
        <f t="shared" si="180"/>
        <v>59163</v>
      </c>
      <c r="F413" s="515">
        <f t="shared" si="192"/>
        <v>20363</v>
      </c>
      <c r="G413" s="515">
        <v>2364171</v>
      </c>
      <c r="H413" s="515">
        <v>4105</v>
      </c>
      <c r="I413" s="511">
        <v>63763</v>
      </c>
      <c r="J413" s="511">
        <f t="shared" si="193"/>
        <v>10154530</v>
      </c>
      <c r="K413" s="511"/>
      <c r="L413" s="541">
        <f t="shared" si="186"/>
        <v>2.1960910373888184E-2</v>
      </c>
      <c r="M413" s="511">
        <v>5664992</v>
      </c>
      <c r="N413" s="511">
        <f t="shared" si="171"/>
        <v>5664992.0219609104</v>
      </c>
      <c r="O413" s="520"/>
      <c r="P413" s="511"/>
      <c r="Q413" s="511"/>
      <c r="R413" s="511"/>
      <c r="S413" s="522">
        <f t="shared" si="194"/>
        <v>270680</v>
      </c>
      <c r="T413" s="507">
        <f t="shared" si="173"/>
        <v>128</v>
      </c>
      <c r="U413" s="512">
        <f t="shared" si="174"/>
        <v>-4161</v>
      </c>
      <c r="V413" s="512">
        <f>SUM(B400:B413)/POBLA!$B$25*100000</f>
        <v>662.23211504251822</v>
      </c>
      <c r="W413" s="512">
        <f>B413/POBLA!$B$25*100000</f>
        <v>35.846060572592506</v>
      </c>
      <c r="X413" s="513">
        <f t="shared" si="172"/>
        <v>2.0343891525240148</v>
      </c>
      <c r="Y413" s="519">
        <f t="shared" si="175"/>
        <v>1.5165509088222255E-2</v>
      </c>
      <c r="Z413" s="520">
        <f t="shared" si="195"/>
        <v>0.28636751431819835</v>
      </c>
      <c r="AA413" s="517">
        <f t="shared" si="167"/>
        <v>23064.571428571428</v>
      </c>
      <c r="AB413" s="517">
        <f t="shared" si="168"/>
        <v>207.28571428571428</v>
      </c>
      <c r="AC413" s="517">
        <f t="shared" si="150"/>
        <v>284.76111203690198</v>
      </c>
      <c r="AD413" s="517">
        <f t="shared" si="190"/>
        <v>77.4753977511877</v>
      </c>
      <c r="AE413" s="545">
        <f t="shared" si="162"/>
        <v>21465.857142857141</v>
      </c>
      <c r="AF413" s="520">
        <f t="shared" si="187"/>
        <v>1.1609405335442582</v>
      </c>
      <c r="AG413" s="200">
        <f t="shared" si="182"/>
        <v>0.1198543709403832</v>
      </c>
      <c r="AH413" s="200">
        <f t="shared" si="165"/>
        <v>6.5849823090027515E-2</v>
      </c>
      <c r="AI413" s="200">
        <f t="shared" si="169"/>
        <v>0.95902181097157957</v>
      </c>
      <c r="AJ413" s="489">
        <f t="shared" si="184"/>
        <v>0.16094053354425819</v>
      </c>
      <c r="AK413" s="414">
        <f t="shared" si="185"/>
        <v>1.7161848890571037E-2</v>
      </c>
      <c r="AL413" s="28">
        <f t="shared" si="191"/>
        <v>1.6983161639981797E-2</v>
      </c>
      <c r="AM413" s="200">
        <f t="shared" si="188"/>
        <v>1.0833993138031144</v>
      </c>
      <c r="AN413" s="200">
        <f t="shared" si="189"/>
        <v>0.95902181097157957</v>
      </c>
      <c r="AO413" s="18">
        <f t="shared" si="183"/>
        <v>44323</v>
      </c>
      <c r="AP413" s="355">
        <f t="shared" si="178"/>
        <v>2.0343891525240148</v>
      </c>
      <c r="AQ413" s="7">
        <f t="shared" si="170"/>
        <v>33171.285714285717</v>
      </c>
      <c r="AR413" s="290">
        <f t="shared" si="176"/>
        <v>251.304</v>
      </c>
      <c r="AS413" s="68">
        <f t="shared" si="177"/>
        <v>0.95902181097157957</v>
      </c>
      <c r="AT413" s="179">
        <f t="shared" si="181"/>
        <v>1.0217795212818095E-2</v>
      </c>
    </row>
    <row r="414" spans="1:46" hidden="1" x14ac:dyDescent="0.25">
      <c r="A414" s="74">
        <v>44305</v>
      </c>
      <c r="B414" s="671">
        <v>20461</v>
      </c>
      <c r="C414" s="515">
        <f t="shared" si="179"/>
        <v>2714475</v>
      </c>
      <c r="D414" s="670">
        <v>248</v>
      </c>
      <c r="E414" s="515">
        <f t="shared" si="180"/>
        <v>59411</v>
      </c>
      <c r="F414" s="515">
        <f t="shared" si="192"/>
        <v>22212</v>
      </c>
      <c r="G414" s="515">
        <v>2386383</v>
      </c>
      <c r="H414" s="515">
        <v>4304</v>
      </c>
      <c r="I414" s="511">
        <v>66703</v>
      </c>
      <c r="J414" s="511">
        <f t="shared" si="193"/>
        <v>10221233</v>
      </c>
      <c r="K414" s="511"/>
      <c r="L414" s="541">
        <f t="shared" si="186"/>
        <v>2.188673684598311E-2</v>
      </c>
      <c r="M414" s="511">
        <v>5692236</v>
      </c>
      <c r="N414" s="511">
        <f t="shared" si="171"/>
        <v>5692236.0218867371</v>
      </c>
      <c r="O414" s="520"/>
      <c r="P414" s="511"/>
      <c r="Q414" s="511"/>
      <c r="R414" s="511"/>
      <c r="S414" s="522">
        <f t="shared" si="194"/>
        <v>268681</v>
      </c>
      <c r="T414" s="507">
        <f t="shared" si="173"/>
        <v>199</v>
      </c>
      <c r="U414" s="512">
        <f t="shared" si="174"/>
        <v>-1999</v>
      </c>
      <c r="V414" s="512">
        <f>SUM(B401:B414)/POBLA!$B$25*100000</f>
        <v>677.20341494601576</v>
      </c>
      <c r="W414" s="512">
        <f>B414/POBLA!$B$25*100000</f>
        <v>45.087984593091242</v>
      </c>
      <c r="X414" s="513">
        <f t="shared" si="172"/>
        <v>1.9828501745307672</v>
      </c>
      <c r="Y414" s="519">
        <f t="shared" si="175"/>
        <v>1.6018996505149229E-2</v>
      </c>
      <c r="Z414" s="520">
        <f t="shared" si="195"/>
        <v>0.28728898822206389</v>
      </c>
      <c r="AA414" s="517">
        <f t="shared" si="167"/>
        <v>23210.857142857141</v>
      </c>
      <c r="AB414" s="539">
        <f t="shared" si="168"/>
        <v>217.14285714285714</v>
      </c>
      <c r="AC414" s="517">
        <f t="shared" si="150"/>
        <v>283.35181538545169</v>
      </c>
      <c r="AD414" s="517">
        <f t="shared" si="190"/>
        <v>66.208958242594548</v>
      </c>
      <c r="AE414" s="545">
        <f t="shared" si="162"/>
        <v>21951.142857142859</v>
      </c>
      <c r="AF414" s="520">
        <f t="shared" si="187"/>
        <v>1.1217619442143054</v>
      </c>
      <c r="AG414" s="200">
        <f t="shared" si="182"/>
        <v>8.7847795808635443E-2</v>
      </c>
      <c r="AH414" s="200">
        <f t="shared" si="165"/>
        <v>5.2683027216134271E-2</v>
      </c>
      <c r="AI414" s="200">
        <f t="shared" si="169"/>
        <v>1.0704225352112675</v>
      </c>
      <c r="AJ414" s="489">
        <f t="shared" si="184"/>
        <v>0.12176194421430542</v>
      </c>
      <c r="AK414" s="414">
        <f t="shared" si="185"/>
        <v>1.5955660060463554E-2</v>
      </c>
      <c r="AL414" s="28">
        <f t="shared" si="191"/>
        <v>1.7426230039192823E-2</v>
      </c>
      <c r="AM414" s="200">
        <f t="shared" si="188"/>
        <v>1.1269965959675308</v>
      </c>
      <c r="AN414" s="200">
        <f t="shared" si="189"/>
        <v>1.0704225352112675</v>
      </c>
      <c r="AO414" s="18">
        <f t="shared" si="183"/>
        <v>44324</v>
      </c>
      <c r="AP414" s="355">
        <f t="shared" si="178"/>
        <v>1.9828501745307672</v>
      </c>
      <c r="AQ414" s="7">
        <f t="shared" si="170"/>
        <v>33171.285714285717</v>
      </c>
      <c r="AR414" s="290">
        <f t="shared" si="176"/>
        <v>281.75600000000003</v>
      </c>
      <c r="AS414" s="68">
        <f t="shared" si="177"/>
        <v>1.0704225352112675</v>
      </c>
      <c r="AT414" s="179">
        <f t="shared" si="181"/>
        <v>1.0358847221282068E-2</v>
      </c>
    </row>
    <row r="415" spans="1:46" hidden="1" x14ac:dyDescent="0.25">
      <c r="A415" s="74">
        <v>44306</v>
      </c>
      <c r="B415" s="671">
        <v>29145</v>
      </c>
      <c r="C415" s="515">
        <f t="shared" si="179"/>
        <v>2743620</v>
      </c>
      <c r="D415" s="670">
        <v>316</v>
      </c>
      <c r="E415" s="515">
        <f t="shared" si="180"/>
        <v>59727</v>
      </c>
      <c r="F415" s="515">
        <f t="shared" si="192"/>
        <v>21470</v>
      </c>
      <c r="G415" s="515">
        <v>2407853</v>
      </c>
      <c r="H415" s="515">
        <v>4366</v>
      </c>
      <c r="I415" s="511">
        <v>99389</v>
      </c>
      <c r="J415" s="511">
        <f t="shared" si="193"/>
        <v>10320622</v>
      </c>
      <c r="K415" s="511"/>
      <c r="L415" s="541">
        <f t="shared" si="186"/>
        <v>2.1769414131694621E-2</v>
      </c>
      <c r="M415" s="511">
        <v>5733986</v>
      </c>
      <c r="N415" s="511">
        <f t="shared" si="171"/>
        <v>5733986.0217694137</v>
      </c>
      <c r="O415" s="520"/>
      <c r="P415" s="511"/>
      <c r="Q415" s="511"/>
      <c r="R415" s="511"/>
      <c r="S415" s="522">
        <f t="shared" si="194"/>
        <v>276040</v>
      </c>
      <c r="T415" s="507">
        <f t="shared" si="173"/>
        <v>62</v>
      </c>
      <c r="U415" s="512">
        <f t="shared" si="174"/>
        <v>7359</v>
      </c>
      <c r="V415" s="512">
        <f>SUM(B402:B415)/POBLA!$B$25*100000</f>
        <v>695.43825549671362</v>
      </c>
      <c r="W415" s="512">
        <f>B415/POBLA!$B$25*100000</f>
        <v>64.224100042307029</v>
      </c>
      <c r="X415" s="513">
        <f t="shared" si="172"/>
        <v>1.8959880325859708</v>
      </c>
      <c r="Y415" s="519">
        <f t="shared" si="175"/>
        <v>1.5816548326329519E-2</v>
      </c>
      <c r="Z415" s="520">
        <f t="shared" si="195"/>
        <v>0.28516639325661686</v>
      </c>
      <c r="AA415" s="517">
        <f t="shared" si="167"/>
        <v>23517.142857142859</v>
      </c>
      <c r="AB415" s="517">
        <f t="shared" si="168"/>
        <v>231.28571428571428</v>
      </c>
      <c r="AC415" s="517">
        <f t="shared" si="150"/>
        <v>317.43451028444412</v>
      </c>
      <c r="AD415" s="517">
        <f t="shared" si="190"/>
        <v>86.148795998729838</v>
      </c>
      <c r="AE415" s="545">
        <f t="shared" si="162"/>
        <v>22542.214285714286</v>
      </c>
      <c r="AF415" s="520">
        <f t="shared" si="187"/>
        <v>1.090408091620245</v>
      </c>
      <c r="AG415" s="200">
        <f t="shared" si="182"/>
        <v>6.9851986497013741E-2</v>
      </c>
      <c r="AH415" s="200">
        <f t="shared" si="165"/>
        <v>7.9404466501240778E-2</v>
      </c>
      <c r="AI415" s="200">
        <f t="shared" si="169"/>
        <v>1.0983717774762549</v>
      </c>
      <c r="AJ415" s="489">
        <f t="shared" si="184"/>
        <v>9.040809162024499E-2</v>
      </c>
      <c r="AK415" s="414">
        <f t="shared" si="185"/>
        <v>1.5990597252264264E-2</v>
      </c>
      <c r="AL415" s="28">
        <f t="shared" si="191"/>
        <v>1.6921365646449651E-2</v>
      </c>
      <c r="AM415" s="200">
        <f t="shared" si="188"/>
        <v>1.1381647549530762</v>
      </c>
      <c r="AN415" s="200">
        <f t="shared" si="189"/>
        <v>1.0983717774762549</v>
      </c>
      <c r="AO415" s="18">
        <f t="shared" si="183"/>
        <v>44325</v>
      </c>
      <c r="AP415" s="355">
        <f t="shared" si="178"/>
        <v>1.8959880325859708</v>
      </c>
      <c r="AQ415" s="7">
        <f t="shared" si="170"/>
        <v>33171.285714285717</v>
      </c>
      <c r="AR415" s="290">
        <f t="shared" si="176"/>
        <v>284.75200000000001</v>
      </c>
      <c r="AS415" s="68">
        <f t="shared" si="177"/>
        <v>1.0983717774762549</v>
      </c>
      <c r="AT415" s="179">
        <f t="shared" si="181"/>
        <v>1.0414804488911297E-2</v>
      </c>
    </row>
    <row r="416" spans="1:46" hidden="1" x14ac:dyDescent="0.25">
      <c r="A416" s="107">
        <v>44307</v>
      </c>
      <c r="B416" s="670">
        <v>25932</v>
      </c>
      <c r="C416" s="515">
        <f t="shared" si="179"/>
        <v>2769552</v>
      </c>
      <c r="D416" s="670">
        <v>291</v>
      </c>
      <c r="E416" s="515">
        <f t="shared" si="180"/>
        <v>60018</v>
      </c>
      <c r="F416" s="515">
        <f t="shared" si="192"/>
        <v>16822</v>
      </c>
      <c r="G416" s="515">
        <v>2424675</v>
      </c>
      <c r="H416" s="515">
        <v>4492</v>
      </c>
      <c r="I416" s="511">
        <v>101313</v>
      </c>
      <c r="J416" s="511">
        <f t="shared" si="193"/>
        <v>10421935</v>
      </c>
      <c r="K416" s="511"/>
      <c r="L416" s="541">
        <f t="shared" si="186"/>
        <v>2.167065287093364E-2</v>
      </c>
      <c r="M416" s="511"/>
      <c r="N416" s="511"/>
      <c r="O416" s="520"/>
      <c r="P416" s="511"/>
      <c r="Q416" s="511"/>
      <c r="R416" s="511"/>
      <c r="S416" s="522">
        <f t="shared" si="194"/>
        <v>284859</v>
      </c>
      <c r="T416" s="507">
        <f t="shared" si="173"/>
        <v>126</v>
      </c>
      <c r="U416" s="512">
        <f t="shared" si="174"/>
        <v>8819</v>
      </c>
      <c r="V416" s="512">
        <f>SUM(B403:B416)/POBLA!$B$25*100000</f>
        <v>704.01689407844981</v>
      </c>
      <c r="W416" s="512">
        <f>B416/POBLA!$B$25*100000</f>
        <v>57.143913614585898</v>
      </c>
      <c r="X416" s="513">
        <f t="shared" si="172"/>
        <v>1.7730297295647397</v>
      </c>
      <c r="Y416" s="519">
        <f t="shared" si="175"/>
        <v>1.5769205115513288E-2</v>
      </c>
      <c r="Z416" s="520">
        <f t="shared" si="195"/>
        <v>0.28088799974186052</v>
      </c>
      <c r="AA416" s="517">
        <f t="shared" si="167"/>
        <v>23627.857142857141</v>
      </c>
      <c r="AB416" s="517">
        <f t="shared" si="168"/>
        <v>220.28571428571428</v>
      </c>
      <c r="AC416" s="517">
        <f t="shared" si="150"/>
        <v>335.51084827033372</v>
      </c>
      <c r="AD416" s="517">
        <f t="shared" si="190"/>
        <v>115.22513398461945</v>
      </c>
      <c r="AE416" s="545">
        <f t="shared" si="162"/>
        <v>22820.285714285714</v>
      </c>
      <c r="AF416" s="520">
        <f t="shared" si="187"/>
        <v>1.0733731804346838</v>
      </c>
      <c r="AG416" s="200">
        <f t="shared" si="182"/>
        <v>6.6109021501150833E-2</v>
      </c>
      <c r="AH416" s="200">
        <f t="shared" si="165"/>
        <v>3.0806534960448495E-2</v>
      </c>
      <c r="AI416" s="200">
        <f t="shared" si="169"/>
        <v>0.93852708460133893</v>
      </c>
      <c r="AJ416" s="489">
        <f t="shared" si="184"/>
        <v>7.3373180434683771E-2</v>
      </c>
      <c r="AK416" s="414">
        <f t="shared" si="185"/>
        <v>1.3954751131221719E-2</v>
      </c>
      <c r="AL416" s="28">
        <f t="shared" si="191"/>
        <v>1.6811691835550816E-2</v>
      </c>
      <c r="AM416" s="200">
        <f t="shared" si="188"/>
        <v>1.1580304202113947</v>
      </c>
      <c r="AN416" s="200">
        <f t="shared" si="189"/>
        <v>0.93852708460133893</v>
      </c>
      <c r="AO416" s="18">
        <f t="shared" si="183"/>
        <v>44326</v>
      </c>
      <c r="AP416" s="355">
        <f t="shared" si="178"/>
        <v>1.7730297295647397</v>
      </c>
      <c r="AQ416" s="7">
        <f t="shared" si="170"/>
        <v>33171.285714285717</v>
      </c>
      <c r="AR416" s="290">
        <f t="shared" si="176"/>
        <v>315.77600000000001</v>
      </c>
      <c r="AS416" s="68">
        <f t="shared" si="177"/>
        <v>0.93852708460133893</v>
      </c>
      <c r="AT416" s="179">
        <f t="shared" si="181"/>
        <v>1.0342494878039352E-2</v>
      </c>
    </row>
    <row r="417" spans="1:46" hidden="1" x14ac:dyDescent="0.25">
      <c r="A417" s="107">
        <v>44308</v>
      </c>
      <c r="B417" s="670">
        <v>27216</v>
      </c>
      <c r="C417" s="515">
        <f t="shared" si="179"/>
        <v>2796768</v>
      </c>
      <c r="D417" s="670">
        <v>537</v>
      </c>
      <c r="E417" s="515">
        <f t="shared" si="180"/>
        <v>60555</v>
      </c>
      <c r="F417" s="515">
        <f t="shared" si="192"/>
        <v>25118</v>
      </c>
      <c r="G417" s="515">
        <v>2449793</v>
      </c>
      <c r="H417" s="515">
        <v>4791</v>
      </c>
      <c r="I417" s="511">
        <v>99323</v>
      </c>
      <c r="J417" s="511">
        <f t="shared" si="193"/>
        <v>10521258</v>
      </c>
      <c r="K417" s="511"/>
      <c r="L417" s="541">
        <f t="shared" si="186"/>
        <v>2.1651778052380461E-2</v>
      </c>
      <c r="M417" s="522"/>
      <c r="N417" s="511"/>
      <c r="O417" s="520"/>
      <c r="P417" s="511"/>
      <c r="Q417" s="511"/>
      <c r="R417" s="511"/>
      <c r="S417" s="511">
        <f t="shared" si="194"/>
        <v>286420</v>
      </c>
      <c r="T417" s="507">
        <f t="shared" si="173"/>
        <v>299</v>
      </c>
      <c r="U417" s="512">
        <f t="shared" ref="U417:U424" si="196">(C417-G417-E417)-(C416-E416-G416)</f>
        <v>1561</v>
      </c>
      <c r="V417" s="512">
        <f>SUM(B404:B417)/POBLA!$B$25*100000</f>
        <v>711.8022344610016</v>
      </c>
      <c r="W417" s="512">
        <f>B417/POBLA!$B$25*100000</f>
        <v>59.973343858343732</v>
      </c>
      <c r="X417" s="513">
        <f t="shared" si="172"/>
        <v>1.6511122697254084</v>
      </c>
      <c r="Y417" s="519">
        <f t="shared" si="175"/>
        <v>1.6727183855875988E-2</v>
      </c>
      <c r="Z417" s="520">
        <f t="shared" ref="Z417:Z428" si="197">SUM(B411:B417)/SUM(I411:I417)</f>
        <v>0.27128135656863361</v>
      </c>
      <c r="AA417" s="517">
        <f t="shared" ref="AA417:AA425" si="198">AVERAGE(B411:B417)</f>
        <v>23944.571428571428</v>
      </c>
      <c r="AB417" s="540">
        <f t="shared" ref="AB417:AB438" si="199">AVERAGE(D411:D417)</f>
        <v>242.28571428571428</v>
      </c>
      <c r="AC417" s="517">
        <f t="shared" si="150"/>
        <v>364.51823855467148</v>
      </c>
      <c r="AD417" s="517">
        <f t="shared" si="190"/>
        <v>122.23252426895721</v>
      </c>
      <c r="AE417" s="545">
        <f t="shared" si="162"/>
        <v>23072.642857142859</v>
      </c>
      <c r="AF417" s="520">
        <f t="shared" si="187"/>
        <v>1.0785495962163378</v>
      </c>
      <c r="AG417" s="200">
        <f t="shared" si="182"/>
        <v>6.0559494936404112E-2</v>
      </c>
      <c r="AH417" s="200">
        <f t="shared" si="165"/>
        <v>8.8683547341893654E-2</v>
      </c>
      <c r="AI417" s="200">
        <f t="shared" si="169"/>
        <v>0.97695852534562211</v>
      </c>
      <c r="AJ417" s="489">
        <f t="shared" si="184"/>
        <v>7.8549596216337836E-2</v>
      </c>
      <c r="AK417" s="414">
        <f t="shared" si="185"/>
        <v>1.3597588352254506E-2</v>
      </c>
      <c r="AL417" s="28">
        <f t="shared" si="191"/>
        <v>1.7740173661896209E-2</v>
      </c>
      <c r="AM417" s="200">
        <f t="shared" si="188"/>
        <v>1.2284615384615385</v>
      </c>
      <c r="AN417" s="200">
        <f t="shared" si="189"/>
        <v>0.97695852534562211</v>
      </c>
      <c r="AO417" s="18">
        <f t="shared" si="183"/>
        <v>44327</v>
      </c>
      <c r="AP417" s="355">
        <f t="shared" si="178"/>
        <v>1.6511122697254086</v>
      </c>
      <c r="AQ417" s="7">
        <f t="shared" si="170"/>
        <v>33171.285714285717</v>
      </c>
      <c r="AR417" s="290">
        <f t="shared" si="176"/>
        <v>340.54399999999998</v>
      </c>
      <c r="AS417" s="68">
        <f t="shared" si="177"/>
        <v>0.97695852534562211</v>
      </c>
      <c r="AT417" s="179">
        <f t="shared" si="181"/>
        <v>1.0715800527288389E-2</v>
      </c>
    </row>
    <row r="418" spans="1:46" hidden="1" x14ac:dyDescent="0.25">
      <c r="A418" s="107">
        <v>44309</v>
      </c>
      <c r="B418" s="670">
        <v>27884</v>
      </c>
      <c r="C418" s="515">
        <f t="shared" si="179"/>
        <v>2824652</v>
      </c>
      <c r="D418" s="670">
        <v>557</v>
      </c>
      <c r="E418" s="515">
        <f t="shared" si="180"/>
        <v>61112</v>
      </c>
      <c r="F418" s="515">
        <f t="shared" si="192"/>
        <v>24721</v>
      </c>
      <c r="G418" s="515">
        <v>2474514</v>
      </c>
      <c r="H418" s="536">
        <v>4805</v>
      </c>
      <c r="I418" s="511">
        <v>86860</v>
      </c>
      <c r="J418" s="511">
        <f t="shared" si="193"/>
        <v>10608118</v>
      </c>
      <c r="K418" s="511"/>
      <c r="L418" s="541">
        <f t="shared" si="186"/>
        <v>2.1635231525865842E-2</v>
      </c>
      <c r="M418" s="522">
        <v>5851758</v>
      </c>
      <c r="N418" s="511">
        <f>M418+L418</f>
        <v>5851758.0216352316</v>
      </c>
      <c r="O418" s="520">
        <f t="shared" ref="O418:O430" si="200">B418/(B418+(N418-N417))</f>
        <v>4.74246559525149E-3</v>
      </c>
      <c r="P418" s="520">
        <f>AVERAGE(O412:O418)</f>
        <v>4.74246559525149E-3</v>
      </c>
      <c r="Q418" s="541">
        <f>B418/(B418+M418)</f>
        <v>4.7424656127022704E-3</v>
      </c>
      <c r="R418" s="511"/>
      <c r="S418" s="511">
        <f t="shared" si="194"/>
        <v>289026</v>
      </c>
      <c r="T418" s="507">
        <f t="shared" si="173"/>
        <v>14</v>
      </c>
      <c r="U418" s="512">
        <f t="shared" si="196"/>
        <v>2606</v>
      </c>
      <c r="V418" s="512">
        <f>SUM(B405:B418)/POBLA!$B$25*100000</f>
        <v>720.07457179360813</v>
      </c>
      <c r="W418" s="512">
        <f>B418/POBLA!$B$25*100000</f>
        <v>61.445352739052645</v>
      </c>
      <c r="X418" s="513">
        <f t="shared" si="172"/>
        <v>1.5799013682734613</v>
      </c>
      <c r="Y418" s="519">
        <f t="shared" ref="Y418:Y428" si="201">H418/S418</f>
        <v>1.6624801920934448E-2</v>
      </c>
      <c r="Z418" s="520">
        <f t="shared" si="197"/>
        <v>0.28438067929750999</v>
      </c>
      <c r="AA418" s="517">
        <f t="shared" si="198"/>
        <v>23717.714285714286</v>
      </c>
      <c r="AB418" s="517">
        <f t="shared" si="199"/>
        <v>299</v>
      </c>
      <c r="AC418" s="517">
        <f t="shared" ref="AC418:AC436" si="202">AA404*L404</f>
        <v>409.10535930254485</v>
      </c>
      <c r="AD418" s="517">
        <f t="shared" si="190"/>
        <v>110.10535930254485</v>
      </c>
      <c r="AE418" s="545">
        <f t="shared" si="162"/>
        <v>23340.785714285714</v>
      </c>
      <c r="AF418" s="520">
        <f t="shared" si="187"/>
        <v>1.032827984348075</v>
      </c>
      <c r="AG418" s="200">
        <f t="shared" si="182"/>
        <v>4.9088572859725232E-2</v>
      </c>
      <c r="AH418" s="200">
        <f t="shared" si="165"/>
        <v>-5.3881650380021684E-2</v>
      </c>
      <c r="AI418" s="200">
        <f t="shared" si="169"/>
        <v>1.2547961630695443</v>
      </c>
      <c r="AJ418" s="489">
        <f t="shared" si="184"/>
        <v>3.282798434807499E-2</v>
      </c>
      <c r="AK418" s="414">
        <f t="shared" si="185"/>
        <v>1.5647077293421949E-2</v>
      </c>
      <c r="AL418" s="28">
        <f t="shared" si="191"/>
        <v>1.744088972130874E-2</v>
      </c>
      <c r="AM418" s="200">
        <f t="shared" si="188"/>
        <v>1.210022664316293</v>
      </c>
      <c r="AN418" s="200">
        <f t="shared" si="189"/>
        <v>1.2547961630695443</v>
      </c>
      <c r="AO418" s="18">
        <f t="shared" si="183"/>
        <v>44328</v>
      </c>
      <c r="AP418" s="355">
        <f t="shared" si="178"/>
        <v>1.5799013682734613</v>
      </c>
      <c r="AQ418" s="7">
        <f t="shared" si="170"/>
        <v>33171.285714285717</v>
      </c>
      <c r="AR418" s="290">
        <f t="shared" si="176"/>
        <v>328.40800000000002</v>
      </c>
      <c r="AS418" s="68">
        <f t="shared" si="177"/>
        <v>1.2547961630695443</v>
      </c>
      <c r="AT418" s="179">
        <f t="shared" si="181"/>
        <v>1.1119823351809293E-2</v>
      </c>
    </row>
    <row r="419" spans="1:46" hidden="1" x14ac:dyDescent="0.25">
      <c r="A419" s="107">
        <v>44310</v>
      </c>
      <c r="B419" s="670">
        <v>21220</v>
      </c>
      <c r="C419" s="515">
        <f t="shared" si="179"/>
        <v>2845872</v>
      </c>
      <c r="D419" s="670">
        <v>298</v>
      </c>
      <c r="E419" s="515">
        <f t="shared" si="180"/>
        <v>61410</v>
      </c>
      <c r="F419" s="515">
        <f t="shared" si="192"/>
        <v>21763</v>
      </c>
      <c r="G419" s="515">
        <v>2496277</v>
      </c>
      <c r="H419" s="536">
        <v>4858</v>
      </c>
      <c r="I419" s="511">
        <v>81809</v>
      </c>
      <c r="J419" s="511">
        <f t="shared" si="193"/>
        <v>10689927</v>
      </c>
      <c r="K419" s="511"/>
      <c r="L419" s="541">
        <f t="shared" si="186"/>
        <v>2.1578623353404509E-2</v>
      </c>
      <c r="M419" s="522">
        <v>5887599</v>
      </c>
      <c r="N419" s="511">
        <f>M419+L419</f>
        <v>5887599.021578623</v>
      </c>
      <c r="O419" s="520">
        <f t="shared" si="200"/>
        <v>0.37188272236819814</v>
      </c>
      <c r="P419" s="520">
        <f>AVERAGE(O413:O419)</f>
        <v>0.18831259398172481</v>
      </c>
      <c r="Q419" s="541">
        <f>B419/(B419+M419)</f>
        <v>3.5912421754668742E-3</v>
      </c>
      <c r="R419" s="511"/>
      <c r="S419" s="511">
        <f t="shared" si="194"/>
        <v>288185</v>
      </c>
      <c r="T419" s="507">
        <f t="shared" si="173"/>
        <v>53</v>
      </c>
      <c r="U419" s="512">
        <f t="shared" si="196"/>
        <v>-841</v>
      </c>
      <c r="V419" s="512">
        <f>SUM(B406:B419)/POBLA!$B$25*100000</f>
        <v>724.04326639563931</v>
      </c>
      <c r="W419" s="512">
        <f>B419/POBLA!$B$25*100000</f>
        <v>46.760521629705103</v>
      </c>
      <c r="X419" s="513">
        <f t="shared" si="172"/>
        <v>1.5217937020346346</v>
      </c>
      <c r="Y419" s="519">
        <f t="shared" si="201"/>
        <v>1.68572271284071E-2</v>
      </c>
      <c r="Z419" s="520">
        <f t="shared" si="197"/>
        <v>0.28060117497830295</v>
      </c>
      <c r="AA419" s="665">
        <f t="shared" si="198"/>
        <v>24017.857142857141</v>
      </c>
      <c r="AB419" s="517">
        <f t="shared" si="199"/>
        <v>330.28571428571428</v>
      </c>
      <c r="AC419" s="517">
        <f t="shared" si="202"/>
        <v>437.09379891153225</v>
      </c>
      <c r="AD419" s="517">
        <f t="shared" si="190"/>
        <v>106.80808462581797</v>
      </c>
      <c r="AE419" s="545">
        <f t="shared" si="162"/>
        <v>23469.428571428572</v>
      </c>
      <c r="AF419" s="520">
        <f t="shared" si="187"/>
        <v>1.0478538084227189</v>
      </c>
      <c r="AG419" s="200">
        <f t="shared" si="182"/>
        <v>4.8551708078488964E-2</v>
      </c>
      <c r="AH419" s="200">
        <f t="shared" si="165"/>
        <v>0.10989068465923957</v>
      </c>
      <c r="AI419" s="200">
        <f t="shared" si="169"/>
        <v>1.523056653491436</v>
      </c>
      <c r="AJ419" s="489">
        <f t="shared" si="184"/>
        <v>4.7853808422718913E-2</v>
      </c>
      <c r="AK419" s="414">
        <f t="shared" si="185"/>
        <v>1.6624721363342199E-2</v>
      </c>
      <c r="AL419" s="28">
        <f t="shared" si="191"/>
        <v>1.7675674298958308E-2</v>
      </c>
      <c r="AM419" s="200">
        <f t="shared" si="188"/>
        <v>1.2215237616293688</v>
      </c>
      <c r="AN419" s="200">
        <f t="shared" si="189"/>
        <v>1.523056653491436</v>
      </c>
      <c r="AO419" s="18">
        <f t="shared" si="183"/>
        <v>44329</v>
      </c>
      <c r="AP419" s="355">
        <f t="shared" si="178"/>
        <v>1.5217937020346346</v>
      </c>
      <c r="AQ419" s="7">
        <f t="shared" si="170"/>
        <v>33171.285714285717</v>
      </c>
      <c r="AR419" s="290">
        <f t="shared" si="176"/>
        <v>328.59199999999998</v>
      </c>
      <c r="AS419" s="68">
        <f t="shared" si="177"/>
        <v>1.523056653491436</v>
      </c>
      <c r="AT419" s="179">
        <f t="shared" si="181"/>
        <v>1.1133284133881221E-2</v>
      </c>
    </row>
    <row r="420" spans="1:46" hidden="1" x14ac:dyDescent="0.25">
      <c r="A420" s="74">
        <v>44311</v>
      </c>
      <c r="B420" s="671">
        <v>15012</v>
      </c>
      <c r="C420" s="515">
        <f t="shared" si="179"/>
        <v>2860884</v>
      </c>
      <c r="D420" s="670">
        <v>170</v>
      </c>
      <c r="E420" s="515">
        <f t="shared" si="180"/>
        <v>61580</v>
      </c>
      <c r="F420" s="515">
        <f t="shared" si="192"/>
        <v>21890</v>
      </c>
      <c r="G420" s="515">
        <v>2518167</v>
      </c>
      <c r="H420" s="536">
        <v>4942</v>
      </c>
      <c r="I420" s="511">
        <v>43550</v>
      </c>
      <c r="J420" s="511">
        <f t="shared" si="193"/>
        <v>10733477</v>
      </c>
      <c r="K420" s="511"/>
      <c r="L420" s="541">
        <f t="shared" si="186"/>
        <v>2.1524815406706459E-2</v>
      </c>
      <c r="M420" s="522">
        <v>18157</v>
      </c>
      <c r="N420" s="511">
        <v>5905380</v>
      </c>
      <c r="O420" s="520">
        <f t="shared" si="200"/>
        <v>0.45778092514506119</v>
      </c>
      <c r="P420" s="520">
        <f>AVERAGE(O414:O420)</f>
        <v>0.27813537103617025</v>
      </c>
      <c r="Q420" s="541" t="e">
        <f>B420/(B420+#REF!)</f>
        <v>#REF!</v>
      </c>
      <c r="R420" s="511"/>
      <c r="S420" s="511">
        <f t="shared" si="194"/>
        <v>281137</v>
      </c>
      <c r="T420" s="507">
        <f t="shared" si="173"/>
        <v>84</v>
      </c>
      <c r="U420" s="512">
        <f t="shared" si="196"/>
        <v>-7048</v>
      </c>
      <c r="V420" s="512">
        <f>SUM(B407:B420)/POBLA!$B$25*100000</f>
        <v>723.4923648684279</v>
      </c>
      <c r="W420" s="512">
        <f>B420/POBLA!$B$25*100000</f>
        <v>33.080534905991186</v>
      </c>
      <c r="X420" s="513">
        <f t="shared" si="172"/>
        <v>1.4659522693277967</v>
      </c>
      <c r="Y420" s="519">
        <f t="shared" si="201"/>
        <v>1.7578618253733944E-2</v>
      </c>
      <c r="Z420" s="520">
        <f t="shared" si="197"/>
        <v>0.28823018341920764</v>
      </c>
      <c r="AA420" s="517">
        <f t="shared" si="198"/>
        <v>23838.571428571428</v>
      </c>
      <c r="AB420" s="517">
        <f t="shared" si="199"/>
        <v>345.28571428571428</v>
      </c>
      <c r="AC420" s="517">
        <f t="shared" si="202"/>
        <v>452.73227213052576</v>
      </c>
      <c r="AD420" s="517">
        <f t="shared" si="190"/>
        <v>107.44655784481148</v>
      </c>
      <c r="AE420" s="545">
        <f t="shared" si="162"/>
        <v>23451.571428571428</v>
      </c>
      <c r="AF420" s="520">
        <f t="shared" si="187"/>
        <v>1.0335579614993931</v>
      </c>
      <c r="AG420" s="200">
        <f t="shared" si="182"/>
        <v>3.8632333382591977E-2</v>
      </c>
      <c r="AH420" s="200">
        <f t="shared" si="165"/>
        <v>-7.7150058400442645E-2</v>
      </c>
      <c r="AI420" s="200">
        <f t="shared" si="169"/>
        <v>1.6657477601654032</v>
      </c>
      <c r="AJ420" s="489">
        <f t="shared" si="184"/>
        <v>3.3557961499393052E-2</v>
      </c>
      <c r="AK420" s="414">
        <f t="shared" si="185"/>
        <v>1.6687379177022919E-2</v>
      </c>
      <c r="AL420" s="28">
        <f t="shared" si="191"/>
        <v>1.8257721294517512E-2</v>
      </c>
      <c r="AM420" s="200">
        <f t="shared" si="188"/>
        <v>1.2038976857490864</v>
      </c>
      <c r="AN420" s="200">
        <f t="shared" si="189"/>
        <v>1.6657477601654032</v>
      </c>
      <c r="AO420" s="18">
        <f t="shared" si="183"/>
        <v>44330</v>
      </c>
      <c r="AP420" s="355">
        <f t="shared" si="178"/>
        <v>1.4659522693277967</v>
      </c>
      <c r="AQ420" s="7">
        <f t="shared" si="170"/>
        <v>33171.285714285717</v>
      </c>
      <c r="AR420" s="290">
        <f t="shared" si="176"/>
        <v>339.58000000000004</v>
      </c>
      <c r="AS420" s="68">
        <f t="shared" si="177"/>
        <v>1.6657477601654032</v>
      </c>
      <c r="AT420" s="179">
        <f t="shared" si="181"/>
        <v>1.1140105960869237E-2</v>
      </c>
    </row>
    <row r="421" spans="1:46" hidden="1" x14ac:dyDescent="0.25">
      <c r="A421" s="74">
        <v>44312</v>
      </c>
      <c r="B421" s="671">
        <v>18793</v>
      </c>
      <c r="C421" s="515">
        <f t="shared" si="179"/>
        <v>2879677</v>
      </c>
      <c r="D421" s="670">
        <v>443</v>
      </c>
      <c r="E421" s="515">
        <f t="shared" si="180"/>
        <v>62023</v>
      </c>
      <c r="F421" s="515">
        <f t="shared" si="192"/>
        <v>23837</v>
      </c>
      <c r="G421" s="515">
        <v>2542004</v>
      </c>
      <c r="H421" s="536">
        <v>5036</v>
      </c>
      <c r="I421" s="511">
        <v>67355</v>
      </c>
      <c r="J421" s="511">
        <f t="shared" si="193"/>
        <v>10800832</v>
      </c>
      <c r="K421" s="511"/>
      <c r="L421" s="541">
        <f t="shared" si="186"/>
        <v>2.1538179455543104E-2</v>
      </c>
      <c r="M421" s="522">
        <v>18284</v>
      </c>
      <c r="N421" s="511">
        <v>5931513</v>
      </c>
      <c r="O421" s="520">
        <f t="shared" si="200"/>
        <v>0.41831010995859857</v>
      </c>
      <c r="P421" s="511"/>
      <c r="Q421" s="511"/>
      <c r="R421" s="511"/>
      <c r="S421" s="511">
        <f t="shared" ref="S421:S433" si="203">C421-E421-G421</f>
        <v>275650</v>
      </c>
      <c r="T421" s="507">
        <f t="shared" ref="T421:T433" si="204">H421-H420</f>
        <v>94</v>
      </c>
      <c r="U421" s="512">
        <f t="shared" si="196"/>
        <v>-5487</v>
      </c>
      <c r="V421" s="512">
        <f>SUM(B408:B421)/POBLA!$B$25*100000</f>
        <v>722.07324253433126</v>
      </c>
      <c r="W421" s="512">
        <f>B421/POBLA!$B$25*100000</f>
        <v>41.412369603536661</v>
      </c>
      <c r="X421" s="513">
        <f t="shared" si="172"/>
        <v>1.4284879767032277</v>
      </c>
      <c r="Y421" s="519">
        <f t="shared" si="201"/>
        <v>1.8269544712497733E-2</v>
      </c>
      <c r="Z421" s="520">
        <f t="shared" si="197"/>
        <v>0.28502809701189963</v>
      </c>
      <c r="AA421" s="517">
        <f t="shared" si="198"/>
        <v>23600.285714285714</v>
      </c>
      <c r="AB421" s="542">
        <f t="shared" si="199"/>
        <v>373.14285714285717</v>
      </c>
      <c r="AC421" s="517">
        <f t="shared" si="202"/>
        <v>469.37616018994186</v>
      </c>
      <c r="AD421" s="517">
        <f t="shared" si="190"/>
        <v>96.233303047084689</v>
      </c>
      <c r="AE421" s="545">
        <f t="shared" si="162"/>
        <v>23405.571428571428</v>
      </c>
      <c r="AF421" s="520">
        <f t="shared" si="187"/>
        <v>1.0167778625766268</v>
      </c>
      <c r="AG421" s="200">
        <f t="shared" si="182"/>
        <v>2.5937822175740033E-2</v>
      </c>
      <c r="AH421" s="200">
        <f t="shared" si="165"/>
        <v>-8.1520942280435937E-2</v>
      </c>
      <c r="AI421" s="200">
        <f t="shared" si="169"/>
        <v>1.7184210526315791</v>
      </c>
      <c r="AJ421" s="489">
        <f t="shared" si="184"/>
        <v>1.6777862576626834E-2</v>
      </c>
      <c r="AK421" s="414">
        <f t="shared" si="185"/>
        <v>1.7301336018175677E-2</v>
      </c>
      <c r="AL421" s="28">
        <f t="shared" si="191"/>
        <v>1.8743416914482228E-2</v>
      </c>
      <c r="AM421" s="200">
        <f t="shared" si="188"/>
        <v>1.1700743494423791</v>
      </c>
      <c r="AN421" s="200">
        <f t="shared" si="189"/>
        <v>1.7184210526315791</v>
      </c>
      <c r="AO421" s="18">
        <f t="shared" si="183"/>
        <v>44331</v>
      </c>
      <c r="AP421" s="355">
        <f t="shared" si="178"/>
        <v>1.4284879767032277</v>
      </c>
      <c r="AQ421" s="7">
        <f t="shared" si="170"/>
        <v>33171.285714285717</v>
      </c>
      <c r="AR421" s="290">
        <f t="shared" si="176"/>
        <v>338.19200000000001</v>
      </c>
      <c r="AS421" s="68">
        <f t="shared" si="177"/>
        <v>1.7184210526315791</v>
      </c>
      <c r="AT421" s="179">
        <f t="shared" si="181"/>
        <v>1.1513294413856071E-2</v>
      </c>
    </row>
    <row r="422" spans="1:46" hidden="1" x14ac:dyDescent="0.25">
      <c r="A422" s="74">
        <v>44313</v>
      </c>
      <c r="B422" s="671">
        <v>25495</v>
      </c>
      <c r="C422" s="515">
        <f t="shared" si="179"/>
        <v>2905172</v>
      </c>
      <c r="D422" s="670">
        <v>516</v>
      </c>
      <c r="E422" s="515">
        <f t="shared" si="180"/>
        <v>62539</v>
      </c>
      <c r="F422" s="515">
        <f t="shared" si="192"/>
        <v>21219</v>
      </c>
      <c r="G422" s="515">
        <v>2563223</v>
      </c>
      <c r="H422" s="536">
        <v>5134</v>
      </c>
      <c r="I422" s="511">
        <v>62599</v>
      </c>
      <c r="J422" s="511">
        <f t="shared" si="193"/>
        <v>10863431</v>
      </c>
      <c r="K422" s="511"/>
      <c r="L422" s="541">
        <f t="shared" si="186"/>
        <v>2.1526780514200192E-2</v>
      </c>
      <c r="M422" s="522">
        <v>18427</v>
      </c>
      <c r="N422" s="511">
        <v>5965896</v>
      </c>
      <c r="O422" s="520">
        <f t="shared" si="200"/>
        <v>0.42578242426266744</v>
      </c>
      <c r="P422" s="511"/>
      <c r="Q422" s="511"/>
      <c r="R422" s="511"/>
      <c r="S422" s="511">
        <f t="shared" si="203"/>
        <v>279410</v>
      </c>
      <c r="T422" s="507">
        <f t="shared" si="204"/>
        <v>98</v>
      </c>
      <c r="U422" s="512">
        <f t="shared" si="196"/>
        <v>3760</v>
      </c>
      <c r="V422" s="512">
        <f>SUM(B409:B422)/POBLA!$B$25*100000</f>
        <v>718.75461173440965</v>
      </c>
      <c r="W422" s="512">
        <f>B422/POBLA!$B$25*100000</f>
        <v>56.180937745020337</v>
      </c>
      <c r="X422" s="513">
        <f t="shared" si="172"/>
        <v>1.3246370337279427</v>
      </c>
      <c r="Y422" s="519">
        <f t="shared" si="201"/>
        <v>1.8374431838516874E-2</v>
      </c>
      <c r="Z422" s="520">
        <f t="shared" si="197"/>
        <v>0.29762218386209516</v>
      </c>
      <c r="AA422" s="517">
        <f t="shared" si="198"/>
        <v>23078.857142857141</v>
      </c>
      <c r="AB422" s="540">
        <f t="shared" si="199"/>
        <v>401.71428571428572</v>
      </c>
      <c r="AC422" s="517">
        <f t="shared" si="202"/>
        <v>485.93712225114933</v>
      </c>
      <c r="AD422" s="517">
        <f t="shared" si="190"/>
        <v>84.22283653686361</v>
      </c>
      <c r="AE422" s="545">
        <f t="shared" si="162"/>
        <v>23298</v>
      </c>
      <c r="AF422" s="520">
        <f t="shared" si="187"/>
        <v>0.98136313935123298</v>
      </c>
      <c r="AG422" s="200">
        <f t="shared" si="182"/>
        <v>1.2208375597739352E-2</v>
      </c>
      <c r="AH422" s="200">
        <f t="shared" si="165"/>
        <v>-0.12523588951792763</v>
      </c>
      <c r="AI422" s="200">
        <f t="shared" si="169"/>
        <v>1.7368746139592341</v>
      </c>
      <c r="AJ422" s="489">
        <f t="shared" si="184"/>
        <v>-1.8636860648767017E-2</v>
      </c>
      <c r="AK422" s="414">
        <f t="shared" si="185"/>
        <v>1.8249193647826904E-2</v>
      </c>
      <c r="AL422" s="28">
        <f t="shared" si="191"/>
        <v>1.8598753803796553E-2</v>
      </c>
      <c r="AM422" s="200">
        <f t="shared" si="188"/>
        <v>1.1759047182775997</v>
      </c>
      <c r="AN422" s="200">
        <f t="shared" si="189"/>
        <v>1.7368746139592341</v>
      </c>
      <c r="AO422" s="18">
        <f t="shared" si="183"/>
        <v>44332</v>
      </c>
      <c r="AP422" s="355">
        <f t="shared" si="178"/>
        <v>1.3246370337279427</v>
      </c>
      <c r="AQ422" s="7">
        <f t="shared" si="170"/>
        <v>33171.285714285717</v>
      </c>
      <c r="AR422" s="290">
        <f t="shared" si="176"/>
        <v>381.05599999999998</v>
      </c>
      <c r="AS422" s="68">
        <f t="shared" si="177"/>
        <v>1.7368746139592341</v>
      </c>
      <c r="AT422" s="179">
        <f t="shared" si="181"/>
        <v>1.1889536101915099E-2</v>
      </c>
    </row>
    <row r="423" spans="1:46" hidden="1" x14ac:dyDescent="0.25">
      <c r="A423" s="74">
        <v>44314</v>
      </c>
      <c r="B423" s="671">
        <v>23718</v>
      </c>
      <c r="C423" s="515">
        <f t="shared" si="179"/>
        <v>2928890</v>
      </c>
      <c r="D423" s="670">
        <v>348</v>
      </c>
      <c r="E423" s="515">
        <f t="shared" si="180"/>
        <v>62887</v>
      </c>
      <c r="F423" s="515">
        <f t="shared" si="192"/>
        <v>18941</v>
      </c>
      <c r="G423" s="515">
        <v>2582164</v>
      </c>
      <c r="H423" s="536">
        <v>5178</v>
      </c>
      <c r="I423" s="511">
        <v>92172</v>
      </c>
      <c r="J423" s="511">
        <f t="shared" si="193"/>
        <v>10955603</v>
      </c>
      <c r="K423" s="511"/>
      <c r="L423" s="541">
        <f t="shared" si="186"/>
        <v>2.1471274100427123E-2</v>
      </c>
      <c r="M423" s="522">
        <v>18521</v>
      </c>
      <c r="N423" s="511">
        <v>6004195</v>
      </c>
      <c r="O423" s="520">
        <f t="shared" si="200"/>
        <v>0.38244352354999434</v>
      </c>
      <c r="P423" s="511"/>
      <c r="Q423" s="511"/>
      <c r="R423" s="511"/>
      <c r="S423" s="511">
        <f t="shared" si="203"/>
        <v>283839</v>
      </c>
      <c r="T423" s="507">
        <f t="shared" si="204"/>
        <v>44</v>
      </c>
      <c r="U423" s="512">
        <f t="shared" si="196"/>
        <v>4429</v>
      </c>
      <c r="V423" s="512">
        <f>SUM(B410:B423)/POBLA!$B$25*100000</f>
        <v>715.58362254378073</v>
      </c>
      <c r="W423" s="512">
        <f>B423/POBLA!$B$25*100000</f>
        <v>52.265129689601586</v>
      </c>
      <c r="X423" s="513">
        <f t="shared" si="172"/>
        <v>1.2717869787260707</v>
      </c>
      <c r="Y423" s="519">
        <f t="shared" si="201"/>
        <v>1.8242736199042413E-2</v>
      </c>
      <c r="Z423" s="520">
        <f t="shared" si="197"/>
        <v>0.29857139644872843</v>
      </c>
      <c r="AA423" s="517">
        <f t="shared" si="198"/>
        <v>22762.571428571428</v>
      </c>
      <c r="AB423" s="542">
        <f t="shared" si="199"/>
        <v>409.85714285714283</v>
      </c>
      <c r="AC423" s="517">
        <f t="shared" si="202"/>
        <v>494.29257935348318</v>
      </c>
      <c r="AD423" s="517">
        <f t="shared" si="190"/>
        <v>84.435436496340344</v>
      </c>
      <c r="AE423" s="545">
        <f t="shared" si="162"/>
        <v>23195.214285714286</v>
      </c>
      <c r="AF423" s="520">
        <f t="shared" si="187"/>
        <v>0.96337857855436981</v>
      </c>
      <c r="AG423" s="200">
        <f t="shared" si="182"/>
        <v>-3.5807188819731994E-3</v>
      </c>
      <c r="AH423" s="200">
        <f t="shared" si="165"/>
        <v>-8.5377140212864466E-2</v>
      </c>
      <c r="AI423" s="200">
        <f t="shared" si="169"/>
        <v>1.8605706874189365</v>
      </c>
      <c r="AJ423" s="489">
        <f t="shared" si="184"/>
        <v>-3.6621421445630187E-2</v>
      </c>
      <c r="AK423" s="414">
        <f t="shared" si="185"/>
        <v>1.8461439464624689E-2</v>
      </c>
      <c r="AL423" s="28">
        <f t="shared" si="191"/>
        <v>1.8177414089075649E-2</v>
      </c>
      <c r="AM423" s="200">
        <f t="shared" si="188"/>
        <v>1.1527159394479074</v>
      </c>
      <c r="AN423" s="200">
        <f t="shared" si="189"/>
        <v>1.8605706874189365</v>
      </c>
      <c r="AO423" s="18">
        <f t="shared" si="183"/>
        <v>44333</v>
      </c>
      <c r="AP423" s="355">
        <f t="shared" si="178"/>
        <v>1.2717869787260707</v>
      </c>
      <c r="AQ423" s="7">
        <f t="shared" si="170"/>
        <v>33171.285714285717</v>
      </c>
      <c r="AR423" s="290">
        <f t="shared" si="176"/>
        <v>404.988</v>
      </c>
      <c r="AS423" s="68">
        <f t="shared" si="177"/>
        <v>1.8605706874189365</v>
      </c>
      <c r="AT423" s="179">
        <f t="shared" si="181"/>
        <v>1.2004374223748473E-2</v>
      </c>
    </row>
    <row r="424" spans="1:46" hidden="1" x14ac:dyDescent="0.25">
      <c r="A424" s="74">
        <v>44315</v>
      </c>
      <c r="B424" s="671">
        <v>26053</v>
      </c>
      <c r="C424" s="515">
        <f t="shared" si="179"/>
        <v>2954943</v>
      </c>
      <c r="D424" s="670">
        <v>561</v>
      </c>
      <c r="E424" s="515">
        <f t="shared" si="180"/>
        <v>63448</v>
      </c>
      <c r="F424" s="515">
        <f t="shared" si="192"/>
        <v>25913</v>
      </c>
      <c r="G424" s="515">
        <v>2608077</v>
      </c>
      <c r="H424" s="536">
        <v>5317</v>
      </c>
      <c r="I424" s="511">
        <v>84085</v>
      </c>
      <c r="J424" s="511">
        <f t="shared" si="193"/>
        <v>11039688</v>
      </c>
      <c r="K424" s="511"/>
      <c r="L424" s="541">
        <f t="shared" si="186"/>
        <v>2.1471818576534303E-2</v>
      </c>
      <c r="M424" s="522">
        <v>18709</v>
      </c>
      <c r="N424" s="511">
        <v>6039057</v>
      </c>
      <c r="O424" s="520">
        <f t="shared" si="200"/>
        <v>0.42769432816219322</v>
      </c>
      <c r="P424" s="511"/>
      <c r="Q424" s="511"/>
      <c r="R424" s="511"/>
      <c r="S424" s="511">
        <f t="shared" si="203"/>
        <v>283418</v>
      </c>
      <c r="T424" s="507">
        <f t="shared" si="204"/>
        <v>139</v>
      </c>
      <c r="U424" s="512">
        <f t="shared" si="196"/>
        <v>-421</v>
      </c>
      <c r="V424" s="512">
        <f>SUM(B411:B424)/POBLA!$B$25*100000</f>
        <v>717.90622338250409</v>
      </c>
      <c r="W424" s="512">
        <f>B424/POBLA!$B$25*100000</f>
        <v>57.410549953756224</v>
      </c>
      <c r="X424" s="513">
        <f t="shared" si="172"/>
        <v>1.225200729583874</v>
      </c>
      <c r="Y424" s="519">
        <f t="shared" si="201"/>
        <v>1.8760276340952235E-2</v>
      </c>
      <c r="Z424" s="520">
        <f t="shared" si="197"/>
        <v>0.305103871303744</v>
      </c>
      <c r="AA424" s="517">
        <f t="shared" si="198"/>
        <v>22596.428571428572</v>
      </c>
      <c r="AB424" s="542">
        <f t="shared" si="199"/>
        <v>413.28571428571428</v>
      </c>
      <c r="AC424" s="517">
        <f t="shared" si="202"/>
        <v>497.00810531701319</v>
      </c>
      <c r="AD424" s="517">
        <f t="shared" si="190"/>
        <v>83.722391031298912</v>
      </c>
      <c r="AE424" s="545">
        <f t="shared" si="162"/>
        <v>23270.5</v>
      </c>
      <c r="AF424" s="520">
        <f t="shared" si="187"/>
        <v>0.94369734863852239</v>
      </c>
      <c r="AG424" s="200">
        <f t="shared" si="182"/>
        <v>-1.0481111654214059E-2</v>
      </c>
      <c r="AH424" s="200">
        <f t="shared" ref="AH424:AH455" si="205">B424/B417-1</f>
        <v>-4.2732216343327467E-2</v>
      </c>
      <c r="AI424" s="200">
        <f t="shared" si="169"/>
        <v>1.7057783018867925</v>
      </c>
      <c r="AJ424" s="489">
        <f t="shared" si="184"/>
        <v>-5.6302651361477607E-2</v>
      </c>
      <c r="AK424" s="414">
        <f t="shared" si="185"/>
        <v>1.799722545366321E-2</v>
      </c>
      <c r="AL424" s="28">
        <f t="shared" si="191"/>
        <v>1.8563647789958802E-2</v>
      </c>
      <c r="AM424" s="200">
        <f t="shared" si="188"/>
        <v>1.1097891880609476</v>
      </c>
      <c r="AN424" s="200">
        <f t="shared" si="189"/>
        <v>1.7057783018867925</v>
      </c>
      <c r="AO424" s="18">
        <f t="shared" si="183"/>
        <v>44334</v>
      </c>
      <c r="AP424" s="355">
        <f t="shared" si="178"/>
        <v>1.2252007295838738</v>
      </c>
      <c r="AQ424" s="7">
        <f t="shared" si="170"/>
        <v>33171.285714285717</v>
      </c>
      <c r="AR424" s="290">
        <f t="shared" si="176"/>
        <v>442</v>
      </c>
      <c r="AS424" s="68">
        <f t="shared" si="177"/>
        <v>1.7057783018867925</v>
      </c>
      <c r="AT424" s="179">
        <f t="shared" si="181"/>
        <v>1.2398381170661773E-2</v>
      </c>
    </row>
    <row r="425" spans="1:46" hidden="1" x14ac:dyDescent="0.25">
      <c r="A425" s="74">
        <v>44316</v>
      </c>
      <c r="B425" s="671">
        <v>22420</v>
      </c>
      <c r="C425" s="515">
        <f t="shared" si="179"/>
        <v>2977363</v>
      </c>
      <c r="D425" s="670">
        <v>357</v>
      </c>
      <c r="E425" s="515">
        <f t="shared" si="180"/>
        <v>63805</v>
      </c>
      <c r="F425" s="515">
        <f t="shared" si="192"/>
        <v>26229</v>
      </c>
      <c r="G425" s="515">
        <v>2634306</v>
      </c>
      <c r="H425" s="536">
        <v>5369</v>
      </c>
      <c r="I425" s="511">
        <v>84215</v>
      </c>
      <c r="J425" s="511">
        <f t="shared" si="193"/>
        <v>11123903</v>
      </c>
      <c r="K425" s="511"/>
      <c r="L425" s="541">
        <f t="shared" si="186"/>
        <v>2.1430037251084263E-2</v>
      </c>
      <c r="M425" s="522">
        <v>18842</v>
      </c>
      <c r="N425" s="511">
        <v>6074979</v>
      </c>
      <c r="O425" s="520">
        <f t="shared" si="200"/>
        <v>0.38428576325803021</v>
      </c>
      <c r="P425" s="511"/>
      <c r="Q425" s="511"/>
      <c r="R425" s="511"/>
      <c r="S425" s="511">
        <f t="shared" si="203"/>
        <v>279252</v>
      </c>
      <c r="T425" s="507">
        <f t="shared" si="204"/>
        <v>52</v>
      </c>
      <c r="U425" s="512">
        <f t="shared" ref="U425:U436" si="206">(C425-G425-E425)-(C424-E424-G424)</f>
        <v>-4166</v>
      </c>
      <c r="V425" s="512">
        <f>SUM(B412:B425)/POBLA!$B$25*100000</f>
        <v>702.36639310292446</v>
      </c>
      <c r="W425" s="512">
        <f>B425/POBLA!$B$25*100000</f>
        <v>49.40484896031991</v>
      </c>
      <c r="X425" s="513">
        <f t="shared" si="172"/>
        <v>1.1165075750941413</v>
      </c>
      <c r="Y425" s="519">
        <f t="shared" si="201"/>
        <v>1.9226361852377066E-2</v>
      </c>
      <c r="Z425" s="520">
        <f t="shared" si="197"/>
        <v>0.29607491493548671</v>
      </c>
      <c r="AA425" s="517">
        <f t="shared" si="198"/>
        <v>21815.857142857141</v>
      </c>
      <c r="AB425" s="542">
        <f t="shared" si="199"/>
        <v>384.71428571428572</v>
      </c>
      <c r="AC425" s="517">
        <f t="shared" si="202"/>
        <v>509.77567554177779</v>
      </c>
      <c r="AD425" s="517">
        <f t="shared" si="190"/>
        <v>125.06138982749206</v>
      </c>
      <c r="AE425" s="545">
        <f t="shared" si="162"/>
        <v>22766.785714285714</v>
      </c>
      <c r="AF425" s="520">
        <f t="shared" si="187"/>
        <v>0.91981279814966499</v>
      </c>
      <c r="AG425" s="200">
        <f t="shared" si="182"/>
        <v>-3.3817026841875819E-2</v>
      </c>
      <c r="AH425" s="200">
        <f t="shared" si="205"/>
        <v>-0.19595466934442696</v>
      </c>
      <c r="AI425" s="200">
        <f t="shared" si="169"/>
        <v>1.2866698518872433</v>
      </c>
      <c r="AJ425" s="489">
        <f t="shared" si="184"/>
        <v>-8.018720185033501E-2</v>
      </c>
      <c r="AK425" s="414">
        <f t="shared" si="185"/>
        <v>1.6784358697887778E-2</v>
      </c>
      <c r="AL425" s="28">
        <f t="shared" si="191"/>
        <v>1.8576183457543614E-2</v>
      </c>
      <c r="AM425" s="200">
        <f t="shared" si="188"/>
        <v>1.1173777315296567</v>
      </c>
      <c r="AN425" s="200">
        <f t="shared" si="189"/>
        <v>1.2866698518872433</v>
      </c>
      <c r="AO425" s="18">
        <f t="shared" si="183"/>
        <v>44335</v>
      </c>
      <c r="AP425" s="355">
        <f t="shared" si="178"/>
        <v>1.1165075750941413</v>
      </c>
      <c r="AQ425" s="7">
        <f t="shared" si="170"/>
        <v>33171.285714285717</v>
      </c>
      <c r="AR425" s="290">
        <f t="shared" si="176"/>
        <v>498.91199999999998</v>
      </c>
      <c r="AS425" s="68">
        <f t="shared" si="177"/>
        <v>1.2866698518872433</v>
      </c>
      <c r="AT425" s="179">
        <f t="shared" si="181"/>
        <v>1.2643546493313096E-2</v>
      </c>
    </row>
    <row r="426" spans="1:46" hidden="1" x14ac:dyDescent="0.25">
      <c r="A426" s="74">
        <v>44317</v>
      </c>
      <c r="B426" s="671">
        <v>16502</v>
      </c>
      <c r="C426" s="515">
        <f t="shared" si="179"/>
        <v>2993865</v>
      </c>
      <c r="D426" s="670">
        <v>231</v>
      </c>
      <c r="E426" s="515">
        <f t="shared" si="180"/>
        <v>64036</v>
      </c>
      <c r="F426" s="515">
        <f t="shared" si="192"/>
        <v>21053</v>
      </c>
      <c r="G426" s="515">
        <v>2655359</v>
      </c>
      <c r="H426" s="536">
        <v>5370</v>
      </c>
      <c r="I426" s="511">
        <v>61497</v>
      </c>
      <c r="J426" s="511">
        <f t="shared" si="193"/>
        <v>11185400</v>
      </c>
      <c r="K426" s="511"/>
      <c r="L426" s="541">
        <f t="shared" si="186"/>
        <v>2.1389073989642151E-2</v>
      </c>
      <c r="M426" s="522">
        <v>18961</v>
      </c>
      <c r="N426" s="511">
        <v>6102481</v>
      </c>
      <c r="O426" s="520">
        <f t="shared" si="200"/>
        <v>0.37501136260339968</v>
      </c>
      <c r="P426" s="511"/>
      <c r="Q426" s="511"/>
      <c r="R426" s="511"/>
      <c r="S426" s="511">
        <f t="shared" si="203"/>
        <v>274470</v>
      </c>
      <c r="T426" s="507">
        <f t="shared" si="204"/>
        <v>1</v>
      </c>
      <c r="U426" s="512">
        <f t="shared" si="206"/>
        <v>-4782</v>
      </c>
      <c r="V426" s="512">
        <f>SUM(B413:B426)/POBLA!$B$25*100000</f>
        <v>696.59955591607536</v>
      </c>
      <c r="W426" s="512">
        <f>B426/POBLA!$B$25*100000</f>
        <v>36.363908008171236</v>
      </c>
      <c r="X426" s="513">
        <f t="shared" si="172"/>
        <v>1.0744638183610347</v>
      </c>
      <c r="Y426" s="519">
        <f t="shared" si="201"/>
        <v>1.9564979779210841E-2</v>
      </c>
      <c r="Z426" s="520">
        <f t="shared" si="197"/>
        <v>0.29869034235972497</v>
      </c>
      <c r="AA426" s="517">
        <f t="shared" ref="AA426:AA433" si="207">AVERAGE(B420:B426)</f>
        <v>21141.857142857141</v>
      </c>
      <c r="AB426" s="542">
        <f t="shared" si="199"/>
        <v>375.14285714285717</v>
      </c>
      <c r="AC426" s="517">
        <f t="shared" si="202"/>
        <v>505.8675289338388</v>
      </c>
      <c r="AD426" s="517">
        <f t="shared" si="190"/>
        <v>130.72467179098163</v>
      </c>
      <c r="AE426" s="545">
        <f t="shared" si="162"/>
        <v>22579.857142857141</v>
      </c>
      <c r="AF426" s="520">
        <f t="shared" si="187"/>
        <v>0.88025576208178435</v>
      </c>
      <c r="AG426" s="200">
        <f t="shared" si="182"/>
        <v>-4.759095719763351E-2</v>
      </c>
      <c r="AH426" s="200">
        <f t="shared" si="205"/>
        <v>-0.22233741753063152</v>
      </c>
      <c r="AI426" s="200">
        <f t="shared" si="169"/>
        <v>1.1358131487889274</v>
      </c>
      <c r="AJ426" s="489">
        <f t="shared" si="184"/>
        <v>-0.11974423791821565</v>
      </c>
      <c r="AK426" s="414">
        <f t="shared" si="185"/>
        <v>1.6264896068181257E-2</v>
      </c>
      <c r="AL426" s="28">
        <f t="shared" si="191"/>
        <v>1.8633863663965855E-2</v>
      </c>
      <c r="AM426" s="200">
        <f t="shared" si="188"/>
        <v>1.1053931659118978</v>
      </c>
      <c r="AN426" s="200">
        <f t="shared" si="189"/>
        <v>1.1358131487889274</v>
      </c>
      <c r="AO426" s="18">
        <f t="shared" si="183"/>
        <v>44336</v>
      </c>
      <c r="AP426" s="355">
        <f t="shared" si="178"/>
        <v>1.0744638183610347</v>
      </c>
      <c r="AQ426" s="7">
        <f t="shared" si="170"/>
        <v>33171.285714285717</v>
      </c>
      <c r="AR426" s="290">
        <f t="shared" si="176"/>
        <v>535.05200000000002</v>
      </c>
      <c r="AS426" s="68">
        <f t="shared" si="177"/>
        <v>1.1358131487889274</v>
      </c>
      <c r="AT426" s="179">
        <f t="shared" si="181"/>
        <v>1.2836695664859963E-2</v>
      </c>
    </row>
    <row r="427" spans="1:46" hidden="1" x14ac:dyDescent="0.25">
      <c r="A427" s="74">
        <v>44318</v>
      </c>
      <c r="B427" s="671">
        <v>11394</v>
      </c>
      <c r="C427" s="515">
        <f t="shared" si="179"/>
        <v>3005259</v>
      </c>
      <c r="D427" s="670">
        <v>156</v>
      </c>
      <c r="E427" s="515">
        <f t="shared" si="180"/>
        <v>64192</v>
      </c>
      <c r="F427" s="515">
        <f t="shared" si="192"/>
        <v>20838</v>
      </c>
      <c r="G427" s="515">
        <v>2676197</v>
      </c>
      <c r="H427" s="536">
        <v>5371</v>
      </c>
      <c r="I427" s="511">
        <v>35607</v>
      </c>
      <c r="J427" s="511">
        <f t="shared" si="193"/>
        <v>11221007</v>
      </c>
      <c r="K427" s="511"/>
      <c r="L427" s="541">
        <f t="shared" si="186"/>
        <v>2.1359889447132512E-2</v>
      </c>
      <c r="M427" s="522">
        <v>18963</v>
      </c>
      <c r="N427" s="511">
        <v>6116726</v>
      </c>
      <c r="O427" s="520">
        <f t="shared" si="200"/>
        <v>0.44440110768750729</v>
      </c>
      <c r="P427" s="511"/>
      <c r="Q427" s="511"/>
      <c r="R427" s="511"/>
      <c r="S427" s="511">
        <f t="shared" si="203"/>
        <v>264870</v>
      </c>
      <c r="T427" s="507">
        <f t="shared" si="204"/>
        <v>1</v>
      </c>
      <c r="U427" s="512">
        <f t="shared" si="206"/>
        <v>-9600</v>
      </c>
      <c r="V427" s="512">
        <f>SUM(B414:B427)/POBLA!$B$25*100000</f>
        <v>685.86138334767043</v>
      </c>
      <c r="W427" s="512">
        <f>B427/POBLA!$B$25*100000</f>
        <v>25.107888004187558</v>
      </c>
      <c r="X427" s="513">
        <f t="shared" si="172"/>
        <v>1.0356812479618798</v>
      </c>
      <c r="Y427" s="519">
        <f t="shared" si="201"/>
        <v>2.0277872163702949E-2</v>
      </c>
      <c r="Z427" s="520">
        <f t="shared" si="197"/>
        <v>0.29613562242323549</v>
      </c>
      <c r="AA427" s="517">
        <f t="shared" si="207"/>
        <v>20625</v>
      </c>
      <c r="AB427" s="542">
        <f t="shared" si="199"/>
        <v>373.14285714285717</v>
      </c>
      <c r="AC427" s="517">
        <f t="shared" si="202"/>
        <v>506.51898595499927</v>
      </c>
      <c r="AD427" s="517">
        <f t="shared" si="190"/>
        <v>133.3761288121421</v>
      </c>
      <c r="AE427" s="545">
        <f t="shared" si="162"/>
        <v>22231.785714285714</v>
      </c>
      <c r="AF427" s="520">
        <f t="shared" si="187"/>
        <v>0.86519446275543843</v>
      </c>
      <c r="AG427" s="200">
        <f t="shared" si="182"/>
        <v>-5.7861469674927224E-2</v>
      </c>
      <c r="AH427" s="200">
        <f t="shared" si="205"/>
        <v>-0.24100719424460426</v>
      </c>
      <c r="AI427" s="200">
        <f t="shared" si="169"/>
        <v>1.0806785270997106</v>
      </c>
      <c r="AJ427" s="489">
        <f t="shared" ref="AJ427:AJ432" si="208">AF427-1</f>
        <v>-0.13480553724456157</v>
      </c>
      <c r="AK427" s="414">
        <f t="shared" si="185"/>
        <v>1.6076220487948992E-2</v>
      </c>
      <c r="AL427" s="28">
        <f t="shared" si="191"/>
        <v>1.9104564678430802E-2</v>
      </c>
      <c r="AM427" s="200">
        <f t="shared" si="188"/>
        <v>1.0868069607446378</v>
      </c>
      <c r="AN427" s="200">
        <f t="shared" si="189"/>
        <v>1.0806785270997106</v>
      </c>
      <c r="AO427" s="18">
        <f t="shared" si="183"/>
        <v>44337</v>
      </c>
      <c r="AP427" s="355">
        <f t="shared" si="178"/>
        <v>1.0356812479618798</v>
      </c>
      <c r="AQ427" s="7">
        <f t="shared" ref="AQ427:AQ459" si="209">MAX(AA:AA)</f>
        <v>33171.285714285717</v>
      </c>
      <c r="AR427" s="290">
        <f t="shared" si="176"/>
        <v>556.28000000000009</v>
      </c>
      <c r="AS427" s="68">
        <f t="shared" si="177"/>
        <v>1.0806785270997106</v>
      </c>
      <c r="AT427" s="179">
        <f t="shared" si="181"/>
        <v>1.2923465368150278E-2</v>
      </c>
    </row>
    <row r="428" spans="1:46" hidden="1" x14ac:dyDescent="0.25">
      <c r="A428" s="74">
        <v>44319</v>
      </c>
      <c r="B428" s="671">
        <v>15920</v>
      </c>
      <c r="C428" s="515">
        <f t="shared" si="179"/>
        <v>3021179</v>
      </c>
      <c r="D428" s="670">
        <v>540</v>
      </c>
      <c r="E428" s="515">
        <f t="shared" si="180"/>
        <v>64732</v>
      </c>
      <c r="F428" s="515">
        <f t="shared" si="192"/>
        <v>21875</v>
      </c>
      <c r="G428" s="515">
        <v>2698072</v>
      </c>
      <c r="H428" s="515">
        <v>5426</v>
      </c>
      <c r="I428" s="511">
        <v>84298</v>
      </c>
      <c r="J428" s="511">
        <f t="shared" si="193"/>
        <v>11305305</v>
      </c>
      <c r="K428" s="511"/>
      <c r="L428" s="541">
        <f t="shared" si="186"/>
        <v>2.142607240418393E-2</v>
      </c>
      <c r="M428" s="522">
        <v>19033</v>
      </c>
      <c r="N428" s="511">
        <v>6153508</v>
      </c>
      <c r="O428" s="520">
        <f t="shared" si="200"/>
        <v>0.30207582254942889</v>
      </c>
      <c r="P428" s="511"/>
      <c r="Q428" s="511"/>
      <c r="R428" s="511"/>
      <c r="S428" s="511">
        <f t="shared" si="203"/>
        <v>258375</v>
      </c>
      <c r="T428" s="507">
        <f t="shared" si="204"/>
        <v>55</v>
      </c>
      <c r="U428" s="512">
        <f t="shared" si="206"/>
        <v>-6495</v>
      </c>
      <c r="V428" s="512">
        <f>SUM(B415:B428)/POBLA!$B$25*100000</f>
        <v>675.8548080074022</v>
      </c>
      <c r="W428" s="512">
        <f>B428/POBLA!$B$25*100000</f>
        <v>35.081409252823057</v>
      </c>
      <c r="X428" s="513">
        <f t="shared" si="172"/>
        <v>0.99800856447435216</v>
      </c>
      <c r="Y428" s="519">
        <f t="shared" si="201"/>
        <v>2.1000483792936623E-2</v>
      </c>
      <c r="Z428" s="520">
        <f t="shared" si="197"/>
        <v>0.28049469446333103</v>
      </c>
      <c r="AA428" s="517">
        <f>AVERAGE(B422:B428)</f>
        <v>20214.571428571428</v>
      </c>
      <c r="AB428" s="542">
        <f t="shared" si="199"/>
        <v>387</v>
      </c>
      <c r="AC428" s="517">
        <f t="shared" si="202"/>
        <v>508.00992225542166</v>
      </c>
      <c r="AD428" s="517">
        <f t="shared" si="190"/>
        <v>121.00992225542166</v>
      </c>
      <c r="AE428" s="545">
        <f t="shared" si="162"/>
        <v>21907.428571428572</v>
      </c>
      <c r="AF428" s="520">
        <f t="shared" si="187"/>
        <v>0.856539267079091</v>
      </c>
      <c r="AG428" s="200">
        <f t="shared" si="182"/>
        <v>-6.2670052602938564E-2</v>
      </c>
      <c r="AH428" s="200">
        <f t="shared" si="205"/>
        <v>-0.15287607087745436</v>
      </c>
      <c r="AI428" s="200">
        <f t="shared" si="169"/>
        <v>1.037136294027565</v>
      </c>
      <c r="AJ428" s="489">
        <f t="shared" si="208"/>
        <v>-0.143460732920909</v>
      </c>
      <c r="AK428" s="414">
        <f t="shared" si="185"/>
        <v>1.6456080670635403E-2</v>
      </c>
      <c r="AL428" s="28">
        <f t="shared" si="191"/>
        <v>1.9684382368946127E-2</v>
      </c>
      <c r="AM428" s="200">
        <f t="shared" si="188"/>
        <v>1.0774424146147736</v>
      </c>
      <c r="AN428" s="200">
        <f t="shared" si="189"/>
        <v>1.037136294027565</v>
      </c>
      <c r="AO428" s="18">
        <f t="shared" si="183"/>
        <v>44338</v>
      </c>
      <c r="AP428" s="355">
        <f t="shared" si="178"/>
        <v>0.99800856447435216</v>
      </c>
      <c r="AQ428" s="7">
        <f t="shared" si="209"/>
        <v>33171.285714285717</v>
      </c>
      <c r="AR428" s="290">
        <f t="shared" si="176"/>
        <v>579.36</v>
      </c>
      <c r="AS428" s="68">
        <f t="shared" si="177"/>
        <v>1.037136294027565</v>
      </c>
      <c r="AT428" s="179">
        <f t="shared" si="181"/>
        <v>1.3527967103798055E-2</v>
      </c>
    </row>
    <row r="429" spans="1:46" hidden="1" x14ac:dyDescent="0.25">
      <c r="A429" s="107">
        <v>44320</v>
      </c>
      <c r="B429" s="670">
        <v>26238</v>
      </c>
      <c r="C429" s="515">
        <f t="shared" si="179"/>
        <v>3047417</v>
      </c>
      <c r="D429" s="670">
        <v>412</v>
      </c>
      <c r="E429" s="515">
        <f t="shared" si="180"/>
        <v>65144</v>
      </c>
      <c r="F429" s="515">
        <f t="shared" si="192"/>
        <v>19386</v>
      </c>
      <c r="G429" s="515">
        <v>2717458</v>
      </c>
      <c r="H429" s="515">
        <v>5389</v>
      </c>
      <c r="I429" s="511">
        <v>105546</v>
      </c>
      <c r="J429" s="511">
        <f t="shared" si="193"/>
        <v>11410851</v>
      </c>
      <c r="K429" s="511"/>
      <c r="L429" s="541">
        <f t="shared" si="186"/>
        <v>2.1376792214521347E-2</v>
      </c>
      <c r="M429" s="522">
        <v>19083</v>
      </c>
      <c r="N429" s="522">
        <v>6197459</v>
      </c>
      <c r="O429" s="520">
        <f t="shared" si="200"/>
        <v>0.3738192594281155</v>
      </c>
      <c r="P429" s="511"/>
      <c r="Q429" s="511"/>
      <c r="R429" s="511"/>
      <c r="S429" s="511">
        <f t="shared" si="203"/>
        <v>264815</v>
      </c>
      <c r="T429" s="507">
        <f t="shared" si="204"/>
        <v>-37</v>
      </c>
      <c r="U429" s="512">
        <f t="shared" si="206"/>
        <v>6440</v>
      </c>
      <c r="V429" s="512">
        <f>SUM(B416:B429)/POBLA!$B$25*100000</f>
        <v>669.4489250489878</v>
      </c>
      <c r="W429" s="512">
        <f>B429/POBLA!$B$25*100000</f>
        <v>57.818217083892677</v>
      </c>
      <c r="X429" s="513">
        <f t="shared" si="172"/>
        <v>0.96262884556276951</v>
      </c>
      <c r="Y429" s="519">
        <f t="shared" ref="Y429:Y439" si="210">H429/S419</f>
        <v>1.8699793535402607E-2</v>
      </c>
      <c r="Z429" s="520">
        <f t="shared" ref="Z429:Z436" si="211">SUM(B423:B429)/SUM(I423:I429)</f>
        <v>0.25984618757078659</v>
      </c>
      <c r="AA429" s="517">
        <f t="shared" si="207"/>
        <v>20320.714285714286</v>
      </c>
      <c r="AB429" s="542">
        <f t="shared" si="199"/>
        <v>372.14285714285717</v>
      </c>
      <c r="AC429" s="517">
        <f t="shared" si="202"/>
        <v>511.95442205136698</v>
      </c>
      <c r="AD429" s="517">
        <f t="shared" si="190"/>
        <v>139.81156490850981</v>
      </c>
      <c r="AE429" s="545">
        <f t="shared" si="162"/>
        <v>21699.785714285714</v>
      </c>
      <c r="AF429" s="520">
        <f t="shared" si="187"/>
        <v>0.88049049222541353</v>
      </c>
      <c r="AG429" s="200">
        <f t="shared" si="182"/>
        <v>-5.2235066747789993E-2</v>
      </c>
      <c r="AH429" s="200">
        <f t="shared" si="205"/>
        <v>2.9142969209648983E-2</v>
      </c>
      <c r="AI429" s="200">
        <f t="shared" si="169"/>
        <v>0.92638691322901856</v>
      </c>
      <c r="AJ429" s="489">
        <f t="shared" si="208"/>
        <v>-0.11950950777458647</v>
      </c>
      <c r="AK429" s="414">
        <f t="shared" si="185"/>
        <v>1.5750173826294629E-2</v>
      </c>
      <c r="AL429" s="28">
        <f t="shared" si="191"/>
        <v>1.9287069181489567E-2</v>
      </c>
      <c r="AM429" s="200">
        <f t="shared" si="188"/>
        <v>1.0496688741721854</v>
      </c>
      <c r="AN429" s="200">
        <f t="shared" si="189"/>
        <v>0.92638691322901856</v>
      </c>
      <c r="AO429" s="18">
        <f t="shared" si="183"/>
        <v>44339</v>
      </c>
      <c r="AP429" s="355">
        <f t="shared" si="178"/>
        <v>0.96262884556276951</v>
      </c>
      <c r="AQ429" s="7">
        <f t="shared" si="209"/>
        <v>33171.285714285717</v>
      </c>
      <c r="AR429" s="290">
        <f t="shared" si="176"/>
        <v>603.88400000000001</v>
      </c>
      <c r="AS429" s="68">
        <f t="shared" si="177"/>
        <v>0.92638691322901856</v>
      </c>
      <c r="AT429" s="179">
        <f t="shared" si="181"/>
        <v>1.3678938716213633E-2</v>
      </c>
    </row>
    <row r="430" spans="1:46" hidden="1" x14ac:dyDescent="0.25">
      <c r="A430" s="107">
        <v>44321</v>
      </c>
      <c r="B430" s="670">
        <v>24079</v>
      </c>
      <c r="C430" s="515">
        <f t="shared" si="179"/>
        <v>3071496</v>
      </c>
      <c r="D430" s="670">
        <v>663</v>
      </c>
      <c r="E430" s="515">
        <f t="shared" ref="E430:E436" si="212">E429+D430</f>
        <v>65807</v>
      </c>
      <c r="F430" s="515">
        <f t="shared" si="192"/>
        <v>17007</v>
      </c>
      <c r="G430" s="515">
        <v>2734465</v>
      </c>
      <c r="H430" s="515">
        <v>5342</v>
      </c>
      <c r="I430" s="511">
        <v>67648</v>
      </c>
      <c r="J430" s="511">
        <f>11502946</f>
        <v>11502946</v>
      </c>
      <c r="K430" s="511"/>
      <c r="L430" s="541">
        <f t="shared" si="186"/>
        <v>2.1425064528815926E-2</v>
      </c>
      <c r="M430" s="522">
        <v>19149</v>
      </c>
      <c r="N430" s="522">
        <v>6224395</v>
      </c>
      <c r="O430" s="520">
        <f t="shared" si="200"/>
        <v>0.47199843183377438</v>
      </c>
      <c r="P430" s="511"/>
      <c r="Q430" s="511"/>
      <c r="R430" s="511"/>
      <c r="S430" s="511">
        <f t="shared" si="203"/>
        <v>271224</v>
      </c>
      <c r="T430" s="507">
        <f t="shared" si="204"/>
        <v>-47</v>
      </c>
      <c r="U430" s="512">
        <f t="shared" si="206"/>
        <v>6409</v>
      </c>
      <c r="V430" s="512">
        <f>SUM(B417:B430)/POBLA!$B$25*100000</f>
        <v>665.36564292929688</v>
      </c>
      <c r="W430" s="512">
        <f>B430/POBLA!$B$25*100000</f>
        <v>53.060631494894871</v>
      </c>
      <c r="X430" s="513">
        <f t="shared" si="172"/>
        <v>0.94509897209249916</v>
      </c>
      <c r="Y430" s="519">
        <f t="shared" si="210"/>
        <v>1.9001412122915163E-2</v>
      </c>
      <c r="Z430" s="520">
        <f t="shared" si="211"/>
        <v>0.27272344787491204</v>
      </c>
      <c r="AA430" s="517">
        <f t="shared" si="207"/>
        <v>20372.285714285714</v>
      </c>
      <c r="AB430" s="542">
        <f t="shared" si="199"/>
        <v>417.14285714285717</v>
      </c>
      <c r="AC430" s="517">
        <f t="shared" si="202"/>
        <v>512.03109022686704</v>
      </c>
      <c r="AD430" s="517">
        <f t="shared" si="190"/>
        <v>94.888233084009869</v>
      </c>
      <c r="AE430" s="545">
        <f t="shared" si="162"/>
        <v>21567.428571428572</v>
      </c>
      <c r="AF430" s="520">
        <f t="shared" si="187"/>
        <v>0.89499052329011286</v>
      </c>
      <c r="AG430" s="200">
        <f t="shared" si="182"/>
        <v>-4.4444209569509452E-2</v>
      </c>
      <c r="AH430" s="200">
        <f t="shared" si="205"/>
        <v>1.5220507631334756E-2</v>
      </c>
      <c r="AI430" s="200">
        <f t="shared" si="169"/>
        <v>1.0177762286510981</v>
      </c>
      <c r="AJ430" s="489">
        <f t="shared" si="208"/>
        <v>-0.10500947670988714</v>
      </c>
      <c r="AK430" s="414">
        <f t="shared" si="185"/>
        <v>1.7421187027181827E-2</v>
      </c>
      <c r="AL430" s="28">
        <f t="shared" si="191"/>
        <v>1.8820528539066159E-2</v>
      </c>
      <c r="AM430" s="200">
        <f t="shared" si="188"/>
        <v>1.0316724604094245</v>
      </c>
      <c r="AN430" s="200">
        <f t="shared" si="189"/>
        <v>1.0177762286510981</v>
      </c>
      <c r="AO430" s="18">
        <f t="shared" si="183"/>
        <v>44340</v>
      </c>
      <c r="AP430" s="355">
        <f t="shared" si="178"/>
        <v>0.94509897209249927</v>
      </c>
      <c r="AQ430" s="7">
        <f t="shared" si="209"/>
        <v>33171.285714285717</v>
      </c>
      <c r="AR430" s="290">
        <f t="shared" ref="AR430:AR459" si="213">AA409*0.028</f>
        <v>616.35599999999999</v>
      </c>
      <c r="AS430" s="68">
        <f t="shared" ref="AS430:AS454" si="214">AB430/AB423</f>
        <v>1.0177762286510981</v>
      </c>
      <c r="AT430" s="179">
        <f t="shared" si="181"/>
        <v>1.4053108587960628E-2</v>
      </c>
    </row>
    <row r="431" spans="1:46" hidden="1" x14ac:dyDescent="0.25">
      <c r="A431" s="107">
        <v>44322</v>
      </c>
      <c r="B431" s="670">
        <v>24086</v>
      </c>
      <c r="C431" s="515">
        <f t="shared" si="179"/>
        <v>3095582</v>
      </c>
      <c r="D431" s="670">
        <v>399</v>
      </c>
      <c r="E431" s="515">
        <f t="shared" si="212"/>
        <v>66206</v>
      </c>
      <c r="F431" s="515">
        <f t="shared" si="192"/>
        <v>22765</v>
      </c>
      <c r="G431" s="515">
        <v>2757230</v>
      </c>
      <c r="H431" s="515">
        <v>5299</v>
      </c>
      <c r="I431" s="511">
        <v>107412</v>
      </c>
      <c r="J431" s="511">
        <f>11610358</f>
        <v>11610358</v>
      </c>
      <c r="K431" s="511"/>
      <c r="L431" s="541">
        <f t="shared" si="186"/>
        <v>2.1387254480740615E-2</v>
      </c>
      <c r="M431" s="522">
        <v>19235</v>
      </c>
      <c r="N431" s="522">
        <v>6266535</v>
      </c>
      <c r="O431" s="520">
        <f>B431/(B431+(N431-N430))</f>
        <v>0.36369401745538005</v>
      </c>
      <c r="P431" s="511"/>
      <c r="Q431" s="511"/>
      <c r="R431" s="511"/>
      <c r="S431" s="511">
        <f t="shared" si="203"/>
        <v>272146</v>
      </c>
      <c r="T431" s="507">
        <f t="shared" si="204"/>
        <v>-43</v>
      </c>
      <c r="U431" s="512">
        <f t="shared" si="206"/>
        <v>922</v>
      </c>
      <c r="V431" s="512">
        <f>SUM(B418:B431)/POBLA!$B$25*100000</f>
        <v>658.46835580860977</v>
      </c>
      <c r="W431" s="512">
        <f>B431/POBLA!$B$25*100000</f>
        <v>53.076056737656792</v>
      </c>
      <c r="X431" s="513">
        <f t="shared" si="172"/>
        <v>0.9250720550311593</v>
      </c>
      <c r="Y431" s="519">
        <f t="shared" si="210"/>
        <v>1.9223653183384728E-2</v>
      </c>
      <c r="Z431" s="520">
        <f t="shared" si="211"/>
        <v>0.25747542670301321</v>
      </c>
      <c r="AA431" s="517">
        <f t="shared" si="207"/>
        <v>20091.285714285714</v>
      </c>
      <c r="AB431" s="542">
        <f t="shared" si="199"/>
        <v>394</v>
      </c>
      <c r="AC431" s="517">
        <f t="shared" si="202"/>
        <v>518.44254613079909</v>
      </c>
      <c r="AD431" s="517">
        <f t="shared" si="190"/>
        <v>124.44254613079909</v>
      </c>
      <c r="AE431" s="545">
        <f t="shared" si="162"/>
        <v>21343.857142857141</v>
      </c>
      <c r="AF431" s="520">
        <f t="shared" si="187"/>
        <v>0.88913545124071436</v>
      </c>
      <c r="AG431" s="200">
        <f t="shared" si="182"/>
        <v>-3.9771644708522347E-2</v>
      </c>
      <c r="AH431" s="200">
        <f t="shared" si="205"/>
        <v>-7.5499942425056643E-2</v>
      </c>
      <c r="AI431" s="200">
        <f t="shared" si="169"/>
        <v>0.95333563774628416</v>
      </c>
      <c r="AJ431" s="489">
        <f t="shared" si="208"/>
        <v>-0.11086454875928564</v>
      </c>
      <c r="AK431" s="414">
        <f t="shared" si="185"/>
        <v>1.6612056088276393E-2</v>
      </c>
      <c r="AL431" s="28">
        <f t="shared" si="191"/>
        <v>1.8696765907599375E-2</v>
      </c>
      <c r="AM431" s="200">
        <f t="shared" si="188"/>
        <v>0.99661463231145386</v>
      </c>
      <c r="AN431" s="200">
        <f t="shared" si="189"/>
        <v>0.95333563774628416</v>
      </c>
      <c r="AO431" s="18">
        <f t="shared" si="183"/>
        <v>44341</v>
      </c>
      <c r="AP431" s="355">
        <f t="shared" si="178"/>
        <v>0.92507205503115919</v>
      </c>
      <c r="AQ431" s="7">
        <f t="shared" si="209"/>
        <v>33171.285714285717</v>
      </c>
      <c r="AR431" s="290">
        <f t="shared" si="213"/>
        <v>621.62</v>
      </c>
      <c r="AS431" s="68">
        <f t="shared" si="214"/>
        <v>0.95333563774628416</v>
      </c>
      <c r="AT431" s="179">
        <f t="shared" si="181"/>
        <v>1.4338936384077369E-2</v>
      </c>
    </row>
    <row r="432" spans="1:46" hidden="1" x14ac:dyDescent="0.25">
      <c r="A432" s="107">
        <v>44323</v>
      </c>
      <c r="B432" s="670">
        <v>22552</v>
      </c>
      <c r="C432" s="515">
        <f t="shared" si="179"/>
        <v>3118134</v>
      </c>
      <c r="D432" s="670">
        <v>611</v>
      </c>
      <c r="E432" s="515">
        <f t="shared" si="212"/>
        <v>66817</v>
      </c>
      <c r="F432" s="515">
        <f t="shared" si="192"/>
        <v>20672</v>
      </c>
      <c r="G432" s="515">
        <v>2777902</v>
      </c>
      <c r="H432" s="515">
        <v>5268</v>
      </c>
      <c r="I432" s="511">
        <v>73565</v>
      </c>
      <c r="J432" s="511">
        <f>J431+I432</f>
        <v>11683923</v>
      </c>
      <c r="K432" s="511"/>
      <c r="L432" s="541">
        <f t="shared" si="186"/>
        <v>2.1428521032130114E-2</v>
      </c>
      <c r="M432" s="522"/>
      <c r="N432" s="522"/>
      <c r="O432" s="520"/>
      <c r="P432" s="511"/>
      <c r="Q432" s="511"/>
      <c r="R432" s="511"/>
      <c r="S432" s="511">
        <f t="shared" si="203"/>
        <v>273415</v>
      </c>
      <c r="T432" s="507">
        <f t="shared" si="204"/>
        <v>-31</v>
      </c>
      <c r="U432" s="512">
        <f t="shared" si="206"/>
        <v>1269</v>
      </c>
      <c r="V432" s="512">
        <f>SUM(B419:B432)/POBLA!$B$25*100000</f>
        <v>646.71872803624478</v>
      </c>
      <c r="W432" s="512">
        <f>B432/POBLA!$B$25*100000</f>
        <v>49.695724966687543</v>
      </c>
      <c r="X432" s="513">
        <f t="shared" si="172"/>
        <v>0.89812743480908652</v>
      </c>
      <c r="Y432" s="519">
        <f t="shared" si="210"/>
        <v>1.8854013814824093E-2</v>
      </c>
      <c r="Z432" s="520">
        <f t="shared" si="211"/>
        <v>0.26284185349149414</v>
      </c>
      <c r="AA432" s="517">
        <f t="shared" si="207"/>
        <v>20110.142857142859</v>
      </c>
      <c r="AB432" s="542">
        <f t="shared" si="199"/>
        <v>430.28571428571428</v>
      </c>
      <c r="AC432" s="517">
        <f t="shared" si="202"/>
        <v>513.13823983576435</v>
      </c>
      <c r="AD432" s="517">
        <f t="shared" si="190"/>
        <v>82.852525550050075</v>
      </c>
      <c r="AE432" s="545">
        <f t="shared" si="162"/>
        <v>20963</v>
      </c>
      <c r="AF432" s="520">
        <f t="shared" si="187"/>
        <v>0.9218130979431739</v>
      </c>
      <c r="AG432" s="200">
        <f t="shared" si="182"/>
        <v>-2.0902267485998327E-2</v>
      </c>
      <c r="AH432" s="200">
        <f t="shared" si="205"/>
        <v>5.8876003568242297E-3</v>
      </c>
      <c r="AI432" s="200">
        <f t="shared" si="169"/>
        <v>1.1184552543631636</v>
      </c>
      <c r="AJ432" s="489">
        <f t="shared" si="208"/>
        <v>-7.8186902056826102E-2</v>
      </c>
      <c r="AK432" s="414">
        <f t="shared" si="185"/>
        <v>1.7915241635687734E-2</v>
      </c>
      <c r="AL432" s="28">
        <f t="shared" si="191"/>
        <v>1.8864681363069916E-2</v>
      </c>
      <c r="AM432" s="200">
        <f t="shared" si="188"/>
        <v>0.98118830322220152</v>
      </c>
      <c r="AN432" s="200">
        <f t="shared" si="189"/>
        <v>1.1184552543631636</v>
      </c>
      <c r="AO432" s="18">
        <f t="shared" si="183"/>
        <v>44342</v>
      </c>
      <c r="AP432" s="355">
        <f t="shared" si="178"/>
        <v>0.89812743480908652</v>
      </c>
      <c r="AQ432" s="7">
        <f t="shared" si="209"/>
        <v>33171.285714285717</v>
      </c>
      <c r="AR432" s="290">
        <f t="shared" si="213"/>
        <v>642.98799999999994</v>
      </c>
      <c r="AS432" s="68">
        <f t="shared" si="214"/>
        <v>1.1184552543631636</v>
      </c>
      <c r="AT432" s="179">
        <f t="shared" si="181"/>
        <v>1.4944631219071169E-2</v>
      </c>
    </row>
    <row r="433" spans="1:46" hidden="1" x14ac:dyDescent="0.25">
      <c r="A433" s="107">
        <v>44324</v>
      </c>
      <c r="B433" s="670">
        <v>18024</v>
      </c>
      <c r="C433" s="515">
        <f t="shared" si="179"/>
        <v>3136158</v>
      </c>
      <c r="D433" s="670">
        <v>170</v>
      </c>
      <c r="E433" s="515">
        <f t="shared" si="212"/>
        <v>66987</v>
      </c>
      <c r="F433" s="515">
        <f t="shared" si="192"/>
        <v>20426</v>
      </c>
      <c r="G433" s="515">
        <v>2798328</v>
      </c>
      <c r="H433" s="515">
        <v>5285</v>
      </c>
      <c r="I433" s="511">
        <v>95679</v>
      </c>
      <c r="J433" s="511">
        <f>J432+I433</f>
        <v>11779602</v>
      </c>
      <c r="K433" s="511"/>
      <c r="L433" s="541">
        <f t="shared" si="186"/>
        <v>2.1359574358179659E-2</v>
      </c>
      <c r="M433" s="522">
        <v>19442</v>
      </c>
      <c r="N433" s="522">
        <v>6343516</v>
      </c>
      <c r="O433" s="520">
        <f t="shared" ref="O433:O463" si="215">B433/(B433+(N433-N432))</f>
        <v>2.8332762192802372E-3</v>
      </c>
      <c r="P433" s="511"/>
      <c r="Q433" s="511"/>
      <c r="R433" s="511"/>
      <c r="S433" s="511">
        <f t="shared" si="203"/>
        <v>270843</v>
      </c>
      <c r="T433" s="507">
        <f t="shared" si="204"/>
        <v>17</v>
      </c>
      <c r="U433" s="512">
        <f t="shared" si="206"/>
        <v>-2572</v>
      </c>
      <c r="V433" s="512">
        <f>SUM(B420:B433)/POBLA!$B$25*100000</f>
        <v>639.67600291237397</v>
      </c>
      <c r="W433" s="512">
        <f>B433/POBLA!$B$25*100000</f>
        <v>39.717796505834343</v>
      </c>
      <c r="X433" s="513">
        <f t="shared" si="172"/>
        <v>0.88347759395201053</v>
      </c>
      <c r="Y433" s="519">
        <f t="shared" si="210"/>
        <v>1.8619710469667664E-2</v>
      </c>
      <c r="Z433" s="520">
        <f t="shared" si="211"/>
        <v>0.24974418829145861</v>
      </c>
      <c r="AA433" s="517">
        <f t="shared" si="207"/>
        <v>20327.571428571428</v>
      </c>
      <c r="AB433" s="542">
        <f t="shared" si="199"/>
        <v>421.57142857142856</v>
      </c>
      <c r="AC433" s="517">
        <f t="shared" si="202"/>
        <v>518.27229304159039</v>
      </c>
      <c r="AD433" s="517">
        <f t="shared" si="190"/>
        <v>96.700864470161832</v>
      </c>
      <c r="AE433" s="545">
        <f t="shared" si="162"/>
        <v>20734.714285714286</v>
      </c>
      <c r="AF433" s="520">
        <f t="shared" si="187"/>
        <v>0.96148466481522776</v>
      </c>
      <c r="AG433" s="200">
        <f t="shared" si="182"/>
        <v>-1.3214558968193235E-2</v>
      </c>
      <c r="AH433" s="200">
        <f t="shared" si="205"/>
        <v>9.2231244697612347E-2</v>
      </c>
      <c r="AI433" s="200">
        <f t="shared" si="169"/>
        <v>1.1237623762376237</v>
      </c>
      <c r="AJ433" s="489">
        <f t="shared" ref="AJ433:AJ442" si="216">AF433-1</f>
        <v>-3.8515335184772237E-2</v>
      </c>
      <c r="AK433" s="414">
        <f t="shared" si="185"/>
        <v>1.7684425001498173E-2</v>
      </c>
      <c r="AL433" s="28">
        <f t="shared" si="191"/>
        <v>1.9255292017342513E-2</v>
      </c>
      <c r="AM433" s="200">
        <f t="shared" si="188"/>
        <v>0.98417132216014902</v>
      </c>
      <c r="AN433" s="200">
        <f t="shared" si="189"/>
        <v>1.1237623762376237</v>
      </c>
      <c r="AO433" s="18">
        <f t="shared" si="183"/>
        <v>44343</v>
      </c>
      <c r="AP433" s="355">
        <f t="shared" si="178"/>
        <v>0.88347759395201053</v>
      </c>
      <c r="AQ433" s="7">
        <f t="shared" si="209"/>
        <v>33171.285714285717</v>
      </c>
      <c r="AR433" s="290">
        <f t="shared" si="213"/>
        <v>641.78800000000001</v>
      </c>
      <c r="AS433" s="68">
        <f t="shared" si="214"/>
        <v>1.1237623762376237</v>
      </c>
      <c r="AT433" s="179">
        <f t="shared" si="181"/>
        <v>1.4891146983652044E-2</v>
      </c>
    </row>
    <row r="434" spans="1:46" hidden="1" x14ac:dyDescent="0.25">
      <c r="A434" s="107">
        <v>44325</v>
      </c>
      <c r="B434" s="670">
        <v>11582</v>
      </c>
      <c r="C434" s="515">
        <f t="shared" si="179"/>
        <v>3147740</v>
      </c>
      <c r="D434" s="670">
        <v>283</v>
      </c>
      <c r="E434" s="515">
        <f t="shared" si="212"/>
        <v>67270</v>
      </c>
      <c r="F434" s="515">
        <f t="shared" si="192"/>
        <v>18837</v>
      </c>
      <c r="G434" s="515">
        <v>2817165</v>
      </c>
      <c r="H434" s="515">
        <v>5294</v>
      </c>
      <c r="I434" s="511">
        <v>41883</v>
      </c>
      <c r="J434" s="511">
        <f>J433+I434</f>
        <v>11821485</v>
      </c>
      <c r="K434" s="511"/>
      <c r="L434" s="541">
        <f t="shared" si="186"/>
        <v>2.1370888319873941E-2</v>
      </c>
      <c r="M434" s="522">
        <v>19523</v>
      </c>
      <c r="N434" s="522">
        <v>6378518</v>
      </c>
      <c r="O434" s="520">
        <f t="shared" si="215"/>
        <v>0.24862613772969261</v>
      </c>
      <c r="P434" s="511"/>
      <c r="Q434" s="511"/>
      <c r="R434" s="511"/>
      <c r="S434" s="511">
        <f t="shared" ref="S434:S442" si="217">C434-E434-G434</f>
        <v>263305</v>
      </c>
      <c r="T434" s="507">
        <f t="shared" ref="T434:T442" si="218">H434-H433</f>
        <v>9</v>
      </c>
      <c r="U434" s="512">
        <f t="shared" si="206"/>
        <v>-7538</v>
      </c>
      <c r="V434" s="512">
        <f>SUM(B421:B434)/POBLA!$B$25*100000</f>
        <v>632.11763395903336</v>
      </c>
      <c r="W434" s="512">
        <f>B434/POBLA!$B$25*100000</f>
        <v>25.522165952650543</v>
      </c>
      <c r="X434" s="513">
        <f t="shared" si="172"/>
        <v>0.87370325473163546</v>
      </c>
      <c r="Y434" s="519">
        <f t="shared" si="210"/>
        <v>1.8679124120556917E-2</v>
      </c>
      <c r="Z434" s="520">
        <f t="shared" si="211"/>
        <v>0.24734953500766452</v>
      </c>
      <c r="AA434" s="517">
        <f t="shared" ref="AA434:AA442" si="219">AVERAGE(B428:B434)</f>
        <v>20354.428571428572</v>
      </c>
      <c r="AB434" s="542">
        <f t="shared" si="199"/>
        <v>439.71428571428572</v>
      </c>
      <c r="AC434" s="517">
        <f t="shared" si="202"/>
        <v>513.12084955958665</v>
      </c>
      <c r="AD434" s="517">
        <f t="shared" si="190"/>
        <v>73.406563845300923</v>
      </c>
      <c r="AE434" s="545">
        <f t="shared" si="162"/>
        <v>20489.714285714286</v>
      </c>
      <c r="AF434" s="520">
        <f t="shared" si="187"/>
        <v>0.98688138528138536</v>
      </c>
      <c r="AG434" s="200">
        <f t="shared" si="182"/>
        <v>-5.9085589156945284E-3</v>
      </c>
      <c r="AH434" s="200">
        <f t="shared" si="205"/>
        <v>1.6499912234509306E-2</v>
      </c>
      <c r="AI434" s="200">
        <f t="shared" si="169"/>
        <v>1.1784073506891271</v>
      </c>
      <c r="AJ434" s="489">
        <f t="shared" si="216"/>
        <v>-1.3118614718614641E-2</v>
      </c>
      <c r="AK434" s="414">
        <f t="shared" si="185"/>
        <v>1.8631735693272478E-2</v>
      </c>
      <c r="AL434" s="28">
        <f t="shared" si="191"/>
        <v>1.9987163514176766E-2</v>
      </c>
      <c r="AM434" s="200">
        <f t="shared" si="188"/>
        <v>0.98566374976726867</v>
      </c>
      <c r="AN434" s="200">
        <f t="shared" si="189"/>
        <v>1.1784073506891271</v>
      </c>
      <c r="AO434" s="18">
        <f t="shared" ref="AO434:AO459" si="220">A433+20</f>
        <v>44344</v>
      </c>
      <c r="AP434" s="355">
        <f t="shared" si="178"/>
        <v>0.87370325473163546</v>
      </c>
      <c r="AQ434" s="7">
        <f t="shared" si="209"/>
        <v>33171.285714285717</v>
      </c>
      <c r="AR434" s="290">
        <f t="shared" si="213"/>
        <v>645.80799999999999</v>
      </c>
      <c r="AS434" s="68">
        <f t="shared" si="214"/>
        <v>1.1784073506891271</v>
      </c>
      <c r="AT434" s="179">
        <f t="shared" si="181"/>
        <v>1.5263310964378426E-2</v>
      </c>
    </row>
    <row r="435" spans="1:46" hidden="1" x14ac:dyDescent="0.25">
      <c r="A435" s="107">
        <v>44326</v>
      </c>
      <c r="B435" s="670">
        <v>17381</v>
      </c>
      <c r="C435" s="515">
        <f t="shared" si="179"/>
        <v>3165121</v>
      </c>
      <c r="D435" s="670">
        <v>496</v>
      </c>
      <c r="E435" s="515">
        <f t="shared" si="212"/>
        <v>67766</v>
      </c>
      <c r="F435" s="515">
        <f t="shared" si="192"/>
        <v>19893</v>
      </c>
      <c r="G435" s="515">
        <v>2837058</v>
      </c>
      <c r="H435" s="515">
        <v>5357</v>
      </c>
      <c r="I435" s="511">
        <v>69879</v>
      </c>
      <c r="J435" s="511">
        <f>J434+I435</f>
        <v>11891364</v>
      </c>
      <c r="K435" s="511"/>
      <c r="L435" s="541">
        <f t="shared" si="186"/>
        <v>2.1410239924476823E-2</v>
      </c>
      <c r="M435" s="522">
        <v>19621</v>
      </c>
      <c r="N435" s="522">
        <v>6389191</v>
      </c>
      <c r="O435" s="520">
        <f t="shared" si="215"/>
        <v>0.61955514365152919</v>
      </c>
      <c r="P435" s="511"/>
      <c r="Q435" s="511"/>
      <c r="R435" s="511"/>
      <c r="S435" s="511">
        <f t="shared" si="217"/>
        <v>260297</v>
      </c>
      <c r="T435" s="507">
        <f t="shared" si="218"/>
        <v>63</v>
      </c>
      <c r="U435" s="512">
        <f t="shared" si="206"/>
        <v>-3008</v>
      </c>
      <c r="V435" s="512">
        <f>SUM(B422:B435)/POBLA!$B$25*100000</f>
        <v>629.00614213334325</v>
      </c>
      <c r="W435" s="512">
        <f>B435/POBLA!$B$25*100000</f>
        <v>38.30087777784658</v>
      </c>
      <c r="X435" s="513">
        <f t="shared" si="172"/>
        <v>0.87111127387252119</v>
      </c>
      <c r="Y435" s="519">
        <f t="shared" si="210"/>
        <v>1.9183389913053444E-2</v>
      </c>
      <c r="Z435" s="520">
        <f t="shared" si="211"/>
        <v>0.2563015035291269</v>
      </c>
      <c r="AA435" s="517">
        <f t="shared" si="219"/>
        <v>20563.142857142859</v>
      </c>
      <c r="AB435" s="542">
        <f t="shared" si="199"/>
        <v>433.42857142857144</v>
      </c>
      <c r="AC435" s="517">
        <f t="shared" si="202"/>
        <v>508.30718891637599</v>
      </c>
      <c r="AD435" s="517">
        <f t="shared" si="190"/>
        <v>74.878617487804547</v>
      </c>
      <c r="AE435" s="545">
        <f t="shared" si="162"/>
        <v>20388.857142857141</v>
      </c>
      <c r="AF435" s="520">
        <f t="shared" si="187"/>
        <v>1.0172435725290103</v>
      </c>
      <c r="AG435" s="200">
        <f t="shared" si="182"/>
        <v>7.4388001935172809E-3</v>
      </c>
      <c r="AH435" s="200">
        <f t="shared" si="205"/>
        <v>9.1771356783919567E-2</v>
      </c>
      <c r="AI435" s="355">
        <f t="shared" si="169"/>
        <v>1.1199704688076781</v>
      </c>
      <c r="AJ435" s="489">
        <f t="shared" si="216"/>
        <v>1.724357252901032E-2</v>
      </c>
      <c r="AK435" s="414">
        <f t="shared" ref="AK435:AK459" si="221">AB435/AA422</f>
        <v>1.8780330791324157E-2</v>
      </c>
      <c r="AL435" s="28">
        <f t="shared" si="191"/>
        <v>2.0733430091920659E-2</v>
      </c>
      <c r="AM435" s="200">
        <f t="shared" si="188"/>
        <v>0.98728345005528939</v>
      </c>
      <c r="AN435" s="200">
        <f t="shared" si="189"/>
        <v>1.1199704688076781</v>
      </c>
      <c r="AO435" s="18">
        <f t="shared" si="220"/>
        <v>44345</v>
      </c>
      <c r="AP435" s="355">
        <f t="shared" si="178"/>
        <v>0.87111127387252119</v>
      </c>
      <c r="AQ435" s="7">
        <f t="shared" si="209"/>
        <v>33171.285714285717</v>
      </c>
      <c r="AR435" s="290">
        <f t="shared" si="213"/>
        <v>649.904</v>
      </c>
      <c r="AS435" s="68">
        <f t="shared" si="214"/>
        <v>1.1199704688076781</v>
      </c>
      <c r="AT435" s="179">
        <f t="shared" si="181"/>
        <v>1.5723479170943827E-2</v>
      </c>
    </row>
    <row r="436" spans="1:46" hidden="1" x14ac:dyDescent="0.25">
      <c r="A436" s="107">
        <v>44327</v>
      </c>
      <c r="B436" s="670">
        <v>25976</v>
      </c>
      <c r="C436" s="515">
        <f t="shared" si="179"/>
        <v>3191097</v>
      </c>
      <c r="D436" s="670">
        <v>490</v>
      </c>
      <c r="E436" s="515">
        <f t="shared" si="212"/>
        <v>68256</v>
      </c>
      <c r="F436" s="515">
        <f t="shared" si="192"/>
        <v>17306</v>
      </c>
      <c r="G436" s="515">
        <v>2854364</v>
      </c>
      <c r="H436" s="515">
        <v>5375</v>
      </c>
      <c r="I436" s="511">
        <v>92595</v>
      </c>
      <c r="J436" s="511">
        <f>J435+I436</f>
        <v>11983959</v>
      </c>
      <c r="K436" s="511"/>
      <c r="L436" s="541">
        <f t="shared" ref="L436:L446" si="222">E436/C436</f>
        <v>2.138950962631346E-2</v>
      </c>
      <c r="M436" s="522">
        <v>19688</v>
      </c>
      <c r="N436" s="522">
        <v>6427584</v>
      </c>
      <c r="O436" s="520">
        <f t="shared" si="215"/>
        <v>0.40354829187963148</v>
      </c>
      <c r="P436" s="511"/>
      <c r="Q436" s="511"/>
      <c r="R436" s="511"/>
      <c r="S436" s="511">
        <f t="shared" si="217"/>
        <v>268477</v>
      </c>
      <c r="T436" s="507">
        <f t="shared" si="218"/>
        <v>18</v>
      </c>
      <c r="U436" s="512">
        <f t="shared" si="206"/>
        <v>8180</v>
      </c>
      <c r="V436" s="512">
        <f>SUM(B423:B436)/POBLA!$B$25*100000</f>
        <v>630.06607667169806</v>
      </c>
      <c r="W436" s="512">
        <f>B436/POBLA!$B$25*100000</f>
        <v>57.240872283375104</v>
      </c>
      <c r="X436" s="513">
        <f t="shared" si="172"/>
        <v>0.87660804728793396</v>
      </c>
      <c r="Y436" s="519">
        <f t="shared" si="210"/>
        <v>1.9583196706379567E-2</v>
      </c>
      <c r="Z436" s="520">
        <f t="shared" si="211"/>
        <v>0.26187390756769663</v>
      </c>
      <c r="AA436" s="517">
        <f t="shared" si="219"/>
        <v>20525.714285714286</v>
      </c>
      <c r="AB436" s="542">
        <f t="shared" si="199"/>
        <v>444.57142857142856</v>
      </c>
      <c r="AC436" s="517">
        <f t="shared" si="202"/>
        <v>496.81349223286702</v>
      </c>
      <c r="AD436" s="517">
        <f t="shared" si="190"/>
        <v>52.242063661438465</v>
      </c>
      <c r="AE436" s="545">
        <f t="shared" si="162"/>
        <v>20423.214285714286</v>
      </c>
      <c r="AF436" s="520">
        <f t="shared" si="187"/>
        <v>1.0100882280572252</v>
      </c>
      <c r="AG436" s="200">
        <f t="shared" si="182"/>
        <v>1.382852179823657E-2</v>
      </c>
      <c r="AH436" s="200">
        <f t="shared" si="205"/>
        <v>-9.9855171888101335E-3</v>
      </c>
      <c r="AI436" s="355">
        <f t="shared" si="169"/>
        <v>1.1946257197696737</v>
      </c>
      <c r="AJ436" s="489">
        <f t="shared" si="216"/>
        <v>1.0088228057225201E-2</v>
      </c>
      <c r="AK436" s="414">
        <f t="shared" si="221"/>
        <v>1.9530808721083485E-2</v>
      </c>
      <c r="AL436" s="28">
        <f t="shared" si="191"/>
        <v>2.0297188603364612E-2</v>
      </c>
      <c r="AM436" s="200">
        <f t="shared" si="188"/>
        <v>0.99740211542030066</v>
      </c>
      <c r="AN436" s="200">
        <f t="shared" si="189"/>
        <v>1.1946257197696737</v>
      </c>
      <c r="AO436" s="18">
        <f t="shared" si="220"/>
        <v>44346</v>
      </c>
      <c r="AP436" s="355">
        <f t="shared" si="178"/>
        <v>0.87660804728793396</v>
      </c>
      <c r="AQ436" s="7">
        <f t="shared" si="209"/>
        <v>33171.285714285717</v>
      </c>
      <c r="AR436" s="290">
        <f t="shared" si="213"/>
        <v>658.48</v>
      </c>
      <c r="AS436" s="68">
        <f t="shared" si="214"/>
        <v>1.1946257197696737</v>
      </c>
      <c r="AT436" s="179">
        <f t="shared" si="181"/>
        <v>1.6011297804976198E-2</v>
      </c>
    </row>
    <row r="437" spans="1:46" hidden="1" x14ac:dyDescent="0.25">
      <c r="A437" s="543">
        <v>44328</v>
      </c>
      <c r="B437" s="670">
        <v>24475</v>
      </c>
      <c r="C437" s="515">
        <v>3215572</v>
      </c>
      <c r="D437" s="670">
        <v>496</v>
      </c>
      <c r="E437" s="515">
        <v>68806</v>
      </c>
      <c r="F437" s="515">
        <v>14977</v>
      </c>
      <c r="G437" s="515">
        <v>2869341</v>
      </c>
      <c r="H437" s="515">
        <v>5394</v>
      </c>
      <c r="I437" s="511">
        <v>82575</v>
      </c>
      <c r="J437" s="511">
        <v>12066534</v>
      </c>
      <c r="K437" s="511"/>
      <c r="L437" s="541">
        <f t="shared" si="222"/>
        <v>2.1397748207783871E-2</v>
      </c>
      <c r="M437" s="522">
        <v>19819</v>
      </c>
      <c r="N437" s="522">
        <v>6460852</v>
      </c>
      <c r="O437" s="520">
        <f t="shared" si="215"/>
        <v>0.42386090088841938</v>
      </c>
      <c r="P437" s="511"/>
      <c r="Q437" s="511"/>
      <c r="R437" s="511"/>
      <c r="S437" s="511">
        <f t="shared" si="217"/>
        <v>277425</v>
      </c>
      <c r="T437" s="507">
        <f t="shared" si="218"/>
        <v>19</v>
      </c>
      <c r="U437" s="512">
        <f t="shared" ref="U437:U442" si="223">(C437-G437-E437)-(C436-E436-G436)</f>
        <v>8948</v>
      </c>
      <c r="V437" s="512">
        <f>SUM(B424:B437)/POBLA!$B$25*100000</f>
        <v>631.7342064960942</v>
      </c>
      <c r="W437" s="512">
        <f>B437/POBLA!$B$25*100000</f>
        <v>53.933259513997754</v>
      </c>
      <c r="X437" s="513">
        <f t="shared" si="172"/>
        <v>0.88282373519168056</v>
      </c>
      <c r="Y437" s="519">
        <f t="shared" si="210"/>
        <v>2.0364707214860119E-2</v>
      </c>
      <c r="Z437" s="520">
        <f t="shared" ref="Z437:Z442" si="224">SUM(B431:B437)/SUM(I431:I437)</f>
        <v>0.25564064529408009</v>
      </c>
      <c r="AA437" s="517">
        <f t="shared" si="219"/>
        <v>20582.285714285714</v>
      </c>
      <c r="AB437" s="542">
        <f t="shared" si="199"/>
        <v>420.71428571428572</v>
      </c>
      <c r="AC437" s="517">
        <f t="shared" ref="AC437:AC500" si="225">AA423*(E423/C423)</f>
        <v>488.74141037340814</v>
      </c>
      <c r="AD437" s="517">
        <f t="shared" si="190"/>
        <v>68.027124659122421</v>
      </c>
      <c r="AE437" s="545">
        <f t="shared" si="162"/>
        <v>20477.285714285714</v>
      </c>
      <c r="AF437" s="520">
        <f t="shared" si="187"/>
        <v>1.0103081216779097</v>
      </c>
      <c r="AG437" s="200">
        <f t="shared" si="182"/>
        <v>2.2863020971595427E-2</v>
      </c>
      <c r="AH437" s="200">
        <f t="shared" si="205"/>
        <v>1.6445865692096939E-2</v>
      </c>
      <c r="AI437" s="355">
        <f t="shared" si="169"/>
        <v>1.0085616438356164</v>
      </c>
      <c r="AJ437" s="489">
        <f t="shared" si="216"/>
        <v>1.0308121677909732E-2</v>
      </c>
      <c r="AK437" s="414">
        <f t="shared" si="221"/>
        <v>1.8618618618618618E-2</v>
      </c>
      <c r="AL437" s="28">
        <f t="shared" si="191"/>
        <v>1.988762056455181E-2</v>
      </c>
      <c r="AM437" s="200">
        <f t="shared" si="188"/>
        <v>1.0097341819543242</v>
      </c>
      <c r="AN437" s="200">
        <f t="shared" si="189"/>
        <v>1.0085616438356164</v>
      </c>
      <c r="AO437" s="18">
        <f t="shared" si="220"/>
        <v>44347</v>
      </c>
      <c r="AP437" s="355">
        <f t="shared" si="178"/>
        <v>0.88282373519168056</v>
      </c>
      <c r="AQ437" s="7">
        <f t="shared" si="209"/>
        <v>33171.285714285717</v>
      </c>
      <c r="AR437" s="290">
        <f t="shared" si="213"/>
        <v>661.57999999999993</v>
      </c>
      <c r="AS437" s="68">
        <f t="shared" si="214"/>
        <v>1.0085616438356164</v>
      </c>
      <c r="AT437" s="179">
        <f t="shared" si="181"/>
        <v>1.6367453166418765E-2</v>
      </c>
    </row>
    <row r="438" spans="1:46" hidden="1" x14ac:dyDescent="0.25">
      <c r="A438" s="107">
        <v>44329</v>
      </c>
      <c r="B438" s="670">
        <v>26531</v>
      </c>
      <c r="C438" s="515">
        <v>3242103</v>
      </c>
      <c r="D438" s="670">
        <v>448</v>
      </c>
      <c r="E438" s="515">
        <v>69254</v>
      </c>
      <c r="F438" s="515">
        <v>22094</v>
      </c>
      <c r="G438" s="515">
        <v>2891435</v>
      </c>
      <c r="H438" s="515">
        <v>5420</v>
      </c>
      <c r="I438" s="511">
        <v>75714</v>
      </c>
      <c r="J438" s="511">
        <v>12142248</v>
      </c>
      <c r="K438" s="511"/>
      <c r="L438" s="541">
        <f t="shared" si="222"/>
        <v>2.1360826599278307E-2</v>
      </c>
      <c r="M438" s="522">
        <v>19960</v>
      </c>
      <c r="N438" s="522">
        <v>6489454</v>
      </c>
      <c r="O438" s="520">
        <f t="shared" si="215"/>
        <v>0.48121814521248618</v>
      </c>
      <c r="P438" s="511"/>
      <c r="Q438" s="511"/>
      <c r="R438" s="511"/>
      <c r="S438" s="511">
        <f t="shared" si="217"/>
        <v>281414</v>
      </c>
      <c r="T438" s="507">
        <f t="shared" si="218"/>
        <v>26</v>
      </c>
      <c r="U438" s="512">
        <f t="shared" si="223"/>
        <v>3989</v>
      </c>
      <c r="V438" s="512">
        <f>SUM(B425:B438)/POBLA!$B$25*100000</f>
        <v>632.78753021612238</v>
      </c>
      <c r="W438" s="512">
        <f>B438/POBLA!$B$25*100000</f>
        <v>58.463873673784448</v>
      </c>
      <c r="X438" s="513">
        <f t="shared" si="172"/>
        <v>0.8814348024936538</v>
      </c>
      <c r="Y438" s="519">
        <f t="shared" si="210"/>
        <v>2.0977261731978714E-2</v>
      </c>
      <c r="Z438" s="520">
        <f t="shared" si="224"/>
        <v>0.27547237210701458</v>
      </c>
      <c r="AA438" s="517">
        <f t="shared" si="219"/>
        <v>20931.571428571428</v>
      </c>
      <c r="AB438" s="542">
        <f t="shared" si="199"/>
        <v>427.71428571428572</v>
      </c>
      <c r="AC438" s="517">
        <f t="shared" si="225"/>
        <v>485.1864147633305</v>
      </c>
      <c r="AD438" s="517">
        <f t="shared" si="190"/>
        <v>57.472129049044781</v>
      </c>
      <c r="AE438" s="545">
        <f t="shared" si="162"/>
        <v>20511.428571428572</v>
      </c>
      <c r="AF438" s="520">
        <f t="shared" si="187"/>
        <v>1.0418233918045492</v>
      </c>
      <c r="AG438" s="200">
        <f t="shared" si="182"/>
        <v>3.4055249755645889E-2</v>
      </c>
      <c r="AH438" s="200">
        <f t="shared" si="205"/>
        <v>0.10151125134933148</v>
      </c>
      <c r="AI438" s="355">
        <f t="shared" si="169"/>
        <v>1.0855692530819434</v>
      </c>
      <c r="AJ438" s="489">
        <f t="shared" si="216"/>
        <v>4.1823391804549193E-2</v>
      </c>
      <c r="AK438" s="414">
        <f t="shared" si="221"/>
        <v>1.9605660365003177E-2</v>
      </c>
      <c r="AL438" s="28">
        <f t="shared" ref="AL438:AL459" si="226">H438/S431</f>
        <v>1.9915780500172703E-2</v>
      </c>
      <c r="AM438" s="200">
        <f t="shared" si="188"/>
        <v>1.0228344970749197</v>
      </c>
      <c r="AN438" s="200">
        <f t="shared" si="189"/>
        <v>1.0855692530819434</v>
      </c>
      <c r="AO438" s="18">
        <f t="shared" si="220"/>
        <v>44348</v>
      </c>
      <c r="AP438" s="355">
        <f t="shared" si="178"/>
        <v>0.88143480249365391</v>
      </c>
      <c r="AQ438" s="7">
        <f t="shared" si="209"/>
        <v>33171.285714285717</v>
      </c>
      <c r="AR438" s="290">
        <f t="shared" si="213"/>
        <v>670.44799999999998</v>
      </c>
      <c r="AS438" s="68">
        <f t="shared" si="214"/>
        <v>1.0855692530819434</v>
      </c>
      <c r="AT438" s="179">
        <f t="shared" si="181"/>
        <v>1.6727416404389666E-2</v>
      </c>
    </row>
    <row r="439" spans="1:46" hidden="1" x14ac:dyDescent="0.25">
      <c r="A439" s="107">
        <v>44330</v>
      </c>
      <c r="B439" s="670">
        <v>27363</v>
      </c>
      <c r="C439" s="515">
        <f t="shared" ref="C439:C454" si="227">C438+B439</f>
        <v>3269466</v>
      </c>
      <c r="D439" s="670">
        <v>601</v>
      </c>
      <c r="E439" s="515">
        <f t="shared" ref="E439:E445" si="228">E438+D439</f>
        <v>69855</v>
      </c>
      <c r="F439" s="515">
        <f t="shared" ref="F439:F454" si="229">G439-G438</f>
        <v>21709</v>
      </c>
      <c r="G439" s="515">
        <v>2913144</v>
      </c>
      <c r="H439" s="515">
        <v>5457</v>
      </c>
      <c r="I439" s="511">
        <v>82695</v>
      </c>
      <c r="J439" s="511">
        <f>J438+I439</f>
        <v>12224943</v>
      </c>
      <c r="K439" s="511"/>
      <c r="L439" s="541">
        <f t="shared" si="222"/>
        <v>2.1365874427200039E-2</v>
      </c>
      <c r="M439" s="522"/>
      <c r="N439" s="522"/>
      <c r="O439" s="520"/>
      <c r="P439" s="511"/>
      <c r="Q439" s="511"/>
      <c r="R439" s="511"/>
      <c r="S439" s="511">
        <f t="shared" si="217"/>
        <v>286467</v>
      </c>
      <c r="T439" s="507">
        <f t="shared" si="218"/>
        <v>37</v>
      </c>
      <c r="U439" s="512">
        <f t="shared" si="223"/>
        <v>5053</v>
      </c>
      <c r="V439" s="512">
        <f>SUM(B426:B439)/POBLA!$B$25*100000</f>
        <v>643.67995521214652</v>
      </c>
      <c r="W439" s="512">
        <f>B439/POBLA!$B$25*100000</f>
        <v>60.297273956344057</v>
      </c>
      <c r="X439" s="513">
        <f t="shared" si="172"/>
        <v>0.91644469543664797</v>
      </c>
      <c r="Y439" s="519">
        <f t="shared" si="210"/>
        <v>2.0606838736476406E-2</v>
      </c>
      <c r="Z439" s="520">
        <f t="shared" si="224"/>
        <v>0.27971609182654983</v>
      </c>
      <c r="AA439" s="517">
        <f t="shared" si="219"/>
        <v>21618.857142857141</v>
      </c>
      <c r="AB439" s="542">
        <f t="shared" ref="AB439:AB445" si="230">AVERAGE(D433:D439)</f>
        <v>426.28571428571428</v>
      </c>
      <c r="AC439" s="517">
        <f t="shared" si="225"/>
        <v>467.51463123576127</v>
      </c>
      <c r="AD439" s="517">
        <f t="shared" si="190"/>
        <v>41.228916950046994</v>
      </c>
      <c r="AE439" s="545">
        <f t="shared" si="162"/>
        <v>20864.5</v>
      </c>
      <c r="AF439" s="520">
        <f t="shared" si="187"/>
        <v>1.0750225543613385</v>
      </c>
      <c r="AG439" s="200">
        <f t="shared" si="182"/>
        <v>4.7736956641003525E-2</v>
      </c>
      <c r="AH439" s="200">
        <f t="shared" si="205"/>
        <v>0.21332919474991141</v>
      </c>
      <c r="AI439" s="355">
        <f t="shared" si="169"/>
        <v>0.99070385126162019</v>
      </c>
      <c r="AJ439" s="489">
        <f t="shared" si="216"/>
        <v>7.5022554361338534E-2</v>
      </c>
      <c r="AK439" s="414">
        <f t="shared" si="221"/>
        <v>2.0163115823045686E-2</v>
      </c>
      <c r="AL439" s="28">
        <f t="shared" si="226"/>
        <v>1.9958670884918532E-2</v>
      </c>
      <c r="AM439" s="200">
        <f t="shared" si="188"/>
        <v>1.035876993166287</v>
      </c>
      <c r="AN439" s="200">
        <f t="shared" si="189"/>
        <v>0.99070385126162019</v>
      </c>
      <c r="AO439" s="18">
        <f t="shared" si="220"/>
        <v>44349</v>
      </c>
      <c r="AP439" s="355">
        <f t="shared" si="178"/>
        <v>0.91644469543664797</v>
      </c>
      <c r="AQ439" s="7">
        <f t="shared" si="209"/>
        <v>33171.285714285717</v>
      </c>
      <c r="AR439" s="290">
        <f t="shared" si="213"/>
        <v>664.096</v>
      </c>
      <c r="AS439" s="68">
        <f t="shared" si="214"/>
        <v>0.99070385126162019</v>
      </c>
      <c r="AT439" s="179">
        <f t="shared" si="181"/>
        <v>1.7022165640326523E-2</v>
      </c>
    </row>
    <row r="440" spans="1:46" hidden="1" x14ac:dyDescent="0.25">
      <c r="A440" s="107">
        <v>44331</v>
      </c>
      <c r="B440" s="670">
        <v>21469</v>
      </c>
      <c r="C440" s="515">
        <f t="shared" si="227"/>
        <v>3290935</v>
      </c>
      <c r="D440" s="670">
        <v>400</v>
      </c>
      <c r="E440" s="515">
        <f t="shared" si="228"/>
        <v>70255</v>
      </c>
      <c r="F440" s="515">
        <f t="shared" si="229"/>
        <v>20802</v>
      </c>
      <c r="G440" s="515">
        <v>2933946</v>
      </c>
      <c r="H440" s="515">
        <v>5517</v>
      </c>
      <c r="I440" s="511">
        <v>106916</v>
      </c>
      <c r="J440" s="511">
        <f>J439+I440</f>
        <v>12331859</v>
      </c>
      <c r="K440" s="511"/>
      <c r="L440" s="541">
        <f t="shared" si="222"/>
        <v>2.1348036348332617E-2</v>
      </c>
      <c r="M440" s="522"/>
      <c r="N440" s="522"/>
      <c r="O440" s="520"/>
      <c r="P440" s="511"/>
      <c r="Q440" s="511"/>
      <c r="R440" s="511"/>
      <c r="S440" s="511">
        <f t="shared" si="217"/>
        <v>286734</v>
      </c>
      <c r="T440" s="507">
        <f t="shared" si="218"/>
        <v>60</v>
      </c>
      <c r="U440" s="512">
        <f t="shared" si="223"/>
        <v>267</v>
      </c>
      <c r="V440" s="512">
        <f>SUM(B427:B440)/POBLA!$B$25*100000</f>
        <v>654.62526675478307</v>
      </c>
      <c r="W440" s="512">
        <f>B440/POBLA!$B$25*100000</f>
        <v>47.309219550807676</v>
      </c>
      <c r="X440" s="513">
        <f t="shared" si="172"/>
        <v>0.93974401963823639</v>
      </c>
      <c r="Y440" s="519">
        <f t="shared" ref="Y440:Y464" si="231">H440/S440</f>
        <v>1.9240829479587353E-2</v>
      </c>
      <c r="Z440" s="520">
        <f t="shared" si="224"/>
        <v>0.28026263134736185</v>
      </c>
      <c r="AA440" s="517">
        <f t="shared" si="219"/>
        <v>22111</v>
      </c>
      <c r="AB440" s="542">
        <f t="shared" si="230"/>
        <v>459.14285714285717</v>
      </c>
      <c r="AC440" s="517">
        <f t="shared" si="225"/>
        <v>452.20474670701583</v>
      </c>
      <c r="AD440" s="517">
        <f t="shared" si="190"/>
        <v>-6.9381104358413381</v>
      </c>
      <c r="AE440" s="545">
        <f t="shared" si="162"/>
        <v>21219.285714285714</v>
      </c>
      <c r="AF440" s="520">
        <f t="shared" si="187"/>
        <v>1.0877344633959507</v>
      </c>
      <c r="AG440" s="200">
        <f t="shared" si="182"/>
        <v>5.8672367386271684E-2</v>
      </c>
      <c r="AH440" s="200">
        <f t="shared" si="205"/>
        <v>0.1911340434975588</v>
      </c>
      <c r="AI440" s="355">
        <f t="shared" si="169"/>
        <v>1.0891223314130805</v>
      </c>
      <c r="AJ440" s="489">
        <f t="shared" si="216"/>
        <v>8.7734463395950701E-2</v>
      </c>
      <c r="AK440" s="414">
        <f t="shared" si="221"/>
        <v>2.2261471861471864E-2</v>
      </c>
      <c r="AL440" s="28">
        <f t="shared" si="226"/>
        <v>2.0369734495630308E-2</v>
      </c>
      <c r="AM440" s="200">
        <f t="shared" si="188"/>
        <v>1.0438978240302743</v>
      </c>
      <c r="AN440" s="200">
        <f t="shared" si="189"/>
        <v>1.0891223314130805</v>
      </c>
      <c r="AO440" s="18">
        <f t="shared" si="220"/>
        <v>44350</v>
      </c>
      <c r="AP440" s="355">
        <f t="shared" si="178"/>
        <v>0.93974401963823639</v>
      </c>
      <c r="AQ440" s="7">
        <f t="shared" si="209"/>
        <v>33171.285714285717</v>
      </c>
      <c r="AR440" s="290">
        <f t="shared" si="213"/>
        <v>672.5</v>
      </c>
      <c r="AS440" s="68">
        <f t="shared" si="214"/>
        <v>1.0891223314130805</v>
      </c>
      <c r="AT440" s="179">
        <f t="shared" si="181"/>
        <v>1.7138652027338431E-2</v>
      </c>
    </row>
    <row r="441" spans="1:46" hidden="1" x14ac:dyDescent="0.25">
      <c r="A441" s="107">
        <v>44332</v>
      </c>
      <c r="B441" s="670">
        <v>16350</v>
      </c>
      <c r="C441" s="515">
        <f t="shared" si="227"/>
        <v>3307285</v>
      </c>
      <c r="D441" s="670">
        <v>270</v>
      </c>
      <c r="E441" s="515">
        <f t="shared" si="228"/>
        <v>70525</v>
      </c>
      <c r="F441" s="515">
        <f t="shared" si="229"/>
        <v>18653</v>
      </c>
      <c r="G441" s="515">
        <v>2952599</v>
      </c>
      <c r="H441" s="515">
        <v>5538</v>
      </c>
      <c r="I441" s="511">
        <v>67507</v>
      </c>
      <c r="J441" s="511">
        <f>J440+I441</f>
        <v>12399366</v>
      </c>
      <c r="K441" s="511"/>
      <c r="L441" s="541">
        <f t="shared" si="222"/>
        <v>2.132413747227711E-2</v>
      </c>
      <c r="M441" s="522">
        <v>20173</v>
      </c>
      <c r="N441" s="522">
        <v>6597997</v>
      </c>
      <c r="O441" s="520">
        <f t="shared" si="215"/>
        <v>2.4718993424445376E-3</v>
      </c>
      <c r="P441" s="511"/>
      <c r="Q441" s="511"/>
      <c r="R441" s="511"/>
      <c r="S441" s="511">
        <f t="shared" si="217"/>
        <v>284161</v>
      </c>
      <c r="T441" s="507">
        <f t="shared" si="218"/>
        <v>21</v>
      </c>
      <c r="U441" s="512">
        <f t="shared" si="223"/>
        <v>-2573</v>
      </c>
      <c r="V441" s="512">
        <f>SUM(B428:B441)/POBLA!$B$25*100000</f>
        <v>665.54633863022218</v>
      </c>
      <c r="W441" s="512">
        <f>B441/POBLA!$B$25*100000</f>
        <v>36.02895987962669</v>
      </c>
      <c r="X441" s="513">
        <f t="shared" si="172"/>
        <v>0.97038024707224213</v>
      </c>
      <c r="Y441" s="519">
        <f t="shared" si="231"/>
        <v>1.948895168584007E-2</v>
      </c>
      <c r="Z441" s="520">
        <f t="shared" si="224"/>
        <v>0.27608625305209894</v>
      </c>
      <c r="AA441" s="517">
        <f>AVERAGE(B435:B441)</f>
        <v>22792.142857142859</v>
      </c>
      <c r="AB441" s="542">
        <f t="shared" si="230"/>
        <v>457.28571428571428</v>
      </c>
      <c r="AC441" s="517">
        <f t="shared" si="225"/>
        <v>440.54771984710806</v>
      </c>
      <c r="AD441" s="517">
        <f t="shared" si="190"/>
        <v>-16.737994438606222</v>
      </c>
      <c r="AE441" s="545">
        <f t="shared" si="162"/>
        <v>21573.285714285714</v>
      </c>
      <c r="AF441" s="520">
        <f t="shared" si="187"/>
        <v>1.1197633368659681</v>
      </c>
      <c r="AG441" s="200">
        <f t="shared" si="182"/>
        <v>7.9208522435958217E-2</v>
      </c>
      <c r="AH441" s="200">
        <f t="shared" si="205"/>
        <v>0.41167328613365561</v>
      </c>
      <c r="AI441" s="355">
        <f t="shared" si="169"/>
        <v>1.0399610136452242</v>
      </c>
      <c r="AJ441" s="489">
        <f t="shared" si="216"/>
        <v>0.11976333686596807</v>
      </c>
      <c r="AK441" s="414">
        <f t="shared" si="221"/>
        <v>2.2621588387443287E-2</v>
      </c>
      <c r="AL441" s="28">
        <f t="shared" si="226"/>
        <v>2.1032642752701239E-2</v>
      </c>
      <c r="AM441" s="200">
        <f t="shared" si="188"/>
        <v>1.0460899131091803</v>
      </c>
      <c r="AN441" s="200">
        <f t="shared" si="189"/>
        <v>1.0399610136452242</v>
      </c>
      <c r="AO441" s="18">
        <f t="shared" si="220"/>
        <v>44351</v>
      </c>
      <c r="AP441" s="355">
        <f t="shared" si="178"/>
        <v>0.97038024707224213</v>
      </c>
      <c r="AQ441" s="7">
        <f t="shared" si="209"/>
        <v>33171.285714285717</v>
      </c>
      <c r="AR441" s="290">
        <f t="shared" si="213"/>
        <v>667.48</v>
      </c>
      <c r="AS441" s="68">
        <f t="shared" si="214"/>
        <v>1.0399610136452242</v>
      </c>
      <c r="AT441" s="179">
        <f t="shared" si="181"/>
        <v>1.7654939359322417E-2</v>
      </c>
    </row>
    <row r="442" spans="1:46" hidden="1" x14ac:dyDescent="0.25">
      <c r="A442" s="107">
        <v>44333</v>
      </c>
      <c r="B442" s="670">
        <v>28680</v>
      </c>
      <c r="C442" s="515">
        <f t="shared" si="227"/>
        <v>3335965</v>
      </c>
      <c r="D442" s="670">
        <v>505</v>
      </c>
      <c r="E442" s="515">
        <f t="shared" si="228"/>
        <v>71030</v>
      </c>
      <c r="F442" s="515">
        <f t="shared" si="229"/>
        <v>20668</v>
      </c>
      <c r="G442" s="515">
        <v>2973267</v>
      </c>
      <c r="H442" s="515">
        <v>5690</v>
      </c>
      <c r="I442" s="511">
        <v>91456</v>
      </c>
      <c r="J442" s="511">
        <f>J441+I442</f>
        <v>12490822</v>
      </c>
      <c r="K442" s="511"/>
      <c r="L442" s="541">
        <f t="shared" si="222"/>
        <v>2.1292189816140158E-2</v>
      </c>
      <c r="M442" s="522">
        <v>20312</v>
      </c>
      <c r="N442" s="522">
        <v>6630771</v>
      </c>
      <c r="O442" s="520">
        <f t="shared" si="215"/>
        <v>0.46669053275620792</v>
      </c>
      <c r="P442" s="511"/>
      <c r="Q442" s="511"/>
      <c r="R442" s="511"/>
      <c r="S442" s="511">
        <f t="shared" si="217"/>
        <v>291668</v>
      </c>
      <c r="T442" s="507">
        <f t="shared" si="218"/>
        <v>152</v>
      </c>
      <c r="U442" s="512">
        <f t="shared" si="223"/>
        <v>7507</v>
      </c>
      <c r="V442" s="512">
        <f>SUM(B429:B442)/POBLA!$B$25*100000</f>
        <v>693.66435257909291</v>
      </c>
      <c r="W442" s="512">
        <f>B442/POBLA!$B$25*100000</f>
        <v>63.199423201693797</v>
      </c>
      <c r="X442" s="513">
        <f t="shared" si="172"/>
        <v>1.0263511398612344</v>
      </c>
      <c r="Y442" s="519">
        <f t="shared" si="231"/>
        <v>1.95084822469383E-2</v>
      </c>
      <c r="Z442" s="520">
        <f t="shared" si="224"/>
        <v>0.28499744769441732</v>
      </c>
      <c r="AA442" s="517">
        <f t="shared" si="219"/>
        <v>24406.285714285714</v>
      </c>
      <c r="AB442" s="542">
        <f t="shared" si="230"/>
        <v>458.57142857142856</v>
      </c>
      <c r="AC442" s="517">
        <f t="shared" si="225"/>
        <v>433.11887104811922</v>
      </c>
      <c r="AD442" s="517">
        <f t="shared" si="190"/>
        <v>-25.452557523309338</v>
      </c>
      <c r="AE442" s="545">
        <f t="shared" si="162"/>
        <v>22484.714285714286</v>
      </c>
      <c r="AF442" s="520">
        <f t="shared" si="187"/>
        <v>1.1868947214850425</v>
      </c>
      <c r="AG442" s="200">
        <f t="shared" si="182"/>
        <v>0.12052002136021556</v>
      </c>
      <c r="AH442" s="200">
        <f t="shared" si="205"/>
        <v>0.6500776710200793</v>
      </c>
      <c r="AI442" s="355">
        <f t="shared" si="169"/>
        <v>1.0580092287409359</v>
      </c>
      <c r="AJ442" s="489">
        <f t="shared" si="216"/>
        <v>0.18689472148504249</v>
      </c>
      <c r="AK442" s="414">
        <f t="shared" si="221"/>
        <v>2.2566698302225033E-2</v>
      </c>
      <c r="AL442" s="28">
        <f t="shared" si="226"/>
        <v>2.1859644944044687E-2</v>
      </c>
      <c r="AM442" s="200">
        <f t="shared" si="188"/>
        <v>1.0621616576442039</v>
      </c>
      <c r="AN442" s="200">
        <f t="shared" si="189"/>
        <v>1.0580092287409359</v>
      </c>
      <c r="AO442" s="18">
        <f t="shared" si="220"/>
        <v>44352</v>
      </c>
      <c r="AP442" s="355">
        <f t="shared" si="178"/>
        <v>1.0263511398612342</v>
      </c>
      <c r="AQ442" s="7">
        <f t="shared" si="209"/>
        <v>33171.285714285717</v>
      </c>
      <c r="AR442" s="290">
        <f t="shared" si="213"/>
        <v>660.80799999999999</v>
      </c>
      <c r="AS442" s="68">
        <f t="shared" si="214"/>
        <v>1.0580092287409359</v>
      </c>
      <c r="AT442" s="179">
        <f t="shared" si="181"/>
        <v>1.8045693068253984E-2</v>
      </c>
    </row>
    <row r="443" spans="1:46" hidden="1" x14ac:dyDescent="0.25">
      <c r="A443" s="107">
        <v>44334</v>
      </c>
      <c r="B443" s="670">
        <v>35543</v>
      </c>
      <c r="C443" s="515">
        <f t="shared" si="227"/>
        <v>3371508</v>
      </c>
      <c r="D443" s="670">
        <v>745</v>
      </c>
      <c r="E443" s="515">
        <f t="shared" si="228"/>
        <v>71775</v>
      </c>
      <c r="F443" s="515">
        <f t="shared" si="229"/>
        <v>19058</v>
      </c>
      <c r="G443" s="515">
        <v>2992325</v>
      </c>
      <c r="H443" s="515">
        <v>5813</v>
      </c>
      <c r="I443" s="511">
        <v>111757</v>
      </c>
      <c r="J443" s="511">
        <f t="shared" ref="J443:J454" si="232">J442+I443</f>
        <v>12602579</v>
      </c>
      <c r="K443" s="511"/>
      <c r="L443" s="541">
        <f t="shared" si="222"/>
        <v>2.1288693368071498E-2</v>
      </c>
      <c r="M443" s="522">
        <v>20381</v>
      </c>
      <c r="N443" s="522">
        <v>6672285</v>
      </c>
      <c r="O443" s="520">
        <f t="shared" si="215"/>
        <v>0.46125595338515646</v>
      </c>
      <c r="P443" s="511"/>
      <c r="Q443" s="511"/>
      <c r="R443" s="511"/>
      <c r="S443" s="511">
        <f>C443-E443-G443</f>
        <v>307408</v>
      </c>
      <c r="T443" s="507">
        <f>H443-H442</f>
        <v>123</v>
      </c>
      <c r="U443" s="512">
        <f>(C443-G443-E443)-(C442-E442-G442)</f>
        <v>15740</v>
      </c>
      <c r="V443" s="512">
        <f>SUM(B430:B443)/POBLA!$B$25*100000</f>
        <v>714.16890742190185</v>
      </c>
      <c r="W443" s="512">
        <f>B443/POBLA!$B$25*100000</f>
        <v>78.32277192670162</v>
      </c>
      <c r="X443" s="513">
        <f t="shared" si="172"/>
        <v>1.0668011863184956</v>
      </c>
      <c r="Y443" s="519">
        <f t="shared" si="231"/>
        <v>1.8909722583667309E-2</v>
      </c>
      <c r="Z443" s="520">
        <f>SUM(B437:B443)/SUM(I437:I443)</f>
        <v>0.29163460605864666</v>
      </c>
      <c r="AA443" s="517">
        <f>AVERAGE(B437:B443)</f>
        <v>25773</v>
      </c>
      <c r="AB443" s="542">
        <f t="shared" si="230"/>
        <v>495</v>
      </c>
      <c r="AC443" s="517">
        <f t="shared" si="225"/>
        <v>434.39168693636987</v>
      </c>
      <c r="AD443" s="517">
        <f t="shared" si="190"/>
        <v>-60.608313063630135</v>
      </c>
      <c r="AE443" s="545">
        <f t="shared" si="162"/>
        <v>23149.357142857141</v>
      </c>
      <c r="AF443" s="520">
        <f t="shared" si="187"/>
        <v>1.2556444877505568</v>
      </c>
      <c r="AG443" s="200">
        <f t="shared" si="182"/>
        <v>0.14500683484991272</v>
      </c>
      <c r="AH443" s="200">
        <f t="shared" si="205"/>
        <v>0.36830150908530945</v>
      </c>
      <c r="AI443" s="355">
        <f t="shared" si="169"/>
        <v>1.1134318766066837</v>
      </c>
      <c r="AJ443" s="489">
        <f>AF443-1</f>
        <v>0.25564448775055681</v>
      </c>
      <c r="AK443" s="414">
        <f t="shared" si="221"/>
        <v>2.4297715383644447E-2</v>
      </c>
      <c r="AL443" s="28">
        <f t="shared" si="226"/>
        <v>2.1651761603414817E-2</v>
      </c>
      <c r="AM443" s="200">
        <f t="shared" si="188"/>
        <v>1.0814883720930233</v>
      </c>
      <c r="AN443" s="200">
        <f t="shared" si="189"/>
        <v>1.1134318766066837</v>
      </c>
      <c r="AO443" s="18">
        <f t="shared" si="220"/>
        <v>44353</v>
      </c>
      <c r="AP443" s="355">
        <f t="shared" si="178"/>
        <v>1.0668011863184956</v>
      </c>
      <c r="AQ443" s="7">
        <f t="shared" si="209"/>
        <v>33171.285714285717</v>
      </c>
      <c r="AR443" s="290">
        <f t="shared" si="213"/>
        <v>646.20799999999997</v>
      </c>
      <c r="AS443" s="68">
        <f t="shared" si="214"/>
        <v>1.1134318766066837</v>
      </c>
      <c r="AT443" s="179">
        <f t="shared" si="181"/>
        <v>1.8535957514014885E-2</v>
      </c>
    </row>
    <row r="444" spans="1:46" hidden="1" x14ac:dyDescent="0.25">
      <c r="A444" s="107">
        <v>44335</v>
      </c>
      <c r="B444" s="671">
        <v>39652</v>
      </c>
      <c r="C444" s="515">
        <f t="shared" si="227"/>
        <v>3411160</v>
      </c>
      <c r="D444" s="670">
        <v>494</v>
      </c>
      <c r="E444" s="515">
        <f t="shared" si="228"/>
        <v>72269</v>
      </c>
      <c r="F444" s="515">
        <f t="shared" si="229"/>
        <v>16825</v>
      </c>
      <c r="G444" s="515">
        <v>3009150</v>
      </c>
      <c r="H444" s="515">
        <v>5877</v>
      </c>
      <c r="I444" s="511">
        <v>125578</v>
      </c>
      <c r="J444" s="511">
        <f t="shared" si="232"/>
        <v>12728157</v>
      </c>
      <c r="K444" s="511"/>
      <c r="L444" s="541">
        <f t="shared" si="222"/>
        <v>2.1186048147844135E-2</v>
      </c>
      <c r="M444" s="522">
        <v>20584</v>
      </c>
      <c r="N444" s="522">
        <v>6718545</v>
      </c>
      <c r="O444" s="520">
        <f t="shared" si="215"/>
        <v>0.46154204302076546</v>
      </c>
      <c r="P444" s="511"/>
      <c r="Q444" s="511"/>
      <c r="R444" s="511"/>
      <c r="S444" s="511">
        <f>C444-E444-G444</f>
        <v>329741</v>
      </c>
      <c r="T444" s="507">
        <f>H444-H443</f>
        <v>64</v>
      </c>
      <c r="U444" s="512">
        <f>(C444-G444-E444)-(C443-E443-G443)</f>
        <v>22333</v>
      </c>
      <c r="V444" s="512">
        <f>SUM(B431:B444)/POBLA!$B$25*100000</f>
        <v>748.48566535495547</v>
      </c>
      <c r="W444" s="512">
        <f>B444/POBLA!$B$25*100000</f>
        <v>87.377389427948472</v>
      </c>
      <c r="X444" s="513">
        <f t="shared" si="172"/>
        <v>1.1249238269347959</v>
      </c>
      <c r="Y444" s="519">
        <f t="shared" si="231"/>
        <v>1.7823079325895171E-2</v>
      </c>
      <c r="Z444" s="520">
        <f>SUM(B438:B444)/SUM(I438:I444)</f>
        <v>0.29561850177518012</v>
      </c>
      <c r="AA444" s="517">
        <f>AVERAGE(B438:B444)</f>
        <v>27941.142857142859</v>
      </c>
      <c r="AB444" s="542">
        <f t="shared" si="230"/>
        <v>494.71428571428572</v>
      </c>
      <c r="AC444" s="517">
        <f t="shared" si="225"/>
        <v>436.47753602804625</v>
      </c>
      <c r="AD444" s="517">
        <f t="shared" si="190"/>
        <v>-58.236749686239477</v>
      </c>
      <c r="AE444" s="545">
        <f t="shared" si="162"/>
        <v>24261.714285714286</v>
      </c>
      <c r="AF444" s="520">
        <f>AA444/AA437</f>
        <v>1.3575335239734585</v>
      </c>
      <c r="AG444" s="200">
        <f t="shared" si="182"/>
        <v>0.18857709290799307</v>
      </c>
      <c r="AH444" s="200">
        <f t="shared" si="205"/>
        <v>0.62010214504596517</v>
      </c>
      <c r="AI444" s="355">
        <f t="shared" si="169"/>
        <v>1.1758913412563667</v>
      </c>
      <c r="AJ444" s="489">
        <f>AF444-1</f>
        <v>0.3575335239734585</v>
      </c>
      <c r="AK444" s="414">
        <f t="shared" si="221"/>
        <v>2.4623326388839514E-2</v>
      </c>
      <c r="AL444" s="28">
        <f t="shared" si="226"/>
        <v>2.1184103811841038E-2</v>
      </c>
      <c r="AM444" s="200">
        <f t="shared" si="188"/>
        <v>1.0895439377085652</v>
      </c>
      <c r="AN444" s="200">
        <f t="shared" si="189"/>
        <v>1.1758913412563667</v>
      </c>
      <c r="AO444" s="18">
        <f t="shared" si="220"/>
        <v>44354</v>
      </c>
      <c r="AP444" s="355">
        <f t="shared" si="178"/>
        <v>1.1249238269347959</v>
      </c>
      <c r="AQ444" s="7">
        <f t="shared" si="209"/>
        <v>33171.285714285717</v>
      </c>
      <c r="AR444" s="290">
        <f t="shared" si="213"/>
        <v>637.35199999999998</v>
      </c>
      <c r="AS444" s="68">
        <f t="shared" si="214"/>
        <v>1.1758913412563667</v>
      </c>
      <c r="AT444" s="179">
        <f t="shared" si="181"/>
        <v>1.8378463724638826E-2</v>
      </c>
    </row>
    <row r="445" spans="1:46" hidden="1" x14ac:dyDescent="0.25">
      <c r="A445" s="107">
        <v>44336</v>
      </c>
      <c r="B445" s="670">
        <v>35884</v>
      </c>
      <c r="C445" s="515">
        <f t="shared" si="227"/>
        <v>3447044</v>
      </c>
      <c r="D445" s="670">
        <v>435</v>
      </c>
      <c r="E445" s="515">
        <f t="shared" si="228"/>
        <v>72704</v>
      </c>
      <c r="F445" s="515">
        <f t="shared" si="229"/>
        <v>25984</v>
      </c>
      <c r="G445" s="515">
        <v>3035134</v>
      </c>
      <c r="H445" s="515">
        <v>5951</v>
      </c>
      <c r="I445" s="511">
        <v>96691</v>
      </c>
      <c r="J445" s="511">
        <f t="shared" si="232"/>
        <v>12824848</v>
      </c>
      <c r="K445" s="511"/>
      <c r="L445" s="541">
        <f t="shared" si="222"/>
        <v>2.1091694797049299E-2</v>
      </c>
      <c r="M445" s="522">
        <v>20773</v>
      </c>
      <c r="N445" s="522">
        <v>6753998</v>
      </c>
      <c r="O445" s="520">
        <f t="shared" si="215"/>
        <v>0.50302087275887686</v>
      </c>
      <c r="P445" s="511"/>
      <c r="Q445" s="511"/>
      <c r="R445" s="511"/>
      <c r="S445" s="511">
        <f>C445-E445-G445</f>
        <v>339206</v>
      </c>
      <c r="T445" s="507">
        <f>H445-H444</f>
        <v>74</v>
      </c>
      <c r="U445" s="512">
        <f>(C445-G445-E445)-(C444-E444-G444)</f>
        <v>9465</v>
      </c>
      <c r="V445" s="512">
        <f>SUM(B432:B445)/POBLA!$B$25*100000</f>
        <v>774.48381022711669</v>
      </c>
      <c r="W445" s="512">
        <f>B445/POBLA!$B$25*100000</f>
        <v>79.07420160981799</v>
      </c>
      <c r="X445" s="513">
        <f t="shared" si="172"/>
        <v>1.1761898706218583</v>
      </c>
      <c r="Y445" s="519">
        <f t="shared" si="231"/>
        <v>1.7543911369492286E-2</v>
      </c>
      <c r="Z445" s="520">
        <f>SUM(B439:B445)/SUM(I439:I445)</f>
        <v>0.30023586287723408</v>
      </c>
      <c r="AA445" s="517">
        <f>AVERAGE(B439:B445)</f>
        <v>29277.285714285714</v>
      </c>
      <c r="AB445" s="542">
        <f t="shared" si="230"/>
        <v>492.85714285714283</v>
      </c>
      <c r="AC445" s="517">
        <f t="shared" si="225"/>
        <v>429.69744041669702</v>
      </c>
      <c r="AD445" s="517">
        <f t="shared" si="190"/>
        <v>-63.159702440445812</v>
      </c>
      <c r="AE445" s="545">
        <f t="shared" si="162"/>
        <v>25104.428571428572</v>
      </c>
      <c r="AF445" s="520">
        <f t="shared" ref="AF445:AF459" si="233">AA445/AA438</f>
        <v>1.3987141774899161</v>
      </c>
      <c r="AG445" s="200">
        <f t="shared" si="182"/>
        <v>0.20536291726779754</v>
      </c>
      <c r="AH445" s="200">
        <f t="shared" si="205"/>
        <v>0.35253100146997851</v>
      </c>
      <c r="AI445" s="355">
        <f t="shared" si="169"/>
        <v>1.1523046092184368</v>
      </c>
      <c r="AJ445" s="489">
        <f>AF445-1</f>
        <v>0.39871417748991611</v>
      </c>
      <c r="AK445" s="414">
        <f t="shared" si="221"/>
        <v>2.4507888698666627E-2</v>
      </c>
      <c r="AL445" s="28">
        <f t="shared" si="226"/>
        <v>2.1146780188618902E-2</v>
      </c>
      <c r="AM445" s="200">
        <f t="shared" si="188"/>
        <v>1.0979704797047971</v>
      </c>
      <c r="AN445" s="200">
        <f t="shared" si="189"/>
        <v>1.1523046092184368</v>
      </c>
      <c r="AO445" s="18">
        <f t="shared" si="220"/>
        <v>44355</v>
      </c>
      <c r="AP445" s="355">
        <f t="shared" si="178"/>
        <v>1.1761898706218585</v>
      </c>
      <c r="AQ445" s="7">
        <f t="shared" si="209"/>
        <v>33171.285714285717</v>
      </c>
      <c r="AR445" s="290">
        <f t="shared" si="213"/>
        <v>632.70000000000005</v>
      </c>
      <c r="AS445" s="68">
        <f t="shared" si="214"/>
        <v>1.1523046092184368</v>
      </c>
      <c r="AT445" s="179">
        <f t="shared" si="181"/>
        <v>1.8371565371667727E-2</v>
      </c>
    </row>
    <row r="446" spans="1:46" hidden="1" x14ac:dyDescent="0.25">
      <c r="A446" s="107">
        <v>44337</v>
      </c>
      <c r="B446" s="670">
        <v>35468</v>
      </c>
      <c r="C446" s="515">
        <f t="shared" si="227"/>
        <v>3482512</v>
      </c>
      <c r="D446" s="670">
        <v>694</v>
      </c>
      <c r="E446" s="515">
        <v>73384</v>
      </c>
      <c r="F446" s="515">
        <f t="shared" si="229"/>
        <v>25011</v>
      </c>
      <c r="G446" s="515">
        <v>3060145</v>
      </c>
      <c r="H446" s="515">
        <v>6027</v>
      </c>
      <c r="I446" s="511">
        <v>99693</v>
      </c>
      <c r="J446" s="511">
        <f t="shared" si="232"/>
        <v>12924541</v>
      </c>
      <c r="K446" s="511"/>
      <c r="L446" s="541">
        <f t="shared" si="222"/>
        <v>2.1072145623618813E-2</v>
      </c>
      <c r="M446" s="522">
        <v>20924</v>
      </c>
      <c r="N446" s="522">
        <v>6786207</v>
      </c>
      <c r="O446" s="520">
        <f t="shared" si="215"/>
        <v>0.52407760391270297</v>
      </c>
      <c r="P446" s="511"/>
      <c r="Q446" s="511"/>
      <c r="R446" s="511"/>
      <c r="S446" s="511">
        <f t="shared" ref="S446:S451" si="234">C446-E446-G446</f>
        <v>348983</v>
      </c>
      <c r="T446" s="507">
        <f t="shared" ref="T446:T451" si="235">H446-H445</f>
        <v>76</v>
      </c>
      <c r="U446" s="512">
        <f t="shared" ref="U446:U451" si="236">(C446-G446-E446)-(C445-E445-G445)</f>
        <v>9777</v>
      </c>
      <c r="V446" s="512">
        <f>SUM(B433:B446)/POBLA!$B$25*100000</f>
        <v>802.94558672896733</v>
      </c>
      <c r="W446" s="512">
        <f>B446/POBLA!$B$25*100000</f>
        <v>78.1575014685382</v>
      </c>
      <c r="X446" s="513">
        <f t="shared" si="172"/>
        <v>1.2415684777942089</v>
      </c>
      <c r="Y446" s="519">
        <f t="shared" si="231"/>
        <v>1.7270182215179536E-2</v>
      </c>
      <c r="Z446" s="520">
        <f t="shared" ref="Z446:Z451" si="237">SUM(B440:B446)/SUM(I440:I446)</f>
        <v>0.30452631368300082</v>
      </c>
      <c r="AA446" s="517">
        <f t="shared" ref="AA446:AA451" si="238">AVERAGE(B440:B446)</f>
        <v>30435.142857142859</v>
      </c>
      <c r="AB446" s="542">
        <f t="shared" ref="AB446:AB451" si="239">AVERAGE(D440:D446)</f>
        <v>506.14285714285717</v>
      </c>
      <c r="AC446" s="517">
        <f t="shared" si="225"/>
        <v>430.93061917342692</v>
      </c>
      <c r="AD446" s="517">
        <f t="shared" si="190"/>
        <v>-75.212237969430248</v>
      </c>
      <c r="AE446" s="545">
        <f t="shared" si="162"/>
        <v>26027</v>
      </c>
      <c r="AF446" s="520">
        <f t="shared" si="233"/>
        <v>1.407805355113261</v>
      </c>
      <c r="AG446" s="200">
        <f t="shared" si="182"/>
        <v>0.21823107024543842</v>
      </c>
      <c r="AH446" s="200">
        <f t="shared" si="205"/>
        <v>0.29620290172861163</v>
      </c>
      <c r="AI446" s="355">
        <f t="shared" ref="AI446:AI451" si="240">AB446/AB439</f>
        <v>1.1873324396782843</v>
      </c>
      <c r="AJ446" s="489">
        <f t="shared" ref="AJ446:AJ451" si="241">AF446-1</f>
        <v>0.40780535511326099</v>
      </c>
      <c r="AK446" s="414">
        <f t="shared" si="221"/>
        <v>2.489932744407666E-2</v>
      </c>
      <c r="AL446" s="28">
        <f t="shared" si="226"/>
        <v>2.1039072563331901E-2</v>
      </c>
      <c r="AM446" s="200">
        <f t="shared" si="188"/>
        <v>1.1044529961517318</v>
      </c>
      <c r="AN446" s="200">
        <f t="shared" si="189"/>
        <v>1.1873324396782843</v>
      </c>
      <c r="AO446" s="18">
        <f t="shared" si="220"/>
        <v>44356</v>
      </c>
      <c r="AP446" s="355">
        <f t="shared" si="178"/>
        <v>1.2415684777942089</v>
      </c>
      <c r="AQ446" s="7">
        <f t="shared" si="209"/>
        <v>33171.285714285717</v>
      </c>
      <c r="AR446" s="290">
        <f t="shared" si="213"/>
        <v>610.84399999999994</v>
      </c>
      <c r="AS446" s="68">
        <f t="shared" si="214"/>
        <v>1.1873324396782843</v>
      </c>
      <c r="AT446" s="179">
        <f t="shared" si="181"/>
        <v>1.8691090664272891E-2</v>
      </c>
    </row>
    <row r="447" spans="1:46" hidden="1" x14ac:dyDescent="0.25">
      <c r="A447" s="107">
        <v>44338</v>
      </c>
      <c r="B447" s="670">
        <v>32171</v>
      </c>
      <c r="C447" s="515">
        <f t="shared" si="227"/>
        <v>3514683</v>
      </c>
      <c r="D447" s="670">
        <v>297</v>
      </c>
      <c r="E447" s="515">
        <v>73681</v>
      </c>
      <c r="F447" s="515">
        <f t="shared" si="229"/>
        <v>23153</v>
      </c>
      <c r="G447" s="515">
        <v>3083298</v>
      </c>
      <c r="H447" s="515">
        <v>6138</v>
      </c>
      <c r="I447" s="511">
        <v>180387</v>
      </c>
      <c r="J447" s="511">
        <f t="shared" si="232"/>
        <v>13104928</v>
      </c>
      <c r="K447" s="511"/>
      <c r="L447" s="541">
        <f>E447/C447</f>
        <v>2.0963768282943298E-2</v>
      </c>
      <c r="M447" s="522">
        <v>21001</v>
      </c>
      <c r="N447" s="522">
        <v>6861812</v>
      </c>
      <c r="O447" s="520">
        <f t="shared" si="215"/>
        <v>0.29849873812351546</v>
      </c>
      <c r="P447" s="511"/>
      <c r="Q447" s="511"/>
      <c r="R447" s="511"/>
      <c r="S447" s="511">
        <f t="shared" si="234"/>
        <v>357704</v>
      </c>
      <c r="T447" s="507">
        <f t="shared" si="235"/>
        <v>111</v>
      </c>
      <c r="U447" s="512">
        <f t="shared" si="236"/>
        <v>8721</v>
      </c>
      <c r="V447" s="512">
        <f>SUM(B434:B447)/POBLA!$B$25*100000</f>
        <v>834.120002350807</v>
      </c>
      <c r="W447" s="512">
        <f>B447/POBLA!$B$25*100000</f>
        <v>70.892212127674028</v>
      </c>
      <c r="X447" s="513">
        <f t="shared" si="172"/>
        <v>1.3039726338852029</v>
      </c>
      <c r="Y447" s="519">
        <f t="shared" si="231"/>
        <v>1.7159439089302887E-2</v>
      </c>
      <c r="Z447" s="520">
        <f t="shared" si="237"/>
        <v>0.2894282399113145</v>
      </c>
      <c r="AA447" s="517">
        <f t="shared" si="238"/>
        <v>31964</v>
      </c>
      <c r="AB447" s="542">
        <f t="shared" si="239"/>
        <v>491.42857142857144</v>
      </c>
      <c r="AC447" s="517">
        <f t="shared" si="225"/>
        <v>434.18827344977973</v>
      </c>
      <c r="AD447" s="517">
        <f t="shared" si="190"/>
        <v>-57.240297978791716</v>
      </c>
      <c r="AE447" s="545">
        <f t="shared" si="162"/>
        <v>27037.5</v>
      </c>
      <c r="AF447" s="520">
        <f t="shared" si="233"/>
        <v>1.4456153045995206</v>
      </c>
      <c r="AG447" s="200">
        <f t="shared" si="182"/>
        <v>0.2475116309890002</v>
      </c>
      <c r="AH447" s="200">
        <f t="shared" si="205"/>
        <v>0.49848618938935219</v>
      </c>
      <c r="AI447" s="355">
        <f t="shared" si="240"/>
        <v>1.0703173615432482</v>
      </c>
      <c r="AJ447" s="489">
        <f t="shared" si="241"/>
        <v>0.44561530459952059</v>
      </c>
      <c r="AK447" s="414">
        <f t="shared" si="221"/>
        <v>2.4143570019862295E-2</v>
      </c>
      <c r="AL447" s="28">
        <f t="shared" si="226"/>
        <v>2.1406599845152651E-2</v>
      </c>
      <c r="AM447" s="200">
        <f t="shared" si="188"/>
        <v>1.1125611745513866</v>
      </c>
      <c r="AN447" s="200">
        <f t="shared" si="189"/>
        <v>1.0703173615432482</v>
      </c>
      <c r="AO447" s="18">
        <f t="shared" si="220"/>
        <v>44357</v>
      </c>
      <c r="AP447" s="355">
        <f t="shared" si="178"/>
        <v>1.3039726338852029</v>
      </c>
      <c r="AQ447" s="7">
        <f t="shared" si="209"/>
        <v>33171.285714285717</v>
      </c>
      <c r="AR447" s="290">
        <f t="shared" si="213"/>
        <v>591.97199999999998</v>
      </c>
      <c r="AS447" s="68">
        <f t="shared" si="214"/>
        <v>1.0703173615432482</v>
      </c>
      <c r="AT447" s="179">
        <f t="shared" si="181"/>
        <v>1.8227784626313699E-2</v>
      </c>
    </row>
    <row r="448" spans="1:46" hidden="1" x14ac:dyDescent="0.25">
      <c r="A448" s="107">
        <v>44339</v>
      </c>
      <c r="B448" s="670">
        <v>24801</v>
      </c>
      <c r="C448" s="515">
        <f t="shared" si="227"/>
        <v>3539484</v>
      </c>
      <c r="D448" s="670">
        <v>375</v>
      </c>
      <c r="E448" s="515">
        <v>74056</v>
      </c>
      <c r="F448" s="515">
        <f t="shared" si="229"/>
        <v>23651</v>
      </c>
      <c r="G448" s="515">
        <v>3106949</v>
      </c>
      <c r="H448" s="515">
        <v>6214</v>
      </c>
      <c r="I448" s="511">
        <v>82107</v>
      </c>
      <c r="J448" s="511">
        <f t="shared" si="232"/>
        <v>13187035</v>
      </c>
      <c r="K448" s="511"/>
      <c r="L448" s="541">
        <f t="shared" ref="L448:L455" si="242">E448/C448</f>
        <v>2.09228237788333E-2</v>
      </c>
      <c r="M448" s="522">
        <v>21056</v>
      </c>
      <c r="N448" s="522">
        <v>6891105</v>
      </c>
      <c r="O448" s="520">
        <f t="shared" si="215"/>
        <v>0.45847968351388324</v>
      </c>
      <c r="P448" s="511"/>
      <c r="Q448" s="511"/>
      <c r="R448" s="511"/>
      <c r="S448" s="511">
        <f t="shared" si="234"/>
        <v>358479</v>
      </c>
      <c r="T448" s="507">
        <f t="shared" si="235"/>
        <v>76</v>
      </c>
      <c r="U448" s="512">
        <f t="shared" si="236"/>
        <v>775</v>
      </c>
      <c r="V448" s="512">
        <f>SUM(B435:B448)/POBLA!$B$25*100000</f>
        <v>863.24947150363778</v>
      </c>
      <c r="W448" s="512">
        <f>B448/POBLA!$B$25*100000</f>
        <v>54.651635105481446</v>
      </c>
      <c r="X448" s="513">
        <f t="shared" si="172"/>
        <v>1.3656468750871518</v>
      </c>
      <c r="Y448" s="519">
        <f t="shared" si="231"/>
        <v>1.7334348734514435E-2</v>
      </c>
      <c r="Z448" s="520">
        <f t="shared" si="237"/>
        <v>0.29479260958600628</v>
      </c>
      <c r="AA448" s="517">
        <f t="shared" si="238"/>
        <v>33171.285714285717</v>
      </c>
      <c r="AB448" s="542">
        <f t="shared" si="239"/>
        <v>506.42857142857144</v>
      </c>
      <c r="AC448" s="517">
        <f t="shared" si="225"/>
        <v>434.9922198148513</v>
      </c>
      <c r="AD448" s="517">
        <f t="shared" si="190"/>
        <v>-71.436351613720149</v>
      </c>
      <c r="AE448" s="545">
        <f t="shared" si="162"/>
        <v>27981.714285714286</v>
      </c>
      <c r="AF448" s="520">
        <f t="shared" si="233"/>
        <v>1.4553824939672193</v>
      </c>
      <c r="AG448" s="200">
        <f t="shared" si="182"/>
        <v>0.26153483412572442</v>
      </c>
      <c r="AH448" s="200">
        <f t="shared" si="205"/>
        <v>0.51688073394495415</v>
      </c>
      <c r="AI448" s="355">
        <f t="shared" si="240"/>
        <v>1.1074664167447674</v>
      </c>
      <c r="AJ448" s="489">
        <f t="shared" si="241"/>
        <v>0.4553824939672193</v>
      </c>
      <c r="AK448" s="414">
        <f t="shared" si="221"/>
        <v>2.462797515666032E-2</v>
      </c>
      <c r="AL448" s="28">
        <f t="shared" si="226"/>
        <v>2.1867884755473129E-2</v>
      </c>
      <c r="AM448" s="200">
        <f t="shared" si="188"/>
        <v>1.1220657276995305</v>
      </c>
      <c r="AN448" s="200">
        <f t="shared" si="189"/>
        <v>1.1074664167447674</v>
      </c>
      <c r="AO448" s="18">
        <f t="shared" si="220"/>
        <v>44358</v>
      </c>
      <c r="AP448" s="355">
        <f t="shared" si="178"/>
        <v>1.3656468750871518</v>
      </c>
      <c r="AQ448" s="7">
        <f t="shared" si="209"/>
        <v>33171.285714285717</v>
      </c>
      <c r="AR448" s="290">
        <f t="shared" si="213"/>
        <v>577.5</v>
      </c>
      <c r="AS448" s="68">
        <f t="shared" si="214"/>
        <v>1.1074664167447674</v>
      </c>
      <c r="AT448" s="179">
        <f t="shared" si="181"/>
        <v>1.8051793987958011E-2</v>
      </c>
    </row>
    <row r="449" spans="1:46" hidden="1" x14ac:dyDescent="0.25">
      <c r="A449" s="107">
        <v>44340</v>
      </c>
      <c r="B449" s="670">
        <v>22651</v>
      </c>
      <c r="C449" s="515">
        <f t="shared" si="227"/>
        <v>3562135</v>
      </c>
      <c r="D449" s="670">
        <v>417</v>
      </c>
      <c r="E449" s="515">
        <v>74473</v>
      </c>
      <c r="F449" s="515">
        <f t="shared" si="229"/>
        <v>26234</v>
      </c>
      <c r="G449" s="515">
        <v>3133183</v>
      </c>
      <c r="H449" s="515">
        <v>6373</v>
      </c>
      <c r="I449" s="511">
        <v>69274</v>
      </c>
      <c r="J449" s="511">
        <f t="shared" si="232"/>
        <v>13256309</v>
      </c>
      <c r="K449" s="511"/>
      <c r="L449" s="541">
        <f t="shared" si="242"/>
        <v>2.0906843788907496E-2</v>
      </c>
      <c r="M449" s="522">
        <v>21113</v>
      </c>
      <c r="N449" s="522">
        <v>6915317</v>
      </c>
      <c r="O449" s="520">
        <f t="shared" si="215"/>
        <v>0.48334506967116914</v>
      </c>
      <c r="P449" s="511"/>
      <c r="Q449" s="511"/>
      <c r="R449" s="511"/>
      <c r="S449" s="511">
        <f t="shared" si="234"/>
        <v>354479</v>
      </c>
      <c r="T449" s="507">
        <f t="shared" si="235"/>
        <v>159</v>
      </c>
      <c r="U449" s="512">
        <f t="shared" si="236"/>
        <v>-4000</v>
      </c>
      <c r="V449" s="512">
        <f>SUM(B436:B449)/POBLA!$B$25*100000</f>
        <v>874.86247569725458</v>
      </c>
      <c r="W449" s="512">
        <f>B449/POBLA!$B$25*100000</f>
        <v>49.913881971463255</v>
      </c>
      <c r="X449" s="513">
        <f t="shared" si="172"/>
        <v>1.3908647580611257</v>
      </c>
      <c r="Y449" s="519">
        <f t="shared" si="231"/>
        <v>1.7978498021039329E-2</v>
      </c>
      <c r="Z449" s="520">
        <f t="shared" si="237"/>
        <v>0.29545896925747922</v>
      </c>
      <c r="AA449" s="517">
        <f t="shared" si="238"/>
        <v>32310</v>
      </c>
      <c r="AB449" s="542">
        <f t="shared" si="239"/>
        <v>493.85714285714283</v>
      </c>
      <c r="AC449" s="517">
        <f t="shared" si="225"/>
        <v>440.26182217272043</v>
      </c>
      <c r="AD449" s="517">
        <f t="shared" si="190"/>
        <v>-53.595320684422404</v>
      </c>
      <c r="AE449" s="545">
        <f t="shared" si="162"/>
        <v>28358.142857142859</v>
      </c>
      <c r="AF449" s="520">
        <f t="shared" si="233"/>
        <v>1.3238392919856712</v>
      </c>
      <c r="AG449" s="200">
        <f t="shared" si="182"/>
        <v>0.21535101553821479</v>
      </c>
      <c r="AH449" s="200">
        <f t="shared" si="205"/>
        <v>-0.21021617852161789</v>
      </c>
      <c r="AI449" s="355">
        <f t="shared" si="240"/>
        <v>1.0769470404984423</v>
      </c>
      <c r="AJ449" s="489">
        <f t="shared" si="241"/>
        <v>0.32383929198567118</v>
      </c>
      <c r="AK449" s="414">
        <f t="shared" si="221"/>
        <v>2.4060412026726055E-2</v>
      </c>
      <c r="AL449" s="28">
        <f t="shared" si="226"/>
        <v>2.185018582772193E-2</v>
      </c>
      <c r="AM449" s="200">
        <f t="shared" si="188"/>
        <v>1.1200351493848857</v>
      </c>
      <c r="AN449" s="200">
        <f t="shared" si="189"/>
        <v>1.0769470404984423</v>
      </c>
      <c r="AO449" s="18">
        <f t="shared" si="220"/>
        <v>44359</v>
      </c>
      <c r="AP449" s="355">
        <f t="shared" si="178"/>
        <v>1.390864758061126</v>
      </c>
      <c r="AQ449" s="7">
        <f t="shared" si="209"/>
        <v>33171.285714285717</v>
      </c>
      <c r="AR449" s="290">
        <f t="shared" si="213"/>
        <v>566.00800000000004</v>
      </c>
      <c r="AS449" s="68">
        <f t="shared" si="214"/>
        <v>1.0769470404984423</v>
      </c>
      <c r="AT449" s="179">
        <f t="shared" si="181"/>
        <v>1.818186895037158E-2</v>
      </c>
    </row>
    <row r="450" spans="1:46" hidden="1" x14ac:dyDescent="0.25">
      <c r="A450" s="107">
        <v>44341</v>
      </c>
      <c r="B450" s="670">
        <v>24601</v>
      </c>
      <c r="C450" s="515">
        <f t="shared" si="227"/>
        <v>3586736</v>
      </c>
      <c r="D450" s="670">
        <v>576</v>
      </c>
      <c r="E450" s="515">
        <v>75049</v>
      </c>
      <c r="F450" s="515">
        <f t="shared" si="229"/>
        <v>24477</v>
      </c>
      <c r="G450" s="515">
        <v>3157660</v>
      </c>
      <c r="H450" s="515">
        <v>6552</v>
      </c>
      <c r="I450" s="511">
        <v>86340</v>
      </c>
      <c r="J450" s="511">
        <f t="shared" si="232"/>
        <v>13342649</v>
      </c>
      <c r="K450" s="511"/>
      <c r="L450" s="541">
        <f t="shared" si="242"/>
        <v>2.0924037899639116E-2</v>
      </c>
      <c r="M450" s="522">
        <v>21222</v>
      </c>
      <c r="N450" s="522">
        <v>6947118</v>
      </c>
      <c r="O450" s="520">
        <f t="shared" si="215"/>
        <v>0.43617247615332788</v>
      </c>
      <c r="P450" s="511"/>
      <c r="Q450" s="511"/>
      <c r="R450" s="511"/>
      <c r="S450" s="511">
        <f t="shared" si="234"/>
        <v>354027</v>
      </c>
      <c r="T450" s="507">
        <f t="shared" si="235"/>
        <v>179</v>
      </c>
      <c r="U450" s="512">
        <f t="shared" si="236"/>
        <v>-452</v>
      </c>
      <c r="V450" s="512">
        <f>SUM(B437:B450)/POBLA!$B$25*100000</f>
        <v>871.83251729759172</v>
      </c>
      <c r="W450" s="512">
        <f>B450/POBLA!$B$25*100000</f>
        <v>54.210913883712315</v>
      </c>
      <c r="X450" s="513">
        <f t="shared" si="172"/>
        <v>1.3837160094430359</v>
      </c>
      <c r="Y450" s="519">
        <f t="shared" si="231"/>
        <v>1.8507063020617071E-2</v>
      </c>
      <c r="Z450" s="520">
        <f t="shared" si="237"/>
        <v>0.29082113854094882</v>
      </c>
      <c r="AA450" s="517">
        <f t="shared" si="238"/>
        <v>30746.857142857141</v>
      </c>
      <c r="AB450" s="542">
        <f t="shared" si="239"/>
        <v>469.71428571428572</v>
      </c>
      <c r="AC450" s="517">
        <f t="shared" si="225"/>
        <v>439.03496330124545</v>
      </c>
      <c r="AD450" s="517">
        <f t="shared" si="190"/>
        <v>-30.679322413040268</v>
      </c>
      <c r="AE450" s="545">
        <f t="shared" si="162"/>
        <v>28259.928571428572</v>
      </c>
      <c r="AF450" s="520">
        <f t="shared" si="233"/>
        <v>1.1929871238449983</v>
      </c>
      <c r="AG450" s="200">
        <f t="shared" si="182"/>
        <v>0.15165187633373245</v>
      </c>
      <c r="AH450" s="200">
        <f t="shared" si="205"/>
        <v>-0.30785246040007874</v>
      </c>
      <c r="AI450" s="355">
        <f t="shared" si="240"/>
        <v>0.94891774891774894</v>
      </c>
      <c r="AJ450" s="489">
        <f t="shared" si="241"/>
        <v>0.19298712384499828</v>
      </c>
      <c r="AK450" s="414">
        <f t="shared" si="221"/>
        <v>2.2821288764263307E-2</v>
      </c>
      <c r="AL450" s="28">
        <f t="shared" si="226"/>
        <v>2.1313693853120284E-2</v>
      </c>
      <c r="AM450" s="200">
        <f t="shared" si="188"/>
        <v>1.1271288491312574</v>
      </c>
      <c r="AN450" s="200">
        <f t="shared" si="189"/>
        <v>0.94891774891774894</v>
      </c>
      <c r="AO450" s="18">
        <f t="shared" si="220"/>
        <v>44360</v>
      </c>
      <c r="AP450" s="355">
        <f t="shared" si="178"/>
        <v>1.3837160094430359</v>
      </c>
      <c r="AQ450" s="7">
        <f t="shared" si="209"/>
        <v>33171.285714285717</v>
      </c>
      <c r="AR450" s="290">
        <f t="shared" si="213"/>
        <v>568.98</v>
      </c>
      <c r="AS450" s="68">
        <f t="shared" si="214"/>
        <v>0.94891774891774894</v>
      </c>
      <c r="AT450" s="179">
        <f t="shared" si="181"/>
        <v>1.8501016736194156E-2</v>
      </c>
    </row>
    <row r="451" spans="1:46" hidden="1" x14ac:dyDescent="0.25">
      <c r="A451" s="107">
        <v>44342</v>
      </c>
      <c r="B451" s="670">
        <v>35399</v>
      </c>
      <c r="C451" s="515">
        <f t="shared" si="227"/>
        <v>3622135</v>
      </c>
      <c r="D451" s="670">
        <v>531</v>
      </c>
      <c r="E451" s="515">
        <v>75580</v>
      </c>
      <c r="F451" s="515">
        <f t="shared" si="229"/>
        <v>23628</v>
      </c>
      <c r="G451" s="515">
        <v>3181288</v>
      </c>
      <c r="H451" s="515">
        <v>6644</v>
      </c>
      <c r="I451" s="511">
        <v>107881</v>
      </c>
      <c r="J451" s="511">
        <f t="shared" si="232"/>
        <v>13450530</v>
      </c>
      <c r="K451" s="511"/>
      <c r="L451" s="541">
        <f t="shared" si="242"/>
        <v>2.0866146623469306E-2</v>
      </c>
      <c r="M451" s="522">
        <v>21364</v>
      </c>
      <c r="N451" s="522">
        <v>6982199</v>
      </c>
      <c r="O451" s="520">
        <f t="shared" si="215"/>
        <v>0.50225595913734389</v>
      </c>
      <c r="P451" s="511"/>
      <c r="Q451" s="511"/>
      <c r="R451" s="511"/>
      <c r="S451" s="511">
        <f t="shared" si="234"/>
        <v>365267</v>
      </c>
      <c r="T451" s="507">
        <f t="shared" si="235"/>
        <v>92</v>
      </c>
      <c r="U451" s="512">
        <f t="shared" si="236"/>
        <v>11240</v>
      </c>
      <c r="V451" s="512">
        <f>SUM(B438:B451)/POBLA!$B$25*100000</f>
        <v>895.90471043062189</v>
      </c>
      <c r="W451" s="512">
        <f>B451/POBLA!$B$25*100000</f>
        <v>78.005452647027852</v>
      </c>
      <c r="X451" s="513">
        <f t="shared" si="172"/>
        <v>1.4181671678026524</v>
      </c>
      <c r="Y451" s="519">
        <f t="shared" si="231"/>
        <v>1.818943403044896E-2</v>
      </c>
      <c r="Z451" s="520">
        <f t="shared" si="237"/>
        <v>0.29205825799137008</v>
      </c>
      <c r="AA451" s="517">
        <f t="shared" si="238"/>
        <v>30139.285714285714</v>
      </c>
      <c r="AB451" s="542">
        <f t="shared" si="239"/>
        <v>475</v>
      </c>
      <c r="AC451" s="517">
        <f t="shared" si="225"/>
        <v>440.41456725495271</v>
      </c>
      <c r="AD451" s="517">
        <f t="shared" si="190"/>
        <v>-34.585432745047285</v>
      </c>
      <c r="AE451" s="545">
        <f t="shared" ref="AE451:AE459" si="243">AVERAGE(B438:B451)</f>
        <v>29040.214285714286</v>
      </c>
      <c r="AF451" s="520">
        <f t="shared" si="233"/>
        <v>1.0786704705810171</v>
      </c>
      <c r="AG451" s="200">
        <f t="shared" si="182"/>
        <v>0.10773910432733569</v>
      </c>
      <c r="AH451" s="200">
        <f t="shared" si="205"/>
        <v>-0.10725814586906079</v>
      </c>
      <c r="AI451" s="355">
        <f t="shared" si="240"/>
        <v>0.96015015882183075</v>
      </c>
      <c r="AJ451" s="657">
        <f t="shared" si="241"/>
        <v>7.867047058101706E-2</v>
      </c>
      <c r="AK451" s="414">
        <f t="shared" si="221"/>
        <v>2.2692992813316864E-2</v>
      </c>
      <c r="AL451" s="28">
        <f t="shared" si="226"/>
        <v>2.0149147361110689E-2</v>
      </c>
      <c r="AM451" s="200">
        <f t="shared" si="188"/>
        <v>1.1305087629743067</v>
      </c>
      <c r="AN451" s="200">
        <f t="shared" si="189"/>
        <v>0.96015015882183075</v>
      </c>
      <c r="AO451" s="18">
        <f t="shared" si="220"/>
        <v>44361</v>
      </c>
      <c r="AP451" s="355">
        <f t="shared" si="178"/>
        <v>1.4181671678026524</v>
      </c>
      <c r="AQ451" s="7">
        <f t="shared" si="209"/>
        <v>33171.285714285717</v>
      </c>
      <c r="AR451" s="290">
        <f t="shared" si="213"/>
        <v>570.42399999999998</v>
      </c>
      <c r="AS451" s="68">
        <f t="shared" si="214"/>
        <v>0.96015015882183075</v>
      </c>
      <c r="AT451" s="179">
        <f t="shared" si="181"/>
        <v>1.8205743624555192E-2</v>
      </c>
    </row>
    <row r="452" spans="1:46" hidden="1" x14ac:dyDescent="0.25">
      <c r="A452" s="107">
        <v>44343</v>
      </c>
      <c r="B452" s="670">
        <v>41080</v>
      </c>
      <c r="C452" s="515">
        <f t="shared" si="227"/>
        <v>3663215</v>
      </c>
      <c r="D452" s="670">
        <v>549</v>
      </c>
      <c r="E452" s="515">
        <v>76129</v>
      </c>
      <c r="F452" s="515">
        <f t="shared" si="229"/>
        <v>38186</v>
      </c>
      <c r="G452" s="515">
        <v>3219474</v>
      </c>
      <c r="H452" s="515">
        <v>6802</v>
      </c>
      <c r="I452" s="511">
        <v>121115</v>
      </c>
      <c r="J452" s="511">
        <f t="shared" si="232"/>
        <v>13571645</v>
      </c>
      <c r="K452" s="511"/>
      <c r="L452" s="541">
        <f t="shared" si="242"/>
        <v>2.0782017981472559E-2</v>
      </c>
      <c r="M452" s="522">
        <v>21496</v>
      </c>
      <c r="N452" s="522">
        <v>7022310</v>
      </c>
      <c r="O452" s="520">
        <f t="shared" si="215"/>
        <v>0.50596741018093139</v>
      </c>
      <c r="P452" s="511"/>
      <c r="Q452" s="511"/>
      <c r="R452" s="511"/>
      <c r="S452" s="511">
        <f>C452-E452-G452</f>
        <v>367612</v>
      </c>
      <c r="T452" s="507">
        <f>H452-H451</f>
        <v>158</v>
      </c>
      <c r="U452" s="512">
        <f>(C452-G452-E452)-(C451-E451-G451)</f>
        <v>2345</v>
      </c>
      <c r="V452" s="512">
        <f>SUM(B439:B452)/POBLA!$B$25*100000</f>
        <v>927.96497570821759</v>
      </c>
      <c r="W452" s="512">
        <f>B452/POBLA!$B$25*100000</f>
        <v>90.524138951380095</v>
      </c>
      <c r="X452" s="513">
        <f t="shared" ref="X452:X459" si="244">SUM(B439:B452)/SUM(B425:B438)</f>
        <v>1.466471653433626</v>
      </c>
      <c r="Y452" s="519">
        <f t="shared" si="231"/>
        <v>1.8503204465577839E-2</v>
      </c>
      <c r="Z452" s="520">
        <f t="shared" ref="Z452:Z459" si="245">SUM(B446:B452)/SUM(I446:I452)</f>
        <v>0.28946420513205062</v>
      </c>
      <c r="AA452" s="517">
        <f t="shared" ref="AA452:AA463" si="246">AVERAGE(B446:B452)</f>
        <v>30881.571428571428</v>
      </c>
      <c r="AB452" s="542">
        <f t="shared" ref="AB452:AB462" si="247">AVERAGE(D446:D452)</f>
        <v>491.28571428571428</v>
      </c>
      <c r="AC452" s="517">
        <f t="shared" si="225"/>
        <v>447.11566773612236</v>
      </c>
      <c r="AD452" s="517">
        <f t="shared" si="190"/>
        <v>-44.170046549591916</v>
      </c>
      <c r="AE452" s="545">
        <f t="shared" si="243"/>
        <v>30079.428571428572</v>
      </c>
      <c r="AF452" s="520">
        <f t="shared" si="233"/>
        <v>1.0547962584353545</v>
      </c>
      <c r="AG452" s="200">
        <f t="shared" si="182"/>
        <v>8.374262247719666E-2</v>
      </c>
      <c r="AH452" s="200">
        <f t="shared" si="205"/>
        <v>0.14479991082376542</v>
      </c>
      <c r="AI452" s="355">
        <f t="shared" ref="AI452:AI462" si="248">AB452/AB445</f>
        <v>0.99681159420289855</v>
      </c>
      <c r="AJ452" s="657">
        <f t="shared" ref="AJ452:AJ462" si="249">AF452-1</f>
        <v>5.4796258435354517E-2</v>
      </c>
      <c r="AK452" s="414">
        <f t="shared" si="221"/>
        <v>2.2724869822641609E-2</v>
      </c>
      <c r="AL452" s="28">
        <f t="shared" si="226"/>
        <v>2.0052711331757102E-2</v>
      </c>
      <c r="AM452" s="200">
        <f t="shared" si="188"/>
        <v>1.1430011762728953</v>
      </c>
      <c r="AN452" s="200">
        <f t="shared" si="189"/>
        <v>0.99681159420289855</v>
      </c>
      <c r="AO452" s="18">
        <f t="shared" si="220"/>
        <v>44362</v>
      </c>
      <c r="AP452" s="355">
        <f t="shared" si="178"/>
        <v>1.4664716534336257</v>
      </c>
      <c r="AQ452" s="7">
        <f t="shared" si="209"/>
        <v>33171.285714285717</v>
      </c>
      <c r="AR452" s="290">
        <f t="shared" si="213"/>
        <v>562.55600000000004</v>
      </c>
      <c r="AS452" s="68">
        <f t="shared" si="214"/>
        <v>0.99681159420289855</v>
      </c>
      <c r="AT452" s="179">
        <f t="shared" si="181"/>
        <v>1.7874975430153699E-2</v>
      </c>
    </row>
    <row r="453" spans="1:46" hidden="1" x14ac:dyDescent="0.25">
      <c r="A453" s="107">
        <v>44344</v>
      </c>
      <c r="B453" s="670">
        <v>39207</v>
      </c>
      <c r="C453" s="515">
        <f t="shared" si="227"/>
        <v>3702422</v>
      </c>
      <c r="D453" s="670">
        <v>560</v>
      </c>
      <c r="E453" s="515">
        <v>76689</v>
      </c>
      <c r="F453" s="515">
        <f t="shared" si="229"/>
        <v>33369</v>
      </c>
      <c r="G453" s="515">
        <v>3252843</v>
      </c>
      <c r="H453" s="515">
        <v>6872</v>
      </c>
      <c r="I453" s="511">
        <v>110987</v>
      </c>
      <c r="J453" s="511">
        <f t="shared" si="232"/>
        <v>13682632</v>
      </c>
      <c r="K453" s="511"/>
      <c r="L453" s="541">
        <f t="shared" si="242"/>
        <v>2.0713198009303099E-2</v>
      </c>
      <c r="M453" s="522">
        <v>21659</v>
      </c>
      <c r="N453" s="522">
        <v>7061012</v>
      </c>
      <c r="O453" s="520">
        <f t="shared" si="215"/>
        <v>0.5032409606078887</v>
      </c>
      <c r="P453" s="511"/>
      <c r="Q453" s="511"/>
      <c r="R453" s="511"/>
      <c r="S453" s="511">
        <f t="shared" ref="S453:S465" si="250">C453-E453-G453</f>
        <v>372890</v>
      </c>
      <c r="T453" s="507">
        <f>H453-H452</f>
        <v>70</v>
      </c>
      <c r="U453" s="512">
        <f>(C453-G453-E453)-(C452-E452-G452)</f>
        <v>5278</v>
      </c>
      <c r="V453" s="512">
        <f>SUM(B440:B453)/POBLA!$B$25*100000</f>
        <v>954.06448646138574</v>
      </c>
      <c r="W453" s="512">
        <f>B453/POBLA!$B$25*100000</f>
        <v>86.396784709512161</v>
      </c>
      <c r="X453" s="513">
        <f t="shared" si="244"/>
        <v>1.4822031954481809</v>
      </c>
      <c r="Y453" s="519">
        <f t="shared" si="231"/>
        <v>1.842902732709378E-2</v>
      </c>
      <c r="Z453" s="520">
        <f t="shared" si="245"/>
        <v>0.29008390813240098</v>
      </c>
      <c r="AA453" s="517">
        <f t="shared" si="246"/>
        <v>31415.714285714286</v>
      </c>
      <c r="AB453" s="542">
        <f t="shared" si="247"/>
        <v>472.14285714285717</v>
      </c>
      <c r="AC453" s="517">
        <f t="shared" si="225"/>
        <v>461.90578697386229</v>
      </c>
      <c r="AD453" s="517">
        <f t="shared" si="190"/>
        <v>-10.237070168994876</v>
      </c>
      <c r="AE453" s="545">
        <f t="shared" si="243"/>
        <v>30925.428571428572</v>
      </c>
      <c r="AF453" s="520">
        <f t="shared" si="233"/>
        <v>1.0322183941496201</v>
      </c>
      <c r="AG453" s="200">
        <f t="shared" si="182"/>
        <v>6.8504769573302982E-2</v>
      </c>
      <c r="AH453" s="200">
        <f t="shared" si="205"/>
        <v>0.10541896921168381</v>
      </c>
      <c r="AI453" s="355">
        <f t="shared" si="248"/>
        <v>0.93282528930285069</v>
      </c>
      <c r="AJ453" s="657">
        <f t="shared" si="249"/>
        <v>3.2218394149620133E-2</v>
      </c>
      <c r="AK453" s="414">
        <f t="shared" si="221"/>
        <v>2.1353301847173677E-2</v>
      </c>
      <c r="AL453" s="28">
        <f t="shared" si="226"/>
        <v>1.9691503597596444E-2</v>
      </c>
      <c r="AM453" s="200">
        <f t="shared" si="188"/>
        <v>1.1402024224323877</v>
      </c>
      <c r="AN453" s="200">
        <f t="shared" si="189"/>
        <v>0.93282528930285069</v>
      </c>
      <c r="AO453" s="18">
        <f t="shared" si="220"/>
        <v>44363</v>
      </c>
      <c r="AP453" s="355">
        <f t="shared" si="178"/>
        <v>1.4822031954481809</v>
      </c>
      <c r="AQ453" s="7">
        <f t="shared" si="209"/>
        <v>33171.285714285717</v>
      </c>
      <c r="AR453" s="290">
        <f t="shared" si="213"/>
        <v>563.08400000000006</v>
      </c>
      <c r="AS453" s="68">
        <f t="shared" si="214"/>
        <v>0.93282528930285069</v>
      </c>
      <c r="AT453" s="179">
        <f t="shared" si="181"/>
        <v>1.7791119178004272E-2</v>
      </c>
    </row>
    <row r="454" spans="1:46" hidden="1" x14ac:dyDescent="0.25">
      <c r="A454" s="107">
        <v>44345</v>
      </c>
      <c r="B454" s="670">
        <v>29841</v>
      </c>
      <c r="C454" s="515">
        <f t="shared" si="227"/>
        <v>3732263</v>
      </c>
      <c r="D454" s="670">
        <v>416</v>
      </c>
      <c r="E454" s="515">
        <v>77105</v>
      </c>
      <c r="F454" s="515">
        <f t="shared" si="229"/>
        <v>35624</v>
      </c>
      <c r="G454" s="515">
        <v>3288467</v>
      </c>
      <c r="H454" s="515">
        <v>6909</v>
      </c>
      <c r="I454" s="511">
        <v>105569</v>
      </c>
      <c r="J454" s="511">
        <f t="shared" si="232"/>
        <v>13788201</v>
      </c>
      <c r="K454" s="511"/>
      <c r="L454" s="541">
        <f t="shared" si="242"/>
        <v>2.065904787524352E-2</v>
      </c>
      <c r="M454" s="522">
        <v>21713</v>
      </c>
      <c r="N454" s="522">
        <v>7101636</v>
      </c>
      <c r="O454" s="520">
        <f t="shared" si="215"/>
        <v>0.42348683743702548</v>
      </c>
      <c r="P454" s="511"/>
      <c r="Q454" s="511"/>
      <c r="R454" s="511"/>
      <c r="S454" s="511">
        <f t="shared" si="250"/>
        <v>366691</v>
      </c>
      <c r="T454" s="507">
        <f>H454-H453</f>
        <v>37</v>
      </c>
      <c r="U454" s="512">
        <f>(C454-G454-E454)-(C453-E453-G453)</f>
        <v>-6199</v>
      </c>
      <c r="V454" s="512">
        <f>SUM(B441:B454)/POBLA!$B$25*100000</f>
        <v>972.51307680464151</v>
      </c>
      <c r="W454" s="512">
        <f>B454/POBLA!$B$25*100000</f>
        <v>65.757809894063627</v>
      </c>
      <c r="X454" s="513">
        <f t="shared" si="244"/>
        <v>1.4856027198976671</v>
      </c>
      <c r="Y454" s="519">
        <f t="shared" si="231"/>
        <v>1.8841476883806801E-2</v>
      </c>
      <c r="Z454" s="520">
        <f t="shared" si="245"/>
        <v>0.31843787183161049</v>
      </c>
      <c r="AA454" s="517">
        <f t="shared" si="246"/>
        <v>31082.857142857141</v>
      </c>
      <c r="AB454" s="542">
        <f t="shared" si="247"/>
        <v>489.14285714285717</v>
      </c>
      <c r="AC454" s="517">
        <f t="shared" si="225"/>
        <v>472.0264316979825</v>
      </c>
      <c r="AD454" s="517">
        <f t="shared" si="190"/>
        <v>-17.116425444874665</v>
      </c>
      <c r="AE454" s="545">
        <f t="shared" si="243"/>
        <v>31523.428571428572</v>
      </c>
      <c r="AF454" s="520">
        <f t="shared" si="233"/>
        <v>0.97243327314657557</v>
      </c>
      <c r="AG454" s="200">
        <f t="shared" si="182"/>
        <v>2.5124124974839512E-2</v>
      </c>
      <c r="AH454" s="200">
        <f t="shared" si="205"/>
        <v>-7.2425476360697516E-2</v>
      </c>
      <c r="AI454" s="355">
        <f t="shared" si="248"/>
        <v>0.99534883720930234</v>
      </c>
      <c r="AJ454" s="657">
        <f t="shared" si="249"/>
        <v>-2.7566726853424428E-2</v>
      </c>
      <c r="AK454" s="414">
        <f t="shared" si="221"/>
        <v>2.1461029803503714E-2</v>
      </c>
      <c r="AL454" s="28">
        <f t="shared" si="226"/>
        <v>1.9314852503746115E-2</v>
      </c>
      <c r="AM454" s="200">
        <f t="shared" si="188"/>
        <v>1.1256109481915935</v>
      </c>
      <c r="AN454" s="200">
        <f t="shared" si="189"/>
        <v>0.99534883720930234</v>
      </c>
      <c r="AO454" s="18">
        <f t="shared" si="220"/>
        <v>44364</v>
      </c>
      <c r="AP454" s="355">
        <f t="shared" si="178"/>
        <v>1.4856027198976673</v>
      </c>
      <c r="AQ454" s="7">
        <f t="shared" si="209"/>
        <v>33171.285714285717</v>
      </c>
      <c r="AR454" s="290">
        <f t="shared" si="213"/>
        <v>569.17200000000003</v>
      </c>
      <c r="AS454" s="68">
        <f t="shared" si="214"/>
        <v>0.99534883720930234</v>
      </c>
      <c r="AT454" s="179">
        <f t="shared" si="181"/>
        <v>1.7517881953378275E-2</v>
      </c>
    </row>
    <row r="455" spans="1:46" hidden="1" x14ac:dyDescent="0.25">
      <c r="A455" s="107">
        <v>44346</v>
      </c>
      <c r="B455" s="670">
        <v>21346</v>
      </c>
      <c r="C455" s="515">
        <v>3753609</v>
      </c>
      <c r="D455" s="670">
        <v>348</v>
      </c>
      <c r="E455" s="515">
        <v>77453</v>
      </c>
      <c r="F455" s="515">
        <v>30601</v>
      </c>
      <c r="G455" s="515">
        <v>3319068</v>
      </c>
      <c r="H455" s="515">
        <v>7200</v>
      </c>
      <c r="I455" s="511">
        <v>84421</v>
      </c>
      <c r="J455" s="511">
        <v>13872622</v>
      </c>
      <c r="K455" s="511"/>
      <c r="L455" s="541">
        <f t="shared" si="242"/>
        <v>2.0634274907162679E-2</v>
      </c>
      <c r="M455" s="522">
        <v>21812</v>
      </c>
      <c r="N455" s="522">
        <v>7135288</v>
      </c>
      <c r="O455" s="520">
        <f t="shared" si="215"/>
        <v>0.38812320448016291</v>
      </c>
      <c r="P455" s="511"/>
      <c r="Q455" s="511"/>
      <c r="R455" s="511"/>
      <c r="S455" s="511">
        <f t="shared" si="250"/>
        <v>357088</v>
      </c>
      <c r="T455" s="507">
        <f t="shared" ref="T455:T465" si="251">H455-H454</f>
        <v>291</v>
      </c>
      <c r="U455" s="512">
        <f t="shared" ref="U455:U465" si="252">(C455-G455-E455)-(C454-E454-G454)</f>
        <v>-9603</v>
      </c>
      <c r="V455" s="512">
        <f>SUM(B442:B455)/POBLA!$B$25*100000</f>
        <v>983.52229292443462</v>
      </c>
      <c r="W455" s="512">
        <f>B455/POBLA!$B$25*100000</f>
        <v>47.038175999419657</v>
      </c>
      <c r="X455" s="513">
        <f t="shared" si="244"/>
        <v>1.4777668147775358</v>
      </c>
      <c r="Y455" s="519">
        <f t="shared" si="231"/>
        <v>2.0163097051707143E-2</v>
      </c>
      <c r="Z455" s="520">
        <f t="shared" si="245"/>
        <v>0.31232360006826265</v>
      </c>
      <c r="AA455" s="517">
        <f t="shared" si="246"/>
        <v>30589.285714285714</v>
      </c>
      <c r="AB455" s="542">
        <f t="shared" si="247"/>
        <v>485.28571428571428</v>
      </c>
      <c r="AC455" s="517">
        <f t="shared" si="225"/>
        <v>486.02278757349308</v>
      </c>
      <c r="AD455" s="517">
        <f t="shared" si="190"/>
        <v>0.73707328777879866</v>
      </c>
      <c r="AE455" s="545">
        <f t="shared" si="243"/>
        <v>31880.285714285714</v>
      </c>
      <c r="AF455" s="520">
        <f t="shared" si="233"/>
        <v>0.92216159414984555</v>
      </c>
      <c r="AG455" s="200">
        <f t="shared" si="182"/>
        <v>-3.8802830849227199E-3</v>
      </c>
      <c r="AH455" s="200">
        <f t="shared" si="205"/>
        <v>-0.13930889883472442</v>
      </c>
      <c r="AI455" s="355">
        <f t="shared" si="248"/>
        <v>0.95825105782792663</v>
      </c>
      <c r="AJ455" s="657">
        <f t="shared" si="249"/>
        <v>-7.7838405850154446E-2</v>
      </c>
      <c r="AK455" s="414">
        <f t="shared" si="221"/>
        <v>1.9883636533913979E-2</v>
      </c>
      <c r="AL455" s="28">
        <f t="shared" si="226"/>
        <v>2.008485852727775E-2</v>
      </c>
      <c r="AM455" s="200">
        <f t="shared" si="188"/>
        <v>1.1586739620212423</v>
      </c>
      <c r="AN455" s="200">
        <f t="shared" si="189"/>
        <v>0.95825105782792663</v>
      </c>
      <c r="AO455" s="18">
        <f t="shared" si="220"/>
        <v>44365</v>
      </c>
      <c r="AP455" s="355">
        <f t="shared" si="178"/>
        <v>1.4777668147775358</v>
      </c>
      <c r="AQ455" s="7">
        <f t="shared" si="209"/>
        <v>33171.285714285717</v>
      </c>
      <c r="AR455" s="290">
        <f t="shared" si="213"/>
        <v>569.92400000000009</v>
      </c>
    </row>
    <row r="456" spans="1:46" hidden="1" x14ac:dyDescent="0.25">
      <c r="A456" s="107">
        <v>44347</v>
      </c>
      <c r="B456" s="670">
        <v>28175</v>
      </c>
      <c r="C456" s="515">
        <f t="shared" ref="C456:C479" si="253">C455+B456</f>
        <v>3781784</v>
      </c>
      <c r="D456" s="670">
        <v>638</v>
      </c>
      <c r="E456" s="515">
        <v>78091</v>
      </c>
      <c r="F456" s="515">
        <f t="shared" ref="F456:F463" si="254">G456-G455</f>
        <v>31534</v>
      </c>
      <c r="G456" s="515">
        <v>3350602</v>
      </c>
      <c r="H456" s="515">
        <v>7325</v>
      </c>
      <c r="I456" s="511">
        <v>87048</v>
      </c>
      <c r="J456" s="511">
        <f t="shared" ref="J456:J468" si="255">J455+I456</f>
        <v>13959670</v>
      </c>
      <c r="K456" s="511"/>
      <c r="L456" s="541">
        <f t="shared" ref="L456:L463" si="256">E456/C456</f>
        <v>2.0649249137444127E-2</v>
      </c>
      <c r="M456" s="522">
        <v>22012</v>
      </c>
      <c r="N456" s="522">
        <v>7164939</v>
      </c>
      <c r="O456" s="520">
        <f t="shared" si="215"/>
        <v>0.48723757479334556</v>
      </c>
      <c r="P456" s="511"/>
      <c r="Q456" s="511"/>
      <c r="R456" s="511"/>
      <c r="S456" s="511">
        <f t="shared" si="250"/>
        <v>353091</v>
      </c>
      <c r="T456" s="507">
        <f t="shared" si="251"/>
        <v>125</v>
      </c>
      <c r="U456" s="512">
        <f t="shared" si="252"/>
        <v>-3997</v>
      </c>
      <c r="V456" s="512">
        <f>SUM(B443:B456)/POBLA!$B$25*100000</f>
        <v>982.40947183946753</v>
      </c>
      <c r="W456" s="512">
        <f>B456/POBLA!$B$25*100000</f>
        <v>62.086602116726738</v>
      </c>
      <c r="X456" s="513">
        <f t="shared" si="244"/>
        <v>1.4162605706734099</v>
      </c>
      <c r="Y456" s="519">
        <f t="shared" si="231"/>
        <v>2.0745360261235773E-2</v>
      </c>
      <c r="Z456" s="520">
        <f t="shared" si="245"/>
        <v>0.31228487220644874</v>
      </c>
      <c r="AA456" s="517">
        <f t="shared" si="246"/>
        <v>31378.428571428572</v>
      </c>
      <c r="AB456" s="542">
        <f t="shared" si="247"/>
        <v>516.85714285714289</v>
      </c>
      <c r="AC456" s="517">
        <f t="shared" si="225"/>
        <v>519.66326813552132</v>
      </c>
      <c r="AD456" s="517">
        <f t="shared" si="190"/>
        <v>2.8061252783784312</v>
      </c>
      <c r="AE456" s="545">
        <f t="shared" si="243"/>
        <v>31844.214285714286</v>
      </c>
      <c r="AF456" s="520">
        <f t="shared" si="233"/>
        <v>0.97116770570809574</v>
      </c>
      <c r="AG456" s="200">
        <f t="shared" si="182"/>
        <v>-3.915605719943871E-3</v>
      </c>
      <c r="AH456" s="200">
        <f t="shared" ref="AH456:AH462" si="257">B456/B449-1</f>
        <v>0.24387444262946456</v>
      </c>
      <c r="AI456" s="355">
        <f t="shared" si="248"/>
        <v>1.0465721724038184</v>
      </c>
      <c r="AJ456" s="657">
        <f t="shared" si="249"/>
        <v>-2.8832294291904259E-2</v>
      </c>
      <c r="AK456" s="414">
        <f t="shared" si="221"/>
        <v>2.005420955484976E-2</v>
      </c>
      <c r="AL456" s="28">
        <f t="shared" si="226"/>
        <v>2.0664129609934578E-2</v>
      </c>
      <c r="AM456" s="200">
        <f t="shared" si="188"/>
        <v>1.1493801977090852</v>
      </c>
      <c r="AN456" s="200">
        <f t="shared" si="189"/>
        <v>1.0465721724038184</v>
      </c>
      <c r="AO456" s="18">
        <f t="shared" si="220"/>
        <v>44366</v>
      </c>
      <c r="AP456" s="355">
        <f t="shared" si="178"/>
        <v>1.4162605706734099</v>
      </c>
      <c r="AQ456" s="7">
        <f t="shared" si="209"/>
        <v>33171.285714285717</v>
      </c>
      <c r="AR456" s="290">
        <f t="shared" si="213"/>
        <v>575.76800000000003</v>
      </c>
    </row>
    <row r="457" spans="1:46" hidden="1" x14ac:dyDescent="0.25">
      <c r="A457" s="107">
        <v>44348</v>
      </c>
      <c r="B457" s="670">
        <v>35355</v>
      </c>
      <c r="C457" s="515">
        <f t="shared" si="253"/>
        <v>3817139</v>
      </c>
      <c r="D457" s="670">
        <v>641</v>
      </c>
      <c r="E457" s="515">
        <v>78732</v>
      </c>
      <c r="F457" s="515">
        <f t="shared" si="254"/>
        <v>30735</v>
      </c>
      <c r="G457" s="515">
        <v>3381337</v>
      </c>
      <c r="H457" s="515">
        <v>7417</v>
      </c>
      <c r="I457" s="511">
        <v>107697</v>
      </c>
      <c r="J457" s="511">
        <f t="shared" si="255"/>
        <v>14067367</v>
      </c>
      <c r="K457" s="511"/>
      <c r="L457" s="541">
        <f t="shared" si="256"/>
        <v>2.0625919045651732E-2</v>
      </c>
      <c r="M457" s="522">
        <v>22160</v>
      </c>
      <c r="N457" s="522">
        <v>7203650</v>
      </c>
      <c r="O457" s="520">
        <f t="shared" si="215"/>
        <v>0.47734453055383036</v>
      </c>
      <c r="P457" s="511"/>
      <c r="Q457" s="511"/>
      <c r="R457" s="511"/>
      <c r="S457" s="511">
        <f t="shared" si="250"/>
        <v>357070</v>
      </c>
      <c r="T457" s="507">
        <f t="shared" si="251"/>
        <v>92</v>
      </c>
      <c r="U457" s="512">
        <f t="shared" si="252"/>
        <v>3979</v>
      </c>
      <c r="V457" s="512">
        <f>SUM(B444:B457)/POBLA!$B$25*100000</f>
        <v>981.99519389100453</v>
      </c>
      <c r="W457" s="512">
        <f>B457/POBLA!$B$25*100000</f>
        <v>77.908493978238639</v>
      </c>
      <c r="X457" s="513">
        <f t="shared" si="244"/>
        <v>1.3750181276246487</v>
      </c>
      <c r="Y457" s="519">
        <f t="shared" si="231"/>
        <v>2.0771837454840788E-2</v>
      </c>
      <c r="Z457" s="520">
        <f t="shared" si="245"/>
        <v>0.31792090164726144</v>
      </c>
      <c r="AA457" s="517">
        <f t="shared" si="246"/>
        <v>32914.714285714283</v>
      </c>
      <c r="AB457" s="542">
        <f t="shared" si="247"/>
        <v>526.14285714285711</v>
      </c>
      <c r="AC457" s="517">
        <f t="shared" si="225"/>
        <v>548.6734941753067</v>
      </c>
      <c r="AD457" s="517">
        <f t="shared" si="190"/>
        <v>22.53063703244959</v>
      </c>
      <c r="AE457" s="545">
        <f t="shared" si="243"/>
        <v>31830.785714285714</v>
      </c>
      <c r="AF457" s="520">
        <f t="shared" si="233"/>
        <v>1.0705066255319939</v>
      </c>
      <c r="AG457" s="200">
        <f t="shared" si="182"/>
        <v>8.5953896171759858E-3</v>
      </c>
      <c r="AH457" s="200">
        <f t="shared" si="257"/>
        <v>0.43713670176009112</v>
      </c>
      <c r="AI457" s="355">
        <f t="shared" si="248"/>
        <v>1.1201338199513382</v>
      </c>
      <c r="AJ457" s="657">
        <f t="shared" si="249"/>
        <v>7.0506625531993938E-2</v>
      </c>
      <c r="AK457" s="414">
        <f t="shared" si="221"/>
        <v>1.883039859296071E-2</v>
      </c>
      <c r="AL457" s="28">
        <f t="shared" si="226"/>
        <v>2.0950379490829795E-2</v>
      </c>
      <c r="AM457" s="200">
        <f t="shared" si="188"/>
        <v>1.132020757020757</v>
      </c>
      <c r="AN457" s="200">
        <f t="shared" si="189"/>
        <v>1.1201338199513382</v>
      </c>
      <c r="AO457" s="18">
        <f t="shared" si="220"/>
        <v>44367</v>
      </c>
      <c r="AP457" s="355">
        <f t="shared" si="178"/>
        <v>1.3750181276246487</v>
      </c>
      <c r="AQ457" s="7">
        <f t="shared" si="209"/>
        <v>33171.285714285717</v>
      </c>
      <c r="AR457" s="290">
        <f t="shared" si="213"/>
        <v>574.72</v>
      </c>
    </row>
    <row r="458" spans="1:46" hidden="1" x14ac:dyDescent="0.25">
      <c r="A458" s="107">
        <v>44349</v>
      </c>
      <c r="B458" s="670">
        <v>35017</v>
      </c>
      <c r="C458" s="515">
        <f t="shared" si="253"/>
        <v>3852156</v>
      </c>
      <c r="D458" s="670">
        <v>587</v>
      </c>
      <c r="E458" s="515">
        <v>79319</v>
      </c>
      <c r="F458" s="515">
        <f t="shared" si="254"/>
        <v>27979</v>
      </c>
      <c r="G458" s="515">
        <v>3409316</v>
      </c>
      <c r="H458" s="515">
        <v>7614</v>
      </c>
      <c r="I458" s="511">
        <v>110774</v>
      </c>
      <c r="J458" s="511">
        <f t="shared" si="255"/>
        <v>14178141</v>
      </c>
      <c r="K458" s="511"/>
      <c r="L458" s="541">
        <f t="shared" si="256"/>
        <v>2.0590806810523769E-2</v>
      </c>
      <c r="M458" s="522">
        <v>22348</v>
      </c>
      <c r="N458" s="522">
        <v>7244756</v>
      </c>
      <c r="O458" s="520">
        <f t="shared" si="215"/>
        <v>0.46000551738633527</v>
      </c>
      <c r="P458" s="200">
        <f t="shared" ref="P458:P514" si="258">B458/I458</f>
        <v>0.31611208406304731</v>
      </c>
      <c r="Q458" s="511"/>
      <c r="R458" s="511"/>
      <c r="S458" s="511">
        <f t="shared" si="250"/>
        <v>363521</v>
      </c>
      <c r="T458" s="507">
        <f t="shared" si="251"/>
        <v>197</v>
      </c>
      <c r="U458" s="512">
        <f t="shared" si="252"/>
        <v>6451</v>
      </c>
      <c r="V458" s="512">
        <f>SUM(B445:B458)/POBLA!$B$25*100000</f>
        <v>971.78147957650481</v>
      </c>
      <c r="W458" s="512">
        <f>B458/POBLA!$B$25*100000</f>
        <v>77.163675113448804</v>
      </c>
      <c r="X458" s="513">
        <f t="shared" si="244"/>
        <v>1.2983301144660606</v>
      </c>
      <c r="Y458" s="519">
        <f t="shared" si="231"/>
        <v>2.0945144847202776E-2</v>
      </c>
      <c r="Z458" s="520">
        <f t="shared" si="245"/>
        <v>0.31613183418062674</v>
      </c>
      <c r="AA458" s="517">
        <f t="shared" si="246"/>
        <v>32860.142857142855</v>
      </c>
      <c r="AB458" s="542">
        <f t="shared" si="247"/>
        <v>534.14285714285711</v>
      </c>
      <c r="AC458" s="517">
        <f t="shared" si="225"/>
        <v>591.96239787721981</v>
      </c>
      <c r="AD458" s="517">
        <f t="shared" si="190"/>
        <v>57.819540734362704</v>
      </c>
      <c r="AE458" s="545">
        <f t="shared" si="243"/>
        <v>31499.714285714286</v>
      </c>
      <c r="AF458" s="520">
        <f t="shared" si="233"/>
        <v>1.09027609906387</v>
      </c>
      <c r="AG458" s="200">
        <f t="shared" si="182"/>
        <v>-4.7800649935526573E-3</v>
      </c>
      <c r="AH458" s="200">
        <f>B458/B451-1</f>
        <v>-1.0791265289979979E-2</v>
      </c>
      <c r="AI458" s="355">
        <f t="shared" si="248"/>
        <v>1.1245112781954887</v>
      </c>
      <c r="AJ458" s="657">
        <f t="shared" si="249"/>
        <v>9.0276099063870019E-2</v>
      </c>
      <c r="AK458" s="414">
        <f t="shared" si="221"/>
        <v>1.824427518163764E-2</v>
      </c>
      <c r="AL458" s="28">
        <f t="shared" si="226"/>
        <v>2.0845025693533772E-2</v>
      </c>
      <c r="AM458" s="200">
        <f t="shared" si="188"/>
        <v>1.145996387718242</v>
      </c>
      <c r="AN458" s="200">
        <f t="shared" si="189"/>
        <v>1.1245112781954887</v>
      </c>
      <c r="AO458" s="18">
        <f t="shared" si="220"/>
        <v>44368</v>
      </c>
      <c r="AP458" s="355">
        <f t="shared" si="178"/>
        <v>1.2983301144660606</v>
      </c>
      <c r="AQ458" s="7">
        <f t="shared" si="209"/>
        <v>33171.285714285717</v>
      </c>
      <c r="AR458" s="290">
        <f t="shared" si="213"/>
        <v>576.30399999999997</v>
      </c>
    </row>
    <row r="459" spans="1:46" hidden="1" x14ac:dyDescent="0.25">
      <c r="A459" s="107">
        <v>44350</v>
      </c>
      <c r="B459" s="670">
        <v>32291</v>
      </c>
      <c r="C459" s="515">
        <f t="shared" si="253"/>
        <v>3884447</v>
      </c>
      <c r="D459" s="670">
        <v>552</v>
      </c>
      <c r="E459" s="515">
        <v>79871</v>
      </c>
      <c r="F459" s="515">
        <f t="shared" si="254"/>
        <v>29121</v>
      </c>
      <c r="G459" s="515">
        <v>3438437</v>
      </c>
      <c r="H459" s="515">
        <v>7698</v>
      </c>
      <c r="I459" s="511">
        <v>116372</v>
      </c>
      <c r="J459" s="511">
        <f t="shared" si="255"/>
        <v>14294513</v>
      </c>
      <c r="K459" s="511"/>
      <c r="L459" s="541">
        <f t="shared" si="256"/>
        <v>2.0561742765443834E-2</v>
      </c>
      <c r="M459" s="522">
        <v>22558</v>
      </c>
      <c r="N459" s="522">
        <v>7288855</v>
      </c>
      <c r="O459" s="520">
        <f t="shared" si="215"/>
        <v>0.42271239691059037</v>
      </c>
      <c r="P459" s="200">
        <f t="shared" si="258"/>
        <v>0.27748083731481799</v>
      </c>
      <c r="Q459" s="511"/>
      <c r="R459" s="511"/>
      <c r="S459" s="511">
        <f t="shared" si="250"/>
        <v>366139</v>
      </c>
      <c r="T459" s="507">
        <f t="shared" si="251"/>
        <v>84</v>
      </c>
      <c r="U459" s="512">
        <f t="shared" si="252"/>
        <v>2618</v>
      </c>
      <c r="V459" s="512">
        <f>SUM(B446:B459)/POBLA!$B$25*100000</f>
        <v>963.86392282742236</v>
      </c>
      <c r="W459" s="512">
        <f>B459/POBLA!$B$25*100000</f>
        <v>71.156644860735511</v>
      </c>
      <c r="X459" s="513">
        <f t="shared" si="244"/>
        <v>1.2445243013469451</v>
      </c>
      <c r="Y459" s="519">
        <f t="shared" si="231"/>
        <v>2.102480205604975E-2</v>
      </c>
      <c r="Z459" s="520">
        <f t="shared" si="245"/>
        <v>0.3060475771510151</v>
      </c>
      <c r="AA459" s="517">
        <f t="shared" si="246"/>
        <v>31604.571428571428</v>
      </c>
      <c r="AB459" s="542">
        <f t="shared" si="247"/>
        <v>534.57142857142856</v>
      </c>
      <c r="AC459" s="517">
        <f t="shared" si="225"/>
        <v>617.50757477172579</v>
      </c>
      <c r="AD459" s="517">
        <f t="shared" si="190"/>
        <v>82.93614620029723</v>
      </c>
      <c r="AE459" s="545">
        <f t="shared" si="243"/>
        <v>31243.071428571428</v>
      </c>
      <c r="AF459" s="520">
        <f t="shared" si="233"/>
        <v>1.0234120210388997</v>
      </c>
      <c r="AG459" s="200">
        <f t="shared" si="182"/>
        <v>-4.0069421019988116E-3</v>
      </c>
      <c r="AH459" s="200">
        <f t="shared" si="257"/>
        <v>-0.21394839337877314</v>
      </c>
      <c r="AI459" s="355">
        <f t="shared" si="248"/>
        <v>1.0881070078511195</v>
      </c>
      <c r="AJ459" s="657">
        <f t="shared" si="249"/>
        <v>2.3412021038899722E-2</v>
      </c>
      <c r="AK459" s="414">
        <f t="shared" si="221"/>
        <v>1.756428189217352E-2</v>
      </c>
      <c r="AL459" s="28">
        <f t="shared" si="226"/>
        <v>2.0940556891505174E-2</v>
      </c>
      <c r="AM459" s="200">
        <f t="shared" si="188"/>
        <v>1.1317259629520728</v>
      </c>
      <c r="AN459" s="200">
        <f t="shared" si="189"/>
        <v>1.0881070078511195</v>
      </c>
      <c r="AO459" s="18">
        <f t="shared" si="220"/>
        <v>44369</v>
      </c>
      <c r="AP459" s="355">
        <f t="shared" si="178"/>
        <v>1.2445243013469449</v>
      </c>
      <c r="AQ459" s="7">
        <f t="shared" si="209"/>
        <v>33171.285714285717</v>
      </c>
      <c r="AR459" s="290">
        <f t="shared" si="213"/>
        <v>586.08399999999995</v>
      </c>
    </row>
    <row r="460" spans="1:46" hidden="1" x14ac:dyDescent="0.25">
      <c r="A460" s="107">
        <v>44351</v>
      </c>
      <c r="B460" s="670">
        <v>30950</v>
      </c>
      <c r="C460" s="515">
        <f t="shared" si="253"/>
        <v>3915397</v>
      </c>
      <c r="D460" s="670">
        <v>539</v>
      </c>
      <c r="E460" s="515">
        <v>80410</v>
      </c>
      <c r="F460" s="515">
        <f t="shared" si="254"/>
        <v>26700</v>
      </c>
      <c r="G460" s="515">
        <v>3465137</v>
      </c>
      <c r="H460" s="515">
        <v>7668</v>
      </c>
      <c r="I460" s="511">
        <v>105645</v>
      </c>
      <c r="J460" s="511">
        <f t="shared" si="255"/>
        <v>14400158</v>
      </c>
      <c r="K460" s="511"/>
      <c r="L460" s="541">
        <f t="shared" si="256"/>
        <v>2.0536870207542173E-2</v>
      </c>
      <c r="M460" s="522"/>
      <c r="N460" s="522"/>
      <c r="O460" s="520"/>
      <c r="P460" s="200">
        <f t="shared" si="258"/>
        <v>0.2929622793317242</v>
      </c>
      <c r="Q460" s="511"/>
      <c r="R460" s="511"/>
      <c r="S460" s="511">
        <f t="shared" si="250"/>
        <v>369850</v>
      </c>
      <c r="T460" s="507">
        <f t="shared" si="251"/>
        <v>-30</v>
      </c>
      <c r="U460" s="512">
        <f t="shared" si="252"/>
        <v>3711</v>
      </c>
      <c r="V460" s="512">
        <f>SUM(B447:B460)/POBLA!$B$25*100000</f>
        <v>953.90803042765765</v>
      </c>
      <c r="W460" s="512">
        <f>B460/POBLA!$B$25*100000</f>
        <v>68.201609068773465</v>
      </c>
      <c r="X460" s="513">
        <f t="shared" ref="X460:X468" si="259">SUM(B447:B460)/SUM(B433:B446)</f>
        <v>1.1880108019693834</v>
      </c>
      <c r="Y460" s="519">
        <f t="shared" si="231"/>
        <v>2.0732729484926323E-2</v>
      </c>
      <c r="Z460" s="520">
        <f t="shared" ref="Z460:Z468" si="260">SUM(B454:B460)/SUM(I454:I460)</f>
        <v>0.29681851249989549</v>
      </c>
      <c r="AA460" s="517">
        <f t="shared" si="246"/>
        <v>30425</v>
      </c>
      <c r="AB460" s="542">
        <f t="shared" si="247"/>
        <v>531.57142857142856</v>
      </c>
      <c r="AC460" s="517">
        <f t="shared" si="225"/>
        <v>641.33376236135632</v>
      </c>
      <c r="AD460" s="517">
        <f t="shared" ref="AD460:AD468" si="261">AC460-AB460</f>
        <v>109.76233378992777</v>
      </c>
      <c r="AE460" s="545">
        <f t="shared" ref="AE460:AE468" si="262">AVERAGE(B447:B460)</f>
        <v>30920.357142857141</v>
      </c>
      <c r="AF460" s="520">
        <f t="shared" ref="AF460:AF468" si="263">AA460/AA453</f>
        <v>0.9684643717884589</v>
      </c>
      <c r="AG460" s="200">
        <f t="shared" ref="AG460:AG468" si="264">S460/S453-1</f>
        <v>-8.1525382820670789E-3</v>
      </c>
      <c r="AH460" s="200">
        <f t="shared" si="257"/>
        <v>-0.21060014793276716</v>
      </c>
      <c r="AI460" s="355">
        <f t="shared" si="248"/>
        <v>1.1258698940998486</v>
      </c>
      <c r="AJ460" s="657">
        <f t="shared" si="249"/>
        <v>-3.15356282115411E-2</v>
      </c>
      <c r="AK460" s="414">
        <f t="shared" ref="AK460:AK468" si="265">AB460/AA447</f>
        <v>1.663031624863686E-2</v>
      </c>
      <c r="AL460" s="28">
        <f t="shared" ref="AL460:AL468" si="266">H460/S453</f>
        <v>2.0563705114108717E-2</v>
      </c>
      <c r="AM460" s="200">
        <f t="shared" ref="AM460:AM468" si="267">H460/H453</f>
        <v>1.1158323632130385</v>
      </c>
      <c r="AN460" s="200">
        <f t="shared" ref="AN460:AN468" si="268">AB460/AB453</f>
        <v>1.1258698940998486</v>
      </c>
      <c r="AO460" s="18">
        <f t="shared" ref="AO460:AO468" si="269">A459+20</f>
        <v>44370</v>
      </c>
      <c r="AP460" s="355">
        <f t="shared" si="178"/>
        <v>1.1880108019693834</v>
      </c>
      <c r="AQ460" s="7">
        <f t="shared" ref="AQ460:AQ468" si="270">MAX(AA:AA)</f>
        <v>33171.285714285717</v>
      </c>
      <c r="AR460" s="290">
        <f t="shared" ref="AR460:AR468" si="271">AA439*0.028</f>
        <v>605.32799999999997</v>
      </c>
    </row>
    <row r="461" spans="1:46" hidden="1" x14ac:dyDescent="0.25">
      <c r="A461" s="107">
        <v>44352</v>
      </c>
      <c r="B461" s="670">
        <v>23627</v>
      </c>
      <c r="C461" s="515">
        <f t="shared" si="253"/>
        <v>3939024</v>
      </c>
      <c r="D461" s="670">
        <v>456</v>
      </c>
      <c r="E461" s="515">
        <v>80866</v>
      </c>
      <c r="F461" s="515">
        <f t="shared" si="254"/>
        <v>32363</v>
      </c>
      <c r="G461" s="515">
        <v>3497500</v>
      </c>
      <c r="H461" s="515">
        <v>7731</v>
      </c>
      <c r="I461" s="511">
        <v>96820</v>
      </c>
      <c r="J461" s="511">
        <f t="shared" si="255"/>
        <v>14496978</v>
      </c>
      <c r="K461" s="511"/>
      <c r="L461" s="541">
        <f t="shared" si="256"/>
        <v>2.0529450950286163E-2</v>
      </c>
      <c r="M461" s="522">
        <v>22800</v>
      </c>
      <c r="N461" s="522">
        <v>7366666</v>
      </c>
      <c r="O461" s="520"/>
      <c r="P461" s="200">
        <f t="shared" si="258"/>
        <v>0.24403015905804587</v>
      </c>
      <c r="Q461" s="511"/>
      <c r="R461" s="511"/>
      <c r="S461" s="511">
        <f t="shared" si="250"/>
        <v>360658</v>
      </c>
      <c r="T461" s="507">
        <f t="shared" si="251"/>
        <v>63</v>
      </c>
      <c r="U461" s="512">
        <f t="shared" si="252"/>
        <v>-9192</v>
      </c>
      <c r="V461" s="512">
        <f>SUM(B448:B461)/POBLA!$B$25*100000</f>
        <v>935.08041983368025</v>
      </c>
      <c r="W461" s="512">
        <f>B461/POBLA!$B$25*100000</f>
        <v>52.064601533696631</v>
      </c>
      <c r="X461" s="513">
        <f t="shared" si="259"/>
        <v>1.1210382405389341</v>
      </c>
      <c r="Y461" s="519">
        <f t="shared" si="231"/>
        <v>2.1435820084401289E-2</v>
      </c>
      <c r="Z461" s="520">
        <f t="shared" si="260"/>
        <v>0.2917151657009186</v>
      </c>
      <c r="AA461" s="517">
        <f t="shared" si="246"/>
        <v>29537.285714285714</v>
      </c>
      <c r="AB461" s="542">
        <f t="shared" si="247"/>
        <v>537.28571428571433</v>
      </c>
      <c r="AC461" s="517">
        <f t="shared" si="225"/>
        <v>670.08588939599963</v>
      </c>
      <c r="AD461" s="517">
        <f t="shared" si="261"/>
        <v>132.80017511028529</v>
      </c>
      <c r="AE461" s="545">
        <f t="shared" si="262"/>
        <v>30310.071428571428</v>
      </c>
      <c r="AF461" s="520">
        <f t="shared" si="263"/>
        <v>0.95027576063976471</v>
      </c>
      <c r="AG461" s="200">
        <f t="shared" si="264"/>
        <v>-1.6452544512955081E-2</v>
      </c>
      <c r="AH461" s="200">
        <f t="shared" si="257"/>
        <v>-0.20823698937703161</v>
      </c>
      <c r="AI461" s="355">
        <f t="shared" si="248"/>
        <v>1.0984228971962617</v>
      </c>
      <c r="AJ461" s="657">
        <f t="shared" si="249"/>
        <v>-4.9724239360235289E-2</v>
      </c>
      <c r="AK461" s="414">
        <f t="shared" si="265"/>
        <v>1.6197313511255432E-2</v>
      </c>
      <c r="AL461" s="28">
        <f t="shared" si="266"/>
        <v>2.108314630029098E-2</v>
      </c>
      <c r="AM461" s="200">
        <f t="shared" si="267"/>
        <v>1.1189752496743379</v>
      </c>
      <c r="AN461" s="200">
        <f t="shared" si="268"/>
        <v>1.0984228971962617</v>
      </c>
      <c r="AO461" s="18">
        <f t="shared" si="269"/>
        <v>44371</v>
      </c>
      <c r="AP461" s="355">
        <f t="shared" si="178"/>
        <v>1.1210382405389341</v>
      </c>
      <c r="AQ461" s="7">
        <f t="shared" si="270"/>
        <v>33171.285714285717</v>
      </c>
      <c r="AR461" s="290">
        <f t="shared" si="271"/>
        <v>619.10800000000006</v>
      </c>
    </row>
    <row r="462" spans="1:46" hidden="1" x14ac:dyDescent="0.25">
      <c r="A462" s="107">
        <v>44353</v>
      </c>
      <c r="B462" s="670">
        <v>16415</v>
      </c>
      <c r="C462" s="515">
        <f t="shared" si="253"/>
        <v>3955439</v>
      </c>
      <c r="D462" s="670">
        <v>347</v>
      </c>
      <c r="E462" s="515">
        <v>81213</v>
      </c>
      <c r="F462" s="515">
        <f t="shared" si="254"/>
        <v>31533</v>
      </c>
      <c r="G462" s="515">
        <v>3529033</v>
      </c>
      <c r="H462" s="515">
        <v>7776</v>
      </c>
      <c r="I462" s="511">
        <v>66248</v>
      </c>
      <c r="J462" s="511">
        <f t="shared" si="255"/>
        <v>14563226</v>
      </c>
      <c r="K462" s="558">
        <f t="shared" ref="K462:K480" si="272">AVERAGE(I456:I462)</f>
        <v>98657.71428571429</v>
      </c>
      <c r="L462" s="541">
        <f t="shared" si="256"/>
        <v>2.0531981405856593E-2</v>
      </c>
      <c r="M462" s="522">
        <v>22881</v>
      </c>
      <c r="N462" s="522">
        <v>7392568</v>
      </c>
      <c r="O462" s="520">
        <f>B462/(B462+(N462-N461))</f>
        <v>0.38790556986553865</v>
      </c>
      <c r="P462" s="200">
        <f t="shared" si="258"/>
        <v>0.24778106508875739</v>
      </c>
      <c r="Q462" s="511"/>
      <c r="R462" s="511"/>
      <c r="S462" s="511">
        <f t="shared" si="250"/>
        <v>345193</v>
      </c>
      <c r="T462" s="507">
        <f t="shared" si="251"/>
        <v>45</v>
      </c>
      <c r="U462" s="512">
        <f t="shared" si="252"/>
        <v>-15465</v>
      </c>
      <c r="V462" s="512">
        <f>SUM(B449:B462)/POBLA!$B$25*100000</f>
        <v>916.60097900490041</v>
      </c>
      <c r="W462" s="512">
        <f>B462/POBLA!$B$25*100000</f>
        <v>36.172194276701667</v>
      </c>
      <c r="X462" s="513">
        <f t="shared" si="259"/>
        <v>1.0618031163208626</v>
      </c>
      <c r="Y462" s="519">
        <f t="shared" si="231"/>
        <v>2.2526528637602732E-2</v>
      </c>
      <c r="Z462" s="520">
        <f t="shared" si="260"/>
        <v>0.29225142049568203</v>
      </c>
      <c r="AA462" s="517">
        <f t="shared" si="246"/>
        <v>28832.857142857141</v>
      </c>
      <c r="AB462" s="542">
        <f t="shared" si="247"/>
        <v>537.14285714285711</v>
      </c>
      <c r="AC462" s="517">
        <f t="shared" si="225"/>
        <v>694.0369655173306</v>
      </c>
      <c r="AD462" s="517">
        <f t="shared" si="261"/>
        <v>156.89410837447349</v>
      </c>
      <c r="AE462" s="545">
        <f t="shared" si="262"/>
        <v>29711.071428571428</v>
      </c>
      <c r="AF462" s="520">
        <f t="shared" si="263"/>
        <v>0.94258026853473431</v>
      </c>
      <c r="AG462" s="200">
        <f t="shared" si="264"/>
        <v>-3.331111658750785E-2</v>
      </c>
      <c r="AH462" s="200">
        <f t="shared" si="257"/>
        <v>-0.23100346669165184</v>
      </c>
      <c r="AI462" s="355">
        <f t="shared" si="248"/>
        <v>1.10685899322932</v>
      </c>
      <c r="AJ462" s="657">
        <f t="shared" si="249"/>
        <v>-5.7419731465265689E-2</v>
      </c>
      <c r="AK462" s="414">
        <f t="shared" si="265"/>
        <v>1.6624662864217182E-2</v>
      </c>
      <c r="AL462" s="28">
        <f t="shared" si="266"/>
        <v>2.1776144815843713E-2</v>
      </c>
      <c r="AM462" s="200">
        <f t="shared" si="267"/>
        <v>1.08</v>
      </c>
      <c r="AN462" s="200">
        <f t="shared" si="268"/>
        <v>1.10685899322932</v>
      </c>
      <c r="AO462" s="18">
        <f t="shared" si="269"/>
        <v>44372</v>
      </c>
      <c r="AP462" s="355">
        <f t="shared" si="178"/>
        <v>1.0618031163208626</v>
      </c>
      <c r="AQ462" s="7">
        <f t="shared" si="270"/>
        <v>33171.285714285717</v>
      </c>
      <c r="AR462" s="290">
        <f t="shared" si="271"/>
        <v>638.18000000000006</v>
      </c>
    </row>
    <row r="463" spans="1:46" hidden="1" x14ac:dyDescent="0.25">
      <c r="A463" s="107">
        <v>44354</v>
      </c>
      <c r="B463" s="670">
        <v>22195</v>
      </c>
      <c r="C463" s="515">
        <f t="shared" si="253"/>
        <v>3977634</v>
      </c>
      <c r="D463" s="670">
        <v>733</v>
      </c>
      <c r="E463" s="515">
        <v>81946</v>
      </c>
      <c r="F463" s="515">
        <f t="shared" si="254"/>
        <v>31115</v>
      </c>
      <c r="G463" s="515">
        <v>3560148</v>
      </c>
      <c r="H463" s="515">
        <v>7827</v>
      </c>
      <c r="I463" s="511">
        <v>76547</v>
      </c>
      <c r="J463" s="511">
        <f t="shared" si="255"/>
        <v>14639773</v>
      </c>
      <c r="K463" s="558">
        <f t="shared" si="272"/>
        <v>97157.571428571435</v>
      </c>
      <c r="L463" s="541">
        <f t="shared" si="256"/>
        <v>2.060169437409274E-2</v>
      </c>
      <c r="M463" s="522">
        <v>23112</v>
      </c>
      <c r="N463" s="522">
        <v>7418691</v>
      </c>
      <c r="O463" s="520">
        <f t="shared" si="215"/>
        <v>0.45935262221118422</v>
      </c>
      <c r="P463" s="200">
        <f t="shared" si="258"/>
        <v>0.28995257815459785</v>
      </c>
      <c r="Q463" s="511"/>
      <c r="R463" s="511"/>
      <c r="S463" s="511">
        <f t="shared" si="250"/>
        <v>335540</v>
      </c>
      <c r="T463" s="507">
        <f t="shared" si="251"/>
        <v>51</v>
      </c>
      <c r="U463" s="512">
        <f t="shared" si="252"/>
        <v>-9653</v>
      </c>
      <c r="V463" s="512">
        <f>SUM(B450:B463)/POBLA!$B$25*100000</f>
        <v>915.59613461926676</v>
      </c>
      <c r="W463" s="512">
        <f>B463/POBLA!$B$25*100000</f>
        <v>48.90903758582963</v>
      </c>
      <c r="X463" s="513">
        <f t="shared" si="259"/>
        <v>1.0465600709294887</v>
      </c>
      <c r="Y463" s="519">
        <f t="shared" si="231"/>
        <v>2.332657805328724E-2</v>
      </c>
      <c r="Z463" s="520">
        <f t="shared" si="260"/>
        <v>0.28797108673245081</v>
      </c>
      <c r="AA463" s="517">
        <f t="shared" si="246"/>
        <v>27978.571428571428</v>
      </c>
      <c r="AB463" s="542">
        <f t="shared" ref="AB463:AB468" si="273">AVERAGE(D457:D463)</f>
        <v>550.71428571428567</v>
      </c>
      <c r="AC463" s="517">
        <f t="shared" si="225"/>
        <v>675.50012281960119</v>
      </c>
      <c r="AD463" s="517">
        <f t="shared" si="261"/>
        <v>124.78583710531552</v>
      </c>
      <c r="AE463" s="545">
        <f t="shared" si="262"/>
        <v>29678.5</v>
      </c>
      <c r="AF463" s="520">
        <f t="shared" si="263"/>
        <v>0.89164985954864351</v>
      </c>
      <c r="AG463" s="200">
        <f t="shared" si="264"/>
        <v>-4.9706732825249067E-2</v>
      </c>
      <c r="AH463" s="200">
        <f t="shared" ref="AH463:AH468" si="274">B463/B456-1</f>
        <v>-0.21224489795918366</v>
      </c>
      <c r="AI463" s="355">
        <f t="shared" ref="AI463:AI468" si="275">AB463/AB456</f>
        <v>1.0655058043117742</v>
      </c>
      <c r="AJ463" s="657">
        <f t="shared" ref="AJ463:AJ468" si="276">AF463-1</f>
        <v>-0.10835014045135649</v>
      </c>
      <c r="AK463" s="414">
        <f t="shared" si="265"/>
        <v>1.7911238314717415E-2</v>
      </c>
      <c r="AL463" s="28">
        <f t="shared" si="266"/>
        <v>2.2167090070265173E-2</v>
      </c>
      <c r="AM463" s="200">
        <f t="shared" si="267"/>
        <v>1.0685324232081912</v>
      </c>
      <c r="AN463" s="200">
        <f t="shared" si="268"/>
        <v>1.0655058043117742</v>
      </c>
      <c r="AO463" s="18">
        <f t="shared" si="269"/>
        <v>44373</v>
      </c>
      <c r="AP463" s="355">
        <f t="shared" ref="AP463:AP484" si="277">AE463/AE449</f>
        <v>1.0465600709294887</v>
      </c>
      <c r="AQ463" s="7">
        <f t="shared" si="270"/>
        <v>33171.285714285717</v>
      </c>
      <c r="AR463" s="290">
        <f t="shared" si="271"/>
        <v>683.37599999999998</v>
      </c>
    </row>
    <row r="464" spans="1:46" hidden="1" x14ac:dyDescent="0.25">
      <c r="A464" s="543">
        <v>44355</v>
      </c>
      <c r="B464" s="670">
        <v>31137</v>
      </c>
      <c r="C464" s="515">
        <f t="shared" si="253"/>
        <v>4008771</v>
      </c>
      <c r="D464" s="670">
        <v>722</v>
      </c>
      <c r="E464" s="515">
        <f>E463+D464</f>
        <v>82668</v>
      </c>
      <c r="F464" s="515">
        <f t="shared" ref="F464:F479" si="278">G464-G463</f>
        <v>23663</v>
      </c>
      <c r="G464" s="515">
        <v>3583811</v>
      </c>
      <c r="H464" s="515">
        <v>7794</v>
      </c>
      <c r="I464" s="511">
        <v>82667</v>
      </c>
      <c r="J464" s="511">
        <f t="shared" si="255"/>
        <v>14722440</v>
      </c>
      <c r="K464" s="558">
        <f t="shared" si="272"/>
        <v>93581.857142857145</v>
      </c>
      <c r="L464" s="541">
        <v>23212</v>
      </c>
      <c r="M464" s="522">
        <v>7459643</v>
      </c>
      <c r="N464" s="522">
        <v>7482855</v>
      </c>
      <c r="O464" s="520">
        <f>B464/(B464+(N464-N463))</f>
        <v>0.32672269965687661</v>
      </c>
      <c r="P464" s="200">
        <f t="shared" si="258"/>
        <v>0.3766557392913738</v>
      </c>
      <c r="Q464" s="511"/>
      <c r="R464" s="511"/>
      <c r="S464" s="511">
        <f t="shared" si="250"/>
        <v>342292</v>
      </c>
      <c r="T464" s="507">
        <f t="shared" si="251"/>
        <v>-33</v>
      </c>
      <c r="U464" s="512">
        <f t="shared" si="252"/>
        <v>6752</v>
      </c>
      <c r="V464" s="512">
        <f>SUM(B451:B464)/POBLA!$B$25*100000</f>
        <v>929.99890414668209</v>
      </c>
      <c r="W464" s="512">
        <f>B464/POBLA!$B$25*100000</f>
        <v>68.61368341112761</v>
      </c>
      <c r="X464" s="513">
        <f t="shared" si="259"/>
        <v>1.0667173863041814</v>
      </c>
      <c r="Y464" s="519">
        <f t="shared" si="231"/>
        <v>2.2770032603741833E-2</v>
      </c>
      <c r="Z464" s="520">
        <f t="shared" si="260"/>
        <v>0.29253533575647295</v>
      </c>
      <c r="AA464" s="517">
        <f t="shared" ref="AA464:AA477" si="279">AVERAGE(B458:B464)</f>
        <v>27376</v>
      </c>
      <c r="AB464" s="542">
        <f t="shared" si="273"/>
        <v>562.28571428571433</v>
      </c>
      <c r="AC464" s="517">
        <f t="shared" si="225"/>
        <v>643.34840415193253</v>
      </c>
      <c r="AD464" s="517">
        <f t="shared" si="261"/>
        <v>81.062689866218193</v>
      </c>
      <c r="AE464" s="545">
        <f t="shared" si="262"/>
        <v>30145.357142857141</v>
      </c>
      <c r="AF464" s="520">
        <f t="shared" si="263"/>
        <v>0.83172528135484358</v>
      </c>
      <c r="AG464" s="200">
        <f t="shared" si="264"/>
        <v>-4.1386842915954847E-2</v>
      </c>
      <c r="AH464" s="200">
        <f t="shared" si="274"/>
        <v>-0.1193042002545609</v>
      </c>
      <c r="AI464" s="355">
        <f t="shared" si="275"/>
        <v>1.0686939994569646</v>
      </c>
      <c r="AJ464" s="657">
        <f t="shared" si="276"/>
        <v>-0.16827471864515642</v>
      </c>
      <c r="AK464" s="414">
        <f t="shared" si="265"/>
        <v>1.865623889086385E-2</v>
      </c>
      <c r="AL464" s="28">
        <f t="shared" si="266"/>
        <v>2.1827652841179601E-2</v>
      </c>
      <c r="AM464" s="200">
        <f t="shared" si="267"/>
        <v>1.0508291762167992</v>
      </c>
      <c r="AN464" s="200">
        <f t="shared" si="268"/>
        <v>1.0686939994569646</v>
      </c>
      <c r="AO464" s="18">
        <f t="shared" si="269"/>
        <v>44374</v>
      </c>
      <c r="AP464" s="355">
        <f t="shared" si="277"/>
        <v>1.0667173863041812</v>
      </c>
      <c r="AQ464" s="7">
        <f t="shared" si="270"/>
        <v>33171.285714285717</v>
      </c>
      <c r="AR464" s="290">
        <f t="shared" si="271"/>
        <v>721.64400000000001</v>
      </c>
    </row>
    <row r="465" spans="1:49" hidden="1" x14ac:dyDescent="0.25">
      <c r="A465" s="543">
        <v>44356</v>
      </c>
      <c r="B465" s="670">
        <v>29757</v>
      </c>
      <c r="C465" s="515">
        <f t="shared" si="253"/>
        <v>4038528</v>
      </c>
      <c r="D465" s="670">
        <v>607</v>
      </c>
      <c r="E465" s="515">
        <f t="shared" ref="E465:E479" si="280">E464+D465</f>
        <v>83275</v>
      </c>
      <c r="F465" s="515">
        <f t="shared" si="278"/>
        <v>25084</v>
      </c>
      <c r="G465" s="515">
        <v>3608895</v>
      </c>
      <c r="H465" s="515">
        <v>7769</v>
      </c>
      <c r="I465" s="511">
        <v>109496</v>
      </c>
      <c r="J465" s="511">
        <f t="shared" si="255"/>
        <v>14831936</v>
      </c>
      <c r="K465" s="558">
        <f t="shared" si="272"/>
        <v>93399.28571428571</v>
      </c>
      <c r="L465" s="541">
        <v>23494</v>
      </c>
      <c r="M465" s="522">
        <v>7501854</v>
      </c>
      <c r="N465" s="511">
        <v>7525348</v>
      </c>
      <c r="O465" s="520">
        <f t="shared" ref="O465:O515" si="281">B465/(B465+(N465-N464))</f>
        <v>0.41186159169550174</v>
      </c>
      <c r="P465" s="200">
        <f t="shared" si="258"/>
        <v>0.27176335208592095</v>
      </c>
      <c r="Q465" s="511"/>
      <c r="R465" s="511"/>
      <c r="S465" s="511">
        <f t="shared" si="250"/>
        <v>346358</v>
      </c>
      <c r="T465" s="507">
        <f t="shared" si="251"/>
        <v>-25</v>
      </c>
      <c r="U465" s="512">
        <f t="shared" si="252"/>
        <v>4066</v>
      </c>
      <c r="V465" s="512">
        <f>SUM(B452:B465)/POBLA!$B$25*100000</f>
        <v>917.56615848057493</v>
      </c>
      <c r="W465" s="512">
        <f>B465/POBLA!$B$25*100000</f>
        <v>65.572706980920586</v>
      </c>
      <c r="X465" s="513">
        <f t="shared" si="259"/>
        <v>1.0241782946308444</v>
      </c>
      <c r="Y465" s="519">
        <f t="shared" ref="Y465:Y492" si="282">H465/S465</f>
        <v>2.2430548738588397E-2</v>
      </c>
      <c r="Z465" s="520">
        <f t="shared" si="260"/>
        <v>0.2850618313079788</v>
      </c>
      <c r="AA465" s="517">
        <f t="shared" si="279"/>
        <v>26624.571428571428</v>
      </c>
      <c r="AB465" s="542">
        <f t="shared" si="273"/>
        <v>565.14285714285711</v>
      </c>
      <c r="AC465" s="517">
        <f t="shared" si="225"/>
        <v>628.8907548409195</v>
      </c>
      <c r="AD465" s="517">
        <f t="shared" si="261"/>
        <v>63.747897698062388</v>
      </c>
      <c r="AE465" s="545">
        <f t="shared" si="262"/>
        <v>29742.357142857141</v>
      </c>
      <c r="AF465" s="520">
        <f t="shared" si="263"/>
        <v>0.81023906512883603</v>
      </c>
      <c r="AG465" s="200">
        <f t="shared" si="264"/>
        <v>-4.7213228396708828E-2</v>
      </c>
      <c r="AH465" s="200">
        <f t="shared" si="274"/>
        <v>-0.15021275380529453</v>
      </c>
      <c r="AI465" s="355">
        <f t="shared" si="275"/>
        <v>1.0580369082642418</v>
      </c>
      <c r="AJ465" s="657">
        <f t="shared" si="276"/>
        <v>-0.18976093487116397</v>
      </c>
      <c r="AK465" s="414">
        <f t="shared" si="265"/>
        <v>1.8300327055895564E-2</v>
      </c>
      <c r="AL465" s="28">
        <f t="shared" si="266"/>
        <v>2.1371530117929912E-2</v>
      </c>
      <c r="AM465" s="200">
        <f t="shared" si="267"/>
        <v>1.0203572366692935</v>
      </c>
      <c r="AN465" s="200">
        <f t="shared" si="268"/>
        <v>1.0580369082642418</v>
      </c>
      <c r="AO465" s="18">
        <f t="shared" si="269"/>
        <v>44375</v>
      </c>
      <c r="AP465" s="355">
        <f t="shared" si="277"/>
        <v>1.0241782946308444</v>
      </c>
      <c r="AQ465" s="7">
        <f t="shared" si="270"/>
        <v>33171.285714285717</v>
      </c>
      <c r="AR465" s="290">
        <f t="shared" si="271"/>
        <v>782.35200000000009</v>
      </c>
    </row>
    <row r="466" spans="1:49" hidden="1" x14ac:dyDescent="0.25">
      <c r="A466" s="543">
        <v>44357</v>
      </c>
      <c r="B466" s="670">
        <v>27628</v>
      </c>
      <c r="C466" s="515">
        <f t="shared" si="253"/>
        <v>4066156</v>
      </c>
      <c r="D466" s="670">
        <v>669</v>
      </c>
      <c r="E466" s="515">
        <f t="shared" si="280"/>
        <v>83944</v>
      </c>
      <c r="F466" s="515">
        <f t="shared" si="278"/>
        <v>30507</v>
      </c>
      <c r="G466" s="515">
        <v>3639402</v>
      </c>
      <c r="H466" s="515">
        <v>7817</v>
      </c>
      <c r="I466" s="511">
        <v>101907</v>
      </c>
      <c r="J466" s="511">
        <f t="shared" si="255"/>
        <v>14933843</v>
      </c>
      <c r="K466" s="558">
        <f t="shared" si="272"/>
        <v>91332.857142857145</v>
      </c>
      <c r="L466" s="541">
        <v>23630</v>
      </c>
      <c r="M466" s="522">
        <v>7540718</v>
      </c>
      <c r="N466" s="511">
        <v>7564348</v>
      </c>
      <c r="O466" s="520">
        <f t="shared" si="281"/>
        <v>0.41466050309179325</v>
      </c>
      <c r="P466" s="200">
        <f t="shared" si="258"/>
        <v>0.27110993356687962</v>
      </c>
      <c r="Q466" s="511"/>
      <c r="R466" s="511"/>
      <c r="S466" s="511">
        <f t="shared" ref="S466:S479" si="283">C466-E466-G466</f>
        <v>342810</v>
      </c>
      <c r="T466" s="507">
        <f t="shared" ref="T466:T479" si="284">H466-H465</f>
        <v>48</v>
      </c>
      <c r="U466" s="512">
        <f t="shared" ref="U466:U479" si="285">(C466-G466-E466)-(C465-E465-G465)</f>
        <v>-3548</v>
      </c>
      <c r="V466" s="512">
        <f>SUM(B453:B466)/POBLA!$B$25*100000</f>
        <v>887.92324910438276</v>
      </c>
      <c r="W466" s="512">
        <f>B466/POBLA!$B$25*100000</f>
        <v>60.881229575188158</v>
      </c>
      <c r="X466" s="513">
        <f t="shared" si="259"/>
        <v>0.95684995915575899</v>
      </c>
      <c r="Y466" s="519">
        <f t="shared" si="282"/>
        <v>2.2802718707155566E-2</v>
      </c>
      <c r="Z466" s="520">
        <f t="shared" si="260"/>
        <v>0.28421785306492736</v>
      </c>
      <c r="AA466" s="517">
        <f t="shared" si="279"/>
        <v>25958.428571428572</v>
      </c>
      <c r="AB466" s="542">
        <f t="shared" si="273"/>
        <v>581.85714285714289</v>
      </c>
      <c r="AC466" s="517">
        <f t="shared" si="225"/>
        <v>641.78137272470065</v>
      </c>
      <c r="AD466" s="517">
        <f t="shared" si="261"/>
        <v>59.924229867557756</v>
      </c>
      <c r="AE466" s="545">
        <f t="shared" si="262"/>
        <v>28781.5</v>
      </c>
      <c r="AF466" s="520">
        <f t="shared" si="263"/>
        <v>0.82135043754972159</v>
      </c>
      <c r="AG466" s="200">
        <f t="shared" si="264"/>
        <v>-6.3716238914729106E-2</v>
      </c>
      <c r="AH466" s="200">
        <f t="shared" si="274"/>
        <v>-0.1444055619212784</v>
      </c>
      <c r="AI466" s="355">
        <f t="shared" si="275"/>
        <v>1.088455371459113</v>
      </c>
      <c r="AJ466" s="657">
        <f t="shared" si="276"/>
        <v>-0.17864956245027841</v>
      </c>
      <c r="AK466" s="414">
        <f t="shared" si="265"/>
        <v>1.852121322359147E-2</v>
      </c>
      <c r="AL466" s="28">
        <f t="shared" si="266"/>
        <v>2.134981523410508E-2</v>
      </c>
      <c r="AM466" s="200">
        <f t="shared" si="267"/>
        <v>1.0154585606651079</v>
      </c>
      <c r="AN466" s="200">
        <f t="shared" si="268"/>
        <v>1.088455371459113</v>
      </c>
      <c r="AO466" s="18">
        <f t="shared" si="269"/>
        <v>44376</v>
      </c>
      <c r="AP466" s="355">
        <f t="shared" si="277"/>
        <v>0.95684995915575899</v>
      </c>
      <c r="AQ466" s="7">
        <f t="shared" si="270"/>
        <v>33171.285714285717</v>
      </c>
      <c r="AR466" s="290">
        <f t="shared" si="271"/>
        <v>819.76400000000001</v>
      </c>
    </row>
    <row r="467" spans="1:49" hidden="1" x14ac:dyDescent="0.25">
      <c r="A467" s="543">
        <v>44358</v>
      </c>
      <c r="B467" s="670">
        <v>26934</v>
      </c>
      <c r="C467" s="515">
        <f t="shared" si="253"/>
        <v>4093090</v>
      </c>
      <c r="D467" s="670">
        <v>689</v>
      </c>
      <c r="E467" s="515">
        <f t="shared" si="280"/>
        <v>84633</v>
      </c>
      <c r="F467" s="515">
        <f t="shared" si="278"/>
        <v>29270</v>
      </c>
      <c r="G467" s="515">
        <v>3668672</v>
      </c>
      <c r="H467" s="515">
        <v>7839</v>
      </c>
      <c r="I467" s="511">
        <v>103875</v>
      </c>
      <c r="J467" s="511">
        <f t="shared" si="255"/>
        <v>15037718</v>
      </c>
      <c r="K467" s="558">
        <f t="shared" si="272"/>
        <v>91080</v>
      </c>
      <c r="L467" s="541">
        <v>23794</v>
      </c>
      <c r="M467" s="522">
        <v>7583151</v>
      </c>
      <c r="N467" s="511">
        <v>7606945</v>
      </c>
      <c r="O467" s="520">
        <f t="shared" si="281"/>
        <v>0.38736678603788238</v>
      </c>
      <c r="P467" s="200">
        <f t="shared" si="258"/>
        <v>0.2592924187725632</v>
      </c>
      <c r="Q467" s="511"/>
      <c r="R467" s="511"/>
      <c r="S467" s="511">
        <f t="shared" si="283"/>
        <v>339785</v>
      </c>
      <c r="T467" s="507">
        <f t="shared" si="284"/>
        <v>22</v>
      </c>
      <c r="U467" s="512">
        <f t="shared" si="285"/>
        <v>-3025</v>
      </c>
      <c r="V467" s="512">
        <f>SUM(B454:B467)/POBLA!$B$25*100000</f>
        <v>860.87839133051989</v>
      </c>
      <c r="W467" s="512">
        <f>B467/POBLA!$B$25*100000</f>
        <v>59.351926935649253</v>
      </c>
      <c r="X467" s="513">
        <f t="shared" si="259"/>
        <v>0.90232725727325636</v>
      </c>
      <c r="Y467" s="519">
        <f t="shared" si="282"/>
        <v>2.3070471033153319E-2</v>
      </c>
      <c r="Z467" s="520">
        <f t="shared" si="260"/>
        <v>0.27870788631658194</v>
      </c>
      <c r="AA467" s="517">
        <f t="shared" si="279"/>
        <v>25384.714285714286</v>
      </c>
      <c r="AB467" s="542">
        <f t="shared" si="273"/>
        <v>603.28571428571433</v>
      </c>
      <c r="AC467" s="517">
        <f t="shared" si="225"/>
        <v>650.71991060369203</v>
      </c>
      <c r="AD467" s="517">
        <f>AC467-AB467</f>
        <v>47.434196317977694</v>
      </c>
      <c r="AE467" s="545">
        <f t="shared" si="262"/>
        <v>27904.857142857141</v>
      </c>
      <c r="AF467" s="520">
        <f t="shared" si="263"/>
        <v>0.83433736354032162</v>
      </c>
      <c r="AG467" s="200">
        <f t="shared" si="264"/>
        <v>-8.128971204542379E-2</v>
      </c>
      <c r="AH467" s="200">
        <f t="shared" si="274"/>
        <v>-0.12975767366720514</v>
      </c>
      <c r="AI467" s="355">
        <f t="shared" si="275"/>
        <v>1.1349099704380543</v>
      </c>
      <c r="AJ467" s="657">
        <f t="shared" si="276"/>
        <v>-0.16566263645967838</v>
      </c>
      <c r="AK467" s="414">
        <f t="shared" si="265"/>
        <v>1.940895302877103E-2</v>
      </c>
      <c r="AL467" s="28">
        <f t="shared" si="266"/>
        <v>2.1195079086115991E-2</v>
      </c>
      <c r="AM467" s="200">
        <f t="shared" si="267"/>
        <v>1.022300469483568</v>
      </c>
      <c r="AN467" s="200">
        <f t="shared" si="268"/>
        <v>1.1349099704380543</v>
      </c>
      <c r="AO467" s="18">
        <f t="shared" si="269"/>
        <v>44377</v>
      </c>
      <c r="AP467" s="355">
        <f t="shared" si="277"/>
        <v>0.90232725727325636</v>
      </c>
      <c r="AQ467" s="7">
        <f t="shared" si="270"/>
        <v>33171.285714285717</v>
      </c>
      <c r="AR467" s="290">
        <f t="shared" si="271"/>
        <v>852.18400000000008</v>
      </c>
    </row>
    <row r="468" spans="1:49" hidden="1" x14ac:dyDescent="0.25">
      <c r="A468" s="543">
        <v>44359</v>
      </c>
      <c r="B468" s="670">
        <v>18057</v>
      </c>
      <c r="C468" s="515">
        <f t="shared" si="253"/>
        <v>4111147</v>
      </c>
      <c r="D468" s="670">
        <v>447</v>
      </c>
      <c r="E468" s="515">
        <f t="shared" si="280"/>
        <v>85080</v>
      </c>
      <c r="F468" s="515">
        <f t="shared" si="278"/>
        <v>26616</v>
      </c>
      <c r="G468" s="515">
        <v>3695288</v>
      </c>
      <c r="H468" s="515">
        <v>7895</v>
      </c>
      <c r="I468" s="511">
        <v>85178</v>
      </c>
      <c r="J468" s="511">
        <f t="shared" si="255"/>
        <v>15122896</v>
      </c>
      <c r="K468" s="558">
        <f t="shared" si="272"/>
        <v>89416.857142857145</v>
      </c>
      <c r="L468" s="541">
        <v>23843</v>
      </c>
      <c r="M468" s="522">
        <v>7620835</v>
      </c>
      <c r="N468" s="511">
        <v>7644678</v>
      </c>
      <c r="O468" s="520">
        <f t="shared" si="281"/>
        <v>0.32366015414948918</v>
      </c>
      <c r="P468" s="200">
        <f t="shared" si="258"/>
        <v>0.2119913592711733</v>
      </c>
      <c r="Q468" s="511"/>
      <c r="R468" s="511"/>
      <c r="S468" s="511">
        <f t="shared" si="283"/>
        <v>330779</v>
      </c>
      <c r="T468" s="507">
        <f t="shared" si="284"/>
        <v>56</v>
      </c>
      <c r="U468" s="512">
        <f t="shared" si="285"/>
        <v>-9006</v>
      </c>
      <c r="V468" s="512">
        <f>SUM(B455:B468)/POBLA!$B$25*100000</f>
        <v>834.91109694388263</v>
      </c>
      <c r="W468" s="512">
        <f>B468/POBLA!$B$25*100000</f>
        <v>39.79051550742625</v>
      </c>
      <c r="X468" s="513">
        <f t="shared" si="259"/>
        <v>0.85850886415545802</v>
      </c>
      <c r="Y468" s="519">
        <f t="shared" si="282"/>
        <v>2.386789971552003E-2</v>
      </c>
      <c r="Z468" s="520">
        <f t="shared" si="260"/>
        <v>0.27499289044251801</v>
      </c>
      <c r="AA468" s="517">
        <f t="shared" si="279"/>
        <v>24589</v>
      </c>
      <c r="AB468" s="542">
        <f t="shared" si="273"/>
        <v>602</v>
      </c>
      <c r="AC468" s="517">
        <f t="shared" si="225"/>
        <v>642.1422338136407</v>
      </c>
      <c r="AD468" s="517">
        <f t="shared" si="261"/>
        <v>40.142233813640701</v>
      </c>
      <c r="AE468" s="545">
        <f t="shared" si="262"/>
        <v>27063.142857142859</v>
      </c>
      <c r="AF468" s="520">
        <f t="shared" si="263"/>
        <v>0.83247324205241802</v>
      </c>
      <c r="AG468" s="200">
        <f t="shared" si="264"/>
        <v>-8.2845798512718449E-2</v>
      </c>
      <c r="AH468" s="200">
        <f t="shared" si="274"/>
        <v>-0.23574723832903033</v>
      </c>
      <c r="AI468" s="355">
        <f t="shared" si="275"/>
        <v>1.1204466897101835</v>
      </c>
      <c r="AJ468" s="657">
        <f t="shared" si="276"/>
        <v>-0.16752675794758198</v>
      </c>
      <c r="AK468" s="414">
        <f t="shared" si="265"/>
        <v>1.9680093403385873E-2</v>
      </c>
      <c r="AL468" s="28">
        <f t="shared" si="266"/>
        <v>2.1890544504766289E-2</v>
      </c>
      <c r="AM468" s="200">
        <f t="shared" si="267"/>
        <v>1.021213297115509</v>
      </c>
      <c r="AN468" s="200">
        <f t="shared" si="268"/>
        <v>1.1204466897101835</v>
      </c>
      <c r="AO468" s="18">
        <f t="shared" si="269"/>
        <v>44378</v>
      </c>
      <c r="AP468" s="355">
        <f t="shared" si="277"/>
        <v>0.85850886415545813</v>
      </c>
      <c r="AQ468" s="7">
        <f t="shared" si="270"/>
        <v>33171.285714285717</v>
      </c>
      <c r="AR468" s="290">
        <f t="shared" si="271"/>
        <v>894.99199999999996</v>
      </c>
    </row>
    <row r="469" spans="1:49" hidden="1" x14ac:dyDescent="0.25">
      <c r="A469" s="543">
        <v>44360</v>
      </c>
      <c r="B469" s="670">
        <v>13043</v>
      </c>
      <c r="C469" s="515">
        <f t="shared" si="253"/>
        <v>4124190</v>
      </c>
      <c r="D469" s="670">
        <v>268</v>
      </c>
      <c r="E469" s="515">
        <f t="shared" si="280"/>
        <v>85348</v>
      </c>
      <c r="F469" s="515">
        <f t="shared" si="278"/>
        <v>26062</v>
      </c>
      <c r="G469" s="515">
        <v>3721350</v>
      </c>
      <c r="H469" s="515">
        <v>7910</v>
      </c>
      <c r="I469" s="511">
        <v>62751</v>
      </c>
      <c r="J469" s="511">
        <f t="shared" ref="J469:J479" si="286">J468+I469</f>
        <v>15185647</v>
      </c>
      <c r="K469" s="558">
        <f t="shared" si="272"/>
        <v>88917.28571428571</v>
      </c>
      <c r="L469" s="541">
        <v>23951</v>
      </c>
      <c r="M469" s="522">
        <v>7646563</v>
      </c>
      <c r="N469" s="511">
        <v>7670514</v>
      </c>
      <c r="O469" s="520">
        <f t="shared" si="281"/>
        <v>0.33547673551274465</v>
      </c>
      <c r="P469" s="200">
        <f t="shared" si="258"/>
        <v>0.20785326130260873</v>
      </c>
      <c r="Q469" s="511"/>
      <c r="R469" s="511"/>
      <c r="S469" s="511">
        <f t="shared" si="283"/>
        <v>317492</v>
      </c>
      <c r="T469" s="507">
        <f t="shared" si="284"/>
        <v>15</v>
      </c>
      <c r="U469" s="512">
        <f t="shared" si="285"/>
        <v>-13287</v>
      </c>
      <c r="V469" s="512">
        <f>SUM(B456:B469)/POBLA!$B$25*100000</f>
        <v>816.61455542213696</v>
      </c>
      <c r="W469" s="512">
        <f>B469/POBLA!$B$25*100000</f>
        <v>28.741634477674065</v>
      </c>
      <c r="X469" s="513">
        <f t="shared" ref="X469:X492" si="287">SUM(B456:B469)/SUM(B442:B455)</f>
        <v>0.83029592851829614</v>
      </c>
      <c r="Y469" s="519">
        <f t="shared" si="282"/>
        <v>2.4914013581444572E-2</v>
      </c>
      <c r="Z469" s="520">
        <f t="shared" ref="Z469:Z492" si="288">SUM(B463:B469)/SUM(I463:I469)</f>
        <v>0.27112035101643422</v>
      </c>
      <c r="AA469" s="517">
        <f t="shared" si="279"/>
        <v>24107.285714285714</v>
      </c>
      <c r="AB469" s="542">
        <f t="shared" ref="AB469:AB477" si="289">AVERAGE(D463:D469)</f>
        <v>590.71428571428567</v>
      </c>
      <c r="AC469" s="517">
        <f t="shared" si="225"/>
        <v>631.1877306423155</v>
      </c>
      <c r="AD469" s="517">
        <f t="shared" ref="AD469:AD492" si="290">AC469-AB469</f>
        <v>40.473444928029835</v>
      </c>
      <c r="AE469" s="545">
        <f t="shared" ref="AE469:AE476" si="291">AVERAGE(B456:B469)</f>
        <v>26470.071428571428</v>
      </c>
      <c r="AF469" s="520">
        <f t="shared" ref="AF469:AF476" si="292">AA469/AA462</f>
        <v>0.83610464252093353</v>
      </c>
      <c r="AG469" s="200">
        <f t="shared" ref="AG469:AG492" si="293">S469/S462-1</f>
        <v>-8.0247861341336546E-2</v>
      </c>
      <c r="AH469" s="200">
        <f t="shared" ref="AH469:AH492" si="294">B469/B462-1</f>
        <v>-0.20542187024063352</v>
      </c>
      <c r="AI469" s="355">
        <f t="shared" ref="AI469:AI492" si="295">AB469/AB462</f>
        <v>1.0997340425531914</v>
      </c>
      <c r="AJ469" s="657">
        <f t="shared" ref="AJ469:AJ492" si="296">AF469-1</f>
        <v>-0.16389535747906647</v>
      </c>
      <c r="AK469" s="414">
        <f t="shared" ref="AK469:AK492" si="297">AB469/AA456</f>
        <v>1.8825489758660406E-2</v>
      </c>
      <c r="AL469" s="28">
        <f t="shared" ref="AL469:AL492" si="298">H469/S462</f>
        <v>2.2914717274104632E-2</v>
      </c>
      <c r="AM469" s="200">
        <f t="shared" ref="AM469:AM492" si="299">H469/H462</f>
        <v>1.0172325102880659</v>
      </c>
      <c r="AN469" s="200">
        <f t="shared" ref="AN469:AN492" si="300">AB469/AB462</f>
        <v>1.0997340425531914</v>
      </c>
      <c r="AO469" s="18">
        <f t="shared" ref="AO469:AO492" si="301">A468+20</f>
        <v>44379</v>
      </c>
      <c r="AP469" s="355">
        <f t="shared" si="277"/>
        <v>0.83029592851829614</v>
      </c>
      <c r="AQ469" s="7">
        <f t="shared" ref="AQ469:AQ492" si="302">MAX(AA:AA)</f>
        <v>33171.285714285717</v>
      </c>
      <c r="AR469" s="290">
        <f t="shared" ref="AR469:AR478" si="303">AA448*0.028</f>
        <v>928.79600000000016</v>
      </c>
    </row>
    <row r="470" spans="1:49" hidden="1" x14ac:dyDescent="0.25">
      <c r="A470" s="543">
        <v>44361</v>
      </c>
      <c r="B470" s="670">
        <v>21292</v>
      </c>
      <c r="C470" s="515">
        <f t="shared" si="253"/>
        <v>4145482</v>
      </c>
      <c r="D470" s="670">
        <v>687</v>
      </c>
      <c r="E470" s="515">
        <f t="shared" si="280"/>
        <v>86035</v>
      </c>
      <c r="F470" s="515">
        <f t="shared" si="278"/>
        <v>27444</v>
      </c>
      <c r="G470" s="515">
        <v>3748794</v>
      </c>
      <c r="H470" s="515">
        <v>7969</v>
      </c>
      <c r="I470" s="511">
        <v>73370</v>
      </c>
      <c r="J470" s="511">
        <f t="shared" si="286"/>
        <v>15259017</v>
      </c>
      <c r="K470" s="558">
        <f t="shared" si="272"/>
        <v>88463.428571428565</v>
      </c>
      <c r="L470" s="541">
        <v>24131</v>
      </c>
      <c r="M470" s="522">
        <v>7671351</v>
      </c>
      <c r="N470" s="511">
        <v>7695482</v>
      </c>
      <c r="O470" s="520">
        <f t="shared" si="281"/>
        <v>0.46026805015131861</v>
      </c>
      <c r="P470" s="200">
        <f t="shared" si="258"/>
        <v>0.29020035436827041</v>
      </c>
      <c r="Q470" s="511"/>
      <c r="R470" s="511"/>
      <c r="S470" s="511">
        <f t="shared" si="283"/>
        <v>310653</v>
      </c>
      <c r="T470" s="507">
        <f t="shared" si="284"/>
        <v>59</v>
      </c>
      <c r="U470" s="512">
        <f t="shared" si="285"/>
        <v>-6839</v>
      </c>
      <c r="V470" s="512">
        <f>SUM(B457:B470)/POBLA!$B$25*100000</f>
        <v>801.44713457495232</v>
      </c>
      <c r="W470" s="512">
        <f>B470/POBLA!$B$25*100000</f>
        <v>46.919181269541987</v>
      </c>
      <c r="X470" s="513">
        <f t="shared" si="287"/>
        <v>0.81579744245983232</v>
      </c>
      <c r="Y470" s="519">
        <f t="shared" si="282"/>
        <v>2.5652416039761407E-2</v>
      </c>
      <c r="Z470" s="520">
        <f t="shared" si="288"/>
        <v>0.27105309054266169</v>
      </c>
      <c r="AA470" s="517">
        <f t="shared" si="279"/>
        <v>23978.285714285714</v>
      </c>
      <c r="AB470" s="542">
        <f t="shared" si="289"/>
        <v>584.14285714285711</v>
      </c>
      <c r="AC470" s="517">
        <f t="shared" si="225"/>
        <v>647.9409891129236</v>
      </c>
      <c r="AD470" s="517">
        <f t="shared" si="290"/>
        <v>63.798131970066493</v>
      </c>
      <c r="AE470" s="545">
        <f t="shared" si="291"/>
        <v>25978.428571428572</v>
      </c>
      <c r="AF470" s="520">
        <f t="shared" si="292"/>
        <v>0.85702323206535613</v>
      </c>
      <c r="AG470" s="200">
        <f t="shared" si="293"/>
        <v>-7.4169994635512881E-2</v>
      </c>
      <c r="AH470" s="200">
        <f t="shared" si="294"/>
        <v>-4.0684838927686373E-2</v>
      </c>
      <c r="AI470" s="355">
        <f t="shared" si="295"/>
        <v>1.0607003891050584</v>
      </c>
      <c r="AJ470" s="657">
        <f t="shared" si="296"/>
        <v>-0.14297676793464387</v>
      </c>
      <c r="AK470" s="414">
        <f t="shared" si="297"/>
        <v>1.7747164750458979E-2</v>
      </c>
      <c r="AL470" s="28">
        <f t="shared" si="298"/>
        <v>2.3749776479704356E-2</v>
      </c>
      <c r="AM470" s="200">
        <f t="shared" si="299"/>
        <v>1.0181423278395298</v>
      </c>
      <c r="AN470" s="200">
        <f t="shared" si="300"/>
        <v>1.0607003891050584</v>
      </c>
      <c r="AO470" s="18">
        <f t="shared" si="301"/>
        <v>44380</v>
      </c>
      <c r="AP470" s="355">
        <f t="shared" si="277"/>
        <v>0.81579744245983232</v>
      </c>
      <c r="AQ470" s="7">
        <f t="shared" si="302"/>
        <v>33171.285714285717</v>
      </c>
      <c r="AR470" s="290">
        <f t="shared" si="303"/>
        <v>904.68000000000006</v>
      </c>
    </row>
    <row r="471" spans="1:49" hidden="1" x14ac:dyDescent="0.25">
      <c r="A471" s="543">
        <v>44362</v>
      </c>
      <c r="B471" s="686">
        <v>27260</v>
      </c>
      <c r="C471" s="515">
        <f t="shared" si="253"/>
        <v>4172742</v>
      </c>
      <c r="D471" s="670">
        <v>589</v>
      </c>
      <c r="E471" s="515">
        <f t="shared" si="280"/>
        <v>86624</v>
      </c>
      <c r="F471" s="515">
        <f t="shared" si="278"/>
        <v>23174</v>
      </c>
      <c r="G471" s="515">
        <v>3771968</v>
      </c>
      <c r="H471" s="515">
        <v>7890</v>
      </c>
      <c r="I471" s="511">
        <v>107272</v>
      </c>
      <c r="J471" s="511">
        <f t="shared" si="286"/>
        <v>15366289</v>
      </c>
      <c r="K471" s="558">
        <f t="shared" si="272"/>
        <v>91978.428571428565</v>
      </c>
      <c r="L471" s="541">
        <v>24380</v>
      </c>
      <c r="M471" s="522">
        <v>7711462</v>
      </c>
      <c r="N471" s="511">
        <v>7735842</v>
      </c>
      <c r="O471" s="520">
        <f t="shared" si="281"/>
        <v>0.40313516711032238</v>
      </c>
      <c r="P471" s="200">
        <f t="shared" si="258"/>
        <v>0.25412036691774181</v>
      </c>
      <c r="Q471" s="511"/>
      <c r="R471" s="511"/>
      <c r="S471" s="511">
        <f t="shared" si="283"/>
        <v>314150</v>
      </c>
      <c r="T471" s="507">
        <f t="shared" si="284"/>
        <v>-79</v>
      </c>
      <c r="U471" s="512">
        <f t="shared" si="285"/>
        <v>3497</v>
      </c>
      <c r="V471" s="512">
        <f>SUM(B458:B471)/POBLA!$B$25*100000</f>
        <v>783.60894312384664</v>
      </c>
      <c r="W471" s="512">
        <f>B471/POBLA!$B$25*100000</f>
        <v>60.070302527132945</v>
      </c>
      <c r="X471" s="513">
        <f t="shared" si="287"/>
        <v>0.79797635263255917</v>
      </c>
      <c r="Y471" s="519">
        <f t="shared" si="282"/>
        <v>2.5115390736909118E-2</v>
      </c>
      <c r="Z471" s="520">
        <f t="shared" si="288"/>
        <v>0.25467306775346393</v>
      </c>
      <c r="AA471" s="517">
        <f t="shared" si="279"/>
        <v>23424.428571428572</v>
      </c>
      <c r="AB471" s="542">
        <f t="shared" si="289"/>
        <v>565.14285714285711</v>
      </c>
      <c r="AC471" s="517">
        <f t="shared" si="225"/>
        <v>678.89623226789934</v>
      </c>
      <c r="AD471" s="517">
        <f t="shared" si="290"/>
        <v>113.75337512504223</v>
      </c>
      <c r="AE471" s="545">
        <f t="shared" si="291"/>
        <v>25400.214285714286</v>
      </c>
      <c r="AF471" s="520">
        <f t="shared" si="292"/>
        <v>0.85565563162728564</v>
      </c>
      <c r="AG471" s="200">
        <f t="shared" si="293"/>
        <v>-8.2216353289004673E-2</v>
      </c>
      <c r="AH471" s="200">
        <f t="shared" si="294"/>
        <v>-0.12451424350451235</v>
      </c>
      <c r="AI471" s="355">
        <f t="shared" si="295"/>
        <v>1.0050813008130079</v>
      </c>
      <c r="AJ471" s="657">
        <f t="shared" si="296"/>
        <v>-0.14434436837271436</v>
      </c>
      <c r="AK471" s="414">
        <f t="shared" si="297"/>
        <v>1.7198429708591825E-2</v>
      </c>
      <c r="AL471" s="28">
        <f t="shared" si="298"/>
        <v>2.3050494899092003E-2</v>
      </c>
      <c r="AM471" s="200">
        <f t="shared" si="299"/>
        <v>1.012317167051578</v>
      </c>
      <c r="AN471" s="200">
        <f t="shared" si="300"/>
        <v>1.0050813008130079</v>
      </c>
      <c r="AO471" s="18">
        <f t="shared" si="301"/>
        <v>44381</v>
      </c>
      <c r="AP471" s="355">
        <f t="shared" si="277"/>
        <v>0.79797635263255928</v>
      </c>
      <c r="AQ471" s="7">
        <f t="shared" si="302"/>
        <v>33171.285714285717</v>
      </c>
      <c r="AR471" s="290">
        <f t="shared" si="303"/>
        <v>860.91199999999992</v>
      </c>
    </row>
    <row r="472" spans="1:49" hidden="1" x14ac:dyDescent="0.25">
      <c r="A472" s="543">
        <v>44363</v>
      </c>
      <c r="B472" s="686">
        <v>25878</v>
      </c>
      <c r="C472" s="515">
        <f t="shared" si="253"/>
        <v>4198620</v>
      </c>
      <c r="D472" s="670">
        <v>648</v>
      </c>
      <c r="E472" s="515">
        <f t="shared" si="280"/>
        <v>87272</v>
      </c>
      <c r="F472" s="515">
        <f t="shared" si="278"/>
        <v>20011</v>
      </c>
      <c r="G472" s="515">
        <v>3791979</v>
      </c>
      <c r="H472" s="515">
        <v>7664</v>
      </c>
      <c r="I472" s="511">
        <v>118717</v>
      </c>
      <c r="J472" s="511">
        <f t="shared" si="286"/>
        <v>15485006</v>
      </c>
      <c r="K472" s="558">
        <f t="shared" si="272"/>
        <v>93295.71428571429</v>
      </c>
      <c r="L472" s="541">
        <v>24597</v>
      </c>
      <c r="M472" s="522">
        <v>7757776</v>
      </c>
      <c r="N472" s="511">
        <v>7782373</v>
      </c>
      <c r="O472" s="520">
        <f t="shared" si="281"/>
        <v>0.35738651272631855</v>
      </c>
      <c r="P472" s="200">
        <f t="shared" si="258"/>
        <v>0.21798057565470827</v>
      </c>
      <c r="Q472" s="511"/>
      <c r="R472" s="511"/>
      <c r="S472" s="511">
        <f t="shared" si="283"/>
        <v>319369</v>
      </c>
      <c r="T472" s="507">
        <f t="shared" si="284"/>
        <v>-226</v>
      </c>
      <c r="U472" s="512">
        <f t="shared" si="285"/>
        <v>5219</v>
      </c>
      <c r="V472" s="512">
        <f>SUM(B459:B472)/POBLA!$B$25*100000</f>
        <v>763.47018689510605</v>
      </c>
      <c r="W472" s="512">
        <f>B472/POBLA!$B$25*100000</f>
        <v>57.024918884708228</v>
      </c>
      <c r="X472" s="513">
        <f t="shared" si="287"/>
        <v>0.78563977904561488</v>
      </c>
      <c r="Y472" s="519">
        <f t="shared" si="282"/>
        <v>2.3997319714812646E-2</v>
      </c>
      <c r="Z472" s="520">
        <f t="shared" si="288"/>
        <v>0.24513758096375579</v>
      </c>
      <c r="AA472" s="517">
        <f t="shared" si="279"/>
        <v>22870.285714285714</v>
      </c>
      <c r="AB472" s="542">
        <f t="shared" si="289"/>
        <v>571</v>
      </c>
      <c r="AC472" s="517">
        <f t="shared" si="225"/>
        <v>676.61685333764115</v>
      </c>
      <c r="AD472" s="517">
        <f t="shared" si="290"/>
        <v>105.61685333764115</v>
      </c>
      <c r="AE472" s="545">
        <f t="shared" si="291"/>
        <v>24747.428571428572</v>
      </c>
      <c r="AF472" s="520">
        <f t="shared" si="292"/>
        <v>0.85899169403129227</v>
      </c>
      <c r="AG472" s="200">
        <f t="shared" si="293"/>
        <v>-7.7922265401694224E-2</v>
      </c>
      <c r="AH472" s="200">
        <f t="shared" si="294"/>
        <v>-0.13035588264946063</v>
      </c>
      <c r="AI472" s="355">
        <f t="shared" si="295"/>
        <v>1.0103640040444894</v>
      </c>
      <c r="AJ472" s="657">
        <f t="shared" si="296"/>
        <v>-0.14100830596870773</v>
      </c>
      <c r="AK472" s="414">
        <f t="shared" si="297"/>
        <v>1.806700658132639E-2</v>
      </c>
      <c r="AL472" s="28">
        <f t="shared" si="298"/>
        <v>2.2127394199065707E-2</v>
      </c>
      <c r="AM472" s="200">
        <f t="shared" si="299"/>
        <v>0.9864847470716952</v>
      </c>
      <c r="AN472" s="200">
        <f t="shared" si="300"/>
        <v>1.0103640040444894</v>
      </c>
      <c r="AO472" s="18">
        <f t="shared" si="301"/>
        <v>44382</v>
      </c>
      <c r="AP472" s="355">
        <f t="shared" si="277"/>
        <v>0.78563977904561499</v>
      </c>
      <c r="AQ472" s="7">
        <f t="shared" si="302"/>
        <v>33171.285714285717</v>
      </c>
      <c r="AR472" s="290">
        <f t="shared" si="303"/>
        <v>843.9</v>
      </c>
    </row>
    <row r="473" spans="1:49" hidden="1" x14ac:dyDescent="0.25">
      <c r="A473" s="543">
        <v>44364</v>
      </c>
      <c r="B473" s="686">
        <v>23780</v>
      </c>
      <c r="C473" s="515">
        <f t="shared" si="253"/>
        <v>4222400</v>
      </c>
      <c r="D473" s="670">
        <v>529</v>
      </c>
      <c r="E473" s="515">
        <f t="shared" si="280"/>
        <v>87801</v>
      </c>
      <c r="F473" s="515">
        <f t="shared" si="278"/>
        <v>26367</v>
      </c>
      <c r="G473" s="515">
        <v>3818346</v>
      </c>
      <c r="H473" s="515">
        <v>7520</v>
      </c>
      <c r="I473" s="511">
        <v>98946</v>
      </c>
      <c r="J473" s="511">
        <f t="shared" si="286"/>
        <v>15583952</v>
      </c>
      <c r="K473" s="558">
        <f t="shared" si="272"/>
        <v>92872.71428571429</v>
      </c>
      <c r="L473" s="541"/>
      <c r="M473" s="522"/>
      <c r="N473" s="511"/>
      <c r="O473" s="520">
        <f t="shared" si="281"/>
        <v>-3.0649887163819523E-3</v>
      </c>
      <c r="P473" s="200">
        <f t="shared" si="258"/>
        <v>0.24033311098983284</v>
      </c>
      <c r="Q473" s="511"/>
      <c r="R473" s="511"/>
      <c r="S473" s="511">
        <f t="shared" si="283"/>
        <v>316253</v>
      </c>
      <c r="T473" s="507">
        <f t="shared" si="284"/>
        <v>-144</v>
      </c>
      <c r="U473" s="512">
        <f t="shared" si="285"/>
        <v>-3116</v>
      </c>
      <c r="V473" s="512">
        <f>SUM(B460:B473)/POBLA!$B$25*100000</f>
        <v>744.71529530272051</v>
      </c>
      <c r="W473" s="512">
        <f>B473/POBLA!$B$25*100000</f>
        <v>52.401753268350014</v>
      </c>
      <c r="X473" s="513">
        <f t="shared" si="287"/>
        <v>0.77263530428460714</v>
      </c>
      <c r="Y473" s="519">
        <f t="shared" si="282"/>
        <v>2.3778430560342512E-2</v>
      </c>
      <c r="Z473" s="520">
        <f t="shared" si="288"/>
        <v>0.24033508227081921</v>
      </c>
      <c r="AA473" s="517">
        <f t="shared" si="279"/>
        <v>22320.571428571428</v>
      </c>
      <c r="AB473" s="542">
        <f t="shared" si="289"/>
        <v>551</v>
      </c>
      <c r="AC473" s="517">
        <f t="shared" si="225"/>
        <v>649.84506792638149</v>
      </c>
      <c r="AD473" s="517">
        <f t="shared" si="290"/>
        <v>98.845067926381489</v>
      </c>
      <c r="AE473" s="545">
        <f t="shared" si="291"/>
        <v>24139.5</v>
      </c>
      <c r="AF473" s="520">
        <f t="shared" si="292"/>
        <v>0.85985834493613411</v>
      </c>
      <c r="AG473" s="200">
        <f t="shared" si="293"/>
        <v>-7.7468568594848408E-2</v>
      </c>
      <c r="AH473" s="200">
        <f t="shared" si="294"/>
        <v>-0.13927899232662522</v>
      </c>
      <c r="AI473" s="355">
        <f t="shared" si="295"/>
        <v>0.94696783697520248</v>
      </c>
      <c r="AJ473" s="657">
        <f t="shared" si="296"/>
        <v>-0.14014165506386589</v>
      </c>
      <c r="AK473" s="414">
        <f t="shared" si="297"/>
        <v>1.81101068200493E-2</v>
      </c>
      <c r="AL473" s="28">
        <f t="shared" si="298"/>
        <v>2.1936349581400776E-2</v>
      </c>
      <c r="AM473" s="200">
        <f t="shared" si="299"/>
        <v>0.96200588461046432</v>
      </c>
      <c r="AN473" s="200">
        <f t="shared" si="300"/>
        <v>0.94696783697520248</v>
      </c>
      <c r="AO473" s="18">
        <f t="shared" si="301"/>
        <v>44383</v>
      </c>
      <c r="AP473" s="355">
        <f t="shared" si="277"/>
        <v>0.77263530428460714</v>
      </c>
      <c r="AQ473" s="7">
        <f t="shared" si="302"/>
        <v>33171.285714285717</v>
      </c>
      <c r="AR473" s="290">
        <f t="shared" si="303"/>
        <v>864.68399999999997</v>
      </c>
    </row>
    <row r="474" spans="1:49" hidden="1" x14ac:dyDescent="0.25">
      <c r="A474" s="543">
        <v>44365</v>
      </c>
      <c r="B474" s="686">
        <v>20363</v>
      </c>
      <c r="C474" s="515">
        <f t="shared" si="253"/>
        <v>4242763</v>
      </c>
      <c r="D474" s="670">
        <v>464</v>
      </c>
      <c r="E474" s="515">
        <f t="shared" si="280"/>
        <v>88265</v>
      </c>
      <c r="F474" s="515">
        <f t="shared" si="278"/>
        <v>25983</v>
      </c>
      <c r="G474" s="515">
        <v>3844329</v>
      </c>
      <c r="H474" s="515">
        <v>7467</v>
      </c>
      <c r="I474" s="511">
        <v>100268</v>
      </c>
      <c r="J474" s="511">
        <f t="shared" si="286"/>
        <v>15684220</v>
      </c>
      <c r="K474" s="558">
        <f t="shared" si="272"/>
        <v>92357.428571428565</v>
      </c>
      <c r="L474" s="541">
        <v>24913</v>
      </c>
      <c r="M474" s="522">
        <v>7821242</v>
      </c>
      <c r="N474" s="511">
        <v>7846155</v>
      </c>
      <c r="O474" s="520">
        <f t="shared" si="281"/>
        <v>2.5885658686600603E-3</v>
      </c>
      <c r="P474" s="200">
        <f t="shared" si="258"/>
        <v>0.2030857302429489</v>
      </c>
      <c r="Q474" s="511"/>
      <c r="R474" s="511"/>
      <c r="S474" s="511">
        <f t="shared" si="283"/>
        <v>310169</v>
      </c>
      <c r="T474" s="507">
        <f t="shared" si="284"/>
        <v>-53</v>
      </c>
      <c r="U474" s="512">
        <f t="shared" si="285"/>
        <v>-6084</v>
      </c>
      <c r="V474" s="512">
        <f>SUM(B461:B474)/POBLA!$B$25*100000</f>
        <v>721.38571742837144</v>
      </c>
      <c r="W474" s="512">
        <f>B474/POBLA!$B$25*100000</f>
        <v>44.872031194424366</v>
      </c>
      <c r="X474" s="513">
        <f t="shared" si="287"/>
        <v>0.75624242004227449</v>
      </c>
      <c r="Y474" s="519">
        <f t="shared" si="282"/>
        <v>2.4073972576240693E-2</v>
      </c>
      <c r="Z474" s="520">
        <f t="shared" si="288"/>
        <v>0.23151204481966026</v>
      </c>
      <c r="AA474" s="517">
        <f t="shared" si="279"/>
        <v>21381.857142857141</v>
      </c>
      <c r="AB474" s="542">
        <f t="shared" si="289"/>
        <v>518.85714285714289</v>
      </c>
      <c r="AC474" s="517">
        <f t="shared" si="225"/>
        <v>624.8342760644706</v>
      </c>
      <c r="AD474" s="517">
        <f t="shared" si="290"/>
        <v>105.97713320732771</v>
      </c>
      <c r="AE474" s="545">
        <f t="shared" si="291"/>
        <v>23383.285714285714</v>
      </c>
      <c r="AF474" s="520">
        <f t="shared" si="292"/>
        <v>0.8423123026793401</v>
      </c>
      <c r="AG474" s="200">
        <f t="shared" si="293"/>
        <v>-8.7160998866930517E-2</v>
      </c>
      <c r="AH474" s="200">
        <f t="shared" si="294"/>
        <v>-0.24396673349669562</v>
      </c>
      <c r="AI474" s="355">
        <f t="shared" si="295"/>
        <v>0.86005209566658769</v>
      </c>
      <c r="AJ474" s="657">
        <f t="shared" si="296"/>
        <v>-0.1576876973206599</v>
      </c>
      <c r="AK474" s="414">
        <f t="shared" si="297"/>
        <v>1.75661754392753E-2</v>
      </c>
      <c r="AL474" s="28">
        <f t="shared" si="298"/>
        <v>2.1975661079800462E-2</v>
      </c>
      <c r="AM474" s="200">
        <f t="shared" si="299"/>
        <v>0.95254496747034056</v>
      </c>
      <c r="AN474" s="200">
        <f t="shared" si="300"/>
        <v>0.86005209566658769</v>
      </c>
      <c r="AO474" s="18">
        <f t="shared" si="301"/>
        <v>44384</v>
      </c>
      <c r="AP474" s="355">
        <f t="shared" si="277"/>
        <v>0.75624242004227449</v>
      </c>
      <c r="AQ474" s="7">
        <f t="shared" si="302"/>
        <v>33171.285714285717</v>
      </c>
      <c r="AR474" s="290">
        <f t="shared" si="303"/>
        <v>879.64</v>
      </c>
    </row>
    <row r="475" spans="1:49" hidden="1" x14ac:dyDescent="0.25">
      <c r="A475" s="543">
        <v>44366</v>
      </c>
      <c r="B475" s="686">
        <v>15631</v>
      </c>
      <c r="C475" s="515">
        <f t="shared" si="253"/>
        <v>4258394</v>
      </c>
      <c r="D475" s="670">
        <v>495</v>
      </c>
      <c r="E475" s="515">
        <f t="shared" si="280"/>
        <v>88760</v>
      </c>
      <c r="F475" s="515">
        <f t="shared" si="278"/>
        <v>23776</v>
      </c>
      <c r="G475" s="515">
        <v>3868105</v>
      </c>
      <c r="H475" s="515">
        <v>7386</v>
      </c>
      <c r="I475" s="511">
        <v>77104</v>
      </c>
      <c r="J475" s="511">
        <f t="shared" si="286"/>
        <v>15761324</v>
      </c>
      <c r="K475" s="558">
        <f t="shared" si="272"/>
        <v>91204</v>
      </c>
      <c r="L475" s="541">
        <v>25262</v>
      </c>
      <c r="M475" s="522">
        <v>7866323</v>
      </c>
      <c r="N475" s="511">
        <v>7891585</v>
      </c>
      <c r="O475" s="520">
        <f t="shared" si="281"/>
        <v>0.25598991172761665</v>
      </c>
      <c r="P475" s="200">
        <f t="shared" si="258"/>
        <v>0.20272618800581033</v>
      </c>
      <c r="Q475" s="511"/>
      <c r="R475" s="511"/>
      <c r="S475" s="511">
        <f t="shared" si="283"/>
        <v>301529</v>
      </c>
      <c r="T475" s="507">
        <f t="shared" si="284"/>
        <v>-81</v>
      </c>
      <c r="U475" s="512">
        <f t="shared" si="285"/>
        <v>-8640</v>
      </c>
      <c r="V475" s="512">
        <f>SUM(B462:B475)/POBLA!$B$25*100000</f>
        <v>703.76568298204143</v>
      </c>
      <c r="W475" s="512">
        <f>B475/POBLA!$B$25*100000</f>
        <v>34.444567087366657</v>
      </c>
      <c r="X475" s="513">
        <f t="shared" si="287"/>
        <v>0.75262583629675195</v>
      </c>
      <c r="Y475" s="519">
        <f t="shared" si="282"/>
        <v>2.4495156353120263E-2</v>
      </c>
      <c r="Z475" s="520">
        <f t="shared" si="288"/>
        <v>0.23063994686949821</v>
      </c>
      <c r="AA475" s="517">
        <f t="shared" si="279"/>
        <v>21035.285714285714</v>
      </c>
      <c r="AB475" s="542">
        <f t="shared" si="289"/>
        <v>525.71428571428567</v>
      </c>
      <c r="AC475" s="517">
        <f t="shared" si="225"/>
        <v>606.38425827601679</v>
      </c>
      <c r="AD475" s="517">
        <f t="shared" si="290"/>
        <v>80.669972561731129</v>
      </c>
      <c r="AE475" s="656">
        <f t="shared" si="291"/>
        <v>22812.142857142859</v>
      </c>
      <c r="AF475" s="520">
        <f t="shared" si="292"/>
        <v>0.85547544488534355</v>
      </c>
      <c r="AG475" s="200">
        <f t="shared" si="293"/>
        <v>-8.8427620858639755E-2</v>
      </c>
      <c r="AH475" s="200">
        <f t="shared" si="294"/>
        <v>-0.13435232873677794</v>
      </c>
      <c r="AI475" s="355">
        <f t="shared" si="295"/>
        <v>0.87327954437588984</v>
      </c>
      <c r="AJ475" s="657">
        <f t="shared" si="296"/>
        <v>-0.14452455511465645</v>
      </c>
      <c r="AK475" s="414">
        <f t="shared" si="297"/>
        <v>1.8233166526284497E-2</v>
      </c>
      <c r="AL475" s="28">
        <f t="shared" si="298"/>
        <v>2.2329107954253444E-2</v>
      </c>
      <c r="AM475" s="200">
        <f t="shared" si="299"/>
        <v>0.9355288157061431</v>
      </c>
      <c r="AN475" s="200">
        <f t="shared" si="300"/>
        <v>0.87327954437588984</v>
      </c>
      <c r="AO475" s="18">
        <f t="shared" si="301"/>
        <v>44385</v>
      </c>
      <c r="AP475" s="355">
        <f t="shared" si="277"/>
        <v>0.75262583629675195</v>
      </c>
      <c r="AQ475" s="7">
        <f t="shared" si="302"/>
        <v>33171.285714285717</v>
      </c>
      <c r="AR475" s="290">
        <f t="shared" si="303"/>
        <v>870.31999999999994</v>
      </c>
    </row>
    <row r="476" spans="1:49" hidden="1" x14ac:dyDescent="0.25">
      <c r="A476" s="543">
        <v>44367</v>
      </c>
      <c r="B476" s="686">
        <v>10395</v>
      </c>
      <c r="C476" s="515">
        <f t="shared" si="253"/>
        <v>4268789</v>
      </c>
      <c r="D476" s="670">
        <v>301</v>
      </c>
      <c r="E476" s="515">
        <f t="shared" si="280"/>
        <v>89061</v>
      </c>
      <c r="F476" s="515">
        <f t="shared" si="278"/>
        <v>22108</v>
      </c>
      <c r="G476" s="515">
        <v>3890213</v>
      </c>
      <c r="H476" s="515">
        <v>7366</v>
      </c>
      <c r="I476" s="511">
        <v>49306</v>
      </c>
      <c r="J476" s="511">
        <f t="shared" si="286"/>
        <v>15810630</v>
      </c>
      <c r="K476" s="558">
        <f t="shared" si="272"/>
        <v>89283.28571428571</v>
      </c>
      <c r="L476" s="541">
        <v>25277</v>
      </c>
      <c r="M476" s="522">
        <v>7885967</v>
      </c>
      <c r="N476" s="511">
        <v>7911244</v>
      </c>
      <c r="O476" s="520">
        <f t="shared" si="281"/>
        <v>0.34587742064284288</v>
      </c>
      <c r="P476" s="200">
        <f t="shared" si="258"/>
        <v>0.21082626860828296</v>
      </c>
      <c r="Q476" s="511"/>
      <c r="R476" s="511"/>
      <c r="S476" s="511">
        <f t="shared" si="283"/>
        <v>289515</v>
      </c>
      <c r="T476" s="507">
        <f t="shared" si="284"/>
        <v>-20</v>
      </c>
      <c r="U476" s="512">
        <f t="shared" si="285"/>
        <v>-12014</v>
      </c>
      <c r="V476" s="512">
        <f>SUM(B463:B476)/POBLA!$B$25*100000</f>
        <v>690.49997420679051</v>
      </c>
      <c r="W476" s="512">
        <f>B476/POBLA!$B$25*100000</f>
        <v>22.906485501450735</v>
      </c>
      <c r="X476" s="513">
        <f t="shared" si="287"/>
        <v>0.75332668197280961</v>
      </c>
      <c r="Y476" s="519">
        <f t="shared" si="282"/>
        <v>2.5442550472341674E-2</v>
      </c>
      <c r="Z476" s="520">
        <f t="shared" si="288"/>
        <v>0.23136469311965285</v>
      </c>
      <c r="AA476" s="517">
        <f t="shared" si="279"/>
        <v>20657</v>
      </c>
      <c r="AB476" s="542">
        <f t="shared" si="289"/>
        <v>530.42857142857144</v>
      </c>
      <c r="AC476" s="517">
        <f t="shared" si="225"/>
        <v>591.99568673486226</v>
      </c>
      <c r="AD476" s="517">
        <f t="shared" si="290"/>
        <v>61.567115306290816</v>
      </c>
      <c r="AE476" s="656">
        <f t="shared" si="291"/>
        <v>22382.142857142859</v>
      </c>
      <c r="AF476" s="520">
        <f t="shared" si="292"/>
        <v>0.85687788516808794</v>
      </c>
      <c r="AG476" s="200">
        <f t="shared" si="293"/>
        <v>-8.8118755748176292E-2</v>
      </c>
      <c r="AH476" s="200">
        <f t="shared" si="294"/>
        <v>-0.20302077742850566</v>
      </c>
      <c r="AI476" s="355">
        <f t="shared" si="295"/>
        <v>0.89794437726723109</v>
      </c>
      <c r="AJ476" s="657">
        <f t="shared" si="296"/>
        <v>-0.14312211483191206</v>
      </c>
      <c r="AK476" s="414">
        <f t="shared" si="297"/>
        <v>1.8958386520296147E-2</v>
      </c>
      <c r="AL476" s="28">
        <f t="shared" si="298"/>
        <v>2.3200584581658749E-2</v>
      </c>
      <c r="AM476" s="200">
        <f t="shared" si="299"/>
        <v>0.93122629582806571</v>
      </c>
      <c r="AN476" s="200">
        <f t="shared" si="300"/>
        <v>0.89794437726723109</v>
      </c>
      <c r="AO476" s="18">
        <f t="shared" si="301"/>
        <v>44386</v>
      </c>
      <c r="AP476" s="355">
        <f t="shared" si="277"/>
        <v>0.75332668197280961</v>
      </c>
      <c r="AQ476" s="7">
        <f t="shared" si="302"/>
        <v>33171.285714285717</v>
      </c>
      <c r="AR476" s="290">
        <f t="shared" si="303"/>
        <v>856.5</v>
      </c>
    </row>
    <row r="477" spans="1:49" hidden="1" x14ac:dyDescent="0.25">
      <c r="A477" s="543">
        <v>44368</v>
      </c>
      <c r="B477" s="686">
        <v>8606</v>
      </c>
      <c r="C477" s="515">
        <f t="shared" si="253"/>
        <v>4277395</v>
      </c>
      <c r="D477" s="670">
        <v>448</v>
      </c>
      <c r="E477" s="515">
        <f t="shared" si="280"/>
        <v>89509</v>
      </c>
      <c r="F477" s="515">
        <f t="shared" si="278"/>
        <v>20622</v>
      </c>
      <c r="G477" s="515">
        <v>3910835</v>
      </c>
      <c r="H477" s="515">
        <v>7345</v>
      </c>
      <c r="I477" s="511">
        <v>39764</v>
      </c>
      <c r="J477" s="511">
        <f t="shared" si="286"/>
        <v>15850394</v>
      </c>
      <c r="K477" s="558">
        <f t="shared" si="272"/>
        <v>84482.428571428565</v>
      </c>
      <c r="L477" s="541">
        <v>25341</v>
      </c>
      <c r="M477" s="522">
        <v>7900572</v>
      </c>
      <c r="N477" s="511">
        <v>7925913</v>
      </c>
      <c r="O477" s="520">
        <f t="shared" si="281"/>
        <v>0.36975295381310419</v>
      </c>
      <c r="P477" s="200">
        <f t="shared" si="258"/>
        <v>0.21642691882104417</v>
      </c>
      <c r="Q477" s="511"/>
      <c r="R477" s="511"/>
      <c r="S477" s="511">
        <f t="shared" si="283"/>
        <v>277051</v>
      </c>
      <c r="T477" s="507">
        <f t="shared" si="284"/>
        <v>-21</v>
      </c>
      <c r="U477" s="512">
        <f t="shared" si="285"/>
        <v>-12464</v>
      </c>
      <c r="V477" s="512">
        <f>SUM(B464:B477)/POBLA!$B$25*100000</f>
        <v>660.55517079368667</v>
      </c>
      <c r="W477" s="512">
        <f>B477/POBLA!$B$25*100000</f>
        <v>18.964234172725831</v>
      </c>
      <c r="X477" s="513">
        <f t="shared" si="287"/>
        <v>0.72144818639756048</v>
      </c>
      <c r="Y477" s="519">
        <f t="shared" si="282"/>
        <v>2.6511364333642543E-2</v>
      </c>
      <c r="Z477" s="520">
        <f t="shared" si="288"/>
        <v>0.22306075481461066</v>
      </c>
      <c r="AA477" s="517">
        <f t="shared" si="279"/>
        <v>18844.714285714286</v>
      </c>
      <c r="AB477" s="542">
        <f t="shared" si="289"/>
        <v>496.28571428571428</v>
      </c>
      <c r="AC477" s="517">
        <f t="shared" si="225"/>
        <v>576.40597759515185</v>
      </c>
      <c r="AD477" s="517">
        <f t="shared" si="290"/>
        <v>80.120263309437576</v>
      </c>
      <c r="AE477" s="656">
        <f t="shared" ref="AE477:AE487" si="304">AVERAGE(B464:B477)</f>
        <v>21411.5</v>
      </c>
      <c r="AF477" s="520">
        <f t="shared" ref="AF477:AF487" si="305">AA477/AA470</f>
        <v>0.78590748772699115</v>
      </c>
      <c r="AG477" s="200">
        <f t="shared" si="293"/>
        <v>-0.10816570256846059</v>
      </c>
      <c r="AH477" s="200">
        <f t="shared" si="294"/>
        <v>-0.5958106331016344</v>
      </c>
      <c r="AI477" s="355">
        <f t="shared" si="295"/>
        <v>0.84959647835656638</v>
      </c>
      <c r="AJ477" s="657">
        <f t="shared" si="296"/>
        <v>-0.21409251227300885</v>
      </c>
      <c r="AK477" s="414">
        <f t="shared" si="297"/>
        <v>1.8128496284545378E-2</v>
      </c>
      <c r="AL477" s="28">
        <f t="shared" si="298"/>
        <v>2.3643743984445669E-2</v>
      </c>
      <c r="AM477" s="200">
        <f t="shared" si="299"/>
        <v>0.9216965742251223</v>
      </c>
      <c r="AN477" s="200">
        <f t="shared" si="300"/>
        <v>0.84959647835656638</v>
      </c>
      <c r="AO477" s="18">
        <f t="shared" si="301"/>
        <v>44387</v>
      </c>
      <c r="AP477" s="355">
        <f t="shared" si="277"/>
        <v>0.72144818639756048</v>
      </c>
      <c r="AQ477" s="7">
        <f t="shared" si="302"/>
        <v>33171.285714285717</v>
      </c>
      <c r="AR477" s="290">
        <f t="shared" si="303"/>
        <v>878.596</v>
      </c>
    </row>
    <row r="478" spans="1:49" hidden="1" x14ac:dyDescent="0.25">
      <c r="A478" s="18">
        <v>44369</v>
      </c>
      <c r="B478" s="687">
        <v>21387</v>
      </c>
      <c r="C478" s="126">
        <f t="shared" si="253"/>
        <v>4298782</v>
      </c>
      <c r="D478" s="329">
        <v>792</v>
      </c>
      <c r="E478" s="126">
        <f t="shared" si="280"/>
        <v>90301</v>
      </c>
      <c r="F478" s="126">
        <f t="shared" si="278"/>
        <v>17554</v>
      </c>
      <c r="G478" s="154">
        <v>3928389</v>
      </c>
      <c r="H478" s="126">
        <v>7326</v>
      </c>
      <c r="I478" s="4">
        <v>75162</v>
      </c>
      <c r="J478" s="4">
        <f t="shared" si="286"/>
        <v>15925556</v>
      </c>
      <c r="K478" s="558">
        <f t="shared" si="272"/>
        <v>79895.28571428571</v>
      </c>
      <c r="L478" s="541">
        <v>25618</v>
      </c>
      <c r="M478" s="7">
        <v>7926086</v>
      </c>
      <c r="N478" s="4">
        <v>7951704</v>
      </c>
      <c r="O478" s="520">
        <f t="shared" si="281"/>
        <v>0.45332570265801858</v>
      </c>
      <c r="P478" s="200">
        <f t="shared" si="258"/>
        <v>0.28454538197493412</v>
      </c>
      <c r="Q478" s="4"/>
      <c r="R478" s="4"/>
      <c r="S478" s="511">
        <f t="shared" si="283"/>
        <v>280092</v>
      </c>
      <c r="T478" s="507">
        <f t="shared" si="284"/>
        <v>-19</v>
      </c>
      <c r="U478" s="512">
        <f t="shared" si="285"/>
        <v>3041</v>
      </c>
      <c r="V478" s="512">
        <f>SUM(B465:B478)/POBLA!$B$25*100000</f>
        <v>639.0700112324414</v>
      </c>
      <c r="W478" s="512">
        <f>B478/POBLA!$B$25*100000</f>
        <v>47.128523849882328</v>
      </c>
      <c r="X478" s="513">
        <f t="shared" si="287"/>
        <v>0.68717286480979067</v>
      </c>
      <c r="Y478" s="519">
        <f t="shared" si="282"/>
        <v>2.6155691701298146E-2</v>
      </c>
      <c r="Z478" s="520">
        <f t="shared" si="288"/>
        <v>0.22536641711382935</v>
      </c>
      <c r="AA478" s="517">
        <f t="shared" ref="AA478:AA486" si="306">AVERAGE(B472:B478)</f>
        <v>18005.714285714286</v>
      </c>
      <c r="AB478" s="542">
        <f t="shared" ref="AB478:AB487" si="307">AVERAGE(D472:D478)</f>
        <v>525.28571428571433</v>
      </c>
      <c r="AC478" s="517">
        <f t="shared" si="225"/>
        <v>564.54189276464035</v>
      </c>
      <c r="AD478" s="517">
        <f t="shared" si="290"/>
        <v>39.256178478926017</v>
      </c>
      <c r="AE478" s="656">
        <f t="shared" si="304"/>
        <v>20715.071428571428</v>
      </c>
      <c r="AF478" s="520">
        <f t="shared" si="305"/>
        <v>0.76867250916320573</v>
      </c>
      <c r="AG478" s="200">
        <f t="shared" si="293"/>
        <v>-0.10841317841795317</v>
      </c>
      <c r="AH478" s="200">
        <f t="shared" si="294"/>
        <v>-0.21544387380777696</v>
      </c>
      <c r="AI478" s="355">
        <f t="shared" si="295"/>
        <v>0.92947421638018213</v>
      </c>
      <c r="AJ478" s="657">
        <f t="shared" si="296"/>
        <v>-0.23132749083679427</v>
      </c>
      <c r="AK478" s="414">
        <f t="shared" si="297"/>
        <v>1.9729358487326425E-2</v>
      </c>
      <c r="AL478" s="28">
        <f t="shared" si="298"/>
        <v>2.3320070030240329E-2</v>
      </c>
      <c r="AM478" s="200">
        <f t="shared" si="299"/>
        <v>0.92851711026615968</v>
      </c>
      <c r="AN478" s="200">
        <f t="shared" si="300"/>
        <v>0.92947421638018213</v>
      </c>
      <c r="AO478" s="18">
        <f t="shared" si="301"/>
        <v>44388</v>
      </c>
      <c r="AP478" s="355">
        <f t="shared" si="277"/>
        <v>0.68717286480979067</v>
      </c>
      <c r="AQ478" s="7">
        <f t="shared" si="302"/>
        <v>33171.285714285717</v>
      </c>
      <c r="AR478" s="290">
        <f t="shared" si="303"/>
        <v>921.61199999999997</v>
      </c>
    </row>
    <row r="479" spans="1:49" hidden="1" x14ac:dyDescent="0.25">
      <c r="A479" s="333">
        <v>44370</v>
      </c>
      <c r="B479" s="688">
        <v>27319</v>
      </c>
      <c r="C479" s="133">
        <f t="shared" si="253"/>
        <v>4326101</v>
      </c>
      <c r="D479" s="334">
        <v>706</v>
      </c>
      <c r="E479" s="133">
        <f t="shared" si="280"/>
        <v>91007</v>
      </c>
      <c r="F479" s="133">
        <f t="shared" si="278"/>
        <v>15934</v>
      </c>
      <c r="G479" s="155">
        <v>3944323</v>
      </c>
      <c r="H479" s="133">
        <v>7241</v>
      </c>
      <c r="I479" s="27">
        <v>115714</v>
      </c>
      <c r="J479" s="27">
        <f t="shared" si="286"/>
        <v>16041270</v>
      </c>
      <c r="K479" s="559">
        <f t="shared" si="272"/>
        <v>79466.28571428571</v>
      </c>
      <c r="L479" s="659">
        <v>25951</v>
      </c>
      <c r="M479" s="30">
        <v>7968595</v>
      </c>
      <c r="N479" s="27">
        <v>7994546</v>
      </c>
      <c r="O479" s="520">
        <f t="shared" si="281"/>
        <v>0.38937586408403529</v>
      </c>
      <c r="P479" s="200">
        <f t="shared" si="258"/>
        <v>0.2360907063968059</v>
      </c>
      <c r="Q479" s="27"/>
      <c r="R479" s="27"/>
      <c r="S479" s="560">
        <f t="shared" si="283"/>
        <v>290771</v>
      </c>
      <c r="T479" s="561">
        <f t="shared" si="284"/>
        <v>-85</v>
      </c>
      <c r="U479" s="562">
        <f t="shared" si="285"/>
        <v>10679</v>
      </c>
      <c r="V479" s="562">
        <f>SUM(B466:B479)/POBLA!$B$25*100000</f>
        <v>633.69761953907573</v>
      </c>
      <c r="W479" s="562">
        <f>B479/POBLA!$B$25*100000</f>
        <v>60.200315287554844</v>
      </c>
      <c r="X479" s="563">
        <f t="shared" si="287"/>
        <v>0.69062880499912338</v>
      </c>
      <c r="Y479" s="564">
        <f t="shared" si="282"/>
        <v>2.4902758528188851E-2</v>
      </c>
      <c r="Z479" s="565">
        <f t="shared" si="288"/>
        <v>0.22917355787899271</v>
      </c>
      <c r="AA479" s="666">
        <f t="shared" si="306"/>
        <v>18211.571428571428</v>
      </c>
      <c r="AB479" s="542">
        <f t="shared" si="307"/>
        <v>533.57142857142856</v>
      </c>
      <c r="AC479" s="517">
        <f t="shared" si="225"/>
        <v>549.00230621510752</v>
      </c>
      <c r="AD479" s="517">
        <f t="shared" si="290"/>
        <v>15.430877643678969</v>
      </c>
      <c r="AE479" s="656">
        <f t="shared" si="304"/>
        <v>20540.928571428572</v>
      </c>
      <c r="AF479" s="520">
        <f t="shared" si="305"/>
        <v>0.79629837843240137</v>
      </c>
      <c r="AG479" s="200">
        <f t="shared" si="293"/>
        <v>-8.9545322182178033E-2</v>
      </c>
      <c r="AH479" s="200">
        <f t="shared" si="294"/>
        <v>5.5684365097766531E-2</v>
      </c>
      <c r="AI479" s="355">
        <f t="shared" si="295"/>
        <v>0.93445083812859642</v>
      </c>
      <c r="AJ479" s="657">
        <f t="shared" si="296"/>
        <v>-0.20370162156759863</v>
      </c>
      <c r="AK479" s="414">
        <f t="shared" si="297"/>
        <v>2.0554843183331589E-2</v>
      </c>
      <c r="AL479" s="28">
        <f t="shared" si="298"/>
        <v>2.26728329925572E-2</v>
      </c>
      <c r="AM479" s="200">
        <f t="shared" si="299"/>
        <v>0.94480688935281842</v>
      </c>
      <c r="AN479" s="200">
        <f t="shared" si="300"/>
        <v>0.93445083812859642</v>
      </c>
      <c r="AO479" s="18">
        <f t="shared" si="301"/>
        <v>44389</v>
      </c>
      <c r="AP479" s="355">
        <f t="shared" si="277"/>
        <v>0.69062880499912349</v>
      </c>
      <c r="AQ479" s="7">
        <f t="shared" si="302"/>
        <v>33171.285714285717</v>
      </c>
      <c r="AR479" s="290">
        <f t="shared" ref="AR479:AR492" si="308">AA458*0.028</f>
        <v>920.08399999999995</v>
      </c>
      <c r="AS479" s="42" t="s">
        <v>312</v>
      </c>
      <c r="AT479" s="42" t="s">
        <v>313</v>
      </c>
      <c r="AU479" s="42" t="s">
        <v>314</v>
      </c>
      <c r="AV479" s="42" t="s">
        <v>119</v>
      </c>
    </row>
    <row r="480" spans="1:49" hidden="1" x14ac:dyDescent="0.25">
      <c r="A480" s="18">
        <v>44371</v>
      </c>
      <c r="B480" s="689">
        <v>24463</v>
      </c>
      <c r="C480" s="126">
        <v>4350564</v>
      </c>
      <c r="D480" s="329">
        <v>452</v>
      </c>
      <c r="E480" s="126">
        <v>91438</v>
      </c>
      <c r="F480" s="126">
        <v>23310</v>
      </c>
      <c r="G480" s="154">
        <v>3967633</v>
      </c>
      <c r="H480" s="126">
        <v>7199</v>
      </c>
      <c r="I480" s="4">
        <v>108349</v>
      </c>
      <c r="J480" s="4">
        <v>16149619</v>
      </c>
      <c r="K480" s="558">
        <f t="shared" si="272"/>
        <v>80809.571428571435</v>
      </c>
      <c r="L480" s="541">
        <v>26296</v>
      </c>
      <c r="M480" s="7">
        <v>8009111</v>
      </c>
      <c r="N480" s="4">
        <v>8035407</v>
      </c>
      <c r="O480" s="520">
        <f t="shared" si="281"/>
        <v>0.37448717163676443</v>
      </c>
      <c r="P480" s="200">
        <f t="shared" si="258"/>
        <v>0.22577965648044745</v>
      </c>
      <c r="Q480" s="4"/>
      <c r="R480" s="4"/>
      <c r="S480" s="4">
        <v>291493</v>
      </c>
      <c r="T480" s="1">
        <v>-42</v>
      </c>
      <c r="U480" s="4">
        <v>701</v>
      </c>
      <c r="V480" s="512">
        <f>SUM(B467:B480)/POBLA!$B$25*100000</f>
        <v>626.72320620457913</v>
      </c>
      <c r="W480" s="512">
        <f>B480/POBLA!$B$25*100000</f>
        <v>53.906816240691612</v>
      </c>
      <c r="X480" s="513">
        <f t="shared" si="287"/>
        <v>0.70583038211549587</v>
      </c>
      <c r="Y480" s="519">
        <f t="shared" si="282"/>
        <v>2.4696991008360408E-2</v>
      </c>
      <c r="Z480" s="520">
        <f t="shared" si="288"/>
        <v>0.2265714634228265</v>
      </c>
      <c r="AA480" s="517">
        <f t="shared" si="306"/>
        <v>18309.142857142859</v>
      </c>
      <c r="AB480" s="542">
        <f t="shared" si="307"/>
        <v>522.57142857142856</v>
      </c>
      <c r="AC480" s="517">
        <f t="shared" si="225"/>
        <v>535.90032650001626</v>
      </c>
      <c r="AD480" s="517">
        <f t="shared" si="290"/>
        <v>13.328897928587708</v>
      </c>
      <c r="AE480" s="656">
        <f t="shared" si="304"/>
        <v>20314.857142857141</v>
      </c>
      <c r="AF480" s="520">
        <f t="shared" si="305"/>
        <v>0.82028109879419375</v>
      </c>
      <c r="AG480" s="200">
        <f t="shared" si="293"/>
        <v>-7.8291747430063952E-2</v>
      </c>
      <c r="AH480" s="200">
        <f t="shared" si="294"/>
        <v>2.8721614802355022E-2</v>
      </c>
      <c r="AI480" s="355">
        <f t="shared" si="295"/>
        <v>0.94840549649987038</v>
      </c>
      <c r="AJ480" s="657">
        <f t="shared" si="296"/>
        <v>-0.17971890120580625</v>
      </c>
      <c r="AK480" s="414">
        <f t="shared" si="297"/>
        <v>2.0586066980691417E-2</v>
      </c>
      <c r="AL480" s="28">
        <f t="shared" si="298"/>
        <v>2.2763420426051294E-2</v>
      </c>
      <c r="AM480" s="200">
        <f t="shared" si="299"/>
        <v>0.95731382978723401</v>
      </c>
      <c r="AN480" s="200">
        <f t="shared" si="300"/>
        <v>0.94840549649987038</v>
      </c>
      <c r="AO480" s="18">
        <f t="shared" si="301"/>
        <v>44390</v>
      </c>
      <c r="AP480" s="355">
        <f t="shared" si="277"/>
        <v>0.70583038211549576</v>
      </c>
      <c r="AQ480" s="7">
        <f t="shared" si="302"/>
        <v>33171.285714285717</v>
      </c>
      <c r="AR480" s="290">
        <f t="shared" si="308"/>
        <v>884.928</v>
      </c>
      <c r="AS480" s="42">
        <v>2059513</v>
      </c>
      <c r="AT480" s="42">
        <v>91438</v>
      </c>
      <c r="AU480" s="101">
        <v>15128961</v>
      </c>
      <c r="AV480" s="42">
        <v>45380161</v>
      </c>
      <c r="AW480" s="101">
        <f>AV480-AU480-AT480-AS480</f>
        <v>28100249</v>
      </c>
    </row>
    <row r="481" spans="1:44" s="552" customFormat="1" hidden="1" x14ac:dyDescent="0.25">
      <c r="A481" s="18">
        <v>44372</v>
      </c>
      <c r="B481" s="689">
        <v>24023</v>
      </c>
      <c r="C481" s="154">
        <f t="shared" ref="C481:C528" si="309">C480+B481</f>
        <v>4374587</v>
      </c>
      <c r="D481" s="329">
        <v>542</v>
      </c>
      <c r="E481" s="126">
        <f t="shared" ref="E481:E498" si="310">E480+D481</f>
        <v>91980</v>
      </c>
      <c r="F481" s="126">
        <f t="shared" ref="F481:F528" si="311">G481-G480</f>
        <v>22656</v>
      </c>
      <c r="G481" s="154">
        <v>3990289</v>
      </c>
      <c r="H481" s="126">
        <v>7057</v>
      </c>
      <c r="I481" s="4">
        <v>96037</v>
      </c>
      <c r="J481" s="4">
        <f t="shared" ref="J481:J509" si="312">J480+I481</f>
        <v>16245656</v>
      </c>
      <c r="K481" s="558">
        <f t="shared" ref="K481:K486" si="313">AVERAGE(I475:I481)</f>
        <v>80205.142857142855</v>
      </c>
      <c r="L481" s="541">
        <v>26550</v>
      </c>
      <c r="M481" s="7">
        <v>8043230</v>
      </c>
      <c r="N481" s="4">
        <v>8069780</v>
      </c>
      <c r="O481" s="520">
        <f t="shared" si="281"/>
        <v>0.41138091650113023</v>
      </c>
      <c r="P481" s="200">
        <f t="shared" si="258"/>
        <v>0.25014317398502661</v>
      </c>
      <c r="Q481" s="4"/>
      <c r="R481" s="4"/>
      <c r="S481" s="290">
        <f>C481-E481-G481</f>
        <v>292318</v>
      </c>
      <c r="T481" s="39">
        <f>H481-H480</f>
        <v>-142</v>
      </c>
      <c r="U481" s="91">
        <f>(C481-G481-E481)-(C480-E480-G480)</f>
        <v>825</v>
      </c>
      <c r="V481" s="512">
        <f>SUM(B468:B481)/POBLA!$B$25*100000</f>
        <v>620.30850882172945</v>
      </c>
      <c r="W481" s="512">
        <f>B481/POBLA!$B$25*100000</f>
        <v>52.937229552799515</v>
      </c>
      <c r="X481" s="513">
        <f t="shared" si="287"/>
        <v>0.7205530015255921</v>
      </c>
      <c r="Y481" s="519">
        <f t="shared" si="282"/>
        <v>2.4141517114922791E-2</v>
      </c>
      <c r="Z481" s="520">
        <f t="shared" si="288"/>
        <v>0.23479791107089676</v>
      </c>
      <c r="AA481" s="517">
        <f t="shared" si="306"/>
        <v>18832</v>
      </c>
      <c r="AB481" s="542">
        <f t="shared" si="307"/>
        <v>533.71428571428567</v>
      </c>
      <c r="AC481" s="517">
        <f t="shared" si="225"/>
        <v>524.88084164845077</v>
      </c>
      <c r="AD481" s="517">
        <f t="shared" si="290"/>
        <v>-8.8334440658348967</v>
      </c>
      <c r="AE481" s="656">
        <f t="shared" si="304"/>
        <v>20106.928571428572</v>
      </c>
      <c r="AF481" s="520">
        <f t="shared" si="305"/>
        <v>0.88074669446059084</v>
      </c>
      <c r="AG481" s="200">
        <f t="shared" si="293"/>
        <v>-5.7552495574992979E-2</v>
      </c>
      <c r="AH481" s="200">
        <f t="shared" si="294"/>
        <v>0.17973775966213235</v>
      </c>
      <c r="AI481" s="355">
        <f t="shared" si="295"/>
        <v>1.0286343612334801</v>
      </c>
      <c r="AJ481" s="657">
        <f t="shared" si="296"/>
        <v>-0.11925330553940916</v>
      </c>
      <c r="AK481" s="414">
        <f t="shared" si="297"/>
        <v>2.1705408341709125E-2</v>
      </c>
      <c r="AL481" s="28">
        <f t="shared" si="298"/>
        <v>2.2752112557992577E-2</v>
      </c>
      <c r="AM481" s="200">
        <f t="shared" si="299"/>
        <v>0.94509173697602789</v>
      </c>
      <c r="AN481" s="200">
        <f t="shared" si="300"/>
        <v>1.0286343612334801</v>
      </c>
      <c r="AO481" s="18">
        <f t="shared" si="301"/>
        <v>44391</v>
      </c>
      <c r="AP481" s="355">
        <f t="shared" si="277"/>
        <v>0.7205530015255921</v>
      </c>
      <c r="AQ481" s="7">
        <f t="shared" si="302"/>
        <v>33171.285714285717</v>
      </c>
      <c r="AR481" s="290">
        <f t="shared" si="308"/>
        <v>851.9</v>
      </c>
    </row>
    <row r="482" spans="1:44" s="552" customFormat="1" hidden="1" x14ac:dyDescent="0.25">
      <c r="A482" s="18">
        <v>44373</v>
      </c>
      <c r="B482" s="689">
        <v>18555</v>
      </c>
      <c r="C482" s="154">
        <f t="shared" si="309"/>
        <v>4393142</v>
      </c>
      <c r="D482" s="329">
        <v>338</v>
      </c>
      <c r="E482" s="126">
        <f t="shared" si="310"/>
        <v>92318</v>
      </c>
      <c r="F482" s="126">
        <f t="shared" si="311"/>
        <v>20057</v>
      </c>
      <c r="G482" s="154">
        <v>4010346</v>
      </c>
      <c r="H482" s="126">
        <v>6981.6666666666697</v>
      </c>
      <c r="I482" s="4">
        <v>92529</v>
      </c>
      <c r="J482" s="4">
        <f t="shared" si="312"/>
        <v>16338185</v>
      </c>
      <c r="K482" s="558">
        <f t="shared" si="313"/>
        <v>82408.71428571429</v>
      </c>
      <c r="L482" s="541">
        <v>26860</v>
      </c>
      <c r="M482" s="7">
        <v>8081062</v>
      </c>
      <c r="N482" s="4">
        <v>8107922</v>
      </c>
      <c r="O482" s="520">
        <f t="shared" si="281"/>
        <v>0.32726599290967778</v>
      </c>
      <c r="P482" s="200">
        <f t="shared" si="258"/>
        <v>0.2005317251888597</v>
      </c>
      <c r="Q482" s="4"/>
      <c r="R482" s="4"/>
      <c r="S482" s="4">
        <v>291493</v>
      </c>
      <c r="T482" s="1">
        <v>-42</v>
      </c>
      <c r="U482" s="4">
        <v>701</v>
      </c>
      <c r="V482" s="512">
        <f>SUM(B469:B482)/POBLA!$B$25*100000</f>
        <v>621.40590466393451</v>
      </c>
      <c r="W482" s="512">
        <f>B482/POBLA!$B$25*100000</f>
        <v>40.887911349631395</v>
      </c>
      <c r="X482" s="513">
        <f t="shared" si="287"/>
        <v>0.74427793203196757</v>
      </c>
      <c r="Y482" s="519">
        <f t="shared" si="282"/>
        <v>2.3951404207533868E-2</v>
      </c>
      <c r="Z482" s="520">
        <f t="shared" si="288"/>
        <v>0.23358833410474966</v>
      </c>
      <c r="AA482" s="517">
        <f t="shared" si="306"/>
        <v>19249.714285714286</v>
      </c>
      <c r="AB482" s="542">
        <f t="shared" si="307"/>
        <v>511.28571428571428</v>
      </c>
      <c r="AC482" s="517">
        <f t="shared" si="225"/>
        <v>508.86823555567332</v>
      </c>
      <c r="AD482" s="517">
        <f t="shared" si="290"/>
        <v>-2.4174787300409548</v>
      </c>
      <c r="AE482" s="656">
        <f t="shared" si="304"/>
        <v>20142.5</v>
      </c>
      <c r="AF482" s="520">
        <f t="shared" si="305"/>
        <v>0.91511541831072962</v>
      </c>
      <c r="AG482" s="200">
        <f t="shared" si="293"/>
        <v>-3.3283697422138547E-2</v>
      </c>
      <c r="AH482" s="200">
        <f t="shared" si="294"/>
        <v>0.18706416735973397</v>
      </c>
      <c r="AI482" s="355">
        <f t="shared" si="295"/>
        <v>0.97255434782608707</v>
      </c>
      <c r="AJ482" s="657">
        <f t="shared" si="296"/>
        <v>-8.4884581689270378E-2</v>
      </c>
      <c r="AK482" s="414">
        <f t="shared" si="297"/>
        <v>2.1208763207329142E-2</v>
      </c>
      <c r="AL482" s="28">
        <f t="shared" si="298"/>
        <v>2.3154212917054974E-2</v>
      </c>
      <c r="AM482" s="200">
        <f t="shared" si="299"/>
        <v>0.94525679212925395</v>
      </c>
      <c r="AN482" s="200">
        <f t="shared" si="300"/>
        <v>0.97255434782608707</v>
      </c>
      <c r="AO482" s="18">
        <f t="shared" si="301"/>
        <v>44392</v>
      </c>
      <c r="AP482" s="355">
        <f t="shared" si="277"/>
        <v>0.74427793203196757</v>
      </c>
      <c r="AQ482" s="7">
        <f t="shared" si="302"/>
        <v>33171.285714285717</v>
      </c>
      <c r="AR482" s="290">
        <f t="shared" si="308"/>
        <v>827.04399999999998</v>
      </c>
    </row>
    <row r="483" spans="1:44" hidden="1" x14ac:dyDescent="0.25">
      <c r="A483" s="18">
        <v>44374</v>
      </c>
      <c r="B483" s="689">
        <v>12105</v>
      </c>
      <c r="C483" s="154">
        <f t="shared" si="309"/>
        <v>4405247</v>
      </c>
      <c r="D483" s="329">
        <v>251</v>
      </c>
      <c r="E483" s="126">
        <f t="shared" si="310"/>
        <v>92569</v>
      </c>
      <c r="F483" s="126">
        <f t="shared" si="311"/>
        <v>17164</v>
      </c>
      <c r="G483" s="154">
        <v>4027510</v>
      </c>
      <c r="H483" s="126">
        <v>6953</v>
      </c>
      <c r="I483" s="4">
        <v>60331</v>
      </c>
      <c r="J483" s="4">
        <f t="shared" si="312"/>
        <v>16398516</v>
      </c>
      <c r="K483" s="558">
        <f t="shared" si="313"/>
        <v>83983.71428571429</v>
      </c>
      <c r="L483" s="541">
        <v>26993</v>
      </c>
      <c r="M483" s="7">
        <v>8105685</v>
      </c>
      <c r="N483" s="4">
        <v>8132678</v>
      </c>
      <c r="O483" s="520">
        <f t="shared" si="281"/>
        <v>0.32839586554895417</v>
      </c>
      <c r="P483" s="200">
        <f t="shared" si="258"/>
        <v>0.20064311879464952</v>
      </c>
      <c r="Q483" s="4"/>
      <c r="R483" s="4"/>
      <c r="S483" s="290">
        <f>C483-E483-G483</f>
        <v>285168</v>
      </c>
      <c r="T483" s="1">
        <v>-42</v>
      </c>
      <c r="U483" s="4">
        <v>701</v>
      </c>
      <c r="V483" s="512">
        <f>SUM(B470:B483)/POBLA!$B$25*100000</f>
        <v>619.33892213383729</v>
      </c>
      <c r="W483" s="512">
        <f>B483/POBLA!$B$25*100000</f>
        <v>26.674651947576827</v>
      </c>
      <c r="X483" s="513">
        <f t="shared" si="287"/>
        <v>0.75842258507586735</v>
      </c>
      <c r="Y483" s="519">
        <f t="shared" si="282"/>
        <v>2.4382118610783817E-2</v>
      </c>
      <c r="Z483" s="520">
        <f t="shared" si="288"/>
        <v>0.23211643073657137</v>
      </c>
      <c r="AA483" s="517">
        <f t="shared" si="306"/>
        <v>19494</v>
      </c>
      <c r="AB483" s="542">
        <f t="shared" si="307"/>
        <v>504.14285714285717</v>
      </c>
      <c r="AC483" s="517">
        <f t="shared" si="225"/>
        <v>498.88793221041152</v>
      </c>
      <c r="AD483" s="517">
        <f t="shared" si="290"/>
        <v>-5.2549249324456468</v>
      </c>
      <c r="AE483" s="656">
        <f t="shared" si="304"/>
        <v>20075.5</v>
      </c>
      <c r="AF483" s="520">
        <f t="shared" si="305"/>
        <v>0.94369947233383356</v>
      </c>
      <c r="AG483" s="200">
        <f t="shared" si="293"/>
        <v>-1.5014766074296637E-2</v>
      </c>
      <c r="AH483" s="200">
        <f t="shared" si="294"/>
        <v>0.16450216450216448</v>
      </c>
      <c r="AI483" s="355">
        <f t="shared" si="295"/>
        <v>0.9504443845946674</v>
      </c>
      <c r="AJ483" s="657">
        <f t="shared" si="296"/>
        <v>-5.6300527666166444E-2</v>
      </c>
      <c r="AK483" s="414">
        <f t="shared" si="297"/>
        <v>2.1024974977360472E-2</v>
      </c>
      <c r="AL483" s="28">
        <f t="shared" si="298"/>
        <v>2.4016026803447145E-2</v>
      </c>
      <c r="AM483" s="200">
        <f t="shared" si="299"/>
        <v>0.94393157751832746</v>
      </c>
      <c r="AN483" s="200">
        <f t="shared" si="300"/>
        <v>0.9504443845946674</v>
      </c>
      <c r="AO483" s="18">
        <f t="shared" si="301"/>
        <v>44393</v>
      </c>
      <c r="AP483" s="355">
        <f t="shared" si="277"/>
        <v>0.75842258507586735</v>
      </c>
      <c r="AQ483" s="7">
        <f t="shared" si="302"/>
        <v>33171.285714285717</v>
      </c>
      <c r="AR483" s="290">
        <f t="shared" si="308"/>
        <v>807.31999999999994</v>
      </c>
    </row>
    <row r="484" spans="1:44" hidden="1" x14ac:dyDescent="0.25">
      <c r="A484" s="18">
        <v>44375</v>
      </c>
      <c r="B484" s="689">
        <v>18389</v>
      </c>
      <c r="C484" s="154">
        <f t="shared" si="309"/>
        <v>4423636</v>
      </c>
      <c r="D484" s="329">
        <v>576</v>
      </c>
      <c r="E484" s="126">
        <f t="shared" si="310"/>
        <v>93145</v>
      </c>
      <c r="F484" s="126">
        <f t="shared" si="311"/>
        <v>18798</v>
      </c>
      <c r="G484" s="154">
        <v>4046308</v>
      </c>
      <c r="H484" s="126">
        <v>6869</v>
      </c>
      <c r="I484" s="4">
        <v>74540</v>
      </c>
      <c r="J484" s="4">
        <f t="shared" si="312"/>
        <v>16473056</v>
      </c>
      <c r="K484" s="558">
        <f t="shared" si="313"/>
        <v>88951.71428571429</v>
      </c>
      <c r="L484" s="541">
        <v>27319</v>
      </c>
      <c r="M484" s="7">
        <v>8146358</v>
      </c>
      <c r="N484" s="4">
        <v>8173677</v>
      </c>
      <c r="O484" s="520">
        <f t="shared" si="281"/>
        <v>0.30964167845355967</v>
      </c>
      <c r="P484" s="200">
        <f t="shared" si="258"/>
        <v>0.24669975851891601</v>
      </c>
      <c r="Q484" s="4"/>
      <c r="R484" s="4"/>
      <c r="S484" s="290">
        <f>C484-E484-G484</f>
        <v>284183</v>
      </c>
      <c r="T484" s="1">
        <v>-42</v>
      </c>
      <c r="U484" s="4">
        <v>701</v>
      </c>
      <c r="V484" s="512">
        <f>SUM(B471:B484)/POBLA!$B$25*100000</f>
        <v>612.94185359985829</v>
      </c>
      <c r="W484" s="512">
        <f>B484/POBLA!$B$25*100000</f>
        <v>40.522112735563013</v>
      </c>
      <c r="X484" s="513">
        <f t="shared" si="287"/>
        <v>0.76479386743946898</v>
      </c>
      <c r="Y484" s="519">
        <f t="shared" si="282"/>
        <v>2.4171044714145464E-2</v>
      </c>
      <c r="Z484" s="520">
        <f t="shared" si="288"/>
        <v>0.23486417992426067</v>
      </c>
      <c r="AA484" s="517">
        <f t="shared" si="306"/>
        <v>20891.571428571428</v>
      </c>
      <c r="AB484" s="542">
        <f t="shared" si="307"/>
        <v>522.42857142857144</v>
      </c>
      <c r="AC484" s="517">
        <f t="shared" si="225"/>
        <v>497.6434131009546</v>
      </c>
      <c r="AD484" s="517">
        <f t="shared" si="290"/>
        <v>-24.785158327616841</v>
      </c>
      <c r="AE484" s="656">
        <f t="shared" si="304"/>
        <v>19868.142857142859</v>
      </c>
      <c r="AF484" s="520">
        <f t="shared" si="305"/>
        <v>1.1086170430511018</v>
      </c>
      <c r="AG484" s="200">
        <f t="shared" si="293"/>
        <v>2.574255281518556E-2</v>
      </c>
      <c r="AH484" s="200">
        <f t="shared" si="294"/>
        <v>1.1367650476411804</v>
      </c>
      <c r="AI484" s="355">
        <f t="shared" si="295"/>
        <v>1.0526770293609673</v>
      </c>
      <c r="AJ484" s="657">
        <f t="shared" si="296"/>
        <v>0.10861704305110176</v>
      </c>
      <c r="AK484" s="414">
        <f t="shared" si="297"/>
        <v>2.2302724262217098E-2</v>
      </c>
      <c r="AL484" s="28">
        <f t="shared" si="298"/>
        <v>2.4793269109297567E-2</v>
      </c>
      <c r="AM484" s="200">
        <f t="shared" si="299"/>
        <v>0.93519400953029275</v>
      </c>
      <c r="AN484" s="200">
        <f t="shared" si="300"/>
        <v>1.0526770293609673</v>
      </c>
      <c r="AO484" s="18">
        <f t="shared" si="301"/>
        <v>44394</v>
      </c>
      <c r="AP484" s="355">
        <f t="shared" si="277"/>
        <v>0.76479386743946909</v>
      </c>
      <c r="AQ484" s="7">
        <f t="shared" si="302"/>
        <v>33171.285714285717</v>
      </c>
      <c r="AR484" s="290">
        <f t="shared" si="308"/>
        <v>783.4</v>
      </c>
    </row>
    <row r="485" spans="1:44" hidden="1" x14ac:dyDescent="0.25">
      <c r="A485" s="18">
        <v>44376</v>
      </c>
      <c r="B485" s="689">
        <v>24065</v>
      </c>
      <c r="C485" s="154">
        <f t="shared" si="309"/>
        <v>4447701</v>
      </c>
      <c r="D485" s="329">
        <v>526</v>
      </c>
      <c r="E485" s="126">
        <f t="shared" si="310"/>
        <v>93671</v>
      </c>
      <c r="F485" s="126">
        <f t="shared" si="311"/>
        <v>15937</v>
      </c>
      <c r="G485" s="154">
        <v>4062245</v>
      </c>
      <c r="H485" s="126">
        <v>6636</v>
      </c>
      <c r="I485" s="4">
        <v>91307</v>
      </c>
      <c r="J485" s="4">
        <f t="shared" si="312"/>
        <v>16564363</v>
      </c>
      <c r="K485" s="558">
        <f t="shared" si="313"/>
        <v>91258.142857142855</v>
      </c>
      <c r="L485" s="541"/>
      <c r="M485" s="7"/>
      <c r="N485" s="4"/>
      <c r="O485" s="520">
        <f t="shared" si="281"/>
        <v>-2.9529013160381132E-3</v>
      </c>
      <c r="P485" s="200">
        <f t="shared" si="258"/>
        <v>0.26356139178814331</v>
      </c>
      <c r="Q485" s="4"/>
      <c r="R485" s="4"/>
      <c r="S485" s="290">
        <f t="shared" ref="S485:S507" si="314">C485-E485-G485</f>
        <v>291785</v>
      </c>
      <c r="T485" s="1">
        <v>-42</v>
      </c>
      <c r="U485" s="4">
        <v>701</v>
      </c>
      <c r="V485" s="512">
        <f>SUM(B472:B485)/POBLA!$B$25*100000</f>
        <v>605.90133208209636</v>
      </c>
      <c r="W485" s="512">
        <f>B485/POBLA!$B$25*100000</f>
        <v>53.029781009371028</v>
      </c>
      <c r="X485" s="513">
        <f t="shared" si="287"/>
        <v>0.7732190110882079</v>
      </c>
      <c r="Y485" s="519">
        <f t="shared" si="282"/>
        <v>2.2742772932124681E-2</v>
      </c>
      <c r="Z485" s="520">
        <f t="shared" si="288"/>
        <v>0.23312048866089444</v>
      </c>
      <c r="AA485" s="517">
        <f t="shared" si="306"/>
        <v>21274.142857142859</v>
      </c>
      <c r="AB485" s="542">
        <f t="shared" si="307"/>
        <v>484.42857142857144</v>
      </c>
      <c r="AC485" s="517">
        <f t="shared" si="225"/>
        <v>486.27921414058875</v>
      </c>
      <c r="AD485" s="517">
        <f t="shared" si="290"/>
        <v>1.8506427120173043</v>
      </c>
      <c r="AE485" s="656">
        <f t="shared" si="304"/>
        <v>19639.928571428572</v>
      </c>
      <c r="AF485" s="520">
        <f t="shared" si="305"/>
        <v>1.1815217391304349</v>
      </c>
      <c r="AG485" s="200">
        <f t="shared" si="293"/>
        <v>4.174699741513499E-2</v>
      </c>
      <c r="AH485" s="200">
        <f t="shared" si="294"/>
        <v>0.12521625286388938</v>
      </c>
      <c r="AI485" s="355">
        <f t="shared" si="295"/>
        <v>0.92221920043513728</v>
      </c>
      <c r="AJ485" s="657">
        <f t="shared" si="296"/>
        <v>0.1815217391304349</v>
      </c>
      <c r="AK485" s="414">
        <f t="shared" si="297"/>
        <v>2.1181570596906781E-2</v>
      </c>
      <c r="AL485" s="28">
        <f t="shared" si="298"/>
        <v>2.3692215414935092E-2</v>
      </c>
      <c r="AM485" s="200">
        <f t="shared" si="299"/>
        <v>0.90581490581490587</v>
      </c>
      <c r="AN485" s="200">
        <f t="shared" si="300"/>
        <v>0.92221920043513728</v>
      </c>
      <c r="AO485" s="18">
        <f t="shared" si="301"/>
        <v>44395</v>
      </c>
      <c r="AP485" s="355">
        <f t="shared" ref="AP485:AP492" si="315">AE485/AE471</f>
        <v>0.7732190110882079</v>
      </c>
      <c r="AQ485" s="7">
        <f t="shared" si="302"/>
        <v>33171.285714285717</v>
      </c>
      <c r="AR485" s="290">
        <f t="shared" si="308"/>
        <v>766.52800000000002</v>
      </c>
    </row>
    <row r="486" spans="1:44" hidden="1" x14ac:dyDescent="0.25">
      <c r="A486" s="18">
        <v>44377</v>
      </c>
      <c r="B486" s="689">
        <v>22673</v>
      </c>
      <c r="C486" s="154">
        <f t="shared" si="309"/>
        <v>4470374</v>
      </c>
      <c r="D486" s="329">
        <v>638</v>
      </c>
      <c r="E486" s="126">
        <f t="shared" si="310"/>
        <v>94309</v>
      </c>
      <c r="F486" s="126">
        <f t="shared" si="311"/>
        <v>14676</v>
      </c>
      <c r="G486" s="154">
        <v>4076921</v>
      </c>
      <c r="H486" s="126">
        <v>6308</v>
      </c>
      <c r="I486" s="4">
        <v>101508</v>
      </c>
      <c r="J486" s="4">
        <f t="shared" si="312"/>
        <v>16665871</v>
      </c>
      <c r="K486" s="558">
        <f t="shared" si="313"/>
        <v>89228.71428571429</v>
      </c>
      <c r="L486" s="541">
        <v>27481</v>
      </c>
      <c r="M486" s="7">
        <v>8199508</v>
      </c>
      <c r="N486" s="4">
        <v>8226989</v>
      </c>
      <c r="O486" s="520">
        <f t="shared" si="281"/>
        <v>2.7483550235149028E-3</v>
      </c>
      <c r="P486" s="200">
        <f t="shared" si="258"/>
        <v>0.22336170548134138</v>
      </c>
      <c r="Q486" s="4"/>
      <c r="R486" s="4"/>
      <c r="S486" s="290">
        <f t="shared" si="314"/>
        <v>299144</v>
      </c>
      <c r="T486" s="1">
        <v>-42</v>
      </c>
      <c r="U486" s="4">
        <v>701</v>
      </c>
      <c r="V486" s="512">
        <f>SUM(B473:B486)/POBLA!$B$25*100000</f>
        <v>598.8387745032461</v>
      </c>
      <c r="W486" s="512">
        <f>B486/POBLA!$B$25*100000</f>
        <v>49.962361305857868</v>
      </c>
      <c r="X486" s="513">
        <f t="shared" si="287"/>
        <v>0.78436432067978201</v>
      </c>
      <c r="Y486" s="519">
        <f t="shared" si="282"/>
        <v>2.10868344342524E-2</v>
      </c>
      <c r="Z486" s="520">
        <f t="shared" si="288"/>
        <v>0.23098426035180861</v>
      </c>
      <c r="AA486" s="517">
        <f t="shared" si="306"/>
        <v>20610.428571428572</v>
      </c>
      <c r="AB486" s="542">
        <f t="shared" si="307"/>
        <v>474.71428571428572</v>
      </c>
      <c r="AC486" s="517">
        <f t="shared" si="225"/>
        <v>475.37895185969262</v>
      </c>
      <c r="AD486" s="517">
        <f t="shared" si="290"/>
        <v>0.66466614540689761</v>
      </c>
      <c r="AE486" s="656">
        <f t="shared" si="304"/>
        <v>19411</v>
      </c>
      <c r="AF486" s="520">
        <f t="shared" si="305"/>
        <v>1.1317215898839827</v>
      </c>
      <c r="AG486" s="200">
        <f t="shared" si="293"/>
        <v>2.879585653314809E-2</v>
      </c>
      <c r="AH486" s="200">
        <f t="shared" si="294"/>
        <v>-0.17006479007284303</v>
      </c>
      <c r="AI486" s="355">
        <f t="shared" si="295"/>
        <v>0.88969210174029456</v>
      </c>
      <c r="AJ486" s="657">
        <f t="shared" si="296"/>
        <v>0.13172158988398275</v>
      </c>
      <c r="AK486" s="414">
        <f t="shared" si="297"/>
        <v>2.1268016691840967E-2</v>
      </c>
      <c r="AL486" s="28">
        <f t="shared" si="298"/>
        <v>2.1694047893359381E-2</v>
      </c>
      <c r="AM486" s="200">
        <f t="shared" si="299"/>
        <v>0.87115039359204527</v>
      </c>
      <c r="AN486" s="200">
        <f t="shared" si="300"/>
        <v>0.88969210174029456</v>
      </c>
      <c r="AO486" s="18">
        <f t="shared" si="301"/>
        <v>44396</v>
      </c>
      <c r="AP486" s="355">
        <f t="shared" si="315"/>
        <v>0.78436432067978201</v>
      </c>
      <c r="AQ486" s="7">
        <f t="shared" si="302"/>
        <v>33171.285714285717</v>
      </c>
      <c r="AR486" s="290">
        <f t="shared" si="308"/>
        <v>745.48799999999994</v>
      </c>
    </row>
    <row r="487" spans="1:44" hidden="1" x14ac:dyDescent="0.25">
      <c r="A487" s="18">
        <v>44378</v>
      </c>
      <c r="B487" s="689">
        <v>21177</v>
      </c>
      <c r="C487" s="154">
        <f t="shared" si="309"/>
        <v>4491551</v>
      </c>
      <c r="D487" s="329">
        <v>469</v>
      </c>
      <c r="E487" s="126">
        <f t="shared" si="310"/>
        <v>94778</v>
      </c>
      <c r="F487" s="126">
        <f t="shared" si="311"/>
        <v>15132</v>
      </c>
      <c r="G487" s="154">
        <v>4092053</v>
      </c>
      <c r="H487" s="126">
        <v>6046</v>
      </c>
      <c r="I487" s="4">
        <v>103136</v>
      </c>
      <c r="J487" s="4">
        <f t="shared" si="312"/>
        <v>16769007</v>
      </c>
      <c r="K487" s="558">
        <f t="shared" ref="K487:K492" si="316">AVERAGE(I481:I487)</f>
        <v>88484</v>
      </c>
      <c r="L487" s="541">
        <v>27698</v>
      </c>
      <c r="M487" s="7">
        <v>8239786</v>
      </c>
      <c r="N487" s="4">
        <v>8267484</v>
      </c>
      <c r="O487" s="520">
        <f t="shared" si="281"/>
        <v>0.34338111298482293</v>
      </c>
      <c r="P487" s="200">
        <f t="shared" si="258"/>
        <v>0.20533082531802668</v>
      </c>
      <c r="Q487" s="4"/>
      <c r="R487" s="4"/>
      <c r="S487" s="290">
        <f t="shared" si="314"/>
        <v>304720</v>
      </c>
      <c r="T487" s="1">
        <v>-42</v>
      </c>
      <c r="U487" s="4">
        <v>701</v>
      </c>
      <c r="V487" s="512">
        <f>SUM(B474:B487)/POBLA!$B$25*100000</f>
        <v>593.10278780192084</v>
      </c>
      <c r="W487" s="512">
        <f>B487/POBLA!$B$25*100000</f>
        <v>46.66576656702474</v>
      </c>
      <c r="X487" s="513">
        <f t="shared" si="287"/>
        <v>0.79641547789189626</v>
      </c>
      <c r="Y487" s="519">
        <f t="shared" si="282"/>
        <v>1.9841165660278288E-2</v>
      </c>
      <c r="Z487" s="520">
        <f t="shared" si="288"/>
        <v>0.2276230730979612</v>
      </c>
      <c r="AA487" s="517">
        <f t="shared" ref="AA487:AA492" si="317">AVERAGE(B481:B487)</f>
        <v>20141</v>
      </c>
      <c r="AB487" s="542">
        <f t="shared" si="307"/>
        <v>477.14285714285717</v>
      </c>
      <c r="AC487" s="517">
        <f t="shared" si="225"/>
        <v>464.13615289882523</v>
      </c>
      <c r="AD487" s="517">
        <f t="shared" si="290"/>
        <v>-13.006704244031937</v>
      </c>
      <c r="AE487" s="656">
        <f t="shared" si="304"/>
        <v>19225.071428571428</v>
      </c>
      <c r="AF487" s="520">
        <f t="shared" si="305"/>
        <v>1.1000514965200836</v>
      </c>
      <c r="AG487" s="200">
        <f t="shared" si="293"/>
        <v>4.5376732888954496E-2</v>
      </c>
      <c r="AH487" s="200">
        <f t="shared" si="294"/>
        <v>-0.13432530760740713</v>
      </c>
      <c r="AI487" s="355">
        <f t="shared" si="295"/>
        <v>0.91306724986331333</v>
      </c>
      <c r="AJ487" s="657">
        <f t="shared" si="296"/>
        <v>0.1000514965200836</v>
      </c>
      <c r="AK487" s="414">
        <f t="shared" si="297"/>
        <v>2.2315314051298499E-2</v>
      </c>
      <c r="AL487" s="28">
        <f t="shared" si="298"/>
        <v>2.0741492934650232E-2</v>
      </c>
      <c r="AM487" s="200">
        <f t="shared" si="299"/>
        <v>0.83983886650923745</v>
      </c>
      <c r="AN487" s="200">
        <f t="shared" si="300"/>
        <v>0.91306724986331333</v>
      </c>
      <c r="AO487" s="18">
        <f t="shared" si="301"/>
        <v>44397</v>
      </c>
      <c r="AP487" s="355">
        <f t="shared" si="315"/>
        <v>0.79641547789189615</v>
      </c>
      <c r="AQ487" s="7">
        <f t="shared" si="302"/>
        <v>33171.285714285717</v>
      </c>
      <c r="AR487" s="290">
        <f t="shared" si="308"/>
        <v>726.83600000000001</v>
      </c>
    </row>
    <row r="488" spans="1:44" hidden="1" x14ac:dyDescent="0.25">
      <c r="A488" s="18">
        <v>44379</v>
      </c>
      <c r="B488" s="689">
        <v>20888</v>
      </c>
      <c r="C488" s="154">
        <f t="shared" si="309"/>
        <v>4512439</v>
      </c>
      <c r="D488" s="329">
        <v>614</v>
      </c>
      <c r="E488" s="126">
        <f t="shared" si="310"/>
        <v>95392</v>
      </c>
      <c r="F488" s="126">
        <f t="shared" si="311"/>
        <v>22043</v>
      </c>
      <c r="G488" s="154">
        <v>4114096</v>
      </c>
      <c r="H488" s="126">
        <v>5784</v>
      </c>
      <c r="I488" s="4">
        <v>98036</v>
      </c>
      <c r="J488" s="4">
        <f t="shared" si="312"/>
        <v>16867043</v>
      </c>
      <c r="K488" s="558">
        <f t="shared" si="316"/>
        <v>88769.571428571435</v>
      </c>
      <c r="L488" s="541">
        <v>27913</v>
      </c>
      <c r="M488" s="7">
        <v>8276897</v>
      </c>
      <c r="N488" s="4">
        <v>8304810</v>
      </c>
      <c r="O488" s="520">
        <f t="shared" si="281"/>
        <v>0.35881403098910913</v>
      </c>
      <c r="P488" s="200">
        <f t="shared" si="258"/>
        <v>0.21306458851850341</v>
      </c>
      <c r="Q488" s="4"/>
      <c r="R488" s="4"/>
      <c r="S488" s="290">
        <f t="shared" si="314"/>
        <v>302951</v>
      </c>
      <c r="T488" s="1">
        <v>-42</v>
      </c>
      <c r="U488" s="4">
        <v>701</v>
      </c>
      <c r="V488" s="512">
        <f>SUM(B475:B488)/POBLA!$B$25*100000</f>
        <v>594.25968100906471</v>
      </c>
      <c r="W488" s="512">
        <f>B488/POBLA!$B$25*100000</f>
        <v>46.028924401568339</v>
      </c>
      <c r="X488" s="513">
        <f t="shared" si="287"/>
        <v>0.82377522406114256</v>
      </c>
      <c r="Y488" s="519">
        <f t="shared" si="282"/>
        <v>1.9092196427805158E-2</v>
      </c>
      <c r="Z488" s="520">
        <f t="shared" si="288"/>
        <v>0.22184564530638717</v>
      </c>
      <c r="AA488" s="517">
        <f t="shared" si="317"/>
        <v>19693.142857142859</v>
      </c>
      <c r="AB488" s="542">
        <f>AVERAGE(D482:D488)</f>
        <v>487.42857142857144</v>
      </c>
      <c r="AC488" s="517">
        <f t="shared" si="225"/>
        <v>444.82089164874054</v>
      </c>
      <c r="AD488" s="517">
        <f t="shared" si="290"/>
        <v>-42.607679779830903</v>
      </c>
      <c r="AE488" s="656">
        <f>AVERAGE(B475:B488)</f>
        <v>19262.571428571428</v>
      </c>
      <c r="AF488" s="520">
        <f>AA488/AA481</f>
        <v>1.0457276368491322</v>
      </c>
      <c r="AG488" s="200">
        <f t="shared" si="293"/>
        <v>3.6374769942323137E-2</v>
      </c>
      <c r="AH488" s="200">
        <f t="shared" si="294"/>
        <v>-0.13049993755983846</v>
      </c>
      <c r="AI488" s="355">
        <f t="shared" si="295"/>
        <v>0.91327623126338342</v>
      </c>
      <c r="AJ488" s="657">
        <f t="shared" si="296"/>
        <v>4.5727636849132169E-2</v>
      </c>
      <c r="AK488" s="414">
        <f t="shared" si="297"/>
        <v>2.3171949173837161E-2</v>
      </c>
      <c r="AL488" s="28">
        <f t="shared" si="298"/>
        <v>1.9786670680560212E-2</v>
      </c>
      <c r="AM488" s="200">
        <f t="shared" si="299"/>
        <v>0.81961173303103296</v>
      </c>
      <c r="AN488" s="200">
        <f t="shared" si="300"/>
        <v>0.91327623126338342</v>
      </c>
      <c r="AO488" s="18">
        <f t="shared" si="301"/>
        <v>44398</v>
      </c>
      <c r="AP488" s="355">
        <f t="shared" si="315"/>
        <v>0.82377522406114256</v>
      </c>
      <c r="AQ488" s="7">
        <f t="shared" si="302"/>
        <v>33171.285714285717</v>
      </c>
      <c r="AR488" s="290">
        <f t="shared" si="308"/>
        <v>710.77200000000005</v>
      </c>
    </row>
    <row r="489" spans="1:44" hidden="1" x14ac:dyDescent="0.25">
      <c r="A489" s="18">
        <v>44380</v>
      </c>
      <c r="B489" s="689">
        <v>14034</v>
      </c>
      <c r="C489" s="154">
        <f t="shared" si="309"/>
        <v>4526473</v>
      </c>
      <c r="D489" s="329">
        <v>215</v>
      </c>
      <c r="E489" s="126">
        <f t="shared" si="310"/>
        <v>95607</v>
      </c>
      <c r="F489" s="126">
        <f t="shared" si="311"/>
        <v>22728</v>
      </c>
      <c r="G489" s="154">
        <v>4136824</v>
      </c>
      <c r="H489" s="126">
        <v>5667</v>
      </c>
      <c r="I489" s="4">
        <v>86265</v>
      </c>
      <c r="J489" s="4">
        <f t="shared" si="312"/>
        <v>16953308</v>
      </c>
      <c r="K489" s="558">
        <f t="shared" si="316"/>
        <v>87874.71428571429</v>
      </c>
      <c r="L489" s="541"/>
      <c r="M489" s="7"/>
      <c r="N489" s="4"/>
      <c r="O489" s="520">
        <f t="shared" si="281"/>
        <v>-1.6927245411044757E-3</v>
      </c>
      <c r="P489" s="200">
        <f t="shared" si="258"/>
        <v>0.16268475047817771</v>
      </c>
      <c r="Q489" s="4"/>
      <c r="R489" s="4"/>
      <c r="S489" s="290">
        <f t="shared" si="314"/>
        <v>294042</v>
      </c>
      <c r="T489" s="1">
        <v>-42</v>
      </c>
      <c r="U489" s="4">
        <v>701</v>
      </c>
      <c r="V489" s="512">
        <f>SUM(B476:B489)/POBLA!$B$25*100000</f>
        <v>590.74052205323824</v>
      </c>
      <c r="W489" s="512">
        <f>B489/POBLA!$B$25*100000</f>
        <v>30.925408131540127</v>
      </c>
      <c r="X489" s="513">
        <f t="shared" si="287"/>
        <v>0.83939944265272259</v>
      </c>
      <c r="Y489" s="519">
        <f t="shared" si="282"/>
        <v>1.9272756953088336E-2</v>
      </c>
      <c r="Z489" s="520">
        <f t="shared" si="288"/>
        <v>0.21675502297914401</v>
      </c>
      <c r="AA489" s="517">
        <f t="shared" si="317"/>
        <v>19047.285714285714</v>
      </c>
      <c r="AB489" s="542">
        <f>AVERAGE(D483:D489)</f>
        <v>469.85714285714283</v>
      </c>
      <c r="AC489" s="517">
        <f t="shared" si="225"/>
        <v>438.44979116540179</v>
      </c>
      <c r="AD489" s="517">
        <f t="shared" si="290"/>
        <v>-31.407351691741042</v>
      </c>
      <c r="AE489" s="656">
        <f>AVERAGE(B476:B489)</f>
        <v>19148.5</v>
      </c>
      <c r="AF489" s="520">
        <f>AA489/AA482</f>
        <v>0.98948407397512383</v>
      </c>
      <c r="AG489" s="200">
        <f t="shared" si="293"/>
        <v>8.7446353771789553E-3</v>
      </c>
      <c r="AH489" s="200">
        <f t="shared" si="294"/>
        <v>-0.24365400161681483</v>
      </c>
      <c r="AI489" s="355">
        <f t="shared" si="295"/>
        <v>0.91897177982676725</v>
      </c>
      <c r="AJ489" s="657">
        <f t="shared" si="296"/>
        <v>-1.0515926024876165E-2</v>
      </c>
      <c r="AK489" s="414">
        <f t="shared" si="297"/>
        <v>2.2745662141508586E-2</v>
      </c>
      <c r="AL489" s="28">
        <f t="shared" si="298"/>
        <v>1.9441290185356081E-2</v>
      </c>
      <c r="AM489" s="200">
        <f t="shared" si="299"/>
        <v>0.81169730245882032</v>
      </c>
      <c r="AN489" s="200">
        <f t="shared" si="300"/>
        <v>0.91897177982676725</v>
      </c>
      <c r="AO489" s="18">
        <f t="shared" si="301"/>
        <v>44399</v>
      </c>
      <c r="AP489" s="355">
        <f t="shared" si="315"/>
        <v>0.83939944265272248</v>
      </c>
      <c r="AQ489" s="7">
        <f t="shared" si="302"/>
        <v>33171.285714285717</v>
      </c>
      <c r="AR489" s="290">
        <f t="shared" si="308"/>
        <v>688.49199999999996</v>
      </c>
    </row>
    <row r="490" spans="1:44" hidden="1" x14ac:dyDescent="0.25">
      <c r="A490" s="655">
        <v>44381</v>
      </c>
      <c r="B490" s="689">
        <v>9000</v>
      </c>
      <c r="C490" s="154">
        <f t="shared" si="309"/>
        <v>4535473</v>
      </c>
      <c r="D490" s="329">
        <v>310</v>
      </c>
      <c r="E490" s="126">
        <f t="shared" si="310"/>
        <v>95917</v>
      </c>
      <c r="F490" s="126">
        <f t="shared" si="311"/>
        <v>19182</v>
      </c>
      <c r="G490" s="154">
        <v>4156006</v>
      </c>
      <c r="H490" s="126">
        <v>5671</v>
      </c>
      <c r="I490" s="4">
        <v>46779</v>
      </c>
      <c r="J490" s="4">
        <f t="shared" si="312"/>
        <v>17000087</v>
      </c>
      <c r="K490" s="558">
        <f t="shared" si="316"/>
        <v>85938.71428571429</v>
      </c>
      <c r="L490" s="541">
        <v>28220</v>
      </c>
      <c r="M490" s="7">
        <v>8333923</v>
      </c>
      <c r="N490" s="4">
        <v>8362143</v>
      </c>
      <c r="O490" s="520">
        <f t="shared" si="281"/>
        <v>1.0751219994688897E-3</v>
      </c>
      <c r="P490" s="200">
        <f t="shared" si="258"/>
        <v>0.19239402295902008</v>
      </c>
      <c r="Q490" s="4"/>
      <c r="R490" s="4"/>
      <c r="S490" s="290">
        <f t="shared" si="314"/>
        <v>283550</v>
      </c>
      <c r="T490" s="1">
        <v>-42</v>
      </c>
      <c r="U490" s="4">
        <v>701</v>
      </c>
      <c r="V490" s="512">
        <f>SUM(B477:B490)/POBLA!$B$25*100000</f>
        <v>587.66649153139849</v>
      </c>
      <c r="W490" s="512">
        <f>B490/POBLA!$B$25*100000</f>
        <v>19.832454979611025</v>
      </c>
      <c r="X490" s="513">
        <f t="shared" si="287"/>
        <v>0.85107387904898679</v>
      </c>
      <c r="Y490" s="519">
        <f t="shared" si="282"/>
        <v>0.02</v>
      </c>
      <c r="Z490" s="520">
        <f t="shared" si="288"/>
        <v>0.2164765256303911</v>
      </c>
      <c r="AA490" s="517">
        <f t="shared" si="317"/>
        <v>18603.714285714286</v>
      </c>
      <c r="AB490" s="542">
        <f>AVERAGE(D484:D490)</f>
        <v>478.28571428571428</v>
      </c>
      <c r="AC490" s="517">
        <f t="shared" si="225"/>
        <v>430.97306449206087</v>
      </c>
      <c r="AD490" s="517">
        <f t="shared" si="290"/>
        <v>-47.312649793653407</v>
      </c>
      <c r="AE490" s="545">
        <f>AVERAGE(B477:B490)</f>
        <v>19048.857142857141</v>
      </c>
      <c r="AF490" s="520">
        <f>AA490/AA483</f>
        <v>0.95433027011974381</v>
      </c>
      <c r="AG490" s="200">
        <f t="shared" si="293"/>
        <v>-5.6738483981372267E-3</v>
      </c>
      <c r="AH490" s="200">
        <f t="shared" si="294"/>
        <v>-0.25650557620817849</v>
      </c>
      <c r="AI490" s="355">
        <f t="shared" si="295"/>
        <v>0.94871068291300642</v>
      </c>
      <c r="AJ490" s="657">
        <f t="shared" si="296"/>
        <v>-4.5669729880256194E-2</v>
      </c>
      <c r="AK490" s="414">
        <f t="shared" si="297"/>
        <v>2.5380364331036364E-2</v>
      </c>
      <c r="AL490" s="28">
        <f t="shared" si="298"/>
        <v>1.9886523032037254E-2</v>
      </c>
      <c r="AM490" s="200">
        <f t="shared" si="299"/>
        <v>0.81561915719833167</v>
      </c>
      <c r="AN490" s="200">
        <f t="shared" si="300"/>
        <v>0.94871068291300642</v>
      </c>
      <c r="AO490" s="18">
        <f t="shared" si="301"/>
        <v>44400</v>
      </c>
      <c r="AP490" s="355">
        <f t="shared" si="315"/>
        <v>0.85107387904898668</v>
      </c>
      <c r="AQ490" s="7">
        <f t="shared" si="302"/>
        <v>33171.285714285717</v>
      </c>
      <c r="AR490" s="290">
        <f t="shared" si="308"/>
        <v>675.00400000000002</v>
      </c>
    </row>
    <row r="491" spans="1:44" hidden="1" x14ac:dyDescent="0.25">
      <c r="A491" s="18">
        <v>44382</v>
      </c>
      <c r="B491" s="689">
        <v>17277</v>
      </c>
      <c r="C491" s="154">
        <f t="shared" si="309"/>
        <v>4552750</v>
      </c>
      <c r="D491" s="329">
        <v>621</v>
      </c>
      <c r="E491" s="126">
        <f t="shared" si="310"/>
        <v>96538</v>
      </c>
      <c r="F491" s="126">
        <f t="shared" si="311"/>
        <v>19850</v>
      </c>
      <c r="G491" s="571">
        <v>4175856</v>
      </c>
      <c r="H491" s="126">
        <v>5607</v>
      </c>
      <c r="I491" s="4">
        <v>73339</v>
      </c>
      <c r="J491" s="4">
        <f t="shared" si="312"/>
        <v>17073426</v>
      </c>
      <c r="K491" s="558">
        <f t="shared" si="316"/>
        <v>85767.142857142855</v>
      </c>
      <c r="L491" s="541">
        <v>28418</v>
      </c>
      <c r="M491" s="7">
        <v>8358830</v>
      </c>
      <c r="N491" s="4">
        <v>8387248</v>
      </c>
      <c r="O491" s="520">
        <f t="shared" si="281"/>
        <v>0.40764947383323108</v>
      </c>
      <c r="P491" s="200">
        <f t="shared" si="258"/>
        <v>0.23557725084879805</v>
      </c>
      <c r="Q491" s="4"/>
      <c r="R491" s="4"/>
      <c r="S491" s="290">
        <f t="shared" si="314"/>
        <v>280356</v>
      </c>
      <c r="T491" s="1">
        <v>-42</v>
      </c>
      <c r="U491" s="4">
        <v>701</v>
      </c>
      <c r="V491" s="512">
        <f>SUM(B478:B491)/POBLA!$B$25*100000</f>
        <v>606.77396010119924</v>
      </c>
      <c r="W491" s="512">
        <f>B491/POBLA!$B$25*100000</f>
        <v>38.071702742526632</v>
      </c>
      <c r="X491" s="513">
        <f t="shared" si="287"/>
        <v>0.91858180350345775</v>
      </c>
      <c r="Y491" s="519">
        <f t="shared" si="282"/>
        <v>1.9999571972777467E-2</v>
      </c>
      <c r="Z491" s="520">
        <f t="shared" si="288"/>
        <v>0.21505738128154306</v>
      </c>
      <c r="AA491" s="517">
        <f t="shared" si="317"/>
        <v>18444.857142857141</v>
      </c>
      <c r="AB491" s="542">
        <f>AVERAGE(D485:D491)</f>
        <v>484.71428571428572</v>
      </c>
      <c r="AC491" s="517">
        <f t="shared" si="225"/>
        <v>394.34551426744554</v>
      </c>
      <c r="AD491" s="517">
        <f t="shared" si="290"/>
        <v>-90.368771446840185</v>
      </c>
      <c r="AE491" s="656">
        <f>AVERAGE(B478:B491)</f>
        <v>19668.214285714286</v>
      </c>
      <c r="AF491" s="520">
        <f>AA491/AA484</f>
        <v>0.88288510062157666</v>
      </c>
      <c r="AG491" s="200">
        <f t="shared" si="293"/>
        <v>-1.3466674642747756E-2</v>
      </c>
      <c r="AH491" s="200">
        <f t="shared" si="294"/>
        <v>-6.0470933710370378E-2</v>
      </c>
      <c r="AI491" s="355">
        <f t="shared" si="295"/>
        <v>0.92780968006562758</v>
      </c>
      <c r="AJ491" s="657">
        <f t="shared" si="296"/>
        <v>-0.11711489937842334</v>
      </c>
      <c r="AK491" s="414">
        <f t="shared" si="297"/>
        <v>2.6920025388765471E-2</v>
      </c>
      <c r="AL491" s="28">
        <f t="shared" si="298"/>
        <v>1.9730244244025856E-2</v>
      </c>
      <c r="AM491" s="200">
        <f t="shared" si="299"/>
        <v>0.81627602271072941</v>
      </c>
      <c r="AN491" s="200">
        <f t="shared" si="300"/>
        <v>0.92780968006562758</v>
      </c>
      <c r="AO491" s="18">
        <f t="shared" si="301"/>
        <v>44401</v>
      </c>
      <c r="AP491" s="355">
        <f t="shared" si="315"/>
        <v>0.91858180350345775</v>
      </c>
      <c r="AQ491" s="7">
        <f t="shared" si="302"/>
        <v>33171.285714285717</v>
      </c>
      <c r="AR491" s="290">
        <f t="shared" si="308"/>
        <v>671.39200000000005</v>
      </c>
    </row>
    <row r="492" spans="1:44" hidden="1" x14ac:dyDescent="0.25">
      <c r="A492" s="18">
        <v>44383</v>
      </c>
      <c r="B492" s="689">
        <v>21590</v>
      </c>
      <c r="C492" s="154">
        <f t="shared" si="309"/>
        <v>4574340</v>
      </c>
      <c r="D492" s="329">
        <v>469</v>
      </c>
      <c r="E492" s="126">
        <f t="shared" si="310"/>
        <v>97007</v>
      </c>
      <c r="F492" s="126">
        <f t="shared" si="311"/>
        <v>16690</v>
      </c>
      <c r="G492" s="154">
        <v>4192546</v>
      </c>
      <c r="H492" s="126">
        <v>5642</v>
      </c>
      <c r="I492" s="4">
        <v>88431</v>
      </c>
      <c r="J492" s="4">
        <f t="shared" si="312"/>
        <v>17161857</v>
      </c>
      <c r="K492" s="558">
        <f t="shared" si="316"/>
        <v>85356.28571428571</v>
      </c>
      <c r="L492" s="541">
        <v>28604</v>
      </c>
      <c r="M492" s="7">
        <v>8391464</v>
      </c>
      <c r="N492" s="4">
        <v>8420068</v>
      </c>
      <c r="O492" s="520">
        <f t="shared" si="281"/>
        <v>0.39680205844513877</v>
      </c>
      <c r="P492" s="200">
        <f t="shared" si="258"/>
        <v>0.24414515271793827</v>
      </c>
      <c r="Q492" s="4"/>
      <c r="R492" s="4"/>
      <c r="S492" s="290">
        <f t="shared" si="314"/>
        <v>284787</v>
      </c>
      <c r="T492" s="1">
        <v>-42</v>
      </c>
      <c r="U492" s="4">
        <v>701</v>
      </c>
      <c r="V492" s="512">
        <f>SUM(B479:B492)/POBLA!$B$25*100000</f>
        <v>607.22129214129495</v>
      </c>
      <c r="W492" s="512">
        <f>B492/POBLA!$B$25*100000</f>
        <v>47.575855889978001</v>
      </c>
      <c r="X492" s="513">
        <f t="shared" si="287"/>
        <v>0.95016395929809561</v>
      </c>
      <c r="Y492" s="519">
        <f t="shared" si="282"/>
        <v>1.981129756625127E-2</v>
      </c>
      <c r="Z492" s="520">
        <f t="shared" si="288"/>
        <v>0.21195024552547809</v>
      </c>
      <c r="AA492" s="517">
        <f t="shared" si="317"/>
        <v>18091.285714285714</v>
      </c>
      <c r="AB492" s="542">
        <f>AVERAGE(D486:D492)</f>
        <v>476.57142857142856</v>
      </c>
      <c r="AC492" s="517">
        <f t="shared" si="225"/>
        <v>378.23132359684342</v>
      </c>
      <c r="AD492" s="517">
        <f t="shared" si="290"/>
        <v>-98.340104974585131</v>
      </c>
      <c r="AE492" s="656">
        <f>AVERAGE(B479:B492)</f>
        <v>19682.714285714286</v>
      </c>
      <c r="AF492" s="520">
        <f>AA492/AA485</f>
        <v>0.85038846621317621</v>
      </c>
      <c r="AG492" s="200">
        <f t="shared" si="293"/>
        <v>-2.3983412444094077E-2</v>
      </c>
      <c r="AH492" s="200">
        <f t="shared" si="294"/>
        <v>-0.10284645751090793</v>
      </c>
      <c r="AI492" s="355">
        <f t="shared" si="295"/>
        <v>0.98378059569448528</v>
      </c>
      <c r="AJ492" s="657">
        <f t="shared" si="296"/>
        <v>-0.14961153378682379</v>
      </c>
      <c r="AK492" s="414">
        <f t="shared" si="297"/>
        <v>2.616860551768499E-2</v>
      </c>
      <c r="AL492" s="28">
        <f t="shared" si="298"/>
        <v>1.9336155045667186E-2</v>
      </c>
      <c r="AM492" s="200">
        <f t="shared" si="299"/>
        <v>0.85021097046413507</v>
      </c>
      <c r="AN492" s="200">
        <f t="shared" si="300"/>
        <v>0.98378059569448528</v>
      </c>
      <c r="AO492" s="18">
        <f t="shared" si="301"/>
        <v>44402</v>
      </c>
      <c r="AP492" s="355">
        <f t="shared" si="315"/>
        <v>0.95016395929809572</v>
      </c>
      <c r="AQ492" s="7">
        <f t="shared" si="302"/>
        <v>33171.285714285717</v>
      </c>
      <c r="AR492" s="290">
        <f t="shared" si="308"/>
        <v>655.88400000000001</v>
      </c>
    </row>
    <row r="493" spans="1:44" hidden="1" x14ac:dyDescent="0.25">
      <c r="A493" s="638">
        <v>44384</v>
      </c>
      <c r="B493" s="690">
        <v>19423</v>
      </c>
      <c r="C493" s="157">
        <f t="shared" si="309"/>
        <v>4593763</v>
      </c>
      <c r="D493" s="679">
        <v>457</v>
      </c>
      <c r="E493" s="142">
        <f t="shared" si="310"/>
        <v>97464</v>
      </c>
      <c r="F493" s="142">
        <f t="shared" si="311"/>
        <v>13932</v>
      </c>
      <c r="G493" s="157">
        <v>4206478</v>
      </c>
      <c r="H493" s="142">
        <v>5546</v>
      </c>
      <c r="I493" s="639">
        <v>117227</v>
      </c>
      <c r="J493" s="639">
        <f t="shared" si="312"/>
        <v>17279084</v>
      </c>
      <c r="K493" s="558">
        <f t="shared" ref="K493:K504" si="318">AVERAGE(I487:I493)</f>
        <v>87601.857142857145</v>
      </c>
      <c r="L493" s="541">
        <v>28800</v>
      </c>
      <c r="M493" s="7">
        <v>8439248</v>
      </c>
      <c r="N493" s="4">
        <v>8468048</v>
      </c>
      <c r="O493" s="520">
        <f t="shared" si="281"/>
        <v>0.28816224797115858</v>
      </c>
      <c r="P493" s="200">
        <f t="shared" si="258"/>
        <v>0.16568708573963337</v>
      </c>
      <c r="Q493" s="4"/>
      <c r="R493" s="4"/>
      <c r="S493" s="290">
        <f t="shared" si="314"/>
        <v>289821</v>
      </c>
      <c r="T493" s="1">
        <v>-42</v>
      </c>
      <c r="U493" s="4">
        <v>701</v>
      </c>
      <c r="V493" s="512">
        <f>SUM(B480:B493)/POBLA!$B$25*100000</f>
        <v>589.8216183058496</v>
      </c>
      <c r="W493" s="512">
        <f>B493/POBLA!$B$25*100000</f>
        <v>42.800641452109438</v>
      </c>
      <c r="X493" s="513">
        <f t="shared" ref="X493:X504" si="319">SUM(B480:B493)/SUM(B466:B479)</f>
        <v>0.93076192827560311</v>
      </c>
      <c r="Y493" s="519">
        <f t="shared" ref="Y493:Y504" si="320">H493/S493</f>
        <v>1.9135949430855597E-2</v>
      </c>
      <c r="Z493" s="520">
        <f t="shared" ref="Z493:Z504" si="321">SUM(B487:B493)/SUM(I487:I493)</f>
        <v>0.20121719533017077</v>
      </c>
      <c r="AA493" s="517">
        <f t="shared" ref="AA493:AA503" si="322">AVERAGE(B487:B493)</f>
        <v>17627</v>
      </c>
      <c r="AB493" s="542">
        <f t="shared" ref="AB493:AB504" si="323">AVERAGE(D487:D493)</f>
        <v>450.71428571428572</v>
      </c>
      <c r="AC493" s="517">
        <f t="shared" si="225"/>
        <v>383.11183234048394</v>
      </c>
      <c r="AD493" s="517">
        <f t="shared" ref="AD493:AD504" si="324">AC493-AB493</f>
        <v>-67.602453373801779</v>
      </c>
      <c r="AE493" s="656">
        <f t="shared" ref="AE493:AE504" si="325">AVERAGE(B480:B493)</f>
        <v>19118.714285714286</v>
      </c>
      <c r="AF493" s="520">
        <f t="shared" ref="AF493:AF503" si="326">AA493/AA486</f>
        <v>0.85524665044741566</v>
      </c>
      <c r="AG493" s="200">
        <f t="shared" ref="AG493:AG504" si="327">S493/S486-1</f>
        <v>-3.1165592490573157E-2</v>
      </c>
      <c r="AH493" s="200">
        <f t="shared" ref="AH493:AH504" si="328">B493/B486-1</f>
        <v>-0.14334230141578086</v>
      </c>
      <c r="AI493" s="355">
        <f t="shared" ref="AI493:AI504" si="329">AB493/AB486</f>
        <v>0.94944327414986462</v>
      </c>
      <c r="AJ493" s="657">
        <f t="shared" ref="AJ493:AJ504" si="330">AF493-1</f>
        <v>-0.14475334955258434</v>
      </c>
      <c r="AK493" s="414">
        <f t="shared" ref="AK493:AK504" si="331">AB493/AA480</f>
        <v>2.4616897100589868E-2</v>
      </c>
      <c r="AL493" s="28">
        <f t="shared" ref="AL493:AL504" si="332">H493/S486</f>
        <v>1.8539566228973337E-2</v>
      </c>
      <c r="AM493" s="200">
        <f t="shared" ref="AM493:AM504" si="333">H493/H486</f>
        <v>0.87920101458465438</v>
      </c>
      <c r="AN493" s="200">
        <f t="shared" ref="AN493:AN504" si="334">AB493/AB486</f>
        <v>0.94944327414986462</v>
      </c>
      <c r="AO493" s="18">
        <f t="shared" ref="AO493:AO504" si="335">A492+20</f>
        <v>44403</v>
      </c>
      <c r="AP493" s="355">
        <f t="shared" ref="AP493:AP504" si="336">AE493/AE479</f>
        <v>0.930761928275603</v>
      </c>
      <c r="AQ493" s="7">
        <f t="shared" ref="AQ493:AQ504" si="337">MAX(AA:AA)</f>
        <v>33171.285714285717</v>
      </c>
      <c r="AR493" s="290">
        <f t="shared" ref="AR493:AR504" si="338">AA472*0.028</f>
        <v>640.36800000000005</v>
      </c>
    </row>
    <row r="494" spans="1:44" x14ac:dyDescent="0.25">
      <c r="A494" s="18">
        <v>44385</v>
      </c>
      <c r="B494" s="689">
        <v>19256</v>
      </c>
      <c r="C494" s="154">
        <f t="shared" si="309"/>
        <v>4613019</v>
      </c>
      <c r="D494" s="329">
        <v>466</v>
      </c>
      <c r="E494" s="126">
        <f t="shared" si="310"/>
        <v>97930</v>
      </c>
      <c r="F494" s="126">
        <f t="shared" si="311"/>
        <v>20216</v>
      </c>
      <c r="G494" s="154">
        <v>4226694</v>
      </c>
      <c r="H494" s="126">
        <v>5443</v>
      </c>
      <c r="I494" s="4">
        <v>108240</v>
      </c>
      <c r="J494" s="4">
        <f t="shared" si="312"/>
        <v>17387324</v>
      </c>
      <c r="K494" s="558">
        <f t="shared" si="318"/>
        <v>88331</v>
      </c>
      <c r="L494" s="541">
        <v>29055</v>
      </c>
      <c r="M494" s="7">
        <v>8485019</v>
      </c>
      <c r="N494" s="4">
        <v>8514074</v>
      </c>
      <c r="O494" s="520">
        <f t="shared" si="281"/>
        <v>0.29496645323366316</v>
      </c>
      <c r="P494" s="200">
        <f t="shared" si="258"/>
        <v>0.17790096082779008</v>
      </c>
      <c r="Q494" s="4"/>
      <c r="R494" s="4"/>
      <c r="S494" s="290">
        <f t="shared" si="314"/>
        <v>288395</v>
      </c>
      <c r="T494" s="1">
        <v>-42</v>
      </c>
      <c r="U494" s="4">
        <v>701</v>
      </c>
      <c r="V494" s="512">
        <f>SUM(B481:B494)/POBLA!$B$25*100000</f>
        <v>578.3474412970902</v>
      </c>
      <c r="W494" s="512">
        <f>B494/POBLA!$B$25*100000</f>
        <v>42.432639231932207</v>
      </c>
      <c r="X494" s="513">
        <f t="shared" si="319"/>
        <v>0.9228115946105595</v>
      </c>
      <c r="Y494" s="519">
        <f t="shared" si="320"/>
        <v>1.887342013557794E-2</v>
      </c>
      <c r="Z494" s="520">
        <f t="shared" si="321"/>
        <v>0.19644939408102963</v>
      </c>
      <c r="AA494" s="517">
        <f t="shared" si="322"/>
        <v>17352.571428571428</v>
      </c>
      <c r="AB494" s="542">
        <f t="shared" si="323"/>
        <v>450.28571428571428</v>
      </c>
      <c r="AC494" s="517">
        <f t="shared" si="225"/>
        <v>384.81249892460579</v>
      </c>
      <c r="AD494" s="517">
        <f t="shared" si="324"/>
        <v>-65.473215361108487</v>
      </c>
      <c r="AE494" s="656">
        <f t="shared" si="325"/>
        <v>18746.785714285714</v>
      </c>
      <c r="AF494" s="520">
        <f t="shared" si="326"/>
        <v>0.86155461141807399</v>
      </c>
      <c r="AG494" s="200">
        <f t="shared" si="327"/>
        <v>-5.3573772643738526E-2</v>
      </c>
      <c r="AH494" s="200">
        <f t="shared" si="328"/>
        <v>-9.0711621098361395E-2</v>
      </c>
      <c r="AI494" s="355">
        <f t="shared" si="329"/>
        <v>0.94371257485029936</v>
      </c>
      <c r="AJ494" s="657">
        <f t="shared" si="330"/>
        <v>-0.13844538858192601</v>
      </c>
      <c r="AK494" s="414">
        <f t="shared" si="331"/>
        <v>2.3910668770481855E-2</v>
      </c>
      <c r="AL494" s="28">
        <f t="shared" si="332"/>
        <v>1.7862299816224732E-2</v>
      </c>
      <c r="AM494" s="200">
        <f t="shared" si="333"/>
        <v>0.90026463777704269</v>
      </c>
      <c r="AN494" s="200">
        <f t="shared" si="334"/>
        <v>0.94371257485029936</v>
      </c>
      <c r="AO494" s="18">
        <f t="shared" si="335"/>
        <v>44404</v>
      </c>
      <c r="AP494" s="355">
        <f t="shared" si="336"/>
        <v>0.9228115946105595</v>
      </c>
      <c r="AQ494" s="7">
        <f t="shared" si="337"/>
        <v>33171.285714285717</v>
      </c>
      <c r="AR494" s="290">
        <f t="shared" si="338"/>
        <v>624.976</v>
      </c>
    </row>
    <row r="495" spans="1:44" x14ac:dyDescent="0.25">
      <c r="A495" s="18">
        <v>44386</v>
      </c>
      <c r="B495" s="689">
        <v>14518</v>
      </c>
      <c r="C495" s="154">
        <f t="shared" si="309"/>
        <v>4627537</v>
      </c>
      <c r="D495" s="329">
        <v>244</v>
      </c>
      <c r="E495" s="126">
        <f t="shared" si="310"/>
        <v>98174</v>
      </c>
      <c r="F495" s="126">
        <f t="shared" si="311"/>
        <v>19506</v>
      </c>
      <c r="G495" s="154">
        <v>4246200</v>
      </c>
      <c r="H495" s="126">
        <v>5405</v>
      </c>
      <c r="I495" s="4">
        <v>86132</v>
      </c>
      <c r="J495" s="4">
        <f t="shared" si="312"/>
        <v>17473456</v>
      </c>
      <c r="K495" s="558">
        <f t="shared" si="318"/>
        <v>86630.428571428565</v>
      </c>
      <c r="L495" s="541"/>
      <c r="M495" s="7"/>
      <c r="N495" s="4"/>
      <c r="O495" s="520">
        <f t="shared" si="281"/>
        <v>-1.7080892225429186E-3</v>
      </c>
      <c r="P495" s="200">
        <f t="shared" si="258"/>
        <v>0.16855524079320114</v>
      </c>
      <c r="Q495" s="4"/>
      <c r="R495" s="4"/>
      <c r="S495" s="290">
        <f t="shared" si="314"/>
        <v>283163</v>
      </c>
      <c r="T495" s="1">
        <v>-42</v>
      </c>
      <c r="U495" s="4">
        <v>701</v>
      </c>
      <c r="V495" s="512">
        <f>SUM(B482:B495)/POBLA!$B$25*100000</f>
        <v>557.40216523251206</v>
      </c>
      <c r="W495" s="512">
        <f>B495/POBLA!$B$25*100000</f>
        <v>31.991953488221426</v>
      </c>
      <c r="X495" s="513">
        <f t="shared" si="319"/>
        <v>0.89858861728544182</v>
      </c>
      <c r="Y495" s="519">
        <f t="shared" si="320"/>
        <v>1.9087945812129411E-2</v>
      </c>
      <c r="Z495" s="520">
        <f t="shared" si="321"/>
        <v>0.18980134001085069</v>
      </c>
      <c r="AA495" s="517">
        <f t="shared" si="322"/>
        <v>16442.571428571428</v>
      </c>
      <c r="AB495" s="542">
        <f t="shared" si="323"/>
        <v>397.42857142857144</v>
      </c>
      <c r="AC495" s="517">
        <f t="shared" si="225"/>
        <v>395.96134675113331</v>
      </c>
      <c r="AD495" s="517">
        <f t="shared" si="324"/>
        <v>-1.4672246774381392</v>
      </c>
      <c r="AE495" s="656">
        <f t="shared" si="325"/>
        <v>18067.857142857141</v>
      </c>
      <c r="AF495" s="520">
        <f t="shared" si="326"/>
        <v>0.83493892000116054</v>
      </c>
      <c r="AG495" s="200">
        <f t="shared" si="327"/>
        <v>-6.531749358807204E-2</v>
      </c>
      <c r="AH495" s="200">
        <f t="shared" si="328"/>
        <v>-0.30495978552278824</v>
      </c>
      <c r="AI495" s="355">
        <f t="shared" si="329"/>
        <v>0.81535756154747951</v>
      </c>
      <c r="AJ495" s="657">
        <f t="shared" si="330"/>
        <v>-0.16506107999883946</v>
      </c>
      <c r="AK495" s="414">
        <f t="shared" si="331"/>
        <v>2.0645946507554844E-2</v>
      </c>
      <c r="AL495" s="28">
        <f t="shared" si="332"/>
        <v>1.7841169033936181E-2</v>
      </c>
      <c r="AM495" s="200">
        <f t="shared" si="333"/>
        <v>0.93447441217150762</v>
      </c>
      <c r="AN495" s="200">
        <f t="shared" si="334"/>
        <v>0.81535756154747951</v>
      </c>
      <c r="AO495" s="18">
        <f t="shared" si="335"/>
        <v>44405</v>
      </c>
      <c r="AP495" s="355">
        <f t="shared" si="336"/>
        <v>0.89858861728544159</v>
      </c>
      <c r="AQ495" s="7">
        <f t="shared" si="337"/>
        <v>33171.285714285717</v>
      </c>
      <c r="AR495" s="290">
        <f t="shared" si="338"/>
        <v>598.69200000000001</v>
      </c>
    </row>
    <row r="496" spans="1:44" x14ac:dyDescent="0.25">
      <c r="A496" s="18">
        <v>44387</v>
      </c>
      <c r="B496" s="689">
        <v>11561</v>
      </c>
      <c r="C496" s="154">
        <f t="shared" si="309"/>
        <v>4639098</v>
      </c>
      <c r="D496" s="329">
        <v>354</v>
      </c>
      <c r="E496" s="126">
        <f t="shared" si="310"/>
        <v>98528</v>
      </c>
      <c r="F496" s="126">
        <f t="shared" si="311"/>
        <v>18737</v>
      </c>
      <c r="G496" s="154">
        <v>4264937</v>
      </c>
      <c r="H496" s="126">
        <v>5427</v>
      </c>
      <c r="I496" s="4">
        <v>69862</v>
      </c>
      <c r="J496" s="4">
        <f t="shared" si="312"/>
        <v>17543318</v>
      </c>
      <c r="K496" s="558">
        <f t="shared" si="318"/>
        <v>84287.142857142855</v>
      </c>
      <c r="L496" s="541"/>
      <c r="M496" s="7"/>
      <c r="N496" s="4"/>
      <c r="O496" s="520">
        <f t="shared" si="281"/>
        <v>1</v>
      </c>
      <c r="P496" s="200">
        <f t="shared" si="258"/>
        <v>0.16548338152357506</v>
      </c>
      <c r="Q496" s="4"/>
      <c r="R496" s="4"/>
      <c r="S496" s="290">
        <f t="shared" si="314"/>
        <v>275633</v>
      </c>
      <c r="T496" s="1">
        <v>-42</v>
      </c>
      <c r="U496" s="4">
        <v>701</v>
      </c>
      <c r="V496" s="512">
        <f>SUM(B483:B496)/POBLA!$B$25*100000</f>
        <v>541.99014410724544</v>
      </c>
      <c r="W496" s="512">
        <f>B496/POBLA!$B$25*100000</f>
        <v>25.475890224364786</v>
      </c>
      <c r="X496" s="513">
        <f t="shared" si="319"/>
        <v>0.87219986169967556</v>
      </c>
      <c r="Y496" s="519">
        <f t="shared" si="320"/>
        <v>1.9689224439744153E-2</v>
      </c>
      <c r="Z496" s="520">
        <f t="shared" si="321"/>
        <v>0.19088659514245521</v>
      </c>
      <c r="AA496" s="517">
        <f t="shared" si="322"/>
        <v>16089.285714285714</v>
      </c>
      <c r="AB496" s="542">
        <f t="shared" si="323"/>
        <v>417.28571428571428</v>
      </c>
      <c r="AC496" s="517">
        <f t="shared" si="225"/>
        <v>404.51574827960752</v>
      </c>
      <c r="AD496" s="517">
        <f t="shared" si="324"/>
        <v>-12.769966006106756</v>
      </c>
      <c r="AE496" s="656">
        <f t="shared" si="325"/>
        <v>17568.285714285714</v>
      </c>
      <c r="AF496" s="520">
        <f t="shared" si="326"/>
        <v>0.84470228228994004</v>
      </c>
      <c r="AG496" s="200">
        <f t="shared" si="327"/>
        <v>-6.2606702443868567E-2</v>
      </c>
      <c r="AH496" s="200">
        <f t="shared" si="328"/>
        <v>-0.17621490665526574</v>
      </c>
      <c r="AI496" s="355">
        <f t="shared" si="329"/>
        <v>0.88811188811188813</v>
      </c>
      <c r="AJ496" s="657">
        <f t="shared" si="330"/>
        <v>-0.15529771771005996</v>
      </c>
      <c r="AK496" s="414">
        <f t="shared" si="331"/>
        <v>2.1405853815826114E-2</v>
      </c>
      <c r="AL496" s="28">
        <f t="shared" si="332"/>
        <v>1.8456547023894546E-2</v>
      </c>
      <c r="AM496" s="200">
        <f t="shared" si="333"/>
        <v>0.95764955002646901</v>
      </c>
      <c r="AN496" s="200">
        <f t="shared" si="334"/>
        <v>0.88811188811188813</v>
      </c>
      <c r="AO496" s="18">
        <f t="shared" si="335"/>
        <v>44406</v>
      </c>
      <c r="AP496" s="355">
        <f t="shared" si="336"/>
        <v>0.87219986169967545</v>
      </c>
      <c r="AQ496" s="7">
        <f t="shared" si="337"/>
        <v>33171.285714285717</v>
      </c>
      <c r="AR496" s="290">
        <f t="shared" si="338"/>
        <v>588.98799999999994</v>
      </c>
    </row>
    <row r="497" spans="1:45" x14ac:dyDescent="0.25">
      <c r="A497" s="655">
        <v>44388</v>
      </c>
      <c r="B497" s="689">
        <v>8850</v>
      </c>
      <c r="C497" s="154">
        <f t="shared" si="309"/>
        <v>4647948</v>
      </c>
      <c r="D497" s="329">
        <v>281</v>
      </c>
      <c r="E497" s="126">
        <f t="shared" si="310"/>
        <v>98809</v>
      </c>
      <c r="F497" s="126">
        <f t="shared" si="311"/>
        <v>17967</v>
      </c>
      <c r="G497" s="154">
        <v>4282904</v>
      </c>
      <c r="H497" s="126">
        <v>5349</v>
      </c>
      <c r="I497" s="4">
        <v>50134</v>
      </c>
      <c r="J497" s="4">
        <f t="shared" si="312"/>
        <v>17593452</v>
      </c>
      <c r="K497" s="558">
        <f t="shared" si="318"/>
        <v>84766.428571428565</v>
      </c>
      <c r="L497" s="541"/>
      <c r="M497" s="7"/>
      <c r="N497" s="4"/>
      <c r="O497" s="520">
        <f t="shared" si="281"/>
        <v>1</v>
      </c>
      <c r="P497" s="200">
        <f t="shared" si="258"/>
        <v>0.1765269078868632</v>
      </c>
      <c r="Q497" s="4"/>
      <c r="R497" s="4"/>
      <c r="S497" s="290">
        <f t="shared" si="314"/>
        <v>266235</v>
      </c>
      <c r="T497" s="1">
        <v>-42</v>
      </c>
      <c r="U497" s="4">
        <v>701</v>
      </c>
      <c r="V497" s="512">
        <f>SUM(B484:B497)/POBLA!$B$25*100000</f>
        <v>534.81740622295274</v>
      </c>
      <c r="W497" s="512">
        <f>B497/POBLA!$B$25*100000</f>
        <v>19.501914063284175</v>
      </c>
      <c r="X497" s="513">
        <f t="shared" si="319"/>
        <v>0.8635294619952536</v>
      </c>
      <c r="Y497" s="519">
        <f t="shared" si="320"/>
        <v>2.0091272747760437E-2</v>
      </c>
      <c r="Z497" s="520">
        <f t="shared" si="321"/>
        <v>0.18955449006935024</v>
      </c>
      <c r="AA497" s="517">
        <f t="shared" si="322"/>
        <v>16067.857142857143</v>
      </c>
      <c r="AB497" s="542">
        <f t="shared" si="323"/>
        <v>413.14285714285717</v>
      </c>
      <c r="AC497" s="517">
        <f t="shared" si="225"/>
        <v>409.63425796555788</v>
      </c>
      <c r="AD497" s="517">
        <f t="shared" si="324"/>
        <v>-3.5085991772992884</v>
      </c>
      <c r="AE497" s="545">
        <f t="shared" si="325"/>
        <v>17335.785714285714</v>
      </c>
      <c r="AF497" s="520">
        <f t="shared" si="326"/>
        <v>0.86369081443029805</v>
      </c>
      <c r="AG497" s="200">
        <f t="shared" si="327"/>
        <v>-6.1065067889261138E-2</v>
      </c>
      <c r="AH497" s="200">
        <f t="shared" si="328"/>
        <v>-1.6666666666666718E-2</v>
      </c>
      <c r="AI497" s="355">
        <f t="shared" si="329"/>
        <v>0.86379928315412191</v>
      </c>
      <c r="AJ497" s="657">
        <f t="shared" si="330"/>
        <v>-0.13630918556970195</v>
      </c>
      <c r="AK497" s="414">
        <f t="shared" si="331"/>
        <v>1.9775575932877924E-2</v>
      </c>
      <c r="AL497" s="28">
        <f t="shared" si="332"/>
        <v>1.8864397813436785E-2</v>
      </c>
      <c r="AM497" s="200">
        <f t="shared" si="333"/>
        <v>0.9432198906718392</v>
      </c>
      <c r="AN497" s="200">
        <f t="shared" si="334"/>
        <v>0.86379928315412191</v>
      </c>
      <c r="AO497" s="18">
        <f t="shared" si="335"/>
        <v>44407</v>
      </c>
      <c r="AP497" s="355">
        <f t="shared" si="336"/>
        <v>0.8635294619952536</v>
      </c>
      <c r="AQ497" s="7">
        <f t="shared" si="337"/>
        <v>33171.285714285717</v>
      </c>
      <c r="AR497" s="290">
        <f t="shared" si="338"/>
        <v>578.39599999999996</v>
      </c>
    </row>
    <row r="498" spans="1:45" x14ac:dyDescent="0.25">
      <c r="A498" s="18">
        <v>44389</v>
      </c>
      <c r="B498" s="689">
        <v>14989</v>
      </c>
      <c r="C498" s="154">
        <f t="shared" si="309"/>
        <v>4662937</v>
      </c>
      <c r="D498" s="329">
        <v>480</v>
      </c>
      <c r="E498" s="126">
        <f t="shared" si="310"/>
        <v>99289</v>
      </c>
      <c r="F498" s="126">
        <f t="shared" si="311"/>
        <v>17919</v>
      </c>
      <c r="G498" s="154">
        <v>4300823</v>
      </c>
      <c r="H498" s="126">
        <v>5222</v>
      </c>
      <c r="I498" s="4">
        <v>75927</v>
      </c>
      <c r="J498" s="4">
        <f t="shared" si="312"/>
        <v>17669379</v>
      </c>
      <c r="K498" s="558">
        <f t="shared" si="318"/>
        <v>85136.142857142855</v>
      </c>
      <c r="L498" s="541">
        <v>29685</v>
      </c>
      <c r="M498" s="7">
        <v>8600214</v>
      </c>
      <c r="N498" s="4">
        <v>8629899</v>
      </c>
      <c r="O498" s="520">
        <f t="shared" si="281"/>
        <v>1.7338570493915016E-3</v>
      </c>
      <c r="P498" s="200">
        <f t="shared" si="258"/>
        <v>0.19741330488495529</v>
      </c>
      <c r="Q498" s="4"/>
      <c r="R498" s="4"/>
      <c r="S498" s="290">
        <f t="shared" si="314"/>
        <v>262825</v>
      </c>
      <c r="T498" s="1">
        <v>-42</v>
      </c>
      <c r="U498" s="4">
        <v>701</v>
      </c>
      <c r="V498" s="512">
        <f>SUM(B485:B498)/POBLA!$B$25*100000</f>
        <v>527.32514545287756</v>
      </c>
      <c r="W498" s="512">
        <f>B498/POBLA!$B$25*100000</f>
        <v>33.029851965487737</v>
      </c>
      <c r="X498" s="513">
        <f t="shared" si="319"/>
        <v>0.86031838477965439</v>
      </c>
      <c r="Y498" s="519">
        <f t="shared" si="320"/>
        <v>1.9868733948444784E-2</v>
      </c>
      <c r="Z498" s="520">
        <f t="shared" si="321"/>
        <v>0.18489209719558422</v>
      </c>
      <c r="AA498" s="517">
        <f t="shared" si="322"/>
        <v>15741</v>
      </c>
      <c r="AB498" s="542">
        <f t="shared" si="323"/>
        <v>393</v>
      </c>
      <c r="AC498" s="517">
        <f t="shared" si="225"/>
        <v>439.89727471118454</v>
      </c>
      <c r="AD498" s="517">
        <f t="shared" si="324"/>
        <v>46.897274711184536</v>
      </c>
      <c r="AE498" s="656">
        <f t="shared" si="325"/>
        <v>17092.928571428572</v>
      </c>
      <c r="AF498" s="520">
        <f t="shared" si="326"/>
        <v>0.85340861564199089</v>
      </c>
      <c r="AG498" s="200">
        <f t="shared" si="327"/>
        <v>-6.2531210318309549E-2</v>
      </c>
      <c r="AH498" s="200">
        <f t="shared" si="328"/>
        <v>-0.13243039879608731</v>
      </c>
      <c r="AI498" s="355">
        <f t="shared" si="329"/>
        <v>0.81078691423519011</v>
      </c>
      <c r="AJ498" s="657">
        <f t="shared" si="330"/>
        <v>-0.14659138435800911</v>
      </c>
      <c r="AK498" s="414">
        <f t="shared" si="331"/>
        <v>1.8473129687951166E-2</v>
      </c>
      <c r="AL498" s="28">
        <f t="shared" si="332"/>
        <v>1.8626317967156046E-2</v>
      </c>
      <c r="AM498" s="200">
        <f t="shared" si="333"/>
        <v>0.93133583021223476</v>
      </c>
      <c r="AN498" s="200">
        <f t="shared" si="334"/>
        <v>0.81078691423519011</v>
      </c>
      <c r="AO498" s="18">
        <f t="shared" si="335"/>
        <v>44408</v>
      </c>
      <c r="AP498" s="355">
        <f t="shared" si="336"/>
        <v>0.86031838477965439</v>
      </c>
      <c r="AQ498" s="7">
        <f t="shared" si="337"/>
        <v>33171.285714285717</v>
      </c>
      <c r="AR498" s="290">
        <f t="shared" si="338"/>
        <v>527.65200000000004</v>
      </c>
    </row>
    <row r="499" spans="1:45" x14ac:dyDescent="0.25">
      <c r="A499" s="18">
        <v>44390</v>
      </c>
      <c r="B499" s="689">
        <v>20023</v>
      </c>
      <c r="C499" s="154">
        <f t="shared" si="309"/>
        <v>4682960</v>
      </c>
      <c r="D499" s="329">
        <v>387</v>
      </c>
      <c r="E499" s="126">
        <f t="shared" ref="E499:E528" si="339">E498+D499</f>
        <v>99676</v>
      </c>
      <c r="F499" s="126">
        <f t="shared" si="311"/>
        <v>13770</v>
      </c>
      <c r="G499" s="154">
        <v>4314593</v>
      </c>
      <c r="H499" s="126">
        <v>5199</v>
      </c>
      <c r="I499" s="4">
        <v>105693</v>
      </c>
      <c r="J499" s="4">
        <f t="shared" si="312"/>
        <v>17775072</v>
      </c>
      <c r="K499" s="558">
        <f t="shared" si="318"/>
        <v>87602.142857142855</v>
      </c>
      <c r="L499" s="541">
        <v>29837</v>
      </c>
      <c r="M499" s="7">
        <v>8641716</v>
      </c>
      <c r="N499" s="4">
        <v>8671553</v>
      </c>
      <c r="O499" s="520">
        <f t="shared" si="281"/>
        <v>0.32464289767660554</v>
      </c>
      <c r="P499" s="200">
        <f t="shared" si="258"/>
        <v>0.18944490174372949</v>
      </c>
      <c r="Q499" s="4"/>
      <c r="R499" s="4"/>
      <c r="S499" s="290">
        <f t="shared" si="314"/>
        <v>268691</v>
      </c>
      <c r="T499" s="1">
        <v>-42</v>
      </c>
      <c r="U499" s="4">
        <v>701</v>
      </c>
      <c r="V499" s="512">
        <f>SUM(B486:B499)/POBLA!$B$25*100000</f>
        <v>518.41816956092327</v>
      </c>
      <c r="W499" s="512">
        <f>B499/POBLA!$B$25*100000</f>
        <v>44.122805117416839</v>
      </c>
      <c r="X499" s="513">
        <f t="shared" si="319"/>
        <v>0.85561483712117081</v>
      </c>
      <c r="Y499" s="519">
        <f t="shared" si="320"/>
        <v>1.9349364139476202E-2</v>
      </c>
      <c r="Z499" s="520">
        <f t="shared" si="321"/>
        <v>0.17713200101106463</v>
      </c>
      <c r="AA499" s="517">
        <f t="shared" si="322"/>
        <v>15517.142857142857</v>
      </c>
      <c r="AB499" s="542">
        <f t="shared" si="323"/>
        <v>381.28571428571428</v>
      </c>
      <c r="AC499" s="517">
        <f t="shared" si="225"/>
        <v>448.04500922418771</v>
      </c>
      <c r="AD499" s="517">
        <f t="shared" si="324"/>
        <v>66.759294938473431</v>
      </c>
      <c r="AE499" s="656">
        <f t="shared" si="325"/>
        <v>16804.214285714286</v>
      </c>
      <c r="AF499" s="520">
        <f t="shared" si="326"/>
        <v>0.85771365850962189</v>
      </c>
      <c r="AG499" s="200">
        <f t="shared" si="327"/>
        <v>-5.6519433822470821E-2</v>
      </c>
      <c r="AH499" s="200">
        <f t="shared" si="328"/>
        <v>-7.2579898100972651E-2</v>
      </c>
      <c r="AI499" s="355">
        <f t="shared" si="329"/>
        <v>0.80005995203836933</v>
      </c>
      <c r="AJ499" s="657">
        <f t="shared" si="330"/>
        <v>-0.14228634149037811</v>
      </c>
      <c r="AK499" s="414">
        <f t="shared" si="331"/>
        <v>1.8499649969155697E-2</v>
      </c>
      <c r="AL499" s="28">
        <f t="shared" si="332"/>
        <v>1.8255749033488186E-2</v>
      </c>
      <c r="AM499" s="200">
        <f t="shared" si="333"/>
        <v>0.92148174406238925</v>
      </c>
      <c r="AN499" s="200">
        <f t="shared" si="334"/>
        <v>0.80005995203836933</v>
      </c>
      <c r="AO499" s="18">
        <f t="shared" si="335"/>
        <v>44409</v>
      </c>
      <c r="AP499" s="355">
        <f t="shared" si="336"/>
        <v>0.85561483712117081</v>
      </c>
      <c r="AQ499" s="7">
        <f t="shared" si="337"/>
        <v>33171.285714285717</v>
      </c>
      <c r="AR499" s="290">
        <f t="shared" si="338"/>
        <v>504.16</v>
      </c>
    </row>
    <row r="500" spans="1:45" x14ac:dyDescent="0.25">
      <c r="A500" s="18">
        <v>44391</v>
      </c>
      <c r="B500" s="689">
        <v>19697</v>
      </c>
      <c r="C500" s="154">
        <f t="shared" si="309"/>
        <v>4702657</v>
      </c>
      <c r="D500" s="329">
        <v>614</v>
      </c>
      <c r="E500" s="126">
        <f t="shared" si="339"/>
        <v>100290</v>
      </c>
      <c r="F500" s="126">
        <f t="shared" si="311"/>
        <v>11810</v>
      </c>
      <c r="G500" s="154">
        <v>4326403</v>
      </c>
      <c r="H500" s="126">
        <v>5092</v>
      </c>
      <c r="I500" s="4">
        <v>109446</v>
      </c>
      <c r="J500" s="4">
        <f t="shared" si="312"/>
        <v>17884518</v>
      </c>
      <c r="K500" s="558">
        <f t="shared" si="318"/>
        <v>86490.571428571435</v>
      </c>
      <c r="L500" s="541">
        <v>30006</v>
      </c>
      <c r="M500" s="7">
        <v>8686156</v>
      </c>
      <c r="N500" s="4">
        <v>8716162</v>
      </c>
      <c r="O500" s="520">
        <f t="shared" si="281"/>
        <v>0.30630112275681898</v>
      </c>
      <c r="P500" s="200">
        <f t="shared" si="258"/>
        <v>0.1799700308828098</v>
      </c>
      <c r="Q500" s="4"/>
      <c r="R500" s="4"/>
      <c r="S500" s="290">
        <f t="shared" si="314"/>
        <v>275964</v>
      </c>
      <c r="T500" s="1">
        <v>-42</v>
      </c>
      <c r="U500" s="4">
        <v>701</v>
      </c>
      <c r="V500" s="512">
        <f>SUM(B487:B500)/POBLA!$B$25*100000</f>
        <v>511.8602377809986</v>
      </c>
      <c r="W500" s="512">
        <f>B500/POBLA!$B$25*100000</f>
        <v>43.404429525933146</v>
      </c>
      <c r="X500" s="513">
        <f t="shared" si="319"/>
        <v>0.85475466782457665</v>
      </c>
      <c r="Y500" s="519">
        <f t="shared" si="320"/>
        <v>1.845168210346277E-2</v>
      </c>
      <c r="Z500" s="520">
        <f t="shared" si="321"/>
        <v>0.17986105834822624</v>
      </c>
      <c r="AA500" s="517">
        <f t="shared" si="322"/>
        <v>15556.285714285714</v>
      </c>
      <c r="AB500" s="542">
        <f t="shared" si="323"/>
        <v>403.71428571428572</v>
      </c>
      <c r="AC500" s="517">
        <f t="shared" si="225"/>
        <v>434.80677637773874</v>
      </c>
      <c r="AD500" s="517">
        <f t="shared" si="324"/>
        <v>31.09249066345302</v>
      </c>
      <c r="AE500" s="656">
        <f t="shared" si="325"/>
        <v>16591.642857142859</v>
      </c>
      <c r="AF500" s="520">
        <f t="shared" si="326"/>
        <v>0.88252599502386753</v>
      </c>
      <c r="AG500" s="200">
        <f t="shared" si="327"/>
        <v>-4.781227033237756E-2</v>
      </c>
      <c r="AH500" s="200">
        <f t="shared" si="328"/>
        <v>1.4106986562323121E-2</v>
      </c>
      <c r="AI500" s="355">
        <f t="shared" si="329"/>
        <v>0.8957210776545167</v>
      </c>
      <c r="AJ500" s="657">
        <f t="shared" si="330"/>
        <v>-0.11747400497613247</v>
      </c>
      <c r="AK500" s="414">
        <f t="shared" si="331"/>
        <v>2.0044401256853469E-2</v>
      </c>
      <c r="AL500" s="28">
        <f t="shared" si="332"/>
        <v>1.7569465290644914E-2</v>
      </c>
      <c r="AM500" s="200">
        <f t="shared" si="333"/>
        <v>0.91813919942300759</v>
      </c>
      <c r="AN500" s="200">
        <f t="shared" si="334"/>
        <v>0.8957210776545167</v>
      </c>
      <c r="AO500" s="18">
        <f t="shared" si="335"/>
        <v>44410</v>
      </c>
      <c r="AP500" s="355">
        <f t="shared" si="336"/>
        <v>0.85475466782457676</v>
      </c>
      <c r="AQ500" s="7">
        <f t="shared" si="337"/>
        <v>33171.285714285717</v>
      </c>
      <c r="AR500" s="290">
        <f t="shared" si="338"/>
        <v>509.92399999999998</v>
      </c>
    </row>
    <row r="501" spans="1:45" x14ac:dyDescent="0.25">
      <c r="A501" s="18">
        <v>44392</v>
      </c>
      <c r="B501" s="689">
        <v>17295</v>
      </c>
      <c r="C501" s="154">
        <f t="shared" si="309"/>
        <v>4719952</v>
      </c>
      <c r="D501" s="329">
        <v>455</v>
      </c>
      <c r="E501" s="126">
        <f t="shared" si="339"/>
        <v>100745</v>
      </c>
      <c r="F501" s="126">
        <f t="shared" si="311"/>
        <v>19146</v>
      </c>
      <c r="G501" s="154">
        <v>4345549</v>
      </c>
      <c r="H501" s="126">
        <v>5013</v>
      </c>
      <c r="I501" s="4">
        <v>96976</v>
      </c>
      <c r="J501" s="4">
        <f t="shared" si="312"/>
        <v>17981494</v>
      </c>
      <c r="K501" s="558">
        <f t="shared" si="318"/>
        <v>84881.428571428565</v>
      </c>
      <c r="L501" s="541">
        <v>30306</v>
      </c>
      <c r="M501" s="7">
        <v>8724788</v>
      </c>
      <c r="N501" s="4">
        <v>8755094</v>
      </c>
      <c r="O501" s="520">
        <f t="shared" si="281"/>
        <v>0.30759243779678802</v>
      </c>
      <c r="P501" s="200">
        <f t="shared" si="258"/>
        <v>0.17834309519881208</v>
      </c>
      <c r="Q501" s="4"/>
      <c r="R501" s="4"/>
      <c r="S501" s="290">
        <f t="shared" si="314"/>
        <v>273658</v>
      </c>
      <c r="T501" s="1">
        <v>-42</v>
      </c>
      <c r="U501" s="4">
        <v>701</v>
      </c>
      <c r="V501" s="512">
        <f>SUM(B488:B501)/POBLA!$B$25*100000</f>
        <v>503.30583886645968</v>
      </c>
      <c r="W501" s="512">
        <f>B501/POBLA!$B$25*100000</f>
        <v>38.111367652485853</v>
      </c>
      <c r="X501" s="513">
        <f t="shared" si="319"/>
        <v>0.84859799889281484</v>
      </c>
      <c r="Y501" s="519">
        <f t="shared" si="320"/>
        <v>1.831848511645923E-2</v>
      </c>
      <c r="Z501" s="520">
        <f t="shared" si="321"/>
        <v>0.17997037884780451</v>
      </c>
      <c r="AA501" s="517">
        <f t="shared" si="322"/>
        <v>15276.142857142857</v>
      </c>
      <c r="AB501" s="542">
        <f t="shared" si="323"/>
        <v>402.14285714285717</v>
      </c>
      <c r="AC501" s="517">
        <f t="shared" ref="AC501:AC514" si="340">AA487*(E487/C487)</f>
        <v>425.00323340422943</v>
      </c>
      <c r="AD501" s="517">
        <f t="shared" si="324"/>
        <v>22.860376261372267</v>
      </c>
      <c r="AE501" s="656">
        <f t="shared" si="325"/>
        <v>16314.357142857143</v>
      </c>
      <c r="AF501" s="520">
        <f t="shared" si="326"/>
        <v>0.88033885467777528</v>
      </c>
      <c r="AG501" s="200">
        <f t="shared" si="327"/>
        <v>-5.1100053745730678E-2</v>
      </c>
      <c r="AH501" s="200">
        <f t="shared" si="328"/>
        <v>-0.1018383880348982</v>
      </c>
      <c r="AI501" s="355">
        <f t="shared" si="329"/>
        <v>0.89308375634517778</v>
      </c>
      <c r="AJ501" s="657">
        <f t="shared" si="330"/>
        <v>-0.11966114532222472</v>
      </c>
      <c r="AK501" s="414">
        <f t="shared" si="331"/>
        <v>2.0420450918376229E-2</v>
      </c>
      <c r="AL501" s="28">
        <f t="shared" si="332"/>
        <v>1.7382409542467794E-2</v>
      </c>
      <c r="AM501" s="200">
        <f t="shared" si="333"/>
        <v>0.92099944883336393</v>
      </c>
      <c r="AN501" s="200">
        <f t="shared" si="334"/>
        <v>0.89308375634517778</v>
      </c>
      <c r="AO501" s="18">
        <f t="shared" si="335"/>
        <v>44411</v>
      </c>
      <c r="AP501" s="355">
        <f t="shared" si="336"/>
        <v>0.84859799889281484</v>
      </c>
      <c r="AQ501" s="7">
        <f t="shared" si="337"/>
        <v>33171.285714285717</v>
      </c>
      <c r="AR501" s="290">
        <f t="shared" si="338"/>
        <v>512.65600000000006</v>
      </c>
    </row>
    <row r="502" spans="1:45" x14ac:dyDescent="0.25">
      <c r="A502" s="18">
        <v>44393</v>
      </c>
      <c r="B502" s="689">
        <v>17261</v>
      </c>
      <c r="C502" s="154">
        <f t="shared" si="309"/>
        <v>4737213</v>
      </c>
      <c r="D502" s="329">
        <v>465</v>
      </c>
      <c r="E502" s="126">
        <f t="shared" si="339"/>
        <v>101210</v>
      </c>
      <c r="F502" s="126">
        <f t="shared" si="311"/>
        <v>17556</v>
      </c>
      <c r="G502" s="154">
        <v>4363105</v>
      </c>
      <c r="H502" s="126">
        <v>4868</v>
      </c>
      <c r="I502" s="4">
        <v>112768</v>
      </c>
      <c r="J502" s="4">
        <f t="shared" si="312"/>
        <v>18094262</v>
      </c>
      <c r="K502" s="558">
        <f t="shared" si="318"/>
        <v>88686.571428571435</v>
      </c>
      <c r="L502" s="541">
        <v>30414</v>
      </c>
      <c r="M502" s="7">
        <v>8772944</v>
      </c>
      <c r="N502" s="4">
        <v>8803358</v>
      </c>
      <c r="O502" s="520">
        <f t="shared" si="281"/>
        <v>0.26342617321632966</v>
      </c>
      <c r="P502" s="200">
        <f t="shared" si="258"/>
        <v>0.15306647275822929</v>
      </c>
      <c r="Q502" s="4"/>
      <c r="R502" s="4"/>
      <c r="S502" s="290">
        <f t="shared" si="314"/>
        <v>272898</v>
      </c>
      <c r="T502" s="1">
        <v>-42</v>
      </c>
      <c r="U502" s="4">
        <v>701</v>
      </c>
      <c r="V502" s="512">
        <f>SUM(B489:B502)/POBLA!$B$25*100000</f>
        <v>495.31335950967645</v>
      </c>
      <c r="W502" s="512">
        <f>B502/POBLA!$B$25*100000</f>
        <v>38.036445044785104</v>
      </c>
      <c r="X502" s="513">
        <f t="shared" si="319"/>
        <v>0.83349649208680043</v>
      </c>
      <c r="Y502" s="519">
        <f t="shared" si="320"/>
        <v>1.7838166641016059E-2</v>
      </c>
      <c r="Z502" s="520">
        <f t="shared" si="321"/>
        <v>0.17666710695450752</v>
      </c>
      <c r="AA502" s="517">
        <f t="shared" si="322"/>
        <v>15668</v>
      </c>
      <c r="AB502" s="542">
        <f t="shared" si="323"/>
        <v>433.71428571428572</v>
      </c>
      <c r="AC502" s="517">
        <f t="shared" si="340"/>
        <v>416.30884836971126</v>
      </c>
      <c r="AD502" s="517">
        <f t="shared" si="324"/>
        <v>-17.405437344574466</v>
      </c>
      <c r="AE502" s="656">
        <f t="shared" si="325"/>
        <v>16055.285714285714</v>
      </c>
      <c r="AF502" s="520">
        <f t="shared" si="326"/>
        <v>0.95289231785087491</v>
      </c>
      <c r="AG502" s="200">
        <f t="shared" si="327"/>
        <v>-3.6251205136264231E-2</v>
      </c>
      <c r="AH502" s="200">
        <f t="shared" si="328"/>
        <v>0.18893787023005926</v>
      </c>
      <c r="AI502" s="355">
        <f t="shared" si="329"/>
        <v>1.0913012221423437</v>
      </c>
      <c r="AJ502" s="657">
        <f t="shared" si="330"/>
        <v>-4.7107682149125085E-2</v>
      </c>
      <c r="AK502" s="414">
        <f t="shared" si="331"/>
        <v>2.2770398481973434E-2</v>
      </c>
      <c r="AL502" s="28">
        <f t="shared" si="332"/>
        <v>1.7191511602857718E-2</v>
      </c>
      <c r="AM502" s="200">
        <f t="shared" si="333"/>
        <v>0.90064754856614249</v>
      </c>
      <c r="AN502" s="200">
        <f t="shared" si="334"/>
        <v>1.0913012221423437</v>
      </c>
      <c r="AO502" s="18">
        <f t="shared" si="335"/>
        <v>44412</v>
      </c>
      <c r="AP502" s="355">
        <f t="shared" si="336"/>
        <v>0.83349649208680043</v>
      </c>
      <c r="AQ502" s="7">
        <f t="shared" si="337"/>
        <v>33171.285714285717</v>
      </c>
      <c r="AR502" s="290">
        <f t="shared" si="338"/>
        <v>527.29600000000005</v>
      </c>
    </row>
    <row r="503" spans="1:45" x14ac:dyDescent="0.25">
      <c r="A503" s="18">
        <v>44394</v>
      </c>
      <c r="B503" s="689">
        <v>12230</v>
      </c>
      <c r="C503" s="154">
        <f t="shared" si="309"/>
        <v>4749443</v>
      </c>
      <c r="D503" s="329">
        <v>276</v>
      </c>
      <c r="E503" s="126">
        <f t="shared" si="339"/>
        <v>101486</v>
      </c>
      <c r="F503" s="126">
        <f t="shared" si="311"/>
        <v>16064</v>
      </c>
      <c r="G503" s="154">
        <v>4379169</v>
      </c>
      <c r="H503" s="126">
        <v>4873</v>
      </c>
      <c r="I503" s="4">
        <v>79364</v>
      </c>
      <c r="J503" s="4">
        <f t="shared" si="312"/>
        <v>18173626</v>
      </c>
      <c r="K503" s="558">
        <f t="shared" si="318"/>
        <v>90044</v>
      </c>
      <c r="L503" s="541">
        <v>30505</v>
      </c>
      <c r="M503" s="7">
        <v>8807453</v>
      </c>
      <c r="N503" s="4">
        <v>8837958</v>
      </c>
      <c r="O503" s="520">
        <f t="shared" si="281"/>
        <v>0.26115737774930597</v>
      </c>
      <c r="P503" s="200">
        <f t="shared" si="258"/>
        <v>0.15410009576130235</v>
      </c>
      <c r="Q503" s="4"/>
      <c r="R503" s="4"/>
      <c r="S503" s="290">
        <f t="shared" si="314"/>
        <v>268788</v>
      </c>
      <c r="T503" s="1">
        <v>-42</v>
      </c>
      <c r="U503" s="4">
        <v>701</v>
      </c>
      <c r="V503" s="512">
        <f>SUM(B490:B503)/POBLA!$B$25*100000</f>
        <v>491.33805408931892</v>
      </c>
      <c r="W503" s="512">
        <f>B503/POBLA!$B$25*100000</f>
        <v>26.950102711182538</v>
      </c>
      <c r="X503" s="513">
        <f t="shared" si="319"/>
        <v>0.83173243708011446</v>
      </c>
      <c r="Y503" s="519">
        <f t="shared" si="320"/>
        <v>1.8129529592094885E-2</v>
      </c>
      <c r="Z503" s="520">
        <f t="shared" si="321"/>
        <v>0.17506520621664329</v>
      </c>
      <c r="AA503" s="517">
        <f t="shared" si="322"/>
        <v>15763.571428571429</v>
      </c>
      <c r="AB503" s="542">
        <f t="shared" si="323"/>
        <v>422.57142857142856</v>
      </c>
      <c r="AC503" s="517">
        <f t="shared" si="340"/>
        <v>402.31187621923613</v>
      </c>
      <c r="AD503" s="517">
        <f t="shared" si="324"/>
        <v>-20.259552352192429</v>
      </c>
      <c r="AE503" s="656">
        <f t="shared" si="325"/>
        <v>15926.428571428571</v>
      </c>
      <c r="AF503" s="520">
        <f t="shared" si="326"/>
        <v>0.97975582685904561</v>
      </c>
      <c r="AG503" s="200">
        <f t="shared" si="327"/>
        <v>-2.4833746322102224E-2</v>
      </c>
      <c r="AH503" s="200">
        <f t="shared" si="328"/>
        <v>5.7866966525387031E-2</v>
      </c>
      <c r="AI503" s="355">
        <f t="shared" si="329"/>
        <v>1.0126668948990072</v>
      </c>
      <c r="AJ503" s="657">
        <f t="shared" si="330"/>
        <v>-2.0244173140954391E-2</v>
      </c>
      <c r="AK503" s="414">
        <f t="shared" si="331"/>
        <v>2.2714358115890836E-2</v>
      </c>
      <c r="AL503" s="28">
        <f t="shared" si="332"/>
        <v>1.7679305453265754E-2</v>
      </c>
      <c r="AM503" s="200">
        <f t="shared" si="333"/>
        <v>0.89791781831582829</v>
      </c>
      <c r="AN503" s="200">
        <f t="shared" si="334"/>
        <v>1.0126668948990072</v>
      </c>
      <c r="AO503" s="18">
        <f t="shared" si="335"/>
        <v>44413</v>
      </c>
      <c r="AP503" s="355">
        <f t="shared" si="336"/>
        <v>0.83173243708011435</v>
      </c>
      <c r="AQ503" s="7">
        <f t="shared" si="337"/>
        <v>33171.285714285717</v>
      </c>
      <c r="AR503" s="290">
        <f t="shared" si="338"/>
        <v>538.99200000000008</v>
      </c>
    </row>
    <row r="504" spans="1:45" x14ac:dyDescent="0.25">
      <c r="A504" s="655">
        <v>44395</v>
      </c>
      <c r="B504" s="689">
        <v>6935</v>
      </c>
      <c r="C504" s="154">
        <f t="shared" si="309"/>
        <v>4756378</v>
      </c>
      <c r="D504" s="329">
        <v>115</v>
      </c>
      <c r="E504" s="126">
        <f t="shared" si="339"/>
        <v>101601</v>
      </c>
      <c r="F504" s="126">
        <f t="shared" si="311"/>
        <v>15526</v>
      </c>
      <c r="G504" s="154">
        <v>4394695</v>
      </c>
      <c r="H504" s="126">
        <v>4783</v>
      </c>
      <c r="I504" s="4">
        <v>52894</v>
      </c>
      <c r="J504" s="4">
        <f t="shared" si="312"/>
        <v>18226520</v>
      </c>
      <c r="K504" s="558">
        <f t="shared" si="318"/>
        <v>90438.28571428571</v>
      </c>
      <c r="L504" s="541">
        <v>30538</v>
      </c>
      <c r="M504" s="7">
        <v>8830745</v>
      </c>
      <c r="N504" s="4">
        <v>8861283</v>
      </c>
      <c r="O504" s="520">
        <f t="shared" si="281"/>
        <v>0.2291804362194316</v>
      </c>
      <c r="P504" s="200">
        <f t="shared" si="258"/>
        <v>0.13111127916209778</v>
      </c>
      <c r="Q504" s="4"/>
      <c r="R504" s="4"/>
      <c r="S504" s="290">
        <f t="shared" si="314"/>
        <v>260082</v>
      </c>
      <c r="T504" s="1">
        <v>-42</v>
      </c>
      <c r="U504" s="4">
        <v>701</v>
      </c>
      <c r="V504" s="512">
        <f>SUM(B491:B504)/POBLA!$B$25*100000</f>
        <v>486.7876074745526</v>
      </c>
      <c r="W504" s="512">
        <f>B504/POBLA!$B$25*100000</f>
        <v>15.282008364844717</v>
      </c>
      <c r="X504" s="513">
        <f t="shared" si="319"/>
        <v>0.82833990790598611</v>
      </c>
      <c r="Y504" s="519">
        <f t="shared" si="320"/>
        <v>1.8390353811490224E-2</v>
      </c>
      <c r="Z504" s="520">
        <f t="shared" si="321"/>
        <v>0.17127701921436561</v>
      </c>
      <c r="AA504" s="517">
        <f>AVERAGE(B498:B504)</f>
        <v>15490</v>
      </c>
      <c r="AB504" s="542">
        <f t="shared" si="323"/>
        <v>398.85714285714283</v>
      </c>
      <c r="AC504" s="517">
        <f t="shared" si="340"/>
        <v>393.43470088849767</v>
      </c>
      <c r="AD504" s="517">
        <f t="shared" si="324"/>
        <v>-5.4224419686451597</v>
      </c>
      <c r="AE504" s="545">
        <f t="shared" si="325"/>
        <v>15778.928571428571</v>
      </c>
      <c r="AF504" s="520">
        <f>AA504/AA497</f>
        <v>0.96403645254501003</v>
      </c>
      <c r="AG504" s="200">
        <f t="shared" si="327"/>
        <v>-2.3111161192179819E-2</v>
      </c>
      <c r="AH504" s="200">
        <f t="shared" si="328"/>
        <v>-0.21638418079096045</v>
      </c>
      <c r="AI504" s="355">
        <f t="shared" si="329"/>
        <v>0.96542185338865827</v>
      </c>
      <c r="AJ504" s="657">
        <f t="shared" si="330"/>
        <v>-3.5963547454989975E-2</v>
      </c>
      <c r="AK504" s="414">
        <f t="shared" si="331"/>
        <v>2.1624301005313134E-2</v>
      </c>
      <c r="AL504" s="28">
        <f t="shared" si="332"/>
        <v>1.7965331380171652E-2</v>
      </c>
      <c r="AM504" s="200">
        <f t="shared" si="333"/>
        <v>0.89418582912693967</v>
      </c>
      <c r="AN504" s="200">
        <f t="shared" si="334"/>
        <v>0.96542185338865827</v>
      </c>
      <c r="AO504" s="18">
        <f t="shared" si="335"/>
        <v>44414</v>
      </c>
      <c r="AP504" s="355">
        <f t="shared" si="336"/>
        <v>0.82833990790598611</v>
      </c>
      <c r="AQ504" s="7">
        <f t="shared" si="337"/>
        <v>33171.285714285717</v>
      </c>
      <c r="AR504" s="290">
        <f t="shared" si="338"/>
        <v>545.83199999999999</v>
      </c>
    </row>
    <row r="505" spans="1:45" x14ac:dyDescent="0.25">
      <c r="A505" s="18">
        <v>44396</v>
      </c>
      <c r="B505" s="689">
        <v>12764</v>
      </c>
      <c r="C505" s="154">
        <f t="shared" si="309"/>
        <v>4769142</v>
      </c>
      <c r="D505" s="329">
        <v>412</v>
      </c>
      <c r="E505" s="126">
        <f t="shared" si="339"/>
        <v>102013</v>
      </c>
      <c r="F505" s="126">
        <f t="shared" si="311"/>
        <v>13120</v>
      </c>
      <c r="G505" s="154">
        <v>4407815</v>
      </c>
      <c r="H505" s="126">
        <v>4681</v>
      </c>
      <c r="I505" s="4">
        <v>71160</v>
      </c>
      <c r="J505" s="4">
        <f t="shared" si="312"/>
        <v>18297680</v>
      </c>
      <c r="K505" s="558">
        <f t="shared" ref="K505:K506" si="341">AVERAGE(I499:I505)</f>
        <v>89757.28571428571</v>
      </c>
      <c r="L505" s="541">
        <v>30686</v>
      </c>
      <c r="M505" s="7">
        <v>8856033</v>
      </c>
      <c r="N505" s="4">
        <v>8886719</v>
      </c>
      <c r="O505" s="520">
        <f t="shared" si="281"/>
        <v>0.33413612565445028</v>
      </c>
      <c r="P505" s="200">
        <f t="shared" si="258"/>
        <v>0.17937043282743115</v>
      </c>
      <c r="Q505" s="4"/>
      <c r="R505" s="4"/>
      <c r="S505" s="290">
        <f t="shared" si="314"/>
        <v>259314</v>
      </c>
      <c r="T505" s="1">
        <v>-42</v>
      </c>
      <c r="U505" s="4">
        <v>701</v>
      </c>
      <c r="V505" s="512">
        <f>SUM(B492:B505)/POBLA!$B$25*100000</f>
        <v>476.84273310533206</v>
      </c>
      <c r="W505" s="512">
        <f>B505/POBLA!$B$25*100000</f>
        <v>28.126828373306122</v>
      </c>
      <c r="X505" s="513">
        <f t="shared" ref="X505:X507" si="342">SUM(B492:B505)/SUM(B478:B491)</f>
        <v>0.78586551905721702</v>
      </c>
      <c r="Y505" s="519">
        <f t="shared" ref="Y505:Y507" si="343">H505/S505</f>
        <v>1.805147427443177E-2</v>
      </c>
      <c r="Z505" s="520">
        <f t="shared" ref="Z505:Z507" si="344">SUM(B499:B505)/SUM(I499:I505)</f>
        <v>0.16903522356322845</v>
      </c>
      <c r="AA505" s="517">
        <f t="shared" ref="AA505" si="345">AVERAGE(B499:B505)</f>
        <v>15172.142857142857</v>
      </c>
      <c r="AB505" s="542">
        <f t="shared" ref="AB505:AB506" si="346">AVERAGE(D499:D505)</f>
        <v>389.14285714285717</v>
      </c>
      <c r="AC505" s="517">
        <f t="shared" si="340"/>
        <v>391.1107833413086</v>
      </c>
      <c r="AD505" s="517">
        <f t="shared" ref="AD505:AD507" si="347">AC505-AB505</f>
        <v>1.9679261984514369</v>
      </c>
      <c r="AE505" s="545">
        <f t="shared" ref="AE505:AE507" si="348">AVERAGE(B492:B505)</f>
        <v>15456.571428571429</v>
      </c>
      <c r="AF505" s="520">
        <f t="shared" ref="AF505:AF507" si="349">AA505/AA498</f>
        <v>0.96386143555954873</v>
      </c>
      <c r="AG505" s="200">
        <f t="shared" ref="AG505:AG506" si="350">S505/S498-1</f>
        <v>-1.3358698753923703E-2</v>
      </c>
      <c r="AH505" s="200">
        <f t="shared" ref="AH505:AH507" si="351">B505/B498-1</f>
        <v>-0.14844219094002264</v>
      </c>
      <c r="AI505" s="355">
        <f t="shared" ref="AI505:AI507" si="352">AB505/AB498</f>
        <v>0.99018538713195203</v>
      </c>
      <c r="AJ505" s="657">
        <f t="shared" ref="AJ505:AJ507" si="353">AF505-1</f>
        <v>-3.6138564440451271E-2</v>
      </c>
      <c r="AK505" s="414">
        <f t="shared" ref="AK505:AK507" si="354">AB505/AA492</f>
        <v>2.15099613863028E-2</v>
      </c>
      <c r="AL505" s="28">
        <f t="shared" ref="AL505:AL507" si="355">H505/S498</f>
        <v>1.7810330067535431E-2</v>
      </c>
      <c r="AM505" s="200">
        <f t="shared" ref="AM505:AM507" si="356">H505/H498</f>
        <v>0.89639984680199158</v>
      </c>
      <c r="AN505" s="200">
        <f t="shared" ref="AN505:AN507" si="357">AB505/AB498</f>
        <v>0.99018538713195203</v>
      </c>
      <c r="AO505" s="18">
        <f t="shared" ref="AO505:AO507" si="358">A504+20</f>
        <v>44415</v>
      </c>
      <c r="AP505" s="355">
        <f t="shared" ref="AP505:AP507" si="359">AE505/AE491</f>
        <v>0.78586551905721702</v>
      </c>
      <c r="AQ505" s="7">
        <f t="shared" ref="AQ505:AQ507" si="360">MAX(AA:AA)</f>
        <v>33171.285714285717</v>
      </c>
      <c r="AR505" s="290">
        <f t="shared" ref="AR505:AR507" si="361">AA484*0.028</f>
        <v>584.96399999999994</v>
      </c>
    </row>
    <row r="506" spans="1:45" x14ac:dyDescent="0.25">
      <c r="A506" s="18">
        <v>44397</v>
      </c>
      <c r="B506" s="689">
        <v>15077</v>
      </c>
      <c r="C506" s="154">
        <f t="shared" si="309"/>
        <v>4784219</v>
      </c>
      <c r="D506" s="329">
        <v>426</v>
      </c>
      <c r="E506" s="126">
        <f t="shared" si="339"/>
        <v>102439</v>
      </c>
      <c r="F506" s="126">
        <f t="shared" si="311"/>
        <v>13180</v>
      </c>
      <c r="G506" s="154">
        <v>4420995</v>
      </c>
      <c r="H506" s="126">
        <v>4643</v>
      </c>
      <c r="I506" s="4">
        <v>93435</v>
      </c>
      <c r="J506" s="4">
        <f t="shared" si="312"/>
        <v>18391115</v>
      </c>
      <c r="K506" s="558">
        <f t="shared" si="341"/>
        <v>88006.142857142855</v>
      </c>
      <c r="L506" s="541">
        <v>30828</v>
      </c>
      <c r="M506" s="7">
        <v>8894116</v>
      </c>
      <c r="N506" s="4">
        <v>8924944</v>
      </c>
      <c r="O506" s="520">
        <f t="shared" si="281"/>
        <v>0.2828599302089978</v>
      </c>
      <c r="P506" s="200">
        <f t="shared" si="258"/>
        <v>0.16136351474286936</v>
      </c>
      <c r="Q506" s="4"/>
      <c r="R506" s="4"/>
      <c r="S506" s="290">
        <f t="shared" si="314"/>
        <v>260785</v>
      </c>
      <c r="T506" s="1">
        <v>-42</v>
      </c>
      <c r="U506" s="4">
        <v>701</v>
      </c>
      <c r="V506" s="512">
        <f>SUM(B493:B506)/POBLA!$B$25*100000</f>
        <v>462.49064651842025</v>
      </c>
      <c r="W506" s="512">
        <f>B506/POBLA!$B$25*100000</f>
        <v>33.223769303066163</v>
      </c>
      <c r="X506" s="513">
        <f t="shared" si="342"/>
        <v>0.7616509047097163</v>
      </c>
      <c r="Y506" s="519">
        <f t="shared" si="343"/>
        <v>1.7803938109937304E-2</v>
      </c>
      <c r="Z506" s="520">
        <f t="shared" si="344"/>
        <v>0.16437001962525344</v>
      </c>
      <c r="AA506" s="517">
        <f>AVERAGE(B500:B506)</f>
        <v>14465.571428571429</v>
      </c>
      <c r="AB506" s="542">
        <f t="shared" si="346"/>
        <v>394.71428571428572</v>
      </c>
      <c r="AC506" s="517">
        <f t="shared" si="340"/>
        <v>383.6578289514365</v>
      </c>
      <c r="AD506" s="517">
        <f t="shared" si="347"/>
        <v>-11.056456762849223</v>
      </c>
      <c r="AE506" s="545">
        <f t="shared" si="348"/>
        <v>14991.357142857143</v>
      </c>
      <c r="AF506" s="520">
        <f t="shared" si="349"/>
        <v>0.93223163321671887</v>
      </c>
      <c r="AG506" s="200">
        <f t="shared" si="350"/>
        <v>-2.9424134042450256E-2</v>
      </c>
      <c r="AH506" s="200">
        <f t="shared" si="351"/>
        <v>-0.24701593167856961</v>
      </c>
      <c r="AI506" s="355">
        <f t="shared" si="352"/>
        <v>1.0352191832146871</v>
      </c>
      <c r="AJ506" s="657">
        <f t="shared" si="353"/>
        <v>-6.7768366783281131E-2</v>
      </c>
      <c r="AK506" s="414">
        <f t="shared" si="354"/>
        <v>2.2392595774339691E-2</v>
      </c>
      <c r="AL506" s="28">
        <f t="shared" si="355"/>
        <v>1.7280072648507019E-2</v>
      </c>
      <c r="AM506" s="200">
        <f t="shared" si="356"/>
        <v>0.89305635699172914</v>
      </c>
      <c r="AN506" s="200">
        <f t="shared" si="357"/>
        <v>1.0352191832146871</v>
      </c>
      <c r="AO506" s="18">
        <f t="shared" si="358"/>
        <v>44416</v>
      </c>
      <c r="AP506" s="355">
        <f t="shared" si="359"/>
        <v>0.7616509047097163</v>
      </c>
      <c r="AQ506" s="7">
        <f t="shared" si="360"/>
        <v>33171.285714285717</v>
      </c>
      <c r="AR506" s="290">
        <f t="shared" si="361"/>
        <v>595.67600000000004</v>
      </c>
    </row>
    <row r="507" spans="1:45" x14ac:dyDescent="0.25">
      <c r="A507" s="18">
        <v>44398</v>
      </c>
      <c r="B507" s="689">
        <v>14632</v>
      </c>
      <c r="C507" s="154">
        <f t="shared" si="309"/>
        <v>4798851</v>
      </c>
      <c r="D507" s="329">
        <v>438</v>
      </c>
      <c r="E507" s="126">
        <f t="shared" si="339"/>
        <v>102877</v>
      </c>
      <c r="F507" s="126">
        <f t="shared" si="311"/>
        <v>10876</v>
      </c>
      <c r="G507" s="154">
        <v>4431871</v>
      </c>
      <c r="H507" s="126">
        <v>4583</v>
      </c>
      <c r="I507" s="4">
        <v>88539</v>
      </c>
      <c r="J507" s="4">
        <f t="shared" si="312"/>
        <v>18479654</v>
      </c>
      <c r="K507" s="558">
        <f>AVERAGE(I501:I507)</f>
        <v>85019.428571428565</v>
      </c>
      <c r="L507" s="541">
        <v>30973</v>
      </c>
      <c r="M507" s="7">
        <v>8931117</v>
      </c>
      <c r="N507" s="4">
        <v>8962090</v>
      </c>
      <c r="O507" s="520">
        <f t="shared" si="281"/>
        <v>0.2825910618409363</v>
      </c>
      <c r="P507" s="200">
        <f t="shared" si="258"/>
        <v>0.16526050666937733</v>
      </c>
      <c r="Q507" s="4"/>
      <c r="R507" s="4"/>
      <c r="S507" s="290">
        <f t="shared" si="314"/>
        <v>264103</v>
      </c>
      <c r="T507" s="1">
        <v>-42</v>
      </c>
      <c r="U507" s="4">
        <v>701</v>
      </c>
      <c r="V507" s="512">
        <f>SUM(B494:B507)/POBLA!$B$25*100000</f>
        <v>451.93316965094061</v>
      </c>
      <c r="W507" s="512">
        <f>B507/POBLA!$B$25*100000</f>
        <v>32.243164584629838</v>
      </c>
      <c r="X507" s="513">
        <f t="shared" si="342"/>
        <v>0.76622008353819371</v>
      </c>
      <c r="Y507" s="519">
        <f t="shared" si="343"/>
        <v>1.7353078155113725E-2</v>
      </c>
      <c r="Z507" s="520">
        <f t="shared" si="344"/>
        <v>0.1616336434025164</v>
      </c>
      <c r="AA507" s="517">
        <f>AVERAGE(B501:B507)</f>
        <v>13742</v>
      </c>
      <c r="AB507" s="542">
        <f>AVERAGE(D501:D507)</f>
        <v>369.57142857142856</v>
      </c>
      <c r="AC507" s="517">
        <f t="shared" si="340"/>
        <v>373.98488515842024</v>
      </c>
      <c r="AD507" s="517">
        <f t="shared" si="347"/>
        <v>4.4134565869916855</v>
      </c>
      <c r="AE507" s="545">
        <f t="shared" si="348"/>
        <v>14649.142857142857</v>
      </c>
      <c r="AF507" s="520">
        <f t="shared" si="349"/>
        <v>0.88337282127573602</v>
      </c>
      <c r="AG507" s="200">
        <f>S507/S500-1</f>
        <v>-4.298024379991594E-2</v>
      </c>
      <c r="AH507" s="200">
        <f t="shared" si="351"/>
        <v>-0.25714575823729502</v>
      </c>
      <c r="AI507" s="355">
        <f t="shared" si="352"/>
        <v>0.91542816702052365</v>
      </c>
      <c r="AJ507" s="657">
        <f t="shared" si="353"/>
        <v>-0.11662717872426398</v>
      </c>
      <c r="AK507" s="414">
        <f t="shared" si="354"/>
        <v>2.1297790364540454E-2</v>
      </c>
      <c r="AL507" s="28">
        <f t="shared" si="355"/>
        <v>1.6607238625327942E-2</v>
      </c>
      <c r="AM507" s="200">
        <f t="shared" si="356"/>
        <v>0.90003927729772193</v>
      </c>
      <c r="AN507" s="200">
        <f t="shared" si="357"/>
        <v>0.91542816702052365</v>
      </c>
      <c r="AO507" s="18">
        <f t="shared" si="358"/>
        <v>44417</v>
      </c>
      <c r="AP507" s="355">
        <f t="shared" si="359"/>
        <v>0.76622008353819371</v>
      </c>
      <c r="AQ507" s="7">
        <f t="shared" si="360"/>
        <v>33171.285714285717</v>
      </c>
      <c r="AR507" s="290">
        <f t="shared" si="361"/>
        <v>577.09199999999998</v>
      </c>
    </row>
    <row r="508" spans="1:45" x14ac:dyDescent="0.25">
      <c r="A508" s="18">
        <v>44399</v>
      </c>
      <c r="B508" s="689">
        <v>13500</v>
      </c>
      <c r="C508" s="154">
        <f t="shared" si="309"/>
        <v>4812351</v>
      </c>
      <c r="D508" s="329">
        <v>267</v>
      </c>
      <c r="E508" s="126">
        <f t="shared" si="339"/>
        <v>103144</v>
      </c>
      <c r="F508" s="126">
        <f t="shared" si="311"/>
        <v>16082</v>
      </c>
      <c r="G508" s="154">
        <v>4447953</v>
      </c>
      <c r="H508" s="126">
        <v>4532</v>
      </c>
      <c r="I508" s="4">
        <v>98879</v>
      </c>
      <c r="J508" s="4">
        <f t="shared" si="312"/>
        <v>18578533</v>
      </c>
      <c r="K508" s="558">
        <f>AVERAGE(I502:I508)</f>
        <v>85291.28571428571</v>
      </c>
      <c r="L508" s="541">
        <v>31194</v>
      </c>
      <c r="M508" s="7">
        <v>8972584</v>
      </c>
      <c r="N508" s="4">
        <v>9003778</v>
      </c>
      <c r="O508" s="520">
        <f t="shared" si="281"/>
        <v>0.2446183953033268</v>
      </c>
      <c r="P508" s="200">
        <f t="shared" si="258"/>
        <v>0.13653050698328259</v>
      </c>
      <c r="Q508" s="4"/>
      <c r="R508" s="4"/>
      <c r="S508" s="290">
        <f t="shared" ref="S508" si="362">C508-E508-G508</f>
        <v>261254</v>
      </c>
      <c r="T508" s="1">
        <v>-42</v>
      </c>
      <c r="U508" s="4">
        <v>701</v>
      </c>
      <c r="V508" s="512">
        <f>SUM(B495:B508)/POBLA!$B$25*100000</f>
        <v>439.24921288842501</v>
      </c>
      <c r="W508" s="512">
        <f>B508/POBLA!$B$25*100000</f>
        <v>29.748682469416536</v>
      </c>
      <c r="X508" s="513">
        <f t="shared" ref="X508" si="363">SUM(B495:B508)/SUM(B481:B494)</f>
        <v>0.75949019831971198</v>
      </c>
      <c r="Y508" s="519">
        <f t="shared" ref="Y508" si="364">H508/S508</f>
        <v>1.7347102819478363E-2</v>
      </c>
      <c r="Z508" s="520">
        <f t="shared" ref="Z508" si="365">SUM(B502:B508)/SUM(I502:I508)</f>
        <v>0.15476208421895388</v>
      </c>
      <c r="AA508" s="517">
        <f>AVERAGE(B502:B508)</f>
        <v>13199.857142857143</v>
      </c>
      <c r="AB508" s="542">
        <f>AVERAGE(D502:D508)</f>
        <v>342.71428571428572</v>
      </c>
      <c r="AC508" s="517">
        <f t="shared" si="340"/>
        <v>368.37856510020873</v>
      </c>
      <c r="AD508" s="517">
        <f>AC508-AB508</f>
        <v>25.66427938592301</v>
      </c>
      <c r="AE508" s="545">
        <f t="shared" ref="AE508" si="366">AVERAGE(B495:B508)</f>
        <v>14238</v>
      </c>
      <c r="AF508" s="520">
        <f t="shared" ref="AF508" si="367">AA508/AA501</f>
        <v>0.86408311746607691</v>
      </c>
      <c r="AG508" s="200">
        <f>S508/S501-1</f>
        <v>-4.5326648590576557E-2</v>
      </c>
      <c r="AH508" s="200">
        <f t="shared" ref="AH508" si="368">B508/B501-1</f>
        <v>-0.21942758022549869</v>
      </c>
      <c r="AI508" s="355">
        <f t="shared" ref="AI508" si="369">AB508/AB501</f>
        <v>0.85222024866785073</v>
      </c>
      <c r="AJ508" s="657">
        <f t="shared" ref="AJ508" si="370">AF508-1</f>
        <v>-0.13591688253392309</v>
      </c>
      <c r="AK508" s="414">
        <f t="shared" ref="AK508" si="371">AB508/AA495</f>
        <v>2.0843107612643141E-2</v>
      </c>
      <c r="AL508" s="28">
        <f t="shared" ref="AL508" si="372">H508/S501</f>
        <v>1.6560816785915266E-2</v>
      </c>
      <c r="AM508" s="200">
        <f t="shared" ref="AM508" si="373">H508/H501</f>
        <v>0.90404947137442648</v>
      </c>
      <c r="AN508" s="200">
        <f t="shared" ref="AN508" si="374">AB508/AB501</f>
        <v>0.85222024866785073</v>
      </c>
      <c r="AO508" s="18">
        <f t="shared" ref="AO508" si="375">A507+20</f>
        <v>44418</v>
      </c>
      <c r="AP508" s="355">
        <f t="shared" ref="AP508" si="376">AE508/AE494</f>
        <v>0.75949019831971198</v>
      </c>
      <c r="AQ508" s="7">
        <f t="shared" ref="AQ508" si="377">MAX(AA:AA)</f>
        <v>33171.285714285717</v>
      </c>
      <c r="AR508" s="290">
        <f t="shared" ref="AR508" si="378">AA487*0.028</f>
        <v>563.94799999999998</v>
      </c>
      <c r="AS508" s="663">
        <v>0.62569444444444444</v>
      </c>
    </row>
    <row r="509" spans="1:45" x14ac:dyDescent="0.25">
      <c r="A509" s="18">
        <v>44400</v>
      </c>
      <c r="B509" s="689">
        <v>15622</v>
      </c>
      <c r="C509" s="154">
        <f t="shared" si="309"/>
        <v>4827973</v>
      </c>
      <c r="D509" s="329">
        <v>286</v>
      </c>
      <c r="E509" s="126">
        <f t="shared" si="339"/>
        <v>103430</v>
      </c>
      <c r="F509" s="126">
        <f t="shared" si="311"/>
        <v>17034</v>
      </c>
      <c r="G509" s="154">
        <v>4464987</v>
      </c>
      <c r="H509" s="126">
        <v>4358</v>
      </c>
      <c r="I509" s="4">
        <v>104287</v>
      </c>
      <c r="J509" s="4">
        <f t="shared" si="312"/>
        <v>18682820</v>
      </c>
      <c r="K509" s="558">
        <f>AVERAGE(I503:I509)</f>
        <v>84079.71428571429</v>
      </c>
      <c r="L509" s="541">
        <v>31368</v>
      </c>
      <c r="M509" s="7">
        <v>9015025</v>
      </c>
      <c r="N509" s="4">
        <v>9046393</v>
      </c>
      <c r="O509" s="520">
        <f t="shared" si="281"/>
        <v>0.2682487078661332</v>
      </c>
      <c r="P509" s="200">
        <f t="shared" si="258"/>
        <v>0.14979815317345402</v>
      </c>
      <c r="Q509" s="4"/>
      <c r="R509" s="4"/>
      <c r="S509" s="290">
        <f t="shared" ref="S509" si="379">C509-E509-G509</f>
        <v>259556</v>
      </c>
      <c r="T509" s="1">
        <v>-42</v>
      </c>
      <c r="U509" s="4">
        <v>701</v>
      </c>
      <c r="V509" s="512">
        <f>SUM(B496:B509)/POBLA!$B$25*100000</f>
        <v>441.68199403259052</v>
      </c>
      <c r="W509" s="512">
        <f>B509/POBLA!$B$25*100000</f>
        <v>34.424734632387043</v>
      </c>
      <c r="X509" s="513">
        <f t="shared" ref="X509" si="380">SUM(B496:B509)/SUM(B482:B495)</f>
        <v>0.79239375370626608</v>
      </c>
      <c r="Y509" s="519">
        <f t="shared" ref="Y509" si="381">H509/S509</f>
        <v>1.6790210975666138E-2</v>
      </c>
      <c r="Z509" s="520">
        <f t="shared" ref="Z509" si="382">SUM(B503:B509)/SUM(I503:I509)</f>
        <v>0.15420740181936191</v>
      </c>
      <c r="AA509" s="517">
        <f>AVERAGE(B503:B509)</f>
        <v>12965.714285714286</v>
      </c>
      <c r="AB509" s="542">
        <f>AVERAGE(D503:D509)</f>
        <v>317.14285714285717</v>
      </c>
      <c r="AC509" s="517">
        <f t="shared" si="340"/>
        <v>348.83200446124391</v>
      </c>
      <c r="AD509" s="517">
        <f>AC509-AB509</f>
        <v>31.689147318386745</v>
      </c>
      <c r="AE509" s="545">
        <f t="shared" ref="AE509" si="383">AVERAGE(B496:B509)</f>
        <v>14316.857142857143</v>
      </c>
      <c r="AF509" s="520">
        <f t="shared" ref="AF509" si="384">AA509/AA502</f>
        <v>0.8275283562493162</v>
      </c>
      <c r="AG509" s="200">
        <f>S509/S502-1</f>
        <v>-4.8890061488175096E-2</v>
      </c>
      <c r="AH509" s="200">
        <f t="shared" ref="AH509" si="385">B509/B502-1</f>
        <v>-9.4953942413533388E-2</v>
      </c>
      <c r="AI509" s="355">
        <f t="shared" ref="AI509" si="386">AB509/AB502</f>
        <v>0.73122529644268774</v>
      </c>
      <c r="AJ509" s="657">
        <f t="shared" ref="AJ509" si="387">AF509-1</f>
        <v>-0.1724716437506838</v>
      </c>
      <c r="AK509" s="414">
        <f t="shared" ref="AK509" si="388">AB509/AA496</f>
        <v>1.9711431742508327E-2</v>
      </c>
      <c r="AL509" s="28">
        <f t="shared" ref="AL509" si="389">H509/S502</f>
        <v>1.5969336528666389E-2</v>
      </c>
      <c r="AM509" s="200">
        <f t="shared" ref="AM509" si="390">H509/H502</f>
        <v>0.89523418241577646</v>
      </c>
      <c r="AN509" s="200">
        <f t="shared" ref="AN509" si="391">AB509/AB502</f>
        <v>0.73122529644268774</v>
      </c>
      <c r="AO509" s="18">
        <f t="shared" ref="AO509" si="392">A508+20</f>
        <v>44419</v>
      </c>
      <c r="AP509" s="355">
        <f t="shared" ref="AP509" si="393">AE509/AE495</f>
        <v>0.79239375370626619</v>
      </c>
      <c r="AQ509" s="7">
        <f t="shared" ref="AQ509" si="394">MAX(AA:AA)</f>
        <v>33171.285714285717</v>
      </c>
      <c r="AR509" s="290">
        <f t="shared" ref="AR509" si="395">AA488*0.028</f>
        <v>551.40800000000002</v>
      </c>
    </row>
    <row r="510" spans="1:45" x14ac:dyDescent="0.25">
      <c r="A510" s="18">
        <v>44401</v>
      </c>
      <c r="B510" s="689">
        <v>11136</v>
      </c>
      <c r="C510" s="154">
        <f t="shared" si="309"/>
        <v>4839109</v>
      </c>
      <c r="D510" s="329">
        <v>225</v>
      </c>
      <c r="E510" s="126">
        <f t="shared" si="339"/>
        <v>103655</v>
      </c>
      <c r="F510" s="126">
        <f t="shared" si="311"/>
        <v>15349</v>
      </c>
      <c r="G510" s="154">
        <v>4480336</v>
      </c>
      <c r="H510" s="126">
        <v>4318</v>
      </c>
      <c r="I510" s="4">
        <v>85239</v>
      </c>
      <c r="J510" s="4">
        <f t="shared" ref="J510:J515" si="396">J509+I510</f>
        <v>18768059</v>
      </c>
      <c r="K510" s="558">
        <f t="shared" ref="K510:K512" si="397">AVERAGE(I504:I510)</f>
        <v>84919</v>
      </c>
      <c r="L510" s="541">
        <v>31557</v>
      </c>
      <c r="M510" s="7">
        <v>9052075</v>
      </c>
      <c r="N510" s="4">
        <v>9083632</v>
      </c>
      <c r="O510" s="520">
        <f t="shared" si="281"/>
        <v>0.2302015503875969</v>
      </c>
      <c r="P510" s="200">
        <f t="shared" si="258"/>
        <v>0.13064442332735016</v>
      </c>
      <c r="Q510" s="4"/>
      <c r="R510" s="4"/>
      <c r="S510" s="290">
        <f t="shared" ref="S510:S512" si="398">C510-E510-G510</f>
        <v>255118</v>
      </c>
      <c r="T510" s="1">
        <v>-42</v>
      </c>
      <c r="U510" s="4">
        <v>701</v>
      </c>
      <c r="V510" s="512">
        <f>SUM(B497:B510)/POBLA!$B$25*100000</f>
        <v>440.7454614363312</v>
      </c>
      <c r="W510" s="512">
        <f>B510/POBLA!$B$25*100000</f>
        <v>24.539357628105375</v>
      </c>
      <c r="X510" s="513">
        <f t="shared" ref="X510:X512" si="399">SUM(B497:B510)/SUM(B483:B496)</f>
        <v>0.8131982956301127</v>
      </c>
      <c r="Y510" s="519">
        <f t="shared" ref="Y510:Y512" si="400">H510/S510</f>
        <v>1.6925501140648641E-2</v>
      </c>
      <c r="Z510" s="520">
        <f t="shared" ref="Z510:Z512" si="401">SUM(B504:B510)/SUM(I504:I510)</f>
        <v>0.1508429040783402</v>
      </c>
      <c r="AA510" s="517">
        <f t="shared" ref="AA510:AA512" si="402">AVERAGE(B504:B510)</f>
        <v>12809.428571428571</v>
      </c>
      <c r="AB510" s="542">
        <f t="shared" ref="AB510:AB512" si="403">AVERAGE(D504:D510)</f>
        <v>309.85714285714283</v>
      </c>
      <c r="AC510" s="517">
        <f t="shared" si="340"/>
        <v>341.71408813893191</v>
      </c>
      <c r="AD510" s="517">
        <f t="shared" ref="AD510:AD512" si="404">AC510-AB510</f>
        <v>31.856945281789081</v>
      </c>
      <c r="AE510" s="545">
        <f t="shared" ref="AE510:AE512" si="405">AVERAGE(B497:B510)</f>
        <v>14286.5</v>
      </c>
      <c r="AF510" s="520">
        <f t="shared" ref="AF510:AF511" si="406">AA510/AA503</f>
        <v>0.81259685531741344</v>
      </c>
      <c r="AG510" s="200">
        <f t="shared" ref="AG510:AG512" si="407">S510/S503-1</f>
        <v>-5.0857925204994325E-2</v>
      </c>
      <c r="AH510" s="200">
        <f t="shared" ref="AH510:AH512" si="408">B510/B503-1</f>
        <v>-8.9452166802943545E-2</v>
      </c>
      <c r="AI510" s="355">
        <f t="shared" ref="AI510:AI512" si="409">AB510/AB503</f>
        <v>0.73326572008113589</v>
      </c>
      <c r="AJ510" s="657">
        <f t="shared" ref="AJ510:AJ512" si="410">AF510-1</f>
        <v>-0.18740314468258656</v>
      </c>
      <c r="AK510" s="414">
        <f t="shared" ref="AK510:AK512" si="411">AB510/AA497</f>
        <v>1.9284285396754832E-2</v>
      </c>
      <c r="AL510" s="28">
        <f t="shared" ref="AL510:AL512" si="412">H510/S503</f>
        <v>1.6064705269580488E-2</v>
      </c>
      <c r="AM510" s="200">
        <f t="shared" ref="AM510:AM512" si="413">H510/H503</f>
        <v>0.88610712087010057</v>
      </c>
      <c r="AN510" s="200">
        <f t="shared" ref="AN510:AN512" si="414">AB510/AB503</f>
        <v>0.73326572008113589</v>
      </c>
      <c r="AO510" s="18">
        <f t="shared" ref="AO510:AO512" si="415">A509+20</f>
        <v>44420</v>
      </c>
      <c r="AP510" s="355">
        <f t="shared" ref="AP510:AP512" si="416">AE510/AE496</f>
        <v>0.8131982956301127</v>
      </c>
      <c r="AQ510" s="7">
        <f t="shared" ref="AQ510:AQ512" si="417">MAX(AA:AA)</f>
        <v>33171.285714285717</v>
      </c>
      <c r="AR510" s="290">
        <f t="shared" ref="AR510:AR512" si="418">AA489*0.028</f>
        <v>533.32399999999996</v>
      </c>
    </row>
    <row r="511" spans="1:45" x14ac:dyDescent="0.25">
      <c r="A511" s="18">
        <v>44402</v>
      </c>
      <c r="B511" s="689">
        <v>7506</v>
      </c>
      <c r="C511" s="154">
        <f t="shared" si="309"/>
        <v>4846615</v>
      </c>
      <c r="D511" s="329">
        <v>137</v>
      </c>
      <c r="E511" s="126">
        <f t="shared" si="339"/>
        <v>103792</v>
      </c>
      <c r="F511" s="126">
        <f t="shared" si="311"/>
        <v>13648</v>
      </c>
      <c r="G511" s="154">
        <v>4493984</v>
      </c>
      <c r="H511" s="126">
        <v>4219</v>
      </c>
      <c r="I511" s="4">
        <v>57623</v>
      </c>
      <c r="J511" s="4">
        <f t="shared" si="396"/>
        <v>18825682</v>
      </c>
      <c r="K511" s="558">
        <f t="shared" si="397"/>
        <v>85594.571428571435</v>
      </c>
      <c r="L511" s="541">
        <v>31565</v>
      </c>
      <c r="M511" s="7">
        <v>9077879</v>
      </c>
      <c r="N511" s="4">
        <v>9109444</v>
      </c>
      <c r="O511" s="520">
        <f t="shared" si="281"/>
        <v>0.22528363047001621</v>
      </c>
      <c r="P511" s="200">
        <f t="shared" si="258"/>
        <v>0.13026048626416534</v>
      </c>
      <c r="Q511" s="4"/>
      <c r="R511" s="4"/>
      <c r="S511" s="290">
        <f t="shared" si="398"/>
        <v>248839</v>
      </c>
      <c r="T511" s="1">
        <v>-42</v>
      </c>
      <c r="U511" s="4">
        <v>701</v>
      </c>
      <c r="V511" s="512">
        <f>SUM(B498:B511)/POBLA!$B$25*100000</f>
        <v>437.7838148260426</v>
      </c>
      <c r="W511" s="512">
        <f>B511/POBLA!$B$25*100000</f>
        <v>16.540267452995593</v>
      </c>
      <c r="X511" s="513">
        <f t="shared" si="399"/>
        <v>0.81856687858723287</v>
      </c>
      <c r="Y511" s="519">
        <f t="shared" si="400"/>
        <v>1.6954737802354132E-2</v>
      </c>
      <c r="Z511" s="520">
        <f t="shared" si="401"/>
        <v>0.15060534546583396</v>
      </c>
      <c r="AA511" s="517">
        <f t="shared" si="402"/>
        <v>12891</v>
      </c>
      <c r="AB511" s="542">
        <f t="shared" si="403"/>
        <v>313</v>
      </c>
      <c r="AC511" s="517">
        <f t="shared" si="340"/>
        <v>341.58060641568528</v>
      </c>
      <c r="AD511" s="517">
        <f t="shared" si="404"/>
        <v>28.580606415685281</v>
      </c>
      <c r="AE511" s="545">
        <f t="shared" si="405"/>
        <v>14190.5</v>
      </c>
      <c r="AF511" s="520">
        <f t="shared" si="406"/>
        <v>0.83221433182698512</v>
      </c>
      <c r="AG511" s="200">
        <f t="shared" si="407"/>
        <v>-4.3228674033573999E-2</v>
      </c>
      <c r="AH511" s="200">
        <f t="shared" si="408"/>
        <v>8.2335976928622934E-2</v>
      </c>
      <c r="AI511" s="355">
        <f t="shared" si="409"/>
        <v>0.78474212034383961</v>
      </c>
      <c r="AJ511" s="657">
        <f t="shared" si="410"/>
        <v>-0.16778566817301488</v>
      </c>
      <c r="AK511" s="414">
        <f t="shared" si="411"/>
        <v>1.9884378374944413E-2</v>
      </c>
      <c r="AL511" s="28">
        <f t="shared" si="412"/>
        <v>1.6221806968571451E-2</v>
      </c>
      <c r="AM511" s="200">
        <f t="shared" si="413"/>
        <v>0.8820823750784027</v>
      </c>
      <c r="AN511" s="200">
        <f t="shared" si="414"/>
        <v>0.78474212034383961</v>
      </c>
      <c r="AO511" s="18">
        <f t="shared" si="415"/>
        <v>44421</v>
      </c>
      <c r="AP511" s="355">
        <f t="shared" si="416"/>
        <v>0.81856687858723287</v>
      </c>
      <c r="AQ511" s="7">
        <f t="shared" si="417"/>
        <v>33171.285714285717</v>
      </c>
      <c r="AR511" s="290">
        <f t="shared" si="418"/>
        <v>520.904</v>
      </c>
    </row>
    <row r="512" spans="1:45" x14ac:dyDescent="0.25">
      <c r="A512" s="18">
        <v>44403</v>
      </c>
      <c r="B512" s="689">
        <v>12555</v>
      </c>
      <c r="C512" s="154">
        <f t="shared" si="309"/>
        <v>4859170</v>
      </c>
      <c r="D512" s="329">
        <v>384</v>
      </c>
      <c r="E512" s="126">
        <f t="shared" si="339"/>
        <v>104176</v>
      </c>
      <c r="F512" s="126">
        <f t="shared" si="311"/>
        <v>14153</v>
      </c>
      <c r="G512" s="154">
        <v>4508137</v>
      </c>
      <c r="H512" s="126">
        <v>4155</v>
      </c>
      <c r="I512" s="4">
        <v>77622</v>
      </c>
      <c r="J512" s="4">
        <f t="shared" si="396"/>
        <v>18903304</v>
      </c>
      <c r="K512" s="558">
        <f t="shared" si="397"/>
        <v>86517.71428571429</v>
      </c>
      <c r="L512" s="541">
        <v>31673</v>
      </c>
      <c r="M512" s="7">
        <v>9105851</v>
      </c>
      <c r="N512" s="4">
        <v>9137524</v>
      </c>
      <c r="O512" s="520">
        <f t="shared" si="281"/>
        <v>0.30897009966777411</v>
      </c>
      <c r="P512" s="200">
        <f t="shared" si="258"/>
        <v>0.16174538146401793</v>
      </c>
      <c r="Q512" s="4"/>
      <c r="R512" s="4"/>
      <c r="S512" s="290">
        <f t="shared" si="398"/>
        <v>246857</v>
      </c>
      <c r="T512" s="1">
        <v>-42</v>
      </c>
      <c r="U512" s="4">
        <v>701</v>
      </c>
      <c r="V512" s="512">
        <f>SUM(B499:B512)/POBLA!$B$25*100000</f>
        <v>432.42023755711222</v>
      </c>
      <c r="W512" s="512">
        <f>B512/POBLA!$B$25*100000</f>
        <v>27.66627469655738</v>
      </c>
      <c r="X512" s="513">
        <f t="shared" si="399"/>
        <v>0.82002582521594147</v>
      </c>
      <c r="Y512" s="519">
        <f t="shared" si="400"/>
        <v>1.6831606962735512E-2</v>
      </c>
      <c r="Z512" s="520">
        <f t="shared" si="401"/>
        <v>0.14865328982999354</v>
      </c>
      <c r="AA512" s="517">
        <f t="shared" si="402"/>
        <v>12861.142857142857</v>
      </c>
      <c r="AB512" s="542">
        <f t="shared" si="403"/>
        <v>309</v>
      </c>
      <c r="AC512" s="517">
        <f t="shared" si="340"/>
        <v>335.17676713195999</v>
      </c>
      <c r="AD512" s="517">
        <f t="shared" si="404"/>
        <v>26.176767131959991</v>
      </c>
      <c r="AE512" s="545">
        <f t="shared" si="405"/>
        <v>14016.642857142857</v>
      </c>
      <c r="AF512" s="520">
        <f>AA512/AA505</f>
        <v>0.84768137093357188</v>
      </c>
      <c r="AG512" s="200">
        <f t="shared" si="407"/>
        <v>-4.8038285630548239E-2</v>
      </c>
      <c r="AH512" s="200">
        <f t="shared" si="408"/>
        <v>-1.6374177373864041E-2</v>
      </c>
      <c r="AI512" s="355">
        <f t="shared" si="409"/>
        <v>0.79405286343612325</v>
      </c>
      <c r="AJ512" s="657">
        <f t="shared" si="410"/>
        <v>-0.15231862906642812</v>
      </c>
      <c r="AK512" s="414">
        <f t="shared" si="411"/>
        <v>1.9913459767998527E-2</v>
      </c>
      <c r="AL512" s="28">
        <f t="shared" si="412"/>
        <v>1.6023045419838497E-2</v>
      </c>
      <c r="AM512" s="200">
        <f t="shared" si="413"/>
        <v>0.88763084810937831</v>
      </c>
      <c r="AN512" s="200">
        <f t="shared" si="414"/>
        <v>0.79405286343612325</v>
      </c>
      <c r="AO512" s="18">
        <f t="shared" si="415"/>
        <v>44422</v>
      </c>
      <c r="AP512" s="355">
        <f t="shared" si="416"/>
        <v>0.82002582521594136</v>
      </c>
      <c r="AQ512" s="7">
        <f t="shared" si="417"/>
        <v>33171.285714285717</v>
      </c>
      <c r="AR512" s="290">
        <f t="shared" si="418"/>
        <v>516.45600000000002</v>
      </c>
    </row>
    <row r="513" spans="1:44" x14ac:dyDescent="0.25">
      <c r="A513" s="18">
        <v>44404</v>
      </c>
      <c r="B513" s="689">
        <v>16757</v>
      </c>
      <c r="C513" s="154">
        <f t="shared" si="309"/>
        <v>4875927</v>
      </c>
      <c r="D513" s="329">
        <v>249</v>
      </c>
      <c r="E513" s="126">
        <f t="shared" si="339"/>
        <v>104425</v>
      </c>
      <c r="F513" s="126">
        <f t="shared" si="311"/>
        <v>11785</v>
      </c>
      <c r="G513" s="154">
        <v>4519922</v>
      </c>
      <c r="H513" s="126">
        <v>4160</v>
      </c>
      <c r="I513" s="4">
        <v>112772</v>
      </c>
      <c r="J513" s="4">
        <f t="shared" si="396"/>
        <v>19016076</v>
      </c>
      <c r="K513" s="558">
        <f t="shared" ref="K513" si="419">AVERAGE(I507:I513)</f>
        <v>89280.142857142855</v>
      </c>
      <c r="L513" s="541">
        <v>31834</v>
      </c>
      <c r="M513" s="7">
        <v>9150788</v>
      </c>
      <c r="N513" s="4">
        <v>9182622</v>
      </c>
      <c r="O513" s="520">
        <f t="shared" si="281"/>
        <v>0.27090776816748846</v>
      </c>
      <c r="P513" s="200">
        <f t="shared" si="258"/>
        <v>0.14859184904054198</v>
      </c>
      <c r="Q513" s="4"/>
      <c r="R513" s="4"/>
      <c r="S513" s="290">
        <f t="shared" ref="S513" si="420">C513-E513-G513</f>
        <v>251580</v>
      </c>
      <c r="T513" s="1">
        <v>-42</v>
      </c>
      <c r="U513" s="4">
        <v>701</v>
      </c>
      <c r="V513" s="512">
        <f>SUM(B500:B513)/POBLA!$B$25*100000</f>
        <v>425.22326000562225</v>
      </c>
      <c r="W513" s="512">
        <f>B513/POBLA!$B$25*100000</f>
        <v>36.92582756592688</v>
      </c>
      <c r="X513" s="513">
        <f t="shared" ref="X513" si="421">SUM(B500:B513)/SUM(B486:B499)</f>
        <v>0.82023216965132051</v>
      </c>
      <c r="Y513" s="519">
        <f t="shared" ref="Y513" si="422">H513/S513</f>
        <v>1.6535495667382143E-2</v>
      </c>
      <c r="Z513" s="520">
        <f t="shared" ref="Z513" si="423">SUM(B507:B513)/SUM(I507:I513)</f>
        <v>0.14674195669809798</v>
      </c>
      <c r="AA513" s="517">
        <f t="shared" ref="AA513" si="424">AVERAGE(B507:B513)</f>
        <v>13101.142857142857</v>
      </c>
      <c r="AB513" s="542">
        <f t="shared" ref="AB513" si="425">AVERAGE(D507:D513)</f>
        <v>283.71428571428572</v>
      </c>
      <c r="AC513" s="517">
        <f t="shared" si="340"/>
        <v>330.27972295910524</v>
      </c>
      <c r="AD513" s="517">
        <f t="shared" ref="AD513" si="426">AC513-AB513</f>
        <v>46.56543724481952</v>
      </c>
      <c r="AE513" s="545">
        <f t="shared" ref="AE513" si="427">AVERAGE(B500:B513)</f>
        <v>13783.357142857143</v>
      </c>
      <c r="AF513" s="520">
        <f>AA513/AA506</f>
        <v>0.90567752002291146</v>
      </c>
      <c r="AG513" s="200">
        <f t="shared" ref="AG513" si="428">S513/S506-1</f>
        <v>-3.5297275533485384E-2</v>
      </c>
      <c r="AH513" s="200">
        <f t="shared" ref="AH513" si="429">B513/B506-1</f>
        <v>0.11142800291835253</v>
      </c>
      <c r="AI513" s="355">
        <f t="shared" ref="AI513" si="430">AB513/AB506</f>
        <v>0.71878393051031486</v>
      </c>
      <c r="AJ513" s="657">
        <f t="shared" ref="AJ513" si="431">AF513-1</f>
        <v>-9.4322479977088536E-2</v>
      </c>
      <c r="AK513" s="414">
        <f t="shared" ref="AK513" si="432">AB513/AA500</f>
        <v>1.8237919444597499E-2</v>
      </c>
      <c r="AL513" s="28">
        <f t="shared" ref="AL513" si="433">H513/S506</f>
        <v>1.5951837720727804E-2</v>
      </c>
      <c r="AM513" s="200">
        <f t="shared" ref="AM513" si="434">H513/H506</f>
        <v>0.89597243161748874</v>
      </c>
      <c r="AN513" s="200">
        <f t="shared" ref="AN513" si="435">AB513/AB506</f>
        <v>0.71878393051031486</v>
      </c>
      <c r="AO513" s="18">
        <f t="shared" ref="AO513" si="436">A512+20</f>
        <v>44423</v>
      </c>
      <c r="AP513" s="355">
        <f t="shared" ref="AP513" si="437">AE513/AE499</f>
        <v>0.8202321696513204</v>
      </c>
      <c r="AQ513" s="7">
        <f t="shared" ref="AQ513" si="438">MAX(AA:AA)</f>
        <v>33171.285714285717</v>
      </c>
      <c r="AR513" s="290">
        <f t="shared" ref="AR513" si="439">AA492*0.028</f>
        <v>506.55599999999998</v>
      </c>
    </row>
    <row r="514" spans="1:44" x14ac:dyDescent="0.25">
      <c r="A514" s="18">
        <v>44405</v>
      </c>
      <c r="B514" s="689">
        <v>15883</v>
      </c>
      <c r="C514" s="154">
        <f t="shared" si="309"/>
        <v>4891810</v>
      </c>
      <c r="D514" s="329">
        <v>471</v>
      </c>
      <c r="E514" s="126">
        <f t="shared" si="339"/>
        <v>104896</v>
      </c>
      <c r="F514" s="126">
        <f t="shared" si="311"/>
        <v>9337</v>
      </c>
      <c r="G514" s="154">
        <v>4529259</v>
      </c>
      <c r="H514" s="126">
        <v>4155</v>
      </c>
      <c r="I514" s="4">
        <v>98390</v>
      </c>
      <c r="J514" s="4">
        <f t="shared" si="396"/>
        <v>19114466</v>
      </c>
      <c r="K514" s="558">
        <f t="shared" ref="K514:K515" si="440">AVERAGE(I508:I514)</f>
        <v>90687.428571428565</v>
      </c>
      <c r="L514" s="541">
        <v>31978</v>
      </c>
      <c r="M514" s="7">
        <v>9190194</v>
      </c>
      <c r="N514" s="4">
        <v>9222172</v>
      </c>
      <c r="O514" s="520">
        <f t="shared" si="281"/>
        <v>0.28652607652481377</v>
      </c>
      <c r="P514" s="200">
        <f t="shared" si="258"/>
        <v>0.16142900701290783</v>
      </c>
      <c r="Q514" s="4"/>
      <c r="R514" s="4"/>
      <c r="S514" s="290">
        <f t="shared" ref="S514:S515" si="441">C514-E514-G514</f>
        <v>257655</v>
      </c>
      <c r="T514" s="1">
        <v>-42</v>
      </c>
      <c r="U514" s="4">
        <v>701</v>
      </c>
      <c r="V514" s="512">
        <f>SUM(B501:B514)/POBLA!$B$25*100000</f>
        <v>416.8187063064849</v>
      </c>
      <c r="W514" s="512">
        <f>B514/POBLA!$B$25*100000</f>
        <v>34.999875826795765</v>
      </c>
      <c r="X514" s="513">
        <f t="shared" ref="X514:X515" si="442">SUM(B501:B514)/SUM(B487:B500)</f>
        <v>0.81432132355790132</v>
      </c>
      <c r="Y514" s="519">
        <f t="shared" ref="Y514:Y515" si="443">H514/S514</f>
        <v>1.6126215287884962E-2</v>
      </c>
      <c r="Z514" s="520">
        <f t="shared" ref="Z514:Z515" si="444">SUM(B508:B514)/SUM(I508:I514)</f>
        <v>0.14643548011064694</v>
      </c>
      <c r="AA514" s="517">
        <f t="shared" ref="AA514:AA515" si="445">AVERAGE(B508:B514)</f>
        <v>13279.857142857143</v>
      </c>
      <c r="AB514" s="542">
        <f t="shared" ref="AB514:AB515" si="446">AVERAGE(D508:D514)</f>
        <v>288.42857142857144</v>
      </c>
      <c r="AC514" s="517">
        <f t="shared" si="340"/>
        <v>331.75710971174681</v>
      </c>
      <c r="AD514" s="517">
        <f t="shared" ref="AD514:AD515" si="447">AC514-AB514</f>
        <v>43.328538283175362</v>
      </c>
      <c r="AE514" s="545">
        <f t="shared" ref="AE514" si="448">AVERAGE(B501:B514)</f>
        <v>13510.928571428571</v>
      </c>
      <c r="AF514" s="520">
        <f>AA514/AA507</f>
        <v>0.96637004386968006</v>
      </c>
      <c r="AG514" s="200">
        <f t="shared" ref="AG514:AG515" si="449">S514/S507-1</f>
        <v>-2.4414716985418528E-2</v>
      </c>
      <c r="AH514" s="200">
        <f t="shared" ref="AH514:AH515" si="450">B514/B507-1</f>
        <v>8.549753963914708E-2</v>
      </c>
      <c r="AI514" s="355">
        <f t="shared" ref="AI514:AI515" si="451">AB514/AB507</f>
        <v>0.78044066486277552</v>
      </c>
      <c r="AJ514" s="657">
        <f t="shared" ref="AJ514:AJ515" si="452">AF514-1</f>
        <v>-3.3629956130319938E-2</v>
      </c>
      <c r="AK514" s="414">
        <f t="shared" ref="AK514:AK515" si="453">AB514/AA501</f>
        <v>1.8880981549194358E-2</v>
      </c>
      <c r="AL514" s="28">
        <f t="shared" ref="AL514:AL515" si="454">H514/S507</f>
        <v>1.5732498305585322E-2</v>
      </c>
      <c r="AM514" s="200">
        <f t="shared" ref="AM514:AM515" si="455">H514/H507</f>
        <v>0.90661138991926682</v>
      </c>
      <c r="AN514" s="200">
        <f t="shared" ref="AN514:AN515" si="456">AB514/AB507</f>
        <v>0.78044066486277552</v>
      </c>
      <c r="AO514" s="18">
        <f t="shared" ref="AO514:AO515" si="457">A513+20</f>
        <v>44424</v>
      </c>
      <c r="AP514" s="355">
        <f t="shared" ref="AP514:AP515" si="458">AE514/AE500</f>
        <v>0.81432132355790121</v>
      </c>
      <c r="AQ514" s="7">
        <f t="shared" ref="AQ514:AQ515" si="459">MAX(AA:AA)</f>
        <v>33171.285714285717</v>
      </c>
      <c r="AR514" s="290">
        <f t="shared" ref="AR514:AR515" si="460">AA493*0.028</f>
        <v>493.55599999999998</v>
      </c>
    </row>
    <row r="515" spans="1:44" x14ac:dyDescent="0.25">
      <c r="A515" s="18">
        <v>44406</v>
      </c>
      <c r="B515" s="689">
        <v>14115</v>
      </c>
      <c r="C515" s="154">
        <f t="shared" si="309"/>
        <v>4905925</v>
      </c>
      <c r="D515" s="329">
        <v>291</v>
      </c>
      <c r="E515" s="126">
        <f t="shared" si="339"/>
        <v>105187</v>
      </c>
      <c r="F515" s="126">
        <f t="shared" si="311"/>
        <v>13645</v>
      </c>
      <c r="G515" s="154">
        <v>4542904</v>
      </c>
      <c r="H515" s="126">
        <v>4090</v>
      </c>
      <c r="I515" s="4">
        <v>98149</v>
      </c>
      <c r="J515" s="4">
        <f t="shared" si="396"/>
        <v>19212615</v>
      </c>
      <c r="K515" s="558">
        <f t="shared" si="440"/>
        <v>90583.142857142855</v>
      </c>
      <c r="L515" s="541">
        <v>32245</v>
      </c>
      <c r="M515" s="7">
        <v>9230185</v>
      </c>
      <c r="N515" s="4">
        <v>9262430</v>
      </c>
      <c r="O515" s="520">
        <f t="shared" si="281"/>
        <v>0.25959575524616996</v>
      </c>
      <c r="P515" s="200">
        <f>B515/I515</f>
        <v>0.14381195936789984</v>
      </c>
      <c r="Q515" s="4"/>
      <c r="R515" s="4"/>
      <c r="S515" s="290">
        <f t="shared" si="441"/>
        <v>257834</v>
      </c>
      <c r="T515" s="1">
        <v>-42</v>
      </c>
      <c r="U515" s="4">
        <v>701</v>
      </c>
      <c r="V515" s="512">
        <f>SUM(B502:B515)/POBLA!$B$25*100000</f>
        <v>409.81123888035563</v>
      </c>
      <c r="W515" s="512">
        <f>B515/POBLA!$B$25*100000</f>
        <v>31.103900226356622</v>
      </c>
      <c r="X515" s="513">
        <f t="shared" si="442"/>
        <v>0.81423899194837146</v>
      </c>
      <c r="Y515" s="519">
        <f t="shared" si="443"/>
        <v>1.5862919552890618E-2</v>
      </c>
      <c r="Z515" s="520">
        <f t="shared" si="444"/>
        <v>0.14757397308234582</v>
      </c>
      <c r="AA515" s="517">
        <f t="shared" si="445"/>
        <v>13367.714285714286</v>
      </c>
      <c r="AB515" s="542">
        <f t="shared" si="446"/>
        <v>291.85714285714283</v>
      </c>
      <c r="AC515" s="517">
        <f>AA501*(E501/C501)</f>
        <v>326.06158116499006</v>
      </c>
      <c r="AD515" s="517">
        <f t="shared" si="447"/>
        <v>34.204438307847226</v>
      </c>
      <c r="AE515" s="545">
        <f>AVERAGE(B502:B515)</f>
        <v>13283.785714285714</v>
      </c>
      <c r="AF515" s="520">
        <f>AA515/AA508</f>
        <v>1.0127165878418598</v>
      </c>
      <c r="AG515" s="200">
        <f t="shared" si="449"/>
        <v>-1.3090708659006189E-2</v>
      </c>
      <c r="AH515" s="200">
        <f t="shared" si="450"/>
        <v>4.5555555555555571E-2</v>
      </c>
      <c r="AI515" s="355">
        <f t="shared" si="451"/>
        <v>0.85160483534806164</v>
      </c>
      <c r="AJ515" s="657">
        <f t="shared" si="452"/>
        <v>1.2716587841859806E-2</v>
      </c>
      <c r="AK515" s="414">
        <f t="shared" si="453"/>
        <v>1.8627594004157699E-2</v>
      </c>
      <c r="AL515" s="28">
        <f t="shared" si="454"/>
        <v>1.5655262694542475E-2</v>
      </c>
      <c r="AM515" s="200">
        <f t="shared" si="455"/>
        <v>0.90247131509267431</v>
      </c>
      <c r="AN515" s="200">
        <f t="shared" si="456"/>
        <v>0.85160483534806164</v>
      </c>
      <c r="AO515" s="18">
        <f t="shared" si="457"/>
        <v>44425</v>
      </c>
      <c r="AP515" s="355">
        <f t="shared" si="458"/>
        <v>0.81423899194837146</v>
      </c>
      <c r="AQ515" s="7">
        <f t="shared" si="459"/>
        <v>33171.285714285717</v>
      </c>
      <c r="AR515" s="290">
        <f t="shared" si="460"/>
        <v>485.87199999999996</v>
      </c>
    </row>
    <row r="516" spans="1:44" x14ac:dyDescent="0.25">
      <c r="A516" s="18">
        <v>44407</v>
      </c>
      <c r="B516" s="689">
        <v>13483</v>
      </c>
      <c r="C516" s="154">
        <f t="shared" si="309"/>
        <v>4919408</v>
      </c>
      <c r="D516" s="329">
        <v>474</v>
      </c>
      <c r="E516" s="126">
        <f t="shared" si="339"/>
        <v>105661</v>
      </c>
      <c r="F516" s="126">
        <f t="shared" si="311"/>
        <v>14133</v>
      </c>
      <c r="G516" s="154">
        <v>4557037</v>
      </c>
      <c r="H516" s="126">
        <v>3976</v>
      </c>
      <c r="I516" s="4">
        <v>98149</v>
      </c>
      <c r="J516" s="4">
        <f t="shared" ref="J516:J528" si="461">J515+I516</f>
        <v>19310764</v>
      </c>
      <c r="K516" s="558">
        <f t="shared" ref="K516:K517" si="462">AVERAGE(I510:I516)</f>
        <v>89706.28571428571</v>
      </c>
      <c r="L516" s="541">
        <v>32245</v>
      </c>
      <c r="M516" s="7">
        <v>9230185</v>
      </c>
      <c r="N516" s="4">
        <v>9262430</v>
      </c>
      <c r="O516" s="520">
        <f t="shared" ref="O516:O517" si="463">B516/(B516+(N516-N515))</f>
        <v>1</v>
      </c>
      <c r="P516" s="200">
        <f t="shared" ref="P516:P517" si="464">B516/I516</f>
        <v>0.13737276997218514</v>
      </c>
      <c r="Q516" s="4"/>
      <c r="R516" s="4"/>
      <c r="S516" s="290">
        <f t="shared" ref="S516:S517" si="465">C516-E516-G516</f>
        <v>256710</v>
      </c>
      <c r="T516" s="1">
        <v>-42</v>
      </c>
      <c r="U516" s="4">
        <v>701</v>
      </c>
      <c r="V516" s="512">
        <f>SUM(B503:B516)/POBLA!$B$25*100000</f>
        <v>401.48601500113671</v>
      </c>
      <c r="W516" s="512">
        <f>B516/POBLA!$B$25*100000</f>
        <v>29.711221165566162</v>
      </c>
      <c r="X516" s="513">
        <f t="shared" ref="X516:X517" si="466">SUM(B503:B516)/SUM(B489:B502)</f>
        <v>0.81056972781549463</v>
      </c>
      <c r="Y516" s="519">
        <f t="shared" ref="Y516:Y517" si="467">H516/S516</f>
        <v>1.5488294184098788E-2</v>
      </c>
      <c r="Z516" s="520">
        <f t="shared" ref="Z516:Z517" si="468">SUM(B510:B516)/SUM(I510:I516)</f>
        <v>0.14561011809970315</v>
      </c>
      <c r="AA516" s="517">
        <f t="shared" ref="AA516:AA517" si="469">AVERAGE(B510:B516)</f>
        <v>13062.142857142857</v>
      </c>
      <c r="AB516" s="542">
        <f t="shared" ref="AB516:AB517" si="470">AVERAGE(D510:D516)</f>
        <v>318.71428571428572</v>
      </c>
      <c r="AC516" s="517">
        <f t="shared" ref="AC516:AC517" si="471">AA502*(E502/C502)</f>
        <v>334.74498191236069</v>
      </c>
      <c r="AD516" s="517">
        <f t="shared" ref="AD516:AD517" si="472">AC516-AB516</f>
        <v>16.030696198074963</v>
      </c>
      <c r="AE516" s="545">
        <f t="shared" ref="AE516:AE517" si="473">AVERAGE(B503:B516)</f>
        <v>13013.928571428571</v>
      </c>
      <c r="AF516" s="520">
        <f t="shared" ref="AF516:AF517" si="474">AA516/AA509</f>
        <v>1.0074371970030851</v>
      </c>
      <c r="AG516" s="200">
        <f t="shared" ref="AG516:AG517" si="475">S516/S509-1</f>
        <v>-1.0964878484797103E-2</v>
      </c>
      <c r="AH516" s="200">
        <f t="shared" ref="AH516:AH517" si="476">B516/B509-1</f>
        <v>-0.13692228907950321</v>
      </c>
      <c r="AI516" s="355">
        <f t="shared" ref="AI516:AI517" si="477">AB516/AB509</f>
        <v>1.0049549549549548</v>
      </c>
      <c r="AJ516" s="657">
        <f t="shared" ref="AJ516:AJ517" si="478">AF516-1</f>
        <v>7.4371970030850942E-3</v>
      </c>
      <c r="AK516" s="414">
        <f t="shared" ref="AK516:AK517" si="479">AB516/AA503</f>
        <v>2.0218405908740768E-2</v>
      </c>
      <c r="AL516" s="28">
        <f t="shared" ref="AL516:AL517" si="480">H516/S509</f>
        <v>1.5318466920433356E-2</v>
      </c>
      <c r="AM516" s="200">
        <f t="shared" ref="AM516:AM517" si="481">H516/H509</f>
        <v>0.91234511243689764</v>
      </c>
      <c r="AN516" s="200">
        <f t="shared" ref="AN516:AN517" si="482">AB516/AB509</f>
        <v>1.0049549549549548</v>
      </c>
      <c r="AO516" s="18">
        <f t="shared" ref="AO516:AO517" si="483">A515+20</f>
        <v>44426</v>
      </c>
      <c r="AP516" s="355">
        <f t="shared" ref="AP516:AP517" si="484">AE516/AE502</f>
        <v>0.81056972781549463</v>
      </c>
      <c r="AQ516" s="7">
        <f t="shared" ref="AQ516:AQ517" si="485">MAX(AA:AA)</f>
        <v>33171.285714285717</v>
      </c>
      <c r="AR516" s="290">
        <f t="shared" ref="AR516:AR517" si="486">AA495*0.028</f>
        <v>460.392</v>
      </c>
    </row>
    <row r="517" spans="1:44" x14ac:dyDescent="0.25">
      <c r="A517" s="18">
        <v>44408</v>
      </c>
      <c r="B517" s="143">
        <v>10356</v>
      </c>
      <c r="C517" s="154">
        <f t="shared" si="309"/>
        <v>4929764</v>
      </c>
      <c r="D517" s="680">
        <v>135</v>
      </c>
      <c r="E517" s="126">
        <f t="shared" si="339"/>
        <v>105796</v>
      </c>
      <c r="F517" s="126">
        <f t="shared" si="311"/>
        <v>12515</v>
      </c>
      <c r="G517" s="158">
        <v>4569552</v>
      </c>
      <c r="H517" s="143">
        <v>3955</v>
      </c>
      <c r="I517" s="4">
        <v>98149</v>
      </c>
      <c r="J517" s="4">
        <f t="shared" si="461"/>
        <v>19408913</v>
      </c>
      <c r="K517" s="558">
        <f t="shared" si="462"/>
        <v>91550.571428571435</v>
      </c>
      <c r="L517" s="541">
        <v>32245</v>
      </c>
      <c r="M517" s="7">
        <v>9230185</v>
      </c>
      <c r="N517" s="4">
        <v>9262430</v>
      </c>
      <c r="O517" s="520">
        <f t="shared" si="463"/>
        <v>1</v>
      </c>
      <c r="P517" s="200">
        <f t="shared" si="464"/>
        <v>0.1055130464905399</v>
      </c>
      <c r="Q517" s="4"/>
      <c r="R517" s="4"/>
      <c r="S517" s="290">
        <f t="shared" si="465"/>
        <v>254416</v>
      </c>
      <c r="T517" s="1">
        <v>-42</v>
      </c>
      <c r="U517" s="4">
        <v>701</v>
      </c>
      <c r="V517" s="512">
        <f>SUM(B504:B517)/POBLA!$B$25*100000</f>
        <v>397.35645715315997</v>
      </c>
      <c r="W517" s="512">
        <f>B517/POBLA!$B$25*100000</f>
        <v>22.82054486320575</v>
      </c>
      <c r="X517" s="513">
        <f t="shared" si="466"/>
        <v>0.80872314661165179</v>
      </c>
      <c r="Y517" s="519">
        <f t="shared" si="467"/>
        <v>1.5545405949311364E-2</v>
      </c>
      <c r="Z517" s="520">
        <f t="shared" si="468"/>
        <v>0.14145967724317862</v>
      </c>
      <c r="AA517" s="517">
        <f t="shared" si="469"/>
        <v>12950.714285714286</v>
      </c>
      <c r="AB517" s="542">
        <f t="shared" si="470"/>
        <v>305.85714285714283</v>
      </c>
      <c r="AC517" s="517">
        <f t="shared" si="471"/>
        <v>336.83566894054735</v>
      </c>
      <c r="AD517" s="517">
        <f t="shared" si="472"/>
        <v>30.978526083404518</v>
      </c>
      <c r="AE517" s="545">
        <f t="shared" si="473"/>
        <v>12880.071428571429</v>
      </c>
      <c r="AF517" s="520">
        <f t="shared" si="474"/>
        <v>1.0110298217830618</v>
      </c>
      <c r="AG517" s="200">
        <f t="shared" si="475"/>
        <v>-2.7516678556589458E-3</v>
      </c>
      <c r="AH517" s="200">
        <f t="shared" si="476"/>
        <v>-7.0043103448275912E-2</v>
      </c>
      <c r="AI517" s="355">
        <f t="shared" si="477"/>
        <v>0.98709082526509917</v>
      </c>
      <c r="AJ517" s="657">
        <f t="shared" si="478"/>
        <v>1.1029821783061777E-2</v>
      </c>
      <c r="AK517" s="414">
        <f t="shared" si="479"/>
        <v>1.9745457899105413E-2</v>
      </c>
      <c r="AL517" s="28">
        <f t="shared" si="480"/>
        <v>1.5502630155457475E-2</v>
      </c>
      <c r="AM517" s="200">
        <f t="shared" si="481"/>
        <v>0.91593330245484017</v>
      </c>
      <c r="AN517" s="200">
        <f t="shared" si="482"/>
        <v>0.98709082526509917</v>
      </c>
      <c r="AO517" s="18">
        <f t="shared" si="483"/>
        <v>44427</v>
      </c>
      <c r="AP517" s="355">
        <f t="shared" si="484"/>
        <v>0.8087231466116519</v>
      </c>
      <c r="AQ517" s="7">
        <f t="shared" si="485"/>
        <v>33171.285714285717</v>
      </c>
      <c r="AR517" s="290">
        <f t="shared" si="486"/>
        <v>450.5</v>
      </c>
    </row>
    <row r="518" spans="1:44" x14ac:dyDescent="0.25">
      <c r="A518" s="18">
        <v>44409</v>
      </c>
      <c r="B518" s="126">
        <v>6083</v>
      </c>
      <c r="C518" s="154">
        <f t="shared" si="309"/>
        <v>4935847</v>
      </c>
      <c r="D518" s="329">
        <v>51</v>
      </c>
      <c r="E518" s="126">
        <f t="shared" si="339"/>
        <v>105847</v>
      </c>
      <c r="F518" s="126">
        <f t="shared" si="311"/>
        <v>11580</v>
      </c>
      <c r="G518" s="154">
        <v>4581132</v>
      </c>
      <c r="H518" s="126">
        <v>3913</v>
      </c>
      <c r="I518" s="4">
        <v>54673</v>
      </c>
      <c r="J518" s="4">
        <f t="shared" si="461"/>
        <v>19463586</v>
      </c>
      <c r="K518" s="558">
        <f t="shared" ref="K518:K520" si="487">AVERAGE(I512:I518)</f>
        <v>91129.142857142855</v>
      </c>
      <c r="L518" s="541">
        <v>32245</v>
      </c>
      <c r="M518" s="7">
        <v>9230185</v>
      </c>
      <c r="N518" s="4">
        <v>9262430</v>
      </c>
      <c r="O518" s="520">
        <f t="shared" ref="O518:O520" si="488">B518/(B518+(N518-N517))</f>
        <v>1</v>
      </c>
      <c r="P518" s="200">
        <f t="shared" ref="P518:P520" si="489">B518/I518</f>
        <v>0.11126150019205092</v>
      </c>
      <c r="Q518" s="4"/>
      <c r="R518" s="4"/>
      <c r="S518" s="290">
        <f t="shared" ref="S518:S520" si="490">C518-E518-G518</f>
        <v>248868</v>
      </c>
      <c r="T518" s="1">
        <v>-42</v>
      </c>
      <c r="U518" s="4">
        <v>701</v>
      </c>
      <c r="V518" s="512">
        <f>SUM(B505:B518)/POBLA!$B$25*100000</f>
        <v>395.47898474842339</v>
      </c>
      <c r="W518" s="512">
        <f>B518/POBLA!$B$25*100000</f>
        <v>13.404535960108207</v>
      </c>
      <c r="X518" s="513">
        <f t="shared" ref="X518:X520" si="491">SUM(B505:B518)/SUM(B491:B504)</f>
        <v>0.81242615603992663</v>
      </c>
      <c r="Y518" s="519">
        <f t="shared" ref="Y518:Y520" si="492">H518/S518</f>
        <v>1.5723194625263191E-2</v>
      </c>
      <c r="Z518" s="520">
        <f t="shared" ref="Z518:Z520" si="493">SUM(B512:B518)/SUM(I512:I518)</f>
        <v>0.13988311720885901</v>
      </c>
      <c r="AA518" s="517">
        <f t="shared" ref="AA518:AA520" si="494">AVERAGE(B512:B518)</f>
        <v>12747.428571428571</v>
      </c>
      <c r="AB518" s="542">
        <f t="shared" ref="AB518:AB520" si="495">AVERAGE(D512:D518)</f>
        <v>293.57142857142856</v>
      </c>
      <c r="AC518" s="517">
        <f t="shared" ref="AC518:AC520" si="496">AA504*(E504/C504)</f>
        <v>330.88192107523838</v>
      </c>
      <c r="AD518" s="517">
        <f t="shared" ref="AD518:AD520" si="497">AC518-AB518</f>
        <v>37.310492503809826</v>
      </c>
      <c r="AE518" s="545">
        <f t="shared" ref="AE518:AE520" si="498">AVERAGE(B505:B518)</f>
        <v>12819.214285714286</v>
      </c>
      <c r="AF518" s="520">
        <f t="shared" ref="AF518:AF520" si="499">AA518/AA511</f>
        <v>0.98886266165763481</v>
      </c>
      <c r="AG518" s="200">
        <f t="shared" ref="AG518:AG520" si="500">S518/S511-1</f>
        <v>1.1654121741377921E-4</v>
      </c>
      <c r="AH518" s="200">
        <f t="shared" ref="AH518:AH520" si="501">B518/B511-1</f>
        <v>-0.18958166799893417</v>
      </c>
      <c r="AI518" s="355">
        <f t="shared" ref="AI518:AI520" si="502">AB518/AB511</f>
        <v>0.93792788680967587</v>
      </c>
      <c r="AJ518" s="657">
        <f t="shared" ref="AJ518:AJ520" si="503">AF518-1</f>
        <v>-1.1137338342365188E-2</v>
      </c>
      <c r="AK518" s="414">
        <f t="shared" ref="AK518:AK520" si="504">AB518/AA505</f>
        <v>1.934937149851702E-2</v>
      </c>
      <c r="AL518" s="28">
        <f t="shared" ref="AL518:AL520" si="505">H518/S511</f>
        <v>1.5725027025506454E-2</v>
      </c>
      <c r="AM518" s="200">
        <f t="shared" ref="AM518:AM520" si="506">H518/H511</f>
        <v>0.92747096468357426</v>
      </c>
      <c r="AN518" s="200">
        <f t="shared" ref="AN518:AN520" si="507">AB518/AB511</f>
        <v>0.93792788680967587</v>
      </c>
      <c r="AO518" s="18">
        <f t="shared" ref="AO518:AO520" si="508">A517+20</f>
        <v>44428</v>
      </c>
      <c r="AP518" s="355">
        <f t="shared" ref="AP518:AP520" si="509">AE518/AE504</f>
        <v>0.81242615603992674</v>
      </c>
      <c r="AQ518" s="7">
        <f t="shared" ref="AQ518:AQ520" si="510">MAX(AA:AA)</f>
        <v>33171.285714285717</v>
      </c>
      <c r="AR518" s="290">
        <f t="shared" ref="AR518:AR520" si="511">AA497*0.028</f>
        <v>449.90000000000003</v>
      </c>
    </row>
    <row r="519" spans="1:44" x14ac:dyDescent="0.25">
      <c r="A519" s="18">
        <v>44410</v>
      </c>
      <c r="B519" s="126">
        <v>11183</v>
      </c>
      <c r="C519" s="154">
        <f t="shared" si="309"/>
        <v>4947030</v>
      </c>
      <c r="D519" s="329">
        <v>274</v>
      </c>
      <c r="E519" s="126">
        <f t="shared" si="339"/>
        <v>106121</v>
      </c>
      <c r="F519" s="126">
        <f t="shared" si="311"/>
        <v>13741</v>
      </c>
      <c r="G519" s="154">
        <v>4594873</v>
      </c>
      <c r="H519" s="126">
        <v>3819</v>
      </c>
      <c r="I519" s="4">
        <v>68502</v>
      </c>
      <c r="J519" s="4">
        <f t="shared" si="461"/>
        <v>19532088</v>
      </c>
      <c r="K519" s="558">
        <f t="shared" si="487"/>
        <v>89826.28571428571</v>
      </c>
      <c r="L519" s="541">
        <v>32245</v>
      </c>
      <c r="M519" s="7">
        <v>9230185</v>
      </c>
      <c r="N519" s="4">
        <v>9262430</v>
      </c>
      <c r="O519" s="520">
        <f t="shared" si="488"/>
        <v>1</v>
      </c>
      <c r="P519" s="200">
        <f t="shared" si="489"/>
        <v>0.16325070800852529</v>
      </c>
      <c r="Q519" s="4"/>
      <c r="R519" s="4"/>
      <c r="S519" s="290">
        <f t="shared" si="490"/>
        <v>246036</v>
      </c>
      <c r="T519" s="1">
        <v>-42</v>
      </c>
      <c r="U519" s="4">
        <v>701</v>
      </c>
      <c r="V519" s="512">
        <f>SUM(B506:B519)/POBLA!$B$25*100000</f>
        <v>391.99508349033846</v>
      </c>
      <c r="W519" s="512">
        <f>B519/POBLA!$B$25*100000</f>
        <v>24.64292711522112</v>
      </c>
      <c r="X519" s="513">
        <f t="shared" si="491"/>
        <v>0.82206366224259675</v>
      </c>
      <c r="Y519" s="519">
        <f t="shared" si="492"/>
        <v>1.5522118714334487E-2</v>
      </c>
      <c r="Z519" s="520">
        <f t="shared" si="493"/>
        <v>0.13973001857553627</v>
      </c>
      <c r="AA519" s="517">
        <f t="shared" si="494"/>
        <v>12551.428571428571</v>
      </c>
      <c r="AB519" s="542">
        <f t="shared" si="495"/>
        <v>277.85714285714283</v>
      </c>
      <c r="AC519" s="517">
        <f t="shared" si="496"/>
        <v>324.53548443005349</v>
      </c>
      <c r="AD519" s="517">
        <f t="shared" si="497"/>
        <v>46.678341572910654</v>
      </c>
      <c r="AE519" s="545">
        <f t="shared" si="498"/>
        <v>12706.285714285714</v>
      </c>
      <c r="AF519" s="520">
        <f t="shared" si="499"/>
        <v>0.97591860310125733</v>
      </c>
      <c r="AG519" s="200">
        <f t="shared" si="500"/>
        <v>-3.32581210984495E-3</v>
      </c>
      <c r="AH519" s="200">
        <f t="shared" si="501"/>
        <v>-0.10927917164476308</v>
      </c>
      <c r="AI519" s="355">
        <f t="shared" si="502"/>
        <v>0.89921405455386028</v>
      </c>
      <c r="AJ519" s="657">
        <f t="shared" si="503"/>
        <v>-2.4081396898742669E-2</v>
      </c>
      <c r="AK519" s="414">
        <f t="shared" si="504"/>
        <v>1.9208169150396505E-2</v>
      </c>
      <c r="AL519" s="28">
        <f t="shared" si="505"/>
        <v>1.5470495063943903E-2</v>
      </c>
      <c r="AM519" s="200">
        <f t="shared" si="506"/>
        <v>0.91913357400722018</v>
      </c>
      <c r="AN519" s="200">
        <f t="shared" si="507"/>
        <v>0.89921405455386028</v>
      </c>
      <c r="AO519" s="18">
        <f t="shared" si="508"/>
        <v>44429</v>
      </c>
      <c r="AP519" s="355">
        <f t="shared" si="509"/>
        <v>0.82206366224259675</v>
      </c>
      <c r="AQ519" s="7">
        <f t="shared" si="510"/>
        <v>33171.285714285717</v>
      </c>
      <c r="AR519" s="290">
        <f t="shared" si="511"/>
        <v>440.74799999999999</v>
      </c>
    </row>
    <row r="520" spans="1:44" x14ac:dyDescent="0.25">
      <c r="A520" s="18">
        <v>44411</v>
      </c>
      <c r="B520" s="126">
        <v>14850</v>
      </c>
      <c r="C520" s="154">
        <f t="shared" si="309"/>
        <v>4961880</v>
      </c>
      <c r="D520" s="329">
        <v>405</v>
      </c>
      <c r="E520" s="126">
        <f t="shared" si="339"/>
        <v>106526</v>
      </c>
      <c r="F520" s="126">
        <f t="shared" si="311"/>
        <v>11153</v>
      </c>
      <c r="G520" s="154">
        <v>4606026</v>
      </c>
      <c r="H520" s="126">
        <v>3767</v>
      </c>
      <c r="I520" s="4">
        <v>106672</v>
      </c>
      <c r="J520" s="4">
        <f t="shared" si="461"/>
        <v>19638760</v>
      </c>
      <c r="K520" s="558">
        <f t="shared" si="487"/>
        <v>88954.857142857145</v>
      </c>
      <c r="L520" s="541">
        <v>32245</v>
      </c>
      <c r="M520" s="7">
        <v>9230185</v>
      </c>
      <c r="N520" s="4">
        <v>9262430</v>
      </c>
      <c r="O520" s="520">
        <f t="shared" si="488"/>
        <v>1</v>
      </c>
      <c r="P520" s="200">
        <f t="shared" si="489"/>
        <v>0.13921178941052947</v>
      </c>
      <c r="Q520" s="4"/>
      <c r="R520" s="4"/>
      <c r="S520" s="290">
        <f t="shared" si="490"/>
        <v>249328</v>
      </c>
      <c r="T520" s="1">
        <v>-42</v>
      </c>
      <c r="U520" s="4">
        <v>701</v>
      </c>
      <c r="V520" s="512">
        <f>SUM(B507:B520)/POBLA!$B$25*100000</f>
        <v>391.49486490363046</v>
      </c>
      <c r="W520" s="512">
        <f>B520/POBLA!$B$25*100000</f>
        <v>32.72355071635819</v>
      </c>
      <c r="X520" s="513">
        <f t="shared" si="491"/>
        <v>0.84649250282305522</v>
      </c>
      <c r="Y520" s="519">
        <f t="shared" si="492"/>
        <v>1.5108611948918693E-2</v>
      </c>
      <c r="Z520" s="520">
        <f t="shared" si="493"/>
        <v>0.13803630734048089</v>
      </c>
      <c r="AA520" s="517">
        <f t="shared" si="494"/>
        <v>12279</v>
      </c>
      <c r="AB520" s="542">
        <f t="shared" si="495"/>
        <v>300.14285714285717</v>
      </c>
      <c r="AC520" s="517">
        <f t="shared" si="496"/>
        <v>309.73470728899088</v>
      </c>
      <c r="AD520" s="517">
        <f t="shared" si="497"/>
        <v>9.5918501461337087</v>
      </c>
      <c r="AE520" s="545">
        <f t="shared" si="498"/>
        <v>12690.071428571429</v>
      </c>
      <c r="AF520" s="520">
        <f t="shared" si="499"/>
        <v>0.93724647795175997</v>
      </c>
      <c r="AG520" s="200">
        <f t="shared" si="500"/>
        <v>-8.9514269814771064E-3</v>
      </c>
      <c r="AH520" s="200">
        <f t="shared" si="501"/>
        <v>-0.11380318672793455</v>
      </c>
      <c r="AI520" s="355">
        <f t="shared" si="502"/>
        <v>1.0579053373615308</v>
      </c>
      <c r="AJ520" s="657">
        <f t="shared" si="503"/>
        <v>-6.2753522048240029E-2</v>
      </c>
      <c r="AK520" s="414">
        <f t="shared" si="504"/>
        <v>2.184127908185542E-2</v>
      </c>
      <c r="AL520" s="28">
        <f t="shared" si="505"/>
        <v>1.4973368312266476E-2</v>
      </c>
      <c r="AM520" s="200">
        <f t="shared" si="506"/>
        <v>0.9055288461538461</v>
      </c>
      <c r="AN520" s="200">
        <f t="shared" si="507"/>
        <v>1.0579053373615308</v>
      </c>
      <c r="AO520" s="18">
        <f t="shared" si="508"/>
        <v>44430</v>
      </c>
      <c r="AP520" s="355">
        <f t="shared" si="509"/>
        <v>0.84649250282305522</v>
      </c>
      <c r="AQ520" s="7">
        <f t="shared" si="510"/>
        <v>33171.285714285717</v>
      </c>
      <c r="AR520" s="290">
        <f t="shared" si="511"/>
        <v>434.48</v>
      </c>
    </row>
    <row r="521" spans="1:44" x14ac:dyDescent="0.25">
      <c r="A521" s="18">
        <v>44412</v>
      </c>
      <c r="B521" s="143">
        <v>13736</v>
      </c>
      <c r="C521" s="154">
        <f t="shared" si="309"/>
        <v>4975616</v>
      </c>
      <c r="D521" s="680">
        <v>300</v>
      </c>
      <c r="E521" s="126">
        <f t="shared" si="339"/>
        <v>106826</v>
      </c>
      <c r="F521" s="126">
        <f t="shared" si="311"/>
        <v>9808</v>
      </c>
      <c r="G521" s="158">
        <v>4615834</v>
      </c>
      <c r="H521" s="143">
        <v>3748</v>
      </c>
      <c r="I521" s="637">
        <v>112987</v>
      </c>
      <c r="J521" s="4">
        <f t="shared" si="461"/>
        <v>19751747</v>
      </c>
      <c r="K521" s="558">
        <f t="shared" ref="K521" si="512">AVERAGE(I515:I521)</f>
        <v>91040.142857142855</v>
      </c>
      <c r="L521" s="541">
        <v>32245</v>
      </c>
      <c r="M521" s="7">
        <v>9230185</v>
      </c>
      <c r="N521" s="4">
        <v>9262430</v>
      </c>
      <c r="O521" s="520">
        <f t="shared" ref="O521" si="513">B521/(B521+(N521-N520))</f>
        <v>1</v>
      </c>
      <c r="P521" s="200">
        <f t="shared" ref="P521" si="514">B521/I521</f>
        <v>0.12157150822661014</v>
      </c>
      <c r="Q521" s="4"/>
      <c r="R521" s="4"/>
      <c r="S521" s="290">
        <f t="shared" ref="S521" si="515">C521-E521-G521</f>
        <v>252956</v>
      </c>
      <c r="T521" s="1">
        <v>-42</v>
      </c>
      <c r="U521" s="4">
        <v>701</v>
      </c>
      <c r="V521" s="512">
        <f>SUM(B508:B521)/POBLA!$B$25*100000</f>
        <v>389.52043383010476</v>
      </c>
      <c r="W521" s="512">
        <f>B521/POBLA!$B$25*100000</f>
        <v>30.268733511104113</v>
      </c>
      <c r="X521" s="513">
        <f t="shared" ref="X521" si="516">SUM(B508:B521)/SUM(B494:B507)</f>
        <v>0.86189830706818538</v>
      </c>
      <c r="Y521" s="519">
        <f t="shared" ref="Y521" si="517">H521/S521</f>
        <v>1.4816806084852701E-2</v>
      </c>
      <c r="Z521" s="520">
        <f t="shared" ref="Z521" si="518">SUM(B515:B521)/SUM(I515:I521)</f>
        <v>0.13150556818734593</v>
      </c>
      <c r="AA521" s="517">
        <f t="shared" ref="AA521" si="519">AVERAGE(B515:B521)</f>
        <v>11972.285714285714</v>
      </c>
      <c r="AB521" s="542">
        <f t="shared" ref="AB521" si="520">AVERAGE(D515:D521)</f>
        <v>275.71428571428572</v>
      </c>
      <c r="AC521" s="517">
        <f t="shared" ref="AC521" si="521">AA507*(E507/C507)</f>
        <v>294.59879750381913</v>
      </c>
      <c r="AD521" s="517">
        <f t="shared" ref="AD521" si="522">AC521-AB521</f>
        <v>18.884511789533406</v>
      </c>
      <c r="AE521" s="545">
        <f t="shared" ref="AE521" si="523">AVERAGE(B508:B521)</f>
        <v>12626.071428571429</v>
      </c>
      <c r="AF521" s="520">
        <f t="shared" ref="AF521" si="524">AA521/AA514</f>
        <v>0.90153723684635156</v>
      </c>
      <c r="AG521" s="200">
        <f t="shared" ref="AG521" si="525">S521/S514-1</f>
        <v>-1.8237565737129091E-2</v>
      </c>
      <c r="AH521" s="200">
        <f t="shared" ref="AH521" si="526">B521/B514-1</f>
        <v>-0.13517597431215767</v>
      </c>
      <c r="AI521" s="355">
        <f t="shared" ref="AI521" si="527">AB521/AB514</f>
        <v>0.95591877166914307</v>
      </c>
      <c r="AJ521" s="657">
        <f t="shared" ref="AJ521" si="528">AF521-1</f>
        <v>-9.8462763153648436E-2</v>
      </c>
      <c r="AK521" s="414">
        <f t="shared" ref="AK521" si="529">AB521/AA508</f>
        <v>2.0887671944501564E-2</v>
      </c>
      <c r="AL521" s="28">
        <f t="shared" ref="AL521" si="530">H521/S514</f>
        <v>1.4546583609865906E-2</v>
      </c>
      <c r="AM521" s="200">
        <f t="shared" ref="AM521" si="531">H521/H514</f>
        <v>0.9020457280385078</v>
      </c>
      <c r="AN521" s="200">
        <f t="shared" ref="AN521" si="532">AB521/AB514</f>
        <v>0.95591877166914307</v>
      </c>
      <c r="AO521" s="18">
        <f t="shared" ref="AO521" si="533">A520+20</f>
        <v>44431</v>
      </c>
      <c r="AP521" s="355">
        <f t="shared" ref="AP521" si="534">AE521/AE507</f>
        <v>0.86189830706818549</v>
      </c>
      <c r="AQ521" s="7">
        <f t="shared" ref="AQ521" si="535">MAX(AA:AA)</f>
        <v>33171.285714285717</v>
      </c>
      <c r="AR521" s="290">
        <f t="shared" ref="AR521" si="536">AA500*0.028</f>
        <v>435.57600000000002</v>
      </c>
    </row>
    <row r="522" spans="1:44" x14ac:dyDescent="0.25">
      <c r="A522" s="18">
        <v>44413</v>
      </c>
      <c r="B522" s="143">
        <v>13786</v>
      </c>
      <c r="C522" s="154">
        <f t="shared" si="309"/>
        <v>4989402</v>
      </c>
      <c r="D522" s="680">
        <v>276</v>
      </c>
      <c r="E522" s="126">
        <f t="shared" si="339"/>
        <v>107102</v>
      </c>
      <c r="F522" s="126">
        <f t="shared" si="311"/>
        <v>14602</v>
      </c>
      <c r="G522" s="158">
        <v>4630436</v>
      </c>
      <c r="H522" s="143">
        <v>3714</v>
      </c>
      <c r="I522" s="637">
        <v>102237</v>
      </c>
      <c r="J522" s="4">
        <f t="shared" si="461"/>
        <v>19853984</v>
      </c>
      <c r="K522" s="558">
        <f t="shared" ref="K522" si="537">AVERAGE(I516:I522)</f>
        <v>91624.142857142855</v>
      </c>
      <c r="L522" s="541">
        <v>32245</v>
      </c>
      <c r="M522" s="7">
        <v>9230185</v>
      </c>
      <c r="N522" s="4">
        <v>9262430</v>
      </c>
      <c r="O522" s="520">
        <f t="shared" ref="O522" si="538">B522/(B522+(N522-N521))</f>
        <v>1</v>
      </c>
      <c r="P522" s="200">
        <f t="shared" ref="P522" si="539">B522/I522</f>
        <v>0.1348435497911715</v>
      </c>
      <c r="Q522" s="4"/>
      <c r="R522" s="4"/>
      <c r="S522" s="290">
        <f t="shared" ref="S522" si="540">C522-E522-G522</f>
        <v>251864</v>
      </c>
      <c r="T522" s="1">
        <v>-42</v>
      </c>
      <c r="U522" s="4">
        <v>701</v>
      </c>
      <c r="V522" s="512">
        <f>SUM(B509:B522)/POBLA!$B$25*100000</f>
        <v>390.1506651772346</v>
      </c>
      <c r="W522" s="512">
        <f>B522/POBLA!$B$25*100000</f>
        <v>30.378913816546397</v>
      </c>
      <c r="X522" s="513">
        <f t="shared" ref="X522" si="541">SUM(B509:B522)/SUM(B495:B508)</f>
        <v>0.88822166034555416</v>
      </c>
      <c r="Y522" s="519">
        <f t="shared" ref="Y522" si="542">H522/S522</f>
        <v>1.4746053425658292E-2</v>
      </c>
      <c r="Z522" s="520">
        <f t="shared" ref="Z522" si="543">SUM(B516:B522)/SUM(I516:I522)</f>
        <v>0.13015440409499057</v>
      </c>
      <c r="AA522" s="517">
        <f t="shared" ref="AA522" si="544">AVERAGE(B516:B522)</f>
        <v>11925.285714285714</v>
      </c>
      <c r="AB522" s="542">
        <f t="shared" ref="AB522" si="545">AVERAGE(D516:D522)</f>
        <v>273.57142857142856</v>
      </c>
      <c r="AC522" s="517">
        <f t="shared" ref="AC522" si="546">AA508*(E508/C508)</f>
        <v>282.91495469529491</v>
      </c>
      <c r="AD522" s="517">
        <f t="shared" ref="AD522" si="547">AC522-AB522</f>
        <v>9.3435261238663543</v>
      </c>
      <c r="AE522" s="545">
        <f t="shared" ref="AE522" si="548">AVERAGE(B509:B522)</f>
        <v>12646.5</v>
      </c>
      <c r="AF522" s="520">
        <f t="shared" ref="AF522" si="549">AA522/AA515</f>
        <v>0.89209609506914311</v>
      </c>
      <c r="AG522" s="200">
        <f t="shared" ref="AG522" si="550">S522/S515-1</f>
        <v>-2.3154432697006566E-2</v>
      </c>
      <c r="AH522" s="200">
        <f t="shared" ref="AH522" si="551">B522/B515-1</f>
        <v>-2.3308537017357467E-2</v>
      </c>
      <c r="AI522" s="355">
        <f t="shared" ref="AI522" si="552">AB522/AB515</f>
        <v>0.93734703866862457</v>
      </c>
      <c r="AJ522" s="657">
        <f t="shared" ref="AJ522" si="553">AF522-1</f>
        <v>-0.10790390493085689</v>
      </c>
      <c r="AK522" s="414">
        <f t="shared" ref="AK522" si="554">AB522/AA509</f>
        <v>2.1099603349493165E-2</v>
      </c>
      <c r="AL522" s="28">
        <f t="shared" ref="AL522" si="555">H522/S515</f>
        <v>1.4404616924067424E-2</v>
      </c>
      <c r="AM522" s="200">
        <f t="shared" ref="AM522" si="556">H522/H515</f>
        <v>0.90806845965770167</v>
      </c>
      <c r="AN522" s="200">
        <f t="shared" ref="AN522" si="557">AB522/AB515</f>
        <v>0.93734703866862457</v>
      </c>
      <c r="AO522" s="18">
        <f t="shared" ref="AO522" si="558">A521+20</f>
        <v>44432</v>
      </c>
      <c r="AP522" s="355">
        <f t="shared" ref="AP522" si="559">AE522/AE508</f>
        <v>0.88822166034555416</v>
      </c>
      <c r="AQ522" s="7">
        <f t="shared" ref="AQ522" si="560">MAX(AA:AA)</f>
        <v>33171.285714285717</v>
      </c>
      <c r="AR522" s="290">
        <f t="shared" ref="AR522" si="561">AA501*0.028</f>
        <v>427.73200000000003</v>
      </c>
    </row>
    <row r="523" spans="1:44" x14ac:dyDescent="0.25">
      <c r="A523" s="18">
        <v>44414</v>
      </c>
      <c r="B523" s="126">
        <v>13549</v>
      </c>
      <c r="C523" s="154">
        <f t="shared" si="309"/>
        <v>5002951</v>
      </c>
      <c r="D523" s="329">
        <v>190</v>
      </c>
      <c r="E523" s="126">
        <f t="shared" si="339"/>
        <v>107292</v>
      </c>
      <c r="F523" s="126">
        <f t="shared" si="311"/>
        <v>14722</v>
      </c>
      <c r="G523" s="154">
        <v>4645158</v>
      </c>
      <c r="H523" s="126">
        <v>3657</v>
      </c>
      <c r="I523" s="4">
        <v>122589</v>
      </c>
      <c r="J523" s="4">
        <f t="shared" si="461"/>
        <v>19976573</v>
      </c>
      <c r="K523" s="7">
        <v>33924</v>
      </c>
      <c r="L523" s="7">
        <v>9547232</v>
      </c>
      <c r="M523" s="4">
        <f t="shared" ref="M523:M525" si="562">L523+K523</f>
        <v>9581156</v>
      </c>
      <c r="N523" s="4">
        <v>9262431</v>
      </c>
      <c r="O523" s="520">
        <f t="shared" ref="O523:O525" si="563">B523/(B523+(N523-N522))</f>
        <v>0.99992619926199267</v>
      </c>
      <c r="P523" s="200">
        <f t="shared" ref="P523:P525" si="564">B523/I523</f>
        <v>0.11052378272112506</v>
      </c>
      <c r="Q523" s="4"/>
      <c r="R523" s="4"/>
      <c r="S523" s="290">
        <f t="shared" ref="S523:S525" si="565">C523-E523-G523</f>
        <v>250501</v>
      </c>
      <c r="T523" s="1">
        <v>-42</v>
      </c>
      <c r="U523" s="4">
        <v>701</v>
      </c>
      <c r="V523" s="512">
        <f>SUM(B510:B523)/POBLA!$B$25*100000</f>
        <v>385.58258971359754</v>
      </c>
      <c r="W523" s="512">
        <f>B523/POBLA!$B$25*100000</f>
        <v>29.856659168749971</v>
      </c>
      <c r="X523" s="513">
        <f t="shared" ref="X523:X525" si="566">SUM(B510:B523)/SUM(B496:B509)</f>
        <v>0.87298688858288931</v>
      </c>
      <c r="Y523" s="519">
        <f t="shared" ref="Y523:Y525" si="567">H523/S523</f>
        <v>1.4598744116789953E-2</v>
      </c>
      <c r="Z523" s="520">
        <f t="shared" ref="Z523:Z525" si="568">SUM(B517:B523)/SUM(I517:I523)</f>
        <v>0.12547592477722591</v>
      </c>
      <c r="AA523" s="517">
        <f t="shared" ref="AA523:AA525" si="569">AVERAGE(B517:B523)</f>
        <v>11934.714285714286</v>
      </c>
      <c r="AB523" s="542">
        <f t="shared" ref="AB523:AB525" si="570">AVERAGE(D517:D523)</f>
        <v>233</v>
      </c>
      <c r="AC523" s="517">
        <f t="shared" ref="AC523:AC525" si="571">AA509*(E509/C509)</f>
        <v>277.76539524380701</v>
      </c>
      <c r="AD523" s="517">
        <f t="shared" ref="AD523:AD525" si="572">AC523-AB523</f>
        <v>44.765395243807006</v>
      </c>
      <c r="AE523" s="545">
        <f t="shared" ref="AE523:AE525" si="573">AVERAGE(B510:B523)</f>
        <v>12498.428571428571</v>
      </c>
      <c r="AF523" s="520">
        <f t="shared" ref="AF523:AF525" si="574">AA523/AA516</f>
        <v>0.91368731886039267</v>
      </c>
      <c r="AG523" s="200">
        <f t="shared" ref="AG523:AG525" si="575">S523/S516-1</f>
        <v>-2.4186825600872597E-2</v>
      </c>
      <c r="AH523" s="200">
        <f t="shared" ref="AH523:AH525" si="576">B523/B516-1</f>
        <v>4.8950530297411365E-3</v>
      </c>
      <c r="AI523" s="355">
        <f t="shared" ref="AI523:AI525" si="577">AB523/AB516</f>
        <v>0.73106230389959659</v>
      </c>
      <c r="AJ523" s="657">
        <f t="shared" ref="AJ523:AJ525" si="578">AF523-1</f>
        <v>-8.6312681139607328E-2</v>
      </c>
      <c r="AK523" s="414">
        <f t="shared" ref="AK523:AK525" si="579">AB523/AA510</f>
        <v>1.8189726317667791E-2</v>
      </c>
      <c r="AL523" s="28">
        <f t="shared" ref="AL523:AL525" si="580">H523/S516</f>
        <v>1.424564683884539E-2</v>
      </c>
      <c r="AM523" s="200">
        <f t="shared" ref="AM523:AM525" si="581">H523/H516</f>
        <v>0.91976861167002011</v>
      </c>
      <c r="AN523" s="200">
        <f t="shared" ref="AN523:AN525" si="582">AB523/AB516</f>
        <v>0.73106230389959659</v>
      </c>
      <c r="AO523" s="18">
        <f t="shared" ref="AO523:AO525" si="583">A522+20</f>
        <v>44433</v>
      </c>
      <c r="AP523" s="355">
        <f t="shared" ref="AP523:AP525" si="584">AE523/AE509</f>
        <v>0.8729868885828892</v>
      </c>
      <c r="AQ523" s="7">
        <f t="shared" ref="AQ523:AQ525" si="585">MAX(AA:AA)</f>
        <v>33171.285714285717</v>
      </c>
      <c r="AR523" s="290">
        <f t="shared" ref="AR523:AR525" si="586">AA502*0.028</f>
        <v>438.70400000000001</v>
      </c>
    </row>
    <row r="524" spans="1:44" x14ac:dyDescent="0.25">
      <c r="A524" s="18">
        <v>44415</v>
      </c>
      <c r="B524" s="126">
        <v>9803</v>
      </c>
      <c r="C524" s="154">
        <f t="shared" si="309"/>
        <v>5012754</v>
      </c>
      <c r="D524" s="329">
        <v>89</v>
      </c>
      <c r="E524" s="126">
        <f t="shared" si="339"/>
        <v>107381</v>
      </c>
      <c r="F524" s="126">
        <f t="shared" si="311"/>
        <v>12870</v>
      </c>
      <c r="G524" s="154">
        <v>4658028</v>
      </c>
      <c r="H524" s="126">
        <v>3646</v>
      </c>
      <c r="I524" s="4">
        <v>84899</v>
      </c>
      <c r="J524" s="4">
        <f t="shared" si="461"/>
        <v>20061472</v>
      </c>
      <c r="K524" s="7">
        <v>34291</v>
      </c>
      <c r="L524" s="7">
        <v>9586097</v>
      </c>
      <c r="M524" s="4">
        <f t="shared" si="562"/>
        <v>9620388</v>
      </c>
      <c r="N524" s="4">
        <v>9262432</v>
      </c>
      <c r="O524" s="520">
        <f t="shared" si="563"/>
        <v>0.99989800081599345</v>
      </c>
      <c r="P524" s="200">
        <f t="shared" si="564"/>
        <v>0.11546661326988539</v>
      </c>
      <c r="Q524" s="4"/>
      <c r="R524" s="4"/>
      <c r="S524" s="290">
        <f t="shared" si="565"/>
        <v>247345</v>
      </c>
      <c r="T524" s="1">
        <v>-42</v>
      </c>
      <c r="U524" s="4">
        <v>701</v>
      </c>
      <c r="V524" s="512">
        <f>SUM(B511:B524)/POBLA!$B$25*100000</f>
        <v>382.64518277050627</v>
      </c>
      <c r="W524" s="512">
        <f>B524/POBLA!$B$25*100000</f>
        <v>21.601950685014099</v>
      </c>
      <c r="X524" s="513">
        <f t="shared" si="566"/>
        <v>0.86817725025123615</v>
      </c>
      <c r="Y524" s="519">
        <f t="shared" si="567"/>
        <v>1.474054458347652E-2</v>
      </c>
      <c r="Z524" s="520">
        <f t="shared" si="568"/>
        <v>0.12717624000281966</v>
      </c>
      <c r="AA524" s="517">
        <f t="shared" si="569"/>
        <v>11855.714285714286</v>
      </c>
      <c r="AB524" s="542">
        <f t="shared" si="570"/>
        <v>226.42857142857142</v>
      </c>
      <c r="AC524" s="517">
        <f t="shared" si="571"/>
        <v>274.38136205888907</v>
      </c>
      <c r="AD524" s="517">
        <f t="shared" si="572"/>
        <v>47.952790630317651</v>
      </c>
      <c r="AE524" s="545">
        <f t="shared" si="573"/>
        <v>12403.214285714286</v>
      </c>
      <c r="AF524" s="520">
        <f t="shared" si="574"/>
        <v>0.91544867905796701</v>
      </c>
      <c r="AG524" s="200">
        <f t="shared" si="575"/>
        <v>-2.7793063329350387E-2</v>
      </c>
      <c r="AH524" s="200">
        <f t="shared" si="576"/>
        <v>-5.3398995751255285E-2</v>
      </c>
      <c r="AI524" s="355">
        <f t="shared" si="577"/>
        <v>0.7403082671648763</v>
      </c>
      <c r="AJ524" s="657">
        <f t="shared" si="578"/>
        <v>-8.4551320942032993E-2</v>
      </c>
      <c r="AK524" s="414">
        <f t="shared" si="579"/>
        <v>1.756485698771014E-2</v>
      </c>
      <c r="AL524" s="28">
        <f t="shared" si="580"/>
        <v>1.4330859694358846E-2</v>
      </c>
      <c r="AM524" s="200">
        <f t="shared" si="581"/>
        <v>0.92187104930467767</v>
      </c>
      <c r="AN524" s="200">
        <f t="shared" si="582"/>
        <v>0.7403082671648763</v>
      </c>
      <c r="AO524" s="18">
        <f t="shared" si="583"/>
        <v>44434</v>
      </c>
      <c r="AP524" s="355">
        <f t="shared" si="584"/>
        <v>0.86817725025123627</v>
      </c>
      <c r="AQ524" s="7">
        <f t="shared" si="585"/>
        <v>33171.285714285717</v>
      </c>
      <c r="AR524" s="290">
        <f t="shared" si="586"/>
        <v>441.38000000000005</v>
      </c>
    </row>
    <row r="525" spans="1:44" x14ac:dyDescent="0.25">
      <c r="A525" s="18">
        <v>44416</v>
      </c>
      <c r="B525" s="126">
        <v>6141</v>
      </c>
      <c r="C525" s="154">
        <f t="shared" si="309"/>
        <v>5018895</v>
      </c>
      <c r="D525" s="329">
        <v>158</v>
      </c>
      <c r="E525" s="126">
        <f t="shared" si="339"/>
        <v>107539</v>
      </c>
      <c r="F525" s="126">
        <f t="shared" si="311"/>
        <v>11733</v>
      </c>
      <c r="G525" s="154">
        <v>4669761</v>
      </c>
      <c r="H525" s="126">
        <v>3675</v>
      </c>
      <c r="I525" s="4">
        <v>50696</v>
      </c>
      <c r="J525" s="4">
        <f t="shared" si="461"/>
        <v>20112168</v>
      </c>
      <c r="K525" s="7">
        <v>34426</v>
      </c>
      <c r="L525" s="7">
        <v>9609285</v>
      </c>
      <c r="M525" s="4">
        <f t="shared" si="562"/>
        <v>9643711</v>
      </c>
      <c r="N525" s="4">
        <v>9262433</v>
      </c>
      <c r="O525" s="520">
        <f t="shared" si="563"/>
        <v>0.99983718658417453</v>
      </c>
      <c r="P525" s="200">
        <f t="shared" si="564"/>
        <v>0.12113381726368944</v>
      </c>
      <c r="Q525" s="4"/>
      <c r="R525" s="4"/>
      <c r="S525" s="290">
        <f t="shared" si="565"/>
        <v>241595</v>
      </c>
      <c r="T525" s="1">
        <v>-42</v>
      </c>
      <c r="U525" s="4">
        <v>701</v>
      </c>
      <c r="V525" s="512">
        <f>SUM(B512:B525)/POBLA!$B$25*100000</f>
        <v>379.63726043193191</v>
      </c>
      <c r="W525" s="512">
        <f>B525/POBLA!$B$25*100000</f>
        <v>13.532345114421256</v>
      </c>
      <c r="X525" s="513">
        <f t="shared" si="566"/>
        <v>0.86717975305410566</v>
      </c>
      <c r="Y525" s="519">
        <f t="shared" si="567"/>
        <v>1.5211407520851011E-2</v>
      </c>
      <c r="Z525" s="520">
        <f t="shared" si="568"/>
        <v>0.12804549000743159</v>
      </c>
      <c r="AA525" s="517">
        <f t="shared" si="569"/>
        <v>11864</v>
      </c>
      <c r="AB525" s="542">
        <f t="shared" si="570"/>
        <v>241.71428571428572</v>
      </c>
      <c r="AC525" s="517">
        <f t="shared" si="571"/>
        <v>276.06539244400477</v>
      </c>
      <c r="AD525" s="517">
        <f t="shared" si="572"/>
        <v>34.351106729719049</v>
      </c>
      <c r="AE525" s="545">
        <f t="shared" si="573"/>
        <v>12305.714285714286</v>
      </c>
      <c r="AF525" s="520">
        <f t="shared" si="574"/>
        <v>0.93069750762058456</v>
      </c>
      <c r="AG525" s="200">
        <f t="shared" si="575"/>
        <v>-2.9224327756079527E-2</v>
      </c>
      <c r="AH525" s="200">
        <f t="shared" si="576"/>
        <v>9.5347690284399711E-3</v>
      </c>
      <c r="AI525" s="355">
        <f t="shared" si="577"/>
        <v>0.8233576642335767</v>
      </c>
      <c r="AJ525" s="657">
        <f t="shared" si="578"/>
        <v>-6.9302492379415437E-2</v>
      </c>
      <c r="AK525" s="414">
        <f t="shared" si="579"/>
        <v>1.8794152930199495E-2</v>
      </c>
      <c r="AL525" s="28">
        <f t="shared" si="580"/>
        <v>1.4766864361830367E-2</v>
      </c>
      <c r="AM525" s="200">
        <f t="shared" si="581"/>
        <v>0.93917710196779969</v>
      </c>
      <c r="AN525" s="200">
        <f t="shared" si="582"/>
        <v>0.8233576642335767</v>
      </c>
      <c r="AO525" s="18">
        <f t="shared" si="583"/>
        <v>44435</v>
      </c>
      <c r="AP525" s="355">
        <f t="shared" si="584"/>
        <v>0.86717975305410566</v>
      </c>
      <c r="AQ525" s="7">
        <f t="shared" si="585"/>
        <v>33171.285714285717</v>
      </c>
      <c r="AR525" s="290">
        <f t="shared" si="586"/>
        <v>433.72</v>
      </c>
    </row>
    <row r="526" spans="1:44" x14ac:dyDescent="0.25">
      <c r="A526" s="18">
        <v>44417</v>
      </c>
      <c r="B526" s="126">
        <v>10180</v>
      </c>
      <c r="C526" s="154">
        <f t="shared" si="309"/>
        <v>5029075</v>
      </c>
      <c r="D526" s="126">
        <v>503</v>
      </c>
      <c r="E526" s="126">
        <f t="shared" si="339"/>
        <v>108042</v>
      </c>
      <c r="F526" s="126">
        <f t="shared" si="311"/>
        <v>11900</v>
      </c>
      <c r="G526" s="154">
        <v>4681661</v>
      </c>
      <c r="H526" s="126">
        <v>3613</v>
      </c>
      <c r="I526" s="4">
        <v>72886</v>
      </c>
      <c r="J526" s="4">
        <f t="shared" si="461"/>
        <v>20185054</v>
      </c>
      <c r="K526" s="7">
        <v>34715.666666666701</v>
      </c>
      <c r="L526" s="7">
        <v>9642924.3333333302</v>
      </c>
      <c r="M526" s="4">
        <f t="shared" ref="M526" si="587">L526+K526</f>
        <v>9677639.9999999963</v>
      </c>
      <c r="N526" s="4">
        <v>9262434</v>
      </c>
      <c r="O526" s="520">
        <f t="shared" ref="O526" si="588">B526/(B526+(N526-N525))</f>
        <v>0.99990177782143208</v>
      </c>
      <c r="P526" s="200">
        <f t="shared" ref="P526" si="589">B526/I526</f>
        <v>0.13967016985429301</v>
      </c>
      <c r="Q526" s="4"/>
      <c r="R526" s="4"/>
      <c r="S526" s="290">
        <f t="shared" ref="S526" si="590">C526-E526-G526</f>
        <v>239372</v>
      </c>
      <c r="T526" s="1">
        <v>-42</v>
      </c>
      <c r="U526" s="4">
        <v>701</v>
      </c>
      <c r="V526" s="512">
        <f>SUM(B513:B526)/POBLA!$B$25*100000</f>
        <v>374.40369592342347</v>
      </c>
      <c r="W526" s="512">
        <f>B526/POBLA!$B$25*100000</f>
        <v>22.432710188048915</v>
      </c>
      <c r="X526" s="513">
        <f t="shared" ref="X526" si="591">SUM(B513:B526)/SUM(B499:B512)</f>
        <v>0.86583296387457764</v>
      </c>
      <c r="Y526" s="519">
        <f t="shared" ref="Y526" si="592">H526/S526</f>
        <v>1.5093661748241231E-2</v>
      </c>
      <c r="Z526" s="520">
        <f t="shared" ref="Z526" si="593">SUM(B520:B526)/SUM(I520:I526)</f>
        <v>0.12564972755089851</v>
      </c>
      <c r="AA526" s="517">
        <f t="shared" ref="AA526" si="594">AVERAGE(B520:B526)</f>
        <v>11720.714285714286</v>
      </c>
      <c r="AB526" s="542">
        <f t="shared" ref="AB526" si="595">AVERAGE(D520:D526)</f>
        <v>274.42857142857144</v>
      </c>
      <c r="AC526" s="517">
        <f t="shared" ref="AC526" si="596">AA512*(E512/C512)</f>
        <v>275.73071497513246</v>
      </c>
      <c r="AD526" s="517">
        <f t="shared" ref="AD526" si="597">AC526-AB526</f>
        <v>1.3021435465610125</v>
      </c>
      <c r="AE526" s="545">
        <f t="shared" ref="AE526" si="598">AVERAGE(B513:B526)</f>
        <v>12136.071428571429</v>
      </c>
      <c r="AF526" s="520">
        <f t="shared" ref="AF526" si="599">AA526/AA519</f>
        <v>0.93381516048258606</v>
      </c>
      <c r="AG526" s="200">
        <f t="shared" ref="AG526" si="600">S526/S519-1</f>
        <v>-2.7085467167406341E-2</v>
      </c>
      <c r="AH526" s="200">
        <f t="shared" ref="AH526" si="601">B526/B519-1</f>
        <v>-8.9689707591880552E-2</v>
      </c>
      <c r="AI526" s="355">
        <f t="shared" ref="AI526" si="602">AB526/AB519</f>
        <v>0.98766066838046285</v>
      </c>
      <c r="AJ526" s="657">
        <f t="shared" ref="AJ526" si="603">AF526-1</f>
        <v>-6.618483951741394E-2</v>
      </c>
      <c r="AK526" s="414">
        <f t="shared" ref="AK526" si="604">AB526/AA513</f>
        <v>2.0946918480394296E-2</v>
      </c>
      <c r="AL526" s="28">
        <f t="shared" ref="AL526" si="605">H526/S519</f>
        <v>1.4684842868523305E-2</v>
      </c>
      <c r="AM526" s="200">
        <f t="shared" ref="AM526" si="606">H526/H519</f>
        <v>0.94605917779523441</v>
      </c>
      <c r="AN526" s="200">
        <f t="shared" ref="AN526" si="607">AB526/AB519</f>
        <v>0.98766066838046285</v>
      </c>
      <c r="AO526" s="18">
        <f t="shared" ref="AO526" si="608">A525+20</f>
        <v>44436</v>
      </c>
      <c r="AP526" s="355">
        <f t="shared" ref="AP526" si="609">AE526/AE512</f>
        <v>0.86583296387457775</v>
      </c>
      <c r="AQ526" s="7">
        <f t="shared" ref="AQ526" si="610">MAX(AA:AA)</f>
        <v>33171.285714285717</v>
      </c>
      <c r="AR526" s="290">
        <f t="shared" ref="AR526" si="611">AA505*0.028</f>
        <v>424.82</v>
      </c>
    </row>
    <row r="527" spans="1:44" x14ac:dyDescent="0.25">
      <c r="A527" s="18">
        <v>44418</v>
      </c>
      <c r="B527" s="143">
        <v>12412</v>
      </c>
      <c r="C527" s="154">
        <f t="shared" si="309"/>
        <v>5041487</v>
      </c>
      <c r="D527" s="143">
        <v>206</v>
      </c>
      <c r="E527" s="126">
        <f t="shared" si="339"/>
        <v>108248</v>
      </c>
      <c r="F527" s="126">
        <f t="shared" si="311"/>
        <v>9862</v>
      </c>
      <c r="G527" s="158">
        <v>4691523</v>
      </c>
      <c r="H527" s="143">
        <v>3652</v>
      </c>
      <c r="I527" s="662">
        <v>102072</v>
      </c>
      <c r="J527" s="4">
        <f t="shared" si="461"/>
        <v>20287126</v>
      </c>
      <c r="K527" s="7">
        <v>34715.666666666701</v>
      </c>
      <c r="L527" s="7">
        <v>9642924.3333333302</v>
      </c>
      <c r="M527" s="4">
        <f t="shared" ref="M527:M528" si="612">L527+K527</f>
        <v>9677639.9999999963</v>
      </c>
      <c r="N527" s="4">
        <v>9262435</v>
      </c>
      <c r="O527" s="520">
        <f t="shared" ref="O527:O528" si="613">B527/(B527+(N527-N526))</f>
        <v>0.9999194392975107</v>
      </c>
      <c r="P527" s="200">
        <f t="shared" ref="P527:P528" si="614">B527/I527</f>
        <v>0.12160043890587037</v>
      </c>
      <c r="Q527" s="4"/>
      <c r="R527" s="4"/>
      <c r="S527" s="290">
        <f t="shared" ref="S527:S528" si="615">C527-E527-G527</f>
        <v>241716</v>
      </c>
      <c r="T527" s="1">
        <v>-42</v>
      </c>
      <c r="U527" s="4">
        <v>701</v>
      </c>
      <c r="V527" s="512">
        <f>SUM(B514:B527)/POBLA!$B$25*100000</f>
        <v>364.82902738048898</v>
      </c>
      <c r="W527" s="512">
        <f>B527/POBLA!$B$25*100000</f>
        <v>27.351159022992448</v>
      </c>
      <c r="X527" s="513">
        <f t="shared" ref="X527:X528" si="616">SUM(B514:B527)/SUM(B500:B513)</f>
        <v>0.85797053382184518</v>
      </c>
      <c r="Y527" s="519">
        <f t="shared" ref="Y527:Y528" si="617">H527/S527</f>
        <v>1.510863989144285E-2</v>
      </c>
      <c r="Z527" s="520">
        <f t="shared" ref="Z527:Z528" si="618">SUM(B521:B527)/SUM(I521:I527)</f>
        <v>0.1227809601367129</v>
      </c>
      <c r="AA527" s="517">
        <f t="shared" ref="AA527:AA528" si="619">AVERAGE(B521:B527)</f>
        <v>11372.428571428571</v>
      </c>
      <c r="AB527" s="542">
        <f t="shared" ref="AB527:AB528" si="620">AVERAGE(D521:D527)</f>
        <v>246</v>
      </c>
      <c r="AC527" s="517">
        <f t="shared" ref="AC527:AC528" si="621">AA513*(E513/C513)</f>
        <v>280.57984519808087</v>
      </c>
      <c r="AD527" s="517">
        <f t="shared" ref="AD527:AD528" si="622">AC527-AB527</f>
        <v>34.579845198080875</v>
      </c>
      <c r="AE527" s="545">
        <f t="shared" ref="AE527:AE528" si="623">AVERAGE(B514:B527)</f>
        <v>11825.714285714286</v>
      </c>
      <c r="AF527" s="520">
        <f t="shared" ref="AF527:AF528" si="624">AA527/AA520</f>
        <v>0.92616895279978584</v>
      </c>
      <c r="AG527" s="200">
        <f t="shared" ref="AG527:AG528" si="625">S527/S520-1</f>
        <v>-3.0530064814220603E-2</v>
      </c>
      <c r="AH527" s="200">
        <f t="shared" ref="AH527:AH528" si="626">B527/B520-1</f>
        <v>-0.1641750841750842</v>
      </c>
      <c r="AI527" s="355">
        <f t="shared" ref="AI527:AI528" si="627">AB527/AB520</f>
        <v>0.81960970966206559</v>
      </c>
      <c r="AJ527" s="657">
        <f t="shared" ref="AJ527:AJ528" si="628">AF527-1</f>
        <v>-7.3831047200214162E-2</v>
      </c>
      <c r="AK527" s="414">
        <f t="shared" ref="AK527:AK528" si="629">AB527/AA514</f>
        <v>1.8524295657225229E-2</v>
      </c>
      <c r="AL527" s="28">
        <f t="shared" ref="AL527:AL528" si="630">H527/S520</f>
        <v>1.4647372136302381E-2</v>
      </c>
      <c r="AM527" s="200">
        <f t="shared" ref="AM527:AM528" si="631">H527/H520</f>
        <v>0.96947172816564908</v>
      </c>
      <c r="AN527" s="200">
        <f t="shared" ref="AN527:AN528" si="632">AB527/AB520</f>
        <v>0.81960970966206559</v>
      </c>
      <c r="AO527" s="18">
        <f t="shared" ref="AO527:AO528" si="633">A526+20</f>
        <v>44437</v>
      </c>
      <c r="AP527" s="355">
        <f t="shared" ref="AP527:AP528" si="634">AE527/AE513</f>
        <v>0.85797053382184518</v>
      </c>
      <c r="AQ527" s="7">
        <f t="shared" ref="AQ527:AQ528" si="635">MAX(AA:AA)</f>
        <v>33171.285714285717</v>
      </c>
      <c r="AR527" s="290">
        <f t="shared" ref="AR527:AR528" si="636">AA506*0.028</f>
        <v>405.03600000000006</v>
      </c>
    </row>
    <row r="528" spans="1:44" x14ac:dyDescent="0.25">
      <c r="A528" s="18">
        <v>44419</v>
      </c>
      <c r="B528" s="143">
        <v>11397</v>
      </c>
      <c r="C528" s="154">
        <f t="shared" si="309"/>
        <v>5052884</v>
      </c>
      <c r="D528" s="143">
        <v>223</v>
      </c>
      <c r="E528" s="126">
        <f t="shared" si="339"/>
        <v>108471</v>
      </c>
      <c r="F528" s="126">
        <f t="shared" si="311"/>
        <v>8507</v>
      </c>
      <c r="G528" s="158">
        <v>4700030</v>
      </c>
      <c r="H528" s="143">
        <v>3635</v>
      </c>
      <c r="I528" s="662">
        <v>84924</v>
      </c>
      <c r="J528" s="4">
        <f t="shared" si="461"/>
        <v>20372050</v>
      </c>
      <c r="K528" s="7">
        <v>34715.666666666701</v>
      </c>
      <c r="L528" s="7">
        <v>9642924.3333333302</v>
      </c>
      <c r="M528" s="4">
        <f t="shared" si="612"/>
        <v>9677639.9999999963</v>
      </c>
      <c r="N528" s="4">
        <v>9262436</v>
      </c>
      <c r="O528" s="520">
        <f t="shared" si="613"/>
        <v>0.99991226530970345</v>
      </c>
      <c r="P528" s="200">
        <f t="shared" si="614"/>
        <v>0.13420234562667796</v>
      </c>
      <c r="Q528" s="4"/>
      <c r="R528" s="4"/>
      <c r="S528" s="290">
        <f t="shared" si="615"/>
        <v>244383</v>
      </c>
      <c r="T528" s="1">
        <v>-42</v>
      </c>
      <c r="U528" s="4">
        <v>701</v>
      </c>
      <c r="V528" s="512">
        <f>SUM(B515:B528)/POBLA!$B$25*100000</f>
        <v>354.9436503762073</v>
      </c>
      <c r="W528" s="512">
        <f>B528/POBLA!$B$25*100000</f>
        <v>25.114498822514097</v>
      </c>
      <c r="X528" s="513">
        <f t="shared" si="616"/>
        <v>0.851554032978594</v>
      </c>
      <c r="Y528" s="519">
        <f t="shared" si="617"/>
        <v>1.4874193376789711E-2</v>
      </c>
      <c r="Z528" s="520">
        <f t="shared" si="618"/>
        <v>0.12456493036467661</v>
      </c>
      <c r="AA528" s="517">
        <f t="shared" si="619"/>
        <v>11038.285714285714</v>
      </c>
      <c r="AB528" s="542">
        <f t="shared" si="620"/>
        <v>235</v>
      </c>
      <c r="AC528" s="517">
        <f t="shared" si="621"/>
        <v>284.76246928174703</v>
      </c>
      <c r="AD528" s="517">
        <f t="shared" si="622"/>
        <v>49.76246928174703</v>
      </c>
      <c r="AE528" s="545">
        <f t="shared" si="623"/>
        <v>11505.285714285714</v>
      </c>
      <c r="AF528" s="520">
        <f t="shared" si="624"/>
        <v>0.92198649261389398</v>
      </c>
      <c r="AG528" s="200">
        <f t="shared" si="625"/>
        <v>-3.389126962791944E-2</v>
      </c>
      <c r="AH528" s="200">
        <f t="shared" si="626"/>
        <v>-0.17028246942341296</v>
      </c>
      <c r="AI528" s="355">
        <f t="shared" si="627"/>
        <v>0.8523316062176165</v>
      </c>
      <c r="AJ528" s="657">
        <f>AF528-1</f>
        <v>-7.8013507386106018E-2</v>
      </c>
      <c r="AK528" s="414">
        <f t="shared" si="629"/>
        <v>1.7579669566332529E-2</v>
      </c>
      <c r="AL528" s="28">
        <f t="shared" si="630"/>
        <v>1.4370088078559117E-2</v>
      </c>
      <c r="AM528" s="200">
        <f t="shared" si="631"/>
        <v>0.96985058697972248</v>
      </c>
      <c r="AN528" s="200">
        <f t="shared" si="632"/>
        <v>0.8523316062176165</v>
      </c>
      <c r="AO528" s="18">
        <f t="shared" si="633"/>
        <v>44438</v>
      </c>
      <c r="AP528" s="355">
        <f t="shared" si="634"/>
        <v>0.85155403297859411</v>
      </c>
      <c r="AQ528" s="7">
        <f t="shared" si="635"/>
        <v>33171.285714285717</v>
      </c>
      <c r="AR528" s="290">
        <f t="shared" si="636"/>
        <v>384.77600000000001</v>
      </c>
    </row>
    <row r="529" spans="1:1" x14ac:dyDescent="0.25">
      <c r="A529" s="18">
        <v>44420</v>
      </c>
    </row>
    <row r="530" spans="1:1" x14ac:dyDescent="0.25">
      <c r="A530" s="18">
        <v>44421</v>
      </c>
    </row>
    <row r="531" spans="1:1" x14ac:dyDescent="0.25">
      <c r="A531" s="18">
        <v>44422</v>
      </c>
    </row>
    <row r="532" spans="1:1" x14ac:dyDescent="0.25">
      <c r="A532" s="655">
        <v>44423</v>
      </c>
    </row>
    <row r="533" spans="1:1" x14ac:dyDescent="0.25">
      <c r="A533" s="18">
        <v>44424</v>
      </c>
    </row>
    <row r="534" spans="1:1" x14ac:dyDescent="0.25">
      <c r="A534" s="18">
        <v>44425</v>
      </c>
    </row>
    <row r="535" spans="1:1" x14ac:dyDescent="0.25">
      <c r="A535" s="18">
        <v>44426</v>
      </c>
    </row>
    <row r="536" spans="1:1" x14ac:dyDescent="0.25">
      <c r="A536" s="18">
        <v>44427</v>
      </c>
    </row>
    <row r="537" spans="1:1" x14ac:dyDescent="0.25">
      <c r="A537" s="18">
        <v>44428</v>
      </c>
    </row>
    <row r="538" spans="1:1" x14ac:dyDescent="0.25">
      <c r="A538" s="18">
        <v>44429</v>
      </c>
    </row>
    <row r="539" spans="1:1" x14ac:dyDescent="0.25">
      <c r="A539" s="655">
        <v>44430</v>
      </c>
    </row>
    <row r="540" spans="1:1" x14ac:dyDescent="0.25">
      <c r="A540" s="18">
        <v>44431</v>
      </c>
    </row>
    <row r="541" spans="1:1" x14ac:dyDescent="0.25">
      <c r="A541" s="18">
        <v>44432</v>
      </c>
    </row>
    <row r="542" spans="1:1" x14ac:dyDescent="0.25">
      <c r="A542" s="18">
        <v>44433</v>
      </c>
    </row>
    <row r="543" spans="1:1" x14ac:dyDescent="0.25">
      <c r="A543" s="18">
        <v>44434</v>
      </c>
    </row>
    <row r="544" spans="1:1" x14ac:dyDescent="0.25">
      <c r="A544" s="18">
        <v>44435</v>
      </c>
    </row>
    <row r="545" spans="1:1" x14ac:dyDescent="0.25">
      <c r="A545" s="18">
        <v>44436</v>
      </c>
    </row>
    <row r="546" spans="1:1" x14ac:dyDescent="0.25">
      <c r="A546" s="655">
        <v>44437</v>
      </c>
    </row>
    <row r="547" spans="1:1" x14ac:dyDescent="0.25">
      <c r="A547" s="18">
        <v>44438</v>
      </c>
    </row>
    <row r="548" spans="1:1" x14ac:dyDescent="0.25">
      <c r="A548" s="18">
        <v>44439</v>
      </c>
    </row>
    <row r="549" spans="1:1" x14ac:dyDescent="0.25">
      <c r="A549" s="18">
        <v>44440</v>
      </c>
    </row>
    <row r="550" spans="1:1" x14ac:dyDescent="0.25">
      <c r="A550" s="18">
        <v>44441</v>
      </c>
    </row>
    <row r="551" spans="1:1" x14ac:dyDescent="0.25">
      <c r="A551" s="18">
        <v>44442</v>
      </c>
    </row>
    <row r="552" spans="1:1" x14ac:dyDescent="0.25">
      <c r="A552" s="18">
        <v>44443</v>
      </c>
    </row>
    <row r="553" spans="1:1" x14ac:dyDescent="0.25">
      <c r="A553" s="655">
        <v>44444</v>
      </c>
    </row>
  </sheetData>
  <autoFilter ref="A1:S388" xr:uid="{00000000-0009-0000-0000-000000000000}"/>
  <conditionalFormatting sqref="AF66:AF528">
    <cfRule type="colorScale" priority="18">
      <colorScale>
        <cfvo type="min"/>
        <cfvo type="percentile" val="50"/>
        <cfvo type="max"/>
        <color rgb="FF63BE7B"/>
        <color rgb="FFFFEB84"/>
        <color rgb="FFF8696B"/>
      </colorScale>
    </cfRule>
  </conditionalFormatting>
  <conditionalFormatting sqref="AA8:AA528">
    <cfRule type="colorScale" priority="17">
      <colorScale>
        <cfvo type="min"/>
        <cfvo type="percentile" val="50"/>
        <cfvo type="max"/>
        <color rgb="FF63BE7B"/>
        <color rgb="FFFFEB84"/>
        <color rgb="FFF8696B"/>
      </colorScale>
    </cfRule>
  </conditionalFormatting>
  <conditionalFormatting sqref="AN213:AN528">
    <cfRule type="colorScale" priority="16">
      <colorScale>
        <cfvo type="min"/>
        <cfvo type="percentile" val="50"/>
        <cfvo type="max"/>
        <color rgb="FF63BE7B"/>
        <color rgb="FFFFEB84"/>
        <color rgb="FFF8696B"/>
      </colorScale>
    </cfRule>
  </conditionalFormatting>
  <conditionalFormatting sqref="AI138:AI528">
    <cfRule type="colorScale" priority="15">
      <colorScale>
        <cfvo type="min"/>
        <cfvo type="percentile" val="50"/>
        <cfvo type="max"/>
        <color rgb="FF63BE7B"/>
        <color rgb="FFFFEB84"/>
        <color rgb="FFF8696B"/>
      </colorScale>
    </cfRule>
  </conditionalFormatting>
  <conditionalFormatting sqref="AE266:AE528">
    <cfRule type="colorScale" priority="14">
      <colorScale>
        <cfvo type="min"/>
        <cfvo type="percentile" val="50"/>
        <cfvo type="max"/>
        <color rgb="FF63BE7B"/>
        <color rgb="FFFFEB84"/>
        <color rgb="FFF8696B"/>
      </colorScale>
    </cfRule>
  </conditionalFormatting>
  <conditionalFormatting sqref="X44:X528">
    <cfRule type="colorScale" priority="12">
      <colorScale>
        <cfvo type="min"/>
        <cfvo type="percentile" val="50"/>
        <cfvo type="max"/>
        <color rgb="FF63BE7B"/>
        <color rgb="FFFFEB84"/>
        <color rgb="FFF8696B"/>
      </colorScale>
    </cfRule>
  </conditionalFormatting>
  <conditionalFormatting sqref="AB426:AB528">
    <cfRule type="colorScale" priority="11">
      <colorScale>
        <cfvo type="min"/>
        <cfvo type="percentile" val="50"/>
        <cfvo type="max"/>
        <color rgb="FF63BE7B"/>
        <color rgb="FFFFEB84"/>
        <color rgb="FFF8696B"/>
      </colorScale>
    </cfRule>
  </conditionalFormatting>
  <conditionalFormatting sqref="AA306:AA528">
    <cfRule type="colorScale" priority="2">
      <colorScale>
        <cfvo type="min"/>
        <cfvo type="percentile" val="50"/>
        <cfvo type="max"/>
        <color rgb="FF63BE7B"/>
        <color rgb="FFFFEB84"/>
        <color rgb="FFF8696B"/>
      </colorScale>
    </cfRule>
  </conditionalFormatting>
  <conditionalFormatting sqref="AA8:AA30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B9:AB421 AA423:AA441 AA354:AA422 AA451:AA466 AE447:AE470 AE445:AE446 AA444:AA450 AA467:AA477 AA442:AA443 AE471:AE478 AA489:AB515 AB487 AB48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K28"/>
  <sheetViews>
    <sheetView topLeftCell="A22" workbookViewId="0">
      <selection activeCell="K24" sqref="K24"/>
    </sheetView>
  </sheetViews>
  <sheetFormatPr baseColWidth="10" defaultRowHeight="15" x14ac:dyDescent="0.25"/>
  <cols>
    <col min="1" max="1" width="18" bestFit="1" customWidth="1"/>
    <col min="2" max="2" width="11.42578125" style="463"/>
  </cols>
  <sheetData>
    <row r="1" spans="1:3" s="261" customFormat="1" ht="30.75" thickBot="1" x14ac:dyDescent="0.3">
      <c r="B1" s="277" t="s">
        <v>299</v>
      </c>
    </row>
    <row r="2" spans="1:3" x14ac:dyDescent="0.25">
      <c r="A2" s="471" t="s">
        <v>16</v>
      </c>
      <c r="B2" s="4">
        <v>69</v>
      </c>
    </row>
    <row r="3" spans="1:3" x14ac:dyDescent="0.25">
      <c r="A3" s="472" t="s">
        <v>43</v>
      </c>
      <c r="B3" s="4">
        <v>83</v>
      </c>
    </row>
    <row r="4" spans="1:3" x14ac:dyDescent="0.25">
      <c r="A4" s="472" t="s">
        <v>28</v>
      </c>
      <c r="B4" s="4">
        <v>77</v>
      </c>
      <c r="C4">
        <v>88</v>
      </c>
    </row>
    <row r="5" spans="1:3" x14ac:dyDescent="0.25">
      <c r="A5" s="472" t="s">
        <v>15</v>
      </c>
      <c r="B5" s="4">
        <v>77</v>
      </c>
    </row>
    <row r="6" spans="1:3" x14ac:dyDescent="0.25">
      <c r="A6" s="472" t="s">
        <v>29</v>
      </c>
      <c r="B6" s="4">
        <v>72</v>
      </c>
    </row>
    <row r="7" spans="1:3" x14ac:dyDescent="0.25">
      <c r="A7" s="472" t="s">
        <v>30</v>
      </c>
      <c r="B7" s="4">
        <v>86</v>
      </c>
    </row>
    <row r="8" spans="1:3" x14ac:dyDescent="0.25">
      <c r="A8" s="472" t="s">
        <v>20</v>
      </c>
      <c r="B8" s="4">
        <v>49</v>
      </c>
    </row>
    <row r="9" spans="1:3" x14ac:dyDescent="0.25">
      <c r="A9" s="472" t="s">
        <v>31</v>
      </c>
      <c r="B9" s="4">
        <v>77</v>
      </c>
    </row>
    <row r="10" spans="1:3" x14ac:dyDescent="0.25">
      <c r="A10" s="472" t="s">
        <v>41</v>
      </c>
      <c r="B10" s="4">
        <v>94</v>
      </c>
    </row>
    <row r="11" spans="1:3" x14ac:dyDescent="0.25">
      <c r="A11" s="472" t="s">
        <v>32</v>
      </c>
      <c r="B11" s="4">
        <v>75</v>
      </c>
    </row>
    <row r="12" spans="1:3" x14ac:dyDescent="0.25">
      <c r="A12" s="472" t="s">
        <v>33</v>
      </c>
      <c r="B12" s="4">
        <v>80</v>
      </c>
    </row>
    <row r="13" spans="1:3" x14ac:dyDescent="0.25">
      <c r="A13" s="472" t="s">
        <v>21</v>
      </c>
      <c r="B13" s="4">
        <v>69</v>
      </c>
    </row>
    <row r="14" spans="1:3" x14ac:dyDescent="0.25">
      <c r="A14" s="472" t="s">
        <v>17</v>
      </c>
      <c r="B14" s="4">
        <v>87</v>
      </c>
    </row>
    <row r="15" spans="1:3" x14ac:dyDescent="0.25">
      <c r="A15" s="472" t="s">
        <v>23</v>
      </c>
      <c r="B15" s="4">
        <v>52</v>
      </c>
    </row>
    <row r="16" spans="1:3" x14ac:dyDescent="0.25">
      <c r="A16" s="472" t="s">
        <v>19</v>
      </c>
      <c r="B16" s="4">
        <v>91</v>
      </c>
    </row>
    <row r="17" spans="1:11" x14ac:dyDescent="0.25">
      <c r="A17" s="472" t="s">
        <v>18</v>
      </c>
      <c r="B17" s="4">
        <v>92</v>
      </c>
    </row>
    <row r="18" spans="1:11" x14ac:dyDescent="0.25">
      <c r="A18" s="472" t="s">
        <v>34</v>
      </c>
      <c r="B18" s="4">
        <v>82</v>
      </c>
    </row>
    <row r="19" spans="1:11" x14ac:dyDescent="0.25">
      <c r="A19" s="472" t="s">
        <v>35</v>
      </c>
      <c r="B19" s="4">
        <v>86</v>
      </c>
    </row>
    <row r="20" spans="1:11" x14ac:dyDescent="0.25">
      <c r="A20" s="472" t="s">
        <v>36</v>
      </c>
      <c r="B20" s="4">
        <v>73</v>
      </c>
    </row>
    <row r="21" spans="1:11" x14ac:dyDescent="0.25">
      <c r="A21" s="472" t="s">
        <v>37</v>
      </c>
      <c r="B21" s="4">
        <v>52</v>
      </c>
    </row>
    <row r="22" spans="1:11" x14ac:dyDescent="0.25">
      <c r="A22" s="472" t="s">
        <v>22</v>
      </c>
      <c r="B22" s="4">
        <v>96</v>
      </c>
    </row>
    <row r="23" spans="1:11" x14ac:dyDescent="0.25">
      <c r="A23" s="472" t="s">
        <v>38</v>
      </c>
      <c r="B23" s="4">
        <v>67</v>
      </c>
    </row>
    <row r="24" spans="1:11" x14ac:dyDescent="0.25">
      <c r="A24" s="472" t="s">
        <v>39</v>
      </c>
      <c r="B24" s="4">
        <v>61</v>
      </c>
      <c r="F24" s="261" t="s">
        <v>73</v>
      </c>
      <c r="G24">
        <v>6180</v>
      </c>
      <c r="H24" s="185">
        <v>44349</v>
      </c>
      <c r="K24" s="711">
        <f>2000*160</f>
        <v>320000</v>
      </c>
    </row>
    <row r="25" spans="1:11" ht="15.75" thickBot="1" x14ac:dyDescent="0.3">
      <c r="A25" s="473" t="s">
        <v>40</v>
      </c>
      <c r="B25" s="4">
        <v>90</v>
      </c>
      <c r="C25">
        <v>150</v>
      </c>
      <c r="D25">
        <f>B25*C25/100</f>
        <v>135</v>
      </c>
      <c r="F25" t="s">
        <v>73</v>
      </c>
      <c r="G25">
        <v>5010</v>
      </c>
      <c r="H25" s="185">
        <v>44356</v>
      </c>
      <c r="I25" s="431">
        <f>G25/G24-1</f>
        <v>-0.18932038834951459</v>
      </c>
    </row>
    <row r="26" spans="1:11" x14ac:dyDescent="0.25">
      <c r="F26" t="s">
        <v>43</v>
      </c>
      <c r="G26">
        <v>1763</v>
      </c>
      <c r="H26" s="185">
        <v>44349</v>
      </c>
    </row>
    <row r="27" spans="1:11" x14ac:dyDescent="0.25">
      <c r="F27" s="261" t="s">
        <v>43</v>
      </c>
      <c r="G27">
        <v>1459</v>
      </c>
      <c r="H27" s="185">
        <v>44356</v>
      </c>
      <c r="I27" s="431">
        <f>G27/G26-1</f>
        <v>-0.17243335224049916</v>
      </c>
    </row>
    <row r="28" spans="1:11" x14ac:dyDescent="0.25">
      <c r="A28" s="18">
        <v>44341</v>
      </c>
      <c r="B28" s="23">
        <v>6552</v>
      </c>
      <c r="C28" s="462">
        <v>74.099999999999994</v>
      </c>
      <c r="D28" s="462">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1:EE29"/>
  <sheetViews>
    <sheetView workbookViewId="0">
      <selection activeCell="BZ2" sqref="BZ2"/>
    </sheetView>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7109375"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1" spans="1:135" x14ac:dyDescent="0.25">
      <c r="BZ1">
        <f>24-CB1</f>
        <v>23.35</v>
      </c>
      <c r="CA1">
        <f>60*CB1</f>
        <v>39</v>
      </c>
      <c r="CB1">
        <f>39*CC1</f>
        <v>0.65</v>
      </c>
      <c r="CC1">
        <f>1/60</f>
        <v>1.6666666666666666E-2</v>
      </c>
      <c r="CD1">
        <f>24-2</f>
        <v>22</v>
      </c>
      <c r="CE1" s="715">
        <v>0.73541666666666661</v>
      </c>
      <c r="CF1" s="715">
        <v>0.625</v>
      </c>
      <c r="CG1" s="439">
        <f>CF1-CE1</f>
        <v>-0.11041666666666661</v>
      </c>
    </row>
    <row r="2" spans="1:135" x14ac:dyDescent="0.25">
      <c r="BZ2">
        <f>BZ1-2</f>
        <v>21.35</v>
      </c>
    </row>
    <row r="3" spans="1:135" x14ac:dyDescent="0.25">
      <c r="B3" s="437" t="s">
        <v>296</v>
      </c>
    </row>
    <row r="4" spans="1:135" x14ac:dyDescent="0.25">
      <c r="B4" s="185">
        <v>44288</v>
      </c>
      <c r="D4" s="185">
        <v>44289</v>
      </c>
      <c r="F4" s="185">
        <v>44290</v>
      </c>
      <c r="H4" s="185">
        <v>44291</v>
      </c>
      <c r="J4" s="185">
        <v>44292</v>
      </c>
      <c r="L4" s="185">
        <v>44293</v>
      </c>
      <c r="N4" s="185">
        <v>44294</v>
      </c>
      <c r="P4" s="185">
        <v>44295</v>
      </c>
      <c r="R4" s="185">
        <v>44296</v>
      </c>
      <c r="T4" s="185">
        <v>44297</v>
      </c>
      <c r="V4" s="185">
        <v>44298</v>
      </c>
      <c r="X4" s="185">
        <v>44299</v>
      </c>
      <c r="Z4" s="185">
        <v>44300</v>
      </c>
      <c r="AB4" s="185">
        <v>44301</v>
      </c>
      <c r="AD4" s="185">
        <v>44302</v>
      </c>
      <c r="AF4" s="185">
        <v>44303</v>
      </c>
      <c r="AH4" s="185">
        <v>44304</v>
      </c>
      <c r="AJ4" s="185">
        <v>44305</v>
      </c>
      <c r="AL4" s="185">
        <v>44306</v>
      </c>
      <c r="AN4" s="185">
        <v>44307</v>
      </c>
      <c r="AP4" s="185">
        <v>44308</v>
      </c>
      <c r="AR4" s="185">
        <v>44309</v>
      </c>
      <c r="AT4" s="185">
        <v>44310</v>
      </c>
      <c r="AV4" s="185">
        <v>44311</v>
      </c>
      <c r="AX4" s="185">
        <v>44312</v>
      </c>
      <c r="AZ4" s="185">
        <v>44313</v>
      </c>
      <c r="BB4" s="185">
        <v>44314</v>
      </c>
      <c r="BD4" s="185">
        <v>44315</v>
      </c>
      <c r="BF4" s="185">
        <v>44316</v>
      </c>
      <c r="BH4" s="185">
        <v>44317</v>
      </c>
      <c r="BJ4" s="185">
        <v>44318</v>
      </c>
      <c r="BL4" s="185">
        <v>44319</v>
      </c>
      <c r="BN4" s="185">
        <v>44320</v>
      </c>
      <c r="BP4" s="185">
        <v>44321</v>
      </c>
      <c r="BR4" s="185">
        <v>44322</v>
      </c>
      <c r="BT4" s="185">
        <v>44323</v>
      </c>
      <c r="BV4" s="185">
        <v>44324</v>
      </c>
      <c r="BX4" s="185">
        <v>44325</v>
      </c>
      <c r="BZ4" s="185">
        <v>44326</v>
      </c>
      <c r="CB4" s="185">
        <v>44327</v>
      </c>
      <c r="CD4" s="185">
        <v>44328</v>
      </c>
      <c r="CF4" s="185">
        <v>44329</v>
      </c>
      <c r="CH4" s="185">
        <v>44330</v>
      </c>
      <c r="CJ4" s="185">
        <v>44331</v>
      </c>
      <c r="CL4" s="185">
        <v>44332</v>
      </c>
      <c r="CN4" s="185">
        <v>44333</v>
      </c>
      <c r="CP4" s="185">
        <v>44334</v>
      </c>
      <c r="CR4" s="185">
        <v>44335</v>
      </c>
      <c r="CT4" s="185">
        <v>44336</v>
      </c>
      <c r="CV4" s="185">
        <v>44337</v>
      </c>
      <c r="CX4" s="185">
        <v>44338</v>
      </c>
      <c r="CZ4" s="185">
        <v>44339</v>
      </c>
      <c r="DB4" s="185">
        <v>44340</v>
      </c>
      <c r="DD4" s="185">
        <v>44341</v>
      </c>
      <c r="DF4" s="185">
        <v>44342</v>
      </c>
      <c r="DH4" s="185">
        <v>44343</v>
      </c>
      <c r="DJ4" s="185">
        <v>44344</v>
      </c>
      <c r="DL4" s="185">
        <v>44345</v>
      </c>
      <c r="DN4" s="185">
        <v>44346</v>
      </c>
      <c r="DP4" s="185">
        <v>44347</v>
      </c>
      <c r="DR4" s="185">
        <v>44348</v>
      </c>
      <c r="DT4" s="185">
        <v>44349</v>
      </c>
      <c r="DV4" s="185">
        <v>44350</v>
      </c>
      <c r="DX4" s="185">
        <v>44351</v>
      </c>
      <c r="DZ4" s="185">
        <v>44352</v>
      </c>
      <c r="EB4" s="185">
        <v>44353</v>
      </c>
      <c r="ED4" s="185">
        <v>44354</v>
      </c>
    </row>
    <row r="5" spans="1:135" ht="15.75" thickBot="1" x14ac:dyDescent="0.3">
      <c r="A5" s="460" t="s">
        <v>24</v>
      </c>
      <c r="B5" s="261" t="s">
        <v>307</v>
      </c>
      <c r="C5" s="261" t="s">
        <v>306</v>
      </c>
      <c r="D5" s="261" t="s">
        <v>307</v>
      </c>
      <c r="E5" s="261" t="s">
        <v>306</v>
      </c>
      <c r="F5" s="261" t="s">
        <v>307</v>
      </c>
      <c r="G5" s="261" t="s">
        <v>306</v>
      </c>
      <c r="H5" s="261" t="s">
        <v>307</v>
      </c>
      <c r="I5" s="261" t="s">
        <v>306</v>
      </c>
      <c r="J5" s="261" t="s">
        <v>307</v>
      </c>
      <c r="K5" s="261" t="s">
        <v>306</v>
      </c>
      <c r="L5" s="261" t="s">
        <v>307</v>
      </c>
      <c r="M5" s="261" t="s">
        <v>306</v>
      </c>
      <c r="N5" s="261" t="s">
        <v>307</v>
      </c>
      <c r="O5" s="261" t="s">
        <v>306</v>
      </c>
      <c r="P5" s="261" t="s">
        <v>307</v>
      </c>
      <c r="Q5" s="261" t="s">
        <v>306</v>
      </c>
      <c r="R5" s="261" t="s">
        <v>307</v>
      </c>
      <c r="S5" s="261" t="s">
        <v>306</v>
      </c>
      <c r="T5" s="261" t="s">
        <v>307</v>
      </c>
      <c r="U5" s="261" t="s">
        <v>306</v>
      </c>
      <c r="V5" s="261" t="s">
        <v>307</v>
      </c>
      <c r="W5" s="261" t="s">
        <v>306</v>
      </c>
      <c r="X5" s="261" t="s">
        <v>307</v>
      </c>
      <c r="Y5" s="261" t="s">
        <v>306</v>
      </c>
      <c r="Z5" s="261" t="s">
        <v>307</v>
      </c>
      <c r="AA5" s="261" t="s">
        <v>306</v>
      </c>
      <c r="AB5" s="261" t="s">
        <v>307</v>
      </c>
      <c r="AC5" s="261" t="s">
        <v>306</v>
      </c>
      <c r="AD5" s="261" t="s">
        <v>307</v>
      </c>
      <c r="AE5" s="261" t="s">
        <v>306</v>
      </c>
      <c r="AF5" s="261" t="s">
        <v>307</v>
      </c>
      <c r="AG5" s="261" t="s">
        <v>306</v>
      </c>
      <c r="AH5" s="261" t="s">
        <v>307</v>
      </c>
      <c r="AI5" s="261" t="s">
        <v>306</v>
      </c>
      <c r="AJ5" s="261" t="s">
        <v>307</v>
      </c>
      <c r="AK5" s="261" t="s">
        <v>306</v>
      </c>
      <c r="AL5" s="261" t="s">
        <v>307</v>
      </c>
      <c r="AM5" s="261" t="s">
        <v>306</v>
      </c>
      <c r="AN5" s="261" t="s">
        <v>307</v>
      </c>
      <c r="AO5" s="261" t="s">
        <v>306</v>
      </c>
      <c r="AP5" s="261" t="s">
        <v>307</v>
      </c>
      <c r="AQ5" s="261" t="s">
        <v>306</v>
      </c>
      <c r="AR5" s="261" t="s">
        <v>307</v>
      </c>
      <c r="AS5" s="261" t="s">
        <v>306</v>
      </c>
      <c r="AT5" s="261" t="s">
        <v>307</v>
      </c>
      <c r="AU5" s="261" t="s">
        <v>306</v>
      </c>
      <c r="AV5" s="261" t="s">
        <v>307</v>
      </c>
      <c r="AW5" s="261" t="s">
        <v>306</v>
      </c>
      <c r="AX5" s="261" t="s">
        <v>307</v>
      </c>
      <c r="AY5" s="261" t="s">
        <v>306</v>
      </c>
      <c r="AZ5" s="261" t="s">
        <v>307</v>
      </c>
      <c r="BA5" s="261" t="s">
        <v>306</v>
      </c>
      <c r="BB5" s="261" t="s">
        <v>307</v>
      </c>
      <c r="BC5" s="261" t="s">
        <v>306</v>
      </c>
      <c r="BD5" s="261" t="s">
        <v>307</v>
      </c>
      <c r="BE5" s="261" t="s">
        <v>306</v>
      </c>
      <c r="BF5" s="261" t="s">
        <v>307</v>
      </c>
      <c r="BG5" s="261" t="s">
        <v>306</v>
      </c>
      <c r="BH5" s="261" t="s">
        <v>307</v>
      </c>
      <c r="BI5" s="261" t="s">
        <v>306</v>
      </c>
      <c r="BJ5" s="261" t="s">
        <v>307</v>
      </c>
      <c r="BK5" s="261" t="s">
        <v>306</v>
      </c>
      <c r="BL5" s="261" t="s">
        <v>307</v>
      </c>
      <c r="BM5" s="261" t="s">
        <v>306</v>
      </c>
      <c r="BN5" s="261" t="s">
        <v>307</v>
      </c>
      <c r="BO5" s="261" t="s">
        <v>306</v>
      </c>
      <c r="BP5" s="261" t="s">
        <v>307</v>
      </c>
      <c r="BQ5" s="261" t="s">
        <v>306</v>
      </c>
      <c r="BR5" s="261" t="s">
        <v>307</v>
      </c>
      <c r="BS5" s="261" t="s">
        <v>306</v>
      </c>
      <c r="BT5" s="261" t="s">
        <v>307</v>
      </c>
      <c r="BU5" s="261" t="s">
        <v>306</v>
      </c>
      <c r="BV5" s="261" t="s">
        <v>307</v>
      </c>
      <c r="BW5" s="261" t="s">
        <v>306</v>
      </c>
      <c r="BX5" s="261" t="s">
        <v>307</v>
      </c>
      <c r="BY5" s="261" t="s">
        <v>306</v>
      </c>
      <c r="BZ5" s="261" t="s">
        <v>307</v>
      </c>
      <c r="CA5" s="261" t="s">
        <v>306</v>
      </c>
      <c r="CB5" s="261" t="s">
        <v>307</v>
      </c>
      <c r="CC5" s="261" t="s">
        <v>306</v>
      </c>
      <c r="CD5" s="261" t="s">
        <v>307</v>
      </c>
      <c r="CE5" s="261" t="s">
        <v>306</v>
      </c>
      <c r="CF5" s="261" t="s">
        <v>307</v>
      </c>
      <c r="CG5" s="261" t="s">
        <v>306</v>
      </c>
      <c r="CH5" s="261" t="s">
        <v>307</v>
      </c>
      <c r="CI5" s="261" t="s">
        <v>306</v>
      </c>
      <c r="CJ5" s="261" t="s">
        <v>307</v>
      </c>
      <c r="CK5" s="261" t="s">
        <v>306</v>
      </c>
      <c r="CL5" s="261" t="s">
        <v>307</v>
      </c>
      <c r="CM5" s="261" t="s">
        <v>306</v>
      </c>
      <c r="CN5" s="261" t="s">
        <v>307</v>
      </c>
      <c r="CO5" s="261" t="s">
        <v>306</v>
      </c>
      <c r="CP5" s="261" t="s">
        <v>307</v>
      </c>
      <c r="CQ5" s="261" t="s">
        <v>306</v>
      </c>
      <c r="CR5" s="261" t="s">
        <v>307</v>
      </c>
      <c r="CS5" s="261" t="s">
        <v>306</v>
      </c>
      <c r="CT5" s="261" t="s">
        <v>307</v>
      </c>
      <c r="CU5" s="261" t="s">
        <v>306</v>
      </c>
      <c r="CV5" s="261" t="s">
        <v>307</v>
      </c>
      <c r="CW5" s="261" t="s">
        <v>306</v>
      </c>
      <c r="CX5" s="261" t="s">
        <v>307</v>
      </c>
      <c r="CY5" s="261" t="s">
        <v>306</v>
      </c>
      <c r="CZ5" s="261" t="s">
        <v>307</v>
      </c>
      <c r="DA5" s="261" t="s">
        <v>306</v>
      </c>
      <c r="DB5" s="261" t="s">
        <v>307</v>
      </c>
      <c r="DC5" s="261" t="s">
        <v>306</v>
      </c>
      <c r="DD5" s="261" t="s">
        <v>307</v>
      </c>
      <c r="DE5" s="261" t="s">
        <v>306</v>
      </c>
      <c r="DF5" s="261" t="s">
        <v>307</v>
      </c>
      <c r="DG5" s="261" t="s">
        <v>306</v>
      </c>
      <c r="DH5" s="261" t="s">
        <v>307</v>
      </c>
      <c r="DI5" s="261" t="s">
        <v>306</v>
      </c>
      <c r="DJ5" s="261" t="s">
        <v>307</v>
      </c>
      <c r="DK5" s="261" t="s">
        <v>306</v>
      </c>
      <c r="DL5" s="261" t="s">
        <v>307</v>
      </c>
      <c r="DM5" s="261" t="s">
        <v>306</v>
      </c>
      <c r="DN5" s="261" t="s">
        <v>307</v>
      </c>
      <c r="DO5" s="261" t="s">
        <v>306</v>
      </c>
      <c r="DP5" s="261" t="s">
        <v>307</v>
      </c>
      <c r="DQ5" s="261" t="s">
        <v>306</v>
      </c>
      <c r="DR5" s="261" t="s">
        <v>307</v>
      </c>
      <c r="DS5" s="261" t="s">
        <v>306</v>
      </c>
      <c r="DT5" s="261" t="s">
        <v>307</v>
      </c>
      <c r="DU5" s="261" t="s">
        <v>306</v>
      </c>
      <c r="DV5" s="261" t="s">
        <v>307</v>
      </c>
      <c r="DW5" s="261" t="s">
        <v>306</v>
      </c>
      <c r="DX5" s="261" t="s">
        <v>307</v>
      </c>
      <c r="DY5" s="261" t="s">
        <v>306</v>
      </c>
      <c r="DZ5" s="261" t="s">
        <v>307</v>
      </c>
      <c r="EA5" s="261" t="s">
        <v>306</v>
      </c>
      <c r="EB5" s="261" t="s">
        <v>307</v>
      </c>
      <c r="EC5" s="261" t="s">
        <v>306</v>
      </c>
      <c r="ED5" s="261" t="s">
        <v>307</v>
      </c>
      <c r="EE5" s="261" t="s">
        <v>306</v>
      </c>
    </row>
    <row r="6" spans="1:135" ht="16.5" thickBot="1" x14ac:dyDescent="0.3">
      <c r="A6" s="465" t="s">
        <v>16</v>
      </c>
      <c r="B6" s="295">
        <v>1.6469118982742961</v>
      </c>
      <c r="C6" s="295">
        <v>372.13656739889382</v>
      </c>
      <c r="D6" s="295">
        <v>1.6600004925744403</v>
      </c>
      <c r="E6" s="295">
        <v>384.24524379571432</v>
      </c>
      <c r="F6" s="295">
        <v>1.7208141507148049</v>
      </c>
      <c r="G6" s="295">
        <v>404.86533914755034</v>
      </c>
      <c r="H6" s="295">
        <v>1.7809860163222451</v>
      </c>
      <c r="I6" s="295">
        <v>425.4797336159603</v>
      </c>
      <c r="J6" s="295">
        <v>1.8698333217423557</v>
      </c>
      <c r="K6" s="295">
        <v>459.82755625760035</v>
      </c>
      <c r="L6" s="295">
        <v>2.0060307017543861</v>
      </c>
      <c r="M6" s="295">
        <v>500.62877893747054</v>
      </c>
      <c r="N6" s="295">
        <v>2.1836104297265377</v>
      </c>
      <c r="O6" s="295">
        <v>548.08293257548075</v>
      </c>
      <c r="P6" s="295">
        <v>2.2150806121790043</v>
      </c>
      <c r="Q6" s="295">
        <v>586.65510983578554</v>
      </c>
      <c r="R6" s="295">
        <v>2.1986147891627623</v>
      </c>
      <c r="S6" s="295">
        <v>615.29634816800115</v>
      </c>
      <c r="T6" s="295">
        <v>2.211639899228468</v>
      </c>
      <c r="U6" s="295">
        <v>640.60256969600778</v>
      </c>
      <c r="V6" s="295">
        <v>2.1123431038899256</v>
      </c>
      <c r="W6" s="295">
        <v>658.15558976465661</v>
      </c>
      <c r="X6" s="295">
        <v>2.2301189282132112</v>
      </c>
      <c r="Y6" s="295">
        <v>709.82839713790565</v>
      </c>
      <c r="Z6" s="295">
        <v>2.1507819366822005</v>
      </c>
      <c r="AA6" s="295">
        <v>739.3475715177251</v>
      </c>
      <c r="AB6" s="295">
        <v>2.1236305502876038</v>
      </c>
      <c r="AC6" s="295">
        <v>772.43549892221949</v>
      </c>
      <c r="AD6" s="295">
        <v>2.2311687117974173</v>
      </c>
      <c r="AE6" s="295">
        <v>830.29946569610263</v>
      </c>
      <c r="AF6" s="295">
        <v>2.2212430082639725</v>
      </c>
      <c r="AG6" s="295">
        <v>853.50206123991597</v>
      </c>
      <c r="AH6" s="295">
        <v>2.1460333999831027</v>
      </c>
      <c r="AI6" s="295">
        <v>868.85454030612948</v>
      </c>
      <c r="AJ6" s="295">
        <v>2.0992979071200795</v>
      </c>
      <c r="AK6" s="295">
        <v>893.20871430199429</v>
      </c>
      <c r="AL6" s="295">
        <v>1.9953383999305718</v>
      </c>
      <c r="AM6" s="295">
        <v>917.5115803470253</v>
      </c>
      <c r="AN6" s="295">
        <v>1.8535005010476451</v>
      </c>
      <c r="AO6" s="295">
        <v>927.91569259947221</v>
      </c>
      <c r="AP6" s="295">
        <v>1.7026211774495528</v>
      </c>
      <c r="AQ6" s="295">
        <v>933.17760800166877</v>
      </c>
      <c r="AR6" s="295">
        <v>1.6079820418634483</v>
      </c>
      <c r="AS6" s="295">
        <v>943.33088138337189</v>
      </c>
      <c r="AT6" s="295">
        <v>1.5313443898823311</v>
      </c>
      <c r="AU6" s="295">
        <v>942.23061088215422</v>
      </c>
      <c r="AV6" s="295">
        <v>1.4630547570949284</v>
      </c>
      <c r="AW6" s="295">
        <v>937.2366370009795</v>
      </c>
      <c r="AX6" s="295">
        <v>1.4183961610422009</v>
      </c>
      <c r="AY6" s="295">
        <v>933.52536189065461</v>
      </c>
      <c r="AZ6" s="295">
        <v>1.3023403366743769</v>
      </c>
      <c r="BA6" s="168">
        <v>924.43815370961329</v>
      </c>
      <c r="BB6" s="295">
        <v>1.2335029686174723</v>
      </c>
      <c r="BC6" s="168">
        <v>911.98742430723291</v>
      </c>
      <c r="BD6" s="295">
        <v>1.1756240128714186</v>
      </c>
      <c r="BE6" s="168">
        <v>908.09372092727608</v>
      </c>
      <c r="BF6" s="295">
        <v>1.0614512097992366</v>
      </c>
      <c r="BG6" s="168">
        <v>881.3223723587879</v>
      </c>
      <c r="BH6" s="295">
        <v>1.020118359004502</v>
      </c>
      <c r="BI6" s="295">
        <v>870.67312211902299</v>
      </c>
      <c r="BJ6" s="295">
        <v>0.98329473055699546</v>
      </c>
      <c r="BK6" s="295">
        <v>854.3400911035377</v>
      </c>
      <c r="BL6" s="295">
        <v>0.93420943457642691</v>
      </c>
      <c r="BM6" s="295">
        <v>834.44400794680348</v>
      </c>
      <c r="BN6" s="295">
        <v>0.89421655006151279</v>
      </c>
      <c r="BO6" s="295">
        <v>820.45404001940358</v>
      </c>
      <c r="BP6" s="295">
        <v>0.8718966375248054</v>
      </c>
      <c r="BQ6" s="295">
        <v>809.04657228398082</v>
      </c>
      <c r="BR6" s="295">
        <v>0.85347913739385428</v>
      </c>
      <c r="BS6" s="295">
        <v>796.4476199125246</v>
      </c>
      <c r="BT6" s="295">
        <v>0.81746046134972294</v>
      </c>
      <c r="BU6" s="295">
        <v>771.13569750109184</v>
      </c>
      <c r="BV6" s="295">
        <v>0.80200026621812948</v>
      </c>
      <c r="BW6" s="295">
        <v>755.66920076635836</v>
      </c>
      <c r="BX6" s="295">
        <v>0.79058040656439699</v>
      </c>
      <c r="BY6" s="295">
        <v>740.96092152728261</v>
      </c>
      <c r="BZ6" s="295">
        <v>0.78351887927401975</v>
      </c>
      <c r="CA6" s="168">
        <v>731.43474532243943</v>
      </c>
      <c r="CB6" s="295">
        <v>0.78383295201563918</v>
      </c>
      <c r="CC6" s="168">
        <v>724.60508697809337</v>
      </c>
      <c r="CD6" s="295">
        <v>0.79010833078081921</v>
      </c>
      <c r="CE6" s="168">
        <v>720.56886151248659</v>
      </c>
      <c r="CF6" s="295">
        <v>0.78385962709523516</v>
      </c>
      <c r="CG6" s="168">
        <v>711.81800545357908</v>
      </c>
      <c r="CH6" s="295">
        <v>0.81300050454739514</v>
      </c>
      <c r="CI6" s="168">
        <v>716.51553339660177</v>
      </c>
      <c r="CJ6" s="295">
        <v>0.82871940599505001</v>
      </c>
      <c r="CK6" s="168">
        <v>721.54371257833225</v>
      </c>
      <c r="CL6" s="295">
        <v>0.84665123013992971</v>
      </c>
      <c r="CM6" s="168">
        <v>723.32808909066978</v>
      </c>
      <c r="CN6" s="295">
        <v>0.88018801538556135</v>
      </c>
      <c r="CO6" s="168">
        <v>734.46761530507058</v>
      </c>
      <c r="CP6" s="295">
        <v>0.91174774349103993</v>
      </c>
      <c r="CQ6" s="168">
        <v>748.04711962579859</v>
      </c>
      <c r="CR6" s="295">
        <v>0.94695453648637218</v>
      </c>
      <c r="CS6" s="168">
        <v>766.13032185306531</v>
      </c>
      <c r="CT6" s="295">
        <v>0.99035116602007067</v>
      </c>
      <c r="CU6" s="168">
        <v>788.76282905427865</v>
      </c>
      <c r="CV6" s="295">
        <v>1.0503378528233258</v>
      </c>
      <c r="CW6" s="168">
        <v>809.95301274871463</v>
      </c>
      <c r="CX6" s="295">
        <v>1.1010991829683221</v>
      </c>
      <c r="CY6" s="168">
        <v>832.06673955816211</v>
      </c>
      <c r="CZ6" s="295">
        <v>1.1433066867734067</v>
      </c>
      <c r="DA6" s="168">
        <v>847.14557621992765</v>
      </c>
      <c r="DB6" s="295">
        <v>1.1608158875153933</v>
      </c>
      <c r="DC6" s="168">
        <v>849.0610730510632</v>
      </c>
      <c r="DD6" s="295">
        <v>1.1513012965760323</v>
      </c>
      <c r="DE6" s="168">
        <v>834.23877614346759</v>
      </c>
      <c r="DF6" s="295">
        <v>1.1760261400677237</v>
      </c>
      <c r="DG6" s="168">
        <v>847.4078168575237</v>
      </c>
      <c r="DH6" s="295">
        <v>1.2295432520963312</v>
      </c>
      <c r="DI6" s="168">
        <v>875.21102532611769</v>
      </c>
      <c r="DJ6" s="295">
        <v>1.2512471655328798</v>
      </c>
      <c r="DK6" s="168">
        <v>896.53803022277748</v>
      </c>
      <c r="DL6" s="295">
        <v>1.2628489258653519</v>
      </c>
      <c r="DM6" s="168">
        <v>911.2007023944451</v>
      </c>
      <c r="DN6" s="295">
        <v>1.2678593947036569</v>
      </c>
      <c r="DO6" s="168">
        <v>917.07831320664945</v>
      </c>
      <c r="DP6" s="295">
        <v>1.2567257090519584</v>
      </c>
      <c r="DQ6" s="168">
        <v>923.02433461996566</v>
      </c>
      <c r="DR6" s="295">
        <v>1.2239284843311791</v>
      </c>
      <c r="DS6" s="168">
        <v>915.55617733190786</v>
      </c>
      <c r="DT6" s="295">
        <v>1.1817870643212192</v>
      </c>
      <c r="DU6" s="168">
        <v>905.40290395020486</v>
      </c>
      <c r="DV6" s="295">
        <v>1.12368637881438</v>
      </c>
      <c r="DW6" s="168">
        <v>886.3220471233883</v>
      </c>
      <c r="DX6" s="295">
        <v>1.0724828435685378</v>
      </c>
      <c r="DY6" s="168">
        <v>868.66071026964539</v>
      </c>
      <c r="DZ6" s="295">
        <v>1.0199788974608439</v>
      </c>
      <c r="EA6" s="168">
        <v>848.69051562837342</v>
      </c>
      <c r="EB6" s="295">
        <v>0.98563247397357989</v>
      </c>
      <c r="EC6" s="168">
        <v>834.97419010542126</v>
      </c>
      <c r="ED6" s="295">
        <v>0.98389230201094435</v>
      </c>
      <c r="EE6" s="168">
        <v>835.38465371209327</v>
      </c>
    </row>
    <row r="7" spans="1:135" ht="16.5" thickBot="1" x14ac:dyDescent="0.3">
      <c r="A7" s="461" t="s">
        <v>43</v>
      </c>
      <c r="B7" s="295">
        <v>1.5714034470629616</v>
      </c>
      <c r="C7" s="295">
        <v>581.0161507533702</v>
      </c>
      <c r="D7" s="295">
        <v>1.6359076364265328</v>
      </c>
      <c r="E7" s="295">
        <v>615.02526623675158</v>
      </c>
      <c r="F7" s="295">
        <v>1.7212724334439058</v>
      </c>
      <c r="G7" s="295">
        <v>657.97559276977904</v>
      </c>
      <c r="H7" s="295">
        <v>1.8203863199264152</v>
      </c>
      <c r="I7" s="295">
        <v>707.81878018471571</v>
      </c>
      <c r="J7" s="295">
        <v>1.8651932800521938</v>
      </c>
      <c r="K7" s="295">
        <v>743.61613787802628</v>
      </c>
      <c r="L7" s="295">
        <v>1.9986102027468935</v>
      </c>
      <c r="M7" s="295">
        <v>794.85740556618032</v>
      </c>
      <c r="N7" s="295">
        <v>1.9846153846153847</v>
      </c>
      <c r="O7" s="295">
        <v>826.26544147148275</v>
      </c>
      <c r="P7" s="295">
        <v>1.9885658769897616</v>
      </c>
      <c r="Q7" s="295">
        <v>865.15158116376199</v>
      </c>
      <c r="R7" s="295">
        <v>1.9645828888414765</v>
      </c>
      <c r="S7" s="295">
        <v>898.15277831063781</v>
      </c>
      <c r="T7" s="295">
        <v>2.0118908516049214</v>
      </c>
      <c r="U7" s="295">
        <v>951.70250412433677</v>
      </c>
      <c r="V7" s="295">
        <v>1.9599280760339071</v>
      </c>
      <c r="W7" s="295">
        <v>992.31185903709343</v>
      </c>
      <c r="X7" s="295">
        <v>2.077351604021259</v>
      </c>
      <c r="Y7" s="295">
        <v>1054.8027959004385</v>
      </c>
      <c r="Z7" s="295">
        <v>2.0367795059469351</v>
      </c>
      <c r="AA7" s="295">
        <v>1085.7231293848511</v>
      </c>
      <c r="AB7" s="295">
        <v>2.0322486074464967</v>
      </c>
      <c r="AC7" s="295">
        <v>1126.9177272026755</v>
      </c>
      <c r="AD7" s="295">
        <v>2.0298824846110799</v>
      </c>
      <c r="AE7" s="295">
        <v>1179.394507690417</v>
      </c>
      <c r="AF7" s="295">
        <v>1.9675935715796151</v>
      </c>
      <c r="AG7" s="295">
        <v>1210.1197602064738</v>
      </c>
      <c r="AH7" s="295">
        <v>1.9006769778129169</v>
      </c>
      <c r="AI7" s="295">
        <v>1250.5990611403263</v>
      </c>
      <c r="AJ7" s="295">
        <v>1.7929260450160771</v>
      </c>
      <c r="AK7" s="295">
        <v>1269.0667261446863</v>
      </c>
      <c r="AL7" s="295">
        <v>1.7531371605963884</v>
      </c>
      <c r="AM7" s="295">
        <v>1303.6610845331354</v>
      </c>
      <c r="AN7" s="295">
        <v>1.6404875853888004</v>
      </c>
      <c r="AO7" s="295">
        <v>1303.9537059856693</v>
      </c>
      <c r="AP7" s="295">
        <v>1.6251918309526621</v>
      </c>
      <c r="AQ7" s="295">
        <v>1342.8398456779487</v>
      </c>
      <c r="AR7" s="295">
        <v>1.5644706678191589</v>
      </c>
      <c r="AS7" s="295">
        <v>1353.5042719480721</v>
      </c>
      <c r="AT7" s="295">
        <v>1.5257022878656241</v>
      </c>
      <c r="AU7" s="295">
        <v>1370.3137487214069</v>
      </c>
      <c r="AV7" s="295">
        <v>1.4401967817976837</v>
      </c>
      <c r="AW7" s="295">
        <v>1370.6388836686665</v>
      </c>
      <c r="AX7" s="295">
        <v>1.3647444298820446</v>
      </c>
      <c r="AY7" s="295">
        <v>1354.2520823267698</v>
      </c>
      <c r="AZ7" s="295">
        <v>1.2782812403674249</v>
      </c>
      <c r="BA7" s="295">
        <v>1348.3346262866403</v>
      </c>
      <c r="BB7" s="295">
        <v>1.2493935854819873</v>
      </c>
      <c r="BC7" s="295">
        <v>1356.4955134628628</v>
      </c>
      <c r="BD7" s="295">
        <v>1.2074437391806117</v>
      </c>
      <c r="BE7" s="295">
        <v>1360.689754282515</v>
      </c>
      <c r="BF7" s="295">
        <v>1.1373986877653415</v>
      </c>
      <c r="BG7" s="295">
        <v>1341.4417654047313</v>
      </c>
      <c r="BH7" s="295">
        <v>1.0964292431285096</v>
      </c>
      <c r="BI7" s="295">
        <v>1326.8106927780375</v>
      </c>
      <c r="BJ7" s="295">
        <v>1.0222285773710482</v>
      </c>
      <c r="BK7" s="295">
        <v>1278.3980991310443</v>
      </c>
      <c r="BL7" s="295">
        <v>0.9777105964336954</v>
      </c>
      <c r="BM7" s="295">
        <v>1240.7799857330785</v>
      </c>
      <c r="BN7" s="295">
        <v>0.94740123703112533</v>
      </c>
      <c r="BO7" s="295">
        <v>1235.0901241560309</v>
      </c>
      <c r="BP7" s="295">
        <v>0.93843660391472383</v>
      </c>
      <c r="BQ7" s="295">
        <v>1223.6778875072098</v>
      </c>
      <c r="BR7" s="295">
        <v>0.89285973705237165</v>
      </c>
      <c r="BS7" s="295">
        <v>1198.9676315154604</v>
      </c>
      <c r="BT7" s="295">
        <v>0.8654063273198972</v>
      </c>
      <c r="BU7" s="295">
        <v>1171.3311609983723</v>
      </c>
      <c r="BV7" s="295">
        <v>0.83215489014378585</v>
      </c>
      <c r="BW7" s="295">
        <v>1140.3132870297816</v>
      </c>
      <c r="BX7" s="295">
        <v>0.80491507733181511</v>
      </c>
      <c r="BY7" s="295">
        <v>1103.2479030421575</v>
      </c>
      <c r="BZ7" s="295">
        <v>0.79115048497070972</v>
      </c>
      <c r="CA7" s="295">
        <v>1071.4171917054173</v>
      </c>
      <c r="CB7" s="295">
        <v>0.79139136725343617</v>
      </c>
      <c r="CC7" s="295">
        <v>1067.0603834121353</v>
      </c>
      <c r="CD7" s="295">
        <v>0.77011576903717549</v>
      </c>
      <c r="CE7" s="295">
        <v>1044.6585855459309</v>
      </c>
      <c r="CF7" s="295">
        <v>0.75921146953405017</v>
      </c>
      <c r="CG7" s="295">
        <v>1033.0512679287538</v>
      </c>
      <c r="CH7" s="295">
        <v>0.77138979107082262</v>
      </c>
      <c r="CI7" s="295">
        <v>1034.7744831492312</v>
      </c>
      <c r="CJ7" s="295">
        <v>0.7776661438933542</v>
      </c>
      <c r="CK7" s="295">
        <v>1031.8157551291663</v>
      </c>
      <c r="CL7" s="295">
        <v>0.81095653500852005</v>
      </c>
      <c r="CM7" s="295">
        <v>1036.7252928327903</v>
      </c>
      <c r="CN7" s="295">
        <v>0.85142288140034594</v>
      </c>
      <c r="CO7" s="295">
        <v>1056.4284706367378</v>
      </c>
      <c r="CP7" s="295">
        <v>0.863111064311475</v>
      </c>
      <c r="CQ7" s="295">
        <v>1066.0199515809036</v>
      </c>
      <c r="CR7" s="295">
        <v>0.89565841215857156</v>
      </c>
      <c r="CS7" s="295">
        <v>1095.9973937182629</v>
      </c>
      <c r="CT7" s="295">
        <v>0.92076147087536608</v>
      </c>
      <c r="CU7" s="295">
        <v>1103.9631999261294</v>
      </c>
      <c r="CV7" s="295">
        <v>0.96616332648642644</v>
      </c>
      <c r="CW7" s="295">
        <v>1131.6972109273954</v>
      </c>
      <c r="CX7" s="295">
        <v>1.0197878649635037</v>
      </c>
      <c r="CY7" s="168">
        <v>1162.877652369616</v>
      </c>
      <c r="CZ7" s="295">
        <v>1.0607980667216788</v>
      </c>
      <c r="DA7" s="168">
        <v>1170.3232426618667</v>
      </c>
      <c r="DB7" s="295">
        <v>1.1002033198798289</v>
      </c>
      <c r="DC7" s="168">
        <v>1178.7767512906232</v>
      </c>
      <c r="DD7" s="295">
        <v>1.0947012401352876</v>
      </c>
      <c r="DE7" s="168">
        <v>1168.1123250204996</v>
      </c>
      <c r="DF7" s="295">
        <v>1.1629318394024277</v>
      </c>
      <c r="DG7" s="168">
        <v>1214.8667304364676</v>
      </c>
      <c r="DH7" s="295">
        <v>1.191042709218519</v>
      </c>
      <c r="DI7" s="168">
        <v>1230.4081809154891</v>
      </c>
      <c r="DJ7" s="295">
        <v>1.196977314145667</v>
      </c>
      <c r="DK7" s="168">
        <v>1238.6015815864375</v>
      </c>
      <c r="DL7" s="295">
        <v>1.199558846699228</v>
      </c>
      <c r="DM7" s="168">
        <v>1237.7237172288358</v>
      </c>
      <c r="DN7" s="295">
        <v>1.1928746158188546</v>
      </c>
      <c r="DO7" s="168">
        <v>1236.6832853976043</v>
      </c>
      <c r="DP7" s="295">
        <v>1.1601625015388404</v>
      </c>
      <c r="DQ7" s="168">
        <v>1225.6286971907689</v>
      </c>
      <c r="DR7" s="295">
        <v>1.1181565864519474</v>
      </c>
      <c r="DS7" s="168">
        <v>1191.9772301493736</v>
      </c>
      <c r="DT7" s="295">
        <v>1.0628615503278056</v>
      </c>
      <c r="DU7" s="168">
        <v>1164.8934890426272</v>
      </c>
      <c r="DV7" s="295">
        <v>1.0224421275843789</v>
      </c>
      <c r="DW7" s="168">
        <v>1128.7384829073308</v>
      </c>
      <c r="DX7" s="295">
        <v>0.96920159737983735</v>
      </c>
      <c r="DY7" s="168">
        <v>1096.8427445811383</v>
      </c>
      <c r="DZ7" s="295">
        <v>0.90661522115976068</v>
      </c>
      <c r="EA7" s="168">
        <v>1054.2825799848226</v>
      </c>
      <c r="EB7" s="295">
        <v>0.88456730101402969</v>
      </c>
      <c r="EC7" s="168">
        <v>1035.2296720753948</v>
      </c>
      <c r="ED7" s="295">
        <v>0.8633291959729692</v>
      </c>
      <c r="EE7" s="168">
        <v>1017.6723849233625</v>
      </c>
    </row>
    <row r="8" spans="1:135" ht="16.5" thickBot="1" x14ac:dyDescent="0.3">
      <c r="A8" s="461" t="s">
        <v>28</v>
      </c>
      <c r="B8" s="295">
        <v>0.86337448559670782</v>
      </c>
      <c r="C8" s="295">
        <v>252.50458552178665</v>
      </c>
      <c r="D8" s="295">
        <v>0.85265700483091789</v>
      </c>
      <c r="E8" s="295">
        <v>254.91168357251863</v>
      </c>
      <c r="F8" s="295">
        <v>0.84855769230769229</v>
      </c>
      <c r="G8" s="295">
        <v>254.91168357251863</v>
      </c>
      <c r="H8" s="295">
        <v>0.89789303079416527</v>
      </c>
      <c r="I8" s="295">
        <v>266.70646402110543</v>
      </c>
      <c r="J8" s="295">
        <v>0.93795918367346942</v>
      </c>
      <c r="K8" s="295">
        <v>276.5755660291066</v>
      </c>
      <c r="L8" s="295">
        <v>0.98202614379084963</v>
      </c>
      <c r="M8" s="295">
        <v>289.33318569798621</v>
      </c>
      <c r="N8" s="295">
        <v>1.0513447432762837</v>
      </c>
      <c r="O8" s="295">
        <v>310.51564854442779</v>
      </c>
      <c r="P8" s="295">
        <v>1.0784313725490196</v>
      </c>
      <c r="Q8" s="295">
        <v>317.73694269662383</v>
      </c>
      <c r="R8" s="295">
        <v>1.2194705380017079</v>
      </c>
      <c r="S8" s="295">
        <v>343.73360164452941</v>
      </c>
      <c r="T8" s="295">
        <v>1.2095158597662772</v>
      </c>
      <c r="U8" s="295">
        <v>348.78850755106657</v>
      </c>
      <c r="V8" s="295">
        <v>1.3039462636439967</v>
      </c>
      <c r="W8" s="295">
        <v>373.82232727867938</v>
      </c>
      <c r="X8" s="295">
        <v>1.4422907488986785</v>
      </c>
      <c r="Y8" s="295">
        <v>394.04195090482813</v>
      </c>
      <c r="Z8" s="295">
        <v>1.5653357531760435</v>
      </c>
      <c r="AA8" s="295">
        <v>415.22441375126976</v>
      </c>
      <c r="AB8" s="295">
        <v>1.6974789915966386</v>
      </c>
      <c r="AC8" s="295">
        <v>437.61042562307733</v>
      </c>
      <c r="AD8" s="295">
        <v>1.7807435653002859</v>
      </c>
      <c r="AE8" s="295">
        <v>449.64591587673726</v>
      </c>
      <c r="AF8" s="295">
        <v>1.8300283286118981</v>
      </c>
      <c r="AG8" s="295">
        <v>466.49560223186126</v>
      </c>
      <c r="AH8" s="295">
        <v>1.898961284230406</v>
      </c>
      <c r="AI8" s="295">
        <v>484.06741800220487</v>
      </c>
      <c r="AJ8" s="295">
        <v>1.8953068592057762</v>
      </c>
      <c r="AK8" s="295">
        <v>505.49059065371972</v>
      </c>
      <c r="AL8" s="295">
        <v>1.8825065274151436</v>
      </c>
      <c r="AM8" s="295">
        <v>520.65530837333131</v>
      </c>
      <c r="AN8" s="295">
        <v>1.8377703826955074</v>
      </c>
      <c r="AO8" s="295">
        <v>531.72795940669846</v>
      </c>
      <c r="AP8" s="295">
        <v>1.7372093023255815</v>
      </c>
      <c r="AQ8" s="295">
        <v>539.4306731690408</v>
      </c>
      <c r="AR8" s="295">
        <v>1.7530303030303029</v>
      </c>
      <c r="AS8" s="295">
        <v>557.00248893938453</v>
      </c>
      <c r="AT8" s="295">
        <v>1.6106442577030813</v>
      </c>
      <c r="AU8" s="295">
        <v>553.63255166835972</v>
      </c>
      <c r="AV8" s="295">
        <v>1.621808143547274</v>
      </c>
      <c r="AW8" s="295">
        <v>565.66804192201971</v>
      </c>
      <c r="AX8" s="295">
        <v>1.527366387636832</v>
      </c>
      <c r="AY8" s="295">
        <v>570.96365763363008</v>
      </c>
      <c r="AZ8" s="295">
        <v>1.481979230299328</v>
      </c>
      <c r="BA8" s="295">
        <v>583.9619871075829</v>
      </c>
      <c r="BB8" s="295">
        <v>1.3739130434782609</v>
      </c>
      <c r="BC8" s="295">
        <v>570.48223802348366</v>
      </c>
      <c r="BD8" s="295">
        <v>1.2992299229922992</v>
      </c>
      <c r="BE8" s="295">
        <v>568.5565595828981</v>
      </c>
      <c r="BF8" s="295">
        <v>1.2885438972162742</v>
      </c>
      <c r="BG8" s="295">
        <v>579.38850081119199</v>
      </c>
      <c r="BH8" s="295">
        <v>1.1826625386996905</v>
      </c>
      <c r="BI8" s="295">
        <v>551.70687322777405</v>
      </c>
      <c r="BJ8" s="295">
        <v>1.1084037792143213</v>
      </c>
      <c r="BK8" s="295">
        <v>536.54215550816241</v>
      </c>
      <c r="BL8" s="295">
        <v>1.0504761904761906</v>
      </c>
      <c r="BM8" s="295">
        <v>531.00582999147889</v>
      </c>
      <c r="BN8" s="295">
        <v>1.0171058714748036</v>
      </c>
      <c r="BO8" s="295">
        <v>529.56157116103964</v>
      </c>
      <c r="BP8" s="295">
        <v>1.0076957899502037</v>
      </c>
      <c r="BQ8" s="295">
        <v>535.82002609294284</v>
      </c>
      <c r="BR8" s="295">
        <v>0.96787148594377514</v>
      </c>
      <c r="BS8" s="295">
        <v>522.09956720377045</v>
      </c>
      <c r="BT8" s="295">
        <v>0.93085566119273988</v>
      </c>
      <c r="BU8" s="295">
        <v>518.48892012767249</v>
      </c>
      <c r="BV8" s="295">
        <v>0.89565217391304353</v>
      </c>
      <c r="BW8" s="295">
        <v>495.86219845079171</v>
      </c>
      <c r="BX8" s="295">
        <v>0.91276595744680855</v>
      </c>
      <c r="BY8" s="295">
        <v>516.32253188201366</v>
      </c>
      <c r="BZ8" s="295">
        <v>0.89123102866779091</v>
      </c>
      <c r="CA8" s="295">
        <v>508.86052792474447</v>
      </c>
      <c r="CB8" s="295">
        <v>0.8491343775762572</v>
      </c>
      <c r="CC8" s="295">
        <v>495.86219845079171</v>
      </c>
      <c r="CD8" s="295">
        <v>0.94135021097046412</v>
      </c>
      <c r="CE8" s="295">
        <v>537.02357511830894</v>
      </c>
      <c r="CF8" s="295">
        <v>0.985182049110923</v>
      </c>
      <c r="CG8" s="295">
        <v>560.13171640533608</v>
      </c>
      <c r="CH8" s="295">
        <v>0.96925633568757785</v>
      </c>
      <c r="CI8" s="295">
        <v>561.57597523577522</v>
      </c>
      <c r="CJ8" s="295">
        <v>1.1649214659685865</v>
      </c>
      <c r="CK8" s="295">
        <v>642.69517954544358</v>
      </c>
      <c r="CL8" s="295">
        <v>1.3593539703903095</v>
      </c>
      <c r="CM8" s="295">
        <v>729.35070937179557</v>
      </c>
      <c r="CN8" s="295">
        <v>1.3676337262012692</v>
      </c>
      <c r="CO8" s="295">
        <v>726.22148190584392</v>
      </c>
      <c r="CP8" s="295">
        <v>1.489090909090909</v>
      </c>
      <c r="CQ8" s="295">
        <v>788.56532141980267</v>
      </c>
      <c r="CR8" s="295">
        <v>1.5763701707097935</v>
      </c>
      <c r="CS8" s="295">
        <v>844.65070600185823</v>
      </c>
      <c r="CT8" s="295">
        <v>1.6486860304287689</v>
      </c>
      <c r="CU8" s="295">
        <v>860.7782629417627</v>
      </c>
      <c r="CV8" s="295">
        <v>1.8356545961002786</v>
      </c>
      <c r="CW8" s="295">
        <v>951.76656925943223</v>
      </c>
      <c r="CX8" s="295">
        <v>2.0208737864077668</v>
      </c>
      <c r="CY8" s="168">
        <v>1002.074918519731</v>
      </c>
      <c r="CZ8" s="295">
        <v>1.9305361305361306</v>
      </c>
      <c r="DA8" s="168">
        <v>996.77930280812063</v>
      </c>
      <c r="DB8" s="295">
        <v>2.1069063386944182</v>
      </c>
      <c r="DC8" s="168">
        <v>1072.1214717960322</v>
      </c>
      <c r="DD8" s="295">
        <v>2.3320388349514563</v>
      </c>
      <c r="DE8" s="168">
        <v>1156.369903571652</v>
      </c>
      <c r="DF8" s="295">
        <v>2.1707754370237562</v>
      </c>
      <c r="DG8" s="168">
        <v>1165.7575859695069</v>
      </c>
      <c r="DH8" s="295">
        <v>2.2191663085517832</v>
      </c>
      <c r="DI8" s="168">
        <v>1243.025433398004</v>
      </c>
      <c r="DJ8" s="295">
        <v>2.3107586798114017</v>
      </c>
      <c r="DK8" s="168">
        <v>1297.6665591496205</v>
      </c>
      <c r="DL8" s="295">
        <v>1.9902621722846443</v>
      </c>
      <c r="DM8" s="168">
        <v>1279.1319041589841</v>
      </c>
      <c r="DN8" s="295">
        <v>1.7785478547854785</v>
      </c>
      <c r="DO8" s="168">
        <v>1297.185139539474</v>
      </c>
      <c r="DP8" s="295">
        <v>1.8395757374875705</v>
      </c>
      <c r="DQ8" s="168">
        <v>1335.9394181562591</v>
      </c>
      <c r="DR8" s="295">
        <v>1.6987179487179487</v>
      </c>
      <c r="DS8" s="168">
        <v>1339.5500652323572</v>
      </c>
      <c r="DT8" s="295">
        <v>1.5756625819321743</v>
      </c>
      <c r="DU8" s="168">
        <v>1330.8845122497221</v>
      </c>
      <c r="DV8" s="295">
        <v>1.595917225950783</v>
      </c>
      <c r="DW8" s="168">
        <v>1373.7308575527516</v>
      </c>
      <c r="DX8" s="295">
        <v>1.4188163884673748</v>
      </c>
      <c r="DY8" s="168">
        <v>1350.3820064606512</v>
      </c>
      <c r="DZ8" s="295">
        <v>1.4059572423732885</v>
      </c>
      <c r="EA8" s="168">
        <v>1408.8744890934388</v>
      </c>
      <c r="EB8" s="295">
        <v>1.4397488529340738</v>
      </c>
      <c r="EC8" s="168">
        <v>1435.1118578464175</v>
      </c>
      <c r="ED8" s="295">
        <v>1.3262236192186798</v>
      </c>
      <c r="EE8" s="168">
        <v>1421.8728185673915</v>
      </c>
    </row>
    <row r="9" spans="1:135" ht="16.5" thickBot="1" x14ac:dyDescent="0.3">
      <c r="A9" s="461" t="s">
        <v>15</v>
      </c>
      <c r="B9" s="295">
        <v>1.2060606060606061</v>
      </c>
      <c r="C9" s="295">
        <v>181.72897394111118</v>
      </c>
      <c r="D9" s="295">
        <v>1.1288244766505635</v>
      </c>
      <c r="E9" s="295">
        <v>174.58932489637132</v>
      </c>
      <c r="F9" s="295">
        <v>1.0837282780410742</v>
      </c>
      <c r="G9" s="295">
        <v>170.8534620241237</v>
      </c>
      <c r="H9" s="295">
        <v>1.0915867944621938</v>
      </c>
      <c r="I9" s="295">
        <v>170.18930862461303</v>
      </c>
      <c r="J9" s="295">
        <v>1.1195822454308093</v>
      </c>
      <c r="K9" s="295">
        <v>177.99311106886358</v>
      </c>
      <c r="L9" s="295">
        <v>1.0986707566462168</v>
      </c>
      <c r="M9" s="295">
        <v>178.40820694355776</v>
      </c>
      <c r="N9" s="295">
        <v>1.1767130345182895</v>
      </c>
      <c r="O9" s="295">
        <v>189.61579556030057</v>
      </c>
      <c r="P9" s="295">
        <v>1.2083333333333333</v>
      </c>
      <c r="Q9" s="295">
        <v>195.01204193132486</v>
      </c>
      <c r="R9" s="295">
        <v>1.1392031480570586</v>
      </c>
      <c r="S9" s="295">
        <v>192.27240915834332</v>
      </c>
      <c r="T9" s="295">
        <v>1.1548260656540912</v>
      </c>
      <c r="U9" s="295">
        <v>195.67619533083555</v>
      </c>
      <c r="V9" s="295">
        <v>1.093098656785549</v>
      </c>
      <c r="W9" s="295">
        <v>195.9252528556521</v>
      </c>
      <c r="X9" s="295">
        <v>1.1797278273111216</v>
      </c>
      <c r="Y9" s="295">
        <v>208.71020579623277</v>
      </c>
      <c r="Z9" s="295">
        <v>1.1933548684817721</v>
      </c>
      <c r="AA9" s="295">
        <v>214.68758639182892</v>
      </c>
      <c r="AB9" s="295">
        <v>1.2710064635272391</v>
      </c>
      <c r="AC9" s="295">
        <v>228.55178860661448</v>
      </c>
      <c r="AD9" s="295">
        <v>1.3124714481498401</v>
      </c>
      <c r="AE9" s="295">
        <v>238.51408959927474</v>
      </c>
      <c r="AF9" s="295">
        <v>1.4441274369947694</v>
      </c>
      <c r="AG9" s="295">
        <v>252.12923428924381</v>
      </c>
      <c r="AH9" s="295">
        <v>1.4980563654033041</v>
      </c>
      <c r="AI9" s="295">
        <v>255.94811633643022</v>
      </c>
      <c r="AJ9" s="295">
        <v>1.5390243902439025</v>
      </c>
      <c r="AK9" s="295">
        <v>261.92549693202642</v>
      </c>
      <c r="AL9" s="295">
        <v>1.4827425373134329</v>
      </c>
      <c r="AM9" s="295">
        <v>263.91795713055848</v>
      </c>
      <c r="AN9" s="295">
        <v>1.5095393206142391</v>
      </c>
      <c r="AO9" s="295">
        <v>269.31420350158277</v>
      </c>
      <c r="AP9" s="295">
        <v>1.3866024518388791</v>
      </c>
      <c r="AQ9" s="295">
        <v>262.92172703129239</v>
      </c>
      <c r="AR9" s="295">
        <v>1.3597275436355896</v>
      </c>
      <c r="AS9" s="295">
        <v>265.16324475464097</v>
      </c>
      <c r="AT9" s="295">
        <v>1.3981001727115716</v>
      </c>
      <c r="AU9" s="295">
        <v>268.81608845194972</v>
      </c>
      <c r="AV9" s="295">
        <v>1.3860840050912175</v>
      </c>
      <c r="AW9" s="295">
        <v>271.22364452517598</v>
      </c>
      <c r="AX9" s="295">
        <v>1.3487288135593221</v>
      </c>
      <c r="AY9" s="295">
        <v>264.25003383031378</v>
      </c>
      <c r="AZ9" s="295">
        <v>1.2358790771678601</v>
      </c>
      <c r="BA9" s="295">
        <v>257.9405765349623</v>
      </c>
      <c r="BB9" s="295">
        <v>1.2076566125290022</v>
      </c>
      <c r="BC9" s="295">
        <v>259.26888333398364</v>
      </c>
      <c r="BD9" s="295">
        <v>1.1536505630221576</v>
      </c>
      <c r="BE9" s="295">
        <v>263.66889960574196</v>
      </c>
      <c r="BF9" s="295">
        <v>1.0685694396101635</v>
      </c>
      <c r="BG9" s="295">
        <v>254.86886706222538</v>
      </c>
      <c r="BH9" s="295">
        <v>1.0029634507737899</v>
      </c>
      <c r="BI9" s="295">
        <v>252.87640686369332</v>
      </c>
      <c r="BJ9" s="295">
        <v>0.99805384365877392</v>
      </c>
      <c r="BK9" s="295">
        <v>255.45000128679723</v>
      </c>
      <c r="BL9" s="295">
        <v>0.98541996830427891</v>
      </c>
      <c r="BM9" s="295">
        <v>258.10661488483998</v>
      </c>
      <c r="BN9" s="295">
        <v>0.9883611198490091</v>
      </c>
      <c r="BO9" s="295">
        <v>260.84624765782155</v>
      </c>
      <c r="BP9" s="295">
        <v>0.99445129469790383</v>
      </c>
      <c r="BQ9" s="295">
        <v>267.8198583526837</v>
      </c>
      <c r="BR9" s="295">
        <v>1.0533628039153773</v>
      </c>
      <c r="BS9" s="295">
        <v>276.95196759595564</v>
      </c>
      <c r="BT9" s="295">
        <v>1.0763932373199749</v>
      </c>
      <c r="BU9" s="295">
        <v>285.41992343971685</v>
      </c>
      <c r="BV9" s="295">
        <v>1.060840024706609</v>
      </c>
      <c r="BW9" s="295">
        <v>285.17086591490039</v>
      </c>
      <c r="BX9" s="295">
        <v>1.0321395775941231</v>
      </c>
      <c r="BY9" s="295">
        <v>279.94065789375372</v>
      </c>
      <c r="BZ9" s="295">
        <v>1.0656613257932768</v>
      </c>
      <c r="CA9" s="295">
        <v>281.60104139253048</v>
      </c>
      <c r="CB9" s="295">
        <v>1.1277759897006758</v>
      </c>
      <c r="CC9" s="295">
        <v>290.89918898568004</v>
      </c>
      <c r="CD9" s="295">
        <v>1.1344860710854947</v>
      </c>
      <c r="CE9" s="295">
        <v>294.13693680829459</v>
      </c>
      <c r="CF9" s="295">
        <v>1.1438916876574308</v>
      </c>
      <c r="CG9" s="295">
        <v>301.60866255278978</v>
      </c>
      <c r="CH9" s="295">
        <v>1.2758957654723126</v>
      </c>
      <c r="CI9" s="295">
        <v>325.18610823541911</v>
      </c>
      <c r="CJ9" s="295">
        <v>1.3246881155613921</v>
      </c>
      <c r="CK9" s="295">
        <v>334.98237087820172</v>
      </c>
      <c r="CL9" s="295">
        <v>1.3379915502112447</v>
      </c>
      <c r="CM9" s="295">
        <v>341.78994322318624</v>
      </c>
      <c r="CN9" s="295">
        <v>1.4039884207140561</v>
      </c>
      <c r="CO9" s="295">
        <v>362.37869860801749</v>
      </c>
      <c r="CP9" s="295">
        <v>1.4653087205601527</v>
      </c>
      <c r="CQ9" s="295">
        <v>382.22028141839922</v>
      </c>
      <c r="CR9" s="295">
        <v>1.5136391816491011</v>
      </c>
      <c r="CS9" s="295">
        <v>405.38263122633435</v>
      </c>
      <c r="CT9" s="295">
        <v>1.6028177458033572</v>
      </c>
      <c r="CU9" s="295">
        <v>443.90352839795406</v>
      </c>
      <c r="CV9" s="295">
        <v>1.6273996509598603</v>
      </c>
      <c r="CW9" s="295">
        <v>464.49228378278531</v>
      </c>
      <c r="CX9" s="295">
        <v>1.7592430858806405</v>
      </c>
      <c r="CY9" s="168">
        <v>501.68487415538368</v>
      </c>
      <c r="CZ9" s="295">
        <v>1.9021352313167259</v>
      </c>
      <c r="DA9" s="168">
        <v>532.48498805769168</v>
      </c>
      <c r="DB9" s="295">
        <v>1.9775943396226414</v>
      </c>
      <c r="DC9" s="168">
        <v>556.89262548970942</v>
      </c>
      <c r="DD9" s="295">
        <v>2.0131278538812785</v>
      </c>
      <c r="DE9" s="168">
        <v>585.6172600185464</v>
      </c>
      <c r="DF9" s="295">
        <v>2.072537397685577</v>
      </c>
      <c r="DG9" s="168">
        <v>609.60980157587005</v>
      </c>
      <c r="DH9" s="295">
        <v>2.1233140655105971</v>
      </c>
      <c r="DI9" s="168">
        <v>640.40991547817805</v>
      </c>
      <c r="DJ9" s="295">
        <v>2.0306356905795253</v>
      </c>
      <c r="DK9" s="168">
        <v>660.33451746349851</v>
      </c>
      <c r="DL9" s="295">
        <v>2.0599752168525405</v>
      </c>
      <c r="DM9" s="168">
        <v>690.0553820916017</v>
      </c>
      <c r="DN9" s="295">
        <v>2.0476074811756133</v>
      </c>
      <c r="DO9" s="168">
        <v>699.85164473438431</v>
      </c>
      <c r="DP9" s="295">
        <v>1.9399770904925544</v>
      </c>
      <c r="DQ9" s="168">
        <v>703.00637338206002</v>
      </c>
      <c r="DR9" s="295">
        <v>1.8970460469157255</v>
      </c>
      <c r="DS9" s="168">
        <v>725.08947391579034</v>
      </c>
      <c r="DT9" s="295">
        <v>1.8273602293671922</v>
      </c>
      <c r="DU9" s="168">
        <v>740.78009797923028</v>
      </c>
      <c r="DV9" s="295">
        <v>1.6829998129792407</v>
      </c>
      <c r="DW9" s="168">
        <v>747.08955527458181</v>
      </c>
      <c r="DX9" s="295">
        <v>1.6196604110813226</v>
      </c>
      <c r="DY9" s="168">
        <v>752.31976329572842</v>
      </c>
      <c r="DZ9" s="295">
        <v>1.5210987919907331</v>
      </c>
      <c r="EA9" s="168">
        <v>763.11225603777712</v>
      </c>
      <c r="EB9" s="295">
        <v>1.4706891175553476</v>
      </c>
      <c r="EC9" s="168">
        <v>783.11987719803642</v>
      </c>
      <c r="ED9" s="295">
        <v>1.4114490161001789</v>
      </c>
      <c r="EE9" s="168">
        <v>786.02554832089572</v>
      </c>
    </row>
    <row r="10" spans="1:135" ht="16.5" thickBot="1" x14ac:dyDescent="0.3">
      <c r="A10" s="461" t="s">
        <v>29</v>
      </c>
      <c r="B10" s="295">
        <v>1.2779578606158832</v>
      </c>
      <c r="C10" s="295">
        <v>254.76822069357701</v>
      </c>
      <c r="D10" s="295">
        <v>1.2890879478827362</v>
      </c>
      <c r="E10" s="295">
        <v>255.73753542037562</v>
      </c>
      <c r="F10" s="295">
        <v>1.3200332502078138</v>
      </c>
      <c r="G10" s="295">
        <v>256.54529769270783</v>
      </c>
      <c r="H10" s="295">
        <v>1.3026421136909527</v>
      </c>
      <c r="I10" s="295">
        <v>262.84584341689907</v>
      </c>
      <c r="J10" s="295">
        <v>1.2442572741194486</v>
      </c>
      <c r="K10" s="295">
        <v>262.52273850796615</v>
      </c>
      <c r="L10" s="295">
        <v>1.3086890243902438</v>
      </c>
      <c r="M10" s="295">
        <v>277.38556431887872</v>
      </c>
      <c r="N10" s="295">
        <v>1.3211077844311376</v>
      </c>
      <c r="O10" s="295">
        <v>285.14008213326787</v>
      </c>
      <c r="P10" s="295">
        <v>1.3036876355748372</v>
      </c>
      <c r="Q10" s="295">
        <v>291.27907540299259</v>
      </c>
      <c r="R10" s="295">
        <v>1.2992069214131219</v>
      </c>
      <c r="S10" s="295">
        <v>291.11752294852619</v>
      </c>
      <c r="T10" s="295">
        <v>1.2419804741980474</v>
      </c>
      <c r="U10" s="295">
        <v>287.72492140473094</v>
      </c>
      <c r="V10" s="295">
        <v>1.1491749174917492</v>
      </c>
      <c r="W10" s="295">
        <v>281.26282322607324</v>
      </c>
      <c r="X10" s="295">
        <v>1.1822882999353588</v>
      </c>
      <c r="Y10" s="295">
        <v>295.47943921912008</v>
      </c>
      <c r="Z10" s="295">
        <v>1.1460880195599021</v>
      </c>
      <c r="AA10" s="295">
        <v>302.91085212457631</v>
      </c>
      <c r="AB10" s="295">
        <v>1.1769323671497585</v>
      </c>
      <c r="AC10" s="295">
        <v>314.86573375509295</v>
      </c>
      <c r="AD10" s="295">
        <v>1.3779327837666455</v>
      </c>
      <c r="AE10" s="295">
        <v>351.05348355557567</v>
      </c>
      <c r="AF10" s="295">
        <v>1.4011370814908402</v>
      </c>
      <c r="AG10" s="295">
        <v>358.32334400656549</v>
      </c>
      <c r="AH10" s="295">
        <v>1.4231738035264483</v>
      </c>
      <c r="AI10" s="295">
        <v>365.10854709415599</v>
      </c>
      <c r="AJ10" s="295">
        <v>1.3853718500307315</v>
      </c>
      <c r="AK10" s="295">
        <v>364.13923236735735</v>
      </c>
      <c r="AL10" s="295">
        <v>1.4584615384615385</v>
      </c>
      <c r="AM10" s="295">
        <v>382.87931708546449</v>
      </c>
      <c r="AN10" s="295">
        <v>1.3983692486895749</v>
      </c>
      <c r="AO10" s="295">
        <v>387.88744317392417</v>
      </c>
      <c r="AP10" s="295">
        <v>1.3886685552407931</v>
      </c>
      <c r="AQ10" s="295">
        <v>395.96506589724618</v>
      </c>
      <c r="AR10" s="295">
        <v>1.415973377703827</v>
      </c>
      <c r="AS10" s="295">
        <v>412.44341625282311</v>
      </c>
      <c r="AT10" s="295">
        <v>1.4217536071032186</v>
      </c>
      <c r="AU10" s="295">
        <v>413.89738834302108</v>
      </c>
      <c r="AV10" s="295">
        <v>1.454800673778776</v>
      </c>
      <c r="AW10" s="295">
        <v>418.58240952254789</v>
      </c>
      <c r="AX10" s="295">
        <v>1.5002871912693854</v>
      </c>
      <c r="AY10" s="295">
        <v>421.97501106634309</v>
      </c>
      <c r="AZ10" s="295">
        <v>1.3985784581738654</v>
      </c>
      <c r="BA10" s="295">
        <v>413.2511785251553</v>
      </c>
      <c r="BB10" s="295">
        <v>1.3509333333333333</v>
      </c>
      <c r="BC10" s="295">
        <v>409.21236716349432</v>
      </c>
      <c r="BD10" s="295">
        <v>1.3252950230887635</v>
      </c>
      <c r="BE10" s="295">
        <v>417.28998988681639</v>
      </c>
      <c r="BF10" s="295">
        <v>1.1187298665439485</v>
      </c>
      <c r="BG10" s="295">
        <v>392.73401680791733</v>
      </c>
      <c r="BH10" s="295">
        <v>1.1077547339945897</v>
      </c>
      <c r="BI10" s="295">
        <v>396.93438062404476</v>
      </c>
      <c r="BJ10" s="295">
        <v>1.0884955752212389</v>
      </c>
      <c r="BK10" s="295">
        <v>397.41903798744414</v>
      </c>
      <c r="BL10" s="295">
        <v>1.0811889973380657</v>
      </c>
      <c r="BM10" s="295">
        <v>393.70333153471603</v>
      </c>
      <c r="BN10" s="295">
        <v>0.98185654008438816</v>
      </c>
      <c r="BO10" s="295">
        <v>375.93256154340753</v>
      </c>
      <c r="BP10" s="295">
        <v>1.0058309037900874</v>
      </c>
      <c r="BQ10" s="295">
        <v>390.14917753645432</v>
      </c>
      <c r="BR10" s="295">
        <v>0.97103223174214603</v>
      </c>
      <c r="BS10" s="295">
        <v>384.49484163012892</v>
      </c>
      <c r="BT10" s="295">
        <v>0.9240109674892284</v>
      </c>
      <c r="BU10" s="295">
        <v>381.10224008633361</v>
      </c>
      <c r="BV10" s="295">
        <v>0.93247462919594071</v>
      </c>
      <c r="BW10" s="295">
        <v>385.94881372032688</v>
      </c>
      <c r="BX10" s="295">
        <v>0.92975685063681979</v>
      </c>
      <c r="BY10" s="295">
        <v>389.17986280965567</v>
      </c>
      <c r="BZ10" s="295">
        <v>0.9402756508422665</v>
      </c>
      <c r="CA10" s="295">
        <v>396.77282816957842</v>
      </c>
      <c r="CB10" s="295">
        <v>1.0023455824863174</v>
      </c>
      <c r="CC10" s="295">
        <v>414.220493251954</v>
      </c>
      <c r="CD10" s="295">
        <v>1.0153967627319385</v>
      </c>
      <c r="CE10" s="295">
        <v>415.5129128876855</v>
      </c>
      <c r="CF10" s="295">
        <v>0.99070847851335653</v>
      </c>
      <c r="CG10" s="295">
        <v>413.41273097962176</v>
      </c>
      <c r="CH10" s="295">
        <v>1.1040723981900453</v>
      </c>
      <c r="CI10" s="295">
        <v>433.60678778792681</v>
      </c>
      <c r="CJ10" s="295">
        <v>1.1135531135531136</v>
      </c>
      <c r="CK10" s="295">
        <v>442.00751542018179</v>
      </c>
      <c r="CL10" s="295">
        <v>1.1439024390243901</v>
      </c>
      <c r="CM10" s="295">
        <v>454.60860686856415</v>
      </c>
      <c r="CN10" s="295">
        <v>1.2121460812474354</v>
      </c>
      <c r="CO10" s="295">
        <v>477.22595049386587</v>
      </c>
      <c r="CP10" s="295">
        <v>1.3382036957455952</v>
      </c>
      <c r="CQ10" s="295">
        <v>503.07434320849637</v>
      </c>
      <c r="CR10" s="295">
        <v>1.2902691511387163</v>
      </c>
      <c r="CS10" s="295">
        <v>503.39744811742924</v>
      </c>
      <c r="CT10" s="295">
        <v>1.4008403361344537</v>
      </c>
      <c r="CU10" s="295">
        <v>538.61588319111331</v>
      </c>
      <c r="CV10" s="295">
        <v>1.4561254768969902</v>
      </c>
      <c r="CW10" s="295">
        <v>554.9326810922239</v>
      </c>
      <c r="CX10" s="295">
        <v>1.4843030556718293</v>
      </c>
      <c r="CY10" s="168">
        <v>572.86500353799875</v>
      </c>
      <c r="CZ10" s="295">
        <v>1.5379825653798256</v>
      </c>
      <c r="DA10" s="168">
        <v>598.55184379816285</v>
      </c>
      <c r="DB10" s="295">
        <v>1.501628664495114</v>
      </c>
      <c r="DC10" s="168">
        <v>595.80545207223338</v>
      </c>
      <c r="DD10" s="295">
        <v>1.421996879875195</v>
      </c>
      <c r="DE10" s="168">
        <v>589.02024898464276</v>
      </c>
      <c r="DF10" s="295">
        <v>1.4867807153965786</v>
      </c>
      <c r="DG10" s="168">
        <v>617.77658587966926</v>
      </c>
      <c r="DH10" s="295">
        <v>1.6045330207112154</v>
      </c>
      <c r="DI10" s="168">
        <v>663.3343780392056</v>
      </c>
      <c r="DJ10" s="295">
        <v>1.6024590163934427</v>
      </c>
      <c r="DK10" s="168">
        <v>694.83710666016145</v>
      </c>
      <c r="DL10" s="295">
        <v>1.6264619883040936</v>
      </c>
      <c r="DM10" s="168">
        <v>718.90842237566119</v>
      </c>
      <c r="DN10" s="295">
        <v>1.5753375977256574</v>
      </c>
      <c r="DO10" s="168">
        <v>716.16203064973172</v>
      </c>
      <c r="DP10" s="295">
        <v>1.5612728503723765</v>
      </c>
      <c r="DQ10" s="168">
        <v>745.07991999922456</v>
      </c>
      <c r="DR10" s="295">
        <v>1.5407835581245986</v>
      </c>
      <c r="DS10" s="168">
        <v>775.1286765299825</v>
      </c>
      <c r="DT10" s="295">
        <v>1.608793324775353</v>
      </c>
      <c r="DU10" s="168">
        <v>809.86245424026731</v>
      </c>
      <c r="DV10" s="295">
        <v>1.5278944211157768</v>
      </c>
      <c r="DW10" s="168">
        <v>822.94820305204905</v>
      </c>
      <c r="DX10" s="295">
        <v>1.516448326055313</v>
      </c>
      <c r="DY10" s="168">
        <v>841.52673531568962</v>
      </c>
      <c r="DZ10" s="295">
        <v>1.4816694867456288</v>
      </c>
      <c r="EA10" s="168">
        <v>848.7965957666795</v>
      </c>
      <c r="EB10" s="295">
        <v>1.4086369770580296</v>
      </c>
      <c r="EC10" s="168">
        <v>843.1422598603541</v>
      </c>
      <c r="ED10" s="295">
        <v>1.4232646420824295</v>
      </c>
      <c r="EE10" s="168">
        <v>847.98883349434732</v>
      </c>
    </row>
    <row r="11" spans="1:135" ht="16.5" thickBot="1" x14ac:dyDescent="0.3">
      <c r="A11" s="461" t="s">
        <v>20</v>
      </c>
      <c r="B11" s="295">
        <v>1.3974231912784936</v>
      </c>
      <c r="C11" s="295">
        <v>299.96410004121844</v>
      </c>
      <c r="D11" s="295">
        <v>1.3781973203410476</v>
      </c>
      <c r="E11" s="295">
        <v>300.8948397133322</v>
      </c>
      <c r="F11" s="295">
        <v>1.3955018542887905</v>
      </c>
      <c r="G11" s="295">
        <v>310.20223643446928</v>
      </c>
      <c r="H11" s="295">
        <v>1.427173015685812</v>
      </c>
      <c r="I11" s="295">
        <v>321.79659349280007</v>
      </c>
      <c r="J11" s="295">
        <v>1.5269279981388857</v>
      </c>
      <c r="K11" s="295">
        <v>349.08056216676198</v>
      </c>
      <c r="L11" s="295">
        <v>1.6596306068601583</v>
      </c>
      <c r="M11" s="295">
        <v>384.71459532768688</v>
      </c>
      <c r="N11" s="295">
        <v>1.8225806451612903</v>
      </c>
      <c r="O11" s="295">
        <v>423.69929130822106</v>
      </c>
      <c r="P11" s="295">
        <v>1.8107375271149675</v>
      </c>
      <c r="Q11" s="295">
        <v>443.96282359823959</v>
      </c>
      <c r="R11" s="295">
        <v>1.8137857900318133</v>
      </c>
      <c r="S11" s="295">
        <v>454.83918148093977</v>
      </c>
      <c r="T11" s="295">
        <v>1.8511259382819016</v>
      </c>
      <c r="U11" s="295">
        <v>472.17753194431515</v>
      </c>
      <c r="V11" s="295">
        <v>1.7481769567331065</v>
      </c>
      <c r="W11" s="295">
        <v>478.13426584584295</v>
      </c>
      <c r="X11" s="295">
        <v>1.885264997087944</v>
      </c>
      <c r="Y11" s="295">
        <v>516.48074033692774</v>
      </c>
      <c r="Z11" s="295">
        <v>1.8553937482608291</v>
      </c>
      <c r="AA11" s="295">
        <v>531.93101889401532</v>
      </c>
      <c r="AB11" s="295">
        <v>1.8120007101011895</v>
      </c>
      <c r="AC11" s="295">
        <v>542.86056190083627</v>
      </c>
      <c r="AD11" s="295">
        <v>1.9546985815602838</v>
      </c>
      <c r="AE11" s="295">
        <v>586.33940086957682</v>
      </c>
      <c r="AF11" s="295">
        <v>2.0071586389748122</v>
      </c>
      <c r="AG11" s="295">
        <v>603.94367695355606</v>
      </c>
      <c r="AH11" s="295">
        <v>1.9681954564937849</v>
      </c>
      <c r="AI11" s="295">
        <v>610.5386323445332</v>
      </c>
      <c r="AJ11" s="295">
        <v>1.9214114535988762</v>
      </c>
      <c r="AK11" s="295">
        <v>618.30366046616757</v>
      </c>
      <c r="AL11" s="295">
        <v>1.8030776262664736</v>
      </c>
      <c r="AM11" s="295">
        <v>629.41935140741134</v>
      </c>
      <c r="AN11" s="295">
        <v>1.6532107555125457</v>
      </c>
      <c r="AO11" s="295">
        <v>636.01430679838847</v>
      </c>
      <c r="AP11" s="295">
        <v>1.4769974267244084</v>
      </c>
      <c r="AQ11" s="295">
        <v>625.80276296719808</v>
      </c>
      <c r="AR11" s="295">
        <v>1.408565438754118</v>
      </c>
      <c r="AS11" s="295">
        <v>625.35068941217139</v>
      </c>
      <c r="AT11" s="295">
        <v>1.3738891487371374</v>
      </c>
      <c r="AU11" s="295">
        <v>624.8986158571447</v>
      </c>
      <c r="AV11" s="295">
        <v>1.3120635278215815</v>
      </c>
      <c r="AW11" s="295">
        <v>619.52691832094558</v>
      </c>
      <c r="AX11" s="295">
        <v>1.2772525027808677</v>
      </c>
      <c r="AY11" s="295">
        <v>610.69818771689552</v>
      </c>
      <c r="AZ11" s="295">
        <v>1.1749562351971992</v>
      </c>
      <c r="BA11" s="295">
        <v>606.84226621813878</v>
      </c>
      <c r="BB11" s="295">
        <v>1.1360795880617907</v>
      </c>
      <c r="BC11" s="295">
        <v>604.31597282240159</v>
      </c>
      <c r="BD11" s="295">
        <v>1.1374057019692367</v>
      </c>
      <c r="BE11" s="295">
        <v>617.45269848023509</v>
      </c>
      <c r="BF11" s="295">
        <v>1.0312032291713911</v>
      </c>
      <c r="BG11" s="295">
        <v>604.63508356712634</v>
      </c>
      <c r="BH11" s="295">
        <v>1.0007925674783145</v>
      </c>
      <c r="BI11" s="295">
        <v>604.42234307064314</v>
      </c>
      <c r="BJ11" s="295">
        <v>0.98850124134326411</v>
      </c>
      <c r="BK11" s="295">
        <v>603.51819596058976</v>
      </c>
      <c r="BL11" s="295">
        <v>0.97032385703840696</v>
      </c>
      <c r="BM11" s="295">
        <v>599.95479264449739</v>
      </c>
      <c r="BN11" s="295">
        <v>0.93569648062867039</v>
      </c>
      <c r="BO11" s="295">
        <v>588.94547195149516</v>
      </c>
      <c r="BP11" s="295">
        <v>0.90312330141740182</v>
      </c>
      <c r="BQ11" s="295">
        <v>574.39934050446095</v>
      </c>
      <c r="BR11" s="295">
        <v>0.92045213105001489</v>
      </c>
      <c r="BS11" s="295">
        <v>576.02148679014488</v>
      </c>
      <c r="BT11" s="295">
        <v>0.90976356523218238</v>
      </c>
      <c r="BU11" s="295">
        <v>568.92127272002017</v>
      </c>
      <c r="BV11" s="295">
        <v>0.92778416102812888</v>
      </c>
      <c r="BW11" s="295">
        <v>579.77103804066007</v>
      </c>
      <c r="BX11" s="295">
        <v>0.94741812250504354</v>
      </c>
      <c r="BY11" s="295">
        <v>586.95102979696583</v>
      </c>
      <c r="BZ11" s="295">
        <v>0.97940344001741786</v>
      </c>
      <c r="CA11" s="295">
        <v>598.11990586233026</v>
      </c>
      <c r="CB11" s="295">
        <v>1.0041630148992111</v>
      </c>
      <c r="CC11" s="295">
        <v>609.36855961387596</v>
      </c>
      <c r="CD11" s="295">
        <v>1.0446204620462045</v>
      </c>
      <c r="CE11" s="295">
        <v>631.28083075163875</v>
      </c>
      <c r="CF11" s="295">
        <v>1.0469443128472371</v>
      </c>
      <c r="CG11" s="295">
        <v>646.43859112606208</v>
      </c>
      <c r="CH11" s="295">
        <v>1.1146589259796806</v>
      </c>
      <c r="CI11" s="295">
        <v>673.96189285856747</v>
      </c>
      <c r="CJ11" s="295">
        <v>1.1540322935456906</v>
      </c>
      <c r="CK11" s="295">
        <v>697.52290284407445</v>
      </c>
      <c r="CL11" s="295">
        <v>1.1952412425644414</v>
      </c>
      <c r="CM11" s="295">
        <v>721.34983845018542</v>
      </c>
      <c r="CN11" s="295">
        <v>1.2705553831833696</v>
      </c>
      <c r="CO11" s="295">
        <v>762.27579146112839</v>
      </c>
      <c r="CP11" s="295">
        <v>1.3948616065381316</v>
      </c>
      <c r="CQ11" s="295">
        <v>821.49742716962066</v>
      </c>
      <c r="CR11" s="295">
        <v>1.5274074074074073</v>
      </c>
      <c r="CS11" s="295">
        <v>877.34180749644315</v>
      </c>
      <c r="CT11" s="295">
        <v>1.5992798116430451</v>
      </c>
      <c r="CU11" s="295">
        <v>921.21953489608961</v>
      </c>
      <c r="CV11" s="295">
        <v>1.6773394409647564</v>
      </c>
      <c r="CW11" s="295">
        <v>954.27408953715644</v>
      </c>
      <c r="CX11" s="295">
        <v>1.7651591597101184</v>
      </c>
      <c r="CY11" s="168">
        <v>1023.3881583321145</v>
      </c>
      <c r="CZ11" s="295">
        <v>1.8369880391446176</v>
      </c>
      <c r="DA11" s="168">
        <v>1078.2220213006422</v>
      </c>
      <c r="DB11" s="295">
        <v>1.8657744975991464</v>
      </c>
      <c r="DC11" s="168">
        <v>1115.9568668643381</v>
      </c>
      <c r="DD11" s="295">
        <v>1.8696487017237617</v>
      </c>
      <c r="DE11" s="168">
        <v>1139.3051363533618</v>
      </c>
      <c r="DF11" s="295">
        <v>1.8870213572602048</v>
      </c>
      <c r="DG11" s="168">
        <v>1191.2404100573071</v>
      </c>
      <c r="DH11" s="295">
        <v>1.9359085112509771</v>
      </c>
      <c r="DI11" s="168">
        <v>1251.4459705620338</v>
      </c>
      <c r="DJ11" s="295">
        <v>1.9266493055555556</v>
      </c>
      <c r="DK11" s="168">
        <v>1298.4882128468669</v>
      </c>
      <c r="DL11" s="295">
        <v>1.9099123141441099</v>
      </c>
      <c r="DM11" s="168">
        <v>1332.2075815394433</v>
      </c>
      <c r="DN11" s="295">
        <v>1.9049251640492517</v>
      </c>
      <c r="DO11" s="168">
        <v>1374.1174593466208</v>
      </c>
      <c r="DP11" s="295">
        <v>1.8318158032443748</v>
      </c>
      <c r="DQ11" s="168">
        <v>1396.3488412291083</v>
      </c>
      <c r="DR11" s="295">
        <v>1.7340088048685744</v>
      </c>
      <c r="DS11" s="168">
        <v>1424.4837718890028</v>
      </c>
      <c r="DT11" s="295">
        <v>1.6565531037827352</v>
      </c>
      <c r="DU11" s="168">
        <v>1453.3632942865881</v>
      </c>
      <c r="DV11" s="295">
        <v>1.6246752496968997</v>
      </c>
      <c r="DW11" s="168">
        <v>1496.6825778829661</v>
      </c>
      <c r="DX11" s="295">
        <v>1.6389299150062699</v>
      </c>
      <c r="DY11" s="168">
        <v>1563.9883524578177</v>
      </c>
      <c r="DZ11" s="295">
        <v>1.5040796175033779</v>
      </c>
      <c r="EA11" s="168">
        <v>1539.2572697416533</v>
      </c>
      <c r="EB11" s="295">
        <v>1.4136782913234351</v>
      </c>
      <c r="EC11" s="168">
        <v>1524.2590647395923</v>
      </c>
      <c r="ED11" s="295">
        <v>1.3694507327534851</v>
      </c>
      <c r="EE11" s="168">
        <v>1528.247949048651</v>
      </c>
    </row>
    <row r="12" spans="1:135" ht="16.5" thickBot="1" x14ac:dyDescent="0.3">
      <c r="A12" s="461" t="s">
        <v>30</v>
      </c>
      <c r="B12" s="295">
        <v>1.3863080684596576</v>
      </c>
      <c r="C12" s="295">
        <v>404.71055968008591</v>
      </c>
      <c r="D12" s="295">
        <v>1.3495495495495495</v>
      </c>
      <c r="E12" s="295">
        <v>400.96323968304807</v>
      </c>
      <c r="F12" s="295">
        <v>1.3401277760876178</v>
      </c>
      <c r="G12" s="295">
        <v>393.02249016551553</v>
      </c>
      <c r="H12" s="295">
        <v>1.3115055079559363</v>
      </c>
      <c r="I12" s="295">
        <v>382.40508350724167</v>
      </c>
      <c r="J12" s="295">
        <v>1.4872040946896994</v>
      </c>
      <c r="K12" s="295">
        <v>414.79263491021152</v>
      </c>
      <c r="L12" s="295">
        <v>1.5108418367346939</v>
      </c>
      <c r="M12" s="295">
        <v>422.73338442774411</v>
      </c>
      <c r="N12" s="295">
        <v>1.6873585515680569</v>
      </c>
      <c r="O12" s="295">
        <v>465.64912058429638</v>
      </c>
      <c r="P12" s="295">
        <v>1.4561455847255369</v>
      </c>
      <c r="Q12" s="295">
        <v>435.49211679861099</v>
      </c>
      <c r="R12" s="295">
        <v>1.6604817708333333</v>
      </c>
      <c r="S12" s="295">
        <v>455.12093583071396</v>
      </c>
      <c r="T12" s="295">
        <v>1.4134811788736503</v>
      </c>
      <c r="U12" s="295">
        <v>432.19090632503003</v>
      </c>
      <c r="V12" s="295">
        <v>1.1485714285714286</v>
      </c>
      <c r="W12" s="295">
        <v>394.53926254526897</v>
      </c>
      <c r="X12" s="295">
        <v>0.87062171628721541</v>
      </c>
      <c r="Y12" s="295">
        <v>354.83551495760622</v>
      </c>
      <c r="Z12" s="295">
        <v>0.83808487486398264</v>
      </c>
      <c r="AA12" s="295">
        <v>343.59355496649272</v>
      </c>
      <c r="AB12" s="295">
        <v>0.76526920621408812</v>
      </c>
      <c r="AC12" s="295">
        <v>320.84196927019161</v>
      </c>
      <c r="AD12" s="295">
        <v>0.79166666666666663</v>
      </c>
      <c r="AE12" s="295">
        <v>320.39585974673469</v>
      </c>
      <c r="AF12" s="295">
        <v>0.81731197151757895</v>
      </c>
      <c r="AG12" s="295">
        <v>327.71205593142759</v>
      </c>
      <c r="AH12" s="295">
        <v>0.87650397275822933</v>
      </c>
      <c r="AI12" s="295">
        <v>344.48577401340646</v>
      </c>
      <c r="AJ12" s="295">
        <v>0.91483901073261786</v>
      </c>
      <c r="AK12" s="295">
        <v>349.83908829488911</v>
      </c>
      <c r="AL12" s="295">
        <v>0.8051193805119381</v>
      </c>
      <c r="AM12" s="295">
        <v>333.95758925982403</v>
      </c>
      <c r="AN12" s="295">
        <v>0.74208526804558883</v>
      </c>
      <c r="AO12" s="295">
        <v>313.70421689488143</v>
      </c>
      <c r="AP12" s="295">
        <v>0.64073577313661623</v>
      </c>
      <c r="AQ12" s="295">
        <v>298.3580492879646</v>
      </c>
      <c r="AR12" s="295">
        <v>0.67260807211636964</v>
      </c>
      <c r="AS12" s="295">
        <v>292.91551310179057</v>
      </c>
      <c r="AT12" s="295">
        <v>0.66359537345618502</v>
      </c>
      <c r="AU12" s="295">
        <v>302.01614738031105</v>
      </c>
      <c r="AV12" s="295">
        <v>0.69343517753922379</v>
      </c>
      <c r="AW12" s="295">
        <v>299.69637785833521</v>
      </c>
      <c r="AX12" s="295">
        <v>0.77250113071008597</v>
      </c>
      <c r="AY12" s="295">
        <v>304.78202642574371</v>
      </c>
      <c r="AZ12" s="295">
        <v>0.78199647975861197</v>
      </c>
      <c r="BA12" s="295">
        <v>277.48012359018236</v>
      </c>
      <c r="BB12" s="295">
        <v>0.85172682420150614</v>
      </c>
      <c r="BC12" s="295">
        <v>292.64784738771647</v>
      </c>
      <c r="BD12" s="295">
        <v>0.9207452725250278</v>
      </c>
      <c r="BE12" s="295">
        <v>295.41372643314912</v>
      </c>
      <c r="BF12" s="295">
        <v>0.90114174324700635</v>
      </c>
      <c r="BG12" s="295">
        <v>288.72208358129586</v>
      </c>
      <c r="BH12" s="295">
        <v>0.84644704601143483</v>
      </c>
      <c r="BI12" s="295">
        <v>277.39090168549097</v>
      </c>
      <c r="BJ12" s="295">
        <v>0.79150479150479147</v>
      </c>
      <c r="BK12" s="295">
        <v>272.66214073684802</v>
      </c>
      <c r="BL12" s="295">
        <v>0.7786279010456516</v>
      </c>
      <c r="BM12" s="295">
        <v>272.39447502277386</v>
      </c>
      <c r="BN12" s="295">
        <v>0.82260219075607799</v>
      </c>
      <c r="BO12" s="295">
        <v>274.7142445447497</v>
      </c>
      <c r="BP12" s="295">
        <v>0.85580204778156999</v>
      </c>
      <c r="BQ12" s="295">
        <v>268.46871121635331</v>
      </c>
      <c r="BR12" s="295">
        <v>0.86632775119617222</v>
      </c>
      <c r="BS12" s="295">
        <v>258.47585789091909</v>
      </c>
      <c r="BT12" s="295">
        <v>0.80992994212610414</v>
      </c>
      <c r="BU12" s="295">
        <v>237.24104457437139</v>
      </c>
      <c r="BV12" s="295">
        <v>0.7636632200886263</v>
      </c>
      <c r="BW12" s="295">
        <v>230.63862362720948</v>
      </c>
      <c r="BX12" s="295">
        <v>0.79220005954153017</v>
      </c>
      <c r="BY12" s="295">
        <v>237.41948838375413</v>
      </c>
      <c r="BZ12" s="295">
        <v>0.78073770491803274</v>
      </c>
      <c r="CA12" s="295">
        <v>237.95481981190238</v>
      </c>
      <c r="CB12" s="295">
        <v>0.82636655948553051</v>
      </c>
      <c r="CC12" s="295">
        <v>229.30029505683879</v>
      </c>
      <c r="CD12" s="295">
        <v>0.7</v>
      </c>
      <c r="CE12" s="295">
        <v>204.85349317140154</v>
      </c>
      <c r="CF12" s="295">
        <v>0.76895197825430384</v>
      </c>
      <c r="CG12" s="295">
        <v>227.15896934424575</v>
      </c>
      <c r="CH12" s="295">
        <v>0.85259579728059331</v>
      </c>
      <c r="CI12" s="295">
        <v>246.16323504350908</v>
      </c>
      <c r="CJ12" s="295">
        <v>0.85622386619491797</v>
      </c>
      <c r="CK12" s="295">
        <v>237.50871028844549</v>
      </c>
      <c r="CL12" s="295">
        <v>0.90346858638743455</v>
      </c>
      <c r="CM12" s="295">
        <v>246.34167885289185</v>
      </c>
      <c r="CN12" s="295">
        <v>0.96233213232885684</v>
      </c>
      <c r="CO12" s="295">
        <v>262.13395598326554</v>
      </c>
      <c r="CP12" s="295">
        <v>0.86326729457616114</v>
      </c>
      <c r="CQ12" s="295">
        <v>237.15182266967997</v>
      </c>
      <c r="CR12" s="295">
        <v>1.1844466600199401</v>
      </c>
      <c r="CS12" s="295">
        <v>317.98686832006752</v>
      </c>
      <c r="CT12" s="295">
        <v>1.2340352088367277</v>
      </c>
      <c r="CU12" s="295">
        <v>318.96830927167269</v>
      </c>
      <c r="CV12" s="295">
        <v>1.55133508837909</v>
      </c>
      <c r="CW12" s="295">
        <v>368.04035685192997</v>
      </c>
      <c r="CX12" s="295">
        <v>1.8634429400386847</v>
      </c>
      <c r="CY12" s="168">
        <v>429.78191489836291</v>
      </c>
      <c r="CZ12" s="295">
        <v>3.0962044344231492</v>
      </c>
      <c r="DA12" s="168">
        <v>735.09927275225493</v>
      </c>
      <c r="DB12" s="295">
        <v>3.1619797525309337</v>
      </c>
      <c r="DC12" s="168">
        <v>752.40832226238194</v>
      </c>
      <c r="DD12" s="295">
        <v>3.2758754863813229</v>
      </c>
      <c r="DE12" s="168">
        <v>751.15921559670278</v>
      </c>
      <c r="DF12" s="295">
        <v>3.9542682926829267</v>
      </c>
      <c r="DG12" s="168">
        <v>810.04567269301162</v>
      </c>
      <c r="DH12" s="295">
        <v>3.6614296936370776</v>
      </c>
      <c r="DI12" s="168">
        <v>831.72659553301617</v>
      </c>
      <c r="DJ12" s="295">
        <v>3.4382022471910112</v>
      </c>
      <c r="DK12" s="168">
        <v>846.35898790240185</v>
      </c>
      <c r="DL12" s="295">
        <v>3.8256949661908339</v>
      </c>
      <c r="DM12" s="168">
        <v>908.63587737698299</v>
      </c>
      <c r="DN12" s="295">
        <v>3.8257877580586745</v>
      </c>
      <c r="DO12" s="168">
        <v>942.450979255015</v>
      </c>
      <c r="DP12" s="295">
        <v>3.6113002042205582</v>
      </c>
      <c r="DQ12" s="168">
        <v>946.64440877550953</v>
      </c>
      <c r="DR12" s="295">
        <v>4.0413844996237769</v>
      </c>
      <c r="DS12" s="168">
        <v>958.42170019477135</v>
      </c>
      <c r="DT12" s="295">
        <v>2.8928170594837264</v>
      </c>
      <c r="DU12" s="168">
        <v>919.87783736809661</v>
      </c>
      <c r="DV12" s="295">
        <v>2.9832167832167831</v>
      </c>
      <c r="DW12" s="168">
        <v>951.55161353353537</v>
      </c>
      <c r="DX12" s="295">
        <v>2.5558787878787879</v>
      </c>
      <c r="DY12" s="168">
        <v>940.66654116118741</v>
      </c>
      <c r="DZ12" s="295">
        <v>2.1000622794270294</v>
      </c>
      <c r="EA12" s="168">
        <v>902.56878785796948</v>
      </c>
      <c r="EB12" s="295">
        <v>0.86745964316057778</v>
      </c>
      <c r="EC12" s="168">
        <v>637.66895282927123</v>
      </c>
      <c r="ED12" s="295">
        <v>0.84548796395114434</v>
      </c>
      <c r="EE12" s="168">
        <v>636.1521804495178</v>
      </c>
    </row>
    <row r="13" spans="1:135" ht="16.5" thickBot="1" x14ac:dyDescent="0.3">
      <c r="A13" s="461" t="s">
        <v>31</v>
      </c>
      <c r="B13" s="295">
        <v>1.2360834990059641</v>
      </c>
      <c r="C13" s="295">
        <v>179.44227867883728</v>
      </c>
      <c r="D13" s="295">
        <v>1.1868025230470645</v>
      </c>
      <c r="E13" s="295">
        <v>176.48404248027182</v>
      </c>
      <c r="F13" s="295">
        <v>1.1608818011257036</v>
      </c>
      <c r="G13" s="295">
        <v>178.57645344998886</v>
      </c>
      <c r="H13" s="295">
        <v>1.085135135135135</v>
      </c>
      <c r="I13" s="295">
        <v>173.8144146913225</v>
      </c>
      <c r="J13" s="295">
        <v>1.1808035714285714</v>
      </c>
      <c r="K13" s="295">
        <v>190.84231085867498</v>
      </c>
      <c r="L13" s="295">
        <v>1.3350045578851413</v>
      </c>
      <c r="M13" s="295">
        <v>211.33350794142115</v>
      </c>
      <c r="N13" s="295">
        <v>1.4755596162631339</v>
      </c>
      <c r="O13" s="295">
        <v>233.05129076503596</v>
      </c>
      <c r="P13" s="295">
        <v>1.5242718446601942</v>
      </c>
      <c r="Q13" s="295">
        <v>249.21336170353999</v>
      </c>
      <c r="R13" s="295">
        <v>1.6016330038676407</v>
      </c>
      <c r="S13" s="295">
        <v>268.91088565984182</v>
      </c>
      <c r="T13" s="295">
        <v>1.6405451448040886</v>
      </c>
      <c r="U13" s="295">
        <v>277.92989846034629</v>
      </c>
      <c r="V13" s="295">
        <v>1.5839475839475838</v>
      </c>
      <c r="W13" s="295">
        <v>279.08433209881088</v>
      </c>
      <c r="X13" s="295">
        <v>1.7564364527993461</v>
      </c>
      <c r="Y13" s="295">
        <v>310.10973613254635</v>
      </c>
      <c r="Z13" s="295">
        <v>1.8120330318521432</v>
      </c>
      <c r="AA13" s="295">
        <v>332.47688787779742</v>
      </c>
      <c r="AB13" s="295">
        <v>1.9065420560747663</v>
      </c>
      <c r="AC13" s="295">
        <v>353.25669337015978</v>
      </c>
      <c r="AD13" s="295">
        <v>2.1560112585444311</v>
      </c>
      <c r="AE13" s="295">
        <v>386.87957309044049</v>
      </c>
      <c r="AF13" s="295">
        <v>2.3597710547833195</v>
      </c>
      <c r="AG13" s="295">
        <v>416.46193507609519</v>
      </c>
      <c r="AH13" s="295">
        <v>2.3624242424242423</v>
      </c>
      <c r="AI13" s="295">
        <v>421.87334275639785</v>
      </c>
      <c r="AJ13" s="295">
        <v>2.4682440846824409</v>
      </c>
      <c r="AK13" s="295">
        <v>429.01640089439746</v>
      </c>
      <c r="AL13" s="295">
        <v>2.3187145557655953</v>
      </c>
      <c r="AM13" s="295">
        <v>442.50884404395214</v>
      </c>
      <c r="AN13" s="295">
        <v>2.1608057357459884</v>
      </c>
      <c r="AO13" s="295">
        <v>456.65065611514325</v>
      </c>
      <c r="AP13" s="295">
        <v>2.0222910216718266</v>
      </c>
      <c r="AQ13" s="295">
        <v>471.29753290316251</v>
      </c>
      <c r="AR13" s="295">
        <v>1.9545454545454546</v>
      </c>
      <c r="AS13" s="295">
        <v>487.09884332964634</v>
      </c>
      <c r="AT13" s="295">
        <v>1.8454521062516769</v>
      </c>
      <c r="AU13" s="295">
        <v>496.26216033495893</v>
      </c>
      <c r="AV13" s="295">
        <v>1.788681204569055</v>
      </c>
      <c r="AW13" s="295">
        <v>497.12798556380739</v>
      </c>
      <c r="AX13" s="295">
        <v>1.8156670113753879</v>
      </c>
      <c r="AY13" s="295">
        <v>506.72421518354412</v>
      </c>
      <c r="AZ13" s="295">
        <v>1.6382038157282457</v>
      </c>
      <c r="BA13" s="295">
        <v>508.02295302681677</v>
      </c>
      <c r="BB13" s="295">
        <v>1.5336371527777777</v>
      </c>
      <c r="BC13" s="295">
        <v>509.89890768932173</v>
      </c>
      <c r="BD13" s="295">
        <v>1.4922385620915033</v>
      </c>
      <c r="BE13" s="295">
        <v>527.14326016388634</v>
      </c>
      <c r="BF13" s="295">
        <v>1.3511749347258486</v>
      </c>
      <c r="BG13" s="295">
        <v>522.74198191724008</v>
      </c>
      <c r="BH13" s="295">
        <v>1.2321552321552323</v>
      </c>
      <c r="BI13" s="295">
        <v>513.14575229750335</v>
      </c>
      <c r="BJ13" s="295">
        <v>1.2122455960321532</v>
      </c>
      <c r="BK13" s="295">
        <v>511.41410183980645</v>
      </c>
      <c r="BL13" s="295">
        <v>1.208711738984191</v>
      </c>
      <c r="BM13" s="295">
        <v>518.55715997780601</v>
      </c>
      <c r="BN13" s="295">
        <v>1.1697374857329204</v>
      </c>
      <c r="BO13" s="295">
        <v>517.61918264655355</v>
      </c>
      <c r="BP13" s="295">
        <v>1.1709590772633907</v>
      </c>
      <c r="BQ13" s="295">
        <v>534.71923091631004</v>
      </c>
      <c r="BR13" s="295">
        <v>1.1477342314758114</v>
      </c>
      <c r="BS13" s="295">
        <v>540.92431172305714</v>
      </c>
      <c r="BT13" s="295">
        <v>1.1208709820767293</v>
      </c>
      <c r="BU13" s="295">
        <v>545.97495889133961</v>
      </c>
      <c r="BV13" s="295">
        <v>1.0770572840942134</v>
      </c>
      <c r="BW13" s="295">
        <v>534.50277460909797</v>
      </c>
      <c r="BX13" s="295">
        <v>1.0843251088534107</v>
      </c>
      <c r="BY13" s="295">
        <v>539.04835706055212</v>
      </c>
      <c r="BZ13" s="295">
        <v>1.0713370354549339</v>
      </c>
      <c r="CA13" s="295">
        <v>542.87241848796612</v>
      </c>
      <c r="CB13" s="295">
        <v>1.0771197273114614</v>
      </c>
      <c r="CC13" s="295">
        <v>547.20154463220831</v>
      </c>
      <c r="CD13" s="295">
        <v>1.0817885948776</v>
      </c>
      <c r="CE13" s="295">
        <v>551.60282287885445</v>
      </c>
      <c r="CF13" s="295">
        <v>1.0522857924993156</v>
      </c>
      <c r="CG13" s="295">
        <v>554.70536328222806</v>
      </c>
      <c r="CH13" s="295">
        <v>1.1108350586611455</v>
      </c>
      <c r="CI13" s="295">
        <v>580.6801201476809</v>
      </c>
      <c r="CJ13" s="295">
        <v>1.1744938132733409</v>
      </c>
      <c r="CK13" s="295">
        <v>602.68651138091184</v>
      </c>
      <c r="CL13" s="295">
        <v>1.2058408577878104</v>
      </c>
      <c r="CM13" s="295">
        <v>616.68401924729483</v>
      </c>
      <c r="CN13" s="295">
        <v>1.2114929734242381</v>
      </c>
      <c r="CO13" s="295">
        <v>628.22835563194064</v>
      </c>
      <c r="CP13" s="295">
        <v>1.2599665458600502</v>
      </c>
      <c r="CQ13" s="295">
        <v>652.18285363008056</v>
      </c>
      <c r="CR13" s="295">
        <v>1.2469302388341654</v>
      </c>
      <c r="CS13" s="295">
        <v>666.75757831569581</v>
      </c>
      <c r="CT13" s="295">
        <v>1.2891823396025077</v>
      </c>
      <c r="CU13" s="295">
        <v>697.35006973500697</v>
      </c>
      <c r="CV13" s="295">
        <v>1.3151843531121976</v>
      </c>
      <c r="CW13" s="295">
        <v>718.05772312496526</v>
      </c>
      <c r="CX13" s="295">
        <v>1.4059125269978401</v>
      </c>
      <c r="CY13" s="168">
        <v>751.4641465380339</v>
      </c>
      <c r="CZ13" s="295">
        <v>1.4600455093026368</v>
      </c>
      <c r="DA13" s="168">
        <v>787.03513302322369</v>
      </c>
      <c r="DB13" s="295">
        <v>1.4558745348219033</v>
      </c>
      <c r="DC13" s="168">
        <v>790.35412973380915</v>
      </c>
      <c r="DD13" s="295">
        <v>1.441191983122363</v>
      </c>
      <c r="DE13" s="168">
        <v>788.62247927611236</v>
      </c>
      <c r="DF13" s="295">
        <v>1.4470896010464356</v>
      </c>
      <c r="DG13" s="168">
        <v>798.2187088958492</v>
      </c>
      <c r="DH13" s="295">
        <v>1.5101456815816858</v>
      </c>
      <c r="DI13" s="168">
        <v>837.68590891085682</v>
      </c>
      <c r="DJ13" s="295">
        <v>1.5110586481113319</v>
      </c>
      <c r="DK13" s="168">
        <v>877.44171733548058</v>
      </c>
      <c r="DL13" s="295">
        <v>1.5102358434095535</v>
      </c>
      <c r="DM13" s="168">
        <v>910.19877182691289</v>
      </c>
      <c r="DN13" s="295">
        <v>1.5152685152685152</v>
      </c>
      <c r="DO13" s="168">
        <v>934.44187823466893</v>
      </c>
      <c r="DP13" s="295">
        <v>1.5199264959228207</v>
      </c>
      <c r="DQ13" s="168">
        <v>954.8609232150111</v>
      </c>
      <c r="DR13" s="295">
        <v>1.5028211085297045</v>
      </c>
      <c r="DS13" s="168">
        <v>980.11415905642377</v>
      </c>
      <c r="DT13" s="295">
        <v>1.4881506330483714</v>
      </c>
      <c r="DU13" s="168">
        <v>992.23571226030174</v>
      </c>
      <c r="DV13" s="295">
        <v>1.4129332643559234</v>
      </c>
      <c r="DW13" s="168">
        <v>985.30911042951436</v>
      </c>
      <c r="DX13" s="295">
        <v>1.3731913183279743</v>
      </c>
      <c r="DY13" s="168">
        <v>986.03063145355463</v>
      </c>
      <c r="DZ13" s="295">
        <v>1.3087854056649064</v>
      </c>
      <c r="EA13" s="168">
        <v>983.5053078694134</v>
      </c>
      <c r="EB13" s="295">
        <v>1.2255225522552256</v>
      </c>
      <c r="EC13" s="168">
        <v>964.52930493715178</v>
      </c>
      <c r="ED13" s="295">
        <v>1.2392733248128538</v>
      </c>
      <c r="EE13" s="168">
        <v>979.46479013478734</v>
      </c>
    </row>
    <row r="14" spans="1:135" ht="16.5" thickBot="1" x14ac:dyDescent="0.3">
      <c r="A14" s="461" t="s">
        <v>41</v>
      </c>
      <c r="B14" s="295">
        <v>1.75</v>
      </c>
      <c r="C14" s="295">
        <v>100.629055524436</v>
      </c>
      <c r="D14" s="295">
        <v>1.7449856733524356</v>
      </c>
      <c r="E14" s="295">
        <v>100.629055524436</v>
      </c>
      <c r="F14" s="295">
        <v>1.9082568807339451</v>
      </c>
      <c r="G14" s="295">
        <v>103.1076036900625</v>
      </c>
      <c r="H14" s="295">
        <v>1.9446153846153846</v>
      </c>
      <c r="I14" s="295">
        <v>104.42949604506332</v>
      </c>
      <c r="J14" s="295">
        <v>2.094224924012158</v>
      </c>
      <c r="K14" s="295">
        <v>113.84797907444401</v>
      </c>
      <c r="L14" s="295">
        <v>2.2287390029325511</v>
      </c>
      <c r="M14" s="295">
        <v>125.57977372507614</v>
      </c>
      <c r="N14" s="295">
        <v>2.0487106017191978</v>
      </c>
      <c r="O14" s="295">
        <v>118.14412922819663</v>
      </c>
      <c r="P14" s="295">
        <v>1.7621359223300972</v>
      </c>
      <c r="Q14" s="295">
        <v>119.96173121632272</v>
      </c>
      <c r="R14" s="295">
        <v>1.6494117647058824</v>
      </c>
      <c r="S14" s="295">
        <v>115.83081760694522</v>
      </c>
      <c r="T14" s="295">
        <v>1.6383495145631068</v>
      </c>
      <c r="U14" s="295">
        <v>111.53466745319261</v>
      </c>
      <c r="V14" s="295">
        <v>2.0835164835164837</v>
      </c>
      <c r="W14" s="295">
        <v>156.64424406759497</v>
      </c>
      <c r="X14" s="295">
        <v>2.3048245614035086</v>
      </c>
      <c r="Y14" s="295">
        <v>173.66360813823027</v>
      </c>
      <c r="Z14" s="295">
        <v>1.5868852459016394</v>
      </c>
      <c r="AA14" s="295">
        <v>159.94897495509696</v>
      </c>
      <c r="AB14" s="295">
        <v>1.6167192429022081</v>
      </c>
      <c r="AC14" s="295">
        <v>169.36745798447768</v>
      </c>
      <c r="AD14" s="295">
        <v>1.8357963875205254</v>
      </c>
      <c r="AE14" s="295">
        <v>184.73445661136199</v>
      </c>
      <c r="AF14" s="295">
        <v>1.8538587848932677</v>
      </c>
      <c r="AG14" s="295">
        <v>186.55205859948811</v>
      </c>
      <c r="AH14" s="295">
        <v>1.8317307692307692</v>
      </c>
      <c r="AI14" s="295">
        <v>188.86537022073949</v>
      </c>
      <c r="AJ14" s="295">
        <v>1.8243670886075949</v>
      </c>
      <c r="AK14" s="295">
        <v>190.51773566449052</v>
      </c>
      <c r="AL14" s="295">
        <v>1.725689404934688</v>
      </c>
      <c r="AM14" s="295">
        <v>196.4662512619941</v>
      </c>
      <c r="AN14" s="295">
        <v>1.5855263157894737</v>
      </c>
      <c r="AO14" s="295">
        <v>199.1100359719957</v>
      </c>
      <c r="AP14" s="295">
        <v>1.8461538461538463</v>
      </c>
      <c r="AQ14" s="295">
        <v>218.11223857513221</v>
      </c>
      <c r="AR14" s="295">
        <v>1.834710743801653</v>
      </c>
      <c r="AS14" s="295">
        <v>220.09507710763344</v>
      </c>
      <c r="AT14" s="295">
        <v>2.0513552068473611</v>
      </c>
      <c r="AU14" s="295">
        <v>237.61015081139405</v>
      </c>
      <c r="AV14" s="295">
        <v>2.2992592592592591</v>
      </c>
      <c r="AW14" s="295">
        <v>256.44711687015547</v>
      </c>
      <c r="AX14" s="295">
        <v>1.3554852320675106</v>
      </c>
      <c r="AY14" s="295">
        <v>212.32895952200374</v>
      </c>
      <c r="AZ14" s="295">
        <v>1.2102759276879163</v>
      </c>
      <c r="BA14" s="295">
        <v>210.18088444512742</v>
      </c>
      <c r="BB14" s="295">
        <v>1.3192148760330578</v>
      </c>
      <c r="BC14" s="295">
        <v>211.00706716700293</v>
      </c>
      <c r="BD14" s="295">
        <v>1.1648780487804877</v>
      </c>
      <c r="BE14" s="295">
        <v>197.29243398386961</v>
      </c>
      <c r="BF14" s="295">
        <v>0.99463327370304111</v>
      </c>
      <c r="BG14" s="295">
        <v>183.74303734511139</v>
      </c>
      <c r="BH14" s="295">
        <v>0.98051372896368472</v>
      </c>
      <c r="BI14" s="295">
        <v>182.91685462323591</v>
      </c>
      <c r="BJ14" s="295">
        <v>0.94225721784776906</v>
      </c>
      <c r="BK14" s="295">
        <v>177.95975829198289</v>
      </c>
      <c r="BL14" s="295">
        <v>0.97398091934084996</v>
      </c>
      <c r="BM14" s="295">
        <v>185.5606393332375</v>
      </c>
      <c r="BN14" s="295">
        <v>0.97897392767031122</v>
      </c>
      <c r="BO14" s="295">
        <v>192.3353376526166</v>
      </c>
      <c r="BP14" s="295">
        <v>1.1219917012448133</v>
      </c>
      <c r="BQ14" s="295">
        <v>223.39980799513543</v>
      </c>
      <c r="BR14" s="295">
        <v>1.1954545454545455</v>
      </c>
      <c r="BS14" s="295">
        <v>260.74326702390806</v>
      </c>
      <c r="BT14" s="295">
        <v>1.3453453453453454</v>
      </c>
      <c r="BU14" s="295">
        <v>296.10388752017951</v>
      </c>
      <c r="BV14" s="295">
        <v>1.2593880389429764</v>
      </c>
      <c r="BW14" s="295">
        <v>299.24338186330641</v>
      </c>
      <c r="BX14" s="295">
        <v>1.0927835051546391</v>
      </c>
      <c r="BY14" s="295">
        <v>280.24117926016987</v>
      </c>
      <c r="BZ14" s="295">
        <v>1.3719844357976654</v>
      </c>
      <c r="CA14" s="295">
        <v>291.31202773330159</v>
      </c>
      <c r="CB14" s="295">
        <v>1.5864779874213837</v>
      </c>
      <c r="CC14" s="295">
        <v>333.44734654895217</v>
      </c>
      <c r="CD14" s="295">
        <v>1.7564604541895066</v>
      </c>
      <c r="CE14" s="295">
        <v>370.62556903334968</v>
      </c>
      <c r="CF14" s="295">
        <v>1.9899497487437185</v>
      </c>
      <c r="CG14" s="295">
        <v>392.60202943523797</v>
      </c>
      <c r="CH14" s="295">
        <v>2.170863309352518</v>
      </c>
      <c r="CI14" s="295">
        <v>398.88101812149176</v>
      </c>
      <c r="CJ14" s="295">
        <v>2.1779584462511292</v>
      </c>
      <c r="CK14" s="295">
        <v>398.38530848836649</v>
      </c>
      <c r="CL14" s="295">
        <v>3.3676880222841228</v>
      </c>
      <c r="CM14" s="295">
        <v>599.31294644848833</v>
      </c>
      <c r="CN14" s="295">
        <v>8.1665182546749779</v>
      </c>
      <c r="CO14" s="295">
        <v>1515.3843484640438</v>
      </c>
      <c r="CP14" s="295">
        <v>8.0180412371134029</v>
      </c>
      <c r="CQ14" s="295">
        <v>1542.15266865281</v>
      </c>
      <c r="CR14" s="295">
        <v>10.394970414201184</v>
      </c>
      <c r="CS14" s="295">
        <v>2322.2343946476576</v>
      </c>
      <c r="CT14" s="295">
        <v>9.3060836501901143</v>
      </c>
      <c r="CU14" s="295">
        <v>2426.4986541483463</v>
      </c>
      <c r="CV14" s="295">
        <v>8.6199776785714288</v>
      </c>
      <c r="CW14" s="295">
        <v>2552.4089009621725</v>
      </c>
      <c r="CX14" s="295">
        <v>9.0552181115405848</v>
      </c>
      <c r="CY14" s="168">
        <v>2709.7140912072678</v>
      </c>
      <c r="CZ14" s="295">
        <v>10.180424528301886</v>
      </c>
      <c r="DA14" s="168">
        <v>2852.9741751804795</v>
      </c>
      <c r="DB14" s="295">
        <v>10.13953488372093</v>
      </c>
      <c r="DC14" s="168">
        <v>2953.7684672492906</v>
      </c>
      <c r="DD14" s="295">
        <v>9.055500495540139</v>
      </c>
      <c r="DE14" s="168">
        <v>3019.5326119105807</v>
      </c>
      <c r="DF14" s="295">
        <v>8.3802942487739642</v>
      </c>
      <c r="DG14" s="168">
        <v>3105.951324618758</v>
      </c>
      <c r="DH14" s="295">
        <v>8.3152356902356903</v>
      </c>
      <c r="DI14" s="168">
        <v>3264.5784072188544</v>
      </c>
      <c r="DJ14" s="295">
        <v>8.6623860811930413</v>
      </c>
      <c r="DK14" s="168">
        <v>3455.2613794277195</v>
      </c>
      <c r="DL14" s="295">
        <v>9.0937370385732059</v>
      </c>
      <c r="DM14" s="168">
        <v>3622.8112354240711</v>
      </c>
      <c r="DN14" s="295">
        <v>5.9225255031706645</v>
      </c>
      <c r="DO14" s="168">
        <v>3549.4462097215269</v>
      </c>
      <c r="DP14" s="295">
        <v>1.8221567986042961</v>
      </c>
      <c r="DQ14" s="168">
        <v>2761.2678930522989</v>
      </c>
      <c r="DR14" s="295">
        <v>1.8686381656487732</v>
      </c>
      <c r="DS14" s="168">
        <v>2881.725333901747</v>
      </c>
      <c r="DT14" s="295">
        <v>0.95645367866799491</v>
      </c>
      <c r="DU14" s="168">
        <v>2221.1096294900963</v>
      </c>
      <c r="DV14" s="295">
        <v>0.9094994892747702</v>
      </c>
      <c r="DW14" s="168">
        <v>2206.8992866738377</v>
      </c>
      <c r="DX14" s="295">
        <v>0.84035735094193043</v>
      </c>
      <c r="DY14" s="168">
        <v>2144.9355825331754</v>
      </c>
      <c r="DZ14" s="295">
        <v>0.76211964144155131</v>
      </c>
      <c r="EA14" s="168">
        <v>2065.1263316000022</v>
      </c>
      <c r="EB14" s="295">
        <v>0.70045175489401135</v>
      </c>
      <c r="EC14" s="168">
        <v>1998.3707676724614</v>
      </c>
      <c r="ED14" s="295">
        <v>0.66066234056835982</v>
      </c>
      <c r="EE14" s="168">
        <v>1951.4435890699331</v>
      </c>
    </row>
    <row r="15" spans="1:135" ht="16.5" thickBot="1" x14ac:dyDescent="0.3">
      <c r="A15" s="461" t="s">
        <v>32</v>
      </c>
      <c r="B15" s="295">
        <v>0.81313131313131315</v>
      </c>
      <c r="C15" s="295">
        <v>83.540779964741631</v>
      </c>
      <c r="D15" s="295">
        <v>0.83203125</v>
      </c>
      <c r="E15" s="295">
        <v>82.892171424642711</v>
      </c>
      <c r="F15" s="295">
        <v>0.8165137614678899</v>
      </c>
      <c r="G15" s="295">
        <v>80.816624096326152</v>
      </c>
      <c r="H15" s="295">
        <v>0.87516778523489935</v>
      </c>
      <c r="I15" s="295">
        <v>84.578553628899925</v>
      </c>
      <c r="J15" s="295">
        <v>0.93947730398899587</v>
      </c>
      <c r="K15" s="295">
        <v>88.599926577513259</v>
      </c>
      <c r="L15" s="295">
        <v>1.0582959641255605</v>
      </c>
      <c r="M15" s="295">
        <v>91.842969278007885</v>
      </c>
      <c r="N15" s="295">
        <v>1.153125</v>
      </c>
      <c r="O15" s="295">
        <v>95.734620518601446</v>
      </c>
      <c r="P15" s="295">
        <v>1.1813804173354736</v>
      </c>
      <c r="Q15" s="295">
        <v>95.475177102561872</v>
      </c>
      <c r="R15" s="295">
        <v>1.1475667189952905</v>
      </c>
      <c r="S15" s="295">
        <v>94.826568562462938</v>
      </c>
      <c r="T15" s="295">
        <v>1.2048780487804878</v>
      </c>
      <c r="U15" s="295">
        <v>96.123785642660806</v>
      </c>
      <c r="V15" s="295">
        <v>1.2764227642276422</v>
      </c>
      <c r="W15" s="295">
        <v>101.83154079553135</v>
      </c>
      <c r="X15" s="295">
        <v>1.3590163934426229</v>
      </c>
      <c r="Y15" s="295">
        <v>107.5392959484019</v>
      </c>
      <c r="Z15" s="295">
        <v>1.3567921440261865</v>
      </c>
      <c r="AA15" s="295">
        <v>107.5392959484019</v>
      </c>
      <c r="AB15" s="295">
        <v>1.2846034214618973</v>
      </c>
      <c r="AC15" s="295">
        <v>107.15013082434254</v>
      </c>
      <c r="AD15" s="295">
        <v>1.3773291925465838</v>
      </c>
      <c r="AE15" s="295">
        <v>115.06315501354943</v>
      </c>
      <c r="AF15" s="295">
        <v>1.5649452269170578</v>
      </c>
      <c r="AG15" s="295">
        <v>129.72170801978515</v>
      </c>
      <c r="AH15" s="295">
        <v>1.667736757624398</v>
      </c>
      <c r="AI15" s="295">
        <v>134.78085463255678</v>
      </c>
      <c r="AJ15" s="295">
        <v>1.6242331288343559</v>
      </c>
      <c r="AK15" s="295">
        <v>137.37528879295249</v>
      </c>
      <c r="AL15" s="295">
        <v>1.6134699853587116</v>
      </c>
      <c r="AM15" s="295">
        <v>142.95332223780323</v>
      </c>
      <c r="AN15" s="295">
        <v>1.6539548022598871</v>
      </c>
      <c r="AO15" s="295">
        <v>151.90412009116844</v>
      </c>
      <c r="AP15" s="295">
        <v>1.6368563685636857</v>
      </c>
      <c r="AQ15" s="295">
        <v>156.70382328790046</v>
      </c>
      <c r="AR15" s="295">
        <v>1.6684782608695652</v>
      </c>
      <c r="AS15" s="295">
        <v>159.29825744829617</v>
      </c>
      <c r="AT15" s="295">
        <v>1.7537619699042408</v>
      </c>
      <c r="AU15" s="295">
        <v>166.30322968136457</v>
      </c>
      <c r="AV15" s="295">
        <v>1.7638326585695008</v>
      </c>
      <c r="AW15" s="295">
        <v>169.54627238185918</v>
      </c>
      <c r="AX15" s="295">
        <v>1.6968152866242039</v>
      </c>
      <c r="AY15" s="295">
        <v>172.78931508235382</v>
      </c>
      <c r="AZ15" s="295">
        <v>1.6308805790108565</v>
      </c>
      <c r="BA15" s="295">
        <v>175.38374924274953</v>
      </c>
      <c r="BB15" s="295">
        <v>1.6550060313630881</v>
      </c>
      <c r="BC15" s="295">
        <v>177.97818340314521</v>
      </c>
      <c r="BD15" s="295">
        <v>1.7179176755447942</v>
      </c>
      <c r="BE15" s="295">
        <v>184.07510368007513</v>
      </c>
      <c r="BF15" s="295">
        <v>1.5727170236753101</v>
      </c>
      <c r="BG15" s="295">
        <v>180.96178268760028</v>
      </c>
      <c r="BH15" s="295">
        <v>1.3140000000000001</v>
      </c>
      <c r="BI15" s="295">
        <v>170.45432433799769</v>
      </c>
      <c r="BJ15" s="295">
        <v>1.2531280076997113</v>
      </c>
      <c r="BK15" s="295">
        <v>168.89766384176028</v>
      </c>
      <c r="BL15" s="295">
        <v>1.242681775259679</v>
      </c>
      <c r="BM15" s="295">
        <v>170.71376775403726</v>
      </c>
      <c r="BN15" s="295">
        <v>1.2087114337568059</v>
      </c>
      <c r="BO15" s="295">
        <v>172.78931508235382</v>
      </c>
      <c r="BP15" s="295">
        <v>1.1076003415883859</v>
      </c>
      <c r="BQ15" s="295">
        <v>168.24905530166134</v>
      </c>
      <c r="BR15" s="295">
        <v>1.0620860927152318</v>
      </c>
      <c r="BS15" s="295">
        <v>166.43295138938436</v>
      </c>
      <c r="BT15" s="295">
        <v>1.0871335504885993</v>
      </c>
      <c r="BU15" s="295">
        <v>173.17848020641318</v>
      </c>
      <c r="BV15" s="295">
        <v>1.0374414976599065</v>
      </c>
      <c r="BW15" s="295">
        <v>172.52987166631425</v>
      </c>
      <c r="BX15" s="295">
        <v>1.0053557765876051</v>
      </c>
      <c r="BY15" s="295">
        <v>170.45432433799769</v>
      </c>
      <c r="BZ15" s="295">
        <v>0.9496996996996997</v>
      </c>
      <c r="CA15" s="295">
        <v>164.09796064502822</v>
      </c>
      <c r="CB15" s="295">
        <v>0.92529585798816572</v>
      </c>
      <c r="CC15" s="295">
        <v>162.28185673275124</v>
      </c>
      <c r="CD15" s="295">
        <v>0.90670553935860054</v>
      </c>
      <c r="CE15" s="295">
        <v>161.37380477661273</v>
      </c>
      <c r="CF15" s="295">
        <v>0.85341789992952788</v>
      </c>
      <c r="CG15" s="295">
        <v>157.09298841195982</v>
      </c>
      <c r="CH15" s="295">
        <v>0.87383512544802866</v>
      </c>
      <c r="CI15" s="295">
        <v>158.13076207611812</v>
      </c>
      <c r="CJ15" s="295">
        <v>0.95281582952815824</v>
      </c>
      <c r="CK15" s="295">
        <v>162.41157844077102</v>
      </c>
      <c r="CL15" s="295">
        <v>0.96313364055299544</v>
      </c>
      <c r="CM15" s="295">
        <v>162.6710218568106</v>
      </c>
      <c r="CN15" s="295">
        <v>0.95060790273556228</v>
      </c>
      <c r="CO15" s="295">
        <v>162.28185673275124</v>
      </c>
      <c r="CP15" s="295">
        <v>0.9429429429429429</v>
      </c>
      <c r="CQ15" s="295">
        <v>162.93046527285014</v>
      </c>
      <c r="CR15" s="295">
        <v>1.0123361603700849</v>
      </c>
      <c r="CS15" s="295">
        <v>170.3246026299779</v>
      </c>
      <c r="CT15" s="295">
        <v>1.0810600155884644</v>
      </c>
      <c r="CU15" s="295">
        <v>179.92400902344201</v>
      </c>
      <c r="CV15" s="295">
        <v>1.053932584269663</v>
      </c>
      <c r="CW15" s="295">
        <v>182.51844318383772</v>
      </c>
      <c r="CX15" s="295">
        <v>1.0496240601503759</v>
      </c>
      <c r="CY15" s="168">
        <v>181.09150439562009</v>
      </c>
      <c r="CZ15" s="295">
        <v>1.1202435312024352</v>
      </c>
      <c r="DA15" s="168">
        <v>190.95035420512374</v>
      </c>
      <c r="DB15" s="295">
        <v>1.215810276679842</v>
      </c>
      <c r="DC15" s="168">
        <v>199.51198693442959</v>
      </c>
      <c r="DD15" s="295">
        <v>1.249400479616307</v>
      </c>
      <c r="DE15" s="168">
        <v>202.7550296349242</v>
      </c>
      <c r="DF15" s="295">
        <v>1.2861736334405145</v>
      </c>
      <c r="DG15" s="168">
        <v>207.55473283165622</v>
      </c>
      <c r="DH15" s="295">
        <v>1.4310487200660611</v>
      </c>
      <c r="DI15" s="168">
        <v>224.80771999828769</v>
      </c>
      <c r="DJ15" s="295">
        <v>1.4913863822805578</v>
      </c>
      <c r="DK15" s="168">
        <v>235.8340651799694</v>
      </c>
      <c r="DL15" s="295">
        <v>1.5103833865814698</v>
      </c>
      <c r="DM15" s="168">
        <v>245.30374986541375</v>
      </c>
      <c r="DN15" s="295">
        <v>1.5709728867623605</v>
      </c>
      <c r="DO15" s="168">
        <v>255.55176479897676</v>
      </c>
      <c r="DP15" s="295">
        <v>1.6386890487609913</v>
      </c>
      <c r="DQ15" s="168">
        <v>265.92950144055953</v>
      </c>
      <c r="DR15" s="295">
        <v>1.7380573248407643</v>
      </c>
      <c r="DS15" s="168">
        <v>283.18248860719098</v>
      </c>
      <c r="DT15" s="295">
        <v>1.7456207159177457</v>
      </c>
      <c r="DU15" s="168">
        <v>297.32215478134759</v>
      </c>
      <c r="DV15" s="295">
        <v>1.7058399423215573</v>
      </c>
      <c r="DW15" s="168">
        <v>306.92156117481164</v>
      </c>
      <c r="DX15" s="295">
        <v>1.7533759772565742</v>
      </c>
      <c r="DY15" s="168">
        <v>320.02345368481002</v>
      </c>
      <c r="DZ15" s="295">
        <v>1.8653295128939829</v>
      </c>
      <c r="EA15" s="168">
        <v>337.79532768352055</v>
      </c>
      <c r="EB15" s="295">
        <v>1.767663043478261</v>
      </c>
      <c r="EC15" s="168">
        <v>337.53588426748098</v>
      </c>
      <c r="ED15" s="295">
        <v>1.805591677503251</v>
      </c>
      <c r="EE15" s="168">
        <v>360.23718317094335</v>
      </c>
    </row>
    <row r="16" spans="1:135" ht="16.5" thickBot="1" x14ac:dyDescent="0.3">
      <c r="A16" s="461" t="s">
        <v>33</v>
      </c>
      <c r="B16" s="295">
        <v>0.88312757201646086</v>
      </c>
      <c r="C16" s="295">
        <v>299.36277299764527</v>
      </c>
      <c r="D16" s="295">
        <v>0.86184738955823292</v>
      </c>
      <c r="E16" s="295">
        <v>299.36277299764527</v>
      </c>
      <c r="F16" s="295">
        <v>0.89182692307692313</v>
      </c>
      <c r="G16" s="295">
        <v>310.52261542067026</v>
      </c>
      <c r="H16" s="295">
        <v>0.9502407704654896</v>
      </c>
      <c r="I16" s="295">
        <v>330.33133572153963</v>
      </c>
      <c r="J16" s="295">
        <v>1.0203252032520325</v>
      </c>
      <c r="K16" s="295">
        <v>350.140056022409</v>
      </c>
      <c r="L16" s="295">
        <v>1.1247933884297521</v>
      </c>
      <c r="M16" s="295">
        <v>379.71363844342517</v>
      </c>
      <c r="N16" s="295">
        <v>1.214046822742475</v>
      </c>
      <c r="O16" s="295">
        <v>405.10227995580703</v>
      </c>
      <c r="P16" s="295">
        <v>1.3204047217537942</v>
      </c>
      <c r="Q16" s="295">
        <v>436.90783086142829</v>
      </c>
      <c r="R16" s="295">
        <v>1.3375104427736006</v>
      </c>
      <c r="S16" s="295">
        <v>446.6726929815751</v>
      </c>
      <c r="T16" s="295">
        <v>1.3799342105263157</v>
      </c>
      <c r="U16" s="295">
        <v>468.15538964589825</v>
      </c>
      <c r="V16" s="295">
        <v>1.3662790697674418</v>
      </c>
      <c r="W16" s="295">
        <v>458.94851964690258</v>
      </c>
      <c r="X16" s="295">
        <v>1.5110326566637247</v>
      </c>
      <c r="Y16" s="295">
        <v>477.64125570546946</v>
      </c>
      <c r="Z16" s="295">
        <v>1.7231638418079096</v>
      </c>
      <c r="AA16" s="295">
        <v>510.56279085339321</v>
      </c>
      <c r="AB16" s="295">
        <v>1.808193668528864</v>
      </c>
      <c r="AC16" s="295">
        <v>541.81034963786317</v>
      </c>
      <c r="AD16" s="295">
        <v>2.1258154706430568</v>
      </c>
      <c r="AE16" s="295">
        <v>636.39001417299994</v>
      </c>
      <c r="AF16" s="295">
        <v>2.2087604846225535</v>
      </c>
      <c r="AG16" s="295">
        <v>661.22066356423056</v>
      </c>
      <c r="AH16" s="295">
        <v>2.1796945193171609</v>
      </c>
      <c r="AI16" s="295">
        <v>676.84444295646551</v>
      </c>
      <c r="AJ16" s="295">
        <v>2.0633445945945947</v>
      </c>
      <c r="AK16" s="295">
        <v>681.58737598625112</v>
      </c>
      <c r="AL16" s="295">
        <v>2.0605577689243026</v>
      </c>
      <c r="AM16" s="295">
        <v>721.48381264856539</v>
      </c>
      <c r="AN16" s="295">
        <v>2.091109478324761</v>
      </c>
      <c r="AO16" s="295">
        <v>794.0227883982277</v>
      </c>
      <c r="AP16" s="295">
        <v>2.0165289256198347</v>
      </c>
      <c r="AQ16" s="295">
        <v>816.90046536542911</v>
      </c>
      <c r="AR16" s="295">
        <v>1.8486590038314177</v>
      </c>
      <c r="AS16" s="295">
        <v>807.69359536643333</v>
      </c>
      <c r="AT16" s="295">
        <v>1.8338538413491567</v>
      </c>
      <c r="AU16" s="295">
        <v>819.13243385003409</v>
      </c>
      <c r="AV16" s="295">
        <v>1.8075089392133492</v>
      </c>
      <c r="AW16" s="295">
        <v>846.19505172586969</v>
      </c>
      <c r="AX16" s="295">
        <v>1.9106382978723404</v>
      </c>
      <c r="AY16" s="295">
        <v>876.88461838918829</v>
      </c>
      <c r="AZ16" s="295">
        <v>1.9626168224299065</v>
      </c>
      <c r="BA16" s="295">
        <v>937.42676353409888</v>
      </c>
      <c r="BB16" s="295">
        <v>1.8497267759562841</v>
      </c>
      <c r="BC16" s="295">
        <v>944.40166504848946</v>
      </c>
      <c r="BD16" s="295">
        <v>1.7976313079299691</v>
      </c>
      <c r="BE16" s="295">
        <v>973.97524746950569</v>
      </c>
      <c r="BF16" s="295">
        <v>1.48925909688733</v>
      </c>
      <c r="BG16" s="295">
        <v>947.74961777539693</v>
      </c>
      <c r="BH16" s="295">
        <v>1.4860759493670885</v>
      </c>
      <c r="BI16" s="295">
        <v>982.62412534735006</v>
      </c>
      <c r="BJ16" s="295">
        <v>1.4740313272877164</v>
      </c>
      <c r="BK16" s="295">
        <v>997.68991261843382</v>
      </c>
      <c r="BL16" s="295">
        <v>1.4907900122799835</v>
      </c>
      <c r="BM16" s="295">
        <v>1016.1036526164251</v>
      </c>
      <c r="BN16" s="295">
        <v>1.4566898685228151</v>
      </c>
      <c r="BO16" s="295">
        <v>1050.9781601883781</v>
      </c>
      <c r="BP16" s="295">
        <v>1.3070976809557273</v>
      </c>
      <c r="BQ16" s="295">
        <v>1037.8653453413237</v>
      </c>
      <c r="BR16" s="295">
        <v>1.3155737704918034</v>
      </c>
      <c r="BS16" s="295">
        <v>1074.6928253373064</v>
      </c>
      <c r="BT16" s="295">
        <v>1.3944732297063904</v>
      </c>
      <c r="BU16" s="295">
        <v>1126.3070965437967</v>
      </c>
      <c r="BV16" s="295">
        <v>1.4403950953678475</v>
      </c>
      <c r="BW16" s="295">
        <v>1179.8743401743168</v>
      </c>
      <c r="BX16" s="295">
        <v>1.4114737883283877</v>
      </c>
      <c r="BY16" s="295">
        <v>1194.3821353242492</v>
      </c>
      <c r="BZ16" s="295">
        <v>1.4492523067133312</v>
      </c>
      <c r="CA16" s="295">
        <v>1270.8270559219704</v>
      </c>
      <c r="CB16" s="295">
        <v>1.3758928571428573</v>
      </c>
      <c r="CC16" s="295">
        <v>1289.7987880411129</v>
      </c>
      <c r="CD16" s="295">
        <v>1.488626292466765</v>
      </c>
      <c r="CE16" s="295">
        <v>1405.8611492405728</v>
      </c>
      <c r="CF16" s="295">
        <v>1.5379547407619594</v>
      </c>
      <c r="CG16" s="295">
        <v>1497.9298492305288</v>
      </c>
      <c r="CH16" s="295">
        <v>1.6800117750956727</v>
      </c>
      <c r="CI16" s="295">
        <v>1592.2305177050901</v>
      </c>
      <c r="CJ16" s="295">
        <v>1.6930721181147075</v>
      </c>
      <c r="CK16" s="295">
        <v>1663.65350921245</v>
      </c>
      <c r="CL16" s="295">
        <v>1.674496644295302</v>
      </c>
      <c r="CM16" s="295">
        <v>1670.6284107268405</v>
      </c>
      <c r="CN16" s="295">
        <v>1.7232289950576607</v>
      </c>
      <c r="CO16" s="295">
        <v>1750.9792761726205</v>
      </c>
      <c r="CP16" s="295">
        <v>1.7632067958587736</v>
      </c>
      <c r="CQ16" s="295">
        <v>1853.0918343432991</v>
      </c>
      <c r="CR16" s="295">
        <v>1.8922043010752687</v>
      </c>
      <c r="CS16" s="295">
        <v>1963.853270391822</v>
      </c>
      <c r="CT16" s="295">
        <v>1.9086188992731048</v>
      </c>
      <c r="CU16" s="295">
        <v>2051.1790373519925</v>
      </c>
      <c r="CV16" s="295">
        <v>1.9435224176368591</v>
      </c>
      <c r="CW16" s="295">
        <v>2189.0030912763514</v>
      </c>
      <c r="CX16" s="295">
        <v>1.9397020572239301</v>
      </c>
      <c r="CY16" s="168">
        <v>2288.6046849018489</v>
      </c>
      <c r="CZ16" s="295">
        <v>1.970100443821537</v>
      </c>
      <c r="DA16" s="168">
        <v>2353.0527748948184</v>
      </c>
      <c r="DB16" s="295">
        <v>1.8963776070252469</v>
      </c>
      <c r="DC16" s="168">
        <v>2409.9679712522461</v>
      </c>
      <c r="DD16" s="295">
        <v>1.8827601124810729</v>
      </c>
      <c r="DE16" s="168">
        <v>2428.381711250237</v>
      </c>
      <c r="DF16" s="295">
        <v>1.7719785671760271</v>
      </c>
      <c r="DG16" s="168">
        <v>2491.1558248797528</v>
      </c>
      <c r="DH16" s="295">
        <v>1.6721922145650958</v>
      </c>
      <c r="DI16" s="168">
        <v>2504.8266318479582</v>
      </c>
      <c r="DJ16" s="295">
        <v>1.55913790082355</v>
      </c>
      <c r="DK16" s="168">
        <v>2482.5069470019084</v>
      </c>
      <c r="DL16" s="295">
        <v>1.4537984236122756</v>
      </c>
      <c r="DM16" s="168">
        <v>2418.6168491300905</v>
      </c>
      <c r="DN16" s="295">
        <v>1.4605878423513694</v>
      </c>
      <c r="DO16" s="168">
        <v>2440.0995457944132</v>
      </c>
      <c r="DP16" s="295">
        <v>1.3905353728489485</v>
      </c>
      <c r="DQ16" s="168">
        <v>2434.7986206434762</v>
      </c>
      <c r="DR16" s="295">
        <v>1.2731105088828667</v>
      </c>
      <c r="DS16" s="168">
        <v>2359.190688227482</v>
      </c>
      <c r="DT16" s="295">
        <v>1.1510157692854099</v>
      </c>
      <c r="DU16" s="168">
        <v>2260.4260827837111</v>
      </c>
      <c r="DV16" s="295">
        <v>1.065424374319913</v>
      </c>
      <c r="DW16" s="168">
        <v>2185.376142488868</v>
      </c>
      <c r="DX16" s="295">
        <v>0.94710680601580421</v>
      </c>
      <c r="DY16" s="168">
        <v>2073.2197261374668</v>
      </c>
      <c r="DZ16" s="295">
        <v>0.85688162867243689</v>
      </c>
      <c r="EA16" s="168">
        <v>1961.0633097860659</v>
      </c>
      <c r="EB16" s="295">
        <v>0.79333649513872417</v>
      </c>
      <c r="EC16" s="168">
        <v>1866.7626413115045</v>
      </c>
      <c r="ED16" s="295">
        <v>0.74693216022227371</v>
      </c>
      <c r="EE16" s="168">
        <v>1800.0825828339305</v>
      </c>
    </row>
    <row r="17" spans="1:135" ht="16.5" thickBot="1" x14ac:dyDescent="0.3">
      <c r="A17" s="461" t="s">
        <v>21</v>
      </c>
      <c r="B17" s="295">
        <v>1.7602523659305993</v>
      </c>
      <c r="C17" s="295">
        <v>141.79314971374555</v>
      </c>
      <c r="D17" s="295">
        <v>1.9503105590062111</v>
      </c>
      <c r="E17" s="295">
        <v>159.5808208247889</v>
      </c>
      <c r="F17" s="295">
        <v>2.0151057401812689</v>
      </c>
      <c r="G17" s="295">
        <v>169.49109472951307</v>
      </c>
      <c r="H17" s="295">
        <v>2.103030303030303</v>
      </c>
      <c r="I17" s="295">
        <v>176.35205358662978</v>
      </c>
      <c r="J17" s="295">
        <v>2.1818181818181817</v>
      </c>
      <c r="K17" s="295">
        <v>189.05753295166073</v>
      </c>
      <c r="L17" s="295">
        <v>2.4926253687315634</v>
      </c>
      <c r="M17" s="295">
        <v>214.7226012690233</v>
      </c>
      <c r="N17" s="295">
        <v>2.647398843930636</v>
      </c>
      <c r="O17" s="295">
        <v>232.76438196736726</v>
      </c>
      <c r="P17" s="295">
        <v>2.7994100294985249</v>
      </c>
      <c r="Q17" s="295">
        <v>241.14999834828768</v>
      </c>
      <c r="R17" s="295">
        <v>2.9885714285714284</v>
      </c>
      <c r="S17" s="295">
        <v>265.79862831644772</v>
      </c>
      <c r="T17" s="295">
        <v>3.0708446866485013</v>
      </c>
      <c r="U17" s="295">
        <v>286.38150488779792</v>
      </c>
      <c r="V17" s="295">
        <v>2.2505446623093683</v>
      </c>
      <c r="W17" s="295">
        <v>262.49520368153969</v>
      </c>
      <c r="X17" s="295">
        <v>2.3347826086956522</v>
      </c>
      <c r="Y17" s="295">
        <v>272.91369676086509</v>
      </c>
      <c r="Z17" s="295">
        <v>2.0357815442561207</v>
      </c>
      <c r="AA17" s="295">
        <v>274.69246387196944</v>
      </c>
      <c r="AB17" s="295">
        <v>2.1313320825515949</v>
      </c>
      <c r="AC17" s="295">
        <v>288.66849117350347</v>
      </c>
      <c r="AD17" s="295">
        <v>2.1308243727598568</v>
      </c>
      <c r="AE17" s="295">
        <v>302.13629930043629</v>
      </c>
      <c r="AF17" s="295">
        <v>1.7420382165605095</v>
      </c>
      <c r="AG17" s="295">
        <v>277.99588850687746</v>
      </c>
      <c r="AH17" s="295">
        <v>1.6191904047976011</v>
      </c>
      <c r="AI17" s="295">
        <v>274.43835428466883</v>
      </c>
      <c r="AJ17" s="295">
        <v>1.6628242074927955</v>
      </c>
      <c r="AK17" s="295">
        <v>293.24246374491463</v>
      </c>
      <c r="AL17" s="295">
        <v>1.5913978494623655</v>
      </c>
      <c r="AM17" s="295">
        <v>300.86575136393321</v>
      </c>
      <c r="AN17" s="295">
        <v>1.3763313609467456</v>
      </c>
      <c r="AO17" s="295">
        <v>295.52945003062018</v>
      </c>
      <c r="AP17" s="295">
        <v>1.2303493449781659</v>
      </c>
      <c r="AQ17" s="295">
        <v>286.38150488779792</v>
      </c>
      <c r="AR17" s="295">
        <v>1.1917808219178083</v>
      </c>
      <c r="AS17" s="295">
        <v>287.39794323700039</v>
      </c>
      <c r="AT17" s="295">
        <v>1.0726577437858509</v>
      </c>
      <c r="AU17" s="295">
        <v>285.11095695129484</v>
      </c>
      <c r="AV17" s="295">
        <v>0.92635314995563445</v>
      </c>
      <c r="AW17" s="295">
        <v>265.29040914184651</v>
      </c>
      <c r="AX17" s="295">
        <v>1.0435624394966119</v>
      </c>
      <c r="AY17" s="295">
        <v>273.93013511006757</v>
      </c>
      <c r="AZ17" s="295">
        <v>1.0139664804469273</v>
      </c>
      <c r="BA17" s="295">
        <v>276.72534057037439</v>
      </c>
      <c r="BB17" s="295">
        <v>1.0175763182238668</v>
      </c>
      <c r="BC17" s="295">
        <v>279.5205460306812</v>
      </c>
      <c r="BD17" s="295">
        <v>0.9119718309859155</v>
      </c>
      <c r="BE17" s="295">
        <v>263.25753244344156</v>
      </c>
      <c r="BF17" s="295">
        <v>0.82169890664423884</v>
      </c>
      <c r="BG17" s="295">
        <v>248.26506679270503</v>
      </c>
      <c r="BH17" s="295">
        <v>0.96800731261425965</v>
      </c>
      <c r="BI17" s="295">
        <v>269.1020529513558</v>
      </c>
      <c r="BJ17" s="295">
        <v>1.0222222222222221</v>
      </c>
      <c r="BK17" s="295">
        <v>280.53698437988368</v>
      </c>
      <c r="BL17" s="295">
        <v>1.0511265164644714</v>
      </c>
      <c r="BM17" s="295">
        <v>308.23492939565119</v>
      </c>
      <c r="BN17" s="295">
        <v>0.99831081081081086</v>
      </c>
      <c r="BO17" s="295">
        <v>300.35753218933201</v>
      </c>
      <c r="BP17" s="295">
        <v>0.99140154772141009</v>
      </c>
      <c r="BQ17" s="295">
        <v>292.98835415761403</v>
      </c>
      <c r="BR17" s="295">
        <v>1.0275066548358474</v>
      </c>
      <c r="BS17" s="295">
        <v>294.2589020941171</v>
      </c>
      <c r="BT17" s="295">
        <v>1.0424403183023874</v>
      </c>
      <c r="BU17" s="295">
        <v>299.59520342743008</v>
      </c>
      <c r="BV17" s="295">
        <v>1.0294117647058822</v>
      </c>
      <c r="BW17" s="295">
        <v>293.49657333221523</v>
      </c>
      <c r="BX17" s="295">
        <v>1.1618773946360152</v>
      </c>
      <c r="BY17" s="295">
        <v>308.23492939565119</v>
      </c>
      <c r="BZ17" s="295">
        <v>1.1697588126159555</v>
      </c>
      <c r="CA17" s="295">
        <v>320.43218958608094</v>
      </c>
      <c r="CB17" s="295">
        <v>1.1046831955922864</v>
      </c>
      <c r="CC17" s="295">
        <v>305.69383352264498</v>
      </c>
      <c r="CD17" s="295">
        <v>1.0372727272727273</v>
      </c>
      <c r="CE17" s="295">
        <v>289.9390391100066</v>
      </c>
      <c r="CF17" s="295">
        <v>1.082046332046332</v>
      </c>
      <c r="CG17" s="295">
        <v>284.85684736399418</v>
      </c>
      <c r="CH17" s="295">
        <v>1.1821903787103378</v>
      </c>
      <c r="CI17" s="295">
        <v>293.49657333221523</v>
      </c>
      <c r="CJ17" s="295">
        <v>1.137865911237016</v>
      </c>
      <c r="CK17" s="295">
        <v>306.20205269724619</v>
      </c>
      <c r="CL17" s="295">
        <v>1.1856884057971016</v>
      </c>
      <c r="CM17" s="295">
        <v>332.62944977651063</v>
      </c>
      <c r="CN17" s="295">
        <v>1.0263808738664468</v>
      </c>
      <c r="CO17" s="295">
        <v>316.36643618927098</v>
      </c>
      <c r="CP17" s="295">
        <v>1.3087986463620982</v>
      </c>
      <c r="CQ17" s="295">
        <v>393.10753155405797</v>
      </c>
      <c r="CR17" s="295">
        <v>1.3703382480485689</v>
      </c>
      <c r="CS17" s="295">
        <v>401.49314793497842</v>
      </c>
      <c r="CT17" s="295">
        <v>1.3920552677029361</v>
      </c>
      <c r="CU17" s="295">
        <v>409.62465472859827</v>
      </c>
      <c r="CV17" s="295">
        <v>1.4198473282442747</v>
      </c>
      <c r="CW17" s="295">
        <v>425.37944914123665</v>
      </c>
      <c r="CX17" s="295">
        <v>1.4779220779220779</v>
      </c>
      <c r="CY17" s="168">
        <v>433.7650655221571</v>
      </c>
      <c r="CZ17" s="295">
        <v>1.4962901896125309</v>
      </c>
      <c r="DA17" s="168">
        <v>461.20890095062396</v>
      </c>
      <c r="DB17" s="295">
        <v>1.5178429817605075</v>
      </c>
      <c r="DC17" s="168">
        <v>486.36575009338532</v>
      </c>
      <c r="DD17" s="295">
        <v>1.740648379052369</v>
      </c>
      <c r="DE17" s="168">
        <v>532.10547580749676</v>
      </c>
      <c r="DF17" s="295">
        <v>1.9211218229623137</v>
      </c>
      <c r="DG17" s="168">
        <v>557.00821536295734</v>
      </c>
      <c r="DH17" s="295">
        <v>2.0526315789473686</v>
      </c>
      <c r="DI17" s="168">
        <v>584.70616037872492</v>
      </c>
      <c r="DJ17" s="295">
        <v>2.1056277056277057</v>
      </c>
      <c r="DK17" s="168">
        <v>617.99451631510601</v>
      </c>
      <c r="DL17" s="295">
        <v>2.0921161825726142</v>
      </c>
      <c r="DM17" s="168">
        <v>640.61026958486116</v>
      </c>
      <c r="DN17" s="295">
        <v>1.8601986249045073</v>
      </c>
      <c r="DO17" s="168">
        <v>618.75684507700794</v>
      </c>
      <c r="DP17" s="295">
        <v>1.9156626506024097</v>
      </c>
      <c r="DQ17" s="168">
        <v>606.05136571197693</v>
      </c>
      <c r="DR17" s="295">
        <v>1.363283775048481</v>
      </c>
      <c r="DS17" s="168">
        <v>535.91711961700605</v>
      </c>
      <c r="DT17" s="295">
        <v>1.4208860759493671</v>
      </c>
      <c r="DU17" s="168">
        <v>570.47602348989017</v>
      </c>
      <c r="DV17" s="295">
        <v>1.4404466501240696</v>
      </c>
      <c r="DW17" s="168">
        <v>590.04246171203795</v>
      </c>
      <c r="DX17" s="295">
        <v>1.4301075268817205</v>
      </c>
      <c r="DY17" s="168">
        <v>608.33835199768248</v>
      </c>
      <c r="DZ17" s="295">
        <v>1.3842999414176917</v>
      </c>
      <c r="EA17" s="168">
        <v>600.46095479136329</v>
      </c>
      <c r="EB17" s="295">
        <v>1.3101928374655647</v>
      </c>
      <c r="EC17" s="168">
        <v>604.27259860087258</v>
      </c>
      <c r="ED17" s="295">
        <v>1.2152560083594566</v>
      </c>
      <c r="EE17" s="168">
        <v>591.05890006124037</v>
      </c>
    </row>
    <row r="18" spans="1:135" ht="16.5" thickBot="1" x14ac:dyDescent="0.3">
      <c r="A18" s="461" t="s">
        <v>17</v>
      </c>
      <c r="B18" s="295">
        <v>1.5937927886809675</v>
      </c>
      <c r="C18" s="295">
        <v>175.44758729421838</v>
      </c>
      <c r="D18" s="295">
        <v>1.6415949252378794</v>
      </c>
      <c r="E18" s="295">
        <v>182.02938395388119</v>
      </c>
      <c r="F18" s="295">
        <v>1.7562949640287771</v>
      </c>
      <c r="G18" s="295">
        <v>196.24807444765662</v>
      </c>
      <c r="H18" s="295">
        <v>1.9738621000450653</v>
      </c>
      <c r="I18" s="295">
        <v>220.06312495666566</v>
      </c>
      <c r="J18" s="295">
        <v>2.1671812968681077</v>
      </c>
      <c r="K18" s="295">
        <v>246.84249609865259</v>
      </c>
      <c r="L18" s="295">
        <v>2.6275137111517366</v>
      </c>
      <c r="M18" s="295">
        <v>288.84541218627186</v>
      </c>
      <c r="N18" s="295">
        <v>3.035369774919614</v>
      </c>
      <c r="O18" s="295">
        <v>332.00391089352661</v>
      </c>
      <c r="P18" s="295">
        <v>3.1249466950959488</v>
      </c>
      <c r="Q18" s="295">
        <v>368.17867116037581</v>
      </c>
      <c r="R18" s="295">
        <v>3.2584780810587262</v>
      </c>
      <c r="S18" s="295">
        <v>395.86241130903392</v>
      </c>
      <c r="T18" s="295">
        <v>3.3201293451899758</v>
      </c>
      <c r="U18" s="295">
        <v>412.69372337763741</v>
      </c>
      <c r="V18" s="295">
        <v>3.1153563556208672</v>
      </c>
      <c r="W18" s="295">
        <v>426.05828758733441</v>
      </c>
      <c r="X18" s="295">
        <v>3.2397454031117396</v>
      </c>
      <c r="Y18" s="295">
        <v>460.32382439565538</v>
      </c>
      <c r="Z18" s="295">
        <v>3.0021874999999998</v>
      </c>
      <c r="AA18" s="295">
        <v>482.68183594947186</v>
      </c>
      <c r="AB18" s="295">
        <v>2.9305475504322764</v>
      </c>
      <c r="AC18" s="295">
        <v>510.91824604665135</v>
      </c>
      <c r="AD18" s="295">
        <v>3.1741122565864832</v>
      </c>
      <c r="AE18" s="295">
        <v>556.8903372191055</v>
      </c>
      <c r="AF18" s="295">
        <v>3.1951421473916644</v>
      </c>
      <c r="AG18" s="295">
        <v>581.60975673478572</v>
      </c>
      <c r="AH18" s="295">
        <v>3.0174091141833079</v>
      </c>
      <c r="AI18" s="295">
        <v>592.16072847928342</v>
      </c>
      <c r="AJ18" s="295">
        <v>2.7301369863013698</v>
      </c>
      <c r="AK18" s="295">
        <v>600.80247676525289</v>
      </c>
      <c r="AL18" s="295">
        <v>2.5092611439039283</v>
      </c>
      <c r="AM18" s="295">
        <v>619.39228412460602</v>
      </c>
      <c r="AN18" s="295">
        <v>2.1269786049747781</v>
      </c>
      <c r="AO18" s="295">
        <v>614.36801186532136</v>
      </c>
      <c r="AP18" s="295">
        <v>1.8489709443099274</v>
      </c>
      <c r="AQ18" s="295">
        <v>613.86558463939286</v>
      </c>
      <c r="AR18" s="295">
        <v>1.6741266375545851</v>
      </c>
      <c r="AS18" s="295">
        <v>616.37772076903525</v>
      </c>
      <c r="AT18" s="295">
        <v>1.5533697169691585</v>
      </c>
      <c r="AU18" s="295">
        <v>614.92068181384263</v>
      </c>
      <c r="AV18" s="295">
        <v>1.4901387874360847</v>
      </c>
      <c r="AW18" s="295">
        <v>614.97092453643552</v>
      </c>
      <c r="AX18" s="295">
        <v>1.4523584905660378</v>
      </c>
      <c r="AY18" s="295">
        <v>618.78937145349175</v>
      </c>
      <c r="AZ18" s="295">
        <v>1.3491595721458196</v>
      </c>
      <c r="BA18" s="295">
        <v>621.05029397016995</v>
      </c>
      <c r="BB18" s="295">
        <v>1.2687623607785989</v>
      </c>
      <c r="BC18" s="295">
        <v>612.40854568420036</v>
      </c>
      <c r="BD18" s="295">
        <v>1.1818271216442129</v>
      </c>
      <c r="BE18" s="295">
        <v>603.81704012082366</v>
      </c>
      <c r="BF18" s="295">
        <v>1.0544929628293036</v>
      </c>
      <c r="BG18" s="295">
        <v>587.23694166518442</v>
      </c>
      <c r="BH18" s="295">
        <v>0.98557360055286802</v>
      </c>
      <c r="BI18" s="295">
        <v>573.21922206178044</v>
      </c>
      <c r="BJ18" s="295">
        <v>0.94781944680128971</v>
      </c>
      <c r="BK18" s="295">
        <v>561.26145408468312</v>
      </c>
      <c r="BL18" s="295">
        <v>0.92080615487539719</v>
      </c>
      <c r="BM18" s="295">
        <v>553.22261846982769</v>
      </c>
      <c r="BN18" s="295">
        <v>0.88303049967553537</v>
      </c>
      <c r="BO18" s="295">
        <v>546.94227814572196</v>
      </c>
      <c r="BP18" s="295">
        <v>0.89581288845273144</v>
      </c>
      <c r="BQ18" s="295">
        <v>550.35878328203546</v>
      </c>
      <c r="BR18" s="295">
        <v>0.87452938287772142</v>
      </c>
      <c r="BS18" s="295">
        <v>536.84349090455987</v>
      </c>
      <c r="BT18" s="295">
        <v>0.85604825562438869</v>
      </c>
      <c r="BU18" s="295">
        <v>527.64907267006913</v>
      </c>
      <c r="BV18" s="295">
        <v>0.8572595800310483</v>
      </c>
      <c r="BW18" s="295">
        <v>527.14664544414063</v>
      </c>
      <c r="BX18" s="295">
        <v>0.84395424836601307</v>
      </c>
      <c r="BY18" s="295">
        <v>519.00732438409955</v>
      </c>
      <c r="BZ18" s="295">
        <v>0.84881455017862939</v>
      </c>
      <c r="CA18" s="295">
        <v>525.23742198561251</v>
      </c>
      <c r="CB18" s="295">
        <v>0.84879864088665968</v>
      </c>
      <c r="CC18" s="295">
        <v>527.14664544414063</v>
      </c>
      <c r="CD18" s="295">
        <v>0.86331938633193861</v>
      </c>
      <c r="CE18" s="295">
        <v>528.7041698445189</v>
      </c>
      <c r="CF18" s="295">
        <v>0.88525545015809615</v>
      </c>
      <c r="CG18" s="295">
        <v>534.53232566528902</v>
      </c>
      <c r="CH18" s="295">
        <v>0.93078370978781655</v>
      </c>
      <c r="CI18" s="295">
        <v>546.59057908757211</v>
      </c>
      <c r="CJ18" s="295">
        <v>0.96336225786659657</v>
      </c>
      <c r="CK18" s="295">
        <v>552.21776401797081</v>
      </c>
      <c r="CL18" s="295">
        <v>0.98675140990063559</v>
      </c>
      <c r="CM18" s="295">
        <v>553.82553114094185</v>
      </c>
      <c r="CN18" s="295">
        <v>1.0273363000635727</v>
      </c>
      <c r="CO18" s="295">
        <v>568.34567797027444</v>
      </c>
      <c r="CP18" s="295">
        <v>1.0451038030497888</v>
      </c>
      <c r="CQ18" s="295">
        <v>571.6114549388094</v>
      </c>
      <c r="CR18" s="295">
        <v>1.0543180573306554</v>
      </c>
      <c r="CS18" s="295">
        <v>580.25320322477887</v>
      </c>
      <c r="CT18" s="295">
        <v>1.1138979878334114</v>
      </c>
      <c r="CU18" s="295">
        <v>597.98888430005354</v>
      </c>
      <c r="CV18" s="295">
        <v>1.1467339554370597</v>
      </c>
      <c r="CW18" s="295">
        <v>605.07310818564486</v>
      </c>
      <c r="CX18" s="295">
        <v>1.1552611513534121</v>
      </c>
      <c r="CY18" s="168">
        <v>608.99204054788686</v>
      </c>
      <c r="CZ18" s="295">
        <v>1.1855759922555662</v>
      </c>
      <c r="DA18" s="168">
        <v>615.32262359458548</v>
      </c>
      <c r="DB18" s="295">
        <v>1.1228237995025827</v>
      </c>
      <c r="DC18" s="168">
        <v>589.7490777948268</v>
      </c>
      <c r="DD18" s="295">
        <v>1.0608082348455967</v>
      </c>
      <c r="DE18" s="168">
        <v>559.20150245837647</v>
      </c>
      <c r="DF18" s="295">
        <v>1.0654756248218189</v>
      </c>
      <c r="DG18" s="168">
        <v>563.32140571098978</v>
      </c>
      <c r="DH18" s="295">
        <v>1.0640097753548265</v>
      </c>
      <c r="DI18" s="168">
        <v>568.74761975101717</v>
      </c>
      <c r="DJ18" s="295">
        <v>1.0466954683334866</v>
      </c>
      <c r="DK18" s="168">
        <v>572.11388216473779</v>
      </c>
      <c r="DL18" s="295">
        <v>1.0418524247111274</v>
      </c>
      <c r="DM18" s="168">
        <v>575.32941641067998</v>
      </c>
      <c r="DN18" s="295">
        <v>1.0469926517282047</v>
      </c>
      <c r="DO18" s="168">
        <v>579.85126144403614</v>
      </c>
      <c r="DP18" s="295">
        <v>1.010519801980198</v>
      </c>
      <c r="DQ18" s="168">
        <v>574.3245619588231</v>
      </c>
      <c r="DR18" s="295">
        <v>0.99929682693152855</v>
      </c>
      <c r="DS18" s="168">
        <v>571.20951315806656</v>
      </c>
      <c r="DT18" s="295">
        <v>0.97549571391462464</v>
      </c>
      <c r="DU18" s="168">
        <v>566.03451273100347</v>
      </c>
      <c r="DV18" s="295">
        <v>0.92127373550663749</v>
      </c>
      <c r="DW18" s="168">
        <v>550.91145323055684</v>
      </c>
      <c r="DX18" s="295">
        <v>0.88300257410944116</v>
      </c>
      <c r="DY18" s="168">
        <v>534.28111205232483</v>
      </c>
      <c r="DZ18" s="295">
        <v>0.85859252536919395</v>
      </c>
      <c r="EA18" s="168">
        <v>522.87601402374878</v>
      </c>
      <c r="EB18" s="295">
        <v>0.83857271168449421</v>
      </c>
      <c r="EC18" s="168">
        <v>515.99276102852889</v>
      </c>
      <c r="ED18" s="295">
        <v>0.90287953654796382</v>
      </c>
      <c r="EE18" s="168">
        <v>532.47237403898237</v>
      </c>
    </row>
    <row r="19" spans="1:135" ht="16.5" thickBot="1" x14ac:dyDescent="0.3">
      <c r="A19" s="461" t="s">
        <v>23</v>
      </c>
      <c r="B19" s="295">
        <v>0.99164677804295942</v>
      </c>
      <c r="C19" s="295">
        <v>131.76943678476232</v>
      </c>
      <c r="D19" s="295">
        <v>0.98254063816977721</v>
      </c>
      <c r="E19" s="295">
        <v>129.39092709550667</v>
      </c>
      <c r="F19" s="295">
        <v>0.90496114763897195</v>
      </c>
      <c r="G19" s="295">
        <v>120.03545565110117</v>
      </c>
      <c r="H19" s="295">
        <v>0.89407540394973073</v>
      </c>
      <c r="I19" s="295">
        <v>118.44978252493075</v>
      </c>
      <c r="J19" s="295">
        <v>0.94976076555023925</v>
      </c>
      <c r="K19" s="295">
        <v>125.90244621793175</v>
      </c>
      <c r="L19" s="295">
        <v>0.91396582203889221</v>
      </c>
      <c r="M19" s="295">
        <v>122.96895093451646</v>
      </c>
      <c r="N19" s="295">
        <v>0.93384524512699352</v>
      </c>
      <c r="O19" s="295">
        <v>125.34746062377209</v>
      </c>
      <c r="P19" s="295">
        <v>0.93735362997658078</v>
      </c>
      <c r="Q19" s="295">
        <v>126.93313374994251</v>
      </c>
      <c r="R19" s="295">
        <v>0.97716627634660425</v>
      </c>
      <c r="S19" s="295">
        <v>132.32442237892198</v>
      </c>
      <c r="T19" s="295">
        <v>0.96354166666666663</v>
      </c>
      <c r="U19" s="295">
        <v>132.00728775368788</v>
      </c>
      <c r="V19" s="295">
        <v>0.95391705069124422</v>
      </c>
      <c r="W19" s="295">
        <v>131.29373484691121</v>
      </c>
      <c r="X19" s="295">
        <v>0.97884505431675239</v>
      </c>
      <c r="Y19" s="295">
        <v>135.73361960018838</v>
      </c>
      <c r="Z19" s="295">
        <v>0.97933409873708377</v>
      </c>
      <c r="AA19" s="295">
        <v>135.25791766233723</v>
      </c>
      <c r="AB19" s="295">
        <v>1.0183215130023642</v>
      </c>
      <c r="AC19" s="295">
        <v>136.60573981958211</v>
      </c>
      <c r="AD19" s="295">
        <v>1.0968712394705173</v>
      </c>
      <c r="AE19" s="295">
        <v>144.53410545043423</v>
      </c>
      <c r="AF19" s="295">
        <v>1.1666666666666667</v>
      </c>
      <c r="AG19" s="295">
        <v>150.95608161142445</v>
      </c>
      <c r="AH19" s="295">
        <v>1.3137384412153237</v>
      </c>
      <c r="AI19" s="295">
        <v>157.69519239764875</v>
      </c>
      <c r="AJ19" s="295">
        <v>1.3199464524765729</v>
      </c>
      <c r="AK19" s="295">
        <v>156.3473702404039</v>
      </c>
      <c r="AL19" s="295">
        <v>1.1763224181360201</v>
      </c>
      <c r="AM19" s="295">
        <v>148.10186998431769</v>
      </c>
      <c r="AN19" s="295">
        <v>1.1895551257253385</v>
      </c>
      <c r="AO19" s="295">
        <v>146.2783458892217</v>
      </c>
      <c r="AP19" s="295">
        <v>1.1764705882352942</v>
      </c>
      <c r="AQ19" s="295">
        <v>147.46760073384954</v>
      </c>
      <c r="AR19" s="295">
        <v>1.1242973141786383</v>
      </c>
      <c r="AS19" s="295">
        <v>142.71058135533826</v>
      </c>
      <c r="AT19" s="295">
        <v>1.0533253445176753</v>
      </c>
      <c r="AU19" s="295">
        <v>139.38066779038036</v>
      </c>
      <c r="AV19" s="295">
        <v>1.0504504504504504</v>
      </c>
      <c r="AW19" s="295">
        <v>138.66711488360366</v>
      </c>
      <c r="AX19" s="295">
        <v>1.0446859903381642</v>
      </c>
      <c r="AY19" s="295">
        <v>137.16072541374177</v>
      </c>
      <c r="AZ19" s="295">
        <v>0.95560747663551404</v>
      </c>
      <c r="BA19" s="295">
        <v>129.70806172074077</v>
      </c>
      <c r="BB19" s="295">
        <v>0.92790152403282533</v>
      </c>
      <c r="BC19" s="295">
        <v>125.50602793638913</v>
      </c>
      <c r="BD19" s="295">
        <v>0.9518282066163668</v>
      </c>
      <c r="BE19" s="295">
        <v>130.02519634597485</v>
      </c>
      <c r="BF19" s="295">
        <v>0.85737794843664294</v>
      </c>
      <c r="BG19" s="295">
        <v>123.9203548102187</v>
      </c>
      <c r="BH19" s="295">
        <v>0.80042016806722693</v>
      </c>
      <c r="BI19" s="295">
        <v>120.82829221418639</v>
      </c>
      <c r="BJ19" s="295">
        <v>0.77325289089994975</v>
      </c>
      <c r="BK19" s="295">
        <v>121.93826340250568</v>
      </c>
      <c r="BL19" s="295">
        <v>0.79462474645030423</v>
      </c>
      <c r="BM19" s="295">
        <v>124.2374894354528</v>
      </c>
      <c r="BN19" s="295">
        <v>0.82173447537473232</v>
      </c>
      <c r="BO19" s="295">
        <v>121.70041243358013</v>
      </c>
      <c r="BP19" s="295">
        <v>0.8878048780487805</v>
      </c>
      <c r="BQ19" s="295">
        <v>129.86662903335781</v>
      </c>
      <c r="BR19" s="295">
        <v>0.87473118279569895</v>
      </c>
      <c r="BS19" s="295">
        <v>128.99450881396407</v>
      </c>
      <c r="BT19" s="295">
        <v>0.96777777777777774</v>
      </c>
      <c r="BU19" s="295">
        <v>138.11212928944403</v>
      </c>
      <c r="BV19" s="295">
        <v>0.98862343572241185</v>
      </c>
      <c r="BW19" s="295">
        <v>137.79499466420995</v>
      </c>
      <c r="BX19" s="295">
        <v>1.0222984562607205</v>
      </c>
      <c r="BY19" s="295">
        <v>141.75917747963598</v>
      </c>
      <c r="BZ19" s="295">
        <v>1.0705202312138729</v>
      </c>
      <c r="CA19" s="295">
        <v>146.83333148338136</v>
      </c>
      <c r="CB19" s="295">
        <v>1.1687041564792175</v>
      </c>
      <c r="CC19" s="295">
        <v>151.59035086189263</v>
      </c>
      <c r="CD19" s="295">
        <v>1.2482627921667719</v>
      </c>
      <c r="CE19" s="295">
        <v>156.66450486563798</v>
      </c>
      <c r="CF19" s="295">
        <v>1.2097560975609756</v>
      </c>
      <c r="CG19" s="295">
        <v>157.29877411610616</v>
      </c>
      <c r="CH19" s="295">
        <v>1.2827895073576456</v>
      </c>
      <c r="CI19" s="295">
        <v>158.96373089858511</v>
      </c>
      <c r="CJ19" s="295">
        <v>1.3543307086614174</v>
      </c>
      <c r="CK19" s="295">
        <v>163.64146662078787</v>
      </c>
      <c r="CL19" s="295">
        <v>1.3537061118335501</v>
      </c>
      <c r="CM19" s="295">
        <v>165.06857243434123</v>
      </c>
      <c r="CN19" s="295">
        <v>1.3624760689215061</v>
      </c>
      <c r="CO19" s="295">
        <v>169.27060621869288</v>
      </c>
      <c r="CP19" s="295">
        <v>1.4214983713355049</v>
      </c>
      <c r="CQ19" s="295">
        <v>172.99693806519338</v>
      </c>
      <c r="CR19" s="295">
        <v>1.3137973137973138</v>
      </c>
      <c r="CS19" s="295">
        <v>170.61842837593773</v>
      </c>
      <c r="CT19" s="295">
        <v>1.3337430854333128</v>
      </c>
      <c r="CU19" s="295">
        <v>172.04553418949112</v>
      </c>
      <c r="CV19" s="295">
        <v>1.2244546498277842</v>
      </c>
      <c r="CW19" s="295">
        <v>169.11203890607581</v>
      </c>
      <c r="CX19" s="295">
        <v>1.241657077100115</v>
      </c>
      <c r="CY19" s="168">
        <v>171.09413031378887</v>
      </c>
      <c r="CZ19" s="295">
        <v>1.1845637583892616</v>
      </c>
      <c r="DA19" s="168">
        <v>167.922784061448</v>
      </c>
      <c r="DB19" s="295">
        <v>1.1123110151187905</v>
      </c>
      <c r="DC19" s="168">
        <v>163.32433199555376</v>
      </c>
      <c r="DD19" s="295">
        <v>1.1202928870292888</v>
      </c>
      <c r="DE19" s="168">
        <v>169.82559181285251</v>
      </c>
      <c r="DF19" s="295">
        <v>1.0961538461538463</v>
      </c>
      <c r="DG19" s="168">
        <v>171.72839956425705</v>
      </c>
      <c r="DH19" s="295">
        <v>1.0892137096774193</v>
      </c>
      <c r="DI19" s="168">
        <v>171.33198128271442</v>
      </c>
      <c r="DJ19" s="295">
        <v>1.1182044887780549</v>
      </c>
      <c r="DK19" s="168">
        <v>177.75395744370465</v>
      </c>
      <c r="DL19" s="295">
        <v>1.1031976744186047</v>
      </c>
      <c r="DM19" s="168">
        <v>180.52888541450287</v>
      </c>
      <c r="DN19" s="295">
        <v>1.1268011527377522</v>
      </c>
      <c r="DO19" s="168">
        <v>185.99945769979084</v>
      </c>
      <c r="DP19" s="295">
        <v>1.1170960187353629</v>
      </c>
      <c r="DQ19" s="168">
        <v>189.09152029582319</v>
      </c>
      <c r="DR19" s="295">
        <v>1.1040329972502292</v>
      </c>
      <c r="DS19" s="168">
        <v>190.99432804722767</v>
      </c>
      <c r="DT19" s="295">
        <v>1.137081784386617</v>
      </c>
      <c r="DU19" s="168">
        <v>194.0071069869515</v>
      </c>
      <c r="DV19" s="295">
        <v>1.1322580645161291</v>
      </c>
      <c r="DW19" s="168">
        <v>194.79994355003672</v>
      </c>
      <c r="DX19" s="295">
        <v>1.1425222691045476</v>
      </c>
      <c r="DY19" s="168">
        <v>193.21427042386628</v>
      </c>
      <c r="DZ19" s="295">
        <v>1.1367006487488416</v>
      </c>
      <c r="EA19" s="168">
        <v>194.48280892480264</v>
      </c>
      <c r="EB19" s="295">
        <v>1.1628895184135977</v>
      </c>
      <c r="EC19" s="168">
        <v>195.27564548788783</v>
      </c>
      <c r="ED19" s="295">
        <v>1.2393203883495145</v>
      </c>
      <c r="EE19" s="168">
        <v>202.41117455565472</v>
      </c>
    </row>
    <row r="20" spans="1:135" ht="16.5" thickBot="1" x14ac:dyDescent="0.3">
      <c r="A20" s="461" t="s">
        <v>19</v>
      </c>
      <c r="B20" s="295">
        <v>0.79542981501632204</v>
      </c>
      <c r="C20" s="295">
        <v>220.16182345792603</v>
      </c>
      <c r="D20" s="295">
        <v>0.78310626702997277</v>
      </c>
      <c r="E20" s="295">
        <v>216.39708639469202</v>
      </c>
      <c r="F20" s="295">
        <v>0.81782065834279227</v>
      </c>
      <c r="G20" s="295">
        <v>216.99944432480947</v>
      </c>
      <c r="H20" s="295">
        <v>0.8436794582392777</v>
      </c>
      <c r="I20" s="295">
        <v>225.13127638139497</v>
      </c>
      <c r="J20" s="295">
        <v>0.86469584991472426</v>
      </c>
      <c r="K20" s="295">
        <v>229.04660292715835</v>
      </c>
      <c r="L20" s="295">
        <v>0.90657439446366783</v>
      </c>
      <c r="M20" s="295">
        <v>236.72666653615579</v>
      </c>
      <c r="N20" s="295">
        <v>0.98483009708737868</v>
      </c>
      <c r="O20" s="295">
        <v>244.4067301451532</v>
      </c>
      <c r="P20" s="295">
        <v>1.0054844606946984</v>
      </c>
      <c r="Q20" s="295">
        <v>248.47264617344598</v>
      </c>
      <c r="R20" s="295">
        <v>1.0210970464135021</v>
      </c>
      <c r="S20" s="295">
        <v>255.09858340473784</v>
      </c>
      <c r="T20" s="295">
        <v>1.0156720916214588</v>
      </c>
      <c r="U20" s="295">
        <v>253.7432780619736</v>
      </c>
      <c r="V20" s="295">
        <v>1.0054315027157514</v>
      </c>
      <c r="W20" s="295">
        <v>250.88207789391572</v>
      </c>
      <c r="X20" s="295">
        <v>1.1321339950372209</v>
      </c>
      <c r="Y20" s="295">
        <v>274.82580561608415</v>
      </c>
      <c r="Z20" s="295">
        <v>1.1523750771128933</v>
      </c>
      <c r="AA20" s="295">
        <v>281.3011533648467</v>
      </c>
      <c r="AB20" s="295">
        <v>1.2664958360025624</v>
      </c>
      <c r="AC20" s="295">
        <v>297.71540696054706</v>
      </c>
      <c r="AD20" s="295">
        <v>1.5129958960328318</v>
      </c>
      <c r="AE20" s="295">
        <v>333.10393535494694</v>
      </c>
      <c r="AF20" s="295">
        <v>1.5476687543493388</v>
      </c>
      <c r="AG20" s="295">
        <v>334.91100914529932</v>
      </c>
      <c r="AH20" s="295">
        <v>1.5773768216516308</v>
      </c>
      <c r="AI20" s="295">
        <v>342.28989378923796</v>
      </c>
      <c r="AJ20" s="295">
        <v>1.5130434782608695</v>
      </c>
      <c r="AK20" s="295">
        <v>340.63340948141501</v>
      </c>
      <c r="AL20" s="295">
        <v>1.5529257067718607</v>
      </c>
      <c r="AM20" s="295">
        <v>355.69235773435111</v>
      </c>
      <c r="AN20" s="295">
        <v>1.5203562340966921</v>
      </c>
      <c r="AO20" s="295">
        <v>359.90886324517322</v>
      </c>
      <c r="AP20" s="295">
        <v>1.534195933456562</v>
      </c>
      <c r="AQ20" s="295">
        <v>374.96781149810937</v>
      </c>
      <c r="AR20" s="295">
        <v>1.6036363636363635</v>
      </c>
      <c r="AS20" s="295">
        <v>398.45977077268975</v>
      </c>
      <c r="AT20" s="295">
        <v>1.5826446280991735</v>
      </c>
      <c r="AU20" s="295">
        <v>403.73040266121734</v>
      </c>
      <c r="AV20" s="295">
        <v>1.6587537091988132</v>
      </c>
      <c r="AW20" s="295">
        <v>420.89760366956455</v>
      </c>
      <c r="AX20" s="295">
        <v>1.7533013205282113</v>
      </c>
      <c r="AY20" s="295">
        <v>439.87187846826401</v>
      </c>
      <c r="AZ20" s="295">
        <v>1.7336986301369863</v>
      </c>
      <c r="BA20" s="295">
        <v>476.4651227228988</v>
      </c>
      <c r="BB20" s="295">
        <v>1.7762312633832977</v>
      </c>
      <c r="BC20" s="295">
        <v>499.65590303242044</v>
      </c>
      <c r="BD20" s="295">
        <v>1.7612544258978249</v>
      </c>
      <c r="BE20" s="295">
        <v>524.35257816723572</v>
      </c>
      <c r="BF20" s="295">
        <v>1.5976491862567812</v>
      </c>
      <c r="BG20" s="295">
        <v>532.18323125876248</v>
      </c>
      <c r="BH20" s="295">
        <v>1.7072841726618706</v>
      </c>
      <c r="BI20" s="295">
        <v>571.78826516398442</v>
      </c>
      <c r="BJ20" s="295">
        <v>1.6893972723273207</v>
      </c>
      <c r="BK20" s="295">
        <v>578.26361291274702</v>
      </c>
      <c r="BL20" s="295">
        <v>1.7603890362511052</v>
      </c>
      <c r="BM20" s="295">
        <v>599.64731943191623</v>
      </c>
      <c r="BN20" s="295">
        <v>1.7967823878069433</v>
      </c>
      <c r="BO20" s="295">
        <v>639.10176385460886</v>
      </c>
      <c r="BP20" s="295">
        <v>1.893305439330544</v>
      </c>
      <c r="BQ20" s="295">
        <v>681.41740844535934</v>
      </c>
      <c r="BR20" s="295">
        <v>1.9188755020080321</v>
      </c>
      <c r="BS20" s="295">
        <v>719.51654752528782</v>
      </c>
      <c r="BT20" s="295">
        <v>1.9104308390022675</v>
      </c>
      <c r="BU20" s="295">
        <v>761.22983418592071</v>
      </c>
      <c r="BV20" s="295">
        <v>1.9705333830660201</v>
      </c>
      <c r="BW20" s="295">
        <v>795.56423620261512</v>
      </c>
      <c r="BX20" s="295">
        <v>1.9413237924865832</v>
      </c>
      <c r="BY20" s="295">
        <v>817.09853220431376</v>
      </c>
      <c r="BZ20" s="295">
        <v>1.9322149948647724</v>
      </c>
      <c r="CA20" s="295">
        <v>849.92703939571447</v>
      </c>
      <c r="CB20" s="295">
        <v>1.8384955752212389</v>
      </c>
      <c r="CC20" s="295">
        <v>875.97901987329396</v>
      </c>
      <c r="CD20" s="295">
        <v>1.8065099457504521</v>
      </c>
      <c r="CE20" s="295">
        <v>902.63335828099093</v>
      </c>
      <c r="CF20" s="295">
        <v>1.8015508328546812</v>
      </c>
      <c r="CG20" s="295">
        <v>944.64782390668267</v>
      </c>
      <c r="CH20" s="295">
        <v>1.806168647425014</v>
      </c>
      <c r="CI20" s="295">
        <v>961.2126669849124</v>
      </c>
      <c r="CJ20" s="295">
        <v>1.7174084803792469</v>
      </c>
      <c r="CK20" s="295">
        <v>981.99401557396425</v>
      </c>
      <c r="CL20" s="295">
        <v>1.7658854166666667</v>
      </c>
      <c r="CM20" s="295">
        <v>1021.1472810315981</v>
      </c>
      <c r="CN20" s="295">
        <v>1.7975891511803115</v>
      </c>
      <c r="CO20" s="295">
        <v>1077.9195159451674</v>
      </c>
      <c r="CP20" s="295">
        <v>1.7516493873704053</v>
      </c>
      <c r="CQ20" s="295">
        <v>1119.4822131232711</v>
      </c>
      <c r="CR20" s="295">
        <v>1.6972375690607735</v>
      </c>
      <c r="CS20" s="295">
        <v>1156.527225825494</v>
      </c>
      <c r="CT20" s="295">
        <v>1.665341146923399</v>
      </c>
      <c r="CU20" s="295">
        <v>1198.2405124861268</v>
      </c>
      <c r="CV20" s="295">
        <v>1.6075173095944608</v>
      </c>
      <c r="CW20" s="295">
        <v>1223.6901350335891</v>
      </c>
      <c r="CX20" s="295">
        <v>1.5873556691273898</v>
      </c>
      <c r="CY20" s="168">
        <v>1262.8434004912228</v>
      </c>
      <c r="CZ20" s="295">
        <v>1.6328787320309621</v>
      </c>
      <c r="DA20" s="168">
        <v>1334.22281521014</v>
      </c>
      <c r="DB20" s="295">
        <v>1.6433380581148123</v>
      </c>
      <c r="DC20" s="168">
        <v>1396.7174504598249</v>
      </c>
      <c r="DD20" s="295">
        <v>1.6431150077359464</v>
      </c>
      <c r="DE20" s="168">
        <v>1439.3342740156343</v>
      </c>
      <c r="DF20" s="295">
        <v>1.6746746746746746</v>
      </c>
      <c r="DG20" s="168">
        <v>1511.6172256297275</v>
      </c>
      <c r="DH20" s="295">
        <v>1.640682289175833</v>
      </c>
      <c r="DI20" s="168">
        <v>1549.8669541921852</v>
      </c>
      <c r="DJ20" s="295">
        <v>1.6954410151966159</v>
      </c>
      <c r="DK20" s="168">
        <v>1629.6793799327465</v>
      </c>
      <c r="DL20" s="295">
        <v>1.6828707253488728</v>
      </c>
      <c r="DM20" s="168">
        <v>1652.5689812772096</v>
      </c>
      <c r="DN20" s="295">
        <v>1.645480017696505</v>
      </c>
      <c r="DO20" s="168">
        <v>1680.2774460626119</v>
      </c>
      <c r="DP20" s="295">
        <v>1.5808885163453479</v>
      </c>
      <c r="DQ20" s="168">
        <v>1704.0705843022513</v>
      </c>
      <c r="DR20" s="295">
        <v>1.527306967984934</v>
      </c>
      <c r="DS20" s="168">
        <v>1709.792984638367</v>
      </c>
      <c r="DT20" s="295">
        <v>1.49609375</v>
      </c>
      <c r="DU20" s="168">
        <v>1730.2731542623601</v>
      </c>
      <c r="DV20" s="295">
        <v>1.4222696996355411</v>
      </c>
      <c r="DW20" s="168">
        <v>1704.2211737847806</v>
      </c>
      <c r="DX20" s="295">
        <v>1.373000246123554</v>
      </c>
      <c r="DY20" s="168">
        <v>1680.1268565800829</v>
      </c>
      <c r="DZ20" s="295">
        <v>1.3007393274505128</v>
      </c>
      <c r="EA20" s="168">
        <v>1642.630075430272</v>
      </c>
      <c r="EB20" s="295">
        <v>1.1799097065462754</v>
      </c>
      <c r="EC20" s="168">
        <v>1574.2624503619418</v>
      </c>
      <c r="ED20" s="295">
        <v>1.0916442048517521</v>
      </c>
      <c r="EE20" s="168">
        <v>1524.718510609782</v>
      </c>
    </row>
    <row r="21" spans="1:135" ht="16.5" thickBot="1" x14ac:dyDescent="0.3">
      <c r="A21" s="461" t="s">
        <v>18</v>
      </c>
      <c r="B21" s="295">
        <v>1.0237341772151898</v>
      </c>
      <c r="C21" s="295">
        <v>173.08489720576236</v>
      </c>
      <c r="D21" s="295">
        <v>1.0360501567398119</v>
      </c>
      <c r="E21" s="295">
        <v>176.83016546060111</v>
      </c>
      <c r="F21" s="295">
        <v>1.0350194552529184</v>
      </c>
      <c r="G21" s="295">
        <v>177.90024210484074</v>
      </c>
      <c r="H21" s="295">
        <v>1.0808477237048666</v>
      </c>
      <c r="I21" s="295">
        <v>184.18694238974868</v>
      </c>
      <c r="J21" s="295">
        <v>1.18</v>
      </c>
      <c r="K21" s="295">
        <v>197.29538128168429</v>
      </c>
      <c r="L21" s="295">
        <v>1.2792262405382675</v>
      </c>
      <c r="M21" s="295">
        <v>203.44832198606224</v>
      </c>
      <c r="N21" s="295">
        <v>1.3513513513513513</v>
      </c>
      <c r="O21" s="295">
        <v>214.01532884792874</v>
      </c>
      <c r="P21" s="295">
        <v>1.4100418410041842</v>
      </c>
      <c r="Q21" s="295">
        <v>225.38489319297497</v>
      </c>
      <c r="R21" s="295">
        <v>1.3919028340080972</v>
      </c>
      <c r="S21" s="295">
        <v>229.93271893099345</v>
      </c>
      <c r="T21" s="295">
        <v>1.4078841512469831</v>
      </c>
      <c r="U21" s="295">
        <v>234.07926592742206</v>
      </c>
      <c r="V21" s="295">
        <v>1.3348588863463005</v>
      </c>
      <c r="W21" s="295">
        <v>234.07926592742206</v>
      </c>
      <c r="X21" s="295">
        <v>1.4980453479280689</v>
      </c>
      <c r="Y21" s="295">
        <v>256.28335629539464</v>
      </c>
      <c r="Z21" s="295">
        <v>1.530705079605762</v>
      </c>
      <c r="AA21" s="295">
        <v>270.0605930899801</v>
      </c>
      <c r="AB21" s="295">
        <v>1.5760542168674698</v>
      </c>
      <c r="AC21" s="295">
        <v>279.95880204919678</v>
      </c>
      <c r="AD21" s="295">
        <v>1.741112828438949</v>
      </c>
      <c r="AE21" s="295">
        <v>301.36033493398963</v>
      </c>
      <c r="AF21" s="295">
        <v>1.7405446293494704</v>
      </c>
      <c r="AG21" s="295">
        <v>307.7807947994275</v>
      </c>
      <c r="AH21" s="295">
        <v>1.806015037593985</v>
      </c>
      <c r="AI21" s="295">
        <v>321.29051243295299</v>
      </c>
      <c r="AJ21" s="295">
        <v>1.7814088598402325</v>
      </c>
      <c r="AK21" s="295">
        <v>328.11225103998078</v>
      </c>
      <c r="AL21" s="295">
        <v>1.7213559322033898</v>
      </c>
      <c r="AM21" s="295">
        <v>339.6155749655569</v>
      </c>
      <c r="AN21" s="295">
        <v>1.7508218277449046</v>
      </c>
      <c r="AO21" s="295">
        <v>356.20176295127141</v>
      </c>
      <c r="AP21" s="295">
        <v>1.76</v>
      </c>
      <c r="AQ21" s="295">
        <v>376.66697877235453</v>
      </c>
      <c r="AR21" s="295">
        <v>1.7252225519287834</v>
      </c>
      <c r="AS21" s="295">
        <v>388.83910060058048</v>
      </c>
      <c r="AT21" s="295">
        <v>1.7486910994764397</v>
      </c>
      <c r="AU21" s="295">
        <v>402.08129907304607</v>
      </c>
      <c r="AV21" s="295">
        <v>1.7474285714285713</v>
      </c>
      <c r="AW21" s="295">
        <v>409.03679726060375</v>
      </c>
      <c r="AX21" s="295">
        <v>1.8080000000000001</v>
      </c>
      <c r="AY21" s="295">
        <v>423.21531279677907</v>
      </c>
      <c r="AZ21" s="295">
        <v>1.7265135699373695</v>
      </c>
      <c r="BA21" s="295">
        <v>442.47669239309266</v>
      </c>
      <c r="BB21" s="295">
        <v>1.6716196136701338</v>
      </c>
      <c r="BC21" s="295">
        <v>451.43858428859966</v>
      </c>
      <c r="BD21" s="295">
        <v>1.68179646440516</v>
      </c>
      <c r="BE21" s="295">
        <v>470.8337234654432</v>
      </c>
      <c r="BF21" s="295">
        <v>1.602751886373724</v>
      </c>
      <c r="BG21" s="295">
        <v>483.00584529366915</v>
      </c>
      <c r="BH21" s="295">
        <v>1.5727944372012168</v>
      </c>
      <c r="BI21" s="295">
        <v>484.07592193790879</v>
      </c>
      <c r="BJ21" s="295">
        <v>1.4950041631973356</v>
      </c>
      <c r="BK21" s="295">
        <v>480.33065368307007</v>
      </c>
      <c r="BL21" s="295">
        <v>1.5144720750101917</v>
      </c>
      <c r="BM21" s="295">
        <v>496.91684166878451</v>
      </c>
      <c r="BN21" s="295">
        <v>1.4749901536037811</v>
      </c>
      <c r="BO21" s="295">
        <v>500.9296290846832</v>
      </c>
      <c r="BP21" s="295">
        <v>1.4521216672925272</v>
      </c>
      <c r="BQ21" s="295">
        <v>517.24829790933779</v>
      </c>
      <c r="BR21" s="295">
        <v>1.3902698863636365</v>
      </c>
      <c r="BS21" s="295">
        <v>523.6687577747756</v>
      </c>
      <c r="BT21" s="295">
        <v>1.3543171654626762</v>
      </c>
      <c r="BU21" s="295">
        <v>526.61146854643459</v>
      </c>
      <c r="BV21" s="295">
        <v>1.3306719893546242</v>
      </c>
      <c r="BW21" s="295">
        <v>535.03832211982183</v>
      </c>
      <c r="BX21" s="295">
        <v>1.3162197514715501</v>
      </c>
      <c r="BY21" s="295">
        <v>538.3823116330708</v>
      </c>
      <c r="BZ21" s="295">
        <v>1.2901390644753477</v>
      </c>
      <c r="CA21" s="295">
        <v>546.00660772327819</v>
      </c>
      <c r="CB21" s="295">
        <v>1.2557436517533254</v>
      </c>
      <c r="CC21" s="295">
        <v>555.63729752143502</v>
      </c>
      <c r="CD21" s="295">
        <v>1.2435555555555555</v>
      </c>
      <c r="CE21" s="295">
        <v>561.38895948422305</v>
      </c>
      <c r="CF21" s="295">
        <v>1.2514204545454546</v>
      </c>
      <c r="CG21" s="295">
        <v>589.21095223445377</v>
      </c>
      <c r="CH21" s="295">
        <v>1.2492384381057879</v>
      </c>
      <c r="CI21" s="295">
        <v>603.38946777062915</v>
      </c>
      <c r="CJ21" s="295">
        <v>1.2893064382426085</v>
      </c>
      <c r="CK21" s="295">
        <v>624.12220275277218</v>
      </c>
      <c r="CL21" s="295">
        <v>1.3130047340573656</v>
      </c>
      <c r="CM21" s="295">
        <v>630.67642219874006</v>
      </c>
      <c r="CN21" s="295">
        <v>1.2917900403768505</v>
      </c>
      <c r="CO21" s="295">
        <v>641.91222696325622</v>
      </c>
      <c r="CP21" s="295">
        <v>1.3420560747663552</v>
      </c>
      <c r="CQ21" s="295">
        <v>672.27565174355618</v>
      </c>
      <c r="CR21" s="295">
        <v>1.3408326868373417</v>
      </c>
      <c r="CS21" s="295">
        <v>693.54342504781903</v>
      </c>
      <c r="CT21" s="295">
        <v>1.3897828863346104</v>
      </c>
      <c r="CU21" s="295">
        <v>727.78587766348755</v>
      </c>
      <c r="CV21" s="295">
        <v>1.4820929641859284</v>
      </c>
      <c r="CW21" s="295">
        <v>780.48715239229011</v>
      </c>
      <c r="CX21" s="295">
        <v>1.5275000000000001</v>
      </c>
      <c r="CY21" s="168">
        <v>817.27103703802777</v>
      </c>
      <c r="CZ21" s="295">
        <v>1.5480745341614908</v>
      </c>
      <c r="DA21" s="168">
        <v>833.45594628215247</v>
      </c>
      <c r="DB21" s="295">
        <v>1.5509554140127388</v>
      </c>
      <c r="DC21" s="168">
        <v>846.83190433514801</v>
      </c>
      <c r="DD21" s="295">
        <v>1.5288878189696677</v>
      </c>
      <c r="DE21" s="168">
        <v>849.5070959457471</v>
      </c>
      <c r="DF21" s="295">
        <v>1.5813676435549202</v>
      </c>
      <c r="DG21" s="168">
        <v>887.76233597731425</v>
      </c>
      <c r="DH21" s="295">
        <v>1.5459704880817253</v>
      </c>
      <c r="DI21" s="168">
        <v>910.9027434089968</v>
      </c>
      <c r="DJ21" s="295">
        <v>1.555530924407005</v>
      </c>
      <c r="DK21" s="168">
        <v>938.59097657869745</v>
      </c>
      <c r="DL21" s="295">
        <v>1.534076296613802</v>
      </c>
      <c r="DM21" s="168">
        <v>957.45107743342112</v>
      </c>
      <c r="DN21" s="295">
        <v>1.5217391304347827</v>
      </c>
      <c r="DO21" s="168">
        <v>959.72499030243034</v>
      </c>
      <c r="DP21" s="295">
        <v>1.535111481558658</v>
      </c>
      <c r="DQ21" s="168">
        <v>985.40682976418179</v>
      </c>
      <c r="DR21" s="295">
        <v>1.4757262236370872</v>
      </c>
      <c r="DS21" s="168">
        <v>992.09480879067974</v>
      </c>
      <c r="DT21" s="295">
        <v>1.4223722275795565</v>
      </c>
      <c r="DU21" s="168">
        <v>986.47690640842143</v>
      </c>
      <c r="DV21" s="295">
        <v>1.3249402683330269</v>
      </c>
      <c r="DW21" s="168">
        <v>964.27281604044902</v>
      </c>
      <c r="DX21" s="295">
        <v>1.1931448157669238</v>
      </c>
      <c r="DY21" s="168">
        <v>931.23419964954985</v>
      </c>
      <c r="DZ21" s="295">
        <v>1.1018003273322423</v>
      </c>
      <c r="EA21" s="168">
        <v>900.46949612766002</v>
      </c>
      <c r="EB21" s="295">
        <v>1.0659605199807414</v>
      </c>
      <c r="EC21" s="168">
        <v>888.43113387996414</v>
      </c>
      <c r="ED21" s="295">
        <v>1.0434370557573842</v>
      </c>
      <c r="EE21" s="168">
        <v>883.61578898088578</v>
      </c>
    </row>
    <row r="22" spans="1:135" ht="16.5" thickBot="1" x14ac:dyDescent="0.3">
      <c r="A22" s="461" t="s">
        <v>34</v>
      </c>
      <c r="B22" s="295">
        <v>1.055596196049744</v>
      </c>
      <c r="C22" s="295">
        <v>101.30602633956684</v>
      </c>
      <c r="D22" s="295">
        <v>0.98732394366197185</v>
      </c>
      <c r="E22" s="295">
        <v>98.427615334769726</v>
      </c>
      <c r="F22" s="295">
        <v>0.99377162629757787</v>
      </c>
      <c r="G22" s="295">
        <v>100.81459031435757</v>
      </c>
      <c r="H22" s="295">
        <v>0.95841716968477531</v>
      </c>
      <c r="I22" s="295">
        <v>100.32315428914831</v>
      </c>
      <c r="J22" s="295">
        <v>1.0341823056300268</v>
      </c>
      <c r="K22" s="295">
        <v>108.32654098541347</v>
      </c>
      <c r="L22" s="295">
        <v>1.1722419928825623</v>
      </c>
      <c r="M22" s="295">
        <v>115.62787621709398</v>
      </c>
      <c r="N22" s="295">
        <v>1.3500749625187407</v>
      </c>
      <c r="O22" s="295">
        <v>126.43946877169779</v>
      </c>
      <c r="P22" s="295">
        <v>1.3956204379562043</v>
      </c>
      <c r="Q22" s="295">
        <v>134.23224002858754</v>
      </c>
      <c r="R22" s="295">
        <v>1.5255255255255256</v>
      </c>
      <c r="S22" s="295">
        <v>142.6568576036035</v>
      </c>
      <c r="T22" s="295">
        <v>1.5055514433752775</v>
      </c>
      <c r="U22" s="295">
        <v>142.79726789652042</v>
      </c>
      <c r="V22" s="295">
        <v>1.3832752613240418</v>
      </c>
      <c r="W22" s="295">
        <v>139.35721572005559</v>
      </c>
      <c r="X22" s="295">
        <v>1.5367435158501441</v>
      </c>
      <c r="Y22" s="295">
        <v>149.74757739590859</v>
      </c>
      <c r="Z22" s="295">
        <v>1.5803949224259521</v>
      </c>
      <c r="AA22" s="295">
        <v>157.32973321342294</v>
      </c>
      <c r="AB22" s="295">
        <v>1.6337047353760445</v>
      </c>
      <c r="AC22" s="295">
        <v>164.70127359156191</v>
      </c>
      <c r="AD22" s="295">
        <v>1.7733887733887734</v>
      </c>
      <c r="AE22" s="295">
        <v>179.65496978721521</v>
      </c>
      <c r="AF22" s="295">
        <v>1.8445078459343796</v>
      </c>
      <c r="AG22" s="295">
        <v>181.5505087415938</v>
      </c>
      <c r="AH22" s="295">
        <v>1.7945682451253482</v>
      </c>
      <c r="AI22" s="295">
        <v>180.91866242346759</v>
      </c>
      <c r="AJ22" s="295">
        <v>1.8383484954513647</v>
      </c>
      <c r="AK22" s="295">
        <v>184.42891974639093</v>
      </c>
      <c r="AL22" s="295">
        <v>1.7128969539857422</v>
      </c>
      <c r="AM22" s="295">
        <v>185.55220208972639</v>
      </c>
      <c r="AN22" s="295">
        <v>1.6387370977534912</v>
      </c>
      <c r="AO22" s="295">
        <v>189.48369029140051</v>
      </c>
      <c r="AP22" s="295">
        <v>1.5197112715158245</v>
      </c>
      <c r="AQ22" s="295">
        <v>192.15148585682221</v>
      </c>
      <c r="AR22" s="295">
        <v>1.4325313807531381</v>
      </c>
      <c r="AS22" s="295">
        <v>192.29189614973916</v>
      </c>
      <c r="AT22" s="295">
        <v>1.3085629921259843</v>
      </c>
      <c r="AU22" s="295">
        <v>186.67548443306185</v>
      </c>
      <c r="AV22" s="295">
        <v>1.3067846607669618</v>
      </c>
      <c r="AW22" s="295">
        <v>186.60527928660338</v>
      </c>
      <c r="AX22" s="295">
        <v>1.3687657430730478</v>
      </c>
      <c r="AY22" s="295">
        <v>190.74738292765289</v>
      </c>
      <c r="AZ22" s="295">
        <v>1.2662916080637601</v>
      </c>
      <c r="BA22" s="295">
        <v>189.62410058431743</v>
      </c>
      <c r="BB22" s="295">
        <v>1.1834002677376172</v>
      </c>
      <c r="BC22" s="295">
        <v>186.18404840785257</v>
      </c>
      <c r="BD22" s="295">
        <v>1.129156010230179</v>
      </c>
      <c r="BE22" s="295">
        <v>185.9734329684772</v>
      </c>
      <c r="BF22" s="295">
        <v>1.0293083235638922</v>
      </c>
      <c r="BG22" s="295">
        <v>184.92035577160019</v>
      </c>
      <c r="BH22" s="295">
        <v>1.0290023201856149</v>
      </c>
      <c r="BI22" s="295">
        <v>186.81589472597878</v>
      </c>
      <c r="BJ22" s="295">
        <v>1.020954598370198</v>
      </c>
      <c r="BK22" s="295">
        <v>184.70974033222481</v>
      </c>
      <c r="BL22" s="295">
        <v>1.0106585458698134</v>
      </c>
      <c r="BM22" s="295">
        <v>186.39466384722797</v>
      </c>
      <c r="BN22" s="295">
        <v>0.98562239878925462</v>
      </c>
      <c r="BO22" s="295">
        <v>182.88440652430467</v>
      </c>
      <c r="BP22" s="295">
        <v>0.98740274175620601</v>
      </c>
      <c r="BQ22" s="295">
        <v>187.09671531181266</v>
      </c>
      <c r="BR22" s="295">
        <v>0.9736938253562295</v>
      </c>
      <c r="BS22" s="295">
        <v>187.09671531181266</v>
      </c>
      <c r="BT22" s="295">
        <v>0.98064987221613731</v>
      </c>
      <c r="BU22" s="295">
        <v>188.57102338744042</v>
      </c>
      <c r="BV22" s="295">
        <v>1.0251974426476118</v>
      </c>
      <c r="BW22" s="295">
        <v>191.3792292457791</v>
      </c>
      <c r="BX22" s="295">
        <v>1.0474040632054176</v>
      </c>
      <c r="BY22" s="295">
        <v>195.45112774037014</v>
      </c>
      <c r="BZ22" s="295">
        <v>1.0710342289289658</v>
      </c>
      <c r="CA22" s="295">
        <v>204.2969761941369</v>
      </c>
      <c r="CB22" s="295">
        <v>1.1166234727878563</v>
      </c>
      <c r="CC22" s="295">
        <v>211.73872171873433</v>
      </c>
      <c r="CD22" s="295">
        <v>1.1892911010558069</v>
      </c>
      <c r="CE22" s="295">
        <v>221.42703193000264</v>
      </c>
      <c r="CF22" s="295">
        <v>1.189127972819932</v>
      </c>
      <c r="CG22" s="295">
        <v>221.14621134416879</v>
      </c>
      <c r="CH22" s="295">
        <v>1.2403189066059226</v>
      </c>
      <c r="CI22" s="295">
        <v>229.36021347980932</v>
      </c>
      <c r="CJ22" s="295">
        <v>1.296880871852687</v>
      </c>
      <c r="CK22" s="295">
        <v>242.27796042816715</v>
      </c>
      <c r="CL22" s="295">
        <v>1.3333333333333333</v>
      </c>
      <c r="CM22" s="295">
        <v>246.27965377629971</v>
      </c>
      <c r="CN22" s="295">
        <v>1.3559322033898304</v>
      </c>
      <c r="CO22" s="295">
        <v>252.73852725047863</v>
      </c>
      <c r="CP22" s="295">
        <v>1.4994241842610365</v>
      </c>
      <c r="CQ22" s="295">
        <v>274.22130206676928</v>
      </c>
      <c r="CR22" s="295">
        <v>1.5242026266416511</v>
      </c>
      <c r="CS22" s="295">
        <v>285.17330491429004</v>
      </c>
      <c r="CT22" s="295">
        <v>1.6645403377110695</v>
      </c>
      <c r="CU22" s="295">
        <v>311.4300296897564</v>
      </c>
      <c r="CV22" s="295">
        <v>1.7289650037230082</v>
      </c>
      <c r="CW22" s="295">
        <v>326.03270015311745</v>
      </c>
      <c r="CX22" s="295">
        <v>1.8580337490829053</v>
      </c>
      <c r="CY22" s="168">
        <v>355.5890668121317</v>
      </c>
      <c r="CZ22" s="295">
        <v>1.9022988505747127</v>
      </c>
      <c r="DA22" s="168">
        <v>371.80645564403744</v>
      </c>
      <c r="DB22" s="295">
        <v>1.8446735395189005</v>
      </c>
      <c r="DC22" s="168">
        <v>376.86122618904699</v>
      </c>
      <c r="DD22" s="295">
        <v>1.8156498673740054</v>
      </c>
      <c r="DE22" s="168">
        <v>384.44338200656136</v>
      </c>
      <c r="DF22" s="295">
        <v>1.7428662016487</v>
      </c>
      <c r="DG22" s="168">
        <v>385.91769008218915</v>
      </c>
      <c r="DH22" s="295">
        <v>1.8574603174603175</v>
      </c>
      <c r="DI22" s="168">
        <v>410.77031192848625</v>
      </c>
      <c r="DJ22" s="295">
        <v>1.8686868686868687</v>
      </c>
      <c r="DK22" s="168">
        <v>428.60241912893667</v>
      </c>
      <c r="DL22" s="295">
        <v>1.8258475804114749</v>
      </c>
      <c r="DM22" s="168">
        <v>442.36262783479611</v>
      </c>
      <c r="DN22" s="295">
        <v>1.8511972633979477</v>
      </c>
      <c r="DO22" s="168">
        <v>455.91222110128007</v>
      </c>
      <c r="DP22" s="295">
        <v>1.8536111111111111</v>
      </c>
      <c r="DQ22" s="168">
        <v>468.47894231734557</v>
      </c>
      <c r="DR22" s="295">
        <v>1.749615975422427</v>
      </c>
      <c r="DS22" s="168">
        <v>479.78197089715854</v>
      </c>
      <c r="DT22" s="295">
        <v>1.7451994091580503</v>
      </c>
      <c r="DU22" s="168">
        <v>497.6842832440675</v>
      </c>
      <c r="DV22" s="295">
        <v>1.5994138863841298</v>
      </c>
      <c r="DW22" s="168">
        <v>498.10551412281825</v>
      </c>
      <c r="DX22" s="295">
        <v>1.5652454780361758</v>
      </c>
      <c r="DY22" s="168">
        <v>510.32120960659142</v>
      </c>
      <c r="DZ22" s="295">
        <v>1.4420533070088846</v>
      </c>
      <c r="EA22" s="168">
        <v>512.77838973263772</v>
      </c>
      <c r="EB22" s="295">
        <v>1.3933157099697886</v>
      </c>
      <c r="EC22" s="168">
        <v>518.04377571702275</v>
      </c>
      <c r="ED22" s="295">
        <v>1.3733233979135619</v>
      </c>
      <c r="EE22" s="168">
        <v>517.55233969181347</v>
      </c>
    </row>
    <row r="23" spans="1:135" ht="16.5" thickBot="1" x14ac:dyDescent="0.3">
      <c r="A23" s="461" t="s">
        <v>35</v>
      </c>
      <c r="B23" s="295">
        <v>1.5525965379494009</v>
      </c>
      <c r="C23" s="295">
        <v>149.25430450182216</v>
      </c>
      <c r="D23" s="295">
        <v>1.4472681067344346</v>
      </c>
      <c r="E23" s="295">
        <v>145.79815851421563</v>
      </c>
      <c r="F23" s="295">
        <v>1.4878361075544173</v>
      </c>
      <c r="G23" s="295">
        <v>148.7422828740286</v>
      </c>
      <c r="H23" s="295">
        <v>1.5789473684210527</v>
      </c>
      <c r="I23" s="295">
        <v>157.44665054651909</v>
      </c>
      <c r="J23" s="295">
        <v>1.721189591078067</v>
      </c>
      <c r="K23" s="295">
        <v>177.79951025131302</v>
      </c>
      <c r="L23" s="295">
        <v>2.0775193798449614</v>
      </c>
      <c r="M23" s="295">
        <v>205.83269437301033</v>
      </c>
      <c r="N23" s="295">
        <v>2.291563275434243</v>
      </c>
      <c r="O23" s="295">
        <v>236.42598663367542</v>
      </c>
      <c r="P23" s="295">
        <v>2.0974808324205916</v>
      </c>
      <c r="Q23" s="295">
        <v>245.13035430616588</v>
      </c>
      <c r="R23" s="295">
        <v>2.0695931477516059</v>
      </c>
      <c r="S23" s="295">
        <v>247.4344516312369</v>
      </c>
      <c r="T23" s="295">
        <v>2.0567226890756301</v>
      </c>
      <c r="U23" s="295">
        <v>250.63458680494665</v>
      </c>
      <c r="V23" s="295">
        <v>1.8952929875120077</v>
      </c>
      <c r="W23" s="295">
        <v>252.55466790917248</v>
      </c>
      <c r="X23" s="295">
        <v>1.9584086799276672</v>
      </c>
      <c r="Y23" s="295">
        <v>277.25971145021163</v>
      </c>
      <c r="Z23" s="295">
        <v>1.8331957060280759</v>
      </c>
      <c r="AA23" s="295">
        <v>284.17200342542469</v>
      </c>
      <c r="AB23" s="295">
        <v>1.9753086419753085</v>
      </c>
      <c r="AC23" s="295">
        <v>307.21297667613476</v>
      </c>
      <c r="AD23" s="295">
        <v>2.2221269296740993</v>
      </c>
      <c r="AE23" s="295">
        <v>331.66200940327718</v>
      </c>
      <c r="AF23" s="295">
        <v>2.3239683933274802</v>
      </c>
      <c r="AG23" s="295">
        <v>338.830312192387</v>
      </c>
      <c r="AH23" s="295">
        <v>2.3072289156626504</v>
      </c>
      <c r="AI23" s="295">
        <v>343.18249602863227</v>
      </c>
      <c r="AJ23" s="295">
        <v>2.2406504065040651</v>
      </c>
      <c r="AK23" s="295">
        <v>352.78290154976145</v>
      </c>
      <c r="AL23" s="295">
        <v>2.0266378689704823</v>
      </c>
      <c r="AM23" s="295">
        <v>360.33522055971645</v>
      </c>
      <c r="AN23" s="295">
        <v>1.8022388059701493</v>
      </c>
      <c r="AO23" s="295">
        <v>370.95966933643274</v>
      </c>
      <c r="AP23" s="295">
        <v>1.5776935571196535</v>
      </c>
      <c r="AQ23" s="295">
        <v>373.00775584760703</v>
      </c>
      <c r="AR23" s="295">
        <v>1.5953002610966058</v>
      </c>
      <c r="AS23" s="295">
        <v>391.05651822732995</v>
      </c>
      <c r="AT23" s="295">
        <v>1.6466632177961718</v>
      </c>
      <c r="AU23" s="295">
        <v>407.44121031672381</v>
      </c>
      <c r="AV23" s="295">
        <v>1.6317671092951991</v>
      </c>
      <c r="AW23" s="295">
        <v>408.97727520010443</v>
      </c>
      <c r="AX23" s="295">
        <v>1.6517992904206791</v>
      </c>
      <c r="AY23" s="295">
        <v>417.16962124480142</v>
      </c>
      <c r="AZ23" s="295">
        <v>1.5650969529085872</v>
      </c>
      <c r="BA23" s="295">
        <v>433.93832955504041</v>
      </c>
      <c r="BB23" s="295">
        <v>1.5621621621621622</v>
      </c>
      <c r="BC23" s="295">
        <v>443.92275129701477</v>
      </c>
      <c r="BD23" s="295">
        <v>1.4720833333333334</v>
      </c>
      <c r="BE23" s="295">
        <v>452.24310274866008</v>
      </c>
      <c r="BF23" s="295">
        <v>1.3882670783481281</v>
      </c>
      <c r="BG23" s="295">
        <v>460.43544879335701</v>
      </c>
      <c r="BH23" s="295">
        <v>1.3747638836418588</v>
      </c>
      <c r="BI23" s="295">
        <v>465.8116758851894</v>
      </c>
      <c r="BJ23" s="295">
        <v>1.3528534129056322</v>
      </c>
      <c r="BK23" s="295">
        <v>464.27561100180873</v>
      </c>
      <c r="BL23" s="295">
        <v>1.3338171262699565</v>
      </c>
      <c r="BM23" s="295">
        <v>470.5478759422798</v>
      </c>
      <c r="BN23" s="295">
        <v>1.3463587921847247</v>
      </c>
      <c r="BO23" s="295">
        <v>485.14049233439624</v>
      </c>
      <c r="BP23" s="295">
        <v>1.3881987577639752</v>
      </c>
      <c r="BQ23" s="295">
        <v>514.965752153371</v>
      </c>
      <c r="BR23" s="295">
        <v>1.4094028826355525</v>
      </c>
      <c r="BS23" s="295">
        <v>525.71820633703567</v>
      </c>
      <c r="BT23" s="295">
        <v>1.3813420621931261</v>
      </c>
      <c r="BU23" s="295">
        <v>540.18281732220362</v>
      </c>
      <c r="BV23" s="295">
        <v>1.3524976437323279</v>
      </c>
      <c r="BW23" s="295">
        <v>551.06327691281683</v>
      </c>
      <c r="BX23" s="295">
        <v>1.3355242566510173</v>
      </c>
      <c r="BY23" s="295">
        <v>546.199071448778</v>
      </c>
      <c r="BZ23" s="295">
        <v>1.328014728444308</v>
      </c>
      <c r="CA23" s="295">
        <v>554.00740127262975</v>
      </c>
      <c r="CB23" s="295">
        <v>1.2764011799410029</v>
      </c>
      <c r="CC23" s="295">
        <v>553.87939586568143</v>
      </c>
      <c r="CD23" s="295">
        <v>1.2946943483275664</v>
      </c>
      <c r="CE23" s="295">
        <v>574.74427719826883</v>
      </c>
      <c r="CF23" s="295">
        <v>1.3365411831304841</v>
      </c>
      <c r="CG23" s="295">
        <v>604.44153161029521</v>
      </c>
      <c r="CH23" s="295">
        <v>1.4033917153183209</v>
      </c>
      <c r="CI23" s="295">
        <v>646.17129427547025</v>
      </c>
      <c r="CJ23" s="295">
        <v>1.4344600164880461</v>
      </c>
      <c r="CK23" s="295">
        <v>668.1882242705932</v>
      </c>
      <c r="CL23" s="295">
        <v>1.4998621450234353</v>
      </c>
      <c r="CM23" s="295">
        <v>696.34941379923885</v>
      </c>
      <c r="CN23" s="295">
        <v>1.559847660500544</v>
      </c>
      <c r="CO23" s="295">
        <v>733.98300344206541</v>
      </c>
      <c r="CP23" s="295">
        <v>1.5949868073878628</v>
      </c>
      <c r="CQ23" s="295">
        <v>773.79268500301453</v>
      </c>
      <c r="CR23" s="295">
        <v>1.5237385036042754</v>
      </c>
      <c r="CS23" s="295">
        <v>784.67314459362763</v>
      </c>
      <c r="CT23" s="295">
        <v>1.5519844168492818</v>
      </c>
      <c r="CU23" s="295">
        <v>815.90646388903474</v>
      </c>
      <c r="CV23" s="295">
        <v>1.5627962085308056</v>
      </c>
      <c r="CW23" s="295">
        <v>844.19565882462871</v>
      </c>
      <c r="CX23" s="295">
        <v>1.5544715447154471</v>
      </c>
      <c r="CY23" s="168">
        <v>856.61218329862243</v>
      </c>
      <c r="CZ23" s="295">
        <v>1.61237403327865</v>
      </c>
      <c r="DA23" s="168">
        <v>880.67719980491972</v>
      </c>
      <c r="DB23" s="295">
        <v>1.5815619223659889</v>
      </c>
      <c r="DC23" s="168">
        <v>876.19701056172607</v>
      </c>
      <c r="DD23" s="295">
        <v>1.5264617517910792</v>
      </c>
      <c r="DE23" s="168">
        <v>845.47571289411269</v>
      </c>
      <c r="DF23" s="295">
        <v>1.501336302895323</v>
      </c>
      <c r="DG23" s="168">
        <v>862.88444823909367</v>
      </c>
      <c r="DH23" s="295">
        <v>1.4661160525201187</v>
      </c>
      <c r="DI23" s="168">
        <v>886.18143230370038</v>
      </c>
      <c r="DJ23" s="295">
        <v>1.43026941362916</v>
      </c>
      <c r="DK23" s="168">
        <v>924.19903816737224</v>
      </c>
      <c r="DL23" s="295">
        <v>1.4172413793103449</v>
      </c>
      <c r="DM23" s="168">
        <v>946.98400060418544</v>
      </c>
      <c r="DN23" s="295">
        <v>1.3573529411764707</v>
      </c>
      <c r="DO23" s="168">
        <v>945.19192490690807</v>
      </c>
      <c r="DP23" s="295">
        <v>1.2610742936867807</v>
      </c>
      <c r="DQ23" s="168">
        <v>925.60709764380454</v>
      </c>
      <c r="DR23" s="295">
        <v>1.1765095119933831</v>
      </c>
      <c r="DS23" s="168">
        <v>910.37445421694611</v>
      </c>
      <c r="DT23" s="295">
        <v>1.166394779771615</v>
      </c>
      <c r="DU23" s="168">
        <v>915.23865968098505</v>
      </c>
      <c r="DV23" s="295">
        <v>1.0996234703482899</v>
      </c>
      <c r="DW23" s="168">
        <v>897.18989730126214</v>
      </c>
      <c r="DX23" s="295">
        <v>1.0186504927975739</v>
      </c>
      <c r="DY23" s="168">
        <v>859.94032387928064</v>
      </c>
      <c r="DZ23" s="295">
        <v>0.98221757322175729</v>
      </c>
      <c r="EA23" s="168">
        <v>841.37953987176422</v>
      </c>
      <c r="EB23" s="295">
        <v>0.94462209302325584</v>
      </c>
      <c r="EC23" s="168">
        <v>831.90713975758342</v>
      </c>
      <c r="ED23" s="295">
        <v>0.97983929875821763</v>
      </c>
      <c r="EE23" s="168">
        <v>858.53226440284845</v>
      </c>
    </row>
    <row r="24" spans="1:135" ht="16.5" thickBot="1" x14ac:dyDescent="0.3">
      <c r="A24" s="461" t="s">
        <v>36</v>
      </c>
      <c r="B24" s="295">
        <v>2.1853333333333333</v>
      </c>
      <c r="C24" s="295">
        <v>322.42961237626099</v>
      </c>
      <c r="D24" s="295">
        <v>2.508</v>
      </c>
      <c r="E24" s="295">
        <v>370.03666923718544</v>
      </c>
      <c r="F24" s="295">
        <v>2.7546666666666666</v>
      </c>
      <c r="G24" s="295">
        <v>406.43049369698304</v>
      </c>
      <c r="H24" s="295">
        <v>3.1216577540106951</v>
      </c>
      <c r="I24" s="295">
        <v>459.34908169528342</v>
      </c>
      <c r="J24" s="295">
        <v>3.6823687752355316</v>
      </c>
      <c r="K24" s="295">
        <v>538.23515525408789</v>
      </c>
      <c r="L24" s="295">
        <v>4.1522911051212938</v>
      </c>
      <c r="M24" s="295">
        <v>606.10471978722398</v>
      </c>
      <c r="N24" s="295">
        <v>13.063197026022305</v>
      </c>
      <c r="O24" s="295">
        <v>691.28594136069626</v>
      </c>
      <c r="P24" s="295">
        <v>6.4716636197440582</v>
      </c>
      <c r="Q24" s="295">
        <v>696.40074912261377</v>
      </c>
      <c r="R24" s="295">
        <v>6.1079365079365076</v>
      </c>
      <c r="S24" s="295">
        <v>756.99154876379032</v>
      </c>
      <c r="T24" s="295">
        <v>4.8243080625752102</v>
      </c>
      <c r="U24" s="295">
        <v>788.66401221258718</v>
      </c>
      <c r="V24" s="295">
        <v>4.2840352595494613</v>
      </c>
      <c r="W24" s="295">
        <v>860.46804425489051</v>
      </c>
      <c r="X24" s="295">
        <v>4.4722222222222223</v>
      </c>
      <c r="Y24" s="295">
        <v>950.17390346390528</v>
      </c>
      <c r="Z24" s="295">
        <v>3.9976544175136826</v>
      </c>
      <c r="AA24" s="295">
        <v>1005.8466187186227</v>
      </c>
      <c r="AB24" s="295">
        <v>3.5029742233972239</v>
      </c>
      <c r="AC24" s="295">
        <v>1042.6338899293369</v>
      </c>
      <c r="AD24" s="295">
        <v>3.6101281269066505</v>
      </c>
      <c r="AE24" s="295">
        <v>1164.0122125871485</v>
      </c>
      <c r="AF24" s="295">
        <v>3.2908027644869748</v>
      </c>
      <c r="AG24" s="295">
        <v>1217.7176940872821</v>
      </c>
      <c r="AH24" s="295">
        <v>3.1413359148112296</v>
      </c>
      <c r="AI24" s="295">
        <v>1276.734706724792</v>
      </c>
      <c r="AJ24" s="295">
        <v>2.8539614561027835</v>
      </c>
      <c r="AK24" s="295">
        <v>1310.9645740545475</v>
      </c>
      <c r="AL24" s="295">
        <v>2.5186403508771931</v>
      </c>
      <c r="AM24" s="295">
        <v>1355.6207802835963</v>
      </c>
      <c r="AN24" s="295">
        <v>2.3537812398571893</v>
      </c>
      <c r="AO24" s="295">
        <v>1426.6379188240664</v>
      </c>
      <c r="AP24" s="295">
        <v>2.1377347751849745</v>
      </c>
      <c r="AQ24" s="295">
        <v>1477.7859964432414</v>
      </c>
      <c r="AR24" s="295">
        <v>2.2002824858757064</v>
      </c>
      <c r="AS24" s="295">
        <v>1532.2783714452084</v>
      </c>
      <c r="AT24" s="295">
        <v>2.1226611226611225</v>
      </c>
      <c r="AU24" s="295">
        <v>1606.836530743929</v>
      </c>
      <c r="AV24" s="295">
        <v>2.0980294337740086</v>
      </c>
      <c r="AW24" s="295">
        <v>1654.6403109803118</v>
      </c>
      <c r="AX24" s="295">
        <v>1.9058070416095108</v>
      </c>
      <c r="AY24" s="295">
        <v>1639.8860578209346</v>
      </c>
      <c r="AZ24" s="295">
        <v>1.7443064182194616</v>
      </c>
      <c r="BA24" s="295">
        <v>1657.394438236729</v>
      </c>
      <c r="BB24" s="295">
        <v>1.6632114218658323</v>
      </c>
      <c r="BC24" s="295">
        <v>1672.9355848979399</v>
      </c>
      <c r="BD24" s="295">
        <v>1.6232075471698113</v>
      </c>
      <c r="BE24" s="295">
        <v>1692.411199068318</v>
      </c>
      <c r="BF24" s="295">
        <v>1.4140611796518505</v>
      </c>
      <c r="BG24" s="295">
        <v>1645.9844824601437</v>
      </c>
      <c r="BH24" s="295">
        <v>1.3534733441033926</v>
      </c>
      <c r="BI24" s="295">
        <v>1648.1484395901857</v>
      </c>
      <c r="BJ24" s="295">
        <v>1.2801232665639446</v>
      </c>
      <c r="BK24" s="295">
        <v>1634.3778033081003</v>
      </c>
      <c r="BL24" s="295">
        <v>1.243547418967587</v>
      </c>
      <c r="BM24" s="295">
        <v>1630.2466124234745</v>
      </c>
      <c r="BN24" s="295">
        <v>1.1800899724278044</v>
      </c>
      <c r="BO24" s="295">
        <v>1599.7544892274282</v>
      </c>
      <c r="BP24" s="295">
        <v>1.0643960286817429</v>
      </c>
      <c r="BQ24" s="295">
        <v>1518.507735163123</v>
      </c>
      <c r="BR24" s="295">
        <v>0.97377529286474973</v>
      </c>
      <c r="BS24" s="295">
        <v>1439.0314914779433</v>
      </c>
      <c r="BT24" s="295">
        <v>0.90460906406470665</v>
      </c>
      <c r="BU24" s="295">
        <v>1386.1129034796431</v>
      </c>
      <c r="BV24" s="295">
        <v>0.83202742409402541</v>
      </c>
      <c r="BW24" s="295">
        <v>1336.9320596150517</v>
      </c>
      <c r="BX24" s="295">
        <v>0.79419807395077879</v>
      </c>
      <c r="BY24" s="295">
        <v>1314.1121480618813</v>
      </c>
      <c r="BZ24" s="295">
        <v>0.79438579654510555</v>
      </c>
      <c r="CA24" s="295">
        <v>1302.702192285296</v>
      </c>
      <c r="CB24" s="295">
        <v>0.77649851632047473</v>
      </c>
      <c r="CC24" s="295">
        <v>1286.964322248627</v>
      </c>
      <c r="CD24" s="295">
        <v>0.75399811853245535</v>
      </c>
      <c r="CE24" s="295">
        <v>1261.3902834390394</v>
      </c>
      <c r="CF24" s="295">
        <v>0.75171451819132862</v>
      </c>
      <c r="CG24" s="295">
        <v>1272.2100690892494</v>
      </c>
      <c r="CH24" s="295">
        <v>0.78713995458348274</v>
      </c>
      <c r="CI24" s="295">
        <v>1295.6201507687949</v>
      </c>
      <c r="CJ24" s="295">
        <v>0.77822869419909291</v>
      </c>
      <c r="CK24" s="295">
        <v>1282.6364079885427</v>
      </c>
      <c r="CL24" s="295">
        <v>0.76420317766008672</v>
      </c>
      <c r="CM24" s="295">
        <v>1248.9967107851623</v>
      </c>
      <c r="CN24" s="295">
        <v>0.75358996017859303</v>
      </c>
      <c r="CO24" s="295">
        <v>1228.5374797374923</v>
      </c>
      <c r="CP24" s="295">
        <v>0.74581898671913427</v>
      </c>
      <c r="CQ24" s="295">
        <v>1193.1272721549865</v>
      </c>
      <c r="CR24" s="295">
        <v>0.81552014509651505</v>
      </c>
      <c r="CS24" s="295">
        <v>1238.3736485104105</v>
      </c>
      <c r="CT24" s="295">
        <v>0.91032125768967875</v>
      </c>
      <c r="CU24" s="295">
        <v>1309.9809571772557</v>
      </c>
      <c r="CV24" s="295">
        <v>0.99191030371842182</v>
      </c>
      <c r="CW24" s="295">
        <v>1374.8996710785163</v>
      </c>
      <c r="CX24" s="295">
        <v>1.0388463802236609</v>
      </c>
      <c r="CY24" s="168">
        <v>1388.8670307360601</v>
      </c>
      <c r="CZ24" s="295">
        <v>1.0854790419161677</v>
      </c>
      <c r="DA24" s="168">
        <v>1426.4411954486079</v>
      </c>
      <c r="DB24" s="295">
        <v>1.1250377529447297</v>
      </c>
      <c r="DC24" s="168">
        <v>1465.5891471648226</v>
      </c>
      <c r="DD24" s="295">
        <v>1.1325282788138185</v>
      </c>
      <c r="DE24" s="168">
        <v>1457.5234887710296</v>
      </c>
      <c r="DF24" s="295">
        <v>1.1734248284466624</v>
      </c>
      <c r="DG24" s="168">
        <v>1480.1466769487417</v>
      </c>
      <c r="DH24" s="295">
        <v>1.1504561620535023</v>
      </c>
      <c r="DI24" s="168">
        <v>1463.6219134102391</v>
      </c>
      <c r="DJ24" s="295">
        <v>1.1292134831460674</v>
      </c>
      <c r="DK24" s="168">
        <v>1463.031743283864</v>
      </c>
      <c r="DL24" s="295">
        <v>1.1590490797546011</v>
      </c>
      <c r="DM24" s="168">
        <v>1486.6385483388678</v>
      </c>
      <c r="DN24" s="295">
        <v>1.2231847535044889</v>
      </c>
      <c r="DO24" s="168">
        <v>1527.7537338096663</v>
      </c>
      <c r="DP24" s="295">
        <v>1.2776621297037629</v>
      </c>
      <c r="DQ24" s="168">
        <v>1569.655812782298</v>
      </c>
      <c r="DR24" s="295">
        <v>1.3389942291838417</v>
      </c>
      <c r="DS24" s="168">
        <v>1597.5905320973861</v>
      </c>
      <c r="DT24" s="295">
        <v>1.2876886417791897</v>
      </c>
      <c r="DU24" s="168">
        <v>1594.6396814655106</v>
      </c>
      <c r="DV24" s="295">
        <v>1.2070881513740801</v>
      </c>
      <c r="DW24" s="168">
        <v>1581.2624919343414</v>
      </c>
      <c r="DX24" s="295">
        <v>1.1183288024037774</v>
      </c>
      <c r="DY24" s="168">
        <v>1537.5899025825845</v>
      </c>
      <c r="DZ24" s="295">
        <v>1.0858356940509915</v>
      </c>
      <c r="EA24" s="168">
        <v>1508.0813962638297</v>
      </c>
      <c r="EB24" s="295">
        <v>1.0231692180388912</v>
      </c>
      <c r="EC24" s="168">
        <v>1459.4907225256134</v>
      </c>
      <c r="ED24" s="295">
        <v>0.98912751677852351</v>
      </c>
      <c r="EE24" s="168">
        <v>1449.6545537526952</v>
      </c>
    </row>
    <row r="25" spans="1:135" ht="16.5" thickBot="1" x14ac:dyDescent="0.3">
      <c r="A25" s="461" t="s">
        <v>37</v>
      </c>
      <c r="B25" s="295">
        <v>1.1656050955414012</v>
      </c>
      <c r="C25" s="295">
        <v>450.37161811111901</v>
      </c>
      <c r="D25" s="295">
        <v>1.0228459530026111</v>
      </c>
      <c r="E25" s="295">
        <v>428.49564394664452</v>
      </c>
      <c r="F25" s="295">
        <v>1.0464963981663393</v>
      </c>
      <c r="G25" s="295">
        <v>436.9725839353784</v>
      </c>
      <c r="H25" s="295">
        <v>1.101894186806009</v>
      </c>
      <c r="I25" s="295">
        <v>461.30960519335628</v>
      </c>
      <c r="J25" s="295">
        <v>1.0922299431459255</v>
      </c>
      <c r="K25" s="295">
        <v>472.79449162970542</v>
      </c>
      <c r="L25" s="295">
        <v>1.1523687580025608</v>
      </c>
      <c r="M25" s="295">
        <v>492.20941870067651</v>
      </c>
      <c r="N25" s="295">
        <v>1.2428010471204189</v>
      </c>
      <c r="O25" s="295">
        <v>519.28093672921375</v>
      </c>
      <c r="P25" s="295">
        <v>1.3272727272727274</v>
      </c>
      <c r="Q25" s="295">
        <v>538.9693134772408</v>
      </c>
      <c r="R25" s="295">
        <v>1.3202614379084967</v>
      </c>
      <c r="S25" s="295">
        <v>552.36834765298147</v>
      </c>
      <c r="T25" s="295">
        <v>1.3008285532186106</v>
      </c>
      <c r="U25" s="295">
        <v>558.11079087115604</v>
      </c>
      <c r="V25" s="295">
        <v>1.1946955997588908</v>
      </c>
      <c r="W25" s="295">
        <v>541.97725992485607</v>
      </c>
      <c r="X25" s="295">
        <v>1.3092909535452322</v>
      </c>
      <c r="Y25" s="295">
        <v>585.72920825380504</v>
      </c>
      <c r="Z25" s="295">
        <v>1.2966252220248669</v>
      </c>
      <c r="AA25" s="295">
        <v>598.85479275248974</v>
      </c>
      <c r="AB25" s="295">
        <v>1.278164924506388</v>
      </c>
      <c r="AC25" s="295">
        <v>601.86273920010501</v>
      </c>
      <c r="AD25" s="295">
        <v>1.3964784456587735</v>
      </c>
      <c r="AE25" s="295">
        <v>628.9342572286422</v>
      </c>
      <c r="AF25" s="295">
        <v>1.5220165922144224</v>
      </c>
      <c r="AG25" s="295">
        <v>652.17747977839645</v>
      </c>
      <c r="AH25" s="295">
        <v>1.5450563204005006</v>
      </c>
      <c r="AI25" s="295">
        <v>675.14725265109462</v>
      </c>
      <c r="AJ25" s="295">
        <v>1.4724362774155306</v>
      </c>
      <c r="AK25" s="295">
        <v>679.24899780693363</v>
      </c>
      <c r="AL25" s="295">
        <v>1.4800462695199537</v>
      </c>
      <c r="AM25" s="295">
        <v>699.75772358612846</v>
      </c>
      <c r="AN25" s="295">
        <v>1.4433333333333334</v>
      </c>
      <c r="AO25" s="295">
        <v>710.42226099130983</v>
      </c>
      <c r="AP25" s="295">
        <v>1.3770405476566614</v>
      </c>
      <c r="AQ25" s="295">
        <v>715.07090550126065</v>
      </c>
      <c r="AR25" s="295">
        <v>1.3409436834094368</v>
      </c>
      <c r="AS25" s="295">
        <v>722.72749645882664</v>
      </c>
      <c r="AT25" s="295">
        <v>1.305940594059406</v>
      </c>
      <c r="AU25" s="295">
        <v>721.36024807354704</v>
      </c>
      <c r="AV25" s="295">
        <v>1.3008329250367467</v>
      </c>
      <c r="AW25" s="295">
        <v>726.00889258349787</v>
      </c>
      <c r="AX25" s="295">
        <v>1.3975782038345106</v>
      </c>
      <c r="AY25" s="295">
        <v>757.45560544493003</v>
      </c>
      <c r="AZ25" s="295">
        <v>1.2605042016806722</v>
      </c>
      <c r="BA25" s="295">
        <v>738.31412805101479</v>
      </c>
      <c r="BB25" s="295">
        <v>1.2173515981735159</v>
      </c>
      <c r="BC25" s="295">
        <v>729.01683903111314</v>
      </c>
      <c r="BD25" s="295">
        <v>1.230349840981372</v>
      </c>
      <c r="BE25" s="295">
        <v>740.50172546746228</v>
      </c>
      <c r="BF25" s="295">
        <v>1.2265217391304348</v>
      </c>
      <c r="BG25" s="295">
        <v>771.40153897478251</v>
      </c>
      <c r="BH25" s="295">
        <v>1.1740041928721174</v>
      </c>
      <c r="BI25" s="295">
        <v>765.65909575660794</v>
      </c>
      <c r="BJ25" s="295">
        <v>1.130417172944512</v>
      </c>
      <c r="BK25" s="295">
        <v>763.19804866310449</v>
      </c>
      <c r="BL25" s="295">
        <v>1.1030595813204509</v>
      </c>
      <c r="BM25" s="295">
        <v>749.252115133252</v>
      </c>
      <c r="BN25" s="295">
        <v>1.0664322000781554</v>
      </c>
      <c r="BO25" s="295">
        <v>746.24416868563685</v>
      </c>
      <c r="BP25" s="295">
        <v>1.0488837567359508</v>
      </c>
      <c r="BQ25" s="295">
        <v>745.15036997741311</v>
      </c>
      <c r="BR25" s="295">
        <v>1.0948374760994264</v>
      </c>
      <c r="BS25" s="295">
        <v>782.88642541113165</v>
      </c>
      <c r="BT25" s="295">
        <v>1.1021566401816119</v>
      </c>
      <c r="BU25" s="295">
        <v>796.55890926392817</v>
      </c>
      <c r="BV25" s="295">
        <v>1.1091736163760424</v>
      </c>
      <c r="BW25" s="295">
        <v>800.11375506565537</v>
      </c>
      <c r="BX25" s="295">
        <v>1.0960451977401129</v>
      </c>
      <c r="BY25" s="295">
        <v>795.73856023276039</v>
      </c>
      <c r="BZ25" s="295">
        <v>1.055595667870036</v>
      </c>
      <c r="CA25" s="295">
        <v>799.56685571154344</v>
      </c>
      <c r="CB25" s="295">
        <v>1.0992592592592592</v>
      </c>
      <c r="CC25" s="295">
        <v>811.59864150200428</v>
      </c>
      <c r="CD25" s="295">
        <v>1.1211552888222056</v>
      </c>
      <c r="CE25" s="295">
        <v>817.34108472017886</v>
      </c>
      <c r="CF25" s="295">
        <v>1.095642540620384</v>
      </c>
      <c r="CG25" s="295">
        <v>811.32519182494855</v>
      </c>
      <c r="CH25" s="295">
        <v>1.0521091811414391</v>
      </c>
      <c r="CI25" s="295">
        <v>811.59864150200428</v>
      </c>
      <c r="CJ25" s="295">
        <v>1.0814285714285714</v>
      </c>
      <c r="CK25" s="295">
        <v>828.00562212536033</v>
      </c>
      <c r="CL25" s="295">
        <v>1.1082049444643498</v>
      </c>
      <c r="CM25" s="295">
        <v>845.77985113399586</v>
      </c>
      <c r="CN25" s="295">
        <v>1.1525547445255475</v>
      </c>
      <c r="CO25" s="295">
        <v>863.55408014263128</v>
      </c>
      <c r="CP25" s="295">
        <v>1.2096005862953463</v>
      </c>
      <c r="CQ25" s="295">
        <v>902.65738396162965</v>
      </c>
      <c r="CR25" s="295">
        <v>1.2249541284403669</v>
      </c>
      <c r="CS25" s="295">
        <v>912.77502201269897</v>
      </c>
      <c r="CT25" s="295">
        <v>1.1781348236115963</v>
      </c>
      <c r="CU25" s="295">
        <v>922.3457607096567</v>
      </c>
      <c r="CV25" s="295">
        <v>1.1781668383110195</v>
      </c>
      <c r="CW25" s="295">
        <v>938.47929165595656</v>
      </c>
      <c r="CX25" s="295">
        <v>1.1701982228298018</v>
      </c>
      <c r="CY25" s="168">
        <v>936.29169423950918</v>
      </c>
      <c r="CZ25" s="295">
        <v>1.1797250859106529</v>
      </c>
      <c r="DA25" s="168">
        <v>938.75274133301252</v>
      </c>
      <c r="DB25" s="295">
        <v>1.1443228454172367</v>
      </c>
      <c r="DC25" s="168">
        <v>914.96261942914646</v>
      </c>
      <c r="DD25" s="295">
        <v>1.1037735849056605</v>
      </c>
      <c r="DE25" s="168">
        <v>895.82114203523122</v>
      </c>
      <c r="DF25" s="295">
        <v>1.1244563399130143</v>
      </c>
      <c r="DG25" s="168">
        <v>919.06436458498547</v>
      </c>
      <c r="DH25" s="295">
        <v>1.1277384563532187</v>
      </c>
      <c r="DI25" s="168">
        <v>914.96261942914646</v>
      </c>
      <c r="DJ25" s="295">
        <v>1.1101752021563343</v>
      </c>
      <c r="DK25" s="168">
        <v>901.01668589929398</v>
      </c>
      <c r="DL25" s="295">
        <v>1.0861955085865258</v>
      </c>
      <c r="DM25" s="168">
        <v>899.37598783695842</v>
      </c>
      <c r="DN25" s="295">
        <v>1.0290979631425801</v>
      </c>
      <c r="DO25" s="168">
        <v>870.39032206902971</v>
      </c>
      <c r="DP25" s="295">
        <v>1.0085497150094997</v>
      </c>
      <c r="DQ25" s="168">
        <v>870.93722142314152</v>
      </c>
      <c r="DR25" s="295">
        <v>0.92275068161163287</v>
      </c>
      <c r="DS25" s="168">
        <v>832.92771631236701</v>
      </c>
      <c r="DT25" s="295">
        <v>0.90473337327741166</v>
      </c>
      <c r="DU25" s="168">
        <v>825.81802470891296</v>
      </c>
      <c r="DV25" s="295">
        <v>0.83871924103172246</v>
      </c>
      <c r="DW25" s="168">
        <v>773.58913639123</v>
      </c>
      <c r="DX25" s="295">
        <v>0.7966200466200466</v>
      </c>
      <c r="DY25" s="168">
        <v>747.61141707091645</v>
      </c>
      <c r="DZ25" s="295">
        <v>0.80753504672897192</v>
      </c>
      <c r="EA25" s="168">
        <v>756.08835705965032</v>
      </c>
      <c r="EB25" s="295">
        <v>0.79085348092047769</v>
      </c>
      <c r="EC25" s="168">
        <v>742.41587320685369</v>
      </c>
      <c r="ED25" s="295">
        <v>0.80005977286312013</v>
      </c>
      <c r="EE25" s="168">
        <v>732.0247854787284</v>
      </c>
    </row>
    <row r="26" spans="1:135" ht="16.5" thickBot="1" x14ac:dyDescent="0.3">
      <c r="A26" s="461" t="s">
        <v>22</v>
      </c>
      <c r="B26" s="295">
        <v>1.3281733746130031</v>
      </c>
      <c r="C26" s="295">
        <v>230.48745934445532</v>
      </c>
      <c r="D26" s="295">
        <v>1.3292486294743631</v>
      </c>
      <c r="E26" s="295">
        <v>233.11723896892278</v>
      </c>
      <c r="F26" s="295">
        <v>1.3383204633204633</v>
      </c>
      <c r="G26" s="295">
        <v>235.23802898865461</v>
      </c>
      <c r="H26" s="295">
        <v>1.3713657079993713</v>
      </c>
      <c r="I26" s="295">
        <v>246.74684949573268</v>
      </c>
      <c r="J26" s="295">
        <v>1.439815526518063</v>
      </c>
      <c r="K26" s="295">
        <v>264.84425766411101</v>
      </c>
      <c r="L26" s="295">
        <v>1.5370088333840999</v>
      </c>
      <c r="M26" s="295">
        <v>285.37350505511512</v>
      </c>
      <c r="N26" s="295">
        <v>1.7218574108818012</v>
      </c>
      <c r="O26" s="295">
        <v>311.41680649742199</v>
      </c>
      <c r="P26" s="295">
        <v>1.790400972053463</v>
      </c>
      <c r="Q26" s="295">
        <v>333.33163670131751</v>
      </c>
      <c r="R26" s="295">
        <v>1.8071775261067804</v>
      </c>
      <c r="S26" s="295">
        <v>347.44195963259995</v>
      </c>
      <c r="T26" s="295">
        <v>1.8882069267864972</v>
      </c>
      <c r="U26" s="295">
        <v>365.36970459939971</v>
      </c>
      <c r="V26" s="295">
        <v>1.782897411573384</v>
      </c>
      <c r="W26" s="295">
        <v>372.01484666122616</v>
      </c>
      <c r="X26" s="295">
        <v>1.9566993464052287</v>
      </c>
      <c r="Y26" s="295">
        <v>406.34336778061868</v>
      </c>
      <c r="Z26" s="295">
        <v>1.9753521126760563</v>
      </c>
      <c r="AA26" s="295">
        <v>428.31475238504044</v>
      </c>
      <c r="AB26" s="295">
        <v>1.9669673330082886</v>
      </c>
      <c r="AC26" s="295">
        <v>456.30918064550059</v>
      </c>
      <c r="AD26" s="295">
        <v>2.1619433198380569</v>
      </c>
      <c r="AE26" s="295">
        <v>498.30082303619088</v>
      </c>
      <c r="AF26" s="295">
        <v>2.2523047064531783</v>
      </c>
      <c r="AG26" s="295">
        <v>525.05105448507504</v>
      </c>
      <c r="AH26" s="295">
        <v>2.3030412309171777</v>
      </c>
      <c r="AI26" s="295">
        <v>541.76287984056182</v>
      </c>
      <c r="AJ26" s="295">
        <v>2.2334402933761175</v>
      </c>
      <c r="AK26" s="295">
        <v>551.09435592738191</v>
      </c>
      <c r="AL26" s="295">
        <v>2.1713645099295324</v>
      </c>
      <c r="AM26" s="295">
        <v>575.07342175048313</v>
      </c>
      <c r="AN26" s="295">
        <v>2.0790725326991675</v>
      </c>
      <c r="AO26" s="295">
        <v>593.31221592017687</v>
      </c>
      <c r="AP26" s="295">
        <v>1.9682193770997911</v>
      </c>
      <c r="AQ26" s="295">
        <v>612.93659290276207</v>
      </c>
      <c r="AR26" s="295">
        <v>1.8813199864268748</v>
      </c>
      <c r="AS26" s="295">
        <v>627.10347023457064</v>
      </c>
      <c r="AT26" s="295">
        <v>1.8530967689427851</v>
      </c>
      <c r="AU26" s="295">
        <v>643.84357279032054</v>
      </c>
      <c r="AV26" s="295">
        <v>1.7834532930887703</v>
      </c>
      <c r="AW26" s="295">
        <v>651.61980286267067</v>
      </c>
      <c r="AX26" s="295">
        <v>1.7496199452721193</v>
      </c>
      <c r="AY26" s="295">
        <v>650.88459565583037</v>
      </c>
      <c r="AZ26" s="295">
        <v>1.6185107863604733</v>
      </c>
      <c r="BA26" s="295">
        <v>657.67112371897213</v>
      </c>
      <c r="BB26" s="295">
        <v>1.5486234897999605</v>
      </c>
      <c r="BC26" s="295">
        <v>663.29828657132725</v>
      </c>
      <c r="BD26" s="295">
        <v>1.473136270682283</v>
      </c>
      <c r="BE26" s="295">
        <v>672.2056046542009</v>
      </c>
      <c r="BF26" s="295">
        <v>1.3484848484848484</v>
      </c>
      <c r="BG26" s="295">
        <v>671.95110985183317</v>
      </c>
      <c r="BH26" s="295">
        <v>1.280590262817751</v>
      </c>
      <c r="BI26" s="295">
        <v>672.3752678557795</v>
      </c>
      <c r="BJ26" s="295">
        <v>1.2360770395114569</v>
      </c>
      <c r="BK26" s="295">
        <v>669.66065663052279</v>
      </c>
      <c r="BL26" s="295">
        <v>1.2225357894196727</v>
      </c>
      <c r="BM26" s="295">
        <v>673.73257346840785</v>
      </c>
      <c r="BN26" s="295">
        <v>1.1771647735654227</v>
      </c>
      <c r="BO26" s="295">
        <v>676.95617429840024</v>
      </c>
      <c r="BP26" s="295">
        <v>1.157754265560957</v>
      </c>
      <c r="BQ26" s="295">
        <v>686.90974879100827</v>
      </c>
      <c r="BR26" s="295">
        <v>1.1177800332164607</v>
      </c>
      <c r="BS26" s="295">
        <v>685.12828517443359</v>
      </c>
      <c r="BT26" s="295">
        <v>1.0933399467917211</v>
      </c>
      <c r="BU26" s="295">
        <v>685.63727477916916</v>
      </c>
      <c r="BV26" s="295">
        <v>1.0662743203478413</v>
      </c>
      <c r="BW26" s="295">
        <v>686.51386798732506</v>
      </c>
      <c r="BX26" s="295">
        <v>1.0406179482728692</v>
      </c>
      <c r="BY26" s="295">
        <v>678.08726230892387</v>
      </c>
      <c r="BZ26" s="295">
        <v>1.0495699018159701</v>
      </c>
      <c r="CA26" s="295">
        <v>683.14888115601718</v>
      </c>
      <c r="CB26" s="295">
        <v>1.0469085905924842</v>
      </c>
      <c r="CC26" s="295">
        <v>688.52154920600447</v>
      </c>
      <c r="CD26" s="295">
        <v>1.0539284648505776</v>
      </c>
      <c r="CE26" s="295">
        <v>699.06894490413754</v>
      </c>
      <c r="CF26" s="295">
        <v>1.0338213023725391</v>
      </c>
      <c r="CG26" s="295">
        <v>694.94047366572613</v>
      </c>
      <c r="CH26" s="295">
        <v>1.0446492446239952</v>
      </c>
      <c r="CI26" s="295">
        <v>701.95321933097273</v>
      </c>
      <c r="CJ26" s="295">
        <v>1.085751535032383</v>
      </c>
      <c r="CK26" s="295">
        <v>730.03247919222213</v>
      </c>
      <c r="CL26" s="295">
        <v>1.1134194747065282</v>
      </c>
      <c r="CM26" s="295">
        <v>745.61321653718539</v>
      </c>
      <c r="CN26" s="295">
        <v>1.119323428187694</v>
      </c>
      <c r="CO26" s="295">
        <v>754.12465381637583</v>
      </c>
      <c r="CP26" s="295">
        <v>1.1576023391812866</v>
      </c>
      <c r="CQ26" s="295">
        <v>783.64605089104293</v>
      </c>
      <c r="CR26" s="295">
        <v>1.1734727482298699</v>
      </c>
      <c r="CS26" s="295">
        <v>806.06987069967408</v>
      </c>
      <c r="CT26" s="295">
        <v>1.2157744851211358</v>
      </c>
      <c r="CU26" s="295">
        <v>832.96148814987373</v>
      </c>
      <c r="CV26" s="295">
        <v>1.2845300449540149</v>
      </c>
      <c r="CW26" s="295">
        <v>880.72167939423457</v>
      </c>
      <c r="CX26" s="295">
        <v>1.3362303319878079</v>
      </c>
      <c r="CY26" s="168">
        <v>917.3406537349374</v>
      </c>
      <c r="CZ26" s="295">
        <v>1.3962885738115096</v>
      </c>
      <c r="DA26" s="168">
        <v>946.80549640907827</v>
      </c>
      <c r="DB26" s="295">
        <v>1.4210853098224265</v>
      </c>
      <c r="DC26" s="168">
        <v>970.81283943244273</v>
      </c>
      <c r="DD26" s="295">
        <v>1.4142675263871207</v>
      </c>
      <c r="DE26" s="168">
        <v>973.75366825980416</v>
      </c>
      <c r="DF26" s="295">
        <v>1.4110508858506594</v>
      </c>
      <c r="DG26" s="168">
        <v>986.421853977669</v>
      </c>
      <c r="DH26" s="295">
        <v>1.4748128255208333</v>
      </c>
      <c r="DI26" s="168">
        <v>1024.907123535736</v>
      </c>
      <c r="DJ26" s="295">
        <v>1.5188930067676443</v>
      </c>
      <c r="DK26" s="168">
        <v>1066.1918359198487</v>
      </c>
      <c r="DL26" s="295">
        <v>1.4894449393810281</v>
      </c>
      <c r="DM26" s="168">
        <v>1087.3431817166411</v>
      </c>
      <c r="DN26" s="295">
        <v>1.5029202063106797</v>
      </c>
      <c r="DO26" s="168">
        <v>1120.5971692260362</v>
      </c>
      <c r="DP26" s="295">
        <v>1.5165922981739097</v>
      </c>
      <c r="DQ26" s="168">
        <v>1143.6996418409815</v>
      </c>
      <c r="DR26" s="295">
        <v>1.4603976473135352</v>
      </c>
      <c r="DS26" s="168">
        <v>1144.4348490478219</v>
      </c>
      <c r="DT26" s="295">
        <v>1.4400827895881569</v>
      </c>
      <c r="DU26" s="168">
        <v>1160.8073480001517</v>
      </c>
      <c r="DV26" s="295">
        <v>1.3940659266048816</v>
      </c>
      <c r="DW26" s="168">
        <v>1161.2032288038347</v>
      </c>
      <c r="DX26" s="295">
        <v>1.2943235086367431</v>
      </c>
      <c r="DY26" s="168">
        <v>1139.9387742059903</v>
      </c>
      <c r="DZ26" s="295">
        <v>1.220215159828612</v>
      </c>
      <c r="EA26" s="168">
        <v>1119.3529724144601</v>
      </c>
      <c r="EB26" s="295">
        <v>1.1708030941074574</v>
      </c>
      <c r="EC26" s="168">
        <v>1108.5228047136961</v>
      </c>
      <c r="ED26" s="295">
        <v>1.13185948968892</v>
      </c>
      <c r="EE26" s="168">
        <v>1098.8237250234561</v>
      </c>
    </row>
    <row r="27" spans="1:135" ht="16.5" thickBot="1" x14ac:dyDescent="0.3">
      <c r="A27" s="461" t="s">
        <v>38</v>
      </c>
      <c r="B27" s="295">
        <v>1.4943934760448523</v>
      </c>
      <c r="C27" s="295">
        <v>149.84979244883795</v>
      </c>
      <c r="D27" s="295">
        <v>1.4804305283757337</v>
      </c>
      <c r="E27" s="295">
        <v>154.65398088341871</v>
      </c>
      <c r="F27" s="295">
        <v>1.4384976525821596</v>
      </c>
      <c r="G27" s="295">
        <v>156.59609961229177</v>
      </c>
      <c r="H27" s="295">
        <v>1.4340309372156506</v>
      </c>
      <c r="I27" s="295">
        <v>161.09363772126099</v>
      </c>
      <c r="J27" s="295">
        <v>1.4635463546354635</v>
      </c>
      <c r="K27" s="295">
        <v>166.20447648145327</v>
      </c>
      <c r="L27" s="295">
        <v>1.471502590673575</v>
      </c>
      <c r="M27" s="295">
        <v>174.17738494735326</v>
      </c>
      <c r="N27" s="295">
        <v>1.4195918367346938</v>
      </c>
      <c r="O27" s="295">
        <v>177.75497207948786</v>
      </c>
      <c r="P27" s="295">
        <v>1.4734337827121333</v>
      </c>
      <c r="Q27" s="295">
        <v>189.9187683287455</v>
      </c>
      <c r="R27" s="295">
        <v>1.4659090909090908</v>
      </c>
      <c r="S27" s="295">
        <v>197.78946001944163</v>
      </c>
      <c r="T27" s="295">
        <v>1.4433962264150944</v>
      </c>
      <c r="U27" s="295">
        <v>203.30916588044931</v>
      </c>
      <c r="V27" s="295">
        <v>1.4392857142857143</v>
      </c>
      <c r="W27" s="295">
        <v>205.96680203574928</v>
      </c>
      <c r="X27" s="295">
        <v>1.528</v>
      </c>
      <c r="Y27" s="295">
        <v>214.75744470328002</v>
      </c>
      <c r="Z27" s="295">
        <v>1.5741935483870968</v>
      </c>
      <c r="AA27" s="295">
        <v>224.4680383476454</v>
      </c>
      <c r="AB27" s="295">
        <v>1.494579945799458</v>
      </c>
      <c r="AC27" s="295">
        <v>225.49020609968383</v>
      </c>
      <c r="AD27" s="295">
        <v>1.6098226466575716</v>
      </c>
      <c r="AE27" s="295">
        <v>241.2315894810761</v>
      </c>
      <c r="AF27" s="295">
        <v>1.634500991407799</v>
      </c>
      <c r="AG27" s="295">
        <v>252.78208507911069</v>
      </c>
      <c r="AH27" s="295">
        <v>1.6971279373368147</v>
      </c>
      <c r="AI27" s="295">
        <v>265.76361552999907</v>
      </c>
      <c r="AJ27" s="295">
        <v>1.6814720812182742</v>
      </c>
      <c r="AK27" s="295">
        <v>270.87445429019141</v>
      </c>
      <c r="AL27" s="295">
        <v>1.6543665436654367</v>
      </c>
      <c r="AM27" s="295">
        <v>274.96312529834523</v>
      </c>
      <c r="AN27" s="295">
        <v>1.613262910798122</v>
      </c>
      <c r="AO27" s="295">
        <v>280.99391503537214</v>
      </c>
      <c r="AP27" s="295">
        <v>1.6543990799309949</v>
      </c>
      <c r="AQ27" s="295">
        <v>294.07766226146441</v>
      </c>
      <c r="AR27" s="295">
        <v>1.5602798708288481</v>
      </c>
      <c r="AS27" s="295">
        <v>296.32643131594898</v>
      </c>
      <c r="AT27" s="295">
        <v>1.5111111111111111</v>
      </c>
      <c r="AU27" s="295">
        <v>298.88185069604515</v>
      </c>
      <c r="AV27" s="295">
        <v>1.4922071392659628</v>
      </c>
      <c r="AW27" s="295">
        <v>303.37938880501434</v>
      </c>
      <c r="AX27" s="295">
        <v>1.4689826302729529</v>
      </c>
      <c r="AY27" s="295">
        <v>302.5616546033836</v>
      </c>
      <c r="AZ27" s="295">
        <v>1.401713469776297</v>
      </c>
      <c r="BA27" s="295">
        <v>301.02840297532589</v>
      </c>
      <c r="BB27" s="295">
        <v>1.3397085610200363</v>
      </c>
      <c r="BC27" s="295">
        <v>300.72175264971435</v>
      </c>
      <c r="BD27" s="295">
        <v>1.3490480507706255</v>
      </c>
      <c r="BE27" s="295">
        <v>304.19712300664514</v>
      </c>
      <c r="BF27" s="295">
        <v>1.2194915254237289</v>
      </c>
      <c r="BG27" s="295">
        <v>294.17987903666818</v>
      </c>
      <c r="BH27" s="295">
        <v>1.1459765467044076</v>
      </c>
      <c r="BI27" s="295">
        <v>289.68234092769899</v>
      </c>
      <c r="BJ27" s="295">
        <v>1.0873076923076923</v>
      </c>
      <c r="BK27" s="295">
        <v>288.96682350127207</v>
      </c>
      <c r="BL27" s="295">
        <v>1.0415094339622641</v>
      </c>
      <c r="BM27" s="295">
        <v>282.11829956261442</v>
      </c>
      <c r="BN27" s="295">
        <v>1.0241635687732342</v>
      </c>
      <c r="BO27" s="295">
        <v>281.60721568659517</v>
      </c>
      <c r="BP27" s="295">
        <v>1.0090942160785741</v>
      </c>
      <c r="BQ27" s="295">
        <v>283.54933441546825</v>
      </c>
      <c r="BR27" s="295">
        <v>0.98088286409454295</v>
      </c>
      <c r="BS27" s="295">
        <v>288.45573962525282</v>
      </c>
      <c r="BT27" s="295">
        <v>1.0093135563987581</v>
      </c>
      <c r="BU27" s="295">
        <v>299.08628424645281</v>
      </c>
      <c r="BV27" s="295">
        <v>1.0112859097127223</v>
      </c>
      <c r="BW27" s="295">
        <v>302.25500427777206</v>
      </c>
      <c r="BX27" s="295">
        <v>1.0138140161725067</v>
      </c>
      <c r="BY27" s="295">
        <v>307.570276588372</v>
      </c>
      <c r="BZ27" s="295">
        <v>1.054391891891892</v>
      </c>
      <c r="CA27" s="295">
        <v>319.01855541120273</v>
      </c>
      <c r="CB27" s="295">
        <v>1.0957555178268252</v>
      </c>
      <c r="CC27" s="295">
        <v>329.85353358281043</v>
      </c>
      <c r="CD27" s="295">
        <v>1.1383412644459552</v>
      </c>
      <c r="CE27" s="295">
        <v>342.32398015767961</v>
      </c>
      <c r="CF27" s="295">
        <v>1.1817876344086022</v>
      </c>
      <c r="CG27" s="295">
        <v>359.49639839192571</v>
      </c>
      <c r="CH27" s="295">
        <v>1.3241834607366227</v>
      </c>
      <c r="CI27" s="295">
        <v>389.54813030185636</v>
      </c>
      <c r="CJ27" s="295">
        <v>1.4364855328158082</v>
      </c>
      <c r="CK27" s="295">
        <v>416.12449185485622</v>
      </c>
      <c r="CL27" s="295">
        <v>1.5079589671029359</v>
      </c>
      <c r="CM27" s="295">
        <v>435.75011269399471</v>
      </c>
      <c r="CN27" s="295">
        <v>1.6619565217391303</v>
      </c>
      <c r="CO27" s="295">
        <v>468.86834786004067</v>
      </c>
      <c r="CP27" s="295">
        <v>1.7756805807622504</v>
      </c>
      <c r="CQ27" s="295">
        <v>500.04446429721372</v>
      </c>
      <c r="CR27" s="295">
        <v>1.902307137707282</v>
      </c>
      <c r="CS27" s="295">
        <v>539.39792275069431</v>
      </c>
      <c r="CT27" s="295">
        <v>2.0276399716513112</v>
      </c>
      <c r="CU27" s="295">
        <v>584.88438771640574</v>
      </c>
      <c r="CV27" s="295">
        <v>2.0567327409432674</v>
      </c>
      <c r="CW27" s="295">
        <v>615.14055317674399</v>
      </c>
      <c r="CX27" s="295">
        <v>2.2133919513019951</v>
      </c>
      <c r="CY27" s="168">
        <v>669.00879370917085</v>
      </c>
      <c r="CZ27" s="295">
        <v>2.2136922565636423</v>
      </c>
      <c r="DA27" s="168">
        <v>680.86593963281689</v>
      </c>
      <c r="DB27" s="295">
        <v>2.2694649150913171</v>
      </c>
      <c r="DC27" s="168">
        <v>724.00141876883981</v>
      </c>
      <c r="DD27" s="295">
        <v>2.2541059807871089</v>
      </c>
      <c r="DE27" s="168">
        <v>743.52482283277436</v>
      </c>
      <c r="DF27" s="295">
        <v>2.2355927142430576</v>
      </c>
      <c r="DG27" s="168">
        <v>765.29699595119348</v>
      </c>
      <c r="DH27" s="295">
        <v>2.1796986067671309</v>
      </c>
      <c r="DI27" s="168">
        <v>783.59379871268186</v>
      </c>
      <c r="DJ27" s="295">
        <v>2.0585148255051169</v>
      </c>
      <c r="DK27" s="168">
        <v>801.89060147417035</v>
      </c>
      <c r="DL27" s="295">
        <v>1.9739621714566447</v>
      </c>
      <c r="DM27" s="168">
        <v>821.4140055381049</v>
      </c>
      <c r="DN27" s="295">
        <v>1.8874032371569318</v>
      </c>
      <c r="DO27" s="168">
        <v>822.4361732901433</v>
      </c>
      <c r="DP27" s="295">
        <v>1.7793764988009593</v>
      </c>
      <c r="DQ27" s="168">
        <v>834.29331921378946</v>
      </c>
      <c r="DR27" s="295">
        <v>1.6559689288634505</v>
      </c>
      <c r="DS27" s="168">
        <v>828.05809592635478</v>
      </c>
      <c r="DT27" s="295">
        <v>1.5135493651696039</v>
      </c>
      <c r="DU27" s="168">
        <v>816.40538355311639</v>
      </c>
      <c r="DV27" s="295">
        <v>1.3773156239077247</v>
      </c>
      <c r="DW27" s="168">
        <v>805.57040538150886</v>
      </c>
      <c r="DX27" s="295">
        <v>1.3137254901960784</v>
      </c>
      <c r="DY27" s="168">
        <v>808.12582476160503</v>
      </c>
      <c r="DZ27" s="295">
        <v>1.1813598166539343</v>
      </c>
      <c r="EA27" s="168">
        <v>790.34010587613579</v>
      </c>
      <c r="EB27" s="295">
        <v>1.171295601261072</v>
      </c>
      <c r="EC27" s="168">
        <v>797.49528014040493</v>
      </c>
      <c r="ED27" s="295">
        <v>1.0753917831427362</v>
      </c>
      <c r="EE27" s="168">
        <v>778.58517672769347</v>
      </c>
    </row>
    <row r="28" spans="1:135" ht="16.5" thickBot="1" x14ac:dyDescent="0.3">
      <c r="A28" s="461" t="s">
        <v>39</v>
      </c>
      <c r="B28" s="295">
        <v>1.6568627450980393</v>
      </c>
      <c r="C28" s="295">
        <v>382.28807329073118</v>
      </c>
      <c r="D28" s="295">
        <v>1.5754716981132075</v>
      </c>
      <c r="E28" s="295">
        <v>377.76395408018999</v>
      </c>
      <c r="F28" s="295">
        <v>1.7536585365853659</v>
      </c>
      <c r="G28" s="295">
        <v>406.60521404739012</v>
      </c>
      <c r="H28" s="295">
        <v>1.8146341463414635</v>
      </c>
      <c r="I28" s="295">
        <v>420.74308658033141</v>
      </c>
      <c r="J28" s="295">
        <v>1.845605700712589</v>
      </c>
      <c r="K28" s="295">
        <v>439.40507832381383</v>
      </c>
      <c r="L28" s="295">
        <v>1.6260683760683761</v>
      </c>
      <c r="M28" s="295">
        <v>430.35683990273145</v>
      </c>
      <c r="N28" s="295">
        <v>1.6457023060796645</v>
      </c>
      <c r="O28" s="295">
        <v>443.92919753435507</v>
      </c>
      <c r="P28" s="295">
        <v>1.7704590818363273</v>
      </c>
      <c r="Q28" s="295">
        <v>501.61171746875533</v>
      </c>
      <c r="R28" s="295">
        <v>1.7212806026365348</v>
      </c>
      <c r="S28" s="295">
        <v>516.8806198043319</v>
      </c>
      <c r="T28" s="295">
        <v>1.6161971830985915</v>
      </c>
      <c r="U28" s="295">
        <v>519.14267940960235</v>
      </c>
      <c r="V28" s="295">
        <v>1.6490630323679727</v>
      </c>
      <c r="W28" s="295">
        <v>547.41842447548493</v>
      </c>
      <c r="X28" s="295">
        <v>1.7908163265306123</v>
      </c>
      <c r="Y28" s="295">
        <v>595.48719108748514</v>
      </c>
      <c r="Z28" s="295">
        <v>1.704225352112676</v>
      </c>
      <c r="AA28" s="295">
        <v>615.84572753492057</v>
      </c>
      <c r="AB28" s="295">
        <v>1.6811145510835914</v>
      </c>
      <c r="AC28" s="295">
        <v>614.14918283096756</v>
      </c>
      <c r="AD28" s="295">
        <v>1.6553254437869822</v>
      </c>
      <c r="AE28" s="295">
        <v>632.81117457444998</v>
      </c>
      <c r="AF28" s="295">
        <v>1.7679640718562875</v>
      </c>
      <c r="AG28" s="295">
        <v>667.87309845614436</v>
      </c>
      <c r="AH28" s="295">
        <v>1.6105702364394994</v>
      </c>
      <c r="AI28" s="295">
        <v>654.86625572583841</v>
      </c>
      <c r="AJ28" s="295">
        <v>1.5147849462365592</v>
      </c>
      <c r="AK28" s="295">
        <v>637.33529378499122</v>
      </c>
      <c r="AL28" s="295">
        <v>1.4877734877734878</v>
      </c>
      <c r="AM28" s="295">
        <v>653.73522592320307</v>
      </c>
      <c r="AN28" s="295">
        <v>1.5440210249671484</v>
      </c>
      <c r="AO28" s="295">
        <v>664.48000904823834</v>
      </c>
      <c r="AP28" s="295">
        <v>1.5821656050955415</v>
      </c>
      <c r="AQ28" s="295">
        <v>702.36950743652096</v>
      </c>
      <c r="AR28" s="295">
        <v>1.3934611048478016</v>
      </c>
      <c r="AS28" s="295">
        <v>698.97641802861506</v>
      </c>
      <c r="AT28" s="295">
        <v>1.3369803063457331</v>
      </c>
      <c r="AU28" s="295">
        <v>691.05920941016802</v>
      </c>
      <c r="AV28" s="295">
        <v>1.303921568627451</v>
      </c>
      <c r="AW28" s="295">
        <v>676.92133687722674</v>
      </c>
      <c r="AX28" s="295">
        <v>1.1849173553719008</v>
      </c>
      <c r="AY28" s="295">
        <v>648.64559181134427</v>
      </c>
      <c r="AZ28" s="295">
        <v>1.0607787274453941</v>
      </c>
      <c r="BA28" s="295">
        <v>631.68014477181475</v>
      </c>
      <c r="BB28" s="295">
        <v>1.0091827364554637</v>
      </c>
      <c r="BC28" s="295">
        <v>621.50087654809704</v>
      </c>
      <c r="BD28" s="295">
        <v>1.0497237569060773</v>
      </c>
      <c r="BE28" s="295">
        <v>644.6869875021207</v>
      </c>
      <c r="BF28" s="295">
        <v>0.98570151921358351</v>
      </c>
      <c r="BG28" s="295">
        <v>623.7629361533676</v>
      </c>
      <c r="BH28" s="295">
        <v>0.91871295512277729</v>
      </c>
      <c r="BI28" s="295">
        <v>613.58366792965001</v>
      </c>
      <c r="BJ28" s="295">
        <v>0.93091537132987912</v>
      </c>
      <c r="BK28" s="295">
        <v>609.62506362042643</v>
      </c>
      <c r="BL28" s="295">
        <v>0.96628216503992903</v>
      </c>
      <c r="BM28" s="295">
        <v>615.84572753492057</v>
      </c>
      <c r="BN28" s="295">
        <v>0.91782006920415227</v>
      </c>
      <c r="BO28" s="295">
        <v>600.01131029802639</v>
      </c>
      <c r="BP28" s="295">
        <v>0.93617021276595747</v>
      </c>
      <c r="BQ28" s="295">
        <v>622.06639144941471</v>
      </c>
      <c r="BR28" s="295">
        <v>0.8470209339774557</v>
      </c>
      <c r="BS28" s="295">
        <v>594.92167618616747</v>
      </c>
      <c r="BT28" s="295">
        <v>0.80097087378640774</v>
      </c>
      <c r="BU28" s="295">
        <v>559.8597523044732</v>
      </c>
      <c r="BV28" s="295">
        <v>0.80278232405891981</v>
      </c>
      <c r="BW28" s="295">
        <v>554.7701181926144</v>
      </c>
      <c r="BX28" s="295">
        <v>0.8128654970760234</v>
      </c>
      <c r="BY28" s="295">
        <v>550.24599898207316</v>
      </c>
      <c r="BZ28" s="295">
        <v>0.83435047951176988</v>
      </c>
      <c r="CA28" s="295">
        <v>541.19776056099079</v>
      </c>
      <c r="CB28" s="295">
        <v>0.87108325872873771</v>
      </c>
      <c r="CC28" s="295">
        <v>550.24599898207316</v>
      </c>
      <c r="CD28" s="295">
        <v>0.87807097361237485</v>
      </c>
      <c r="CE28" s="295">
        <v>545.72187977153203</v>
      </c>
      <c r="CF28" s="295">
        <v>0.86578947368421055</v>
      </c>
      <c r="CG28" s="295">
        <v>558.16320760052031</v>
      </c>
      <c r="CH28" s="295">
        <v>0.90117860380779691</v>
      </c>
      <c r="CI28" s="295">
        <v>562.12181190974388</v>
      </c>
      <c r="CJ28" s="295">
        <v>0.89032258064516134</v>
      </c>
      <c r="CK28" s="295">
        <v>546.28739467284959</v>
      </c>
      <c r="CL28" s="295">
        <v>0.91929499072356213</v>
      </c>
      <c r="CM28" s="295">
        <v>560.42526720579087</v>
      </c>
      <c r="CN28" s="295">
        <v>0.91643709825528008</v>
      </c>
      <c r="CO28" s="295">
        <v>564.38387151501445</v>
      </c>
      <c r="CP28" s="295">
        <v>0.94250706880301605</v>
      </c>
      <c r="CQ28" s="295">
        <v>565.51490131764967</v>
      </c>
      <c r="CR28" s="295">
        <v>0.91181818181818186</v>
      </c>
      <c r="CS28" s="295">
        <v>567.21144602160268</v>
      </c>
      <c r="CT28" s="295">
        <v>0.95532319391634979</v>
      </c>
      <c r="CU28" s="295">
        <v>568.34247582423802</v>
      </c>
      <c r="CV28" s="295">
        <v>1.0181818181818181</v>
      </c>
      <c r="CW28" s="295">
        <v>570.03902052819092</v>
      </c>
      <c r="CX28" s="295">
        <v>1.0346585117227318</v>
      </c>
      <c r="CY28" s="168">
        <v>573.99762483741449</v>
      </c>
      <c r="CZ28" s="295">
        <v>1.0616649537512848</v>
      </c>
      <c r="DA28" s="168">
        <v>584.17689306113209</v>
      </c>
      <c r="DB28" s="295">
        <v>1.0543364681295715</v>
      </c>
      <c r="DC28" s="168">
        <v>570.60453542950859</v>
      </c>
      <c r="DD28" s="295">
        <v>1.0596094552929085</v>
      </c>
      <c r="DE28" s="168">
        <v>583.04586325849687</v>
      </c>
      <c r="DF28" s="295">
        <v>1.0145077720207254</v>
      </c>
      <c r="DG28" s="168">
        <v>553.63908838997907</v>
      </c>
      <c r="DH28" s="295">
        <v>0.95339412360688958</v>
      </c>
      <c r="DI28" s="168">
        <v>532.14952213990841</v>
      </c>
      <c r="DJ28" s="295">
        <v>0.95573440643863183</v>
      </c>
      <c r="DK28" s="168">
        <v>537.23915625176721</v>
      </c>
      <c r="DL28" s="295">
        <v>0.98964803312629401</v>
      </c>
      <c r="DM28" s="168">
        <v>540.63224565967312</v>
      </c>
      <c r="DN28" s="295">
        <v>0.92734611503531783</v>
      </c>
      <c r="DO28" s="168">
        <v>519.70819431092013</v>
      </c>
      <c r="DP28" s="295">
        <v>0.90380761523046094</v>
      </c>
      <c r="DQ28" s="168">
        <v>510.09444098851998</v>
      </c>
      <c r="DR28" s="295">
        <v>0.873</v>
      </c>
      <c r="DS28" s="168">
        <v>493.69450885030824</v>
      </c>
      <c r="DT28" s="295">
        <v>0.83848454636091729</v>
      </c>
      <c r="DU28" s="168">
        <v>475.59803200814343</v>
      </c>
      <c r="DV28" s="295">
        <v>0.854726368159204</v>
      </c>
      <c r="DW28" s="168">
        <v>485.77730023186109</v>
      </c>
      <c r="DX28" s="295">
        <v>0.80952380952380953</v>
      </c>
      <c r="DY28" s="168">
        <v>461.46015947520215</v>
      </c>
      <c r="DZ28" s="295">
        <v>0.77536945812807878</v>
      </c>
      <c r="EA28" s="168">
        <v>445.06022733699035</v>
      </c>
      <c r="EB28" s="295">
        <v>0.7424975798644724</v>
      </c>
      <c r="EC28" s="168">
        <v>433.7499293106373</v>
      </c>
      <c r="ED28" s="295">
        <v>0.77106045589692762</v>
      </c>
      <c r="EE28" s="168">
        <v>439.97059322513144</v>
      </c>
    </row>
    <row r="29" spans="1:135" ht="15.75" x14ac:dyDescent="0.25">
      <c r="A29" s="461" t="s">
        <v>40</v>
      </c>
      <c r="B29" s="256">
        <v>1.6738183037210861</v>
      </c>
      <c r="C29" s="256">
        <v>294.63206692095622</v>
      </c>
      <c r="D29" s="256">
        <v>1.6332800000000001</v>
      </c>
      <c r="E29" s="256">
        <v>301.1820688092451</v>
      </c>
      <c r="F29" s="256">
        <v>1.6281121966593131</v>
      </c>
      <c r="G29" s="256">
        <v>304.84062842252348</v>
      </c>
      <c r="H29" s="256">
        <v>1.6352833638025595</v>
      </c>
      <c r="I29" s="256">
        <v>316.70144265266816</v>
      </c>
      <c r="J29" s="256">
        <v>1.5715094873973379</v>
      </c>
      <c r="K29" s="256">
        <v>327.44108538842102</v>
      </c>
      <c r="L29" s="256">
        <v>1.6599888703394547</v>
      </c>
      <c r="M29" s="256">
        <v>352.04784923901957</v>
      </c>
      <c r="N29" s="256">
        <v>1.8202341137123745</v>
      </c>
      <c r="O29" s="256">
        <v>385.38794894066996</v>
      </c>
      <c r="P29" s="256">
        <v>1.6891857827073355</v>
      </c>
      <c r="Q29" s="256">
        <v>395.41948336417539</v>
      </c>
      <c r="R29" s="256">
        <v>1.6805283757338552</v>
      </c>
      <c r="S29" s="256">
        <v>405.39200876166024</v>
      </c>
      <c r="T29" s="256">
        <v>1.6107209737827715</v>
      </c>
      <c r="U29" s="256">
        <v>406.04110804788701</v>
      </c>
      <c r="V29" s="256">
        <v>1.6179159049360146</v>
      </c>
      <c r="W29" s="256">
        <v>417.7839042259904</v>
      </c>
      <c r="X29" s="256">
        <v>1.7027821759782855</v>
      </c>
      <c r="Y29" s="256">
        <v>444.2199478832282</v>
      </c>
      <c r="Z29" s="256">
        <v>1.5361458120008191</v>
      </c>
      <c r="AA29" s="256">
        <v>442.62670418067148</v>
      </c>
      <c r="AB29" s="256">
        <v>1.5310834813499112</v>
      </c>
      <c r="AC29" s="256">
        <v>457.79202386797078</v>
      </c>
      <c r="AD29" s="256">
        <v>1.6675345483677149</v>
      </c>
      <c r="AE29" s="256">
        <v>491.30915064768305</v>
      </c>
      <c r="AF29" s="256">
        <v>1.6261755485893417</v>
      </c>
      <c r="AG29" s="256">
        <v>489.77491597114698</v>
      </c>
      <c r="AH29" s="256">
        <v>1.6178861788617886</v>
      </c>
      <c r="AI29" s="256">
        <v>493.19743948034289</v>
      </c>
      <c r="AJ29" s="256">
        <v>1.626048071548351</v>
      </c>
      <c r="AK29" s="256">
        <v>514.97177008195172</v>
      </c>
      <c r="AL29" s="256">
        <v>1.6303838529464769</v>
      </c>
      <c r="AM29" s="256">
        <v>533.85465840855022</v>
      </c>
      <c r="AN29" s="256">
        <v>1.5306738183037212</v>
      </c>
      <c r="AO29" s="256">
        <v>538.87042562030285</v>
      </c>
      <c r="AP29" s="256">
        <v>1.4114224467922216</v>
      </c>
      <c r="AQ29" s="256">
        <v>543.94520185807619</v>
      </c>
      <c r="AR29" s="256">
        <v>1.3900910311893748</v>
      </c>
      <c r="AS29" s="256">
        <v>549.66907738207635</v>
      </c>
      <c r="AT29" s="256">
        <v>1.3480349344978166</v>
      </c>
      <c r="AU29" s="256">
        <v>546.48258997696291</v>
      </c>
      <c r="AV29" s="256">
        <v>1.3230635082110158</v>
      </c>
      <c r="AW29" s="256">
        <v>537.21817289172543</v>
      </c>
      <c r="AX29" s="256">
        <v>1.3457627118644069</v>
      </c>
      <c r="AY29" s="256">
        <v>562.23799992446845</v>
      </c>
      <c r="AZ29" s="256">
        <v>1.249335812964931</v>
      </c>
      <c r="BA29" s="256">
        <v>554.97988972393216</v>
      </c>
      <c r="BB29" s="256">
        <v>1.2736968404212772</v>
      </c>
      <c r="BC29" s="256">
        <v>563.77223460100458</v>
      </c>
      <c r="BD29" s="256">
        <v>1.2257025006444959</v>
      </c>
      <c r="BE29" s="256">
        <v>561.11682843007668</v>
      </c>
      <c r="BF29" s="256">
        <v>1.1190247417727601</v>
      </c>
      <c r="BG29" s="256">
        <v>549.78709543411753</v>
      </c>
      <c r="BH29" s="256">
        <v>1.1220481927710844</v>
      </c>
      <c r="BI29" s="256">
        <v>549.55105933003506</v>
      </c>
      <c r="BJ29" s="256">
        <v>1.1147403685092128</v>
      </c>
      <c r="BK29" s="256">
        <v>549.78709543411753</v>
      </c>
      <c r="BL29" s="256">
        <v>1.0331156181964021</v>
      </c>
      <c r="BM29" s="256">
        <v>532.02537860191092</v>
      </c>
      <c r="BN29" s="256">
        <v>0.99005195092295784</v>
      </c>
      <c r="BO29" s="256">
        <v>528.54384606669441</v>
      </c>
      <c r="BP29" s="256">
        <v>0.9528033289531318</v>
      </c>
      <c r="BQ29" s="256">
        <v>513.43753540541559</v>
      </c>
      <c r="BR29" s="256">
        <v>0.9072466912562378</v>
      </c>
      <c r="BS29" s="256">
        <v>493.49248461044601</v>
      </c>
      <c r="BT29" s="256">
        <v>0.86011808910359633</v>
      </c>
      <c r="BU29" s="256">
        <v>472.78031647720832</v>
      </c>
      <c r="BV29" s="256">
        <v>0.86113810603606522</v>
      </c>
      <c r="BW29" s="256">
        <v>470.59698251444547</v>
      </c>
      <c r="BX29" s="256">
        <v>0.89466168717047456</v>
      </c>
      <c r="BY29" s="256">
        <v>480.62851693795085</v>
      </c>
      <c r="BZ29" s="256">
        <v>0.80258186397984888</v>
      </c>
      <c r="CA29" s="256">
        <v>451.24202197968202</v>
      </c>
      <c r="CB29" s="256">
        <v>0.8434875066454014</v>
      </c>
      <c r="CC29" s="256">
        <v>468.11860342157939</v>
      </c>
      <c r="CD29" s="256">
        <v>0.80510780824785433</v>
      </c>
      <c r="CE29" s="256">
        <v>453.89742815060993</v>
      </c>
      <c r="CF29" s="256">
        <v>0.80975917551793042</v>
      </c>
      <c r="CG29" s="256">
        <v>454.36950035877487</v>
      </c>
      <c r="CH29" s="256">
        <v>0.83031018568208648</v>
      </c>
      <c r="CI29" s="256">
        <v>456.49382529551718</v>
      </c>
      <c r="CJ29" s="256">
        <v>0.85214216686352406</v>
      </c>
      <c r="CK29" s="256">
        <v>468.29563049964122</v>
      </c>
      <c r="CL29" s="256">
        <v>0.86658795749704842</v>
      </c>
      <c r="CM29" s="256">
        <v>476.43887609048681</v>
      </c>
      <c r="CN29" s="256">
        <v>0.94010647737355812</v>
      </c>
      <c r="CO29" s="256">
        <v>500.16050455077607</v>
      </c>
      <c r="CP29" s="256">
        <v>0.9809087864240259</v>
      </c>
      <c r="CQ29" s="256">
        <v>518.45330261716833</v>
      </c>
      <c r="CR29" s="256">
        <v>1.0457418687507183</v>
      </c>
      <c r="CS29" s="256">
        <v>536.92312776162237</v>
      </c>
      <c r="CT29" s="256">
        <v>1.1334449360277412</v>
      </c>
      <c r="CU29" s="256">
        <v>559.34655764945808</v>
      </c>
      <c r="CV29" s="256">
        <v>1.2739640539191213</v>
      </c>
      <c r="CW29" s="256">
        <v>602.30512859246949</v>
      </c>
      <c r="CX29" s="256">
        <v>1.3310344827586207</v>
      </c>
      <c r="CY29" s="168">
        <v>626.38081120888251</v>
      </c>
      <c r="CZ29" s="256">
        <v>1.3157765500306937</v>
      </c>
      <c r="DA29" s="168">
        <v>632.39973186298573</v>
      </c>
      <c r="DB29" s="256">
        <v>1.4148031907937753</v>
      </c>
      <c r="DC29" s="168">
        <v>638.41865251708907</v>
      </c>
      <c r="DD29" s="256">
        <v>1.3056851128198663</v>
      </c>
      <c r="DE29" s="168">
        <v>611.2154915215832</v>
      </c>
      <c r="DF29" s="256">
        <v>1.5029901196047841</v>
      </c>
      <c r="DG29" s="168">
        <v>682.20334982438919</v>
      </c>
      <c r="DH29" s="256">
        <v>1.6892207792207792</v>
      </c>
      <c r="DI29" s="168">
        <v>767.53040145020589</v>
      </c>
      <c r="DJ29" s="256">
        <v>1.7311271975180973</v>
      </c>
      <c r="DK29" s="168">
        <v>790.24887646814454</v>
      </c>
      <c r="DL29" s="256">
        <v>1.7133316532258065</v>
      </c>
      <c r="DM29" s="168">
        <v>802.3457268023717</v>
      </c>
      <c r="DN29" s="256">
        <v>1.6980431013128561</v>
      </c>
      <c r="DO29" s="168">
        <v>809.01374674270176</v>
      </c>
      <c r="DP29" s="256">
        <v>1.6848749410099104</v>
      </c>
      <c r="DQ29" s="168">
        <v>842.7079006004758</v>
      </c>
      <c r="DR29" s="256">
        <v>1.6031185977691782</v>
      </c>
      <c r="DS29" s="168">
        <v>831.14213150043429</v>
      </c>
      <c r="DT29" s="256">
        <v>1.5679745026926035</v>
      </c>
      <c r="DU29" s="168">
        <v>841.8817742361872</v>
      </c>
      <c r="DV29" s="256">
        <v>1.4993142736575589</v>
      </c>
      <c r="DW29" s="168">
        <v>838.63627780505294</v>
      </c>
      <c r="DX29" s="256">
        <v>1.3558342314098168</v>
      </c>
      <c r="DY29" s="168">
        <v>816.6259110993617</v>
      </c>
      <c r="DZ29" s="256">
        <v>1.2915685350918511</v>
      </c>
      <c r="EA29" s="168">
        <v>809.01374674270176</v>
      </c>
      <c r="EB29" s="256">
        <v>1.2900998413735187</v>
      </c>
      <c r="EC29" s="168">
        <v>815.85879376109369</v>
      </c>
      <c r="ED29" s="256">
        <v>1.316110546261207</v>
      </c>
      <c r="EE29" s="168">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topLeftCell="A3" workbookViewId="0">
      <selection activeCell="A8" sqref="A8:B8"/>
    </sheetView>
  </sheetViews>
  <sheetFormatPr baseColWidth="10" defaultRowHeight="15" x14ac:dyDescent="0.25"/>
  <cols>
    <col min="1" max="1" width="23.28515625" bestFit="1" customWidth="1"/>
    <col min="6" max="6" width="11.42578125" style="440"/>
    <col min="7" max="7" width="11.42578125" style="439"/>
    <col min="8" max="10" width="11.42578125" style="440"/>
    <col min="11" max="11" width="11.42578125" style="431"/>
    <col min="12" max="12" width="11.42578125" style="440"/>
  </cols>
  <sheetData>
    <row r="1" spans="1:12" ht="19.5" thickBot="1" x14ac:dyDescent="0.3">
      <c r="A1" s="54" t="s">
        <v>16</v>
      </c>
      <c r="B1" s="41">
        <v>17541141</v>
      </c>
      <c r="C1" t="s">
        <v>16</v>
      </c>
      <c r="D1">
        <v>1448377</v>
      </c>
      <c r="E1">
        <v>36827</v>
      </c>
      <c r="F1" s="175">
        <v>734.46761530507058</v>
      </c>
      <c r="G1" s="300">
        <v>0.88018801538556135</v>
      </c>
      <c r="H1" s="440">
        <v>646.46959268033606</v>
      </c>
      <c r="I1" s="440">
        <v>9473.1428571428569</v>
      </c>
      <c r="J1" s="440">
        <v>54.005283106400306</v>
      </c>
      <c r="K1" s="431">
        <v>6.0618662230894627E-2</v>
      </c>
      <c r="L1" s="440">
        <v>378.03698174480212</v>
      </c>
    </row>
    <row r="2" spans="1:12" ht="19.5" thickBot="1" x14ac:dyDescent="0.3">
      <c r="A2" s="56" t="s">
        <v>43</v>
      </c>
      <c r="B2" s="41">
        <v>3075646</v>
      </c>
      <c r="C2" s="261" t="s">
        <v>43</v>
      </c>
      <c r="D2">
        <v>380554</v>
      </c>
      <c r="E2">
        <v>8557</v>
      </c>
      <c r="F2" s="175">
        <v>1056.4284706367378</v>
      </c>
      <c r="G2" s="300">
        <v>0.85142288140034594</v>
      </c>
      <c r="H2" s="440">
        <v>899.46737246289206</v>
      </c>
      <c r="I2" s="440">
        <v>2402.1428571428573</v>
      </c>
      <c r="J2" s="440">
        <v>78.102059116779273</v>
      </c>
      <c r="K2" s="431">
        <v>7.2590419085284186E-2</v>
      </c>
      <c r="L2" s="440">
        <v>546.7144138174549</v>
      </c>
    </row>
    <row r="3" spans="1:12" ht="19.5" thickBot="1" x14ac:dyDescent="0.3">
      <c r="A3" s="56" t="s">
        <v>28</v>
      </c>
      <c r="B3" s="41">
        <v>415438</v>
      </c>
      <c r="C3" s="261" t="s">
        <v>28</v>
      </c>
      <c r="D3">
        <v>18192</v>
      </c>
      <c r="E3">
        <v>124</v>
      </c>
      <c r="F3" s="175">
        <v>726.22148190584392</v>
      </c>
      <c r="G3" s="300">
        <v>1.3676337262012692</v>
      </c>
      <c r="H3" s="440">
        <v>993.20499134629688</v>
      </c>
      <c r="I3" s="440">
        <v>263.28571428571428</v>
      </c>
      <c r="J3" s="440">
        <v>63.375452964272469</v>
      </c>
      <c r="K3" s="431">
        <v>0.56984667802385003</v>
      </c>
      <c r="L3" s="440">
        <v>443.62817074990733</v>
      </c>
    </row>
    <row r="4" spans="1:12" ht="19.5" thickBot="1" x14ac:dyDescent="0.3">
      <c r="A4" s="56" t="s">
        <v>15</v>
      </c>
      <c r="B4" s="41">
        <v>1204541</v>
      </c>
      <c r="C4" s="261" t="s">
        <v>15</v>
      </c>
      <c r="D4">
        <v>49739</v>
      </c>
      <c r="E4">
        <v>1116</v>
      </c>
      <c r="F4" s="175">
        <v>362.37869860801749</v>
      </c>
      <c r="G4" s="300">
        <v>1.4039884207140561</v>
      </c>
      <c r="H4" s="440">
        <v>508.7754967590854</v>
      </c>
      <c r="I4" s="440">
        <v>369</v>
      </c>
      <c r="J4" s="440">
        <v>30.634075552430343</v>
      </c>
      <c r="K4" s="431">
        <v>0.44949494949494939</v>
      </c>
      <c r="L4" s="440">
        <v>214.43852886701242</v>
      </c>
    </row>
    <row r="5" spans="1:12" ht="19.5" thickBot="1" x14ac:dyDescent="0.3">
      <c r="A5" s="56" t="s">
        <v>29</v>
      </c>
      <c r="B5" s="41">
        <v>618994</v>
      </c>
      <c r="C5" s="261" t="s">
        <v>29</v>
      </c>
      <c r="D5">
        <v>58134</v>
      </c>
      <c r="E5">
        <v>961</v>
      </c>
      <c r="F5" s="175">
        <v>477.22595049386587</v>
      </c>
      <c r="G5" s="300">
        <v>1.2121460812474354</v>
      </c>
      <c r="H5" s="440">
        <v>578.4675657607221</v>
      </c>
      <c r="I5" s="440">
        <v>222.71428571428572</v>
      </c>
      <c r="J5" s="440">
        <v>35.980039501883013</v>
      </c>
      <c r="K5" s="431">
        <v>0.11756272401433687</v>
      </c>
      <c r="L5" s="440">
        <v>251.86027651318108</v>
      </c>
    </row>
    <row r="6" spans="1:12" ht="19.5" thickBot="1" x14ac:dyDescent="0.3">
      <c r="A6" s="56" t="s">
        <v>30</v>
      </c>
      <c r="B6" s="41">
        <v>1120801</v>
      </c>
      <c r="C6" s="261" t="s">
        <v>30</v>
      </c>
      <c r="D6">
        <v>40844</v>
      </c>
      <c r="E6">
        <v>554</v>
      </c>
      <c r="F6" s="175">
        <v>262.13395598326554</v>
      </c>
      <c r="G6" s="300">
        <v>0.96233213232885684</v>
      </c>
      <c r="H6" s="440">
        <v>252.25992881717463</v>
      </c>
      <c r="I6" s="440">
        <v>208.57142857142858</v>
      </c>
      <c r="J6" s="440">
        <v>18.609140121344339</v>
      </c>
      <c r="K6" s="431">
        <v>-1.2178619756427644E-2</v>
      </c>
      <c r="L6" s="440">
        <v>130.26398084941036</v>
      </c>
    </row>
    <row r="7" spans="1:12" ht="19.5" thickBot="1" x14ac:dyDescent="0.3">
      <c r="A7" s="56" t="s">
        <v>20</v>
      </c>
      <c r="B7" s="41">
        <v>3760450</v>
      </c>
      <c r="C7" s="261" t="s">
        <v>20</v>
      </c>
      <c r="D7">
        <v>259389</v>
      </c>
      <c r="E7">
        <v>3614</v>
      </c>
      <c r="F7" s="175">
        <v>762.27579146112839</v>
      </c>
      <c r="G7" s="300">
        <v>1.2705553831833696</v>
      </c>
      <c r="H7" s="440">
        <v>968.51361031130034</v>
      </c>
      <c r="I7" s="440">
        <v>2486.4285714285716</v>
      </c>
      <c r="J7" s="440">
        <v>66.120506094445389</v>
      </c>
      <c r="K7" s="431">
        <v>0.54573712255772655</v>
      </c>
      <c r="L7" s="440">
        <v>462.84354266111774</v>
      </c>
    </row>
    <row r="8" spans="1:12" ht="19.5" thickBot="1" x14ac:dyDescent="0.3">
      <c r="A8" s="56" t="s">
        <v>31</v>
      </c>
      <c r="B8" s="41">
        <v>1385961</v>
      </c>
      <c r="C8" s="261" t="s">
        <v>31</v>
      </c>
      <c r="D8">
        <v>72547</v>
      </c>
      <c r="E8">
        <v>1183</v>
      </c>
      <c r="F8" s="175">
        <v>628.22835563194064</v>
      </c>
      <c r="G8" s="300">
        <v>1.2114929734242381</v>
      </c>
      <c r="H8" s="440">
        <v>761.09423855395949</v>
      </c>
      <c r="I8" s="440">
        <v>671</v>
      </c>
      <c r="J8" s="440">
        <v>48.414060713108093</v>
      </c>
      <c r="K8" s="431">
        <v>0.17132169576059852</v>
      </c>
      <c r="L8" s="440">
        <v>338.8984249917566</v>
      </c>
    </row>
    <row r="9" spans="1:12" ht="19.5" thickBot="1" x14ac:dyDescent="0.3">
      <c r="A9" s="56" t="s">
        <v>41</v>
      </c>
      <c r="B9" s="41">
        <v>605193</v>
      </c>
      <c r="C9" s="261" t="s">
        <v>41</v>
      </c>
      <c r="D9">
        <v>13796</v>
      </c>
      <c r="E9">
        <v>162</v>
      </c>
      <c r="F9" s="175">
        <v>1515.3843484640438</v>
      </c>
      <c r="G9" s="300">
        <v>8.1665182546749779</v>
      </c>
      <c r="I9" s="440">
        <v>1106.5714285714287</v>
      </c>
      <c r="J9" s="440">
        <v>182.84603896136085</v>
      </c>
      <c r="K9" s="431">
        <v>4.4357894736842107</v>
      </c>
      <c r="L9" s="440">
        <v>1279.922272729526</v>
      </c>
    </row>
    <row r="10" spans="1:12" ht="19.5" thickBot="1" x14ac:dyDescent="0.3">
      <c r="A10" s="56" t="s">
        <v>32</v>
      </c>
      <c r="B10" s="41">
        <v>770881</v>
      </c>
      <c r="C10" s="261" t="s">
        <v>32</v>
      </c>
      <c r="D10">
        <v>26319</v>
      </c>
      <c r="E10">
        <v>1070</v>
      </c>
      <c r="F10" s="175">
        <v>162.28185673275124</v>
      </c>
      <c r="G10" s="300">
        <v>0.95060790273556228</v>
      </c>
      <c r="H10" s="440">
        <v>154.26641548075364</v>
      </c>
      <c r="I10" s="440">
        <v>87.571428571428569</v>
      </c>
      <c r="J10" s="440">
        <v>11.359915288018328</v>
      </c>
      <c r="K10" s="431">
        <v>-3.9184952978056464E-2</v>
      </c>
      <c r="L10" s="440">
        <v>79.519407016128298</v>
      </c>
    </row>
    <row r="11" spans="1:12" ht="19.5" thickBot="1" x14ac:dyDescent="0.3">
      <c r="A11" s="56" t="s">
        <v>33</v>
      </c>
      <c r="B11" s="41">
        <v>358428</v>
      </c>
      <c r="C11" s="261" t="s">
        <v>33</v>
      </c>
      <c r="D11">
        <v>34101</v>
      </c>
      <c r="E11">
        <v>454</v>
      </c>
      <c r="F11" s="175">
        <v>1750.9792761726205</v>
      </c>
      <c r="G11" s="300">
        <v>1.7232289950576607</v>
      </c>
      <c r="H11" s="440">
        <v>3017.3382584457349</v>
      </c>
      <c r="I11" s="440">
        <v>514.28571428571433</v>
      </c>
      <c r="J11" s="440">
        <v>143.48368829603555</v>
      </c>
      <c r="K11" s="431">
        <v>0.34529147982062791</v>
      </c>
      <c r="L11" s="440">
        <v>1004.3858180722489</v>
      </c>
    </row>
    <row r="12" spans="1:12" ht="19.5" thickBot="1" x14ac:dyDescent="0.3">
      <c r="A12" s="56" t="s">
        <v>21</v>
      </c>
      <c r="B12" s="41">
        <v>393531</v>
      </c>
      <c r="C12" s="261" t="s">
        <v>21</v>
      </c>
      <c r="D12">
        <v>15016</v>
      </c>
      <c r="E12">
        <v>517</v>
      </c>
      <c r="F12" s="175">
        <v>316.36643618927098</v>
      </c>
      <c r="G12" s="300">
        <v>1.0263808738664468</v>
      </c>
      <c r="H12" s="440">
        <v>324.71245923795743</v>
      </c>
      <c r="I12" s="440">
        <v>90.857142857142861</v>
      </c>
      <c r="J12" s="440">
        <v>23.08767107474198</v>
      </c>
      <c r="K12" s="431">
        <v>4.4334975369458185E-2</v>
      </c>
      <c r="L12" s="440">
        <v>161.61369752319385</v>
      </c>
    </row>
    <row r="13" spans="1:12" ht="19.5" thickBot="1" x14ac:dyDescent="0.3">
      <c r="A13" s="56" t="s">
        <v>17</v>
      </c>
      <c r="B13" s="41">
        <v>1990338</v>
      </c>
      <c r="C13" s="261" t="s">
        <v>17</v>
      </c>
      <c r="D13">
        <v>109235</v>
      </c>
      <c r="E13">
        <v>2222</v>
      </c>
      <c r="F13" s="175">
        <v>568.34567797027444</v>
      </c>
      <c r="G13" s="300">
        <v>1.0273363000635727</v>
      </c>
      <c r="H13" s="440">
        <v>583.88214596310456</v>
      </c>
      <c r="I13" s="440">
        <v>824.28571428571433</v>
      </c>
      <c r="J13" s="440">
        <v>41.414358480103097</v>
      </c>
      <c r="K13" s="431">
        <v>4.114038253338137E-2</v>
      </c>
      <c r="L13" s="440">
        <v>289.90050936072168</v>
      </c>
    </row>
    <row r="14" spans="1:12" ht="19.5" thickBot="1" x14ac:dyDescent="0.3">
      <c r="A14" s="56" t="s">
        <v>23</v>
      </c>
      <c r="B14" s="41">
        <v>1261294</v>
      </c>
      <c r="C14" s="261" t="s">
        <v>23</v>
      </c>
      <c r="D14">
        <v>18070</v>
      </c>
      <c r="E14">
        <v>259</v>
      </c>
      <c r="F14" s="175">
        <v>169.27060621869288</v>
      </c>
      <c r="G14" s="300">
        <v>1.3624760689215061</v>
      </c>
      <c r="H14" s="440">
        <v>230.62715014480492</v>
      </c>
      <c r="I14" s="440">
        <v>144</v>
      </c>
      <c r="J14" s="440">
        <v>11.41684650842706</v>
      </c>
      <c r="K14" s="431">
        <v>-0.10559006211180122</v>
      </c>
      <c r="L14" s="440">
        <v>79.917925558989424</v>
      </c>
    </row>
    <row r="15" spans="1:12" ht="19.5" thickBot="1" x14ac:dyDescent="0.3">
      <c r="A15" s="56" t="s">
        <v>19</v>
      </c>
      <c r="B15" s="41">
        <v>664057</v>
      </c>
      <c r="C15" s="261" t="s">
        <v>19</v>
      </c>
      <c r="D15">
        <v>79092</v>
      </c>
      <c r="E15">
        <v>1166</v>
      </c>
      <c r="F15" s="175">
        <v>1077.9195159451674</v>
      </c>
      <c r="G15" s="300">
        <v>1.7975891511803115</v>
      </c>
      <c r="H15" s="440">
        <v>1937.6564277085656</v>
      </c>
      <c r="I15" s="440">
        <v>552.71428571428567</v>
      </c>
      <c r="J15" s="440">
        <v>83.232958272299769</v>
      </c>
      <c r="K15" s="431">
        <v>0.17634539373669811</v>
      </c>
      <c r="L15" s="440">
        <v>582.63070790609845</v>
      </c>
    </row>
    <row r="16" spans="1:12" ht="19.5" thickBot="1" x14ac:dyDescent="0.3">
      <c r="A16" s="56" t="s">
        <v>18</v>
      </c>
      <c r="B16" s="41">
        <v>747610</v>
      </c>
      <c r="C16" s="261" t="s">
        <v>18</v>
      </c>
      <c r="D16">
        <v>66845</v>
      </c>
      <c r="E16">
        <v>1445</v>
      </c>
      <c r="F16" s="175">
        <v>641.91222696325622</v>
      </c>
      <c r="G16" s="300">
        <v>1.2917900403768505</v>
      </c>
      <c r="H16" s="440">
        <v>829.2158215872588</v>
      </c>
      <c r="I16" s="440">
        <v>379.57142857142856</v>
      </c>
      <c r="J16" s="440">
        <v>50.771315066870237</v>
      </c>
      <c r="K16" s="431">
        <v>0.24042950513538752</v>
      </c>
      <c r="L16" s="440">
        <v>355.39920546809168</v>
      </c>
    </row>
    <row r="17" spans="1:12" ht="19.5" thickBot="1" x14ac:dyDescent="0.3">
      <c r="A17" s="56" t="s">
        <v>34</v>
      </c>
      <c r="B17" s="41">
        <v>1424397</v>
      </c>
      <c r="C17" s="261" t="s">
        <v>34</v>
      </c>
      <c r="D17">
        <v>38706</v>
      </c>
      <c r="E17">
        <v>1320</v>
      </c>
      <c r="F17" s="175">
        <v>252.73852725047863</v>
      </c>
      <c r="G17" s="300">
        <v>1.3559322033898304</v>
      </c>
      <c r="H17" s="440">
        <v>342.69630813624218</v>
      </c>
      <c r="I17" s="440">
        <v>281.28571428571428</v>
      </c>
      <c r="J17" s="440">
        <v>19.747704768102871</v>
      </c>
      <c r="K17" s="431">
        <v>0.20723482526057624</v>
      </c>
      <c r="L17" s="440">
        <v>138.2339333767201</v>
      </c>
    </row>
    <row r="18" spans="1:12" ht="19.5" thickBot="1" x14ac:dyDescent="0.3">
      <c r="A18" s="56" t="s">
        <v>35</v>
      </c>
      <c r="B18" s="41">
        <v>781217</v>
      </c>
      <c r="C18" s="261" t="s">
        <v>35</v>
      </c>
      <c r="D18">
        <v>29787</v>
      </c>
      <c r="E18">
        <v>551</v>
      </c>
      <c r="F18" s="175">
        <v>733.98300344206541</v>
      </c>
      <c r="G18" s="300">
        <v>1.559847660500544</v>
      </c>
      <c r="H18" s="440">
        <v>1144.9016707662686</v>
      </c>
      <c r="I18" s="440">
        <v>463.28571428571428</v>
      </c>
      <c r="J18" s="440">
        <v>59.303076390518164</v>
      </c>
      <c r="K18" s="431">
        <v>0.30188679245283012</v>
      </c>
      <c r="L18" s="440">
        <v>415.12153473362713</v>
      </c>
    </row>
    <row r="19" spans="1:12" ht="19.5" thickBot="1" x14ac:dyDescent="0.3">
      <c r="A19" s="56" t="s">
        <v>36</v>
      </c>
      <c r="B19" s="41">
        <v>508328</v>
      </c>
      <c r="C19" s="261" t="s">
        <v>36</v>
      </c>
      <c r="D19">
        <v>45084</v>
      </c>
      <c r="E19">
        <v>619</v>
      </c>
      <c r="F19" s="175">
        <v>1228.5374797374923</v>
      </c>
      <c r="G19" s="300">
        <v>0.75358996017859303</v>
      </c>
      <c r="H19" s="440">
        <v>925.81351043328584</v>
      </c>
      <c r="I19" s="440">
        <v>458.85714285714283</v>
      </c>
      <c r="J19" s="440">
        <v>90.267925996038542</v>
      </c>
      <c r="K19" s="431">
        <v>5.9017474447741414E-2</v>
      </c>
      <c r="L19" s="440">
        <v>631.87548197226988</v>
      </c>
    </row>
    <row r="20" spans="1:12" ht="19.5" thickBot="1" x14ac:dyDescent="0.3">
      <c r="A20" s="56" t="s">
        <v>37</v>
      </c>
      <c r="B20" s="41">
        <v>365698</v>
      </c>
      <c r="C20" s="261" t="s">
        <v>37</v>
      </c>
      <c r="D20">
        <v>48357</v>
      </c>
      <c r="E20">
        <v>751</v>
      </c>
      <c r="F20" s="175">
        <v>863.55408014263128</v>
      </c>
      <c r="G20" s="300">
        <v>1.1525547445255475</v>
      </c>
      <c r="H20" s="440">
        <v>995.29335222278462</v>
      </c>
      <c r="I20" s="440">
        <v>221.85714285714286</v>
      </c>
      <c r="J20" s="440">
        <v>60.666764066837359</v>
      </c>
      <c r="K20" s="431">
        <v>-3.2398753894080978E-2</v>
      </c>
      <c r="L20" s="440">
        <v>424.66734846786142</v>
      </c>
    </row>
    <row r="21" spans="1:12" ht="19.5" thickBot="1" x14ac:dyDescent="0.3">
      <c r="A21" s="56" t="s">
        <v>22</v>
      </c>
      <c r="B21" s="41">
        <v>3536418</v>
      </c>
      <c r="C21" s="261" t="s">
        <v>22</v>
      </c>
      <c r="D21">
        <v>304625</v>
      </c>
      <c r="E21">
        <v>4980</v>
      </c>
      <c r="F21" s="175">
        <v>754.12465381637583</v>
      </c>
      <c r="G21" s="300">
        <v>1.119323428187694</v>
      </c>
      <c r="H21" s="440">
        <v>844.10939279060381</v>
      </c>
      <c r="I21" s="440">
        <v>2038</v>
      </c>
      <c r="J21" s="440">
        <v>57.628934136179602</v>
      </c>
      <c r="K21" s="431">
        <v>0.15020559542046286</v>
      </c>
      <c r="L21" s="440">
        <v>403.40253895325719</v>
      </c>
    </row>
    <row r="22" spans="1:12" ht="19.5" thickBot="1" x14ac:dyDescent="0.3">
      <c r="A22" s="56" t="s">
        <v>38</v>
      </c>
      <c r="B22" s="41">
        <v>978313</v>
      </c>
      <c r="C22" s="261" t="s">
        <v>38</v>
      </c>
      <c r="D22">
        <v>35755</v>
      </c>
      <c r="E22">
        <v>413</v>
      </c>
      <c r="F22" s="175">
        <v>468.86834786004067</v>
      </c>
      <c r="G22" s="300">
        <v>1.6619565217391303</v>
      </c>
      <c r="H22" s="440">
        <v>779.23880856304584</v>
      </c>
      <c r="I22" s="440">
        <v>389.71428571428572</v>
      </c>
      <c r="J22" s="440">
        <v>39.835337536584483</v>
      </c>
      <c r="K22" s="431">
        <v>0.46745562130177509</v>
      </c>
      <c r="L22" s="440">
        <v>278.84736275609134</v>
      </c>
    </row>
    <row r="23" spans="1:12" ht="19.5" thickBot="1" x14ac:dyDescent="0.3">
      <c r="A23" s="56" t="s">
        <v>39</v>
      </c>
      <c r="B23" s="41">
        <v>176830</v>
      </c>
      <c r="C23" s="261" t="s">
        <v>39</v>
      </c>
      <c r="D23">
        <v>27578</v>
      </c>
      <c r="E23">
        <v>407</v>
      </c>
      <c r="F23" s="175">
        <v>564.38387151501445</v>
      </c>
      <c r="G23" s="300">
        <v>0.91643709825528008</v>
      </c>
      <c r="H23" s="440">
        <v>517.22231751330071</v>
      </c>
      <c r="I23" s="440">
        <v>74.428571428571431</v>
      </c>
      <c r="J23" s="440">
        <v>42.090466226642214</v>
      </c>
      <c r="K23" s="431">
        <v>9.2243186582809278E-2</v>
      </c>
      <c r="L23" s="440">
        <v>294.6332635864955</v>
      </c>
    </row>
    <row r="24" spans="1:12" ht="19.5" thickBot="1" x14ac:dyDescent="0.3">
      <c r="A24" s="57" t="s">
        <v>40</v>
      </c>
      <c r="B24" s="41">
        <v>1694656</v>
      </c>
      <c r="C24" s="261" t="s">
        <v>40</v>
      </c>
      <c r="D24">
        <v>115823</v>
      </c>
      <c r="E24">
        <v>1755</v>
      </c>
      <c r="F24" s="175">
        <v>500.16050455077607</v>
      </c>
      <c r="G24" s="300">
        <v>0.94010647737355812</v>
      </c>
      <c r="H24" s="440">
        <v>470.2041300546116</v>
      </c>
      <c r="I24" s="440">
        <v>682.71428571428567</v>
      </c>
      <c r="J24" s="440">
        <v>40.28630505036336</v>
      </c>
      <c r="K24" s="431">
        <v>0.29266973221530979</v>
      </c>
      <c r="L24" s="440">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workbookViewId="0"/>
  </sheetViews>
  <sheetFormatPr baseColWidth="10" defaultRowHeight="15" x14ac:dyDescent="0.25"/>
  <cols>
    <col min="1" max="1" width="3.85546875" style="206" customWidth="1"/>
    <col min="2" max="2" width="27" style="198" bestFit="1" customWidth="1"/>
    <col min="3" max="5" width="11.42578125" style="41"/>
    <col min="6" max="6" width="0" style="41" hidden="1" customWidth="1"/>
    <col min="7" max="7" width="11.42578125" style="41"/>
    <col min="8" max="8" width="11.42578125" style="41" customWidth="1"/>
    <col min="9" max="9" width="5.5703125" style="206" customWidth="1"/>
    <col min="10" max="10" width="24.140625" style="41" bestFit="1" customWidth="1"/>
    <col min="11" max="14" width="11.42578125" style="41"/>
    <col min="15" max="15" width="3.42578125" style="206" customWidth="1"/>
    <col min="16" max="16" width="14.140625" style="41" customWidth="1"/>
    <col min="17" max="17" width="14.140625" style="261" customWidth="1"/>
    <col min="18" max="18" width="8.42578125" style="41" customWidth="1"/>
    <col min="19" max="19" width="9.140625" style="41" customWidth="1"/>
    <col min="20" max="20" width="8.140625" style="41" customWidth="1"/>
    <col min="21" max="21" width="8.140625" style="261" customWidth="1"/>
    <col min="22" max="22" width="11.42578125" style="41"/>
    <col min="23" max="23" width="11.42578125" style="417"/>
    <col min="24" max="16384" width="11.42578125" style="41"/>
  </cols>
  <sheetData>
    <row r="1" spans="1:26" s="206" customFormat="1" ht="15.75" thickBot="1" x14ac:dyDescent="0.3">
      <c r="B1" s="216"/>
      <c r="W1" s="432"/>
    </row>
    <row r="2" spans="1:26" s="42" customFormat="1" ht="48" thickBot="1" x14ac:dyDescent="0.3">
      <c r="A2" s="205"/>
      <c r="B2" s="49" t="s">
        <v>195</v>
      </c>
      <c r="C2" s="207" t="s">
        <v>198</v>
      </c>
      <c r="D2" s="207" t="s">
        <v>199</v>
      </c>
      <c r="E2" s="208" t="s">
        <v>196</v>
      </c>
      <c r="F2" s="209" t="s">
        <v>119</v>
      </c>
      <c r="G2" s="210" t="s">
        <v>197</v>
      </c>
      <c r="H2" s="202" t="s">
        <v>120</v>
      </c>
      <c r="I2" s="205"/>
      <c r="J2" s="49" t="s">
        <v>195</v>
      </c>
      <c r="K2" s="207" t="s">
        <v>198</v>
      </c>
      <c r="L2" s="207" t="s">
        <v>199</v>
      </c>
      <c r="M2" s="208" t="s">
        <v>196</v>
      </c>
      <c r="N2" s="210" t="s">
        <v>197</v>
      </c>
      <c r="O2" s="205"/>
      <c r="Q2" s="416"/>
      <c r="U2" s="416"/>
      <c r="W2" s="417"/>
    </row>
    <row r="3" spans="1:26" ht="21" customHeight="1" thickBot="1" x14ac:dyDescent="0.3">
      <c r="B3" s="203" t="s">
        <v>121</v>
      </c>
      <c r="C3" s="218">
        <v>39</v>
      </c>
      <c r="D3" s="218">
        <v>34</v>
      </c>
      <c r="E3" s="190">
        <v>1.1000000000000001</v>
      </c>
      <c r="F3" s="204" t="s">
        <v>122</v>
      </c>
      <c r="G3" s="211">
        <v>281</v>
      </c>
      <c r="H3" s="201" t="s">
        <v>123</v>
      </c>
      <c r="J3" s="203" t="s">
        <v>171</v>
      </c>
      <c r="K3" s="218">
        <v>177</v>
      </c>
      <c r="L3" s="218">
        <v>128</v>
      </c>
      <c r="M3" s="190">
        <v>1.4</v>
      </c>
      <c r="N3" s="211">
        <v>432</v>
      </c>
    </row>
    <row r="4" spans="1:26" ht="21" customHeight="1" thickBot="1" x14ac:dyDescent="0.3">
      <c r="B4" s="203" t="s">
        <v>124</v>
      </c>
      <c r="C4" s="218">
        <v>460</v>
      </c>
      <c r="D4" s="218">
        <v>461</v>
      </c>
      <c r="E4" s="190">
        <v>1</v>
      </c>
      <c r="F4" s="204" t="s">
        <v>125</v>
      </c>
      <c r="G4" s="211">
        <v>348</v>
      </c>
      <c r="H4" s="201" t="s">
        <v>123</v>
      </c>
      <c r="J4" s="203" t="s">
        <v>172</v>
      </c>
      <c r="K4" s="218">
        <v>73</v>
      </c>
      <c r="L4" s="218">
        <v>67</v>
      </c>
      <c r="M4" s="190">
        <v>1.1000000000000001</v>
      </c>
      <c r="N4" s="211">
        <v>370</v>
      </c>
    </row>
    <row r="5" spans="1:26" ht="21" customHeight="1" thickBot="1" x14ac:dyDescent="0.3">
      <c r="B5" s="203" t="s">
        <v>126</v>
      </c>
      <c r="C5" s="218">
        <v>497</v>
      </c>
      <c r="D5" s="218">
        <v>462</v>
      </c>
      <c r="E5" s="190">
        <v>1.1000000000000001</v>
      </c>
      <c r="F5" s="204" t="s">
        <v>127</v>
      </c>
      <c r="G5" s="211">
        <v>357</v>
      </c>
      <c r="H5" s="201" t="s">
        <v>123</v>
      </c>
      <c r="J5" s="203" t="s">
        <v>173</v>
      </c>
      <c r="K5" s="218">
        <v>35</v>
      </c>
      <c r="L5" s="218">
        <v>42</v>
      </c>
      <c r="M5" s="190">
        <v>0.8</v>
      </c>
      <c r="N5" s="211">
        <v>519</v>
      </c>
    </row>
    <row r="6" spans="1:26" ht="21" customHeight="1" thickBot="1" x14ac:dyDescent="0.3">
      <c r="B6" s="203" t="s">
        <v>128</v>
      </c>
      <c r="C6" s="218">
        <v>297</v>
      </c>
      <c r="D6" s="218">
        <v>225</v>
      </c>
      <c r="E6" s="190">
        <v>1.3</v>
      </c>
      <c r="F6" s="204" t="s">
        <v>129</v>
      </c>
      <c r="G6" s="211">
        <v>332</v>
      </c>
      <c r="H6" s="201" t="s">
        <v>130</v>
      </c>
      <c r="J6" s="203" t="s">
        <v>174</v>
      </c>
      <c r="K6" s="218">
        <v>620</v>
      </c>
      <c r="L6" s="218">
        <v>542</v>
      </c>
      <c r="M6" s="190">
        <v>1.1000000000000001</v>
      </c>
      <c r="N6" s="211">
        <v>391</v>
      </c>
    </row>
    <row r="7" spans="1:26" ht="21" customHeight="1" thickBot="1" x14ac:dyDescent="0.3">
      <c r="B7" s="203" t="s">
        <v>131</v>
      </c>
      <c r="C7" s="218">
        <v>484</v>
      </c>
      <c r="D7" s="218">
        <v>415</v>
      </c>
      <c r="E7" s="190">
        <v>1.2</v>
      </c>
      <c r="F7" s="204" t="s">
        <v>132</v>
      </c>
      <c r="G7" s="211">
        <v>382</v>
      </c>
      <c r="H7" s="201" t="s">
        <v>130</v>
      </c>
      <c r="J7" s="203" t="s">
        <v>175</v>
      </c>
      <c r="K7" s="218">
        <v>177</v>
      </c>
      <c r="L7" s="218">
        <v>153</v>
      </c>
      <c r="M7" s="190">
        <v>1.2</v>
      </c>
      <c r="N7" s="211">
        <v>271</v>
      </c>
    </row>
    <row r="8" spans="1:26" ht="21" customHeight="1" thickBot="1" x14ac:dyDescent="0.35">
      <c r="B8" s="203" t="s">
        <v>133</v>
      </c>
      <c r="C8" s="218">
        <v>157</v>
      </c>
      <c r="D8" s="218">
        <v>150</v>
      </c>
      <c r="E8" s="190">
        <v>1</v>
      </c>
      <c r="F8" s="204" t="s">
        <v>134</v>
      </c>
      <c r="G8" s="211">
        <v>350</v>
      </c>
      <c r="H8" s="201" t="s">
        <v>123</v>
      </c>
      <c r="J8" s="203" t="s">
        <v>176</v>
      </c>
      <c r="K8" s="218">
        <v>155</v>
      </c>
      <c r="L8" s="218">
        <v>122</v>
      </c>
      <c r="M8" s="190">
        <v>1.3</v>
      </c>
      <c r="N8" s="211">
        <v>309</v>
      </c>
      <c r="P8" s="429"/>
      <c r="Q8" s="430">
        <v>44302</v>
      </c>
      <c r="R8" s="430">
        <v>44309</v>
      </c>
      <c r="S8" s="430">
        <v>44316</v>
      </c>
      <c r="T8" s="430">
        <v>44323</v>
      </c>
      <c r="U8" s="442">
        <f>AVERAGE(U9:U10)</f>
        <v>-0.16976846296911874</v>
      </c>
      <c r="V8" s="442">
        <f>AVERAGE(V9:V10)</f>
        <v>-7.8754959146807857E-2</v>
      </c>
      <c r="W8" s="442">
        <f>AVERAGE(W9:W10)</f>
        <v>-0.13947640843998338</v>
      </c>
    </row>
    <row r="9" spans="1:26" ht="21" customHeight="1" thickBot="1" x14ac:dyDescent="0.35">
      <c r="B9" s="203" t="s">
        <v>135</v>
      </c>
      <c r="C9" s="218">
        <v>158</v>
      </c>
      <c r="D9" s="218">
        <v>155</v>
      </c>
      <c r="E9" s="190">
        <v>1</v>
      </c>
      <c r="F9" s="204" t="s">
        <v>136</v>
      </c>
      <c r="G9" s="211">
        <v>334</v>
      </c>
      <c r="H9" s="201" t="s">
        <v>123</v>
      </c>
      <c r="J9" s="203" t="s">
        <v>177</v>
      </c>
      <c r="K9" s="218">
        <v>135</v>
      </c>
      <c r="L9" s="218">
        <v>131</v>
      </c>
      <c r="M9" s="190">
        <v>1</v>
      </c>
      <c r="N9" s="211">
        <v>278</v>
      </c>
      <c r="P9" s="429" t="s">
        <v>293</v>
      </c>
      <c r="Q9" s="429">
        <v>7607</v>
      </c>
      <c r="R9" s="429">
        <v>5366</v>
      </c>
      <c r="S9" s="429">
        <v>5326</v>
      </c>
      <c r="T9" s="429">
        <v>4632</v>
      </c>
      <c r="U9" s="441">
        <f t="shared" ref="U9:W10" si="0">R9/Q9-1</f>
        <v>-0.29459708163533582</v>
      </c>
      <c r="V9" s="441">
        <f t="shared" si="0"/>
        <v>-7.4543421543048494E-3</v>
      </c>
      <c r="W9" s="441">
        <f t="shared" si="0"/>
        <v>-0.13030416823131807</v>
      </c>
    </row>
    <row r="10" spans="1:26" ht="21" customHeight="1" thickBot="1" x14ac:dyDescent="0.35">
      <c r="B10" s="203" t="s">
        <v>137</v>
      </c>
      <c r="C10" s="218">
        <v>599</v>
      </c>
      <c r="D10" s="218">
        <v>600</v>
      </c>
      <c r="E10" s="190">
        <v>1</v>
      </c>
      <c r="F10" s="204" t="s">
        <v>138</v>
      </c>
      <c r="G10" s="211">
        <v>339</v>
      </c>
      <c r="H10" s="201" t="s">
        <v>123</v>
      </c>
      <c r="J10" s="203" t="s">
        <v>178</v>
      </c>
      <c r="K10" s="218">
        <v>164</v>
      </c>
      <c r="L10" s="218">
        <v>153</v>
      </c>
      <c r="M10" s="190">
        <v>1.1000000000000001</v>
      </c>
      <c r="N10" s="211">
        <v>556</v>
      </c>
      <c r="P10" s="429" t="s">
        <v>43</v>
      </c>
      <c r="Q10" s="429">
        <v>2826</v>
      </c>
      <c r="R10" s="429">
        <v>2699</v>
      </c>
      <c r="S10" s="429">
        <v>2294</v>
      </c>
      <c r="T10" s="429">
        <v>1953</v>
      </c>
      <c r="U10" s="441">
        <f t="shared" si="0"/>
        <v>-4.4939844302901655E-2</v>
      </c>
      <c r="V10" s="441">
        <f t="shared" si="0"/>
        <v>-0.15005557613931086</v>
      </c>
      <c r="W10" s="441">
        <f t="shared" si="0"/>
        <v>-0.14864864864864868</v>
      </c>
      <c r="X10" s="41">
        <v>6</v>
      </c>
      <c r="Y10" s="41">
        <v>13</v>
      </c>
    </row>
    <row r="11" spans="1:26" ht="21" customHeight="1" thickBot="1" x14ac:dyDescent="0.35">
      <c r="B11" s="203" t="s">
        <v>139</v>
      </c>
      <c r="C11" s="218">
        <v>92</v>
      </c>
      <c r="D11" s="218">
        <v>112</v>
      </c>
      <c r="E11" s="190">
        <v>0.8</v>
      </c>
      <c r="F11" s="204" t="s">
        <v>140</v>
      </c>
      <c r="G11" s="211">
        <v>334</v>
      </c>
      <c r="H11" s="201" t="s">
        <v>123</v>
      </c>
      <c r="J11" s="203" t="s">
        <v>179</v>
      </c>
      <c r="K11" s="218">
        <v>84</v>
      </c>
      <c r="L11" s="218">
        <v>79</v>
      </c>
      <c r="M11" s="190">
        <v>1.1000000000000001</v>
      </c>
      <c r="N11" s="211">
        <v>415</v>
      </c>
      <c r="P11" s="429" t="s">
        <v>73</v>
      </c>
      <c r="Q11" s="429">
        <v>12632</v>
      </c>
      <c r="R11" s="429">
        <v>11679</v>
      </c>
      <c r="S11" s="429">
        <v>10291</v>
      </c>
      <c r="T11" s="429">
        <v>8764</v>
      </c>
      <c r="U11" s="429"/>
      <c r="V11" s="433"/>
      <c r="W11" s="434"/>
      <c r="X11" s="41">
        <v>200</v>
      </c>
      <c r="Y11" s="41">
        <v>249</v>
      </c>
      <c r="Z11" s="431">
        <f>Y11/X11-1</f>
        <v>0.24500000000000011</v>
      </c>
    </row>
    <row r="12" spans="1:26" ht="21" customHeight="1" thickBot="1" x14ac:dyDescent="0.35">
      <c r="B12" s="203" t="s">
        <v>141</v>
      </c>
      <c r="C12" s="218">
        <v>55</v>
      </c>
      <c r="D12" s="218">
        <v>59</v>
      </c>
      <c r="E12" s="190">
        <v>0.9</v>
      </c>
      <c r="F12" s="204" t="s">
        <v>142</v>
      </c>
      <c r="G12" s="211">
        <v>294</v>
      </c>
      <c r="H12" s="201" t="s">
        <v>123</v>
      </c>
      <c r="J12" s="203" t="s">
        <v>180</v>
      </c>
      <c r="K12" s="218">
        <v>141</v>
      </c>
      <c r="L12" s="218">
        <v>107</v>
      </c>
      <c r="M12" s="190">
        <v>1.3</v>
      </c>
      <c r="N12" s="211">
        <v>401</v>
      </c>
      <c r="P12" s="436" t="s">
        <v>294</v>
      </c>
      <c r="Q12" s="436"/>
      <c r="R12" s="429">
        <v>8916</v>
      </c>
      <c r="S12" s="429">
        <v>7104</v>
      </c>
      <c r="T12" s="429">
        <v>5909</v>
      </c>
      <c r="U12" s="429"/>
      <c r="V12" s="433"/>
      <c r="W12" s="434" t="s">
        <v>297</v>
      </c>
      <c r="X12" s="41">
        <v>48</v>
      </c>
      <c r="Y12" s="41">
        <v>52</v>
      </c>
      <c r="Z12" s="431">
        <f>Y12/X12-1</f>
        <v>8.3333333333333259E-2</v>
      </c>
    </row>
    <row r="13" spans="1:26" ht="21" customHeight="1" thickBot="1" x14ac:dyDescent="0.3">
      <c r="B13" s="203" t="s">
        <v>143</v>
      </c>
      <c r="C13" s="218">
        <v>193</v>
      </c>
      <c r="D13" s="218">
        <v>144</v>
      </c>
      <c r="E13" s="190">
        <v>1.3</v>
      </c>
      <c r="F13" s="204" t="s">
        <v>144</v>
      </c>
      <c r="G13" s="211">
        <v>369</v>
      </c>
      <c r="H13" s="201" t="s">
        <v>130</v>
      </c>
      <c r="J13" s="203" t="s">
        <v>181</v>
      </c>
      <c r="K13" s="218">
        <v>54</v>
      </c>
      <c r="L13" s="218">
        <v>59</v>
      </c>
      <c r="M13" s="190">
        <v>0.9</v>
      </c>
      <c r="N13" s="211">
        <v>389</v>
      </c>
      <c r="V13" s="435"/>
      <c r="W13" s="435" t="s">
        <v>298</v>
      </c>
      <c r="X13" s="41">
        <v>152</v>
      </c>
      <c r="Y13" s="41">
        <v>196</v>
      </c>
      <c r="Z13" s="431">
        <f>Y13/X13-1</f>
        <v>0.28947368421052633</v>
      </c>
    </row>
    <row r="14" spans="1:26" ht="21" customHeight="1" thickBot="1" x14ac:dyDescent="0.3">
      <c r="B14" s="203" t="s">
        <v>145</v>
      </c>
      <c r="C14" s="218">
        <v>180</v>
      </c>
      <c r="D14" s="218">
        <v>168</v>
      </c>
      <c r="E14" s="190">
        <v>1.1000000000000001</v>
      </c>
      <c r="F14" s="204" t="s">
        <v>146</v>
      </c>
      <c r="G14" s="211">
        <v>409</v>
      </c>
      <c r="H14" s="201" t="s">
        <v>123</v>
      </c>
      <c r="J14" s="203" t="s">
        <v>182</v>
      </c>
      <c r="K14" s="218">
        <v>296</v>
      </c>
      <c r="L14" s="218">
        <v>264</v>
      </c>
      <c r="M14" s="190">
        <v>1.1000000000000001</v>
      </c>
      <c r="N14" s="211">
        <v>362</v>
      </c>
    </row>
    <row r="15" spans="1:26" ht="21" customHeight="1" thickBot="1" x14ac:dyDescent="0.3">
      <c r="B15" s="203" t="s">
        <v>147</v>
      </c>
      <c r="C15" s="218">
        <v>542</v>
      </c>
      <c r="D15" s="218">
        <v>483</v>
      </c>
      <c r="E15" s="190">
        <v>1.1000000000000001</v>
      </c>
      <c r="F15" s="204" t="s">
        <v>148</v>
      </c>
      <c r="G15" s="211">
        <v>330</v>
      </c>
      <c r="H15" s="201" t="s">
        <v>123</v>
      </c>
      <c r="J15" s="203" t="s">
        <v>183</v>
      </c>
      <c r="K15" s="218">
        <v>202</v>
      </c>
      <c r="L15" s="218">
        <v>158</v>
      </c>
      <c r="M15" s="190">
        <v>1.3</v>
      </c>
      <c r="N15" s="211">
        <v>367</v>
      </c>
    </row>
    <row r="16" spans="1:26" ht="21" customHeight="1" thickBot="1" x14ac:dyDescent="0.3">
      <c r="B16" s="203" t="s">
        <v>149</v>
      </c>
      <c r="C16" s="218">
        <v>109</v>
      </c>
      <c r="D16" s="218">
        <v>108</v>
      </c>
      <c r="E16" s="190">
        <v>1</v>
      </c>
      <c r="F16" s="204" t="s">
        <v>150</v>
      </c>
      <c r="G16" s="211">
        <v>291</v>
      </c>
      <c r="H16" s="201" t="s">
        <v>123</v>
      </c>
      <c r="J16" s="203" t="s">
        <v>184</v>
      </c>
      <c r="K16" s="218">
        <v>263</v>
      </c>
      <c r="L16" s="218">
        <v>235</v>
      </c>
      <c r="M16" s="190">
        <v>1.1000000000000001</v>
      </c>
      <c r="N16" s="211">
        <v>395</v>
      </c>
    </row>
    <row r="17" spans="2:23" ht="21" customHeight="1" thickBot="1" x14ac:dyDescent="0.3">
      <c r="B17" s="203" t="s">
        <v>151</v>
      </c>
      <c r="C17" s="218">
        <v>157</v>
      </c>
      <c r="D17" s="218">
        <v>142</v>
      </c>
      <c r="E17" s="190">
        <v>1.1000000000000001</v>
      </c>
      <c r="F17" s="204" t="s">
        <v>152</v>
      </c>
      <c r="G17" s="211">
        <v>355</v>
      </c>
      <c r="H17" s="201" t="s">
        <v>123</v>
      </c>
      <c r="J17" s="203" t="s">
        <v>185</v>
      </c>
      <c r="K17" s="218">
        <v>102</v>
      </c>
      <c r="L17" s="218">
        <v>97</v>
      </c>
      <c r="M17" s="190">
        <v>1.1000000000000001</v>
      </c>
      <c r="N17" s="211">
        <v>292</v>
      </c>
    </row>
    <row r="18" spans="2:23" ht="21" customHeight="1" thickBot="1" x14ac:dyDescent="0.3">
      <c r="B18" s="203" t="s">
        <v>153</v>
      </c>
      <c r="C18" s="218">
        <v>248</v>
      </c>
      <c r="D18" s="218">
        <v>194</v>
      </c>
      <c r="E18" s="190">
        <v>1.3</v>
      </c>
      <c r="F18" s="204" t="s">
        <v>154</v>
      </c>
      <c r="G18" s="211">
        <v>386</v>
      </c>
      <c r="H18" s="201" t="s">
        <v>130</v>
      </c>
      <c r="J18" s="203" t="s">
        <v>186</v>
      </c>
      <c r="K18" s="218">
        <v>333</v>
      </c>
      <c r="L18" s="218">
        <v>336</v>
      </c>
      <c r="M18" s="190">
        <v>1</v>
      </c>
      <c r="N18" s="211">
        <v>263</v>
      </c>
    </row>
    <row r="19" spans="2:23" ht="21" customHeight="1" thickBot="1" x14ac:dyDescent="0.3">
      <c r="B19" s="203" t="s">
        <v>155</v>
      </c>
      <c r="C19" s="218">
        <v>143</v>
      </c>
      <c r="D19" s="218">
        <v>147</v>
      </c>
      <c r="E19" s="190">
        <v>1</v>
      </c>
      <c r="F19" s="204" t="s">
        <v>156</v>
      </c>
      <c r="G19" s="211">
        <v>354</v>
      </c>
      <c r="H19" s="201" t="s">
        <v>123</v>
      </c>
      <c r="J19" s="203" t="s">
        <v>187</v>
      </c>
      <c r="K19" s="218">
        <v>106</v>
      </c>
      <c r="L19" s="218">
        <v>121</v>
      </c>
      <c r="M19" s="190">
        <v>0.9</v>
      </c>
      <c r="N19" s="211">
        <v>326</v>
      </c>
    </row>
    <row r="20" spans="2:23" ht="21" customHeight="1" thickBot="1" x14ac:dyDescent="0.3">
      <c r="B20" s="203" t="s">
        <v>157</v>
      </c>
      <c r="C20" s="218">
        <v>124</v>
      </c>
      <c r="D20" s="218">
        <v>118</v>
      </c>
      <c r="E20" s="190">
        <v>1.1000000000000001</v>
      </c>
      <c r="F20" s="204" t="s">
        <v>158</v>
      </c>
      <c r="G20" s="211">
        <v>367</v>
      </c>
      <c r="H20" s="201" t="s">
        <v>123</v>
      </c>
      <c r="J20" s="203" t="s">
        <v>188</v>
      </c>
      <c r="K20" s="218">
        <v>72</v>
      </c>
      <c r="L20" s="218">
        <v>65</v>
      </c>
      <c r="M20" s="190">
        <v>1.1000000000000001</v>
      </c>
      <c r="N20" s="211">
        <v>336</v>
      </c>
    </row>
    <row r="21" spans="2:23" ht="21" customHeight="1" thickBot="1" x14ac:dyDescent="0.3">
      <c r="B21" s="203" t="s">
        <v>159</v>
      </c>
      <c r="C21" s="218">
        <v>157</v>
      </c>
      <c r="D21" s="218">
        <v>147</v>
      </c>
      <c r="E21" s="190">
        <v>1.1000000000000001</v>
      </c>
      <c r="F21" s="204" t="s">
        <v>160</v>
      </c>
      <c r="G21" s="211">
        <v>372</v>
      </c>
      <c r="H21" s="201" t="s">
        <v>123</v>
      </c>
      <c r="J21" s="203" t="s">
        <v>189</v>
      </c>
      <c r="K21" s="218">
        <v>128</v>
      </c>
      <c r="L21" s="218">
        <v>124</v>
      </c>
      <c r="M21" s="190">
        <v>1</v>
      </c>
      <c r="N21" s="211">
        <v>323</v>
      </c>
    </row>
    <row r="22" spans="2:23" ht="21" customHeight="1" thickBot="1" x14ac:dyDescent="0.3">
      <c r="B22" s="203" t="s">
        <v>161</v>
      </c>
      <c r="C22" s="218">
        <v>168</v>
      </c>
      <c r="D22" s="218">
        <v>150</v>
      </c>
      <c r="E22" s="190">
        <v>1.1000000000000001</v>
      </c>
      <c r="F22" s="204" t="s">
        <v>162</v>
      </c>
      <c r="G22" s="211">
        <v>320</v>
      </c>
      <c r="H22" s="201" t="s">
        <v>123</v>
      </c>
      <c r="J22" s="203" t="s">
        <v>190</v>
      </c>
      <c r="K22" s="218">
        <v>46</v>
      </c>
      <c r="L22" s="218">
        <v>50</v>
      </c>
      <c r="M22" s="190">
        <v>0.9</v>
      </c>
      <c r="N22" s="211">
        <v>342</v>
      </c>
    </row>
    <row r="23" spans="2:23" ht="21" customHeight="1" thickBot="1" x14ac:dyDescent="0.3">
      <c r="B23" s="203" t="s">
        <v>163</v>
      </c>
      <c r="C23" s="218">
        <v>879</v>
      </c>
      <c r="D23" s="218">
        <v>816</v>
      </c>
      <c r="E23" s="190">
        <v>1.1000000000000001</v>
      </c>
      <c r="F23" s="204" t="s">
        <v>164</v>
      </c>
      <c r="G23" s="211">
        <v>389</v>
      </c>
      <c r="H23" s="201" t="s">
        <v>123</v>
      </c>
      <c r="J23" s="203" t="s">
        <v>191</v>
      </c>
      <c r="K23" s="218">
        <v>73</v>
      </c>
      <c r="L23" s="218">
        <v>63</v>
      </c>
      <c r="M23" s="190">
        <v>1.2</v>
      </c>
      <c r="N23" s="211">
        <v>519</v>
      </c>
    </row>
    <row r="24" spans="2:23" ht="21" customHeight="1" thickBot="1" x14ac:dyDescent="0.3">
      <c r="B24" s="203" t="s">
        <v>165</v>
      </c>
      <c r="C24" s="218">
        <v>168</v>
      </c>
      <c r="D24" s="218">
        <v>133</v>
      </c>
      <c r="E24" s="190">
        <v>1.3</v>
      </c>
      <c r="F24" s="204" t="s">
        <v>166</v>
      </c>
      <c r="G24" s="211">
        <v>316</v>
      </c>
      <c r="H24" s="201" t="s">
        <v>130</v>
      </c>
      <c r="J24" s="203" t="s">
        <v>192</v>
      </c>
      <c r="K24" s="218">
        <v>93</v>
      </c>
      <c r="L24" s="218">
        <v>97</v>
      </c>
      <c r="M24" s="190">
        <v>1</v>
      </c>
      <c r="N24" s="211">
        <v>281</v>
      </c>
    </row>
    <row r="25" spans="2:23" ht="21" customHeight="1" thickBot="1" x14ac:dyDescent="0.3">
      <c r="B25" s="203" t="s">
        <v>167</v>
      </c>
      <c r="C25" s="218">
        <v>184</v>
      </c>
      <c r="D25" s="218">
        <v>163</v>
      </c>
      <c r="E25" s="190">
        <v>1.1000000000000001</v>
      </c>
      <c r="F25" s="204" t="s">
        <v>168</v>
      </c>
      <c r="G25" s="211">
        <v>327</v>
      </c>
      <c r="H25" s="201" t="s">
        <v>123</v>
      </c>
      <c r="J25" s="203" t="s">
        <v>193</v>
      </c>
      <c r="K25" s="218">
        <v>141</v>
      </c>
      <c r="L25" s="218">
        <v>101</v>
      </c>
      <c r="M25" s="190">
        <v>1.4</v>
      </c>
      <c r="N25" s="211">
        <v>302</v>
      </c>
    </row>
    <row r="26" spans="2:23" ht="21" customHeight="1" thickBot="1" x14ac:dyDescent="0.3">
      <c r="B26" s="212" t="s">
        <v>169</v>
      </c>
      <c r="C26" s="219">
        <v>72</v>
      </c>
      <c r="D26" s="219">
        <v>50</v>
      </c>
      <c r="E26" s="213">
        <v>1.4</v>
      </c>
      <c r="F26" s="214" t="s">
        <v>170</v>
      </c>
      <c r="G26" s="215">
        <v>410</v>
      </c>
      <c r="H26" s="201" t="s">
        <v>130</v>
      </c>
      <c r="J26" s="212" t="s">
        <v>194</v>
      </c>
      <c r="K26" s="219">
        <v>319</v>
      </c>
      <c r="L26" s="219">
        <v>270</v>
      </c>
      <c r="M26" s="213">
        <v>1.2</v>
      </c>
      <c r="N26" s="215">
        <v>346</v>
      </c>
    </row>
    <row r="27" spans="2:23" s="206" customFormat="1" x14ac:dyDescent="0.25">
      <c r="B27" s="216"/>
      <c r="H27" s="217" t="s">
        <v>130</v>
      </c>
      <c r="W27" s="432"/>
    </row>
    <row r="28" spans="2:23" s="206" customFormat="1" x14ac:dyDescent="0.25">
      <c r="B28" s="216"/>
      <c r="H28" s="217" t="s">
        <v>123</v>
      </c>
      <c r="W28" s="432"/>
    </row>
    <row r="29" spans="2:23" s="206" customFormat="1" x14ac:dyDescent="0.25">
      <c r="B29" s="216"/>
      <c r="H29" s="217" t="s">
        <v>123</v>
      </c>
      <c r="W29" s="432"/>
    </row>
    <row r="30" spans="2:23" x14ac:dyDescent="0.25">
      <c r="H30" s="201" t="s">
        <v>123</v>
      </c>
    </row>
    <row r="31" spans="2:23" x14ac:dyDescent="0.25">
      <c r="H31" s="201" t="s">
        <v>130</v>
      </c>
    </row>
    <row r="32" spans="2:23" x14ac:dyDescent="0.25">
      <c r="H32" s="201" t="s">
        <v>130</v>
      </c>
    </row>
    <row r="33" spans="8:8" x14ac:dyDescent="0.25">
      <c r="H33" s="201" t="s">
        <v>123</v>
      </c>
    </row>
    <row r="34" spans="8:8" x14ac:dyDescent="0.25">
      <c r="H34" s="201" t="s">
        <v>123</v>
      </c>
    </row>
    <row r="35" spans="8:8" x14ac:dyDescent="0.25">
      <c r="H35" s="201" t="s">
        <v>123</v>
      </c>
    </row>
    <row r="36" spans="8:8" x14ac:dyDescent="0.25">
      <c r="H36" s="201" t="s">
        <v>130</v>
      </c>
    </row>
    <row r="37" spans="8:8" x14ac:dyDescent="0.25">
      <c r="H37" s="201" t="s">
        <v>123</v>
      </c>
    </row>
    <row r="38" spans="8:8" x14ac:dyDescent="0.25">
      <c r="H38" s="201" t="s">
        <v>123</v>
      </c>
    </row>
    <row r="39" spans="8:8" x14ac:dyDescent="0.25">
      <c r="H39" s="201" t="s">
        <v>130</v>
      </c>
    </row>
    <row r="40" spans="8:8" x14ac:dyDescent="0.25">
      <c r="H40" s="201" t="s">
        <v>123</v>
      </c>
    </row>
    <row r="41" spans="8:8" x14ac:dyDescent="0.25">
      <c r="H41" s="201" t="s">
        <v>123</v>
      </c>
    </row>
    <row r="42" spans="8:8" x14ac:dyDescent="0.25">
      <c r="H42" s="201" t="s">
        <v>123</v>
      </c>
    </row>
    <row r="43" spans="8:8" x14ac:dyDescent="0.25">
      <c r="H43" s="201" t="s">
        <v>123</v>
      </c>
    </row>
    <row r="44" spans="8:8" x14ac:dyDescent="0.25">
      <c r="H44" s="201" t="s">
        <v>123</v>
      </c>
    </row>
    <row r="45" spans="8:8" x14ac:dyDescent="0.25">
      <c r="H45" s="201" t="s">
        <v>123</v>
      </c>
    </row>
    <row r="46" spans="8:8" x14ac:dyDescent="0.25">
      <c r="H46" s="201" t="s">
        <v>123</v>
      </c>
    </row>
    <row r="47" spans="8:8" x14ac:dyDescent="0.25">
      <c r="H47" s="201" t="s">
        <v>130</v>
      </c>
    </row>
    <row r="48" spans="8:8" x14ac:dyDescent="0.25">
      <c r="H48" s="201" t="s">
        <v>123</v>
      </c>
    </row>
    <row r="49" spans="8:8" x14ac:dyDescent="0.25">
      <c r="H49" s="201" t="s">
        <v>130</v>
      </c>
    </row>
    <row r="50" spans="8:8" x14ac:dyDescent="0.25">
      <c r="H50" s="201"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2D3-FF59-40C0-8E52-9DB8B602499C}">
  <dimension ref="A1:F1007"/>
  <sheetViews>
    <sheetView workbookViewId="0">
      <selection activeCell="D473" sqref="D473"/>
    </sheetView>
  </sheetViews>
  <sheetFormatPr baseColWidth="10" defaultRowHeight="15" x14ac:dyDescent="0.25"/>
  <cols>
    <col min="1" max="2" width="11.42578125" style="261"/>
    <col min="4" max="5" width="11.42578125" style="483"/>
    <col min="6" max="6" width="11.85546875" bestFit="1" customWidth="1"/>
  </cols>
  <sheetData>
    <row r="1" spans="1:6" ht="15.75" thickBot="1" x14ac:dyDescent="0.3">
      <c r="C1" s="496" t="s">
        <v>311</v>
      </c>
      <c r="D1" s="483" t="s">
        <v>310</v>
      </c>
    </row>
    <row r="2" spans="1:6" ht="15.75" thickBot="1" x14ac:dyDescent="0.3">
      <c r="A2" s="2">
        <v>43893</v>
      </c>
      <c r="B2" s="261">
        <v>0</v>
      </c>
      <c r="C2" s="493">
        <v>0</v>
      </c>
      <c r="D2" s="483">
        <v>0</v>
      </c>
      <c r="E2" s="483">
        <v>0</v>
      </c>
      <c r="F2" t="b">
        <f>EXACT(B2,D2)</f>
        <v>1</v>
      </c>
    </row>
    <row r="3" spans="1:6" ht="15.75" thickBot="1" x14ac:dyDescent="0.3">
      <c r="A3" s="2">
        <v>43894</v>
      </c>
      <c r="B3" s="261">
        <f>C3-C2</f>
        <v>0</v>
      </c>
      <c r="C3" s="493">
        <v>0</v>
      </c>
      <c r="D3" s="483">
        <v>0</v>
      </c>
      <c r="E3" s="483">
        <f>E2+D3</f>
        <v>0</v>
      </c>
      <c r="F3" s="261" t="b">
        <f>EXACT(B3,D3)</f>
        <v>1</v>
      </c>
    </row>
    <row r="4" spans="1:6" ht="15.75" thickBot="1" x14ac:dyDescent="0.3">
      <c r="A4" s="2">
        <v>43895</v>
      </c>
      <c r="B4" s="261">
        <f t="shared" ref="B4:B67" si="0">C4-C3</f>
        <v>0</v>
      </c>
      <c r="C4" s="493">
        <v>0</v>
      </c>
      <c r="D4" s="483">
        <v>0</v>
      </c>
      <c r="E4" s="483">
        <f t="shared" ref="E4:E67" si="1">E3+D4</f>
        <v>0</v>
      </c>
      <c r="F4" s="261" t="b">
        <f>EXACT(B4,D4)</f>
        <v>1</v>
      </c>
    </row>
    <row r="5" spans="1:6" ht="15.75" thickBot="1" x14ac:dyDescent="0.3">
      <c r="A5" s="2">
        <v>43896</v>
      </c>
      <c r="B5" s="261">
        <f t="shared" si="0"/>
        <v>0</v>
      </c>
      <c r="C5" s="493">
        <v>0</v>
      </c>
      <c r="D5" s="483">
        <v>0</v>
      </c>
      <c r="E5" s="483">
        <f t="shared" si="1"/>
        <v>0</v>
      </c>
      <c r="F5" s="261" t="b">
        <f t="shared" ref="F5:F11" si="2">EXACT(C5,E5)</f>
        <v>1</v>
      </c>
    </row>
    <row r="6" spans="1:6" ht="15.75" thickBot="1" x14ac:dyDescent="0.3">
      <c r="A6" s="2">
        <v>43897</v>
      </c>
      <c r="B6" s="261">
        <f t="shared" si="0"/>
        <v>0</v>
      </c>
      <c r="C6" s="493">
        <v>0</v>
      </c>
      <c r="D6" s="419">
        <v>1</v>
      </c>
      <c r="E6" s="483">
        <f t="shared" si="1"/>
        <v>1</v>
      </c>
      <c r="F6" s="261" t="b">
        <f t="shared" si="2"/>
        <v>0</v>
      </c>
    </row>
    <row r="7" spans="1:6" ht="15.75" thickBot="1" x14ac:dyDescent="0.3">
      <c r="A7" s="2">
        <v>43898</v>
      </c>
      <c r="B7" s="261">
        <f t="shared" si="0"/>
        <v>0</v>
      </c>
      <c r="C7" s="493">
        <v>0</v>
      </c>
      <c r="D7" s="483">
        <v>0</v>
      </c>
      <c r="E7" s="483">
        <f t="shared" si="1"/>
        <v>1</v>
      </c>
      <c r="F7" s="261" t="b">
        <f t="shared" si="2"/>
        <v>0</v>
      </c>
    </row>
    <row r="8" spans="1:6" ht="15.75" thickBot="1" x14ac:dyDescent="0.3">
      <c r="A8" s="2">
        <v>43899</v>
      </c>
      <c r="B8" s="261">
        <f t="shared" si="0"/>
        <v>1</v>
      </c>
      <c r="C8" s="493">
        <v>1</v>
      </c>
      <c r="D8" s="483">
        <v>0</v>
      </c>
      <c r="E8" s="483">
        <f t="shared" si="1"/>
        <v>1</v>
      </c>
      <c r="F8" s="261" t="b">
        <f t="shared" si="2"/>
        <v>1</v>
      </c>
    </row>
    <row r="9" spans="1:6" ht="15.75" thickBot="1" x14ac:dyDescent="0.3">
      <c r="A9" s="2">
        <v>43900</v>
      </c>
      <c r="B9" s="261">
        <f t="shared" si="0"/>
        <v>0</v>
      </c>
      <c r="C9" s="493">
        <v>1</v>
      </c>
      <c r="D9" s="483">
        <v>0</v>
      </c>
      <c r="E9" s="483">
        <f t="shared" si="1"/>
        <v>1</v>
      </c>
      <c r="F9" s="261" t="b">
        <f t="shared" si="2"/>
        <v>1</v>
      </c>
    </row>
    <row r="10" spans="1:6" ht="15.75" thickBot="1" x14ac:dyDescent="0.3">
      <c r="A10" s="2">
        <v>43901</v>
      </c>
      <c r="B10" s="261">
        <f t="shared" si="0"/>
        <v>0</v>
      </c>
      <c r="C10" s="493">
        <v>1</v>
      </c>
      <c r="D10" s="483">
        <v>0</v>
      </c>
      <c r="E10" s="483">
        <f t="shared" si="1"/>
        <v>1</v>
      </c>
      <c r="F10" s="261" t="b">
        <f t="shared" si="2"/>
        <v>1</v>
      </c>
    </row>
    <row r="11" spans="1:6" ht="15.75" thickBot="1" x14ac:dyDescent="0.3">
      <c r="A11" s="2">
        <v>43902</v>
      </c>
      <c r="B11" s="261">
        <f t="shared" si="0"/>
        <v>0</v>
      </c>
      <c r="C11" s="493">
        <v>1</v>
      </c>
      <c r="D11" s="483">
        <v>0</v>
      </c>
      <c r="E11" s="483">
        <f t="shared" si="1"/>
        <v>1</v>
      </c>
      <c r="F11" s="261" t="b">
        <f t="shared" si="2"/>
        <v>1</v>
      </c>
    </row>
    <row r="12" spans="1:6" ht="15.75" thickBot="1" x14ac:dyDescent="0.3">
      <c r="A12" s="2">
        <v>43903</v>
      </c>
      <c r="B12" s="261">
        <f t="shared" si="0"/>
        <v>1</v>
      </c>
      <c r="C12" s="493">
        <v>2</v>
      </c>
      <c r="D12" s="483">
        <v>1</v>
      </c>
      <c r="E12" s="419">
        <f t="shared" si="1"/>
        <v>2</v>
      </c>
      <c r="F12" s="261" t="b">
        <f>EXACT(C12,E12)</f>
        <v>1</v>
      </c>
    </row>
    <row r="13" spans="1:6" ht="15.75" thickBot="1" x14ac:dyDescent="0.3">
      <c r="A13" s="2">
        <v>43904</v>
      </c>
      <c r="B13" s="261">
        <f t="shared" si="0"/>
        <v>0</v>
      </c>
      <c r="C13" s="493">
        <v>2</v>
      </c>
      <c r="D13" s="483">
        <v>0</v>
      </c>
      <c r="E13" s="483">
        <f t="shared" si="1"/>
        <v>2</v>
      </c>
      <c r="F13" s="261" t="b">
        <f t="shared" ref="F13:F76" si="3">EXACT(C13,E13)</f>
        <v>1</v>
      </c>
    </row>
    <row r="14" spans="1:6" ht="15.75" thickBot="1" x14ac:dyDescent="0.3">
      <c r="A14" s="2">
        <v>43905</v>
      </c>
      <c r="B14" s="261">
        <f t="shared" si="0"/>
        <v>0</v>
      </c>
      <c r="C14" s="493">
        <v>2</v>
      </c>
      <c r="D14" s="483">
        <v>0</v>
      </c>
      <c r="E14" s="483">
        <f t="shared" si="1"/>
        <v>2</v>
      </c>
      <c r="F14" s="261" t="b">
        <f t="shared" si="3"/>
        <v>1</v>
      </c>
    </row>
    <row r="15" spans="1:6" ht="15.75" thickBot="1" x14ac:dyDescent="0.3">
      <c r="A15" s="2">
        <v>43906</v>
      </c>
      <c r="B15" s="261">
        <f t="shared" si="0"/>
        <v>0</v>
      </c>
      <c r="C15" s="493">
        <v>2</v>
      </c>
      <c r="D15" s="483">
        <v>0</v>
      </c>
      <c r="E15" s="483">
        <f t="shared" si="1"/>
        <v>2</v>
      </c>
      <c r="F15" s="261" t="b">
        <f t="shared" si="3"/>
        <v>1</v>
      </c>
    </row>
    <row r="16" spans="1:6" ht="15.75" thickBot="1" x14ac:dyDescent="0.3">
      <c r="A16" s="2">
        <v>43907</v>
      </c>
      <c r="B16" s="261">
        <f t="shared" si="0"/>
        <v>0</v>
      </c>
      <c r="C16" s="493">
        <v>2</v>
      </c>
      <c r="D16" s="483">
        <v>0</v>
      </c>
      <c r="E16" s="483">
        <f t="shared" si="1"/>
        <v>2</v>
      </c>
      <c r="F16" s="261" t="b">
        <f t="shared" si="3"/>
        <v>1</v>
      </c>
    </row>
    <row r="17" spans="1:6" ht="15.75" thickBot="1" x14ac:dyDescent="0.3">
      <c r="A17" s="2">
        <v>43908</v>
      </c>
      <c r="B17" s="261">
        <f t="shared" si="0"/>
        <v>1</v>
      </c>
      <c r="C17" s="493">
        <v>3</v>
      </c>
      <c r="D17" s="483">
        <v>1</v>
      </c>
      <c r="E17" s="483">
        <f t="shared" si="1"/>
        <v>3</v>
      </c>
      <c r="F17" s="261" t="b">
        <f t="shared" si="3"/>
        <v>1</v>
      </c>
    </row>
    <row r="18" spans="1:6" ht="15.75" thickBot="1" x14ac:dyDescent="0.3">
      <c r="A18" s="2">
        <v>43909</v>
      </c>
      <c r="B18" s="261">
        <f t="shared" si="0"/>
        <v>0</v>
      </c>
      <c r="C18" s="493">
        <v>3</v>
      </c>
      <c r="D18" s="483">
        <v>0</v>
      </c>
      <c r="E18" s="483">
        <f t="shared" si="1"/>
        <v>3</v>
      </c>
      <c r="F18" s="261" t="b">
        <f t="shared" si="3"/>
        <v>1</v>
      </c>
    </row>
    <row r="19" spans="1:6" ht="15.75" thickBot="1" x14ac:dyDescent="0.3">
      <c r="A19" s="2">
        <v>43910</v>
      </c>
      <c r="B19" s="261">
        <f t="shared" si="0"/>
        <v>0</v>
      </c>
      <c r="C19" s="493">
        <v>3</v>
      </c>
      <c r="D19" s="483">
        <v>0</v>
      </c>
      <c r="E19" s="483">
        <f t="shared" si="1"/>
        <v>3</v>
      </c>
      <c r="F19" s="261" t="b">
        <f t="shared" si="3"/>
        <v>1</v>
      </c>
    </row>
    <row r="20" spans="1:6" ht="15.75" thickBot="1" x14ac:dyDescent="0.3">
      <c r="A20" s="2">
        <v>43911</v>
      </c>
      <c r="B20" s="261">
        <f t="shared" si="0"/>
        <v>1</v>
      </c>
      <c r="C20" s="493">
        <v>4</v>
      </c>
      <c r="D20" s="483">
        <v>1</v>
      </c>
      <c r="E20" s="483">
        <f t="shared" si="1"/>
        <v>4</v>
      </c>
      <c r="F20" s="261" t="b">
        <f t="shared" si="3"/>
        <v>1</v>
      </c>
    </row>
    <row r="21" spans="1:6" ht="15.75" thickBot="1" x14ac:dyDescent="0.3">
      <c r="A21" s="2">
        <v>43912</v>
      </c>
      <c r="B21" s="261">
        <f t="shared" si="0"/>
        <v>0</v>
      </c>
      <c r="C21" s="493">
        <v>4</v>
      </c>
      <c r="D21" s="483">
        <v>0</v>
      </c>
      <c r="E21" s="483">
        <f t="shared" si="1"/>
        <v>4</v>
      </c>
      <c r="F21" s="261" t="b">
        <f t="shared" si="3"/>
        <v>1</v>
      </c>
    </row>
    <row r="22" spans="1:6" ht="15.75" thickBot="1" x14ac:dyDescent="0.3">
      <c r="A22" s="2">
        <v>43913</v>
      </c>
      <c r="B22" s="261">
        <f t="shared" si="0"/>
        <v>0</v>
      </c>
      <c r="C22" s="493">
        <v>4</v>
      </c>
      <c r="D22" s="483">
        <v>0</v>
      </c>
      <c r="E22" s="483">
        <f t="shared" si="1"/>
        <v>4</v>
      </c>
      <c r="F22" s="261" t="b">
        <f t="shared" si="3"/>
        <v>1</v>
      </c>
    </row>
    <row r="23" spans="1:6" ht="15.75" thickBot="1" x14ac:dyDescent="0.3">
      <c r="A23" s="2">
        <v>43914</v>
      </c>
      <c r="B23" s="261">
        <f t="shared" si="0"/>
        <v>2</v>
      </c>
      <c r="C23" s="493">
        <v>6</v>
      </c>
      <c r="D23" s="483">
        <v>2</v>
      </c>
      <c r="E23" s="483">
        <f t="shared" si="1"/>
        <v>6</v>
      </c>
      <c r="F23" s="261" t="b">
        <f t="shared" si="3"/>
        <v>1</v>
      </c>
    </row>
    <row r="24" spans="1:6" ht="15.75" thickBot="1" x14ac:dyDescent="0.3">
      <c r="A24" s="2">
        <v>43915</v>
      </c>
      <c r="B24" s="261">
        <f t="shared" si="0"/>
        <v>2</v>
      </c>
      <c r="C24" s="493">
        <v>8</v>
      </c>
      <c r="D24" s="483">
        <v>2</v>
      </c>
      <c r="E24" s="483">
        <f t="shared" si="1"/>
        <v>8</v>
      </c>
      <c r="F24" s="261" t="b">
        <f t="shared" si="3"/>
        <v>1</v>
      </c>
    </row>
    <row r="25" spans="1:6" ht="15.75" thickBot="1" x14ac:dyDescent="0.3">
      <c r="A25" s="2">
        <v>43916</v>
      </c>
      <c r="B25" s="261">
        <f t="shared" si="0"/>
        <v>4</v>
      </c>
      <c r="C25" s="493">
        <v>12</v>
      </c>
      <c r="D25" s="483">
        <v>4</v>
      </c>
      <c r="E25" s="483">
        <f t="shared" si="1"/>
        <v>12</v>
      </c>
      <c r="F25" s="261" t="b">
        <f t="shared" si="3"/>
        <v>1</v>
      </c>
    </row>
    <row r="26" spans="1:6" ht="15.75" thickBot="1" x14ac:dyDescent="0.3">
      <c r="A26" s="2">
        <v>43917</v>
      </c>
      <c r="B26" s="261">
        <f t="shared" si="0"/>
        <v>5</v>
      </c>
      <c r="C26" s="493">
        <v>17</v>
      </c>
      <c r="D26" s="483">
        <v>5</v>
      </c>
      <c r="E26" s="483">
        <f t="shared" si="1"/>
        <v>17</v>
      </c>
      <c r="F26" s="261" t="b">
        <f t="shared" si="3"/>
        <v>1</v>
      </c>
    </row>
    <row r="27" spans="1:6" ht="15.75" thickBot="1" x14ac:dyDescent="0.3">
      <c r="A27" s="2">
        <v>43918</v>
      </c>
      <c r="B27" s="261">
        <f t="shared" si="0"/>
        <v>2</v>
      </c>
      <c r="C27" s="493">
        <v>19</v>
      </c>
      <c r="D27" s="483">
        <v>2</v>
      </c>
      <c r="E27" s="483">
        <f t="shared" si="1"/>
        <v>19</v>
      </c>
      <c r="F27" s="261" t="b">
        <f t="shared" si="3"/>
        <v>1</v>
      </c>
    </row>
    <row r="28" spans="1:6" ht="15.75" thickBot="1" x14ac:dyDescent="0.3">
      <c r="A28" s="2">
        <v>43919</v>
      </c>
      <c r="B28" s="261">
        <f t="shared" si="0"/>
        <v>1</v>
      </c>
      <c r="C28" s="493">
        <v>20</v>
      </c>
      <c r="D28" s="483">
        <v>1</v>
      </c>
      <c r="E28" s="483">
        <f t="shared" si="1"/>
        <v>20</v>
      </c>
      <c r="F28" s="261" t="b">
        <f t="shared" si="3"/>
        <v>1</v>
      </c>
    </row>
    <row r="29" spans="1:6" ht="15.75" thickBot="1" x14ac:dyDescent="0.3">
      <c r="A29" s="2">
        <v>43920</v>
      </c>
      <c r="B29" s="261">
        <f t="shared" si="0"/>
        <v>4</v>
      </c>
      <c r="C29" s="493">
        <v>24</v>
      </c>
      <c r="D29" s="483">
        <v>4</v>
      </c>
      <c r="E29" s="483">
        <f t="shared" si="1"/>
        <v>24</v>
      </c>
      <c r="F29" s="261" t="b">
        <f t="shared" si="3"/>
        <v>1</v>
      </c>
    </row>
    <row r="30" spans="1:6" ht="15.75" thickBot="1" x14ac:dyDescent="0.3">
      <c r="A30" s="2">
        <v>43921</v>
      </c>
      <c r="B30" s="261">
        <f t="shared" si="0"/>
        <v>3</v>
      </c>
      <c r="C30" s="493">
        <v>27</v>
      </c>
      <c r="D30" s="483">
        <v>3</v>
      </c>
      <c r="E30" s="483">
        <f t="shared" si="1"/>
        <v>27</v>
      </c>
      <c r="F30" s="261" t="b">
        <f t="shared" si="3"/>
        <v>1</v>
      </c>
    </row>
    <row r="31" spans="1:6" ht="15.75" thickBot="1" x14ac:dyDescent="0.3">
      <c r="A31" s="2">
        <v>43922</v>
      </c>
      <c r="B31" s="261">
        <f t="shared" si="0"/>
        <v>5</v>
      </c>
      <c r="C31" s="493">
        <v>32</v>
      </c>
      <c r="D31" s="483">
        <v>5</v>
      </c>
      <c r="E31" s="483">
        <f t="shared" si="1"/>
        <v>32</v>
      </c>
      <c r="F31" s="261" t="b">
        <f t="shared" si="3"/>
        <v>1</v>
      </c>
    </row>
    <row r="32" spans="1:6" ht="15.75" thickBot="1" x14ac:dyDescent="0.3">
      <c r="A32" s="2">
        <v>43923</v>
      </c>
      <c r="B32" s="261">
        <f t="shared" si="0"/>
        <v>4</v>
      </c>
      <c r="C32" s="493">
        <v>36</v>
      </c>
      <c r="D32" s="483">
        <v>4</v>
      </c>
      <c r="E32" s="483">
        <f t="shared" si="1"/>
        <v>36</v>
      </c>
      <c r="F32" s="261" t="b">
        <f t="shared" si="3"/>
        <v>1</v>
      </c>
    </row>
    <row r="33" spans="1:6" ht="15.75" thickBot="1" x14ac:dyDescent="0.3">
      <c r="A33" s="2">
        <v>43924</v>
      </c>
      <c r="B33" s="261">
        <f t="shared" si="0"/>
        <v>6</v>
      </c>
      <c r="C33" s="493">
        <v>42</v>
      </c>
      <c r="D33" s="483">
        <v>6</v>
      </c>
      <c r="E33" s="483">
        <f t="shared" si="1"/>
        <v>42</v>
      </c>
      <c r="F33" s="261" t="b">
        <f t="shared" si="3"/>
        <v>1</v>
      </c>
    </row>
    <row r="34" spans="1:6" ht="15.75" thickBot="1" x14ac:dyDescent="0.3">
      <c r="A34" s="2">
        <v>43925</v>
      </c>
      <c r="B34" s="261">
        <f t="shared" si="0"/>
        <v>1</v>
      </c>
      <c r="C34" s="494">
        <v>43</v>
      </c>
      <c r="D34" s="483">
        <v>1</v>
      </c>
      <c r="E34" s="483">
        <f t="shared" si="1"/>
        <v>43</v>
      </c>
      <c r="F34" s="261" t="b">
        <f t="shared" si="3"/>
        <v>1</v>
      </c>
    </row>
    <row r="35" spans="1:6" ht="15.75" thickBot="1" x14ac:dyDescent="0.3">
      <c r="A35" s="2">
        <v>43926</v>
      </c>
      <c r="B35" s="261">
        <f t="shared" si="0"/>
        <v>3</v>
      </c>
      <c r="C35" s="493">
        <v>46</v>
      </c>
      <c r="D35" s="483">
        <v>3</v>
      </c>
      <c r="E35" s="483">
        <f t="shared" si="1"/>
        <v>46</v>
      </c>
      <c r="F35" s="261" t="b">
        <f t="shared" si="3"/>
        <v>1</v>
      </c>
    </row>
    <row r="36" spans="1:6" ht="15.75" thickBot="1" x14ac:dyDescent="0.3">
      <c r="A36" s="2">
        <v>43927</v>
      </c>
      <c r="B36" s="261">
        <f t="shared" si="0"/>
        <v>7</v>
      </c>
      <c r="C36" s="493">
        <v>53</v>
      </c>
      <c r="D36" s="483">
        <v>7</v>
      </c>
      <c r="E36" s="483">
        <f t="shared" si="1"/>
        <v>53</v>
      </c>
      <c r="F36" s="261" t="b">
        <f t="shared" si="3"/>
        <v>1</v>
      </c>
    </row>
    <row r="37" spans="1:6" ht="15.75" thickBot="1" x14ac:dyDescent="0.3">
      <c r="A37" s="2">
        <v>43928</v>
      </c>
      <c r="B37" s="261">
        <f t="shared" si="0"/>
        <v>7</v>
      </c>
      <c r="C37" s="493">
        <v>60</v>
      </c>
      <c r="D37" s="483">
        <v>7</v>
      </c>
      <c r="E37" s="483">
        <f t="shared" si="1"/>
        <v>60</v>
      </c>
      <c r="F37" s="261" t="b">
        <f t="shared" si="3"/>
        <v>1</v>
      </c>
    </row>
    <row r="38" spans="1:6" ht="15.75" thickBot="1" x14ac:dyDescent="0.3">
      <c r="A38" s="2">
        <v>43929</v>
      </c>
      <c r="B38" s="261">
        <f t="shared" si="0"/>
        <v>5</v>
      </c>
      <c r="C38" s="493">
        <v>65</v>
      </c>
      <c r="D38" s="483">
        <v>5</v>
      </c>
      <c r="E38" s="483">
        <f t="shared" si="1"/>
        <v>65</v>
      </c>
      <c r="F38" s="261" t="b">
        <f t="shared" si="3"/>
        <v>1</v>
      </c>
    </row>
    <row r="39" spans="1:6" ht="15.75" thickBot="1" x14ac:dyDescent="0.3">
      <c r="A39" s="2">
        <v>43930</v>
      </c>
      <c r="B39" s="261">
        <f t="shared" si="0"/>
        <v>14</v>
      </c>
      <c r="C39" s="493">
        <v>79</v>
      </c>
      <c r="D39" s="483">
        <v>14</v>
      </c>
      <c r="E39" s="483">
        <f t="shared" si="1"/>
        <v>79</v>
      </c>
      <c r="F39" s="261" t="b">
        <f t="shared" si="3"/>
        <v>1</v>
      </c>
    </row>
    <row r="40" spans="1:6" ht="15.75" thickBot="1" x14ac:dyDescent="0.3">
      <c r="A40" s="2">
        <v>43931</v>
      </c>
      <c r="B40" s="261">
        <f t="shared" si="0"/>
        <v>3</v>
      </c>
      <c r="C40" s="493">
        <v>82</v>
      </c>
      <c r="D40" s="483">
        <v>3</v>
      </c>
      <c r="E40" s="483">
        <f t="shared" si="1"/>
        <v>82</v>
      </c>
      <c r="F40" s="261" t="b">
        <f t="shared" si="3"/>
        <v>1</v>
      </c>
    </row>
    <row r="41" spans="1:6" ht="15.75" thickBot="1" x14ac:dyDescent="0.3">
      <c r="A41" s="2">
        <v>43932</v>
      </c>
      <c r="B41" s="261">
        <f t="shared" si="0"/>
        <v>7</v>
      </c>
      <c r="C41" s="493">
        <v>89</v>
      </c>
      <c r="D41" s="483">
        <v>7</v>
      </c>
      <c r="E41" s="483">
        <f t="shared" si="1"/>
        <v>89</v>
      </c>
      <c r="F41" s="261" t="b">
        <f t="shared" si="3"/>
        <v>1</v>
      </c>
    </row>
    <row r="42" spans="1:6" ht="15.75" thickBot="1" x14ac:dyDescent="0.3">
      <c r="A42" s="2">
        <v>43933</v>
      </c>
      <c r="B42" s="261">
        <f t="shared" si="0"/>
        <v>6</v>
      </c>
      <c r="C42" s="493">
        <v>95</v>
      </c>
      <c r="D42" s="483">
        <v>6</v>
      </c>
      <c r="E42" s="483">
        <f t="shared" si="1"/>
        <v>95</v>
      </c>
      <c r="F42" s="261" t="b">
        <f t="shared" si="3"/>
        <v>1</v>
      </c>
    </row>
    <row r="43" spans="1:6" ht="15.75" thickBot="1" x14ac:dyDescent="0.3">
      <c r="A43" s="2">
        <v>43934</v>
      </c>
      <c r="B43" s="261">
        <f t="shared" si="0"/>
        <v>3</v>
      </c>
      <c r="C43" s="493">
        <v>98</v>
      </c>
      <c r="D43" s="483">
        <v>3</v>
      </c>
      <c r="E43" s="483">
        <f t="shared" si="1"/>
        <v>98</v>
      </c>
      <c r="F43" s="261" t="b">
        <f t="shared" si="3"/>
        <v>1</v>
      </c>
    </row>
    <row r="44" spans="1:6" ht="15.75" thickBot="1" x14ac:dyDescent="0.3">
      <c r="A44" s="2">
        <v>43935</v>
      </c>
      <c r="B44" s="261">
        <f t="shared" si="0"/>
        <v>7</v>
      </c>
      <c r="C44" s="493">
        <v>105</v>
      </c>
      <c r="D44" s="483">
        <v>7</v>
      </c>
      <c r="E44" s="483">
        <f t="shared" si="1"/>
        <v>105</v>
      </c>
      <c r="F44" s="261" t="b">
        <f t="shared" si="3"/>
        <v>1</v>
      </c>
    </row>
    <row r="45" spans="1:6" ht="15.75" thickBot="1" x14ac:dyDescent="0.3">
      <c r="A45" s="2">
        <v>43936</v>
      </c>
      <c r="B45" s="261">
        <f t="shared" si="0"/>
        <v>7</v>
      </c>
      <c r="C45" s="493">
        <v>112</v>
      </c>
      <c r="D45" s="483">
        <v>7</v>
      </c>
      <c r="E45" s="483">
        <f t="shared" si="1"/>
        <v>112</v>
      </c>
      <c r="F45" s="261" t="b">
        <f t="shared" si="3"/>
        <v>1</v>
      </c>
    </row>
    <row r="46" spans="1:6" ht="15.75" thickBot="1" x14ac:dyDescent="0.3">
      <c r="A46" s="2">
        <v>43937</v>
      </c>
      <c r="B46" s="261">
        <f t="shared" si="0"/>
        <v>10</v>
      </c>
      <c r="C46" s="493">
        <v>122</v>
      </c>
      <c r="D46" s="483">
        <v>10</v>
      </c>
      <c r="E46" s="483">
        <f t="shared" si="1"/>
        <v>122</v>
      </c>
      <c r="F46" s="261" t="b">
        <f t="shared" si="3"/>
        <v>1</v>
      </c>
    </row>
    <row r="47" spans="1:6" ht="15.75" thickBot="1" x14ac:dyDescent="0.3">
      <c r="A47" s="2">
        <v>43938</v>
      </c>
      <c r="B47" s="261">
        <f t="shared" si="0"/>
        <v>7</v>
      </c>
      <c r="C47" s="493">
        <v>129</v>
      </c>
      <c r="D47" s="483">
        <v>7</v>
      </c>
      <c r="E47" s="483">
        <f t="shared" si="1"/>
        <v>129</v>
      </c>
      <c r="F47" s="261" t="b">
        <f t="shared" si="3"/>
        <v>1</v>
      </c>
    </row>
    <row r="48" spans="1:6" ht="15.75" thickBot="1" x14ac:dyDescent="0.3">
      <c r="A48" s="2">
        <v>43939</v>
      </c>
      <c r="B48" s="261">
        <f t="shared" si="0"/>
        <v>3</v>
      </c>
      <c r="C48" s="493">
        <v>132</v>
      </c>
      <c r="D48" s="483">
        <v>3</v>
      </c>
      <c r="E48" s="483">
        <f t="shared" si="1"/>
        <v>132</v>
      </c>
      <c r="F48" s="261" t="b">
        <f t="shared" si="3"/>
        <v>1</v>
      </c>
    </row>
    <row r="49" spans="1:6" ht="15.75" thickBot="1" x14ac:dyDescent="0.3">
      <c r="A49" s="2">
        <v>43940</v>
      </c>
      <c r="B49" s="261">
        <f t="shared" si="0"/>
        <v>2</v>
      </c>
      <c r="C49" s="493">
        <v>134</v>
      </c>
      <c r="D49" s="483">
        <v>2</v>
      </c>
      <c r="E49" s="483">
        <f t="shared" si="1"/>
        <v>134</v>
      </c>
      <c r="F49" s="261" t="b">
        <f t="shared" si="3"/>
        <v>1</v>
      </c>
    </row>
    <row r="50" spans="1:6" ht="15.75" thickBot="1" x14ac:dyDescent="0.3">
      <c r="A50" s="2">
        <v>43941</v>
      </c>
      <c r="B50" s="261">
        <f t="shared" si="0"/>
        <v>8</v>
      </c>
      <c r="C50" s="493">
        <v>142</v>
      </c>
      <c r="D50" s="483">
        <v>8</v>
      </c>
      <c r="E50" s="483">
        <f t="shared" si="1"/>
        <v>142</v>
      </c>
      <c r="F50" s="261" t="b">
        <f t="shared" si="3"/>
        <v>1</v>
      </c>
    </row>
    <row r="51" spans="1:6" ht="15.75" thickBot="1" x14ac:dyDescent="0.3">
      <c r="A51" s="2">
        <v>43942</v>
      </c>
      <c r="B51" s="261">
        <f t="shared" si="0"/>
        <v>9</v>
      </c>
      <c r="C51" s="493">
        <v>151</v>
      </c>
      <c r="D51" s="483">
        <v>9</v>
      </c>
      <c r="E51" s="483">
        <f t="shared" si="1"/>
        <v>151</v>
      </c>
      <c r="F51" s="261" t="b">
        <f t="shared" si="3"/>
        <v>1</v>
      </c>
    </row>
    <row r="52" spans="1:6" ht="15.75" thickBot="1" x14ac:dyDescent="0.3">
      <c r="A52" s="2">
        <v>43943</v>
      </c>
      <c r="B52" s="261">
        <f t="shared" si="0"/>
        <v>8</v>
      </c>
      <c r="C52" s="493">
        <v>159</v>
      </c>
      <c r="D52" s="483">
        <v>8</v>
      </c>
      <c r="E52" s="483">
        <f t="shared" si="1"/>
        <v>159</v>
      </c>
      <c r="F52" s="261" t="b">
        <f t="shared" si="3"/>
        <v>1</v>
      </c>
    </row>
    <row r="53" spans="1:6" ht="15.75" thickBot="1" x14ac:dyDescent="0.3">
      <c r="A53" s="2">
        <v>43944</v>
      </c>
      <c r="B53" s="261">
        <f t="shared" si="0"/>
        <v>6</v>
      </c>
      <c r="C53" s="493">
        <v>165</v>
      </c>
      <c r="D53" s="483">
        <v>6</v>
      </c>
      <c r="E53" s="483">
        <f t="shared" si="1"/>
        <v>165</v>
      </c>
      <c r="F53" s="261" t="b">
        <f t="shared" si="3"/>
        <v>1</v>
      </c>
    </row>
    <row r="54" spans="1:6" ht="15.75" thickBot="1" x14ac:dyDescent="0.3">
      <c r="A54" s="2">
        <v>43945</v>
      </c>
      <c r="B54" s="261">
        <f t="shared" si="0"/>
        <v>11</v>
      </c>
      <c r="C54" s="493">
        <v>176</v>
      </c>
      <c r="D54" s="483">
        <v>11</v>
      </c>
      <c r="E54" s="483">
        <f t="shared" si="1"/>
        <v>176</v>
      </c>
      <c r="F54" s="261" t="b">
        <f t="shared" si="3"/>
        <v>1</v>
      </c>
    </row>
    <row r="55" spans="1:6" ht="15.75" thickBot="1" x14ac:dyDescent="0.3">
      <c r="A55" s="2">
        <v>43946</v>
      </c>
      <c r="B55" s="261">
        <f t="shared" si="0"/>
        <v>9</v>
      </c>
      <c r="C55" s="493">
        <v>185</v>
      </c>
      <c r="D55" s="483">
        <v>9</v>
      </c>
      <c r="E55" s="483">
        <f t="shared" si="1"/>
        <v>185</v>
      </c>
      <c r="F55" s="261" t="b">
        <f t="shared" si="3"/>
        <v>1</v>
      </c>
    </row>
    <row r="56" spans="1:6" ht="15.75" thickBot="1" x14ac:dyDescent="0.3">
      <c r="A56" s="2">
        <v>43947</v>
      </c>
      <c r="B56" s="261">
        <f t="shared" si="0"/>
        <v>7</v>
      </c>
      <c r="C56" s="493">
        <v>192</v>
      </c>
      <c r="D56" s="483">
        <v>7</v>
      </c>
      <c r="E56" s="483">
        <f t="shared" si="1"/>
        <v>192</v>
      </c>
      <c r="F56" s="261" t="b">
        <f t="shared" si="3"/>
        <v>1</v>
      </c>
    </row>
    <row r="57" spans="1:6" ht="15.75" thickBot="1" x14ac:dyDescent="0.3">
      <c r="A57" s="2">
        <v>43948</v>
      </c>
      <c r="B57" s="261">
        <f t="shared" si="0"/>
        <v>5</v>
      </c>
      <c r="C57" s="493">
        <v>197</v>
      </c>
      <c r="D57" s="483">
        <v>5</v>
      </c>
      <c r="E57" s="483">
        <f t="shared" si="1"/>
        <v>197</v>
      </c>
      <c r="F57" s="261" t="b">
        <f t="shared" si="3"/>
        <v>1</v>
      </c>
    </row>
    <row r="58" spans="1:6" ht="15.75" thickBot="1" x14ac:dyDescent="0.3">
      <c r="A58" s="2">
        <v>43949</v>
      </c>
      <c r="B58" s="261">
        <f t="shared" si="0"/>
        <v>10</v>
      </c>
      <c r="C58" s="495">
        <v>207</v>
      </c>
      <c r="D58" s="483">
        <v>10</v>
      </c>
      <c r="E58" s="483">
        <f t="shared" si="1"/>
        <v>207</v>
      </c>
      <c r="F58" s="261" t="b">
        <f t="shared" si="3"/>
        <v>1</v>
      </c>
    </row>
    <row r="59" spans="1:6" ht="15.75" thickBot="1" x14ac:dyDescent="0.3">
      <c r="A59" s="2">
        <v>43950</v>
      </c>
      <c r="B59" s="261">
        <f t="shared" si="0"/>
        <v>7</v>
      </c>
      <c r="C59" s="493">
        <v>214</v>
      </c>
      <c r="D59" s="483">
        <v>7</v>
      </c>
      <c r="E59" s="483">
        <f t="shared" si="1"/>
        <v>214</v>
      </c>
      <c r="F59" s="261" t="b">
        <f t="shared" si="3"/>
        <v>1</v>
      </c>
    </row>
    <row r="60" spans="1:6" ht="15.75" thickBot="1" x14ac:dyDescent="0.3">
      <c r="A60" s="2">
        <v>43951</v>
      </c>
      <c r="B60" s="261">
        <f t="shared" si="0"/>
        <v>4</v>
      </c>
      <c r="C60" s="493">
        <v>218</v>
      </c>
      <c r="D60" s="483">
        <v>4</v>
      </c>
      <c r="E60" s="483">
        <f t="shared" si="1"/>
        <v>218</v>
      </c>
      <c r="F60" s="261" t="b">
        <f t="shared" si="3"/>
        <v>1</v>
      </c>
    </row>
    <row r="61" spans="1:6" ht="15.75" thickBot="1" x14ac:dyDescent="0.3">
      <c r="A61" s="2">
        <v>43952</v>
      </c>
      <c r="B61" s="261">
        <f t="shared" si="0"/>
        <v>7</v>
      </c>
      <c r="C61" s="493">
        <v>225</v>
      </c>
      <c r="D61" s="483">
        <v>7</v>
      </c>
      <c r="E61" s="483">
        <f t="shared" si="1"/>
        <v>225</v>
      </c>
      <c r="F61" s="261" t="b">
        <f t="shared" si="3"/>
        <v>1</v>
      </c>
    </row>
    <row r="62" spans="1:6" ht="15.75" thickBot="1" x14ac:dyDescent="0.3">
      <c r="A62" s="2">
        <v>43953</v>
      </c>
      <c r="B62" s="261">
        <f t="shared" si="0"/>
        <v>12</v>
      </c>
      <c r="C62" s="493">
        <v>237</v>
      </c>
      <c r="D62" s="483">
        <v>12</v>
      </c>
      <c r="E62" s="483">
        <f t="shared" si="1"/>
        <v>237</v>
      </c>
      <c r="F62" s="261" t="b">
        <f t="shared" si="3"/>
        <v>1</v>
      </c>
    </row>
    <row r="63" spans="1:6" ht="15.75" thickBot="1" x14ac:dyDescent="0.3">
      <c r="A63" s="2">
        <v>43954</v>
      </c>
      <c r="B63" s="261">
        <f t="shared" si="0"/>
        <v>9</v>
      </c>
      <c r="C63" s="493">
        <v>246</v>
      </c>
      <c r="D63" s="483">
        <v>9</v>
      </c>
      <c r="E63" s="483">
        <f t="shared" si="1"/>
        <v>246</v>
      </c>
      <c r="F63" s="261" t="b">
        <f t="shared" si="3"/>
        <v>1</v>
      </c>
    </row>
    <row r="64" spans="1:6" ht="15.75" thickBot="1" x14ac:dyDescent="0.3">
      <c r="A64" s="2">
        <v>43955</v>
      </c>
      <c r="B64" s="261">
        <f t="shared" si="0"/>
        <v>14</v>
      </c>
      <c r="C64" s="493">
        <v>260</v>
      </c>
      <c r="D64" s="483">
        <v>14</v>
      </c>
      <c r="E64" s="483">
        <f t="shared" si="1"/>
        <v>260</v>
      </c>
      <c r="F64" s="261" t="b">
        <f t="shared" si="3"/>
        <v>1</v>
      </c>
    </row>
    <row r="65" spans="1:6" ht="15.75" thickBot="1" x14ac:dyDescent="0.3">
      <c r="A65" s="2">
        <v>43956</v>
      </c>
      <c r="B65" s="261">
        <f t="shared" si="0"/>
        <v>4</v>
      </c>
      <c r="C65" s="493">
        <v>264</v>
      </c>
      <c r="D65" s="483">
        <v>4</v>
      </c>
      <c r="E65" s="483">
        <f t="shared" si="1"/>
        <v>264</v>
      </c>
      <c r="F65" s="261" t="b">
        <f t="shared" si="3"/>
        <v>1</v>
      </c>
    </row>
    <row r="66" spans="1:6" ht="15.75" thickBot="1" x14ac:dyDescent="0.3">
      <c r="A66" s="2">
        <v>43957</v>
      </c>
      <c r="B66" s="261">
        <f t="shared" si="0"/>
        <v>9</v>
      </c>
      <c r="C66" s="493">
        <v>273</v>
      </c>
      <c r="D66" s="483">
        <v>9</v>
      </c>
      <c r="E66" s="483">
        <f t="shared" si="1"/>
        <v>273</v>
      </c>
      <c r="F66" s="261" t="b">
        <f t="shared" si="3"/>
        <v>1</v>
      </c>
    </row>
    <row r="67" spans="1:6" ht="15.75" thickBot="1" x14ac:dyDescent="0.3">
      <c r="A67" s="2">
        <v>43958</v>
      </c>
      <c r="B67" s="261">
        <f t="shared" si="0"/>
        <v>9</v>
      </c>
      <c r="C67" s="493">
        <v>282</v>
      </c>
      <c r="D67" s="483">
        <v>9</v>
      </c>
      <c r="E67" s="483">
        <f t="shared" si="1"/>
        <v>282</v>
      </c>
      <c r="F67" s="261" t="b">
        <f t="shared" si="3"/>
        <v>1</v>
      </c>
    </row>
    <row r="68" spans="1:6" ht="15.75" thickBot="1" x14ac:dyDescent="0.3">
      <c r="A68" s="2">
        <v>43959</v>
      </c>
      <c r="B68" s="261">
        <f t="shared" ref="B68:B131" si="4">C68-C67</f>
        <v>11</v>
      </c>
      <c r="C68" s="493">
        <v>293</v>
      </c>
      <c r="D68" s="483">
        <v>11</v>
      </c>
      <c r="E68" s="483">
        <f t="shared" ref="E68:E131" si="5">E67+D68</f>
        <v>293</v>
      </c>
      <c r="F68" s="261" t="b">
        <f t="shared" si="3"/>
        <v>1</v>
      </c>
    </row>
    <row r="69" spans="1:6" ht="15.75" thickBot="1" x14ac:dyDescent="0.3">
      <c r="A69" s="2">
        <v>43960</v>
      </c>
      <c r="B69" s="261">
        <f t="shared" si="4"/>
        <v>7</v>
      </c>
      <c r="C69" s="493">
        <v>300</v>
      </c>
      <c r="D69" s="483">
        <v>7</v>
      </c>
      <c r="E69" s="483">
        <f t="shared" si="5"/>
        <v>300</v>
      </c>
      <c r="F69" s="261" t="b">
        <f t="shared" si="3"/>
        <v>1</v>
      </c>
    </row>
    <row r="70" spans="1:6" ht="15.75" thickBot="1" x14ac:dyDescent="0.3">
      <c r="A70" s="2">
        <v>43961</v>
      </c>
      <c r="B70" s="261">
        <f t="shared" si="4"/>
        <v>5</v>
      </c>
      <c r="C70" s="493">
        <v>305</v>
      </c>
      <c r="D70" s="483">
        <v>5</v>
      </c>
      <c r="E70" s="483">
        <f t="shared" si="5"/>
        <v>305</v>
      </c>
      <c r="F70" s="261" t="b">
        <f t="shared" si="3"/>
        <v>1</v>
      </c>
    </row>
    <row r="71" spans="1:6" ht="15.75" thickBot="1" x14ac:dyDescent="0.3">
      <c r="A71" s="2">
        <v>43962</v>
      </c>
      <c r="B71" s="261">
        <f t="shared" si="4"/>
        <v>9</v>
      </c>
      <c r="C71" s="493">
        <v>314</v>
      </c>
      <c r="D71" s="483">
        <v>9</v>
      </c>
      <c r="E71" s="483">
        <f t="shared" si="5"/>
        <v>314</v>
      </c>
      <c r="F71" s="261" t="b">
        <f t="shared" si="3"/>
        <v>1</v>
      </c>
    </row>
    <row r="72" spans="1:6" ht="15.75" thickBot="1" x14ac:dyDescent="0.3">
      <c r="A72" s="2">
        <v>43963</v>
      </c>
      <c r="B72" s="261">
        <f t="shared" si="4"/>
        <v>5</v>
      </c>
      <c r="C72" s="493">
        <v>319</v>
      </c>
      <c r="D72" s="483">
        <v>5</v>
      </c>
      <c r="E72" s="483">
        <f t="shared" si="5"/>
        <v>319</v>
      </c>
      <c r="F72" s="261" t="b">
        <f t="shared" si="3"/>
        <v>1</v>
      </c>
    </row>
    <row r="73" spans="1:6" ht="15.75" thickBot="1" x14ac:dyDescent="0.3">
      <c r="A73" s="2">
        <v>43964</v>
      </c>
      <c r="B73" s="261">
        <f t="shared" si="4"/>
        <v>10</v>
      </c>
      <c r="C73" s="493">
        <v>329</v>
      </c>
      <c r="D73" s="483">
        <v>10</v>
      </c>
      <c r="E73" s="483">
        <f t="shared" si="5"/>
        <v>329</v>
      </c>
      <c r="F73" s="261" t="b">
        <f t="shared" si="3"/>
        <v>1</v>
      </c>
    </row>
    <row r="74" spans="1:6" ht="15.75" thickBot="1" x14ac:dyDescent="0.3">
      <c r="A74" s="2">
        <v>43965</v>
      </c>
      <c r="B74" s="261">
        <f t="shared" si="4"/>
        <v>24</v>
      </c>
      <c r="C74" s="493">
        <v>353</v>
      </c>
      <c r="D74" s="483">
        <v>24</v>
      </c>
      <c r="E74" s="483">
        <f t="shared" si="5"/>
        <v>353</v>
      </c>
      <c r="F74" s="261" t="b">
        <f t="shared" si="3"/>
        <v>1</v>
      </c>
    </row>
    <row r="75" spans="1:6" ht="15.75" thickBot="1" x14ac:dyDescent="0.3">
      <c r="A75" s="2">
        <v>43966</v>
      </c>
      <c r="B75" s="261">
        <f t="shared" si="4"/>
        <v>3</v>
      </c>
      <c r="C75" s="493">
        <v>356</v>
      </c>
      <c r="D75" s="483">
        <v>3</v>
      </c>
      <c r="E75" s="483">
        <f t="shared" si="5"/>
        <v>356</v>
      </c>
      <c r="F75" s="261" t="b">
        <f t="shared" si="3"/>
        <v>1</v>
      </c>
    </row>
    <row r="76" spans="1:6" ht="15.75" thickBot="1" x14ac:dyDescent="0.3">
      <c r="A76" s="2">
        <v>43967</v>
      </c>
      <c r="B76" s="261">
        <f t="shared" si="4"/>
        <v>7</v>
      </c>
      <c r="C76" s="493">
        <v>363</v>
      </c>
      <c r="D76" s="483">
        <v>7</v>
      </c>
      <c r="E76" s="483">
        <f t="shared" si="5"/>
        <v>363</v>
      </c>
      <c r="F76" s="261" t="b">
        <f t="shared" si="3"/>
        <v>1</v>
      </c>
    </row>
    <row r="77" spans="1:6" ht="15.75" thickBot="1" x14ac:dyDescent="0.3">
      <c r="A77" s="2">
        <v>43968</v>
      </c>
      <c r="B77" s="261">
        <f t="shared" si="4"/>
        <v>10</v>
      </c>
      <c r="C77" s="493">
        <v>373</v>
      </c>
      <c r="D77" s="483">
        <v>10</v>
      </c>
      <c r="E77" s="483">
        <f t="shared" si="5"/>
        <v>373</v>
      </c>
      <c r="F77" s="261" t="b">
        <f t="shared" ref="F77:F140" si="6">EXACT(C77,E77)</f>
        <v>1</v>
      </c>
    </row>
    <row r="78" spans="1:6" ht="15.75" thickBot="1" x14ac:dyDescent="0.3">
      <c r="A78" s="2">
        <v>43969</v>
      </c>
      <c r="B78" s="261">
        <f t="shared" si="4"/>
        <v>9</v>
      </c>
      <c r="C78" s="493">
        <v>382</v>
      </c>
      <c r="D78" s="483">
        <v>9</v>
      </c>
      <c r="E78" s="483">
        <f t="shared" si="5"/>
        <v>382</v>
      </c>
      <c r="F78" s="261" t="b">
        <f t="shared" si="6"/>
        <v>1</v>
      </c>
    </row>
    <row r="79" spans="1:6" ht="15.75" thickBot="1" x14ac:dyDescent="0.3">
      <c r="A79" s="2">
        <v>43970</v>
      </c>
      <c r="B79" s="261">
        <f t="shared" si="4"/>
        <v>11</v>
      </c>
      <c r="C79" s="493">
        <v>393</v>
      </c>
      <c r="D79" s="483">
        <v>11</v>
      </c>
      <c r="E79" s="483">
        <f t="shared" si="5"/>
        <v>393</v>
      </c>
      <c r="F79" s="261" t="b">
        <f t="shared" si="6"/>
        <v>1</v>
      </c>
    </row>
    <row r="80" spans="1:6" ht="15.75" thickBot="1" x14ac:dyDescent="0.3">
      <c r="A80" s="2">
        <v>43971</v>
      </c>
      <c r="B80" s="261">
        <f t="shared" si="4"/>
        <v>10</v>
      </c>
      <c r="C80" s="493">
        <v>403</v>
      </c>
      <c r="D80" s="483">
        <v>10</v>
      </c>
      <c r="E80" s="483">
        <f t="shared" si="5"/>
        <v>403</v>
      </c>
      <c r="F80" s="261" t="b">
        <f t="shared" si="6"/>
        <v>1</v>
      </c>
    </row>
    <row r="81" spans="1:6" ht="15.75" thickBot="1" x14ac:dyDescent="0.3">
      <c r="A81" s="2">
        <v>43972</v>
      </c>
      <c r="B81" s="261">
        <f t="shared" si="4"/>
        <v>13</v>
      </c>
      <c r="C81" s="493">
        <v>416</v>
      </c>
      <c r="D81" s="483">
        <v>13</v>
      </c>
      <c r="E81" s="483">
        <f t="shared" si="5"/>
        <v>416</v>
      </c>
      <c r="F81" s="261" t="b">
        <f t="shared" si="6"/>
        <v>1</v>
      </c>
    </row>
    <row r="82" spans="1:6" ht="15.75" thickBot="1" x14ac:dyDescent="0.3">
      <c r="A82" s="2">
        <v>43973</v>
      </c>
      <c r="B82" s="261">
        <f t="shared" si="4"/>
        <v>17</v>
      </c>
      <c r="C82" s="493">
        <v>433</v>
      </c>
      <c r="D82" s="483">
        <v>17</v>
      </c>
      <c r="E82" s="483">
        <f t="shared" si="5"/>
        <v>433</v>
      </c>
      <c r="F82" s="261" t="b">
        <f t="shared" si="6"/>
        <v>1</v>
      </c>
    </row>
    <row r="83" spans="1:6" ht="15.75" thickBot="1" x14ac:dyDescent="0.3">
      <c r="A83" s="2">
        <v>43974</v>
      </c>
      <c r="B83" s="261">
        <f t="shared" si="4"/>
        <v>12</v>
      </c>
      <c r="C83" s="493">
        <v>445</v>
      </c>
      <c r="D83" s="483">
        <v>12</v>
      </c>
      <c r="E83" s="483">
        <f t="shared" si="5"/>
        <v>445</v>
      </c>
      <c r="F83" s="261" t="b">
        <f t="shared" si="6"/>
        <v>1</v>
      </c>
    </row>
    <row r="84" spans="1:6" ht="15.75" thickBot="1" x14ac:dyDescent="0.3">
      <c r="A84" s="2">
        <v>43975</v>
      </c>
      <c r="B84" s="261">
        <f t="shared" si="4"/>
        <v>7</v>
      </c>
      <c r="C84" s="493">
        <v>452</v>
      </c>
      <c r="D84" s="483">
        <v>7</v>
      </c>
      <c r="E84" s="483">
        <f t="shared" si="5"/>
        <v>452</v>
      </c>
      <c r="F84" s="261" t="b">
        <f t="shared" si="6"/>
        <v>1</v>
      </c>
    </row>
    <row r="85" spans="1:6" ht="15.75" thickBot="1" x14ac:dyDescent="0.3">
      <c r="A85" s="2">
        <v>43976</v>
      </c>
      <c r="B85" s="261">
        <f t="shared" si="4"/>
        <v>15</v>
      </c>
      <c r="C85" s="493">
        <v>467</v>
      </c>
      <c r="D85" s="483">
        <v>15</v>
      </c>
      <c r="E85" s="483">
        <f t="shared" si="5"/>
        <v>467</v>
      </c>
      <c r="F85" s="261" t="b">
        <f t="shared" si="6"/>
        <v>1</v>
      </c>
    </row>
    <row r="86" spans="1:6" ht="15.75" thickBot="1" x14ac:dyDescent="0.3">
      <c r="A86" s="2">
        <v>43977</v>
      </c>
      <c r="B86" s="261">
        <f t="shared" si="4"/>
        <v>23</v>
      </c>
      <c r="C86" s="493">
        <v>490</v>
      </c>
      <c r="D86" s="483">
        <v>23</v>
      </c>
      <c r="E86" s="483">
        <f t="shared" si="5"/>
        <v>490</v>
      </c>
      <c r="F86" s="261" t="b">
        <f t="shared" si="6"/>
        <v>1</v>
      </c>
    </row>
    <row r="87" spans="1:6" ht="15.75" thickBot="1" x14ac:dyDescent="0.3">
      <c r="A87" s="2">
        <v>43978</v>
      </c>
      <c r="B87" s="261">
        <f t="shared" si="4"/>
        <v>10</v>
      </c>
      <c r="C87" s="493">
        <v>500</v>
      </c>
      <c r="D87" s="483">
        <v>10</v>
      </c>
      <c r="E87" s="483">
        <f t="shared" si="5"/>
        <v>500</v>
      </c>
      <c r="F87" s="261" t="b">
        <f t="shared" si="6"/>
        <v>1</v>
      </c>
    </row>
    <row r="88" spans="1:6" ht="15.75" thickBot="1" x14ac:dyDescent="0.3">
      <c r="A88" s="2">
        <v>43979</v>
      </c>
      <c r="B88" s="261">
        <f t="shared" si="4"/>
        <v>8</v>
      </c>
      <c r="C88" s="493">
        <v>508</v>
      </c>
      <c r="D88" s="483">
        <v>8</v>
      </c>
      <c r="E88" s="483">
        <f t="shared" si="5"/>
        <v>508</v>
      </c>
      <c r="F88" s="261" t="b">
        <f t="shared" si="6"/>
        <v>1</v>
      </c>
    </row>
    <row r="89" spans="1:6" ht="15.75" thickBot="1" x14ac:dyDescent="0.3">
      <c r="A89" s="2">
        <v>43980</v>
      </c>
      <c r="B89" s="261">
        <f t="shared" si="4"/>
        <v>12</v>
      </c>
      <c r="C89" s="493">
        <v>520</v>
      </c>
      <c r="D89" s="483">
        <v>12</v>
      </c>
      <c r="E89" s="483">
        <f t="shared" si="5"/>
        <v>520</v>
      </c>
      <c r="F89" s="261" t="b">
        <f t="shared" si="6"/>
        <v>1</v>
      </c>
    </row>
    <row r="90" spans="1:6" ht="15.75" thickBot="1" x14ac:dyDescent="0.3">
      <c r="A90" s="2">
        <v>43981</v>
      </c>
      <c r="B90" s="261">
        <f t="shared" si="4"/>
        <v>8</v>
      </c>
      <c r="C90" s="493">
        <v>528</v>
      </c>
      <c r="D90" s="483">
        <v>8</v>
      </c>
      <c r="E90" s="483">
        <f t="shared" si="5"/>
        <v>528</v>
      </c>
      <c r="F90" s="261" t="b">
        <f t="shared" si="6"/>
        <v>1</v>
      </c>
    </row>
    <row r="91" spans="1:6" ht="15.75" thickBot="1" x14ac:dyDescent="0.3">
      <c r="A91" s="2">
        <v>43982</v>
      </c>
      <c r="B91" s="261">
        <f t="shared" si="4"/>
        <v>11</v>
      </c>
      <c r="C91" s="493">
        <v>539</v>
      </c>
      <c r="D91" s="483">
        <v>11</v>
      </c>
      <c r="E91" s="483">
        <f t="shared" si="5"/>
        <v>539</v>
      </c>
      <c r="F91" s="261" t="b">
        <f t="shared" si="6"/>
        <v>1</v>
      </c>
    </row>
    <row r="92" spans="1:6" ht="15.75" thickBot="1" x14ac:dyDescent="0.3">
      <c r="A92" s="2">
        <v>43983</v>
      </c>
      <c r="B92" s="261">
        <f t="shared" si="4"/>
        <v>17</v>
      </c>
      <c r="C92" s="493">
        <v>556</v>
      </c>
      <c r="D92" s="483">
        <v>17</v>
      </c>
      <c r="E92" s="483">
        <f t="shared" si="5"/>
        <v>556</v>
      </c>
      <c r="F92" s="261" t="b">
        <f t="shared" si="6"/>
        <v>1</v>
      </c>
    </row>
    <row r="93" spans="1:6" ht="15.75" thickBot="1" x14ac:dyDescent="0.3">
      <c r="A93" s="2">
        <v>43984</v>
      </c>
      <c r="B93" s="261">
        <f t="shared" si="4"/>
        <v>13</v>
      </c>
      <c r="C93" s="493">
        <v>569</v>
      </c>
      <c r="D93" s="483">
        <v>13</v>
      </c>
      <c r="E93" s="483">
        <f t="shared" si="5"/>
        <v>569</v>
      </c>
      <c r="F93" s="261" t="b">
        <f t="shared" si="6"/>
        <v>1</v>
      </c>
    </row>
    <row r="94" spans="1:6" ht="15.75" thickBot="1" x14ac:dyDescent="0.3">
      <c r="A94" s="2">
        <v>43985</v>
      </c>
      <c r="B94" s="261">
        <f t="shared" si="4"/>
        <v>14</v>
      </c>
      <c r="C94" s="493">
        <v>583</v>
      </c>
      <c r="D94" s="483">
        <v>14</v>
      </c>
      <c r="E94" s="483">
        <f t="shared" si="5"/>
        <v>583</v>
      </c>
      <c r="F94" s="261" t="b">
        <f t="shared" si="6"/>
        <v>1</v>
      </c>
    </row>
    <row r="95" spans="1:6" ht="15.75" thickBot="1" x14ac:dyDescent="0.3">
      <c r="A95" s="2">
        <v>43986</v>
      </c>
      <c r="B95" s="261">
        <f t="shared" si="4"/>
        <v>25</v>
      </c>
      <c r="C95" s="493">
        <v>608</v>
      </c>
      <c r="D95" s="483">
        <v>25</v>
      </c>
      <c r="E95" s="483">
        <f t="shared" si="5"/>
        <v>608</v>
      </c>
      <c r="F95" s="261" t="b">
        <f t="shared" si="6"/>
        <v>1</v>
      </c>
    </row>
    <row r="96" spans="1:6" ht="15.75" thickBot="1" x14ac:dyDescent="0.3">
      <c r="A96" s="2">
        <v>43987</v>
      </c>
      <c r="B96" s="261">
        <f t="shared" si="4"/>
        <v>24</v>
      </c>
      <c r="C96" s="493">
        <v>632</v>
      </c>
      <c r="D96" s="483">
        <v>24</v>
      </c>
      <c r="E96" s="483">
        <f t="shared" si="5"/>
        <v>632</v>
      </c>
      <c r="F96" s="261" t="b">
        <f t="shared" si="6"/>
        <v>1</v>
      </c>
    </row>
    <row r="97" spans="1:6" ht="15.75" thickBot="1" x14ac:dyDescent="0.3">
      <c r="A97" s="2">
        <v>43988</v>
      </c>
      <c r="B97" s="261">
        <f t="shared" si="4"/>
        <v>16</v>
      </c>
      <c r="C97" s="493">
        <v>648</v>
      </c>
      <c r="D97" s="483">
        <v>16</v>
      </c>
      <c r="E97" s="483">
        <f t="shared" si="5"/>
        <v>648</v>
      </c>
      <c r="F97" s="261" t="b">
        <f t="shared" si="6"/>
        <v>1</v>
      </c>
    </row>
    <row r="98" spans="1:6" ht="15.75" thickBot="1" x14ac:dyDescent="0.3">
      <c r="A98" s="2">
        <v>43989</v>
      </c>
      <c r="B98" s="261">
        <f t="shared" si="4"/>
        <v>16</v>
      </c>
      <c r="C98" s="493">
        <v>664</v>
      </c>
      <c r="D98" s="483">
        <v>16</v>
      </c>
      <c r="E98" s="483">
        <f t="shared" si="5"/>
        <v>664</v>
      </c>
      <c r="F98" s="261" t="b">
        <f t="shared" si="6"/>
        <v>1</v>
      </c>
    </row>
    <row r="99" spans="1:6" ht="15.75" thickBot="1" x14ac:dyDescent="0.3">
      <c r="A99" s="2">
        <v>43990</v>
      </c>
      <c r="B99" s="261">
        <f t="shared" si="4"/>
        <v>29</v>
      </c>
      <c r="C99" s="493">
        <v>693</v>
      </c>
      <c r="D99" s="483">
        <v>29</v>
      </c>
      <c r="E99" s="483">
        <f t="shared" si="5"/>
        <v>693</v>
      </c>
      <c r="F99" s="261" t="b">
        <f t="shared" si="6"/>
        <v>1</v>
      </c>
    </row>
    <row r="100" spans="1:6" ht="15.75" thickBot="1" x14ac:dyDescent="0.3">
      <c r="A100" s="2">
        <v>43991</v>
      </c>
      <c r="B100" s="261">
        <f t="shared" si="4"/>
        <v>24</v>
      </c>
      <c r="C100" s="493">
        <v>717</v>
      </c>
      <c r="D100" s="483">
        <v>24</v>
      </c>
      <c r="E100" s="483">
        <f t="shared" si="5"/>
        <v>717</v>
      </c>
      <c r="F100" s="261" t="b">
        <f t="shared" si="6"/>
        <v>1</v>
      </c>
    </row>
    <row r="101" spans="1:6" ht="15.75" thickBot="1" x14ac:dyDescent="0.3">
      <c r="A101" s="2">
        <v>43992</v>
      </c>
      <c r="B101" s="261">
        <f t="shared" si="4"/>
        <v>18</v>
      </c>
      <c r="C101" s="493">
        <v>735</v>
      </c>
      <c r="D101" s="483">
        <v>18</v>
      </c>
      <c r="E101" s="483">
        <f t="shared" si="5"/>
        <v>735</v>
      </c>
      <c r="F101" s="261" t="b">
        <f t="shared" si="6"/>
        <v>1</v>
      </c>
    </row>
    <row r="102" spans="1:6" ht="15.75" thickBot="1" x14ac:dyDescent="0.3">
      <c r="A102" s="2">
        <v>43993</v>
      </c>
      <c r="B102" s="261">
        <f t="shared" si="4"/>
        <v>30</v>
      </c>
      <c r="C102" s="493">
        <v>765</v>
      </c>
      <c r="D102" s="483">
        <v>30</v>
      </c>
      <c r="E102" s="483">
        <f t="shared" si="5"/>
        <v>765</v>
      </c>
      <c r="F102" s="261" t="b">
        <f t="shared" si="6"/>
        <v>1</v>
      </c>
    </row>
    <row r="103" spans="1:6" ht="15.75" thickBot="1" x14ac:dyDescent="0.3">
      <c r="A103" s="2">
        <v>43994</v>
      </c>
      <c r="B103" s="261">
        <f t="shared" si="4"/>
        <v>20</v>
      </c>
      <c r="C103" s="493">
        <v>785</v>
      </c>
      <c r="D103" s="483">
        <v>20</v>
      </c>
      <c r="E103" s="483">
        <f t="shared" si="5"/>
        <v>785</v>
      </c>
      <c r="F103" s="261" t="b">
        <f t="shared" si="6"/>
        <v>1</v>
      </c>
    </row>
    <row r="104" spans="1:6" ht="15.75" thickBot="1" x14ac:dyDescent="0.3">
      <c r="A104" s="2">
        <v>43995</v>
      </c>
      <c r="B104" s="261">
        <f t="shared" si="4"/>
        <v>30</v>
      </c>
      <c r="C104" s="493">
        <v>815</v>
      </c>
      <c r="D104" s="483">
        <v>30</v>
      </c>
      <c r="E104" s="483">
        <f t="shared" si="5"/>
        <v>815</v>
      </c>
      <c r="F104" s="261" t="b">
        <f t="shared" si="6"/>
        <v>1</v>
      </c>
    </row>
    <row r="105" spans="1:6" ht="15.75" thickBot="1" x14ac:dyDescent="0.3">
      <c r="A105" s="2">
        <v>43996</v>
      </c>
      <c r="B105" s="261">
        <f t="shared" si="4"/>
        <v>18</v>
      </c>
      <c r="C105" s="493">
        <v>833</v>
      </c>
      <c r="D105" s="483">
        <v>18</v>
      </c>
      <c r="E105" s="483">
        <f t="shared" si="5"/>
        <v>833</v>
      </c>
      <c r="F105" s="261" t="b">
        <f t="shared" si="6"/>
        <v>1</v>
      </c>
    </row>
    <row r="106" spans="1:6" ht="15.75" thickBot="1" x14ac:dyDescent="0.3">
      <c r="A106" s="2">
        <v>43997</v>
      </c>
      <c r="B106" s="261">
        <f t="shared" si="4"/>
        <v>21</v>
      </c>
      <c r="C106" s="493">
        <v>854</v>
      </c>
      <c r="D106" s="483">
        <v>21</v>
      </c>
      <c r="E106" s="483">
        <f t="shared" si="5"/>
        <v>854</v>
      </c>
      <c r="F106" s="261" t="b">
        <f t="shared" si="6"/>
        <v>1</v>
      </c>
    </row>
    <row r="107" spans="1:6" ht="15.75" thickBot="1" x14ac:dyDescent="0.3">
      <c r="A107" s="2">
        <v>43998</v>
      </c>
      <c r="B107" s="261">
        <f t="shared" si="4"/>
        <v>24</v>
      </c>
      <c r="C107" s="493">
        <v>878</v>
      </c>
      <c r="D107" s="483">
        <v>24</v>
      </c>
      <c r="E107" s="483">
        <f t="shared" si="5"/>
        <v>878</v>
      </c>
      <c r="F107" s="261" t="b">
        <f t="shared" si="6"/>
        <v>1</v>
      </c>
    </row>
    <row r="108" spans="1:6" ht="15.75" thickBot="1" x14ac:dyDescent="0.3">
      <c r="A108" s="2">
        <v>43999</v>
      </c>
      <c r="B108" s="261">
        <f t="shared" si="4"/>
        <v>35</v>
      </c>
      <c r="C108" s="493">
        <v>913</v>
      </c>
      <c r="D108" s="483">
        <v>35</v>
      </c>
      <c r="E108" s="483">
        <f t="shared" si="5"/>
        <v>913</v>
      </c>
      <c r="F108" s="261" t="b">
        <f t="shared" si="6"/>
        <v>1</v>
      </c>
    </row>
    <row r="109" spans="1:6" ht="15.75" thickBot="1" x14ac:dyDescent="0.3">
      <c r="A109" s="2">
        <v>44000</v>
      </c>
      <c r="B109" s="261">
        <f t="shared" si="4"/>
        <v>34</v>
      </c>
      <c r="C109" s="493">
        <v>947</v>
      </c>
      <c r="D109" s="483">
        <v>34</v>
      </c>
      <c r="E109" s="483">
        <f t="shared" si="5"/>
        <v>947</v>
      </c>
      <c r="F109" s="261" t="b">
        <f t="shared" si="6"/>
        <v>1</v>
      </c>
    </row>
    <row r="110" spans="1:6" ht="15.75" thickBot="1" x14ac:dyDescent="0.3">
      <c r="A110" s="2">
        <v>44001</v>
      </c>
      <c r="B110" s="261">
        <f t="shared" si="4"/>
        <v>31</v>
      </c>
      <c r="C110" s="493">
        <v>978</v>
      </c>
      <c r="D110" s="483">
        <v>31</v>
      </c>
      <c r="E110" s="483">
        <f t="shared" si="5"/>
        <v>978</v>
      </c>
      <c r="F110" s="261" t="b">
        <f t="shared" si="6"/>
        <v>1</v>
      </c>
    </row>
    <row r="111" spans="1:6" ht="15.75" thickBot="1" x14ac:dyDescent="0.3">
      <c r="A111" s="2">
        <v>44002</v>
      </c>
      <c r="B111" s="261">
        <f t="shared" si="4"/>
        <v>14</v>
      </c>
      <c r="C111" s="493">
        <v>992</v>
      </c>
      <c r="D111" s="483">
        <v>14</v>
      </c>
      <c r="E111" s="483">
        <f t="shared" si="5"/>
        <v>992</v>
      </c>
      <c r="F111" s="261" t="b">
        <f t="shared" si="6"/>
        <v>1</v>
      </c>
    </row>
    <row r="112" spans="1:6" ht="15.75" thickBot="1" x14ac:dyDescent="0.3">
      <c r="A112" s="2">
        <v>44003</v>
      </c>
      <c r="B112" s="261">
        <f t="shared" si="4"/>
        <v>19</v>
      </c>
      <c r="C112" s="493">
        <v>1011</v>
      </c>
      <c r="D112" s="483">
        <v>19</v>
      </c>
      <c r="E112" s="483">
        <f t="shared" si="5"/>
        <v>1011</v>
      </c>
      <c r="F112" s="261" t="b">
        <f t="shared" si="6"/>
        <v>1</v>
      </c>
    </row>
    <row r="113" spans="1:6" ht="15.75" thickBot="1" x14ac:dyDescent="0.3">
      <c r="A113" s="2">
        <v>44004</v>
      </c>
      <c r="B113" s="261">
        <f t="shared" si="4"/>
        <v>32</v>
      </c>
      <c r="C113" s="493">
        <v>1043</v>
      </c>
      <c r="D113" s="483">
        <v>32</v>
      </c>
      <c r="E113" s="483">
        <f t="shared" si="5"/>
        <v>1043</v>
      </c>
      <c r="F113" s="261" t="b">
        <f t="shared" si="6"/>
        <v>1</v>
      </c>
    </row>
    <row r="114" spans="1:6" ht="15.75" thickBot="1" x14ac:dyDescent="0.3">
      <c r="A114" s="2">
        <v>44005</v>
      </c>
      <c r="B114" s="261">
        <f t="shared" si="4"/>
        <v>35</v>
      </c>
      <c r="C114" s="493">
        <v>1078</v>
      </c>
      <c r="D114" s="483">
        <v>35</v>
      </c>
      <c r="E114" s="483">
        <f t="shared" si="5"/>
        <v>1078</v>
      </c>
      <c r="F114" s="261" t="b">
        <f t="shared" si="6"/>
        <v>1</v>
      </c>
    </row>
    <row r="115" spans="1:6" ht="15.75" thickBot="1" x14ac:dyDescent="0.3">
      <c r="A115" s="2">
        <v>44006</v>
      </c>
      <c r="B115" s="261">
        <f t="shared" si="4"/>
        <v>38</v>
      </c>
      <c r="C115" s="493">
        <v>1116</v>
      </c>
      <c r="D115" s="483">
        <v>38</v>
      </c>
      <c r="E115" s="483">
        <f t="shared" si="5"/>
        <v>1116</v>
      </c>
      <c r="F115" s="261" t="b">
        <f t="shared" si="6"/>
        <v>1</v>
      </c>
    </row>
    <row r="116" spans="1:6" ht="15.75" thickBot="1" x14ac:dyDescent="0.3">
      <c r="A116" s="2">
        <v>44007</v>
      </c>
      <c r="B116" s="261">
        <f t="shared" si="4"/>
        <v>34</v>
      </c>
      <c r="C116" s="493">
        <v>1150</v>
      </c>
      <c r="D116" s="483">
        <v>34</v>
      </c>
      <c r="E116" s="483">
        <f t="shared" si="5"/>
        <v>1150</v>
      </c>
      <c r="F116" s="261" t="b">
        <f t="shared" si="6"/>
        <v>1</v>
      </c>
    </row>
    <row r="117" spans="1:6" ht="15.75" thickBot="1" x14ac:dyDescent="0.3">
      <c r="A117" s="2">
        <v>44008</v>
      </c>
      <c r="B117" s="261">
        <f t="shared" si="4"/>
        <v>34</v>
      </c>
      <c r="C117" s="493">
        <v>1184</v>
      </c>
      <c r="D117" s="483">
        <v>34</v>
      </c>
      <c r="E117" s="483">
        <f t="shared" si="5"/>
        <v>1184</v>
      </c>
      <c r="F117" s="261" t="b">
        <f t="shared" si="6"/>
        <v>1</v>
      </c>
    </row>
    <row r="118" spans="1:6" ht="15.75" thickBot="1" x14ac:dyDescent="0.3">
      <c r="A118" s="2">
        <v>44009</v>
      </c>
      <c r="B118" s="261">
        <f t="shared" si="4"/>
        <v>23</v>
      </c>
      <c r="C118" s="493">
        <v>1207</v>
      </c>
      <c r="D118" s="483">
        <v>23</v>
      </c>
      <c r="E118" s="483">
        <f t="shared" si="5"/>
        <v>1207</v>
      </c>
      <c r="F118" s="261" t="b">
        <f t="shared" si="6"/>
        <v>1</v>
      </c>
    </row>
    <row r="119" spans="1:6" ht="15.75" thickBot="1" x14ac:dyDescent="0.3">
      <c r="A119" s="2">
        <v>44010</v>
      </c>
      <c r="B119" s="261">
        <f t="shared" si="4"/>
        <v>25</v>
      </c>
      <c r="C119" s="493">
        <v>1232</v>
      </c>
      <c r="D119" s="483">
        <v>25</v>
      </c>
      <c r="E119" s="483">
        <f t="shared" si="5"/>
        <v>1232</v>
      </c>
      <c r="F119" s="261" t="b">
        <f t="shared" si="6"/>
        <v>1</v>
      </c>
    </row>
    <row r="120" spans="1:6" ht="15.75" thickBot="1" x14ac:dyDescent="0.3">
      <c r="A120" s="2">
        <v>44011</v>
      </c>
      <c r="B120" s="261">
        <f t="shared" si="4"/>
        <v>48</v>
      </c>
      <c r="C120" s="493">
        <v>1280</v>
      </c>
      <c r="D120" s="483">
        <v>48</v>
      </c>
      <c r="E120" s="483">
        <f t="shared" si="5"/>
        <v>1280</v>
      </c>
      <c r="F120" s="261" t="b">
        <f t="shared" si="6"/>
        <v>1</v>
      </c>
    </row>
    <row r="121" spans="1:6" ht="15.75" thickBot="1" x14ac:dyDescent="0.3">
      <c r="A121" s="2">
        <v>44012</v>
      </c>
      <c r="B121" s="261">
        <f t="shared" si="4"/>
        <v>27</v>
      </c>
      <c r="C121" s="493">
        <v>1307</v>
      </c>
      <c r="D121" s="483">
        <v>27</v>
      </c>
      <c r="E121" s="483">
        <f t="shared" si="5"/>
        <v>1307</v>
      </c>
      <c r="F121" s="261" t="b">
        <f t="shared" si="6"/>
        <v>1</v>
      </c>
    </row>
    <row r="122" spans="1:6" ht="15.75" thickBot="1" x14ac:dyDescent="0.3">
      <c r="A122" s="2">
        <v>44013</v>
      </c>
      <c r="B122" s="261">
        <f t="shared" si="4"/>
        <v>44</v>
      </c>
      <c r="C122" s="493">
        <v>1351</v>
      </c>
      <c r="D122" s="483">
        <v>44</v>
      </c>
      <c r="E122" s="483">
        <f t="shared" si="5"/>
        <v>1351</v>
      </c>
      <c r="F122" s="261" t="b">
        <f t="shared" si="6"/>
        <v>1</v>
      </c>
    </row>
    <row r="123" spans="1:6" ht="15.75" thickBot="1" x14ac:dyDescent="0.3">
      <c r="A123" s="2">
        <v>44014</v>
      </c>
      <c r="B123" s="261">
        <f t="shared" si="4"/>
        <v>34</v>
      </c>
      <c r="C123" s="493">
        <v>1385</v>
      </c>
      <c r="D123" s="483">
        <v>34</v>
      </c>
      <c r="E123" s="483">
        <f t="shared" si="5"/>
        <v>1385</v>
      </c>
      <c r="F123" s="261" t="b">
        <f t="shared" si="6"/>
        <v>1</v>
      </c>
    </row>
    <row r="124" spans="1:6" ht="15.75" thickBot="1" x14ac:dyDescent="0.3">
      <c r="A124" s="2">
        <v>44015</v>
      </c>
      <c r="B124" s="261">
        <f t="shared" si="4"/>
        <v>52</v>
      </c>
      <c r="C124" s="493">
        <v>1437</v>
      </c>
      <c r="D124" s="483">
        <v>52</v>
      </c>
      <c r="E124" s="483">
        <f t="shared" si="5"/>
        <v>1437</v>
      </c>
      <c r="F124" s="261" t="b">
        <f t="shared" si="6"/>
        <v>1</v>
      </c>
    </row>
    <row r="125" spans="1:6" ht="15.75" thickBot="1" x14ac:dyDescent="0.3">
      <c r="A125" s="2">
        <v>44016</v>
      </c>
      <c r="B125" s="261">
        <f t="shared" si="4"/>
        <v>44</v>
      </c>
      <c r="C125" s="493">
        <v>1481</v>
      </c>
      <c r="D125" s="483">
        <v>44</v>
      </c>
      <c r="E125" s="483">
        <f t="shared" si="5"/>
        <v>1481</v>
      </c>
      <c r="F125" s="261" t="b">
        <f t="shared" si="6"/>
        <v>1</v>
      </c>
    </row>
    <row r="126" spans="1:6" ht="15.75" thickBot="1" x14ac:dyDescent="0.3">
      <c r="A126" s="2">
        <v>44017</v>
      </c>
      <c r="B126" s="261">
        <f t="shared" si="4"/>
        <v>26</v>
      </c>
      <c r="C126" s="493">
        <v>1507</v>
      </c>
      <c r="D126" s="483">
        <v>26</v>
      </c>
      <c r="E126" s="483">
        <f t="shared" si="5"/>
        <v>1507</v>
      </c>
      <c r="F126" s="261" t="b">
        <f t="shared" si="6"/>
        <v>1</v>
      </c>
    </row>
    <row r="127" spans="1:6" ht="15.75" thickBot="1" x14ac:dyDescent="0.3">
      <c r="A127" s="2">
        <v>44018</v>
      </c>
      <c r="B127" s="261">
        <f t="shared" si="4"/>
        <v>75</v>
      </c>
      <c r="C127" s="493">
        <v>1582</v>
      </c>
      <c r="D127" s="483">
        <v>75</v>
      </c>
      <c r="E127" s="483">
        <f t="shared" si="5"/>
        <v>1582</v>
      </c>
      <c r="F127" s="261" t="b">
        <f t="shared" si="6"/>
        <v>1</v>
      </c>
    </row>
    <row r="128" spans="1:6" ht="15.75" thickBot="1" x14ac:dyDescent="0.3">
      <c r="A128" s="2">
        <v>44019</v>
      </c>
      <c r="B128" s="261">
        <f t="shared" si="4"/>
        <v>61</v>
      </c>
      <c r="C128" s="493">
        <v>1643</v>
      </c>
      <c r="D128" s="483">
        <v>61</v>
      </c>
      <c r="E128" s="483">
        <f t="shared" si="5"/>
        <v>1643</v>
      </c>
      <c r="F128" s="261" t="b">
        <f t="shared" si="6"/>
        <v>1</v>
      </c>
    </row>
    <row r="129" spans="1:6" ht="15.75" thickBot="1" x14ac:dyDescent="0.3">
      <c r="A129" s="2">
        <v>44020</v>
      </c>
      <c r="B129" s="261">
        <f t="shared" si="4"/>
        <v>51</v>
      </c>
      <c r="C129" s="493">
        <v>1694</v>
      </c>
      <c r="D129" s="483">
        <v>51</v>
      </c>
      <c r="E129" s="483">
        <f t="shared" si="5"/>
        <v>1694</v>
      </c>
      <c r="F129" s="261" t="b">
        <f t="shared" si="6"/>
        <v>1</v>
      </c>
    </row>
    <row r="130" spans="1:6" ht="15.75" thickBot="1" x14ac:dyDescent="0.3">
      <c r="A130" s="2">
        <v>44021</v>
      </c>
      <c r="B130" s="261">
        <f t="shared" si="4"/>
        <v>26</v>
      </c>
      <c r="C130" s="493">
        <v>1720</v>
      </c>
      <c r="D130" s="483">
        <v>26</v>
      </c>
      <c r="E130" s="483">
        <f t="shared" si="5"/>
        <v>1720</v>
      </c>
      <c r="F130" s="261" t="b">
        <f t="shared" si="6"/>
        <v>1</v>
      </c>
    </row>
    <row r="131" spans="1:6" ht="15.75" thickBot="1" x14ac:dyDescent="0.3">
      <c r="A131" s="2">
        <v>44022</v>
      </c>
      <c r="B131" s="261">
        <f t="shared" si="4"/>
        <v>54</v>
      </c>
      <c r="C131" s="493">
        <v>1774</v>
      </c>
      <c r="D131" s="483">
        <v>54</v>
      </c>
      <c r="E131" s="483">
        <f t="shared" si="5"/>
        <v>1774</v>
      </c>
      <c r="F131" s="261" t="b">
        <f t="shared" si="6"/>
        <v>1</v>
      </c>
    </row>
    <row r="132" spans="1:6" ht="15.75" thickBot="1" x14ac:dyDescent="0.3">
      <c r="A132" s="2">
        <v>44023</v>
      </c>
      <c r="B132" s="261">
        <f t="shared" ref="B132:B195" si="7">C132-C131</f>
        <v>36</v>
      </c>
      <c r="C132" s="493">
        <v>1810</v>
      </c>
      <c r="D132" s="483">
        <v>36</v>
      </c>
      <c r="E132" s="483">
        <f t="shared" ref="E132:E195" si="8">E131+D132</f>
        <v>1810</v>
      </c>
      <c r="F132" s="261" t="b">
        <f t="shared" si="6"/>
        <v>1</v>
      </c>
    </row>
    <row r="133" spans="1:6" ht="15.75" thickBot="1" x14ac:dyDescent="0.3">
      <c r="A133" s="2">
        <v>44024</v>
      </c>
      <c r="B133" s="261">
        <f t="shared" si="7"/>
        <v>35</v>
      </c>
      <c r="C133" s="493">
        <v>1845</v>
      </c>
      <c r="D133" s="483">
        <v>35</v>
      </c>
      <c r="E133" s="483">
        <f t="shared" si="8"/>
        <v>1845</v>
      </c>
      <c r="F133" s="261" t="b">
        <f t="shared" si="6"/>
        <v>1</v>
      </c>
    </row>
    <row r="134" spans="1:6" ht="15.75" thickBot="1" x14ac:dyDescent="0.3">
      <c r="A134" s="2">
        <v>44025</v>
      </c>
      <c r="B134" s="261">
        <f t="shared" si="7"/>
        <v>58</v>
      </c>
      <c r="C134" s="493">
        <v>1903</v>
      </c>
      <c r="D134" s="483">
        <v>58</v>
      </c>
      <c r="E134" s="483">
        <f t="shared" si="8"/>
        <v>1903</v>
      </c>
      <c r="F134" s="261" t="b">
        <f t="shared" si="6"/>
        <v>1</v>
      </c>
    </row>
    <row r="135" spans="1:6" ht="15.75" thickBot="1" x14ac:dyDescent="0.3">
      <c r="A135" s="2">
        <v>44026</v>
      </c>
      <c r="B135" s="261">
        <f t="shared" si="7"/>
        <v>65</v>
      </c>
      <c r="C135" s="493">
        <v>1968</v>
      </c>
      <c r="D135" s="483">
        <v>65</v>
      </c>
      <c r="E135" s="483">
        <f t="shared" si="8"/>
        <v>1968</v>
      </c>
      <c r="F135" s="261" t="b">
        <f t="shared" si="6"/>
        <v>1</v>
      </c>
    </row>
    <row r="136" spans="1:6" ht="15.75" thickBot="1" x14ac:dyDescent="0.3">
      <c r="A136" s="2">
        <v>44027</v>
      </c>
      <c r="B136" s="261">
        <f t="shared" si="7"/>
        <v>82</v>
      </c>
      <c r="C136" s="493">
        <v>2050</v>
      </c>
      <c r="D136" s="483">
        <v>82</v>
      </c>
      <c r="E136" s="483">
        <f t="shared" si="8"/>
        <v>2050</v>
      </c>
      <c r="F136" s="261" t="b">
        <f t="shared" si="6"/>
        <v>1</v>
      </c>
    </row>
    <row r="137" spans="1:6" ht="15.75" thickBot="1" x14ac:dyDescent="0.3">
      <c r="A137" s="2">
        <v>44028</v>
      </c>
      <c r="B137" s="261">
        <f t="shared" si="7"/>
        <v>62</v>
      </c>
      <c r="C137" s="493">
        <v>2112</v>
      </c>
      <c r="D137" s="483">
        <v>62</v>
      </c>
      <c r="E137" s="483">
        <f t="shared" si="8"/>
        <v>2112</v>
      </c>
      <c r="F137" s="261" t="b">
        <f t="shared" si="6"/>
        <v>1</v>
      </c>
    </row>
    <row r="138" spans="1:6" ht="15.75" thickBot="1" x14ac:dyDescent="0.3">
      <c r="A138" s="2">
        <v>44029</v>
      </c>
      <c r="B138" s="261">
        <f t="shared" si="7"/>
        <v>66</v>
      </c>
      <c r="C138" s="493">
        <v>2178</v>
      </c>
      <c r="D138" s="483">
        <v>66</v>
      </c>
      <c r="E138" s="483">
        <f t="shared" si="8"/>
        <v>2178</v>
      </c>
      <c r="F138" s="261" t="b">
        <f t="shared" si="6"/>
        <v>1</v>
      </c>
    </row>
    <row r="139" spans="1:6" ht="15.75" thickBot="1" x14ac:dyDescent="0.3">
      <c r="A139" s="2">
        <v>44030</v>
      </c>
      <c r="B139" s="261">
        <f t="shared" si="7"/>
        <v>42</v>
      </c>
      <c r="C139" s="493">
        <v>2220</v>
      </c>
      <c r="D139" s="483">
        <v>42</v>
      </c>
      <c r="E139" s="483">
        <f t="shared" si="8"/>
        <v>2220</v>
      </c>
      <c r="F139" s="261" t="b">
        <f t="shared" si="6"/>
        <v>1</v>
      </c>
    </row>
    <row r="140" spans="1:6" ht="15.75" thickBot="1" x14ac:dyDescent="0.3">
      <c r="A140" s="2">
        <v>44031</v>
      </c>
      <c r="B140" s="261">
        <f t="shared" si="7"/>
        <v>40</v>
      </c>
      <c r="C140" s="493">
        <v>2260</v>
      </c>
      <c r="D140" s="483">
        <v>40</v>
      </c>
      <c r="E140" s="483">
        <f t="shared" si="8"/>
        <v>2260</v>
      </c>
      <c r="F140" s="261" t="b">
        <f t="shared" si="6"/>
        <v>1</v>
      </c>
    </row>
    <row r="141" spans="1:6" ht="15.75" thickBot="1" x14ac:dyDescent="0.3">
      <c r="A141" s="2">
        <v>44032</v>
      </c>
      <c r="B141" s="261">
        <f t="shared" si="7"/>
        <v>113</v>
      </c>
      <c r="C141" s="493">
        <v>2373</v>
      </c>
      <c r="D141" s="483">
        <v>113</v>
      </c>
      <c r="E141" s="483">
        <f t="shared" si="8"/>
        <v>2373</v>
      </c>
      <c r="F141" s="261" t="b">
        <f t="shared" ref="F141:F204" si="9">EXACT(C141,E141)</f>
        <v>1</v>
      </c>
    </row>
    <row r="142" spans="1:6" ht="15.75" thickBot="1" x14ac:dyDescent="0.3">
      <c r="A142" s="2">
        <v>44033</v>
      </c>
      <c r="B142" s="261">
        <f t="shared" si="7"/>
        <v>117</v>
      </c>
      <c r="C142" s="493">
        <v>2490</v>
      </c>
      <c r="D142" s="483">
        <v>117</v>
      </c>
      <c r="E142" s="483">
        <f t="shared" si="8"/>
        <v>2490</v>
      </c>
      <c r="F142" s="261" t="b">
        <f t="shared" si="9"/>
        <v>1</v>
      </c>
    </row>
    <row r="143" spans="1:6" ht="15.75" thickBot="1" x14ac:dyDescent="0.3">
      <c r="A143" s="2">
        <v>44034</v>
      </c>
      <c r="B143" s="261">
        <f t="shared" si="7"/>
        <v>98</v>
      </c>
      <c r="C143" s="493">
        <v>2588</v>
      </c>
      <c r="D143" s="483">
        <v>98</v>
      </c>
      <c r="E143" s="483">
        <f t="shared" si="8"/>
        <v>2588</v>
      </c>
      <c r="F143" s="261" t="b">
        <f t="shared" si="9"/>
        <v>1</v>
      </c>
    </row>
    <row r="144" spans="1:6" ht="15.75" thickBot="1" x14ac:dyDescent="0.3">
      <c r="A144" s="2">
        <v>44035</v>
      </c>
      <c r="B144" s="261">
        <f t="shared" si="7"/>
        <v>114</v>
      </c>
      <c r="C144" s="493">
        <v>2702</v>
      </c>
      <c r="D144" s="483">
        <v>114</v>
      </c>
      <c r="E144" s="483">
        <f t="shared" si="8"/>
        <v>2702</v>
      </c>
      <c r="F144" s="261" t="b">
        <f t="shared" si="9"/>
        <v>1</v>
      </c>
    </row>
    <row r="145" spans="1:6" ht="15.75" thickBot="1" x14ac:dyDescent="0.3">
      <c r="A145" s="2">
        <v>44036</v>
      </c>
      <c r="B145" s="261">
        <f t="shared" si="7"/>
        <v>105</v>
      </c>
      <c r="C145" s="493">
        <v>2807</v>
      </c>
      <c r="D145" s="483">
        <v>105</v>
      </c>
      <c r="E145" s="483">
        <f t="shared" si="8"/>
        <v>2807</v>
      </c>
      <c r="F145" s="261" t="b">
        <f t="shared" si="9"/>
        <v>1</v>
      </c>
    </row>
    <row r="146" spans="1:6" ht="15.75" thickBot="1" x14ac:dyDescent="0.3">
      <c r="A146" s="2">
        <v>44037</v>
      </c>
      <c r="B146" s="261">
        <f t="shared" si="7"/>
        <v>86</v>
      </c>
      <c r="C146" s="493">
        <v>2893</v>
      </c>
      <c r="D146" s="483">
        <v>86</v>
      </c>
      <c r="E146" s="483">
        <f t="shared" si="8"/>
        <v>2893</v>
      </c>
      <c r="F146" s="261" t="b">
        <f t="shared" si="9"/>
        <v>1</v>
      </c>
    </row>
    <row r="147" spans="1:6" ht="15.75" thickBot="1" x14ac:dyDescent="0.3">
      <c r="A147" s="2">
        <v>44038</v>
      </c>
      <c r="B147" s="261">
        <f t="shared" si="7"/>
        <v>45</v>
      </c>
      <c r="C147" s="493">
        <v>2938</v>
      </c>
      <c r="D147" s="483">
        <v>45</v>
      </c>
      <c r="E147" s="483">
        <f t="shared" si="8"/>
        <v>2938</v>
      </c>
      <c r="F147" s="261" t="b">
        <f t="shared" si="9"/>
        <v>1</v>
      </c>
    </row>
    <row r="148" spans="1:6" ht="15.75" thickBot="1" x14ac:dyDescent="0.3">
      <c r="A148" s="2">
        <v>44039</v>
      </c>
      <c r="B148" s="261">
        <f t="shared" si="7"/>
        <v>121</v>
      </c>
      <c r="C148" s="493">
        <v>3059</v>
      </c>
      <c r="D148" s="483">
        <v>121</v>
      </c>
      <c r="E148" s="483">
        <f t="shared" si="8"/>
        <v>3059</v>
      </c>
      <c r="F148" s="261" t="b">
        <f t="shared" si="9"/>
        <v>1</v>
      </c>
    </row>
    <row r="149" spans="1:6" ht="15.75" thickBot="1" x14ac:dyDescent="0.3">
      <c r="A149" s="2">
        <v>44040</v>
      </c>
      <c r="B149" s="261">
        <f t="shared" si="7"/>
        <v>120</v>
      </c>
      <c r="C149" s="493">
        <v>3179</v>
      </c>
      <c r="D149" s="483">
        <v>120</v>
      </c>
      <c r="E149" s="483">
        <f t="shared" si="8"/>
        <v>3179</v>
      </c>
      <c r="F149" s="261" t="b">
        <f t="shared" si="9"/>
        <v>1</v>
      </c>
    </row>
    <row r="150" spans="1:6" ht="15.75" thickBot="1" x14ac:dyDescent="0.3">
      <c r="A150" s="2">
        <v>44041</v>
      </c>
      <c r="B150" s="261">
        <f t="shared" si="7"/>
        <v>109</v>
      </c>
      <c r="C150" s="493">
        <v>3288</v>
      </c>
      <c r="D150" s="483">
        <v>109</v>
      </c>
      <c r="E150" s="483">
        <f t="shared" si="8"/>
        <v>3288</v>
      </c>
      <c r="F150" s="261" t="b">
        <f t="shared" si="9"/>
        <v>1</v>
      </c>
    </row>
    <row r="151" spans="1:6" ht="15.75" thickBot="1" x14ac:dyDescent="0.3">
      <c r="A151" s="2">
        <v>44042</v>
      </c>
      <c r="B151" s="261">
        <f t="shared" si="7"/>
        <v>153</v>
      </c>
      <c r="C151" s="493">
        <v>3441</v>
      </c>
      <c r="D151" s="483">
        <v>153</v>
      </c>
      <c r="E151" s="483">
        <f t="shared" si="8"/>
        <v>3441</v>
      </c>
      <c r="F151" s="261" t="b">
        <f t="shared" si="9"/>
        <v>1</v>
      </c>
    </row>
    <row r="152" spans="1:6" ht="15.75" thickBot="1" x14ac:dyDescent="0.3">
      <c r="A152" s="2">
        <v>44043</v>
      </c>
      <c r="B152" s="261">
        <f t="shared" si="7"/>
        <v>101</v>
      </c>
      <c r="C152" s="493">
        <v>3542</v>
      </c>
      <c r="D152" s="483">
        <v>101</v>
      </c>
      <c r="E152" s="483">
        <f t="shared" si="8"/>
        <v>3542</v>
      </c>
      <c r="F152" s="261" t="b">
        <f t="shared" si="9"/>
        <v>1</v>
      </c>
    </row>
    <row r="153" spans="1:6" ht="15.75" thickBot="1" x14ac:dyDescent="0.3">
      <c r="A153" s="2">
        <v>44044</v>
      </c>
      <c r="B153" s="261">
        <f t="shared" si="7"/>
        <v>53</v>
      </c>
      <c r="C153" s="493">
        <v>3595</v>
      </c>
      <c r="D153" s="483">
        <v>53</v>
      </c>
      <c r="E153" s="483">
        <f t="shared" si="8"/>
        <v>3595</v>
      </c>
      <c r="F153" s="261" t="b">
        <f t="shared" si="9"/>
        <v>1</v>
      </c>
    </row>
    <row r="154" spans="1:6" ht="15.75" thickBot="1" x14ac:dyDescent="0.3">
      <c r="A154" s="2">
        <v>44045</v>
      </c>
      <c r="B154" s="261">
        <f t="shared" si="7"/>
        <v>46</v>
      </c>
      <c r="C154" s="493">
        <v>3641</v>
      </c>
      <c r="D154" s="483">
        <v>46</v>
      </c>
      <c r="E154" s="483">
        <f t="shared" si="8"/>
        <v>3641</v>
      </c>
      <c r="F154" s="261" t="b">
        <f t="shared" si="9"/>
        <v>1</v>
      </c>
    </row>
    <row r="155" spans="1:6" ht="15.75" thickBot="1" x14ac:dyDescent="0.3">
      <c r="A155" s="2">
        <v>44046</v>
      </c>
      <c r="B155" s="261">
        <f t="shared" si="7"/>
        <v>164</v>
      </c>
      <c r="C155" s="493">
        <v>3805</v>
      </c>
      <c r="D155" s="483">
        <v>164</v>
      </c>
      <c r="E155" s="483">
        <f t="shared" si="8"/>
        <v>3805</v>
      </c>
      <c r="F155" s="261" t="b">
        <f t="shared" si="9"/>
        <v>1</v>
      </c>
    </row>
    <row r="156" spans="1:6" ht="15.75" thickBot="1" x14ac:dyDescent="0.3">
      <c r="A156" s="2">
        <v>44047</v>
      </c>
      <c r="B156" s="261">
        <f t="shared" si="7"/>
        <v>168</v>
      </c>
      <c r="C156" s="493">
        <v>3973</v>
      </c>
      <c r="D156" s="483">
        <v>168</v>
      </c>
      <c r="E156" s="483">
        <f t="shared" si="8"/>
        <v>3973</v>
      </c>
      <c r="F156" s="261" t="b">
        <f t="shared" si="9"/>
        <v>1</v>
      </c>
    </row>
    <row r="157" spans="1:6" ht="15.75" thickBot="1" x14ac:dyDescent="0.3">
      <c r="A157" s="2">
        <v>44048</v>
      </c>
      <c r="B157" s="261">
        <f t="shared" si="7"/>
        <v>127</v>
      </c>
      <c r="C157" s="493">
        <v>4100</v>
      </c>
      <c r="D157" s="483">
        <v>127</v>
      </c>
      <c r="E157" s="483">
        <f t="shared" si="8"/>
        <v>4100</v>
      </c>
      <c r="F157" s="261" t="b">
        <f t="shared" si="9"/>
        <v>1</v>
      </c>
    </row>
    <row r="158" spans="1:6" ht="15.75" thickBot="1" x14ac:dyDescent="0.3">
      <c r="A158" s="2">
        <v>44049</v>
      </c>
      <c r="B158" s="261">
        <f t="shared" si="7"/>
        <v>145</v>
      </c>
      <c r="C158" s="493">
        <v>4245</v>
      </c>
      <c r="D158" s="483">
        <v>145</v>
      </c>
      <c r="E158" s="483">
        <f t="shared" si="8"/>
        <v>4245</v>
      </c>
      <c r="F158" s="261" t="b">
        <f t="shared" si="9"/>
        <v>1</v>
      </c>
    </row>
    <row r="159" spans="1:6" ht="15.75" thickBot="1" x14ac:dyDescent="0.3">
      <c r="A159" s="2">
        <v>44050</v>
      </c>
      <c r="B159" s="261">
        <f t="shared" si="7"/>
        <v>159</v>
      </c>
      <c r="C159" s="493">
        <v>4404</v>
      </c>
      <c r="D159" s="483">
        <v>159</v>
      </c>
      <c r="E159" s="483">
        <f t="shared" si="8"/>
        <v>4404</v>
      </c>
      <c r="F159" s="261" t="b">
        <f t="shared" si="9"/>
        <v>1</v>
      </c>
    </row>
    <row r="160" spans="1:6" ht="15.75" thickBot="1" x14ac:dyDescent="0.3">
      <c r="A160" s="2">
        <v>44051</v>
      </c>
      <c r="B160" s="261">
        <f t="shared" si="7"/>
        <v>112</v>
      </c>
      <c r="C160" s="493">
        <v>4516</v>
      </c>
      <c r="D160" s="483">
        <v>112</v>
      </c>
      <c r="E160" s="483">
        <f t="shared" si="8"/>
        <v>4516</v>
      </c>
      <c r="F160" s="261" t="b">
        <f t="shared" si="9"/>
        <v>1</v>
      </c>
    </row>
    <row r="161" spans="1:6" ht="15.75" thickBot="1" x14ac:dyDescent="0.3">
      <c r="A161" s="2">
        <v>44052</v>
      </c>
      <c r="B161" s="261">
        <f t="shared" si="7"/>
        <v>83</v>
      </c>
      <c r="C161" s="493">
        <v>4599</v>
      </c>
      <c r="D161" s="483">
        <v>83</v>
      </c>
      <c r="E161" s="483">
        <f t="shared" si="8"/>
        <v>4599</v>
      </c>
      <c r="F161" s="261" t="b">
        <f t="shared" si="9"/>
        <v>1</v>
      </c>
    </row>
    <row r="162" spans="1:6" ht="15.75" thickBot="1" x14ac:dyDescent="0.3">
      <c r="A162" s="2">
        <v>44053</v>
      </c>
      <c r="B162" s="261">
        <f t="shared" si="7"/>
        <v>157</v>
      </c>
      <c r="C162" s="493">
        <v>4756</v>
      </c>
      <c r="D162" s="483">
        <v>157</v>
      </c>
      <c r="E162" s="483">
        <f t="shared" si="8"/>
        <v>4756</v>
      </c>
      <c r="F162" s="261" t="b">
        <f t="shared" si="9"/>
        <v>1</v>
      </c>
    </row>
    <row r="163" spans="1:6" ht="15.75" thickBot="1" x14ac:dyDescent="0.3">
      <c r="A163" s="2">
        <v>44054</v>
      </c>
      <c r="B163" s="261">
        <f t="shared" si="7"/>
        <v>241</v>
      </c>
      <c r="C163" s="493">
        <v>4997</v>
      </c>
      <c r="D163" s="483">
        <v>241</v>
      </c>
      <c r="E163" s="483">
        <f t="shared" si="8"/>
        <v>4997</v>
      </c>
      <c r="F163" s="261" t="b">
        <f t="shared" si="9"/>
        <v>1</v>
      </c>
    </row>
    <row r="164" spans="1:6" ht="15.75" thickBot="1" x14ac:dyDescent="0.3">
      <c r="A164" s="2">
        <v>44055</v>
      </c>
      <c r="B164" s="261">
        <f t="shared" si="7"/>
        <v>209</v>
      </c>
      <c r="C164" s="493">
        <v>5206</v>
      </c>
      <c r="D164" s="483">
        <v>209</v>
      </c>
      <c r="E164" s="483">
        <f t="shared" si="8"/>
        <v>5206</v>
      </c>
      <c r="F164" s="261" t="b">
        <f t="shared" si="9"/>
        <v>1</v>
      </c>
    </row>
    <row r="165" spans="1:6" ht="15.75" thickBot="1" x14ac:dyDescent="0.3">
      <c r="A165" s="2">
        <v>44056</v>
      </c>
      <c r="B165" s="261">
        <f t="shared" si="7"/>
        <v>149</v>
      </c>
      <c r="C165" s="493">
        <v>5355</v>
      </c>
      <c r="D165" s="483">
        <v>149</v>
      </c>
      <c r="E165" s="483">
        <f t="shared" si="8"/>
        <v>5355</v>
      </c>
      <c r="F165" s="261" t="b">
        <f t="shared" si="9"/>
        <v>1</v>
      </c>
    </row>
    <row r="166" spans="1:6" ht="15.75" thickBot="1" x14ac:dyDescent="0.3">
      <c r="A166" s="2">
        <v>44057</v>
      </c>
      <c r="B166" s="261">
        <f t="shared" si="7"/>
        <v>164</v>
      </c>
      <c r="C166" s="493">
        <v>5519</v>
      </c>
      <c r="D166" s="483">
        <v>164</v>
      </c>
      <c r="E166" s="483">
        <f t="shared" si="8"/>
        <v>5519</v>
      </c>
      <c r="F166" s="261" t="b">
        <f t="shared" si="9"/>
        <v>1</v>
      </c>
    </row>
    <row r="167" spans="1:6" ht="15.75" thickBot="1" x14ac:dyDescent="0.3">
      <c r="A167" s="2">
        <v>44058</v>
      </c>
      <c r="B167" s="261">
        <f t="shared" si="7"/>
        <v>110</v>
      </c>
      <c r="C167" s="493">
        <v>5629</v>
      </c>
      <c r="D167" s="483">
        <v>110</v>
      </c>
      <c r="E167" s="483">
        <f t="shared" si="8"/>
        <v>5629</v>
      </c>
      <c r="F167" s="261" t="b">
        <f t="shared" si="9"/>
        <v>1</v>
      </c>
    </row>
    <row r="168" spans="1:6" ht="15.75" thickBot="1" x14ac:dyDescent="0.3">
      <c r="A168" s="2">
        <v>44059</v>
      </c>
      <c r="B168" s="261">
        <f t="shared" si="7"/>
        <v>65</v>
      </c>
      <c r="C168" s="493">
        <v>5694</v>
      </c>
      <c r="D168" s="483">
        <v>65</v>
      </c>
      <c r="E168" s="483">
        <f t="shared" si="8"/>
        <v>5694</v>
      </c>
      <c r="F168" s="261" t="b">
        <f t="shared" si="9"/>
        <v>1</v>
      </c>
    </row>
    <row r="169" spans="1:6" ht="15.75" thickBot="1" x14ac:dyDescent="0.3">
      <c r="A169" s="2">
        <v>44060</v>
      </c>
      <c r="B169" s="261">
        <f t="shared" si="7"/>
        <v>111</v>
      </c>
      <c r="C169" s="493">
        <v>5805</v>
      </c>
      <c r="D169" s="483">
        <v>111</v>
      </c>
      <c r="E169" s="483">
        <f t="shared" si="8"/>
        <v>5805</v>
      </c>
      <c r="F169" s="261" t="b">
        <f t="shared" si="9"/>
        <v>1</v>
      </c>
    </row>
    <row r="170" spans="1:6" ht="15.75" thickBot="1" x14ac:dyDescent="0.3">
      <c r="A170" s="2">
        <v>44061</v>
      </c>
      <c r="B170" s="261">
        <f t="shared" si="7"/>
        <v>233</v>
      </c>
      <c r="C170" s="493">
        <v>6038</v>
      </c>
      <c r="D170" s="483">
        <v>233</v>
      </c>
      <c r="E170" s="483">
        <f t="shared" si="8"/>
        <v>6038</v>
      </c>
      <c r="F170" s="261" t="b">
        <f t="shared" si="9"/>
        <v>1</v>
      </c>
    </row>
    <row r="171" spans="1:6" ht="15.75" thickBot="1" x14ac:dyDescent="0.3">
      <c r="A171" s="2">
        <v>44062</v>
      </c>
      <c r="B171" s="261">
        <f t="shared" si="7"/>
        <v>283</v>
      </c>
      <c r="C171" s="493">
        <v>6321</v>
      </c>
      <c r="D171" s="483">
        <v>283</v>
      </c>
      <c r="E171" s="483">
        <f t="shared" si="8"/>
        <v>6321</v>
      </c>
      <c r="F171" s="261" t="b">
        <f t="shared" si="9"/>
        <v>1</v>
      </c>
    </row>
    <row r="172" spans="1:6" ht="15.75" thickBot="1" x14ac:dyDescent="0.3">
      <c r="A172" s="2">
        <v>44063</v>
      </c>
      <c r="B172" s="261">
        <f t="shared" si="7"/>
        <v>187</v>
      </c>
      <c r="C172" s="493">
        <v>6508</v>
      </c>
      <c r="D172" s="483">
        <v>187</v>
      </c>
      <c r="E172" s="483">
        <f t="shared" si="8"/>
        <v>6508</v>
      </c>
      <c r="F172" s="261" t="b">
        <f t="shared" si="9"/>
        <v>1</v>
      </c>
    </row>
    <row r="173" spans="1:6" ht="15.75" thickBot="1" x14ac:dyDescent="0.3">
      <c r="A173" s="2">
        <v>44064</v>
      </c>
      <c r="B173" s="261">
        <f t="shared" si="7"/>
        <v>214</v>
      </c>
      <c r="C173" s="493">
        <v>6722</v>
      </c>
      <c r="D173" s="483">
        <v>214</v>
      </c>
      <c r="E173" s="483">
        <f t="shared" si="8"/>
        <v>6722</v>
      </c>
      <c r="F173" s="261" t="b">
        <f t="shared" si="9"/>
        <v>1</v>
      </c>
    </row>
    <row r="174" spans="1:6" ht="15.75" thickBot="1" x14ac:dyDescent="0.3">
      <c r="A174" s="2">
        <v>44065</v>
      </c>
      <c r="B174" s="261">
        <f t="shared" si="7"/>
        <v>118</v>
      </c>
      <c r="C174" s="493">
        <v>6840</v>
      </c>
      <c r="D174" s="483">
        <v>118</v>
      </c>
      <c r="E174" s="483">
        <f t="shared" si="8"/>
        <v>6840</v>
      </c>
      <c r="F174" s="261" t="b">
        <f t="shared" si="9"/>
        <v>1</v>
      </c>
    </row>
    <row r="175" spans="1:6" ht="15.75" thickBot="1" x14ac:dyDescent="0.3">
      <c r="A175" s="2">
        <v>44066</v>
      </c>
      <c r="B175" s="261">
        <f t="shared" si="7"/>
        <v>137</v>
      </c>
      <c r="C175" s="493">
        <v>6977</v>
      </c>
      <c r="D175" s="483">
        <v>137</v>
      </c>
      <c r="E175" s="483">
        <f t="shared" si="8"/>
        <v>6977</v>
      </c>
      <c r="F175" s="261" t="b">
        <f t="shared" si="9"/>
        <v>1</v>
      </c>
    </row>
    <row r="176" spans="1:6" ht="15.75" thickBot="1" x14ac:dyDescent="0.3">
      <c r="A176" s="2">
        <v>44067</v>
      </c>
      <c r="B176" s="261">
        <f t="shared" si="7"/>
        <v>381</v>
      </c>
      <c r="C176" s="493">
        <v>7358</v>
      </c>
      <c r="D176" s="483">
        <v>381</v>
      </c>
      <c r="E176" s="483">
        <f t="shared" si="8"/>
        <v>7358</v>
      </c>
      <c r="F176" s="261" t="b">
        <f t="shared" si="9"/>
        <v>1</v>
      </c>
    </row>
    <row r="177" spans="1:6" ht="15.75" thickBot="1" x14ac:dyDescent="0.3">
      <c r="A177" s="2">
        <v>44068</v>
      </c>
      <c r="B177" s="261">
        <f t="shared" si="7"/>
        <v>199</v>
      </c>
      <c r="C177" s="493">
        <v>7557</v>
      </c>
      <c r="D177" s="483">
        <v>199</v>
      </c>
      <c r="E177" s="483">
        <f t="shared" si="8"/>
        <v>7557</v>
      </c>
      <c r="F177" s="261" t="b">
        <f t="shared" si="9"/>
        <v>1</v>
      </c>
    </row>
    <row r="178" spans="1:6" ht="15.75" thickBot="1" x14ac:dyDescent="0.3">
      <c r="A178" s="2">
        <v>44069</v>
      </c>
      <c r="B178" s="261">
        <f t="shared" si="7"/>
        <v>276</v>
      </c>
      <c r="C178" s="493">
        <v>7833</v>
      </c>
      <c r="D178" s="483">
        <v>276</v>
      </c>
      <c r="E178" s="483">
        <f t="shared" si="8"/>
        <v>7833</v>
      </c>
      <c r="F178" s="261" t="b">
        <f t="shared" si="9"/>
        <v>1</v>
      </c>
    </row>
    <row r="179" spans="1:6" ht="15.75" thickBot="1" x14ac:dyDescent="0.3">
      <c r="A179" s="2">
        <v>44070</v>
      </c>
      <c r="B179" s="261">
        <f t="shared" si="7"/>
        <v>210</v>
      </c>
      <c r="C179" s="493">
        <v>8043</v>
      </c>
      <c r="D179" s="483">
        <v>210</v>
      </c>
      <c r="E179" s="483">
        <f t="shared" si="8"/>
        <v>8043</v>
      </c>
      <c r="F179" s="261" t="b">
        <f t="shared" si="9"/>
        <v>1</v>
      </c>
    </row>
    <row r="180" spans="1:6" ht="15.75" thickBot="1" x14ac:dyDescent="0.3">
      <c r="A180" s="2">
        <v>44071</v>
      </c>
      <c r="B180" s="261">
        <f t="shared" si="7"/>
        <v>222</v>
      </c>
      <c r="C180" s="493">
        <v>8265</v>
      </c>
      <c r="D180" s="483">
        <v>222</v>
      </c>
      <c r="E180" s="483">
        <f t="shared" si="8"/>
        <v>8265</v>
      </c>
      <c r="F180" s="261" t="b">
        <f t="shared" si="9"/>
        <v>1</v>
      </c>
    </row>
    <row r="181" spans="1:6" ht="15.75" thickBot="1" x14ac:dyDescent="0.3">
      <c r="A181" s="2">
        <v>44072</v>
      </c>
      <c r="B181" s="261">
        <f t="shared" si="7"/>
        <v>82</v>
      </c>
      <c r="C181" s="493">
        <v>8347</v>
      </c>
      <c r="D181" s="483">
        <v>82</v>
      </c>
      <c r="E181" s="483">
        <f t="shared" si="8"/>
        <v>8347</v>
      </c>
      <c r="F181" s="261" t="b">
        <f t="shared" si="9"/>
        <v>1</v>
      </c>
    </row>
    <row r="182" spans="1:6" ht="15.75" thickBot="1" x14ac:dyDescent="0.3">
      <c r="A182" s="2">
        <v>44073</v>
      </c>
      <c r="B182" s="261">
        <f t="shared" si="7"/>
        <v>104</v>
      </c>
      <c r="C182" s="493">
        <v>8451</v>
      </c>
      <c r="D182" s="483">
        <v>104</v>
      </c>
      <c r="E182" s="483">
        <f t="shared" si="8"/>
        <v>8451</v>
      </c>
      <c r="F182" s="261" t="b">
        <f t="shared" si="9"/>
        <v>1</v>
      </c>
    </row>
    <row r="183" spans="1:6" ht="15.75" thickBot="1" x14ac:dyDescent="0.3">
      <c r="A183" s="2">
        <v>44074</v>
      </c>
      <c r="B183" s="261">
        <f t="shared" si="7"/>
        <v>203</v>
      </c>
      <c r="C183" s="493">
        <v>8654</v>
      </c>
      <c r="D183" s="483">
        <v>203</v>
      </c>
      <c r="E183" s="483">
        <f t="shared" si="8"/>
        <v>8654</v>
      </c>
      <c r="F183" s="261" t="b">
        <f t="shared" si="9"/>
        <v>1</v>
      </c>
    </row>
    <row r="184" spans="1:6" ht="15.75" thickBot="1" x14ac:dyDescent="0.3">
      <c r="A184" s="2">
        <v>44075</v>
      </c>
      <c r="B184" s="261">
        <f t="shared" si="7"/>
        <v>259</v>
      </c>
      <c r="C184" s="493">
        <v>8913</v>
      </c>
      <c r="D184" s="483">
        <v>259</v>
      </c>
      <c r="E184" s="483">
        <f t="shared" si="8"/>
        <v>8913</v>
      </c>
      <c r="F184" s="261" t="b">
        <f t="shared" si="9"/>
        <v>1</v>
      </c>
    </row>
    <row r="185" spans="1:6" ht="15.75" thickBot="1" x14ac:dyDescent="0.3">
      <c r="A185" s="2">
        <v>44076</v>
      </c>
      <c r="B185" s="261">
        <f t="shared" si="7"/>
        <v>197</v>
      </c>
      <c r="C185" s="493">
        <v>9110</v>
      </c>
      <c r="D185" s="483">
        <v>197</v>
      </c>
      <c r="E185" s="483">
        <f t="shared" si="8"/>
        <v>9110</v>
      </c>
      <c r="F185" s="261" t="b">
        <f t="shared" si="9"/>
        <v>1</v>
      </c>
    </row>
    <row r="186" spans="1:6" ht="15.75" thickBot="1" x14ac:dyDescent="0.3">
      <c r="A186" s="2">
        <v>44077</v>
      </c>
      <c r="B186" s="261">
        <f t="shared" si="7"/>
        <v>243</v>
      </c>
      <c r="C186" s="493">
        <v>9353</v>
      </c>
      <c r="D186" s="483">
        <v>243</v>
      </c>
      <c r="E186" s="483">
        <f t="shared" si="8"/>
        <v>9353</v>
      </c>
      <c r="F186" s="261" t="b">
        <f t="shared" si="9"/>
        <v>1</v>
      </c>
    </row>
    <row r="187" spans="1:6" ht="15.75" thickBot="1" x14ac:dyDescent="0.3">
      <c r="A187" s="2">
        <v>44078</v>
      </c>
      <c r="B187" s="261">
        <f t="shared" si="7"/>
        <v>262</v>
      </c>
      <c r="C187" s="493">
        <v>9615</v>
      </c>
      <c r="D187" s="483">
        <v>262</v>
      </c>
      <c r="E187" s="483">
        <f t="shared" si="8"/>
        <v>9615</v>
      </c>
      <c r="F187" s="261" t="b">
        <f t="shared" si="9"/>
        <v>1</v>
      </c>
    </row>
    <row r="188" spans="1:6" ht="15.75" thickBot="1" x14ac:dyDescent="0.3">
      <c r="A188" s="2">
        <v>44079</v>
      </c>
      <c r="B188" s="261">
        <f t="shared" si="7"/>
        <v>117</v>
      </c>
      <c r="C188" s="493">
        <v>9732</v>
      </c>
      <c r="D188" s="483">
        <v>117</v>
      </c>
      <c r="E188" s="483">
        <f t="shared" si="8"/>
        <v>9732</v>
      </c>
      <c r="F188" s="261" t="b">
        <f t="shared" si="9"/>
        <v>1</v>
      </c>
    </row>
    <row r="189" spans="1:6" ht="15.75" thickBot="1" x14ac:dyDescent="0.3">
      <c r="A189" s="2">
        <v>44080</v>
      </c>
      <c r="B189" s="261">
        <f t="shared" si="7"/>
        <v>119</v>
      </c>
      <c r="C189" s="493">
        <v>9851</v>
      </c>
      <c r="D189" s="483">
        <v>119</v>
      </c>
      <c r="E189" s="483">
        <f t="shared" si="8"/>
        <v>9851</v>
      </c>
      <c r="F189" s="261" t="b">
        <f t="shared" si="9"/>
        <v>1</v>
      </c>
    </row>
    <row r="190" spans="1:6" ht="15.75" thickBot="1" x14ac:dyDescent="0.3">
      <c r="A190" s="2">
        <v>44081</v>
      </c>
      <c r="B190" s="261">
        <f t="shared" si="7"/>
        <v>269</v>
      </c>
      <c r="C190" s="493">
        <v>10120</v>
      </c>
      <c r="D190" s="483">
        <v>269</v>
      </c>
      <c r="E190" s="483">
        <f t="shared" si="8"/>
        <v>10120</v>
      </c>
      <c r="F190" s="261" t="b">
        <f t="shared" si="9"/>
        <v>1</v>
      </c>
    </row>
    <row r="191" spans="1:6" ht="15.75" thickBot="1" x14ac:dyDescent="0.3">
      <c r="A191" s="2">
        <v>44082</v>
      </c>
      <c r="B191" s="261">
        <f t="shared" si="7"/>
        <v>278</v>
      </c>
      <c r="C191" s="493">
        <v>10398</v>
      </c>
      <c r="D191" s="483">
        <v>278</v>
      </c>
      <c r="E191" s="483">
        <f t="shared" si="8"/>
        <v>10398</v>
      </c>
      <c r="F191" s="261" t="b">
        <f t="shared" si="9"/>
        <v>1</v>
      </c>
    </row>
    <row r="192" spans="1:6" ht="15.75" thickBot="1" x14ac:dyDescent="0.3">
      <c r="A192" s="2">
        <v>44083</v>
      </c>
      <c r="B192" s="261">
        <f t="shared" si="7"/>
        <v>253</v>
      </c>
      <c r="C192" s="493">
        <v>10651</v>
      </c>
      <c r="D192" s="483">
        <v>253</v>
      </c>
      <c r="E192" s="483">
        <f t="shared" si="8"/>
        <v>10651</v>
      </c>
      <c r="F192" s="261" t="b">
        <f t="shared" si="9"/>
        <v>1</v>
      </c>
    </row>
    <row r="193" spans="1:6" ht="15.75" thickBot="1" x14ac:dyDescent="0.3">
      <c r="A193" s="2">
        <v>44084</v>
      </c>
      <c r="B193" s="261">
        <f t="shared" si="7"/>
        <v>250</v>
      </c>
      <c r="C193" s="493">
        <v>10901</v>
      </c>
      <c r="D193" s="483">
        <v>250</v>
      </c>
      <c r="E193" s="483">
        <f t="shared" si="8"/>
        <v>10901</v>
      </c>
      <c r="F193" s="261" t="b">
        <f t="shared" si="9"/>
        <v>1</v>
      </c>
    </row>
    <row r="194" spans="1:6" ht="15.75" thickBot="1" x14ac:dyDescent="0.3">
      <c r="A194" s="2">
        <v>44085</v>
      </c>
      <c r="B194" s="261">
        <f t="shared" si="7"/>
        <v>241</v>
      </c>
      <c r="C194" s="493">
        <v>11142</v>
      </c>
      <c r="D194" s="483">
        <v>241</v>
      </c>
      <c r="E194" s="483">
        <f t="shared" si="8"/>
        <v>11142</v>
      </c>
      <c r="F194" s="261" t="b">
        <f t="shared" si="9"/>
        <v>1</v>
      </c>
    </row>
    <row r="195" spans="1:6" ht="15.75" thickBot="1" x14ac:dyDescent="0.3">
      <c r="A195" s="2">
        <v>44086</v>
      </c>
      <c r="B195" s="261">
        <f t="shared" si="7"/>
        <v>115</v>
      </c>
      <c r="C195" s="493">
        <v>11257</v>
      </c>
      <c r="D195" s="483">
        <v>115</v>
      </c>
      <c r="E195" s="483">
        <f t="shared" si="8"/>
        <v>11257</v>
      </c>
      <c r="F195" s="261" t="b">
        <f t="shared" si="9"/>
        <v>1</v>
      </c>
    </row>
    <row r="196" spans="1:6" ht="15.75" thickBot="1" x14ac:dyDescent="0.3">
      <c r="A196" s="2">
        <v>44087</v>
      </c>
      <c r="B196" s="261">
        <f t="shared" ref="B196:B259" si="10">C196-C195</f>
        <v>89</v>
      </c>
      <c r="C196" s="493">
        <v>11346</v>
      </c>
      <c r="D196" s="483">
        <v>89</v>
      </c>
      <c r="E196" s="483">
        <f t="shared" ref="E196:E259" si="11">E195+D196</f>
        <v>11346</v>
      </c>
      <c r="F196" s="261" t="b">
        <f t="shared" si="9"/>
        <v>1</v>
      </c>
    </row>
    <row r="197" spans="1:6" ht="15.75" thickBot="1" x14ac:dyDescent="0.3">
      <c r="A197" s="2">
        <v>44088</v>
      </c>
      <c r="B197" s="261">
        <f t="shared" si="10"/>
        <v>313</v>
      </c>
      <c r="C197" s="493">
        <v>11659</v>
      </c>
      <c r="D197" s="483">
        <v>313</v>
      </c>
      <c r="E197" s="483">
        <f t="shared" si="11"/>
        <v>11659</v>
      </c>
      <c r="F197" s="261" t="b">
        <f t="shared" si="9"/>
        <v>1</v>
      </c>
    </row>
    <row r="198" spans="1:6" ht="15.75" thickBot="1" x14ac:dyDescent="0.3">
      <c r="A198" s="2">
        <v>44089</v>
      </c>
      <c r="B198" s="261">
        <f t="shared" si="10"/>
        <v>185</v>
      </c>
      <c r="C198" s="493">
        <v>11844</v>
      </c>
      <c r="D198" s="483">
        <v>185</v>
      </c>
      <c r="E198" s="483">
        <f t="shared" si="11"/>
        <v>11844</v>
      </c>
      <c r="F198" s="261" t="b">
        <f t="shared" si="9"/>
        <v>1</v>
      </c>
    </row>
    <row r="199" spans="1:6" ht="15.75" thickBot="1" x14ac:dyDescent="0.3">
      <c r="A199" s="2">
        <v>44090</v>
      </c>
      <c r="B199" s="261">
        <f t="shared" si="10"/>
        <v>264</v>
      </c>
      <c r="C199" s="493">
        <v>12108</v>
      </c>
      <c r="D199" s="483">
        <v>264</v>
      </c>
      <c r="E199" s="483">
        <f t="shared" si="11"/>
        <v>12108</v>
      </c>
      <c r="F199" s="261" t="b">
        <f t="shared" si="9"/>
        <v>1</v>
      </c>
    </row>
    <row r="200" spans="1:6" ht="15.75" thickBot="1" x14ac:dyDescent="0.3">
      <c r="A200" s="2">
        <v>44091</v>
      </c>
      <c r="B200" s="261">
        <f t="shared" si="10"/>
        <v>344</v>
      </c>
      <c r="C200" s="493">
        <v>12452</v>
      </c>
      <c r="D200" s="483">
        <v>344</v>
      </c>
      <c r="E200" s="483">
        <f t="shared" si="11"/>
        <v>12452</v>
      </c>
      <c r="F200" s="261" t="b">
        <f t="shared" si="9"/>
        <v>1</v>
      </c>
    </row>
    <row r="201" spans="1:6" ht="15.75" thickBot="1" x14ac:dyDescent="0.3">
      <c r="A201" s="2">
        <v>44092</v>
      </c>
      <c r="B201" s="261">
        <f t="shared" si="10"/>
        <v>197</v>
      </c>
      <c r="C201" s="493">
        <v>12649</v>
      </c>
      <c r="D201" s="483">
        <v>197</v>
      </c>
      <c r="E201" s="483">
        <f t="shared" si="11"/>
        <v>12649</v>
      </c>
      <c r="F201" s="261" t="b">
        <f t="shared" si="9"/>
        <v>1</v>
      </c>
    </row>
    <row r="202" spans="1:6" ht="15.75" thickBot="1" x14ac:dyDescent="0.3">
      <c r="A202" s="2">
        <v>44093</v>
      </c>
      <c r="B202" s="261">
        <f t="shared" si="10"/>
        <v>143</v>
      </c>
      <c r="C202" s="493">
        <v>12792</v>
      </c>
      <c r="D202" s="483">
        <v>143</v>
      </c>
      <c r="E202" s="483">
        <f t="shared" si="11"/>
        <v>12792</v>
      </c>
      <c r="F202" s="261" t="b">
        <f t="shared" si="9"/>
        <v>1</v>
      </c>
    </row>
    <row r="203" spans="1:6" ht="15.75" thickBot="1" x14ac:dyDescent="0.3">
      <c r="A203" s="2">
        <v>44094</v>
      </c>
      <c r="B203" s="261">
        <f t="shared" si="10"/>
        <v>253</v>
      </c>
      <c r="C203" s="493">
        <v>13045</v>
      </c>
      <c r="D203" s="483">
        <v>253</v>
      </c>
      <c r="E203" s="483">
        <f t="shared" si="11"/>
        <v>13045</v>
      </c>
      <c r="F203" s="261" t="b">
        <f t="shared" si="9"/>
        <v>1</v>
      </c>
    </row>
    <row r="204" spans="1:6" ht="15.75" thickBot="1" x14ac:dyDescent="0.3">
      <c r="A204" s="2">
        <v>44095</v>
      </c>
      <c r="B204" s="261">
        <f t="shared" si="10"/>
        <v>429</v>
      </c>
      <c r="C204" s="493">
        <v>13474</v>
      </c>
      <c r="D204" s="483">
        <v>429</v>
      </c>
      <c r="E204" s="483">
        <f t="shared" si="11"/>
        <v>13474</v>
      </c>
      <c r="F204" s="261" t="b">
        <f t="shared" si="9"/>
        <v>1</v>
      </c>
    </row>
    <row r="205" spans="1:6" ht="15.75" thickBot="1" x14ac:dyDescent="0.3">
      <c r="A205" s="2">
        <v>44096</v>
      </c>
      <c r="B205" s="261">
        <f t="shared" si="10"/>
        <v>469</v>
      </c>
      <c r="C205" s="493">
        <v>13943</v>
      </c>
      <c r="D205" s="483">
        <v>469</v>
      </c>
      <c r="E205" s="483">
        <f t="shared" si="11"/>
        <v>13943</v>
      </c>
      <c r="F205" s="261" t="b">
        <f t="shared" ref="F205:F268" si="12">EXACT(C205,E205)</f>
        <v>1</v>
      </c>
    </row>
    <row r="206" spans="1:6" ht="15.75" thickBot="1" x14ac:dyDescent="0.3">
      <c r="A206" s="2">
        <v>44097</v>
      </c>
      <c r="B206" s="261">
        <f t="shared" si="10"/>
        <v>424</v>
      </c>
      <c r="C206" s="493">
        <v>14367</v>
      </c>
      <c r="D206" s="483">
        <v>424</v>
      </c>
      <c r="E206" s="483">
        <f t="shared" si="11"/>
        <v>14367</v>
      </c>
      <c r="F206" s="261" t="b">
        <f t="shared" si="12"/>
        <v>1</v>
      </c>
    </row>
    <row r="207" spans="1:6" ht="15.75" thickBot="1" x14ac:dyDescent="0.3">
      <c r="A207" s="2">
        <v>44098</v>
      </c>
      <c r="B207" s="261">
        <f t="shared" si="10"/>
        <v>391</v>
      </c>
      <c r="C207" s="493">
        <v>14758</v>
      </c>
      <c r="D207" s="483">
        <v>391</v>
      </c>
      <c r="E207" s="483">
        <f t="shared" si="11"/>
        <v>14758</v>
      </c>
      <c r="F207" s="261" t="b">
        <f t="shared" si="12"/>
        <v>1</v>
      </c>
    </row>
    <row r="208" spans="1:6" ht="15.75" thickBot="1" x14ac:dyDescent="0.3">
      <c r="A208" s="2">
        <v>44099</v>
      </c>
      <c r="B208" s="261">
        <f t="shared" si="10"/>
        <v>442</v>
      </c>
      <c r="C208" s="493">
        <v>15200</v>
      </c>
      <c r="D208" s="483">
        <v>442</v>
      </c>
      <c r="E208" s="483">
        <f t="shared" si="11"/>
        <v>15200</v>
      </c>
      <c r="F208" s="261" t="b">
        <f t="shared" si="12"/>
        <v>1</v>
      </c>
    </row>
    <row r="209" spans="1:6" ht="15.75" thickBot="1" x14ac:dyDescent="0.3">
      <c r="A209" s="2">
        <v>44100</v>
      </c>
      <c r="B209" s="261">
        <f t="shared" si="10"/>
        <v>337</v>
      </c>
      <c r="C209" s="493">
        <v>15537</v>
      </c>
      <c r="D209" s="483">
        <v>337</v>
      </c>
      <c r="E209" s="483">
        <f t="shared" si="11"/>
        <v>15537</v>
      </c>
      <c r="F209" s="261" t="b">
        <f t="shared" si="12"/>
        <v>1</v>
      </c>
    </row>
    <row r="210" spans="1:6" ht="15.75" thickBot="1" x14ac:dyDescent="0.3">
      <c r="A210" s="2">
        <v>44101</v>
      </c>
      <c r="B210" s="261">
        <f t="shared" si="10"/>
        <v>206</v>
      </c>
      <c r="C210" s="493">
        <v>15743</v>
      </c>
      <c r="D210" s="483">
        <v>206</v>
      </c>
      <c r="E210" s="483">
        <f t="shared" si="11"/>
        <v>15743</v>
      </c>
      <c r="F210" s="261" t="b">
        <f t="shared" si="12"/>
        <v>1</v>
      </c>
    </row>
    <row r="211" spans="1:6" ht="15.75" thickBot="1" x14ac:dyDescent="0.3">
      <c r="A211" s="2">
        <v>44102</v>
      </c>
      <c r="B211" s="261">
        <f t="shared" si="10"/>
        <v>365</v>
      </c>
      <c r="C211" s="493">
        <v>16108</v>
      </c>
      <c r="D211" s="483">
        <v>365</v>
      </c>
      <c r="E211" s="483">
        <f t="shared" si="11"/>
        <v>16108</v>
      </c>
      <c r="F211" s="261" t="b">
        <f t="shared" si="12"/>
        <v>1</v>
      </c>
    </row>
    <row r="212" spans="1:6" ht="15.75" thickBot="1" x14ac:dyDescent="0.3">
      <c r="A212" s="2">
        <v>44103</v>
      </c>
      <c r="B212" s="261">
        <f t="shared" si="10"/>
        <v>406</v>
      </c>
      <c r="C212" s="493">
        <v>16514</v>
      </c>
      <c r="D212" s="483">
        <v>406</v>
      </c>
      <c r="E212" s="483">
        <f t="shared" si="11"/>
        <v>16514</v>
      </c>
      <c r="F212" s="261" t="b">
        <f t="shared" si="12"/>
        <v>1</v>
      </c>
    </row>
    <row r="213" spans="1:6" ht="15.75" thickBot="1" x14ac:dyDescent="0.3">
      <c r="A213" s="2">
        <v>44104</v>
      </c>
      <c r="B213" s="261">
        <f t="shared" si="10"/>
        <v>416</v>
      </c>
      <c r="C213" s="493">
        <v>16930</v>
      </c>
      <c r="D213" s="483">
        <v>416</v>
      </c>
      <c r="E213" s="483">
        <f t="shared" si="11"/>
        <v>16930</v>
      </c>
      <c r="F213" s="261" t="b">
        <f t="shared" si="12"/>
        <v>1</v>
      </c>
    </row>
    <row r="214" spans="1:6" ht="15.75" thickBot="1" x14ac:dyDescent="0.3">
      <c r="A214" s="2">
        <v>44105</v>
      </c>
      <c r="B214" s="261">
        <f t="shared" si="10"/>
        <v>3340</v>
      </c>
      <c r="C214" s="493">
        <v>20270</v>
      </c>
      <c r="D214" s="483">
        <v>3340</v>
      </c>
      <c r="E214" s="483">
        <f t="shared" si="11"/>
        <v>20270</v>
      </c>
      <c r="F214" s="261" t="b">
        <f t="shared" si="12"/>
        <v>1</v>
      </c>
    </row>
    <row r="215" spans="1:6" ht="15.75" thickBot="1" x14ac:dyDescent="0.3">
      <c r="A215" s="2">
        <v>44106</v>
      </c>
      <c r="B215" s="261">
        <f t="shared" si="10"/>
        <v>312</v>
      </c>
      <c r="C215" s="493">
        <v>20582</v>
      </c>
      <c r="D215" s="483">
        <v>312</v>
      </c>
      <c r="E215" s="483">
        <f t="shared" si="11"/>
        <v>20582</v>
      </c>
      <c r="F215" s="261" t="b">
        <f t="shared" si="12"/>
        <v>1</v>
      </c>
    </row>
    <row r="216" spans="1:6" ht="15.75" thickBot="1" x14ac:dyDescent="0.3">
      <c r="A216" s="2">
        <v>44107</v>
      </c>
      <c r="B216" s="261">
        <f t="shared" si="10"/>
        <v>197</v>
      </c>
      <c r="C216" s="493">
        <v>20779</v>
      </c>
      <c r="D216" s="483">
        <v>197</v>
      </c>
      <c r="E216" s="483">
        <f t="shared" si="11"/>
        <v>20779</v>
      </c>
      <c r="F216" s="261" t="b">
        <f t="shared" si="12"/>
        <v>1</v>
      </c>
    </row>
    <row r="217" spans="1:6" ht="15.75" thickBot="1" x14ac:dyDescent="0.3">
      <c r="A217" s="2">
        <v>44108</v>
      </c>
      <c r="B217" s="261">
        <f t="shared" si="10"/>
        <v>221</v>
      </c>
      <c r="C217" s="493">
        <v>21000</v>
      </c>
      <c r="D217" s="483">
        <v>221</v>
      </c>
      <c r="E217" s="483">
        <f t="shared" si="11"/>
        <v>21000</v>
      </c>
      <c r="F217" s="261" t="b">
        <f t="shared" si="12"/>
        <v>1</v>
      </c>
    </row>
    <row r="218" spans="1:6" ht="15.75" thickBot="1" x14ac:dyDescent="0.3">
      <c r="A218" s="2">
        <v>44109</v>
      </c>
      <c r="B218" s="261">
        <f t="shared" si="10"/>
        <v>450</v>
      </c>
      <c r="C218" s="493">
        <v>21450</v>
      </c>
      <c r="D218" s="483">
        <v>450</v>
      </c>
      <c r="E218" s="483">
        <f t="shared" si="11"/>
        <v>21450</v>
      </c>
      <c r="F218" s="261" t="b">
        <f t="shared" si="12"/>
        <v>1</v>
      </c>
    </row>
    <row r="219" spans="1:6" ht="15.75" thickBot="1" x14ac:dyDescent="0.3">
      <c r="A219" s="2">
        <v>44110</v>
      </c>
      <c r="B219" s="261">
        <f t="shared" si="10"/>
        <v>359</v>
      </c>
      <c r="C219" s="493">
        <v>21809</v>
      </c>
      <c r="D219" s="483">
        <v>359</v>
      </c>
      <c r="E219" s="483">
        <f t="shared" si="11"/>
        <v>21809</v>
      </c>
      <c r="F219" s="261" t="b">
        <f t="shared" si="12"/>
        <v>1</v>
      </c>
    </row>
    <row r="220" spans="1:6" ht="15.75" thickBot="1" x14ac:dyDescent="0.3">
      <c r="A220" s="2">
        <v>44111</v>
      </c>
      <c r="B220" s="261">
        <f t="shared" si="10"/>
        <v>400</v>
      </c>
      <c r="C220" s="493">
        <v>22209</v>
      </c>
      <c r="D220" s="483">
        <v>400</v>
      </c>
      <c r="E220" s="483">
        <f t="shared" si="11"/>
        <v>22209</v>
      </c>
      <c r="F220" s="261" t="b">
        <f t="shared" si="12"/>
        <v>1</v>
      </c>
    </row>
    <row r="221" spans="1:6" ht="15.75" thickBot="1" x14ac:dyDescent="0.3">
      <c r="A221" s="2">
        <v>44112</v>
      </c>
      <c r="B221" s="261">
        <f t="shared" si="10"/>
        <v>483</v>
      </c>
      <c r="C221" s="493">
        <v>22692</v>
      </c>
      <c r="D221" s="483">
        <v>483</v>
      </c>
      <c r="E221" s="483">
        <f t="shared" si="11"/>
        <v>22692</v>
      </c>
      <c r="F221" s="261" t="b">
        <f t="shared" si="12"/>
        <v>1</v>
      </c>
    </row>
    <row r="222" spans="1:6" ht="15.75" thickBot="1" x14ac:dyDescent="0.3">
      <c r="A222" s="2">
        <v>44113</v>
      </c>
      <c r="B222" s="261">
        <f t="shared" si="10"/>
        <v>514</v>
      </c>
      <c r="C222" s="493">
        <v>23206</v>
      </c>
      <c r="D222" s="483">
        <v>514</v>
      </c>
      <c r="E222" s="483">
        <f t="shared" si="11"/>
        <v>23206</v>
      </c>
      <c r="F222" s="261" t="b">
        <f t="shared" si="12"/>
        <v>1</v>
      </c>
    </row>
    <row r="223" spans="1:6" ht="15.75" thickBot="1" x14ac:dyDescent="0.3">
      <c r="A223" s="2">
        <v>44114</v>
      </c>
      <c r="B223" s="261">
        <f t="shared" si="10"/>
        <v>357</v>
      </c>
      <c r="C223" s="493">
        <v>23563</v>
      </c>
      <c r="D223" s="483">
        <v>357</v>
      </c>
      <c r="E223" s="483">
        <f t="shared" si="11"/>
        <v>23563</v>
      </c>
      <c r="F223" s="261" t="b">
        <f t="shared" si="12"/>
        <v>1</v>
      </c>
    </row>
    <row r="224" spans="1:6" ht="15.75" thickBot="1" x14ac:dyDescent="0.3">
      <c r="A224" s="2">
        <v>44115</v>
      </c>
      <c r="B224" s="261">
        <f t="shared" si="10"/>
        <v>283</v>
      </c>
      <c r="C224" s="493">
        <v>23846</v>
      </c>
      <c r="D224" s="483">
        <v>283</v>
      </c>
      <c r="E224" s="483">
        <f t="shared" si="11"/>
        <v>23846</v>
      </c>
      <c r="F224" s="261" t="b">
        <f t="shared" si="12"/>
        <v>1</v>
      </c>
    </row>
    <row r="225" spans="1:6" ht="15.75" thickBot="1" x14ac:dyDescent="0.3">
      <c r="A225" s="2">
        <v>44116</v>
      </c>
      <c r="B225" s="261">
        <f t="shared" si="10"/>
        <v>318</v>
      </c>
      <c r="C225" s="493">
        <v>24164</v>
      </c>
      <c r="D225" s="483">
        <v>318</v>
      </c>
      <c r="E225" s="483">
        <f t="shared" si="11"/>
        <v>24164</v>
      </c>
      <c r="F225" s="261" t="b">
        <f t="shared" si="12"/>
        <v>1</v>
      </c>
    </row>
    <row r="226" spans="1:6" ht="15.75" thickBot="1" x14ac:dyDescent="0.3">
      <c r="A226" s="2">
        <v>44117</v>
      </c>
      <c r="B226" s="261">
        <f t="shared" si="10"/>
        <v>384</v>
      </c>
      <c r="C226" s="493">
        <v>24548</v>
      </c>
      <c r="D226" s="483">
        <v>384</v>
      </c>
      <c r="E226" s="483">
        <f t="shared" si="11"/>
        <v>24548</v>
      </c>
      <c r="F226" s="261" t="b">
        <f t="shared" si="12"/>
        <v>1</v>
      </c>
    </row>
    <row r="227" spans="1:6" ht="15.75" thickBot="1" x14ac:dyDescent="0.3">
      <c r="A227" s="2">
        <v>44118</v>
      </c>
      <c r="B227" s="261">
        <f t="shared" si="10"/>
        <v>349</v>
      </c>
      <c r="C227" s="493">
        <v>24897</v>
      </c>
      <c r="D227" s="483">
        <v>349</v>
      </c>
      <c r="E227" s="483">
        <f t="shared" si="11"/>
        <v>24897</v>
      </c>
      <c r="F227" s="261" t="b">
        <f t="shared" si="12"/>
        <v>1</v>
      </c>
    </row>
    <row r="228" spans="1:6" ht="15.75" thickBot="1" x14ac:dyDescent="0.3">
      <c r="A228" s="2">
        <v>44119</v>
      </c>
      <c r="B228" s="261">
        <f t="shared" si="10"/>
        <v>421</v>
      </c>
      <c r="C228" s="493">
        <v>25318</v>
      </c>
      <c r="D228" s="483">
        <v>421</v>
      </c>
      <c r="E228" s="483">
        <f t="shared" si="11"/>
        <v>25318</v>
      </c>
      <c r="F228" s="261" t="b">
        <f t="shared" si="12"/>
        <v>1</v>
      </c>
    </row>
    <row r="229" spans="1:6" ht="15.75" thickBot="1" x14ac:dyDescent="0.3">
      <c r="A229" s="2">
        <v>44120</v>
      </c>
      <c r="B229" s="261">
        <f t="shared" si="10"/>
        <v>379</v>
      </c>
      <c r="C229" s="493">
        <v>25697</v>
      </c>
      <c r="D229" s="483">
        <v>379</v>
      </c>
      <c r="E229" s="483">
        <f t="shared" si="11"/>
        <v>25697</v>
      </c>
      <c r="F229" s="261" t="b">
        <f t="shared" si="12"/>
        <v>1</v>
      </c>
    </row>
    <row r="230" spans="1:6" ht="15.75" thickBot="1" x14ac:dyDescent="0.3">
      <c r="A230" s="2">
        <v>44121</v>
      </c>
      <c r="B230" s="261">
        <f t="shared" si="10"/>
        <v>383</v>
      </c>
      <c r="C230" s="493">
        <v>26080</v>
      </c>
      <c r="D230" s="483">
        <v>383</v>
      </c>
      <c r="E230" s="483">
        <f t="shared" si="11"/>
        <v>26080</v>
      </c>
      <c r="F230" s="261" t="b">
        <f t="shared" si="12"/>
        <v>1</v>
      </c>
    </row>
    <row r="231" spans="1:6" ht="15.75" thickBot="1" x14ac:dyDescent="0.3">
      <c r="A231" s="2">
        <v>44122</v>
      </c>
      <c r="B231" s="261">
        <f t="shared" si="10"/>
        <v>159</v>
      </c>
      <c r="C231" s="493">
        <v>26239</v>
      </c>
      <c r="D231" s="483">
        <v>159</v>
      </c>
      <c r="E231" s="483">
        <f t="shared" si="11"/>
        <v>26239</v>
      </c>
      <c r="F231" s="261" t="b">
        <f t="shared" si="12"/>
        <v>1</v>
      </c>
    </row>
    <row r="232" spans="1:6" ht="15.75" thickBot="1" x14ac:dyDescent="0.3">
      <c r="A232" s="2">
        <v>44123</v>
      </c>
      <c r="B232" s="261">
        <f t="shared" si="10"/>
        <v>448</v>
      </c>
      <c r="C232" s="493">
        <v>26687</v>
      </c>
      <c r="D232" s="483">
        <v>448</v>
      </c>
      <c r="E232" s="483">
        <f t="shared" si="11"/>
        <v>26687</v>
      </c>
      <c r="F232" s="261" t="b">
        <f t="shared" si="12"/>
        <v>1</v>
      </c>
    </row>
    <row r="233" spans="1:6" ht="15.75" thickBot="1" x14ac:dyDescent="0.3">
      <c r="A233" s="2">
        <v>44124</v>
      </c>
      <c r="B233" s="261">
        <f t="shared" si="10"/>
        <v>381</v>
      </c>
      <c r="C233" s="493">
        <v>27068</v>
      </c>
      <c r="D233" s="483">
        <v>381</v>
      </c>
      <c r="E233" s="483">
        <f t="shared" si="11"/>
        <v>27068</v>
      </c>
      <c r="F233" s="261" t="b">
        <f t="shared" si="12"/>
        <v>1</v>
      </c>
    </row>
    <row r="234" spans="1:6" ht="15.75" thickBot="1" x14ac:dyDescent="0.3">
      <c r="A234" s="2">
        <v>44125</v>
      </c>
      <c r="B234" s="261">
        <f t="shared" si="10"/>
        <v>420</v>
      </c>
      <c r="C234" s="493">
        <v>27488</v>
      </c>
      <c r="D234" s="483">
        <v>420</v>
      </c>
      <c r="E234" s="483">
        <f t="shared" si="11"/>
        <v>27488</v>
      </c>
      <c r="F234" s="261" t="b">
        <f t="shared" si="12"/>
        <v>1</v>
      </c>
    </row>
    <row r="235" spans="1:6" ht="15.75" thickBot="1" x14ac:dyDescent="0.3">
      <c r="A235" s="2">
        <v>44126</v>
      </c>
      <c r="B235" s="261">
        <f t="shared" si="10"/>
        <v>435</v>
      </c>
      <c r="C235" s="493">
        <v>27923</v>
      </c>
      <c r="D235" s="483">
        <v>435</v>
      </c>
      <c r="E235" s="483">
        <f t="shared" si="11"/>
        <v>27923</v>
      </c>
      <c r="F235" s="261" t="b">
        <f t="shared" si="12"/>
        <v>1</v>
      </c>
    </row>
    <row r="236" spans="1:6" ht="15.75" thickBot="1" x14ac:dyDescent="0.3">
      <c r="A236" s="2">
        <v>44127</v>
      </c>
      <c r="B236" s="261">
        <f t="shared" si="10"/>
        <v>380</v>
      </c>
      <c r="C236" s="493">
        <v>28303</v>
      </c>
      <c r="D236" s="483">
        <v>380</v>
      </c>
      <c r="E236" s="483">
        <f t="shared" si="11"/>
        <v>28303</v>
      </c>
      <c r="F236" s="261" t="b">
        <f t="shared" si="12"/>
        <v>1</v>
      </c>
    </row>
    <row r="237" spans="1:6" ht="15.75" thickBot="1" x14ac:dyDescent="0.3">
      <c r="A237" s="2">
        <v>44128</v>
      </c>
      <c r="B237" s="261">
        <f t="shared" si="10"/>
        <v>273</v>
      </c>
      <c r="C237" s="493">
        <v>28576</v>
      </c>
      <c r="D237" s="483">
        <v>273</v>
      </c>
      <c r="E237" s="483">
        <f t="shared" si="11"/>
        <v>28576</v>
      </c>
      <c r="F237" s="261" t="b">
        <f t="shared" si="12"/>
        <v>1</v>
      </c>
    </row>
    <row r="238" spans="1:6" ht="15.75" thickBot="1" x14ac:dyDescent="0.3">
      <c r="A238" s="2">
        <v>44129</v>
      </c>
      <c r="B238" s="261">
        <f t="shared" si="10"/>
        <v>282</v>
      </c>
      <c r="C238" s="493">
        <v>28858</v>
      </c>
      <c r="D238" s="483">
        <v>282</v>
      </c>
      <c r="E238" s="483">
        <f t="shared" si="11"/>
        <v>28858</v>
      </c>
      <c r="F238" s="261" t="b">
        <f t="shared" si="12"/>
        <v>1</v>
      </c>
    </row>
    <row r="239" spans="1:6" ht="15.75" thickBot="1" x14ac:dyDescent="0.3">
      <c r="A239" s="2">
        <v>44130</v>
      </c>
      <c r="B239" s="261">
        <f t="shared" si="10"/>
        <v>405</v>
      </c>
      <c r="C239" s="493">
        <v>29263</v>
      </c>
      <c r="D239" s="483">
        <v>405</v>
      </c>
      <c r="E239" s="483">
        <f t="shared" si="11"/>
        <v>29263</v>
      </c>
      <c r="F239" s="261" t="b">
        <f t="shared" si="12"/>
        <v>1</v>
      </c>
    </row>
    <row r="240" spans="1:6" ht="15.75" thickBot="1" x14ac:dyDescent="0.3">
      <c r="A240" s="2">
        <v>44131</v>
      </c>
      <c r="B240" s="261">
        <f t="shared" si="10"/>
        <v>429</v>
      </c>
      <c r="C240" s="493">
        <v>29692</v>
      </c>
      <c r="D240" s="483">
        <v>429</v>
      </c>
      <c r="E240" s="483">
        <f t="shared" si="11"/>
        <v>29692</v>
      </c>
      <c r="F240" s="261" t="b">
        <f t="shared" si="12"/>
        <v>1</v>
      </c>
    </row>
    <row r="241" spans="1:6" ht="15.75" thickBot="1" x14ac:dyDescent="0.3">
      <c r="A241" s="2">
        <v>44132</v>
      </c>
      <c r="B241" s="261">
        <f t="shared" si="10"/>
        <v>343</v>
      </c>
      <c r="C241" s="493">
        <v>30035</v>
      </c>
      <c r="D241" s="483">
        <v>343</v>
      </c>
      <c r="E241" s="483">
        <f t="shared" si="11"/>
        <v>30035</v>
      </c>
      <c r="F241" s="261" t="b">
        <f t="shared" si="12"/>
        <v>1</v>
      </c>
    </row>
    <row r="242" spans="1:6" ht="15.75" thickBot="1" x14ac:dyDescent="0.3">
      <c r="A242" s="2">
        <v>44133</v>
      </c>
      <c r="B242" s="261">
        <f t="shared" si="10"/>
        <v>370</v>
      </c>
      <c r="C242" s="493">
        <v>30405</v>
      </c>
      <c r="D242" s="483">
        <v>370</v>
      </c>
      <c r="E242" s="483">
        <f t="shared" si="11"/>
        <v>30405</v>
      </c>
      <c r="F242" s="261" t="b">
        <f t="shared" si="12"/>
        <v>1</v>
      </c>
    </row>
    <row r="243" spans="1:6" ht="15.75" thickBot="1" x14ac:dyDescent="0.3">
      <c r="A243" s="2">
        <v>44134</v>
      </c>
      <c r="B243" s="261">
        <f t="shared" si="10"/>
        <v>350</v>
      </c>
      <c r="C243" s="493">
        <v>30755</v>
      </c>
      <c r="D243" s="483">
        <v>350</v>
      </c>
      <c r="E243" s="483">
        <f t="shared" si="11"/>
        <v>30755</v>
      </c>
      <c r="F243" s="261" t="b">
        <f t="shared" si="12"/>
        <v>1</v>
      </c>
    </row>
    <row r="244" spans="1:6" ht="15.75" thickBot="1" x14ac:dyDescent="0.3">
      <c r="A244" s="2">
        <v>44135</v>
      </c>
      <c r="B244" s="261">
        <f t="shared" si="10"/>
        <v>209</v>
      </c>
      <c r="C244" s="493">
        <v>30964</v>
      </c>
      <c r="D244" s="483">
        <v>209</v>
      </c>
      <c r="E244" s="483">
        <f t="shared" si="11"/>
        <v>30964</v>
      </c>
      <c r="F244" s="261" t="b">
        <f t="shared" si="12"/>
        <v>1</v>
      </c>
    </row>
    <row r="245" spans="1:6" ht="15.75" thickBot="1" x14ac:dyDescent="0.3">
      <c r="A245" s="2">
        <v>44136</v>
      </c>
      <c r="B245" s="261">
        <f t="shared" si="10"/>
        <v>139</v>
      </c>
      <c r="C245" s="493">
        <v>31103</v>
      </c>
      <c r="D245" s="483">
        <v>139</v>
      </c>
      <c r="E245" s="483">
        <f t="shared" si="11"/>
        <v>31103</v>
      </c>
      <c r="F245" s="261" t="b">
        <f t="shared" si="12"/>
        <v>1</v>
      </c>
    </row>
    <row r="246" spans="1:6" ht="15.75" thickBot="1" x14ac:dyDescent="0.3">
      <c r="A246" s="2">
        <v>44137</v>
      </c>
      <c r="B246" s="261">
        <f t="shared" si="10"/>
        <v>478</v>
      </c>
      <c r="C246" s="493">
        <v>31581</v>
      </c>
      <c r="D246" s="483">
        <v>478</v>
      </c>
      <c r="E246" s="483">
        <f t="shared" si="11"/>
        <v>31581</v>
      </c>
      <c r="F246" s="261" t="b">
        <f t="shared" si="12"/>
        <v>1</v>
      </c>
    </row>
    <row r="247" spans="1:6" ht="15.75" thickBot="1" x14ac:dyDescent="0.3">
      <c r="A247" s="2">
        <v>44138</v>
      </c>
      <c r="B247" s="261">
        <f t="shared" si="10"/>
        <v>429</v>
      </c>
      <c r="C247" s="493">
        <v>32010</v>
      </c>
      <c r="D247" s="483">
        <v>429</v>
      </c>
      <c r="E247" s="483">
        <f t="shared" si="11"/>
        <v>32010</v>
      </c>
      <c r="F247" s="261" t="b">
        <f t="shared" si="12"/>
        <v>1</v>
      </c>
    </row>
    <row r="248" spans="1:6" ht="15.75" thickBot="1" x14ac:dyDescent="0.3">
      <c r="A248" s="2">
        <v>44139</v>
      </c>
      <c r="B248" s="261">
        <f t="shared" si="10"/>
        <v>465</v>
      </c>
      <c r="C248" s="493">
        <v>32475</v>
      </c>
      <c r="D248" s="483">
        <v>465</v>
      </c>
      <c r="E248" s="483">
        <f t="shared" si="11"/>
        <v>32475</v>
      </c>
      <c r="F248" s="261" t="b">
        <f t="shared" si="12"/>
        <v>1</v>
      </c>
    </row>
    <row r="249" spans="1:6" ht="15.75" thickBot="1" x14ac:dyDescent="0.3">
      <c r="A249" s="2">
        <v>44140</v>
      </c>
      <c r="B249" s="261">
        <f t="shared" si="10"/>
        <v>247</v>
      </c>
      <c r="C249" s="493">
        <v>32722</v>
      </c>
      <c r="D249" s="483">
        <v>247</v>
      </c>
      <c r="E249" s="483">
        <f t="shared" si="11"/>
        <v>32722</v>
      </c>
      <c r="F249" s="261" t="b">
        <f t="shared" si="12"/>
        <v>1</v>
      </c>
    </row>
    <row r="250" spans="1:6" ht="15.75" thickBot="1" x14ac:dyDescent="0.3">
      <c r="A250" s="2">
        <v>44141</v>
      </c>
      <c r="B250" s="261">
        <f t="shared" si="10"/>
        <v>369</v>
      </c>
      <c r="C250" s="493">
        <v>33091</v>
      </c>
      <c r="D250" s="483">
        <v>369</v>
      </c>
      <c r="E250" s="483">
        <f t="shared" si="11"/>
        <v>33091</v>
      </c>
      <c r="F250" s="261" t="b">
        <f t="shared" si="12"/>
        <v>1</v>
      </c>
    </row>
    <row r="251" spans="1:6" ht="15.75" thickBot="1" x14ac:dyDescent="0.3">
      <c r="A251" s="2">
        <v>44142</v>
      </c>
      <c r="B251" s="261">
        <f t="shared" si="10"/>
        <v>213</v>
      </c>
      <c r="C251" s="493">
        <v>33304</v>
      </c>
      <c r="D251" s="483">
        <v>213</v>
      </c>
      <c r="E251" s="483">
        <f t="shared" si="11"/>
        <v>33304</v>
      </c>
      <c r="F251" s="261" t="b">
        <f t="shared" si="12"/>
        <v>1</v>
      </c>
    </row>
    <row r="252" spans="1:6" ht="15.75" thickBot="1" x14ac:dyDescent="0.3">
      <c r="A252" s="2">
        <v>44143</v>
      </c>
      <c r="B252" s="261">
        <f t="shared" si="10"/>
        <v>211</v>
      </c>
      <c r="C252" s="493">
        <v>33515</v>
      </c>
      <c r="D252" s="483">
        <v>211</v>
      </c>
      <c r="E252" s="483">
        <f t="shared" si="11"/>
        <v>33515</v>
      </c>
      <c r="F252" s="261" t="b">
        <f t="shared" si="12"/>
        <v>1</v>
      </c>
    </row>
    <row r="253" spans="1:6" ht="15.75" thickBot="1" x14ac:dyDescent="0.3">
      <c r="A253" s="2">
        <v>44144</v>
      </c>
      <c r="B253" s="261">
        <f t="shared" si="10"/>
        <v>348</v>
      </c>
      <c r="C253" s="493">
        <v>33863</v>
      </c>
      <c r="D253" s="483">
        <v>348</v>
      </c>
      <c r="E253" s="483">
        <f t="shared" si="11"/>
        <v>33863</v>
      </c>
      <c r="F253" s="261" t="b">
        <f t="shared" si="12"/>
        <v>1</v>
      </c>
    </row>
    <row r="254" spans="1:6" ht="15.75" thickBot="1" x14ac:dyDescent="0.3">
      <c r="A254" s="2">
        <v>44145</v>
      </c>
      <c r="B254" s="261">
        <f t="shared" si="10"/>
        <v>279</v>
      </c>
      <c r="C254" s="493">
        <v>34142</v>
      </c>
      <c r="D254" s="483">
        <v>279</v>
      </c>
      <c r="E254" s="483">
        <f t="shared" si="11"/>
        <v>34142</v>
      </c>
      <c r="F254" s="261" t="b">
        <f t="shared" si="12"/>
        <v>1</v>
      </c>
    </row>
    <row r="255" spans="1:6" ht="15.75" thickBot="1" x14ac:dyDescent="0.3">
      <c r="A255" s="2">
        <v>44146</v>
      </c>
      <c r="B255" s="261">
        <f t="shared" si="10"/>
        <v>348</v>
      </c>
      <c r="C255" s="493">
        <v>34490</v>
      </c>
      <c r="D255" s="483">
        <v>348</v>
      </c>
      <c r="E255" s="483">
        <f t="shared" si="11"/>
        <v>34490</v>
      </c>
      <c r="F255" s="261" t="b">
        <f t="shared" si="12"/>
        <v>1</v>
      </c>
    </row>
    <row r="256" spans="1:6" ht="15.75" thickBot="1" x14ac:dyDescent="0.3">
      <c r="A256" s="2">
        <v>44147</v>
      </c>
      <c r="B256" s="261">
        <f t="shared" si="10"/>
        <v>249</v>
      </c>
      <c r="C256" s="493">
        <v>34739</v>
      </c>
      <c r="D256" s="483">
        <v>249</v>
      </c>
      <c r="E256" s="483">
        <f t="shared" si="11"/>
        <v>34739</v>
      </c>
      <c r="F256" s="261" t="b">
        <f t="shared" si="12"/>
        <v>1</v>
      </c>
    </row>
    <row r="257" spans="1:6" ht="15.75" thickBot="1" x14ac:dyDescent="0.3">
      <c r="A257" s="2">
        <v>44148</v>
      </c>
      <c r="B257" s="261">
        <f t="shared" si="10"/>
        <v>263</v>
      </c>
      <c r="C257" s="493">
        <v>35002</v>
      </c>
      <c r="D257" s="483">
        <v>263</v>
      </c>
      <c r="E257" s="483">
        <f t="shared" si="11"/>
        <v>35002</v>
      </c>
      <c r="F257" s="261" t="b">
        <f t="shared" si="12"/>
        <v>1</v>
      </c>
    </row>
    <row r="258" spans="1:6" ht="15.75" thickBot="1" x14ac:dyDescent="0.3">
      <c r="A258" s="2">
        <v>44149</v>
      </c>
      <c r="B258" s="261">
        <f t="shared" si="10"/>
        <v>262</v>
      </c>
      <c r="C258" s="493">
        <v>35264</v>
      </c>
      <c r="D258" s="483">
        <v>262</v>
      </c>
      <c r="E258" s="483">
        <f t="shared" si="11"/>
        <v>35264</v>
      </c>
      <c r="F258" s="261" t="b">
        <f t="shared" si="12"/>
        <v>1</v>
      </c>
    </row>
    <row r="259" spans="1:6" ht="15.75" thickBot="1" x14ac:dyDescent="0.3">
      <c r="A259" s="2">
        <v>44150</v>
      </c>
      <c r="B259" s="261">
        <f t="shared" si="10"/>
        <v>129</v>
      </c>
      <c r="C259" s="493">
        <v>35393</v>
      </c>
      <c r="D259" s="483">
        <v>129</v>
      </c>
      <c r="E259" s="483">
        <f t="shared" si="11"/>
        <v>35393</v>
      </c>
      <c r="F259" s="261" t="b">
        <f t="shared" si="12"/>
        <v>1</v>
      </c>
    </row>
    <row r="260" spans="1:6" ht="15.75" thickBot="1" x14ac:dyDescent="0.3">
      <c r="A260" s="2">
        <v>44151</v>
      </c>
      <c r="B260" s="261">
        <f t="shared" ref="B260:B323" si="13">C260-C259</f>
        <v>292</v>
      </c>
      <c r="C260" s="493">
        <v>35685</v>
      </c>
      <c r="D260" s="483">
        <v>292</v>
      </c>
      <c r="E260" s="483">
        <f t="shared" ref="E260:E323" si="14">E259+D260</f>
        <v>35685</v>
      </c>
      <c r="F260" s="261" t="b">
        <f t="shared" si="12"/>
        <v>1</v>
      </c>
    </row>
    <row r="261" spans="1:6" ht="15.75" thickBot="1" x14ac:dyDescent="0.3">
      <c r="A261" s="2">
        <v>44152</v>
      </c>
      <c r="B261" s="261">
        <f t="shared" si="13"/>
        <v>377</v>
      </c>
      <c r="C261" s="493">
        <v>36062</v>
      </c>
      <c r="D261" s="483">
        <v>377</v>
      </c>
      <c r="E261" s="483">
        <f t="shared" si="14"/>
        <v>36062</v>
      </c>
      <c r="F261" s="261" t="b">
        <f t="shared" si="12"/>
        <v>1</v>
      </c>
    </row>
    <row r="262" spans="1:6" ht="15.75" thickBot="1" x14ac:dyDescent="0.3">
      <c r="A262" s="2">
        <v>44153</v>
      </c>
      <c r="B262" s="261">
        <f t="shared" si="13"/>
        <v>239</v>
      </c>
      <c r="C262" s="493">
        <v>36301</v>
      </c>
      <c r="D262" s="483">
        <v>239</v>
      </c>
      <c r="E262" s="483">
        <f t="shared" si="14"/>
        <v>36301</v>
      </c>
      <c r="F262" s="261" t="b">
        <f t="shared" si="12"/>
        <v>1</v>
      </c>
    </row>
    <row r="263" spans="1:6" ht="15.75" thickBot="1" x14ac:dyDescent="0.3">
      <c r="A263" s="2">
        <v>44154</v>
      </c>
      <c r="B263" s="261">
        <f t="shared" si="13"/>
        <v>184</v>
      </c>
      <c r="C263" s="493">
        <v>36485</v>
      </c>
      <c r="D263" s="483">
        <v>184</v>
      </c>
      <c r="E263" s="483">
        <f t="shared" si="14"/>
        <v>36485</v>
      </c>
      <c r="F263" s="261" t="b">
        <f t="shared" si="12"/>
        <v>1</v>
      </c>
    </row>
    <row r="264" spans="1:6" ht="15.75" thickBot="1" x14ac:dyDescent="0.3">
      <c r="A264" s="2">
        <v>44155</v>
      </c>
      <c r="B264" s="261">
        <f t="shared" si="13"/>
        <v>260</v>
      </c>
      <c r="C264" s="493">
        <v>36745</v>
      </c>
      <c r="D264" s="483">
        <v>260</v>
      </c>
      <c r="E264" s="483">
        <f t="shared" si="14"/>
        <v>36745</v>
      </c>
      <c r="F264" s="261" t="b">
        <f t="shared" si="12"/>
        <v>1</v>
      </c>
    </row>
    <row r="265" spans="1:6" ht="15.75" thickBot="1" x14ac:dyDescent="0.3">
      <c r="A265" s="2">
        <v>44156</v>
      </c>
      <c r="B265" s="261">
        <f t="shared" si="13"/>
        <v>112</v>
      </c>
      <c r="C265" s="493">
        <v>36857</v>
      </c>
      <c r="D265" s="483">
        <v>112</v>
      </c>
      <c r="E265" s="483">
        <f t="shared" si="14"/>
        <v>36857</v>
      </c>
      <c r="F265" s="261" t="b">
        <f t="shared" si="12"/>
        <v>1</v>
      </c>
    </row>
    <row r="266" spans="1:6" ht="15.75" thickBot="1" x14ac:dyDescent="0.3">
      <c r="A266" s="2">
        <v>44157</v>
      </c>
      <c r="B266" s="261">
        <f t="shared" si="13"/>
        <v>100</v>
      </c>
      <c r="C266" s="493">
        <v>36957</v>
      </c>
      <c r="D266" s="483">
        <v>100</v>
      </c>
      <c r="E266" s="483">
        <f t="shared" si="14"/>
        <v>36957</v>
      </c>
      <c r="F266" s="261" t="b">
        <f t="shared" si="12"/>
        <v>1</v>
      </c>
    </row>
    <row r="267" spans="1:6" ht="15.75" thickBot="1" x14ac:dyDescent="0.3">
      <c r="A267" s="2">
        <v>44158</v>
      </c>
      <c r="B267" s="261">
        <f t="shared" si="13"/>
        <v>120</v>
      </c>
      <c r="C267" s="493">
        <v>37077</v>
      </c>
      <c r="D267" s="483">
        <v>120</v>
      </c>
      <c r="E267" s="483">
        <f t="shared" si="14"/>
        <v>37077</v>
      </c>
      <c r="F267" s="261" t="b">
        <f t="shared" si="12"/>
        <v>1</v>
      </c>
    </row>
    <row r="268" spans="1:6" ht="15.75" thickBot="1" x14ac:dyDescent="0.3">
      <c r="A268" s="2">
        <v>44159</v>
      </c>
      <c r="B268" s="261">
        <f t="shared" si="13"/>
        <v>311</v>
      </c>
      <c r="C268" s="493">
        <v>37388</v>
      </c>
      <c r="D268" s="483">
        <v>311</v>
      </c>
      <c r="E268" s="483">
        <f t="shared" si="14"/>
        <v>37388</v>
      </c>
      <c r="F268" s="261" t="b">
        <f t="shared" si="12"/>
        <v>1</v>
      </c>
    </row>
    <row r="269" spans="1:6" ht="15.75" thickBot="1" x14ac:dyDescent="0.3">
      <c r="A269" s="2">
        <v>44160</v>
      </c>
      <c r="B269" s="261">
        <f t="shared" si="13"/>
        <v>282</v>
      </c>
      <c r="C269" s="493">
        <v>37670</v>
      </c>
      <c r="D269" s="483">
        <v>282</v>
      </c>
      <c r="E269" s="483">
        <f t="shared" si="14"/>
        <v>37670</v>
      </c>
      <c r="F269" s="261" t="b">
        <f t="shared" ref="F269:F332" si="15">EXACT(C269,E269)</f>
        <v>1</v>
      </c>
    </row>
    <row r="270" spans="1:6" ht="15.75" thickBot="1" x14ac:dyDescent="0.3">
      <c r="A270" s="2">
        <v>44161</v>
      </c>
      <c r="B270" s="261">
        <f t="shared" si="13"/>
        <v>229</v>
      </c>
      <c r="C270" s="493">
        <v>37899</v>
      </c>
      <c r="D270" s="483">
        <v>229</v>
      </c>
      <c r="E270" s="483">
        <f t="shared" si="14"/>
        <v>37899</v>
      </c>
      <c r="F270" s="261" t="b">
        <f t="shared" si="15"/>
        <v>1</v>
      </c>
    </row>
    <row r="271" spans="1:6" ht="15.75" thickBot="1" x14ac:dyDescent="0.3">
      <c r="A271" s="2">
        <v>44162</v>
      </c>
      <c r="B271" s="261">
        <f t="shared" si="13"/>
        <v>275</v>
      </c>
      <c r="C271" s="493">
        <v>38174</v>
      </c>
      <c r="D271" s="483">
        <v>275</v>
      </c>
      <c r="E271" s="483">
        <f t="shared" si="14"/>
        <v>38174</v>
      </c>
      <c r="F271" s="261" t="b">
        <f t="shared" si="15"/>
        <v>1</v>
      </c>
    </row>
    <row r="272" spans="1:6" ht="15.75" thickBot="1" x14ac:dyDescent="0.3">
      <c r="A272" s="2">
        <v>44163</v>
      </c>
      <c r="B272" s="261">
        <f t="shared" si="13"/>
        <v>106</v>
      </c>
      <c r="C272" s="493">
        <v>38280</v>
      </c>
      <c r="D272" s="483">
        <v>106</v>
      </c>
      <c r="E272" s="483">
        <f t="shared" si="14"/>
        <v>38280</v>
      </c>
      <c r="F272" s="261" t="b">
        <f t="shared" si="15"/>
        <v>1</v>
      </c>
    </row>
    <row r="273" spans="1:6" ht="15.75" thickBot="1" x14ac:dyDescent="0.3">
      <c r="A273" s="2">
        <v>44164</v>
      </c>
      <c r="B273" s="261">
        <f t="shared" si="13"/>
        <v>151</v>
      </c>
      <c r="C273" s="493">
        <v>38431</v>
      </c>
      <c r="D273" s="483">
        <v>151</v>
      </c>
      <c r="E273" s="483">
        <f t="shared" si="14"/>
        <v>38431</v>
      </c>
      <c r="F273" s="261" t="b">
        <f t="shared" si="15"/>
        <v>1</v>
      </c>
    </row>
    <row r="274" spans="1:6" ht="15.75" thickBot="1" x14ac:dyDescent="0.3">
      <c r="A274" s="2">
        <v>44165</v>
      </c>
      <c r="B274" s="261">
        <f t="shared" si="13"/>
        <v>256</v>
      </c>
      <c r="C274" s="493">
        <v>38687</v>
      </c>
      <c r="D274" s="483">
        <v>256</v>
      </c>
      <c r="E274" s="483">
        <f t="shared" si="14"/>
        <v>38687</v>
      </c>
      <c r="F274" s="261" t="b">
        <f t="shared" si="15"/>
        <v>1</v>
      </c>
    </row>
    <row r="275" spans="1:6" ht="15.75" thickBot="1" x14ac:dyDescent="0.3">
      <c r="A275" s="2">
        <v>44166</v>
      </c>
      <c r="B275" s="261">
        <f t="shared" si="13"/>
        <v>198</v>
      </c>
      <c r="C275" s="493">
        <v>38885</v>
      </c>
      <c r="D275" s="483">
        <v>198</v>
      </c>
      <c r="E275" s="483">
        <f t="shared" si="14"/>
        <v>38885</v>
      </c>
      <c r="F275" s="261" t="b">
        <f t="shared" si="15"/>
        <v>1</v>
      </c>
    </row>
    <row r="276" spans="1:6" ht="15.75" thickBot="1" x14ac:dyDescent="0.3">
      <c r="A276" s="2">
        <v>44167</v>
      </c>
      <c r="B276" s="261">
        <f t="shared" si="13"/>
        <v>228</v>
      </c>
      <c r="C276" s="493">
        <v>39113</v>
      </c>
      <c r="D276" s="483">
        <v>228</v>
      </c>
      <c r="E276" s="483">
        <f t="shared" si="14"/>
        <v>39113</v>
      </c>
      <c r="F276" s="261" t="b">
        <f t="shared" si="15"/>
        <v>1</v>
      </c>
    </row>
    <row r="277" spans="1:6" ht="15.75" thickBot="1" x14ac:dyDescent="0.3">
      <c r="A277" s="2">
        <v>44168</v>
      </c>
      <c r="B277" s="261">
        <f t="shared" si="13"/>
        <v>149</v>
      </c>
      <c r="C277" s="493">
        <v>39262</v>
      </c>
      <c r="D277" s="483">
        <v>149</v>
      </c>
      <c r="E277" s="483">
        <f t="shared" si="14"/>
        <v>39262</v>
      </c>
      <c r="F277" s="261" t="b">
        <f t="shared" si="15"/>
        <v>1</v>
      </c>
    </row>
    <row r="278" spans="1:6" ht="15.75" thickBot="1" x14ac:dyDescent="0.3">
      <c r="A278" s="2">
        <v>44169</v>
      </c>
      <c r="B278" s="261">
        <f t="shared" si="13"/>
        <v>207</v>
      </c>
      <c r="C278" s="493">
        <v>39469</v>
      </c>
      <c r="D278" s="483">
        <v>207</v>
      </c>
      <c r="E278" s="483">
        <f t="shared" si="14"/>
        <v>39469</v>
      </c>
      <c r="F278" s="261" t="b">
        <f t="shared" si="15"/>
        <v>1</v>
      </c>
    </row>
    <row r="279" spans="1:6" ht="15.75" thickBot="1" x14ac:dyDescent="0.3">
      <c r="A279" s="2">
        <v>44170</v>
      </c>
      <c r="B279" s="261">
        <f t="shared" si="13"/>
        <v>121</v>
      </c>
      <c r="C279" s="493">
        <v>39590</v>
      </c>
      <c r="D279" s="483">
        <v>121</v>
      </c>
      <c r="E279" s="483">
        <f t="shared" si="14"/>
        <v>39590</v>
      </c>
      <c r="F279" s="261" t="b">
        <f t="shared" si="15"/>
        <v>1</v>
      </c>
    </row>
    <row r="280" spans="1:6" ht="15.75" thickBot="1" x14ac:dyDescent="0.3">
      <c r="A280" s="2">
        <v>44171</v>
      </c>
      <c r="B280" s="261">
        <f t="shared" si="13"/>
        <v>137</v>
      </c>
      <c r="C280" s="493">
        <v>39727</v>
      </c>
      <c r="D280" s="483">
        <v>137</v>
      </c>
      <c r="E280" s="483">
        <f t="shared" si="14"/>
        <v>39727</v>
      </c>
      <c r="F280" s="261" t="b">
        <f t="shared" si="15"/>
        <v>1</v>
      </c>
    </row>
    <row r="281" spans="1:6" ht="15.75" thickBot="1" x14ac:dyDescent="0.3">
      <c r="A281" s="2">
        <v>44172</v>
      </c>
      <c r="B281" s="261">
        <f t="shared" si="13"/>
        <v>118</v>
      </c>
      <c r="C281" s="493">
        <v>39845</v>
      </c>
      <c r="D281" s="483">
        <v>118</v>
      </c>
      <c r="E281" s="483">
        <f t="shared" si="14"/>
        <v>39845</v>
      </c>
      <c r="F281" s="261" t="b">
        <f t="shared" si="15"/>
        <v>1</v>
      </c>
    </row>
    <row r="282" spans="1:6" ht="15.75" thickBot="1" x14ac:dyDescent="0.3">
      <c r="A282" s="2">
        <v>44173</v>
      </c>
      <c r="B282" s="261">
        <f t="shared" si="13"/>
        <v>121</v>
      </c>
      <c r="C282" s="493">
        <v>39966</v>
      </c>
      <c r="D282" s="483">
        <v>121</v>
      </c>
      <c r="E282" s="483">
        <f t="shared" si="14"/>
        <v>39966</v>
      </c>
      <c r="F282" s="261" t="b">
        <f t="shared" si="15"/>
        <v>1</v>
      </c>
    </row>
    <row r="283" spans="1:6" ht="15.75" thickBot="1" x14ac:dyDescent="0.3">
      <c r="A283" s="2">
        <v>44174</v>
      </c>
      <c r="B283" s="261">
        <f t="shared" si="13"/>
        <v>213</v>
      </c>
      <c r="C283" s="493">
        <v>40179</v>
      </c>
      <c r="D283" s="483">
        <v>213</v>
      </c>
      <c r="E283" s="483">
        <f t="shared" si="14"/>
        <v>40179</v>
      </c>
      <c r="F283" s="261" t="b">
        <f t="shared" si="15"/>
        <v>1</v>
      </c>
    </row>
    <row r="284" spans="1:6" ht="15.75" thickBot="1" x14ac:dyDescent="0.3">
      <c r="A284" s="2">
        <v>44175</v>
      </c>
      <c r="B284" s="261">
        <f t="shared" si="13"/>
        <v>209</v>
      </c>
      <c r="C284" s="493">
        <v>40388</v>
      </c>
      <c r="D284" s="483">
        <v>209</v>
      </c>
      <c r="E284" s="483">
        <f t="shared" si="14"/>
        <v>40388</v>
      </c>
      <c r="F284" s="261" t="b">
        <f t="shared" si="15"/>
        <v>1</v>
      </c>
    </row>
    <row r="285" spans="1:6" ht="15.75" thickBot="1" x14ac:dyDescent="0.3">
      <c r="A285" s="2">
        <v>44176</v>
      </c>
      <c r="B285" s="261">
        <f t="shared" si="13"/>
        <v>177</v>
      </c>
      <c r="C285" s="493">
        <v>40565</v>
      </c>
      <c r="D285" s="483">
        <v>177</v>
      </c>
      <c r="E285" s="483">
        <f t="shared" si="14"/>
        <v>40565</v>
      </c>
      <c r="F285" s="261" t="b">
        <f t="shared" si="15"/>
        <v>1</v>
      </c>
    </row>
    <row r="286" spans="1:6" ht="15.75" thickBot="1" x14ac:dyDescent="0.3">
      <c r="A286" s="2">
        <v>44177</v>
      </c>
      <c r="B286" s="261">
        <f t="shared" si="13"/>
        <v>62</v>
      </c>
      <c r="C286" s="493">
        <v>40627</v>
      </c>
      <c r="D286" s="483">
        <v>62</v>
      </c>
      <c r="E286" s="483">
        <f t="shared" si="14"/>
        <v>40627</v>
      </c>
      <c r="F286" s="261" t="b">
        <f t="shared" si="15"/>
        <v>1</v>
      </c>
    </row>
    <row r="287" spans="1:6" ht="15.75" thickBot="1" x14ac:dyDescent="0.3">
      <c r="A287" s="2">
        <v>44178</v>
      </c>
      <c r="B287" s="261">
        <f t="shared" si="13"/>
        <v>98</v>
      </c>
      <c r="C287" s="493">
        <v>40725</v>
      </c>
      <c r="D287" s="483">
        <v>98</v>
      </c>
      <c r="E287" s="483">
        <f t="shared" si="14"/>
        <v>40725</v>
      </c>
      <c r="F287" s="261" t="b">
        <f t="shared" si="15"/>
        <v>1</v>
      </c>
    </row>
    <row r="288" spans="1:6" ht="15.75" thickBot="1" x14ac:dyDescent="0.3">
      <c r="A288" s="2">
        <v>44179</v>
      </c>
      <c r="B288" s="261">
        <f t="shared" si="13"/>
        <v>275</v>
      </c>
      <c r="C288" s="493">
        <v>41000</v>
      </c>
      <c r="D288" s="483">
        <v>275</v>
      </c>
      <c r="E288" s="483">
        <f t="shared" si="14"/>
        <v>41000</v>
      </c>
      <c r="F288" s="261" t="b">
        <f t="shared" si="15"/>
        <v>1</v>
      </c>
    </row>
    <row r="289" spans="1:6" ht="15.75" thickBot="1" x14ac:dyDescent="0.3">
      <c r="A289" s="2">
        <v>44180</v>
      </c>
      <c r="B289" s="261">
        <f t="shared" si="13"/>
        <v>164</v>
      </c>
      <c r="C289" s="493">
        <v>41164</v>
      </c>
      <c r="D289" s="483">
        <v>164</v>
      </c>
      <c r="E289" s="483">
        <f t="shared" si="14"/>
        <v>41164</v>
      </c>
      <c r="F289" s="261" t="b">
        <f t="shared" si="15"/>
        <v>1</v>
      </c>
    </row>
    <row r="290" spans="1:6" ht="15.75" thickBot="1" x14ac:dyDescent="0.3">
      <c r="A290" s="2">
        <v>44181</v>
      </c>
      <c r="B290" s="261">
        <f t="shared" si="13"/>
        <v>162</v>
      </c>
      <c r="C290" s="493">
        <v>41326</v>
      </c>
      <c r="D290" s="483">
        <v>162</v>
      </c>
      <c r="E290" s="483">
        <f t="shared" si="14"/>
        <v>41326</v>
      </c>
      <c r="F290" s="261" t="b">
        <f t="shared" si="15"/>
        <v>1</v>
      </c>
    </row>
    <row r="291" spans="1:6" ht="15.75" thickBot="1" x14ac:dyDescent="0.3">
      <c r="A291" s="2">
        <v>44182</v>
      </c>
      <c r="B291" s="261">
        <f t="shared" si="13"/>
        <v>169</v>
      </c>
      <c r="C291" s="493">
        <v>41495</v>
      </c>
      <c r="D291" s="483">
        <v>169</v>
      </c>
      <c r="E291" s="483">
        <f t="shared" si="14"/>
        <v>41495</v>
      </c>
      <c r="F291" s="261" t="b">
        <f t="shared" si="15"/>
        <v>1</v>
      </c>
    </row>
    <row r="292" spans="1:6" ht="15.75" thickBot="1" x14ac:dyDescent="0.3">
      <c r="A292" s="2">
        <v>44183</v>
      </c>
      <c r="B292" s="261">
        <f t="shared" si="13"/>
        <v>138</v>
      </c>
      <c r="C292" s="493">
        <v>41633</v>
      </c>
      <c r="D292" s="483">
        <v>138</v>
      </c>
      <c r="E292" s="483">
        <f t="shared" si="14"/>
        <v>41633</v>
      </c>
      <c r="F292" s="261" t="b">
        <f t="shared" si="15"/>
        <v>1</v>
      </c>
    </row>
    <row r="293" spans="1:6" ht="15.75" thickBot="1" x14ac:dyDescent="0.3">
      <c r="A293" s="2">
        <v>44184</v>
      </c>
      <c r="B293" s="261">
        <f t="shared" si="13"/>
        <v>91</v>
      </c>
      <c r="C293" s="493">
        <v>41724</v>
      </c>
      <c r="D293" s="483">
        <v>91</v>
      </c>
      <c r="E293" s="483">
        <f t="shared" si="14"/>
        <v>41724</v>
      </c>
      <c r="F293" s="261" t="b">
        <f t="shared" si="15"/>
        <v>1</v>
      </c>
    </row>
    <row r="294" spans="1:6" ht="15.75" thickBot="1" x14ac:dyDescent="0.3">
      <c r="A294" s="2">
        <v>44185</v>
      </c>
      <c r="B294" s="261">
        <f t="shared" si="13"/>
        <v>50</v>
      </c>
      <c r="C294" s="493">
        <v>41774</v>
      </c>
      <c r="D294" s="483">
        <v>50</v>
      </c>
      <c r="E294" s="483">
        <f t="shared" si="14"/>
        <v>41774</v>
      </c>
      <c r="F294" s="261" t="b">
        <f t="shared" si="15"/>
        <v>1</v>
      </c>
    </row>
    <row r="295" spans="1:6" ht="15.75" thickBot="1" x14ac:dyDescent="0.3">
      <c r="A295" s="2">
        <v>44186</v>
      </c>
      <c r="B295" s="261">
        <f t="shared" si="13"/>
        <v>184</v>
      </c>
      <c r="C295" s="493">
        <v>41958</v>
      </c>
      <c r="D295" s="483">
        <v>184</v>
      </c>
      <c r="E295" s="483">
        <f t="shared" si="14"/>
        <v>41958</v>
      </c>
      <c r="F295" s="261" t="b">
        <f t="shared" si="15"/>
        <v>1</v>
      </c>
    </row>
    <row r="296" spans="1:6" ht="15.75" thickBot="1" x14ac:dyDescent="0.3">
      <c r="A296" s="2">
        <v>44187</v>
      </c>
      <c r="B296" s="261">
        <f t="shared" si="13"/>
        <v>255</v>
      </c>
      <c r="C296" s="493">
        <v>42213</v>
      </c>
      <c r="D296" s="483">
        <v>255</v>
      </c>
      <c r="E296" s="483">
        <f t="shared" si="14"/>
        <v>42213</v>
      </c>
      <c r="F296" s="261" t="b">
        <f t="shared" si="15"/>
        <v>1</v>
      </c>
    </row>
    <row r="297" spans="1:6" ht="15.75" thickBot="1" x14ac:dyDescent="0.3">
      <c r="A297" s="2">
        <v>44188</v>
      </c>
      <c r="B297" s="261">
        <f t="shared" si="13"/>
        <v>60</v>
      </c>
      <c r="C297" s="493">
        <v>42273</v>
      </c>
      <c r="D297" s="483">
        <v>60</v>
      </c>
      <c r="E297" s="483">
        <f t="shared" si="14"/>
        <v>42273</v>
      </c>
      <c r="F297" s="261" t="b">
        <f t="shared" si="15"/>
        <v>1</v>
      </c>
    </row>
    <row r="298" spans="1:6" ht="15.75" thickBot="1" x14ac:dyDescent="0.3">
      <c r="A298" s="2">
        <v>44189</v>
      </c>
      <c r="B298" s="261">
        <f t="shared" si="13"/>
        <v>78</v>
      </c>
      <c r="C298" s="493">
        <v>42351</v>
      </c>
      <c r="D298" s="483">
        <v>78</v>
      </c>
      <c r="E298" s="483">
        <f t="shared" si="14"/>
        <v>42351</v>
      </c>
      <c r="F298" s="261" t="b">
        <f t="shared" si="15"/>
        <v>1</v>
      </c>
    </row>
    <row r="299" spans="1:6" ht="15.75" thickBot="1" x14ac:dyDescent="0.3">
      <c r="A299" s="2">
        <v>44190</v>
      </c>
      <c r="B299" s="261">
        <f t="shared" si="13"/>
        <v>30</v>
      </c>
      <c r="C299" s="493">
        <v>42381</v>
      </c>
      <c r="D299" s="483">
        <v>30</v>
      </c>
      <c r="E299" s="483">
        <f t="shared" si="14"/>
        <v>42381</v>
      </c>
      <c r="F299" s="261" t="b">
        <f t="shared" si="15"/>
        <v>1</v>
      </c>
    </row>
    <row r="300" spans="1:6" ht="15.75" thickBot="1" x14ac:dyDescent="0.3">
      <c r="A300" s="2">
        <v>44191</v>
      </c>
      <c r="B300" s="261">
        <f t="shared" si="13"/>
        <v>79</v>
      </c>
      <c r="C300" s="493">
        <v>42460</v>
      </c>
      <c r="D300" s="483">
        <v>79</v>
      </c>
      <c r="E300" s="483">
        <f t="shared" si="14"/>
        <v>42460</v>
      </c>
      <c r="F300" s="261" t="b">
        <f t="shared" si="15"/>
        <v>1</v>
      </c>
    </row>
    <row r="301" spans="1:6" ht="15.75" thickBot="1" x14ac:dyDescent="0.3">
      <c r="A301" s="2">
        <v>44192</v>
      </c>
      <c r="B301" s="261">
        <f t="shared" si="13"/>
        <v>149</v>
      </c>
      <c r="C301" s="493">
        <v>42609</v>
      </c>
      <c r="D301" s="483">
        <v>149</v>
      </c>
      <c r="E301" s="483">
        <f t="shared" si="14"/>
        <v>42609</v>
      </c>
      <c r="F301" s="261" t="b">
        <f t="shared" si="15"/>
        <v>1</v>
      </c>
    </row>
    <row r="302" spans="1:6" ht="15.75" thickBot="1" x14ac:dyDescent="0.3">
      <c r="A302" s="2">
        <v>44193</v>
      </c>
      <c r="B302" s="261">
        <f t="shared" si="13"/>
        <v>218</v>
      </c>
      <c r="C302" s="493">
        <v>42827</v>
      </c>
      <c r="D302" s="483">
        <v>218</v>
      </c>
      <c r="E302" s="483">
        <f t="shared" si="14"/>
        <v>42827</v>
      </c>
      <c r="F302" s="261" t="b">
        <f t="shared" si="15"/>
        <v>1</v>
      </c>
    </row>
    <row r="303" spans="1:6" ht="15.75" thickBot="1" x14ac:dyDescent="0.3">
      <c r="A303" s="2">
        <v>44194</v>
      </c>
      <c r="B303" s="261">
        <f t="shared" si="13"/>
        <v>151</v>
      </c>
      <c r="C303" s="493">
        <v>42978</v>
      </c>
      <c r="D303" s="483">
        <v>151</v>
      </c>
      <c r="E303" s="483">
        <f t="shared" si="14"/>
        <v>42978</v>
      </c>
      <c r="F303" s="261" t="b">
        <f t="shared" si="15"/>
        <v>1</v>
      </c>
    </row>
    <row r="304" spans="1:6" ht="15.75" thickBot="1" x14ac:dyDescent="0.3">
      <c r="A304" s="2">
        <v>44195</v>
      </c>
      <c r="B304" s="261">
        <f t="shared" si="13"/>
        <v>145</v>
      </c>
      <c r="C304" s="493">
        <v>43123</v>
      </c>
      <c r="D304" s="483">
        <v>145</v>
      </c>
      <c r="E304" s="483">
        <f t="shared" si="14"/>
        <v>43123</v>
      </c>
      <c r="F304" s="261" t="b">
        <f t="shared" si="15"/>
        <v>1</v>
      </c>
    </row>
    <row r="305" spans="1:6" ht="15.75" thickBot="1" x14ac:dyDescent="0.3">
      <c r="A305" s="2">
        <v>44196</v>
      </c>
      <c r="B305" s="261">
        <f t="shared" si="13"/>
        <v>82</v>
      </c>
      <c r="C305" s="493">
        <v>43205</v>
      </c>
      <c r="D305" s="483">
        <v>82</v>
      </c>
      <c r="E305" s="483">
        <f t="shared" si="14"/>
        <v>43205</v>
      </c>
      <c r="F305" s="261" t="b">
        <f t="shared" si="15"/>
        <v>1</v>
      </c>
    </row>
    <row r="306" spans="1:6" ht="15.75" thickBot="1" x14ac:dyDescent="0.3">
      <c r="A306" s="2">
        <v>44197</v>
      </c>
      <c r="B306" s="261">
        <f t="shared" si="13"/>
        <v>72</v>
      </c>
      <c r="C306" s="493">
        <v>43277</v>
      </c>
      <c r="D306" s="483">
        <v>72</v>
      </c>
      <c r="E306" s="483">
        <f t="shared" si="14"/>
        <v>43277</v>
      </c>
      <c r="F306" s="261" t="b">
        <f t="shared" si="15"/>
        <v>1</v>
      </c>
    </row>
    <row r="307" spans="1:6" ht="15.75" thickBot="1" x14ac:dyDescent="0.3">
      <c r="A307" s="2">
        <v>44198</v>
      </c>
      <c r="B307" s="261">
        <f t="shared" si="13"/>
        <v>58</v>
      </c>
      <c r="C307" s="493">
        <v>43335</v>
      </c>
      <c r="D307" s="483">
        <v>58</v>
      </c>
      <c r="E307" s="483">
        <f t="shared" si="14"/>
        <v>43335</v>
      </c>
      <c r="F307" s="261" t="b">
        <f t="shared" si="15"/>
        <v>1</v>
      </c>
    </row>
    <row r="308" spans="1:6" ht="15.75" thickBot="1" x14ac:dyDescent="0.3">
      <c r="A308" s="2">
        <v>44199</v>
      </c>
      <c r="B308" s="261">
        <f t="shared" si="13"/>
        <v>107</v>
      </c>
      <c r="C308" s="493">
        <v>43442</v>
      </c>
      <c r="D308" s="483">
        <v>107</v>
      </c>
      <c r="E308" s="483">
        <f t="shared" si="14"/>
        <v>43442</v>
      </c>
      <c r="F308" s="261" t="b">
        <f t="shared" si="15"/>
        <v>1</v>
      </c>
    </row>
    <row r="309" spans="1:6" ht="15.75" thickBot="1" x14ac:dyDescent="0.3">
      <c r="A309" s="2">
        <v>44200</v>
      </c>
      <c r="B309" s="261">
        <f t="shared" si="13"/>
        <v>152</v>
      </c>
      <c r="C309" s="493">
        <v>43594</v>
      </c>
      <c r="D309" s="483">
        <v>152</v>
      </c>
      <c r="E309" s="483">
        <f t="shared" si="14"/>
        <v>43594</v>
      </c>
      <c r="F309" s="261" t="b">
        <f t="shared" si="15"/>
        <v>1</v>
      </c>
    </row>
    <row r="310" spans="1:6" ht="15.75" thickBot="1" x14ac:dyDescent="0.3">
      <c r="A310" s="2">
        <v>44201</v>
      </c>
      <c r="B310" s="261">
        <f t="shared" si="13"/>
        <v>151</v>
      </c>
      <c r="C310" s="493">
        <v>43745</v>
      </c>
      <c r="D310" s="483">
        <v>151</v>
      </c>
      <c r="E310" s="483">
        <f t="shared" si="14"/>
        <v>43745</v>
      </c>
      <c r="F310" s="261" t="b">
        <f t="shared" si="15"/>
        <v>1</v>
      </c>
    </row>
    <row r="311" spans="1:6" ht="15.75" thickBot="1" x14ac:dyDescent="0.3">
      <c r="A311" s="2">
        <v>44202</v>
      </c>
      <c r="B311" s="261">
        <f t="shared" si="13"/>
        <v>191</v>
      </c>
      <c r="C311" s="493">
        <v>43936</v>
      </c>
      <c r="D311" s="483">
        <v>191</v>
      </c>
      <c r="E311" s="483">
        <f t="shared" si="14"/>
        <v>43936</v>
      </c>
      <c r="F311" s="261" t="b">
        <f t="shared" si="15"/>
        <v>1</v>
      </c>
    </row>
    <row r="312" spans="1:6" ht="15.75" thickBot="1" x14ac:dyDescent="0.3">
      <c r="A312" s="2">
        <v>44203</v>
      </c>
      <c r="B312" s="261">
        <f t="shared" si="13"/>
        <v>146</v>
      </c>
      <c r="C312" s="493">
        <v>44082</v>
      </c>
      <c r="D312" s="483">
        <v>146</v>
      </c>
      <c r="E312" s="483">
        <f t="shared" si="14"/>
        <v>44082</v>
      </c>
      <c r="F312" s="261" t="b">
        <f t="shared" si="15"/>
        <v>1</v>
      </c>
    </row>
    <row r="313" spans="1:6" ht="15.75" thickBot="1" x14ac:dyDescent="0.3">
      <c r="A313" s="2">
        <v>44204</v>
      </c>
      <c r="B313" s="261">
        <f t="shared" si="13"/>
        <v>150</v>
      </c>
      <c r="C313" s="493">
        <v>44232</v>
      </c>
      <c r="D313" s="483">
        <v>150</v>
      </c>
      <c r="E313" s="483">
        <f t="shared" si="14"/>
        <v>44232</v>
      </c>
      <c r="F313" s="261" t="b">
        <f t="shared" si="15"/>
        <v>1</v>
      </c>
    </row>
    <row r="314" spans="1:6" ht="15.75" thickBot="1" x14ac:dyDescent="0.3">
      <c r="A314" s="2">
        <v>44205</v>
      </c>
      <c r="B314" s="261">
        <f t="shared" si="13"/>
        <v>142</v>
      </c>
      <c r="C314" s="493">
        <v>44374</v>
      </c>
      <c r="D314" s="483">
        <v>142</v>
      </c>
      <c r="E314" s="483">
        <f t="shared" si="14"/>
        <v>44374</v>
      </c>
      <c r="F314" s="261" t="b">
        <f t="shared" si="15"/>
        <v>1</v>
      </c>
    </row>
    <row r="315" spans="1:6" ht="15.75" thickBot="1" x14ac:dyDescent="0.3">
      <c r="A315" s="2">
        <v>44206</v>
      </c>
      <c r="B315" s="261">
        <f t="shared" si="13"/>
        <v>78</v>
      </c>
      <c r="C315" s="493">
        <v>44452</v>
      </c>
      <c r="D315" s="483">
        <v>78</v>
      </c>
      <c r="E315" s="483">
        <f t="shared" si="14"/>
        <v>44452</v>
      </c>
      <c r="F315" s="261" t="b">
        <f t="shared" si="15"/>
        <v>1</v>
      </c>
    </row>
    <row r="316" spans="1:6" ht="15.75" thickBot="1" x14ac:dyDescent="0.3">
      <c r="A316" s="2">
        <v>44207</v>
      </c>
      <c r="B316" s="261">
        <f t="shared" si="13"/>
        <v>160</v>
      </c>
      <c r="C316" s="493">
        <v>44612</v>
      </c>
      <c r="D316" s="483">
        <v>160</v>
      </c>
      <c r="E316" s="483">
        <f t="shared" si="14"/>
        <v>44612</v>
      </c>
      <c r="F316" s="261" t="b">
        <f t="shared" si="15"/>
        <v>1</v>
      </c>
    </row>
    <row r="317" spans="1:6" ht="15.75" thickBot="1" x14ac:dyDescent="0.3">
      <c r="A317" s="2">
        <v>44208</v>
      </c>
      <c r="B317" s="261">
        <f t="shared" si="13"/>
        <v>192</v>
      </c>
      <c r="C317" s="493">
        <v>44804</v>
      </c>
      <c r="D317" s="483">
        <v>192</v>
      </c>
      <c r="E317" s="483">
        <f t="shared" si="14"/>
        <v>44804</v>
      </c>
      <c r="F317" s="261" t="b">
        <f t="shared" si="15"/>
        <v>1</v>
      </c>
    </row>
    <row r="318" spans="1:6" ht="15.75" thickBot="1" x14ac:dyDescent="0.3">
      <c r="A318" s="2">
        <v>44209</v>
      </c>
      <c r="B318" s="261">
        <f t="shared" si="13"/>
        <v>134</v>
      </c>
      <c r="C318" s="493">
        <v>44938</v>
      </c>
      <c r="D318" s="483">
        <v>134</v>
      </c>
      <c r="E318" s="483">
        <f t="shared" si="14"/>
        <v>44938</v>
      </c>
      <c r="F318" s="261" t="b">
        <f t="shared" si="15"/>
        <v>1</v>
      </c>
    </row>
    <row r="319" spans="1:6" ht="15.75" thickBot="1" x14ac:dyDescent="0.3">
      <c r="A319" s="2">
        <v>44210</v>
      </c>
      <c r="B319" s="261">
        <f t="shared" si="13"/>
        <v>142</v>
      </c>
      <c r="C319" s="493">
        <v>45080</v>
      </c>
      <c r="D319" s="483">
        <v>142</v>
      </c>
      <c r="E319" s="483">
        <f t="shared" si="14"/>
        <v>45080</v>
      </c>
      <c r="F319" s="261" t="b">
        <f t="shared" si="15"/>
        <v>1</v>
      </c>
    </row>
    <row r="320" spans="1:6" ht="15.75" thickBot="1" x14ac:dyDescent="0.3">
      <c r="A320" s="2">
        <v>44211</v>
      </c>
      <c r="B320" s="261">
        <f t="shared" si="13"/>
        <v>103</v>
      </c>
      <c r="C320" s="493">
        <v>45183</v>
      </c>
      <c r="D320" s="483">
        <v>103</v>
      </c>
      <c r="E320" s="483">
        <f t="shared" si="14"/>
        <v>45183</v>
      </c>
      <c r="F320" s="261" t="b">
        <f t="shared" si="15"/>
        <v>1</v>
      </c>
    </row>
    <row r="321" spans="1:6" ht="15.75" thickBot="1" x14ac:dyDescent="0.3">
      <c r="A321" s="2">
        <v>44212</v>
      </c>
      <c r="B321" s="261">
        <f t="shared" si="13"/>
        <v>68</v>
      </c>
      <c r="C321" s="493">
        <v>45251</v>
      </c>
      <c r="D321" s="483">
        <v>68</v>
      </c>
      <c r="E321" s="483">
        <f t="shared" si="14"/>
        <v>45251</v>
      </c>
      <c r="F321" s="261" t="b">
        <f t="shared" si="15"/>
        <v>1</v>
      </c>
    </row>
    <row r="322" spans="1:6" ht="15.75" thickBot="1" x14ac:dyDescent="0.3">
      <c r="A322" s="2">
        <v>44213</v>
      </c>
      <c r="B322" s="261">
        <f t="shared" si="13"/>
        <v>112</v>
      </c>
      <c r="C322" s="493">
        <v>45363</v>
      </c>
      <c r="D322" s="483">
        <v>112</v>
      </c>
      <c r="E322" s="483">
        <f t="shared" si="14"/>
        <v>45363</v>
      </c>
      <c r="F322" s="261" t="b">
        <f t="shared" si="15"/>
        <v>1</v>
      </c>
    </row>
    <row r="323" spans="1:6" ht="15.75" thickBot="1" x14ac:dyDescent="0.3">
      <c r="A323" s="2">
        <v>44214</v>
      </c>
      <c r="B323" s="261">
        <f t="shared" si="13"/>
        <v>423</v>
      </c>
      <c r="C323" s="493">
        <v>45786</v>
      </c>
      <c r="D323" s="483">
        <v>423</v>
      </c>
      <c r="E323" s="483">
        <f t="shared" si="14"/>
        <v>45786</v>
      </c>
      <c r="F323" s="261" t="b">
        <f t="shared" si="15"/>
        <v>1</v>
      </c>
    </row>
    <row r="324" spans="1:6" ht="15.75" thickBot="1" x14ac:dyDescent="0.3">
      <c r="A324" s="2">
        <v>44215</v>
      </c>
      <c r="B324" s="261">
        <f t="shared" ref="B324:B387" si="16">C324-C323</f>
        <v>234</v>
      </c>
      <c r="C324" s="493">
        <v>46020</v>
      </c>
      <c r="D324" s="483">
        <v>234</v>
      </c>
      <c r="E324" s="483">
        <f t="shared" ref="E324:E387" si="17">E323+D324</f>
        <v>46020</v>
      </c>
      <c r="F324" s="261" t="b">
        <f t="shared" si="15"/>
        <v>1</v>
      </c>
    </row>
    <row r="325" spans="1:6" ht="15.75" thickBot="1" x14ac:dyDescent="0.3">
      <c r="A325" s="2">
        <v>44216</v>
      </c>
      <c r="B325" s="261">
        <f t="shared" si="16"/>
        <v>149</v>
      </c>
      <c r="C325" s="493">
        <v>46169</v>
      </c>
      <c r="D325" s="483">
        <v>149</v>
      </c>
      <c r="E325" s="483">
        <f t="shared" si="17"/>
        <v>46169</v>
      </c>
      <c r="F325" s="261" t="b">
        <f t="shared" si="15"/>
        <v>1</v>
      </c>
    </row>
    <row r="326" spans="1:6" ht="15.75" thickBot="1" x14ac:dyDescent="0.3">
      <c r="A326" s="2">
        <v>44217</v>
      </c>
      <c r="B326" s="261">
        <f t="shared" si="16"/>
        <v>142</v>
      </c>
      <c r="C326" s="493">
        <v>46311</v>
      </c>
      <c r="D326" s="483">
        <v>142</v>
      </c>
      <c r="E326" s="483">
        <f t="shared" si="17"/>
        <v>46311</v>
      </c>
      <c r="F326" s="261" t="b">
        <f t="shared" si="15"/>
        <v>1</v>
      </c>
    </row>
    <row r="327" spans="1:6" ht="15.75" thickBot="1" x14ac:dyDescent="0.3">
      <c r="A327" s="2">
        <v>44218</v>
      </c>
      <c r="B327" s="261">
        <f t="shared" si="16"/>
        <v>220</v>
      </c>
      <c r="C327" s="493">
        <v>46531</v>
      </c>
      <c r="D327" s="483">
        <v>220</v>
      </c>
      <c r="E327" s="483">
        <f t="shared" si="17"/>
        <v>46531</v>
      </c>
      <c r="F327" s="261" t="b">
        <f t="shared" si="15"/>
        <v>1</v>
      </c>
    </row>
    <row r="328" spans="1:6" ht="15.75" thickBot="1" x14ac:dyDescent="0.3">
      <c r="A328" s="2">
        <v>44219</v>
      </c>
      <c r="B328" s="261">
        <f t="shared" si="16"/>
        <v>162</v>
      </c>
      <c r="C328" s="493">
        <v>46693</v>
      </c>
      <c r="D328" s="483">
        <v>162</v>
      </c>
      <c r="E328" s="483">
        <f t="shared" si="17"/>
        <v>46693</v>
      </c>
      <c r="F328" s="261" t="b">
        <f t="shared" si="15"/>
        <v>1</v>
      </c>
    </row>
    <row r="329" spans="1:6" ht="15.75" thickBot="1" x14ac:dyDescent="0.3">
      <c r="A329" s="2">
        <v>44220</v>
      </c>
      <c r="B329" s="261">
        <f t="shared" si="16"/>
        <v>90</v>
      </c>
      <c r="C329" s="493">
        <v>46783</v>
      </c>
      <c r="D329" s="483">
        <v>90</v>
      </c>
      <c r="E329" s="483">
        <f t="shared" si="17"/>
        <v>46783</v>
      </c>
      <c r="F329" s="261" t="b">
        <f t="shared" si="15"/>
        <v>1</v>
      </c>
    </row>
    <row r="330" spans="1:6" ht="15.75" thickBot="1" x14ac:dyDescent="0.3">
      <c r="A330" s="2">
        <v>44221</v>
      </c>
      <c r="B330" s="261">
        <f t="shared" si="16"/>
        <v>208</v>
      </c>
      <c r="C330" s="493">
        <v>46991</v>
      </c>
      <c r="D330" s="483">
        <v>208</v>
      </c>
      <c r="E330" s="483">
        <f t="shared" si="17"/>
        <v>46991</v>
      </c>
      <c r="F330" s="261" t="b">
        <f t="shared" si="15"/>
        <v>1</v>
      </c>
    </row>
    <row r="331" spans="1:6" ht="15.75" thickBot="1" x14ac:dyDescent="0.3">
      <c r="A331" s="2">
        <v>44222</v>
      </c>
      <c r="B331" s="261">
        <f t="shared" si="16"/>
        <v>219</v>
      </c>
      <c r="C331" s="493">
        <v>47210</v>
      </c>
      <c r="D331" s="483">
        <v>219</v>
      </c>
      <c r="E331" s="483">
        <f t="shared" si="17"/>
        <v>47210</v>
      </c>
      <c r="F331" s="261" t="b">
        <f t="shared" si="15"/>
        <v>1</v>
      </c>
    </row>
    <row r="332" spans="1:6" ht="15.75" thickBot="1" x14ac:dyDescent="0.3">
      <c r="A332" s="2">
        <v>44223</v>
      </c>
      <c r="B332" s="261">
        <f t="shared" si="16"/>
        <v>182</v>
      </c>
      <c r="C332" s="493">
        <v>47392</v>
      </c>
      <c r="D332" s="483">
        <v>182</v>
      </c>
      <c r="E332" s="483">
        <f t="shared" si="17"/>
        <v>47392</v>
      </c>
      <c r="F332" s="261" t="b">
        <f t="shared" si="15"/>
        <v>1</v>
      </c>
    </row>
    <row r="333" spans="1:6" ht="15.75" thickBot="1" x14ac:dyDescent="0.3">
      <c r="A333" s="2">
        <v>44224</v>
      </c>
      <c r="B333" s="261">
        <f t="shared" si="16"/>
        <v>166</v>
      </c>
      <c r="C333" s="493">
        <v>47558</v>
      </c>
      <c r="D333" s="483">
        <v>166</v>
      </c>
      <c r="E333" s="483">
        <f t="shared" si="17"/>
        <v>47558</v>
      </c>
      <c r="F333" s="261" t="b">
        <f t="shared" ref="F333:F396" si="18">EXACT(C333,E333)</f>
        <v>1</v>
      </c>
    </row>
    <row r="334" spans="1:6" ht="15.75" thickBot="1" x14ac:dyDescent="0.3">
      <c r="A334" s="2">
        <v>44225</v>
      </c>
      <c r="B334" s="261">
        <f t="shared" si="16"/>
        <v>174</v>
      </c>
      <c r="C334" s="493">
        <v>47732</v>
      </c>
      <c r="D334" s="483">
        <v>174</v>
      </c>
      <c r="E334" s="483">
        <f t="shared" si="17"/>
        <v>47732</v>
      </c>
      <c r="F334" s="261" t="b">
        <f t="shared" si="18"/>
        <v>1</v>
      </c>
    </row>
    <row r="335" spans="1:6" ht="15.75" thickBot="1" x14ac:dyDescent="0.3">
      <c r="A335" s="2">
        <v>44226</v>
      </c>
      <c r="B335" s="261">
        <f t="shared" si="16"/>
        <v>156</v>
      </c>
      <c r="C335" s="493">
        <v>47888</v>
      </c>
      <c r="D335" s="483">
        <v>156</v>
      </c>
      <c r="E335" s="483">
        <f t="shared" si="17"/>
        <v>47888</v>
      </c>
      <c r="F335" s="261" t="b">
        <f t="shared" si="18"/>
        <v>1</v>
      </c>
    </row>
    <row r="336" spans="1:6" ht="15.75" thickBot="1" x14ac:dyDescent="0.3">
      <c r="A336" s="2">
        <v>44227</v>
      </c>
      <c r="B336" s="261">
        <f t="shared" si="16"/>
        <v>43</v>
      </c>
      <c r="C336" s="493">
        <v>47931</v>
      </c>
      <c r="D336" s="483">
        <v>43</v>
      </c>
      <c r="E336" s="483">
        <f t="shared" si="17"/>
        <v>47931</v>
      </c>
      <c r="F336" s="261" t="b">
        <f t="shared" si="18"/>
        <v>1</v>
      </c>
    </row>
    <row r="337" spans="1:6" ht="15.75" thickBot="1" x14ac:dyDescent="0.3">
      <c r="A337" s="2">
        <v>44228</v>
      </c>
      <c r="B337" s="261">
        <f t="shared" si="16"/>
        <v>275</v>
      </c>
      <c r="C337" s="493">
        <v>48206</v>
      </c>
      <c r="D337" s="483">
        <v>275</v>
      </c>
      <c r="E337" s="483">
        <f t="shared" si="17"/>
        <v>48206</v>
      </c>
      <c r="F337" s="261" t="b">
        <f t="shared" si="18"/>
        <v>1</v>
      </c>
    </row>
    <row r="338" spans="1:6" ht="15.75" thickBot="1" x14ac:dyDescent="0.3">
      <c r="A338" s="2">
        <v>44229</v>
      </c>
      <c r="B338" s="261">
        <f t="shared" si="16"/>
        <v>176</v>
      </c>
      <c r="C338" s="493">
        <v>48382</v>
      </c>
      <c r="D338" s="483">
        <v>176</v>
      </c>
      <c r="E338" s="483">
        <f t="shared" si="17"/>
        <v>48382</v>
      </c>
      <c r="F338" s="261" t="b">
        <f t="shared" si="18"/>
        <v>1</v>
      </c>
    </row>
    <row r="339" spans="1:6" ht="15.75" thickBot="1" x14ac:dyDescent="0.3">
      <c r="A339" s="2">
        <v>44230</v>
      </c>
      <c r="B339" s="261">
        <f t="shared" si="16"/>
        <v>113</v>
      </c>
      <c r="C339" s="493">
        <v>48495</v>
      </c>
      <c r="D339" s="483">
        <v>113</v>
      </c>
      <c r="E339" s="483">
        <f t="shared" si="17"/>
        <v>48495</v>
      </c>
      <c r="F339" s="261" t="b">
        <f t="shared" si="18"/>
        <v>1</v>
      </c>
    </row>
    <row r="340" spans="1:6" ht="15.75" thickBot="1" x14ac:dyDescent="0.3">
      <c r="A340" s="2">
        <v>44231</v>
      </c>
      <c r="B340" s="261">
        <f t="shared" si="16"/>
        <v>162</v>
      </c>
      <c r="C340" s="493">
        <v>48657</v>
      </c>
      <c r="D340" s="483">
        <v>162</v>
      </c>
      <c r="E340" s="483">
        <f t="shared" si="17"/>
        <v>48657</v>
      </c>
      <c r="F340" s="261" t="b">
        <f t="shared" si="18"/>
        <v>1</v>
      </c>
    </row>
    <row r="341" spans="1:6" ht="15.75" thickBot="1" x14ac:dyDescent="0.3">
      <c r="A341" s="2">
        <v>44232</v>
      </c>
      <c r="B341" s="261">
        <f t="shared" si="16"/>
        <v>284</v>
      </c>
      <c r="C341" s="493">
        <v>48941</v>
      </c>
      <c r="D341" s="483">
        <v>284</v>
      </c>
      <c r="E341" s="483">
        <f t="shared" si="17"/>
        <v>48941</v>
      </c>
      <c r="F341" s="261" t="b">
        <f t="shared" si="18"/>
        <v>1</v>
      </c>
    </row>
    <row r="342" spans="1:6" ht="15.75" thickBot="1" x14ac:dyDescent="0.3">
      <c r="A342" s="2">
        <v>44233</v>
      </c>
      <c r="B342" s="261">
        <f t="shared" si="16"/>
        <v>125</v>
      </c>
      <c r="C342" s="493">
        <v>49066</v>
      </c>
      <c r="D342" s="483">
        <v>125</v>
      </c>
      <c r="E342" s="483">
        <f t="shared" si="17"/>
        <v>49066</v>
      </c>
      <c r="F342" s="261" t="b">
        <f t="shared" si="18"/>
        <v>1</v>
      </c>
    </row>
    <row r="343" spans="1:6" ht="15.75" thickBot="1" x14ac:dyDescent="0.3">
      <c r="A343" s="2">
        <v>44234</v>
      </c>
      <c r="B343" s="261">
        <f t="shared" si="16"/>
        <v>61</v>
      </c>
      <c r="C343" s="493">
        <v>49127</v>
      </c>
      <c r="D343" s="483">
        <v>61</v>
      </c>
      <c r="E343" s="483">
        <f t="shared" si="17"/>
        <v>49127</v>
      </c>
      <c r="F343" s="261" t="b">
        <f t="shared" si="18"/>
        <v>1</v>
      </c>
    </row>
    <row r="344" spans="1:6" ht="15.75" thickBot="1" x14ac:dyDescent="0.3">
      <c r="A344" s="2">
        <v>44235</v>
      </c>
      <c r="B344" s="261">
        <f t="shared" si="16"/>
        <v>226</v>
      </c>
      <c r="C344" s="493">
        <v>49353</v>
      </c>
      <c r="D344" s="483">
        <v>226</v>
      </c>
      <c r="E344" s="483">
        <f t="shared" si="17"/>
        <v>49353</v>
      </c>
      <c r="F344" s="261" t="b">
        <f t="shared" si="18"/>
        <v>1</v>
      </c>
    </row>
    <row r="345" spans="1:6" ht="15.75" thickBot="1" x14ac:dyDescent="0.3">
      <c r="A345" s="2">
        <v>44236</v>
      </c>
      <c r="B345" s="261">
        <f t="shared" si="16"/>
        <v>168</v>
      </c>
      <c r="C345" s="493">
        <v>49521</v>
      </c>
      <c r="D345" s="483">
        <v>168</v>
      </c>
      <c r="E345" s="483">
        <f t="shared" si="17"/>
        <v>49521</v>
      </c>
      <c r="F345" s="261" t="b">
        <f t="shared" si="18"/>
        <v>1</v>
      </c>
    </row>
    <row r="346" spans="1:6" ht="15.75" thickBot="1" x14ac:dyDescent="0.3">
      <c r="A346" s="2">
        <v>44237</v>
      </c>
      <c r="B346" s="261">
        <f t="shared" si="16"/>
        <v>109</v>
      </c>
      <c r="C346" s="493">
        <v>49630</v>
      </c>
      <c r="D346" s="483">
        <v>109</v>
      </c>
      <c r="E346" s="483">
        <f t="shared" si="17"/>
        <v>49630</v>
      </c>
      <c r="F346" s="261" t="b">
        <f t="shared" si="18"/>
        <v>1</v>
      </c>
    </row>
    <row r="347" spans="1:6" ht="15.75" thickBot="1" x14ac:dyDescent="0.3">
      <c r="A347" s="2">
        <v>44238</v>
      </c>
      <c r="B347" s="261">
        <f t="shared" si="16"/>
        <v>197</v>
      </c>
      <c r="C347" s="493">
        <v>49827</v>
      </c>
      <c r="D347" s="483">
        <v>197</v>
      </c>
      <c r="E347" s="483">
        <f t="shared" si="17"/>
        <v>49827</v>
      </c>
      <c r="F347" s="261" t="b">
        <f t="shared" si="18"/>
        <v>1</v>
      </c>
    </row>
    <row r="348" spans="1:6" ht="15.75" thickBot="1" x14ac:dyDescent="0.3">
      <c r="A348" s="2">
        <v>44239</v>
      </c>
      <c r="B348" s="261">
        <f t="shared" si="16"/>
        <v>158</v>
      </c>
      <c r="C348" s="493">
        <v>49985</v>
      </c>
      <c r="D348" s="483">
        <v>158</v>
      </c>
      <c r="E348" s="483">
        <f t="shared" si="17"/>
        <v>49985</v>
      </c>
      <c r="F348" s="261" t="b">
        <f t="shared" si="18"/>
        <v>1</v>
      </c>
    </row>
    <row r="349" spans="1:6" ht="15.75" thickBot="1" x14ac:dyDescent="0.3">
      <c r="A349" s="2">
        <v>44240</v>
      </c>
      <c r="B349" s="261">
        <f t="shared" si="16"/>
        <v>159</v>
      </c>
      <c r="C349" s="493">
        <v>50144</v>
      </c>
      <c r="D349" s="483">
        <v>159</v>
      </c>
      <c r="E349" s="483">
        <f t="shared" si="17"/>
        <v>50144</v>
      </c>
      <c r="F349" s="261" t="b">
        <f t="shared" si="18"/>
        <v>1</v>
      </c>
    </row>
    <row r="350" spans="1:6" ht="15.75" thickBot="1" x14ac:dyDescent="0.3">
      <c r="A350" s="2">
        <v>44241</v>
      </c>
      <c r="B350" s="261">
        <f t="shared" si="16"/>
        <v>47</v>
      </c>
      <c r="C350" s="493">
        <v>50191</v>
      </c>
      <c r="D350" s="483">
        <v>47</v>
      </c>
      <c r="E350" s="483">
        <f t="shared" si="17"/>
        <v>50191</v>
      </c>
      <c r="F350" s="261" t="b">
        <f t="shared" si="18"/>
        <v>1</v>
      </c>
    </row>
    <row r="351" spans="1:6" ht="15.75" thickBot="1" x14ac:dyDescent="0.3">
      <c r="A351" s="2">
        <v>44242</v>
      </c>
      <c r="B351" s="261">
        <f t="shared" si="16"/>
        <v>90</v>
      </c>
      <c r="C351" s="493">
        <v>50281</v>
      </c>
      <c r="D351" s="483">
        <v>90</v>
      </c>
      <c r="E351" s="483">
        <f t="shared" si="17"/>
        <v>50281</v>
      </c>
      <c r="F351" s="261" t="b">
        <f t="shared" si="18"/>
        <v>1</v>
      </c>
    </row>
    <row r="352" spans="1:6" ht="15.75" thickBot="1" x14ac:dyDescent="0.3">
      <c r="A352" s="2">
        <v>44243</v>
      </c>
      <c r="B352" s="261">
        <f t="shared" si="16"/>
        <v>106</v>
      </c>
      <c r="C352" s="493">
        <v>50387</v>
      </c>
      <c r="D352" s="483">
        <v>106</v>
      </c>
      <c r="E352" s="483">
        <f t="shared" si="17"/>
        <v>50387</v>
      </c>
      <c r="F352" s="261" t="b">
        <f t="shared" si="18"/>
        <v>1</v>
      </c>
    </row>
    <row r="353" spans="1:6" ht="15.75" thickBot="1" x14ac:dyDescent="0.3">
      <c r="A353" s="2">
        <v>44244</v>
      </c>
      <c r="B353" s="261">
        <f t="shared" si="16"/>
        <v>183</v>
      </c>
      <c r="C353" s="493">
        <v>50570</v>
      </c>
      <c r="D353" s="483">
        <v>183</v>
      </c>
      <c r="E353" s="483">
        <f t="shared" si="17"/>
        <v>50570</v>
      </c>
      <c r="F353" s="261" t="b">
        <f t="shared" si="18"/>
        <v>1</v>
      </c>
    </row>
    <row r="354" spans="1:6" ht="15.75" thickBot="1" x14ac:dyDescent="0.3">
      <c r="A354" s="2">
        <v>44245</v>
      </c>
      <c r="B354" s="261">
        <f t="shared" si="16"/>
        <v>242</v>
      </c>
      <c r="C354" s="493">
        <v>50812</v>
      </c>
      <c r="D354" s="483">
        <v>242</v>
      </c>
      <c r="E354" s="483">
        <f t="shared" si="17"/>
        <v>50812</v>
      </c>
      <c r="F354" s="261" t="b">
        <f t="shared" si="18"/>
        <v>1</v>
      </c>
    </row>
    <row r="355" spans="1:6" ht="15.75" thickBot="1" x14ac:dyDescent="0.3">
      <c r="A355" s="2">
        <v>44246</v>
      </c>
      <c r="B355" s="261">
        <f t="shared" si="16"/>
        <v>143</v>
      </c>
      <c r="C355" s="493">
        <v>50955</v>
      </c>
      <c r="D355" s="483">
        <v>143</v>
      </c>
      <c r="E355" s="483">
        <f t="shared" si="17"/>
        <v>50955</v>
      </c>
      <c r="F355" s="261" t="b">
        <f t="shared" si="18"/>
        <v>1</v>
      </c>
    </row>
    <row r="356" spans="1:6" ht="15.75" thickBot="1" x14ac:dyDescent="0.3">
      <c r="A356" s="2">
        <v>44247</v>
      </c>
      <c r="B356" s="261">
        <f t="shared" si="16"/>
        <v>122</v>
      </c>
      <c r="C356" s="493">
        <v>51077</v>
      </c>
      <c r="D356" s="483">
        <v>122</v>
      </c>
      <c r="E356" s="483">
        <f t="shared" si="17"/>
        <v>51077</v>
      </c>
      <c r="F356" s="261" t="b">
        <f t="shared" si="18"/>
        <v>1</v>
      </c>
    </row>
    <row r="357" spans="1:6" ht="15.75" thickBot="1" x14ac:dyDescent="0.3">
      <c r="A357" s="2">
        <v>44248</v>
      </c>
      <c r="B357" s="261">
        <f t="shared" si="16"/>
        <v>77</v>
      </c>
      <c r="C357" s="493">
        <v>51154</v>
      </c>
      <c r="D357" s="483">
        <v>77</v>
      </c>
      <c r="E357" s="483">
        <f t="shared" si="17"/>
        <v>51154</v>
      </c>
      <c r="F357" s="261" t="b">
        <f t="shared" si="18"/>
        <v>1</v>
      </c>
    </row>
    <row r="358" spans="1:6" ht="15.75" thickBot="1" x14ac:dyDescent="0.3">
      <c r="A358" s="2">
        <v>44249</v>
      </c>
      <c r="B358" s="261">
        <f t="shared" si="16"/>
        <v>162</v>
      </c>
      <c r="C358" s="493">
        <v>51316</v>
      </c>
      <c r="D358" s="483">
        <v>162</v>
      </c>
      <c r="E358" s="483">
        <f t="shared" si="17"/>
        <v>51316</v>
      </c>
      <c r="F358" s="261" t="b">
        <f t="shared" si="18"/>
        <v>1</v>
      </c>
    </row>
    <row r="359" spans="1:6" ht="15.75" thickBot="1" x14ac:dyDescent="0.3">
      <c r="A359" s="2">
        <v>44250</v>
      </c>
      <c r="B359" s="261">
        <f t="shared" si="16"/>
        <v>155</v>
      </c>
      <c r="C359" s="493">
        <v>51471</v>
      </c>
      <c r="D359" s="483">
        <v>155</v>
      </c>
      <c r="E359" s="483">
        <f t="shared" si="17"/>
        <v>51471</v>
      </c>
      <c r="F359" s="261" t="b">
        <f t="shared" si="18"/>
        <v>1</v>
      </c>
    </row>
    <row r="360" spans="1:6" ht="15.75" thickBot="1" x14ac:dyDescent="0.3">
      <c r="A360" s="2">
        <v>44251</v>
      </c>
      <c r="B360" s="261">
        <f t="shared" si="16"/>
        <v>141</v>
      </c>
      <c r="C360" s="493">
        <v>51612</v>
      </c>
      <c r="D360" s="483">
        <v>141</v>
      </c>
      <c r="E360" s="483">
        <f t="shared" si="17"/>
        <v>51612</v>
      </c>
      <c r="F360" s="261" t="b">
        <f t="shared" si="18"/>
        <v>1</v>
      </c>
    </row>
    <row r="361" spans="1:6" ht="15.75" thickBot="1" x14ac:dyDescent="0.3">
      <c r="A361" s="2">
        <v>44252</v>
      </c>
      <c r="B361" s="261">
        <f t="shared" si="16"/>
        <v>144</v>
      </c>
      <c r="C361" s="493">
        <v>51756</v>
      </c>
      <c r="D361" s="483">
        <v>144</v>
      </c>
      <c r="E361" s="483">
        <f t="shared" si="17"/>
        <v>51756</v>
      </c>
      <c r="F361" s="261" t="b">
        <f t="shared" si="18"/>
        <v>1</v>
      </c>
    </row>
    <row r="362" spans="1:6" ht="15.75" thickBot="1" x14ac:dyDescent="0.3">
      <c r="A362" s="2">
        <v>44253</v>
      </c>
      <c r="B362" s="261">
        <f t="shared" si="16"/>
        <v>92</v>
      </c>
      <c r="C362" s="493">
        <v>51848</v>
      </c>
      <c r="D362" s="483">
        <v>92</v>
      </c>
      <c r="E362" s="483">
        <f t="shared" si="17"/>
        <v>51848</v>
      </c>
      <c r="F362" s="261" t="b">
        <f t="shared" si="18"/>
        <v>1</v>
      </c>
    </row>
    <row r="363" spans="1:6" ht="15.75" thickBot="1" x14ac:dyDescent="0.3">
      <c r="A363" s="2">
        <v>44254</v>
      </c>
      <c r="B363" s="261">
        <f t="shared" si="16"/>
        <v>59</v>
      </c>
      <c r="C363" s="493">
        <v>51907</v>
      </c>
      <c r="D363" s="483">
        <v>59</v>
      </c>
      <c r="E363" s="483">
        <f t="shared" si="17"/>
        <v>51907</v>
      </c>
      <c r="F363" s="261" t="b">
        <f t="shared" si="18"/>
        <v>1</v>
      </c>
    </row>
    <row r="364" spans="1:6" ht="15.75" thickBot="1" x14ac:dyDescent="0.3">
      <c r="A364" s="2">
        <v>44255</v>
      </c>
      <c r="B364" s="261">
        <f t="shared" si="16"/>
        <v>19</v>
      </c>
      <c r="C364" s="493">
        <v>51926</v>
      </c>
      <c r="D364" s="483">
        <v>19</v>
      </c>
      <c r="E364" s="483">
        <f t="shared" si="17"/>
        <v>51926</v>
      </c>
      <c r="F364" s="261" t="b">
        <f t="shared" si="18"/>
        <v>1</v>
      </c>
    </row>
    <row r="365" spans="1:6" ht="15.75" thickBot="1" x14ac:dyDescent="0.3">
      <c r="A365" s="2">
        <v>44256</v>
      </c>
      <c r="B365" s="261">
        <f t="shared" si="16"/>
        <v>112</v>
      </c>
      <c r="C365" s="493">
        <v>52038</v>
      </c>
      <c r="D365" s="483">
        <v>112</v>
      </c>
      <c r="E365" s="483">
        <f t="shared" si="17"/>
        <v>52038</v>
      </c>
      <c r="F365" s="261" t="b">
        <f t="shared" si="18"/>
        <v>1</v>
      </c>
    </row>
    <row r="366" spans="1:6" ht="15.75" thickBot="1" x14ac:dyDescent="0.3">
      <c r="A366" s="2">
        <v>44257</v>
      </c>
      <c r="B366" s="261">
        <f t="shared" si="16"/>
        <v>116</v>
      </c>
      <c r="C366" s="493">
        <v>52154</v>
      </c>
      <c r="D366" s="483">
        <v>116</v>
      </c>
      <c r="E366" s="483">
        <f t="shared" si="17"/>
        <v>52154</v>
      </c>
      <c r="F366" s="261" t="b">
        <f t="shared" si="18"/>
        <v>1</v>
      </c>
    </row>
    <row r="367" spans="1:6" ht="15.75" thickBot="1" x14ac:dyDescent="0.3">
      <c r="A367" s="2">
        <v>44258</v>
      </c>
      <c r="B367" s="261">
        <f t="shared" si="16"/>
        <v>262</v>
      </c>
      <c r="C367" s="493">
        <v>52416</v>
      </c>
      <c r="D367" s="483">
        <v>262</v>
      </c>
      <c r="E367" s="483">
        <f t="shared" si="17"/>
        <v>52416</v>
      </c>
      <c r="F367" s="261" t="b">
        <f t="shared" si="18"/>
        <v>1</v>
      </c>
    </row>
    <row r="368" spans="1:6" ht="15.75" thickBot="1" x14ac:dyDescent="0.3">
      <c r="A368" s="2">
        <v>44259</v>
      </c>
      <c r="B368" s="261">
        <f t="shared" si="16"/>
        <v>191</v>
      </c>
      <c r="C368" s="493">
        <v>52607</v>
      </c>
      <c r="D368" s="483">
        <v>191</v>
      </c>
      <c r="E368" s="483">
        <f t="shared" si="17"/>
        <v>52607</v>
      </c>
      <c r="F368" s="261" t="b">
        <f t="shared" si="18"/>
        <v>1</v>
      </c>
    </row>
    <row r="369" spans="1:6" ht="15.75" thickBot="1" x14ac:dyDescent="0.3">
      <c r="A369" s="2">
        <v>44260</v>
      </c>
      <c r="B369" s="261">
        <f t="shared" si="16"/>
        <v>140</v>
      </c>
      <c r="C369" s="493">
        <v>52747</v>
      </c>
      <c r="D369" s="483">
        <v>140</v>
      </c>
      <c r="E369" s="483">
        <f t="shared" si="17"/>
        <v>52747</v>
      </c>
      <c r="F369" s="261" t="b">
        <f t="shared" si="18"/>
        <v>1</v>
      </c>
    </row>
    <row r="370" spans="1:6" ht="15.75" thickBot="1" x14ac:dyDescent="0.3">
      <c r="A370" s="2">
        <v>44261</v>
      </c>
      <c r="B370" s="261">
        <f t="shared" si="16"/>
        <v>86</v>
      </c>
      <c r="C370" s="493">
        <v>52833</v>
      </c>
      <c r="D370" s="483">
        <v>86</v>
      </c>
      <c r="E370" s="483">
        <f t="shared" si="17"/>
        <v>52833</v>
      </c>
      <c r="F370" s="261" t="b">
        <f t="shared" si="18"/>
        <v>1</v>
      </c>
    </row>
    <row r="371" spans="1:6" ht="15.75" thickBot="1" x14ac:dyDescent="0.3">
      <c r="A371" s="2">
        <v>44262</v>
      </c>
      <c r="B371" s="261">
        <f t="shared" si="16"/>
        <v>10</v>
      </c>
      <c r="C371" s="493">
        <v>52843</v>
      </c>
      <c r="D371" s="483">
        <v>10</v>
      </c>
      <c r="E371" s="483">
        <f t="shared" si="17"/>
        <v>52843</v>
      </c>
      <c r="F371" s="261" t="b">
        <f t="shared" si="18"/>
        <v>1</v>
      </c>
    </row>
    <row r="372" spans="1:6" ht="15.75" thickBot="1" x14ac:dyDescent="0.3">
      <c r="A372" s="2">
        <v>44263</v>
      </c>
      <c r="B372" s="261">
        <f t="shared" si="16"/>
        <v>240</v>
      </c>
      <c r="C372" s="493">
        <v>53083</v>
      </c>
      <c r="D372" s="483">
        <v>240</v>
      </c>
      <c r="E372" s="483">
        <f t="shared" si="17"/>
        <v>53083</v>
      </c>
      <c r="F372" s="261" t="b">
        <f t="shared" si="18"/>
        <v>1</v>
      </c>
    </row>
    <row r="373" spans="1:6" ht="15.75" thickBot="1" x14ac:dyDescent="0.3">
      <c r="A373" s="2">
        <v>44264</v>
      </c>
      <c r="B373" s="261">
        <f t="shared" si="16"/>
        <v>131</v>
      </c>
      <c r="C373" s="493">
        <v>53214</v>
      </c>
      <c r="D373" s="483">
        <v>131</v>
      </c>
      <c r="E373" s="483">
        <f t="shared" si="17"/>
        <v>53214</v>
      </c>
      <c r="F373" s="261" t="b">
        <f t="shared" si="18"/>
        <v>1</v>
      </c>
    </row>
    <row r="374" spans="1:6" ht="15.75" thickBot="1" x14ac:dyDescent="0.3">
      <c r="A374" s="2">
        <v>44265</v>
      </c>
      <c r="B374" s="261">
        <f t="shared" si="16"/>
        <v>107</v>
      </c>
      <c r="C374" s="493">
        <v>53321</v>
      </c>
      <c r="D374" s="483">
        <v>107</v>
      </c>
      <c r="E374" s="483">
        <f t="shared" si="17"/>
        <v>53321</v>
      </c>
      <c r="F374" s="261" t="b">
        <f t="shared" si="18"/>
        <v>1</v>
      </c>
    </row>
    <row r="375" spans="1:6" ht="15.75" thickBot="1" x14ac:dyDescent="0.3">
      <c r="A375" s="2">
        <v>44266</v>
      </c>
      <c r="B375" s="261">
        <f t="shared" si="16"/>
        <v>133</v>
      </c>
      <c r="C375" s="493">
        <v>53454</v>
      </c>
      <c r="D375" s="483">
        <v>133</v>
      </c>
      <c r="E375" s="483">
        <f t="shared" si="17"/>
        <v>53454</v>
      </c>
      <c r="F375" s="261" t="b">
        <f t="shared" si="18"/>
        <v>1</v>
      </c>
    </row>
    <row r="376" spans="1:6" ht="15.75" thickBot="1" x14ac:dyDescent="0.3">
      <c r="A376" s="2">
        <v>44267</v>
      </c>
      <c r="B376" s="261">
        <f t="shared" si="16"/>
        <v>86</v>
      </c>
      <c r="C376" s="493">
        <v>53540</v>
      </c>
      <c r="D376" s="483">
        <v>86</v>
      </c>
      <c r="E376" s="483">
        <f t="shared" si="17"/>
        <v>53540</v>
      </c>
      <c r="F376" s="261" t="b">
        <f t="shared" si="18"/>
        <v>1</v>
      </c>
    </row>
    <row r="377" spans="1:6" ht="15.75" thickBot="1" x14ac:dyDescent="0.3">
      <c r="A377" s="2">
        <v>44268</v>
      </c>
      <c r="B377" s="261">
        <f t="shared" si="16"/>
        <v>68</v>
      </c>
      <c r="C377" s="493">
        <v>53608</v>
      </c>
      <c r="D377" s="483">
        <v>68</v>
      </c>
      <c r="E377" s="483">
        <f t="shared" si="17"/>
        <v>53608</v>
      </c>
      <c r="F377" s="261" t="b">
        <f t="shared" si="18"/>
        <v>1</v>
      </c>
    </row>
    <row r="378" spans="1:6" ht="15.75" thickBot="1" x14ac:dyDescent="0.3">
      <c r="A378" s="2">
        <v>44269</v>
      </c>
      <c r="B378" s="261">
        <f t="shared" si="16"/>
        <v>24</v>
      </c>
      <c r="C378" s="493">
        <v>53632</v>
      </c>
      <c r="D378" s="483">
        <v>24</v>
      </c>
      <c r="E378" s="483">
        <f t="shared" si="17"/>
        <v>53632</v>
      </c>
      <c r="F378" s="261" t="b">
        <f t="shared" si="18"/>
        <v>1</v>
      </c>
    </row>
    <row r="379" spans="1:6" ht="15.75" thickBot="1" x14ac:dyDescent="0.3">
      <c r="A379" s="2">
        <v>44270</v>
      </c>
      <c r="B379" s="261">
        <f t="shared" si="16"/>
        <v>166</v>
      </c>
      <c r="C379" s="493">
        <v>53798</v>
      </c>
      <c r="D379" s="483">
        <v>166</v>
      </c>
      <c r="E379" s="483">
        <f t="shared" si="17"/>
        <v>53798</v>
      </c>
      <c r="F379" s="261" t="b">
        <f t="shared" si="18"/>
        <v>1</v>
      </c>
    </row>
    <row r="380" spans="1:6" ht="15.75" thickBot="1" x14ac:dyDescent="0.3">
      <c r="A380" s="2">
        <v>44271</v>
      </c>
      <c r="B380" s="261">
        <f t="shared" si="16"/>
        <v>202</v>
      </c>
      <c r="C380" s="493">
        <v>54000</v>
      </c>
      <c r="D380" s="483">
        <v>202</v>
      </c>
      <c r="E380" s="483">
        <f t="shared" si="17"/>
        <v>54000</v>
      </c>
      <c r="F380" s="261" t="b">
        <f t="shared" si="18"/>
        <v>1</v>
      </c>
    </row>
    <row r="381" spans="1:6" ht="15.75" thickBot="1" x14ac:dyDescent="0.3">
      <c r="A381" s="2">
        <v>44272</v>
      </c>
      <c r="B381" s="261">
        <f t="shared" si="16"/>
        <v>195</v>
      </c>
      <c r="C381" s="493">
        <v>54195</v>
      </c>
      <c r="D381" s="483">
        <v>195</v>
      </c>
      <c r="E381" s="483">
        <f t="shared" si="17"/>
        <v>54195</v>
      </c>
      <c r="F381" s="261" t="b">
        <f t="shared" si="18"/>
        <v>1</v>
      </c>
    </row>
    <row r="382" spans="1:6" ht="15.75" thickBot="1" x14ac:dyDescent="0.3">
      <c r="A382" s="2">
        <v>44273</v>
      </c>
      <c r="B382" s="261">
        <f t="shared" si="16"/>
        <v>155</v>
      </c>
      <c r="C382" s="493">
        <v>54350</v>
      </c>
      <c r="D382" s="483">
        <v>155</v>
      </c>
      <c r="E382" s="483">
        <f t="shared" si="17"/>
        <v>54350</v>
      </c>
      <c r="F382" s="261" t="b">
        <f t="shared" si="18"/>
        <v>1</v>
      </c>
    </row>
    <row r="383" spans="1:6" ht="15.75" thickBot="1" x14ac:dyDescent="0.3">
      <c r="A383" s="2">
        <v>44274</v>
      </c>
      <c r="B383" s="261">
        <f t="shared" si="16"/>
        <v>112</v>
      </c>
      <c r="C383" s="493">
        <v>54462</v>
      </c>
      <c r="D383" s="483">
        <v>112</v>
      </c>
      <c r="E383" s="483">
        <f t="shared" si="17"/>
        <v>54462</v>
      </c>
      <c r="F383" s="261" t="b">
        <f t="shared" si="18"/>
        <v>1</v>
      </c>
    </row>
    <row r="384" spans="1:6" ht="15.75" thickBot="1" x14ac:dyDescent="0.3">
      <c r="A384" s="2">
        <v>44275</v>
      </c>
      <c r="B384" s="261">
        <f t="shared" si="16"/>
        <v>42</v>
      </c>
      <c r="C384" s="493">
        <v>54504</v>
      </c>
      <c r="D384" s="483">
        <v>42</v>
      </c>
      <c r="E384" s="483">
        <f t="shared" si="17"/>
        <v>54504</v>
      </c>
      <c r="F384" s="261" t="b">
        <f t="shared" si="18"/>
        <v>1</v>
      </c>
    </row>
    <row r="385" spans="1:6" ht="15.75" thickBot="1" x14ac:dyDescent="0.3">
      <c r="A385" s="2">
        <v>44276</v>
      </c>
      <c r="B385" s="261">
        <f t="shared" si="16"/>
        <v>28</v>
      </c>
      <c r="C385" s="493">
        <v>54532</v>
      </c>
      <c r="D385" s="483">
        <v>28</v>
      </c>
      <c r="E385" s="483">
        <f t="shared" si="17"/>
        <v>54532</v>
      </c>
      <c r="F385" s="261" t="b">
        <f t="shared" si="18"/>
        <v>1</v>
      </c>
    </row>
    <row r="386" spans="1:6" ht="15.75" thickBot="1" x14ac:dyDescent="0.3">
      <c r="A386" s="2">
        <v>44277</v>
      </c>
      <c r="B386" s="261">
        <f t="shared" si="16"/>
        <v>125</v>
      </c>
      <c r="C386" s="493">
        <v>54657</v>
      </c>
      <c r="D386" s="483">
        <v>125</v>
      </c>
      <c r="E386" s="483">
        <f t="shared" si="17"/>
        <v>54657</v>
      </c>
      <c r="F386" s="261" t="b">
        <f t="shared" si="18"/>
        <v>1</v>
      </c>
    </row>
    <row r="387" spans="1:6" ht="15.75" thickBot="1" x14ac:dyDescent="0.3">
      <c r="A387" s="2">
        <v>44278</v>
      </c>
      <c r="B387" s="261">
        <f t="shared" si="16"/>
        <v>153</v>
      </c>
      <c r="C387" s="493">
        <v>54810</v>
      </c>
      <c r="D387" s="483">
        <v>153</v>
      </c>
      <c r="E387" s="483">
        <f t="shared" si="17"/>
        <v>54810</v>
      </c>
      <c r="F387" s="261" t="b">
        <f t="shared" si="18"/>
        <v>1</v>
      </c>
    </row>
    <row r="388" spans="1:6" ht="15.75" thickBot="1" x14ac:dyDescent="0.3">
      <c r="A388" s="2">
        <v>44279</v>
      </c>
      <c r="B388" s="261">
        <f t="shared" ref="B388:B451" si="19">C388-C387</f>
        <v>123</v>
      </c>
      <c r="C388" s="493">
        <v>54933</v>
      </c>
      <c r="D388" s="483">
        <v>123</v>
      </c>
      <c r="E388" s="483">
        <f t="shared" ref="E388:E451" si="20">E387+D388</f>
        <v>54933</v>
      </c>
      <c r="F388" s="261" t="b">
        <f t="shared" si="18"/>
        <v>1</v>
      </c>
    </row>
    <row r="389" spans="1:6" ht="15.75" thickBot="1" x14ac:dyDescent="0.3">
      <c r="A389" s="2">
        <v>44280</v>
      </c>
      <c r="B389" s="261">
        <f t="shared" si="19"/>
        <v>145</v>
      </c>
      <c r="C389" s="493">
        <v>55078</v>
      </c>
      <c r="D389" s="483">
        <v>145</v>
      </c>
      <c r="E389" s="483">
        <f t="shared" si="20"/>
        <v>55078</v>
      </c>
      <c r="F389" s="261" t="b">
        <f t="shared" si="18"/>
        <v>1</v>
      </c>
    </row>
    <row r="390" spans="1:6" ht="15.75" thickBot="1" x14ac:dyDescent="0.3">
      <c r="A390" s="2">
        <v>44281</v>
      </c>
      <c r="B390" s="261">
        <f t="shared" si="19"/>
        <v>143</v>
      </c>
      <c r="C390" s="493">
        <v>55221</v>
      </c>
      <c r="D390" s="483">
        <v>143</v>
      </c>
      <c r="E390" s="483">
        <f t="shared" si="20"/>
        <v>55221</v>
      </c>
      <c r="F390" s="261" t="b">
        <f t="shared" si="18"/>
        <v>1</v>
      </c>
    </row>
    <row r="391" spans="1:6" ht="15.75" thickBot="1" x14ac:dyDescent="0.3">
      <c r="A391" s="2">
        <v>44282</v>
      </c>
      <c r="B391" s="261">
        <f t="shared" si="19"/>
        <v>133</v>
      </c>
      <c r="C391" s="493">
        <v>55354</v>
      </c>
      <c r="D391" s="483">
        <v>133</v>
      </c>
      <c r="E391" s="483">
        <f t="shared" si="20"/>
        <v>55354</v>
      </c>
      <c r="F391" s="261" t="b">
        <f t="shared" si="18"/>
        <v>1</v>
      </c>
    </row>
    <row r="392" spans="1:6" ht="15.75" thickBot="1" x14ac:dyDescent="0.3">
      <c r="A392" s="2">
        <v>44283</v>
      </c>
      <c r="B392" s="261">
        <f t="shared" si="19"/>
        <v>81</v>
      </c>
      <c r="C392" s="493">
        <v>55435</v>
      </c>
      <c r="D392" s="483">
        <v>81</v>
      </c>
      <c r="E392" s="483">
        <f t="shared" si="20"/>
        <v>55435</v>
      </c>
      <c r="F392" s="261" t="b">
        <f t="shared" si="18"/>
        <v>1</v>
      </c>
    </row>
    <row r="393" spans="1:6" ht="15.75" thickBot="1" x14ac:dyDescent="0.3">
      <c r="A393" s="2">
        <v>44284</v>
      </c>
      <c r="B393" s="261">
        <f t="shared" si="19"/>
        <v>163</v>
      </c>
      <c r="C393" s="493">
        <v>55598</v>
      </c>
      <c r="D393" s="483">
        <v>163</v>
      </c>
      <c r="E393" s="483">
        <f t="shared" si="20"/>
        <v>55598</v>
      </c>
      <c r="F393" s="261" t="b">
        <f t="shared" si="18"/>
        <v>1</v>
      </c>
    </row>
    <row r="394" spans="1:6" ht="15.75" thickBot="1" x14ac:dyDescent="0.3">
      <c r="A394" s="2">
        <v>44285</v>
      </c>
      <c r="B394" s="261">
        <f t="shared" si="19"/>
        <v>125</v>
      </c>
      <c r="C394" s="493">
        <v>55723</v>
      </c>
      <c r="D394" s="483">
        <v>125</v>
      </c>
      <c r="E394" s="483">
        <f t="shared" si="20"/>
        <v>55723</v>
      </c>
      <c r="F394" s="261" t="b">
        <f t="shared" si="18"/>
        <v>1</v>
      </c>
    </row>
    <row r="395" spans="1:6" ht="15.75" thickBot="1" x14ac:dyDescent="0.3">
      <c r="A395" s="2">
        <v>44286</v>
      </c>
      <c r="B395" s="261">
        <f t="shared" si="19"/>
        <v>124</v>
      </c>
      <c r="C395" s="493">
        <v>55847</v>
      </c>
      <c r="D395" s="483">
        <v>124</v>
      </c>
      <c r="E395" s="483">
        <f t="shared" si="20"/>
        <v>55847</v>
      </c>
      <c r="F395" s="261" t="b">
        <f t="shared" si="18"/>
        <v>1</v>
      </c>
    </row>
    <row r="396" spans="1:6" ht="15.75" thickBot="1" x14ac:dyDescent="0.3">
      <c r="A396" s="2">
        <v>44287</v>
      </c>
      <c r="B396" s="261">
        <f t="shared" si="19"/>
        <v>83</v>
      </c>
      <c r="C396" s="493">
        <v>55930</v>
      </c>
      <c r="D396" s="483">
        <v>83</v>
      </c>
      <c r="E396" s="483">
        <f t="shared" si="20"/>
        <v>55930</v>
      </c>
      <c r="F396" s="261" t="b">
        <f t="shared" si="18"/>
        <v>1</v>
      </c>
    </row>
    <row r="397" spans="1:6" ht="15.75" thickBot="1" x14ac:dyDescent="0.3">
      <c r="A397" s="2">
        <v>44288</v>
      </c>
      <c r="B397" s="261">
        <f t="shared" si="19"/>
        <v>82</v>
      </c>
      <c r="C397" s="493">
        <v>56012</v>
      </c>
      <c r="D397" s="483">
        <v>82</v>
      </c>
      <c r="E397" s="483">
        <f t="shared" si="20"/>
        <v>56012</v>
      </c>
      <c r="F397" s="261" t="b">
        <f t="shared" ref="F397:F460" si="21">EXACT(C397,E397)</f>
        <v>1</v>
      </c>
    </row>
    <row r="398" spans="1:6" ht="15.75" thickBot="1" x14ac:dyDescent="0.3">
      <c r="A398" s="2">
        <v>44289</v>
      </c>
      <c r="B398" s="261">
        <f t="shared" si="19"/>
        <v>83</v>
      </c>
      <c r="C398" s="493">
        <v>56095</v>
      </c>
      <c r="D398" s="483">
        <v>83</v>
      </c>
      <c r="E398" s="483">
        <f t="shared" si="20"/>
        <v>56095</v>
      </c>
      <c r="F398" s="261" t="b">
        <f t="shared" si="21"/>
        <v>1</v>
      </c>
    </row>
    <row r="399" spans="1:6" ht="15.75" thickBot="1" x14ac:dyDescent="0.3">
      <c r="A399" s="2">
        <v>44290</v>
      </c>
      <c r="B399" s="261">
        <f t="shared" si="19"/>
        <v>93</v>
      </c>
      <c r="C399" s="493">
        <v>56188</v>
      </c>
      <c r="D399" s="483">
        <v>93</v>
      </c>
      <c r="E399" s="483">
        <f t="shared" si="20"/>
        <v>56188</v>
      </c>
      <c r="F399" s="261" t="b">
        <f t="shared" si="21"/>
        <v>1</v>
      </c>
    </row>
    <row r="400" spans="1:6" ht="15.75" thickBot="1" x14ac:dyDescent="0.3">
      <c r="A400" s="2">
        <v>44291</v>
      </c>
      <c r="B400" s="261">
        <f t="shared" si="19"/>
        <v>272</v>
      </c>
      <c r="C400" s="493">
        <v>56460</v>
      </c>
      <c r="D400" s="483">
        <v>272</v>
      </c>
      <c r="E400" s="483">
        <f t="shared" si="20"/>
        <v>56460</v>
      </c>
      <c r="F400" s="261" t="b">
        <f t="shared" si="21"/>
        <v>1</v>
      </c>
    </row>
    <row r="401" spans="1:6" ht="15.75" thickBot="1" x14ac:dyDescent="0.3">
      <c r="A401" s="2">
        <v>44292</v>
      </c>
      <c r="B401" s="261">
        <f t="shared" si="19"/>
        <v>163</v>
      </c>
      <c r="C401" s="493">
        <v>56623</v>
      </c>
      <c r="D401" s="483">
        <v>163</v>
      </c>
      <c r="E401" s="483">
        <f t="shared" si="20"/>
        <v>56623</v>
      </c>
      <c r="F401" s="261" t="b">
        <f t="shared" si="21"/>
        <v>1</v>
      </c>
    </row>
    <row r="402" spans="1:6" ht="15.75" thickBot="1" x14ac:dyDescent="0.3">
      <c r="A402" s="2">
        <v>44293</v>
      </c>
      <c r="B402" s="261">
        <f t="shared" si="19"/>
        <v>198</v>
      </c>
      <c r="C402" s="493">
        <v>56821</v>
      </c>
      <c r="D402" s="483">
        <v>198</v>
      </c>
      <c r="E402" s="483">
        <f t="shared" si="20"/>
        <v>56821</v>
      </c>
      <c r="F402" s="261" t="b">
        <f t="shared" si="21"/>
        <v>1</v>
      </c>
    </row>
    <row r="403" spans="1:6" ht="15.75" thickBot="1" x14ac:dyDescent="0.3">
      <c r="A403" s="2">
        <v>44294</v>
      </c>
      <c r="B403" s="261">
        <f t="shared" si="19"/>
        <v>290</v>
      </c>
      <c r="C403" s="493">
        <v>57111</v>
      </c>
      <c r="D403" s="483">
        <v>290</v>
      </c>
      <c r="E403" s="483">
        <f t="shared" si="20"/>
        <v>57111</v>
      </c>
      <c r="F403" s="261" t="b">
        <f t="shared" si="21"/>
        <v>1</v>
      </c>
    </row>
    <row r="404" spans="1:6" ht="15.75" thickBot="1" x14ac:dyDescent="0.3">
      <c r="A404" s="2">
        <v>44295</v>
      </c>
      <c r="B404" s="261">
        <f t="shared" si="19"/>
        <v>228</v>
      </c>
      <c r="C404" s="493">
        <v>57339</v>
      </c>
      <c r="D404" s="483">
        <v>228</v>
      </c>
      <c r="E404" s="483">
        <f t="shared" si="20"/>
        <v>57339</v>
      </c>
      <c r="F404" s="261" t="b">
        <f t="shared" si="21"/>
        <v>1</v>
      </c>
    </row>
    <row r="405" spans="1:6" ht="15.75" thickBot="1" x14ac:dyDescent="0.3">
      <c r="A405" s="2">
        <v>44296</v>
      </c>
      <c r="B405" s="261">
        <f t="shared" si="19"/>
        <v>297</v>
      </c>
      <c r="C405" s="493">
        <v>57636</v>
      </c>
      <c r="D405" s="483">
        <v>297</v>
      </c>
      <c r="E405" s="483">
        <f t="shared" si="20"/>
        <v>57636</v>
      </c>
      <c r="F405" s="261" t="b">
        <f t="shared" si="21"/>
        <v>1</v>
      </c>
    </row>
    <row r="406" spans="1:6" ht="15.75" thickBot="1" x14ac:dyDescent="0.3">
      <c r="A406" s="2">
        <v>44297</v>
      </c>
      <c r="B406" s="261">
        <f t="shared" si="19"/>
        <v>131</v>
      </c>
      <c r="C406" s="493">
        <v>57767</v>
      </c>
      <c r="D406" s="483">
        <v>131</v>
      </c>
      <c r="E406" s="483">
        <f t="shared" si="20"/>
        <v>57767</v>
      </c>
      <c r="F406" s="261" t="b">
        <f t="shared" si="21"/>
        <v>1</v>
      </c>
    </row>
    <row r="407" spans="1:6" ht="15.75" thickBot="1" x14ac:dyDescent="0.3">
      <c r="A407" s="2">
        <v>44298</v>
      </c>
      <c r="B407" s="261">
        <f t="shared" si="19"/>
        <v>178</v>
      </c>
      <c r="C407" s="493">
        <v>57945</v>
      </c>
      <c r="D407" s="483">
        <v>178</v>
      </c>
      <c r="E407" s="483">
        <f t="shared" si="20"/>
        <v>57945</v>
      </c>
      <c r="F407" s="261" t="b">
        <f t="shared" si="21"/>
        <v>1</v>
      </c>
    </row>
    <row r="408" spans="1:6" ht="15.75" thickBot="1" x14ac:dyDescent="0.3">
      <c r="A408" s="2">
        <v>44299</v>
      </c>
      <c r="B408" s="261">
        <f t="shared" si="19"/>
        <v>217</v>
      </c>
      <c r="C408" s="493">
        <v>58162</v>
      </c>
      <c r="D408" s="483">
        <v>217</v>
      </c>
      <c r="E408" s="483">
        <f t="shared" si="20"/>
        <v>58162</v>
      </c>
      <c r="F408" s="261" t="b">
        <f t="shared" si="21"/>
        <v>1</v>
      </c>
    </row>
    <row r="409" spans="1:6" ht="15.75" thickBot="1" x14ac:dyDescent="0.3">
      <c r="A409" s="2">
        <v>44300</v>
      </c>
      <c r="B409" s="261">
        <f t="shared" si="19"/>
        <v>368</v>
      </c>
      <c r="C409" s="493">
        <v>58530</v>
      </c>
      <c r="D409" s="483">
        <v>368</v>
      </c>
      <c r="E409" s="483">
        <f t="shared" si="20"/>
        <v>58530</v>
      </c>
      <c r="F409" s="261" t="b">
        <f t="shared" si="21"/>
        <v>1</v>
      </c>
    </row>
    <row r="410" spans="1:6" ht="15.75" thickBot="1" x14ac:dyDescent="0.3">
      <c r="A410" s="2">
        <v>44301</v>
      </c>
      <c r="B410" s="261">
        <f t="shared" si="19"/>
        <v>383</v>
      </c>
      <c r="C410" s="493">
        <v>58913</v>
      </c>
      <c r="D410" s="483">
        <v>383</v>
      </c>
      <c r="E410" s="483">
        <f t="shared" si="20"/>
        <v>58913</v>
      </c>
      <c r="F410" s="261" t="b">
        <f t="shared" si="21"/>
        <v>1</v>
      </c>
    </row>
    <row r="411" spans="1:6" ht="15.75" thickBot="1" x14ac:dyDescent="0.3">
      <c r="A411" s="2">
        <v>44302</v>
      </c>
      <c r="B411" s="261">
        <f t="shared" si="19"/>
        <v>160</v>
      </c>
      <c r="C411" s="493">
        <v>59073</v>
      </c>
      <c r="D411" s="483">
        <v>160</v>
      </c>
      <c r="E411" s="483">
        <f t="shared" si="20"/>
        <v>59073</v>
      </c>
      <c r="F411" s="261" t="b">
        <f t="shared" si="21"/>
        <v>1</v>
      </c>
    </row>
    <row r="412" spans="1:6" ht="15.75" thickBot="1" x14ac:dyDescent="0.3">
      <c r="A412" s="2">
        <v>44303</v>
      </c>
      <c r="B412" s="261">
        <f t="shared" si="19"/>
        <v>79</v>
      </c>
      <c r="C412" s="493">
        <v>59152</v>
      </c>
      <c r="D412" s="483">
        <v>79</v>
      </c>
      <c r="E412" s="483">
        <f t="shared" si="20"/>
        <v>59152</v>
      </c>
      <c r="F412" s="261" t="b">
        <f t="shared" si="21"/>
        <v>1</v>
      </c>
    </row>
    <row r="413" spans="1:6" ht="15.75" thickBot="1" x14ac:dyDescent="0.3">
      <c r="A413" s="2">
        <v>44304</v>
      </c>
      <c r="B413" s="261">
        <f t="shared" si="19"/>
        <v>65</v>
      </c>
      <c r="C413" s="493">
        <v>59217</v>
      </c>
      <c r="D413" s="483">
        <v>65</v>
      </c>
      <c r="E413" s="483">
        <f t="shared" si="20"/>
        <v>59217</v>
      </c>
      <c r="F413" s="261" t="b">
        <f t="shared" si="21"/>
        <v>1</v>
      </c>
    </row>
    <row r="414" spans="1:6" ht="15.75" thickBot="1" x14ac:dyDescent="0.3">
      <c r="A414" s="2">
        <v>44305</v>
      </c>
      <c r="B414" s="261">
        <f t="shared" si="19"/>
        <v>248</v>
      </c>
      <c r="C414" s="493">
        <v>59465</v>
      </c>
      <c r="D414" s="483">
        <v>248</v>
      </c>
      <c r="E414" s="483">
        <f t="shared" si="20"/>
        <v>59465</v>
      </c>
      <c r="F414" s="261" t="b">
        <f t="shared" si="21"/>
        <v>1</v>
      </c>
    </row>
    <row r="415" spans="1:6" ht="15.75" thickBot="1" x14ac:dyDescent="0.3">
      <c r="A415" s="2">
        <v>44306</v>
      </c>
      <c r="B415" s="261">
        <f t="shared" si="19"/>
        <v>316</v>
      </c>
      <c r="C415" s="493">
        <v>59781</v>
      </c>
      <c r="D415" s="483">
        <v>316</v>
      </c>
      <c r="E415" s="483">
        <f t="shared" si="20"/>
        <v>59781</v>
      </c>
      <c r="F415" s="261" t="b">
        <f t="shared" si="21"/>
        <v>1</v>
      </c>
    </row>
    <row r="416" spans="1:6" ht="15.75" thickBot="1" x14ac:dyDescent="0.3">
      <c r="A416" s="2">
        <v>44307</v>
      </c>
      <c r="B416" s="261">
        <f t="shared" si="19"/>
        <v>290</v>
      </c>
      <c r="C416" s="493">
        <v>60071</v>
      </c>
      <c r="D416" s="483">
        <v>290</v>
      </c>
      <c r="E416" s="483">
        <f t="shared" si="20"/>
        <v>60071</v>
      </c>
      <c r="F416" s="261" t="b">
        <f t="shared" si="21"/>
        <v>1</v>
      </c>
    </row>
    <row r="417" spans="1:6" ht="15.75" thickBot="1" x14ac:dyDescent="0.3">
      <c r="A417" s="2">
        <v>44308</v>
      </c>
      <c r="B417" s="261">
        <f t="shared" si="19"/>
        <v>537</v>
      </c>
      <c r="C417" s="493">
        <v>60608</v>
      </c>
      <c r="D417" s="483">
        <v>537</v>
      </c>
      <c r="E417" s="483">
        <f t="shared" si="20"/>
        <v>60608</v>
      </c>
      <c r="F417" s="261" t="b">
        <f t="shared" si="21"/>
        <v>1</v>
      </c>
    </row>
    <row r="418" spans="1:6" ht="15.75" thickBot="1" x14ac:dyDescent="0.3">
      <c r="A418" s="2">
        <v>44309</v>
      </c>
      <c r="B418" s="261">
        <f t="shared" si="19"/>
        <v>556</v>
      </c>
      <c r="C418" s="493">
        <v>61164</v>
      </c>
      <c r="D418" s="483">
        <v>556</v>
      </c>
      <c r="E418" s="483">
        <f t="shared" si="20"/>
        <v>61164</v>
      </c>
      <c r="F418" s="261" t="b">
        <f t="shared" si="21"/>
        <v>1</v>
      </c>
    </row>
    <row r="419" spans="1:6" ht="15.75" thickBot="1" x14ac:dyDescent="0.3">
      <c r="A419" s="2">
        <v>44310</v>
      </c>
      <c r="B419" s="261">
        <f t="shared" si="19"/>
        <v>298</v>
      </c>
      <c r="C419" s="493">
        <v>61462</v>
      </c>
      <c r="D419" s="483">
        <v>298</v>
      </c>
      <c r="E419" s="483">
        <f t="shared" si="20"/>
        <v>61462</v>
      </c>
      <c r="F419" s="261" t="b">
        <f t="shared" si="21"/>
        <v>1</v>
      </c>
    </row>
    <row r="420" spans="1:6" ht="15.75" thickBot="1" x14ac:dyDescent="0.3">
      <c r="A420" s="2">
        <v>44311</v>
      </c>
      <c r="B420" s="261">
        <f t="shared" si="19"/>
        <v>169</v>
      </c>
      <c r="C420" s="493">
        <v>61631</v>
      </c>
      <c r="D420" s="483">
        <v>169</v>
      </c>
      <c r="E420" s="483">
        <f t="shared" si="20"/>
        <v>61631</v>
      </c>
      <c r="F420" s="261" t="b">
        <f t="shared" si="21"/>
        <v>1</v>
      </c>
    </row>
    <row r="421" spans="1:6" ht="15.75" thickBot="1" x14ac:dyDescent="0.3">
      <c r="A421" s="2">
        <v>44312</v>
      </c>
      <c r="B421" s="261">
        <f t="shared" si="19"/>
        <v>442</v>
      </c>
      <c r="C421" s="493">
        <v>62073</v>
      </c>
      <c r="D421" s="483">
        <v>442</v>
      </c>
      <c r="E421" s="483">
        <f t="shared" si="20"/>
        <v>62073</v>
      </c>
      <c r="F421" s="261" t="b">
        <f t="shared" si="21"/>
        <v>1</v>
      </c>
    </row>
    <row r="422" spans="1:6" ht="15.75" thickBot="1" x14ac:dyDescent="0.3">
      <c r="A422" s="2">
        <v>44313</v>
      </c>
      <c r="B422" s="261">
        <f t="shared" si="19"/>
        <v>515</v>
      </c>
      <c r="C422" s="493">
        <v>62588</v>
      </c>
      <c r="D422" s="483">
        <v>515</v>
      </c>
      <c r="E422" s="483">
        <f t="shared" si="20"/>
        <v>62588</v>
      </c>
      <c r="F422" s="261" t="b">
        <f t="shared" si="21"/>
        <v>1</v>
      </c>
    </row>
    <row r="423" spans="1:6" ht="15.75" thickBot="1" x14ac:dyDescent="0.3">
      <c r="A423" s="2">
        <v>44314</v>
      </c>
      <c r="B423" s="261">
        <f t="shared" si="19"/>
        <v>347</v>
      </c>
      <c r="C423" s="493">
        <v>62935</v>
      </c>
      <c r="D423" s="483">
        <v>347</v>
      </c>
      <c r="E423" s="483">
        <f t="shared" si="20"/>
        <v>62935</v>
      </c>
      <c r="F423" s="261" t="b">
        <f t="shared" si="21"/>
        <v>1</v>
      </c>
    </row>
    <row r="424" spans="1:6" ht="15.75" thickBot="1" x14ac:dyDescent="0.3">
      <c r="A424" s="2">
        <v>44315</v>
      </c>
      <c r="B424" s="261">
        <f t="shared" si="19"/>
        <v>561</v>
      </c>
      <c r="C424" s="493">
        <v>63496</v>
      </c>
      <c r="D424" s="483">
        <v>561</v>
      </c>
      <c r="E424" s="483">
        <f t="shared" si="20"/>
        <v>63496</v>
      </c>
      <c r="F424" s="261" t="b">
        <f t="shared" si="21"/>
        <v>1</v>
      </c>
    </row>
    <row r="425" spans="1:6" ht="15.75" thickBot="1" x14ac:dyDescent="0.3">
      <c r="A425" s="2">
        <v>44316</v>
      </c>
      <c r="B425" s="261">
        <f t="shared" si="19"/>
        <v>357</v>
      </c>
      <c r="C425" s="493">
        <v>63853</v>
      </c>
      <c r="D425" s="483">
        <v>357</v>
      </c>
      <c r="E425" s="483">
        <f t="shared" si="20"/>
        <v>63853</v>
      </c>
      <c r="F425" s="261" t="b">
        <f t="shared" si="21"/>
        <v>1</v>
      </c>
    </row>
    <row r="426" spans="1:6" ht="15.75" thickBot="1" x14ac:dyDescent="0.3">
      <c r="A426" s="2">
        <v>44317</v>
      </c>
      <c r="B426" s="261">
        <f t="shared" si="19"/>
        <v>231</v>
      </c>
      <c r="C426" s="493">
        <v>64084</v>
      </c>
      <c r="D426" s="483">
        <v>231</v>
      </c>
      <c r="E426" s="483">
        <f t="shared" si="20"/>
        <v>64084</v>
      </c>
      <c r="F426" s="261" t="b">
        <f t="shared" si="21"/>
        <v>1</v>
      </c>
    </row>
    <row r="427" spans="1:6" ht="15.75" thickBot="1" x14ac:dyDescent="0.3">
      <c r="A427" s="2">
        <v>44318</v>
      </c>
      <c r="B427" s="261">
        <f t="shared" si="19"/>
        <v>156</v>
      </c>
      <c r="C427" s="493">
        <v>64240</v>
      </c>
      <c r="D427" s="483">
        <v>156</v>
      </c>
      <c r="E427" s="483">
        <f t="shared" si="20"/>
        <v>64240</v>
      </c>
      <c r="F427" s="261" t="b">
        <f t="shared" si="21"/>
        <v>1</v>
      </c>
    </row>
    <row r="428" spans="1:6" ht="15.75" thickBot="1" x14ac:dyDescent="0.3">
      <c r="A428" s="2">
        <v>44319</v>
      </c>
      <c r="B428" s="261">
        <f t="shared" si="19"/>
        <v>540</v>
      </c>
      <c r="C428" s="493">
        <v>64780</v>
      </c>
      <c r="D428" s="483">
        <v>540</v>
      </c>
      <c r="E428" s="483">
        <f t="shared" si="20"/>
        <v>64780</v>
      </c>
      <c r="F428" s="261" t="b">
        <f t="shared" si="21"/>
        <v>1</v>
      </c>
    </row>
    <row r="429" spans="1:6" ht="15.75" thickBot="1" x14ac:dyDescent="0.3">
      <c r="A429" s="2">
        <v>44320</v>
      </c>
      <c r="B429" s="261">
        <f t="shared" si="19"/>
        <v>410</v>
      </c>
      <c r="C429" s="493">
        <v>65190</v>
      </c>
      <c r="D429" s="483">
        <v>410</v>
      </c>
      <c r="E429" s="483">
        <f t="shared" si="20"/>
        <v>65190</v>
      </c>
      <c r="F429" s="261" t="b">
        <f t="shared" si="21"/>
        <v>1</v>
      </c>
    </row>
    <row r="430" spans="1:6" ht="15.75" thickBot="1" x14ac:dyDescent="0.3">
      <c r="A430" s="2">
        <v>44321</v>
      </c>
      <c r="B430" s="261">
        <f t="shared" si="19"/>
        <v>661</v>
      </c>
      <c r="C430" s="493">
        <v>65851</v>
      </c>
      <c r="D430" s="483">
        <v>661</v>
      </c>
      <c r="E430" s="483">
        <f t="shared" si="20"/>
        <v>65851</v>
      </c>
      <c r="F430" s="261" t="b">
        <f t="shared" si="21"/>
        <v>1</v>
      </c>
    </row>
    <row r="431" spans="1:6" ht="15.75" thickBot="1" x14ac:dyDescent="0.3">
      <c r="A431" s="2">
        <v>44322</v>
      </c>
      <c r="B431" s="261">
        <f t="shared" si="19"/>
        <v>399</v>
      </c>
      <c r="C431" s="493">
        <v>66250</v>
      </c>
      <c r="D431" s="483">
        <v>399</v>
      </c>
      <c r="E431" s="483">
        <f t="shared" si="20"/>
        <v>66250</v>
      </c>
      <c r="F431" s="261" t="b">
        <f t="shared" si="21"/>
        <v>1</v>
      </c>
    </row>
    <row r="432" spans="1:6" ht="15.75" thickBot="1" x14ac:dyDescent="0.3">
      <c r="A432" s="2">
        <v>44323</v>
      </c>
      <c r="B432" s="261">
        <f t="shared" si="19"/>
        <v>611</v>
      </c>
      <c r="C432" s="493">
        <v>66861</v>
      </c>
      <c r="D432" s="483">
        <v>611</v>
      </c>
      <c r="E432" s="483">
        <f t="shared" si="20"/>
        <v>66861</v>
      </c>
      <c r="F432" s="261" t="b">
        <f t="shared" si="21"/>
        <v>1</v>
      </c>
    </row>
    <row r="433" spans="1:6" ht="15.75" thickBot="1" x14ac:dyDescent="0.3">
      <c r="A433" s="2">
        <v>44324</v>
      </c>
      <c r="B433" s="261">
        <f t="shared" si="19"/>
        <v>169</v>
      </c>
      <c r="C433" s="493">
        <v>67030</v>
      </c>
      <c r="D433" s="483">
        <v>169</v>
      </c>
      <c r="E433" s="483">
        <f t="shared" si="20"/>
        <v>67030</v>
      </c>
      <c r="F433" s="261" t="b">
        <f t="shared" si="21"/>
        <v>1</v>
      </c>
    </row>
    <row r="434" spans="1:6" ht="15.75" thickBot="1" x14ac:dyDescent="0.3">
      <c r="A434" s="2">
        <v>44325</v>
      </c>
      <c r="B434" s="261">
        <f t="shared" si="19"/>
        <v>283</v>
      </c>
      <c r="C434" s="493">
        <v>67313</v>
      </c>
      <c r="D434" s="483">
        <v>283</v>
      </c>
      <c r="E434" s="483">
        <f t="shared" si="20"/>
        <v>67313</v>
      </c>
      <c r="F434" s="261" t="b">
        <f t="shared" si="21"/>
        <v>1</v>
      </c>
    </row>
    <row r="435" spans="1:6" ht="15.75" thickBot="1" x14ac:dyDescent="0.3">
      <c r="A435" s="2">
        <v>44326</v>
      </c>
      <c r="B435" s="261">
        <f t="shared" si="19"/>
        <v>496</v>
      </c>
      <c r="C435" s="493">
        <v>67809</v>
      </c>
      <c r="D435" s="483">
        <v>496</v>
      </c>
      <c r="E435" s="483">
        <f t="shared" si="20"/>
        <v>67809</v>
      </c>
      <c r="F435" s="261" t="b">
        <f t="shared" si="21"/>
        <v>1</v>
      </c>
    </row>
    <row r="436" spans="1:6" ht="15.75" thickBot="1" x14ac:dyDescent="0.3">
      <c r="A436" s="2">
        <v>44327</v>
      </c>
      <c r="B436" s="261">
        <f t="shared" si="19"/>
        <v>490</v>
      </c>
      <c r="C436" s="493">
        <v>68299</v>
      </c>
      <c r="D436" s="483">
        <v>490</v>
      </c>
      <c r="E436" s="483">
        <f t="shared" si="20"/>
        <v>68299</v>
      </c>
      <c r="F436" s="261" t="b">
        <f t="shared" si="21"/>
        <v>1</v>
      </c>
    </row>
    <row r="437" spans="1:6" ht="15.75" thickBot="1" x14ac:dyDescent="0.3">
      <c r="A437" s="2">
        <v>44328</v>
      </c>
      <c r="B437" s="261">
        <f t="shared" si="19"/>
        <v>496</v>
      </c>
      <c r="C437" s="493">
        <v>68795</v>
      </c>
      <c r="D437" s="483">
        <v>496</v>
      </c>
      <c r="E437" s="483">
        <f t="shared" si="20"/>
        <v>68795</v>
      </c>
      <c r="F437" s="261" t="b">
        <f t="shared" si="21"/>
        <v>1</v>
      </c>
    </row>
    <row r="438" spans="1:6" ht="15.75" thickBot="1" x14ac:dyDescent="0.3">
      <c r="A438" s="2">
        <v>44329</v>
      </c>
      <c r="B438" s="261">
        <f t="shared" si="19"/>
        <v>447</v>
      </c>
      <c r="C438" s="493">
        <v>69242</v>
      </c>
      <c r="D438" s="483">
        <v>447</v>
      </c>
      <c r="E438" s="483">
        <f t="shared" si="20"/>
        <v>69242</v>
      </c>
      <c r="F438" s="261" t="b">
        <f t="shared" si="21"/>
        <v>1</v>
      </c>
    </row>
    <row r="439" spans="1:6" ht="15.75" thickBot="1" x14ac:dyDescent="0.3">
      <c r="A439" s="2">
        <v>44330</v>
      </c>
      <c r="B439" s="261">
        <f t="shared" si="19"/>
        <v>601</v>
      </c>
      <c r="C439" s="493">
        <v>69843</v>
      </c>
      <c r="D439" s="483">
        <v>601</v>
      </c>
      <c r="E439" s="483">
        <f t="shared" si="20"/>
        <v>69843</v>
      </c>
      <c r="F439" s="261" t="b">
        <f t="shared" si="21"/>
        <v>1</v>
      </c>
    </row>
    <row r="440" spans="1:6" ht="15.75" thickBot="1" x14ac:dyDescent="0.3">
      <c r="A440" s="2">
        <v>44331</v>
      </c>
      <c r="B440" s="261">
        <f t="shared" si="19"/>
        <v>400</v>
      </c>
      <c r="C440" s="493">
        <v>70243</v>
      </c>
      <c r="D440" s="483">
        <v>400</v>
      </c>
      <c r="E440" s="483">
        <f t="shared" si="20"/>
        <v>70243</v>
      </c>
      <c r="F440" s="261" t="b">
        <f t="shared" si="21"/>
        <v>1</v>
      </c>
    </row>
    <row r="441" spans="1:6" ht="15.75" thickBot="1" x14ac:dyDescent="0.3">
      <c r="A441" s="2">
        <v>44332</v>
      </c>
      <c r="B441" s="261">
        <f t="shared" si="19"/>
        <v>269</v>
      </c>
      <c r="C441" s="493">
        <v>70512</v>
      </c>
      <c r="D441" s="483">
        <v>269</v>
      </c>
      <c r="E441" s="483">
        <f t="shared" si="20"/>
        <v>70512</v>
      </c>
      <c r="F441" s="261" t="b">
        <f t="shared" si="21"/>
        <v>1</v>
      </c>
    </row>
    <row r="442" spans="1:6" ht="15.75" thickBot="1" x14ac:dyDescent="0.3">
      <c r="A442" s="2">
        <v>44333</v>
      </c>
      <c r="B442" s="261">
        <f t="shared" si="19"/>
        <v>505</v>
      </c>
      <c r="C442" s="493">
        <v>71017</v>
      </c>
      <c r="D442" s="483">
        <v>505</v>
      </c>
      <c r="E442" s="483">
        <f t="shared" si="20"/>
        <v>71017</v>
      </c>
      <c r="F442" s="261" t="b">
        <f t="shared" si="21"/>
        <v>1</v>
      </c>
    </row>
    <row r="443" spans="1:6" ht="15.75" thickBot="1" x14ac:dyDescent="0.3">
      <c r="A443" s="2">
        <v>44334</v>
      </c>
      <c r="B443" s="261">
        <f t="shared" si="19"/>
        <v>744</v>
      </c>
      <c r="C443" s="493">
        <v>71761</v>
      </c>
      <c r="D443" s="483">
        <v>744</v>
      </c>
      <c r="E443" s="483">
        <f t="shared" si="20"/>
        <v>71761</v>
      </c>
      <c r="F443" s="261" t="b">
        <f t="shared" si="21"/>
        <v>1</v>
      </c>
    </row>
    <row r="444" spans="1:6" ht="15.75" thickBot="1" x14ac:dyDescent="0.3">
      <c r="A444" s="2">
        <v>44335</v>
      </c>
      <c r="B444" s="261">
        <f t="shared" si="19"/>
        <v>494</v>
      </c>
      <c r="C444" s="493">
        <v>72255</v>
      </c>
      <c r="D444" s="483">
        <v>494</v>
      </c>
      <c r="E444" s="483">
        <f t="shared" si="20"/>
        <v>72255</v>
      </c>
      <c r="F444" s="261" t="b">
        <f t="shared" si="21"/>
        <v>1</v>
      </c>
    </row>
    <row r="445" spans="1:6" ht="15.75" thickBot="1" x14ac:dyDescent="0.3">
      <c r="A445" s="2">
        <v>44336</v>
      </c>
      <c r="B445" s="261">
        <f t="shared" si="19"/>
        <v>434</v>
      </c>
      <c r="C445" s="493">
        <v>72689</v>
      </c>
      <c r="D445" s="483">
        <v>434</v>
      </c>
      <c r="E445" s="483">
        <f t="shared" si="20"/>
        <v>72689</v>
      </c>
      <c r="F445" s="261" t="b">
        <f t="shared" si="21"/>
        <v>1</v>
      </c>
    </row>
    <row r="446" spans="1:6" ht="15.75" thickBot="1" x14ac:dyDescent="0.3">
      <c r="A446" s="2">
        <v>44337</v>
      </c>
      <c r="B446" s="261">
        <f t="shared" si="19"/>
        <v>695</v>
      </c>
      <c r="C446" s="493">
        <v>73384</v>
      </c>
      <c r="D446" s="483">
        <v>695</v>
      </c>
      <c r="E446" s="483">
        <f t="shared" si="20"/>
        <v>73384</v>
      </c>
      <c r="F446" s="261" t="b">
        <f t="shared" si="21"/>
        <v>1</v>
      </c>
    </row>
    <row r="447" spans="1:6" ht="15.75" thickBot="1" x14ac:dyDescent="0.3">
      <c r="A447" s="2">
        <v>44338</v>
      </c>
      <c r="B447" s="261">
        <f t="shared" si="19"/>
        <v>297</v>
      </c>
      <c r="C447" s="493">
        <v>73681</v>
      </c>
      <c r="D447" s="483">
        <v>297</v>
      </c>
      <c r="E447" s="483">
        <f t="shared" si="20"/>
        <v>73681</v>
      </c>
      <c r="F447" s="261" t="b">
        <f t="shared" si="21"/>
        <v>1</v>
      </c>
    </row>
    <row r="448" spans="1:6" ht="15.75" thickBot="1" x14ac:dyDescent="0.3">
      <c r="A448" s="2">
        <v>44339</v>
      </c>
      <c r="B448" s="261">
        <f t="shared" si="19"/>
        <v>375</v>
      </c>
      <c r="C448" s="493">
        <v>74056</v>
      </c>
      <c r="D448" s="483">
        <v>375</v>
      </c>
      <c r="E448" s="483">
        <f t="shared" si="20"/>
        <v>74056</v>
      </c>
      <c r="F448" s="261" t="b">
        <f t="shared" si="21"/>
        <v>1</v>
      </c>
    </row>
    <row r="449" spans="1:6" ht="15.75" thickBot="1" x14ac:dyDescent="0.3">
      <c r="A449" s="2">
        <v>44340</v>
      </c>
      <c r="B449" s="261">
        <f t="shared" si="19"/>
        <v>417</v>
      </c>
      <c r="C449" s="493">
        <v>74473</v>
      </c>
      <c r="D449" s="483">
        <v>417</v>
      </c>
      <c r="E449" s="483">
        <f t="shared" si="20"/>
        <v>74473</v>
      </c>
      <c r="F449" s="261" t="b">
        <f t="shared" si="21"/>
        <v>1</v>
      </c>
    </row>
    <row r="450" spans="1:6" ht="15.75" thickBot="1" x14ac:dyDescent="0.3">
      <c r="A450" s="2">
        <v>44341</v>
      </c>
      <c r="B450" s="261">
        <f t="shared" si="19"/>
        <v>576</v>
      </c>
      <c r="C450" s="493">
        <v>75049</v>
      </c>
      <c r="D450" s="483">
        <v>576</v>
      </c>
      <c r="E450" s="483">
        <f t="shared" si="20"/>
        <v>75049</v>
      </c>
      <c r="F450" s="261" t="b">
        <f t="shared" si="21"/>
        <v>1</v>
      </c>
    </row>
    <row r="451" spans="1:6" ht="15.75" thickBot="1" x14ac:dyDescent="0.3">
      <c r="A451" s="2">
        <v>44342</v>
      </c>
      <c r="B451" s="261">
        <f t="shared" si="19"/>
        <v>531</v>
      </c>
      <c r="C451" s="493">
        <v>75580</v>
      </c>
      <c r="D451" s="483">
        <v>526</v>
      </c>
      <c r="E451" s="483">
        <f t="shared" si="20"/>
        <v>75575</v>
      </c>
      <c r="F451" s="261" t="b">
        <f t="shared" si="21"/>
        <v>0</v>
      </c>
    </row>
    <row r="452" spans="1:6" ht="15.75" thickBot="1" x14ac:dyDescent="0.3">
      <c r="A452" s="2">
        <v>44343</v>
      </c>
      <c r="B452" s="261">
        <f t="shared" ref="B452:B472" si="22">C452-C451</f>
        <v>548</v>
      </c>
      <c r="C452" s="493">
        <v>76128</v>
      </c>
      <c r="D452" s="483">
        <v>549</v>
      </c>
      <c r="E452" s="483">
        <f t="shared" ref="E452:E472" si="23">E451+D452</f>
        <v>76124</v>
      </c>
      <c r="F452" s="261" t="b">
        <f t="shared" si="21"/>
        <v>0</v>
      </c>
    </row>
    <row r="453" spans="1:6" ht="15.75" thickBot="1" x14ac:dyDescent="0.3">
      <c r="A453" s="2">
        <v>44344</v>
      </c>
      <c r="B453" s="261">
        <f t="shared" si="22"/>
        <v>560</v>
      </c>
      <c r="C453" s="493">
        <v>76688</v>
      </c>
      <c r="D453" s="483">
        <v>560</v>
      </c>
      <c r="E453" s="483">
        <f t="shared" si="23"/>
        <v>76684</v>
      </c>
      <c r="F453" s="261" t="b">
        <f t="shared" si="21"/>
        <v>0</v>
      </c>
    </row>
    <row r="454" spans="1:6" ht="15.75" thickBot="1" x14ac:dyDescent="0.3">
      <c r="A454" s="2">
        <v>44345</v>
      </c>
      <c r="B454" s="261">
        <f t="shared" si="22"/>
        <v>416</v>
      </c>
      <c r="C454" s="493">
        <v>77104</v>
      </c>
      <c r="D454" s="483">
        <v>416</v>
      </c>
      <c r="E454" s="483">
        <f t="shared" si="23"/>
        <v>77100</v>
      </c>
      <c r="F454" s="261" t="b">
        <f t="shared" si="21"/>
        <v>0</v>
      </c>
    </row>
    <row r="455" spans="1:6" ht="15.75" thickBot="1" x14ac:dyDescent="0.3">
      <c r="A455" s="2">
        <v>44346</v>
      </c>
      <c r="B455" s="261">
        <f t="shared" si="22"/>
        <v>348</v>
      </c>
      <c r="C455" s="493">
        <v>77452</v>
      </c>
      <c r="D455" s="483">
        <v>348</v>
      </c>
      <c r="E455" s="483">
        <f t="shared" si="23"/>
        <v>77448</v>
      </c>
      <c r="F455" s="261" t="b">
        <f t="shared" si="21"/>
        <v>0</v>
      </c>
    </row>
    <row r="456" spans="1:6" ht="15.75" thickBot="1" x14ac:dyDescent="0.3">
      <c r="A456" s="2">
        <v>44347</v>
      </c>
      <c r="B456" s="261">
        <f t="shared" si="22"/>
        <v>636</v>
      </c>
      <c r="C456" s="493">
        <v>78088</v>
      </c>
      <c r="D456" s="483">
        <v>638</v>
      </c>
      <c r="E456" s="483">
        <f t="shared" si="23"/>
        <v>78086</v>
      </c>
      <c r="F456" s="261" t="b">
        <f t="shared" si="21"/>
        <v>0</v>
      </c>
    </row>
    <row r="457" spans="1:6" ht="15.75" thickBot="1" x14ac:dyDescent="0.3">
      <c r="A457" s="2">
        <v>44348</v>
      </c>
      <c r="B457" s="261">
        <f t="shared" si="22"/>
        <v>639</v>
      </c>
      <c r="C457" s="493">
        <v>78727</v>
      </c>
      <c r="D457" s="483">
        <v>641</v>
      </c>
      <c r="E457" s="483">
        <f t="shared" si="23"/>
        <v>78727</v>
      </c>
      <c r="F457" s="261" t="b">
        <f t="shared" si="21"/>
        <v>1</v>
      </c>
    </row>
    <row r="458" spans="1:6" ht="15.75" thickBot="1" x14ac:dyDescent="0.3">
      <c r="A458" s="2">
        <v>44349</v>
      </c>
      <c r="B458" s="261">
        <f t="shared" si="22"/>
        <v>587</v>
      </c>
      <c r="C458" s="493">
        <v>79314</v>
      </c>
      <c r="D458" s="483">
        <v>587</v>
      </c>
      <c r="E458" s="483">
        <f t="shared" si="23"/>
        <v>79314</v>
      </c>
      <c r="F458" s="261" t="b">
        <f t="shared" si="21"/>
        <v>1</v>
      </c>
    </row>
    <row r="459" spans="1:6" ht="15.75" thickBot="1" x14ac:dyDescent="0.3">
      <c r="A459" s="2">
        <v>44350</v>
      </c>
      <c r="B459" s="261">
        <f t="shared" si="22"/>
        <v>552</v>
      </c>
      <c r="C459" s="493">
        <v>79866</v>
      </c>
      <c r="D459" s="483">
        <v>552</v>
      </c>
      <c r="E459" s="483">
        <f t="shared" si="23"/>
        <v>79866</v>
      </c>
      <c r="F459" s="261" t="b">
        <f t="shared" si="21"/>
        <v>1</v>
      </c>
    </row>
    <row r="460" spans="1:6" ht="15.75" thickBot="1" x14ac:dyDescent="0.3">
      <c r="A460" s="2">
        <v>44351</v>
      </c>
      <c r="B460" s="261">
        <f t="shared" si="22"/>
        <v>539</v>
      </c>
      <c r="C460" s="493">
        <v>80405</v>
      </c>
      <c r="D460" s="483">
        <v>539</v>
      </c>
      <c r="E460" s="483">
        <f t="shared" si="23"/>
        <v>80405</v>
      </c>
      <c r="F460" s="261" t="b">
        <f t="shared" si="21"/>
        <v>1</v>
      </c>
    </row>
    <row r="461" spans="1:6" ht="15.75" thickBot="1" x14ac:dyDescent="0.3">
      <c r="A461" s="2">
        <v>44352</v>
      </c>
      <c r="B461" s="261">
        <f t="shared" si="22"/>
        <v>455</v>
      </c>
      <c r="C461" s="493">
        <v>80860</v>
      </c>
      <c r="D461" s="483">
        <v>456</v>
      </c>
      <c r="E461" s="483">
        <f t="shared" si="23"/>
        <v>80861</v>
      </c>
      <c r="F461" s="261" t="b">
        <f t="shared" ref="F461:F472" si="24">EXACT(C461,E461)</f>
        <v>0</v>
      </c>
    </row>
    <row r="462" spans="1:6" ht="15.75" thickBot="1" x14ac:dyDescent="0.3">
      <c r="A462" s="2">
        <v>44353</v>
      </c>
      <c r="B462" s="261">
        <f t="shared" si="22"/>
        <v>347</v>
      </c>
      <c r="C462" s="493">
        <v>81207</v>
      </c>
      <c r="D462" s="483">
        <v>347</v>
      </c>
      <c r="E462" s="483">
        <f t="shared" si="23"/>
        <v>81208</v>
      </c>
      <c r="F462" s="261" t="b">
        <f t="shared" si="24"/>
        <v>0</v>
      </c>
    </row>
    <row r="463" spans="1:6" ht="15.75" thickBot="1" x14ac:dyDescent="0.3">
      <c r="A463" s="2">
        <v>44354</v>
      </c>
      <c r="B463" s="261">
        <f t="shared" si="22"/>
        <v>732</v>
      </c>
      <c r="C463" s="493">
        <v>81939</v>
      </c>
      <c r="D463" s="483">
        <v>731</v>
      </c>
      <c r="E463" s="483">
        <f t="shared" si="23"/>
        <v>81939</v>
      </c>
      <c r="F463" s="261" t="b">
        <f t="shared" si="24"/>
        <v>1</v>
      </c>
    </row>
    <row r="464" spans="1:6" ht="15.75" thickBot="1" x14ac:dyDescent="0.3">
      <c r="A464" s="2">
        <v>44355</v>
      </c>
      <c r="B464" s="261">
        <f t="shared" si="22"/>
        <v>721</v>
      </c>
      <c r="C464" s="493">
        <v>82660</v>
      </c>
      <c r="D464" s="483">
        <v>722</v>
      </c>
      <c r="E464" s="483">
        <f t="shared" si="23"/>
        <v>82661</v>
      </c>
      <c r="F464" s="261" t="b">
        <f t="shared" si="24"/>
        <v>0</v>
      </c>
    </row>
    <row r="465" spans="1:6" ht="15.75" thickBot="1" x14ac:dyDescent="0.3">
      <c r="A465" s="2">
        <v>44356</v>
      </c>
      <c r="B465" s="261">
        <f t="shared" si="22"/>
        <v>607</v>
      </c>
      <c r="C465" s="493">
        <v>83267</v>
      </c>
      <c r="D465" s="483">
        <v>607</v>
      </c>
      <c r="E465" s="483">
        <f t="shared" si="23"/>
        <v>83268</v>
      </c>
      <c r="F465" s="261" t="b">
        <f t="shared" si="24"/>
        <v>0</v>
      </c>
    </row>
    <row r="466" spans="1:6" ht="15.75" thickBot="1" x14ac:dyDescent="0.3">
      <c r="A466" s="2">
        <v>44357</v>
      </c>
      <c r="B466" s="261">
        <f t="shared" si="22"/>
        <v>668</v>
      </c>
      <c r="C466" s="493">
        <v>83935</v>
      </c>
      <c r="D466" s="483">
        <v>669</v>
      </c>
      <c r="E466" s="483">
        <f t="shared" si="23"/>
        <v>83937</v>
      </c>
      <c r="F466" s="261" t="b">
        <f t="shared" si="24"/>
        <v>0</v>
      </c>
    </row>
    <row r="467" spans="1:6" ht="15.75" thickBot="1" x14ac:dyDescent="0.3">
      <c r="A467" s="2">
        <v>44358</v>
      </c>
      <c r="B467" s="261">
        <f t="shared" si="22"/>
        <v>689</v>
      </c>
      <c r="C467" s="493">
        <v>84624</v>
      </c>
      <c r="D467" s="483">
        <v>689</v>
      </c>
      <c r="E467" s="483">
        <f t="shared" si="23"/>
        <v>84626</v>
      </c>
      <c r="F467" s="261" t="b">
        <f t="shared" si="24"/>
        <v>0</v>
      </c>
    </row>
    <row r="468" spans="1:6" ht="15.75" thickBot="1" x14ac:dyDescent="0.3">
      <c r="A468" s="2">
        <v>44359</v>
      </c>
      <c r="B468" s="261">
        <f t="shared" si="22"/>
        <v>447</v>
      </c>
      <c r="C468" s="493">
        <v>85071</v>
      </c>
      <c r="D468" s="483">
        <v>447</v>
      </c>
      <c r="E468" s="483">
        <f t="shared" si="23"/>
        <v>85073</v>
      </c>
      <c r="F468" s="261" t="b">
        <f t="shared" si="24"/>
        <v>0</v>
      </c>
    </row>
    <row r="469" spans="1:6" ht="15.75" thickBot="1" x14ac:dyDescent="0.3">
      <c r="A469" s="2">
        <v>44360</v>
      </c>
      <c r="B469" s="261">
        <f t="shared" si="22"/>
        <v>268</v>
      </c>
      <c r="C469" s="493">
        <v>85339</v>
      </c>
      <c r="D469" s="483">
        <v>268</v>
      </c>
      <c r="E469" s="483">
        <f t="shared" si="23"/>
        <v>85341</v>
      </c>
      <c r="F469" s="261" t="b">
        <f t="shared" si="24"/>
        <v>0</v>
      </c>
    </row>
    <row r="470" spans="1:6" ht="15.75" thickBot="1" x14ac:dyDescent="0.3">
      <c r="A470" s="2">
        <v>44361</v>
      </c>
      <c r="B470" s="261">
        <f t="shared" si="22"/>
        <v>685</v>
      </c>
      <c r="C470" s="493">
        <v>86024</v>
      </c>
      <c r="D470" s="483">
        <v>685</v>
      </c>
      <c r="E470" s="483">
        <f t="shared" si="23"/>
        <v>86026</v>
      </c>
      <c r="F470" s="261" t="b">
        <f t="shared" si="24"/>
        <v>0</v>
      </c>
    </row>
    <row r="471" spans="1:6" ht="15.75" thickBot="1" x14ac:dyDescent="0.3">
      <c r="A471" s="2">
        <v>44362</v>
      </c>
      <c r="B471" s="261">
        <f t="shared" si="22"/>
        <v>589</v>
      </c>
      <c r="C471" s="493">
        <v>86613</v>
      </c>
      <c r="D471" s="483">
        <v>589</v>
      </c>
      <c r="E471" s="483">
        <f t="shared" si="23"/>
        <v>86615</v>
      </c>
      <c r="F471" s="261" t="b">
        <f t="shared" si="24"/>
        <v>0</v>
      </c>
    </row>
    <row r="472" spans="1:6" ht="15.75" thickBot="1" x14ac:dyDescent="0.3">
      <c r="A472" s="2">
        <v>44363</v>
      </c>
      <c r="B472" s="261">
        <f t="shared" si="22"/>
        <v>648</v>
      </c>
      <c r="C472" s="493">
        <v>87261</v>
      </c>
      <c r="D472" s="483">
        <v>648</v>
      </c>
      <c r="E472" s="483">
        <f t="shared" si="23"/>
        <v>87263</v>
      </c>
      <c r="F472" s="261" t="b">
        <f t="shared" si="24"/>
        <v>0</v>
      </c>
    </row>
    <row r="473" spans="1:6" ht="15.75" thickBot="1" x14ac:dyDescent="0.3">
      <c r="C473" s="493"/>
    </row>
    <row r="474" spans="1:6" ht="15.75" thickBot="1" x14ac:dyDescent="0.3">
      <c r="C474" s="493"/>
    </row>
    <row r="475" spans="1:6" ht="15.75" thickBot="1" x14ac:dyDescent="0.3">
      <c r="C475" s="493"/>
    </row>
    <row r="476" spans="1:6" ht="15.75" thickBot="1" x14ac:dyDescent="0.3">
      <c r="C476" s="493"/>
    </row>
    <row r="477" spans="1:6" ht="15.75" thickBot="1" x14ac:dyDescent="0.3">
      <c r="C477" s="493"/>
    </row>
    <row r="478" spans="1:6" ht="15.75" thickBot="1" x14ac:dyDescent="0.3">
      <c r="C478" s="493"/>
    </row>
    <row r="479" spans="1:6" ht="15.75" thickBot="1" x14ac:dyDescent="0.3">
      <c r="C479" s="493"/>
    </row>
    <row r="480" spans="1:6" ht="15.75" thickBot="1" x14ac:dyDescent="0.3">
      <c r="C480" s="493"/>
    </row>
    <row r="481" spans="3:3" ht="15.75" thickBot="1" x14ac:dyDescent="0.3">
      <c r="C481" s="493"/>
    </row>
    <row r="482" spans="3:3" ht="15.75" thickBot="1" x14ac:dyDescent="0.3">
      <c r="C482" s="493"/>
    </row>
    <row r="483" spans="3:3" ht="15.75" thickBot="1" x14ac:dyDescent="0.3">
      <c r="C483" s="492"/>
    </row>
    <row r="484" spans="3:3" ht="15.75" thickBot="1" x14ac:dyDescent="0.3">
      <c r="C484" s="492"/>
    </row>
    <row r="485" spans="3:3" ht="15.75" thickBot="1" x14ac:dyDescent="0.3">
      <c r="C485" s="492"/>
    </row>
    <row r="486" spans="3:3" ht="15.75" thickBot="1" x14ac:dyDescent="0.3">
      <c r="C486" s="492"/>
    </row>
    <row r="487" spans="3:3" ht="15.75" thickBot="1" x14ac:dyDescent="0.3">
      <c r="C487" s="492"/>
    </row>
    <row r="488" spans="3:3" ht="15.75" thickBot="1" x14ac:dyDescent="0.3">
      <c r="C488" s="492"/>
    </row>
    <row r="489" spans="3:3" ht="15.75" thickBot="1" x14ac:dyDescent="0.3">
      <c r="C489" s="492"/>
    </row>
    <row r="490" spans="3:3" ht="15.75" thickBot="1" x14ac:dyDescent="0.3">
      <c r="C490" s="492"/>
    </row>
    <row r="491" spans="3:3" ht="15.75" thickBot="1" x14ac:dyDescent="0.3">
      <c r="C491" s="492"/>
    </row>
    <row r="492" spans="3:3" ht="15.75" thickBot="1" x14ac:dyDescent="0.3">
      <c r="C492" s="492"/>
    </row>
    <row r="493" spans="3:3" ht="15.75" thickBot="1" x14ac:dyDescent="0.3">
      <c r="C493" s="492"/>
    </row>
    <row r="494" spans="3:3" ht="15.75" thickBot="1" x14ac:dyDescent="0.3">
      <c r="C494" s="492"/>
    </row>
    <row r="495" spans="3:3" ht="15.75" thickBot="1" x14ac:dyDescent="0.3">
      <c r="C495" s="492"/>
    </row>
    <row r="496" spans="3:3" ht="15.75" thickBot="1" x14ac:dyDescent="0.3">
      <c r="C496" s="492"/>
    </row>
    <row r="497" spans="3:3" ht="15.75" thickBot="1" x14ac:dyDescent="0.3">
      <c r="C497" s="492"/>
    </row>
    <row r="498" spans="3:3" ht="15.75" thickBot="1" x14ac:dyDescent="0.3">
      <c r="C498" s="492"/>
    </row>
    <row r="499" spans="3:3" ht="15.75" thickBot="1" x14ac:dyDescent="0.3">
      <c r="C499" s="492"/>
    </row>
    <row r="500" spans="3:3" ht="15.75" thickBot="1" x14ac:dyDescent="0.3">
      <c r="C500" s="492"/>
    </row>
    <row r="501" spans="3:3" ht="15.75" thickBot="1" x14ac:dyDescent="0.3">
      <c r="C501" s="492"/>
    </row>
    <row r="502" spans="3:3" ht="15.75" thickBot="1" x14ac:dyDescent="0.3">
      <c r="C502" s="492"/>
    </row>
    <row r="503" spans="3:3" ht="15.75" thickBot="1" x14ac:dyDescent="0.3">
      <c r="C503" s="492"/>
    </row>
    <row r="504" spans="3:3" ht="15.75" thickBot="1" x14ac:dyDescent="0.3">
      <c r="C504" s="492"/>
    </row>
    <row r="505" spans="3:3" ht="15.75" thickBot="1" x14ac:dyDescent="0.3">
      <c r="C505" s="492"/>
    </row>
    <row r="506" spans="3:3" ht="15.75" thickBot="1" x14ac:dyDescent="0.3">
      <c r="C506" s="492"/>
    </row>
    <row r="507" spans="3:3" ht="15.75" thickBot="1" x14ac:dyDescent="0.3">
      <c r="C507" s="492"/>
    </row>
    <row r="508" spans="3:3" ht="15.75" thickBot="1" x14ac:dyDescent="0.3">
      <c r="C508" s="492"/>
    </row>
    <row r="509" spans="3:3" ht="15.75" thickBot="1" x14ac:dyDescent="0.3">
      <c r="C509" s="492"/>
    </row>
    <row r="510" spans="3:3" ht="15.75" thickBot="1" x14ac:dyDescent="0.3">
      <c r="C510" s="492"/>
    </row>
    <row r="511" spans="3:3" ht="15.75" thickBot="1" x14ac:dyDescent="0.3">
      <c r="C511" s="492"/>
    </row>
    <row r="512" spans="3:3" ht="15.75" thickBot="1" x14ac:dyDescent="0.3">
      <c r="C512" s="492"/>
    </row>
    <row r="513" spans="3:3" ht="15.75" thickBot="1" x14ac:dyDescent="0.3">
      <c r="C513" s="492"/>
    </row>
    <row r="514" spans="3:3" ht="15.75" thickBot="1" x14ac:dyDescent="0.3">
      <c r="C514" s="492"/>
    </row>
    <row r="515" spans="3:3" ht="15.75" thickBot="1" x14ac:dyDescent="0.3">
      <c r="C515" s="492"/>
    </row>
    <row r="516" spans="3:3" ht="15.75" thickBot="1" x14ac:dyDescent="0.3">
      <c r="C516" s="492"/>
    </row>
    <row r="517" spans="3:3" ht="15.75" thickBot="1" x14ac:dyDescent="0.3">
      <c r="C517" s="492"/>
    </row>
    <row r="518" spans="3:3" ht="15.75" thickBot="1" x14ac:dyDescent="0.3">
      <c r="C518" s="492"/>
    </row>
    <row r="519" spans="3:3" ht="15.75" thickBot="1" x14ac:dyDescent="0.3">
      <c r="C519" s="492"/>
    </row>
    <row r="520" spans="3:3" ht="15.75" thickBot="1" x14ac:dyDescent="0.3">
      <c r="C520" s="492"/>
    </row>
    <row r="521" spans="3:3" ht="15.75" thickBot="1" x14ac:dyDescent="0.3">
      <c r="C521" s="492"/>
    </row>
    <row r="522" spans="3:3" ht="15.75" thickBot="1" x14ac:dyDescent="0.3">
      <c r="C522" s="492"/>
    </row>
    <row r="523" spans="3:3" ht="15.75" thickBot="1" x14ac:dyDescent="0.3">
      <c r="C523" s="492"/>
    </row>
    <row r="524" spans="3:3" ht="15.75" thickBot="1" x14ac:dyDescent="0.3">
      <c r="C524" s="492"/>
    </row>
    <row r="525" spans="3:3" ht="15.75" thickBot="1" x14ac:dyDescent="0.3">
      <c r="C525" s="492"/>
    </row>
    <row r="526" spans="3:3" ht="15.75" thickBot="1" x14ac:dyDescent="0.3">
      <c r="C526" s="492"/>
    </row>
    <row r="527" spans="3:3" ht="15.75" thickBot="1" x14ac:dyDescent="0.3">
      <c r="C527" s="492"/>
    </row>
    <row r="528" spans="3:3" ht="15.75" thickBot="1" x14ac:dyDescent="0.3">
      <c r="C528" s="492"/>
    </row>
    <row r="529" spans="3:3" ht="15.75" thickBot="1" x14ac:dyDescent="0.3">
      <c r="C529" s="492"/>
    </row>
    <row r="530" spans="3:3" ht="15.75" thickBot="1" x14ac:dyDescent="0.3">
      <c r="C530" s="492"/>
    </row>
    <row r="531" spans="3:3" ht="15.75" thickBot="1" x14ac:dyDescent="0.3">
      <c r="C531" s="492"/>
    </row>
    <row r="532" spans="3:3" ht="15.75" thickBot="1" x14ac:dyDescent="0.3">
      <c r="C532" s="492"/>
    </row>
    <row r="533" spans="3:3" ht="15.75" thickBot="1" x14ac:dyDescent="0.3">
      <c r="C533" s="492"/>
    </row>
    <row r="534" spans="3:3" ht="15.75" thickBot="1" x14ac:dyDescent="0.3">
      <c r="C534" s="492"/>
    </row>
    <row r="535" spans="3:3" ht="15.75" thickBot="1" x14ac:dyDescent="0.3">
      <c r="C535" s="492"/>
    </row>
    <row r="536" spans="3:3" ht="15.75" thickBot="1" x14ac:dyDescent="0.3">
      <c r="C536" s="492"/>
    </row>
    <row r="537" spans="3:3" ht="15.75" thickBot="1" x14ac:dyDescent="0.3">
      <c r="C537" s="492"/>
    </row>
    <row r="538" spans="3:3" ht="15.75" thickBot="1" x14ac:dyDescent="0.3">
      <c r="C538" s="492"/>
    </row>
    <row r="539" spans="3:3" ht="15.75" thickBot="1" x14ac:dyDescent="0.3">
      <c r="C539" s="492"/>
    </row>
    <row r="540" spans="3:3" ht="15.75" thickBot="1" x14ac:dyDescent="0.3">
      <c r="C540" s="492"/>
    </row>
    <row r="541" spans="3:3" ht="15.75" thickBot="1" x14ac:dyDescent="0.3">
      <c r="C541" s="492"/>
    </row>
    <row r="542" spans="3:3" ht="15.75" thickBot="1" x14ac:dyDescent="0.3">
      <c r="C542" s="492"/>
    </row>
    <row r="543" spans="3:3" ht="15.75" thickBot="1" x14ac:dyDescent="0.3">
      <c r="C543" s="492"/>
    </row>
    <row r="544" spans="3:3" ht="15.75" thickBot="1" x14ac:dyDescent="0.3">
      <c r="C544" s="492"/>
    </row>
    <row r="545" spans="3:3" ht="15.75" thickBot="1" x14ac:dyDescent="0.3">
      <c r="C545" s="492"/>
    </row>
    <row r="546" spans="3:3" ht="15.75" thickBot="1" x14ac:dyDescent="0.3">
      <c r="C546" s="492"/>
    </row>
    <row r="547" spans="3:3" ht="15.75" thickBot="1" x14ac:dyDescent="0.3">
      <c r="C547" s="492"/>
    </row>
    <row r="548" spans="3:3" ht="15.75" thickBot="1" x14ac:dyDescent="0.3">
      <c r="C548" s="492"/>
    </row>
    <row r="549" spans="3:3" ht="15.75" thickBot="1" x14ac:dyDescent="0.3">
      <c r="C549" s="492"/>
    </row>
    <row r="550" spans="3:3" ht="15.75" thickBot="1" x14ac:dyDescent="0.3">
      <c r="C550" s="492"/>
    </row>
    <row r="551" spans="3:3" ht="15.75" thickBot="1" x14ac:dyDescent="0.3">
      <c r="C551" s="492"/>
    </row>
    <row r="552" spans="3:3" ht="15.75" thickBot="1" x14ac:dyDescent="0.3">
      <c r="C552" s="492"/>
    </row>
    <row r="553" spans="3:3" ht="15.75" thickBot="1" x14ac:dyDescent="0.3">
      <c r="C553" s="492"/>
    </row>
    <row r="554" spans="3:3" ht="15.75" thickBot="1" x14ac:dyDescent="0.3">
      <c r="C554" s="492"/>
    </row>
    <row r="555" spans="3:3" ht="15.75" thickBot="1" x14ac:dyDescent="0.3">
      <c r="C555" s="492"/>
    </row>
    <row r="556" spans="3:3" ht="15.75" thickBot="1" x14ac:dyDescent="0.3">
      <c r="C556" s="492"/>
    </row>
    <row r="557" spans="3:3" ht="15.75" thickBot="1" x14ac:dyDescent="0.3">
      <c r="C557" s="492"/>
    </row>
    <row r="558" spans="3:3" ht="15.75" thickBot="1" x14ac:dyDescent="0.3">
      <c r="C558" s="492"/>
    </row>
    <row r="559" spans="3:3" ht="15.75" thickBot="1" x14ac:dyDescent="0.3">
      <c r="C559" s="492"/>
    </row>
    <row r="560" spans="3:3" ht="15.75" thickBot="1" x14ac:dyDescent="0.3">
      <c r="C560" s="492"/>
    </row>
    <row r="561" spans="3:3" ht="15.75" thickBot="1" x14ac:dyDescent="0.3">
      <c r="C561" s="492"/>
    </row>
    <row r="562" spans="3:3" ht="15.75" thickBot="1" x14ac:dyDescent="0.3">
      <c r="C562" s="492"/>
    </row>
    <row r="563" spans="3:3" ht="15.75" thickBot="1" x14ac:dyDescent="0.3">
      <c r="C563" s="492"/>
    </row>
    <row r="564" spans="3:3" ht="15.75" thickBot="1" x14ac:dyDescent="0.3">
      <c r="C564" s="492"/>
    </row>
    <row r="565" spans="3:3" ht="15.75" thickBot="1" x14ac:dyDescent="0.3">
      <c r="C565" s="492"/>
    </row>
    <row r="566" spans="3:3" ht="15.75" thickBot="1" x14ac:dyDescent="0.3">
      <c r="C566" s="492"/>
    </row>
    <row r="567" spans="3:3" ht="15.75" thickBot="1" x14ac:dyDescent="0.3">
      <c r="C567" s="492"/>
    </row>
    <row r="568" spans="3:3" ht="15.75" thickBot="1" x14ac:dyDescent="0.3">
      <c r="C568" s="492"/>
    </row>
    <row r="569" spans="3:3" ht="15.75" thickBot="1" x14ac:dyDescent="0.3">
      <c r="C569" s="492"/>
    </row>
    <row r="570" spans="3:3" ht="15.75" thickBot="1" x14ac:dyDescent="0.3">
      <c r="C570" s="492"/>
    </row>
    <row r="571" spans="3:3" ht="15.75" thickBot="1" x14ac:dyDescent="0.3">
      <c r="C571" s="492"/>
    </row>
    <row r="572" spans="3:3" ht="15.75" thickBot="1" x14ac:dyDescent="0.3">
      <c r="C572" s="492"/>
    </row>
    <row r="573" spans="3:3" ht="15.75" thickBot="1" x14ac:dyDescent="0.3">
      <c r="C573" s="492"/>
    </row>
    <row r="574" spans="3:3" ht="15.75" thickBot="1" x14ac:dyDescent="0.3">
      <c r="C574" s="492"/>
    </row>
    <row r="575" spans="3:3" ht="15.75" thickBot="1" x14ac:dyDescent="0.3">
      <c r="C575" s="492"/>
    </row>
    <row r="576" spans="3:3" ht="15.75" thickBot="1" x14ac:dyDescent="0.3">
      <c r="C576" s="492"/>
    </row>
    <row r="577" spans="3:3" ht="15.75" thickBot="1" x14ac:dyDescent="0.3">
      <c r="C577" s="492"/>
    </row>
    <row r="578" spans="3:3" ht="15.75" thickBot="1" x14ac:dyDescent="0.3">
      <c r="C578" s="492"/>
    </row>
    <row r="579" spans="3:3" ht="15.75" thickBot="1" x14ac:dyDescent="0.3">
      <c r="C579" s="492"/>
    </row>
    <row r="580" spans="3:3" ht="15.75" thickBot="1" x14ac:dyDescent="0.3">
      <c r="C580" s="492"/>
    </row>
    <row r="581" spans="3:3" ht="15.75" thickBot="1" x14ac:dyDescent="0.3">
      <c r="C581" s="492"/>
    </row>
    <row r="582" spans="3:3" ht="15.75" thickBot="1" x14ac:dyDescent="0.3">
      <c r="C582" s="492"/>
    </row>
    <row r="583" spans="3:3" ht="15.75" thickBot="1" x14ac:dyDescent="0.3">
      <c r="C583" s="492"/>
    </row>
    <row r="584" spans="3:3" ht="15.75" thickBot="1" x14ac:dyDescent="0.3">
      <c r="C584" s="492"/>
    </row>
    <row r="585" spans="3:3" ht="15.75" thickBot="1" x14ac:dyDescent="0.3">
      <c r="C585" s="492"/>
    </row>
    <row r="586" spans="3:3" ht="15.75" thickBot="1" x14ac:dyDescent="0.3">
      <c r="C586" s="492"/>
    </row>
    <row r="587" spans="3:3" ht="15.75" thickBot="1" x14ac:dyDescent="0.3">
      <c r="C587" s="492"/>
    </row>
    <row r="588" spans="3:3" ht="15.75" thickBot="1" x14ac:dyDescent="0.3">
      <c r="C588" s="492"/>
    </row>
    <row r="589" spans="3:3" ht="15.75" thickBot="1" x14ac:dyDescent="0.3">
      <c r="C589" s="492"/>
    </row>
    <row r="590" spans="3:3" ht="15.75" thickBot="1" x14ac:dyDescent="0.3">
      <c r="C590" s="492"/>
    </row>
    <row r="591" spans="3:3" ht="15.75" thickBot="1" x14ac:dyDescent="0.3">
      <c r="C591" s="492"/>
    </row>
    <row r="592" spans="3:3" ht="15.75" thickBot="1" x14ac:dyDescent="0.3">
      <c r="C592" s="492"/>
    </row>
    <row r="593" spans="3:3" ht="15.75" thickBot="1" x14ac:dyDescent="0.3">
      <c r="C593" s="492"/>
    </row>
    <row r="594" spans="3:3" ht="15.75" thickBot="1" x14ac:dyDescent="0.3">
      <c r="C594" s="492"/>
    </row>
    <row r="595" spans="3:3" ht="15.75" thickBot="1" x14ac:dyDescent="0.3">
      <c r="C595" s="492"/>
    </row>
    <row r="596" spans="3:3" ht="15.75" thickBot="1" x14ac:dyDescent="0.3">
      <c r="C596" s="492"/>
    </row>
    <row r="597" spans="3:3" ht="15.75" thickBot="1" x14ac:dyDescent="0.3">
      <c r="C597" s="492"/>
    </row>
    <row r="598" spans="3:3" ht="15.75" thickBot="1" x14ac:dyDescent="0.3">
      <c r="C598" s="492"/>
    </row>
    <row r="599" spans="3:3" ht="15.75" thickBot="1" x14ac:dyDescent="0.3">
      <c r="C599" s="492"/>
    </row>
    <row r="600" spans="3:3" ht="15.75" thickBot="1" x14ac:dyDescent="0.3">
      <c r="C600" s="492"/>
    </row>
    <row r="601" spans="3:3" ht="15.75" thickBot="1" x14ac:dyDescent="0.3">
      <c r="C601" s="492"/>
    </row>
    <row r="602" spans="3:3" ht="15.75" thickBot="1" x14ac:dyDescent="0.3">
      <c r="C602" s="492"/>
    </row>
    <row r="603" spans="3:3" ht="15.75" thickBot="1" x14ac:dyDescent="0.3">
      <c r="C603" s="492"/>
    </row>
    <row r="604" spans="3:3" ht="15.75" thickBot="1" x14ac:dyDescent="0.3">
      <c r="C604" s="492"/>
    </row>
    <row r="605" spans="3:3" ht="15.75" thickBot="1" x14ac:dyDescent="0.3">
      <c r="C605" s="492"/>
    </row>
    <row r="606" spans="3:3" ht="15.75" thickBot="1" x14ac:dyDescent="0.3">
      <c r="C606" s="492"/>
    </row>
    <row r="607" spans="3:3" ht="15.75" thickBot="1" x14ac:dyDescent="0.3">
      <c r="C607" s="492"/>
    </row>
    <row r="608" spans="3:3" ht="15.75" thickBot="1" x14ac:dyDescent="0.3">
      <c r="C608" s="492"/>
    </row>
    <row r="609" spans="3:3" ht="15.75" thickBot="1" x14ac:dyDescent="0.3">
      <c r="C609" s="492"/>
    </row>
    <row r="610" spans="3:3" ht="15.75" thickBot="1" x14ac:dyDescent="0.3">
      <c r="C610" s="492"/>
    </row>
    <row r="611" spans="3:3" ht="15.75" thickBot="1" x14ac:dyDescent="0.3">
      <c r="C611" s="492"/>
    </row>
    <row r="612" spans="3:3" ht="15.75" thickBot="1" x14ac:dyDescent="0.3">
      <c r="C612" s="492"/>
    </row>
    <row r="613" spans="3:3" ht="15.75" thickBot="1" x14ac:dyDescent="0.3">
      <c r="C613" s="492"/>
    </row>
    <row r="614" spans="3:3" ht="15.75" thickBot="1" x14ac:dyDescent="0.3">
      <c r="C614" s="492"/>
    </row>
    <row r="615" spans="3:3" ht="15.75" thickBot="1" x14ac:dyDescent="0.3">
      <c r="C615" s="492"/>
    </row>
    <row r="616" spans="3:3" ht="15.75" thickBot="1" x14ac:dyDescent="0.3">
      <c r="C616" s="492"/>
    </row>
    <row r="617" spans="3:3" ht="15.75" thickBot="1" x14ac:dyDescent="0.3">
      <c r="C617" s="492"/>
    </row>
    <row r="618" spans="3:3" ht="15.75" thickBot="1" x14ac:dyDescent="0.3">
      <c r="C618" s="492"/>
    </row>
    <row r="619" spans="3:3" ht="15.75" thickBot="1" x14ac:dyDescent="0.3">
      <c r="C619" s="492"/>
    </row>
    <row r="620" spans="3:3" ht="15.75" thickBot="1" x14ac:dyDescent="0.3">
      <c r="C620" s="492"/>
    </row>
    <row r="621" spans="3:3" ht="15.75" thickBot="1" x14ac:dyDescent="0.3">
      <c r="C621" s="492"/>
    </row>
    <row r="622" spans="3:3" ht="15.75" thickBot="1" x14ac:dyDescent="0.3">
      <c r="C622" s="492"/>
    </row>
    <row r="623" spans="3:3" ht="15.75" thickBot="1" x14ac:dyDescent="0.3">
      <c r="C623" s="492"/>
    </row>
    <row r="624" spans="3:3" ht="15.75" thickBot="1" x14ac:dyDescent="0.3">
      <c r="C624" s="492"/>
    </row>
    <row r="625" spans="3:3" ht="15.75" thickBot="1" x14ac:dyDescent="0.3">
      <c r="C625" s="492"/>
    </row>
    <row r="626" spans="3:3" ht="15.75" thickBot="1" x14ac:dyDescent="0.3">
      <c r="C626" s="492"/>
    </row>
    <row r="627" spans="3:3" ht="15.75" thickBot="1" x14ac:dyDescent="0.3">
      <c r="C627" s="492"/>
    </row>
    <row r="628" spans="3:3" ht="15.75" thickBot="1" x14ac:dyDescent="0.3">
      <c r="C628" s="492"/>
    </row>
    <row r="629" spans="3:3" ht="15.75" thickBot="1" x14ac:dyDescent="0.3">
      <c r="C629" s="492"/>
    </row>
    <row r="630" spans="3:3" ht="15.75" thickBot="1" x14ac:dyDescent="0.3">
      <c r="C630" s="492"/>
    </row>
    <row r="631" spans="3:3" ht="15.75" thickBot="1" x14ac:dyDescent="0.3">
      <c r="C631" s="492"/>
    </row>
    <row r="632" spans="3:3" ht="15.75" thickBot="1" x14ac:dyDescent="0.3">
      <c r="C632" s="492"/>
    </row>
    <row r="633" spans="3:3" ht="15.75" thickBot="1" x14ac:dyDescent="0.3">
      <c r="C633" s="492"/>
    </row>
    <row r="634" spans="3:3" ht="15.75" thickBot="1" x14ac:dyDescent="0.3">
      <c r="C634" s="492"/>
    </row>
    <row r="635" spans="3:3" ht="15.75" thickBot="1" x14ac:dyDescent="0.3">
      <c r="C635" s="492"/>
    </row>
    <row r="636" spans="3:3" ht="15.75" thickBot="1" x14ac:dyDescent="0.3">
      <c r="C636" s="492"/>
    </row>
    <row r="637" spans="3:3" ht="15.75" thickBot="1" x14ac:dyDescent="0.3">
      <c r="C637" s="492"/>
    </row>
    <row r="638" spans="3:3" ht="15.75" thickBot="1" x14ac:dyDescent="0.3">
      <c r="C638" s="492"/>
    </row>
    <row r="639" spans="3:3" ht="15.75" thickBot="1" x14ac:dyDescent="0.3">
      <c r="C639" s="492"/>
    </row>
    <row r="640" spans="3:3" ht="15.75" thickBot="1" x14ac:dyDescent="0.3">
      <c r="C640" s="492"/>
    </row>
    <row r="641" spans="3:3" ht="15.75" thickBot="1" x14ac:dyDescent="0.3">
      <c r="C641" s="492"/>
    </row>
    <row r="642" spans="3:3" ht="15.75" thickBot="1" x14ac:dyDescent="0.3">
      <c r="C642" s="492"/>
    </row>
    <row r="643" spans="3:3" ht="15.75" thickBot="1" x14ac:dyDescent="0.3">
      <c r="C643" s="492"/>
    </row>
    <row r="644" spans="3:3" ht="15.75" thickBot="1" x14ac:dyDescent="0.3">
      <c r="C644" s="492"/>
    </row>
    <row r="645" spans="3:3" ht="15.75" thickBot="1" x14ac:dyDescent="0.3">
      <c r="C645" s="492"/>
    </row>
    <row r="646" spans="3:3" ht="15.75" thickBot="1" x14ac:dyDescent="0.3">
      <c r="C646" s="492"/>
    </row>
    <row r="647" spans="3:3" ht="15.75" thickBot="1" x14ac:dyDescent="0.3">
      <c r="C647" s="492"/>
    </row>
    <row r="648" spans="3:3" ht="15.75" thickBot="1" x14ac:dyDescent="0.3">
      <c r="C648" s="492"/>
    </row>
    <row r="649" spans="3:3" ht="15.75" thickBot="1" x14ac:dyDescent="0.3">
      <c r="C649" s="492"/>
    </row>
    <row r="650" spans="3:3" ht="15.75" thickBot="1" x14ac:dyDescent="0.3">
      <c r="C650" s="492"/>
    </row>
    <row r="651" spans="3:3" ht="15.75" thickBot="1" x14ac:dyDescent="0.3">
      <c r="C651" s="492"/>
    </row>
    <row r="652" spans="3:3" ht="15.75" thickBot="1" x14ac:dyDescent="0.3">
      <c r="C652" s="492"/>
    </row>
    <row r="653" spans="3:3" ht="15.75" thickBot="1" x14ac:dyDescent="0.3">
      <c r="C653" s="492"/>
    </row>
    <row r="654" spans="3:3" ht="15.75" thickBot="1" x14ac:dyDescent="0.3">
      <c r="C654" s="492"/>
    </row>
    <row r="655" spans="3:3" ht="15.75" thickBot="1" x14ac:dyDescent="0.3">
      <c r="C655" s="492"/>
    </row>
    <row r="656" spans="3:3" ht="15.75" thickBot="1" x14ac:dyDescent="0.3">
      <c r="C656" s="492"/>
    </row>
    <row r="657" spans="3:3" ht="15.75" thickBot="1" x14ac:dyDescent="0.3">
      <c r="C657" s="492"/>
    </row>
    <row r="658" spans="3:3" ht="15.75" thickBot="1" x14ac:dyDescent="0.3">
      <c r="C658" s="492"/>
    </row>
    <row r="659" spans="3:3" ht="15.75" thickBot="1" x14ac:dyDescent="0.3">
      <c r="C659" s="492"/>
    </row>
    <row r="660" spans="3:3" ht="15.75" thickBot="1" x14ac:dyDescent="0.3">
      <c r="C660" s="492"/>
    </row>
    <row r="661" spans="3:3" ht="15.75" thickBot="1" x14ac:dyDescent="0.3">
      <c r="C661" s="492"/>
    </row>
    <row r="662" spans="3:3" ht="15.75" thickBot="1" x14ac:dyDescent="0.3">
      <c r="C662" s="492"/>
    </row>
    <row r="663" spans="3:3" ht="15.75" thickBot="1" x14ac:dyDescent="0.3">
      <c r="C663" s="492"/>
    </row>
    <row r="664" spans="3:3" ht="15.75" thickBot="1" x14ac:dyDescent="0.3">
      <c r="C664" s="492"/>
    </row>
    <row r="665" spans="3:3" ht="15.75" thickBot="1" x14ac:dyDescent="0.3">
      <c r="C665" s="492"/>
    </row>
    <row r="666" spans="3:3" ht="15.75" thickBot="1" x14ac:dyDescent="0.3">
      <c r="C666" s="492"/>
    </row>
    <row r="667" spans="3:3" ht="15.75" thickBot="1" x14ac:dyDescent="0.3">
      <c r="C667" s="492"/>
    </row>
    <row r="668" spans="3:3" ht="15.75" thickBot="1" x14ac:dyDescent="0.3">
      <c r="C668" s="492"/>
    </row>
    <row r="669" spans="3:3" ht="15.75" thickBot="1" x14ac:dyDescent="0.3">
      <c r="C669" s="492"/>
    </row>
    <row r="670" spans="3:3" ht="15.75" thickBot="1" x14ac:dyDescent="0.3">
      <c r="C670" s="492"/>
    </row>
    <row r="671" spans="3:3" ht="15.75" thickBot="1" x14ac:dyDescent="0.3">
      <c r="C671" s="492"/>
    </row>
    <row r="672" spans="3:3" ht="15.75" thickBot="1" x14ac:dyDescent="0.3">
      <c r="C672" s="492"/>
    </row>
    <row r="673" spans="3:3" ht="15.75" thickBot="1" x14ac:dyDescent="0.3">
      <c r="C673" s="492"/>
    </row>
    <row r="674" spans="3:3" ht="15.75" thickBot="1" x14ac:dyDescent="0.3">
      <c r="C674" s="492"/>
    </row>
    <row r="675" spans="3:3" ht="15.75" thickBot="1" x14ac:dyDescent="0.3">
      <c r="C675" s="492"/>
    </row>
    <row r="676" spans="3:3" ht="15.75" thickBot="1" x14ac:dyDescent="0.3">
      <c r="C676" s="492"/>
    </row>
    <row r="677" spans="3:3" ht="15.75" thickBot="1" x14ac:dyDescent="0.3">
      <c r="C677" s="492"/>
    </row>
    <row r="678" spans="3:3" ht="15.75" thickBot="1" x14ac:dyDescent="0.3">
      <c r="C678" s="492"/>
    </row>
    <row r="679" spans="3:3" ht="15.75" thickBot="1" x14ac:dyDescent="0.3">
      <c r="C679" s="492"/>
    </row>
    <row r="680" spans="3:3" ht="15.75" thickBot="1" x14ac:dyDescent="0.3">
      <c r="C680" s="492"/>
    </row>
    <row r="681" spans="3:3" ht="15.75" thickBot="1" x14ac:dyDescent="0.3">
      <c r="C681" s="492"/>
    </row>
    <row r="682" spans="3:3" ht="15.75" thickBot="1" x14ac:dyDescent="0.3">
      <c r="C682" s="492"/>
    </row>
    <row r="683" spans="3:3" ht="15.75" thickBot="1" x14ac:dyDescent="0.3">
      <c r="C683" s="492"/>
    </row>
    <row r="684" spans="3:3" ht="15.75" thickBot="1" x14ac:dyDescent="0.3">
      <c r="C684" s="492"/>
    </row>
    <row r="685" spans="3:3" ht="15.75" thickBot="1" x14ac:dyDescent="0.3">
      <c r="C685" s="492"/>
    </row>
    <row r="686" spans="3:3" ht="15.75" thickBot="1" x14ac:dyDescent="0.3">
      <c r="C686" s="492"/>
    </row>
    <row r="687" spans="3:3" ht="15.75" thickBot="1" x14ac:dyDescent="0.3">
      <c r="C687" s="492"/>
    </row>
    <row r="688" spans="3:3" ht="15.75" thickBot="1" x14ac:dyDescent="0.3">
      <c r="C688" s="492"/>
    </row>
    <row r="689" spans="3:3" ht="15.75" thickBot="1" x14ac:dyDescent="0.3">
      <c r="C689" s="492"/>
    </row>
    <row r="690" spans="3:3" ht="15.75" thickBot="1" x14ac:dyDescent="0.3">
      <c r="C690" s="492"/>
    </row>
    <row r="691" spans="3:3" ht="15.75" thickBot="1" x14ac:dyDescent="0.3">
      <c r="C691" s="492"/>
    </row>
    <row r="692" spans="3:3" ht="15.75" thickBot="1" x14ac:dyDescent="0.3">
      <c r="C692" s="492"/>
    </row>
    <row r="693" spans="3:3" ht="15.75" thickBot="1" x14ac:dyDescent="0.3">
      <c r="C693" s="492"/>
    </row>
    <row r="694" spans="3:3" ht="15.75" thickBot="1" x14ac:dyDescent="0.3">
      <c r="C694" s="492"/>
    </row>
    <row r="695" spans="3:3" ht="15.75" thickBot="1" x14ac:dyDescent="0.3">
      <c r="C695" s="492"/>
    </row>
    <row r="696" spans="3:3" ht="15.75" thickBot="1" x14ac:dyDescent="0.3">
      <c r="C696" s="492"/>
    </row>
    <row r="697" spans="3:3" ht="15.75" thickBot="1" x14ac:dyDescent="0.3">
      <c r="C697" s="492"/>
    </row>
    <row r="698" spans="3:3" ht="15.75" thickBot="1" x14ac:dyDescent="0.3">
      <c r="C698" s="492"/>
    </row>
    <row r="699" spans="3:3" ht="15.75" thickBot="1" x14ac:dyDescent="0.3">
      <c r="C699" s="492"/>
    </row>
    <row r="700" spans="3:3" ht="15.75" thickBot="1" x14ac:dyDescent="0.3">
      <c r="C700" s="492"/>
    </row>
    <row r="701" spans="3:3" ht="15.75" thickBot="1" x14ac:dyDescent="0.3">
      <c r="C701" s="492"/>
    </row>
    <row r="702" spans="3:3" ht="15.75" thickBot="1" x14ac:dyDescent="0.3">
      <c r="C702" s="492"/>
    </row>
    <row r="703" spans="3:3" ht="15.75" thickBot="1" x14ac:dyDescent="0.3">
      <c r="C703" s="492"/>
    </row>
    <row r="704" spans="3:3" ht="15.75" thickBot="1" x14ac:dyDescent="0.3">
      <c r="C704" s="492"/>
    </row>
    <row r="705" spans="3:3" ht="15.75" thickBot="1" x14ac:dyDescent="0.3">
      <c r="C705" s="492"/>
    </row>
    <row r="706" spans="3:3" ht="15.75" thickBot="1" x14ac:dyDescent="0.3">
      <c r="C706" s="492"/>
    </row>
    <row r="707" spans="3:3" ht="15.75" thickBot="1" x14ac:dyDescent="0.3">
      <c r="C707" s="492"/>
    </row>
    <row r="708" spans="3:3" ht="15.75" thickBot="1" x14ac:dyDescent="0.3">
      <c r="C708" s="492"/>
    </row>
    <row r="709" spans="3:3" ht="15.75" thickBot="1" x14ac:dyDescent="0.3">
      <c r="C709" s="492"/>
    </row>
    <row r="710" spans="3:3" ht="15.75" thickBot="1" x14ac:dyDescent="0.3">
      <c r="C710" s="492"/>
    </row>
    <row r="711" spans="3:3" ht="15.75" thickBot="1" x14ac:dyDescent="0.3">
      <c r="C711" s="492"/>
    </row>
    <row r="712" spans="3:3" ht="15.75" thickBot="1" x14ac:dyDescent="0.3">
      <c r="C712" s="492"/>
    </row>
    <row r="713" spans="3:3" ht="15.75" thickBot="1" x14ac:dyDescent="0.3">
      <c r="C713" s="492"/>
    </row>
    <row r="714" spans="3:3" ht="15.75" thickBot="1" x14ac:dyDescent="0.3">
      <c r="C714" s="492"/>
    </row>
    <row r="715" spans="3:3" ht="15.75" thickBot="1" x14ac:dyDescent="0.3">
      <c r="C715" s="492"/>
    </row>
    <row r="716" spans="3:3" ht="15.75" thickBot="1" x14ac:dyDescent="0.3">
      <c r="C716" s="492"/>
    </row>
    <row r="717" spans="3:3" ht="15.75" thickBot="1" x14ac:dyDescent="0.3">
      <c r="C717" s="492"/>
    </row>
    <row r="718" spans="3:3" ht="15.75" thickBot="1" x14ac:dyDescent="0.3">
      <c r="C718" s="492"/>
    </row>
    <row r="719" spans="3:3" ht="15.75" thickBot="1" x14ac:dyDescent="0.3">
      <c r="C719" s="492"/>
    </row>
    <row r="720" spans="3:3" ht="15.75" thickBot="1" x14ac:dyDescent="0.3">
      <c r="C720" s="492"/>
    </row>
    <row r="721" spans="3:3" ht="15.75" thickBot="1" x14ac:dyDescent="0.3">
      <c r="C721" s="492"/>
    </row>
    <row r="722" spans="3:3" ht="15.75" thickBot="1" x14ac:dyDescent="0.3">
      <c r="C722" s="492"/>
    </row>
    <row r="723" spans="3:3" ht="15.75" thickBot="1" x14ac:dyDescent="0.3">
      <c r="C723" s="492"/>
    </row>
    <row r="724" spans="3:3" ht="15.75" thickBot="1" x14ac:dyDescent="0.3">
      <c r="C724" s="492"/>
    </row>
    <row r="725" spans="3:3" ht="15.75" thickBot="1" x14ac:dyDescent="0.3">
      <c r="C725" s="492"/>
    </row>
    <row r="726" spans="3:3" ht="15.75" thickBot="1" x14ac:dyDescent="0.3">
      <c r="C726" s="492"/>
    </row>
    <row r="727" spans="3:3" ht="15.75" thickBot="1" x14ac:dyDescent="0.3">
      <c r="C727" s="492"/>
    </row>
    <row r="728" spans="3:3" ht="15.75" thickBot="1" x14ac:dyDescent="0.3">
      <c r="C728" s="492"/>
    </row>
    <row r="729" spans="3:3" ht="15.75" thickBot="1" x14ac:dyDescent="0.3">
      <c r="C729" s="492"/>
    </row>
    <row r="730" spans="3:3" ht="15.75" thickBot="1" x14ac:dyDescent="0.3">
      <c r="C730" s="492"/>
    </row>
    <row r="731" spans="3:3" ht="15.75" thickBot="1" x14ac:dyDescent="0.3">
      <c r="C731" s="492"/>
    </row>
    <row r="732" spans="3:3" ht="15.75" thickBot="1" x14ac:dyDescent="0.3">
      <c r="C732" s="492"/>
    </row>
    <row r="733" spans="3:3" ht="15.75" thickBot="1" x14ac:dyDescent="0.3">
      <c r="C733" s="492"/>
    </row>
    <row r="734" spans="3:3" ht="15.75" thickBot="1" x14ac:dyDescent="0.3">
      <c r="C734" s="492"/>
    </row>
    <row r="735" spans="3:3" ht="15.75" thickBot="1" x14ac:dyDescent="0.3">
      <c r="C735" s="492"/>
    </row>
    <row r="736" spans="3:3" ht="15.75" thickBot="1" x14ac:dyDescent="0.3">
      <c r="C736" s="492"/>
    </row>
    <row r="737" spans="3:3" ht="15.75" thickBot="1" x14ac:dyDescent="0.3">
      <c r="C737" s="492"/>
    </row>
    <row r="738" spans="3:3" ht="15.75" thickBot="1" x14ac:dyDescent="0.3">
      <c r="C738" s="492"/>
    </row>
    <row r="739" spans="3:3" ht="15.75" thickBot="1" x14ac:dyDescent="0.3">
      <c r="C739" s="492"/>
    </row>
    <row r="740" spans="3:3" ht="15.75" thickBot="1" x14ac:dyDescent="0.3">
      <c r="C740" s="492"/>
    </row>
    <row r="741" spans="3:3" ht="15.75" thickBot="1" x14ac:dyDescent="0.3">
      <c r="C741" s="492"/>
    </row>
    <row r="742" spans="3:3" ht="15.75" thickBot="1" x14ac:dyDescent="0.3">
      <c r="C742" s="492"/>
    </row>
    <row r="743" spans="3:3" ht="15.75" thickBot="1" x14ac:dyDescent="0.3">
      <c r="C743" s="492"/>
    </row>
    <row r="744" spans="3:3" ht="15.75" thickBot="1" x14ac:dyDescent="0.3">
      <c r="C744" s="492"/>
    </row>
    <row r="745" spans="3:3" ht="15.75" thickBot="1" x14ac:dyDescent="0.3">
      <c r="C745" s="492"/>
    </row>
    <row r="746" spans="3:3" ht="15.75" thickBot="1" x14ac:dyDescent="0.3">
      <c r="C746" s="492"/>
    </row>
    <row r="747" spans="3:3" ht="15.75" thickBot="1" x14ac:dyDescent="0.3">
      <c r="C747" s="492"/>
    </row>
    <row r="748" spans="3:3" ht="15.75" thickBot="1" x14ac:dyDescent="0.3">
      <c r="C748" s="492"/>
    </row>
    <row r="749" spans="3:3" ht="15.75" thickBot="1" x14ac:dyDescent="0.3">
      <c r="C749" s="492"/>
    </row>
    <row r="750" spans="3:3" ht="15.75" thickBot="1" x14ac:dyDescent="0.3">
      <c r="C750" s="492"/>
    </row>
    <row r="751" spans="3:3" ht="15.75" thickBot="1" x14ac:dyDescent="0.3">
      <c r="C751" s="492"/>
    </row>
    <row r="752" spans="3:3" ht="15.75" thickBot="1" x14ac:dyDescent="0.3">
      <c r="C752" s="492"/>
    </row>
    <row r="753" spans="3:3" ht="15.75" thickBot="1" x14ac:dyDescent="0.3">
      <c r="C753" s="492"/>
    </row>
    <row r="754" spans="3:3" ht="15.75" thickBot="1" x14ac:dyDescent="0.3">
      <c r="C754" s="492"/>
    </row>
    <row r="755" spans="3:3" ht="15.75" thickBot="1" x14ac:dyDescent="0.3">
      <c r="C755" s="492"/>
    </row>
    <row r="756" spans="3:3" ht="15.75" thickBot="1" x14ac:dyDescent="0.3">
      <c r="C756" s="492"/>
    </row>
    <row r="757" spans="3:3" ht="15.75" thickBot="1" x14ac:dyDescent="0.3">
      <c r="C757" s="492"/>
    </row>
    <row r="758" spans="3:3" ht="15.75" thickBot="1" x14ac:dyDescent="0.3">
      <c r="C758" s="492"/>
    </row>
    <row r="759" spans="3:3" ht="15.75" thickBot="1" x14ac:dyDescent="0.3">
      <c r="C759" s="492"/>
    </row>
    <row r="760" spans="3:3" ht="15.75" thickBot="1" x14ac:dyDescent="0.3">
      <c r="C760" s="492"/>
    </row>
    <row r="761" spans="3:3" ht="15.75" thickBot="1" x14ac:dyDescent="0.3">
      <c r="C761" s="492"/>
    </row>
    <row r="762" spans="3:3" ht="15.75" thickBot="1" x14ac:dyDescent="0.3">
      <c r="C762" s="492"/>
    </row>
    <row r="763" spans="3:3" ht="15.75" thickBot="1" x14ac:dyDescent="0.3">
      <c r="C763" s="492"/>
    </row>
    <row r="764" spans="3:3" ht="15.75" thickBot="1" x14ac:dyDescent="0.3">
      <c r="C764" s="492"/>
    </row>
    <row r="765" spans="3:3" ht="15.75" thickBot="1" x14ac:dyDescent="0.3">
      <c r="C765" s="492"/>
    </row>
    <row r="766" spans="3:3" ht="15.75" thickBot="1" x14ac:dyDescent="0.3">
      <c r="C766" s="492"/>
    </row>
    <row r="767" spans="3:3" ht="15.75" thickBot="1" x14ac:dyDescent="0.3">
      <c r="C767" s="492"/>
    </row>
    <row r="768" spans="3:3" ht="15.75" thickBot="1" x14ac:dyDescent="0.3">
      <c r="C768" s="492"/>
    </row>
    <row r="769" spans="3:3" ht="15.75" thickBot="1" x14ac:dyDescent="0.3">
      <c r="C769" s="492"/>
    </row>
    <row r="770" spans="3:3" ht="15.75" thickBot="1" x14ac:dyDescent="0.3">
      <c r="C770" s="492"/>
    </row>
    <row r="771" spans="3:3" ht="15.75" thickBot="1" x14ac:dyDescent="0.3">
      <c r="C771" s="492"/>
    </row>
    <row r="772" spans="3:3" ht="15.75" thickBot="1" x14ac:dyDescent="0.3">
      <c r="C772" s="492"/>
    </row>
    <row r="773" spans="3:3" ht="15.75" thickBot="1" x14ac:dyDescent="0.3">
      <c r="C773" s="492"/>
    </row>
    <row r="774" spans="3:3" ht="15.75" thickBot="1" x14ac:dyDescent="0.3">
      <c r="C774" s="492"/>
    </row>
    <row r="775" spans="3:3" ht="15.75" thickBot="1" x14ac:dyDescent="0.3">
      <c r="C775" s="492"/>
    </row>
    <row r="776" spans="3:3" ht="15.75" thickBot="1" x14ac:dyDescent="0.3">
      <c r="C776" s="492"/>
    </row>
    <row r="777" spans="3:3" ht="15.75" thickBot="1" x14ac:dyDescent="0.3">
      <c r="C777" s="492"/>
    </row>
    <row r="778" spans="3:3" ht="15.75" thickBot="1" x14ac:dyDescent="0.3">
      <c r="C778" s="492"/>
    </row>
    <row r="779" spans="3:3" ht="15.75" thickBot="1" x14ac:dyDescent="0.3">
      <c r="C779" s="492"/>
    </row>
    <row r="780" spans="3:3" ht="15.75" thickBot="1" x14ac:dyDescent="0.3">
      <c r="C780" s="492"/>
    </row>
    <row r="781" spans="3:3" ht="15.75" thickBot="1" x14ac:dyDescent="0.3">
      <c r="C781" s="492"/>
    </row>
    <row r="782" spans="3:3" ht="15.75" thickBot="1" x14ac:dyDescent="0.3">
      <c r="C782" s="492"/>
    </row>
    <row r="783" spans="3:3" ht="15.75" thickBot="1" x14ac:dyDescent="0.3">
      <c r="C783" s="492"/>
    </row>
    <row r="784" spans="3:3" ht="15.75" thickBot="1" x14ac:dyDescent="0.3">
      <c r="C784" s="492"/>
    </row>
    <row r="785" spans="3:3" ht="15.75" thickBot="1" x14ac:dyDescent="0.3">
      <c r="C785" s="492"/>
    </row>
    <row r="786" spans="3:3" ht="15.75" thickBot="1" x14ac:dyDescent="0.3">
      <c r="C786" s="492"/>
    </row>
    <row r="787" spans="3:3" ht="15.75" thickBot="1" x14ac:dyDescent="0.3">
      <c r="C787" s="492"/>
    </row>
    <row r="788" spans="3:3" ht="15.75" thickBot="1" x14ac:dyDescent="0.3">
      <c r="C788" s="492"/>
    </row>
    <row r="789" spans="3:3" ht="15.75" thickBot="1" x14ac:dyDescent="0.3">
      <c r="C789" s="492"/>
    </row>
    <row r="790" spans="3:3" ht="15.75" thickBot="1" x14ac:dyDescent="0.3">
      <c r="C790" s="492"/>
    </row>
    <row r="791" spans="3:3" ht="15.75" thickBot="1" x14ac:dyDescent="0.3">
      <c r="C791" s="492"/>
    </row>
    <row r="792" spans="3:3" ht="15.75" thickBot="1" x14ac:dyDescent="0.3">
      <c r="C792" s="492"/>
    </row>
    <row r="793" spans="3:3" ht="15.75" thickBot="1" x14ac:dyDescent="0.3">
      <c r="C793" s="492"/>
    </row>
    <row r="794" spans="3:3" ht="15.75" thickBot="1" x14ac:dyDescent="0.3">
      <c r="C794" s="492"/>
    </row>
    <row r="795" spans="3:3" ht="15.75" thickBot="1" x14ac:dyDescent="0.3">
      <c r="C795" s="492"/>
    </row>
    <row r="796" spans="3:3" ht="15.75" thickBot="1" x14ac:dyDescent="0.3">
      <c r="C796" s="492"/>
    </row>
    <row r="797" spans="3:3" ht="15.75" thickBot="1" x14ac:dyDescent="0.3">
      <c r="C797" s="492"/>
    </row>
    <row r="798" spans="3:3" ht="15.75" thickBot="1" x14ac:dyDescent="0.3">
      <c r="C798" s="492"/>
    </row>
    <row r="799" spans="3:3" ht="15.75" thickBot="1" x14ac:dyDescent="0.3">
      <c r="C799" s="492"/>
    </row>
    <row r="800" spans="3:3" ht="15.75" thickBot="1" x14ac:dyDescent="0.3">
      <c r="C800" s="492"/>
    </row>
    <row r="801" spans="3:3" ht="15.75" thickBot="1" x14ac:dyDescent="0.3">
      <c r="C801" s="492"/>
    </row>
    <row r="802" spans="3:3" ht="15.75" thickBot="1" x14ac:dyDescent="0.3">
      <c r="C802" s="492"/>
    </row>
    <row r="803" spans="3:3" ht="15.75" thickBot="1" x14ac:dyDescent="0.3">
      <c r="C803" s="492"/>
    </row>
    <row r="804" spans="3:3" ht="15.75" thickBot="1" x14ac:dyDescent="0.3">
      <c r="C804" s="492"/>
    </row>
    <row r="805" spans="3:3" ht="15.75" thickBot="1" x14ac:dyDescent="0.3">
      <c r="C805" s="492"/>
    </row>
    <row r="806" spans="3:3" ht="15.75" thickBot="1" x14ac:dyDescent="0.3">
      <c r="C806" s="492"/>
    </row>
    <row r="807" spans="3:3" ht="15.75" thickBot="1" x14ac:dyDescent="0.3">
      <c r="C807" s="492"/>
    </row>
    <row r="808" spans="3:3" ht="15.75" thickBot="1" x14ac:dyDescent="0.3">
      <c r="C808" s="492"/>
    </row>
    <row r="809" spans="3:3" ht="15.75" thickBot="1" x14ac:dyDescent="0.3">
      <c r="C809" s="492"/>
    </row>
    <row r="810" spans="3:3" ht="15.75" thickBot="1" x14ac:dyDescent="0.3">
      <c r="C810" s="492"/>
    </row>
    <row r="811" spans="3:3" ht="15.75" thickBot="1" x14ac:dyDescent="0.3">
      <c r="C811" s="492"/>
    </row>
    <row r="812" spans="3:3" ht="15.75" thickBot="1" x14ac:dyDescent="0.3">
      <c r="C812" s="492"/>
    </row>
    <row r="813" spans="3:3" ht="15.75" thickBot="1" x14ac:dyDescent="0.3">
      <c r="C813" s="492"/>
    </row>
    <row r="814" spans="3:3" ht="15.75" thickBot="1" x14ac:dyDescent="0.3">
      <c r="C814" s="492"/>
    </row>
    <row r="815" spans="3:3" ht="15.75" thickBot="1" x14ac:dyDescent="0.3">
      <c r="C815" s="492"/>
    </row>
    <row r="816" spans="3:3" ht="15.75" thickBot="1" x14ac:dyDescent="0.3">
      <c r="C816" s="492"/>
    </row>
    <row r="817" spans="3:3" ht="15.75" thickBot="1" x14ac:dyDescent="0.3">
      <c r="C817" s="492"/>
    </row>
    <row r="818" spans="3:3" ht="15.75" thickBot="1" x14ac:dyDescent="0.3">
      <c r="C818" s="492"/>
    </row>
    <row r="819" spans="3:3" ht="15.75" thickBot="1" x14ac:dyDescent="0.3">
      <c r="C819" s="492"/>
    </row>
    <row r="820" spans="3:3" ht="15.75" thickBot="1" x14ac:dyDescent="0.3">
      <c r="C820" s="492"/>
    </row>
    <row r="821" spans="3:3" ht="15.75" thickBot="1" x14ac:dyDescent="0.3">
      <c r="C821" s="492"/>
    </row>
    <row r="822" spans="3:3" ht="15.75" thickBot="1" x14ac:dyDescent="0.3">
      <c r="C822" s="492"/>
    </row>
    <row r="823" spans="3:3" ht="15.75" thickBot="1" x14ac:dyDescent="0.3">
      <c r="C823" s="492"/>
    </row>
    <row r="824" spans="3:3" ht="15.75" thickBot="1" x14ac:dyDescent="0.3">
      <c r="C824" s="492"/>
    </row>
    <row r="825" spans="3:3" ht="15.75" thickBot="1" x14ac:dyDescent="0.3">
      <c r="C825" s="492"/>
    </row>
    <row r="826" spans="3:3" ht="15.75" thickBot="1" x14ac:dyDescent="0.3">
      <c r="C826" s="492"/>
    </row>
    <row r="827" spans="3:3" ht="15.75" thickBot="1" x14ac:dyDescent="0.3">
      <c r="C827" s="492"/>
    </row>
    <row r="828" spans="3:3" ht="15.75" thickBot="1" x14ac:dyDescent="0.3">
      <c r="C828" s="492"/>
    </row>
    <row r="829" spans="3:3" ht="15.75" thickBot="1" x14ac:dyDescent="0.3">
      <c r="C829" s="492"/>
    </row>
    <row r="830" spans="3:3" ht="15.75" thickBot="1" x14ac:dyDescent="0.3">
      <c r="C830" s="492"/>
    </row>
    <row r="831" spans="3:3" ht="15.75" thickBot="1" x14ac:dyDescent="0.3">
      <c r="C831" s="492"/>
    </row>
    <row r="832" spans="3:3" ht="15.75" thickBot="1" x14ac:dyDescent="0.3">
      <c r="C832" s="492"/>
    </row>
    <row r="833" spans="3:3" ht="15.75" thickBot="1" x14ac:dyDescent="0.3">
      <c r="C833" s="492"/>
    </row>
    <row r="834" spans="3:3" ht="15.75" thickBot="1" x14ac:dyDescent="0.3">
      <c r="C834" s="492"/>
    </row>
    <row r="835" spans="3:3" ht="15.75" thickBot="1" x14ac:dyDescent="0.3">
      <c r="C835" s="492"/>
    </row>
    <row r="836" spans="3:3" ht="15.75" thickBot="1" x14ac:dyDescent="0.3">
      <c r="C836" s="492"/>
    </row>
    <row r="837" spans="3:3" ht="15.75" thickBot="1" x14ac:dyDescent="0.3">
      <c r="C837" s="492"/>
    </row>
    <row r="838" spans="3:3" ht="15.75" thickBot="1" x14ac:dyDescent="0.3">
      <c r="C838" s="492"/>
    </row>
    <row r="839" spans="3:3" ht="15.75" thickBot="1" x14ac:dyDescent="0.3">
      <c r="C839" s="492"/>
    </row>
    <row r="840" spans="3:3" ht="15.75" thickBot="1" x14ac:dyDescent="0.3">
      <c r="C840" s="492"/>
    </row>
    <row r="841" spans="3:3" ht="15.75" thickBot="1" x14ac:dyDescent="0.3">
      <c r="C841" s="492"/>
    </row>
    <row r="842" spans="3:3" ht="15.75" thickBot="1" x14ac:dyDescent="0.3">
      <c r="C842" s="492"/>
    </row>
    <row r="843" spans="3:3" ht="15.75" thickBot="1" x14ac:dyDescent="0.3">
      <c r="C843" s="492"/>
    </row>
    <row r="844" spans="3:3" ht="15.75" thickBot="1" x14ac:dyDescent="0.3">
      <c r="C844" s="492"/>
    </row>
    <row r="845" spans="3:3" ht="15.75" thickBot="1" x14ac:dyDescent="0.3">
      <c r="C845" s="492"/>
    </row>
    <row r="846" spans="3:3" ht="15.75" thickBot="1" x14ac:dyDescent="0.3">
      <c r="C846" s="492"/>
    </row>
    <row r="847" spans="3:3" ht="15.75" thickBot="1" x14ac:dyDescent="0.3">
      <c r="C847" s="492"/>
    </row>
    <row r="848" spans="3:3" ht="15.75" thickBot="1" x14ac:dyDescent="0.3">
      <c r="C848" s="492"/>
    </row>
    <row r="849" spans="3:3" ht="15.75" thickBot="1" x14ac:dyDescent="0.3">
      <c r="C849" s="492"/>
    </row>
    <row r="850" spans="3:3" ht="15.75" thickBot="1" x14ac:dyDescent="0.3">
      <c r="C850" s="492"/>
    </row>
    <row r="851" spans="3:3" ht="15.75" thickBot="1" x14ac:dyDescent="0.3">
      <c r="C851" s="492"/>
    </row>
    <row r="852" spans="3:3" ht="15.75" thickBot="1" x14ac:dyDescent="0.3">
      <c r="C852" s="492"/>
    </row>
    <row r="853" spans="3:3" ht="15.75" thickBot="1" x14ac:dyDescent="0.3">
      <c r="C853" s="492"/>
    </row>
    <row r="854" spans="3:3" ht="15.75" thickBot="1" x14ac:dyDescent="0.3">
      <c r="C854" s="492"/>
    </row>
    <row r="855" spans="3:3" ht="15.75" thickBot="1" x14ac:dyDescent="0.3">
      <c r="C855" s="492"/>
    </row>
    <row r="856" spans="3:3" ht="15.75" thickBot="1" x14ac:dyDescent="0.3">
      <c r="C856" s="492"/>
    </row>
    <row r="857" spans="3:3" ht="15.75" thickBot="1" x14ac:dyDescent="0.3">
      <c r="C857" s="492"/>
    </row>
    <row r="858" spans="3:3" ht="15.75" thickBot="1" x14ac:dyDescent="0.3">
      <c r="C858" s="492"/>
    </row>
    <row r="859" spans="3:3" ht="15.75" thickBot="1" x14ac:dyDescent="0.3">
      <c r="C859" s="492"/>
    </row>
    <row r="860" spans="3:3" ht="15.75" thickBot="1" x14ac:dyDescent="0.3">
      <c r="C860" s="492"/>
    </row>
    <row r="861" spans="3:3" ht="15.75" thickBot="1" x14ac:dyDescent="0.3">
      <c r="C861" s="492"/>
    </row>
    <row r="862" spans="3:3" ht="15.75" thickBot="1" x14ac:dyDescent="0.3">
      <c r="C862" s="492"/>
    </row>
    <row r="863" spans="3:3" ht="15.75" thickBot="1" x14ac:dyDescent="0.3">
      <c r="C863" s="492"/>
    </row>
    <row r="864" spans="3:3" ht="15.75" thickBot="1" x14ac:dyDescent="0.3">
      <c r="C864" s="492"/>
    </row>
    <row r="865" spans="3:3" ht="15.75" thickBot="1" x14ac:dyDescent="0.3">
      <c r="C865" s="492"/>
    </row>
    <row r="866" spans="3:3" ht="15.75" thickBot="1" x14ac:dyDescent="0.3">
      <c r="C866" s="492"/>
    </row>
    <row r="867" spans="3:3" ht="15.75" thickBot="1" x14ac:dyDescent="0.3">
      <c r="C867" s="492"/>
    </row>
    <row r="868" spans="3:3" ht="15.75" thickBot="1" x14ac:dyDescent="0.3">
      <c r="C868" s="492"/>
    </row>
    <row r="869" spans="3:3" ht="15.75" thickBot="1" x14ac:dyDescent="0.3">
      <c r="C869" s="492"/>
    </row>
    <row r="870" spans="3:3" ht="15.75" thickBot="1" x14ac:dyDescent="0.3">
      <c r="C870" s="492"/>
    </row>
    <row r="871" spans="3:3" ht="15.75" thickBot="1" x14ac:dyDescent="0.3">
      <c r="C871" s="492"/>
    </row>
    <row r="872" spans="3:3" ht="15.75" thickBot="1" x14ac:dyDescent="0.3">
      <c r="C872" s="492"/>
    </row>
    <row r="873" spans="3:3" ht="15.75" thickBot="1" x14ac:dyDescent="0.3">
      <c r="C873" s="492"/>
    </row>
    <row r="874" spans="3:3" ht="15.75" thickBot="1" x14ac:dyDescent="0.3">
      <c r="C874" s="492"/>
    </row>
    <row r="875" spans="3:3" ht="15.75" thickBot="1" x14ac:dyDescent="0.3">
      <c r="C875" s="492"/>
    </row>
    <row r="876" spans="3:3" ht="15.75" thickBot="1" x14ac:dyDescent="0.3">
      <c r="C876" s="492"/>
    </row>
    <row r="877" spans="3:3" ht="15.75" thickBot="1" x14ac:dyDescent="0.3">
      <c r="C877" s="492"/>
    </row>
    <row r="878" spans="3:3" ht="15.75" thickBot="1" x14ac:dyDescent="0.3">
      <c r="C878" s="492"/>
    </row>
    <row r="879" spans="3:3" ht="15.75" thickBot="1" x14ac:dyDescent="0.3">
      <c r="C879" s="492"/>
    </row>
    <row r="880" spans="3:3" ht="15.75" thickBot="1" x14ac:dyDescent="0.3">
      <c r="C880" s="492"/>
    </row>
    <row r="881" spans="3:3" ht="15.75" thickBot="1" x14ac:dyDescent="0.3">
      <c r="C881" s="492"/>
    </row>
    <row r="882" spans="3:3" ht="15.75" thickBot="1" x14ac:dyDescent="0.3">
      <c r="C882" s="492"/>
    </row>
    <row r="883" spans="3:3" ht="15.75" thickBot="1" x14ac:dyDescent="0.3">
      <c r="C883" s="492"/>
    </row>
    <row r="884" spans="3:3" ht="15.75" thickBot="1" x14ac:dyDescent="0.3">
      <c r="C884" s="492"/>
    </row>
    <row r="885" spans="3:3" ht="15.75" thickBot="1" x14ac:dyDescent="0.3">
      <c r="C885" s="492"/>
    </row>
    <row r="886" spans="3:3" ht="15.75" thickBot="1" x14ac:dyDescent="0.3">
      <c r="C886" s="492"/>
    </row>
    <row r="887" spans="3:3" ht="15.75" thickBot="1" x14ac:dyDescent="0.3">
      <c r="C887" s="492"/>
    </row>
    <row r="888" spans="3:3" ht="15.75" thickBot="1" x14ac:dyDescent="0.3">
      <c r="C888" s="492"/>
    </row>
    <row r="889" spans="3:3" ht="15.75" thickBot="1" x14ac:dyDescent="0.3">
      <c r="C889" s="492"/>
    </row>
    <row r="890" spans="3:3" ht="15.75" thickBot="1" x14ac:dyDescent="0.3">
      <c r="C890" s="492"/>
    </row>
    <row r="891" spans="3:3" ht="15.75" thickBot="1" x14ac:dyDescent="0.3">
      <c r="C891" s="492"/>
    </row>
    <row r="892" spans="3:3" ht="15.75" thickBot="1" x14ac:dyDescent="0.3">
      <c r="C892" s="492"/>
    </row>
    <row r="893" spans="3:3" ht="15.75" thickBot="1" x14ac:dyDescent="0.3">
      <c r="C893" s="492"/>
    </row>
    <row r="894" spans="3:3" ht="15.75" thickBot="1" x14ac:dyDescent="0.3">
      <c r="C894" s="492"/>
    </row>
    <row r="895" spans="3:3" ht="15.75" thickBot="1" x14ac:dyDescent="0.3">
      <c r="C895" s="492"/>
    </row>
    <row r="896" spans="3:3" ht="15.75" thickBot="1" x14ac:dyDescent="0.3">
      <c r="C896" s="492"/>
    </row>
    <row r="897" spans="3:3" ht="15.75" thickBot="1" x14ac:dyDescent="0.3">
      <c r="C897" s="492"/>
    </row>
    <row r="898" spans="3:3" ht="15.75" thickBot="1" x14ac:dyDescent="0.3">
      <c r="C898" s="492"/>
    </row>
    <row r="899" spans="3:3" ht="15.75" thickBot="1" x14ac:dyDescent="0.3">
      <c r="C899" s="492"/>
    </row>
    <row r="900" spans="3:3" ht="15.75" thickBot="1" x14ac:dyDescent="0.3">
      <c r="C900" s="492"/>
    </row>
    <row r="901" spans="3:3" ht="15.75" thickBot="1" x14ac:dyDescent="0.3">
      <c r="C901" s="492"/>
    </row>
    <row r="902" spans="3:3" ht="15.75" thickBot="1" x14ac:dyDescent="0.3">
      <c r="C902" s="492"/>
    </row>
    <row r="903" spans="3:3" ht="15.75" thickBot="1" x14ac:dyDescent="0.3">
      <c r="C903" s="492"/>
    </row>
    <row r="904" spans="3:3" ht="15.75" thickBot="1" x14ac:dyDescent="0.3">
      <c r="C904" s="492"/>
    </row>
    <row r="905" spans="3:3" ht="15.75" thickBot="1" x14ac:dyDescent="0.3">
      <c r="C905" s="492"/>
    </row>
    <row r="906" spans="3:3" ht="15.75" thickBot="1" x14ac:dyDescent="0.3">
      <c r="C906" s="492"/>
    </row>
    <row r="907" spans="3:3" ht="15.75" thickBot="1" x14ac:dyDescent="0.3">
      <c r="C907" s="492"/>
    </row>
    <row r="908" spans="3:3" ht="15.75" thickBot="1" x14ac:dyDescent="0.3">
      <c r="C908" s="492"/>
    </row>
    <row r="909" spans="3:3" ht="15.75" thickBot="1" x14ac:dyDescent="0.3">
      <c r="C909" s="492"/>
    </row>
    <row r="910" spans="3:3" ht="15.75" thickBot="1" x14ac:dyDescent="0.3">
      <c r="C910" s="492"/>
    </row>
    <row r="911" spans="3:3" ht="15.75" thickBot="1" x14ac:dyDescent="0.3">
      <c r="C911" s="492"/>
    </row>
    <row r="912" spans="3:3" ht="15.75" thickBot="1" x14ac:dyDescent="0.3">
      <c r="C912" s="492"/>
    </row>
    <row r="913" spans="3:3" ht="15.75" thickBot="1" x14ac:dyDescent="0.3">
      <c r="C913" s="492"/>
    </row>
    <row r="914" spans="3:3" ht="15.75" thickBot="1" x14ac:dyDescent="0.3">
      <c r="C914" s="492"/>
    </row>
    <row r="915" spans="3:3" ht="15.75" thickBot="1" x14ac:dyDescent="0.3">
      <c r="C915" s="492"/>
    </row>
    <row r="916" spans="3:3" ht="15.75" thickBot="1" x14ac:dyDescent="0.3">
      <c r="C916" s="492"/>
    </row>
    <row r="917" spans="3:3" ht="15.75" thickBot="1" x14ac:dyDescent="0.3">
      <c r="C917" s="492"/>
    </row>
    <row r="918" spans="3:3" ht="15.75" thickBot="1" x14ac:dyDescent="0.3">
      <c r="C918" s="492"/>
    </row>
    <row r="919" spans="3:3" ht="15.75" thickBot="1" x14ac:dyDescent="0.3">
      <c r="C919" s="492"/>
    </row>
    <row r="920" spans="3:3" ht="15.75" thickBot="1" x14ac:dyDescent="0.3">
      <c r="C920" s="492"/>
    </row>
    <row r="921" spans="3:3" ht="15.75" thickBot="1" x14ac:dyDescent="0.3">
      <c r="C921" s="492"/>
    </row>
    <row r="922" spans="3:3" ht="15.75" thickBot="1" x14ac:dyDescent="0.3">
      <c r="C922" s="492"/>
    </row>
    <row r="923" spans="3:3" ht="15.75" thickBot="1" x14ac:dyDescent="0.3">
      <c r="C923" s="492"/>
    </row>
    <row r="924" spans="3:3" ht="15.75" thickBot="1" x14ac:dyDescent="0.3">
      <c r="C924" s="492"/>
    </row>
    <row r="925" spans="3:3" ht="15.75" thickBot="1" x14ac:dyDescent="0.3">
      <c r="C925" s="492"/>
    </row>
    <row r="926" spans="3:3" ht="15.75" thickBot="1" x14ac:dyDescent="0.3">
      <c r="C926" s="492"/>
    </row>
    <row r="927" spans="3:3" ht="15.75" thickBot="1" x14ac:dyDescent="0.3">
      <c r="C927" s="492"/>
    </row>
    <row r="928" spans="3:3" ht="15.75" thickBot="1" x14ac:dyDescent="0.3">
      <c r="C928" s="492"/>
    </row>
    <row r="929" spans="3:3" ht="15.75" thickBot="1" x14ac:dyDescent="0.3">
      <c r="C929" s="492"/>
    </row>
    <row r="930" spans="3:3" ht="15.75" thickBot="1" x14ac:dyDescent="0.3">
      <c r="C930" s="492"/>
    </row>
    <row r="931" spans="3:3" ht="15.75" thickBot="1" x14ac:dyDescent="0.3">
      <c r="C931" s="492"/>
    </row>
    <row r="932" spans="3:3" ht="15.75" thickBot="1" x14ac:dyDescent="0.3">
      <c r="C932" s="492"/>
    </row>
    <row r="933" spans="3:3" ht="15.75" thickBot="1" x14ac:dyDescent="0.3">
      <c r="C933" s="492"/>
    </row>
    <row r="934" spans="3:3" ht="15.75" thickBot="1" x14ac:dyDescent="0.3">
      <c r="C934" s="492"/>
    </row>
    <row r="935" spans="3:3" ht="15.75" thickBot="1" x14ac:dyDescent="0.3">
      <c r="C935" s="492"/>
    </row>
    <row r="936" spans="3:3" ht="15.75" thickBot="1" x14ac:dyDescent="0.3">
      <c r="C936" s="492"/>
    </row>
    <row r="937" spans="3:3" ht="15.75" thickBot="1" x14ac:dyDescent="0.3">
      <c r="C937" s="492"/>
    </row>
    <row r="938" spans="3:3" ht="15.75" thickBot="1" x14ac:dyDescent="0.3">
      <c r="C938" s="492"/>
    </row>
    <row r="939" spans="3:3" ht="15.75" thickBot="1" x14ac:dyDescent="0.3">
      <c r="C939" s="492"/>
    </row>
    <row r="940" spans="3:3" ht="15.75" thickBot="1" x14ac:dyDescent="0.3">
      <c r="C940" s="492"/>
    </row>
    <row r="941" spans="3:3" ht="15.75" thickBot="1" x14ac:dyDescent="0.3">
      <c r="C941" s="492"/>
    </row>
    <row r="942" spans="3:3" ht="15.75" thickBot="1" x14ac:dyDescent="0.3">
      <c r="C942" s="492"/>
    </row>
    <row r="943" spans="3:3" ht="15.75" thickBot="1" x14ac:dyDescent="0.3">
      <c r="C943" s="492"/>
    </row>
    <row r="944" spans="3:3" ht="15.75" thickBot="1" x14ac:dyDescent="0.3">
      <c r="C944" s="492"/>
    </row>
    <row r="945" spans="3:3" ht="15.75" thickBot="1" x14ac:dyDescent="0.3">
      <c r="C945" s="492"/>
    </row>
    <row r="946" spans="3:3" ht="15.75" thickBot="1" x14ac:dyDescent="0.3">
      <c r="C946" s="492"/>
    </row>
    <row r="947" spans="3:3" ht="15.75" thickBot="1" x14ac:dyDescent="0.3">
      <c r="C947" s="492"/>
    </row>
    <row r="948" spans="3:3" ht="15.75" thickBot="1" x14ac:dyDescent="0.3">
      <c r="C948" s="492"/>
    </row>
    <row r="949" spans="3:3" ht="15.75" thickBot="1" x14ac:dyDescent="0.3">
      <c r="C949" s="492"/>
    </row>
    <row r="950" spans="3:3" ht="15.75" thickBot="1" x14ac:dyDescent="0.3">
      <c r="C950" s="492"/>
    </row>
    <row r="951" spans="3:3" ht="15.75" thickBot="1" x14ac:dyDescent="0.3">
      <c r="C951" s="492"/>
    </row>
    <row r="952" spans="3:3" ht="15.75" thickBot="1" x14ac:dyDescent="0.3">
      <c r="C952" s="492"/>
    </row>
    <row r="953" spans="3:3" ht="15.75" thickBot="1" x14ac:dyDescent="0.3">
      <c r="C953" s="492"/>
    </row>
    <row r="954" spans="3:3" ht="15.75" thickBot="1" x14ac:dyDescent="0.3">
      <c r="C954" s="492"/>
    </row>
    <row r="955" spans="3:3" ht="15.75" thickBot="1" x14ac:dyDescent="0.3">
      <c r="C955" s="492"/>
    </row>
    <row r="956" spans="3:3" ht="15.75" thickBot="1" x14ac:dyDescent="0.3">
      <c r="C956" s="492"/>
    </row>
    <row r="957" spans="3:3" ht="15.75" thickBot="1" x14ac:dyDescent="0.3">
      <c r="C957" s="492"/>
    </row>
    <row r="958" spans="3:3" ht="15.75" thickBot="1" x14ac:dyDescent="0.3">
      <c r="C958" s="492"/>
    </row>
    <row r="959" spans="3:3" ht="15.75" thickBot="1" x14ac:dyDescent="0.3">
      <c r="C959" s="492"/>
    </row>
    <row r="960" spans="3:3" ht="15.75" thickBot="1" x14ac:dyDescent="0.3">
      <c r="C960" s="492"/>
    </row>
    <row r="961" spans="3:3" ht="15.75" thickBot="1" x14ac:dyDescent="0.3">
      <c r="C961" s="492"/>
    </row>
    <row r="962" spans="3:3" ht="15.75" thickBot="1" x14ac:dyDescent="0.3">
      <c r="C962" s="492"/>
    </row>
    <row r="963" spans="3:3" ht="15.75" thickBot="1" x14ac:dyDescent="0.3">
      <c r="C963" s="492"/>
    </row>
    <row r="964" spans="3:3" ht="15.75" thickBot="1" x14ac:dyDescent="0.3">
      <c r="C964" s="492"/>
    </row>
    <row r="965" spans="3:3" ht="15.75" thickBot="1" x14ac:dyDescent="0.3">
      <c r="C965" s="492"/>
    </row>
    <row r="966" spans="3:3" ht="15.75" thickBot="1" x14ac:dyDescent="0.3">
      <c r="C966" s="492"/>
    </row>
    <row r="967" spans="3:3" ht="15.75" thickBot="1" x14ac:dyDescent="0.3">
      <c r="C967" s="492"/>
    </row>
    <row r="968" spans="3:3" ht="15.75" thickBot="1" x14ac:dyDescent="0.3">
      <c r="C968" s="492"/>
    </row>
    <row r="969" spans="3:3" ht="15.75" thickBot="1" x14ac:dyDescent="0.3">
      <c r="C969" s="492"/>
    </row>
    <row r="970" spans="3:3" ht="15.75" thickBot="1" x14ac:dyDescent="0.3">
      <c r="C970" s="492"/>
    </row>
    <row r="971" spans="3:3" ht="15.75" thickBot="1" x14ac:dyDescent="0.3">
      <c r="C971" s="492"/>
    </row>
    <row r="972" spans="3:3" ht="15.75" thickBot="1" x14ac:dyDescent="0.3">
      <c r="C972" s="492"/>
    </row>
    <row r="973" spans="3:3" ht="15.75" thickBot="1" x14ac:dyDescent="0.3">
      <c r="C973" s="492"/>
    </row>
    <row r="974" spans="3:3" ht="15.75" thickBot="1" x14ac:dyDescent="0.3">
      <c r="C974" s="492"/>
    </row>
    <row r="975" spans="3:3" ht="15.75" thickBot="1" x14ac:dyDescent="0.3">
      <c r="C975" s="492"/>
    </row>
    <row r="976" spans="3:3" ht="15.75" thickBot="1" x14ac:dyDescent="0.3">
      <c r="C976" s="492"/>
    </row>
    <row r="977" spans="3:3" ht="15.75" thickBot="1" x14ac:dyDescent="0.3">
      <c r="C977" s="492"/>
    </row>
    <row r="978" spans="3:3" ht="15.75" thickBot="1" x14ac:dyDescent="0.3">
      <c r="C978" s="492"/>
    </row>
    <row r="979" spans="3:3" ht="15.75" thickBot="1" x14ac:dyDescent="0.3">
      <c r="C979" s="492"/>
    </row>
    <row r="980" spans="3:3" ht="15.75" thickBot="1" x14ac:dyDescent="0.3">
      <c r="C980" s="492"/>
    </row>
    <row r="981" spans="3:3" ht="15.75" thickBot="1" x14ac:dyDescent="0.3">
      <c r="C981" s="492"/>
    </row>
    <row r="982" spans="3:3" ht="15.75" thickBot="1" x14ac:dyDescent="0.3">
      <c r="C982" s="492"/>
    </row>
    <row r="983" spans="3:3" ht="15.75" thickBot="1" x14ac:dyDescent="0.3">
      <c r="C983" s="492"/>
    </row>
    <row r="984" spans="3:3" ht="15.75" thickBot="1" x14ac:dyDescent="0.3">
      <c r="C984" s="492"/>
    </row>
    <row r="985" spans="3:3" ht="15.75" thickBot="1" x14ac:dyDescent="0.3">
      <c r="C985" s="492"/>
    </row>
    <row r="986" spans="3:3" ht="15.75" thickBot="1" x14ac:dyDescent="0.3">
      <c r="C986" s="492"/>
    </row>
    <row r="987" spans="3:3" ht="15.75" thickBot="1" x14ac:dyDescent="0.3">
      <c r="C987" s="492"/>
    </row>
    <row r="988" spans="3:3" ht="15.75" thickBot="1" x14ac:dyDescent="0.3">
      <c r="C988" s="492"/>
    </row>
    <row r="989" spans="3:3" ht="15.75" thickBot="1" x14ac:dyDescent="0.3">
      <c r="C989" s="492"/>
    </row>
    <row r="990" spans="3:3" ht="15.75" thickBot="1" x14ac:dyDescent="0.3">
      <c r="C990" s="492"/>
    </row>
    <row r="991" spans="3:3" ht="15.75" thickBot="1" x14ac:dyDescent="0.3">
      <c r="C991" s="492"/>
    </row>
    <row r="992" spans="3:3" ht="15.75" thickBot="1" x14ac:dyDescent="0.3">
      <c r="C992" s="492"/>
    </row>
    <row r="993" spans="3:3" ht="15.75" thickBot="1" x14ac:dyDescent="0.3">
      <c r="C993" s="492"/>
    </row>
    <row r="994" spans="3:3" ht="15.75" thickBot="1" x14ac:dyDescent="0.3">
      <c r="C994" s="492"/>
    </row>
    <row r="995" spans="3:3" ht="15.75" thickBot="1" x14ac:dyDescent="0.3">
      <c r="C995" s="492"/>
    </row>
    <row r="996" spans="3:3" ht="15.75" thickBot="1" x14ac:dyDescent="0.3">
      <c r="C996" s="492"/>
    </row>
    <row r="997" spans="3:3" ht="15.75" thickBot="1" x14ac:dyDescent="0.3">
      <c r="C997" s="492"/>
    </row>
    <row r="998" spans="3:3" ht="15.75" thickBot="1" x14ac:dyDescent="0.3">
      <c r="C998" s="492"/>
    </row>
    <row r="999" spans="3:3" ht="15.75" thickBot="1" x14ac:dyDescent="0.3">
      <c r="C999" s="492"/>
    </row>
    <row r="1000" spans="3:3" ht="15.75" thickBot="1" x14ac:dyDescent="0.3">
      <c r="C1000" s="492"/>
    </row>
    <row r="1001" spans="3:3" ht="15.75" thickBot="1" x14ac:dyDescent="0.3">
      <c r="C1001" s="492"/>
    </row>
    <row r="1002" spans="3:3" ht="15.75" thickBot="1" x14ac:dyDescent="0.3">
      <c r="C1002" s="492"/>
    </row>
    <row r="1003" spans="3:3" ht="15.75" thickBot="1" x14ac:dyDescent="0.3">
      <c r="C1003" s="492"/>
    </row>
    <row r="1004" spans="3:3" ht="15.75" thickBot="1" x14ac:dyDescent="0.3">
      <c r="C1004" s="492"/>
    </row>
    <row r="1005" spans="3:3" ht="15.75" thickBot="1" x14ac:dyDescent="0.3">
      <c r="C1005" s="492"/>
    </row>
    <row r="1006" spans="3:3" ht="15.75" thickBot="1" x14ac:dyDescent="0.3">
      <c r="C1006" s="492"/>
    </row>
    <row r="1007" spans="3:3" ht="15.75" thickBot="1" x14ac:dyDescent="0.3">
      <c r="C1007" s="49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topLeftCell="A34" workbookViewId="0"/>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1"/>
    <col min="69" max="72" width="11.42578125" style="41"/>
    <col min="73" max="73" width="12.85546875" style="41" customWidth="1"/>
    <col min="74" max="74" width="13" style="41" customWidth="1"/>
    <col min="75" max="16384" width="11.42578125" style="41"/>
  </cols>
  <sheetData>
    <row r="1" spans="1:72" s="261" customFormat="1" x14ac:dyDescent="0.25">
      <c r="AP1" s="220" t="s">
        <v>25</v>
      </c>
      <c r="AQ1" s="220" t="s">
        <v>272</v>
      </c>
      <c r="AR1" s="220" t="s">
        <v>74</v>
      </c>
    </row>
    <row r="2" spans="1:72" s="261" customFormat="1" x14ac:dyDescent="0.25">
      <c r="AP2" s="18">
        <v>44293</v>
      </c>
      <c r="AQ2" s="19" t="s">
        <v>273</v>
      </c>
      <c r="AR2" s="5"/>
    </row>
    <row r="3" spans="1:72" s="261" customFormat="1" x14ac:dyDescent="0.25">
      <c r="AP3" s="18">
        <v>44300</v>
      </c>
      <c r="AQ3" s="19" t="s">
        <v>274</v>
      </c>
      <c r="AR3" s="5"/>
      <c r="AT3" s="261" t="s">
        <v>291</v>
      </c>
    </row>
    <row r="4" spans="1:72" s="261" customFormat="1" x14ac:dyDescent="0.25">
      <c r="AP4" s="18">
        <v>44305</v>
      </c>
      <c r="AQ4" s="19" t="s">
        <v>275</v>
      </c>
      <c r="AR4" s="5"/>
    </row>
    <row r="5" spans="1:72" s="261" customFormat="1" x14ac:dyDescent="0.25">
      <c r="AP5" s="185">
        <v>44337</v>
      </c>
      <c r="AQ5" s="474" t="s">
        <v>305</v>
      </c>
      <c r="AS5" s="185">
        <v>44346</v>
      </c>
    </row>
    <row r="6" spans="1:72" s="261" customFormat="1" x14ac:dyDescent="0.25">
      <c r="AQ6" s="261" t="s">
        <v>292</v>
      </c>
    </row>
    <row r="7" spans="1:72" s="261" customFormat="1" x14ac:dyDescent="0.25"/>
    <row r="8" spans="1:72" s="261" customFormat="1" x14ac:dyDescent="0.25"/>
    <row r="9" spans="1:72" s="261" customFormat="1" x14ac:dyDescent="0.25"/>
    <row r="10" spans="1:72" s="261" customFormat="1" x14ac:dyDescent="0.25"/>
    <row r="11" spans="1:72" ht="15.75" thickBot="1" x14ac:dyDescent="0.3">
      <c r="A11" s="186" t="s">
        <v>24</v>
      </c>
      <c r="B11" s="187">
        <v>44219</v>
      </c>
      <c r="C11" s="187">
        <v>44220</v>
      </c>
      <c r="D11" s="187">
        <v>44221</v>
      </c>
      <c r="E11" s="187">
        <v>44222</v>
      </c>
      <c r="F11" s="187">
        <v>44223</v>
      </c>
      <c r="G11" s="187">
        <v>44224</v>
      </c>
      <c r="H11" s="187">
        <v>44225</v>
      </c>
      <c r="I11" s="187">
        <v>44226</v>
      </c>
      <c r="J11" s="187">
        <v>44227</v>
      </c>
      <c r="K11" s="187">
        <v>44228</v>
      </c>
      <c r="L11" s="187">
        <v>44229</v>
      </c>
      <c r="M11" s="187">
        <v>44230</v>
      </c>
      <c r="N11" s="187">
        <v>44231</v>
      </c>
      <c r="O11" s="187">
        <v>44232</v>
      </c>
      <c r="P11" s="187">
        <v>44233</v>
      </c>
      <c r="Q11" s="187">
        <v>44234</v>
      </c>
      <c r="R11" s="187">
        <v>44235</v>
      </c>
      <c r="S11" s="187">
        <v>44236</v>
      </c>
      <c r="T11" s="187">
        <v>44237</v>
      </c>
      <c r="U11" s="187">
        <v>44238</v>
      </c>
      <c r="V11" s="187">
        <v>44239</v>
      </c>
      <c r="W11" s="187">
        <v>44240</v>
      </c>
      <c r="X11" s="187">
        <v>44241</v>
      </c>
      <c r="Y11" s="187">
        <v>44242</v>
      </c>
      <c r="Z11" s="187">
        <v>44243</v>
      </c>
      <c r="AA11" s="187">
        <v>44244</v>
      </c>
      <c r="AB11" s="187">
        <v>44245</v>
      </c>
      <c r="AC11" s="187">
        <v>44246</v>
      </c>
      <c r="AD11" s="187">
        <v>44247</v>
      </c>
      <c r="AE11" s="187">
        <v>44248</v>
      </c>
      <c r="AF11" s="187">
        <v>44249</v>
      </c>
      <c r="AG11" s="187">
        <v>44250</v>
      </c>
      <c r="AH11" s="187">
        <v>44251</v>
      </c>
      <c r="AI11" s="187">
        <v>44252</v>
      </c>
      <c r="AJ11" s="187">
        <v>44253</v>
      </c>
      <c r="AK11" s="187">
        <v>44254</v>
      </c>
      <c r="AL11" s="187">
        <v>44255</v>
      </c>
      <c r="AM11" s="187">
        <v>44256</v>
      </c>
      <c r="AN11" s="187">
        <v>44257</v>
      </c>
      <c r="AO11" s="187">
        <v>44258</v>
      </c>
      <c r="AP11" s="187">
        <v>44259</v>
      </c>
      <c r="AQ11" s="187">
        <v>44260</v>
      </c>
      <c r="AR11" s="187">
        <v>44261</v>
      </c>
      <c r="AS11" s="187">
        <v>44262</v>
      </c>
      <c r="AT11" s="187">
        <v>44263</v>
      </c>
      <c r="AU11" s="187">
        <v>44264</v>
      </c>
      <c r="AV11" s="187">
        <v>44265</v>
      </c>
      <c r="AW11" s="187">
        <v>44266</v>
      </c>
      <c r="AX11" s="187">
        <v>44267</v>
      </c>
      <c r="AY11" s="187">
        <v>44268</v>
      </c>
      <c r="AZ11" s="187">
        <v>44269</v>
      </c>
      <c r="BA11" s="187">
        <v>44270</v>
      </c>
      <c r="BB11" s="187">
        <v>44271</v>
      </c>
      <c r="BC11" s="187">
        <v>44272</v>
      </c>
      <c r="BD11" s="187">
        <v>44273</v>
      </c>
      <c r="BE11" s="187">
        <v>44274</v>
      </c>
      <c r="BF11" s="187">
        <v>44275</v>
      </c>
      <c r="BG11" s="187">
        <v>44276</v>
      </c>
      <c r="BH11" s="187">
        <v>44277</v>
      </c>
      <c r="BI11" s="187">
        <v>44278</v>
      </c>
      <c r="BJ11" s="187">
        <v>44279</v>
      </c>
      <c r="BK11" s="187">
        <v>44280</v>
      </c>
      <c r="BL11" s="187">
        <v>44281</v>
      </c>
      <c r="BM11" s="187">
        <v>44282</v>
      </c>
      <c r="BN11" s="187">
        <v>44283</v>
      </c>
    </row>
    <row r="12" spans="1:72" ht="15.75" thickBot="1" x14ac:dyDescent="0.3">
      <c r="A12" s="188" t="s">
        <v>16</v>
      </c>
      <c r="B12" s="165">
        <v>1.0990031330105383</v>
      </c>
      <c r="C12" s="165">
        <v>1.0502371951671485</v>
      </c>
      <c r="D12" s="165">
        <v>1.036354590849625</v>
      </c>
      <c r="E12" s="165">
        <v>1.0026419123102257</v>
      </c>
      <c r="F12" s="165">
        <v>0.99338884774480229</v>
      </c>
      <c r="G12" s="165">
        <v>0.96709182759485512</v>
      </c>
      <c r="H12" s="165">
        <v>0.90940790141846373</v>
      </c>
      <c r="I12" s="165">
        <v>0.88018707342466662</v>
      </c>
      <c r="J12" s="165">
        <v>0.86598444535407282</v>
      </c>
      <c r="K12" s="165">
        <v>0.85872571643671958</v>
      </c>
      <c r="L12" s="165">
        <v>0.8484335169805115</v>
      </c>
      <c r="M12" s="165">
        <v>0.83337193144974531</v>
      </c>
      <c r="N12" s="165">
        <v>0.82756889714371773</v>
      </c>
      <c r="O12" s="165">
        <v>0.82646645085843096</v>
      </c>
      <c r="P12" s="165">
        <v>0.83700478584633464</v>
      </c>
      <c r="Q12" s="165">
        <v>0.84432289369210412</v>
      </c>
      <c r="R12" s="165">
        <v>0.83916506649598177</v>
      </c>
      <c r="S12" s="165">
        <v>0.82995542240430253</v>
      </c>
      <c r="T12" s="165">
        <v>0.8147467951631967</v>
      </c>
      <c r="U12" s="165">
        <v>0.81100305640455683</v>
      </c>
      <c r="V12" s="165">
        <v>0.79116256561069132</v>
      </c>
      <c r="W12" s="165">
        <v>0.7864666453878072</v>
      </c>
      <c r="X12" s="165">
        <v>0.77993949706938925</v>
      </c>
      <c r="Y12" s="165">
        <v>0.76338409346471248</v>
      </c>
      <c r="Z12" s="165">
        <v>0.72296419779410337</v>
      </c>
      <c r="AA12" s="165">
        <v>0.7187717104349034</v>
      </c>
      <c r="AB12" s="165">
        <v>0.7229568522787011</v>
      </c>
      <c r="AC12" s="165">
        <v>0.73459929456156181</v>
      </c>
      <c r="AD12" s="165">
        <v>0.73043657756218394</v>
      </c>
      <c r="AE12" s="165">
        <v>0.7395929114770543</v>
      </c>
      <c r="AF12" s="165">
        <v>0.74780711047078263</v>
      </c>
      <c r="AG12" s="165">
        <v>0.76836932176484662</v>
      </c>
      <c r="AH12" s="190">
        <v>0.79384917535206556</v>
      </c>
      <c r="AI12" s="190">
        <v>0.81480973916221278</v>
      </c>
      <c r="AJ12" s="190">
        <v>0.81294405495694722</v>
      </c>
      <c r="AK12" s="190">
        <v>0.82400687547746376</v>
      </c>
      <c r="AL12" s="190">
        <v>0.82926474509708858</v>
      </c>
      <c r="AM12" s="190">
        <v>0.86990063414390573</v>
      </c>
      <c r="AN12" s="190">
        <v>0.97281282676890901</v>
      </c>
      <c r="AO12" s="190">
        <v>1.0256828035679766</v>
      </c>
      <c r="AP12" s="190">
        <v>1.0334768989819891</v>
      </c>
      <c r="AQ12" s="190">
        <v>1.0300374071799452</v>
      </c>
      <c r="AR12" s="190">
        <v>1.0343921324817724</v>
      </c>
      <c r="AS12" s="190">
        <v>1.0197507840976519</v>
      </c>
      <c r="AT12" s="190">
        <v>1.022297775888936</v>
      </c>
      <c r="AU12" s="190">
        <v>1.013867270411773</v>
      </c>
      <c r="AV12" s="190">
        <v>1.0005060444194547</v>
      </c>
      <c r="AW12" s="190">
        <v>1.0030834781633682</v>
      </c>
      <c r="AX12" s="190">
        <v>1.0693966140934741</v>
      </c>
      <c r="AY12" s="190">
        <v>1.0788040329122726</v>
      </c>
      <c r="AZ12" s="190">
        <v>1.0960301683816651</v>
      </c>
      <c r="BA12" s="190">
        <v>1.0934477513417329</v>
      </c>
      <c r="BB12" s="190">
        <v>1.0730920816911502</v>
      </c>
      <c r="BC12" s="190">
        <v>1.071306795118123</v>
      </c>
      <c r="BD12" s="190">
        <v>1.0742045639330045</v>
      </c>
      <c r="BE12" s="190">
        <v>1.0742045639330045</v>
      </c>
      <c r="BF12" s="190">
        <v>1.1092806600551868</v>
      </c>
      <c r="BG12" s="190">
        <v>1.1435300637295649</v>
      </c>
      <c r="BH12" s="190">
        <v>1.1614101213901669</v>
      </c>
      <c r="BI12" s="190">
        <v>1.2041032798325191</v>
      </c>
      <c r="BJ12" s="190">
        <v>1.2300775542317635</v>
      </c>
      <c r="BK12" s="190">
        <v>1.2303822937625755</v>
      </c>
      <c r="BL12" s="190">
        <v>1.2571915676670364</v>
      </c>
      <c r="BM12" s="190">
        <v>1.3183478354280804</v>
      </c>
      <c r="BN12" s="190">
        <v>1.3551329581521885</v>
      </c>
    </row>
    <row r="13" spans="1:72" ht="15.75" thickBot="1" x14ac:dyDescent="0.3">
      <c r="A13" s="188" t="s">
        <v>43</v>
      </c>
      <c r="B13" s="165">
        <v>1.1267855967349087</v>
      </c>
      <c r="C13" s="165">
        <v>1.0551241247612986</v>
      </c>
      <c r="D13" s="165">
        <v>1.0629996193376474</v>
      </c>
      <c r="E13" s="165">
        <v>1.0099852977211468</v>
      </c>
      <c r="F13" s="165">
        <v>1.0047410649161197</v>
      </c>
      <c r="G13" s="165">
        <v>0.98677344982405046</v>
      </c>
      <c r="H13" s="165">
        <v>0.938364122226095</v>
      </c>
      <c r="I13" s="165">
        <v>0.89346694284274752</v>
      </c>
      <c r="J13" s="165">
        <v>0.85527400648601115</v>
      </c>
      <c r="K13" s="165">
        <v>0.83031427324312523</v>
      </c>
      <c r="L13" s="165">
        <v>0.82644628099173556</v>
      </c>
      <c r="M13" s="165">
        <v>0.82201379310344824</v>
      </c>
      <c r="N13" s="165">
        <v>0.83256700684086571</v>
      </c>
      <c r="O13" s="165">
        <v>0.84215926580402445</v>
      </c>
      <c r="P13" s="165">
        <v>0.85196003972658763</v>
      </c>
      <c r="Q13" s="165">
        <v>0.87198359073359077</v>
      </c>
      <c r="R13" s="165">
        <v>0.83909280811698006</v>
      </c>
      <c r="S13" s="165">
        <v>0.83429368593437259</v>
      </c>
      <c r="T13" s="165">
        <v>0.81203871748336354</v>
      </c>
      <c r="U13" s="165">
        <v>0.80472208558780123</v>
      </c>
      <c r="V13" s="165">
        <v>0.78654119977713122</v>
      </c>
      <c r="W13" s="165">
        <v>0.77036340852130325</v>
      </c>
      <c r="X13" s="165">
        <v>0.78374035989717228</v>
      </c>
      <c r="Y13" s="165">
        <v>0.7765803653568143</v>
      </c>
      <c r="Z13" s="165">
        <v>0.72761589403973514</v>
      </c>
      <c r="AA13" s="165">
        <v>0.71682663265991009</v>
      </c>
      <c r="AB13" s="165">
        <v>0.69100215517241381</v>
      </c>
      <c r="AC13" s="165">
        <v>0.67828617842155137</v>
      </c>
      <c r="AD13" s="165">
        <v>0.67777549201124598</v>
      </c>
      <c r="AE13" s="165">
        <v>0.66818873668188739</v>
      </c>
      <c r="AF13" s="165">
        <v>0.69592431894160323</v>
      </c>
      <c r="AG13" s="165">
        <v>0.69981824790985092</v>
      </c>
      <c r="AH13" s="190">
        <v>0.72368323027639125</v>
      </c>
      <c r="AI13" s="190">
        <v>0.7512224938875306</v>
      </c>
      <c r="AJ13" s="190">
        <v>0.75773317591499412</v>
      </c>
      <c r="AK13" s="190">
        <v>0.78641724278161851</v>
      </c>
      <c r="AL13" s="190">
        <v>0.77482574825748263</v>
      </c>
      <c r="AM13" s="190">
        <v>0.79455068539515994</v>
      </c>
      <c r="AN13" s="190">
        <v>0.87403294802948939</v>
      </c>
      <c r="AO13" s="190">
        <v>0.90805243445692885</v>
      </c>
      <c r="AP13" s="190">
        <v>0.93294346978557507</v>
      </c>
      <c r="AQ13" s="190">
        <v>0.95679073944716098</v>
      </c>
      <c r="AR13" s="190">
        <v>0.97561715904492108</v>
      </c>
      <c r="AS13" s="190">
        <v>1.0065230896665975</v>
      </c>
      <c r="AT13" s="190">
        <v>0.98006950122649228</v>
      </c>
      <c r="AU13" s="190">
        <v>1.0012466237274049</v>
      </c>
      <c r="AV13" s="190">
        <v>0.98507309038501134</v>
      </c>
      <c r="AW13" s="190">
        <v>0.96724979658258747</v>
      </c>
      <c r="AX13" s="190">
        <v>1.0109068245559365</v>
      </c>
      <c r="AY13" s="190">
        <v>1.0285448340055849</v>
      </c>
      <c r="AZ13" s="190">
        <v>1.0650862525134934</v>
      </c>
      <c r="BA13" s="190">
        <v>1.1414270500532482</v>
      </c>
      <c r="BB13" s="190">
        <v>1.1489117983963344</v>
      </c>
      <c r="BC13" s="190">
        <v>1.1858545758462182</v>
      </c>
      <c r="BD13" s="190">
        <v>1.1860659157279934</v>
      </c>
      <c r="BE13" s="190">
        <v>1.1860659157279934</v>
      </c>
      <c r="BF13" s="190">
        <v>1.1991081613605725</v>
      </c>
      <c r="BG13" s="190">
        <v>1.2094434728937351</v>
      </c>
      <c r="BH13" s="190">
        <v>1.2471582021065803</v>
      </c>
      <c r="BI13" s="190">
        <v>1.2722556547001453</v>
      </c>
      <c r="BJ13" s="190">
        <v>1.2782944926324591</v>
      </c>
      <c r="BK13" s="190">
        <v>1.3464773922187172</v>
      </c>
      <c r="BL13" s="190">
        <v>1.3749486230990546</v>
      </c>
      <c r="BM13" s="190">
        <v>1.4138763197586728</v>
      </c>
      <c r="BN13" s="190">
        <v>1.4456478537360891</v>
      </c>
    </row>
    <row r="14" spans="1:72" ht="15.75" thickBot="1" x14ac:dyDescent="0.3">
      <c r="A14" s="188" t="s">
        <v>28</v>
      </c>
      <c r="B14" s="165">
        <v>2.6351351351351351</v>
      </c>
      <c r="C14" s="165">
        <v>2.6097152428810722</v>
      </c>
      <c r="D14" s="165">
        <v>2.608040201005025</v>
      </c>
      <c r="E14" s="165">
        <v>2.3408748114630469</v>
      </c>
      <c r="F14" s="165">
        <v>2.3815201192250375</v>
      </c>
      <c r="G14" s="165">
        <v>2.4077961019490255</v>
      </c>
      <c r="H14" s="165">
        <v>1.2485875706214689</v>
      </c>
      <c r="I14" s="165">
        <v>0.9446227929373997</v>
      </c>
      <c r="J14" s="165">
        <v>0.90375939849624065</v>
      </c>
      <c r="K14" s="165">
        <v>0.95040116703136401</v>
      </c>
      <c r="L14" s="165">
        <v>0.87704918032786883</v>
      </c>
      <c r="M14" s="165">
        <v>0.88235294117647056</v>
      </c>
      <c r="N14" s="165">
        <v>0.86383787207093099</v>
      </c>
      <c r="O14" s="165">
        <v>0.90228426395939088</v>
      </c>
      <c r="P14" s="165">
        <v>0.92692307692307696</v>
      </c>
      <c r="Q14" s="165">
        <v>0.93709884467265725</v>
      </c>
      <c r="R14" s="165">
        <v>1.0038535645472062</v>
      </c>
      <c r="S14" s="165">
        <v>1.0109536082474226</v>
      </c>
      <c r="T14" s="165">
        <v>0.94305381727158943</v>
      </c>
      <c r="U14" s="165">
        <v>0.94707347447073476</v>
      </c>
      <c r="V14" s="165">
        <v>1.1523378582202111</v>
      </c>
      <c r="W14" s="165">
        <v>1.2914188615123194</v>
      </c>
      <c r="X14" s="165">
        <v>1.1730449251247921</v>
      </c>
      <c r="Y14" s="165">
        <v>1.0245587106676899</v>
      </c>
      <c r="Z14" s="165">
        <v>0.93769470404984423</v>
      </c>
      <c r="AA14" s="165">
        <v>0.85842696629213489</v>
      </c>
      <c r="AB14" s="165">
        <v>0.79912023460410553</v>
      </c>
      <c r="AC14" s="165">
        <v>0.7580872011251758</v>
      </c>
      <c r="AD14" s="165">
        <v>0.72821576763485474</v>
      </c>
      <c r="AE14" s="165">
        <v>0.75342465753424659</v>
      </c>
      <c r="AF14" s="165">
        <v>0.67306461932181705</v>
      </c>
      <c r="AG14" s="165">
        <v>0.65710643722116002</v>
      </c>
      <c r="AH14" s="190">
        <v>0.69741207697412078</v>
      </c>
      <c r="AI14" s="190">
        <v>0.70874424720578566</v>
      </c>
      <c r="AJ14" s="190">
        <v>0.67997382198952883</v>
      </c>
      <c r="AK14" s="190">
        <v>0.70986842105263159</v>
      </c>
      <c r="AL14" s="190">
        <v>0.7737588652482269</v>
      </c>
      <c r="AM14" s="190">
        <v>0.86891385767790263</v>
      </c>
      <c r="AN14" s="190">
        <v>1.037375415282392</v>
      </c>
      <c r="AO14" s="190">
        <v>1.0654450261780104</v>
      </c>
      <c r="AP14" s="190">
        <v>1.1119266055045871</v>
      </c>
      <c r="AQ14" s="190">
        <v>1.1419294990723563</v>
      </c>
      <c r="AR14" s="190">
        <v>1.1633428300094968</v>
      </c>
      <c r="AS14" s="190">
        <v>1.0554545454545454</v>
      </c>
      <c r="AT14" s="190">
        <v>1.0941064638783271</v>
      </c>
      <c r="AU14" s="190">
        <v>1.1454898157129001</v>
      </c>
      <c r="AV14" s="190">
        <v>1.1208372978116079</v>
      </c>
      <c r="AW14" s="190">
        <v>1.049165120593692</v>
      </c>
      <c r="AX14" s="190">
        <v>1.1058710298363812</v>
      </c>
      <c r="AY14" s="190">
        <v>1.051899907321594</v>
      </c>
      <c r="AZ14" s="190">
        <v>1.0485792850595783</v>
      </c>
      <c r="BA14" s="190">
        <v>0.93189655172413788</v>
      </c>
      <c r="BB14" s="190">
        <v>0.89271417133706965</v>
      </c>
      <c r="BC14" s="190">
        <v>1.0033003300330032</v>
      </c>
      <c r="BD14" s="190">
        <v>0.98700243704305446</v>
      </c>
      <c r="BE14" s="190">
        <v>0.98700243704305446</v>
      </c>
      <c r="BF14" s="190">
        <v>1.0138775510204081</v>
      </c>
      <c r="BG14" s="190">
        <v>1.0749354005167959</v>
      </c>
      <c r="BH14" s="190">
        <v>1.0721112076455257</v>
      </c>
      <c r="BI14" s="190">
        <v>1.0372565622353938</v>
      </c>
      <c r="BJ14" s="190">
        <v>1.0390492359932089</v>
      </c>
      <c r="BK14" s="190">
        <v>1.0848806366047745</v>
      </c>
      <c r="BL14" s="190">
        <v>1.0652741514360313</v>
      </c>
      <c r="BM14" s="190">
        <v>1.0317180616740087</v>
      </c>
      <c r="BN14" s="190">
        <v>1.0472027972027973</v>
      </c>
      <c r="BR14" s="4" t="s">
        <v>245</v>
      </c>
      <c r="BS14" s="4" t="s">
        <v>246</v>
      </c>
      <c r="BT14" s="4" t="s">
        <v>247</v>
      </c>
    </row>
    <row r="15" spans="1:72" ht="15.75" thickBot="1" x14ac:dyDescent="0.3">
      <c r="A15" s="188" t="s">
        <v>15</v>
      </c>
      <c r="B15" s="165">
        <v>0.99257007767646066</v>
      </c>
      <c r="C15" s="165">
        <v>0.93608046722907201</v>
      </c>
      <c r="D15" s="165">
        <v>0.90112359550561794</v>
      </c>
      <c r="E15" s="165">
        <v>0.88328998699609884</v>
      </c>
      <c r="F15" s="165">
        <v>0.826645264847512</v>
      </c>
      <c r="G15" s="165">
        <v>0.76202531645569616</v>
      </c>
      <c r="H15" s="165">
        <v>0.72572298325722984</v>
      </c>
      <c r="I15" s="165">
        <v>0.70541931577353922</v>
      </c>
      <c r="J15" s="165">
        <v>0.66696402022004164</v>
      </c>
      <c r="K15" s="165">
        <v>0.65935716431360769</v>
      </c>
      <c r="L15" s="165">
        <v>0.66152422091946927</v>
      </c>
      <c r="M15" s="165">
        <v>0.66232114467408587</v>
      </c>
      <c r="N15" s="165">
        <v>0.62258687258687262</v>
      </c>
      <c r="O15" s="165">
        <v>0.63903743315508021</v>
      </c>
      <c r="P15" s="165">
        <v>0.64103436543041847</v>
      </c>
      <c r="Q15" s="165">
        <v>0.64194107452339688</v>
      </c>
      <c r="R15" s="165">
        <v>0.65550409690060563</v>
      </c>
      <c r="S15" s="165">
        <v>0.67132867132867136</v>
      </c>
      <c r="T15" s="165">
        <v>0.70718446601941742</v>
      </c>
      <c r="U15" s="165">
        <v>0.75664451827242529</v>
      </c>
      <c r="V15" s="165">
        <v>0.72944630872483218</v>
      </c>
      <c r="W15" s="165">
        <v>0.72875536480686698</v>
      </c>
      <c r="X15" s="165">
        <v>0.75434685688809633</v>
      </c>
      <c r="Y15" s="165">
        <v>0.75717539863325745</v>
      </c>
      <c r="Z15" s="165">
        <v>0.73320895522388063</v>
      </c>
      <c r="AA15" s="165">
        <v>0.74843975036005761</v>
      </c>
      <c r="AB15" s="165">
        <v>0.78863049095607241</v>
      </c>
      <c r="AC15" s="165">
        <v>0.80125523012552302</v>
      </c>
      <c r="AD15" s="165">
        <v>0.83014861995753719</v>
      </c>
      <c r="AE15" s="165">
        <v>0.83153347732181426</v>
      </c>
      <c r="AF15" s="165">
        <v>0.86956521739130432</v>
      </c>
      <c r="AG15" s="165">
        <v>0.89364035087719296</v>
      </c>
      <c r="AH15" s="190">
        <v>0.9022515101592532</v>
      </c>
      <c r="AI15" s="190">
        <v>0.92151481888035125</v>
      </c>
      <c r="AJ15" s="190">
        <v>0.95629672225416906</v>
      </c>
      <c r="AK15" s="190">
        <v>0.99705535924617195</v>
      </c>
      <c r="AL15" s="190">
        <v>1.0029550827423168</v>
      </c>
      <c r="AM15" s="190">
        <v>1.0276774969915765</v>
      </c>
      <c r="AN15" s="190">
        <v>1.11323155216285</v>
      </c>
      <c r="AO15" s="190">
        <v>1.1674150096215523</v>
      </c>
      <c r="AP15" s="190">
        <v>1.245740498034076</v>
      </c>
      <c r="AQ15" s="190">
        <v>1.2454308093994777</v>
      </c>
      <c r="AR15" s="190">
        <v>1.1854219948849105</v>
      </c>
      <c r="AS15" s="190">
        <v>1.2058441558441559</v>
      </c>
      <c r="AT15" s="190">
        <v>1.1575</v>
      </c>
      <c r="AU15" s="190">
        <v>1.0791411042944785</v>
      </c>
      <c r="AV15" s="190">
        <v>1.0602556299452222</v>
      </c>
      <c r="AW15" s="190">
        <v>1.0172721858248959</v>
      </c>
      <c r="AX15" s="190">
        <v>1.058929645219483</v>
      </c>
      <c r="AY15" s="190">
        <v>1.060838747784997</v>
      </c>
      <c r="AZ15" s="190">
        <v>1.0601060695344726</v>
      </c>
      <c r="BA15" s="190">
        <v>1.0802107728337236</v>
      </c>
      <c r="BB15" s="190">
        <v>1.0605714285714285</v>
      </c>
      <c r="BC15" s="190">
        <v>0.95791688584955281</v>
      </c>
      <c r="BD15" s="190">
        <v>0.95125786163522008</v>
      </c>
      <c r="BE15" s="190">
        <v>0.95125786163522008</v>
      </c>
      <c r="BF15" s="190">
        <v>1.0048543689320388</v>
      </c>
      <c r="BG15" s="190">
        <v>1.0226171243941842</v>
      </c>
      <c r="BH15" s="190">
        <v>1.0140388768898487</v>
      </c>
      <c r="BI15" s="190">
        <v>1.0886867538374077</v>
      </c>
      <c r="BJ15" s="190">
        <v>1.1228473019517795</v>
      </c>
      <c r="BK15" s="190">
        <v>1.1364168618266979</v>
      </c>
      <c r="BL15" s="190">
        <v>1.1039182282793867</v>
      </c>
      <c r="BM15" s="190">
        <v>1.1319599109131404</v>
      </c>
      <c r="BN15" s="190">
        <v>1.1345191773207337</v>
      </c>
      <c r="BR15" s="4" t="s">
        <v>248</v>
      </c>
      <c r="BS15" s="4">
        <v>136</v>
      </c>
      <c r="BT15" s="200">
        <f>BS15/SUM($BS$15:$BS$24)</f>
        <v>3.5379812695109258E-2</v>
      </c>
    </row>
    <row r="16" spans="1:72" ht="15.75" thickBot="1" x14ac:dyDescent="0.3">
      <c r="A16" s="188" t="s">
        <v>29</v>
      </c>
      <c r="B16" s="165">
        <v>0.93</v>
      </c>
      <c r="C16" s="165">
        <v>0.90751976466262185</v>
      </c>
      <c r="D16" s="165">
        <v>0.86200618969597664</v>
      </c>
      <c r="E16" s="165">
        <v>0.81125888139916191</v>
      </c>
      <c r="F16" s="165">
        <v>0.78846504836649023</v>
      </c>
      <c r="G16" s="165">
        <v>0.73522543560265852</v>
      </c>
      <c r="H16" s="165">
        <v>0.69597132127005801</v>
      </c>
      <c r="I16" s="165">
        <v>0.70762639245929737</v>
      </c>
      <c r="J16" s="165">
        <v>0.70331950207468885</v>
      </c>
      <c r="K16" s="165">
        <v>0.72558386411889597</v>
      </c>
      <c r="L16" s="165">
        <v>0.75286083425618311</v>
      </c>
      <c r="M16" s="165">
        <v>0.76559833112080411</v>
      </c>
      <c r="N16" s="165">
        <v>0.7610379550735864</v>
      </c>
      <c r="O16" s="165">
        <v>0.72695517174461477</v>
      </c>
      <c r="P16" s="165">
        <v>0.73715651135005977</v>
      </c>
      <c r="Q16" s="165">
        <v>0.74068071312803885</v>
      </c>
      <c r="R16" s="165">
        <v>0.7581837381203802</v>
      </c>
      <c r="S16" s="165">
        <v>0.79070289692342244</v>
      </c>
      <c r="T16" s="165">
        <v>0.76157407407407407</v>
      </c>
      <c r="U16" s="165">
        <v>0.78524309797214753</v>
      </c>
      <c r="V16" s="165">
        <v>0.74908020603384839</v>
      </c>
      <c r="W16" s="165">
        <v>0.71034148704286748</v>
      </c>
      <c r="X16" s="165">
        <v>0.71902654867256632</v>
      </c>
      <c r="Y16" s="165">
        <v>0.67544501341136309</v>
      </c>
      <c r="Z16" s="165">
        <v>0.60897278744790395</v>
      </c>
      <c r="AA16" s="165">
        <v>0.58459251919742383</v>
      </c>
      <c r="AB16" s="165">
        <v>0.61068702290076338</v>
      </c>
      <c r="AC16" s="165">
        <v>0.61505605979711697</v>
      </c>
      <c r="AD16" s="165">
        <v>0.59562398703403563</v>
      </c>
      <c r="AE16" s="165">
        <v>0.59600656455142231</v>
      </c>
      <c r="AF16" s="165">
        <v>0.57994428969359335</v>
      </c>
      <c r="AG16" s="165">
        <v>0.56944049985799494</v>
      </c>
      <c r="AH16" s="190">
        <v>0.61610942249240119</v>
      </c>
      <c r="AI16" s="190">
        <v>0.60018668326073432</v>
      </c>
      <c r="AJ16" s="190">
        <v>0.57891290111329408</v>
      </c>
      <c r="AK16" s="190">
        <v>0.59086259802250252</v>
      </c>
      <c r="AL16" s="190">
        <v>0.5675213675213675</v>
      </c>
      <c r="AM16" s="190">
        <v>0.61949458483754516</v>
      </c>
      <c r="AN16" s="190">
        <v>0.72705314009661837</v>
      </c>
      <c r="AO16" s="190">
        <v>0.74661016949152548</v>
      </c>
      <c r="AP16" s="190">
        <v>0.63791666666666669</v>
      </c>
      <c r="AQ16" s="190">
        <v>0.63454861111111116</v>
      </c>
      <c r="AR16" s="190">
        <v>0.65623582766439914</v>
      </c>
      <c r="AS16" s="190">
        <v>0.66681964203763189</v>
      </c>
      <c r="AT16" s="190">
        <v>0.66330451488952935</v>
      </c>
      <c r="AU16" s="190">
        <v>0.65137157107231924</v>
      </c>
      <c r="AV16" s="190">
        <v>0.59940799210656137</v>
      </c>
      <c r="AW16" s="190">
        <v>0.61067910834629346</v>
      </c>
      <c r="AX16" s="190">
        <v>0.68721719457013575</v>
      </c>
      <c r="AY16" s="190">
        <v>0.70571263704558573</v>
      </c>
      <c r="AZ16" s="190">
        <v>0.74518072289156623</v>
      </c>
      <c r="BA16" s="190">
        <v>0.72435897435897434</v>
      </c>
      <c r="BB16" s="190">
        <v>0.67109634551495012</v>
      </c>
      <c r="BC16" s="190">
        <v>0.79359895493141741</v>
      </c>
      <c r="BD16" s="190">
        <v>0.84404924760601918</v>
      </c>
      <c r="BE16" s="190">
        <v>0.84404924760601918</v>
      </c>
      <c r="BF16" s="190">
        <v>0.84865238424326195</v>
      </c>
      <c r="BG16" s="190">
        <v>0.82794218857536128</v>
      </c>
      <c r="BH16" s="190">
        <v>0.90441708906589424</v>
      </c>
      <c r="BI16" s="190">
        <v>1</v>
      </c>
      <c r="BJ16" s="190">
        <v>1.0798353909465022</v>
      </c>
      <c r="BK16" s="190">
        <v>1.134125636672326</v>
      </c>
      <c r="BL16" s="190">
        <v>1.1382716049382715</v>
      </c>
      <c r="BM16" s="190">
        <v>1.1340964840556009</v>
      </c>
      <c r="BN16" s="190">
        <v>1.1592562651576395</v>
      </c>
      <c r="BR16" s="4" t="s">
        <v>249</v>
      </c>
      <c r="BS16" s="4">
        <v>77</v>
      </c>
      <c r="BT16" s="200">
        <f t="shared" ref="BT16:BT24" si="0">BS16/SUM($BS$15:$BS$24)</f>
        <v>2.0031217481789803E-2</v>
      </c>
    </row>
    <row r="17" spans="1:74" ht="15.75" thickBot="1" x14ac:dyDescent="0.3">
      <c r="A17" s="188" t="s">
        <v>30</v>
      </c>
      <c r="B17" s="165">
        <v>2.1220976781425138</v>
      </c>
      <c r="C17" s="165">
        <v>2.2863140218303948</v>
      </c>
      <c r="D17" s="165">
        <v>2.3720439189189189</v>
      </c>
      <c r="E17" s="165">
        <v>0.84586255259467036</v>
      </c>
      <c r="F17" s="165">
        <v>2.361972357116175</v>
      </c>
      <c r="G17" s="165">
        <v>2.1829632084852504</v>
      </c>
      <c r="H17" s="165">
        <v>2.1659402241594021</v>
      </c>
      <c r="I17" s="165">
        <v>2.2334483840602446</v>
      </c>
      <c r="J17" s="165">
        <v>2.2496147919876734</v>
      </c>
      <c r="K17" s="165">
        <v>2.1650253655625185</v>
      </c>
      <c r="L17" s="165">
        <v>1.8626073380171742</v>
      </c>
      <c r="M17" s="165">
        <v>1.6313481071098799</v>
      </c>
      <c r="N17" s="165">
        <v>1.4567176692517292</v>
      </c>
      <c r="O17" s="165">
        <v>1.3683481701285856</v>
      </c>
      <c r="P17" s="165">
        <v>1.2876815695151858</v>
      </c>
      <c r="Q17" s="165">
        <v>1.2462357693720161</v>
      </c>
      <c r="R17" s="165">
        <v>1.1830158447569876</v>
      </c>
      <c r="S17" s="165">
        <v>1.1047919084728901</v>
      </c>
      <c r="T17" s="165">
        <v>1.0651589435394591</v>
      </c>
      <c r="U17" s="165">
        <v>1.0192833282720923</v>
      </c>
      <c r="V17" s="165">
        <v>0.97110823630875376</v>
      </c>
      <c r="W17" s="165">
        <v>0.99339702163529087</v>
      </c>
      <c r="X17" s="165">
        <v>0.95958904109589038</v>
      </c>
      <c r="Y17" s="165">
        <v>0.9416953824948312</v>
      </c>
      <c r="Z17" s="165">
        <v>0.91701592623637884</v>
      </c>
      <c r="AA17" s="165">
        <v>0.90547615678505733</v>
      </c>
      <c r="AB17" s="165">
        <v>0.9661870503597122</v>
      </c>
      <c r="AC17" s="165">
        <v>1.0106982796009831</v>
      </c>
      <c r="AD17" s="165">
        <v>1.0443891004980954</v>
      </c>
      <c r="AE17" s="165">
        <v>1.076027700014734</v>
      </c>
      <c r="AF17" s="165">
        <v>1.1297215951843491</v>
      </c>
      <c r="AG17" s="165">
        <v>1.1487318024913702</v>
      </c>
      <c r="AH17" s="190">
        <v>1.1300668151447661</v>
      </c>
      <c r="AI17" s="190">
        <v>1.1963354684939669</v>
      </c>
      <c r="AJ17" s="190">
        <v>1.1542332741267023</v>
      </c>
      <c r="AK17" s="190">
        <v>1.0998444350162637</v>
      </c>
      <c r="AL17" s="190">
        <v>1.1182012847965739</v>
      </c>
      <c r="AM17" s="190">
        <v>1.1857435597189696</v>
      </c>
      <c r="AN17" s="190">
        <v>1.3065204143814748</v>
      </c>
      <c r="AO17" s="190">
        <v>1.3809970307860604</v>
      </c>
      <c r="AP17" s="190">
        <v>1.2933730454207</v>
      </c>
      <c r="AQ17" s="190">
        <v>1.2284365612930912</v>
      </c>
      <c r="AR17" s="190">
        <v>1.1795483237480713</v>
      </c>
      <c r="AS17" s="190">
        <v>0.99685675797036377</v>
      </c>
      <c r="AT17" s="190">
        <v>0.99519020550940096</v>
      </c>
      <c r="AU17" s="190">
        <v>1.1069324875396467</v>
      </c>
      <c r="AV17" s="190">
        <v>1.1910112359550562</v>
      </c>
      <c r="AW17" s="190">
        <v>1.1665926254997778</v>
      </c>
      <c r="AX17" s="190">
        <v>1.2055417700578992</v>
      </c>
      <c r="AY17" s="190">
        <v>1.198659834450138</v>
      </c>
      <c r="AZ17" s="190">
        <v>1.2381332269644993</v>
      </c>
      <c r="BA17" s="190">
        <v>1.337386018237082</v>
      </c>
      <c r="BB17" s="190">
        <v>1.6270746887966805</v>
      </c>
      <c r="BC17" s="190">
        <v>1.4339093881363849</v>
      </c>
      <c r="BD17" s="190">
        <v>1.504367816091954</v>
      </c>
      <c r="BE17" s="190">
        <v>1.504367816091954</v>
      </c>
      <c r="BF17" s="190">
        <v>1.4952851369555455</v>
      </c>
      <c r="BG17" s="190">
        <v>1.4806306306306307</v>
      </c>
      <c r="BH17" s="190">
        <v>1.4358523725834798</v>
      </c>
      <c r="BI17" s="190">
        <v>1.2795742939009416</v>
      </c>
      <c r="BJ17" s="190">
        <v>1.1833962264150943</v>
      </c>
      <c r="BK17" s="190">
        <v>1.1778370144706778</v>
      </c>
      <c r="BL17" s="190">
        <v>1.1499142367066895</v>
      </c>
      <c r="BM17" s="190">
        <v>1.0101940151266031</v>
      </c>
      <c r="BN17" s="190">
        <v>1.1040592783505154</v>
      </c>
      <c r="BR17" s="4" t="s">
        <v>250</v>
      </c>
      <c r="BS17" s="4">
        <v>132</v>
      </c>
      <c r="BT17" s="200">
        <f t="shared" si="0"/>
        <v>3.4339229968782518E-2</v>
      </c>
    </row>
    <row r="18" spans="1:74" ht="15.75" thickBot="1" x14ac:dyDescent="0.3">
      <c r="A18" s="188" t="s">
        <v>20</v>
      </c>
      <c r="B18" s="165">
        <v>0.66171456405260598</v>
      </c>
      <c r="C18" s="165">
        <v>0.5954324931960715</v>
      </c>
      <c r="D18" s="165">
        <v>0.57846844717560864</v>
      </c>
      <c r="E18" s="165">
        <v>1.1401120896717374</v>
      </c>
      <c r="F18" s="165">
        <v>0.4310829817158931</v>
      </c>
      <c r="G18" s="165">
        <v>0.35390753344285381</v>
      </c>
      <c r="H18" s="165">
        <v>0.28509017587095331</v>
      </c>
      <c r="I18" s="165">
        <v>0.23464818763326226</v>
      </c>
      <c r="J18" s="165">
        <v>0.20363247863247863</v>
      </c>
      <c r="K18" s="165">
        <v>0.21875</v>
      </c>
      <c r="L18" s="165">
        <v>0.2503899220155969</v>
      </c>
      <c r="M18" s="165">
        <v>0.29109225874867445</v>
      </c>
      <c r="N18" s="165">
        <v>0.33571322326342407</v>
      </c>
      <c r="O18" s="165">
        <v>0.39745762711864407</v>
      </c>
      <c r="P18" s="165">
        <v>0.45638571954361429</v>
      </c>
      <c r="Q18" s="165">
        <v>0.48290937996820349</v>
      </c>
      <c r="R18" s="165">
        <v>0.48049029622063327</v>
      </c>
      <c r="S18" s="165">
        <v>0.54868913857677903</v>
      </c>
      <c r="T18" s="165">
        <v>0.60603588907014683</v>
      </c>
      <c r="U18" s="165">
        <v>0.72612732095490717</v>
      </c>
      <c r="V18" s="165">
        <v>0.81257367387033397</v>
      </c>
      <c r="W18" s="165">
        <v>0.8764198091776465</v>
      </c>
      <c r="X18" s="165">
        <v>1.036726128016789</v>
      </c>
      <c r="Y18" s="165">
        <v>1.0404595404595405</v>
      </c>
      <c r="Z18" s="165">
        <v>1.1471011020603736</v>
      </c>
      <c r="AA18" s="165">
        <v>1.1161202185792349</v>
      </c>
      <c r="AB18" s="165">
        <v>1.0642445724412937</v>
      </c>
      <c r="AC18" s="165">
        <v>0.96673773987206824</v>
      </c>
      <c r="AD18" s="165">
        <v>0.844758064516129</v>
      </c>
      <c r="AE18" s="165">
        <v>0.91646090534979419</v>
      </c>
      <c r="AF18" s="165">
        <v>0.97236394557823125</v>
      </c>
      <c r="AG18" s="165">
        <v>0.94155290102389078</v>
      </c>
      <c r="AH18" s="190">
        <v>0.9982054733064154</v>
      </c>
      <c r="AI18" s="190">
        <v>1.0278538812785387</v>
      </c>
      <c r="AJ18" s="190">
        <v>1.1692456479690523</v>
      </c>
      <c r="AK18" s="190">
        <v>1.3151892172109902</v>
      </c>
      <c r="AL18" s="190">
        <v>1.2687246963562753</v>
      </c>
      <c r="AM18" s="190">
        <v>1.1056168987037926</v>
      </c>
      <c r="AN18" s="190">
        <v>0.80534670008354214</v>
      </c>
      <c r="AO18" s="190">
        <v>0.77192982456140347</v>
      </c>
      <c r="AP18" s="190">
        <v>0.89134054954204833</v>
      </c>
      <c r="AQ18" s="190">
        <v>0.95941773268636965</v>
      </c>
      <c r="AR18" s="190">
        <v>1.0630071599045345</v>
      </c>
      <c r="AS18" s="190">
        <v>1.1318636176913597</v>
      </c>
      <c r="AT18" s="190">
        <v>1.1130944451844944</v>
      </c>
      <c r="AU18" s="190">
        <v>1.0749934674679906</v>
      </c>
      <c r="AV18" s="190">
        <v>1.0722638286690316</v>
      </c>
      <c r="AW18" s="190">
        <v>0.96911966131241445</v>
      </c>
      <c r="AX18" s="190">
        <v>1.0251346499102334</v>
      </c>
      <c r="AY18" s="190">
        <v>1.0356178474990356</v>
      </c>
      <c r="AZ18" s="190">
        <v>1.0214477211796247</v>
      </c>
      <c r="BA18" s="190">
        <v>0.98642142945315392</v>
      </c>
      <c r="BB18" s="190">
        <v>0.93540111940298509</v>
      </c>
      <c r="BC18" s="190">
        <v>0.93459988485895218</v>
      </c>
      <c r="BD18" s="190">
        <v>0.93991616208663253</v>
      </c>
      <c r="BE18" s="190">
        <v>0.93991616208663253</v>
      </c>
      <c r="BF18" s="190">
        <v>0.97633487929599239</v>
      </c>
      <c r="BG18" s="190">
        <v>1.0112509073312363</v>
      </c>
      <c r="BH18" s="190">
        <v>1.0147199617041647</v>
      </c>
      <c r="BI18" s="190">
        <v>1.0448468643655811</v>
      </c>
      <c r="BJ18" s="190">
        <v>1.0681289057713514</v>
      </c>
      <c r="BK18" s="190">
        <v>1.1232172684054991</v>
      </c>
      <c r="BL18" s="190">
        <v>1.1533650237678259</v>
      </c>
      <c r="BM18" s="190">
        <v>1.1708467842066055</v>
      </c>
      <c r="BN18" s="190">
        <v>1.1988501437320336</v>
      </c>
      <c r="BR18" s="4" t="s">
        <v>251</v>
      </c>
      <c r="BS18" s="4">
        <v>265</v>
      </c>
      <c r="BT18" s="200">
        <f t="shared" si="0"/>
        <v>6.893860561914672E-2</v>
      </c>
    </row>
    <row r="19" spans="1:74" ht="15.75" thickBot="1" x14ac:dyDescent="0.3">
      <c r="A19" s="188" t="s">
        <v>31</v>
      </c>
      <c r="B19" s="165">
        <v>1.0749810174639332</v>
      </c>
      <c r="C19" s="165">
        <v>1.0126304228445908</v>
      </c>
      <c r="D19" s="165">
        <v>1.0349560761346999</v>
      </c>
      <c r="E19" s="165">
        <v>0.97865528281750269</v>
      </c>
      <c r="F19" s="165">
        <v>0.90145228215767637</v>
      </c>
      <c r="G19" s="165">
        <v>0.85579561042524011</v>
      </c>
      <c r="H19" s="165">
        <v>0.77905073649754497</v>
      </c>
      <c r="I19" s="165">
        <v>0.74605954465849389</v>
      </c>
      <c r="J19" s="165">
        <v>0.7103600758054327</v>
      </c>
      <c r="K19" s="165">
        <v>0.7024544734758511</v>
      </c>
      <c r="L19" s="165">
        <v>0.68840579710144922</v>
      </c>
      <c r="M19" s="165">
        <v>0.6413881748071979</v>
      </c>
      <c r="N19" s="165">
        <v>0.6190397895429135</v>
      </c>
      <c r="O19" s="165">
        <v>0.61885315637229876</v>
      </c>
      <c r="P19" s="165">
        <v>0.62917181705809644</v>
      </c>
      <c r="Q19" s="165">
        <v>0.62346348517715111</v>
      </c>
      <c r="R19" s="165">
        <v>0.56887709991158264</v>
      </c>
      <c r="S19" s="165">
        <v>0.56070519810977826</v>
      </c>
      <c r="T19" s="165">
        <v>0.57288070579209815</v>
      </c>
      <c r="U19" s="165">
        <v>0.56822280104187539</v>
      </c>
      <c r="V19" s="165">
        <v>0.56701680672268906</v>
      </c>
      <c r="W19" s="165">
        <v>0.54822876653862573</v>
      </c>
      <c r="X19" s="165">
        <v>0.56847487772343264</v>
      </c>
      <c r="Y19" s="165">
        <v>0.54350766456266908</v>
      </c>
      <c r="Z19" s="165">
        <v>0.52163742690058479</v>
      </c>
      <c r="AA19" s="165">
        <v>0.51352705410821642</v>
      </c>
      <c r="AB19" s="165">
        <v>0.53784860557768921</v>
      </c>
      <c r="AC19" s="165">
        <v>0.52955732746769313</v>
      </c>
      <c r="AD19" s="165">
        <v>0.50912152680325573</v>
      </c>
      <c r="AE19" s="165">
        <v>0.52073064656422152</v>
      </c>
      <c r="AF19" s="165">
        <v>0.57071806030463168</v>
      </c>
      <c r="AG19" s="165">
        <v>0.57698541329011344</v>
      </c>
      <c r="AH19" s="190">
        <v>0.59055908938734514</v>
      </c>
      <c r="AI19" s="190">
        <v>0.62023977433004229</v>
      </c>
      <c r="AJ19" s="190">
        <v>0.62319377547239718</v>
      </c>
      <c r="AK19" s="190">
        <v>0.65550797975866093</v>
      </c>
      <c r="AL19" s="190">
        <v>0.63394603050449749</v>
      </c>
      <c r="AM19" s="190">
        <v>0.69680630443799252</v>
      </c>
      <c r="AN19" s="190">
        <v>0.75156950672645739</v>
      </c>
      <c r="AO19" s="190">
        <v>0.8546341463414634</v>
      </c>
      <c r="AP19" s="190">
        <v>0.86716049382716054</v>
      </c>
      <c r="AQ19" s="190">
        <v>0.89356178608515058</v>
      </c>
      <c r="AR19" s="190">
        <v>0.94046306504961408</v>
      </c>
      <c r="AS19" s="190">
        <v>0.93262806236080176</v>
      </c>
      <c r="AT19" s="190">
        <v>0.89869281045751637</v>
      </c>
      <c r="AU19" s="190">
        <v>0.9353932584269663</v>
      </c>
      <c r="AV19" s="190">
        <v>0.94047619047619047</v>
      </c>
      <c r="AW19" s="190">
        <v>0.93234792495736218</v>
      </c>
      <c r="AX19" s="190">
        <v>1.0101070154577882</v>
      </c>
      <c r="AY19" s="190">
        <v>1.0065320665083135</v>
      </c>
      <c r="AZ19" s="190">
        <v>1.0518198642813079</v>
      </c>
      <c r="BA19" s="190">
        <v>1.0321428571428573</v>
      </c>
      <c r="BB19" s="190">
        <v>1.0948687350835322</v>
      </c>
      <c r="BC19" s="190">
        <v>1.076879271070615</v>
      </c>
      <c r="BD19" s="190">
        <v>1.1690877396862289</v>
      </c>
      <c r="BE19" s="190">
        <v>1.1690877396862289</v>
      </c>
      <c r="BF19" s="190">
        <v>1.2080890973036342</v>
      </c>
      <c r="BG19" s="190">
        <v>1.2728358208955224</v>
      </c>
      <c r="BH19" s="190">
        <v>1.3454545454545455</v>
      </c>
      <c r="BI19" s="190">
        <v>1.3453453453453454</v>
      </c>
      <c r="BJ19" s="190">
        <v>1.3224834237492464</v>
      </c>
      <c r="BK19" s="190">
        <v>1.3347560975609756</v>
      </c>
      <c r="BL19" s="190">
        <v>1.3337257210123603</v>
      </c>
      <c r="BM19" s="190">
        <v>1.3728613569321535</v>
      </c>
      <c r="BN19" s="190">
        <v>1.3771260997067449</v>
      </c>
      <c r="BR19" s="4" t="s">
        <v>252</v>
      </c>
      <c r="BS19" s="4">
        <v>452</v>
      </c>
      <c r="BT19" s="200">
        <f t="shared" si="0"/>
        <v>0.11758584807492195</v>
      </c>
    </row>
    <row r="20" spans="1:74" ht="15.75" thickBot="1" x14ac:dyDescent="0.3">
      <c r="A20" s="188" t="s">
        <v>41</v>
      </c>
      <c r="B20" s="165">
        <v>11.760869565217391</v>
      </c>
      <c r="C20" s="165">
        <v>6.6883116883116882</v>
      </c>
      <c r="D20" s="165">
        <v>5.4395604395604398</v>
      </c>
      <c r="E20" s="165">
        <v>2.7861635220125787</v>
      </c>
      <c r="F20" s="165">
        <v>1.892018779342723</v>
      </c>
      <c r="G20" s="165">
        <v>1.1808510638297873</v>
      </c>
      <c r="H20" s="165">
        <v>0.83480825958702065</v>
      </c>
      <c r="I20" s="165">
        <v>0.6975476839237057</v>
      </c>
      <c r="J20" s="165">
        <v>0.40723981900452488</v>
      </c>
      <c r="K20" s="165">
        <v>0.37582417582417582</v>
      </c>
      <c r="L20" s="165">
        <v>0.36462882096069871</v>
      </c>
      <c r="M20" s="165">
        <v>0.33190578158458245</v>
      </c>
      <c r="N20" s="165">
        <v>0.19001919385796545</v>
      </c>
      <c r="O20" s="165">
        <v>0.12589928057553956</v>
      </c>
      <c r="P20" s="165">
        <v>0.1256931608133087</v>
      </c>
      <c r="Q20" s="165">
        <v>0.13980582524271845</v>
      </c>
      <c r="R20" s="165">
        <v>0.15757575757575756</v>
      </c>
      <c r="S20" s="165">
        <v>0.1670428893905192</v>
      </c>
      <c r="T20" s="165">
        <v>0.16129032258064516</v>
      </c>
      <c r="U20" s="165">
        <v>0.23723723723723725</v>
      </c>
      <c r="V20" s="165">
        <v>0.33922261484098942</v>
      </c>
      <c r="W20" s="165">
        <v>0.44921875</v>
      </c>
      <c r="X20" s="165">
        <v>0.69444444444444442</v>
      </c>
      <c r="Y20" s="165">
        <v>0.74269005847953218</v>
      </c>
      <c r="Z20" s="165">
        <v>0.76047904191616766</v>
      </c>
      <c r="AA20" s="165">
        <v>0.85806451612903223</v>
      </c>
      <c r="AB20" s="165">
        <v>1.8383838383838385</v>
      </c>
      <c r="AC20" s="165">
        <v>2.7142857142857144</v>
      </c>
      <c r="AD20" s="165">
        <v>2.9705882352941178</v>
      </c>
      <c r="AE20" s="165">
        <v>2.7916666666666665</v>
      </c>
      <c r="AF20" s="165">
        <v>3.2179487179487181</v>
      </c>
      <c r="AG20" s="165">
        <v>3.7837837837837838</v>
      </c>
      <c r="AH20" s="190">
        <v>4.3384615384615381</v>
      </c>
      <c r="AI20" s="190">
        <v>3.4556962025316458</v>
      </c>
      <c r="AJ20" s="190">
        <v>2.8229166666666665</v>
      </c>
      <c r="AK20" s="190">
        <v>2.2782608695652176</v>
      </c>
      <c r="AL20" s="190">
        <v>2.024</v>
      </c>
      <c r="AM20" s="190">
        <v>2.1181102362204722</v>
      </c>
      <c r="AN20" s="190">
        <v>2.1968503937007875</v>
      </c>
      <c r="AO20" s="190">
        <v>2.2406015037593985</v>
      </c>
      <c r="AP20" s="190">
        <v>1.4780219780219781</v>
      </c>
      <c r="AQ20" s="190">
        <v>1.4736842105263157</v>
      </c>
      <c r="AR20" s="190">
        <v>1.3366336633663367</v>
      </c>
      <c r="AS20" s="190">
        <v>1.4378109452736318</v>
      </c>
      <c r="AT20" s="190">
        <v>1.0199203187250996</v>
      </c>
      <c r="AU20" s="190">
        <v>0.9</v>
      </c>
      <c r="AV20" s="190">
        <v>0.8971631205673759</v>
      </c>
      <c r="AW20" s="190">
        <v>1.0695970695970696</v>
      </c>
      <c r="AX20" s="190">
        <v>1.088560885608856</v>
      </c>
      <c r="AY20" s="190">
        <v>1.1526717557251909</v>
      </c>
      <c r="AZ20" s="190">
        <v>1.3675889328063242</v>
      </c>
      <c r="BA20" s="190">
        <v>1.3234200743494424</v>
      </c>
      <c r="BB20" s="190">
        <v>1.3225806451612903</v>
      </c>
      <c r="BC20" s="190">
        <v>1.3048327137546469</v>
      </c>
      <c r="BD20" s="190">
        <v>1.2428571428571429</v>
      </c>
      <c r="BE20" s="190">
        <v>1.2428571428571429</v>
      </c>
      <c r="BF20" s="190">
        <v>1.2925925925925925</v>
      </c>
      <c r="BG20" s="190">
        <v>1.1314878892733564</v>
      </c>
      <c r="BH20" s="190">
        <v>1.26953125</v>
      </c>
      <c r="BI20" s="190">
        <v>1.3055555555555556</v>
      </c>
      <c r="BJ20" s="190">
        <v>1.3478260869565217</v>
      </c>
      <c r="BK20" s="190">
        <v>1.1952054794520548</v>
      </c>
      <c r="BL20" s="190">
        <v>1.3966101694915254</v>
      </c>
      <c r="BM20" s="190">
        <v>1.4072847682119205</v>
      </c>
      <c r="BN20" s="190">
        <v>1.1907514450867052</v>
      </c>
      <c r="BR20" s="4" t="s">
        <v>253</v>
      </c>
      <c r="BS20" s="4">
        <v>730</v>
      </c>
      <c r="BT20" s="200">
        <f t="shared" si="0"/>
        <v>0.18990634755463059</v>
      </c>
    </row>
    <row r="21" spans="1:74" ht="15.75" thickBot="1" x14ac:dyDescent="0.3">
      <c r="A21" s="188" t="s">
        <v>32</v>
      </c>
      <c r="B21" s="165">
        <v>2.3975903614457832</v>
      </c>
      <c r="C21" s="165">
        <v>2.2611111111111111</v>
      </c>
      <c r="D21" s="165">
        <v>2.0463917525773194</v>
      </c>
      <c r="E21" s="165">
        <v>2.2346938775510203</v>
      </c>
      <c r="F21" s="165">
        <v>2.4607329842931938</v>
      </c>
      <c r="G21" s="165">
        <v>2.3413461538461537</v>
      </c>
      <c r="H21" s="165">
        <v>2.2811059907834101</v>
      </c>
      <c r="I21" s="165">
        <v>2.0543933054393304</v>
      </c>
      <c r="J21" s="165">
        <v>1.5238095238095237</v>
      </c>
      <c r="K21" s="165">
        <v>1.2413793103448276</v>
      </c>
      <c r="L21" s="165">
        <v>1.2118644067796611</v>
      </c>
      <c r="M21" s="165">
        <v>1.1187335092348285</v>
      </c>
      <c r="N21" s="165">
        <v>0.99511002444987773</v>
      </c>
      <c r="O21" s="165">
        <v>1.0552763819095476</v>
      </c>
      <c r="P21" s="165">
        <v>1.1030150753768844</v>
      </c>
      <c r="Q21" s="165">
        <v>1.0491400491400491</v>
      </c>
      <c r="R21" s="165">
        <v>1.1259445843828715</v>
      </c>
      <c r="S21" s="165">
        <v>0.99315068493150682</v>
      </c>
      <c r="T21" s="165">
        <v>0.90851063829787237</v>
      </c>
      <c r="U21" s="165">
        <v>0.85010266940451751</v>
      </c>
      <c r="V21" s="165">
        <v>0.84848484848484851</v>
      </c>
      <c r="W21" s="165">
        <v>0.8716904276985743</v>
      </c>
      <c r="X21" s="165">
        <v>1.0267857142857142</v>
      </c>
      <c r="Y21" s="165">
        <v>1.0393518518518519</v>
      </c>
      <c r="Z21" s="165">
        <v>1.0629370629370629</v>
      </c>
      <c r="AA21" s="165">
        <v>1.1155660377358489</v>
      </c>
      <c r="AB21" s="165">
        <v>1.203931203931204</v>
      </c>
      <c r="AC21" s="165">
        <v>1.1857142857142857</v>
      </c>
      <c r="AD21" s="165">
        <v>1.2277904328018223</v>
      </c>
      <c r="AE21" s="165">
        <v>1.3934426229508197</v>
      </c>
      <c r="AF21" s="165">
        <v>1.378076062639821</v>
      </c>
      <c r="AG21" s="165">
        <v>1.5862068965517242</v>
      </c>
      <c r="AH21" s="190">
        <v>1.7611241217798594</v>
      </c>
      <c r="AI21" s="190">
        <v>2.0072463768115942</v>
      </c>
      <c r="AJ21" s="190">
        <v>2.092857142857143</v>
      </c>
      <c r="AK21" s="190">
        <v>2.2126168224299065</v>
      </c>
      <c r="AL21" s="190">
        <v>2.1369565217391306</v>
      </c>
      <c r="AM21" s="190">
        <v>2.22271714922049</v>
      </c>
      <c r="AN21" s="190">
        <v>2.3267543859649122</v>
      </c>
      <c r="AO21" s="190">
        <v>2.3340380549682873</v>
      </c>
      <c r="AP21" s="190">
        <v>2.3387755102040817</v>
      </c>
      <c r="AQ21" s="190">
        <v>2.3594377510040161</v>
      </c>
      <c r="AR21" s="190">
        <v>2.1576994434137293</v>
      </c>
      <c r="AS21" s="190">
        <v>1.9260504201680673</v>
      </c>
      <c r="AT21" s="190">
        <v>1.8392857142857142</v>
      </c>
      <c r="AU21" s="190">
        <v>1.5681159420289854</v>
      </c>
      <c r="AV21" s="190">
        <v>1.4095744680851063</v>
      </c>
      <c r="AW21" s="190">
        <v>1.2286401925391095</v>
      </c>
      <c r="AX21" s="190">
        <v>1.1501706484641638</v>
      </c>
      <c r="AY21" s="190">
        <v>0.99788806758183735</v>
      </c>
      <c r="AZ21" s="190">
        <v>0.94506612410986779</v>
      </c>
      <c r="BA21" s="190">
        <v>0.91482965931863724</v>
      </c>
      <c r="BB21" s="190">
        <v>0.82469368520263897</v>
      </c>
      <c r="BC21" s="190">
        <v>0.71640488656195467</v>
      </c>
      <c r="BD21" s="190">
        <v>0.67404255319148931</v>
      </c>
      <c r="BE21" s="190">
        <v>0.67404255319148931</v>
      </c>
      <c r="BF21" s="190">
        <v>0.66036113499570082</v>
      </c>
      <c r="BG21" s="190">
        <v>0.6657940663176265</v>
      </c>
      <c r="BH21" s="190">
        <v>0.6575463371579876</v>
      </c>
      <c r="BI21" s="190">
        <v>0.67190388170055448</v>
      </c>
      <c r="BJ21" s="190">
        <v>0.63113207547169814</v>
      </c>
      <c r="BK21" s="190">
        <v>0.62683643486777674</v>
      </c>
      <c r="BL21" s="190">
        <v>0.6162215628090999</v>
      </c>
      <c r="BM21" s="190">
        <v>0.67407407407407405</v>
      </c>
      <c r="BN21" s="190">
        <v>0.66200215285252961</v>
      </c>
      <c r="BR21" s="4" t="s">
        <v>254</v>
      </c>
      <c r="BS21" s="4">
        <v>882</v>
      </c>
      <c r="BT21" s="200">
        <f t="shared" si="0"/>
        <v>0.22944849115504681</v>
      </c>
    </row>
    <row r="22" spans="1:74" ht="15.75" thickBot="1" x14ac:dyDescent="0.3">
      <c r="A22" s="188" t="s">
        <v>33</v>
      </c>
      <c r="B22" s="165">
        <v>0.60602937387271327</v>
      </c>
      <c r="C22" s="165">
        <v>0.60437532946758044</v>
      </c>
      <c r="D22" s="165">
        <v>0.57825283716020059</v>
      </c>
      <c r="E22" s="165">
        <v>0.5056179775280899</v>
      </c>
      <c r="F22" s="165">
        <v>0.49156626506024098</v>
      </c>
      <c r="G22" s="165">
        <v>0.46068329718004336</v>
      </c>
      <c r="H22" s="165">
        <v>0.43368881596937381</v>
      </c>
      <c r="I22" s="165">
        <v>0.43305322128851542</v>
      </c>
      <c r="J22" s="165">
        <v>0.40941309895094979</v>
      </c>
      <c r="K22" s="165">
        <v>0.39696188019489825</v>
      </c>
      <c r="L22" s="165">
        <v>0.39330543933054396</v>
      </c>
      <c r="M22" s="165">
        <v>0.42251223491027734</v>
      </c>
      <c r="N22" s="165">
        <v>0.47636103151862463</v>
      </c>
      <c r="O22" s="165">
        <v>0.51581413510347518</v>
      </c>
      <c r="P22" s="165">
        <v>0.54421768707482998</v>
      </c>
      <c r="Q22" s="165">
        <v>0.56476232010466643</v>
      </c>
      <c r="R22" s="165">
        <v>0.59196713829301684</v>
      </c>
      <c r="S22" s="165">
        <v>0.67183462532299743</v>
      </c>
      <c r="T22" s="165">
        <v>0.67156862745098034</v>
      </c>
      <c r="U22" s="165">
        <v>0.72807533843437311</v>
      </c>
      <c r="V22" s="165">
        <v>0.77301387137452715</v>
      </c>
      <c r="W22" s="165">
        <v>0.82664941785252266</v>
      </c>
      <c r="X22" s="165">
        <v>0.88296398891966754</v>
      </c>
      <c r="Y22" s="165">
        <v>0.8895306859205776</v>
      </c>
      <c r="Z22" s="165">
        <v>0.90957446808510634</v>
      </c>
      <c r="AA22" s="165">
        <v>0.88030888030888033</v>
      </c>
      <c r="AB22" s="165">
        <v>0.80150375939849627</v>
      </c>
      <c r="AC22" s="165">
        <v>0.79182437547312645</v>
      </c>
      <c r="AD22" s="165">
        <v>0.81328124999999996</v>
      </c>
      <c r="AE22" s="165">
        <v>0.77374517374517371</v>
      </c>
      <c r="AF22" s="165">
        <v>0.74787972243639167</v>
      </c>
      <c r="AG22" s="165">
        <v>0.71846153846153848</v>
      </c>
      <c r="AH22" s="190">
        <v>0.78021086780210869</v>
      </c>
      <c r="AI22" s="190">
        <v>0.85852869846402591</v>
      </c>
      <c r="AJ22" s="190">
        <v>0.85154975530179444</v>
      </c>
      <c r="AK22" s="190">
        <v>0.76291079812206575</v>
      </c>
      <c r="AL22" s="190">
        <v>0.76549019607843138</v>
      </c>
      <c r="AM22" s="190">
        <v>0.82792207792207795</v>
      </c>
      <c r="AN22" s="190">
        <v>0.87802840434419382</v>
      </c>
      <c r="AO22" s="190">
        <v>0.9754385964912281</v>
      </c>
      <c r="AP22" s="190">
        <v>1.0440900562851783</v>
      </c>
      <c r="AQ22" s="190">
        <v>1.1022944550669216</v>
      </c>
      <c r="AR22" s="190">
        <v>1.0826128722382324</v>
      </c>
      <c r="AS22" s="190">
        <v>1.1487025948103793</v>
      </c>
      <c r="AT22" s="190">
        <v>1.1845360824742268</v>
      </c>
      <c r="AU22" s="190">
        <v>1.2805139186295502</v>
      </c>
      <c r="AV22" s="190">
        <v>1.2390852390852392</v>
      </c>
      <c r="AW22" s="190">
        <v>1.0084745762711864</v>
      </c>
      <c r="AX22" s="190">
        <v>1.0804597701149425</v>
      </c>
      <c r="AY22" s="190">
        <v>1.2</v>
      </c>
      <c r="AZ22" s="190">
        <v>1.1782786885245902</v>
      </c>
      <c r="BA22" s="190">
        <v>1.165686274509804</v>
      </c>
      <c r="BB22" s="190">
        <v>1.159847764034253</v>
      </c>
      <c r="BC22" s="190">
        <v>1.1293800539083558</v>
      </c>
      <c r="BD22" s="190">
        <v>1.0537727666955767</v>
      </c>
      <c r="BE22" s="190">
        <v>1.0537727666955767</v>
      </c>
      <c r="BF22" s="190">
        <v>1.1047027506654836</v>
      </c>
      <c r="BG22" s="190">
        <v>1.0842745438748913</v>
      </c>
      <c r="BH22" s="190">
        <v>1.0844212358572671</v>
      </c>
      <c r="BI22" s="190">
        <v>1.028428093645485</v>
      </c>
      <c r="BJ22" s="190">
        <v>1.0151006711409396</v>
      </c>
      <c r="BK22" s="190">
        <v>1.1167133520074697</v>
      </c>
      <c r="BL22" s="190">
        <v>1.051418439716312</v>
      </c>
      <c r="BM22" s="190">
        <v>1.023076923076923</v>
      </c>
      <c r="BN22" s="190">
        <v>1.057391304347826</v>
      </c>
      <c r="BR22" s="4" t="s">
        <v>255</v>
      </c>
      <c r="BS22" s="4">
        <v>730</v>
      </c>
      <c r="BT22" s="200">
        <f t="shared" si="0"/>
        <v>0.18990634755463059</v>
      </c>
    </row>
    <row r="23" spans="1:74" ht="15.75" thickBot="1" x14ac:dyDescent="0.3">
      <c r="A23" s="188" t="s">
        <v>21</v>
      </c>
      <c r="B23" s="165">
        <v>1.4710144927536233</v>
      </c>
      <c r="C23" s="165">
        <v>1.5342465753424657</v>
      </c>
      <c r="D23" s="165">
        <v>1.3806451612903226</v>
      </c>
      <c r="E23" s="165">
        <v>1.3416149068322982</v>
      </c>
      <c r="F23" s="165">
        <v>1.4876543209876543</v>
      </c>
      <c r="G23" s="165">
        <v>1.4484848484848485</v>
      </c>
      <c r="H23" s="165">
        <v>1.51875</v>
      </c>
      <c r="I23" s="165">
        <v>1.5214723926380369</v>
      </c>
      <c r="J23" s="165">
        <v>1.3043478260869565</v>
      </c>
      <c r="K23" s="165">
        <v>1.2383419689119171</v>
      </c>
      <c r="L23" s="165">
        <v>1.2291666666666667</v>
      </c>
      <c r="M23" s="165">
        <v>1.0610328638497653</v>
      </c>
      <c r="N23" s="165">
        <v>1.0426540284360191</v>
      </c>
      <c r="O23" s="165">
        <v>1.1365853658536584</v>
      </c>
      <c r="P23" s="165">
        <v>1.2364532019704433</v>
      </c>
      <c r="Q23" s="165">
        <v>1.1026785714285714</v>
      </c>
      <c r="R23" s="165">
        <v>1.1869158878504673</v>
      </c>
      <c r="S23" s="165">
        <v>1.1666666666666667</v>
      </c>
      <c r="T23" s="165">
        <v>1.0124481327800829</v>
      </c>
      <c r="U23" s="165">
        <v>1.0753138075313808</v>
      </c>
      <c r="V23" s="165">
        <v>1.1069958847736625</v>
      </c>
      <c r="W23" s="165">
        <v>1.1451612903225807</v>
      </c>
      <c r="X23" s="165">
        <v>1.2458333333333333</v>
      </c>
      <c r="Y23" s="165">
        <v>1.2635983263598327</v>
      </c>
      <c r="Z23" s="165">
        <v>1.3389830508474576</v>
      </c>
      <c r="AA23" s="165">
        <v>1.4646017699115044</v>
      </c>
      <c r="AB23" s="165">
        <v>1.5772727272727274</v>
      </c>
      <c r="AC23" s="165">
        <v>1.5278969957081545</v>
      </c>
      <c r="AD23" s="165">
        <v>1.3585657370517927</v>
      </c>
      <c r="AE23" s="165">
        <v>1.3522267206477734</v>
      </c>
      <c r="AF23" s="165">
        <v>1.3858267716535433</v>
      </c>
      <c r="AG23" s="165">
        <v>1.4523809523809523</v>
      </c>
      <c r="AH23" s="190">
        <v>1.610655737704918</v>
      </c>
      <c r="AI23" s="190">
        <v>1.5291828793774318</v>
      </c>
      <c r="AJ23" s="190">
        <v>1.4312267657992566</v>
      </c>
      <c r="AK23" s="190">
        <v>1.2605633802816902</v>
      </c>
      <c r="AL23" s="190">
        <v>1.2608695652173914</v>
      </c>
      <c r="AM23" s="190">
        <v>1.2582781456953642</v>
      </c>
      <c r="AN23" s="190">
        <v>1.2120253164556962</v>
      </c>
      <c r="AO23" s="190">
        <v>1.1208459214501512</v>
      </c>
      <c r="AP23" s="190">
        <v>1.0403458213256485</v>
      </c>
      <c r="AQ23" s="190">
        <v>0.9859550561797753</v>
      </c>
      <c r="AR23" s="190">
        <v>1.0469208211143695</v>
      </c>
      <c r="AS23" s="190">
        <v>1.0299401197604789</v>
      </c>
      <c r="AT23" s="190">
        <v>0.94602272727272729</v>
      </c>
      <c r="AU23" s="190">
        <v>0.88524590163934425</v>
      </c>
      <c r="AV23" s="190">
        <v>0.7531806615776081</v>
      </c>
      <c r="AW23" s="190">
        <v>0.77353689567430028</v>
      </c>
      <c r="AX23" s="190">
        <v>0.82337662337662343</v>
      </c>
      <c r="AY23" s="190">
        <v>0.92458100558659218</v>
      </c>
      <c r="AZ23" s="190">
        <v>0.82493368700265257</v>
      </c>
      <c r="BA23" s="190">
        <v>0.81052631578947365</v>
      </c>
      <c r="BB23" s="190">
        <v>0.78851174934725854</v>
      </c>
      <c r="BC23" s="190">
        <v>0.86980609418282551</v>
      </c>
      <c r="BD23" s="190">
        <v>0.90313390313390318</v>
      </c>
      <c r="BE23" s="190">
        <v>0.90313390313390318</v>
      </c>
      <c r="BF23" s="190">
        <v>0.90196078431372551</v>
      </c>
      <c r="BG23" s="190">
        <v>0.96220930232558144</v>
      </c>
      <c r="BH23" s="190">
        <v>0.99099099099099097</v>
      </c>
      <c r="BI23" s="190">
        <v>1.0524691358024691</v>
      </c>
      <c r="BJ23" s="190">
        <v>1.1452702702702702</v>
      </c>
      <c r="BK23" s="190">
        <v>1.138157894736842</v>
      </c>
      <c r="BL23" s="190">
        <v>1.0694006309148265</v>
      </c>
      <c r="BM23" s="190">
        <v>1.0574018126888218</v>
      </c>
      <c r="BN23" s="190">
        <v>1.180064308681672</v>
      </c>
      <c r="BR23" s="4" t="s">
        <v>256</v>
      </c>
      <c r="BS23" s="4">
        <v>435</v>
      </c>
      <c r="BT23" s="200">
        <f t="shared" si="0"/>
        <v>0.11316337148803329</v>
      </c>
    </row>
    <row r="24" spans="1:74" ht="15.75" thickBot="1" x14ac:dyDescent="0.3">
      <c r="A24" s="188" t="s">
        <v>17</v>
      </c>
      <c r="B24" s="165">
        <v>1.1340579710144927</v>
      </c>
      <c r="C24" s="165">
        <v>1.1094586555621653</v>
      </c>
      <c r="D24" s="165">
        <v>1.0620245757753073</v>
      </c>
      <c r="E24" s="165">
        <v>0.99254587155963303</v>
      </c>
      <c r="F24" s="165">
        <v>1.0028985507246377</v>
      </c>
      <c r="G24" s="165">
        <v>0.95045558086560367</v>
      </c>
      <c r="H24" s="165">
        <v>0.89297297297297296</v>
      </c>
      <c r="I24" s="165">
        <v>0.83072916666666663</v>
      </c>
      <c r="J24" s="165">
        <v>0.84285714285714286</v>
      </c>
      <c r="K24" s="165">
        <v>0.84778012684989434</v>
      </c>
      <c r="L24" s="165">
        <v>0.84986737400530499</v>
      </c>
      <c r="M24" s="165">
        <v>0.81100726895119424</v>
      </c>
      <c r="N24" s="165">
        <v>0.82291666666666663</v>
      </c>
      <c r="O24" s="165">
        <v>0.82101977107180024</v>
      </c>
      <c r="P24" s="165">
        <v>0.85090521831735888</v>
      </c>
      <c r="Q24" s="165">
        <v>0.84343163538874</v>
      </c>
      <c r="R24" s="165">
        <v>0.90137741046831954</v>
      </c>
      <c r="S24" s="165">
        <v>0.9924898902368573</v>
      </c>
      <c r="T24" s="165">
        <v>1.0150289017341041</v>
      </c>
      <c r="U24" s="165">
        <v>1.0802875973636907</v>
      </c>
      <c r="V24" s="165">
        <v>1.1071428571428572</v>
      </c>
      <c r="W24" s="165">
        <v>1.161128526645768</v>
      </c>
      <c r="X24" s="165">
        <v>1.1613308223477714</v>
      </c>
      <c r="Y24" s="165">
        <v>1.1153366583541147</v>
      </c>
      <c r="Z24" s="165">
        <v>1.0543071161048689</v>
      </c>
      <c r="AA24" s="165">
        <v>1.0659411011523687</v>
      </c>
      <c r="AB24" s="165">
        <v>1.0373417721518987</v>
      </c>
      <c r="AC24" s="165">
        <v>1.0126742712294043</v>
      </c>
      <c r="AD24" s="165">
        <v>1.0037546933667083</v>
      </c>
      <c r="AE24" s="165">
        <v>1.0203432930705658</v>
      </c>
      <c r="AF24" s="165">
        <v>0.95660146699266502</v>
      </c>
      <c r="AG24" s="165">
        <v>0.8742724097788126</v>
      </c>
      <c r="AH24" s="190">
        <v>0.84282460136674264</v>
      </c>
      <c r="AI24" s="190">
        <v>0.86078757626178592</v>
      </c>
      <c r="AJ24" s="190">
        <v>0.84472389283761617</v>
      </c>
      <c r="AK24" s="190">
        <v>0.84503239740820735</v>
      </c>
      <c r="AL24" s="190">
        <v>0.85027027027027025</v>
      </c>
      <c r="AM24" s="190">
        <v>0.92230296254890998</v>
      </c>
      <c r="AN24" s="190">
        <v>1.0361160449970397</v>
      </c>
      <c r="AO24" s="190">
        <v>1.0948948948948949</v>
      </c>
      <c r="AP24" s="190">
        <v>1.1336180597925565</v>
      </c>
      <c r="AQ24" s="190">
        <v>1.1764705882352942</v>
      </c>
      <c r="AR24" s="190">
        <v>1.1701995012468829</v>
      </c>
      <c r="AS24" s="190">
        <v>1.1800623052959502</v>
      </c>
      <c r="AT24" s="190">
        <v>1.2421725239616614</v>
      </c>
      <c r="AU24" s="190">
        <v>1.3428761651131824</v>
      </c>
      <c r="AV24" s="190">
        <v>1.4189189189189189</v>
      </c>
      <c r="AW24" s="190">
        <v>1.3389175257731958</v>
      </c>
      <c r="AX24" s="190">
        <v>1.3650485436893205</v>
      </c>
      <c r="AY24" s="190">
        <v>1.3565495207667733</v>
      </c>
      <c r="AZ24" s="190">
        <v>1.3553719008264462</v>
      </c>
      <c r="BA24" s="190">
        <v>1.3084848484848486</v>
      </c>
      <c r="BB24" s="190">
        <v>1.2445714285714287</v>
      </c>
      <c r="BC24" s="190">
        <v>1.1512378902045211</v>
      </c>
      <c r="BD24" s="190">
        <v>1.1654255319148936</v>
      </c>
      <c r="BE24" s="190">
        <v>1.1654255319148936</v>
      </c>
      <c r="BF24" s="190">
        <v>1.1758124667021843</v>
      </c>
      <c r="BG24" s="190">
        <v>1.174234424498416</v>
      </c>
      <c r="BH24" s="190">
        <v>1.1414609053497942</v>
      </c>
      <c r="BI24" s="190">
        <v>1.1239464551313831</v>
      </c>
      <c r="BJ24" s="190">
        <v>1.0419047619047619</v>
      </c>
      <c r="BK24" s="190">
        <v>1.0476419634263716</v>
      </c>
      <c r="BL24" s="190">
        <v>1.1119013750592699</v>
      </c>
      <c r="BM24" s="190">
        <v>1.138954309938766</v>
      </c>
      <c r="BN24" s="190">
        <v>1.1604127579737336</v>
      </c>
      <c r="BR24" s="4" t="s">
        <v>257</v>
      </c>
      <c r="BS24" s="4">
        <v>5</v>
      </c>
      <c r="BT24" s="200">
        <f t="shared" si="0"/>
        <v>1.3007284079084287E-3</v>
      </c>
    </row>
    <row r="25" spans="1:74" ht="15.75" thickBot="1" x14ac:dyDescent="0.3">
      <c r="A25" s="188" t="s">
        <v>23</v>
      </c>
      <c r="B25" s="165">
        <v>5.6858789625360231</v>
      </c>
      <c r="C25" s="165">
        <v>4.6589861751152073</v>
      </c>
      <c r="D25" s="165">
        <v>4.6973684210526319</v>
      </c>
      <c r="E25" s="165">
        <v>4.75</v>
      </c>
      <c r="F25" s="165">
        <v>5.2547770700636942</v>
      </c>
      <c r="G25" s="165">
        <v>3.5147058823529411</v>
      </c>
      <c r="H25" s="165">
        <v>3.1926020408163267</v>
      </c>
      <c r="I25" s="165">
        <v>2.7721382289416847</v>
      </c>
      <c r="J25" s="165">
        <v>2.3948863636363638</v>
      </c>
      <c r="K25" s="165">
        <v>2.161400512382579</v>
      </c>
      <c r="L25" s="165">
        <v>1.8354700854700854</v>
      </c>
      <c r="M25" s="165">
        <v>1.615819209039548</v>
      </c>
      <c r="N25" s="165">
        <v>1.4775440591245026</v>
      </c>
      <c r="O25" s="165">
        <v>1.3770234986945169</v>
      </c>
      <c r="P25" s="165">
        <v>1.2924480486568677</v>
      </c>
      <c r="Q25" s="165">
        <v>1.2833827893175074</v>
      </c>
      <c r="R25" s="165">
        <v>1.1699346405228759</v>
      </c>
      <c r="S25" s="165">
        <v>1.076514816452897</v>
      </c>
      <c r="T25" s="165">
        <v>0.9175757575757576</v>
      </c>
      <c r="U25" s="165">
        <v>0.94686192468619246</v>
      </c>
      <c r="V25" s="165">
        <v>0.85936875749101083</v>
      </c>
      <c r="W25" s="165">
        <v>0.79548110634982472</v>
      </c>
      <c r="X25" s="165">
        <v>0.80150257018584425</v>
      </c>
      <c r="Y25" s="165">
        <v>0.78625049387593837</v>
      </c>
      <c r="Z25" s="165">
        <v>0.70663562281722936</v>
      </c>
      <c r="AA25" s="165">
        <v>0.67055167055167053</v>
      </c>
      <c r="AB25" s="165">
        <v>0.62639476721816079</v>
      </c>
      <c r="AC25" s="165">
        <v>0.58172165339400839</v>
      </c>
      <c r="AD25" s="165">
        <v>0.59098039215686271</v>
      </c>
      <c r="AE25" s="165">
        <v>0.54720616570327552</v>
      </c>
      <c r="AF25" s="165">
        <v>0.5949720670391061</v>
      </c>
      <c r="AG25" s="165">
        <v>0.61791290057518489</v>
      </c>
      <c r="AH25" s="190">
        <v>0.67811536767943636</v>
      </c>
      <c r="AI25" s="190">
        <v>0.68272205037560763</v>
      </c>
      <c r="AJ25" s="190">
        <v>0.72338447233844727</v>
      </c>
      <c r="AK25" s="190">
        <v>0.77473065621939274</v>
      </c>
      <c r="AL25" s="190">
        <v>0.75875678342377895</v>
      </c>
      <c r="AM25" s="190">
        <v>0.76934673366834172</v>
      </c>
      <c r="AN25" s="190">
        <v>0.86216364634816034</v>
      </c>
      <c r="AO25" s="190">
        <v>0.921784472769409</v>
      </c>
      <c r="AP25" s="190">
        <v>1.0036855036855037</v>
      </c>
      <c r="AQ25" s="190">
        <v>1.0691003911342893</v>
      </c>
      <c r="AR25" s="190">
        <v>1.0935633709356336</v>
      </c>
      <c r="AS25" s="190">
        <v>1.1549295774647887</v>
      </c>
      <c r="AT25" s="190">
        <v>1.0878604963112006</v>
      </c>
      <c r="AU25" s="190">
        <v>1.0871010638297873</v>
      </c>
      <c r="AV25" s="190">
        <v>1.061038961038961</v>
      </c>
      <c r="AW25" s="190">
        <v>1.0576051779935276</v>
      </c>
      <c r="AX25" s="190">
        <v>1.0623393316195373</v>
      </c>
      <c r="AY25" s="190">
        <v>1.041087231352718</v>
      </c>
      <c r="AZ25" s="190">
        <v>1.1027308192457737</v>
      </c>
      <c r="BA25" s="190">
        <v>1.1156107119529719</v>
      </c>
      <c r="BB25" s="190">
        <v>1.0541401273885351</v>
      </c>
      <c r="BC25" s="190">
        <v>1.0201958384332925</v>
      </c>
      <c r="BD25" s="190">
        <v>1.0219512195121951</v>
      </c>
      <c r="BE25" s="190">
        <v>1.0219512195121951</v>
      </c>
      <c r="BF25" s="190">
        <v>1.0078883495145632</v>
      </c>
      <c r="BG25" s="190">
        <v>1.0201219512195121</v>
      </c>
      <c r="BH25" s="190">
        <v>1.0302096177558571</v>
      </c>
      <c r="BI25" s="190">
        <v>1.0226299694189602</v>
      </c>
      <c r="BJ25" s="190">
        <v>1.0385556915544676</v>
      </c>
      <c r="BK25" s="190">
        <v>1.0361077111383108</v>
      </c>
      <c r="BL25" s="190">
        <v>1.0332728372655777</v>
      </c>
      <c r="BM25" s="190">
        <v>1.037037037037037</v>
      </c>
      <c r="BN25" s="190">
        <v>1.0188679245283019</v>
      </c>
    </row>
    <row r="26" spans="1:74" ht="15.75" thickBot="1" x14ac:dyDescent="0.3">
      <c r="A26" s="188" t="s">
        <v>19</v>
      </c>
      <c r="B26" s="165">
        <v>1.0491308974813764</v>
      </c>
      <c r="C26" s="165">
        <v>1.0086430423509076</v>
      </c>
      <c r="D26" s="165">
        <v>0.99966577540106949</v>
      </c>
      <c r="E26" s="165">
        <v>0.96179812283879462</v>
      </c>
      <c r="F26" s="165">
        <v>0.98305084745762716</v>
      </c>
      <c r="G26" s="165">
        <v>0.95119570522205954</v>
      </c>
      <c r="H26" s="165">
        <v>0.90004641807210273</v>
      </c>
      <c r="I26" s="165">
        <v>0.9027648337993166</v>
      </c>
      <c r="J26" s="165">
        <v>0.93045830681094843</v>
      </c>
      <c r="K26" s="165">
        <v>0.89190446650124067</v>
      </c>
      <c r="L26" s="165">
        <v>0.94202196382428938</v>
      </c>
      <c r="M26" s="165">
        <v>0.93487087867467922</v>
      </c>
      <c r="N26" s="165">
        <v>0.93956314665790774</v>
      </c>
      <c r="O26" s="165">
        <v>0.9291286307053942</v>
      </c>
      <c r="P26" s="165">
        <v>0.95638207945900255</v>
      </c>
      <c r="Q26" s="165">
        <v>0.97172236503856046</v>
      </c>
      <c r="R26" s="165">
        <v>0.90103644266131733</v>
      </c>
      <c r="S26" s="165">
        <v>0.88906009244992301</v>
      </c>
      <c r="T26" s="165">
        <v>0.85209601081812036</v>
      </c>
      <c r="U26" s="165">
        <v>0.83701043270053022</v>
      </c>
      <c r="V26" s="165">
        <v>0.81124290871583293</v>
      </c>
      <c r="W26" s="165">
        <v>0.79611149346180321</v>
      </c>
      <c r="X26" s="165">
        <v>0.78775440396784679</v>
      </c>
      <c r="Y26" s="165">
        <v>0.76178055990262561</v>
      </c>
      <c r="Z26" s="165">
        <v>0.68472484141950973</v>
      </c>
      <c r="AA26" s="165">
        <v>0.65375260597637253</v>
      </c>
      <c r="AB26" s="165">
        <v>0.6236671910505156</v>
      </c>
      <c r="AC26" s="165">
        <v>0.62718828152911754</v>
      </c>
      <c r="AD26" s="165">
        <v>0.59625243061693478</v>
      </c>
      <c r="AE26" s="165">
        <v>0.58677248677248672</v>
      </c>
      <c r="AF26" s="165">
        <v>0.60575139146567714</v>
      </c>
      <c r="AG26" s="165">
        <v>0.60523782014249949</v>
      </c>
      <c r="AH26" s="190">
        <v>0.59869073596508626</v>
      </c>
      <c r="AI26" s="190">
        <v>0.59317531671434409</v>
      </c>
      <c r="AJ26" s="190">
        <v>0.58614113159567705</v>
      </c>
      <c r="AK26" s="190">
        <v>0.57618327209855202</v>
      </c>
      <c r="AL26" s="190">
        <v>0.54559270516717329</v>
      </c>
      <c r="AM26" s="190">
        <v>0.57338507190139243</v>
      </c>
      <c r="AN26" s="190">
        <v>0.64496745117676513</v>
      </c>
      <c r="AO26" s="190">
        <v>0.67153866595801226</v>
      </c>
      <c r="AP26" s="190">
        <v>0.68581838565022424</v>
      </c>
      <c r="AQ26" s="190">
        <v>0.67416690401594992</v>
      </c>
      <c r="AR26" s="190">
        <v>0.68069967388081831</v>
      </c>
      <c r="AS26" s="190">
        <v>0.69522091974752032</v>
      </c>
      <c r="AT26" s="190">
        <v>0.68330781010719754</v>
      </c>
      <c r="AU26" s="190">
        <v>0.69996818326439703</v>
      </c>
      <c r="AV26" s="190">
        <v>0.69449966865473822</v>
      </c>
      <c r="AW26" s="190">
        <v>0.70995521873923528</v>
      </c>
      <c r="AX26" s="190">
        <v>0.73861171366594358</v>
      </c>
      <c r="AY26" s="190">
        <v>0.76631657914478624</v>
      </c>
      <c r="AZ26" s="190">
        <v>0.81018702745722249</v>
      </c>
      <c r="BA26" s="190">
        <v>0.80095541401273884</v>
      </c>
      <c r="BB26" s="190">
        <v>0.76203416149068326</v>
      </c>
      <c r="BC26" s="190">
        <v>0.76052308949734371</v>
      </c>
      <c r="BD26" s="190">
        <v>0.77651035065483731</v>
      </c>
      <c r="BE26" s="190">
        <v>0.77651035065483731</v>
      </c>
      <c r="BF26" s="190">
        <v>0.79921602787456447</v>
      </c>
      <c r="BG26" s="190">
        <v>0.76178123648940765</v>
      </c>
      <c r="BH26" s="190">
        <v>0.79426266248319144</v>
      </c>
      <c r="BI26" s="190">
        <v>0.79954545454545456</v>
      </c>
      <c r="BJ26" s="190">
        <v>0.82729007633587781</v>
      </c>
      <c r="BK26" s="190">
        <v>0.79961183891314891</v>
      </c>
      <c r="BL26" s="190">
        <v>0.80323054331864907</v>
      </c>
      <c r="BM26" s="190">
        <v>0.8120411160058737</v>
      </c>
      <c r="BN26" s="190">
        <v>0.81483300589390961</v>
      </c>
    </row>
    <row r="27" spans="1:74" ht="15.75" thickBot="1" x14ac:dyDescent="0.3">
      <c r="A27" s="188" t="s">
        <v>18</v>
      </c>
      <c r="B27" s="165">
        <v>1.1002638522427441</v>
      </c>
      <c r="C27" s="165">
        <v>1.0682196339434276</v>
      </c>
      <c r="D27" s="165">
        <v>1.0244527247321844</v>
      </c>
      <c r="E27" s="165">
        <v>1.0136574074074074</v>
      </c>
      <c r="F27" s="165">
        <v>1.0057790106333795</v>
      </c>
      <c r="G27" s="165">
        <v>0.94077042974838565</v>
      </c>
      <c r="H27" s="165">
        <v>0.89598811292719172</v>
      </c>
      <c r="I27" s="165">
        <v>0.84732824427480913</v>
      </c>
      <c r="J27" s="165">
        <v>0.83208645054031583</v>
      </c>
      <c r="K27" s="165">
        <v>0.83909962484368483</v>
      </c>
      <c r="L27" s="165">
        <v>0.81207218419415061</v>
      </c>
      <c r="M27" s="165">
        <v>0.76874231872183529</v>
      </c>
      <c r="N27" s="165">
        <v>0.78400852878464822</v>
      </c>
      <c r="O27" s="165">
        <v>0.79286029087703835</v>
      </c>
      <c r="P27" s="165">
        <v>0.75168955744495314</v>
      </c>
      <c r="Q27" s="165">
        <v>0.75634178905206939</v>
      </c>
      <c r="R27" s="165">
        <v>0.76312798363264378</v>
      </c>
      <c r="S27" s="165">
        <v>0.72390956839461063</v>
      </c>
      <c r="T27" s="165">
        <v>0.6954723052171915</v>
      </c>
      <c r="U27" s="165">
        <v>0.69538461538461538</v>
      </c>
      <c r="V27" s="165">
        <v>0.65458422174840081</v>
      </c>
      <c r="W27" s="165">
        <v>0.65644022400779156</v>
      </c>
      <c r="X27" s="165">
        <v>0.67657342657342656</v>
      </c>
      <c r="Y27" s="165">
        <v>0.62046696472925977</v>
      </c>
      <c r="Z27" s="165">
        <v>0.59182630906768841</v>
      </c>
      <c r="AA27" s="165">
        <v>0.58300026645350389</v>
      </c>
      <c r="AB27" s="165">
        <v>0.60375305955942349</v>
      </c>
      <c r="AC27" s="165">
        <v>0.59032795997776544</v>
      </c>
      <c r="AD27" s="165">
        <v>0.59947795823665895</v>
      </c>
      <c r="AE27" s="165">
        <v>0.61106207708149451</v>
      </c>
      <c r="AF27" s="165">
        <v>0.5907059874888293</v>
      </c>
      <c r="AG27" s="165">
        <v>0.61419558359621451</v>
      </c>
      <c r="AH27" s="190">
        <v>0.62524785194976862</v>
      </c>
      <c r="AI27" s="190">
        <v>0.6123213070115725</v>
      </c>
      <c r="AJ27" s="190">
        <v>0.64784654361201588</v>
      </c>
      <c r="AK27" s="190">
        <v>0.65281899109792285</v>
      </c>
      <c r="AL27" s="190">
        <v>0.63824289405684753</v>
      </c>
      <c r="AM27" s="190">
        <v>0.70176140912730189</v>
      </c>
      <c r="AN27" s="190">
        <v>0.7596029348295209</v>
      </c>
      <c r="AO27" s="190">
        <v>0.81992687385740404</v>
      </c>
      <c r="AP27" s="190">
        <v>0.76801801801801806</v>
      </c>
      <c r="AQ27" s="190">
        <v>0.81214689265536721</v>
      </c>
      <c r="AR27" s="190">
        <v>0.8306724721819061</v>
      </c>
      <c r="AS27" s="190">
        <v>0.80019258545979777</v>
      </c>
      <c r="AT27" s="190">
        <v>0.83408976298537574</v>
      </c>
      <c r="AU27" s="190">
        <v>0.8341037493579867</v>
      </c>
      <c r="AV27" s="190">
        <v>0.84778012684989434</v>
      </c>
      <c r="AW27" s="190">
        <v>0.86881600889382993</v>
      </c>
      <c r="AX27" s="190">
        <v>0.85418994413407823</v>
      </c>
      <c r="AY27" s="190">
        <v>0.84090909090909094</v>
      </c>
      <c r="AZ27" s="190">
        <v>0.84499710815500284</v>
      </c>
      <c r="BA27" s="190">
        <v>0.82373074729035933</v>
      </c>
      <c r="BB27" s="190">
        <v>0.81761363636363638</v>
      </c>
      <c r="BC27" s="190">
        <v>0.79237536656891494</v>
      </c>
      <c r="BD27" s="190">
        <v>0.73275362318840576</v>
      </c>
      <c r="BE27" s="190">
        <v>0.73275362318840576</v>
      </c>
      <c r="BF27" s="190">
        <v>0.74315666860803731</v>
      </c>
      <c r="BG27" s="190">
        <v>0.77316486161251508</v>
      </c>
      <c r="BH27" s="190">
        <v>0.77025392986698915</v>
      </c>
      <c r="BI27" s="190">
        <v>0.76970443349753692</v>
      </c>
      <c r="BJ27" s="190">
        <v>0.74127182044887785</v>
      </c>
      <c r="BK27" s="190">
        <v>0.75751759436980171</v>
      </c>
      <c r="BL27" s="190">
        <v>0.78155657292347935</v>
      </c>
      <c r="BM27" s="190">
        <v>0.83445945945945943</v>
      </c>
      <c r="BN27" s="190">
        <v>0.85078713210130053</v>
      </c>
      <c r="BR27" s="220" t="s">
        <v>245</v>
      </c>
      <c r="BS27" s="220" t="s">
        <v>246</v>
      </c>
      <c r="BT27" s="220" t="s">
        <v>5</v>
      </c>
      <c r="BU27" s="302" t="s">
        <v>258</v>
      </c>
      <c r="BV27" s="188" t="s">
        <v>261</v>
      </c>
    </row>
    <row r="28" spans="1:74" ht="15.75" thickBot="1" x14ac:dyDescent="0.3">
      <c r="A28" s="188" t="s">
        <v>34</v>
      </c>
      <c r="B28" s="165">
        <v>1.4034749034749034</v>
      </c>
      <c r="C28" s="165">
        <v>1.4581673306772909</v>
      </c>
      <c r="D28" s="165">
        <v>1.298342541436464</v>
      </c>
      <c r="E28" s="165">
        <v>1.3592592592592592</v>
      </c>
      <c r="F28" s="165">
        <v>1.318918918918919</v>
      </c>
      <c r="G28" s="165">
        <v>1.4048059149722736</v>
      </c>
      <c r="H28" s="165">
        <v>1.2713310580204777</v>
      </c>
      <c r="I28" s="165">
        <v>1.152037617554859</v>
      </c>
      <c r="J28" s="165">
        <v>1.0729166666666667</v>
      </c>
      <c r="K28" s="165">
        <v>1.0683506686478454</v>
      </c>
      <c r="L28" s="165">
        <v>1.0548340548340549</v>
      </c>
      <c r="M28" s="165">
        <v>1.0333333333333334</v>
      </c>
      <c r="N28" s="165">
        <v>1.0509641873278237</v>
      </c>
      <c r="O28" s="165">
        <v>1.0796221322537112</v>
      </c>
      <c r="P28" s="165">
        <v>1.1458046767537826</v>
      </c>
      <c r="Q28" s="165">
        <v>1.1612021857923498</v>
      </c>
      <c r="R28" s="165">
        <v>1.2113475177304964</v>
      </c>
      <c r="S28" s="165">
        <v>1.2029972752043596</v>
      </c>
      <c r="T28" s="165">
        <v>1.2540983606557377</v>
      </c>
      <c r="U28" s="165">
        <v>1.2223684210526315</v>
      </c>
      <c r="V28" s="165">
        <v>1.3100671140939597</v>
      </c>
      <c r="W28" s="165">
        <v>1.3945578231292517</v>
      </c>
      <c r="X28" s="165">
        <v>1.4299583911234397</v>
      </c>
      <c r="Y28" s="165">
        <v>1.4311543810848402</v>
      </c>
      <c r="Z28" s="165">
        <v>1.3926128590971272</v>
      </c>
      <c r="AA28" s="165">
        <v>1.293010752688172</v>
      </c>
      <c r="AB28" s="165">
        <v>1.254259501965924</v>
      </c>
      <c r="AC28" s="165">
        <v>1.2737499999999999</v>
      </c>
      <c r="AD28" s="165">
        <v>1.2881152460984393</v>
      </c>
      <c r="AE28" s="165">
        <v>1.3094117647058823</v>
      </c>
      <c r="AF28" s="165">
        <v>1.3594847775175645</v>
      </c>
      <c r="AG28" s="165">
        <v>1.318233295583239</v>
      </c>
      <c r="AH28" s="190">
        <v>1.3366013071895424</v>
      </c>
      <c r="AI28" s="190">
        <v>1.3670613562970937</v>
      </c>
      <c r="AJ28" s="190">
        <v>1.2776639344262295</v>
      </c>
      <c r="AK28" s="190">
        <v>1.2253658536585366</v>
      </c>
      <c r="AL28" s="190">
        <v>1.2647914645974783</v>
      </c>
      <c r="AM28" s="190">
        <v>1.3041788143828961</v>
      </c>
      <c r="AN28" s="190">
        <v>1.3742632612966601</v>
      </c>
      <c r="AO28" s="190">
        <v>1.5644490644490645</v>
      </c>
      <c r="AP28" s="190">
        <v>1.6562173458725182</v>
      </c>
      <c r="AQ28" s="190">
        <v>1.576054955839058</v>
      </c>
      <c r="AR28" s="190">
        <v>1.418452935694315</v>
      </c>
      <c r="AS28" s="190">
        <v>1.3081761006289307</v>
      </c>
      <c r="AT28" s="190">
        <v>1.227390180878553</v>
      </c>
      <c r="AU28" s="190">
        <v>1.2525773195876289</v>
      </c>
      <c r="AV28" s="190">
        <v>1.1988590057049715</v>
      </c>
      <c r="AW28" s="190">
        <v>1.1598425196850393</v>
      </c>
      <c r="AX28" s="190">
        <v>1.2068965517241379</v>
      </c>
      <c r="AY28" s="190">
        <v>1.2205414012738853</v>
      </c>
      <c r="AZ28" s="190">
        <v>1.1395705521472392</v>
      </c>
      <c r="BA28" s="190">
        <v>1.1125186289120714</v>
      </c>
      <c r="BB28" s="190">
        <v>1.087205146533238</v>
      </c>
      <c r="BC28" s="190">
        <v>0.93375394321766558</v>
      </c>
      <c r="BD28" s="190">
        <v>0.8511830635118306</v>
      </c>
      <c r="BE28" s="190">
        <v>0.8511830635118306</v>
      </c>
      <c r="BF28" s="190">
        <v>0.9329829172141918</v>
      </c>
      <c r="BG28" s="190">
        <v>0.99244505494505497</v>
      </c>
      <c r="BH28" s="190">
        <v>1.0463157894736843</v>
      </c>
      <c r="BI28" s="190">
        <v>1.0233196159122084</v>
      </c>
      <c r="BJ28" s="190">
        <v>0.9551325628823929</v>
      </c>
      <c r="BK28" s="190">
        <v>0.90563475899524781</v>
      </c>
      <c r="BL28" s="190">
        <v>0.9102990033222591</v>
      </c>
      <c r="BM28" s="190">
        <v>0.86888454011741678</v>
      </c>
      <c r="BN28" s="190">
        <v>0.90915208613728127</v>
      </c>
      <c r="BR28" s="4" t="s">
        <v>260</v>
      </c>
      <c r="BS28" s="4">
        <v>1062</v>
      </c>
      <c r="BT28" s="28">
        <f t="shared" ref="BT28:BT33" si="1">BS28/SUM($BS$15:$BS$24)</f>
        <v>0.27627471383975027</v>
      </c>
      <c r="BU28" s="303">
        <v>0.7</v>
      </c>
      <c r="BV28" s="304">
        <f>BU28*BT28</f>
        <v>0.19339229968782518</v>
      </c>
    </row>
    <row r="29" spans="1:74" ht="15.75" thickBot="1" x14ac:dyDescent="0.3">
      <c r="A29" s="188" t="s">
        <v>35</v>
      </c>
      <c r="B29" s="165">
        <v>0.80122532334921714</v>
      </c>
      <c r="C29" s="165">
        <v>0.78475033738191635</v>
      </c>
      <c r="D29" s="165">
        <v>0.81593794076163606</v>
      </c>
      <c r="E29" s="165">
        <v>0.77744133232399693</v>
      </c>
      <c r="F29" s="165">
        <v>0.69011976047904189</v>
      </c>
      <c r="G29" s="165">
        <v>0.67056245434623818</v>
      </c>
      <c r="H29" s="165">
        <v>0.59850034083162917</v>
      </c>
      <c r="I29" s="165">
        <v>0.5587655942219304</v>
      </c>
      <c r="J29" s="165">
        <v>0.57535164099129266</v>
      </c>
      <c r="K29" s="165">
        <v>0.55495978552278824</v>
      </c>
      <c r="L29" s="165">
        <v>0.60189919649379109</v>
      </c>
      <c r="M29" s="165">
        <v>0.58210059171597628</v>
      </c>
      <c r="N29" s="165">
        <v>0.61192873741285825</v>
      </c>
      <c r="O29" s="165">
        <v>0.62418300653594772</v>
      </c>
      <c r="P29" s="165">
        <v>0.63211554800339842</v>
      </c>
      <c r="Q29" s="165">
        <v>0.63972484952708508</v>
      </c>
      <c r="R29" s="165">
        <v>0.61538461538461542</v>
      </c>
      <c r="S29" s="165">
        <v>0.68354430379746833</v>
      </c>
      <c r="T29" s="165">
        <v>0.75488069414316705</v>
      </c>
      <c r="U29" s="165">
        <v>0.76470588235294112</v>
      </c>
      <c r="V29" s="165">
        <v>0.78815489749430523</v>
      </c>
      <c r="W29" s="165">
        <v>0.78143360752056401</v>
      </c>
      <c r="X29" s="165">
        <v>0.76949941792782306</v>
      </c>
      <c r="Y29" s="165">
        <v>0.74758454106280192</v>
      </c>
      <c r="Z29" s="165">
        <v>0.70388349514563109</v>
      </c>
      <c r="AA29" s="165">
        <v>0.76620076238881829</v>
      </c>
      <c r="AB29" s="165">
        <v>0.75696202531645573</v>
      </c>
      <c r="AC29" s="165">
        <v>0.81413612565445026</v>
      </c>
      <c r="AD29" s="165">
        <v>0.85483870967741937</v>
      </c>
      <c r="AE29" s="165">
        <v>0.84677419354838712</v>
      </c>
      <c r="AF29" s="165">
        <v>0.9171348314606742</v>
      </c>
      <c r="AG29" s="165">
        <v>0.93447293447293445</v>
      </c>
      <c r="AH29" s="190">
        <v>0.98275862068965514</v>
      </c>
      <c r="AI29" s="190">
        <v>0.9330484330484331</v>
      </c>
      <c r="AJ29" s="190">
        <v>0.90895953757225434</v>
      </c>
      <c r="AK29" s="190">
        <v>0.95488721804511278</v>
      </c>
      <c r="AL29" s="190">
        <v>0.95763993948562787</v>
      </c>
      <c r="AM29" s="190">
        <v>1.0920840064620356</v>
      </c>
      <c r="AN29" s="190">
        <v>1.1775862068965517</v>
      </c>
      <c r="AO29" s="190">
        <v>1.097844112769486</v>
      </c>
      <c r="AP29" s="190">
        <v>1.0635451505016722</v>
      </c>
      <c r="AQ29" s="190">
        <v>1.0112540192926045</v>
      </c>
      <c r="AR29" s="190">
        <v>0.95597484276729561</v>
      </c>
      <c r="AS29" s="190">
        <v>0.97619047619047616</v>
      </c>
      <c r="AT29" s="190">
        <v>0.95252679938744256</v>
      </c>
      <c r="AU29" s="190">
        <v>0.9375</v>
      </c>
      <c r="AV29" s="190">
        <v>0.88742690058479534</v>
      </c>
      <c r="AW29" s="190">
        <v>0.94045801526717554</v>
      </c>
      <c r="AX29" s="190">
        <v>1.0047694753577106</v>
      </c>
      <c r="AY29" s="190">
        <v>0.99370078740157475</v>
      </c>
      <c r="AZ29" s="190">
        <v>0.99526066350710896</v>
      </c>
      <c r="BA29" s="190">
        <v>0.96301775147928992</v>
      </c>
      <c r="BB29" s="190">
        <v>0.98682284040995605</v>
      </c>
      <c r="BC29" s="190">
        <v>1.1336477987421383</v>
      </c>
      <c r="BD29" s="190">
        <v>1.1939586645468998</v>
      </c>
      <c r="BE29" s="190">
        <v>1.1939586645468998</v>
      </c>
      <c r="BF29" s="190">
        <v>1.294407894736842</v>
      </c>
      <c r="BG29" s="190">
        <v>1.269918699186992</v>
      </c>
      <c r="BH29" s="190">
        <v>1.252411575562701</v>
      </c>
      <c r="BI29" s="190">
        <v>1.3121951219512196</v>
      </c>
      <c r="BJ29" s="190">
        <v>1.2751235584843492</v>
      </c>
      <c r="BK29" s="190">
        <v>1.3084415584415585</v>
      </c>
      <c r="BL29" s="190">
        <v>1.4446202531645569</v>
      </c>
      <c r="BM29" s="190">
        <v>1.4801901743264658</v>
      </c>
      <c r="BN29" s="190">
        <v>1.5111111111111111</v>
      </c>
      <c r="BR29" s="4" t="s">
        <v>253</v>
      </c>
      <c r="BS29" s="4">
        <v>730</v>
      </c>
      <c r="BT29" s="28">
        <f t="shared" si="1"/>
        <v>0.18990634755463059</v>
      </c>
      <c r="BU29" s="303">
        <v>0.13</v>
      </c>
      <c r="BV29" s="304">
        <f>BU29*BT29</f>
        <v>2.4687825182101979E-2</v>
      </c>
    </row>
    <row r="30" spans="1:74" ht="15.75" thickBot="1" x14ac:dyDescent="0.3">
      <c r="A30" s="188" t="s">
        <v>36</v>
      </c>
      <c r="B30" s="165">
        <v>3.4409594095940959</v>
      </c>
      <c r="C30" s="165">
        <v>3.728515625</v>
      </c>
      <c r="D30" s="165">
        <v>3.9122486288848264</v>
      </c>
      <c r="E30" s="165">
        <v>3.9300184162062615</v>
      </c>
      <c r="F30" s="165">
        <v>4.0092081031307547</v>
      </c>
      <c r="G30" s="165">
        <v>3.8435852372583481</v>
      </c>
      <c r="H30" s="165">
        <v>3.6498316498316496</v>
      </c>
      <c r="I30" s="165">
        <v>3.5243506493506493</v>
      </c>
      <c r="J30" s="165">
        <v>3.2846153846153845</v>
      </c>
      <c r="K30" s="165">
        <v>2.9696092619392185</v>
      </c>
      <c r="L30" s="165">
        <v>2.7952973720608574</v>
      </c>
      <c r="M30" s="165">
        <v>2.5176470588235293</v>
      </c>
      <c r="N30" s="165">
        <v>1.8823529411764706</v>
      </c>
      <c r="O30" s="165">
        <v>0.83641536273115225</v>
      </c>
      <c r="P30" s="165">
        <v>0.3774798927613941</v>
      </c>
      <c r="Q30" s="165">
        <v>0.34206390780513357</v>
      </c>
      <c r="R30" s="165">
        <v>0.16775700934579441</v>
      </c>
      <c r="S30" s="165">
        <v>0.15042174320524837</v>
      </c>
      <c r="T30" s="165">
        <v>0.11254019292604502</v>
      </c>
      <c r="U30" s="165">
        <v>9.0534979423868317E-2</v>
      </c>
      <c r="V30" s="165">
        <v>8.9483394833948335E-2</v>
      </c>
      <c r="W30" s="165">
        <v>0.3657300783049286</v>
      </c>
      <c r="X30" s="165">
        <v>0.49882903981264637</v>
      </c>
      <c r="Y30" s="165">
        <v>0.5199805068226121</v>
      </c>
      <c r="Z30" s="165">
        <v>0.56506679861454723</v>
      </c>
      <c r="AA30" s="165">
        <v>0.59138110072689509</v>
      </c>
      <c r="AB30" s="165">
        <v>0.66666666666666663</v>
      </c>
      <c r="AC30" s="165">
        <v>0.9787414965986394</v>
      </c>
      <c r="AD30" s="165">
        <v>2.0056818181818183</v>
      </c>
      <c r="AE30" s="165">
        <v>2.1638591117917305</v>
      </c>
      <c r="AF30" s="165">
        <v>3.9832869080779942</v>
      </c>
      <c r="AG30" s="165">
        <v>4.4672897196261685</v>
      </c>
      <c r="AH30" s="190">
        <v>5.963265306122449</v>
      </c>
      <c r="AI30" s="190">
        <v>8.1212121212121211</v>
      </c>
      <c r="AJ30" s="190">
        <v>8.2525773195876297</v>
      </c>
      <c r="AK30" s="190">
        <v>1.2468513853904282</v>
      </c>
      <c r="AL30" s="190">
        <v>0.65539906103286383</v>
      </c>
      <c r="AM30" s="190">
        <v>0.64948453608247425</v>
      </c>
      <c r="AN30" s="190">
        <v>0.49124343257443082</v>
      </c>
      <c r="AO30" s="190">
        <v>0.4925373134328358</v>
      </c>
      <c r="AP30" s="190">
        <v>0.47916666666666669</v>
      </c>
      <c r="AQ30" s="190">
        <v>0.47610773240660298</v>
      </c>
      <c r="AR30" s="190">
        <v>0.20184135977337112</v>
      </c>
      <c r="AS30" s="190">
        <v>0.20028308563340411</v>
      </c>
      <c r="AT30" s="190">
        <v>0.18391608391608391</v>
      </c>
      <c r="AU30" s="190">
        <v>0.1799163179916318</v>
      </c>
      <c r="AV30" s="190">
        <v>0.15605749486652978</v>
      </c>
      <c r="AW30" s="190">
        <v>0.38743781094527363</v>
      </c>
      <c r="AX30" s="190">
        <v>0.47407870081199249</v>
      </c>
      <c r="AY30" s="190">
        <v>0.75151515151515147</v>
      </c>
      <c r="AZ30" s="190">
        <v>1.0673352435530086</v>
      </c>
      <c r="BA30" s="190">
        <v>1.0721500721500721</v>
      </c>
      <c r="BB30" s="190">
        <v>1.3155080213903743</v>
      </c>
      <c r="BC30" s="190">
        <v>1.3405797101449275</v>
      </c>
      <c r="BD30" s="190">
        <v>1.3686131386861313</v>
      </c>
      <c r="BE30" s="190">
        <v>1.3686131386861313</v>
      </c>
      <c r="BF30" s="190">
        <v>2.6315789473684212</v>
      </c>
      <c r="BG30" s="190">
        <v>2.6501766784452299</v>
      </c>
      <c r="BH30" s="190">
        <v>2.8441064638783269</v>
      </c>
      <c r="BI30" s="190">
        <v>2.8798449612403099</v>
      </c>
      <c r="BJ30" s="190">
        <v>3.2543859649122808</v>
      </c>
      <c r="BK30" s="190">
        <v>0.4317817014446228</v>
      </c>
      <c r="BL30" s="190">
        <v>0.72068511198945984</v>
      </c>
      <c r="BM30" s="190">
        <v>0.84677419354838712</v>
      </c>
      <c r="BN30" s="190">
        <v>1.1154362416107382</v>
      </c>
      <c r="BR30" s="4" t="s">
        <v>254</v>
      </c>
      <c r="BS30" s="4">
        <v>882</v>
      </c>
      <c r="BT30" s="28">
        <f t="shared" si="1"/>
        <v>0.22944849115504681</v>
      </c>
      <c r="BU30" s="303">
        <v>0.51</v>
      </c>
      <c r="BV30" s="304">
        <f>BU30*BT30</f>
        <v>0.11701873048907388</v>
      </c>
    </row>
    <row r="31" spans="1:74" ht="15.75" thickBot="1" x14ac:dyDescent="0.3">
      <c r="A31" s="188" t="s">
        <v>37</v>
      </c>
      <c r="B31" s="165">
        <v>0.89194658033184948</v>
      </c>
      <c r="C31" s="165">
        <v>0.8645812310797174</v>
      </c>
      <c r="D31" s="165">
        <v>0.81657392686804453</v>
      </c>
      <c r="E31" s="165">
        <v>0.77505966587112174</v>
      </c>
      <c r="F31" s="165">
        <v>0.76082977425259302</v>
      </c>
      <c r="G31" s="165">
        <v>0.75345043914680054</v>
      </c>
      <c r="H31" s="165">
        <v>0.68975903614457834</v>
      </c>
      <c r="I31" s="165">
        <v>0.67656027647895911</v>
      </c>
      <c r="J31" s="165">
        <v>0.63459220570510244</v>
      </c>
      <c r="K31" s="165">
        <v>0.60386473429951693</v>
      </c>
      <c r="L31" s="165">
        <v>0.55792495386508101</v>
      </c>
      <c r="M31" s="165">
        <v>0.53930753564154787</v>
      </c>
      <c r="N31" s="165">
        <v>0.52802855343271049</v>
      </c>
      <c r="O31" s="165">
        <v>0.53439268611232038</v>
      </c>
      <c r="P31" s="165">
        <v>0.54401088929219599</v>
      </c>
      <c r="Q31" s="165">
        <v>0.54061624649859941</v>
      </c>
      <c r="R31" s="165">
        <v>0.55536626916524701</v>
      </c>
      <c r="S31" s="165">
        <v>0.57069540672312036</v>
      </c>
      <c r="T31" s="165">
        <v>0.58380112269446671</v>
      </c>
      <c r="U31" s="165">
        <v>0.59700249791840132</v>
      </c>
      <c r="V31" s="165">
        <v>0.61368267831149925</v>
      </c>
      <c r="W31" s="165">
        <v>0.61177884615384615</v>
      </c>
      <c r="X31" s="165">
        <v>0.63279518835074389</v>
      </c>
      <c r="Y31" s="165">
        <v>0.6343333333333333</v>
      </c>
      <c r="Z31" s="165">
        <v>0.66041896361631758</v>
      </c>
      <c r="AA31" s="165">
        <v>0.56382175226586106</v>
      </c>
      <c r="AB31" s="165">
        <v>0.56699801192842947</v>
      </c>
      <c r="AC31" s="165">
        <v>0.56171079429735238</v>
      </c>
      <c r="AD31" s="165">
        <v>0.56839032527105926</v>
      </c>
      <c r="AE31" s="165">
        <v>0.60233160621761661</v>
      </c>
      <c r="AF31" s="165">
        <v>0.6073619631901841</v>
      </c>
      <c r="AG31" s="165">
        <v>0.62050359712230219</v>
      </c>
      <c r="AH31" s="190">
        <v>0.66575091575091572</v>
      </c>
      <c r="AI31" s="190">
        <v>0.68619246861924688</v>
      </c>
      <c r="AJ31" s="190">
        <v>0.67125237191650855</v>
      </c>
      <c r="AK31" s="190">
        <v>0.69695481335952847</v>
      </c>
      <c r="AL31" s="190">
        <v>0.69734867433716863</v>
      </c>
      <c r="AM31" s="190">
        <v>0.74251182343667887</v>
      </c>
      <c r="AN31" s="190">
        <v>0.81524763494713415</v>
      </c>
      <c r="AO31" s="190">
        <v>0.99598124581379777</v>
      </c>
      <c r="AP31" s="190">
        <v>1.0988779803646564</v>
      </c>
      <c r="AQ31" s="190">
        <v>1.145032632342277</v>
      </c>
      <c r="AR31" s="190">
        <v>1.103448275862069</v>
      </c>
      <c r="AS31" s="190">
        <v>1.0566308243727598</v>
      </c>
      <c r="AT31" s="190">
        <v>1.0418470418470418</v>
      </c>
      <c r="AU31" s="190">
        <v>1.0108695652173914</v>
      </c>
      <c r="AV31" s="190">
        <v>0.91609353507565339</v>
      </c>
      <c r="AW31" s="190">
        <v>0.88821138211382111</v>
      </c>
      <c r="AX31" s="190">
        <v>0.98798586572438163</v>
      </c>
      <c r="AY31" s="190">
        <v>1.0063424947145878</v>
      </c>
      <c r="AZ31" s="190">
        <v>1.043041606886657</v>
      </c>
      <c r="BA31" s="190">
        <v>1.0438782731776362</v>
      </c>
      <c r="BB31" s="190">
        <v>1.0075085324232083</v>
      </c>
      <c r="BC31" s="190">
        <v>0.91257179323548177</v>
      </c>
      <c r="BD31" s="190">
        <v>0.89487017099430022</v>
      </c>
      <c r="BE31" s="190">
        <v>0.89487017099430022</v>
      </c>
      <c r="BF31" s="190">
        <v>1.0186170212765957</v>
      </c>
      <c r="BG31" s="190">
        <v>1.0359565807327</v>
      </c>
      <c r="BH31" s="190">
        <v>1.0602493074792243</v>
      </c>
      <c r="BI31" s="190">
        <v>1.1347670250896058</v>
      </c>
      <c r="BJ31" s="190">
        <v>1.1726726726726726</v>
      </c>
      <c r="BK31" s="190">
        <v>1.1655225019069413</v>
      </c>
      <c r="BL31" s="190">
        <v>1.0622317596566524</v>
      </c>
      <c r="BM31" s="190">
        <v>1.0714285714285714</v>
      </c>
      <c r="BN31" s="190">
        <v>1.0790921595598348</v>
      </c>
      <c r="BR31" s="4" t="s">
        <v>255</v>
      </c>
      <c r="BS31" s="4">
        <v>730</v>
      </c>
      <c r="BT31" s="28">
        <f t="shared" si="1"/>
        <v>0.18990634755463059</v>
      </c>
      <c r="BU31" s="305">
        <v>0.8</v>
      </c>
      <c r="BV31" s="304">
        <f>BU31*BT31</f>
        <v>0.15192507804370448</v>
      </c>
    </row>
    <row r="32" spans="1:74" ht="15.75" thickBot="1" x14ac:dyDescent="0.3">
      <c r="A32" s="188" t="s">
        <v>22</v>
      </c>
      <c r="B32" s="165">
        <v>1.0530772408095828</v>
      </c>
      <c r="C32" s="165">
        <v>1.0353831469866375</v>
      </c>
      <c r="D32" s="165">
        <v>0.97170816136333382</v>
      </c>
      <c r="E32" s="165">
        <v>0.91483913328956012</v>
      </c>
      <c r="F32" s="165">
        <v>0.86580226904376012</v>
      </c>
      <c r="G32" s="165">
        <v>0.81611276348118456</v>
      </c>
      <c r="H32" s="165">
        <v>0.70864956029394044</v>
      </c>
      <c r="I32" s="165">
        <v>0.65462833099579243</v>
      </c>
      <c r="J32" s="165">
        <v>0.62396382818387341</v>
      </c>
      <c r="K32" s="165">
        <v>0.61148886283704573</v>
      </c>
      <c r="L32" s="165">
        <v>0.58020132229435939</v>
      </c>
      <c r="M32" s="165">
        <v>0.55800000000000005</v>
      </c>
      <c r="N32" s="165">
        <v>0.53704735376044566</v>
      </c>
      <c r="O32" s="165">
        <v>0.51540900443880788</v>
      </c>
      <c r="P32" s="165">
        <v>0.51389161273452311</v>
      </c>
      <c r="Q32" s="165">
        <v>0.49911108184631592</v>
      </c>
      <c r="R32" s="165">
        <v>0.5066109474549565</v>
      </c>
      <c r="S32" s="165">
        <v>0.50986865714490781</v>
      </c>
      <c r="T32" s="165">
        <v>0.50265818045675781</v>
      </c>
      <c r="U32" s="165">
        <v>0.51552844240215501</v>
      </c>
      <c r="V32" s="165">
        <v>0.5274968125796855</v>
      </c>
      <c r="W32" s="165">
        <v>0.54588466345295483</v>
      </c>
      <c r="X32" s="165">
        <v>0.56586770717205503</v>
      </c>
      <c r="Y32" s="165">
        <v>0.54812116564417179</v>
      </c>
      <c r="Z32" s="165">
        <v>0.55261266810389076</v>
      </c>
      <c r="AA32" s="165">
        <v>0.54469425437167374</v>
      </c>
      <c r="AB32" s="165">
        <v>0.55866758875057632</v>
      </c>
      <c r="AC32" s="165">
        <v>0.59781003937007871</v>
      </c>
      <c r="AD32" s="165">
        <v>0.61111817834881055</v>
      </c>
      <c r="AE32" s="165">
        <v>0.64023746701846962</v>
      </c>
      <c r="AF32" s="165">
        <v>0.66071670047329278</v>
      </c>
      <c r="AG32" s="165">
        <v>0.67581644144144148</v>
      </c>
      <c r="AH32" s="190">
        <v>0.70758230299419034</v>
      </c>
      <c r="AI32" s="190">
        <v>0.72721684339941606</v>
      </c>
      <c r="AJ32" s="190">
        <v>0.75136964228166292</v>
      </c>
      <c r="AK32" s="190">
        <v>0.75519215044971377</v>
      </c>
      <c r="AL32" s="190">
        <v>0.7466754227548843</v>
      </c>
      <c r="AM32" s="190">
        <v>0.82406435816719137</v>
      </c>
      <c r="AN32" s="190">
        <v>0.91788965261006872</v>
      </c>
      <c r="AO32" s="190">
        <v>1.0217347956131606</v>
      </c>
      <c r="AP32" s="190">
        <v>1.0730348669279968</v>
      </c>
      <c r="AQ32" s="190">
        <v>1.0745009261164848</v>
      </c>
      <c r="AR32" s="190">
        <v>1.0786844296419651</v>
      </c>
      <c r="AS32" s="190">
        <v>1.0725324541520709</v>
      </c>
      <c r="AT32" s="190">
        <v>1.0568972574703235</v>
      </c>
      <c r="AU32" s="190">
        <v>1.1006040408248281</v>
      </c>
      <c r="AV32" s="190">
        <v>1.1181052631578947</v>
      </c>
      <c r="AW32" s="190">
        <v>1.1595519864750634</v>
      </c>
      <c r="AX32" s="190">
        <v>1.2202444778039889</v>
      </c>
      <c r="AY32" s="190">
        <v>1.2520571676050238</v>
      </c>
      <c r="AZ32" s="190">
        <v>1.2860598065083553</v>
      </c>
      <c r="BA32" s="190">
        <v>1.2453310696095077</v>
      </c>
      <c r="BB32" s="190">
        <v>1.2228293867638129</v>
      </c>
      <c r="BC32" s="190">
        <v>1.1809267448567584</v>
      </c>
      <c r="BD32" s="190">
        <v>1.1754453169890826</v>
      </c>
      <c r="BE32" s="190">
        <v>1.1754453169890826</v>
      </c>
      <c r="BF32" s="190">
        <v>1.1968351987649557</v>
      </c>
      <c r="BG32" s="190">
        <v>1.1942363112391932</v>
      </c>
      <c r="BH32" s="190">
        <v>1.2321843532145624</v>
      </c>
      <c r="BI32" s="190">
        <v>1.2310749432248296</v>
      </c>
      <c r="BJ32" s="190">
        <v>1.2363020146864998</v>
      </c>
      <c r="BK32" s="190">
        <v>1.1656642974302898</v>
      </c>
      <c r="BL32" s="190">
        <v>1.1571177504393673</v>
      </c>
      <c r="BM32" s="190">
        <v>1.1758906952611554</v>
      </c>
      <c r="BN32" s="190">
        <v>1.1699435800991622</v>
      </c>
      <c r="BR32" s="4" t="s">
        <v>256</v>
      </c>
      <c r="BS32" s="4">
        <v>435</v>
      </c>
      <c r="BT32" s="28">
        <f t="shared" si="1"/>
        <v>0.11316337148803329</v>
      </c>
      <c r="BU32" s="305">
        <v>0.74</v>
      </c>
      <c r="BV32" s="304">
        <f>BU32*BT32</f>
        <v>8.3740894901144641E-2</v>
      </c>
    </row>
    <row r="33" spans="1:72" ht="15.75" thickBot="1" x14ac:dyDescent="0.3">
      <c r="A33" s="188" t="s">
        <v>38</v>
      </c>
      <c r="B33" s="165">
        <v>1.1800664451827243</v>
      </c>
      <c r="C33" s="165">
        <v>1.1455368693402328</v>
      </c>
      <c r="D33" s="165">
        <v>1.0169082125603865</v>
      </c>
      <c r="E33" s="165">
        <v>0.99047619047619051</v>
      </c>
      <c r="F33" s="165">
        <v>0.92915214866434381</v>
      </c>
      <c r="G33" s="165">
        <v>0.80934065934065935</v>
      </c>
      <c r="H33" s="165">
        <v>0.69784550709406201</v>
      </c>
      <c r="I33" s="165">
        <v>0.69226694915254239</v>
      </c>
      <c r="J33" s="165">
        <v>0.63118062563067612</v>
      </c>
      <c r="K33" s="165">
        <v>0.63668699186991873</v>
      </c>
      <c r="L33" s="165">
        <v>0.6333676622039135</v>
      </c>
      <c r="M33" s="165">
        <v>0.59937727036844834</v>
      </c>
      <c r="N33" s="165">
        <v>0.60752688172043012</v>
      </c>
      <c r="O33" s="165">
        <v>0.64760254188330446</v>
      </c>
      <c r="P33" s="165">
        <v>0.57488738738738743</v>
      </c>
      <c r="Q33" s="165">
        <v>0.59006211180124224</v>
      </c>
      <c r="R33" s="165">
        <v>0.60570071258907365</v>
      </c>
      <c r="S33" s="165">
        <v>0.59555288461538458</v>
      </c>
      <c r="T33" s="165">
        <v>0.61312500000000003</v>
      </c>
      <c r="U33" s="165">
        <v>0.67820773930753564</v>
      </c>
      <c r="V33" s="165">
        <v>0.83132530120481929</v>
      </c>
      <c r="W33" s="165">
        <v>0.81943381790359604</v>
      </c>
      <c r="X33" s="165">
        <v>0.80895283772981619</v>
      </c>
      <c r="Y33" s="165">
        <v>0.74301675977653636</v>
      </c>
      <c r="Z33" s="165">
        <v>0.724390243902439</v>
      </c>
      <c r="AA33" s="165">
        <v>0.73419913419913418</v>
      </c>
      <c r="AB33" s="165">
        <v>0.74601769911504423</v>
      </c>
      <c r="AC33" s="165">
        <v>0.71989295272078502</v>
      </c>
      <c r="AD33" s="165">
        <v>0.77473065621939274</v>
      </c>
      <c r="AE33" s="165">
        <v>0.71578947368421053</v>
      </c>
      <c r="AF33" s="165">
        <v>0.71078431372549022</v>
      </c>
      <c r="AG33" s="165">
        <v>0.73965691220988905</v>
      </c>
      <c r="AH33" s="190">
        <v>0.72069317023445467</v>
      </c>
      <c r="AI33" s="190">
        <v>0.69669669669669665</v>
      </c>
      <c r="AJ33" s="190">
        <v>0.64402173913043481</v>
      </c>
      <c r="AK33" s="190">
        <v>0.68627450980392157</v>
      </c>
      <c r="AL33" s="190">
        <v>0.7865612648221344</v>
      </c>
      <c r="AM33" s="190">
        <v>0.86680988184747587</v>
      </c>
      <c r="AN33" s="190">
        <v>0.91806958473625144</v>
      </c>
      <c r="AO33" s="190">
        <v>0.972877358490566</v>
      </c>
      <c r="AP33" s="190">
        <v>0.99051008303677346</v>
      </c>
      <c r="AQ33" s="190">
        <v>1.080545229244114</v>
      </c>
      <c r="AR33" s="190">
        <v>1.102402022756005</v>
      </c>
      <c r="AS33" s="190">
        <v>1.1470588235294117</v>
      </c>
      <c r="AT33" s="190">
        <v>1.1944827586206896</v>
      </c>
      <c r="AU33" s="190">
        <v>1.159618008185539</v>
      </c>
      <c r="AV33" s="190">
        <v>1.1824611032531824</v>
      </c>
      <c r="AW33" s="190">
        <v>1.1853448275862069</v>
      </c>
      <c r="AX33" s="190">
        <v>1.1617440225035163</v>
      </c>
      <c r="AY33" s="190">
        <v>1.1074829931972789</v>
      </c>
      <c r="AZ33" s="190">
        <v>1.0075376884422111</v>
      </c>
      <c r="BA33" s="190">
        <v>1.0396530359355638</v>
      </c>
      <c r="BB33" s="190">
        <v>1.0696821515892421</v>
      </c>
      <c r="BC33" s="190">
        <v>1.1473053892215568</v>
      </c>
      <c r="BD33" s="190">
        <v>1.125</v>
      </c>
      <c r="BE33" s="190">
        <v>1.125</v>
      </c>
      <c r="BF33" s="190">
        <v>1.1720183486238531</v>
      </c>
      <c r="BG33" s="190">
        <v>1.2412587412587412</v>
      </c>
      <c r="BH33" s="190">
        <v>1.2690531177829099</v>
      </c>
      <c r="BI33" s="190">
        <v>1.3070588235294118</v>
      </c>
      <c r="BJ33" s="190">
        <v>1.3851674641148326</v>
      </c>
      <c r="BK33" s="190">
        <v>1.4848484848484849</v>
      </c>
      <c r="BL33" s="190">
        <v>1.526634382566586</v>
      </c>
      <c r="BM33" s="190">
        <v>1.6216216216216217</v>
      </c>
      <c r="BN33" s="190">
        <v>1.7182044887780548</v>
      </c>
      <c r="BR33" s="4" t="s">
        <v>259</v>
      </c>
      <c r="BS33" s="4">
        <v>5</v>
      </c>
      <c r="BT33" s="28">
        <f t="shared" si="1"/>
        <v>1.3007284079084287E-3</v>
      </c>
    </row>
    <row r="34" spans="1:72" ht="15.75" thickBot="1" x14ac:dyDescent="0.3">
      <c r="A34" s="188" t="s">
        <v>39</v>
      </c>
      <c r="B34" s="165">
        <v>0.86237897648686035</v>
      </c>
      <c r="C34" s="165">
        <v>0.85125698324022347</v>
      </c>
      <c r="D34" s="165">
        <v>0.86932599724896842</v>
      </c>
      <c r="E34" s="165">
        <v>0.81824512534818938</v>
      </c>
      <c r="F34" s="165">
        <v>0.78843537414965992</v>
      </c>
      <c r="G34" s="165">
        <v>0.78546470999301188</v>
      </c>
      <c r="H34" s="165">
        <v>0.7631944444444444</v>
      </c>
      <c r="I34" s="165">
        <v>0.78409919766593728</v>
      </c>
      <c r="J34" s="165">
        <v>0.79518072289156627</v>
      </c>
      <c r="K34" s="165">
        <v>0.71470805617147082</v>
      </c>
      <c r="L34" s="165">
        <v>0.65217391304347827</v>
      </c>
      <c r="M34" s="165">
        <v>0.66640563821456533</v>
      </c>
      <c r="N34" s="165">
        <v>0.59129106187929714</v>
      </c>
      <c r="O34" s="165">
        <v>0.63008130081300817</v>
      </c>
      <c r="P34" s="165">
        <v>0.57578187650360868</v>
      </c>
      <c r="Q34" s="165">
        <v>0.5676784249384742</v>
      </c>
      <c r="R34" s="165">
        <v>0.51819620253164556</v>
      </c>
      <c r="S34" s="165">
        <v>0.5412765957446809</v>
      </c>
      <c r="T34" s="165">
        <v>0.5703192407247627</v>
      </c>
      <c r="U34" s="165">
        <v>0.59786476868327398</v>
      </c>
      <c r="V34" s="165">
        <v>0.59417652411282984</v>
      </c>
      <c r="W34" s="165">
        <v>0.60651162790697677</v>
      </c>
      <c r="X34" s="165">
        <v>0.60416666666666663</v>
      </c>
      <c r="Y34" s="165">
        <v>0.62978283350568764</v>
      </c>
      <c r="Z34" s="165">
        <v>0.64745762711864407</v>
      </c>
      <c r="AA34" s="165">
        <v>0.66039952996474738</v>
      </c>
      <c r="AB34" s="165">
        <v>0.75968992248062017</v>
      </c>
      <c r="AC34" s="165">
        <v>0.7587096774193548</v>
      </c>
      <c r="AD34" s="165">
        <v>0.84122562674094703</v>
      </c>
      <c r="AE34" s="165">
        <v>0.90173410404624277</v>
      </c>
      <c r="AF34" s="165">
        <v>0.8748091603053435</v>
      </c>
      <c r="AG34" s="165">
        <v>0.92295597484276726</v>
      </c>
      <c r="AH34" s="190">
        <v>0.77912254160363081</v>
      </c>
      <c r="AI34" s="190">
        <v>0.7455357142857143</v>
      </c>
      <c r="AJ34" s="190">
        <v>0.73660030627871365</v>
      </c>
      <c r="AK34" s="190">
        <v>0.7760736196319018</v>
      </c>
      <c r="AL34" s="190">
        <v>0.7601880877742947</v>
      </c>
      <c r="AM34" s="190">
        <v>0.83743842364532017</v>
      </c>
      <c r="AN34" s="190">
        <v>0.94764397905759157</v>
      </c>
      <c r="AO34" s="190">
        <v>0.92348754448398573</v>
      </c>
      <c r="AP34" s="190">
        <v>0.84523809523809523</v>
      </c>
      <c r="AQ34" s="190">
        <v>0.84353741496598644</v>
      </c>
      <c r="AR34" s="190">
        <v>0.7831125827814569</v>
      </c>
      <c r="AS34" s="190">
        <v>0.75320512820512819</v>
      </c>
      <c r="AT34" s="190">
        <v>0.80628272251308897</v>
      </c>
      <c r="AU34" s="190">
        <v>0.75979557069846682</v>
      </c>
      <c r="AV34" s="190">
        <v>0.82135922330097089</v>
      </c>
      <c r="AW34" s="190">
        <v>0.84830339321357284</v>
      </c>
      <c r="AX34" s="190">
        <v>0.87941787941787941</v>
      </c>
      <c r="AY34" s="190">
        <v>0.78260869565217395</v>
      </c>
      <c r="AZ34" s="190">
        <v>0.87422680412371134</v>
      </c>
      <c r="BA34" s="190">
        <v>0.83725490196078434</v>
      </c>
      <c r="BB34" s="190">
        <v>0.71823204419889508</v>
      </c>
      <c r="BC34" s="190">
        <v>0.84104627766599593</v>
      </c>
      <c r="BD34" s="190">
        <v>0.82258064516129037</v>
      </c>
      <c r="BE34" s="190">
        <v>0.82258064516129037</v>
      </c>
      <c r="BF34" s="190">
        <v>0.89640591966173366</v>
      </c>
      <c r="BG34" s="190">
        <v>0.87234042553191493</v>
      </c>
      <c r="BH34" s="190">
        <v>0.88744588744588748</v>
      </c>
      <c r="BI34" s="190">
        <v>0.94394618834080712</v>
      </c>
      <c r="BJ34" s="190">
        <v>1.1063829787234043</v>
      </c>
      <c r="BK34" s="190">
        <v>1.1223529411764706</v>
      </c>
      <c r="BL34" s="190">
        <v>1.1843971631205674</v>
      </c>
      <c r="BM34" s="190">
        <v>1.3409090909090908</v>
      </c>
      <c r="BN34" s="190">
        <v>1.3396226415094339</v>
      </c>
    </row>
    <row r="35" spans="1:72" x14ac:dyDescent="0.25">
      <c r="A35" s="188" t="s">
        <v>40</v>
      </c>
      <c r="B35" s="165">
        <v>1.0667793744716823</v>
      </c>
      <c r="C35" s="165">
        <v>1.0061703002879474</v>
      </c>
      <c r="D35" s="165">
        <v>0.91785150078988942</v>
      </c>
      <c r="E35" s="165">
        <v>0.91255515443241075</v>
      </c>
      <c r="F35" s="165">
        <v>0.87104158718046543</v>
      </c>
      <c r="G35" s="165">
        <v>0.83479532163742687</v>
      </c>
      <c r="H35" s="165">
        <v>0.73425863236289779</v>
      </c>
      <c r="I35" s="165">
        <v>0.71019320453031309</v>
      </c>
      <c r="J35" s="165">
        <v>0.69966666666666666</v>
      </c>
      <c r="K35" s="165">
        <v>0.71141868512110729</v>
      </c>
      <c r="L35" s="165">
        <v>0.71403508771929824</v>
      </c>
      <c r="M35" s="165">
        <v>0.72661610689779699</v>
      </c>
      <c r="N35" s="165">
        <v>0.77524677296886868</v>
      </c>
      <c r="O35" s="165">
        <v>0.77565353101833789</v>
      </c>
      <c r="P35" s="165">
        <v>0.79160063391442159</v>
      </c>
      <c r="Q35" s="165">
        <v>0.8282910874897792</v>
      </c>
      <c r="R35" s="165">
        <v>0.85800344234079173</v>
      </c>
      <c r="S35" s="165">
        <v>0.8351648351648352</v>
      </c>
      <c r="T35" s="165">
        <v>0.75383267630310991</v>
      </c>
      <c r="U35" s="165">
        <v>0.70577933450087571</v>
      </c>
      <c r="V35" s="165">
        <v>0.77132319041032738</v>
      </c>
      <c r="W35" s="165">
        <v>0.80018761726078802</v>
      </c>
      <c r="X35" s="165">
        <v>0.80990948070509772</v>
      </c>
      <c r="Y35" s="165">
        <v>0.77577821011673154</v>
      </c>
      <c r="Z35" s="165">
        <v>0.72678132678132679</v>
      </c>
      <c r="AA35" s="165">
        <v>0.73707753479125249</v>
      </c>
      <c r="AB35" s="165">
        <v>0.70274240940254651</v>
      </c>
      <c r="AC35" s="165">
        <v>0.72887323943661975</v>
      </c>
      <c r="AD35" s="165">
        <v>0.72522522522522526</v>
      </c>
      <c r="AE35" s="165">
        <v>0.71865745310957552</v>
      </c>
      <c r="AF35" s="165">
        <v>0.75225677031093274</v>
      </c>
      <c r="AG35" s="165">
        <v>0.81263157894736837</v>
      </c>
      <c r="AH35" s="190">
        <v>0.96165020337013363</v>
      </c>
      <c r="AI35" s="190">
        <v>1.0986352357320099</v>
      </c>
      <c r="AJ35" s="190">
        <v>1.0155409444112373</v>
      </c>
      <c r="AK35" s="190">
        <v>0.98593200468933173</v>
      </c>
      <c r="AL35" s="190">
        <v>1.0005882352941176</v>
      </c>
      <c r="AM35" s="190">
        <v>1.1278996865203761</v>
      </c>
      <c r="AN35" s="190">
        <v>1.2880324543610548</v>
      </c>
      <c r="AO35" s="190">
        <v>1.3358057990559675</v>
      </c>
      <c r="AP35" s="190">
        <v>1.4013937282229965</v>
      </c>
      <c r="AQ35" s="190">
        <v>1.435472739820566</v>
      </c>
      <c r="AR35" s="190">
        <v>1.4313319530710835</v>
      </c>
      <c r="AS35" s="190">
        <v>1.4141483516483517</v>
      </c>
      <c r="AT35" s="190">
        <v>1.3586666666666667</v>
      </c>
      <c r="AU35" s="190">
        <v>1.354922279792746</v>
      </c>
      <c r="AV35" s="190">
        <v>1.2555891238670696</v>
      </c>
      <c r="AW35" s="190">
        <v>1.1908526256352343</v>
      </c>
      <c r="AX35" s="190">
        <v>1.3437316068275456</v>
      </c>
      <c r="AY35" s="190">
        <v>1.3876337693222354</v>
      </c>
      <c r="AZ35" s="190">
        <v>1.3868312757201646</v>
      </c>
      <c r="BA35" s="190">
        <v>1.3824346859366314</v>
      </c>
      <c r="BB35" s="190">
        <v>1.3564304461942258</v>
      </c>
      <c r="BC35" s="190">
        <v>1.4276479363500747</v>
      </c>
      <c r="BD35" s="190">
        <v>1.4341346153846153</v>
      </c>
      <c r="BE35" s="190">
        <v>1.4341346153846153</v>
      </c>
      <c r="BF35" s="190">
        <v>1.5067502410800386</v>
      </c>
      <c r="BG35" s="190">
        <v>1.5410393394851869</v>
      </c>
      <c r="BH35" s="190">
        <v>1.6104023552502453</v>
      </c>
      <c r="BI35" s="190">
        <v>1.6878585086042066</v>
      </c>
      <c r="BJ35" s="190">
        <v>1.7295476419634264</v>
      </c>
      <c r="BK35" s="190">
        <v>1.701280227596017</v>
      </c>
      <c r="BL35" s="190">
        <v>1.7376259307928166</v>
      </c>
      <c r="BM35" s="190">
        <v>1.7514995715509853</v>
      </c>
      <c r="BN35" s="190">
        <v>1.810936837643069</v>
      </c>
    </row>
    <row r="36" spans="1:72" ht="15.75" x14ac:dyDescent="0.25">
      <c r="B36" s="199">
        <f t="shared" ref="B36:Y36" si="2">COUNTIF(B12:B35,"&gt;1")</f>
        <v>17</v>
      </c>
      <c r="C36" s="199">
        <f t="shared" si="2"/>
        <v>17</v>
      </c>
      <c r="D36" s="199">
        <f t="shared" si="2"/>
        <v>14</v>
      </c>
      <c r="E36" s="199">
        <f t="shared" si="2"/>
        <v>11</v>
      </c>
      <c r="F36" s="199">
        <f t="shared" si="2"/>
        <v>11</v>
      </c>
      <c r="G36" s="199">
        <f t="shared" si="2"/>
        <v>8</v>
      </c>
      <c r="H36" s="199">
        <f t="shared" si="2"/>
        <v>7</v>
      </c>
      <c r="I36" s="199">
        <f t="shared" si="2"/>
        <v>6</v>
      </c>
      <c r="J36" s="199">
        <f t="shared" si="2"/>
        <v>6</v>
      </c>
      <c r="K36" s="199">
        <f t="shared" si="2"/>
        <v>6</v>
      </c>
      <c r="L36" s="199">
        <f t="shared" si="2"/>
        <v>6</v>
      </c>
      <c r="M36" s="199">
        <f t="shared" si="2"/>
        <v>6</v>
      </c>
      <c r="N36" s="199">
        <f t="shared" si="2"/>
        <v>5</v>
      </c>
      <c r="O36" s="199">
        <f t="shared" si="2"/>
        <v>5</v>
      </c>
      <c r="P36" s="199">
        <f t="shared" si="2"/>
        <v>5</v>
      </c>
      <c r="Q36" s="199">
        <f t="shared" si="2"/>
        <v>5</v>
      </c>
      <c r="R36" s="199">
        <f t="shared" si="2"/>
        <v>6</v>
      </c>
      <c r="S36" s="199">
        <f t="shared" si="2"/>
        <v>5</v>
      </c>
      <c r="T36" s="199">
        <f t="shared" si="2"/>
        <v>4</v>
      </c>
      <c r="U36" s="199">
        <f t="shared" si="2"/>
        <v>4</v>
      </c>
      <c r="V36" s="199">
        <f t="shared" si="2"/>
        <v>4</v>
      </c>
      <c r="W36" s="199">
        <f t="shared" si="2"/>
        <v>4</v>
      </c>
      <c r="X36" s="199">
        <f t="shared" si="2"/>
        <v>6</v>
      </c>
      <c r="Y36" s="199">
        <f t="shared" si="2"/>
        <v>6</v>
      </c>
      <c r="Z36" s="199">
        <f t="shared" ref="Z36:BA36" si="3">COUNTIF(Z12:Z35,"&gt;1")</f>
        <v>5</v>
      </c>
      <c r="AA36" s="199">
        <f t="shared" si="3"/>
        <v>5</v>
      </c>
      <c r="AB36" s="199">
        <f t="shared" si="3"/>
        <v>6</v>
      </c>
      <c r="AC36" s="199">
        <f t="shared" si="3"/>
        <v>6</v>
      </c>
      <c r="AD36" s="199">
        <f t="shared" si="3"/>
        <v>7</v>
      </c>
      <c r="AE36" s="199">
        <f t="shared" si="3"/>
        <v>7</v>
      </c>
      <c r="AF36" s="199">
        <f t="shared" si="3"/>
        <v>6</v>
      </c>
      <c r="AG36" s="199">
        <f t="shared" si="3"/>
        <v>6</v>
      </c>
      <c r="AH36" s="199">
        <f t="shared" si="3"/>
        <v>6</v>
      </c>
      <c r="AI36" s="199">
        <f t="shared" si="3"/>
        <v>8</v>
      </c>
      <c r="AJ36" s="199">
        <f t="shared" si="3"/>
        <v>8</v>
      </c>
      <c r="AK36" s="199">
        <f t="shared" si="3"/>
        <v>7</v>
      </c>
      <c r="AL36" s="199">
        <f t="shared" si="3"/>
        <v>8</v>
      </c>
      <c r="AM36" s="199">
        <f t="shared" si="3"/>
        <v>9</v>
      </c>
      <c r="AN36" s="199">
        <f t="shared" si="3"/>
        <v>10</v>
      </c>
      <c r="AO36" s="199">
        <f t="shared" si="3"/>
        <v>12</v>
      </c>
      <c r="AP36" s="199">
        <f t="shared" si="3"/>
        <v>15</v>
      </c>
      <c r="AQ36" s="199">
        <f t="shared" si="3"/>
        <v>15</v>
      </c>
      <c r="AR36" s="199">
        <f t="shared" si="3"/>
        <v>16</v>
      </c>
      <c r="AS36" s="199">
        <f t="shared" si="3"/>
        <v>16</v>
      </c>
      <c r="AT36" s="199">
        <f t="shared" si="3"/>
        <v>14</v>
      </c>
      <c r="AU36" s="199">
        <f t="shared" si="3"/>
        <v>15</v>
      </c>
      <c r="AV36" s="199">
        <f t="shared" si="3"/>
        <v>13</v>
      </c>
      <c r="AW36" s="199">
        <f t="shared" si="3"/>
        <v>13</v>
      </c>
      <c r="AX36" s="199">
        <f t="shared" si="3"/>
        <v>17</v>
      </c>
      <c r="AY36" s="199">
        <f t="shared" si="3"/>
        <v>16</v>
      </c>
      <c r="AZ36" s="199">
        <f t="shared" si="3"/>
        <v>17</v>
      </c>
      <c r="BA36" s="199">
        <f t="shared" si="3"/>
        <v>15</v>
      </c>
      <c r="BB36" s="199">
        <f t="shared" ref="BB36:BH36" si="4">COUNTIF(BB12:BB35,"&gt;1")</f>
        <v>15</v>
      </c>
      <c r="BC36" s="199">
        <f t="shared" si="4"/>
        <v>14</v>
      </c>
      <c r="BD36" s="199">
        <f t="shared" si="4"/>
        <v>13</v>
      </c>
      <c r="BE36" s="199">
        <f t="shared" si="4"/>
        <v>13</v>
      </c>
      <c r="BF36" s="199">
        <f t="shared" si="4"/>
        <v>16</v>
      </c>
      <c r="BG36" s="199">
        <f t="shared" si="4"/>
        <v>17</v>
      </c>
      <c r="BH36" s="199">
        <f t="shared" si="4"/>
        <v>18</v>
      </c>
    </row>
    <row r="37" spans="1:72" x14ac:dyDescent="0.25">
      <c r="BO37" s="41" t="s">
        <v>262</v>
      </c>
      <c r="BP37" s="261" t="s">
        <v>262</v>
      </c>
      <c r="BR37" s="41" t="s">
        <v>266</v>
      </c>
      <c r="BS37" s="41" t="s">
        <v>267</v>
      </c>
    </row>
    <row r="38" spans="1:72" x14ac:dyDescent="0.25">
      <c r="C38" s="189">
        <v>100</v>
      </c>
      <c r="E38" s="189">
        <v>1.2</v>
      </c>
      <c r="BP38" s="41" t="s">
        <v>43</v>
      </c>
      <c r="BQ38" s="41" t="s">
        <v>263</v>
      </c>
    </row>
    <row r="39" spans="1:72" x14ac:dyDescent="0.25">
      <c r="A39" s="700" t="s">
        <v>112</v>
      </c>
      <c r="C39" s="189">
        <v>120</v>
      </c>
      <c r="D39" s="41">
        <f>C39/C38</f>
        <v>1.2</v>
      </c>
      <c r="AO39" s="701" t="s">
        <v>118</v>
      </c>
      <c r="AP39" s="701"/>
      <c r="AQ39" s="701"/>
      <c r="BN39" s="41">
        <v>12</v>
      </c>
      <c r="BO39" s="41">
        <v>76</v>
      </c>
      <c r="BP39" s="261">
        <v>62</v>
      </c>
      <c r="BQ39" s="41">
        <v>205</v>
      </c>
      <c r="BR39" s="41">
        <v>76</v>
      </c>
      <c r="BS39" s="41">
        <v>65</v>
      </c>
    </row>
    <row r="40" spans="1:72" x14ac:dyDescent="0.25">
      <c r="A40" s="700"/>
      <c r="AO40" s="42" t="s">
        <v>278</v>
      </c>
      <c r="AP40" s="42" t="s">
        <v>279</v>
      </c>
      <c r="AQ40" s="42" t="s">
        <v>280</v>
      </c>
      <c r="BN40" s="41">
        <v>13</v>
      </c>
      <c r="BO40" s="41">
        <v>71</v>
      </c>
      <c r="BP40" s="261">
        <v>68</v>
      </c>
      <c r="BQ40" s="41">
        <v>168</v>
      </c>
      <c r="BR40" s="41">
        <v>71</v>
      </c>
      <c r="BS40" s="41">
        <v>55</v>
      </c>
    </row>
    <row r="41" spans="1:72" x14ac:dyDescent="0.25">
      <c r="A41" s="41" t="s">
        <v>284</v>
      </c>
      <c r="AO41" s="418" t="s">
        <v>281</v>
      </c>
      <c r="AP41" s="418" t="s">
        <v>281</v>
      </c>
      <c r="AQ41" s="419" t="s">
        <v>282</v>
      </c>
      <c r="BN41" s="41">
        <v>14</v>
      </c>
      <c r="BO41" s="41">
        <v>78</v>
      </c>
      <c r="BP41" s="261">
        <v>46</v>
      </c>
      <c r="BQ41" s="41">
        <v>167</v>
      </c>
      <c r="BR41" s="41">
        <v>78</v>
      </c>
      <c r="BS41" s="41">
        <v>44</v>
      </c>
    </row>
    <row r="42" spans="1:72" x14ac:dyDescent="0.25">
      <c r="A42" s="41" t="s">
        <v>285</v>
      </c>
      <c r="AO42" s="418" t="s">
        <v>281</v>
      </c>
      <c r="AP42" s="419" t="s">
        <v>282</v>
      </c>
      <c r="AQ42" s="420" t="s">
        <v>283</v>
      </c>
      <c r="BN42" s="261">
        <v>15</v>
      </c>
      <c r="BO42" s="41">
        <v>94</v>
      </c>
      <c r="BP42" s="261">
        <v>72</v>
      </c>
      <c r="BQ42" s="41">
        <v>184</v>
      </c>
      <c r="BR42" s="41">
        <v>94</v>
      </c>
      <c r="BS42" s="41">
        <v>65</v>
      </c>
    </row>
    <row r="43" spans="1:72" x14ac:dyDescent="0.25">
      <c r="A43" s="41" t="s">
        <v>286</v>
      </c>
      <c r="AO43" s="419" t="s">
        <v>282</v>
      </c>
      <c r="AP43" s="419" t="s">
        <v>282</v>
      </c>
      <c r="AQ43" s="420" t="s">
        <v>283</v>
      </c>
      <c r="BN43" s="261">
        <v>16</v>
      </c>
      <c r="BO43" s="41">
        <v>69</v>
      </c>
      <c r="BP43" s="261">
        <v>82</v>
      </c>
      <c r="BQ43" s="41">
        <v>192</v>
      </c>
      <c r="BR43" s="41">
        <v>69</v>
      </c>
      <c r="BS43" s="41">
        <v>72</v>
      </c>
    </row>
    <row r="44" spans="1:72" s="261" customFormat="1" x14ac:dyDescent="0.25">
      <c r="A44" s="261" t="s">
        <v>288</v>
      </c>
      <c r="AO44" s="420" t="s">
        <v>283</v>
      </c>
      <c r="AP44" s="420" t="s">
        <v>283</v>
      </c>
      <c r="AQ44" s="420" t="s">
        <v>283</v>
      </c>
    </row>
    <row r="45" spans="1:72" x14ac:dyDescent="0.25">
      <c r="A45" s="41" t="s">
        <v>287</v>
      </c>
      <c r="AO45" s="17" t="s">
        <v>289</v>
      </c>
      <c r="AP45" s="17" t="s">
        <v>289</v>
      </c>
      <c r="AQ45" s="17" t="s">
        <v>289</v>
      </c>
      <c r="BN45" s="261">
        <v>17</v>
      </c>
      <c r="BO45" s="41">
        <v>52</v>
      </c>
      <c r="BP45" s="261">
        <v>70</v>
      </c>
      <c r="BQ45" s="41">
        <v>113</v>
      </c>
    </row>
    <row r="46" spans="1:72" x14ac:dyDescent="0.25">
      <c r="BN46" s="261">
        <v>18</v>
      </c>
      <c r="BO46" s="41">
        <v>63</v>
      </c>
      <c r="BP46" s="261">
        <v>62</v>
      </c>
      <c r="BQ46" s="41">
        <v>114</v>
      </c>
    </row>
    <row r="47" spans="1:72" x14ac:dyDescent="0.25">
      <c r="BN47" s="261">
        <v>19</v>
      </c>
      <c r="BO47" s="41">
        <v>72</v>
      </c>
      <c r="BP47" s="261">
        <v>62</v>
      </c>
      <c r="BQ47" s="41">
        <v>227</v>
      </c>
    </row>
    <row r="48" spans="1:72" x14ac:dyDescent="0.25">
      <c r="BN48" s="261">
        <v>20</v>
      </c>
      <c r="BO48" s="41">
        <v>94</v>
      </c>
      <c r="BP48" s="261">
        <v>102</v>
      </c>
      <c r="BQ48" s="41">
        <v>203</v>
      </c>
    </row>
    <row r="49" spans="66:71" x14ac:dyDescent="0.25">
      <c r="BN49" s="261">
        <v>21</v>
      </c>
      <c r="BO49" s="41">
        <v>74</v>
      </c>
      <c r="BP49" s="261">
        <v>70</v>
      </c>
      <c r="BQ49" s="41">
        <v>166</v>
      </c>
    </row>
    <row r="50" spans="66:71" x14ac:dyDescent="0.25">
      <c r="BN50" s="261">
        <v>22</v>
      </c>
      <c r="BO50" s="41">
        <v>98</v>
      </c>
      <c r="BP50" s="261">
        <v>87</v>
      </c>
      <c r="BQ50" s="41">
        <v>221</v>
      </c>
    </row>
    <row r="51" spans="66:71" x14ac:dyDescent="0.25">
      <c r="BN51" s="261">
        <v>23</v>
      </c>
      <c r="BO51" s="41">
        <v>84</v>
      </c>
      <c r="BP51" s="261">
        <v>84</v>
      </c>
      <c r="BQ51" s="41">
        <v>205</v>
      </c>
    </row>
    <row r="54" spans="66:71" x14ac:dyDescent="0.25">
      <c r="BO54" s="41" t="s">
        <v>264</v>
      </c>
      <c r="BP54" s="261">
        <f>SUM(BP39:BP43)</f>
        <v>330</v>
      </c>
      <c r="BQ54" s="261">
        <f>SUM(BQ39:BQ43)</f>
        <v>916</v>
      </c>
      <c r="BR54" s="261">
        <f>SUM(BR39:BR43)</f>
        <v>388</v>
      </c>
      <c r="BS54" s="261">
        <f>SUM(BS39:BS43)</f>
        <v>301</v>
      </c>
    </row>
    <row r="55" spans="66:71" x14ac:dyDescent="0.25">
      <c r="BO55" s="41" t="s">
        <v>265</v>
      </c>
      <c r="BP55" s="261">
        <f>SUM(BP47:BP51)</f>
        <v>405</v>
      </c>
      <c r="BQ55" s="261">
        <f>SUM(BQ47:BQ51)</f>
        <v>1022</v>
      </c>
      <c r="BR55" s="261">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workbookViewId="0"/>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4" customFormat="1" ht="45" x14ac:dyDescent="0.25">
      <c r="A1" s="242" t="s">
        <v>24</v>
      </c>
      <c r="B1" s="243" t="s">
        <v>200</v>
      </c>
      <c r="C1" s="244" t="s">
        <v>201</v>
      </c>
      <c r="D1" s="244" t="s">
        <v>202</v>
      </c>
      <c r="E1" s="244" t="s">
        <v>203</v>
      </c>
      <c r="F1" s="244" t="s">
        <v>204</v>
      </c>
      <c r="G1" s="244" t="s">
        <v>205</v>
      </c>
      <c r="H1" s="244" t="s">
        <v>206</v>
      </c>
      <c r="I1" s="244" t="s">
        <v>207</v>
      </c>
      <c r="J1" s="244" t="s">
        <v>208</v>
      </c>
      <c r="K1" s="244" t="s">
        <v>209</v>
      </c>
      <c r="L1" s="245" t="s">
        <v>301</v>
      </c>
      <c r="M1" s="245" t="s">
        <v>223</v>
      </c>
      <c r="N1" s="245" t="s">
        <v>302</v>
      </c>
      <c r="O1" s="245" t="s">
        <v>224</v>
      </c>
      <c r="P1" s="246"/>
      <c r="Q1" s="246" t="s">
        <v>225</v>
      </c>
      <c r="R1" s="246" t="s">
        <v>226</v>
      </c>
      <c r="S1" s="246" t="s">
        <v>228</v>
      </c>
      <c r="T1" s="247" t="s">
        <v>229</v>
      </c>
      <c r="W1" s="164">
        <v>628542</v>
      </c>
    </row>
    <row r="2" spans="1:23" s="17" customFormat="1" ht="19.5" customHeight="1" x14ac:dyDescent="0.25">
      <c r="A2" s="248" t="s">
        <v>16</v>
      </c>
      <c r="B2" s="249">
        <v>3132977.2</v>
      </c>
      <c r="C2" s="250">
        <v>2509397</v>
      </c>
      <c r="D2" s="250">
        <v>2255600</v>
      </c>
      <c r="E2" s="250">
        <v>1747770</v>
      </c>
      <c r="F2" s="250">
        <v>1411418</v>
      </c>
      <c r="G2" s="250">
        <v>935216</v>
      </c>
      <c r="H2" s="250">
        <v>408004</v>
      </c>
      <c r="I2" s="250">
        <v>87171</v>
      </c>
      <c r="J2" s="250">
        <v>3458</v>
      </c>
      <c r="K2" s="250">
        <v>12491011.199999999</v>
      </c>
      <c r="L2" s="224">
        <v>5747252</v>
      </c>
      <c r="M2" s="225" t="s">
        <v>214</v>
      </c>
      <c r="N2" s="225">
        <v>366626</v>
      </c>
      <c r="O2" s="226">
        <f>N2/L2</f>
        <v>6.3791530282646391E-2</v>
      </c>
      <c r="P2" s="227" t="s">
        <v>214</v>
      </c>
      <c r="Q2" s="227">
        <v>137570</v>
      </c>
      <c r="R2" s="227">
        <v>23423</v>
      </c>
      <c r="S2" s="228">
        <f>R2/Q2</f>
        <v>0.17026241186305155</v>
      </c>
      <c r="T2" s="229">
        <f>R2/N2</f>
        <v>6.3887994850337942E-2</v>
      </c>
      <c r="W2" s="398">
        <f>W1/45380100</f>
        <v>1.385060852664494E-2</v>
      </c>
    </row>
    <row r="3" spans="1:23" s="17" customFormat="1" ht="19.5" customHeight="1" x14ac:dyDescent="0.25">
      <c r="A3" s="248" t="s">
        <v>43</v>
      </c>
      <c r="B3" s="249">
        <v>481912.6</v>
      </c>
      <c r="C3" s="250">
        <v>461360</v>
      </c>
      <c r="D3" s="250">
        <v>426854</v>
      </c>
      <c r="E3" s="250">
        <v>326370</v>
      </c>
      <c r="F3" s="250">
        <v>292000</v>
      </c>
      <c r="G3" s="250">
        <v>219513</v>
      </c>
      <c r="H3" s="250">
        <v>112336</v>
      </c>
      <c r="I3" s="250">
        <v>33129</v>
      </c>
      <c r="J3" s="250">
        <v>1722</v>
      </c>
      <c r="K3" s="250">
        <v>2355196.6</v>
      </c>
      <c r="L3" s="222">
        <v>658700</v>
      </c>
      <c r="M3" s="1" t="s">
        <v>43</v>
      </c>
      <c r="N3" s="1">
        <v>112309</v>
      </c>
      <c r="O3" s="221">
        <f t="shared" ref="O3:O26" si="0">N3/L3</f>
        <v>0.17050098679216638</v>
      </c>
      <c r="P3" s="1" t="s">
        <v>43</v>
      </c>
      <c r="Q3" s="1">
        <v>45202</v>
      </c>
      <c r="R3" s="1">
        <v>6032</v>
      </c>
      <c r="S3" s="223">
        <f t="shared" ref="S3:S26" si="1">R3/Q3</f>
        <v>0.13344542276890403</v>
      </c>
      <c r="T3" s="230">
        <f t="shared" ref="T3:T26" si="2">R3/N3</f>
        <v>5.3708963662751873E-2</v>
      </c>
    </row>
    <row r="4" spans="1:23" s="17" customFormat="1" ht="19.5" customHeight="1" x14ac:dyDescent="0.25">
      <c r="A4" s="248" t="s">
        <v>28</v>
      </c>
      <c r="B4" s="249">
        <v>85553.8</v>
      </c>
      <c r="C4" s="250">
        <v>56220</v>
      </c>
      <c r="D4" s="250">
        <v>53259</v>
      </c>
      <c r="E4" s="250">
        <v>38689</v>
      </c>
      <c r="F4" s="250">
        <v>30537</v>
      </c>
      <c r="G4" s="250">
        <v>18291</v>
      </c>
      <c r="H4" s="250">
        <v>7533</v>
      </c>
      <c r="I4" s="250">
        <v>1661</v>
      </c>
      <c r="J4" s="250">
        <v>91</v>
      </c>
      <c r="K4" s="250">
        <v>291834.8</v>
      </c>
      <c r="L4" s="222">
        <v>58113</v>
      </c>
      <c r="M4" s="1" t="s">
        <v>28</v>
      </c>
      <c r="N4" s="1">
        <v>10743</v>
      </c>
      <c r="O4" s="221">
        <f t="shared" si="0"/>
        <v>0.18486397191678283</v>
      </c>
      <c r="P4" s="1" t="s">
        <v>28</v>
      </c>
      <c r="Q4" s="1">
        <v>1385</v>
      </c>
      <c r="R4" s="1">
        <v>14</v>
      </c>
      <c r="S4" s="223">
        <f t="shared" si="1"/>
        <v>1.0108303249097473E-2</v>
      </c>
      <c r="T4" s="230">
        <f t="shared" si="2"/>
        <v>1.3031741599180862E-3</v>
      </c>
    </row>
    <row r="5" spans="1:23" s="17" customFormat="1" ht="19.5" customHeight="1" x14ac:dyDescent="0.25">
      <c r="A5" s="248" t="s">
        <v>15</v>
      </c>
      <c r="B5" s="249">
        <v>259957.8</v>
      </c>
      <c r="C5" s="250">
        <v>164137</v>
      </c>
      <c r="D5" s="250">
        <v>136504</v>
      </c>
      <c r="E5" s="250">
        <v>104779</v>
      </c>
      <c r="F5" s="250">
        <v>81778</v>
      </c>
      <c r="G5" s="250">
        <v>43820</v>
      </c>
      <c r="H5" s="250">
        <v>17641</v>
      </c>
      <c r="I5" s="250">
        <v>3395</v>
      </c>
      <c r="J5" s="250">
        <v>161</v>
      </c>
      <c r="K5" s="250">
        <v>812172.80000000005</v>
      </c>
      <c r="L5" s="222">
        <v>146795</v>
      </c>
      <c r="M5" s="1" t="s">
        <v>15</v>
      </c>
      <c r="N5" s="1">
        <v>25232</v>
      </c>
      <c r="O5" s="221">
        <f t="shared" si="0"/>
        <v>0.17188596341837256</v>
      </c>
      <c r="P5" s="1" t="s">
        <v>15</v>
      </c>
      <c r="Q5" s="1">
        <v>5400</v>
      </c>
      <c r="R5" s="1">
        <v>712</v>
      </c>
      <c r="S5" s="223">
        <f t="shared" si="1"/>
        <v>0.13185185185185186</v>
      </c>
      <c r="T5" s="230">
        <f t="shared" si="2"/>
        <v>2.8218135700697526E-2</v>
      </c>
    </row>
    <row r="6" spans="1:23" s="17" customFormat="1" ht="19.5" customHeight="1" x14ac:dyDescent="0.25">
      <c r="A6" s="248" t="s">
        <v>29</v>
      </c>
      <c r="B6" s="249">
        <v>113678.8</v>
      </c>
      <c r="C6" s="250">
        <v>96575</v>
      </c>
      <c r="D6" s="250">
        <v>85078</v>
      </c>
      <c r="E6" s="250">
        <v>58795</v>
      </c>
      <c r="F6" s="250">
        <v>44044</v>
      </c>
      <c r="G6" s="250">
        <v>24912</v>
      </c>
      <c r="H6" s="250">
        <v>9806</v>
      </c>
      <c r="I6" s="250">
        <v>2104</v>
      </c>
      <c r="J6" s="250">
        <v>105</v>
      </c>
      <c r="K6" s="250">
        <v>435097.8</v>
      </c>
      <c r="L6" s="222">
        <v>80971</v>
      </c>
      <c r="M6" s="1" t="s">
        <v>29</v>
      </c>
      <c r="N6" s="1">
        <v>14925</v>
      </c>
      <c r="O6" s="221">
        <f t="shared" si="0"/>
        <v>0.18432525225080584</v>
      </c>
      <c r="P6" s="1" t="s">
        <v>29</v>
      </c>
      <c r="Q6" s="1">
        <v>5779</v>
      </c>
      <c r="R6" s="1">
        <v>713</v>
      </c>
      <c r="S6" s="223">
        <f t="shared" si="1"/>
        <v>0.12337774701505451</v>
      </c>
      <c r="T6" s="230">
        <f t="shared" si="2"/>
        <v>4.7772194304857622E-2</v>
      </c>
    </row>
    <row r="7" spans="1:23" s="17" customFormat="1" ht="19.5" customHeight="1" x14ac:dyDescent="0.25">
      <c r="A7" s="248" t="s">
        <v>20</v>
      </c>
      <c r="B7" s="249">
        <v>707542</v>
      </c>
      <c r="C7" s="250">
        <v>545855</v>
      </c>
      <c r="D7" s="250">
        <v>476251</v>
      </c>
      <c r="E7" s="250">
        <v>369545</v>
      </c>
      <c r="F7" s="250">
        <v>305699</v>
      </c>
      <c r="G7" s="250">
        <v>212147</v>
      </c>
      <c r="H7" s="250">
        <v>91993</v>
      </c>
      <c r="I7" s="250">
        <v>19014</v>
      </c>
      <c r="J7" s="250">
        <v>766</v>
      </c>
      <c r="K7" s="250">
        <v>2728812</v>
      </c>
      <c r="L7" s="222">
        <v>629619</v>
      </c>
      <c r="M7" s="1" t="s">
        <v>20</v>
      </c>
      <c r="N7" s="1">
        <v>111415</v>
      </c>
      <c r="O7" s="221">
        <f t="shared" si="0"/>
        <v>0.17695622273152495</v>
      </c>
      <c r="P7" s="1" t="s">
        <v>20</v>
      </c>
      <c r="Q7" s="1">
        <v>29582</v>
      </c>
      <c r="R7" s="1">
        <v>2601</v>
      </c>
      <c r="S7" s="223">
        <f t="shared" si="1"/>
        <v>8.7925089581502261E-2</v>
      </c>
      <c r="T7" s="230">
        <f t="shared" si="2"/>
        <v>2.3345151011982229E-2</v>
      </c>
    </row>
    <row r="8" spans="1:23" s="17" customFormat="1" ht="19.5" customHeight="1" x14ac:dyDescent="0.25">
      <c r="A8" s="248" t="s">
        <v>30</v>
      </c>
      <c r="B8" s="249">
        <v>236889.2</v>
      </c>
      <c r="C8" s="250">
        <v>149666</v>
      </c>
      <c r="D8" s="250">
        <v>126567</v>
      </c>
      <c r="E8" s="250">
        <v>103126</v>
      </c>
      <c r="F8" s="250">
        <v>82502</v>
      </c>
      <c r="G8" s="250">
        <v>48468</v>
      </c>
      <c r="H8" s="250">
        <v>19666</v>
      </c>
      <c r="I8" s="250">
        <v>4081</v>
      </c>
      <c r="J8" s="250">
        <v>235</v>
      </c>
      <c r="K8" s="250">
        <v>771200.2</v>
      </c>
      <c r="L8" s="222">
        <v>154952</v>
      </c>
      <c r="M8" s="1" t="s">
        <v>30</v>
      </c>
      <c r="N8" s="1">
        <v>34386</v>
      </c>
      <c r="O8" s="221">
        <f t="shared" si="0"/>
        <v>0.22191388300893181</v>
      </c>
      <c r="P8" s="1" t="s">
        <v>30</v>
      </c>
      <c r="Q8" s="1">
        <v>3566</v>
      </c>
      <c r="R8" s="1">
        <v>255</v>
      </c>
      <c r="S8" s="223">
        <f t="shared" si="1"/>
        <v>7.1508693213684804E-2</v>
      </c>
      <c r="T8" s="230">
        <f t="shared" si="2"/>
        <v>7.4158087593788171E-3</v>
      </c>
    </row>
    <row r="9" spans="1:23" s="17" customFormat="1" ht="19.5" customHeight="1" x14ac:dyDescent="0.25">
      <c r="A9" s="248" t="s">
        <v>31</v>
      </c>
      <c r="B9" s="249">
        <v>264900</v>
      </c>
      <c r="C9" s="250">
        <v>191129</v>
      </c>
      <c r="D9" s="250">
        <v>173334</v>
      </c>
      <c r="E9" s="250">
        <v>135927</v>
      </c>
      <c r="F9" s="250">
        <v>110781</v>
      </c>
      <c r="G9" s="250">
        <v>73771</v>
      </c>
      <c r="H9" s="250">
        <v>31842</v>
      </c>
      <c r="I9" s="250">
        <v>6464</v>
      </c>
      <c r="J9" s="250">
        <v>307</v>
      </c>
      <c r="K9" s="250">
        <v>988455</v>
      </c>
      <c r="L9" s="222">
        <v>223165</v>
      </c>
      <c r="M9" s="1" t="s">
        <v>212</v>
      </c>
      <c r="N9" s="1">
        <v>30463</v>
      </c>
      <c r="O9" s="221">
        <f t="shared" si="0"/>
        <v>0.13650438016714089</v>
      </c>
      <c r="P9" s="1" t="s">
        <v>212</v>
      </c>
      <c r="Q9" s="1">
        <v>7515</v>
      </c>
      <c r="R9" s="1">
        <v>791</v>
      </c>
      <c r="S9" s="223">
        <f t="shared" si="1"/>
        <v>0.10525615435795077</v>
      </c>
      <c r="T9" s="230">
        <f t="shared" si="2"/>
        <v>2.5965925877293766E-2</v>
      </c>
    </row>
    <row r="10" spans="1:23" s="17" customFormat="1" ht="19.5" customHeight="1" x14ac:dyDescent="0.25">
      <c r="A10" s="248" t="s">
        <v>41</v>
      </c>
      <c r="B10" s="249">
        <v>130932.2</v>
      </c>
      <c r="C10" s="250">
        <v>74039</v>
      </c>
      <c r="D10" s="250">
        <v>67019</v>
      </c>
      <c r="E10" s="250">
        <v>54948</v>
      </c>
      <c r="F10" s="250">
        <v>42711</v>
      </c>
      <c r="G10" s="250">
        <v>23865</v>
      </c>
      <c r="H10" s="250">
        <v>9790</v>
      </c>
      <c r="I10" s="250">
        <v>1876</v>
      </c>
      <c r="J10" s="250">
        <v>100</v>
      </c>
      <c r="K10" s="250">
        <v>405280.2</v>
      </c>
      <c r="L10" s="222">
        <v>78342</v>
      </c>
      <c r="M10" s="1" t="s">
        <v>41</v>
      </c>
      <c r="N10" s="1">
        <v>21717</v>
      </c>
      <c r="O10" s="221">
        <f t="shared" si="0"/>
        <v>0.27720762809221106</v>
      </c>
      <c r="P10" s="1" t="s">
        <v>41</v>
      </c>
      <c r="Q10" s="1">
        <v>263</v>
      </c>
      <c r="R10" s="1">
        <v>21</v>
      </c>
      <c r="S10" s="223">
        <f t="shared" si="1"/>
        <v>7.9847908745247151E-2</v>
      </c>
      <c r="T10" s="230">
        <f t="shared" si="2"/>
        <v>9.6698439010913114E-4</v>
      </c>
    </row>
    <row r="11" spans="1:23" s="17" customFormat="1" ht="19.5" customHeight="1" x14ac:dyDescent="0.25">
      <c r="A11" s="248" t="s">
        <v>32</v>
      </c>
      <c r="B11" s="249">
        <v>159082.6</v>
      </c>
      <c r="C11" s="250">
        <v>106384</v>
      </c>
      <c r="D11" s="250">
        <v>98333</v>
      </c>
      <c r="E11" s="250">
        <v>68050</v>
      </c>
      <c r="F11" s="250">
        <v>52121</v>
      </c>
      <c r="G11" s="250">
        <v>31343</v>
      </c>
      <c r="H11" s="250">
        <v>12499</v>
      </c>
      <c r="I11" s="250">
        <v>2348</v>
      </c>
      <c r="J11" s="250">
        <v>104</v>
      </c>
      <c r="K11" s="250">
        <v>530264.6</v>
      </c>
      <c r="L11" s="222">
        <v>98415</v>
      </c>
      <c r="M11" s="1" t="s">
        <v>32</v>
      </c>
      <c r="N11" s="1">
        <v>20186</v>
      </c>
      <c r="O11" s="221">
        <f t="shared" si="0"/>
        <v>0.20511100950058425</v>
      </c>
      <c r="P11" s="1" t="s">
        <v>32</v>
      </c>
      <c r="Q11" s="1">
        <v>4364</v>
      </c>
      <c r="R11" s="1">
        <v>717</v>
      </c>
      <c r="S11" s="223">
        <f t="shared" si="1"/>
        <v>0.16429880843263062</v>
      </c>
      <c r="T11" s="230">
        <f t="shared" si="2"/>
        <v>3.5519667096007131E-2</v>
      </c>
    </row>
    <row r="12" spans="1:23" s="17" customFormat="1" ht="19.5" customHeight="1" x14ac:dyDescent="0.25">
      <c r="A12" s="248" t="s">
        <v>33</v>
      </c>
      <c r="B12" s="249">
        <v>64693.8</v>
      </c>
      <c r="C12" s="250">
        <v>49870</v>
      </c>
      <c r="D12" s="250">
        <v>45672</v>
      </c>
      <c r="E12" s="250">
        <v>37472</v>
      </c>
      <c r="F12" s="250">
        <v>30346</v>
      </c>
      <c r="G12" s="250">
        <v>20846</v>
      </c>
      <c r="H12" s="250">
        <v>9286</v>
      </c>
      <c r="I12" s="250">
        <v>1993</v>
      </c>
      <c r="J12" s="250">
        <v>89</v>
      </c>
      <c r="K12" s="250">
        <v>260267.8</v>
      </c>
      <c r="L12" s="222">
        <v>62560</v>
      </c>
      <c r="M12" s="1" t="s">
        <v>218</v>
      </c>
      <c r="N12" s="1">
        <v>13868</v>
      </c>
      <c r="O12" s="221">
        <f t="shared" si="0"/>
        <v>0.22167519181585676</v>
      </c>
      <c r="P12" s="1" t="s">
        <v>218</v>
      </c>
      <c r="Q12" s="1">
        <v>3436</v>
      </c>
      <c r="R12" s="1">
        <v>286</v>
      </c>
      <c r="S12" s="223">
        <f t="shared" si="1"/>
        <v>8.3236321303841676E-2</v>
      </c>
      <c r="T12" s="230">
        <f t="shared" si="2"/>
        <v>2.0623017017594461E-2</v>
      </c>
    </row>
    <row r="13" spans="1:23" s="17" customFormat="1" ht="19.5" customHeight="1" x14ac:dyDescent="0.25">
      <c r="A13" s="248" t="s">
        <v>21</v>
      </c>
      <c r="B13" s="249">
        <v>83711.8</v>
      </c>
      <c r="C13" s="250">
        <v>59274</v>
      </c>
      <c r="D13" s="250">
        <v>49715</v>
      </c>
      <c r="E13" s="250">
        <v>35757</v>
      </c>
      <c r="F13" s="250">
        <v>27391</v>
      </c>
      <c r="G13" s="250">
        <v>15610</v>
      </c>
      <c r="H13" s="250">
        <v>6227</v>
      </c>
      <c r="I13" s="250">
        <v>1331</v>
      </c>
      <c r="J13" s="250">
        <v>68</v>
      </c>
      <c r="K13" s="250">
        <v>279084.79999999999</v>
      </c>
      <c r="L13" s="222">
        <v>50627</v>
      </c>
      <c r="M13" s="1" t="s">
        <v>222</v>
      </c>
      <c r="N13" s="1">
        <v>10485</v>
      </c>
      <c r="O13" s="221">
        <f t="shared" si="0"/>
        <v>0.20710292926699192</v>
      </c>
      <c r="P13" s="1" t="s">
        <v>222</v>
      </c>
      <c r="Q13" s="1">
        <v>1664</v>
      </c>
      <c r="R13" s="1">
        <v>344</v>
      </c>
      <c r="S13" s="223">
        <f t="shared" si="1"/>
        <v>0.20673076923076922</v>
      </c>
      <c r="T13" s="230">
        <f t="shared" si="2"/>
        <v>3.2808774439675725E-2</v>
      </c>
    </row>
    <row r="14" spans="1:23" s="17" customFormat="1" ht="19.5" customHeight="1" x14ac:dyDescent="0.25">
      <c r="A14" s="248" t="s">
        <v>17</v>
      </c>
      <c r="B14" s="249">
        <v>372529.6</v>
      </c>
      <c r="C14" s="250">
        <v>285498</v>
      </c>
      <c r="D14" s="250">
        <v>244705</v>
      </c>
      <c r="E14" s="250">
        <v>184482</v>
      </c>
      <c r="F14" s="250">
        <v>155701</v>
      </c>
      <c r="G14" s="250">
        <v>106963</v>
      </c>
      <c r="H14" s="250">
        <v>45135</v>
      </c>
      <c r="I14" s="250">
        <v>9607</v>
      </c>
      <c r="J14" s="250">
        <v>380</v>
      </c>
      <c r="K14" s="250">
        <v>1405000.6</v>
      </c>
      <c r="L14" s="222">
        <v>317786</v>
      </c>
      <c r="M14" s="1" t="s">
        <v>17</v>
      </c>
      <c r="N14" s="1">
        <v>58251</v>
      </c>
      <c r="O14" s="221">
        <f t="shared" si="0"/>
        <v>0.18330259986280076</v>
      </c>
      <c r="P14" s="1" t="s">
        <v>17</v>
      </c>
      <c r="Q14" s="1">
        <v>11989</v>
      </c>
      <c r="R14" s="1">
        <v>1247</v>
      </c>
      <c r="S14" s="223">
        <f t="shared" si="1"/>
        <v>0.10401201101009258</v>
      </c>
      <c r="T14" s="230">
        <f t="shared" si="2"/>
        <v>2.1407357813599766E-2</v>
      </c>
    </row>
    <row r="15" spans="1:23" s="17" customFormat="1" ht="19.5" customHeight="1" x14ac:dyDescent="0.25">
      <c r="A15" s="248" t="s">
        <v>23</v>
      </c>
      <c r="B15" s="249">
        <v>273626.8</v>
      </c>
      <c r="C15" s="250">
        <v>165516</v>
      </c>
      <c r="D15" s="250">
        <v>140207</v>
      </c>
      <c r="E15" s="250">
        <v>109217</v>
      </c>
      <c r="F15" s="250">
        <v>81914</v>
      </c>
      <c r="G15" s="250">
        <v>43580</v>
      </c>
      <c r="H15" s="250">
        <v>17508</v>
      </c>
      <c r="I15" s="250">
        <v>3301</v>
      </c>
      <c r="J15" s="250">
        <v>159</v>
      </c>
      <c r="K15" s="250">
        <v>835028.8</v>
      </c>
      <c r="L15" s="222">
        <v>146462</v>
      </c>
      <c r="M15" s="1" t="s">
        <v>23</v>
      </c>
      <c r="N15" s="1">
        <v>21849</v>
      </c>
      <c r="O15" s="221">
        <f t="shared" si="0"/>
        <v>0.14917862653794159</v>
      </c>
      <c r="P15" s="1" t="s">
        <v>23</v>
      </c>
      <c r="Q15" s="1">
        <v>1967</v>
      </c>
      <c r="R15" s="1">
        <v>161</v>
      </c>
      <c r="S15" s="223">
        <f t="shared" si="1"/>
        <v>8.1850533807829182E-2</v>
      </c>
      <c r="T15" s="230">
        <f t="shared" si="2"/>
        <v>7.368758295574168E-3</v>
      </c>
    </row>
    <row r="16" spans="1:23" s="17" customFormat="1" ht="19.5" customHeight="1" x14ac:dyDescent="0.25">
      <c r="A16" s="248" t="s">
        <v>210</v>
      </c>
      <c r="B16" s="249">
        <v>123541</v>
      </c>
      <c r="C16" s="250">
        <v>98247</v>
      </c>
      <c r="D16" s="250">
        <v>88824</v>
      </c>
      <c r="E16" s="250">
        <v>65924</v>
      </c>
      <c r="F16" s="250">
        <v>48096</v>
      </c>
      <c r="G16" s="250">
        <v>26620</v>
      </c>
      <c r="H16" s="250">
        <v>9881</v>
      </c>
      <c r="I16" s="250">
        <v>1994</v>
      </c>
      <c r="J16" s="250">
        <v>105</v>
      </c>
      <c r="K16" s="250">
        <v>463232</v>
      </c>
      <c r="L16" s="222">
        <v>86696</v>
      </c>
      <c r="M16" s="1" t="s">
        <v>19</v>
      </c>
      <c r="N16" s="1">
        <v>21886</v>
      </c>
      <c r="O16" s="221">
        <f t="shared" si="0"/>
        <v>0.25244532619728705</v>
      </c>
      <c r="P16" s="1" t="s">
        <v>19</v>
      </c>
      <c r="Q16" s="1">
        <v>8619</v>
      </c>
      <c r="R16" s="1">
        <v>817</v>
      </c>
      <c r="S16" s="223">
        <f t="shared" si="1"/>
        <v>9.4790578953474883E-2</v>
      </c>
      <c r="T16" s="230">
        <f t="shared" si="2"/>
        <v>3.7329799872064334E-2</v>
      </c>
    </row>
    <row r="17" spans="1:20" s="17" customFormat="1" ht="19.5" customHeight="1" x14ac:dyDescent="0.25">
      <c r="A17" s="248" t="s">
        <v>18</v>
      </c>
      <c r="B17" s="249">
        <v>139251.6</v>
      </c>
      <c r="C17" s="250">
        <v>108907</v>
      </c>
      <c r="D17" s="250">
        <v>98660</v>
      </c>
      <c r="E17" s="250">
        <v>74336</v>
      </c>
      <c r="F17" s="250">
        <v>57892</v>
      </c>
      <c r="G17" s="250">
        <v>35465</v>
      </c>
      <c r="H17" s="250">
        <v>14161</v>
      </c>
      <c r="I17" s="250">
        <v>3017</v>
      </c>
      <c r="J17" s="250">
        <v>135</v>
      </c>
      <c r="K17" s="250">
        <v>531824.6</v>
      </c>
      <c r="L17" s="222">
        <v>110670</v>
      </c>
      <c r="M17" s="1" t="s">
        <v>213</v>
      </c>
      <c r="N17" s="1">
        <v>19066</v>
      </c>
      <c r="O17" s="221">
        <f t="shared" si="0"/>
        <v>0.1722779434354387</v>
      </c>
      <c r="P17" s="1" t="s">
        <v>213</v>
      </c>
      <c r="Q17" s="1">
        <v>8639</v>
      </c>
      <c r="R17" s="1">
        <v>1048</v>
      </c>
      <c r="S17" s="223">
        <f t="shared" si="1"/>
        <v>0.12131033684454219</v>
      </c>
      <c r="T17" s="230">
        <f t="shared" si="2"/>
        <v>5.4966956886604426E-2</v>
      </c>
    </row>
    <row r="18" spans="1:20" s="17" customFormat="1" ht="19.5" customHeight="1" x14ac:dyDescent="0.25">
      <c r="A18" s="248" t="s">
        <v>34</v>
      </c>
      <c r="B18" s="249">
        <v>299087.2</v>
      </c>
      <c r="C18" s="250">
        <v>192069</v>
      </c>
      <c r="D18" s="250">
        <v>165088</v>
      </c>
      <c r="E18" s="250">
        <v>119452</v>
      </c>
      <c r="F18" s="250">
        <v>89297</v>
      </c>
      <c r="G18" s="250">
        <v>53814</v>
      </c>
      <c r="H18" s="250">
        <v>21890</v>
      </c>
      <c r="I18" s="250">
        <v>4285</v>
      </c>
      <c r="J18" s="250">
        <v>200</v>
      </c>
      <c r="K18" s="250">
        <v>945182.2</v>
      </c>
      <c r="L18" s="222">
        <v>169486</v>
      </c>
      <c r="M18" s="1" t="s">
        <v>34</v>
      </c>
      <c r="N18" s="1">
        <v>37353</v>
      </c>
      <c r="O18" s="221">
        <f t="shared" si="0"/>
        <v>0.22038988471024154</v>
      </c>
      <c r="P18" s="1" t="s">
        <v>34</v>
      </c>
      <c r="Q18" s="1">
        <v>4787</v>
      </c>
      <c r="R18" s="1">
        <v>882</v>
      </c>
      <c r="S18" s="223">
        <f t="shared" si="1"/>
        <v>0.18424900772926675</v>
      </c>
      <c r="T18" s="230">
        <f t="shared" si="2"/>
        <v>2.3612561240061038E-2</v>
      </c>
    </row>
    <row r="19" spans="1:20" s="17" customFormat="1" ht="19.5" customHeight="1" x14ac:dyDescent="0.25">
      <c r="A19" s="248" t="s">
        <v>35</v>
      </c>
      <c r="B19" s="249">
        <v>154725.79999999999</v>
      </c>
      <c r="C19" s="250">
        <v>106946</v>
      </c>
      <c r="D19" s="250">
        <v>95810</v>
      </c>
      <c r="E19" s="250">
        <v>70656</v>
      </c>
      <c r="F19" s="250">
        <v>57729</v>
      </c>
      <c r="G19" s="250">
        <v>37992</v>
      </c>
      <c r="H19" s="250">
        <v>14327</v>
      </c>
      <c r="I19" s="250">
        <v>2625</v>
      </c>
      <c r="J19" s="250">
        <v>97</v>
      </c>
      <c r="K19" s="250">
        <v>540907.80000000005</v>
      </c>
      <c r="L19" s="222">
        <v>112770</v>
      </c>
      <c r="M19" s="1" t="s">
        <v>216</v>
      </c>
      <c r="N19" s="1">
        <v>17981</v>
      </c>
      <c r="O19" s="221">
        <f t="shared" si="0"/>
        <v>0.15944843486742927</v>
      </c>
      <c r="P19" s="1" t="s">
        <v>216</v>
      </c>
      <c r="Q19" s="1">
        <v>2281</v>
      </c>
      <c r="R19" s="1">
        <v>183</v>
      </c>
      <c r="S19" s="223">
        <f t="shared" si="1"/>
        <v>8.0227970188513811E-2</v>
      </c>
      <c r="T19" s="230">
        <f t="shared" si="2"/>
        <v>1.0177409487792669E-2</v>
      </c>
    </row>
    <row r="20" spans="1:20" s="17" customFormat="1" ht="19.5" customHeight="1" x14ac:dyDescent="0.25">
      <c r="A20" s="248" t="s">
        <v>36</v>
      </c>
      <c r="B20" s="249">
        <v>100263.6</v>
      </c>
      <c r="C20" s="250">
        <v>70572</v>
      </c>
      <c r="D20" s="250">
        <v>64680</v>
      </c>
      <c r="E20" s="250">
        <v>49085</v>
      </c>
      <c r="F20" s="250">
        <v>39293</v>
      </c>
      <c r="G20" s="250">
        <v>25133</v>
      </c>
      <c r="H20" s="250">
        <v>9929</v>
      </c>
      <c r="I20" s="250">
        <v>2090</v>
      </c>
      <c r="J20" s="250">
        <v>110</v>
      </c>
      <c r="K20" s="250">
        <v>361155.6</v>
      </c>
      <c r="L20" s="222">
        <v>76555</v>
      </c>
      <c r="M20" s="1" t="s">
        <v>220</v>
      </c>
      <c r="N20" s="1">
        <v>22750</v>
      </c>
      <c r="O20" s="221">
        <f t="shared" si="0"/>
        <v>0.29717196786623995</v>
      </c>
      <c r="P20" s="1" t="s">
        <v>220</v>
      </c>
      <c r="Q20" s="1">
        <v>2988</v>
      </c>
      <c r="R20" s="1">
        <v>326</v>
      </c>
      <c r="S20" s="223">
        <f t="shared" si="1"/>
        <v>0.10910307898259705</v>
      </c>
      <c r="T20" s="230">
        <f t="shared" si="2"/>
        <v>1.432967032967033E-2</v>
      </c>
    </row>
    <row r="21" spans="1:20" s="17" customFormat="1" ht="19.5" customHeight="1" x14ac:dyDescent="0.25">
      <c r="A21" s="248" t="s">
        <v>37</v>
      </c>
      <c r="B21" s="249">
        <v>68385.600000000006</v>
      </c>
      <c r="C21" s="250">
        <v>61973</v>
      </c>
      <c r="D21" s="250">
        <v>50384</v>
      </c>
      <c r="E21" s="250">
        <v>32063</v>
      </c>
      <c r="F21" s="250">
        <v>21023</v>
      </c>
      <c r="G21" s="250">
        <v>10096</v>
      </c>
      <c r="H21" s="250">
        <v>3691</v>
      </c>
      <c r="I21" s="250">
        <v>636</v>
      </c>
      <c r="J21" s="250">
        <v>25</v>
      </c>
      <c r="K21" s="250">
        <v>248276.6</v>
      </c>
      <c r="L21" s="222">
        <v>35471</v>
      </c>
      <c r="M21" s="1" t="s">
        <v>221</v>
      </c>
      <c r="N21" s="1">
        <v>8405</v>
      </c>
      <c r="O21" s="221">
        <f t="shared" si="0"/>
        <v>0.23695413154407827</v>
      </c>
      <c r="P21" s="1" t="s">
        <v>221</v>
      </c>
      <c r="Q21" s="1">
        <v>4089</v>
      </c>
      <c r="R21" s="1">
        <v>463</v>
      </c>
      <c r="S21" s="223">
        <f t="shared" si="1"/>
        <v>0.1132306187331866</v>
      </c>
      <c r="T21" s="230">
        <f t="shared" si="2"/>
        <v>5.5086258179654971E-2</v>
      </c>
    </row>
    <row r="22" spans="1:20" s="17" customFormat="1" ht="19.5" customHeight="1" x14ac:dyDescent="0.25">
      <c r="A22" s="248" t="s">
        <v>22</v>
      </c>
      <c r="B22" s="249">
        <v>643081.4</v>
      </c>
      <c r="C22" s="250">
        <v>530379</v>
      </c>
      <c r="D22" s="250">
        <v>456186</v>
      </c>
      <c r="E22" s="250">
        <v>351379</v>
      </c>
      <c r="F22" s="250">
        <v>296257</v>
      </c>
      <c r="G22" s="250">
        <v>199217</v>
      </c>
      <c r="H22" s="250">
        <v>93613</v>
      </c>
      <c r="I22" s="250">
        <v>21574</v>
      </c>
      <c r="J22" s="250">
        <v>964</v>
      </c>
      <c r="K22" s="250">
        <v>2592650.4</v>
      </c>
      <c r="L22" s="222">
        <v>611625</v>
      </c>
      <c r="M22" s="1" t="s">
        <v>219</v>
      </c>
      <c r="N22" s="1">
        <v>76724</v>
      </c>
      <c r="O22" s="221">
        <f t="shared" si="0"/>
        <v>0.12544287758021663</v>
      </c>
      <c r="P22" s="1" t="s">
        <v>219</v>
      </c>
      <c r="Q22" s="1">
        <v>37926</v>
      </c>
      <c r="R22" s="1">
        <v>3649</v>
      </c>
      <c r="S22" s="223">
        <f t="shared" si="1"/>
        <v>9.621367927015767E-2</v>
      </c>
      <c r="T22" s="230">
        <f t="shared" si="2"/>
        <v>4.7560085501277306E-2</v>
      </c>
    </row>
    <row r="23" spans="1:20" s="17" customFormat="1" ht="19.5" customHeight="1" x14ac:dyDescent="0.25">
      <c r="A23" s="248" t="s">
        <v>38</v>
      </c>
      <c r="B23" s="249">
        <v>211452</v>
      </c>
      <c r="C23" s="250">
        <v>129102</v>
      </c>
      <c r="D23" s="250">
        <v>115483</v>
      </c>
      <c r="E23" s="250">
        <v>81291</v>
      </c>
      <c r="F23" s="250">
        <v>65126</v>
      </c>
      <c r="G23" s="250">
        <v>39272</v>
      </c>
      <c r="H23" s="250">
        <v>16336</v>
      </c>
      <c r="I23" s="250">
        <v>3289</v>
      </c>
      <c r="J23" s="250">
        <v>180</v>
      </c>
      <c r="K23" s="250">
        <v>661531</v>
      </c>
      <c r="L23" s="222">
        <v>124203</v>
      </c>
      <c r="M23" s="1" t="s">
        <v>217</v>
      </c>
      <c r="N23" s="1">
        <v>20745</v>
      </c>
      <c r="O23" s="221">
        <f t="shared" si="0"/>
        <v>0.16702495108813797</v>
      </c>
      <c r="P23" s="1" t="s">
        <v>217</v>
      </c>
      <c r="Q23" s="1">
        <v>3579</v>
      </c>
      <c r="R23" s="1">
        <v>218</v>
      </c>
      <c r="S23" s="223">
        <f t="shared" si="1"/>
        <v>6.0910868957809443E-2</v>
      </c>
      <c r="T23" s="230">
        <f t="shared" si="2"/>
        <v>1.0508556278621354E-2</v>
      </c>
    </row>
    <row r="24" spans="1:20" s="17" customFormat="1" ht="19.5" customHeight="1" x14ac:dyDescent="0.25">
      <c r="A24" s="248" t="s">
        <v>211</v>
      </c>
      <c r="B24" s="249">
        <v>33668.6</v>
      </c>
      <c r="C24" s="250">
        <v>29423</v>
      </c>
      <c r="D24" s="250">
        <v>24321</v>
      </c>
      <c r="E24" s="250">
        <v>17465</v>
      </c>
      <c r="F24" s="250">
        <v>11395</v>
      </c>
      <c r="G24" s="250">
        <v>4338</v>
      </c>
      <c r="H24" s="250">
        <v>1266</v>
      </c>
      <c r="I24" s="250">
        <v>218</v>
      </c>
      <c r="J24" s="250">
        <v>9</v>
      </c>
      <c r="K24" s="250">
        <v>122103.6</v>
      </c>
      <c r="L24" s="222">
        <v>17226</v>
      </c>
      <c r="M24" s="1" t="s">
        <v>215</v>
      </c>
      <c r="N24" s="1">
        <v>4175</v>
      </c>
      <c r="O24" s="221">
        <f t="shared" si="0"/>
        <v>0.2423661906420527</v>
      </c>
      <c r="P24" s="1" t="s">
        <v>215</v>
      </c>
      <c r="Q24" s="1">
        <v>2479</v>
      </c>
      <c r="R24" s="1">
        <v>283</v>
      </c>
      <c r="S24" s="223">
        <f t="shared" si="1"/>
        <v>0.11415893505445744</v>
      </c>
      <c r="T24" s="230">
        <f t="shared" si="2"/>
        <v>6.7784431137724546E-2</v>
      </c>
    </row>
    <row r="25" spans="1:20" s="17" customFormat="1" ht="19.5" customHeight="1" thickBot="1" x14ac:dyDescent="0.3">
      <c r="A25" s="251" t="s">
        <v>40</v>
      </c>
      <c r="B25" s="249">
        <v>345170</v>
      </c>
      <c r="C25" s="250">
        <v>240125</v>
      </c>
      <c r="D25" s="250">
        <v>205092</v>
      </c>
      <c r="E25" s="250">
        <v>145319</v>
      </c>
      <c r="F25" s="250">
        <v>125487</v>
      </c>
      <c r="G25" s="250">
        <v>73101</v>
      </c>
      <c r="H25" s="250">
        <v>28916</v>
      </c>
      <c r="I25" s="250">
        <v>6139</v>
      </c>
      <c r="J25" s="250">
        <v>263</v>
      </c>
      <c r="K25" s="250">
        <v>1169612</v>
      </c>
      <c r="L25" s="231">
        <v>233906</v>
      </c>
      <c r="M25" s="232" t="s">
        <v>40</v>
      </c>
      <c r="N25" s="232">
        <v>51564</v>
      </c>
      <c r="O25" s="233">
        <f t="shared" si="0"/>
        <v>0.22044753020444111</v>
      </c>
      <c r="P25" s="232" t="s">
        <v>40</v>
      </c>
      <c r="Q25" s="232">
        <v>12587</v>
      </c>
      <c r="R25" s="232">
        <v>1116</v>
      </c>
      <c r="S25" s="234">
        <f t="shared" si="1"/>
        <v>8.8662906173035669E-2</v>
      </c>
      <c r="T25" s="235">
        <f t="shared" si="2"/>
        <v>2.1643006748894578E-2</v>
      </c>
    </row>
    <row r="26" spans="1:20" s="17" customFormat="1" ht="19.5" customHeight="1" thickBot="1" x14ac:dyDescent="0.3">
      <c r="A26" s="252" t="s">
        <v>227</v>
      </c>
      <c r="B26" s="253">
        <v>8486615</v>
      </c>
      <c r="C26" s="253">
        <v>6482663</v>
      </c>
      <c r="D26" s="253">
        <v>5743626</v>
      </c>
      <c r="E26" s="253">
        <v>4381897</v>
      </c>
      <c r="F26" s="253">
        <v>3560538</v>
      </c>
      <c r="G26" s="253">
        <v>2323393</v>
      </c>
      <c r="H26" s="253">
        <v>1013276</v>
      </c>
      <c r="I26" s="253">
        <v>223342</v>
      </c>
      <c r="J26" s="253">
        <v>9833</v>
      </c>
      <c r="K26" s="253">
        <v>32225183</v>
      </c>
      <c r="L26" s="236">
        <f>SUM(L2:L25)</f>
        <v>10032367</v>
      </c>
      <c r="M26" s="237"/>
      <c r="N26" s="237">
        <f>SUM(N2:N25)</f>
        <v>1133104</v>
      </c>
      <c r="O26" s="238">
        <f t="shared" si="0"/>
        <v>0.11294483146400047</v>
      </c>
      <c r="P26" s="239"/>
      <c r="Q26" s="237">
        <f>SUM(Q2:Q25)</f>
        <v>347656</v>
      </c>
      <c r="R26" s="237">
        <f>SUM(R2:R25)</f>
        <v>46302</v>
      </c>
      <c r="S26" s="240">
        <f t="shared" si="1"/>
        <v>0.13318337667119221</v>
      </c>
      <c r="T26" s="241">
        <f t="shared" si="2"/>
        <v>4.0862974625453623E-2</v>
      </c>
    </row>
    <row r="27" spans="1:20" ht="15" customHeight="1" x14ac:dyDescent="0.25">
      <c r="N27" s="458">
        <v>5994930</v>
      </c>
      <c r="O27" s="459">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filterMode="1"/>
  <dimension ref="A1:AW1072"/>
  <sheetViews>
    <sheetView workbookViewId="0"/>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hidden="1" x14ac:dyDescent="0.25">
      <c r="A5" s="5" t="s">
        <v>78</v>
      </c>
      <c r="B5" s="10" t="s">
        <v>79</v>
      </c>
      <c r="C5" s="5"/>
      <c r="D5" s="9" t="s">
        <v>83</v>
      </c>
      <c r="E5" s="4">
        <v>137.59</v>
      </c>
      <c r="F5" s="7">
        <v>96701</v>
      </c>
      <c r="G5" s="19" t="s">
        <v>84</v>
      </c>
    </row>
    <row r="6" spans="1:7" hidden="1" x14ac:dyDescent="0.25">
      <c r="A6" s="5" t="s">
        <v>78</v>
      </c>
      <c r="B6" s="10" t="s">
        <v>79</v>
      </c>
      <c r="C6" s="5"/>
      <c r="D6" s="9"/>
      <c r="E6" s="4">
        <v>1126.02</v>
      </c>
      <c r="F6" s="7">
        <v>31023</v>
      </c>
      <c r="G6" s="19" t="s">
        <v>85</v>
      </c>
    </row>
    <row r="7" spans="1:7" hidden="1" x14ac:dyDescent="0.25">
      <c r="A7" s="5" t="s">
        <v>43</v>
      </c>
      <c r="B7" s="10" t="s">
        <v>79</v>
      </c>
      <c r="C7" s="5"/>
      <c r="D7" s="9" t="s">
        <v>82</v>
      </c>
      <c r="E7" s="4">
        <v>203.45</v>
      </c>
      <c r="F7" s="7">
        <v>3075646</v>
      </c>
      <c r="G7" s="19" t="s">
        <v>43</v>
      </c>
    </row>
    <row r="8" spans="1:7" hidden="1" x14ac:dyDescent="0.25">
      <c r="A8" s="5" t="s">
        <v>78</v>
      </c>
      <c r="B8" s="10" t="s">
        <v>79</v>
      </c>
      <c r="C8" s="5"/>
      <c r="D8" s="9"/>
      <c r="E8" s="4">
        <v>954.53999999999905</v>
      </c>
      <c r="F8" s="7">
        <v>105552</v>
      </c>
      <c r="G8" s="19" t="s">
        <v>86</v>
      </c>
    </row>
    <row r="9" spans="1:7" hidden="1" x14ac:dyDescent="0.25">
      <c r="A9" s="5" t="s">
        <v>78</v>
      </c>
      <c r="B9" s="10" t="s">
        <v>79</v>
      </c>
      <c r="C9" s="5"/>
      <c r="D9" s="9"/>
      <c r="E9" s="4">
        <v>1190.1099999999899</v>
      </c>
      <c r="F9" s="7">
        <v>62921</v>
      </c>
      <c r="G9" s="19" t="s">
        <v>87</v>
      </c>
    </row>
    <row r="10" spans="1:7" hidden="1"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hidden="1"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hidden="1"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hidden="1"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hidden="1"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hidden="1"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hidden="1"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autoFilter ref="A1:G43" xr:uid="{ED16A6F5-1E0A-4753-A4EA-DE5CBDAC3540}">
    <filterColumn colId="2">
      <customFilters>
        <customFilter operator="notEqual" val=" "/>
      </customFilters>
    </filterColumn>
    <sortState xmlns:xlrd2="http://schemas.microsoft.com/office/spreadsheetml/2017/richdata2" ref="A2:G42">
      <sortCondition ref="G1:G43"/>
    </sortState>
  </autoFilter>
  <sortState xmlns:xlrd2="http://schemas.microsoft.com/office/spreadsheetml/2017/richdata2" ref="A2:G43">
    <sortCondition ref="G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0" workbookViewId="0"/>
  </sheetViews>
  <sheetFormatPr baseColWidth="10" defaultRowHeight="15" x14ac:dyDescent="0.25"/>
  <cols>
    <col min="1" max="16384" width="11.42578125" style="261"/>
  </cols>
  <sheetData>
    <row r="1" spans="1:4" x14ac:dyDescent="0.25">
      <c r="A1" s="261" t="s">
        <v>238</v>
      </c>
      <c r="B1" s="261" t="s">
        <v>239</v>
      </c>
      <c r="C1" s="261" t="s">
        <v>240</v>
      </c>
      <c r="D1" s="261" t="s">
        <v>241</v>
      </c>
    </row>
    <row r="2" spans="1:4" x14ac:dyDescent="0.25">
      <c r="A2" s="261">
        <v>2020</v>
      </c>
      <c r="B2" s="261">
        <v>1</v>
      </c>
      <c r="C2" s="185">
        <f t="shared" ref="C2:C65" si="0">D2-6</f>
        <v>43828</v>
      </c>
      <c r="D2" s="185">
        <f t="shared" ref="D2:D65" si="1">C3-1</f>
        <v>43834</v>
      </c>
    </row>
    <row r="3" spans="1:4" x14ac:dyDescent="0.25">
      <c r="A3" s="261">
        <v>2020</v>
      </c>
      <c r="B3" s="261">
        <v>2</v>
      </c>
      <c r="C3" s="185">
        <f t="shared" si="0"/>
        <v>43835</v>
      </c>
      <c r="D3" s="185">
        <f t="shared" si="1"/>
        <v>43841</v>
      </c>
    </row>
    <row r="4" spans="1:4" x14ac:dyDescent="0.25">
      <c r="A4" s="261">
        <v>2020</v>
      </c>
      <c r="B4" s="261">
        <v>3</v>
      </c>
      <c r="C4" s="185">
        <f t="shared" si="0"/>
        <v>43842</v>
      </c>
      <c r="D4" s="185">
        <f t="shared" si="1"/>
        <v>43848</v>
      </c>
    </row>
    <row r="5" spans="1:4" x14ac:dyDescent="0.25">
      <c r="A5" s="261">
        <v>2020</v>
      </c>
      <c r="B5" s="261">
        <v>4</v>
      </c>
      <c r="C5" s="185">
        <f t="shared" si="0"/>
        <v>43849</v>
      </c>
      <c r="D5" s="185">
        <f t="shared" si="1"/>
        <v>43855</v>
      </c>
    </row>
    <row r="6" spans="1:4" x14ac:dyDescent="0.25">
      <c r="A6" s="261">
        <v>2020</v>
      </c>
      <c r="B6" s="261">
        <v>5</v>
      </c>
      <c r="C6" s="185">
        <f t="shared" si="0"/>
        <v>43856</v>
      </c>
      <c r="D6" s="185">
        <f t="shared" si="1"/>
        <v>43862</v>
      </c>
    </row>
    <row r="7" spans="1:4" x14ac:dyDescent="0.25">
      <c r="A7" s="261">
        <v>2020</v>
      </c>
      <c r="B7" s="261">
        <v>6</v>
      </c>
      <c r="C7" s="185">
        <f t="shared" si="0"/>
        <v>43863</v>
      </c>
      <c r="D7" s="185">
        <f t="shared" si="1"/>
        <v>43869</v>
      </c>
    </row>
    <row r="8" spans="1:4" x14ac:dyDescent="0.25">
      <c r="A8" s="261">
        <v>2020</v>
      </c>
      <c r="B8" s="261">
        <v>7</v>
      </c>
      <c r="C8" s="185">
        <f t="shared" si="0"/>
        <v>43870</v>
      </c>
      <c r="D8" s="185">
        <f t="shared" si="1"/>
        <v>43876</v>
      </c>
    </row>
    <row r="9" spans="1:4" x14ac:dyDescent="0.25">
      <c r="A9" s="261">
        <v>2020</v>
      </c>
      <c r="B9" s="261">
        <v>8</v>
      </c>
      <c r="C9" s="185">
        <f t="shared" si="0"/>
        <v>43877</v>
      </c>
      <c r="D9" s="185">
        <f t="shared" si="1"/>
        <v>43883</v>
      </c>
    </row>
    <row r="10" spans="1:4" x14ac:dyDescent="0.25">
      <c r="A10" s="261">
        <v>2020</v>
      </c>
      <c r="B10" s="261">
        <v>9</v>
      </c>
      <c r="C10" s="185">
        <f t="shared" si="0"/>
        <v>43884</v>
      </c>
      <c r="D10" s="185">
        <f t="shared" si="1"/>
        <v>43890</v>
      </c>
    </row>
    <row r="11" spans="1:4" x14ac:dyDescent="0.25">
      <c r="A11" s="261">
        <v>2020</v>
      </c>
      <c r="B11" s="261">
        <v>10</v>
      </c>
      <c r="C11" s="185">
        <f t="shared" si="0"/>
        <v>43891</v>
      </c>
      <c r="D11" s="185">
        <f t="shared" si="1"/>
        <v>43897</v>
      </c>
    </row>
    <row r="12" spans="1:4" x14ac:dyDescent="0.25">
      <c r="A12" s="261">
        <v>2020</v>
      </c>
      <c r="B12" s="261">
        <v>11</v>
      </c>
      <c r="C12" s="185">
        <f t="shared" si="0"/>
        <v>43898</v>
      </c>
      <c r="D12" s="185">
        <f t="shared" si="1"/>
        <v>43904</v>
      </c>
    </row>
    <row r="13" spans="1:4" x14ac:dyDescent="0.25">
      <c r="A13" s="261">
        <v>2020</v>
      </c>
      <c r="B13" s="261">
        <v>12</v>
      </c>
      <c r="C13" s="185">
        <f t="shared" si="0"/>
        <v>43905</v>
      </c>
      <c r="D13" s="185">
        <f t="shared" si="1"/>
        <v>43911</v>
      </c>
    </row>
    <row r="14" spans="1:4" x14ac:dyDescent="0.25">
      <c r="A14" s="261">
        <v>2020</v>
      </c>
      <c r="B14" s="261">
        <v>13</v>
      </c>
      <c r="C14" s="185">
        <f t="shared" si="0"/>
        <v>43912</v>
      </c>
      <c r="D14" s="185">
        <f t="shared" si="1"/>
        <v>43918</v>
      </c>
    </row>
    <row r="15" spans="1:4" x14ac:dyDescent="0.25">
      <c r="A15" s="261">
        <v>2020</v>
      </c>
      <c r="B15" s="261">
        <v>14</v>
      </c>
      <c r="C15" s="185">
        <f t="shared" si="0"/>
        <v>43919</v>
      </c>
      <c r="D15" s="185">
        <f t="shared" si="1"/>
        <v>43925</v>
      </c>
    </row>
    <row r="16" spans="1:4" x14ac:dyDescent="0.25">
      <c r="A16" s="261">
        <v>2020</v>
      </c>
      <c r="B16" s="261">
        <v>15</v>
      </c>
      <c r="C16" s="185">
        <f t="shared" si="0"/>
        <v>43926</v>
      </c>
      <c r="D16" s="185">
        <f t="shared" si="1"/>
        <v>43932</v>
      </c>
    </row>
    <row r="17" spans="1:4" x14ac:dyDescent="0.25">
      <c r="A17" s="261">
        <v>2020</v>
      </c>
      <c r="B17" s="261">
        <v>16</v>
      </c>
      <c r="C17" s="185">
        <f t="shared" si="0"/>
        <v>43933</v>
      </c>
      <c r="D17" s="185">
        <f t="shared" si="1"/>
        <v>43939</v>
      </c>
    </row>
    <row r="18" spans="1:4" x14ac:dyDescent="0.25">
      <c r="A18" s="261">
        <v>2020</v>
      </c>
      <c r="B18" s="261">
        <v>17</v>
      </c>
      <c r="C18" s="185">
        <f t="shared" si="0"/>
        <v>43940</v>
      </c>
      <c r="D18" s="185">
        <f t="shared" si="1"/>
        <v>43946</v>
      </c>
    </row>
    <row r="19" spans="1:4" x14ac:dyDescent="0.25">
      <c r="A19" s="261">
        <v>2020</v>
      </c>
      <c r="B19" s="261">
        <v>18</v>
      </c>
      <c r="C19" s="185">
        <f t="shared" si="0"/>
        <v>43947</v>
      </c>
      <c r="D19" s="185">
        <f t="shared" si="1"/>
        <v>43953</v>
      </c>
    </row>
    <row r="20" spans="1:4" x14ac:dyDescent="0.25">
      <c r="A20" s="261">
        <v>2020</v>
      </c>
      <c r="B20" s="261">
        <v>19</v>
      </c>
      <c r="C20" s="185">
        <f t="shared" si="0"/>
        <v>43954</v>
      </c>
      <c r="D20" s="185">
        <f t="shared" si="1"/>
        <v>43960</v>
      </c>
    </row>
    <row r="21" spans="1:4" x14ac:dyDescent="0.25">
      <c r="A21" s="261">
        <v>2020</v>
      </c>
      <c r="B21" s="261">
        <v>20</v>
      </c>
      <c r="C21" s="185">
        <f t="shared" si="0"/>
        <v>43961</v>
      </c>
      <c r="D21" s="185">
        <f t="shared" si="1"/>
        <v>43967</v>
      </c>
    </row>
    <row r="22" spans="1:4" x14ac:dyDescent="0.25">
      <c r="A22" s="261">
        <v>2020</v>
      </c>
      <c r="B22" s="261">
        <v>21</v>
      </c>
      <c r="C22" s="185">
        <f t="shared" si="0"/>
        <v>43968</v>
      </c>
      <c r="D22" s="185">
        <f t="shared" si="1"/>
        <v>43974</v>
      </c>
    </row>
    <row r="23" spans="1:4" x14ac:dyDescent="0.25">
      <c r="A23" s="261">
        <v>2020</v>
      </c>
      <c r="B23" s="261">
        <v>22</v>
      </c>
      <c r="C23" s="185">
        <f t="shared" si="0"/>
        <v>43975</v>
      </c>
      <c r="D23" s="185">
        <f t="shared" si="1"/>
        <v>43981</v>
      </c>
    </row>
    <row r="24" spans="1:4" x14ac:dyDescent="0.25">
      <c r="A24" s="261">
        <v>2020</v>
      </c>
      <c r="B24" s="261">
        <v>23</v>
      </c>
      <c r="C24" s="185">
        <f t="shared" si="0"/>
        <v>43982</v>
      </c>
      <c r="D24" s="185">
        <f t="shared" si="1"/>
        <v>43988</v>
      </c>
    </row>
    <row r="25" spans="1:4" x14ac:dyDescent="0.25">
      <c r="A25" s="261">
        <v>2020</v>
      </c>
      <c r="B25" s="261">
        <v>24</v>
      </c>
      <c r="C25" s="185">
        <f t="shared" si="0"/>
        <v>43989</v>
      </c>
      <c r="D25" s="185">
        <f t="shared" si="1"/>
        <v>43995</v>
      </c>
    </row>
    <row r="26" spans="1:4" x14ac:dyDescent="0.25">
      <c r="A26" s="261">
        <v>2020</v>
      </c>
      <c r="B26" s="261">
        <v>25</v>
      </c>
      <c r="C26" s="185">
        <f t="shared" si="0"/>
        <v>43996</v>
      </c>
      <c r="D26" s="185">
        <f t="shared" si="1"/>
        <v>44002</v>
      </c>
    </row>
    <row r="27" spans="1:4" x14ac:dyDescent="0.25">
      <c r="A27" s="261">
        <v>2020</v>
      </c>
      <c r="B27" s="261">
        <v>26</v>
      </c>
      <c r="C27" s="185">
        <f t="shared" si="0"/>
        <v>44003</v>
      </c>
      <c r="D27" s="185">
        <f t="shared" si="1"/>
        <v>44009</v>
      </c>
    </row>
    <row r="28" spans="1:4" x14ac:dyDescent="0.25">
      <c r="A28" s="261">
        <v>2020</v>
      </c>
      <c r="B28" s="261">
        <v>27</v>
      </c>
      <c r="C28" s="185">
        <f t="shared" si="0"/>
        <v>44010</v>
      </c>
      <c r="D28" s="185">
        <f t="shared" si="1"/>
        <v>44016</v>
      </c>
    </row>
    <row r="29" spans="1:4" x14ac:dyDescent="0.25">
      <c r="A29" s="261">
        <v>2020</v>
      </c>
      <c r="B29" s="261">
        <v>28</v>
      </c>
      <c r="C29" s="185">
        <f t="shared" si="0"/>
        <v>44017</v>
      </c>
      <c r="D29" s="185">
        <f t="shared" si="1"/>
        <v>44023</v>
      </c>
    </row>
    <row r="30" spans="1:4" x14ac:dyDescent="0.25">
      <c r="A30" s="261">
        <v>2020</v>
      </c>
      <c r="B30" s="261">
        <v>29</v>
      </c>
      <c r="C30" s="185">
        <f t="shared" si="0"/>
        <v>44024</v>
      </c>
      <c r="D30" s="185">
        <f t="shared" si="1"/>
        <v>44030</v>
      </c>
    </row>
    <row r="31" spans="1:4" x14ac:dyDescent="0.25">
      <c r="A31" s="261">
        <v>2020</v>
      </c>
      <c r="B31" s="261">
        <v>30</v>
      </c>
      <c r="C31" s="185">
        <f t="shared" si="0"/>
        <v>44031</v>
      </c>
      <c r="D31" s="185">
        <f t="shared" si="1"/>
        <v>44037</v>
      </c>
    </row>
    <row r="32" spans="1:4" x14ac:dyDescent="0.25">
      <c r="A32" s="261">
        <v>2020</v>
      </c>
      <c r="B32" s="261">
        <v>31</v>
      </c>
      <c r="C32" s="185">
        <f t="shared" si="0"/>
        <v>44038</v>
      </c>
      <c r="D32" s="185">
        <f t="shared" si="1"/>
        <v>44044</v>
      </c>
    </row>
    <row r="33" spans="1:4" x14ac:dyDescent="0.25">
      <c r="A33" s="261">
        <v>2020</v>
      </c>
      <c r="B33" s="261">
        <v>32</v>
      </c>
      <c r="C33" s="185">
        <f t="shared" si="0"/>
        <v>44045</v>
      </c>
      <c r="D33" s="185">
        <f t="shared" si="1"/>
        <v>44051</v>
      </c>
    </row>
    <row r="34" spans="1:4" x14ac:dyDescent="0.25">
      <c r="A34" s="261">
        <v>2020</v>
      </c>
      <c r="B34" s="261">
        <v>33</v>
      </c>
      <c r="C34" s="185">
        <f t="shared" si="0"/>
        <v>44052</v>
      </c>
      <c r="D34" s="185">
        <f t="shared" si="1"/>
        <v>44058</v>
      </c>
    </row>
    <row r="35" spans="1:4" x14ac:dyDescent="0.25">
      <c r="A35" s="261">
        <v>2020</v>
      </c>
      <c r="B35" s="261">
        <v>34</v>
      </c>
      <c r="C35" s="185">
        <f t="shared" si="0"/>
        <v>44059</v>
      </c>
      <c r="D35" s="185">
        <f t="shared" si="1"/>
        <v>44065</v>
      </c>
    </row>
    <row r="36" spans="1:4" x14ac:dyDescent="0.25">
      <c r="A36" s="261">
        <v>2020</v>
      </c>
      <c r="B36" s="261">
        <v>35</v>
      </c>
      <c r="C36" s="185">
        <f t="shared" si="0"/>
        <v>44066</v>
      </c>
      <c r="D36" s="185">
        <f t="shared" si="1"/>
        <v>44072</v>
      </c>
    </row>
    <row r="37" spans="1:4" x14ac:dyDescent="0.25">
      <c r="A37" s="261">
        <v>2020</v>
      </c>
      <c r="B37" s="261">
        <v>36</v>
      </c>
      <c r="C37" s="185">
        <f t="shared" si="0"/>
        <v>44073</v>
      </c>
      <c r="D37" s="185">
        <f t="shared" si="1"/>
        <v>44079</v>
      </c>
    </row>
    <row r="38" spans="1:4" x14ac:dyDescent="0.25">
      <c r="A38" s="261">
        <v>2020</v>
      </c>
      <c r="B38" s="261">
        <v>37</v>
      </c>
      <c r="C38" s="185">
        <f t="shared" si="0"/>
        <v>44080</v>
      </c>
      <c r="D38" s="185">
        <f t="shared" si="1"/>
        <v>44086</v>
      </c>
    </row>
    <row r="39" spans="1:4" x14ac:dyDescent="0.25">
      <c r="A39" s="261">
        <v>2020</v>
      </c>
      <c r="B39" s="261">
        <v>38</v>
      </c>
      <c r="C39" s="185">
        <f t="shared" si="0"/>
        <v>44087</v>
      </c>
      <c r="D39" s="185">
        <f t="shared" si="1"/>
        <v>44093</v>
      </c>
    </row>
    <row r="40" spans="1:4" x14ac:dyDescent="0.25">
      <c r="A40" s="261">
        <v>2020</v>
      </c>
      <c r="B40" s="261">
        <v>39</v>
      </c>
      <c r="C40" s="185">
        <f t="shared" si="0"/>
        <v>44094</v>
      </c>
      <c r="D40" s="185">
        <f t="shared" si="1"/>
        <v>44100</v>
      </c>
    </row>
    <row r="41" spans="1:4" x14ac:dyDescent="0.25">
      <c r="A41" s="261">
        <v>2020</v>
      </c>
      <c r="B41" s="261">
        <v>40</v>
      </c>
      <c r="C41" s="185">
        <f t="shared" si="0"/>
        <v>44101</v>
      </c>
      <c r="D41" s="185">
        <f t="shared" si="1"/>
        <v>44107</v>
      </c>
    </row>
    <row r="42" spans="1:4" x14ac:dyDescent="0.25">
      <c r="A42" s="261">
        <v>2020</v>
      </c>
      <c r="B42" s="261">
        <v>41</v>
      </c>
      <c r="C42" s="185">
        <f t="shared" si="0"/>
        <v>44108</v>
      </c>
      <c r="D42" s="185">
        <f t="shared" si="1"/>
        <v>44114</v>
      </c>
    </row>
    <row r="43" spans="1:4" x14ac:dyDescent="0.25">
      <c r="A43" s="261">
        <v>2020</v>
      </c>
      <c r="B43" s="261">
        <v>42</v>
      </c>
      <c r="C43" s="185">
        <f t="shared" si="0"/>
        <v>44115</v>
      </c>
      <c r="D43" s="185">
        <f t="shared" si="1"/>
        <v>44121</v>
      </c>
    </row>
    <row r="44" spans="1:4" x14ac:dyDescent="0.25">
      <c r="A44" s="261">
        <v>2020</v>
      </c>
      <c r="B44" s="261">
        <v>43</v>
      </c>
      <c r="C44" s="185">
        <f t="shared" si="0"/>
        <v>44122</v>
      </c>
      <c r="D44" s="185">
        <f t="shared" si="1"/>
        <v>44128</v>
      </c>
    </row>
    <row r="45" spans="1:4" x14ac:dyDescent="0.25">
      <c r="A45" s="261">
        <v>2020</v>
      </c>
      <c r="B45" s="261">
        <v>44</v>
      </c>
      <c r="C45" s="185">
        <f t="shared" si="0"/>
        <v>44129</v>
      </c>
      <c r="D45" s="185">
        <f t="shared" si="1"/>
        <v>44135</v>
      </c>
    </row>
    <row r="46" spans="1:4" x14ac:dyDescent="0.25">
      <c r="A46" s="261">
        <v>2020</v>
      </c>
      <c r="B46" s="261">
        <v>45</v>
      </c>
      <c r="C46" s="185">
        <f t="shared" si="0"/>
        <v>44136</v>
      </c>
      <c r="D46" s="185">
        <f t="shared" si="1"/>
        <v>44142</v>
      </c>
    </row>
    <row r="47" spans="1:4" x14ac:dyDescent="0.25">
      <c r="A47" s="261">
        <v>2020</v>
      </c>
      <c r="B47" s="261">
        <v>46</v>
      </c>
      <c r="C47" s="185">
        <f t="shared" si="0"/>
        <v>44143</v>
      </c>
      <c r="D47" s="185">
        <f t="shared" si="1"/>
        <v>44149</v>
      </c>
    </row>
    <row r="48" spans="1:4" x14ac:dyDescent="0.25">
      <c r="A48" s="261">
        <v>2020</v>
      </c>
      <c r="B48" s="261">
        <v>47</v>
      </c>
      <c r="C48" s="185">
        <f t="shared" si="0"/>
        <v>44150</v>
      </c>
      <c r="D48" s="185">
        <f t="shared" si="1"/>
        <v>44156</v>
      </c>
    </row>
    <row r="49" spans="1:4" x14ac:dyDescent="0.25">
      <c r="A49" s="261">
        <v>2020</v>
      </c>
      <c r="B49" s="261">
        <v>48</v>
      </c>
      <c r="C49" s="185">
        <f t="shared" si="0"/>
        <v>44157</v>
      </c>
      <c r="D49" s="185">
        <f t="shared" si="1"/>
        <v>44163</v>
      </c>
    </row>
    <row r="50" spans="1:4" x14ac:dyDescent="0.25">
      <c r="A50" s="261">
        <v>2020</v>
      </c>
      <c r="B50" s="261">
        <v>49</v>
      </c>
      <c r="C50" s="185">
        <f t="shared" si="0"/>
        <v>44164</v>
      </c>
      <c r="D50" s="185">
        <f t="shared" si="1"/>
        <v>44170</v>
      </c>
    </row>
    <row r="51" spans="1:4" x14ac:dyDescent="0.25">
      <c r="A51" s="261">
        <v>2020</v>
      </c>
      <c r="B51" s="261">
        <v>50</v>
      </c>
      <c r="C51" s="185">
        <f t="shared" si="0"/>
        <v>44171</v>
      </c>
      <c r="D51" s="185">
        <f t="shared" si="1"/>
        <v>44177</v>
      </c>
    </row>
    <row r="52" spans="1:4" x14ac:dyDescent="0.25">
      <c r="A52" s="261">
        <v>2020</v>
      </c>
      <c r="B52" s="261">
        <v>51</v>
      </c>
      <c r="C52" s="185">
        <f t="shared" si="0"/>
        <v>44178</v>
      </c>
      <c r="D52" s="185">
        <f t="shared" si="1"/>
        <v>44184</v>
      </c>
    </row>
    <row r="53" spans="1:4" x14ac:dyDescent="0.25">
      <c r="A53" s="261">
        <v>2020</v>
      </c>
      <c r="B53" s="261">
        <v>52</v>
      </c>
      <c r="C53" s="185">
        <f t="shared" si="0"/>
        <v>44185</v>
      </c>
      <c r="D53" s="185">
        <f t="shared" si="1"/>
        <v>44191</v>
      </c>
    </row>
    <row r="54" spans="1:4" x14ac:dyDescent="0.25">
      <c r="A54" s="261">
        <v>2020</v>
      </c>
      <c r="B54" s="261">
        <v>53</v>
      </c>
      <c r="C54" s="185">
        <f t="shared" si="0"/>
        <v>44192</v>
      </c>
      <c r="D54" s="185">
        <f t="shared" si="1"/>
        <v>44198</v>
      </c>
    </row>
    <row r="55" spans="1:4" x14ac:dyDescent="0.25">
      <c r="A55" s="261">
        <v>2021</v>
      </c>
      <c r="B55" s="261">
        <v>1</v>
      </c>
      <c r="C55" s="185">
        <f t="shared" si="0"/>
        <v>44199</v>
      </c>
      <c r="D55" s="185">
        <f t="shared" si="1"/>
        <v>44205</v>
      </c>
    </row>
    <row r="56" spans="1:4" x14ac:dyDescent="0.25">
      <c r="A56" s="261">
        <v>2021</v>
      </c>
      <c r="B56" s="261">
        <v>2</v>
      </c>
      <c r="C56" s="185">
        <f t="shared" si="0"/>
        <v>44206</v>
      </c>
      <c r="D56" s="185">
        <f t="shared" si="1"/>
        <v>44212</v>
      </c>
    </row>
    <row r="57" spans="1:4" x14ac:dyDescent="0.25">
      <c r="A57" s="261">
        <v>2021</v>
      </c>
      <c r="B57" s="261">
        <v>3</v>
      </c>
      <c r="C57" s="185">
        <f t="shared" si="0"/>
        <v>44213</v>
      </c>
      <c r="D57" s="185">
        <f t="shared" si="1"/>
        <v>44219</v>
      </c>
    </row>
    <row r="58" spans="1:4" x14ac:dyDescent="0.25">
      <c r="A58" s="261">
        <v>2021</v>
      </c>
      <c r="B58" s="261">
        <v>4</v>
      </c>
      <c r="C58" s="185">
        <f t="shared" si="0"/>
        <v>44220</v>
      </c>
      <c r="D58" s="185">
        <f t="shared" si="1"/>
        <v>44226</v>
      </c>
    </row>
    <row r="59" spans="1:4" x14ac:dyDescent="0.25">
      <c r="A59" s="261">
        <v>2021</v>
      </c>
      <c r="B59" s="261">
        <v>5</v>
      </c>
      <c r="C59" s="185">
        <f t="shared" si="0"/>
        <v>44227</v>
      </c>
      <c r="D59" s="185">
        <f t="shared" si="1"/>
        <v>44233</v>
      </c>
    </row>
    <row r="60" spans="1:4" x14ac:dyDescent="0.25">
      <c r="A60" s="261">
        <v>2021</v>
      </c>
      <c r="B60" s="261">
        <v>6</v>
      </c>
      <c r="C60" s="185">
        <f t="shared" si="0"/>
        <v>44234</v>
      </c>
      <c r="D60" s="185">
        <f t="shared" si="1"/>
        <v>44240</v>
      </c>
    </row>
    <row r="61" spans="1:4" x14ac:dyDescent="0.25">
      <c r="A61" s="261">
        <v>2021</v>
      </c>
      <c r="B61" s="261">
        <v>7</v>
      </c>
      <c r="C61" s="185">
        <f t="shared" si="0"/>
        <v>44241</v>
      </c>
      <c r="D61" s="185">
        <f t="shared" si="1"/>
        <v>44247</v>
      </c>
    </row>
    <row r="62" spans="1:4" x14ac:dyDescent="0.25">
      <c r="A62" s="261">
        <v>2021</v>
      </c>
      <c r="B62" s="261">
        <v>8</v>
      </c>
      <c r="C62" s="185">
        <f t="shared" si="0"/>
        <v>44248</v>
      </c>
      <c r="D62" s="185">
        <f t="shared" si="1"/>
        <v>44254</v>
      </c>
    </row>
    <row r="63" spans="1:4" x14ac:dyDescent="0.25">
      <c r="A63" s="261">
        <v>2021</v>
      </c>
      <c r="B63" s="261">
        <v>9</v>
      </c>
      <c r="C63" s="185">
        <f t="shared" si="0"/>
        <v>44255</v>
      </c>
      <c r="D63" s="185">
        <f t="shared" si="1"/>
        <v>44261</v>
      </c>
    </row>
    <row r="64" spans="1:4" x14ac:dyDescent="0.25">
      <c r="A64" s="261">
        <v>2021</v>
      </c>
      <c r="B64" s="261">
        <v>10</v>
      </c>
      <c r="C64" s="185">
        <f t="shared" si="0"/>
        <v>44262</v>
      </c>
      <c r="D64" s="185">
        <f t="shared" si="1"/>
        <v>44268</v>
      </c>
    </row>
    <row r="65" spans="1:4" x14ac:dyDescent="0.25">
      <c r="A65" s="261">
        <v>2021</v>
      </c>
      <c r="B65" s="261">
        <v>11</v>
      </c>
      <c r="C65" s="185">
        <f t="shared" si="0"/>
        <v>44269</v>
      </c>
      <c r="D65" s="185">
        <f t="shared" si="1"/>
        <v>44275</v>
      </c>
    </row>
    <row r="66" spans="1:4" x14ac:dyDescent="0.25">
      <c r="A66" s="261">
        <v>2021</v>
      </c>
      <c r="B66" s="261">
        <v>12</v>
      </c>
      <c r="C66" s="185">
        <f>D66-6</f>
        <v>44276</v>
      </c>
      <c r="D66" s="185">
        <f>C67-1</f>
        <v>44282</v>
      </c>
    </row>
    <row r="67" spans="1:4" x14ac:dyDescent="0.25">
      <c r="A67" s="261">
        <v>2021</v>
      </c>
      <c r="B67" s="261">
        <v>13</v>
      </c>
      <c r="C67" s="185">
        <v>44283</v>
      </c>
      <c r="D67" s="185">
        <f>C67+6</f>
        <v>44289</v>
      </c>
    </row>
    <row r="68" spans="1:4" x14ac:dyDescent="0.25">
      <c r="A68" s="261">
        <v>2021</v>
      </c>
      <c r="B68" s="298">
        <v>14</v>
      </c>
      <c r="C68" s="330">
        <f>D68-6</f>
        <v>44290</v>
      </c>
      <c r="D68" s="330">
        <v>44296</v>
      </c>
    </row>
    <row r="69" spans="1:4" x14ac:dyDescent="0.25">
      <c r="A69" s="261">
        <v>2021</v>
      </c>
      <c r="B69" s="261">
        <v>15</v>
      </c>
      <c r="C69" s="185">
        <v>44297</v>
      </c>
      <c r="D69" s="185">
        <v>44303</v>
      </c>
    </row>
    <row r="70" spans="1:4" x14ac:dyDescent="0.25">
      <c r="A70" s="261">
        <v>2021</v>
      </c>
      <c r="B70" s="261">
        <v>16</v>
      </c>
      <c r="C70" s="185">
        <f>D69+1</f>
        <v>44304</v>
      </c>
      <c r="D70" s="185">
        <f>C70+6</f>
        <v>44310</v>
      </c>
    </row>
    <row r="71" spans="1:4" x14ac:dyDescent="0.25">
      <c r="A71" s="261">
        <v>2021</v>
      </c>
      <c r="B71" s="261">
        <v>17</v>
      </c>
      <c r="C71" s="185">
        <f>D70+1</f>
        <v>44311</v>
      </c>
      <c r="D71" s="185">
        <f>C71+6</f>
        <v>44317</v>
      </c>
    </row>
    <row r="72" spans="1:4" x14ac:dyDescent="0.25">
      <c r="A72" s="261">
        <v>2021</v>
      </c>
      <c r="B72" s="261">
        <v>18</v>
      </c>
      <c r="C72" s="185">
        <f t="shared" ref="C72:C78" si="2">D71+1</f>
        <v>44318</v>
      </c>
      <c r="D72" s="185">
        <f t="shared" ref="D72:D78" si="3">C72+6</f>
        <v>44324</v>
      </c>
    </row>
    <row r="73" spans="1:4" x14ac:dyDescent="0.25">
      <c r="A73" s="261">
        <v>2021</v>
      </c>
      <c r="B73" s="261">
        <v>19</v>
      </c>
      <c r="C73" s="185">
        <f t="shared" si="2"/>
        <v>44325</v>
      </c>
      <c r="D73" s="185">
        <f t="shared" si="3"/>
        <v>44331</v>
      </c>
    </row>
    <row r="74" spans="1:4" x14ac:dyDescent="0.25">
      <c r="A74" s="261">
        <v>2021</v>
      </c>
      <c r="B74" s="261">
        <v>20</v>
      </c>
      <c r="C74" s="185">
        <f t="shared" si="2"/>
        <v>44332</v>
      </c>
      <c r="D74" s="185">
        <f t="shared" si="3"/>
        <v>44338</v>
      </c>
    </row>
    <row r="75" spans="1:4" x14ac:dyDescent="0.25">
      <c r="A75" s="261">
        <v>2021</v>
      </c>
      <c r="B75" s="261">
        <v>21</v>
      </c>
      <c r="C75" s="185">
        <f t="shared" si="2"/>
        <v>44339</v>
      </c>
      <c r="D75" s="185">
        <f t="shared" si="3"/>
        <v>44345</v>
      </c>
    </row>
    <row r="76" spans="1:4" x14ac:dyDescent="0.25">
      <c r="A76" s="261">
        <v>2021</v>
      </c>
      <c r="B76" s="261">
        <v>22</v>
      </c>
      <c r="C76" s="185">
        <f t="shared" si="2"/>
        <v>44346</v>
      </c>
      <c r="D76" s="185">
        <f t="shared" si="3"/>
        <v>44352</v>
      </c>
    </row>
    <row r="77" spans="1:4" x14ac:dyDescent="0.25">
      <c r="A77" s="261">
        <v>2021</v>
      </c>
      <c r="B77" s="261">
        <v>23</v>
      </c>
      <c r="C77" s="185">
        <f t="shared" si="2"/>
        <v>44353</v>
      </c>
      <c r="D77" s="185">
        <f t="shared" si="3"/>
        <v>44359</v>
      </c>
    </row>
    <row r="78" spans="1:4" x14ac:dyDescent="0.25">
      <c r="A78" s="261">
        <v>2021</v>
      </c>
      <c r="B78" s="261">
        <v>24</v>
      </c>
      <c r="C78" s="185">
        <f t="shared" si="2"/>
        <v>44360</v>
      </c>
      <c r="D78" s="185">
        <f t="shared" si="3"/>
        <v>44366</v>
      </c>
    </row>
    <row r="79" spans="1:4" x14ac:dyDescent="0.25">
      <c r="A79" s="261">
        <v>2021</v>
      </c>
      <c r="B79" s="261">
        <v>25</v>
      </c>
      <c r="C79" s="185">
        <f>D78+1</f>
        <v>44367</v>
      </c>
      <c r="D79" s="185">
        <f>C79+6</f>
        <v>44373</v>
      </c>
    </row>
    <row r="80" spans="1:4" x14ac:dyDescent="0.25">
      <c r="A80" s="261">
        <v>2021</v>
      </c>
      <c r="B80" s="261">
        <v>26</v>
      </c>
      <c r="C80" s="185">
        <f>D79+1</f>
        <v>44374</v>
      </c>
      <c r="D80" s="185">
        <f>C80+6</f>
        <v>44380</v>
      </c>
    </row>
    <row r="81" spans="1:4" x14ac:dyDescent="0.25">
      <c r="A81" s="261">
        <v>2021</v>
      </c>
      <c r="B81" s="261">
        <v>27</v>
      </c>
      <c r="C81" s="185">
        <f t="shared" ref="C81:C102" si="4">D80+1</f>
        <v>44381</v>
      </c>
      <c r="D81" s="185">
        <f t="shared" ref="D81:D102" si="5">C81+6</f>
        <v>44387</v>
      </c>
    </row>
    <row r="82" spans="1:4" x14ac:dyDescent="0.25">
      <c r="A82" s="261">
        <v>2021</v>
      </c>
      <c r="B82" s="261">
        <v>28</v>
      </c>
      <c r="C82" s="185">
        <f t="shared" si="4"/>
        <v>44388</v>
      </c>
      <c r="D82" s="185">
        <f t="shared" si="5"/>
        <v>44394</v>
      </c>
    </row>
    <row r="83" spans="1:4" x14ac:dyDescent="0.25">
      <c r="A83" s="261">
        <v>2021</v>
      </c>
      <c r="B83" s="261">
        <v>29</v>
      </c>
      <c r="C83" s="185">
        <f t="shared" si="4"/>
        <v>44395</v>
      </c>
      <c r="D83" s="185">
        <f t="shared" si="5"/>
        <v>44401</v>
      </c>
    </row>
    <row r="84" spans="1:4" x14ac:dyDescent="0.25">
      <c r="A84" s="261">
        <v>2021</v>
      </c>
      <c r="B84" s="261">
        <v>30</v>
      </c>
      <c r="C84" s="185">
        <f t="shared" si="4"/>
        <v>44402</v>
      </c>
      <c r="D84" s="185">
        <f t="shared" si="5"/>
        <v>44408</v>
      </c>
    </row>
    <row r="85" spans="1:4" x14ac:dyDescent="0.25">
      <c r="A85" s="261">
        <v>2021</v>
      </c>
      <c r="B85" s="261">
        <v>31</v>
      </c>
      <c r="C85" s="185">
        <f t="shared" si="4"/>
        <v>44409</v>
      </c>
      <c r="D85" s="185">
        <f t="shared" si="5"/>
        <v>44415</v>
      </c>
    </row>
    <row r="86" spans="1:4" x14ac:dyDescent="0.25">
      <c r="A86" s="261">
        <v>2021</v>
      </c>
      <c r="B86" s="261">
        <v>32</v>
      </c>
      <c r="C86" s="185">
        <f t="shared" si="4"/>
        <v>44416</v>
      </c>
      <c r="D86" s="185">
        <f t="shared" si="5"/>
        <v>44422</v>
      </c>
    </row>
    <row r="87" spans="1:4" x14ac:dyDescent="0.25">
      <c r="A87" s="261">
        <v>2021</v>
      </c>
      <c r="B87" s="261">
        <v>33</v>
      </c>
      <c r="C87" s="185">
        <f t="shared" si="4"/>
        <v>44423</v>
      </c>
      <c r="D87" s="185">
        <f t="shared" si="5"/>
        <v>44429</v>
      </c>
    </row>
    <row r="88" spans="1:4" x14ac:dyDescent="0.25">
      <c r="A88" s="261">
        <v>2021</v>
      </c>
      <c r="B88" s="261">
        <v>34</v>
      </c>
      <c r="C88" s="185">
        <f t="shared" si="4"/>
        <v>44430</v>
      </c>
      <c r="D88" s="185">
        <f t="shared" si="5"/>
        <v>44436</v>
      </c>
    </row>
    <row r="89" spans="1:4" x14ac:dyDescent="0.25">
      <c r="A89" s="261">
        <v>2021</v>
      </c>
      <c r="B89" s="261">
        <v>35</v>
      </c>
      <c r="C89" s="185">
        <f t="shared" si="4"/>
        <v>44437</v>
      </c>
      <c r="D89" s="185">
        <f t="shared" si="5"/>
        <v>44443</v>
      </c>
    </row>
    <row r="90" spans="1:4" x14ac:dyDescent="0.25">
      <c r="A90" s="261">
        <v>2021</v>
      </c>
      <c r="B90" s="261">
        <v>36</v>
      </c>
      <c r="C90" s="185">
        <f t="shared" si="4"/>
        <v>44444</v>
      </c>
      <c r="D90" s="185">
        <f t="shared" si="5"/>
        <v>44450</v>
      </c>
    </row>
    <row r="91" spans="1:4" x14ac:dyDescent="0.25">
      <c r="A91" s="261">
        <v>2021</v>
      </c>
      <c r="B91" s="261">
        <v>37</v>
      </c>
      <c r="C91" s="185">
        <f t="shared" si="4"/>
        <v>44451</v>
      </c>
      <c r="D91" s="185">
        <f t="shared" si="5"/>
        <v>44457</v>
      </c>
    </row>
    <row r="92" spans="1:4" x14ac:dyDescent="0.25">
      <c r="A92" s="261">
        <v>2021</v>
      </c>
      <c r="B92" s="261">
        <v>38</v>
      </c>
      <c r="C92" s="185">
        <f t="shared" si="4"/>
        <v>44458</v>
      </c>
      <c r="D92" s="185">
        <f t="shared" si="5"/>
        <v>44464</v>
      </c>
    </row>
    <row r="93" spans="1:4" x14ac:dyDescent="0.25">
      <c r="A93" s="261">
        <v>2021</v>
      </c>
      <c r="B93" s="261">
        <v>39</v>
      </c>
      <c r="C93" s="185">
        <f t="shared" si="4"/>
        <v>44465</v>
      </c>
      <c r="D93" s="185">
        <f t="shared" si="5"/>
        <v>44471</v>
      </c>
    </row>
    <row r="94" spans="1:4" x14ac:dyDescent="0.25">
      <c r="A94" s="261">
        <v>2021</v>
      </c>
      <c r="B94" s="261">
        <v>40</v>
      </c>
      <c r="C94" s="185">
        <f t="shared" si="4"/>
        <v>44472</v>
      </c>
      <c r="D94" s="185">
        <f t="shared" si="5"/>
        <v>44478</v>
      </c>
    </row>
    <row r="95" spans="1:4" x14ac:dyDescent="0.25">
      <c r="A95" s="261">
        <v>2021</v>
      </c>
      <c r="B95" s="261">
        <v>41</v>
      </c>
      <c r="C95" s="185">
        <f t="shared" si="4"/>
        <v>44479</v>
      </c>
      <c r="D95" s="185">
        <f t="shared" si="5"/>
        <v>44485</v>
      </c>
    </row>
    <row r="96" spans="1:4" x14ac:dyDescent="0.25">
      <c r="A96" s="261">
        <v>2021</v>
      </c>
      <c r="B96" s="261">
        <v>42</v>
      </c>
      <c r="C96" s="185">
        <f t="shared" si="4"/>
        <v>44486</v>
      </c>
      <c r="D96" s="185">
        <f t="shared" si="5"/>
        <v>44492</v>
      </c>
    </row>
    <row r="97" spans="1:4" x14ac:dyDescent="0.25">
      <c r="A97" s="261">
        <v>2021</v>
      </c>
      <c r="B97" s="261">
        <v>43</v>
      </c>
      <c r="C97" s="185">
        <f t="shared" si="4"/>
        <v>44493</v>
      </c>
      <c r="D97" s="185">
        <f t="shared" si="5"/>
        <v>44499</v>
      </c>
    </row>
    <row r="98" spans="1:4" x14ac:dyDescent="0.25">
      <c r="A98" s="261">
        <v>2021</v>
      </c>
      <c r="B98" s="261">
        <v>44</v>
      </c>
      <c r="C98" s="185">
        <f t="shared" si="4"/>
        <v>44500</v>
      </c>
      <c r="D98" s="185">
        <f t="shared" si="5"/>
        <v>44506</v>
      </c>
    </row>
    <row r="99" spans="1:4" x14ac:dyDescent="0.25">
      <c r="A99" s="261">
        <v>2021</v>
      </c>
      <c r="B99" s="261">
        <v>45</v>
      </c>
      <c r="C99" s="185">
        <f t="shared" si="4"/>
        <v>44507</v>
      </c>
      <c r="D99" s="185">
        <f t="shared" si="5"/>
        <v>44513</v>
      </c>
    </row>
    <row r="100" spans="1:4" x14ac:dyDescent="0.25">
      <c r="A100" s="261">
        <v>2021</v>
      </c>
      <c r="B100" s="261">
        <v>46</v>
      </c>
      <c r="C100" s="185">
        <f t="shared" si="4"/>
        <v>44514</v>
      </c>
      <c r="D100" s="185">
        <f t="shared" si="5"/>
        <v>44520</v>
      </c>
    </row>
    <row r="101" spans="1:4" x14ac:dyDescent="0.25">
      <c r="A101" s="261">
        <v>2021</v>
      </c>
      <c r="B101" s="261">
        <v>47</v>
      </c>
      <c r="C101" s="185">
        <f t="shared" si="4"/>
        <v>44521</v>
      </c>
      <c r="D101" s="185">
        <f t="shared" si="5"/>
        <v>44527</v>
      </c>
    </row>
    <row r="102" spans="1:4" x14ac:dyDescent="0.25">
      <c r="A102" s="261">
        <v>2021</v>
      </c>
      <c r="B102" s="261">
        <v>48</v>
      </c>
      <c r="C102" s="185">
        <f t="shared" si="4"/>
        <v>44528</v>
      </c>
      <c r="D102" s="185">
        <f t="shared" si="5"/>
        <v>44534</v>
      </c>
    </row>
    <row r="103" spans="1:4" x14ac:dyDescent="0.25">
      <c r="A103" s="261">
        <v>2021</v>
      </c>
      <c r="B103" s="261">
        <v>49</v>
      </c>
      <c r="C103" s="185">
        <f>D102+1</f>
        <v>44535</v>
      </c>
      <c r="D103" s="185">
        <f>C103+6</f>
        <v>44541</v>
      </c>
    </row>
    <row r="104" spans="1:4" x14ac:dyDescent="0.25">
      <c r="A104" s="261">
        <v>2021</v>
      </c>
      <c r="B104" s="261">
        <v>50</v>
      </c>
      <c r="C104" s="185">
        <f>D103+1</f>
        <v>44542</v>
      </c>
      <c r="D104" s="185">
        <f>C104+6</f>
        <v>44548</v>
      </c>
    </row>
    <row r="105" spans="1:4" x14ac:dyDescent="0.25">
      <c r="A105" s="261">
        <v>2021</v>
      </c>
      <c r="B105" s="261">
        <v>51</v>
      </c>
      <c r="C105" s="185">
        <f>D104+1</f>
        <v>44549</v>
      </c>
      <c r="D105" s="185">
        <f>C105+6</f>
        <v>44555</v>
      </c>
    </row>
    <row r="106" spans="1:4" x14ac:dyDescent="0.25">
      <c r="A106" s="261">
        <v>2021</v>
      </c>
      <c r="B106" s="261">
        <v>52</v>
      </c>
      <c r="C106" s="185">
        <f>D105+1</f>
        <v>44556</v>
      </c>
      <c r="D106" s="185">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argentina_gral</vt:lpstr>
      <vt:lpstr>casos_provincias</vt:lpstr>
      <vt:lpstr>indic</vt:lpstr>
      <vt:lpstr>UTI</vt:lpstr>
      <vt:lpstr>argentina_gral (2)</vt:lpstr>
      <vt:lpstr>Hoja2</vt:lpstr>
      <vt:lpstr>Hoja3</vt:lpstr>
      <vt:lpstr>POBLA</vt:lpstr>
      <vt:lpstr>caba_ind</vt:lpstr>
      <vt:lpstr>Hoja1</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2021-08-17T20:03:48Z</dcterms:modified>
</cp:coreProperties>
</file>